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Name</t>
        </is>
      </c>
      <c r="C1" s="1" t="inlineStr">
        <is>
          <t>Index</t>
        </is>
      </c>
      <c r="D1" s="1" t="inlineStr">
        <is>
          <t>con</t>
        </is>
      </c>
      <c r="E1" s="1" t="inlineStr">
        <is>
          <t>len</t>
        </is>
      </c>
      <c r="F1" s="1" t="inlineStr">
        <is>
          <t>c_2</t>
        </is>
      </c>
      <c r="G1" s="1" t="inlineStr">
        <is>
          <t>c_3</t>
        </is>
      </c>
      <c r="H1" s="1" t="inlineStr">
        <is>
          <t>Cusps</t>
        </is>
      </c>
      <c r="I1" s="1" t="inlineStr">
        <is>
          <t>Sum Of Cusps</t>
        </is>
      </c>
      <c r="J1" s="1" t="inlineStr">
        <is>
          <t>Gal</t>
        </is>
      </c>
      <c r="K1" s="1" t="inlineStr">
        <is>
          <t>Supergroups</t>
        </is>
      </c>
      <c r="L1" s="1" t="inlineStr">
        <is>
          <t>Subgroups</t>
        </is>
      </c>
      <c r="M1" s="1" t="inlineStr">
        <is>
          <t>Nested_Supergroups</t>
        </is>
      </c>
      <c r="N1" s="1" t="inlineStr">
        <is>
          <t>Nested_Subgroups</t>
        </is>
      </c>
    </row>
    <row r="2">
      <c r="A2" t="inlineStr">
        <is>
          <t>1A⁰</t>
        </is>
      </c>
      <c r="B2" t="inlineStr">
        <is>
          <t>Γ</t>
        </is>
      </c>
      <c r="C2" t="inlineStr">
        <is>
          <t>1</t>
        </is>
      </c>
      <c r="D2" t="inlineStr">
        <is>
          <t>1</t>
        </is>
      </c>
      <c r="E2" t="inlineStr">
        <is>
          <t>1</t>
        </is>
      </c>
      <c r="F2" t="inlineStr">
        <is>
          <t>1</t>
        </is>
      </c>
      <c r="G2" t="inlineStr">
        <is>
          <t>1</t>
        </is>
      </c>
      <c r="H2" t="inlineStr">
        <is>
          <t>1¹</t>
        </is>
      </c>
      <c r="I2" t="n">
        <v>1</v>
      </c>
      <c r="J2" t="inlineStr">
        <is>
          <t>1¹</t>
        </is>
      </c>
      <c r="K2" t="inlineStr"/>
      <c r="L2">
        <f>HYPERLINK("CSG0.html#group2A0", "2A⁰"), =HYPERLINK("CSG0.html#group2B0", "2B⁰"), =HYPERLINK("CSG0.html#group3A0", "3A⁰"), =HYPERLINK("CSG0.html#group3B0", "3B⁰"), =HYPERLINK("CSG0.html#group4A0", "4A⁰"), =HYPERLINK("CSG0.html#group5A0", "5A⁰"), =HYPERLINK("CSG0.html#group5B0", "5B⁰"), =HYPERLINK("CSG0.html#group5C0", "5C⁰"), =HYPERLINK("CSG0.html#group7A0", "7A⁰"), =HYPERLINK("CSG0.html#group7B0", "7B⁰"), =HYPERLINK("CSG0.html#group9F0", "9F⁰"), =HYPERLINK("CSG0.html#group11A0", "11A⁰"), =HYPERLINK("CSG0.html#group13A0", "13A⁰"), =HYPERLINK("CSG1.html#group11A1", "11A¹"), =HYPERLINK("CSG1.html#group11C1", "11C¹"), =HYPERLINK("CSG1.html#group17A1", "17A¹"), =HYPERLINK("CSG1.html#group19A1", "19A¹"), =HYPERLINK("CSG2.html#group19A2", "19A²"), =HYPERLINK("CSG2.html#group23A2", "23A²"), =HYPERLINK("CSG2.html#group29A2", "29A²"), =HYPERLINK("CSG2.html#group31A2", "31A²"), =HYPERLINK("CSG2.html#group37A2", "37A²"), =HYPERLINK("CSG3.html#group13A3", "13A³"), =HYPERLINK("CSG3.html#group13B3", "13B³"), =HYPERLINK("CSG3.html#group13C3", "13C³"), =HYPERLINK("CSG3.html#group41A3", "41A³"), =HYPERLINK("CSG3.html#group43A3", "43A³"), =HYPERLINK("CSG4.html#group17A4", "17A⁴"), =HYPERLINK("CSG4.html#group17B4", "17B⁴"), =HYPERLINK("CSG4.html#group47A4", "47A⁴"), =HYPERLINK("CSG4.html#group53A4", "53A⁴"), =HYPERLINK("CSG4.html#group61A4", "61A⁴"), =HYPERLINK("CSG5.html#group59A5", "59A⁵"), =HYPERLINK("CSG5.html#group67A5", "67A⁵"), =HYPERLINK("CSG5.html#group73A5", "73A⁵"), =HYPERLINK("CSG6.html#group17A6", "17A⁶"), =HYPERLINK("CSG6.html#group71A6", "71A⁶"), =HYPERLINK("CSG6.html#group79A6", "79A⁶"), =HYPERLINK("CSG7.html#group17A7", "17A⁷"), =HYPERLINK("CSG7.html#group83A7", "83A⁷"), =HYPERLINK("CSG7.html#group89A7", "89A⁷"), =HYPERLINK("CSG7.html#group97A7", "97A⁷"), =HYPERLINK("CSG8.html#group19A8", "19A⁸"), =HYPERLINK("CSG8.html#group101A8", "101A⁸"), =HYPERLINK("CSG8.html#group103A8", "103A⁸"), =HYPERLINK("CSG8.html#group109A8", "109A⁸"), =HYPERLINK("CSG9.html#group19A9", "19A⁹"), =HYPERLINK("CSG9.html#group107A9", "107A⁹"), =HYPERLINK("CSG9.html#group113A9", "113A⁹"), =HYPERLINK("CSG10.html#group127A10", "127A¹⁰"), =HYPERLINK("CSG11.html#group29A11", "29A¹¹"), =HYPERLINK("CSG11.html#group29B11", "29B¹¹"), =HYPERLINK("CSG11.html#group131A11", "131A¹¹"), =HYPERLINK("CSG11.html#group137A11", "137A¹¹"), =HYPERLINK("CSG11.html#group139A11", "139A¹¹"), =HYPERLINK("CSG12.html#group149A12", "149A¹²"), =HYPERLINK("CSG12.html#group151A12", "151A¹²"), =HYPERLINK("CSG12.html#group157A12", "157A¹²"), =HYPERLINK("CSG13.html#group23A13", "23A¹³"), =HYPERLINK("CSG13.html#group23B13", "23B¹³"), =HYPERLINK("CSG13.html#group163A13", "163A¹³"), =HYPERLINK("CSG14.html#group31A14", "31A¹⁴"), =HYPERLINK("CSG14.html#group167A14", "167A¹⁴"), =HYPERLINK("CSG14.html#group173A14", "173A¹⁴"), =HYPERLINK("CSG14.html#group181A14", "181A¹⁴"), =HYPERLINK("CSG15.html#group23A15", "23A¹⁵"), =HYPERLINK("CSG15.html#group179A15", "179A¹⁵"), =HYPERLINK("CSG15.html#group193A15", "193A¹⁵"), =HYPERLINK("CSG16.html#group191A16", "191A¹⁶"), =HYPERLINK("CSG16.html#group197A16", "197A¹⁶"), =HYPERLINK("CSG16.html#group199A16", "199A¹⁶"), =HYPERLINK("CSG17.html#group211A17", "211A¹⁷"), =HYPERLINK("CSG18.html#group223A18", "223A¹⁸"), =HYPERLINK("CSG18.html#group229A18", "229A¹⁸"), =HYPERLINK("CSG19.html#group227A19", "227A¹⁹"), =HYPERLINK("CSG19.html#group233A19", "233A¹⁹"), =HYPERLINK("CSG19.html#group241A19", "241A¹⁹"), =HYPERLINK("CSG20.html#group239A20", "239A²⁰"), =HYPERLINK("CSG21.html#group251A21", "251A²¹"), =HYPERLINK("CSG21.html#group257A21", "257A²¹"), =HYPERLINK("CSG22.html#group263A22", "263A²²"), =HYPERLINK("CSG22.html#group269A22", "269A²²"), =HYPERLINK("CSG22.html#group271A22", "271A²²"), =HYPERLINK("CSG22.html#group277A22", "277A²²"), =HYPERLINK("CSG23.html#group281A23", "281A²³"), =HYPERLINK("CSG23.html#group283A23", "283A²³"), =HYPERLINK("CSG24.html#group29A24", "29A²⁴"), =HYPERLINK("CSG24.html#group293A24", "293A²⁴")</f>
        <v/>
      </c>
      <c r="M2" t="inlineStr"/>
      <c r="N2">
        <f>HYPERLINK("CSG4.html#group36K4", "36K⁴"), =HYPERLINK("CSG1.html#group24E1", "24E¹"), =HYPERLINK("CSG20.html#group45A20", "45A²⁰"), =HYPERLINK("CSG5.html#group16F5", "16F⁵"), =HYPERLINK("CSG22.html#group198B22", "198B²²"), =HYPERLINK("CSG11.html#group24L11", "24L¹¹"), =HYPERLINK("CSG22.html#group114A22", "114A²²"), =HYPERLINK("CSG8.html#group36L8", "36L⁸"), =HYPERLINK("CSG7.html#group42F7", "42F⁷"), =HYPERLINK("CSG2.html#group14D2", "14D²"), =HYPERLINK("CSG19.html#group24M19", "24M¹⁹"), =HYPERLINK("CSG19.html#group48BK19", "48BK¹⁹"), =HYPERLINK("CSG19.html#group84H19", "84H¹⁹"), =HYPERLINK("CSG14.html#group42F14", "42F¹⁴"), =HYPERLINK("CSG24.html#group56G24", "56G²⁴"), =HYPERLINK("CSG9.html#group15A9", "15A⁹"), =HYPERLINK("CSG12.html#group56H12", "56H¹²"), =HYPERLINK("CSG7.html#group30P7", "30P⁷"), =HYPERLINK("CSG9.html#group88A9", "88A⁹"), =HYPERLINK("CSG13.html#group64H13", "64H¹³"), =HYPERLINK("CSG5.html#group30L5", "30L⁵"), =HYPERLINK("CSG19.html#group48AT19", "48AT¹⁹"), =HYPERLINK("CSG17.html#group44A17", "44A¹⁷"), =HYPERLINK("CSG23.html#group84E23", "84E²³"), =HYPERLINK("CSG22.html#group126A22", "126A²²"), =HYPERLINK("CSG22.html#group54H22", "54H²²"), =HYPERLINK("CSG19.html#group176F19", "176F¹⁹"), =HYPERLINK("CSG18.html#group33A18", "33A¹⁸"), =HYPERLINK("CSG7.html#group56C7", "56C⁷"), =HYPERLINK("CSG23.html#group204B23", "204B²³"), =HYPERLINK("CSG19.html#group96S19", "96S¹⁹"), =HYPERLINK("CSG9.html#group40E9", "40E⁹"), =HYPERLINK("CSG13.html#group60AE13", "60AE¹³"), =HYPERLINK("CSG9.html#group75B9", "75B⁹"), =HYPERLINK("CSG18.html#group60B18", "60B¹⁸"), =HYPERLINK("CSG9.html#group28E9", "28E⁹"), =HYPERLINK("CSG17.html#group72L17", "72L¹⁷"), =HYPERLINK("CSG17.html#group48AM17", "48AM¹⁷"), =HYPERLINK("CSG8.html#group42B8", "42B⁸"), =HYPERLINK("CSG7.html#group18H7", "18H⁷"), =HYPERLINK("CSG24.html#group264C24", "264C²⁴"), =HYPERLINK("CSG3.html#group51A3", "51A³"), =HYPERLINK("CSG13.html#group30P13", "30P¹³"), =HYPERLINK("CSG15.html#group136B15", "136B¹⁵"), =HYPERLINK("CSG0.html#group48A0", "48A⁰"), =HYPERLINK("CSG16.html#group36H16", "36H¹⁶"), =HYPERLINK("CSG7.html#group60G7", "60G⁷"), =HYPERLINK("CSG13.html#group210B13", "210B¹³"), =HYPERLINK("CSG3.html#group15I3", "15I³"), =HYPERLINK("CSG21.html#group56F21", "56F²¹"), =HYPERLINK("CSG21.html#group48CD21", "48CD²¹"), =HYPERLINK("CSG19.html#group96AS19", "96AS¹⁹"), =HYPERLINK("CSG23.html#group102C23", "102C²³"), =HYPERLINK("CSG20.html#group84D20", "84D²⁰"), =HYPERLINK("CSG5.html#group50E5", "50E⁵"), =HYPERLINK("CSG3.html#group52A3", "52A³"), =HYPERLINK("CSG1.html#group20G1", "20G¹"), =HYPERLINK("CSG12.html#group126C12", "126C¹²"), =HYPERLINK("CSG12.html#group132A12", "132A¹²"), =HYPERLINK("CSG23.html#group312C23", "312C²³"), =HYPERLINK("CSG12.html#group90D12", "90D¹²"), =HYPERLINK("CSG19.html#group36D19", "36D¹⁹"), =HYPERLINK("CSG18.html#group120B18", "120B¹⁸"), =HYPERLINK("CSG23.html#group287A23", "287A²³"), =HYPERLINK("CSG11.html#group108C11", "108C¹¹"), =HYPERLINK("CSG9.html#group60H9", "60H⁹"), =HYPERLINK("CSG3.html#group20I3", "20I³"), =HYPERLINK("CSG21.html#group126E21", "126E²¹"), =HYPERLINK("CSG19.html#group35B19", "35B¹⁹"), =HYPERLINK("CSG9.html#group16D9", "16D⁹"), =HYPERLINK("CSG13.html#group91A13", "91A¹³"), =HYPERLINK("CSG23.html#group126J23", "126J²³"), =HYPERLINK("CSG15.html#group90G15", "90G¹⁵"), =HYPERLINK("CSG13.html#group89A13", "89A¹³"), =HYPERLINK("CSG10.html#group30B10", "30B¹⁰"), =HYPERLINK("CSG14.html#group87A14", "87A¹⁴"), =HYPERLINK("CSG17.html#group66B17", "66B¹⁷"), =HYPERLINK("CSG4.html#group28D4", "28D⁴"), =HYPERLINK("CSG9.html#group40P9", "40P⁹"), =HYPERLINK("CSG11.html#group78A11", "78A¹¹"), =HYPERLINK("CSG21.html#group48AF21", "48AF²¹"), =HYPERLINK("CSG22.html#group36K22", "36K²²"), =HYPERLINK("CSG17.html#group48BR17", "48BR¹⁷"), =HYPERLINK("CSG10.html#group16B10", "16B¹⁰"), =HYPERLINK("CSG19.html#group241A19", "241A¹⁹"), =HYPERLINK("CSG13.html#group24X13", "24X¹³"), =HYPERLINK("CSG0.html#group13B0", "13B⁰"), =HYPERLINK("CSG21.html#group48BV21", "48BV²¹"), =HYPERLINK("CSG12.html#group36F12", "36F¹²"), =HYPERLINK("CSG13.html#group40T13", "40T¹³"), =HYPERLINK("CSG16.html#group40C16", "40C¹⁶"), =HYPERLINK("CSG9.html#group45F9", "45F⁹"), =HYPERLINK("CSG11.html#group60R11", "60R¹¹"), =HYPERLINK("CSG18.html#group84E18", "84E¹⁸"), =HYPERLINK("CSG7.html#group24N7", "24N⁷"), =HYPERLINK("CSG22.html#group56J22", "56J²²"), =HYPERLINK("CSG22.html#group180A22", "180A²²"), =HYPERLINK("CSG18.html#group63C18", "63C¹⁸"), =HYPERLINK("CSG21.html#group102A21", "102A²¹"), =HYPERLINK("CSG0.html#group11A0", "11A⁰"), =HYPERLINK("CSG6.html#group18D6", "18D⁶"), =HYPERLINK("CSG23.html#group84I23", "84I²³"), =HYPERLINK("CSG8.html#group88C8", "88C⁸"), =HYPERLINK("CSG21.html#group72X21", "72X²¹"), =HYPERLINK("CSG7.html#group64J7", "64J⁷"), =HYPERLINK("CSG23.html#group42D23", "42D²³"), =HYPERLINK("CSG5.html#group24Q5", "24Q⁵"), =HYPERLINK("CSG11.html#group119A11", "119A¹¹"), =HYPERLINK("CSG8.html#group54A8", "54A⁸"), =HYPERLINK("CSG6.html#group77A6", "77A⁶"), =HYPERLINK("CSG20.html#group96AF20", "96AF²⁰"), =HYPERLINK("CSG24.html#group60B24", "60B²⁴"), =HYPERLINK("CSG23.html#group32C23", "32C²³"), =HYPERLINK("CSG3.html#group30J3", "30J³"), =HYPERLINK("CSG9.html#group48AF9", "48AF⁹"), =HYPERLINK("CSG21.html#group117A21", "117A²¹"), =HYPERLINK("CSG11.html#group110A11", "110A¹¹"), =HYPERLINK("CSG20.html#group225D20", "225D²⁰"), =HYPERLINK("CSG19.html#group70B19", "70B¹⁹"), =HYPERLINK("CSG1.html#group8J1", "8J¹"), =HYPERLINK("CSG22.html#group291A22", "291A²²"), =HYPERLINK("CSG20.html#group180G20", "180G²⁰"), =HYPERLINK("CSG6.html#group48F6", "48F⁶"), =HYPERLINK("CSG13.html#group20B13", "20B¹³"), =HYPERLINK("CSG18.html#group84G18", "84G¹⁸"), =HYPERLINK("CSG5.html#group75A5", "75A⁵"), =HYPERLINK("CSG11.html#group130A11", "130A¹¹"), =HYPERLINK("CSG17.html#group24AP17", "24AP¹⁷"), =HYPERLINK("CSG17.html#group48AC17", "48AC¹⁷"), =HYPERLINK("CSG9.html#group45D9", "45D⁹"), =HYPERLINK("CSG6.html#group126A6", "126A⁶"), =HYPERLINK("CSG23.html#group50A23", "50A²³"), =HYPERLINK("CSG6.html#group50E6", "50E⁶"), =HYPERLINK("CSG6.html#group79A6", "79A⁶"), =HYPERLINK("CSG10.html#group33A10", "33A¹⁰"), =HYPERLINK("CSG15.html#group124A15", "124A¹⁵"), =HYPERLINK("CSG15.html#group179A15", "179A¹⁵"), =HYPERLINK("CSG23.html#group234B23", "234B²³"), =HYPERLINK("CSG3.html#group45C3", "45C³"), =HYPERLINK("CSG18.html#group140A18", "140A¹⁸"), =HYPERLINK("CSG17.html#group48CO17", "48CO¹⁷"), =HYPERLINK("CSG3.html#group15D3", "15D³"), =HYPERLINK("CSG24.html#group252G24", "252G²⁴"), =HYPERLINK("CSG17.html#group40C17", "40C¹⁷"), =HYPERLINK("CSG24.html#group50B24", "50B²⁴"), =HYPERLINK("CSG21.html#group112D21", "112D²¹"), =HYPERLINK("CSG2.html#group8B2", "8B²"), =HYPERLINK("CSG11.html#group111A11", "111A¹¹"), =HYPERLINK("CSG0.html#group8E0", "8E⁰"), =HYPERLINK("CSG5.html#group36B5", "36B⁵"), =HYPERLINK("CSG15.html#group60Z15", "60Z¹⁵"), =HYPERLINK("CSG5.html#group14F5", "14F⁵"), =HYPERLINK("CSG21.html#group96F21", "96F²¹"), =HYPERLINK("CSG3.html#group16N3", "16N³"), =HYPERLINK("CSG4.html#group18P4", "18P⁴"), =HYPERLINK("CSG17.html#group28E17", "28E¹⁷"), =HYPERLINK("CSG11.html#group88A11", "88A¹¹"), =HYPERLINK("CSG19.html#group120C19", "120C¹⁹"), =HYPERLINK("CSG13.html#group91B13", "91B¹³"), =HYPERLINK("CSG15.html#group48P15", "48P¹⁵"), =HYPERLINK("CSG19.html#group36K19", "36K¹⁹"), =HYPERLINK("CSG9.html#group24E9", "24E⁹"), =HYPERLINK("CSG9.html#group80G9", "80G⁹"), =HYPERLINK("CSG2.html#group37A2", "37A²"), =HYPERLINK("CSG15.html#group112J15", "112J¹⁵"), =HYPERLINK("CSG24.html#group336A24", "336A²⁴"), =HYPERLINK("CSG21.html#group20C21", "20C²¹"), =HYPERLINK("CSG19.html#group156E19", "156E¹⁹"), =HYPERLINK("CSG6.html#group66D6", "66D⁶"), =HYPERLINK("CSG13.html#group35B13", "35B¹³"), =HYPERLINK("CSG11.html#group156B11", "156B¹¹"), =HYPERLINK("CSG21.html#group104B21", "104B²¹"), =HYPERLINK("CSG7.html#group60O7", "60O⁷"), =HYPERLINK("CSG11.html#group18B11", "18B¹¹"), =HYPERLINK("CSG9.html#group84C9", "84C⁹"), =HYPERLINK("CSG13.html#group104E13", "104E¹³"), =HYPERLINK("CSG0.html#group16H0", "16H⁰"), =HYPERLINK("CSG12.html#group125B12", "125B¹²"), =HYPERLINK("CSG15.html#group90I15", "90I¹⁵"), =HYPERLINK("CSG12.html#group154C12", "154C¹²"), =HYPERLINK("CSG19.html#group34B19", "34B¹⁹"), =HYPERLINK("CSG19.html#group80H19", "80H¹⁹"), =HYPERLINK("CSG21.html#group210A21", "210A²¹"), =HYPERLINK("CSG23.html#group30A23", "30A²³"), =HYPERLINK("CSG13.html#group35D13", "35D¹³"), =HYPERLINK("CSG13.html#group117A13", "117A¹³"), =HYPERLINK("CSG23.html#group48F23", "48F²³"), =HYPERLINK("CSG23.html#group315A23", "315A²³"), =HYPERLINK("CSG10.html#group22A10", "22A¹⁰"), =HYPERLINK("CSG19.html#group192A19", "192A¹⁹"), =HYPERLINK("CSG17.html#group24V17", "24V¹⁷"), =HYPERLINK("CSG13.html#group56B13", "56B¹³"), =HYPERLINK("CSG13.html#group48B13", "48B¹³"), =HYPERLINK("CSG24.html#group112L24", "112L²⁴"), =HYPERLINK("CSG7.html#group10A7", "10A⁷"), =HYPERLINK("CSG19.html#group152A19", "152A¹⁹"), =HYPERLINK("CSG13.html#group24B13", "24B¹³"), =HYPERLINK("CSG13.html#group45N13", "45N¹³"), =HYPERLINK("CSG21.html#group72N21", "72N²¹"), =HYPERLINK("CSG9.html#group72F9", "72F⁹"), =HYPERLINK("CSG0.html#group9B0", "9B⁰"), =HYPERLINK("CSG2.html#group26B2", "26B²"), =HYPERLINK("CSG13.html#group126D13", "126D¹³"), =HYPERLINK("CSG19.html#group72D19", "72D¹⁹"), =HYPERLINK("CSG16.html#group54J16", "54J¹⁶"), =HYPERLINK("CSG18.html#group96D18", "96D¹⁸"), =HYPERLINK("CSG21.html#group52F21", "52F²¹"), =HYPERLINK("CSG23.html#group180J23", "180J²³"), =HYPERLINK("CSG5.html#group30K5", "30K⁵"), =HYPERLINK("CSG5.html#group24I5", "24I⁵"), =HYPERLINK("CSG19.html#group234A19", "234A¹⁹"), =HYPERLINK("CSG16.html#group130A16", "130A¹⁶"), =HYPERLINK("CSG17.html#group96Y17", "96Y¹⁷"), =HYPERLINK("CSG17.html#group60U17", "60U¹⁷"), =HYPERLINK("CSG19.html#group60N19", "60N¹⁹"), =HYPERLINK("CSG23.html#group180M23", "180M²³"), =HYPERLINK("CSG16.html#group202A16", "202A¹⁶"), =HYPERLINK("CSG7.html#group24H7", "24H⁷"), =HYPERLINK("CSG19.html#group80D19", "80D¹⁹"), =HYPERLINK("CSG20.html#group132A20", "132A²⁰"), =HYPERLINK("CSG2.html#group27A2", "27A²"), =HYPERLINK("CSG10.html#group18M10", "18M¹⁰"), =HYPERLINK("CSG10.html#group36N10", "36N¹⁰"), =HYPERLINK("CSG3.html#group14B3", "14B³"), =HYPERLINK("CSG17.html#group63E17", "63E¹⁷"), =HYPERLINK("CSG3.html#group34C3", "34C³"), =HYPERLINK("CSG6.html#group54A6", "54A⁶"), =HYPERLINK("CSG23.html#group56U23", "56U²³"), =HYPERLINK("CSG13.html#group144B13", "144B¹³"), =HYPERLINK("CSG16.html#group48C16", "48C¹⁶"), =HYPERLINK("CSG13.html#group75B13", "75B¹³"), =HYPERLINK("CSG21.html#group96U21", "96U²¹"), =HYPERLINK("CSG13.html#group180D13", "180D¹³"), =HYPERLINK("CSG9.html#group16K9", "16K⁹"), =HYPERLINK("CSG3.html#group32C3", "32C³"), =HYPERLINK("CSG15.html#group96E15", "96E¹⁵"), =HYPERLINK("CSG21.html#group24L21", "24L²¹"), =HYPERLINK("CSG17.html#group80H17", "80H¹⁷"), =HYPERLINK("CSG6.html#group36H6", "36H⁶"), =HYPERLINK("CSG6.html#group44A6", "44A⁶"), =HYPERLINK("CSG11.html#group84C11", "84C¹¹"), =HYPERLINK("CSG21.html#group48O21", "48O²¹"), =HYPERLINK("CSG17.html#group60B17", "60B¹⁷"), =HYPERLINK("CSG18.html#group56A18", "56A¹⁸"), =HYPERLINK("CSG13.html#group144J13", "144J¹³"), =HYPERLINK("CSG18.html#group48H18", "48H¹⁸"), =HYPERLINK("CSG5.html#group42H5", "42H⁵"), =HYPERLINK("CSG23.html#group96S23", "96S²³"), =HYPERLINK("CSG17.html#group201A17", "201A¹⁷"), =HYPERLINK("CSG19.html#group240A19", "240A¹⁹"), =HYPERLINK("CSG6.html#group24K6", "24K⁶"), =HYPERLINK("CSG13.html#group24O13", "24O¹³"), =HYPERLINK("CSG19.html#group205A19", "205A¹⁹"), =HYPERLINK("CSG11.html#group28G11", "28G¹¹"), =HYPERLINK("CSG11.html#group110B11", "110B¹¹"), =HYPERLINK("CSG20.html#group63A20", "63A²⁰"), =HYPERLINK("CSG21.html#group32P21", "32P²¹"), =HYPERLINK("CSG23.html#group66A23", "66A²³"), =HYPERLINK("CSG6.html#group25A6", "25A⁶"), =HYPERLINK("CSG0.html#group9J0", "9J⁰"), =HYPERLINK("CSG14.html#group186A14", "186A¹⁴"), =HYPERLINK("CSG13.html#group54I13", "54I¹³"), =HYPERLINK("CSG11.html#group32C11", "32C¹¹"), =HYPERLINK("CSG24.html#group264B24", "264B²⁴"), =HYPERLINK("CSG14.html#group112F14", "112F¹⁴"), =HYPERLINK("CSG20.html#group184A20", "184A²⁰"), =HYPERLINK("CSG22.html#group144H22", "144H²²"), =HYPERLINK("CSG19.html#group120Q19", "120Q¹⁹"), =HYPERLINK("CSG12.html#group30B12", "30B¹²"), =HYPERLINK("CSG13.html#group54N13", "54N¹³"), =HYPERLINK("CSG15.html#group40W15", "40W¹⁵"), =HYPERLINK("CSG5.html#group55A5", "55A⁵"), =HYPERLINK("CSG8.html#group48V8", "48V⁸"), =HYPERLINK("CSG10.html#group40A10", "40A¹⁰"), =HYPERLINK("CSG16.html#group144H16", "144H¹⁶"), =HYPERLINK("CSG19.html#group75D19", "75D¹⁹"), =HYPERLINK("CSG6.html#group28J6", "28J⁶"), =HYPERLINK("CSG3.html#group10C3", "10C³"), =HYPERLINK("CSG10.html#group108A10", "108A¹⁰"), =HYPERLINK("CSG19.html#group90D19", "90D¹⁹"), =HYPERLINK("CSG7.html#group18O7", "18O⁷"), =HYPERLINK("CSG6.html#group21C6", "21C⁶"), =HYPERLINK("CSG23.html#group120G23", "120G²³"), =HYPERLINK("CSG24.html#group314A24", "314A²⁴"), =HYPERLINK("CSG21.html#group105B21", "105B²¹"), =HYPERLINK("CSG22.html#group54F22", "54F²²"), =HYPERLINK("CSG18.html#group72E18", "72E¹⁸"), =HYPERLINK("CSG10.html#group144E10", "144E¹⁰"), =HYPERLINK("CSG4.html#group36D4", "36D⁴"), =HYPERLINK("CSG5.html#group34A5", "34A⁵"), =HYPERLINK("CSG9.html#group42E9", "42E⁹"), =HYPERLINK("CSG23.html#group132C23", "132C²³"), =HYPERLINK("CSG21.html#group120J21", "120J²¹"), =HYPERLINK("CSG23.html#group152A23", "152A²³"), =HYPERLINK("CSG8.html#group80C8", "80C⁸"), =HYPERLINK("CSG7.html#group55A7", "55A⁷"), =HYPERLINK("CSG8.html#group36E8", "36E⁸"), =HYPERLINK("CSG21.html#group96X21", "96X²¹"), =HYPERLINK("CSG23.html#group208C23", "208C²³"), =HYPERLINK("CSG16.html#group42G16", "42G¹⁶"), =HYPERLINK("CSG19.html#group140A19", "140A¹⁹"), =HYPERLINK("CSG18.html#group126C18", "126C¹⁸"), =HYPERLINK("CSG4.html#group42F4", "42F⁴"), =HYPERLINK("CSG13.html#group48AG13", "48AG¹³"), =HYPERLINK("CSG7.html#group22A7", "22A⁷"), =HYPERLINK("CSG16.html#group18C16", "18C¹⁶"), =HYPERLINK("CSG19.html#group48AP19", "48AP¹⁹"), =HYPERLINK("CSG21.html#group140D21", "140D²¹"), =HYPERLINK("CSG21.html#group60R21", "60R²¹"), =HYPERLINK("CSG19.html#group70E19", "70E¹⁹"), =HYPERLINK("CSG21.html#group133A21", "133A²¹"), =HYPERLINK("CSG7.html#group78B7", "78B⁷"), =HYPERLINK("CSG17.html#group106A17", "106A¹⁷"), =HYPERLINK("CSG4.html#group36R4", "36R⁴"), =HYPERLINK("CSG5.html#group28I5", "28I⁵"), =HYPERLINK("CSG17.html#group72K17", "72K¹⁷"), =HYPERLINK("CSG9.html#group48AM9", "48AM⁹"), =HYPERLINK("CSG21.html#group96I21", "96I²¹"), =HYPERLINK("CSG2.html#group25B2", "25B²"), =HYPERLINK("CSG13.html#group55A13", "55A¹³"), =HYPERLINK("CSG19.html#group140C19", "140C¹⁹"), =HYPERLINK("CSG2.html#group9A2", "9A²"), =HYPERLINK("CSG8.html#group48L8", "48L⁸"), =HYPERLINK("CSG17.html#group189A17", "189A¹⁷"), =HYPERLINK("CSG8.html#group60C8", "60C⁸"), =HYPERLINK("CSG21.html#group178A21", "178A²¹"), =HYPERLINK("CSG20.html#group48F20", "48F²⁰"), =HYPERLINK("CSG9.html#group84E9", "84E⁹"), =HYPERLINK("CSG16.html#group191A16", "191A¹⁶"), =HYPERLINK("CSG13.html#group45M13", "45M¹³"), =HYPERLINK("CSG19.html#group140I19", "140I¹⁹"), =HYPERLINK("CSG16.html#group50D16", "50D¹⁶"), =HYPERLINK("CSG10.html#group26E10", "26E¹⁰"), =HYPERLINK("CSG17.html#group108C17", "108C¹⁷"), =HYPERLINK("CSG15.html#group40AE15", "40AE¹⁵"), =HYPERLINK("CSG14.html#group19A14", "19A¹⁴"), =HYPERLINK("CSG9.html#group21A9", "21A⁹"), =HYPERLINK("CSG21.html#group30B21", "30B²¹"), =HYPERLINK("CSG10.html#group30E10", "30E¹⁰"), =HYPERLINK("CSG13.html#group36L13", "36L¹³"), =HYPERLINK("CSG4.html#group26C4", "26C⁴"), =HYPERLINK("CSG8.html#group92A8", "92A⁸"), =HYPERLINK("CSG23.html#group306B23", "306B²³"), =HYPERLINK("CSG4.html#group18K4", "18K⁴"), =HYPERLINK("CSG4.html#group84B4", "84B⁴"), =HYPERLINK("CSG23.html#group168L23", "168L²³"), =HYPERLINK("CSG9.html#group35C9", "35C⁹"), =HYPERLINK("CSG23.html#group56L23", "56L²³"), =HYPERLINK("CSG16.html#group27D16", "27D¹⁶"), =HYPERLINK("CSG2.html#group8A2", "8A²"), =HYPERLINK("CSG11.html#group45C11", "45C¹¹"), =HYPERLINK("CSG5.html#group16I5", "16I⁵"), =HYPERLINK("CSG19.html#group175A19", "175A¹⁹"), =HYPERLINK("CSG21.html#group70D21", "70D²¹"), =HYPERLINK("CSG22.html#group72N22", "72N²²"), =HYPERLINK("CSG7.html#group20O7", "20O⁷"), =HYPERLINK("CSG12.html#group60C12", "60C¹²"), =HYPERLINK("CSG17.html#group160A17", "160A¹⁷"), =HYPERLINK("CSG21.html#group48AP21", "48AP²¹"), =HYPERLINK("CSG15.html#group48AF15", "48AF¹⁵"), =HYPERLINK("CSG17.html#group30A17", "30A¹⁷"), =HYPERLINK("CSG17.html#group24C17", "24C¹⁷"), =HYPERLINK("CSG17.html#group140A17", "140A¹⁷"), =HYPERLINK("CSG7.html#group24AK7", "24AK⁷"), =HYPERLINK("CSG21.html#group96A21", "96A²¹"), =HYPERLINK("CSG6.html#group45D6", "45D⁶"), =HYPERLINK("CSG3.html#group43A3", "43A³"), =HYPERLINK("CSG19.html#group84C19", "84C¹⁹"), =HYPERLINK("CSG17.html#group36H17", "36H¹⁷"), =HYPERLINK("CSG9.html#group154A9", "154A⁹"), =HYPERLINK("CSG7.html#group32M7", "32M⁷"), =HYPERLINK("CSG18.html#group18A18", "18A¹⁸"), =HYPERLINK("CSG17.html#group48BT17", "48BT¹⁷"), =HYPERLINK("CSG4.html#group25A4", "25A⁴"), =HYPERLINK("CSG21.html#group144M21", "144M²¹"), =HYPERLINK("CSG11.html#group14A11", "14A¹¹"), =HYPERLINK("CSG15.html#group120C15", "120C¹⁵"), =HYPERLINK("CSG7.html#group24AE7", "24AE⁷"), =HYPERLINK("CSG19.html#group72F19", "72F¹⁹"), =HYPERLINK("CSG15.html#group136G15", "136G¹⁵"), =HYPERLINK("CSG3.html#group14F3", "14F³"), =HYPERLINK("CSG18.html#group126J18", "126J¹⁸"), =HYPERLINK("CSG1.html#group12B1", "12B¹"), =HYPERLINK("CSG21.html#group126K21", "126K²¹"), =HYPERLINK("CSG6.html#group35C6", "35C⁶"), =HYPERLINK("CSG11.html#group55A11", "55A¹¹"), =HYPERLINK("CSG3.html#group52B3", "52B³"), =HYPERLINK("CSG22.html#group80C22", "80C²²"), =HYPERLINK("CSG5.html#group48A5", "48A⁵"), =HYPERLINK("CSG23.html#group40G23", "40G²³"), =HYPERLINK("CSG0.html#group16A0", "16A⁰"), =HYPERLINK("CSG13.html#group45E13", "45E¹³"), =HYPERLINK("CSG9.html#group75F9", "75F⁹"), =HYPERLINK("CSG21.html#group126T21", "126T²¹"), =HYPERLINK("CSG8.html#group40D8", "40D⁸"), =HYPERLINK("CSG8.html#group48W8", "48W⁸"), =HYPERLINK("CSG23.html#group230B23", "230B²³"), =HYPERLINK("CSG0.html#group26A0", "26A⁰"), =HYPERLINK("CSG23.html#group204A23", "204A²³"), =HYPERLINK("CSG12.html#group63A12", "63A¹²"), =HYPERLINK("CSG15.html#group80B15", "80B¹⁵"), =HYPERLINK("CSG24.html#group240A24", "240A²⁴"), =HYPERLINK("CSG9.html#group20C9", "20C⁹"), =HYPERLINK("CSG23.html#group96AC23", "96AC²³"), =HYPERLINK("CSG21.html#group70H21", "70H²¹"), =HYPERLINK("CSG19.html#group200B19", "200B¹⁹"), =HYPERLINK("CSG9.html#group80M9", "80M⁹"), =HYPERLINK("CSG19.html#group232A19", "232A¹⁹"), =HYPERLINK("CSG5.html#group24M5", "24M⁵"), =HYPERLINK("CSG6.html#group72D6", "72D⁶"), =HYPERLINK("CSG19.html#group63B19", "63B¹⁹"), =HYPERLINK("CSG17.html#group24T17", "24T¹⁷"), =HYPERLINK("CSG9.html#group40Q9", "40Q⁹"), =HYPERLINK("CSG14.html#group114A14", "114A¹⁴"), =HYPERLINK("CSG21.html#group180I21", "180I²¹"), =HYPERLINK("CSG5.html#group40N5", "40N⁵"), =HYPERLINK("CSG11.html#group38A11", "38A¹¹"), =HYPERLINK("CSG10.html#group39B10", "39B¹⁰"), =HYPERLINK("CSG16.html#group168C16", "168C¹⁶"), =HYPERLINK("CSG6.html#group30E6", "30E⁶"), =HYPERLINK("CSG4.html#group20E4", "20E⁴"), =HYPERLINK("CSG19.html#group63O19", "63O¹⁹"), =HYPERLINK("CSG15.html#group112H15", "112H¹⁵"), =HYPERLINK("CSG17.html#group36L17", "36L¹⁷"), =HYPERLINK("CSG15.html#group98A15", "98A¹⁵"), =HYPERLINK("CSG21.html#group36F21", "36F²¹"), =HYPERLINK("CSG7.html#group32J7", "32J⁷"), =HYPERLINK("CSG20.html#group168E20", "168E²⁰"), =HYPERLINK("CSG13.html#group24AB13", "24AB¹³"), =HYPERLINK("CSG11.html#group114A11", "114A¹¹"), =HYPERLINK("CSG23.html#group120M23", "120M²³"), =HYPERLINK("CSG12.html#group61A12", "61A¹²"), =HYPERLINK("CSG18.html#group198A18", "198A¹⁸"), =HYPERLINK("CSG17.html#group40I17", "40I¹⁷"), =HYPERLINK("CSG23.html#group200B23", "200B²³"), =HYPERLINK("CSG23.html#group266B23", "266B²³"), =HYPERLINK("CSG0.html#group8G0", "8G⁰"), =HYPERLINK("CSG9.html#group66A9", "66A⁹"), =HYPERLINK("CSG17.html#group57A17", "57A¹⁷"), =HYPERLINK("CSG10.html#group26B10", "26B¹⁰"), =HYPERLINK("CSG21.html#group251A21", "251A²¹"), =HYPERLINK("CSG15.html#group68A15", "68A¹⁵"), =HYPERLINK("CSG22.html#group189A22", "189A²²"), =HYPERLINK("CSG23.html#group222B23", "222B²³"), =HYPERLINK("CSG2.html#group13A2", "13A²"), =HYPERLINK("CSG8.html#group36O8", "36O⁸"), =HYPERLINK("CSG15.html#group72W15", "72W¹⁵"), =HYPERLINK("CSG13.html#group128E13", "128E¹³"), =HYPERLINK("CSG5.html#group51B5", "51B⁵"), =HYPERLINK("CSG9.html#group15C9", "15C⁹"), =HYPERLINK("CSG24.html#group40B24", "40B²⁴"), =HYPERLINK("CSG4.html#group72B4", "72B⁴"), =HYPERLINK("CSG13.html#group112D13", "112D¹³"), =HYPERLINK("CSG10.html#group22B10", "22B¹⁰"), =HYPERLINK("CSG23.html#group294A23", "294A²³"), =HYPERLINK("CSG19.html#group48BB19", "48BB¹⁹"), =HYPERLINK("CSG11.html#group36J11", "36J¹¹"), =HYPERLINK("CSG7.html#group16C7", "16C⁷"), =HYPERLINK("CSG19.html#group85A19", "85A¹⁹"), =HYPERLINK("CSG13.html#group54R13", "54R¹³"), =HYPERLINK("CSG24.html#group56A24", "56A²⁴"), =HYPERLINK("CSG10.html#group48B10", "48B¹⁰"), =HYPERLINK("CSG12.html#group100D12", "100D¹²"), =HYPERLINK("CSG12.html#group96A12", "96A¹²"), =HYPERLINK("CSG17.html#group80AH17", "80AH¹⁷"), =HYPERLINK("CSG14.html#group100E14", "100E¹⁴"), =HYPERLINK("CSG19.html#group20B19", "20B¹⁹"), =HYPERLINK("CSG13.html#group24L13", "24L¹³"), =HYPERLINK("CSG3.html#group45B3", "45B³"), =HYPERLINK("CSG19.html#group189D19", "189D¹⁹"), =HYPERLINK("CSG9.html#group100J9", "100J⁹"), =HYPERLINK("CSG17.html#group63D17", "63D¹⁷"), =HYPERLINK("CSG7.html#group20A7", "20A⁷"), =HYPERLINK("CSG21.html#group48E21", "48E²¹"), =HYPERLINK("CSG18.html#group198E18", "198E¹⁸"), =HYPERLINK("CSG20.html#group96AE20", "96AE²⁰"), =HYPERLINK("CSG7.html#group70C7", "70C⁷"), =HYPERLINK("CSG24.html#group224A24", "224A²⁴"), =HYPERLINK("CSG13.html#group32S13", "32S¹³"), =HYPERLINK("CSG15.html#group30E15", "30E¹⁵"), =HYPERLINK("CSG23.html#group32D23", "32D²³"), =HYPERLINK("CSG7.html#group24B7", "24B⁷"), =HYPERLINK("CSG24.html#group224C24", "224C²⁴"), =HYPERLINK("CSG1.html#group20C1", "20C¹"), =HYPERLINK("CSG21.html#group90J21", "90J²¹"), =HYPERLINK("CSG12.html#group91A12", "91A¹²"), =HYPERLINK("CSG20.html#group225A20", "225A²⁰"), =HYPERLINK("CSG9.html#group48AJ9", "48AJ⁹"), =HYPERLINK("CSG7.html#group48A7", "48A⁷"), =HYPERLINK("CSG9.html#group48N9", "48N⁹"), =HYPERLINK("CSG16.html#group74B16", "74B¹⁶"), =HYPERLINK("CSG3.html#group13C3", "13C³"), =HYPERLINK("CSG11.html#group176A11", "176A¹¹"), =HYPERLINK("CSG5.html#group58A5", "58A⁵"), =HYPERLINK("CSG9.html#group63C9", "63C⁹"), =HYPERLINK("CSG11.html#group96G11", "96G¹¹"), =HYPERLINK("CSG1.html#group14D1", "14D¹"), =HYPERLINK("CSG1.html#group20B1", "20B¹"), =HYPERLINK("CSG23.html#group104F23", "104F²³"), =HYPERLINK("CSG22.html#group36L22", "36L²²"), =HYPERLINK("CSG13.html#group96E13", "96E¹³"), =HYPERLINK("CSG21.html#group100B21", "100B²¹"), =HYPERLINK("CSG8.html#group84A8", "84A⁸"), =HYPERLINK("CSG9.html#group80L9", "80L⁹"), =HYPERLINK("CSG24.html#group250A24", "250A²⁴"), =HYPERLINK("CSG19.html#group160J19", "160J¹⁹"), =HYPERLINK("CSG2.html#group18N2", "18N²"), =HYPERLINK("CSG15.html#group84B15", "84B¹⁵"), =HYPERLINK("CSG17.html#group128B17", "128B¹⁷"), =HYPERLINK("CSG19.html#group176D19", "176D¹⁹"), =HYPERLINK("CSG13.html#group42A13", "42A¹³"), =HYPERLINK("CSG13.html#group18E13", "18E¹³"), =HYPERLINK("CSG9.html#group24AA9", "24AA⁹"), =HYPERLINK("CSG13.html#group48S13", "48S¹³"), =HYPERLINK("CSG19.html#group96AK19", "96AK¹⁹"), =HYPERLINK("CSG1.html#group18G1", "18G¹"), =HYPERLINK("CSG24.html#group66B24", "66B²⁴"), =HYPERLINK("CSG19.html#group36J19", "36J¹⁹"), =HYPERLINK("CSG8.html#group84D8", "84D⁸"), =HYPERLINK("CSG23.html#group56E23", "56E²³"), =HYPERLINK("CSG13.html#group42C13", "42C¹³"), =HYPERLINK("CSG6.html#group72A6", "72A⁶"), =HYPERLINK("CSG22.html#group216C22", "216C²²"), =HYPERLINK("CSG19.html#group96L19", "96L¹⁹"), =HYPERLINK("CSG23.html#group102D23", "102D²³"), =HYPERLINK("CSG8.html#group24A8", "24A⁸"), =HYPERLINK("CSG0.html#group18B0", "18B⁰"), =HYPERLINK("CSG10.html#group18E10", "18E¹⁰"), =HYPERLINK("CSG5.html#group45G5", "45G⁵"), =HYPERLINK("CSG1.html#group18H1", "18H¹"), =HYPERLINK("CSG21.html#group120C21", "120C²¹"), =HYPERLINK("CSG18.html#group48B18", "48B¹⁸"), =HYPERLINK("CSG19.html#group108A19", "108A¹⁹"), =HYPERLINK("CSG11.html#group70D11", "70D¹¹"), =HYPERLINK("CSG7.html#group15A7", "15A⁷"), =HYPERLINK("CSG5.html#group44B5", "44B⁵"), =HYPERLINK("CSG13.html#group24U13", "24U¹³"), =HYPERLINK("CSG13.html#group144A13", "144A¹³"), =HYPERLINK("CSG23.html#group140D23", "140D²³"), =HYPERLINK("CSG21.html#group48AB21", "48AB²¹"), =HYPERLINK("CSG8.html#group36D8", "36D⁸"), =HYPERLINK("CSG10.html#group48G10", "48G¹⁰"), =HYPERLINK("CSG21.html#group56L21", "56L²¹"), =HYPERLINK("CSG22.html#group180B22", "180B²²"), =HYPERLINK("CSG10.html#group26A10", "26A¹⁰"), =HYPERLINK("CSG17.html#group48S17", "48S¹⁷"), =HYPERLINK("CSG15.html#group17A15", "17A¹⁵"), =HYPERLINK("CSG14.html#group72G14", "72G¹⁴"), =HYPERLINK("CSG19.html#group96AY19", "96AY¹⁹"), =HYPERLINK("CSG13.html#group48R13", "48R¹³"), =HYPERLINK("CSG3.html#group24E3", "24E³"), =HYPERLINK("CSG7.html#group27F7", "27F⁷"), =HYPERLINK("CSG12.html#group75D12", "75D¹²"), =HYPERLINK("CSG13.html#group20D13", "20D¹³"), =HYPERLINK("CSG0.html#group9A0", "9A⁰"), =HYPERLINK("CSG7.html#group40K7", "40K⁷"), =HYPERLINK("CSG13.html#group60AA13", "60AA¹³"), =HYPERLINK("CSG4.html#group24K4", "24K⁴"), =HYPERLINK("CSG19.html#group28B19", "28B¹⁹"), =HYPERLINK("CSG5.html#group42D5", "42D⁵"), =HYPERLINK("CSG21.html#group48BQ21", "48BQ²¹"), =HYPERLINK("CSG23.html#group104P23", "104P²³"), =HYPERLINK("CSG3.html#group20Q3", "20Q³"), =HYPERLINK("CSG23.html#group220B23", "220B²³"), =HYPERLINK("CSG17.html#group136B17", "136B¹⁷"), =HYPERLINK("CSG13.html#group231B13", "231B¹³"), =HYPERLINK("CSG3.html#group33C3", "33C³"), =HYPERLINK("CSG7.html#group32G7", "32G⁷"), =HYPERLINK("CSG1.html#group20E1", "20E¹"), =HYPERLINK("CSG15.html#group182A15", "182A¹⁵"), =HYPERLINK("CSG14.html#group75B14", "75B¹⁴"), =HYPERLINK("CSG8.html#group70B8", "70B⁸"), =HYPERLINK("CSG9.html#group64F9", "64F⁹"), =HYPERLINK("CSG5.html#group28C5", "28C⁵"), =HYPERLINK("CSG5.html#group70B5", "70B⁵"), =HYPERLINK("CSG9.html#group80N9", "80N⁹"), =HYPERLINK("CSG3.html#group24M3", "24M³"), =HYPERLINK("CSG16.html#group48A16", "48A¹⁶"), =HYPERLINK("CSG23.html#group192J23", "192J²³"), =HYPERLINK("CSG22.html#group72C22", "72C²²"), =HYPERLINK("CSG7.html#group45D7", "45D⁷"), =HYPERLINK("CSG10.html#group84E10", "84E¹⁰"), =HYPERLINK("CSG11.html#group40E11", "40E¹¹"), =HYPERLINK("CSG7.html#group63A7", "63A⁷"), =HYPERLINK("CSG13.html#group35C13", "35C¹³"), =HYPERLINK("CSG13.html#group135E13", "135E¹³"), =HYPERLINK("CSG6.html#group48C6", "48C⁶"), =HYPERLINK("CSG20.html#group144E20", "144E²⁰"), =HYPERLINK("CSG4.html#group24M4", "24M⁴"), =HYPERLINK("CSG21.html#group48G21", "48G²¹"), =HYPERLINK("CSG13.html#group32P13", "32P¹³"), =HYPERLINK("CSG0.html#group9I0", "9I⁰"), =HYPERLINK("CSG19.html#group190A19", "190A¹⁹"), =HYPERLINK("CSG5.html#group88B5", "88B⁵"), =HYPERLINK("CSG7.html#group16D7", "16D⁷"), =HYPERLINK("CSG15.html#group80O15", "80O¹⁵"), =HYPERLINK("CSG11.html#group96I11", "96I¹¹"), =HYPERLINK("CSG3.html#group35A3", "35A³"), =HYPERLINK("CSG19.html#group176C19", "176C¹⁹"), =HYPERLINK("CSG16.html#group168A16", "168A¹⁶"), =HYPERLINK("CSG19.html#group119A19", "119A¹⁹"), =HYPERLINK("CSG11.html#group21B11", "21B¹¹"), =HYPERLINK("CSG9.html#group96A9", "96A⁹"), =HYPERLINK("CSG1.html#group12F1", "12F¹"), =HYPERLINK("CSG7.html#group90B7", "90B⁷"), =HYPERLINK("CSG19.html#group96K19", "96K¹⁹"), =HYPERLINK("CSG17.html#group80AD17", "80AD¹⁷"), =HYPERLINK("CSG21.html#group63B21", "63B²¹"), =HYPERLINK("CSG24.html#group270B24", "270B²⁴"), =HYPERLINK("CSG9.html#group60A9", "60A⁹"), =HYPERLINK("CSG19.html#group60B19", "60B¹⁹"), =HYPERLINK("CSG9.html#group40J9", "40J⁹"), =HYPERLINK("CSG16.html#group72N16", "72N¹⁶"), =HYPERLINK("CSG18.html#group120E18", "120E¹⁸"), =HYPERLINK("CSG8.html#group48AD8", "48AD⁸"), =HYPERLINK("CSG1.html#group21F1", "21F¹"), =HYPERLINK("CSG0.html#group8H0", "8H⁰"), =HYPERLINK("CSG22.html#group168D22", "168D²²"), =HYPERLINK("CSG8.html#group72I8", "72I⁸"), =HYPERLINK("CSG2.html#group18B2", "18B²"), =HYPERLINK("CSG5.html#group40H5", "40H⁵"), =HYPERLINK("CSG10.html#group114C10", "114C¹⁰"), =HYPERLINK("CSG19.html#group140H19", "140H¹⁹"), =HYPERLINK("CSG15.html#group90F15", "90F¹⁵"), =HYPERLINK("CSG11.html#group96F11", "96F¹¹"), =HYPERLINK("CSG15.html#group132D15", "132D¹⁵"), =HYPERLINK("CSG11.html#group48L11", "48L¹¹"), =HYPERLINK("CSG4.html#group35B4", "35B⁴"), =HYPERLINK("CSG23.html#group32F23", "32F²³"), =HYPERLINK("CSG19.html#group63D19", "63D¹⁹"), =HYPERLINK("CSG22.html#group72H22", "72H²²"), =HYPERLINK("CSG5.html#group73A5", "73A⁵"), =HYPERLINK("CSG17.html#group171C17", "171C¹⁷"), =HYPERLINK("CSG3.html#group24AB3", "24AB³"), =HYPERLINK("CSG6.html#group75A6", "75A⁶"), =HYPERLINK("CSG4.html#group24L4", "24L⁴"), =HYPERLINK("CSG17.html#group90H17", "90H¹⁷"), =HYPERLINK("CSG13.html#group36R13", "36R¹³"), =HYPERLINK("CSG19.html#group24P19", "24P¹⁹"), =HYPERLINK("CSG14.html#group173A14", "173A¹⁴"), =HYPERLINK("CSG6.html#group100A6", "100A⁶"), =HYPERLINK("CSG19.html#group78E19", "78E¹⁹"), =HYPERLINK("CSG9.html#group60J9", "60J⁹"), =HYPERLINK("CSG2.html#group29A2", "29A²"), =HYPERLINK("CSG6.html#group35D6", "35D⁶"), =HYPERLINK("CSG6.html#group63B6", "63B⁶"), =HYPERLINK("CSG17.html#group153A17", "153A¹⁷"), =HYPERLINK("CSG19.html#group72C19", "72C¹⁹"), =HYPERLINK("CSG23.html#group180K23", "180K²³"), =HYPERLINK("CSG17.html#group114A17", "114A¹⁷"), =HYPERLINK("CSG4.html#group30A4", "30A⁴"), =HYPERLINK("CSG8.html#group94A8", "94A⁸"), =HYPERLINK("CSG21.html#group48R21", "48R²¹"), =HYPERLINK("CSG1.html#group10D1", "10D¹"), =HYPERLINK("CSG1.html#group20H1", "20H¹"), =HYPERLINK("CSG5.html#group30O5", "30O⁵"), =HYPERLINK("CSG23.html#group39A23", "39A²³"), =HYPERLINK("CSG13.html#group100F13", "100F¹³"), =HYPERLINK("CSG23.html#group104O23", "104O²³"), =HYPERLINK("CSG3.html#group60A3", "60A³"), =HYPERLINK("CSG14.html#group105D14", "105D¹⁴"), =HYPERLINK("CSG9.html#group35B9", "35B⁹"), =HYPERLINK("CSG22.html#group48D22", "48D²²"), =HYPERLINK("CSG24.html#group279A24", "279A²⁴"), =HYPERLINK("CSG23.html#group42B23", "42B²³"), =HYPERLINK("CSG19.html#group36S19", "36S¹⁹"), =HYPERLINK("CSG18.html#group80E18", "80E¹⁸"), =HYPERLINK("CSG17.html#group70I17", "70I¹⁷"), =HYPERLINK("CSG14.html#group35D14", "35D¹⁴"), =HYPERLINK("CSG21.html#group105D21", "105D²¹"), =HYPERLINK("CSG19.html#group175D19", "175D¹⁹"), =HYPERLINK("CSG11.html#group60Q11", "60Q¹¹"), =HYPERLINK("CSG8.html#group18B8", "18B⁸"), =HYPERLINK("CSG5.html#group65A5", "65A⁵"), =HYPERLINK("CSG19.html#group200J19", "200J¹⁹"), =HYPERLINK("CSG11.html#group84A11", "84A¹¹"), =HYPERLINK("CSG17.html#group24AC17", "24AC¹⁷"), =HYPERLINK("CSG21.html#group180H21", "180H²¹"), =HYPERLINK("CSG0.html#group5G0", "5G⁰"), =HYPERLINK("CSG13.html#group32F13", "32F¹³"), =HYPERLINK("CSG1.html#group12G1", "12G¹"), =HYPERLINK("CSG4.html#group36J4", "36J⁴"), =HYPERLINK("CSG21.html#group78B21", "78B²¹"), =HYPERLINK("CSG17.html#group90L17", "90L¹⁷"), =HYPERLINK("CSG13.html#group23B13", "23B¹³"), =HYPERLINK("CSG23.html#group144A23", "144A²³"), =HYPERLINK("CSG6.html#group63F6", "63F⁶"), =HYPERLINK("CSG19.html#group27F19", "27F¹⁹"), =HYPERLINK("CSG6.html#group54B6", "54B⁶"), =HYPERLINK("CSG19.html#group48K19", "48K¹⁹"), =HYPERLINK("CSG23.html#group253A23", "253A²³"), =HYPERLINK("CSG15.html#group66A15", "66A¹⁵"), =HYPERLINK("CSG14.html#group150A14", "150A¹⁴"), =HYPERLINK("CSG11.html#group104E11", "104E¹¹"), =HYPERLINK("CSG17.html#group48CJ17", "48CJ¹⁷"), =HYPERLINK("CSG17.html#group24Q17", "24Q¹⁷"), =HYPERLINK("CSG15.html#group80M15", "80M¹⁵"), =HYPERLINK("CSG22.html#group64A22", "64A²²"), =HYPERLINK("CSG10.html#group37A10", "37A¹⁰"), =HYPERLINK("CSG22.html#group176A22", "176A²²"), =HYPERLINK("CSG21.html#group192E21", "192E²¹"), =HYPERLINK("CSG12.html#group42G12", "42G¹²"), =HYPERLINK("CSG17.html#group48CI17", "48CI¹⁷"), =HYPERLINK("CSG9.html#group24D9", "24D⁹"), =HYPERLINK("CSG21.html#group50E21", "50E²¹"), =HYPERLINK("CSG17.html#group126I17", "126I¹⁷"), =HYPERLINK("CSG21.html#group24H21", "24H²¹"), =HYPERLINK("CSG21.html#group48BG21", "48BG²¹"), =HYPERLINK("CSG17.html#group48AF17", "48AF¹⁷"), =HYPERLINK("CSG19.html#group192D19", "192D¹⁹"), =HYPERLINK("CSG11.html#group112B11", "112B¹¹"), =HYPERLINK("CSG6.html#group36C6", "36C⁶"), =HYPERLINK("CSG8.html#group72D8", "72D⁸"), =HYPERLINK("CSG19.html#group24Q19", "24Q¹⁹"), =HYPERLINK("CSG3.html#group24Y3", "24Y³"), =HYPERLINK("CSG9.html#group64A9", "64A⁹"), =HYPERLINK("CSG13.html#group50C13", "50C¹³"), =HYPERLINK("CSG11.html#group28B11", "28B¹¹"), =HYPERLINK("CSG21.ht</f>
        <v/>
      </c>
    </row>
    <row r="3">
      <c r="A3" t="inlineStr">
        <is>
          <t>2A⁰</t>
        </is>
      </c>
      <c r="B3" t="inlineStr">
        <is>
          <t>Γ²</t>
        </is>
      </c>
      <c r="C3" t="inlineStr">
        <is>
          <t>2</t>
        </is>
      </c>
      <c r="D3" t="inlineStr">
        <is>
          <t>1</t>
        </is>
      </c>
      <c r="E3" t="inlineStr">
        <is>
          <t>1</t>
        </is>
      </c>
      <c r="F3" t="inlineStr">
        <is>
          <t>0</t>
        </is>
      </c>
      <c r="G3" t="inlineStr">
        <is>
          <t>2</t>
        </is>
      </c>
      <c r="H3" t="inlineStr">
        <is>
          <t>2¹</t>
        </is>
      </c>
      <c r="I3" t="n">
        <v>1</v>
      </c>
      <c r="J3" t="inlineStr">
        <is>
          <t>1¹</t>
        </is>
      </c>
      <c r="K3">
        <f>HYPERLINK("CSG0.html#group1A0", "1A⁰")</f>
        <v/>
      </c>
      <c r="L3">
        <f>HYPERLINK("CSG0.html#group2C0", "2C⁰"), =HYPERLINK("CSG0.html#group4D0", "4D⁰"), =HYPERLINK("CSG0.html#group6A0", "6A⁰"), =HYPERLINK("CSG0.html#group6C0", "6C⁰"), =HYPERLINK("CSG0.html#group10A0", "10A⁰"), =HYPERLINK("CSG0.html#group14B0", "14B⁰"), =HYPERLINK("CSG1.html#group6A1", "6A¹"), =HYPERLINK("CSG1.html#group10A1", "10A¹"), =HYPERLINK("CSG1.html#group10C1", "10C¹"), =HYPERLINK("CSG1.html#group14A1", "14A¹"), =HYPERLINK("CSG1.html#group22A1", "22A¹"), =HYPERLINK("CSG1.html#group26A1", "26A¹"), =HYPERLINK("CSG2.html#group18J2", "18J²"), =HYPERLINK("CSG2.html#group22A2", "22A²"), =HYPERLINK("CSG2.html#group38A2", "38A²"), =HYPERLINK("CSG3.html#group34B3", "34B³"), =HYPERLINK("CSG4.html#group46A4", "46A⁴"), =HYPERLINK("CSG4.html#group62A4", "62A⁴"), =HYPERLINK("CSG5.html#group58A5", "58A⁵"), =HYPERLINK("CSG5.html#group74A5", "74A⁵"), =HYPERLINK("CSG6.html#group86A6", "86A⁶"), =HYPERLINK("CSG7.html#group22A7", "22A⁷"), =HYPERLINK("CSG7.html#group38A7", "38A⁷"), =HYPERLINK("CSG7.html#group82B7", "82B⁷"), =HYPERLINK("CSG8.html#group94A8", "94A⁸"), =HYPERLINK("CSG9.html#group106A9", "106A⁹"), =HYPERLINK("CSG9.html#group122A9", "122A⁹"), =HYPERLINK("CSG10.html#group26A10", "26A¹⁰"), =HYPERLINK("CSG10.html#group118A10", "118A¹⁰"), =HYPERLINK("CSG10.html#group134A10", "134A¹⁰"), =HYPERLINK("CSG11.html#group26A11", "26A¹¹"), =HYPERLINK("CSG11.html#group146B11", "146B¹¹"), =HYPERLINK("CSG12.html#group26A12", "26A¹²"), =HYPERLINK("CSG12.html#group142A12", "142A¹²"), =HYPERLINK("CSG12.html#group158A12", "158A¹²"), =HYPERLINK("CSG13.html#group34A13", "34A¹³"), =HYPERLINK("CSG13.html#group34B13", "34B¹³"), =HYPERLINK("CSG14.html#group166A14", "166A¹⁴"), =HYPERLINK("CSG15.html#group178B15", "178B¹⁵"), =HYPERLINK("CSG15.html#group194B15", "194B¹⁵"), =HYPERLINK("CSG16.html#group206A16", "206A¹⁶"), =HYPERLINK("CSG17.html#group202A17", "202A¹⁷"), =HYPERLINK("CSG17.html#group218A17", "218A¹⁷"), =HYPERLINK("CSG18.html#group214A18", "214A¹⁸"), =HYPERLINK("CSG19.html#group34A19", "34A¹⁹"), =HYPERLINK("CSG19.html#group226B19", "226B¹⁹"), =HYPERLINK("CSG20.html#group254A20", "254A²⁰"), =HYPERLINK("CSG22.html#group34A22", "34A²²"), =HYPERLINK("CSG22.html#group262A22", "262A²²"), =HYPERLINK("CSG22.html#group278A22", "278A²²"), =HYPERLINK("CSG23.html#group274B23", "274B²³"), =HYPERLINK("CSG24.html#group302A24", "302A²⁴")</f>
        <v/>
      </c>
      <c r="M3">
        <f>HYPERLINK("CSG0.html#group1A0", "1A⁰")</f>
        <v/>
      </c>
      <c r="N3">
        <f>HYPERLINK("CSG22.html#group90K22", "90K²²"), =HYPERLINK("CSG22.html#group198B22", "198B²²"), =HYPERLINK("CSG11.html#group16A11", "16A¹¹"), =HYPERLINK("CSG22.html#group114A22", "114A²²"), =HYPERLINK("CSG7.html#group42F7", "42F⁷"), =HYPERLINK("CSG23.html#group140C23", "140C²³"), =HYPERLINK("CSG2.html#group14D2", "14D²"), =HYPERLINK("CSG13.html#group54P13", "54P¹³"), =HYPERLINK("CSG11.html#group72K11", "72K¹¹"), =HYPERLINK("CSG23.html#group50B23", "50B²³"), =HYPERLINK("CSG23.html#group120C23", "120C²³"), =HYPERLINK("CSG24.html#group56G24", "56G²⁴"), =HYPERLINK("CSG12.html#group56H12", "56H¹²"), =HYPERLINK("CSG23.html#group210J23", "210J²³"), =HYPERLINK("CSG16.html#group78D16", "78D¹⁶"), =HYPERLINK("CSG13.html#group126F13", "126F¹³"), =HYPERLINK("CSG21.html#group28L21", "28L²¹"), =HYPERLINK("CSG15.html#group80A15", "80A¹⁵"), =HYPERLINK("CSG3.html#group18B3", "18B³"), =HYPERLINK("CSG21.html#group80C21", "80C²¹"), =HYPERLINK("CSG22.html#group54H22", "54H²²"), =HYPERLINK("CSG23.html#group204B23", "204B²³"), =HYPERLINK("CSG19.html#group100K19", "100K¹⁹"), =HYPERLINK("CSG9.html#group24AC9", "24AC⁹"), =HYPERLINK("CSG9.html#group78A9", "78A⁹"), =HYPERLINK("CSG4.html#group46A4", "46A⁴"), =HYPERLINK("CSG17.html#group24AO17", "24AO¹⁷"), =HYPERLINK("CSG18.html#group60B18", "60B¹⁸"), =HYPERLINK("CSG5.html#group26A5", "26A⁵"), =HYPERLINK("CSG7.html#group24AF7", "24AF⁷"), =HYPERLINK("CSG23.html#group84J23", "84J²³"), =HYPERLINK("CSG7.html#group18H7", "18H⁷"), =HYPERLINK("CSG21.html#group32G21", "32G²¹"), =HYPERLINK("CSG13.html#group30P13", "30P¹³"), =HYPERLINK("CSG15.html#group36C15", "36C¹⁵"), =HYPERLINK("CSG11.html#group24D11", "24D¹¹"), =HYPERLINK("CSG6.html#group24C6", "24C⁶"), =HYPERLINK("CSG21.html#group50C21", "50C²¹"), =HYPERLINK("CSG13.html#group126E13", "126E¹³"), =HYPERLINK("CSG15.html#group178B15", "178B¹⁵"), =HYPERLINK("CSG19.html#group78B19", "78B¹⁹"), =HYPERLINK("CSG15.html#group40U15", "40U¹⁵"), =HYPERLINK("CSG21.html#group48CD21", "48CD²¹"), =HYPERLINK("CSG15.html#group24I15", "24I¹⁵"), =HYPERLINK("CSG15.html#group92A15", "92A¹⁵"), =HYPERLINK("CSG11.html#group48A11", "48A¹¹"), =HYPERLINK("CSG7.html#group30F7", "30F⁷"), =HYPERLINK("CSG5.html#group50E5", "50E⁵"), =HYPERLINK("CSG0.html#group16F0", "16F⁰"), =HYPERLINK("CSG19.html#group116A19", "116A¹⁹"), =HYPERLINK("CSG12.html#group132A12", "132A¹²"), =HYPERLINK("CSG24.html#group112B24", "112B²⁴"), =HYPERLINK("CSG19.html#group36D19", "36D¹⁹"), =HYPERLINK("CSG3.html#group20I3", "20I³"), =HYPERLINK("CSG23.html#group136A23", "136A²³"), =HYPERLINK("CSG21.html#group90H21", "90H²¹"), =HYPERLINK("CSG21.html#group126E21", "126E²¹"), =HYPERLINK("CSG10.html#group18C10", "18C¹⁰"), =HYPERLINK("CSG9.html#group16D9", "16D⁹"), =HYPERLINK("CSG15.html#group20F15", "20F¹⁵"), =HYPERLINK("CSG23.html#group126J23", "126J²³"), =HYPERLINK("CSG16.html#group72I16", "72I¹⁶"), =HYPERLINK("CSG24.html#group56D24", "56D²⁴"), =HYPERLINK("CSG19.html#group42O19", "42O¹⁹"), =HYPERLINK("CSG7.html#group30K7", "30K⁷"), =HYPERLINK("CSG11.html#group72L11", "72L¹¹"), =HYPERLINK("CSG13.html#group84K13", "84K¹³"), =HYPERLINK("CSG10.html#group18B10", "18B¹⁰"), =HYPERLINK("CSG4.html#group28D4", "28D⁴"), =HYPERLINK("CSG19.html#group24B19", "24B¹⁹"), =HYPERLINK("CSG11.html#group78D11", "78D¹¹"), =HYPERLINK("CSG9.html#group28G9", "28G⁹"), =HYPERLINK("CSG19.html#group48AW19", "48AW¹⁹"), =HYPERLINK("CSG22.html#group36K22", "36K²²"), =HYPERLINK("CSG23.html#group84H23", "84H²³"), =HYPERLINK("CSG13.html#group12A13", "12A¹³"), =HYPERLINK("CSG15.html#group24D15", "24D¹⁵"), =HYPERLINK("CSG6.html#group20C6", "20C⁶"), =HYPERLINK("CSG23.html#group78B23", "78B²³"), =HYPERLINK("CSG16.html#group162A16", "162A¹⁶"), =HYPERLINK("CSG21.html#group48BR21", "48BR²¹"), =HYPERLINK("CSG13.html#group30H13", "30H¹³"), =HYPERLINK("CSG5.html#group42I5", "42I⁵"), =HYPERLINK("CSG4.html#group10A4", "10A⁴"), =HYPERLINK("CSG23.html#group120H23", "120H²³"), =HYPERLINK("CSG3.html#group20C3", "20C³"), =HYPERLINK("CSG21.html#group64A21", "64A²¹"), =HYPERLINK("CSG15.html#group90A15", "90A¹⁵"), =HYPERLINK("CSG21.html#group64E21", "64E²¹"), =HYPERLINK("CSG2.html#group18A2", "18A²"), =HYPERLINK("CSG24.html#group252F24", "252F²⁴"), =HYPERLINK("CSG12.html#group132C12", "132C¹²"), =HYPERLINK("CSG21.html#group96BD21", "96BD²¹"), =HYPERLINK("CSG10.html#group134A10", "134A¹⁰"), =HYPERLINK("CSG23.html#group286A23", "286A²³"), =HYPERLINK("CSG23.html#group84I23", "84I²³"), =HYPERLINK("CSG16.html#group210G16", "210G¹⁶"), =HYPERLINK("CSG8.html#group36H8", "36H⁸"), =HYPERLINK("CSG21.html#group246C21", "246C²¹"), =HYPERLINK("CSG17.html#group30H17", "30H¹⁷"), =HYPERLINK("CSG23.html#group42D23", "42D²³"), =HYPERLINK("CSG17.html#group34A17", "34A¹⁷"), =HYPERLINK("CSG5.html#group24Q5", "24Q⁵"), =HYPERLINK("CSG15.html#group24E15", "24E¹⁵"), =HYPERLINK("CSG13.html#group24AC13", "24AC¹³"), =HYPERLINK("CSG13.html#group18D13", "18D¹³"), =HYPERLINK("CSG11.html#group64A11", "64A¹¹"), =HYPERLINK("CSG21.html#group28K21", "28K²¹"), =HYPERLINK("CSG19.html#group48H19", "48H¹⁹"), =HYPERLINK("CSG4.html#group18C4", "18C⁴"), =HYPERLINK("CSG17.html#group60A17", "60A¹⁷"), =HYPERLINK("CSG0.html#group16G0", "16G⁰"), =HYPERLINK("CSG11.html#group48M11", "48M¹¹"), =HYPERLINK("CSG5.html#group10A5", "10A⁵"), =HYPERLINK("CSG15.html#group88B15", "88B¹⁵"), =HYPERLINK("CSG16.html#group84K16", "84K¹⁶"), =HYPERLINK("CSG5.html#group32N5", "32N⁵"), =HYPERLINK("CSG11.html#group110A11", "110A¹¹"), =HYPERLINK("CSG1.html#group6C1", "6C¹"), =HYPERLINK("CSG23.html#group250A23", "250A²³"), =HYPERLINK("CSG15.html#group40V15", "40V¹⁵"), =HYPERLINK("CSG19.html#group70B19", "70B¹⁹"), =HYPERLINK("CSG23.html#group198E23", "198E²³"), =HYPERLINK("CSG3.html#group30G3", "30G³"), =HYPERLINK("CSG1.html#group8J1", "8J¹"), =HYPERLINK("CSG8.html#group60E8", "60E⁸"), =HYPERLINK("CSG17.html#group24AP17", "24AP¹⁷"), =HYPERLINK("CSG21.html#group72M21", "72M²¹"), =HYPERLINK("CSG13.html#group30E13", "30E¹³"), =HYPERLINK("CSG18.html#group214A18", "214A¹⁸"), =HYPERLINK("CSG21.html#group48Y21", "48Y²¹"), =HYPERLINK("CSG4.html#group28A4", "28A⁴"), =HYPERLINK("CSG23.html#group50A23", "50A²³"), =HYPERLINK("CSG22.html#group90C22", "90C²²"), =HYPERLINK("CSG22.html#group36M22", "36M²²"), =HYPERLINK("CSG13.html#group32E13", "32E¹³"), =HYPERLINK("CSG9.html#group30I9", "30I⁹"), =HYPERLINK("CSG9.html#group36M9", "36M⁹"), =HYPERLINK("CSG17.html#group74B17", "74B¹⁷"), =HYPERLINK("CSG13.html#group78G13", "78G¹³"), =HYPERLINK("CSG15.html#group48K15", "48K¹⁵"), =HYPERLINK("CSG23.html#group234B23", "234B²³"), =HYPERLINK("CSG17.html#group108E17", "108E¹⁷"), =HYPERLINK("CSG15.html#group150H15", "150H¹⁵"), =HYPERLINK("CSG13.html#group64V13", "64V¹³"), =HYPERLINK("CSG23.html#group140A23", "140A²³"), =HYPERLINK("CSG23.html#group210G23", "210G²³"), =HYPERLINK("CSG17.html#group40C17", "40C¹⁷"), =HYPERLINK("CSG0.html#group8E0", "8E⁰"), =HYPERLINK("CSG19.html#group48BT19", "48BT¹⁹"), =HYPERLINK("CSG9.html#group58A9", "58A⁹"), =HYPERLINK("CSG1.html#group12P1", "12P¹"), =HYPERLINK("CSG21.html#group42D21", "42D²¹"), =HYPERLINK("CSG15.html#group180A15", "180A¹⁵"), =HYPERLINK("CSG21.html#group70C21", "70C²¹"), =HYPERLINK("CSG15.html#group24J15", "24J¹⁵"), =HYPERLINK("CSG17.html#group28E17", "28E¹⁷"), =HYPERLINK("CSG13.html#group32H13", "32H¹³"), =HYPERLINK("CSG21.html#group48AJ21", "48AJ²¹"), =HYPERLINK("CSG3.html#group10B3", "10B³"), =HYPERLINK("CSG9.html#group122A9", "122A⁹"), =HYPERLINK("CSG21.html#group22A21", "22A²¹"), =HYPERLINK("CSG11.html#group66C11", "66C¹¹"), =HYPERLINK("CSG8.html#group108B8", "108B⁸"), =HYPERLINK("CSG19.html#group100Q19", "100Q¹⁹"), =HYPERLINK("CSG11.html#group68B11", "68B¹¹"), =HYPERLINK("CSG19.html#group60E19", "60E¹⁹"), =HYPERLINK("CSG7.html#group30G7", "30G⁷"), =HYPERLINK("CSG23.html#group96I23", "96I²³"), =HYPERLINK("CSG24.html#group90H24", "90H²⁴"), =HYPERLINK("CSG19.html#group156E19", "156E¹⁹"), =HYPERLINK("CSG17.html#group48D17", "48D¹⁷"), =HYPERLINK("CSG9.html#group26A9", "26A⁹"), =HYPERLINK("CSG12.html#group26A12", "26A¹²"), =HYPERLINK("CSG21.html#group26A21", "26A²¹"), =HYPERLINK("CSG3.html#group26A3", "26A³"), =HYPERLINK("CSG7.html#group42B7", "42B⁷"), =HYPERLINK("CSG7.html#group24AH7", "24AH⁷"), =HYPERLINK("CSG21.html#group108E21", "108E²¹"), =HYPERLINK("CSG19.html#group36B19", "36B¹⁹"), =HYPERLINK("CSG7.html#group18C7", "18C⁷"), =HYPERLINK("CSG11.html#group18B11", "18B¹¹"), =HYPERLINK("CSG19.html#group150E19", "150E¹⁹"), =HYPERLINK("CSG16.html#group90A16", "90A¹⁶"), =HYPERLINK("CSG10.html#group42C10", "42C¹⁰"), =HYPERLINK("CSG5.html#group30B5", "30B⁵"), =HYPERLINK("CSG12.html#group154C12", "154C¹²"), =HYPERLINK("CSG19.html#group70A19", "70A¹⁹"), =HYPERLINK("CSG1.html#group36B1", "36B¹"), =HYPERLINK("CSG10.html#group90B10", "90B¹⁰"), =HYPERLINK("CSG21.html#group210A21", "210A²¹"), =HYPERLINK("CSG17.html#group180A17", "180A¹⁷"), =HYPERLINK("CSG1.html#group16M1", "16M¹"), =HYPERLINK("CSG19.html#group42G19", "42G¹⁹"), =HYPERLINK("CSG19.html#group42K19", "42K¹⁹"), =HYPERLINK("CSG0.html#group36A0", "36A⁰"), =HYPERLINK("CSG7.html#group18N7", "18N⁷"), =HYPERLINK("CSG17.html#group24V17", "24V¹⁷"), =HYPERLINK("CSG9.html#group90F9", "90F⁹"), =HYPERLINK("CSG13.html#group48B13", "48B¹³"), =HYPERLINK("CSG23.html#group28B23", "28B²³"), =HYPERLINK("CSG7.html#group10A7", "10A⁷"), =HYPERLINK("CSG13.html#group24B13", "24B¹³"), =HYPERLINK("CSG21.html#group84A21", "84A²¹"), =HYPERLINK("CSG21.html#group72N21", "72N²¹"), =HYPERLINK("CSG5.html#group30N5", "30N⁵"), =HYPERLINK("CSG1.html#group18K1", "18K¹"), =HYPERLINK("CSG17.html#group98B17", "98B¹⁷"), =HYPERLINK("CSG17.html#group40U17", "40U¹⁷"), =HYPERLINK("CSG24.html#group310A24", "310A²⁴"), =HYPERLINK("CSG19.html#group72D19", "72D¹⁹"), =HYPERLINK("CSG23.html#group96F23", "96F²³"), =HYPERLINK("CSG16.html#group54J16", "54J¹⁶"), =HYPERLINK("CSG17.html#group36F17", "36F¹⁷"), =HYPERLINK("CSG21.html#group16C21", "16C²¹"), =HYPERLINK("CSG24.html#group78A24", "78A²⁴"), =HYPERLINK("CSG23.html#group104C23", "104C²³"), =HYPERLINK("CSG5.html#group24I5", "24I⁵"), =HYPERLINK("CSG15.html#group180B15", "180B¹⁵"), =HYPERLINK("CSG22.html#group96C22", "96C²²"), =HYPERLINK("CSG20.html#group84C20", "84C²⁰"), =HYPERLINK("CSG19.html#group78A19", "78A¹⁹"), =HYPERLINK("CSG19.html#group78C19", "78C¹⁹"), =HYPERLINK("CSG22.html#group84H22", "84H²²"), =HYPERLINK("CSG7.html#group30D7", "30D⁷"), =HYPERLINK("CSG5.html#group16A5", "16A⁵"), =HYPERLINK("CSG13.html#group70C13", "70C¹³"), =HYPERLINK("CSG15.html#group150D15", "150D¹⁵"), =HYPERLINK("CSG21.html#group48CQ21", "48CQ²¹"), =HYPERLINK("CSG15.html#group52A15", "52A¹⁵"), =HYPERLINK("CSG23.html#group156G23", "156G²³"), =HYPERLINK("CSG12.html#group180A12", "180A¹²"), =HYPERLINK("CSG13.html#group72A13", "72A¹³"), =HYPERLINK("CSG1.html#group18D1", "18D¹"), =HYPERLINK("CSG21.html#group76A21", "76A²¹"), =HYPERLINK("CSG20.html#group132A20", "132A²⁰"), =HYPERLINK("CSG17.html#group60T17", "60T¹⁷"), =HYPERLINK("CSG9.html#group32C9", "32C⁹"), =HYPERLINK("CSG2.html#group38A2", "38A²"), =HYPERLINK("CSG11.html#group20B11", "20B¹¹"), =HYPERLINK("CSG21.html#group36B21", "36B²¹"), =HYPERLINK("CSG3.html#group14B3", "14B³"), =HYPERLINK("CSG14.html#group84B14", "84B¹⁴"), =HYPERLINK("CSG7.html#group18E7", "18E⁷"), =HYPERLINK("CSG6.html#group54A6", "54A⁶"), =HYPERLINK("CSG15.html#group132B15", "132B¹⁵"), =HYPERLINK("CSG13.html#group30F13", "30F¹³"), =HYPERLINK("CSG21.html#group88A21", "88A²¹"), =HYPERLINK("CSG8.html#group90D8", "90D⁸"), =HYPERLINK("CSG19.html#group96BC19", "96BC¹⁹"), =HYPERLINK("CSG21.html#group40C21", "40C²¹"), =HYPERLINK("CSG6.html#group36A6", "36A⁶"), =HYPERLINK("CSG21.html#group88C21", "88C²¹"), =HYPERLINK("CSG17.html#group16B17", "16B¹⁷"), =HYPERLINK("CSG6.html#group44A6", "44A⁶"), =HYPERLINK("CSG9.html#group16F9", "16F⁹"), =HYPERLINK("CSG21.html#group48O21", "48O²¹"), =HYPERLINK("CSG17.html#group60B17", "60B¹⁷"), =HYPERLINK("CSG3.html#group42E3", "42E³"), =HYPERLINK("CSG22.html#group96A22", "96A²²"), =HYPERLINK("CSG9.html#group36B9", "36B⁹"), =HYPERLINK("CSG13.html#group24O13", "24O¹³"), =HYPERLINK("CSG4.html#group18E4", "18E⁴"), =HYPERLINK("CSG8.html#group84B8", "84B⁸"), =HYPERLINK("CSG11.html#group28G11", "28G¹¹"), =HYPERLINK("CSG24.html#group330C24", "330C²⁴"), =HYPERLINK("CSG13.html#group54I13", "54I¹³"), =HYPERLINK("CSG17.html#group170B17", "170B¹⁷"), =HYPERLINK("CSG14.html#group186A14", "186A¹⁴"), =HYPERLINK("CSG21.html#group126F21", "126F²¹"), =HYPERLINK("CSG21.html#group48AK21", "48AK²¹"), =HYPERLINK("CSG23.html#group96E23", "96E²³"), =HYPERLINK("CSG17.html#group72M17", "72M¹⁷"), =HYPERLINK("CSG17.html#group24J17", "24J¹⁷"), =HYPERLINK("CSG15.html#group40W15", "40W¹⁵"), =HYPERLINK("CSG13.html#group54N13", "54N¹³"), =HYPERLINK("CSG15.html#group138B15", "138B¹⁵"), =HYPERLINK("CSG4.html#group18H4", "18H⁴"), =HYPERLINK("CSG21.html#group92A21", "92A²¹"), =HYPERLINK("CSG10.html#group108A10", "108A¹⁰"), =HYPERLINK("CSG19.html#group48O19", "48O¹⁹"), =HYPERLINK("CSG7.html#group18O7", "18O⁷"), =HYPERLINK("CSG21.html#group48CH21", "48CH²¹"), =HYPERLINK("CSG23.html#group120G23", "120G²³"), =HYPERLINK("CSG10.html#group36A10", "36A¹⁰"), =HYPERLINK("CSG19.html#group100J19", "100J¹⁹"), =HYPERLINK("CSG11.html#group60I11", "60I¹¹"), =HYPERLINK("CSG8.html#group48C8", "48C⁸"), =HYPERLINK("CSG9.html#group34A9", "34A⁹"), =HYPERLINK("CSG9.html#group24C9", "24C⁹"), =HYPERLINK("CSG18.html#group48G18", "48G¹⁸"), =HYPERLINK("CSG23.html#group132C23", "132C²³"), =HYPERLINK("CSG19.html#group70G19", "70G¹⁹"), =HYPERLINK("CSG23.html#group180F23", "180F²³"), =HYPERLINK("CSG23.html#group152A23", "152A²³"), =HYPERLINK("CSG19.html#group88B19", "88B¹⁹"), =HYPERLINK("CSG23.html#group26C23", "26C²³"), =HYPERLINK("CSG7.html#group22A7", "22A⁷"), =HYPERLINK("CSG13.html#group48AG13", "48AG¹³"), =HYPERLINK("CSG5.html#group18A5", "18A⁵"), =HYPERLINK("CSG21.html#group60R21", "60R²¹"), =HYPERLINK("CSG21.html#group24E21", "24E²¹"), =HYPERLINK("CSG4.html#group14B4", "14B⁴"), =HYPERLINK("CSG1.html#group10A1", "10A¹"), =HYPERLINK("CSG17.html#group106A17", "106A¹⁷"), =HYPERLINK("CSG12.html#group28A12", "28A¹²"), =HYPERLINK("CSG5.html#group28I5", "28I⁵"), =HYPERLINK("CSG4.html#group18F4", "18F⁴"), =HYPERLINK("CSG21.html#group48CB21", "48CB²¹"), =HYPERLINK("CSG17.html#group72K17", "72K¹⁷"), =HYPERLINK("CSG22.html#group66C22", "66C²²"), =HYPERLINK("CSG15.html#group60AA15", "60AA¹⁵"), =HYPERLINK("CSG0.html#group10A0", "10A⁰"), =HYPERLINK("CSG2.html#group20D2", "20D²"), =HYPERLINK("CSG3.html#group18F3", "18F³"), =HYPERLINK("CSG23.html#group154A23", "154A²³"), =HYPERLINK("CSG2.html#group12A2", "12A²"), =HYPERLINK("CSG17.html#group24AR17", "24AR¹⁷"), =HYPERLINK("CSG6.html#group86A6", "86A⁶"), =HYPERLINK("CSG23.html#group120K23", "120K²³"), =HYPERLINK("CSG20.html#group86A20", "86A²⁰"), =HYPERLINK("CSG23.html#group96G23", "96G²³"), =HYPERLINK("CSG23.html#group96C23", "96C²³"), =HYPERLINK("CSG5.html#group50F5", "50F⁵"), =HYPERLINK("CSG17.html#group90B17", "90B¹⁷"), =HYPERLINK("CSG2.html#group16C2", "16C²"), =HYPERLINK("CSG3.html#group8A3", "8A³"), =HYPERLINK("CSG23.html#group84G23", "84G²³"), =HYPERLINK("CSG19.html#group88H19", "88H¹⁹"), =HYPERLINK("CSG24.html#group90F24", "90F²⁴"), =HYPERLINK("CSG8.html#group80E8", "80E⁸"), =HYPERLINK("CSG19.html#group18E19", "18E¹⁹"), =HYPERLINK("CSG8.html#group92A8", "92A⁸"), =HYPERLINK("CSG23.html#group78E23", "78E²³"), =HYPERLINK("CSG17.html#group24AS17", "24AS¹⁷"), =HYPERLINK("CSG3.html#group24G3", "24G³"), =HYPERLINK("CSG13.html#group54O13", "54O¹³"), =HYPERLINK("CSG4.html#group84B4", "84B⁴"), =HYPERLINK("CSG9.html#group108B9", "108B⁹"), =HYPERLINK("CSG7.html#group56G7", "56G⁷"), =HYPERLINK("CSG2.html#group8A2", "8A²"), =HYPERLINK("CSG5.html#group16B5", "16B⁵"), =HYPERLINK("CSG13.html#group54D13", "54D¹³"), =HYPERLINK("CSG9.html#group24U9", "24U⁹"), =HYPERLINK("CSG24.html#group294A24", "294A²⁴"), =HYPERLINK("CSG13.html#group40C13", "40C¹³"), =HYPERLINK("CSG20.html#group258A20", "258A²⁰"), =HYPERLINK("CSG21.html#group48AP21", "48AP²¹"), =HYPERLINK("CSG21.html#group70E21", "70E²¹"), =HYPERLINK("CSG3.html#group36J3", "36J³"), =HYPERLINK("CSG17.html#group24C17", "24C¹⁷"), =HYPERLINK("CSG19.html#group96H19", "96H¹⁹"), =HYPERLINK("CSG21.html#group96H21", "96H²¹"), =HYPERLINK("CSG7.html#group24AI7", "24AI⁷"), =HYPERLINK("CSG11.html#group60E11", "60E¹¹"), =HYPERLINK("CSG16.html#group28B16", "28B¹⁶"), =HYPERLINK("CSG19.html#group150H19", "150H¹⁹"), =HYPERLINK("CSG10.html#group48A10", "48A¹⁰"), =HYPERLINK("CSG19.html#group42Q19", "42Q¹⁹"), =HYPERLINK("CSG9.html#group36A9", "36A⁹"), =HYPERLINK("CSG7.html#group24AK7", "24AK⁷"), =HYPERLINK("CSG21.html#group96A21", "96A²¹"), =HYPERLINK("CSG5.html#group16M5", "16M⁵"), =HYPERLINK("CSG17.html#group36H17", "36H¹⁷"), =HYPERLINK("CSG13.html#group40K13", "40K¹³"), =HYPERLINK("CSG8.html#group90A8", "90A⁸"), =HYPERLINK("CSG9.html#group24AD9", "24AD⁹"), =HYPERLINK("CSG8.html#group36G8", "36G⁸"), =HYPERLINK("CSG10.html#group50A10", "50A¹⁰"), =HYPERLINK("CSG21.html#group24D21", "24D²¹"), =HYPERLINK("CSG9.html#group78C9", "78C⁹"), =HYPERLINK("CSG3.html#group36A3", "36A³"), =HYPERLINK("CSG8.html#group30A8", "30A⁸"), =HYPERLINK("CSG3.html#group24U3", "24U³"), =HYPERLINK("CSG21.html#group60T21", "60T²¹"), =HYPERLINK("CSG20.html#group220A20", "220A²⁰"), =HYPERLINK("CSG17.html#group48J17", "48J¹⁷"), =HYPERLINK("CSG13.html#group16B13", "16B¹³"), =HYPERLINK("CSG10.html#group18H10", "18H¹⁰"), =HYPERLINK("CSG5.html#group24H5", "24H⁵"), =HYPERLINK("CSG11.html#group20A11", "20A¹¹"), =HYPERLINK("CSG12.html#group42C12", "42C¹²"), =HYPERLINK("CSG11.html#group36D11", "36D¹¹"), =HYPERLINK("CSG13.html#group24G13", "24G¹³"), =HYPERLINK("CSG21.html#group66A21", "66A²¹"), =HYPERLINK("CSG21.html#group48F21", "48F²¹"), =HYPERLINK("CSG13.html#group40E13", "40E¹³"), =HYPERLINK("CSG6.html#group20A6", "20A⁶"), =HYPERLINK("CSG21.html#group48CE21", "48CE²¹"), =HYPERLINK("CSG3.html#group52B3", "52B³"), =HYPERLINK("CSG9.html#group48E9", "48E⁹"), =HYPERLINK("CSG21.html#group126G21", "126G²¹"), =HYPERLINK("CSG13.html#group26B13", "26B¹³"), =HYPERLINK("CSG17.html#group48K17", "48K¹⁷"), =HYPERLINK("CSG21.html#group198D21", "198D²¹"), =HYPERLINK("CSG21.html#group126T21", "126T²¹"), =HYPERLINK("CSG8.html#group40D8", "40D⁸"), =HYPERLINK("CSG6.html#group28D6", "28D⁶"), =HYPERLINK("CSG23.html#group230B23", "230B²³"), =HYPERLINK("CSG21.html#group126B21", "126B²¹"), =HYPERLINK("CSG11.html#group90C11", "90C¹¹"), =HYPERLINK("CSG21.html#group70G21", "70G²¹"), =HYPERLINK("CSG1.html#group16E1", "16E¹"), =HYPERLINK("CSG8.html#group60B8", "60B⁸"), =HYPERLINK("CSG23.html#group204A23", "204A²³"), =HYPERLINK("CSG15.html#group80B15", "80B¹⁵"), =HYPERLINK("CSG10.html#group90C10", "90C¹⁰"), =HYPERLINK("CSG7.html#group18D7", "18D⁷"), =HYPERLINK("CSG0.html#group6A0", "6A⁰"), =HYPERLINK("CSG9.html#group28F9", "28F⁹"), =HYPERLINK("CSG17.html#group24T17", "24T¹⁷"), =HYPERLINK("CSG13.html#group56G13", "56G¹³"), =HYPERLINK("CSG23.html#group72D23", "72D²³"), =HYPERLINK("CSG3.html#group54A3", "54A³"), =HYPERLINK("CSG9.html#group30D9", "30D⁹"), =HYPERLINK("CSG23.html#group96B23", "96B²³"), =HYPERLINK("CSG17.html#group30C17", "30C¹⁷"), =HYPERLINK("CSG16.html#group66B16", "66B¹⁶"), =HYPERLINK("CSG5.html#group78A5", "78A⁵"), =HYPERLINK("CSG13.html#group72B13", "72B¹³"), =HYPERLINK("CSG11.html#group54C11", "54C¹¹"), =HYPERLINK("CSG15.html#group80C15", "80C¹⁵"), =HYPERLINK("CSG12.html#group154A12", "154A¹²"), =HYPERLINK("CSG6.html#group30E6", "30E⁶"), =HYPERLINK("CSG21.html#group24F21", "24F²¹"), =HYPERLINK("CSG16.html#group210A16", "210A¹⁶"), =HYPERLINK("CSG21.html#group16A21", "16A²¹"), =HYPERLINK("CSG13.html#group54G13", "54G¹³"), =HYPERLINK("CSG9.html#group24AG9", "24AG⁹"), =HYPERLINK("CSG23.html#group56O23", "56O²³"), =HYPERLINK("CSG15.html#group98A15", "98A¹⁵"), =HYPERLINK("CSG21.html#group36F21", "36F²¹"), =HYPERLINK("CSG8.html#group36I8", "36I⁸"), =HYPERLINK("CSG21.html#group114A21", "114A²¹"), =HYPERLINK("CSG13.html#group24AB13", "24AB¹³"), =HYPERLINK("CSG18.html#group86A18", "86A¹⁸"), =HYPERLINK("CSG13.html#group54J13", "54J¹³"), =HYPERLINK("CSG19.html#group24F19", "24F¹⁹"), =HYPERLINK("CSG17.html#group90M17", "90M¹⁷"), =HYPERLINK("CSG23.html#group78H23", "78H²³"), =HYPERLINK("CSG17.html#group76A17", "76A¹⁷"), =HYPERLINK("CSG19.html#group60K19", "60K¹⁹"), =HYPERLINK("CSG10.html#group20A10", "20A¹⁰"), =HYPERLINK("CSG7.html#group48L7", "48L⁷"), =HYPERLINK("CSG5.html#group28E5", "28E⁵"), =HYPERLINK("CSG19.html#group20D19", "20D¹⁹"), =HYPERLINK("CSG23.html#group52B23", "52B²³"), =HYPERLINK("CSG23.html#group266B23", "266B²³"), =HYPERLINK("CSG0.html#group8G0", "8G⁰"), =HYPERLINK("CSG3.html#group42A3", "42A³"), =HYPERLINK("CSG15.html#group40X15", "40X¹⁵"), =HYPERLINK("CSG15.html#group24B15", "24B¹⁵"), =HYPERLINK("CSG21.html#group48AI21", "48AI²¹"), =HYPERLINK("CSG23.html#group222B23", "222B²³"), =HYPERLINK("CSG15.html#group68A15", "68A¹⁵"), =HYPERLINK("CSG16.html#group44A16", "44A¹⁶"), =HYPERLINK("CSG22.html#group40E22", "40E²²"), =HYPERLINK("CSG9.html#group24H9", "24H⁹"), =HYPERLINK("CSG10.html#group110A10", "110A¹⁰"), =HYPERLINK("CSG13.html#group36A13", "36A¹³"), =HYPERLINK("CSG24.html#group42A24", "42A²⁴"), =HYPERLINK("CSG23.html#group294A23", "294A²³"), =HYPERLINK("CSG14.html#group126B14", "126B¹⁴"), =HYPERLINK("CSG16.html#group54G16", "54G¹⁶"), =HYPERLINK("CSG5.html#group24AB5", "24AB⁵"), =HYPERLINK("CSG7.html#group16C7", "16C⁷"), =HYPERLINK("CSG13.html#group54R13", "54R¹³"), =HYPERLINK("CSG24.html#group56A24", "56A²⁴"), =HYPERLINK("CSG10.html#group48B10", "48B¹⁰"), =HYPERLINK("CSG16.html#group210B16", "210B¹⁶"), =HYPERLINK("CSG3.html#group54C3", "54C³"), =HYPERLINK("CSG23.html#group80B23", "80B²³"), =HYPERLINK("CSG10.html#group36D10", "36D¹⁰"), =HYPERLINK("CSG8.html#group60F8", "60F⁸"), =HYPERLINK("CSG14.html#group70E14", "70E¹⁴"), =HYPERLINK("CSG18.html#group198E18", "198E¹⁸"), =HYPERLINK("CSG21.html#group48E21", "48E²¹"), =HYPERLINK("CSG7.html#group70C7", "70C⁷"), =HYPERLINK("CSG4.html#group24E4", "24E⁴"), =HYPERLINK("CSG22.html#group108E22", "108E²²"), =HYPERLINK("CSG23.html#group148B23", "148B²³"), =HYPERLINK("CSG13.html#group32S13", "32S¹³"), =HYPERLINK("CSG19.html#group32A19", "32A¹⁹"), =HYPERLINK("CSG12.html#group108A12", "108A¹²"), =HYPERLINK("CSG11.html#group108B11", "108B¹¹"), =HYPERLINK("CSG9.html#group24AK9", "24AK⁹"), =HYPERLINK("CSG7.html#group24B7", "24B⁷"), =HYPERLINK("CSG13.html#group54E13", "54E¹³"), =HYPERLINK("CSG4.html#group18G4", "18G⁴"), =HYPERLINK("CSG13.html#group50B13", "50B¹³"), =HYPERLINK("CSG23.html#group104M23", "104M²³"), =HYPERLINK("CSG13.html#group24E13", "24E¹³"), =HYPERLINK("CSG8.html#group40A8", "40A⁸"), =HYPERLINK("CSG15.html#group64A15", "64A¹⁵"), =HYPERLINK("CSG5.html#group58A5", "58A⁵"), =HYPERLINK("CSG1.html#group14D1", "14D¹"), =HYPERLINK("CSG15.html#group132A15", "132A¹⁵"), =HYPERLINK("CSG14.html#group190A14", "190A¹⁴"), =HYPERLINK("CSG2.html#group24J2", "24J²"), =HYPERLINK("CSG21.html#group48AH21", "48AH²¹"), =HYPERLINK("CSG17.html#group48U17", "48U¹⁷"), =HYPERLINK("CSG8.html#group84A8", "84A⁸"), =HYPERLINK("CSG10.html#group42A10", "42A¹⁰"), =HYPERLINK("CSG4.html#group18N4", "18N⁴"), =HYPERLINK("CSG23.html#group72C23", "72C²³"), =HYPERLINK("CSG15.html#group84B15", "84B¹⁵"), =HYPERLINK("CSG2.html#group18N2", "18N²"), =HYPERLINK("CSG13.html#group60J13", "60J¹³"), =HYPERLINK("CSG16.html#group36F16", "36F¹⁶"), =HYPERLINK("CSG13.html#group42A13", "42A¹³"), =HYPERLINK("CSG6.html#group66B6", "66B⁶"), =HYPERLINK("CSG13.html#group18E13", "18E¹³"), =HYPERLINK("CSG6.html#group22A6", "22A⁶"), =HYPERLINK("CSG21.html#group80Q21", "80Q²¹"), =HYPERLINK("CSG24.html#group66B24", "66B²⁴"), =HYPERLINK("CSG11.html#group32A11", "32A¹¹"), =HYPERLINK("CSG3.html#group18I3", "18I³"), =HYPERLINK("CSG19.html#group36J19", "36J¹⁹"), =HYPERLINK("CSG16.html#group54O16", "54O¹⁶"), =HYPERLINK("CSG8.html#group84D8", "84D⁸"), =HYPERLINK("CSG5.html#group30J5", "30J⁵"), =HYPERLINK("CSG23.html#group126F23", "126F²³"), =HYPERLINK("CSG12.html#group56A12", "56A¹²"), =HYPERLINK("CSG13.html#group42C13", "42C¹³"), =HYPERLINK("CSG8.html#group24A8", "24A⁸"), =HYPERLINK("CSG23.html#group144V23", "144V²³"), =HYPERLINK("CSG7.html#group24V7", "24V⁷"), =HYPERLINK("CSG10.html#group18E10", "18E¹⁰"), =HYPERLINK("CSG0.html#group18B0", "18B⁰"), =HYPERLINK("CSG18.html#group48B18", "48B¹⁸"), =HYPERLINK("CSG17.html#group36I17", "36I¹⁷"), =HYPERLINK("CSG7.html#group24AG7", "24AG⁷"), =HYPERLINK("CSG18.html#group76A18", "76A¹⁸"), =HYPERLINK("CSG19.html#group108A19", "108A¹⁹"), =HYPERLINK("CSG6.html#group28E6", "28E⁶"), =HYPERLINK("CSG8.html#group36D8", "36D⁸"), =HYPERLINK("CSG13.html#group32G13", "32G¹³"), =HYPERLINK("CSG21.html#group56L21", "56L²¹"), =HYPERLINK("CSG10.html#group26A10", "26A¹⁰"), =HYPERLINK("CSG8.html#group38A8", "38A⁸"), =HYPERLINK("CSG9.html#group90C9", "90C⁹"), =HYPERLINK("CSG11.html#group48W11", "48W¹¹"), =HYPERLINK("CSG23.html#group198F23", "198F²³"), =HYPERLINK("CSG19.html#group48E19", "48E¹⁹"), =HYPERLINK("CSG15.html#group72D15", "72D¹⁵"), =HYPERLINK("CSG7.html#group42A7", "42A⁷"), =HYPERLINK("CSG9.html#group24I9", "24I⁹"), =HYPERLINK("CSG10.html#group42D10", "42D¹⁰"), =HYPERLINK("CSG9.html#group24Z9", "24Z⁹"), =HYPERLINK("CSG9.html#group36Q9", "36Q⁹"), =HYPERLINK("CSG5.html#group42D5", "42D⁵"), =HYPERLINK("CSG3.html#group12K3", "12K³"), =HYPERLINK("CSG21.html#group48Q21", "48Q²¹"), =HYPERLINK("CSG21.html#group48BQ21", "48BQ²¹"), =HYPERLINK("CSG13.html#group162A13", "162A¹³"), =HYPERLINK("CSG5.html#group20D5", "20D⁵"), =HYPERLINK("CSG23.html#group220B23", "220B²³"), =HYPERLINK("CSG13.html#group56H13", "56H¹³"), =HYPERLINK("CSG17.html#group64D17", "64D¹⁷"), =HYPERLINK("CSG9.html#group36D9", "36D⁹"), =HYPERLINK("CSG8.html#group90F8", "90F⁸"), =HYPERLINK("CSG7.html#group32G7", "32G⁷"), =HYPERLINK("CSG15.html#group182A15", "182A¹⁵"), =HYPERLINK("CSG11.html#group60C11", "60C¹¹"), =HYPERLINK("CSG22.html#group66A22", "66A²²"), =HYPERLINK("CSG11.html#group42H11", "42H¹¹"), =HYPERLINK("CSG20.html#group84H20", "84H²⁰"), =HYPERLINK("CSG19.html#group110B19", "110B¹⁹"), =HYPERLINK("CSG13.html#group24H13", "24H¹³"), =HYPERLINK("CSG21.html#group64C21", "64C²¹"), =HYPERLINK("CSG16.html#group72B16", "72B¹⁶"), =HYPERLINK("CSG23.html#group56P23", "56P²³"), =HYPERLINK("CSG9.html#group40I9", "40I⁹"), =HYPERLINK("CSG8.html#group140A8", "140A⁸"), =HYPERLINK("CSG21.html#group126S21", "126S²¹"), =HYPERLINK("CSG3.html#group20A3", "20A³"), =HYPERLINK("CSG23.html#group220A23", "220A²³"), =HYPERLINK("CSG13.html#group44A13", "44A¹³"), =HYPERLINK("CSG19.html#group44B19", "44B¹⁹"), =HYPERLINK("CSG7.html#group30H7", "30H⁷"), =HYPERLINK("CSG19.html#group42B19", "42B¹⁹"), =HYPERLINK("CSG15.html#group150A15", "150A¹⁵"), =HYPERLINK("CSG21.html#group32R21", "32R²¹"), =HYPERLINK("CSG23.html#group110A23", "110A²³"), =HYPERLINK("CSG15.html#group80O15", "80O¹⁵"), =HYPERLINK("CSG4.html#group18I4", "18I⁴"), =HYPERLINK("CSG9.html#group30A9", "30A⁹"), =HYPERLINK("CSG13.html#group74A13", "74A¹³"), =HYPERLINK("CSG2.html#group18F2", "18F²"), =HYPERLINK("CSG21.html#group60B21", "60B²¹"), =HYPERLINK("CSG11.html#group90E11", "90E¹¹"), =HYPERLINK("CSG13.html#group48D13", "48D¹³"), =HYPERLINK("CSG18.html#group210B18", "210B¹⁸"), =HYPERLINK("CSG0.html#group6C0", "6C⁰"), =HYPERLINK("CSG19.html#group100P19", "100P¹⁹"), =HYPERLINK("CSG24.html#group270B24", "270B²⁴"), =HYPERLINK("CSG9.html#group40J9", "40J⁹"), =HYPERLINK("CSG19.html#group60B19", "60B¹⁹"), =HYPERLINK("CSG21.html#group72A21", "72A²¹"), =HYPERLINK("CSG1.html#group8B1", "8B¹"), =HYPERLINK("CSG18.html#group120E18", "120E¹⁸"), =HYPERLINK("CSG7.html#group82B7", "82B⁷"), =HYPERLINK("CSG16.html#group120A16", "120A¹⁶"), =HYPERLINK("CSG24.html#group24A24", "24A²⁴"), =HYPERLINK("CSG4.html#group62A4", "62A⁴"), =HYPERLINK("CSG23.html#group180E23", "180E²³"), =HYPERLINK("CSG2.html#group18B2", "18B²"), =HYPERLINK("CSG7.html#group48AK7", "48AK⁷"), =HYPERLINK("CSG17.html#group48CM17", "48CM¹⁷"), =HYPERLINK("CSG21.html#group66D21", "66D²¹"), =HYPERLINK("CSG10.html#group114C10", "114C¹⁰"), =HYPERLINK("CSG1.html#group6D1", "6D¹"), =HYPERLINK("CSG15.html#group90F15", "90F¹⁵"), =HYPERLINK("CSG21.html#group84F21", "84F²¹"), =HYPERLINK("CSG7.html#group24AL7", "24AL⁷"), =HYPERLINK("CSG21.html#group48K21", "48K²¹"), =HYPERLINK("CSG19.html#group24C19", "24C¹⁹"), =HYPERLINK("CSG11.html#group110C11", "110C¹¹"), =HYPERLINK("CSG13.html#group36T13", "36T¹³"), =HYPERLINK("CSG7.html#group30M7", "30M⁷"), =HYPERLINK("CSG14.html#group40A14", "40A¹⁴"), =HYPERLINK("CSG17.html#group242A17", "242A¹⁷"), =HYPERLINK("CSG18.html#group48D18", "48D¹⁸"), =HYPERLINK("CSG17.html#group90H17", "90H¹⁷"), =HYPERLINK("CSG22.html#group30A22", "30A²²"), =HYPERLINK("CSG17.html#group40D17", "40D¹⁷"), =HYPERLINK("CSG15.html#group30A15", "30A¹⁵"), =HYPERLINK("CSG13.html#group70D13", "70D¹³"), =HYPERLINK("CSG19.html#group124A19", "124A¹⁹"), =HYPERLINK("CSG10.html#group42G10", "42G¹⁰"), =HYPERLINK("CSG19.html#group42C19", "42C¹⁹"), =HYPERLINK("CSG19.html#group78E19", "78E¹⁹"), =HYPERLINK("CSG19.html#group48BS19", "48BS¹⁹"), =HYPERLINK("CSG5.html#group98A5", "98A⁵"), =HYPERLINK("CSG15.html#group140B15", "140B¹⁵"), =HYPERLINK("CSG15.html#group60C15", "60C¹⁵"), =HYPERLINK("CSG19.html#group72C19", "72C¹⁹"), =HYPERLINK("CSG8.html#group94A8", "94A⁸"), =HYPERLINK("CSG21.html#group48L21", "48L²¹"), =HYPERLINK("CSG21.html#group48R21", "48R²¹"), =HYPERLINK("CSG1.html#group10D1", "10D¹"), =HYPERLINK("CSG21.html#group28M21", "28M²¹"), =HYPERLINK("CSG7.html#group30O7", "30O⁷"), =HYPERLINK("CSG11.html#group56Q11", "56Q¹¹"), =HYPERLINK("CSG0.html#group18C0", "18C⁰"), =HYPERLINK("CSG21.html#group68B21", "68B²¹"), =HYPERLINK("CSG21.html#group80AD21", "80AD²¹"), =HYPERLINK("CSG23.html#group42B23", "42B²³"), =HYPERLINK("CSG21.html#group36A21", "36A²¹"), =HYPERLINK("CSG15.html#group48E15", "48E¹⁵"), =HYPERLINK("CSG18.html#group60C18", "60C¹⁸"), =HYPERLINK("CSG24.html#group144B24", "144B²⁴"), =HYPERLINK("CSG19.html#group60G19", "60G¹⁹"), =HYPERLINK("CSG13.html#group32F13", "32F¹³"), =HYPERLINK("CSG9.html#group30N9", "30N⁹"), =HYPERLINK("CSG13.html#group54Q13", "54Q¹³"), =HYPERLINK("CSG12.html#group126G12", "126G¹²"), =HYPERLINK("CSG13.html#group30B13", "30B¹³"), =HYPERLINK("CSG17.html#group20A17", "20A¹⁷"), =HYPERLINK("CSG21.html#group48CA21", "48CA²¹"), =HYPERLINK("CSG21.html#group78B21", "78B²¹"), =HYPERLINK("CSG13.html#group64B13", "64B¹³"), =HYPERLINK("CSG16.html#group72Q16", "72Q¹⁶"), =HYPERLINK("CSG22.html#group114B22", "114B²²"), =HYPERLINK("CSG19.html#group48K19", "48K¹⁹"), =HYPERLINK("CSG21.html#group250A21", "250A²¹"), =HYPERLINK("CSG17.html#group24G17", "24G¹⁷"), =HYPERLINK("CSG17.html#group24Q17", "24Q¹⁷"), =HYPERLINK("CSG17.html#group48CJ17", "48CJ¹⁷"), =HYPERLINK("CSG19.html#group72M19", "72M¹⁹"), =HYPERLINK("CSG8.html#group36B8", "36B⁸"), =HYPERLINK("CSG16.html#group54A16", "54A¹⁶"), =HYPERLINK("CSG14.html#group154B14", "154B¹⁴"), =HYPERLINK("CSG22.html#group84D22", "84D²²"), =HYPERLINK("CSG13.html#group78E13", "78E¹³"), =HYPERLINK("CSG21.html#group90F21", "90F²¹"), =HYPERLINK("CSG5.html#group30H5", "30H⁵"), =HYPERLINK("CSG17.html#group210B17", "210B¹⁷"), =HYPERLINK("CSG21.html#group32F21", "32F²¹"), =HYPERLINK("CSG9.html#group24D9", "24D⁹"), =HYPERLINK("CSG21.html#group50E21", "50E²¹"), =HYPERLINK("CSG13.html#group54K13", "54K¹³"), =HYPERLINK("CSG21.html#group24H21", "24H²¹"), =HYPERLINK("CSG16.html#group22A16", "22A¹⁶"), =HYPERLINK("CSG12.html#group72A12", "72A¹²"), =HYPERLINK("CSG19.html#group36I19", "36I¹⁹"), =HYPERLINK("CSG13.html#group84H13", "84H¹³"), =HYPERLINK("CSG7.html#group20C7", "20C⁷"), =HYPERLINK("CSG4.html#group36B4", "36B⁴"), =HYPERLINK("CSG12.html#group126I12", "126I¹²"), =HYPERLINK("CSG13.html#group50C13", "50C¹³"), =HYPERLINK("CSG23.html#group56Q23", "56Q²³"), =HYPERLINK("CSG21.html#group22B21", "22B²¹"), =HYPERLINK("CSG13.html#group126C13", "126C¹³"), =HYPERLINK("CSG0.html#group8O0", "8O⁰"), =HYPERLINK("CSG10.html#group44A10", "44A¹⁰"), =HYPERLINK("CSG13.html#group10A13", "10A¹³"), =HYPERLINK("CSG14.html#group60E14", "60E¹⁴"), =HYPERLINK("CSG1.html#group22A1", "22A¹"), =HYPERLINK("CSG5.html#group12B5", "12B⁵"), =HYPERLINK("CSG21.html#group96B21", "96B²¹"), =HYPERLINK("CSG21.html#group24B21", "24B²¹"), =HYPERLINK("CSG17.html#group210D17", "210D¹⁷"), =HYPERLINK("CSG16.html#group72A16", "72A¹⁶"), =HYPERLINK("CSG3.html#group10A3", "10A³"), =HYPERLINK("CSG21.html#group32B21", "32B²¹"), =HYPERLINK("CSG10.html#group36G10", "36G¹⁰"), =HYPERLINK("CSG4.html#group66A4", "66A⁴"), =HYPERLINK("CSG23.html#group198D23", "198D²³"), =HYPERLINK("CSG16.html#group80A16", "80A¹⁶"), =HYPERLINK("CSG13.html#group72W13", "72W¹³"), =HYPERLINK("CSG17.html#group32D17", "32D¹⁷"), =HYPERLINK("CSG2.html#group30B2", "30B²"), =HYPERLINK("CSG8.html#group124A8", "124A⁸"), =HYPERLINK("CSG13.html#group32T13", "32T¹³"), =HYPERLINK("CSG13.html#group34C13", "34C¹³"), =HYPERLINK("CSG21.html#group48P21", "48P²¹"), =HYPERLINK("CSG24.html#group316A24", "316A²⁴"), =HYPERLINK("CSG1.html#group8G1", "8G¹"), =HYPERLINK</f>
        <v/>
      </c>
    </row>
    <row r="4">
      <c r="A4" t="inlineStr">
        <is>
          <t>2B⁰</t>
        </is>
      </c>
      <c r="B4" t="inlineStr">
        <is>
          <t>Γ₀(2), Γ₁(2)</t>
        </is>
      </c>
      <c r="C4" t="inlineStr">
        <is>
          <t>3</t>
        </is>
      </c>
      <c r="D4" t="inlineStr">
        <is>
          <t>1</t>
        </is>
      </c>
      <c r="E4" t="inlineStr">
        <is>
          <t>3</t>
        </is>
      </c>
      <c r="F4" t="inlineStr">
        <is>
          <t>1</t>
        </is>
      </c>
      <c r="G4" t="inlineStr">
        <is>
          <t>0</t>
        </is>
      </c>
      <c r="H4" t="inlineStr">
        <is>
          <t>1¹, 2¹</t>
        </is>
      </c>
      <c r="I4" t="n">
        <v>2</v>
      </c>
      <c r="J4" t="inlineStr">
        <is>
          <t>1³</t>
        </is>
      </c>
      <c r="K4">
        <f>HYPERLINK("CSG0.html#group1A0", "1A⁰")</f>
        <v/>
      </c>
      <c r="L4">
        <f>HYPERLINK("CSG0.html#group2C0", "2C⁰"), =HYPERLINK("CSG0.html#group4B0", "4B⁰"), =HYPERLINK("CSG0.html#group4C0", "4C⁰"), =HYPERLINK("CSG0.html#group6D0", "6D⁰"), =HYPERLINK("CSG0.html#group6F0", "6F⁰"), =HYPERLINK("CSG0.html#group10C0", "10C⁰"), =HYPERLINK("CSG1.html#group10B1", "10B¹"), =HYPERLINK("CSG1.html#group10F1", "10F¹"), =HYPERLINK("CSG1.html#group14B1", "14B¹"), =HYPERLINK("CSG1.html#group14C1", "14C¹"), =HYPERLINK("CSG2.html#group22B2", "22B²"), =HYPERLINK("CSG2.html#group22C2", "22C²"), =HYPERLINK("CSG2.html#group26A2", "26A²"), =HYPERLINK("CSG3.html#group34C3", "34C³"), =HYPERLINK("CSG4.html#group18K4", "18K⁴"), =HYPERLINK("CSG4.html#group38A4", "38A⁴"), =HYPERLINK("CSG5.html#group46A5", "46A⁵"), =HYPERLINK("CSG6.html#group58A6", "58A⁶"), =HYPERLINK("CSG7.html#group62A7", "62A⁷"), =HYPERLINK("CSG8.html#group22A8", "22A⁸"), =HYPERLINK("CSG8.html#group74A8", "74A⁸"), =HYPERLINK("CSG9.html#group82A9", "82A⁹"), =HYPERLINK("CSG10.html#group86A10", "86A¹⁰"), =HYPERLINK("CSG11.html#group38A11", "38A¹¹"), =HYPERLINK("CSG11.html#group94A11", "94A¹¹"), =HYPERLINK("CSG12.html#group106A12", "106A¹²"), =HYPERLINK("CSG13.html#group26A13", "26A¹³"), =HYPERLINK("CSG14.html#group118A14", "118A¹⁴"), =HYPERLINK("CSG14.html#group122A14", "122A¹⁴"), =HYPERLINK("CSG15.html#group26A15", "26A¹⁵"), =HYPERLINK("CSG16.html#group26A16", "26A¹⁶"), =HYPERLINK("CSG16.html#group134A16", "134A¹⁶"), =HYPERLINK("CSG17.html#group142A17", "142A¹⁷"), =HYPERLINK("CSG17.html#group146A17", "146A¹⁷"), =HYPERLINK("CSG19.html#group34B19", "34B¹⁹"), =HYPERLINK("CSG19.html#group34C19", "34C¹⁹"), =HYPERLINK("CSG19.html#group158A19", "158A¹⁹"), =HYPERLINK("CSG20.html#group166A20", "166A²⁰"), =HYPERLINK("CSG21.html#group178A21", "178A²¹"), =HYPERLINK("CSG23.html#group194A23", "194A²³"), =HYPERLINK("CSG24.html#group202A24", "202A²⁴")</f>
        <v/>
      </c>
      <c r="M4">
        <f>HYPERLINK("CSG0.html#group1A0", "1A⁰")</f>
        <v/>
      </c>
      <c r="N4">
        <f>HYPERLINK("CSG1.html#group24E1", "24E¹"), =HYPERLINK("CSG5.html#group16F5", "16F⁵"), =HYPERLINK("CSG11.html#group16A11", "16A¹¹"), =HYPERLINK("CSG8.html#group36L8", "36L⁸"), =HYPERLINK("CSG20.html#group90D20", "90D²⁰"), =HYPERLINK("CSG19.html#group24M19", "24M¹⁹"), =HYPERLINK("CSG14.html#group72F14", "72F¹⁴"), =HYPERLINK("CSG19.html#group48BK19", "48BK¹⁹"), =HYPERLINK("CSG19.html#group84H19", "84H¹⁹"), =HYPERLINK("CSG21.html#group120O21", "120O²¹"), =HYPERLINK("CSG24.html#group56G24", "56G²⁴"), =HYPERLINK("CSG12.html#group56H12", "56H¹²"), =HYPERLINK("CSG9.html#group88A9", "88A⁹"), =HYPERLINK("CSG0.html#group16B0", "16B⁰"), =HYPERLINK("CSG13.html#group64H13", "64H¹³"), =HYPERLINK("CSG20.html#group96B20", "96B²⁰"), =HYPERLINK("CSG6.html#group50A6", "50A⁶"), =HYPERLINK("CSG7.html#group30P7", "30P⁷"), =HYPERLINK("CSG24.html#group56H24", "56H²⁴"), =HYPERLINK("CSG19.html#group48AT19", "48AT¹⁹"), =HYPERLINK("CSG13.html#group36C13", "36C¹³"), =HYPERLINK("CSG19.html#group176F19", "176F¹⁹"), =HYPERLINK("CSG17.html#group28A17", "28A¹⁷"), =HYPERLINK("CSG3.html#group24K3", "24K³"), =HYPERLINK("CSG7.html#group56C7", "56C⁷"), =HYPERLINK("CSG13.html#group60G13", "60G¹³"), =HYPERLINK("CSG19.html#group96S19", "96S¹⁹"), =HYPERLINK("CSG9.html#group40E9", "40E⁹"), =HYPERLINK("CSG9.html#group24AC9", "24AC⁹"), =HYPERLINK("CSG7.html#group64A7", "64A⁷"), =HYPERLINK("CSG13.html#group60AE13", "60AE¹³"), =HYPERLINK("CSG7.html#group48AH7", "48AH⁷"), =HYPERLINK("CSG18.html#group60B18", "60B¹⁸"), =HYPERLINK("CSG17.html#group72L17", "72L¹⁷"), =HYPERLINK("CSG17.html#group48AM17", "48AM¹⁷"), =HYPERLINK("CSG8.html#group42B8", "42B⁸"), =HYPERLINK("CSG24.html#group264C24", "264C²⁴"), =HYPERLINK("CSG23.html#group84J23", "84J²³"), =HYPERLINK("CSG13.html#group30P13", "30P¹³"), =HYPERLINK("CSG15.html#group136B15", "136B¹⁵"), =HYPERLINK("CSG19.html#group160N19", "160N¹⁹"), =HYPERLINK("CSG0.html#group48A0", "48A⁰"), =HYPERLINK("CSG7.html#group48AJ7", "48AJ⁷"), =HYPERLINK("CSG16.html#group76C16", "76C¹⁶"), =HYPERLINK("CSG23.html#group104G23", "104G²³"), =HYPERLINK("CSG16.html#group36H16", "36H¹⁶"), =HYPERLINK("CSG21.html#group56F21", "56F²¹"), =HYPERLINK("CSG21.html#group48CD21", "48CD²¹"), =HYPERLINK("CSG15.html#group24I15", "24I¹⁵"), =HYPERLINK("CSG19.html#group96AS19", "96AS¹⁹"), =HYPERLINK("CSG23.html#group102C23", "102C²³"), =HYPERLINK("CSG20.html#group84D20", "84D²⁰"), =HYPERLINK("CSG19.html#group80P19", "80P¹⁹"), =HYPERLINK("CSG13.html#group48AC13", "48AC¹³"), =HYPERLINK("CSG5.html#group28D5", "28D⁵"), =HYPERLINK("CSG19.html#group36D19", "36D¹⁹"), =HYPERLINK("CSG3.html#group20I3", "20I³"), =HYPERLINK("CSG9.html#group60H9", "60H⁹"), =HYPERLINK("CSG21.html#group88H21", "88H²¹"), =HYPERLINK("CSG9.html#group16D9", "16D⁹"), =HYPERLINK("CSG15.html#group90G15", "90G¹⁵"), =HYPERLINK("CSG16.html#group72I16", "72I¹⁶"), =HYPERLINK("CSG17.html#group24AA17", "24AA¹⁷"), =HYPERLINK("CSG22.html#group36Q22", "36Q²²"), =HYPERLINK("CSG4.html#group28D4", "28D⁴"), =HYPERLINK("CSG9.html#group40P9", "40P⁹"), =HYPERLINK("CSG24.html#group84C24", "84C²⁴"), =HYPERLINK("CSG15.html#group128B15", "128B¹⁵"), =HYPERLINK("CSG21.html#group48AF21", "48AF²¹"), =HYPERLINK("CSG22.html#group36K22", "36K²²"), =HYPERLINK("CSG21.html#group96AY21", "96AY²¹"), =HYPERLINK("CSG17.html#group48BR17", "48BR¹⁷"), =HYPERLINK("CSG10.html#group16B10", "16B¹⁰"), =HYPERLINK("CSG15.html#group24D15", "24D¹⁵"), =HYPERLINK("CSG13.html#group24X13", "24X¹³"), =HYPERLINK("CSG4.html#group10B4", "10B⁴"), =HYPERLINK("CSG21.html#group48BV21", "48BV²¹"), =HYPERLINK("CSG12.html#group36F12", "36F¹²"), =HYPERLINK("CSG21.html#group48BR21", "48BR²¹"), =HYPERLINK("CSG1.html#group32E1", "32E¹"), =HYPERLINK("CSG13.html#group40T13", "40T¹³"), =HYPERLINK("CSG22.html#group60A22", "60A²²"), =HYPERLINK("CSG16.html#group78E16", "78E¹⁶"), =HYPERLINK("CSG16.html#group40C16", "40C¹⁶"), =HYPERLINK("CSG24.html#group112P24", "112P²⁴"), =HYPERLINK("CSG4.html#group10A4", "10A⁴"), =HYPERLINK("CSG11.html#group60R11", "60R¹¹"), =HYPERLINK("CSG18.html#group84E18", "84E¹⁸"), =HYPERLINK("CSG19.html#group40G19", "40G¹⁹"), =HYPERLINK("CSG7.html#group24N7", "24N⁷"), =HYPERLINK("CSG5.html#group36H5", "36H⁵"), =HYPERLINK("CSG22.html#group180A22", "180A²²"), =HYPERLINK("CSG6.html#group18D6", "18D⁶"), =HYPERLINK("CSG8.html#group88C8", "88C⁸"), =HYPERLINK("CSG23.html#group84I23", "84I²³"), =HYPERLINK("CSG21.html#group72X21", "72X²¹"), =HYPERLINK("CSG12.html#group72F12", "72F¹²"), =HYPERLINK("CSG7.html#group64J7", "64J⁷"), =HYPERLINK("CSG12.html#group112B12", "112B¹²"), =HYPERLINK("CSG10.html#group36R10", "36R¹⁰"), =HYPERLINK("CSG23.html#group52G23", "52G²³"), =HYPERLINK("CSG5.html#group24J5", "24J⁵"), =HYPERLINK("CSG19.html#group32B19", "32B¹⁹"), =HYPERLINK("CSG11.html#group64A11", "64A¹¹"), =HYPERLINK("CSG8.html#group54A8", "54A⁸"), =HYPERLINK("CSG20.html#group96AF20", "96AF²⁰"), =HYPERLINK("CSG21.html#group60U21", "60U²¹"), =HYPERLINK("CSG4.html#group18C4", "18C⁴"), =HYPERLINK("CSG24.html#group60B24", "60B²⁴"), =HYPERLINK("CSG23.html#group32C23", "32C²³"), =HYPERLINK("CSG9.html#group96M9", "96M⁹"), =HYPERLINK("CSG9.html#group48AF9", "48AF⁹"), =HYPERLINK("CSG21.html#group60W21", "60W²¹"), =HYPERLINK("CSG17.html#group96AA17", "96AA¹⁷"), =HYPERLINK("CSG4.html#group48F4", "48F⁴"), =HYPERLINK("CSG19.html#group70B19", "70B¹⁹"), =HYPERLINK("CSG20.html#group140A20", "140A²⁰"), =HYPERLINK("CSG20.html#group84N20", "84N²⁰"), =HYPERLINK("CSG23.html#group160C23", "160C²³"), =HYPERLINK("CSG21.html#group126P21", "126P²¹"), =HYPERLINK("CSG3.html#group32N3", "32N³"), =HYPERLINK("CSG13.html#group32R13", "32R¹³"), =HYPERLINK("CSG20.html#group180G20", "180G²⁰"), =HYPERLINK("CSG17.html#group48AC17", "48AC¹⁷"), =HYPERLINK("CSG18.html#group84G18", "84G¹⁸"), =HYPERLINK("CSG12.html#group100A12", "100A¹²"), =HYPERLINK("CSG17.html#group24AP17", "24AP¹⁷"), =HYPERLINK("CSG13.html#group66B13", "66B¹³"), =HYPERLINK("CSG6.html#group50E6", "50E⁶"), =HYPERLINK("CSG13.html#group28C13", "28C¹³"), =HYPERLINK("CSG23.html#group50A23", "50A²³"), =HYPERLINK("CSG7.html#group96A7", "96A⁷"), =HYPERLINK("CSG15.html#group124A15", "124A¹⁵"), =HYPERLINK("CSG11.html#group72N11", "72N¹¹"), =HYPERLINK("CSG22.html#group92B22", "92B²²"), =HYPERLINK("CSG13.html#group24Y13", "24Y¹³"), =HYPERLINK("CSG18.html#group140A18", "140A¹⁸"), =HYPERLINK("CSG17.html#group48CO17", "48CO¹⁷"), =HYPERLINK("CSG12.html#group50E12", "50E¹²"), =HYPERLINK("CSG24.html#group252G24", "252G²⁴"), =HYPERLINK("CSG17.html#group40C17", "40C¹⁷"), =HYPERLINK("CSG24.html#group50B24", "50B²⁴"), =HYPERLINK("CSG21.html#group112D21", "112D²¹"), =HYPERLINK("CSG2.html#group8B2", "8B²"), =HYPERLINK("CSG5.html#group36B5", "36B⁵"), =HYPERLINK("CSG5.html#group14F5", "14F⁵"), =HYPERLINK("CSG21.html#group96F21", "96F²¹"), =HYPERLINK("CSG15.html#group24J15", "24J¹⁵"), =HYPERLINK("CSG3.html#group16N3", "16N³"), =HYPERLINK("CSG4.html#group18P4", "18P⁴"), =HYPERLINK("CSG13.html#group32H13", "32H¹³"), =HYPERLINK("CSG11.html#group88A11", "88A¹¹"), =HYPERLINK("CSG9.html#group32J9", "32J⁹"), =HYPERLINK("CSG18.html#group148A18", "148A¹⁸"), =HYPERLINK("CSG11.html#group36G11", "36G¹¹"), =HYPERLINK("CSG21.html#group22A21", "22A²¹"), =HYPERLINK("CSG0.html#group4F0", "4F⁰"), =HYPERLINK("CSG15.html#group48P15", "48P¹⁵"), =HYPERLINK("CSG7.html#group28D7", "28D⁷"), =HYPERLINK("CSG23.html#group60F23", "60F²³"), =HYPERLINK("CSG9.html#group24E9", "24E⁹"), =HYPERLINK("CSG9.html#group80G9", "80G⁹"), =HYPERLINK("CSG11.html#group112H11", "112H¹¹"), =HYPERLINK("CSG21.html#group144A21", "144A²¹"), =HYPERLINK("CSG21.html#group20C21", "20C²¹"), =HYPERLINK("CSG21.html#group44C21", "44C²¹"), =HYPERLINK("CSG21.html#group104B21", "104B²¹"), =HYPERLINK("CSG7.html#group60O7", "60O⁷"), =HYPERLINK("CSG19.html#group52C19", "52C¹⁹"), =HYPERLINK("CSG13.html#group28E13", "28E¹³"), =HYPERLINK("CSG9.html#group84C9", "84C⁹"), =HYPERLINK("CSG21.html#group96AJ21", "96AJ²¹"), =HYPERLINK("CSG0.html#group16H0", "16H⁰"), =HYPERLINK("CSG22.html#group168F22", "168F²²"), =HYPERLINK("CSG19.html#group34B19", "34B¹⁹"), =HYPERLINK("CSG3.html#group24T3", "24T³"), =HYPERLINK("CSG19.html#group80H19", "80H¹⁹"), =HYPERLINK("CSG23.html#group30A23", "30A²³"), =HYPERLINK("CSG11.html#group30I11", "30I¹¹"), =HYPERLINK("CSG23.html#group144J23", "144J²³"), =HYPERLINK("CSG19.html#group42G19", "42G¹⁹"), =HYPERLINK("CSG10.html#group22A10", "22A¹⁰"), =HYPERLINK("CSG17.html#group40AQ17", "40AQ¹⁷"), =HYPERLINK("CSG19.html#group192A19", "192A¹⁹"), =HYPERLINK("CSG17.html#group24V17", "24V¹⁷"), =HYPERLINK("CSG13.html#group56B13", "56B¹³"), =HYPERLINK("CSG13.html#group48B13", "48B¹³"), =HYPERLINK("CSG24.html#group112L24", "112L²⁴"), =HYPERLINK("CSG19.html#group152A19", "152A¹⁹"), =HYPERLINK("CSG7.html#group10A7", "10A⁷"), =HYPERLINK("CSG17.html#group98B17", "98B¹⁷"), =HYPERLINK("CSG17.html#group40U17", "40U¹⁷"), =HYPERLINK("CSG18.html#group96D18", "96D¹⁸"), =HYPERLINK("CSG19.html#group72D19", "72D¹⁹"), =HYPERLINK("CSG21.html#group52F21", "52F²¹"), =HYPERLINK("CSG9.html#group22B9", "22B⁹"), =HYPERLINK("CSG5.html#group30K5", "30K⁵"), =HYPERLINK("CSG5.html#group24I5", "24I⁵"), =HYPERLINK("CSG16.html#group130A16", "130A¹⁶"), =HYPERLINK("CSG20.html#group84C20", "84C²⁰"), =HYPERLINK("CSG16.html#group96D16", "96D¹⁶"), =HYPERLINK("CSG17.html#group96Y17", "96Y¹⁷"), =HYPERLINK("CSG8.html#group36D8", "36D⁸"), =HYPERLINK("CSG19.html#group60N19", "60N¹⁹"), =HYPERLINK("CSG23.html#group180M23", "180M²³"), =HYPERLINK("CSG7.html#group24H7", "24H⁷"), =HYPERLINK("CSG19.html#group80D19", "80D¹⁹"), =HYPERLINK("CSG17.html#group60T17", "60T¹⁷"), =HYPERLINK("CSG10.html#group18M10", "18M¹⁰"), =HYPERLINK("CSG10.html#group36N10", "36N¹⁰"), =HYPERLINK("CSG3.html#group34C3", "34C³"), =HYPERLINK("CSG3.html#group14B3", "14B³"), =HYPERLINK("CSG23.html#group56U23", "56U²³"), =HYPERLINK("CSG21.html#group72AB21", "72AB²¹"), =HYPERLINK("CSG13.html#group144B13", "144B¹³"), =HYPERLINK("CSG16.html#group48C16", "48C¹⁶"), =HYPERLINK("CSG18.html#group48C18", "48C¹⁸"), =HYPERLINK("CSG21.html#group96U21", "96U²¹"), =HYPERLINK("CSG9.html#group16K9", "16K⁹"), =HYPERLINK("CSG19.html#group96BC19", "96BC¹⁹"), =HYPERLINK("CSG21.html#group160I21", "160I²¹"), =HYPERLINK("CSG21.html#group88C21", "88C²¹"), =HYPERLINK("CSG21.html#group72H21", "72H²¹"), =HYPERLINK("CSG3.html#group32C3", "32C³"), =HYPERLINK("CSG15.html#group96E15", "96E¹⁵"), =HYPERLINK("CSG22.html#group80H22", "80H²²"), =HYPERLINK("CSG17.html#group80H17", "80H¹⁷"), =HYPERLINK("CSG6.html#group36H6", "36H⁶"), =HYPERLINK("CSG11.html#group84C11", "84C¹¹"), =HYPERLINK("CSG21.html#group48O21", "48O²¹"), =HYPERLINK("CSG17.html#group60B17", "60B¹⁷"), =HYPERLINK("CSG6.html#group42C6", "42C⁶"), =HYPERLINK("CSG18.html#group56A18", "56A¹⁸"), =HYPERLINK("CSG23.html#group144W23", "144W²³"), =HYPERLINK("CSG24.html#group112D24", "112D²⁴"), =HYPERLINK("CSG15.html#group96O15", "96O¹⁵"), =HYPERLINK("CSG23.html#group96S23", "96S²³"), =HYPERLINK("CSG18.html#group48H18", "48H¹⁸"), =HYPERLINK("CSG13.html#group144J13", "144J¹³"), =HYPERLINK("CSG11.html#group30K11", "30K¹¹"), =HYPERLINK("CSG22.html#group96A22", "96A²²"), =HYPERLINK("CSG6.html#group24K6", "24K⁶"), =HYPERLINK("CSG13.html#group24O13", "24O¹³"), =HYPERLINK("CSG23.html#group204G23", "204G²³"), =HYPERLINK("CSG21.html#group48V21", "48V²¹"), =HYPERLINK("CSG21.html#group32P21", "32P²¹"), =HYPERLINK("CSG15.html#group64H15", "64H¹⁵"), =HYPERLINK("CSG13.html#group100G13", "100G¹³"), =HYPERLINK("CSG10.html#group96C10", "96C¹⁰"), =HYPERLINK("CSG7.html#group64E7", "64E⁷"), =HYPERLINK("CSG17.html#group84J17", "84J¹⁷"), =HYPERLINK("CSG11.html#group32C11", "32C¹¹"), =HYPERLINK("CSG21.html#group48AK21", "48AK²¹"), =HYPERLINK("CSG20.html#group184A20", "184A²⁰"), =HYPERLINK("CSG15.html#group40W15", "40W¹⁵"), =HYPERLINK("CSG12.html#group30B12", "30B¹²"), =HYPERLINK("CSG8.html#group48V8", "48V⁸"), =HYPERLINK("CSG7.html#group64G7", "64G⁷"), =HYPERLINK("CSG16.html#group144H16", "144H¹⁶"), =HYPERLINK("CSG20.html#group90A20", "90A²⁰"), =HYPERLINK("CSG21.html#group92A21", "92A²¹"), =HYPERLINK("CSG6.html#group28J6", "28J⁶"), =HYPERLINK("CSG19.html#group48O19", "48O¹⁹"), =HYPERLINK("CSG3.html#group10C3", "10C³"), =HYPERLINK("CSG21.html#group48CH21", "48CH²¹"), =HYPERLINK("CSG24.html#group32A24", "32A²⁴"), =HYPERLINK("CSG7.html#group18O7", "18O⁷"), =HYPERLINK("CSG21.html#group48AX21", "48AX²¹"), =HYPERLINK("CSG22.html#group54F22", "54F²²"), =HYPERLINK("CSG18.html#group72E18", "72E¹⁸"), =HYPERLINK("CSG10.html#group144E10", "144E¹⁰"), =HYPERLINK("CSG21.html#group132C21", "132C²¹"), =HYPERLINK("CSG4.html#group36D4", "36D⁴"), =HYPERLINK("CSG2.html#group18P2", "18P²"), =HYPERLINK("CSG15.html#group60E15", "60E¹⁵"), =HYPERLINK("CSG17.html#group48BG17", "48BG¹⁷"), =HYPERLINK("CSG8.html#group36F8", "36F⁸"), =HYPERLINK("CSG9.html#group42E9", "42E⁹"), =HYPERLINK("CSG12.html#group90E12", "90E¹²"), =HYPERLINK("CSG22.html#group242A22", "242A²²"), =HYPERLINK("CSG13.html#group58A13", "58A¹³"), =HYPERLINK("CSG17.html#group48CB17", "48CB¹⁷"), =HYPERLINK("CSG16.html#group132C16", "132C¹⁶"), =HYPERLINK("CSG13.html#group64M13", "64M¹³"), =HYPERLINK("CSG19.html#group88B19", "88B¹⁹"), =HYPERLINK("CSG22.html#group112A22", "112A²²"), =HYPERLINK("CSG4.html#group16A4", "16A⁴"), =HYPERLINK("CSG8.html#group80C8", "80C⁸"), =HYPERLINK("CSG21.html#group96X21", "96X²¹"), =HYPERLINK("CSG19.html#group140A19", "140A¹⁹"), =HYPERLINK("CSG23.html#group208C23", "208C²³"), =HYPERLINK("CSG13.html#group96C13", "96C¹³"), =HYPERLINK("CSG13.html#group48AG13", "48AG¹³"), =HYPERLINK("CSG19.html#group60O19", "60O¹⁹"), =HYPERLINK("CSG11.html#group120C11", "120C¹¹"), =HYPERLINK("CSG19.html#group48AP19", "48AP¹⁹"), =HYPERLINK("CSG4.html#group36R4", "36R⁴"), =HYPERLINK("CSG24.html#group42C24", "42C²⁴"), =HYPERLINK("CSG17.html#group72K17", "72K¹⁷"), =HYPERLINK("CSG11.html#group108E11", "108E¹¹"), =HYPERLINK("CSG17.html#group80AO17", "80AO¹⁷"), =HYPERLINK("CSG9.html#group48AM9", "48AM⁹"), =HYPERLINK("CSG21.html#group96I21", "96I²¹"), =HYPERLINK("CSG1.html#group12N1", "12N¹"), =HYPERLINK("CSG13.html#group72T13", "72T¹³"), =HYPERLINK("CSG21.html#group176C21", "176C²¹"), =HYPERLINK("CSG21.html#group224A21", "224A²¹"), =HYPERLINK("CSG13.html#group80H13", "80H¹³"), =HYPERLINK("CSG19.html#group140C19", "140C¹⁹"), =HYPERLINK("CSG21.html#group178A21", "178A²¹"), =HYPERLINK("CSG8.html#group48L8", "48L⁸"), =HYPERLINK("CSG8.html#group36N8", "36N⁸"), =HYPERLINK("CSG8.html#group60C8", "60C⁸"), =HYPERLINK("CSG20.html#group48F20", "48F²⁰"), =HYPERLINK("CSG13.html#group56F13", "56F¹³"), =HYPERLINK("CSG7.html#group40H7", "40H⁷"), =HYPERLINK("CSG19.html#group80AB19", "80AB¹⁹"), =HYPERLINK("CSG21.html#group48BT21", "48BT²¹"), =HYPERLINK("CSG19.html#group96P19", "96P¹⁹"), =HYPERLINK("CSG23.html#group192A23", "192A²³"), =HYPERLINK("CSG23.html#group96C23", "96C²³"), =HYPERLINK("CSG19.html#group140I19", "140I¹⁹"), =HYPERLINK("CSG23.html#group52H23", "52H²³"), =HYPERLINK("CSG10.html#group26E10", "26E¹⁰"), =HYPERLINK("CSG17.html#group108C17", "108C¹⁷"), =HYPERLINK("CSG1.html#group12U1", "12U¹"), =HYPERLINK("CSG9.html#group60G9", "60G⁹"), =HYPERLINK("CSG15.html#group40AE15", "40AE¹⁵"), =HYPERLINK("CSG19.html#group88H19", "88H¹⁹"), =HYPERLINK("CSG11.html#group64B11", "64B¹¹"), =HYPERLINK("CSG4.html#group26C4", "26C⁴"), =HYPERLINK("CSG13.html#group34D13", "34D¹³"), =HYPERLINK("CSG17.html#group24AS17", "24AS¹⁷"), =HYPERLINK("CSG8.html#group48Q8", "48Q⁸"), =HYPERLINK("CSG4.html#group18K4", "18K⁴"), =HYPERLINK("CSG2.html#group8A2", "8A²"), =HYPERLINK("CSG13.html#group20G13", "20G¹³"), =HYPERLINK("CSG9.html#group24U9", "24U⁹"), =HYPERLINK("CSG5.html#group16I5", "16I⁵"), =HYPERLINK("CSG9.html#group96H9", "96H⁹"), =HYPERLINK("CSG22.html#group72N22", "72N²²"), =HYPERLINK("CSG15.html#group80U15", "80U¹⁵"), =HYPERLINK("CSG19.html#group164A19", "164A¹⁹"), =HYPERLINK("CSG23.html#group176E23", "176E²³"), =HYPERLINK("CSG12.html#group60C12", "60C¹²"), =HYPERLINK("CSG17.html#group160A17", "160A¹⁷"), =HYPERLINK("CSG21.html#group48AP21", "48AP²¹"), =HYPERLINK("CSG15.html#group48AF15", "48AF¹⁵"), =HYPERLINK("CSG1.html#group36C1", "36C¹"), =HYPERLINK("CSG17.html#group24C17", "24C¹⁷"), =HYPERLINK("CSG15.html#group30F15", "30F¹⁵"), =HYPERLINK("CSG17.html#group140A17", "140A¹⁷"), =HYPERLINK("CSG10.html#group48A10", "48A¹⁰"), =HYPERLINK("CSG7.html#group24AK7", "24AK⁷"), =HYPERLINK("CSG21.html#group96A21", "96A²¹"), =HYPERLINK("CSG19.html#group84C19", "84C¹⁹"), =HYPERLINK("CSG13.html#group40K13", "40K¹³"), =HYPERLINK("CSG7.html#group48P7", "48P⁷"), =HYPERLINK("CSG7.html#group32M7", "32M⁷"), =HYPERLINK("CSG18.html#group18A18", "18A¹⁸"), =HYPERLINK("CSG17.html#group48BT17", "48BT¹⁷"), =HYPERLINK("CSG8.html#group36G8", "36G⁸"), =HYPERLINK("CSG1.html#group8H1", "8H¹"), =HYPERLINK("CSG7.html#group42I7", "42I⁷"), =HYPERLINK("CSG11.html#group14A11", "14A¹¹"), =HYPERLINK("CSG21.html#group96G21", "96G²¹"), =HYPERLINK("CSG13.html#group72I13", "72I¹³"), =HYPERLINK("CSG19.html#group96BA19", "96BA¹⁹"), =HYPERLINK("CSG7.html#group24AE7", "24AE⁷"), =HYPERLINK("CSG19.html#group72F19", "72F¹⁹"), =HYPERLINK("CSG15.html#group136G15", "136G¹⁵"), =HYPERLINK("CSG9.html#group24Y9", "24Y⁹"), =HYPERLINK("CSG1.html#group12B1", "12B¹"), =HYPERLINK("CSG21.html#group126K21", "126K²¹"), =HYPERLINK("CSG15.html#group40AF15", "40AF¹⁵"), =HYPERLINK("CSG3.html#group96A3", "96A³"), =HYPERLINK("CSG13.html#group110A13", "110A¹³"), =HYPERLINK("CSG7.html#group24K7", "24K⁷"), =HYPERLINK("CSG21.html#group48CE21", "48CE²¹"), =HYPERLINK("CSG5.html#group48A5", "48A⁵"), =HYPERLINK("CSG22.html#group80C22", "80C²²"), =HYPERLINK("CSG23.html#group40G23", "40G²³"), =HYPERLINK("CSG10.html#group52A10", "52A¹⁰"), =HYPERLINK("CSG1.html#group16E1", "16E¹"), =HYPERLINK("CSG8.html#group48W8", "48W⁸"), =HYPERLINK("CSG8.html#group40D8", "40D⁸"), =HYPERLINK("CSG11.html#group48Y11", "48Y¹¹"), =HYPERLINK("CSG23.html#group204F23", "204F²³"), =HYPERLINK("CSG6.html#group72B6", "72B⁶"), =HYPERLINK("CSG9.html#group20C9", "20C⁹"), =HYPERLINK("CSG23.html#group96AC23", "96AC²³"), =HYPERLINK("CSG7.html#group48V7", "48V⁷"), =HYPERLINK("CSG9.html#group80M9", "80M⁹"), =HYPERLINK("CSG5.html#group24M5", "24M⁵"), =HYPERLINK("CSG6.html#group72D6", "72D⁶"), =HYPERLINK("CSG17.html#group24T17", "24T¹⁷"), =HYPERLINK("CSG9.html#group40Q9", "40Q⁹"), =HYPERLINK("CSG7.html#group72B7", "72B⁷"), =HYPERLINK("CSG14.html#group114A14", "114A¹⁴"), =HYPERLINK("CSG21.html#group180I21", "180I²¹"), =HYPERLINK("CSG5.html#group40N5", "40N⁵"), =HYPERLINK("CSG11.html#group38A11", "38A¹¹"), =HYPERLINK("CSG13.html#group48E13", "48E¹³"), =HYPERLINK("CSG19.html#group96AO19", "96AO¹⁹"), =HYPERLINK("CSG20.html#group132B20", "132B²⁰"), =HYPERLINK("CSG20.html#group150B20", "150B²⁰"), =HYPERLINK("CSG2.html#group36C2", "36C²"), =HYPERLINK("CSG16.html#group168C16", "168C¹⁶"), =HYPERLINK("CSG4.html#group20E4", "20E⁴"), =HYPERLINK("CSG14.html#group112B14", "112B¹⁴"), =HYPERLINK("CSG15.html#group112H15", "112H¹⁵"), =HYPERLINK("CSG21.html#group16A21", "16A²¹"), =HYPERLINK("CSG17.html#group36L17", "36L¹⁷"), =HYPERLINK("CSG23.html#group56O23", "56O²³"), =HYPERLINK("CSG15.html#group120B15", "120B¹⁵"), =HYPERLINK("CSG2.html#group8C2", "8C²"), =HYPERLINK("CSG8.html#group72B8", "72B⁸"), =HYPERLINK("CSG21.html#group36F21", "36F²¹"), =HYPERLINK("CSG7.html#group32J7", "32J⁷"), =HYPERLINK("CSG15.html#group72U15", "72U¹⁵"), =HYPERLINK("CSG13.html#group24AB13", "24AB¹³"), =HYPERLINK("CSG20.html#group168E20", "168E²⁰"), =HYPERLINK("CSG15.html#group24H15", "24H¹⁵"), =HYPERLINK("CSG19.html#group24F19", "24F¹⁹"), =HYPERLINK("CSG17.html#group76A17", "76A¹⁷"), =HYPERLINK("CSG23.html#group120M23", "120M²³"), =HYPERLINK("CSG13.html#group60R13", "60R¹³"), =HYPERLINK("CSG19.html#group60K19", "60K¹⁹"), =HYPERLINK("CSG18.html#group84B18", "84B¹⁸"), =HYPERLINK("CSG23.html#group200B23", "200B²³"), =HYPERLINK("CSG0.html#group8G0", "8G⁰"), =HYPERLINK("CSG15.html#group96D15", "96D¹⁵"), =HYPERLINK("CSG9.html#group66A9", "66A⁹"), =HYPERLINK("CSG8.html#group36O8", "36O⁸"), =HYPERLINK("CSG1.html#group14C1", "14C¹"), =HYPERLINK("CSG15.html#group68A15", "68A¹⁵"), =HYPERLINK("CSG15.html#group72W15", "72W¹⁵"), =HYPERLINK("CSG21.html#group48AI21", "48AI²¹"), =HYPERLINK("CSG13.html#group128E13", "128E¹³"), =HYPERLINK("CSG21.html#group144K21", "144K²¹"), =HYPERLINK("CSG21.html#group120D21", "120D²¹"), =HYPERLINK("CSG13.html#group96F13", "96F¹³"), =HYPERLINK("CSG15.html#group72S15", "72S¹⁵"), =HYPERLINK("CSG15.html#group72Q15", "72Q¹⁵"), =HYPERLINK("CSG23.html#group120N23", "120N²³"), =HYPERLINK("CSG24.html#group40B24", "40B²⁴"), =HYPERLINK("CSG11.html#group30D11", "30D¹¹"), =HYPERLINK("CSG7.html#group40O7", "40O⁷"), =HYPERLINK("CSG13.html#group112D13", "112D¹³"), =HYPERLINK("CSG15.html#group48AA15", "48AA¹⁵"), =HYPERLINK("CSG19.html#group48BB19", "48BB¹⁹"), =HYPERLINK("CSG11.html#group36J11", "36J¹¹"), =HYPERLINK("CSG7.html#group16C7", "16C⁷"), =HYPERLINK("CSG12.html#group100D12", "100D¹²"), =HYPERLINK("CSG6.html#group50B6", "50B⁶"), =HYPERLINK("CSG24.html#group56A24", "56A²⁴"), =HYPERLINK("CSG10.html#group48B10", "48B¹⁰"), =HYPERLINK("CSG12.html#group96A12", "96A¹²"), =HYPERLINK("CSG17.html#group80AH17", "80AH¹⁷"), =HYPERLINK("CSG9.html#group32P9", "32P⁹"), =HYPERLINK("CSG19.html#group20B19", "20B¹⁹"), =HYPERLINK("CSG13.html#group24L13", "24L¹³"), =HYPERLINK("CSG7.html#group40E7", "40E⁷"), =HYPERLINK("CSG17.html#group48BS17", "48BS¹⁷"), =HYPERLINK("CSG9.html#group64E9", "64E⁹"), =HYPERLINK("CSG2.html#group30E2", "30E²"), =HYPERLINK("CSG18.html#group144C18", "144C¹⁸"), =HYPERLINK("CSG21.html#group48E21", "48E²¹"), =HYPERLINK("CSG20.html#group96AE20", "96AE²⁰"), =HYPERLINK("CSG7.html#group20A7", "20A⁷"), =HYPERLINK("CSG4.html#group24E4", "24E⁴"), =HYPERLINK("CSG21.html#group96BB21", "96BB²¹"), =HYPERLINK("CSG24.html#group224A24", "224A²⁴"), =HYPERLINK("CSG19.html#group32A19", "32A¹⁹"), =HYPERLINK("CSG15.html#group30E15", "30E¹⁵"), =HYPERLINK("CSG3.html#group40D3", "40D³"), =HYPERLINK("CSG23.html#group32D23", "32D²³"), =HYPERLINK("CSG24.html#group224C24", "224C²⁴"), =HYPERLINK("CSG15.html#group96R15", "96R¹⁵"), =HYPERLINK("CSG19.html#group80AC19", "80AC¹⁹"), =HYPERLINK("CSG21.html#group256B21", "256B²¹"), =HYPERLINK("CSG23.html#group104M23", "104M²³"), =HYPERLINK("CSG9.html#group48AJ9", "48AJ⁹"), =HYPERLINK("CSG7.html#group48A7", "48A⁷"), =HYPERLINK("CSG11.html#group48R11", "48R¹¹"), =HYPERLINK("CSG9.html#group48N9", "48N⁹"), =HYPERLINK("CSG17.html#group48AI17", "48AI¹⁷"), =HYPERLINK("CSG21.html#group90B21", "90B²¹"), =HYPERLINK("CSG16.html#group74B16", "74B¹⁶"), =HYPERLINK("CSG16.html#group72E16", "72E¹⁶"), =HYPERLINK("CSG11.html#group96G11", "96G¹¹"), =HYPERLINK("CSG15.html#group68F15", "68F¹⁵"), =HYPERLINK("CSG23.html#group104F23", "104F²³"), =HYPERLINK("CSG17.html#group24AB17", "24AB¹⁷"), =HYPERLINK("CSG23.html#group78F23", "78F²³"), =HYPERLINK("CSG10.html#group20F10", "20F¹⁰"), =HYPERLINK("CSG22.html#group36L22", "36L²²"), =HYPERLINK("CSG23.html#group224A23", "224A²³"), =HYPERLINK("CSG21.html#group100B21", "100B²¹"), =HYPERLINK("CSG13.html#group96E13", "96E¹³"), =HYPERLINK("CSG9.html#group80L9", "80L⁹"), =HYPERLINK("CSG1.html#group10I1", "10I¹"), =HYPERLINK("CSG21.html#group96L21", "96L²¹"), =HYPERLINK("CSG14.html#group120D14", "120D¹⁴"), =HYPERLINK("CSG19.html#group160J19", "160J¹⁹"), =HYPERLINK("CSG24.html#group250A24", "250A²⁴"), =HYPERLINK("CSG7.html#group36E7", "36E⁷"), =HYPERLINK("CSG17.html#group128B17", "128B¹⁷"), =HYPERLINK("CSG19.html#group176D19", "176D¹⁹"), =HYPERLINK("CSG9.html#group24AA9", "24AA⁹"), =HYPERLINK("CSG19.html#group96AK19", "96AK¹⁹"), =HYPERLINK("CSG16.html#group66C16", "66C¹⁶"), =HYPERLINK("CSG13.html#group48S13", "48S¹³"), =HYPERLINK("CSG15.html#group136D15", "136D¹⁵"), =HYPERLINK("CSG11.html#group32A11", "32A¹¹"), =HYPERLINK("CSG11.html#group48N11", "48N¹¹"), =HYPERLINK("CSG9.html#group48V9", "48V⁹"), =HYPERLINK("CSG21.html#group128B21", "128B²¹"), =HYPERLINK("CSG23.html#group56E23", "56E²³"), =HYPERLINK("CSG12.html#group56A12", "56A¹²"), =HYPERLINK("CSG23.html#group102D23", "102D²³"), =HYPERLINK("CSG19.html#group96L19", "96L¹⁹"), =HYPERLINK("CSG22.html#group216C22", "216C²²"), =HYPERLINK("CSG8.html#group24A8", "24A⁸"), =HYPERLINK("CSG21.html#group96BJ21", "96BJ²¹"), =HYPERLINK("CSG10.html#group18E10", "18E¹⁰"), =HYPERLINK("CSG21.html#group120C21", "120C²¹"), =HYPERLINK("CSG18.html#group48B18", "48B¹⁸"), =HYPERLINK("CSG5.html#group44B5", "44B⁵"), =HYPERLINK("CSG13.html#group24U13", "24U¹³"), =HYPERLINK("CSG13.html#group144A13", "144A¹³"), =HYPERLINK("CSG10.html#group56D10", "56D¹⁰"), =HYPERLINK("CSG7.html#group24AG7", "24AG⁷"), =HYPERLINK("CSG20.html#group168F20", "168F²⁰"), =HYPERLINK("CSG11.html#group84H11", "84H¹¹"), =HYPERLINK("CSG21.html#group48AB21", "48AB²¹"), =HYPERLINK("CSG23.html#group112E23", "112E²³"), =HYPERLINK("CSG22.html#group88A22", "88A²²"), =HYPERLINK("CSG13.html#group72J13", "72J¹³"), =HYPERLINK("CSG10.html#group48G10", "48G¹⁰"), =HYPERLINK("CSG12.html#group58A12", "58A¹²"), =HYPERLINK("CSG21.html#group48B21", "48B²¹"), =HYPERLINK("CSG21.html#group56L21", "56L²¹"), =HYPERLINK("CSG22.html#group180B22", "180B²²"), =HYPERLINK("CSG17.html#group48S17", "48S¹⁷"), =HYPERLINK("CSG11.html#group52F11", "52F¹¹"), =HYPERLINK("CSG8.html#group38A8", "38A⁸"), =HYPERLINK("CSG14.html#group72G14", "72G¹⁴"), =HYPERLINK("CSG19.html#group96AY19", "96AY¹⁹"), =HYPERLINK("CSG13.html#group120I13", "120I¹³"), =HYPERLINK("CSG11.html#group48W11", "48W¹¹"), =HYPERLINK("CSG2.html#group24I2", "24I²"), =HYPERLINK("CSG17.html#group154B17", "154B¹⁷"), =HYPERLINK("CSG19.html#group48E19", "48E¹⁹"), =HYPERLINK("CSG9.html#group24I9", "24I⁹"), =HYPERLINK("CSG13.html#group60AA13", "60AA¹³"), =HYPERLINK("CSG13.html#group20D13", "20D¹³"), =HYPERLINK("CSG4.html#group24K4", "24K⁴"), =HYPERLINK("CSG7.html#group40K7", "40K⁷"), =HYPERLINK("CSG9.html#group48AE9", "48AE⁹"), =HYPERLINK("CSG15.html#group60M15", "60M¹⁵"), =HYPERLINK("CSG13.html#group96A13", "96A¹³"), =HYPERLINK("CSG24.html#group84D24", "84D²⁴"), =HYPERLINK("CSG21.html#group48BQ21", "48BQ²¹"), =HYPERLINK("CSG13.html#group96D13", "96D¹³"), =HYPERLINK("CSG23.html#group104P23", "104P²³"), =HYPERLINK("CSG13.html#group60F13", "60F¹³"), =HYPERLINK("CSG17.html#group136B17", "136B¹⁷"), =HYPERLINK("CSG9.html#group36D9", "36D⁹"), =HYPERLINK("CSG1.html#group20E1", "20E¹"), =HYPERLINK("CSG7.html#group32G7", "32G⁷"), =HYPERLINK("CSG17.html#group48AD17", "48AD¹⁷"), =HYPERLINK("CSG17.html#group48AU17", "48AU¹⁷"), =HYPERLINK("CSG13.html#group36S13", "36S¹³"), =HYPERLINK("CSG7.html#group32K7", "32K⁷"), =HYPERLINK("CSG17.html#group30F17", "30F¹⁷"), =HYPERLINK("CSG8.html#group70B8", "70B⁸"), =HYPERLINK("CSG9.html#group64F9", "64F⁹"), =HYPERLINK("CSG5.html#group28C5", "28C⁵"), =HYPERLINK("CSG16.html#group48A16", "48A¹⁶"), =HYPERLINK("CSG9.html#group40I9", "40I⁹"), =HYPERLINK("CSG9.html#group80N9", "80N⁹"), =HYPERLINK("CSG10.html#group48F10", "48F¹⁰"), =HYPERLINK("CSG11.html#group48E11", "48E¹¹"), =HYPERLINK("CSG23.html#group192J23", "192J²³"), =HYPERLINK("CSG19.html#group64B19", "64B¹⁹"), =HYPERLINK("CSG10.html#group30C10", "30C¹⁰"), =HYPERLINK("CSG3.html#group24M3", "24M³"), =HYPERLINK("CSG11.html#group40E11", "40E¹¹"), =HYPERLINK("CSG13.html#group40V13", "40V¹³"), =HYPERLINK("CSG21.html#group96AV21", "96AV²¹"), =HYPERLINK("CSG20.html#group166A20", "166A²⁰"), =HYPERLINK("CSG6.html#group48C6", "48C⁶"), =HYPERLINK("CSG19.html#group24O19", "24O¹⁹"), =HYPERLINK("CSG4.html#group24M4", "24M⁴"), =HYPERLINK("CSG21.html#group48G21", "48G²¹"), =HYPERLINK("CSG13.html#group32P13", "32P¹³"), =HYPERLINK("CSG13.html#group84B13", "84B¹³"), =HYPERLINK("CSG7.html#group16D7", "16D⁷"), =HYPERLINK("CSG15.html#group80O15", "80O¹⁵"), =HYPERLINK("CSG11.html#group96I11", "96I¹¹"), =HYPERLINK("CSG19.html#group176C19", "176C¹⁹"), =HYPERLINK("CSG13.html#group120G13", "120G¹³"), =HYPERLINK("CSG17.html#group144C17", "144C¹⁷"), =HYPERLINK("CSG19.html#group80U19", "80U¹⁹"), =HYPERLINK("CSG9.html#group96A9", "96A⁹"), =HYPERLINK("CSG1.html#group12F1", "12F¹"), =HYPERLINK("CSG19.html#group96K19", "96K¹⁹"), =HYPERLINK("CSG17.html#group80AD17", "80AD¹⁷"), =HYPERLINK("CSG1.html#group24D1", "24D¹"), =HYPERLINK("CSG19.html#group100P19", "100P¹⁹"), =HYPERLINK("CSG9.html#group40J9", "40J⁹"), =HYPERLINK("CSG15.html#group84H15", "84H¹⁵"), =HYPERLINK("CSG21.html#group72A21", "72A²¹"), =HYPERLINK("CSG21.html#group40H21", "40H²¹"), =HYPERLINK("CSG16.html#group72N16", "72N¹⁶"), =HYPERLINK("CSG8.html#group48AD8", "48AD⁸"), =HYPERLINK("CSG21.html#group24J21", "24J²¹"), =HYPERLINK("CSG23.html#group144F23", "144F²³"), =HYPERLINK("CSG17.html#group48AX17", "48AX¹⁷"), =HYPERLINK("CSG0.html#group8H0", "8H⁰"), =HYPERLINK("CSG22.html#group168D22", "168D²²"), =HYPERLINK("CSG23.html#group30H23", "30H²³"), =HYPERLINK("CSG7.html#group48AK7", "48AK⁷"), =HYPERLINK("CSG19.html#group96AQ19", "96AQ¹⁹"), =HYPERLINK("CSG17.html#group48CM17", "48CM¹⁷"), =HYPERLINK("CSG11.html#group96F11", "96F¹¹"), =HYPERLINK("CSG19.html#group140H19", "140H¹⁹"), =HYPERLINK("CSG11.html#group48L11", "48L¹¹"), =HYPERLINK("CSG17.html#group156D17", "156D¹⁷"), =HYPERLINK("CSG23.html#group32F23", "32F²³"), =HYPERLINK("CSG15.html#group132D15", "132D¹⁵"), =HYPERLINK("CSG12.html#group112F12", "112F¹²"), =HYPERLINK("CSG22.html#group72H22", "72H²²"), =HYPERLINK("CSG16.html#group70F16", "70F¹⁶"), =HYPERLINK("CSG21.html#group72L21", "72L²¹"), =HYPERLINK("CSG23.html#group112B23", "112B²³"), =HYPERLINK("CSG17.html#group96AE17", "96AE¹⁷"), =HYPERLINK("CSG21.html#group160D21", "160D²¹"), =HYPERLINK("CSG4.html#group24L4", "24L⁴"), =HYPERLINK("CSG22.html#group72E22", "72E²²"), =HYPERLINK("CSG2.html#group18I2", "18I²"), =HYPERLINK("CSG9.html#group40G9", "40G⁹"), =HYPERLINK("CSG17.html#group40D17", "40D¹⁷"), =HYPERLINK("CSG19.html#group24P19", "24P¹⁹"), =HYPERLINK("CSG6.html#group100A6", "100A⁶"), =HYPERLINK("CSG17.html#group84K17", "84K¹⁷"), =HYPERLINK("CSG19.html#group78E19", "78E¹⁹"), =HYPERLINK("CSG19.html#group48BS19", "48BS¹⁹"), =HYPERLINK("CSG7.html#group48H7", "48H⁷"), =HYPERLINK("CSG19.html#group72C19", "72C¹⁹"), =HYPERLINK("CSG23.html#group104O23", "104O²³"), =HYPERLINK("CSG21.html#group48R21", "48R²¹"), =HYPERLINK("CSG21.html#group48BL21", "48BL²¹"), =HYPERLINK("CSG17.html#group114A17", "114A¹⁷"), =HYPERLINK("CSG13.html#group100F13", "100F¹³"), =HYPERLINK("CSG21.html#group28M21", "28M²¹"), =HYPERLINK("CSG22.html#group48D22", "48D²²"), =HYPERLINK("CSG1.html#group20H1", "20H¹"), =HYPERLINK("CSG13.html#group64I13", "64I¹³"), =HYPERLINK("CSG19.html#group48AA19", "48AA¹⁹"), =HYPERLINK("CSG19.html#group144D19", "144D¹⁹"), =HYPERLINK("CSG9.html#group24A9", "24A⁹"), =HYPERLINK("CSG19.html#group36S19", "36S¹⁹"), =HYPERLINK("CSG15.html#group48E15", "48E¹⁵"), =HYPERLINK("CSG11.html#group48Z11", "48Z¹¹"), =HYPERLINK("CSG18.html#group80E18", "80E¹⁸"), =HYPERLINK("CSG19.html#group48AS19", "48AS¹⁹"), =HYPERLINK("CSG11.html#group60Q11", "60Q¹¹"), =HYPERLINK("CSG8.html#group18B8", "18B⁸"), =HYPERLINK("CSG23.html#group96AB23", "96AB²³"), =HYPERLINK("CSG11.html#group84A11", "84A¹¹"), =HYPERLINK("CSG19.html#group200J19", "200J¹⁹"), =HYPERLINK("CSG17.html#group24AC17", "24AC¹⁷"), =HYPERLINK("CSG17.html#group60F17", "60F¹⁷"), =HYPERLINK("CSG13.html#group32F13", "32F¹³"), =HYPERLINK("CSG13.html#group64B13", "64B¹³"), =HYPERLINK("CSG19.html#group96C19", "96C¹⁹"), =HYPERLINK("CSG11.html#group112J11", "112J¹¹"), =HYPERLINK("CSG23.html#group144A23", "144A²³"), =HYPERLINK("CSG19.html#group48K19", "48K¹⁹"), =HYPERLINK("CSG17.html#group48BY17", "48BY¹⁷"), =HYPERLINK("CSG11.html#group72C11", "72C¹¹"), =HYPERLINK("CSG11.html#group104E11", "104E¹¹"), =HYPERLINK("CSG9.html#group40W9", "40W⁹"), =HYPERLINK("CSG6.html#group54B6", "54B⁶"), =HYPERLINK("CSG15.html#group66A15", "66A¹⁵"), =HYPERLINK("CSG17.html#group24Q17", "24Q¹⁷"), =HYPERLINK("CSG17.html#group48CJ17", "48CJ¹⁷"), =HYPERLINK("CSG19.html#group72M19", "72M¹⁹"), =HYPERLINK("CSG22.html#group64A22", "64A²²"), =HYPERLINK("CSG15.html#group80M15", "80M¹⁵"), =HYPERLINK("CSG22.html#group176A22", "176A²²"), =HYPERLINK("CSG21.html#group192E21", "192E²¹"), =HYPERLINK("CSG9.html#group16J9", "16J⁹"), =HYPERLINK("CSG12.html#group42G12", "42G¹²"), =HYPERLINK("CSG15.html#group48AD15", "48AD¹⁵"), =HYPERLINK("CSG17.html#group48CI17", "48CI¹⁷"), =HYPERLINK("CSG9.html#group24D9", "24D⁹"), =HYPERLINK("CSG21.html#group48BG21", "48BG²¹"), =HYPERLINK("CSG17.html#group48AF17", "48AF¹⁷"), =HYPERLINK("CSG19.html#group192D19", "192D¹⁹"), =HYPERLINK("CSG3.html#group30E3", "30E³"), =HYPERLINK("CSG11.html#group112B11", "112B¹¹"), =HYPERLINK("CSG6.html#group36C6", "36C⁶"), =HYPERLINK("CSG11.html#group52G11", "52G¹¹"), =HYPERLINK("CSG23.html#group96R23", "96R²³"), =HYPERLINK("CSG7.html#group20C7", "20C⁷"), =HYPERLINK("CSG8.html#group72D8", "72D⁸"), =HYPERLINK("CSG19.html#group24Q19", "24Q¹⁹"), =HYPERLINK("CSG15.html#group24R15", "24R¹⁵"), =HYPERLINK("CSG3.html#group24Y3", "24Y³"), =HYPERLINK("CSG9.html#group64A9", "64A⁹"), =HYPERLINK("CSG13.html#group50C13", "50C¹³"), =HYPERLINK("CSG17.html#group96T17", "96T¹⁷"), =HYPERLINK("CSG21.</f>
        <v/>
      </c>
    </row>
    <row r="5">
      <c r="A5" t="inlineStr">
        <is>
          <t>2C⁰</t>
        </is>
      </c>
      <c r="B5" t="inlineStr">
        <is>
          <t>Γ(2)</t>
        </is>
      </c>
      <c r="C5" t="inlineStr">
        <is>
          <t>6</t>
        </is>
      </c>
      <c r="D5" t="inlineStr">
        <is>
          <t>1</t>
        </is>
      </c>
      <c r="E5" t="inlineStr">
        <is>
          <t>1</t>
        </is>
      </c>
      <c r="F5" t="inlineStr">
        <is>
          <t>0</t>
        </is>
      </c>
      <c r="G5" t="inlineStr">
        <is>
          <t>0</t>
        </is>
      </c>
      <c r="H5" t="inlineStr">
        <is>
          <t>2³</t>
        </is>
      </c>
      <c r="I5" t="n">
        <v>3</v>
      </c>
      <c r="J5" t="inlineStr">
        <is>
          <t>1¹</t>
        </is>
      </c>
      <c r="K5">
        <f>HYPERLINK("CSG0.html#group2A0", "2A⁰"), =HYPERLINK("CSG0.html#group2B0", "2B⁰")</f>
        <v/>
      </c>
      <c r="L5">
        <f>HYPERLINK("CSG0.html#group4E0", "4E⁰"), =HYPERLINK("CSG0.html#group6I0", "6I⁰"), =HYPERLINK("CSG1.html#group6C1", "6C¹"), =HYPERLINK("CSG1.html#group10G1", "10G¹"), =HYPERLINK("CSG2.html#group10B2", "10B²"), =HYPERLINK("CSG2.html#group14E2", "14E²"), =HYPERLINK("CSG3.html#group10A3", "10A³"), =HYPERLINK("CSG3.html#group14B3", "14B³"), =HYPERLINK("CSG4.html#group22A4", "22A⁴"), =HYPERLINK("CSG5.html#group22A5", "22A⁵"), =HYPERLINK("CSG5.html#group26B5", "26B⁵"), =HYPERLINK("CSG7.html#group34A7", "34A⁷"), =HYPERLINK("CSG8.html#group38A8", "38A⁸"), =HYPERLINK("CSG10.html#group18A10", "18A¹⁰"), =HYPERLINK("CSG10.html#group46A10", "46A¹⁰"), =HYPERLINK("CSG13.html#group58A13", "58A¹³"), =HYPERLINK("CSG14.html#group62B14", "62B¹⁴"), =HYPERLINK("CSG17.html#group74A17", "74A¹⁷"), =HYPERLINK("CSG19.html#group82A19", "82A¹⁹"), =HYPERLINK("CSG20.html#group86B20", "86B²⁰"), =HYPERLINK("CSG21.html#group22A21", "22A²¹"), =HYPERLINK("CSG22.html#group94A22", "94A²²")</f>
        <v/>
      </c>
      <c r="M5">
        <f>HYPERLINK("CSG0.html#group2A0", "2A⁰"), =HYPERLINK("CSG0.html#group1A0", "1A⁰"), =HYPERLINK("CSG0.html#group2B0", "2B⁰")</f>
        <v/>
      </c>
      <c r="N5">
        <f>HYPERLINK("CSG13.html#group40R13", "40R¹³"), =HYPERLINK("CSG11.html#group16A11", "16A¹¹"), =HYPERLINK("CSG18.html#group96A18", "96A¹⁸"), =HYPERLINK("CSG0.html#group12I0", "12I⁰"), =HYPERLINK("CSG17.html#group40X17", "40X¹⁷"), =HYPERLINK("CSG22.html#group84K22", "84K²²"), =HYPERLINK("CSG3.html#group12G3", "12G³"), =HYPERLINK("CSG24.html#group56G24", "56G²⁴"), =HYPERLINK("CSG12.html#group56H12", "56H¹²"), =HYPERLINK("CSG21.html#group48CF21", "48CF²¹"), =HYPERLINK("CSG21.html#group80C21", "80C²¹"), =HYPERLINK("CSG3.html#group20J3", "20J³"), =HYPERLINK("CSG9.html#group24AC9", "24AC⁹"), =HYPERLINK("CSG21.html#group48BS21", "48BS²¹"), =HYPERLINK("CSG13.html#group32U13", "32U¹³"), =HYPERLINK("CSG17.html#group24AO17", "24AO¹⁷"), =HYPERLINK("CSG18.html#group60B18", "60B¹⁸"), =HYPERLINK("CSG11.html#group48I11", "48I¹¹"), =HYPERLINK("CSG7.html#group24AF7", "24AF⁷"), =HYPERLINK("CSG23.html#group84J23", "84J²³"), =HYPERLINK("CSG11.html#group28F11", "28F¹¹"), =HYPERLINK("CSG21.html#group32G21", "32G²¹"), =HYPERLINK("CSG21.html#group96E21", "96E²¹"), =HYPERLINK("CSG21.html#group32C21", "32C²¹"), =HYPERLINK("CSG15.html#group36C15", "36C¹⁵"), =HYPERLINK("CSG13.html#group30P13", "30P¹³"), =HYPERLINK("CSG19.html#group48I19", "48I¹⁹"), =HYPERLINK("CSG7.html#group32C7", "32C⁷"), =HYPERLINK("CSG1.html#group18J1", "18J¹"), =HYPERLINK("CSG3.html#group16I3", "16I³"), =HYPERLINK("CSG21.html#group72B21", "72B²¹"), =HYPERLINK("CSG19.html#group78B19", "78B¹⁹"), =HYPERLINK("CSG15.html#group40U15", "40U¹⁵"), =HYPERLINK("CSG21.html#group48CD21", "48CD²¹"), =HYPERLINK("CSG15.html#group24I15", "24I¹⁵"), =HYPERLINK("CSG11.html#group48A11", "48A¹¹"), =HYPERLINK("CSG7.html#group30F7", "30F⁷"), =HYPERLINK("CSG7.html#group40M7", "40M⁷"), =HYPERLINK("CSG20.html#group44A20", "44A²⁰"), =HYPERLINK("CSG12.html#group28C12", "28C¹²"), =HYPERLINK("CSG24.html#group112B24", "112B²⁴"), =HYPERLINK("CSG19.html#group36D19", "36D¹⁹"), =HYPERLINK("CSG19.html#group24G19", "24G¹⁹"), =HYPERLINK("CSG7.html#group54B7", "54B⁷"), =HYPERLINK("CSG3.html#group20I3", "20I³"), =HYPERLINK("CSG9.html#group16E9", "16E⁹"), =HYPERLINK("CSG10.html#group18C10", "18C¹⁰"), =HYPERLINK("CSG10.html#group24A10", "24A¹⁰"), =HYPERLINK("CSG9.html#group16D9", "16D⁹"), =HYPERLINK("CSG16.html#group72I16", "72I¹⁶"), =HYPERLINK("CSG24.html#group56D24", "56D²⁴"), =HYPERLINK("CSG23.html#group56F23", "56F²³"), =HYPERLINK("CSG7.html#group16B7", "16B⁷"), =HYPERLINK("CSG19.html#group82A19", "82A¹⁹"), =HYPERLINK("CSG9.html#group32D9", "32D⁹"), =HYPERLINK("CSG0.html#group4G0", "4G⁰"), =HYPERLINK("CSG19.html#group40A19", "40A¹⁹"), =HYPERLINK("CSG4.html#group28D4", "28D⁴"), =HYPERLINK("CSG19.html#group24B19", "24B¹⁹"), =HYPERLINK("CSG8.html#group44A8", "44A⁸"), =HYPERLINK("CSG2.html#group12F2", "12F²"), =HYPERLINK("CSG19.html#group48P19", "48P¹⁹"), =HYPERLINK("CSG19.html#group48AW19", "48AW¹⁹"), =HYPERLINK("CSG22.html#group36K22", "36K²²"), =HYPERLINK("CSG23.html#group52C23", "52C²³"), =HYPERLINK("CSG13.html#group12A13", "12A¹³"), =HYPERLINK("CSG4.html#group24N4", "24N⁴"), =HYPERLINK("CSG16.html#group72H16", "72H¹⁶"), =HYPERLINK("CSG15.html#group24D15", "24D¹⁵"), =HYPERLINK("CSG19.html#group36A19", "36A¹⁹"), =HYPERLINK("CSG18.html#group70C18", "70C¹⁸"), =HYPERLINK("CSG13.html#group40Q13", "40Q¹³"), =HYPERLINK("CSG21.html#group48BR21", "48BR²¹"), =HYPERLINK("CSG13.html#group30H13", "30H¹³"), =HYPERLINK("CSG21.html#group36E21", "36E²¹"), =HYPERLINK("CSG17.html#group24U17", "24U¹⁷"), =HYPERLINK("CSG21.html#group80P21", "80P²¹"), =HYPERLINK("CSG18.html#group96C18", "96C¹⁸"), =HYPERLINK("CSG4.html#group10A4", "10A⁴"), =HYPERLINK("CSG21.html#group64A21", "64A²¹"), =HYPERLINK("CSG15.html#group40AB15", "40AB¹⁵"), =HYPERLINK("CSG21.html#group64E21", "64E²¹"), =HYPERLINK("CSG23.html#group78C23", "78C²³"), =HYPERLINK("CSG15.html#group40C15", "40C¹⁵"), =HYPERLINK("CSG6.html#group16A6", "16A⁶"), =HYPERLINK("CSG21.html#group96BD21", "96BD²¹"), =HYPERLINK("CSG21.html#group28C21", "28C²¹"), =HYPERLINK("CSG13.html#group40J13", "40J¹³"), =HYPERLINK("CSG21.html#group48N21", "48N²¹"), =HYPERLINK("CSG23.html#group84I23", "84I²³"), =HYPERLINK("CSG8.html#group36H8", "36H⁸"), =HYPERLINK("CSG17.html#group64A17", "64A¹⁷"), =HYPERLINK("CSG13.html#group48A13", "48A¹³"), =HYPERLINK("CSG20.html#group84M20", "84M²⁰"), =HYPERLINK("CSG15.html#group24E15", "24E¹⁵"), =HYPERLINK("CSG13.html#group24AC13", "24AC¹³"), =HYPERLINK("CSG11.html#group64A11", "64A¹¹"), =HYPERLINK("CSG19.html#group48H19", "48H¹⁹"), =HYPERLINK("CSG9.html#group24AF9", "24AF⁹"), =HYPERLINK("CSG4.html#group18C4", "18C⁴"), =HYPERLINK("CSG7.html#group30Q7", "30Q⁷"), =HYPERLINK("CSG0.html#group16G0", "16G⁰"), =HYPERLINK("CSG11.html#group48M11", "48M¹¹"), =HYPERLINK("CSG5.html#group32N5", "32N⁵"), =HYPERLINK("CSG1.html#group6C1", "6C¹"), =HYPERLINK("CSG2.html#group12B2", "12B²"), =HYPERLINK("CSG9.html#group24AH9", "24AH⁹"), =HYPERLINK("CSG15.html#group40V15", "40V¹⁵"), =HYPERLINK("CSG19.html#group70B19", "70B¹⁹"), =HYPERLINK("CSG17.html#group36B17", "36B¹⁷"), =HYPERLINK("CSG5.html#group10B5", "10B⁵"), =HYPERLINK("CSG17.html#group24Z17", "24Z¹⁷"), =HYPERLINK("CSG9.html#group48AH9", "48AH⁹"), =HYPERLINK("CSG17.html#group24AP17", "24AP¹⁷"), =HYPERLINK("CSG21.html#group48Y21", "48Y²¹"), =HYPERLINK("CSG13.html#group32E13", "32E¹³"), =HYPERLINK("CSG23.html#group50A23", "50A²³"), =HYPERLINK("CSG17.html#group24P17", "24P¹⁷"), =HYPERLINK("CSG19.html#group24K19", "24K¹⁹"), =HYPERLINK("CSG21.html#group48CK21", "48CK²¹"), =HYPERLINK("CSG9.html#group48AK9", "48AK⁹"), =HYPERLINK("CSG19.html#group96A19", "96A¹⁹"), =HYPERLINK("CSG21.html#group22C21", "22C²¹"), =HYPERLINK("CSG10.html#group28C10", "28C¹⁰"), =HYPERLINK("CSG15.html#group48K15", "48K¹⁵"), =HYPERLINK("CSG9.html#group16C9", "16C⁹"), =HYPERLINK("CSG13.html#group64V13", "64V¹³"), =HYPERLINK("CSG17.html#group40C17", "40C¹⁷"), =HYPERLINK("CSG19.html#group48BT19", "48BT¹⁹"), =HYPERLINK("CSG19.html#group24H19", "24H¹⁹"), =HYPERLINK("CSG11.html#group28C11", "28C¹¹"), =HYPERLINK("CSG21.html#group32H21", "32H²¹"), =HYPERLINK("CSG1.html#group12P1", "12P¹"), =HYPERLINK("CSG7.html#group14A7", "14A⁷"), =HYPERLINK("CSG10.html#group44B10", "44B¹⁰"), =HYPERLINK("CSG15.html#group24J15", "24J¹⁵"), =HYPERLINK("CSG15.html#group64B15", "64B¹⁵"), =HYPERLINK("CSG13.html#group32H13", "32H¹³"), =HYPERLINK("CSG8.html#group24C8", "24C⁸"), =HYPERLINK("CSG21.html#group48AJ21", "48AJ²¹"), =HYPERLINK("CSG17.html#group24R17", "24R¹⁷"), =HYPERLINK("CSG21.html#group32E21", "32E²¹"), =HYPERLINK("CSG21.html#group22A21", "22A²¹"), =HYPERLINK("CSG17.html#group24Y17", "24Y¹⁷"), =HYPERLINK("CSG19.html#group100Q19", "100Q¹⁹"), =HYPERLINK("CSG1.html#group10K1", "10K¹"), =HYPERLINK("CSG19.html#group96B19", "96B¹⁹"), =HYPERLINK("CSG23.html#group96I23", "96I²³"), =HYPERLINK("CSG13.html#group20E13", "20E¹³"), =HYPERLINK("CSG21.html#group48CC21", "48CC²¹"), =HYPERLINK("CSG17.html#group48D17", "48D¹⁷"), =HYPERLINK("CSG7.html#group40X7", "40X⁷"), =HYPERLINK("CSG7.html#group24AH7", "24AH⁷"), =HYPERLINK("CSG0.html#group4E0", "4E⁰"), =HYPERLINK("CSG11.html#group32B11", "32B¹¹"), =HYPERLINK("CSG21.html#group108E21", "108E²¹"), =HYPERLINK("CSG19.html#group36B19", "36B¹⁹"), =HYPERLINK("CSG9.html#group44B9", "44B⁹"), =HYPERLINK("CSG10.html#group42C10", "42C¹⁰"), =HYPERLINK("CSG19.html#group44A19", "44A¹⁹"), =HYPERLINK("CSG7.html#group20K7", "20K⁷"), =HYPERLINK("CSG10.html#group20D10", "20D¹⁰"), =HYPERLINK("CSG11.html#group36N11", "36N¹¹"), =HYPERLINK("CSG1.html#group16M1", "16M¹"), =HYPERLINK("CSG19.html#group42G19", "42G¹⁹"), =HYPERLINK("CSG19.html#group42K19", "42K¹⁹"), =HYPERLINK("CSG7.html#group18N7", "18N⁷"), =HYPERLINK("CSG17.html#group24V17", "24V¹⁷"), =HYPERLINK("CSG13.html#group48B13", "48B¹³"), =HYPERLINK("CSG21.html#group84A21", "84A²¹"), =HYPERLINK("CSG0.html#group6I0", "6I⁰"), =HYPERLINK("CSG7.html#group10A7", "10A⁷"), =HYPERLINK("CSG23.html#group104B23", "104B²³"), =HYPERLINK("CSG12.html#group56B12", "56B¹²"), =HYPERLINK("CSG17.html#group98B17", "98B¹⁷"), =HYPERLINK("CSG11.html#group56L11", "56L¹¹"), =HYPERLINK("CSG17.html#group40U17", "40U¹⁷"), =HYPERLINK("CSG19.html#group72D19", "72D¹⁹"), =HYPERLINK("CSG23.html#group96F23", "96F²³"), =HYPERLINK("CSG23.html#group56A23", "56A²³"), =HYPERLINK("CSG21.html#group16C21", "16C²¹"), =HYPERLINK("CSG23.html#group104C23", "104C²³"), =HYPERLINK("CSG5.html#group24I5", "24I⁵"), =HYPERLINK("CSG15.html#group40O15", "40O¹⁵"), =HYPERLINK("CSG22.html#group96C22", "96C²²"), =HYPERLINK("CSG20.html#group84C20", "84C²⁰"), =HYPERLINK("CSG5.html#group16A5", "16A⁵"), =HYPERLINK("CSG21.html#group48CQ21", "48CQ²¹"), =HYPERLINK("CSG15.html#group20C15", "20C¹⁵"), =HYPERLINK("CSG17.html#group60T17", "60T¹⁷"), =HYPERLINK("CSG9.html#group32C9", "32C⁹"), =HYPERLINK("CSG19.html#group88G19", "88G¹⁹"), =HYPERLINK("CSG11.html#group20B11", "20B¹¹"), =HYPERLINK("CSG23.html#group96O23", "96O²³"), =HYPERLINK("CSG3.html#group14B3", "14B³"), =HYPERLINK("CSG7.html#group18E7", "18E⁷"), =HYPERLINK("CSG21.html#group88A21", "88A²¹"), =HYPERLINK("CSG16.html#group60A16", "60A¹⁶"), =HYPERLINK("CSG19.html#group96BC19", "96BC¹⁹"), =HYPERLINK("CSG21.html#group88C21", "88C²¹"), =HYPERLINK("CSG17.html#group16B17", "16B¹⁷"), =HYPERLINK("CSG4.html#group12A4", "12A⁴"), =HYPERLINK("CSG9.html#group16F9", "16F⁹"), =HYPERLINK("CSG18.html#group80A18", "80A¹⁸"), =HYPERLINK("CSG21.html#group48O21", "48O²¹"), =HYPERLINK("CSG17.html#group60B17", "60B¹⁷"), =HYPERLINK("CSG11.html#group24B11", "24B¹¹"), =HYPERLINK("CSG21.html#group48AN21", "48AN²¹"), =HYPERLINK("CSG22.html#group96A22", "96A²²"), =HYPERLINK("CSG21.html#group48J21", "48J²¹"), =HYPERLINK("CSG13.html#group24O13", "24O¹³"), =HYPERLINK("CSG17.html#group36A17", "36A¹⁷"), =HYPERLINK("CSG19.html#group72A19", "72A¹⁹"), =HYPERLINK("CSG0.html#group8N0", "8N⁰"), =HYPERLINK("CSG15.html#group48F15", "48F¹⁵"), =HYPERLINK("CSG9.html#group40K9", "40K⁹"), =HYPERLINK("CSG21.html#group48AK21", "48AK²¹"), =HYPERLINK("CSG19.html#group88C19", "88C¹⁹"), =HYPERLINK("CSG21.html#group96BF21", "96BF²¹"), =HYPERLINK("CSG23.html#group96E23", "96E²³"), =HYPERLINK("CSG3.html#group16B3", "16B³"), =HYPERLINK("CSG17.html#group72M17", "72M¹⁷"), =HYPERLINK("CSG13.html#group58A13", "58A¹³"), =HYPERLINK("CSG17.html#group24J17", "24J¹⁷"), =HYPERLINK("CSG15.html#group40W15", "40W¹⁵"), =HYPERLINK("CSG21.html#group92A21", "92A²¹"), =HYPERLINK("CSG19.html#group48O19", "48O¹⁹"), =HYPERLINK("CSG21.html#group48CH21", "48CH²¹"), =HYPERLINK("CSG7.html#group18O7", "18O⁷"), =HYPERLINK("CSG10.html#group36A10", "36A¹⁰"), =HYPERLINK("CSG8.html#group48C8", "48C⁸"), =HYPERLINK("CSG9.html#group32B9", "32B⁹"), =HYPERLINK("CSG15.html#group64C15", "64C¹⁵"), =HYPERLINK("CSG9.html#group24C9", "24C⁹"), =HYPERLINK("CSG18.html#group48G18", "48G¹⁸"), =HYPERLINK("CSG13.html#group32A13", "32A¹³"), =HYPERLINK("CSG19.html#group80B19", "80B¹⁹"), =HYPERLINK("CSG21.html#group48CJ21", "48CJ²¹"), =HYPERLINK("CSG19.html#group70G19", "70G¹⁹"), =HYPERLINK("CSG19.html#group66B19", "66B¹⁹"), =HYPERLINK("CSG19.html#group88B19", "88B¹⁹"), =HYPERLINK("CSG13.html#group48AG13", "48AG¹³"), =HYPERLINK("CSG7.html#group34A7", "34A⁷"), =HYPERLINK("CSG13.html#group48J13", "48J¹³"), =HYPERLINK("CSG21.html#group72D21", "72D²¹"), =HYPERLINK("CSG21.html#group24E21", "24E²¹"), =HYPERLINK("CSG21.html#group32A21", "32A²¹"), =HYPERLINK("CSG3.html#group16A3", "16A³"), =HYPERLINK("CSG4.html#group14B4", "14B⁴"), =HYPERLINK("CSG19.html#group52A19", "52A¹⁹"), =HYPERLINK("CSG21.html#group48S21", "48S²¹"), =HYPERLINK("CSG17.html#group72K17", "72K¹⁷"), =HYPERLINK("CSG21.html#group48CB21", "48CB²¹"), =HYPERLINK("CSG13.html#group30C13", "30C¹³"), =HYPERLINK("CSG20.html#group84K20", "84K²⁰"), =HYPERLINK("CSG17.html#group16A17", "16A¹⁷"), =HYPERLINK("CSG15.html#group60AA15", "60AA¹⁵"), =HYPERLINK("CSG13.html#group36U13", "36U¹³"), =HYPERLINK("CSG23.html#group96D23", "96D²³"), =HYPERLINK("CSG17.html#group24AR17", "24AR¹⁷"), =HYPERLINK("CSG21.html#group16B21", "16B²¹"), =HYPERLINK("CSG23.html#group96G23", "96G²³"), =HYPERLINK("CSG23.html#group96C23", "96C²³"), =HYPERLINK("CSG17.html#group40G17", "40G¹⁷"), =HYPERLINK("CSG9.html#group24AB9", "24AB⁹"), =HYPERLINK("CSG24.html#group56F24", "56F²⁴"), =HYPERLINK("CSG22.html#group90B22", "90B²²"), =HYPERLINK("CSG23.html#group96J23", "96J²³"), =HYPERLINK("CSG19.html#group48G19", "48G¹⁹"), =HYPERLINK("CSG5.html#group36L5", "36L⁵"), =HYPERLINK("CSG2.html#group16C2", "16C²"), =HYPERLINK("CSG20.html#group88A20", "88A²⁰"), =HYPERLINK("CSG3.html#group8A3", "8A³"), =HYPERLINK("CSG19.html#group88H19", "88H¹⁹"), =HYPERLINK("CSG19.html#group18E19", "18E¹⁹"), =HYPERLINK("CSG17.html#group24AS17", "24AS¹⁷"), =HYPERLINK("CSG15.html#group40B15", "40B¹⁵"), =HYPERLINK("CSG4.html#group22A4", "22A⁴"), =HYPERLINK("CSG17.html#group24AN17", "24AN¹⁷"), =HYPERLINK("CSG2.html#group8A2", "8A²"), =HYPERLINK("CSG5.html#group16B5", "16B⁵"), =HYPERLINK("CSG16.html#group36B16", "36B¹⁶"), =HYPERLINK("CSG9.html#group24U9", "24U⁹"), =HYPERLINK("CSG19.html#group48B19", "48B¹⁹"), =HYPERLINK("CSG4.html#group20A4", "20A⁴"), =HYPERLINK("CSG11.html#group48X11", "48X¹¹"), =HYPERLINK("CSG4.html#group18D4", "18D⁴"), =HYPERLINK("CSG9.html#group20F9", "20F⁹"), =HYPERLINK("CSG13.html#group16C13", "16C¹³"), =HYPERLINK("CSG4.html#group12C4", "12C⁴"), =HYPERLINK("CSG19.html#group18A19", "18A¹⁹"), =HYPERLINK("CSG21.html#group48AP21", "48AP²¹"), =HYPERLINK("CSG3.html#group36J3", "36J³"), =HYPERLINK("CSG17.html#group24C17", "24C¹⁷"), =HYPERLINK("CSG19.html#group96H19", "96H¹⁹"), =HYPERLINK("CSG21.html#group96H21", "96H²¹"), =HYPERLINK("CSG7.html#group24AI7", "24AI⁷"), =HYPERLINK("CSG9.html#group64C9", "64C⁹"), =HYPERLINK("CSG16.html#group28B16", "28B¹⁶"), =HYPERLINK("CSG10.html#group48A10", "48A¹⁰"), =HYPERLINK("CSG7.html#group32F7", "32F⁷"), =HYPERLINK("CSG7.html#group24AK7", "24AK⁷"), =HYPERLINK("CSG6.html#group28B6", "28B⁶"), =HYPERLINK("CSG21.html#group96A21", "96A²¹"), =HYPERLINK("CSG3.html#group24AA3", "24AA³"), =HYPERLINK("CSG5.html#group16M5", "16M⁵"), =HYPERLINK("CSG13.html#group40K13", "40K¹³"), =HYPERLINK("CSG9.html#group24AD9", "24AD⁹"), =HYPERLINK("CSG8.html#group36G8", "36G⁸"), =HYPERLINK("CSG5.html#group24F5", "24F⁵"), =HYPERLINK("CSG20.html#group84F20", "84F²⁰"), =HYPERLINK("CSG21.html#group24D21", "24D²¹"), =HYPERLINK("CSG22.html#group92A22", "92A²²"), =HYPERLINK("CSG22.html#group36B22", "36B²²"), =HYPERLINK("CSG7.html#group48AL7", "48AL⁷"), =HYPERLINK("CSG3.html#group24U3", "24U³"), =HYPERLINK("CSG17.html#group48J17", "48J¹⁷"), =HYPERLINK("CSG13.html#group16B13", "16B¹³"), =HYPERLINK("CSG5.html#group22A5", "22A⁵"), =HYPERLINK("CSG21.html#group80I21", "80I²¹"), =HYPERLINK("CSG5.html#group24H5", "24H⁵"), =HYPERLINK("CSG10.html#group18H10", "18H¹⁰"), =HYPERLINK("CSG3.html#group20R3", "20R³"), =HYPERLINK("CSG21.html#group48F21", "48F²¹"), =HYPERLINK("CSG15.html#group36J15", "36J¹⁵"), =HYPERLINK("CSG1.html#group6E1", "6E¹"), =HYPERLINK("CSG21.html#group48CE21", "48CE²¹"), =HYPERLINK("CSG21.html#group48Z21", "48Z²¹"), =HYPERLINK("CSG9.html#group48E9", "48E⁹"), =HYPERLINK("CSG19.html#group24A19", "24A¹⁹"), =HYPERLINK("CSG13.html#group26B13", "26B¹³"), =HYPERLINK("CSG17.html#group40H17", "40H¹⁷"), =HYPERLINK("CSG17.html#group48K17", "48K¹⁷"), =HYPERLINK("CSG1.html#group16E1", "16E¹"), =HYPERLINK("CSG9.html#group32A9", "32A⁹"), =HYPERLINK("CSG8.html#group40D8", "40D⁸"), =HYPERLINK("CSG18.html#group48I18", "48I¹⁸"), =HYPERLINK("CSG16.html#group28C16", "28C¹⁶"), =HYPERLINK("CSG19.html#group80F19", "80F¹⁹"), =HYPERLINK("CSG2.html#group10B2", "10B²"), =HYPERLINK("CSG11.html#group24A11", "24A¹¹"), =HYPERLINK("CSG14.html#group62B14", "62B¹⁴"), =HYPERLINK("CSG13.html#group48I13", "48I¹³"), =HYPERLINK("CSG19.html#group72L19", "72L¹⁹"), =HYPERLINK("CSG2.html#group32B2", "32B²"), =HYPERLINK("CSG9.html#group28F9", "28F⁹"), =HYPERLINK("CSG9.html#group16A9", "16A⁹"), =HYPERLINK("CSG17.html#group24T17", "24T¹⁷"), =HYPERLINK("CSG16.html#group36A16", "36A¹⁶"), =HYPERLINK("CSG13.html#group32M13", "32M¹³"), =HYPERLINK("CSG13.html#group56G13", "56G¹³"), =HYPERLINK("CSG9.html#group26B9", "26B⁹"), =HYPERLINK("CSG13.html#group32D13", "32D¹³"), =HYPERLINK("CSG23.html#group96B23", "96B²³"), =HYPERLINK("CSG16.html#group66B16", "66B¹⁶"), =HYPERLINK("CSG0.html#group8J0", "8J⁰"), =HYPERLINK("CSG17.html#group48I17", "48I¹⁷"), =HYPERLINK("CSG18.html#group40A18", "40A¹⁸"), =HYPERLINK("CSG3.html#group8B3", "8B³"), =HYPERLINK("CSG3.html#group24V3", "24V³"), =HYPERLINK("CSG21.html#group24F21", "24F²¹"), =HYPERLINK("CSG10.html#group24D10", "24D¹⁰"), =HYPERLINK("CSG9.html#group24AG9", "24AG⁹"), =HYPERLINK("CSG21.html#group16A21", "16A²¹"), =HYPERLINK("CSG23.html#group56O23", "56O²³"), =HYPERLINK("CSG22.html#group40A22", "40A²²"), =HYPERLINK("CSG21.html#group36F21", "36F²¹"), =HYPERLINK("CSG15.html#group60N15", "60N¹⁵"), =HYPERLINK("CSG8.html#group36I8", "36I⁸"), =HYPERLINK("CSG15.html#group36D15", "36D¹⁵"), =HYPERLINK("CSG13.html#group24AB13", "24AB¹³"), =HYPERLINK("CSG19.html#group24F19", "24F¹⁹"), =HYPERLINK("CSG17.html#group76A17", "76A¹⁷"), =HYPERLINK("CSG11.html#group56M11", "56M¹¹"), =HYPERLINK("CSG19.html#group60K19", "60K¹⁹"), =HYPERLINK("CSG10.html#group20A10", "20A¹⁰"), =HYPERLINK("CSG5.html#group28E5", "28E⁵"), =HYPERLINK("CSG19.html#group72N19", "72N¹⁹"), =HYPERLINK("CSG19.html#group20D19", "20D¹⁹"), =HYPERLINK("CSG23.html#group52B23", "52B²³"), =HYPERLINK("CSG0.html#group8G0", "8G⁰"), =HYPERLINK("CSG15.html#group24B15", "24B¹⁵"), =HYPERLINK("CSG15.html#group40X15", "40X¹⁵"), =HYPERLINK("CSG15.html#group68A15", "68A¹⁵"), =HYPERLINK("CSG7.html#group12B7", "12B⁷"), =HYPERLINK("CSG21.html#group48AI21", "48AI²¹"), =HYPERLINK("CSG5.html#group32A5", "32A⁵"), =HYPERLINK("CSG19.html#group18C19", "18C¹⁹"), =HYPERLINK("CSG9.html#group24J9", "24J⁹"), =HYPERLINK("CSG11.html#group56R11", "56R¹¹"), =HYPERLINK("CSG22.html#group40E22", "40E²²"), =HYPERLINK("CSG17.html#group60S17", "60S¹⁷"), =HYPERLINK("CSG21.html#group42H21", "42H²¹"), =HYPERLINK("CSG9.html#group24H9", "24H⁹"), =HYPERLINK("CSG10.html#group42J10", "42J¹⁰"), =HYPERLINK("CSG17.html#group24B17", "24B¹⁷"), =HYPERLINK("CSG9.html#group12B9", "12B⁹"), =HYPERLINK("CSG23.html#group42F23", "42F²³"), =HYPERLINK("CSG8.html#group24B8", "24B⁸"), =HYPERLINK("CSG17.html#group40V17", "40V¹⁷"), =HYPERLINK("CSG19.html#group48L19", "48L¹⁹"), =HYPERLINK("CSG13.html#group14C13", "14C¹³"), =HYPERLINK("CSG5.html#group24AB5", "24AB⁵"), =HYPERLINK("CSG7.html#group16C7", "16C⁷"), =HYPERLINK("CSG15.html#group64D15", "64D¹⁵"), =HYPERLINK("CSG24.html#group56A24", "56A²⁴"), =HYPERLINK("CSG10.html#group48B10", "48B¹⁰"), =HYPERLINK("CSG19.html#group80L19", "80L¹⁹"), =HYPERLINK("CSG15.html#group60D15", "60D¹⁵"), =HYPERLINK("CSG9.html#group14B9", "14B⁹"), =HYPERLINK("CSG21.html#group48E21", "48E²¹"), =HYPERLINK("CSG9.html#group24K9", "24K⁹"), =HYPERLINK("CSG4.html#group24E4", "24E⁴"), =HYPERLINK("CSG13.html#group48C13", "48C¹³"), =HYPERLINK("CSG22.html#group108E22", "108E²²"), =HYPERLINK("CSG19.html#group32A19", "32A¹⁹"), =HYPERLINK("CSG21.html#group32D21", "32D²¹"), =HYPERLINK("CSG9.html#group24AK9", "24AK⁹"), =HYPERLINK("CSG9.html#group64B9", "64B⁹"), =HYPERLINK("CSG13.html#group50B13", "50B¹³"), =HYPERLINK("CSG21.html#group48I21", "48I²¹"), =HYPERLINK("CSG23.html#group104M23", "104M²³"), =HYPERLINK("CSG8.html#group40A8", "40A⁸"), =HYPERLINK("CSG15.html#group64A15", "64A¹⁵"), =HYPERLINK("CSG17.html#group48CK17", "48CK¹⁷"), =HYPERLINK("CSG21.html#group48CG21", "48CG²¹"), =HYPERLINK("CSG16.html#group36E16", "36E¹⁶"), =HYPERLINK("CSG21.html#group48AH21", "48AH²¹"), =HYPERLINK("CSG17.html#group48U17", "48U¹⁷"), =HYPERLINK("CSG9.html#group40A9", "40A⁹"), =HYPERLINK("CSG4.html#group18N4", "18N⁴"), =HYPERLINK("CSG3.html#group12L3", "12L³"), =HYPERLINK("CSG21.html#group80Q21", "80Q²¹"), =HYPERLINK("CSG11.html#group32A11", "32A¹¹"), =HYPERLINK("CSG15.html#group60AB15", "60AB¹⁵"), =HYPERLINK("CSG12.html#group56A12", "56A¹²"), =HYPERLINK("CSG22.html#group94A22", "94A²²"), =HYPERLINK("CSG8.html#group24A8", "24A⁸"), =HYPERLINK("CSG7.html#group24V7", "24V⁷"), =HYPERLINK("CSG10.html#group18E10", "18E¹⁰"), =HYPERLINK("CSG9.html#group24S9", "24S⁹"), =HYPERLINK("CSG17.html#group36I17", "36I¹⁷"), =HYPERLINK("CSG18.html#group48B18", "48B¹⁸"), =HYPERLINK("CSG7.html#group24AG7", "24AG⁷"), =HYPERLINK("CSG18.html#group76A18", "76A¹⁸"), =HYPERLINK("CSG6.html#group28E6", "28E⁶"), =HYPERLINK("CSG10.html#group46A10", "46A¹⁰"), =HYPERLINK("CSG15.html#group60L15", "60L¹⁵"), =HYPERLINK("CSG8.html#group36D8", "36D⁸"), =HYPERLINK("CSG3.html#group32J3", "32J³"), =HYPERLINK("CSG13.html#group32G13", "32G¹³"), =HYPERLINK("CSG21.html#group56L21", "56L²¹"), =HYPERLINK("CSG8.html#group24G8", "24G⁸"), =HYPERLINK("CSG8.html#group38A8", "38A⁸"), =HYPERLINK("CSG11.html#group48W11", "48W¹¹"), =HYPERLINK("CSG19.html#group48E19", "48E¹⁹"), =HYPERLINK("CSG9.html#group24I9", "24I⁹"), =HYPERLINK("CSG9.html#group36Q9", "36Q⁹"), =HYPERLINK("CSG19.html#group96E19", "96E¹⁹"), =HYPERLINK("CSG9.html#group24Z9", "24Z⁹"), =HYPERLINK("CSG7.html#group32D7", "32D⁷"), =HYPERLINK("CSG3.html#group12K3", "12K³"), =HYPERLINK("CSG21.html#group48Q21", "48Q²¹"), =HYPERLINK("CSG21.html#group48BQ21", "48BQ²¹"), =HYPERLINK("CSG23.html#group104S23", "104S²³"), =HYPERLINK("CSG10.html#group54A10", "54A¹⁰"), =HYPERLINK("CSG13.html#group56H13", "56H¹³"), =HYPERLINK("CSG17.html#group64D17", "64D¹⁷"), =HYPERLINK("CSG9.html#group36D9", "36D⁹"), =HYPERLINK("CSG13.html#group32B13", "32B¹³"), =HYPERLINK("CSG7.html#group32G7", "32G⁷"), =HYPERLINK("CSG20.html#group84H20", "84H²⁰"), =HYPERLINK("CSG21.html#group64F21", "64F²¹"), =HYPERLINK("CSG21.html#group64C21", "64C²¹"), =HYPERLINK("CSG16.html#group72B16", "72B¹⁶"), =HYPERLINK("CSG23.html#group56P23", "56P²³"), =HYPERLINK("CSG9.html#group40I9", "40I⁹"), =HYPERLINK("CSG17.html#group24F17", "24F¹⁷"), =HYPERLINK("CSG19.html#group48A19", "48A¹⁹"), =HYPERLINK("CSG17.html#group40T17", "40T¹⁷"), =HYPERLINK("CSG19.html#group44B19", "44B¹⁹"), =HYPERLINK("CSG11.html#group48B11", "48B¹¹"), =HYPERLINK("CSG17.html#group72N17", "72N¹⁷"), =HYPERLINK("CSG19.html#group40C19", "40C¹⁹"), =HYPERLINK("CSG24.html#group56B24", "56B²⁴"), =HYPERLINK("CSG21.html#group32R21", "32R²¹"), =HYPERLINK("CSG15.html#group80O15", "80O¹⁵"), =HYPERLINK("CSG24.html#group112A24", "112A²⁴"), =HYPERLINK("CSG17.html#group40W17", "40W¹⁷"), =HYPERLINK("CSG7.html#group20B7", "20B⁷"), =HYPERLINK("CSG21.html#group96BA21", "96BA²¹"), =HYPERLINK("CSG13.html#group48D13", "48D¹³"), =HYPERLINK("CSG10.html#group18G10", "18G¹⁰"), =HYPERLINK("CSG19.html#group100P19", "100P¹⁹"), =HYPERLINK("CSG17.html#group70C17", "70C¹⁷"), =HYPERLINK("CSG23.html#group56W23", "56W²³"), =HYPERLINK("CSG1.html#group8B1", "8B¹"), =HYPERLINK("CSG9.html#group40J9", "40J⁹"), =HYPERLINK("CSG21.html#group72A21", "72A²¹"), =HYPERLINK("CSG13.html#group30I13", "30I¹³"), =HYPERLINK("CSG17.html#group40AD17", "40AD¹⁷"), =HYPERLINK("CSG19.html#group42I19", "42I¹⁹"), =HYPERLINK("CSG7.html#group48AK7", "48AK⁷"), =HYPERLINK("CSG17.html#group48CM17", "48CM¹⁷"), =HYPERLINK("CSG7.html#group24AL7", "24AL⁷"), =HYPERLINK("CSG21.html#group84F21", "84F²¹"), =HYPERLINK("CSG21.html#group48K21", "48K²¹"), =HYPERLINK("CSG19.html#group24C19", "24C¹⁹"), =HYPERLINK("CSG8.html#group48D8", "48D⁸"), =HYPERLINK("CSG13.html#group36T13", "36T¹³"), =HYPERLINK("CSG18.html#group48D18", "48D¹⁸"), =HYPERLINK("CSG19.html#group64A19", "64A¹⁹"), =HYPERLINK("CSG17.html#group40D17", "40D¹⁷"), =HYPERLINK("CSG22.html#group30A22", "30A²²"), =HYPERLINK("CSG15.html#group30A15", "30A¹⁵"), =HYPERLINK("CSG20.html#group88C20", "88C²⁰"), =HYPERLINK("CSG7.html#group20L7", "20L⁷"), =HYPERLINK("CSG19.html#group78E19", "78E¹⁹"), =HYPERLINK("CSG19.html#group48BS19", "48BS¹⁹"), =HYPERLINK("CSG7.html#group40AC7", "40AC⁷"), =HYPERLINK("CSG7.html#group50C7", "50C⁷"), =HYPERLINK("CSG15.html#group60C15", "60C¹⁵"), =HYPERLINK("CSG19.html#group72C19", "72C¹⁹"), =HYPERLINK("CSG13.html#group32L13", "32L¹³"), =HYPERLINK("CSG21.html#group48L21", "48L²¹"), =HYPERLINK("CSG17.html#group24AJ17", "24AJ¹⁷"), =HYPERLINK("CSG21.html#group48R21", "48R²¹"), =HYPERLINK("CSG21.html#group28M21", "28M²¹"), =HYPERLINK("CSG5.html#group12E5", "12E⁵"), =HYPERLINK("CSG16.html#group54D16", "54D¹⁶"), =HYPERLINK("CSG13.html#group32C13", "32C¹³"), =HYPERLINK("CSG11.html#group56Q11", "56Q¹¹"), =HYPERLINK("CSG17.html#group72C17", "72C¹⁷"), =HYPERLINK("CSG21.html#group80AD21", "80AD²¹"), =HYPERLINK("CSG15.html#group48E15", "48E¹⁵"), =HYPERLINK("CSG15.html#group24A15", "24A¹⁵"), =HYPERLINK("CSG13.html#group32F13", "32F¹³"), =HYPERLINK("CSG9.html#group32E9", "32E⁹"), =HYPERLINK("CSG21.html#group48CA21", "48CA²¹"), =HYPERLINK("CSG13.html#group64B13", "64B¹³"), =HYPERLINK("CSG16.html#group72Q16", "72Q¹⁶"), =HYPERLINK("CSG19.html#group48K19", "48K¹⁹"), =HYPERLINK("CSG22.html#group38C22", "38C²²"), =HYPERLINK("CSG17.html#group24G17", "24G¹⁷"), =HYPERLINK("CSG15.html#group20D15", "20D¹⁵"), =HYPERLINK("CSG17.html#group24Q17", "24Q¹⁷"), =HYPERLINK("CSG17.html#group48CJ17", "48CJ¹⁷"), =HYPERLINK("CSG19.html#group72M19", "72M¹⁹"), =HYPERLINK("CSG8.html#group36B8", "36B⁸"), =HYPERLINK("CSG5.html#group8A5", "8A⁵"), =HYPERLINK("CSG21.html#group48AL21", "48AL²¹"), =HYPERLINK("CSG16.html#group22A16", "22A¹⁶"), =HYPERLINK("CSG9.html#group24D9", "24D⁹"), =HYPERLINK("CSG7.html#group12A7", "12A⁷"), =HYPERLINK("CSG21.html#group32F21", "32F²¹"), =HYPERLINK("CSG24.html#group56C24", "56C²⁴"), =HYPERLINK("CSG21.html#group52C21", "52C²¹"), =HYPERLINK("CSG7.html#group20C7", "20C⁷"), =HYPERLINK("CSG17.html#group80Z17", "80Z¹⁷"), =HYPERLINK("CSG23.html#group56Q23", "56Q²³"), =HYPERLINK("CSG13.html#group50C13", "50C¹³"), =HYPERLINK("CSG21.html#group32Q21", "32Q²¹"), =HYPERLINK("CSG0.html#group8O0", "8O⁰"), =HYPERLINK("CSG13.html#group10A13", "10A¹³"), =HYPERLINK("CSG10.html#group44A10", "44A¹⁰"), =HYPERLINK("CSG14.html#group60E14", "60E¹⁴"), =HYPERLINK("CSG17.html#group24AT17", "24AT¹⁷"), =HYPERLINK("CSG5.html#group12B5", "12B⁵"), =HYPERLINK("CSG21.html#group96B21", "96B²¹"), =HYPERLINK("CSG21.html#group24B21", "24B²¹"), =HYPERLINK("CSG19.html#group96BD19", "96BD¹⁹"), =HYPERLINK("CSG3.html#group10A3", "10A³"), =HYPERLINK("CSG16.html#group72A16", "72A¹⁶"), =HYPERLINK("CSG9.html#group24G9", "24G⁹"), =HYPERLINK("CSG17.html#group40Y17", "40Y¹⁷"), =HYPERLINK("CSG21.html#group32B21", "32B²¹"), =HYPERLINK("CSG23.html#group52D23", "52D²³"), =HYPERLINK("CSG21.html#group64B21", "64B²¹"), =HYPERLINK("CSG16.html#group80A16", "80A¹⁶"), =HYPERLINK("CSG13.html#group72W13", "72W¹³"), =HYPERLINK("CSG17.html#group32D17", "32D¹⁷"), =HYPERLINK("CSG10.html#group36B10", "36B¹⁰"), =HYPERLINK("CSG13.html#group34C13", "34C¹³"), =HYPERLINK("CSG13.html#group32T13", "32T¹³"), =HYPERLINK("CSG11.html#group36M11", "36M¹¹"), =HYPERLINK("CSG21.html#group48P21", "48P²¹"), =HYPERLINK("CSG24.html#group84A24", "84A²⁴"), =HYPERLINK("CSG1.html#group8G1", "8G¹"), =HYPERLINK("CSG7.html#group24I7", "24I⁷"), =HYPERLINK("CSG6.html#group28C6", "28C⁶"), =HYPERLINK("CSG21.html#group64D21", "64D²¹"), =HYPERLINK("CSG11.html#group52D11", "52D¹¹"), =HYPERLINK("CSG11.html#group48F11", "48F¹¹"), =HYPERLINK("CSG16.html#group66A16", "66A¹⁶"), =HYPERLINK("CSG8.html#group24D8", "24D⁸"), =HYPERLINK("CSG13.html#group30A13", "30A¹³"), =HYPERLINK("CSG3.html#group24Z3", "24Z³"), =HYPERLINK("CSG23.html#group112O23", "112O²³"), =HYPERLINK("CSG21.html#group80R21", "80R²¹"), =HYPERLINK("CSG1.html#group8K1", "8K¹"), =HYPERLINK("CSG1.html#group6F1", "6F¹"), =HYPERLINK("CSG19.html#group80A19", "80A¹⁹"), =HYPERLINK("CSG15.html#group64E15", "64E¹⁵"), =HYPERLINK("CSG3.html#group32K3", "32K³"), =HYPERLINK("CSG17.html#group24S17", "24S¹⁷"), =HYPERLINK("CSG2.html#group16K2", "16K²"), =HYPERLINK("CSG13.html#group14A13", "14A¹³"), =HYPERLINK("CSG17.html#group108F17", "108F¹⁷"), =HYPERLINK("CSG17.html#group32E17", "32E¹⁷"), =HYPERLINK("CSG13.html#group64A13", "64A¹³"), =HYPERLINK("CSG21.html#group84G21", "84G²¹"), =HYPERLINK("CSG19.html#group48D19", "48D¹⁹"), =HYPERLINK("CSG17.html#group14B17", "14B¹⁷"), =HYPERLINK("CSG23.html#group96L23", "96L²³"), =HYPERLINK("CSG19.html#group40B19", "40B¹⁹"), =HYPERLINK("CSG17.html#group48E17", "48E¹⁷"), =HYPERLINK("CSG1.html#group10G1", "10G¹"), =HYPERLINK("CSG19.html#group24D19", "24D¹⁹"), =HYPERLINK("CSG15.html#group80N15", "80N¹⁵"), =HYPERLINK("CSG21.html#group16E21", "16E²¹"), =HYPERLINK("CSG7.html#group24M7", "24M⁷"), =HYPERLINK("CSG9.html#group24AE9", "24AE⁹"), =HYPERLINK("CSG20.html#group66A20", "66A²⁰"), =HYPERLINK("CSG14.html#group60A14", "60A¹⁴"), =HYPERLINK("CSG12.html#group28B12", "28B¹²"), =HYPERLINK("CSG5.html#group20I5", "20I⁵"), =HYPERLINK("CSG3.html#group12F3", "12F³"), =HYPERLINK("CSG5.html#group24A5", "24A⁵"), =HYPERLINK("CSG2.html#group12E2", "12E²"), =HYPERLINK("CSG17.html#group24I17", "24I¹⁷"), =HYPERLINK("CSG19.html#group48AX19", "48AX¹⁹"), =HYPERLINK("CSG21.html#group56N21", "56N²¹"), =HYPERLINK("CSG8.html#group24H8", "24H⁸"), =HYPERLINK("CSG5.html#group16O5", "16O⁵"), =HYPERLINK("CSG8.html#group24J8", "24J⁸"), =HYPERLINK("CSG21.html#group80AC21", "80AC²¹"), =HYPERLINK("CSG13.html#group72R13", "72R¹³"), =HYPERLINK("CSG21.html#group72C21", "72C²¹"), =HYPERLINK("CSG19.html#group80M19", "80M¹⁹"), =HYPERLINK("CSG19.html#group72K19", "72K¹⁹"), =HYPERLINK("CSG21.html#group80G21", "80G²¹"), =HYPERLINK("CSG17.html#group24W17", "24W¹⁷"), =HYPERLINK("CSG17.html#group32B17", "32B¹⁷"), =HYPERLINK("CSG22.html#group84A22", "84A²²"), =HYPERLINK("CSG7.html#group40W7", "40W⁷"), =HYPERLINK("CSG19.html#group48BO19", "48BO¹⁹"), =HYPERLINK("CSG10.html#group18A10", "18A¹⁰"), =HYPERLINK("CSG22.html#group36F22", "36F²²"), =HYPERLINK("CSG10.html#group42E10", "42E¹⁰"), =HYPERLINK("CSG22.html#group48B22", "48B²²"), =HYPERLINK("CSG13.html#group24K13", "24K¹³"), =HYPERLINK("CSG21.html#group48CI21", "48CI²¹"), =HYPERLINK("CSG9.html#group16G9", "16G⁹"), =HYPERLINK("CSG19.html#group48M19", "48M¹⁹"), =HYPERLINK("CSG23.html#group96P23", "96P²³"), =HYPERLINK("CSG19.html#group48F19", "48F¹⁹"), =HYPERLINK("CSG16.html#group40A16", "40A¹⁶"), =HYPERLINK("CSG13.html#group54B13", "54B¹³"), =HYPERLINK("CSG22.html#group40L22", "40L²²"), =HYPERLINK("CSG21.html#group48AM21", "48AM²¹"), =HYPERLINK("CSG16.html#group36C16", "36C¹⁶"), =HYPERLINK("CSG17.html#group40A17", "40A¹⁷"), =HYPERLINK("CSG13.html#group18B13", "18B¹³"), =HYPERLINK("CSG7.html#group64K7", "64K⁷"), =HYPERLINK("CSG15.html#group40T15", "40T¹⁵"), =HYPERLINK("CSG13.html#group72Q13", "72Q¹³"), =HYPERLINK("CSG13.html#group56D13", "56D¹³"), =HYPERLINK("CSG23.html#group112P23", "112P²³"), =HYPERLINK("CSG7.html#group18A7", "18A⁷"), =HYPERLINK("CSG12.html#group56I12", "56I¹²"), =HYPERLINK("CSG7.html#group32E7", "32E⁷"), =HYPERLINK("CSG24.html#group84B24", "84B²⁴"), =HYPERLINK("CSG16.html#group40B16", "40B¹⁶"), =HYPERLINK("CSG17.html#group24AQ17", "24AQ¹⁷"), =HYPERLINK("CSG19.html#group48R19", "48R¹⁹"), =HYPERLINK("CSG7.html#group30B7", "30B⁷"), =HYPERLINK("CSG4.html#group12B4", "12B⁴"), =HYPERLINK("CSG21.html#group24A21", "24A²¹"), =HYPERLINK("CSG3.html#group16J3", "16J³"), =HYPERLINK("CSG1.html#group8F1", "8F¹"), =HYPERLINK("CSG15.html#group24F15", "24F¹⁵"), =HYPERLINK("CSG5.html#group26B5", "26B⁵"), =HYPERLINK("CSG13.html#group20A13", "20A¹³"), =HYPERLINK("CSG21.html#group48AU21", "48AU²¹"), =HYPERLINK("CSG21.html#group48BZ21", "48BZ²¹"), =HYPERLINK("CSG11.html#group48D11", "48D¹¹"), =HYPERLINK("CSG4.html#group18A4", "18A⁴"), =HYPERLINK("CSG21.html#group96AZ21", "96AZ²¹"), =HYPERLINK("CSG17.html#group74A17", "74A¹⁷"), =HYPERLINK("CSG16.html#group28F16", "28F¹⁶"), =HYPERLINK("CSG17.html#group48CL17", "48CL¹⁷"), =HYPERLINK("CSG10.html#group24B10", "24B¹⁰"), =HYPERLINK("CSG23.html#group104N23", "104N²³"), =HYPERLINK("CSG20.html#group86B20", "86B²⁰"), =HYPERLINK("CSG22.html#group84F22", "84F²²"), =HYPERLINK("CSG22.html#group36O22", "36O²²"), =HYPERLINK("CSG17.html#group48H17", "48H¹⁷"), =HYPERLINK("CSG11.html#group52C11", "52C¹¹"), =HYPERLINK("CSG17.html#group40AH17", "40AH¹⁷"), =HYPERLINK("CSG20.html#group92A20", "92A²⁰"), =HYPERLINK("CSG13.html#group50D13", "50D¹³"), =HYPERLINK("CSG1.html#group12V1", "12V¹"), =HYPERLINK("CSG19.html#group30A19", "30A¹⁹"), =HYPERLINK("CSG19.html#group20C19", "20C¹⁹"), =HYPERLINK("CSG5.html#group14D5", "14D⁵"), =HYPERLINK("CSG17.html#group24H17", "24H¹⁷"), =HYPERLINK("CSG19.html#group24S19", "24S¹⁹"), =HYPERLINK("CSG15.html#group20E15", "20E¹⁵"), =HYPERLINK("CSG6.html#group32A6", "32A⁶"), =HYPERLINK("CSG7.html#group24W7", "24W⁷"), =HYPERLINK("CSG13.html#group72V13", "72V¹³"), =HYPERLINK("CSG17.html#group44D17", "44D¹⁷"), =HYPERLINK("CSG3.html#group16H3", "16H³"), =HYPERLINK("CSG9.html#group36C9", "36C⁹"), =HYPERLINK("CSG9.html#group48A9", "48A⁹"), =HYPERLINK("CSG11.html#group28E11", "28E¹¹"), =HYPERLINK("CSG7.html#group12D7", "12D⁷"), =HYPERLINK("CSG9.html#group16B9", "16B⁹"), =HYPERLINK("CSG17.html#group36J17", "36J¹⁷"), =HYPERLINK("CSG21.html#group48AG21", "48AG²¹"), =HYPERLINK("CSG19.html#group48N19", "48N¹⁹"), =HYPERLINK("CSG17.html#group80A17", "80A¹⁷"), =HYPERLINK("CSG</f>
        <v/>
      </c>
    </row>
    <row r="6">
      <c r="A6" t="inlineStr">
        <is>
          <t>3A⁰</t>
        </is>
      </c>
      <c r="B6" t="inlineStr">
        <is>
          <t>Γ³</t>
        </is>
      </c>
      <c r="C6" t="inlineStr">
        <is>
          <t>3</t>
        </is>
      </c>
      <c r="D6" t="inlineStr">
        <is>
          <t>1</t>
        </is>
      </c>
      <c r="E6" t="inlineStr">
        <is>
          <t>1</t>
        </is>
      </c>
      <c r="F6" t="inlineStr">
        <is>
          <t>3</t>
        </is>
      </c>
      <c r="G6" t="inlineStr">
        <is>
          <t>0</t>
        </is>
      </c>
      <c r="H6" t="inlineStr">
        <is>
          <t>3¹</t>
        </is>
      </c>
      <c r="I6" t="n">
        <v>1</v>
      </c>
      <c r="J6" t="inlineStr">
        <is>
          <t>1¹</t>
        </is>
      </c>
      <c r="K6">
        <f>HYPERLINK("CSG0.html#group1A0", "1A⁰")</f>
        <v/>
      </c>
      <c r="L6">
        <f>HYPERLINK("CSG0.html#group3C0", "3C⁰"), =HYPERLINK("CSG0.html#group6B0", "6B⁰"), =HYPERLINK("CSG0.html#group6D0", "6D⁰"), =HYPERLINK("CSG0.html#group9A0", "9A⁰"), =HYPERLINK("CSG0.html#group12A0", "12A⁰"), =HYPERLINK("CSG0.html#group15B0", "15B⁰"), =HYPERLINK("CSG0.html#group21A0", "21A⁰"), =HYPERLINK("CSG1.html#group6A1", "6A¹"), =HYPERLINK("CSG1.html#group15A1", "15A¹"), =HYPERLINK("CSG1.html#group15D1", "15D¹"), =HYPERLINK("CSG1.html#group33A1", "33A¹"), =HYPERLINK("CSG2.html#group21A2", "21A²"), =HYPERLINK("CSG2.html#group39A2", "39A²"), =HYPERLINK("CSG3.html#group33A3", "33A³"), =HYPERLINK("CSG3.html#group51A3", "51A³"), =HYPERLINK("CSG5.html#group57A5", "57A⁵"), =HYPERLINK("CSG6.html#group69A6", "69A⁶"), =HYPERLINK("CSG6.html#group87A6", "87A⁶"), =HYPERLINK("CSG7.html#group33A7", "33A⁷"), =HYPERLINK("CSG8.html#group93A8", "93A⁸"), =HYPERLINK("CSG8.html#group111A8", "111A⁸"), =HYPERLINK("CSG9.html#group123A9", "123A⁹"), =HYPERLINK("CSG10.html#group57A10", "57A¹⁰"), =HYPERLINK("CSG11.html#group129A11", "129A¹¹"), =HYPERLINK("CSG12.html#group141A12", "141A¹²"), =HYPERLINK("CSG12.html#group159A12", "159A¹²"), =HYPERLINK("CSG13.html#group39A13", "39A¹³"), =HYPERLINK("CSG14.html#group183A14", "183A¹⁴"), =HYPERLINK("CSG15.html#group39A15", "39A¹⁵"), =HYPERLINK("CSG15.html#group177A15", "177A¹⁵"), =HYPERLINK("CSG17.html#group201A17", "201A¹⁷"), =HYPERLINK("CSG17.html#group219A17", "219A¹⁷"), =HYPERLINK("CSG18.html#group39A18", "39A¹⁸"), =HYPERLINK("CSG18.html#group213A18", "213A¹⁸"), =HYPERLINK("CSG19.html#group51A19", "51A¹⁹"), =HYPERLINK("CSG19.html#group51B19", "51B¹⁹"), =HYPERLINK("CSG20.html#group237A20", "237A²⁰"), =HYPERLINK("CSG21.html#group249A21", "249A²¹"), =HYPERLINK("CSG21.html#group267A21", "267A²¹"), =HYPERLINK("CSG23.html#group291A23", "291A²³"), =HYPERLINK("CSG24.html#group303A24", "303A²⁴")</f>
        <v/>
      </c>
      <c r="M6">
        <f>HYPERLINK("CSG0.html#group1A0", "1A⁰")</f>
        <v/>
      </c>
      <c r="N6">
        <f>HYPERLINK("CSG4.html#group36K4", "36K⁴"), =HYPERLINK("CSG19.html#group246A19", "246A¹⁹"), =HYPERLINK("CSG20.html#group45A20", "45A²⁰"), =HYPERLINK("CSG1.html#group24E1", "24E¹"), =HYPERLINK("CSG11.html#group24L11", "24L¹¹"), =HYPERLINK("CSG19.html#group15A19", "15A¹⁹"), =HYPERLINK("CSG8.html#group36L8", "36L⁸"), =HYPERLINK("CSG16.html#group105B16", "105B¹⁶"), =HYPERLINK("CSG20.html#group90D20", "90D²⁰"), =HYPERLINK("CSG19.html#group24M19", "24M¹⁹"), =HYPERLINK("CSG14.html#group72F14", "72F¹⁴"), =HYPERLINK("CSG15.html#group60S15", "60S¹⁵"), =HYPERLINK("CSG19.html#group48BK19", "48BK¹⁹"), =HYPERLINK("CSG19.html#group84H19", "84H¹⁹"), =HYPERLINK("CSG14.html#group42F14", "42F¹⁴"), =HYPERLINK("CSG21.html#group120O21", "120O²¹"), =HYPERLINK("CSG9.html#group15A9", "15A⁹"), =HYPERLINK("CSG7.html#group30P7", "30P⁷"), =HYPERLINK("CSG20.html#group96B20", "96B²⁰"), =HYPERLINK("CSG19.html#group126E19", "126E¹⁹"), =HYPERLINK("CSG5.html#group30L5", "30L⁵"), =HYPERLINK("CSG19.html#group48AT19", "48AT¹⁹"), =HYPERLINK("CSG3.html#group18B3", "18B³"), =HYPERLINK("CSG13.html#group36C13", "36C¹³"), =HYPERLINK("CSG23.html#group84E23", "84E²³"), =HYPERLINK("CSG22.html#group126A22", "126A²²"), =HYPERLINK("CSG22.html#group54H22", "54H²²"), =HYPERLINK("CSG18.html#group33A18", "33A¹⁸"), =HYPERLINK("CSG3.html#group24K3", "24K³"), =HYPERLINK("CSG19.html#group96S19", "96S¹⁹"), =HYPERLINK("CSG13.html#group60AE13", "60AE¹³"), =HYPERLINK("CSG7.html#group48AH7", "48AH⁷"), =HYPERLINK("CSG17.html#group72L17", "72L¹⁷"), =HYPERLINK("CSG17.html#group48AM17", "48AM¹⁷"), =HYPERLINK("CSG24.html#group264C24", "264C²⁴"), =HYPERLINK("CSG3.html#group51A3", "51A³"), =HYPERLINK("CSG22.html#group105B22", "105B²²"), =HYPERLINK("CSG0.html#group48A0", "48A⁰"), =HYPERLINK("CSG7.html#group48AJ7", "48AJ⁷"), =HYPERLINK("CSG16.html#group36H16", "36H¹⁶"), =HYPERLINK("CSG3.html#group15I3", "15I³"), =HYPERLINK("CSG20.html#group66B20", "66B²⁰"), =HYPERLINK("CSG15.html#group24I15", "24I¹⁵"), =HYPERLINK("CSG19.html#group96AS19", "96AS¹⁹"), =HYPERLINK("CSG23.html#group102C23", "102C²³"), =HYPERLINK("CSG20.html#group84D20", "84D²⁰"), =HYPERLINK("CSG13.html#group48AC13", "48AC¹³"), =HYPERLINK("CSG15.html#group45A15", "45A¹⁵"), =HYPERLINK("CSG12.html#group126C12", "126C¹²"), =HYPERLINK("CSG12.html#group132A12", "132A¹²"), =HYPERLINK("CSG12.html#group90D12", "90D¹²"), =HYPERLINK("CSG18.html#group120B18", "120B¹⁸"), =HYPERLINK("CSG21.html#group126E21", "126E²¹"), =HYPERLINK("CSG4.html#group18S4", "18S⁴"), =HYPERLINK("CSG16.html#group72I16", "72I¹⁶"), =HYPERLINK("CSG23.html#group126C23", "126C²³"), =HYPERLINK("CSG14.html#group87A14", "87A¹⁴"), =HYPERLINK("CSG10.html#group30B10", "30B¹⁰"), =HYPERLINK("CSG17.html#group24AA17", "24AA¹⁷"), =HYPERLINK("CSG17.html#group66B17", "66B¹⁷"), =HYPERLINK("CSG21.html#group126L21", "126L²¹"), =HYPERLINK("CSG11.html#group78A11", "78A¹¹"), =HYPERLINK("CSG4.html#group30C4", "30C⁴"), =HYPERLINK("CSG21.html#group48AF21", "48AF²¹"), =HYPERLINK("CSG22.html#group36K22", "36K²²"), =HYPERLINK("CSG21.html#group96AY21", "96AY²¹"), =HYPERLINK("CSG17.html#group48BR17", "48BR¹⁷"), =HYPERLINK("CSG15.html#group24D15", "24D¹⁵"), =HYPERLINK("CSG13.html#group24X13", "24X¹³"), =HYPERLINK("CSG21.html#group48BV21", "48BV²¹"), =HYPERLINK("CSG12.html#group36F12", "36F¹²"), =HYPERLINK("CSG21.html#group48BR21", "48BR²¹"), =HYPERLINK("CSG21.html#group120G21", "120G²¹"), =HYPERLINK("CSG9.html#group45F9", "45F⁹"), =HYPERLINK("CSG11.html#group60R11", "60R¹¹"), =HYPERLINK("CSG18.html#group84E18", "84E¹⁸"), =HYPERLINK("CSG16.html#group90B16", "90B¹⁶"), =HYPERLINK("CSG7.html#group24N7", "24N⁷"), =HYPERLINK("CSG15.html#group90A15", "90A¹⁵"), =HYPERLINK("CSG5.html#group36H5", "36H⁵"), =HYPERLINK("CSG22.html#group180A22", "180A²²"), =HYPERLINK("CSG18.html#group63C18", "63C¹⁸"), =HYPERLINK("CSG6.html#group18D6", "18D⁶"), =HYPERLINK("CSG12.html#group21B12", "21B¹²"), =HYPERLINK("CSG21.html#group72X21", "72X²¹"), =HYPERLINK("CSG12.html#group72F12", "72F¹²"), =HYPERLINK("CSG9.html#group45B9", "45B⁹"), =HYPERLINK("CSG19.html#group72Q19", "72Q¹⁹"), =HYPERLINK("CSG20.html#group96AF20", "96AF²⁰"), =HYPERLINK("CSG21.html#group60U21", "60U²¹"), =HYPERLINK("CSG3.html#group30J3", "30J³"), =HYPERLINK("CSG9.html#group48AF9", "48AF⁹"), =HYPERLINK("CSG18.html#group126E18", "126E¹⁸"), =HYPERLINK("CSG21.html#group60W21", "60W²¹"), =HYPERLINK("CSG2.html#group18K2", "18K²"), =HYPERLINK("CSG17.html#group96AA17", "96AA¹⁷"), =HYPERLINK("CSG20.html#group225D20", "225D²⁰"), =HYPERLINK("CSG4.html#group48F4", "48F⁴"), =HYPERLINK("CSG20.html#group180G20", "180G²⁰"), =HYPERLINK("CSG6.html#group48F6", "48F⁶"), =HYPERLINK("CSG17.html#group48AC17", "48AC¹⁷"), =HYPERLINK("CSG18.html#group84G18", "84G¹⁸"), =HYPERLINK("CSG13.html#group66B13", "66B¹³"), =HYPERLINK("CSG6.html#group126A6", "126A⁶"), =HYPERLINK("CSG7.html#group96A7", "96A⁷"), =HYPERLINK("CSG10.html#group33A10", "33A¹⁰"), =HYPERLINK("CSG0.html#group3C0", "3C⁰"), =HYPERLINK("CSG9.html#group30I9", "30I⁹"), =HYPERLINK("CSG19.html#group90F19", "90F¹⁹"), =HYPERLINK("CSG11.html#group72N11", "72N¹¹"), =HYPERLINK("CSG11.html#group33A11", "33A¹¹"), =HYPERLINK("CSG13.html#group24Y13", "24Y¹³"), =HYPERLINK("CSG24.html#group252G24", "252G²⁴"), =HYPERLINK("CSG21.html#group24K21", "24K²¹"), =HYPERLINK("CSG12.html#group138C12", "138C¹²"), =HYPERLINK("CSG6.html#group42D6", "42D⁶"), =HYPERLINK("CSG15.html#group60Z15", "60Z¹⁵"), =HYPERLINK("CSG21.html#group96F21", "96F²¹"), =HYPERLINK("CSG15.html#group24J15", "24J¹⁵"), =HYPERLINK("CSG22.html#group33C22", "33C²²"), =HYPERLINK("CSG19.html#group120C19", "120C¹⁹"), =HYPERLINK("CSG11.html#group36G11", "36G¹¹"), =HYPERLINK("CSG5.html#group36M5", "36M⁵"), =HYPERLINK("CSG11.html#group66C11", "66C¹¹"), =HYPERLINK("CSG15.html#group48P15", "48P¹⁵"), =HYPERLINK("CSG19.html#group36K19", "36K¹⁹"), =HYPERLINK("CSG23.html#group60F23", "60F²³"), =HYPERLINK("CSG9.html#group24E9", "24E⁹"), =HYPERLINK("CSG17.html#group117A17", "117A¹⁷"), =HYPERLINK("CSG24.html#group336A24", "336A²⁴"), =HYPERLINK("CSG6.html#group66D6", "66D⁶"), =HYPERLINK("CSG11.html#group156B11", "156B¹¹"), =HYPERLINK("CSG6.html#group39A6", "39A⁶"), =HYPERLINK("CSG8.html#group75A8", "75A⁸"), =HYPERLINK("CSG9.html#group84C9", "84C⁹"), =HYPERLINK("CSG21.html#group96AJ21", "96AJ²¹"), =HYPERLINK("CSG23.html#group144R23", "144R²³"), =HYPERLINK("CSG20.html#group90C20", "90C²⁰"), =HYPERLINK("CSG15.html#group90I15", "90I¹⁵"), =HYPERLINK("CSG8.html#group90B8", "90B⁸"), =HYPERLINK("CSG23.html#group231A23", "231A²³"), =HYPERLINK("CSG3.html#group24T3", "24T³"), =HYPERLINK("CSG21.html#group210A21", "210A²¹"), =HYPERLINK("CSG23.html#group30A23", "30A²³"), =HYPERLINK("CSG11.html#group30I11", "30I¹¹"), =HYPERLINK("CSG22.html#group168R22", "168R²²"), =HYPERLINK("CSG19.html#group42G19", "42G¹⁹"), =HYPERLINK("CSG21.html#group30A21", "30A²¹"), =HYPERLINK("CSG23.html#group48F23", "48F²³"), =HYPERLINK("CSG23.html#group315A23", "315A²³"), =HYPERLINK("CSG19.html#group192A19", "192A¹⁹"), =HYPERLINK("CSG17.html#group24V17", "24V¹⁷"), =HYPERLINK("CSG13.html#group45N13", "45N¹³"), =HYPERLINK("CSG9.html#group72F9", "72F⁹"), =HYPERLINK("CSG13.html#group24B13", "24B¹³"), =HYPERLINK("CSG21.html#group72N21", "72N²¹"), =HYPERLINK("CSG4.html#group75A4", "75A⁴"), =HYPERLINK("CSG18.html#group96D18", "96D¹⁸"), =HYPERLINK("CSG21.html#group66E21", "66E²¹"), =HYPERLINK("CSG5.html#group30K5", "30K⁵"), =HYPERLINK("CSG18.html#group126I18", "126I¹⁸"), =HYPERLINK("CSG19.html#group234A19", "234A¹⁹"), =HYPERLINK("CSG20.html#group84C20", "84C²⁰"), =HYPERLINK("CSG16.html#group96D16", "96D¹⁶"), =HYPERLINK("CSG17.html#group96Y17", "96Y¹⁷"), =HYPERLINK("CSG11.html#group78B11", "78B¹¹"), =HYPERLINK("CSG17.html#group60U17", "60U¹⁷"), =HYPERLINK("CSG15.html#group150D15", "150D¹⁵"), =HYPERLINK("CSG23.html#group180M23", "180M²³"), =HYPERLINK("CSG7.html#group24H7", "24H⁷"), =HYPERLINK("CSG10.html#group18M10", "18M¹⁰"), =HYPERLINK("CSG10.html#group36N10", "36N¹⁰"), =HYPERLINK("CSG21.html#group72AB21", "72AB²¹"), =HYPERLINK("CSG13.html#group144B13", "144B¹³"), =HYPERLINK("CSG16.html#group48C16", "48C¹⁶"), =HYPERLINK("CSG13.html#group75B13", "75B¹³"), =HYPERLINK("CSG18.html#group48C18", "48C¹⁸"), =HYPERLINK("CSG21.html#group96U21", "96U²¹"), =HYPERLINK("CSG13.html#group180D13", "180D¹³"), =HYPERLINK("CSG21.html#group24L21", "24L²¹"), =HYPERLINK("CSG6.html#group36H6", "36H⁶"), =HYPERLINK("CSG10.html#group30D10", "30D¹⁰"), =HYPERLINK("CSG21.html#group48O21", "48O²¹"), =HYPERLINK("CSG9.html#group60K9", "60K⁹"), =HYPERLINK("CSG18.html#group48H18", "48H¹⁸"), =HYPERLINK("CSG23.html#group144W23", "144W²³"), =HYPERLINK("CSG15.html#group96O15", "96O¹⁵"), =HYPERLINK("CSG5.html#group42H5", "42H⁵"), =HYPERLINK("CSG23.html#group96S23", "96S²³"), =HYPERLINK("CSG11.html#group30K11", "30K¹¹"), =HYPERLINK("CSG17.html#group201A17", "201A¹⁷"), =HYPERLINK("CSG22.html#group96A22", "96A²²"), =HYPERLINK("CSG19.html#group240A19", "240A¹⁹"), =HYPERLINK("CSG13.html#group24O13", "24O¹³"), =HYPERLINK("CSG6.html#group24K6", "24K⁶"), =HYPERLINK("CSG23.html#group204G23", "204G²³"), =HYPERLINK("CSG21.html#group48V21", "48V²¹"), =HYPERLINK("CSG20.html#group63A20", "63A²⁰"), =HYPERLINK("CSG23.html#group66A23", "66A²³"), =HYPERLINK("CSG10.html#group96C10", "96C¹⁰"), =HYPERLINK("CSG13.html#group54I13", "54I¹³"), =HYPERLINK("CSG17.html#group84J17", "84J¹⁷"), =HYPERLINK("CSG15.html#group51A15", "51A¹⁵"), =HYPERLINK("CSG21.html#group48AK21", "48AK²¹"), =HYPERLINK("CSG24.html#group264B24", "264B²⁴"), =HYPERLINK("CSG22.html#group144H22", "144H²²"), =HYPERLINK("CSG19.html#group120Q19", "120Q¹⁹"), =HYPERLINK("CSG12.html#group30B12", "30B¹²"), =HYPERLINK("CSG7.html#group60N7", "60N⁷"), =HYPERLINK("CSG8.html#group48V8", "48V⁸"), =HYPERLINK("CSG20.html#group90A20", "90A²⁰"), =HYPERLINK("CSG16.html#group144H16", "144H¹⁶"), =HYPERLINK("CSG19.html#group75D19", "75D¹⁹"), =HYPERLINK("CSG19.html#group48O19", "48O¹⁹"), =HYPERLINK("CSG19.html#group90D19", "90D¹⁹"), =HYPERLINK("CSG6.html#group21C6", "21C⁶"), =HYPERLINK("CSG17.html#group120L17", "120L¹⁷"), =HYPERLINK("CSG21.html#group48AX21", "48AX²¹"), =HYPERLINK("CSG21.html#group105B21", "105B²¹"), =HYPERLINK("CSG18.html#group72E18", "72E¹⁸"), =HYPERLINK("CSG10.html#group144E10", "144E¹⁰"), =HYPERLINK("CSG4.html#group36D4", "36D⁴"), =HYPERLINK("CSG2.html#group18P2", "18P²"), =HYPERLINK("CSG15.html#group60E15", "60E¹⁵"), =HYPERLINK("CSG8.html#group36F8", "36F⁸"), =HYPERLINK("CSG17.html#group48BG17", "48BG¹⁷"), =HYPERLINK("CSG23.html#group132C23", "132C²³"), =HYPERLINK("CSG21.html#group120J21", "120J²¹"), =HYPERLINK("CSG17.html#group48CB17", "48CB¹⁷"), =HYPERLINK("CSG16.html#group132C16", "132C¹⁶"), =HYPERLINK("CSG24.html#group54A24", "54A²⁴"), =HYPERLINK("CSG8.html#group36E8", "36E⁸"), =HYPERLINK("CSG23.html#group60E23", "60E²³"), =HYPERLINK("CSG21.html#group96X21", "96X²¹"), =HYPERLINK("CSG16.html#group42G16", "42G¹⁶"), =HYPERLINK("CSG4.html#group42F4", "42F⁴"), =HYPERLINK("CSG18.html#group126C18", "126C¹⁸"), =HYPERLINK("CSG16.html#group18C16", "18C¹⁶"), =HYPERLINK("CSG11.html#group120C11", "120C¹¹"), =HYPERLINK("CSG19.html#group48AP19", "48AP¹⁹"), =HYPERLINK("CSG5.html#group18A5", "18A⁵"), =HYPERLINK("CSG18.html#group126B18", "126B¹⁸"), =HYPERLINK("CSG14.html#group45A14", "45A¹⁴"), =HYPERLINK("CSG21.html#group126N21", "126N²¹"), =HYPERLINK("CSG4.html#group36R4", "36R⁴"), =HYPERLINK("CSG24.html#group42C24", "42C²⁴"), =HYPERLINK("CSG24.html#group168C24", "168C²⁴"), =HYPERLINK("CSG17.html#group72K17", "72K¹⁷"), =HYPERLINK("CSG1.html#group12N1", "12N¹"), =HYPERLINK("CSG21.html#group96I21", "96I²¹"), =HYPERLINK("CSG8.html#group48L8", "48L⁸"), =HYPERLINK("CSG8.html#group36N8", "36N⁸"), =HYPERLINK("CSG2.html#group9A2", "9A²"), =HYPERLINK("CSG20.html#group48F20", "48F²⁰"), =HYPERLINK("CSG19.html#group96P19", "96P¹⁹"), =HYPERLINK("CSG21.html#group48BT21", "48BT²¹"), =HYPERLINK("CSG9.html#group84E9", "84E⁹"), =HYPERLINK("CSG23.html#group192A23", "192A²³"), =HYPERLINK("CSG23.html#group96C23", "96C²³"), =HYPERLINK("CSG13.html#group24C13", "24C¹³"), =HYPERLINK("CSG1.html#group12U1", "12U¹"), =HYPERLINK("CSG0.html#group6B0", "6B⁰"), =HYPERLINK("CSG24.html#group330D24", "330D²⁴"), =HYPERLINK("CSG21.html#group30B21", "30B²¹"), =HYPERLINK("CSG10.html#group30E10", "30E¹⁰"), =HYPERLINK("CSG13.html#group36L13", "36L¹³"), =HYPERLINK("CSG17.html#group195A17", "195A¹⁷"), =HYPERLINK("CSG23.html#group306B23", "306B²³"), =HYPERLINK("CSG8.html#group48Q8", "48Q⁸"), =HYPERLINK("CSG17.html#group222B17", "222B¹⁷"), =HYPERLINK("CSG23.html#group168L23", "168L²³"), =HYPERLINK("CSG9.html#group24U9", "24U⁹"), =HYPERLINK("CSG21.html#group246A21", "246A²¹"), =HYPERLINK("CSG9.html#group96H9", "96H⁹"), =HYPERLINK("CSG12.html#group60C12", "60C¹²"), =HYPERLINK("CSG21.html#group48AP21", "48AP²¹"), =HYPERLINK("CSG13.html#group36N13", "36N¹³"), =HYPERLINK("CSG15.html#group48AF15", "48AF¹⁵"), =HYPERLINK("CSG17.html#group24C17", "24C¹⁷"), =HYPERLINK("CSG17.html#group30A17", "30A¹⁷"), =HYPERLINK("CSG15.html#group30F15", "30F¹⁵"), =HYPERLINK("CSG10.html#group48A10", "48A¹⁰"), =HYPERLINK("CSG11.html#group153A11", "153A¹¹"), =HYPERLINK("CSG21.html#group96A21", "96A²¹"), =HYPERLINK("CSG6.html#group45D6", "45D⁶"), =HYPERLINK("CSG19.html#group84C19", "84C¹⁹"), =HYPERLINK("CSG15.html#group90L15", "90L¹⁵"), =HYPERLINK("CSG7.html#group48P7", "48P⁷"), =HYPERLINK("CSG14.html#group42E14", "42E¹⁴"), =HYPERLINK("CSG18.html#group18A18", "18A¹⁸"), =HYPERLINK("CSG8.html#group36G8", "36G⁸"), =HYPERLINK("CSG17.html#group48BT17", "48BT¹⁷"), =HYPERLINK("CSG10.html#group72J10", "72J¹⁰"), =HYPERLINK("CSG7.html#group42I7", "42I⁷"), =HYPERLINK("CSG21.html#group144M21", "144M²¹"), =HYPERLINK("CSG21.html#group96G21", "96G²¹"), =HYPERLINK("CSG13.html#group72I13", "72I¹³"), =HYPERLINK("CSG19.html#group96BA19", "96BA¹⁹"), =HYPERLINK("CSG7.html#group24AE7", "24AE⁷"), =HYPERLINK("CSG9.html#group24Y9", "24Y⁹"), =HYPERLINK("CSG18.html#group126J18", "126J¹⁸"), =HYPERLINK("CSG11.html#group36D11", "36D¹¹"), =HYPERLINK("CSG1.html#group12B1", "12B¹"), =HYPERLINK("CSG3.html#group96A3", "96A³"), =HYPERLINK("CSG5.html#group24L5", "24L⁵"), =HYPERLINK("CSG7.html#group24K7", "24K⁷"), =HYPERLINK("CSG5.html#group48A5", "48A⁵"), =HYPERLINK("CSG23.html#group48E23", "48E²³"), =HYPERLINK("CSG8.html#group48W8", "48W⁸"), =HYPERLINK("CSG21.html#group126B21", "126B²¹"), =HYPERLINK("CSG23.html#group204F23", "204F²³"), =HYPERLINK("CSG6.html#group72B6", "72B⁶"), =HYPERLINK("CSG11.html#group84D11", "84D¹¹"), =HYPERLINK("CSG23.html#group96AC23", "96AC²³"), =HYPERLINK("CSG7.html#group48V7", "48V⁷"), =HYPERLINK("CSG6.html#group72D6", "72D⁶"), =HYPERLINK("CSG17.html#group24T17", "24T¹⁷"), =HYPERLINK("CSG13.html#group75C13", "75C¹³"), =HYPERLINK("CSG7.html#group72B7", "72B⁷"), =HYPERLINK("CSG14.html#group114A14", "114A¹⁴"), =HYPERLINK("CSG21.html#group180I21", "180I²¹"), =HYPERLINK("CSG20.html#group150B20", "150B²⁰"), =HYPERLINK("CSG2.html#group36C2", "36C²"), =HYPERLINK("CSG19.html#group96AO19", "96AO¹⁹"), =HYPERLINK("CSG10.html#group39B10", "39B¹⁰"), =HYPERLINK("CSG16.html#group168C16", "168C¹⁶"), =HYPERLINK("CSG13.html#group36E13", "36E¹³"), =HYPERLINK("CSG19.html#group63O19", "63O¹⁹"), =HYPERLINK("CSG8.html#group72B8", "72B⁸"), =HYPERLINK("CSG12.html#group159A12", "159A¹²"), =HYPERLINK("CSG15.html#group24H15", "24H¹⁵"), =HYPERLINK("CSG15.html#group72U15", "72U¹⁵"), =HYPERLINK("CSG20.html#group168E20", "168E²⁰"), =HYPERLINK("CSG19.html#group24F19", "24F¹⁹"), =HYPERLINK("CSG23.html#group30D23", "30D²³"), =HYPERLINK("CSG23.html#group120M23", "120M²³"), =HYPERLINK("CSG13.html#group60R13", "60R¹³"), =HYPERLINK("CSG18.html#group198A18", "198A¹⁸"), =HYPERLINK("CSG18.html#group84B18", "84B¹⁸"), =HYPERLINK("CSG22.html#group27C22", "27C²²"), =HYPERLINK("CSG17.html#group57A17", "57A¹⁷"), =HYPERLINK("CSG8.html#group36O8", "36O⁸"), =HYPERLINK("CSG21.html#group84O21", "84O²¹"), =HYPERLINK("CSG21.html#group48AI21", "48AI²¹"), =HYPERLINK("CSG15.html#group72W15", "72W¹⁵"), =HYPERLINK("CSG5.html#group51B5", "51B⁵"), =HYPERLINK("CSG19.html#group120R19", "120R¹⁹"), =HYPERLINK("CSG15.html#group72S15", "72S¹⁵"), =HYPERLINK("CSG9.html#group15C9", "15C⁹"), =HYPERLINK("CSG23.html#group156E23", "156E²³"), =HYPERLINK("CSG15.html#group72Q15", "72Q¹⁵"), =HYPERLINK("CSG23.html#group120N23", "120N²³"), =HYPERLINK("CSG11.html#group30D11", "30D¹¹"), =HYPERLINK("CSG4.html#group72B4", "72B⁴"), =HYPERLINK("CSG15.html#group48AA15", "48AA¹⁵"), =HYPERLINK("CSG11.html#group78E11", "78E¹¹"), =HYPERLINK("CSG19.html#group48BB19", "48BB¹⁹"), =HYPERLINK("CSG11.html#group36J11", "36J¹¹"), =HYPERLINK("CSG3.html#group15F3", "15F³"), =HYPERLINK("CSG10.html#group48B10", "48B¹⁰"), =HYPERLINK("CSG12.html#group96A12", "96A¹²"), =HYPERLINK("CSG13.html#group24L13", "24L¹³"), =HYPERLINK("CSG19.html#group123A19", "123A¹⁹"), =HYPERLINK("CSG17.html#group48BS17", "48BS¹⁷"), =HYPERLINK("CSG2.html#group30E2", "30E²"), =HYPERLINK("CSG17.html#group63D17", "63D¹⁷"), =HYPERLINK("CSG18.html#group144C18", "144C¹⁸"), =HYPERLINK("CSG21.html#group48E21", "48E²¹"), =HYPERLINK("CSG20.html#group96AE20", "96AE²⁰"), =HYPERLINK("CSG4.html#group24E4", "24E⁴"), =HYPERLINK("CSG2.html#group18G2", "18G²"), =HYPERLINK("CSG7.html#group24B7", "24B⁷"), =HYPERLINK("CSG10.html#group33C10", "33C¹⁰"), =HYPERLINK("CSG15.html#group96R15", "96R¹⁵"), =HYPERLINK("CSG21.html#group90J21", "90J²¹"), =HYPERLINK("CSG20.html#group225A20", "225A²⁰"), =HYPERLINK("CSG21.html#group90B21", "90B²¹"), =HYPERLINK("CSG11.html#group48R11", "48R¹¹"), =HYPERLINK("CSG9.html#group48N9", "48N⁹"), =HYPERLINK("CSG17.html#group48AI17", "48AI¹⁷"), =HYPERLINK("CSG13.html#group24E13", "24E¹³"), =HYPERLINK("CSG16.html#group72E16", "72E¹⁶"), =HYPERLINK("CSG9.html#group63C9", "63C⁹"), =HYPERLINK("CSG17.html#group24AB17", "24AB¹⁷"), =HYPERLINK("CSG22.html#group36L22", "36L²²"), =HYPERLINK("CSG10.html#group15A10", "15A¹⁰"), =HYPERLINK("CSG8.html#group84A8", "84A⁸"), =HYPERLINK("CSG21.html#group96L21", "96L²¹"), =HYPERLINK("CSG23.html#group72C23", "72C²³"), =HYPERLINK("CSG15.html#group84B15", "84B¹⁵"), =HYPERLINK("CSG7.html#group36E7", "36E⁷"), =HYPERLINK("CSG13.html#group42A13", "42A¹³"), =HYPERLINK("CSG13.html#group18E13", "18E¹³"), =HYPERLINK("CSG1.html#group18G1", "18G¹"), =HYPERLINK("CSG19.html#group96AK19", "96AK¹⁹"), =HYPERLINK("CSG16.html#group66C16", "66C¹⁶"), =HYPERLINK("CSG11.html#group75B11", "75B¹¹"), =HYPERLINK("CSG9.html#group24AA9", "24AA⁹"), =HYPERLINK("CSG14.html#group72O14", "72O¹⁴"), =HYPERLINK("CSG11.html#group48N11", "48N¹¹"), =HYPERLINK("CSG9.html#group48V9", "48V⁹"), =HYPERLINK("CSG19.html#group96L19", "96L¹⁹"), =HYPERLINK("CSG13.html#group42C13", "42C¹³"), =HYPERLINK("CSG23.html#group102D23", "102D²³"), =HYPERLINK("CSG8.html#group24A8", "24A⁸"), =HYPERLINK("CSG1.html#group18H1", "18H¹"), =HYPERLINK("CSG10.html#group18E10", "18E¹⁰"), =HYPERLINK("CSG5.html#group45G5", "45G⁵"), =HYPERLINK("CSG13.html#group24U13", "24U¹³"), =HYPERLINK("CSG18.html#group48B18", "48B¹⁸"), =HYPERLINK("CSG7.html#group15A7", "15A⁷"), =HYPERLINK("CSG13.html#group144A13", "144A¹³"), =HYPERLINK("CSG20.html#group168F20", "168F²⁰"), =HYPERLINK("CSG21.html#group48AB21", "48AB²¹"), =HYPERLINK("CSG13.html#group72J13", "72J¹³"), =HYPERLINK("CSG8.html#group36D8", "36D⁸"), =HYPERLINK("CSG8.html#group126A8", "126A⁸"), =HYPERLINK("CSG10.html#group48G10", "48G¹⁰"), =HYPERLINK("CSG8.html#group126C8", "126C⁸"), =HYPERLINK("CSG21.html#group48B21", "48B²¹"), =HYPERLINK("CSG13.html#group48R13", "48R¹³"), =HYPERLINK("CSG3.html#group24E3", "24E³"), =HYPERLINK("CSG22.html#group180B22", "180B²²"), =HYPERLINK("CSG17.html#group48S17", "48S¹⁷"), =HYPERLINK("CSG14.html#group72G14", "72G¹⁴"), =HYPERLINK("CSG2.html#group21A2", "21A²"), =HYPERLINK("CSG13.html#group120I13", "120I¹³"), =HYPERLINK("CSG9.html#group21D9", "21D⁹"), =HYPERLINK("CSG7.html#group27F7", "27F⁷"), =HYPERLINK("CSG12.html#group75D12", "75D¹²"), =HYPERLINK("CSG19.html#group48E19", "48E¹⁹"), =HYPERLINK("CSG0.html#group9A0", "9A⁰"), =HYPERLINK("CSG7.html#group42A7", "42A⁷"), =HYPERLINK("CSG9.html#group24I9", "24I⁹"), =HYPERLINK("CSG15.html#group60M15", "60M¹⁵"), =HYPERLINK("CSG13.html#group60AA13", "60AA¹³"), =HYPERLINK("CSG4.html#group24K4", "24K⁴"), =HYPERLINK("CSG9.html#group48AE9", "48AE⁹"), =HYPERLINK("CSG21.html#group48BQ21", "48BQ²¹"), =HYPERLINK("CSG11.html#group198B11", "198B¹¹"), =HYPERLINK("CSG13.html#group60F13", "60F¹³"), =HYPERLINK("CSG24.html#group336G24", "336G²⁴"), =HYPERLINK("CSG13.html#group231B13", "231B¹³"), =HYPERLINK("CSG1.html#group12D1", "12D¹"), =HYPERLINK("CSG11.html#group60C11", "60C¹¹"), =HYPERLINK("CSG17.html#group48AD17", "48AD¹⁷"), =HYPERLINK("CSG14.html#group75B14", "75B¹⁴"), =HYPERLINK("CSG17.html#group48AU17", "48AU¹⁷"), =HYPERLINK("CSG13.html#group36S13", "36S¹³"), =HYPERLINK("CSG7.html#group60R7", "60R⁷"), =HYPERLINK("CSG17.html#group30F17", "30F¹⁷"), =HYPERLINK("CSG0.html#group21A0", "21A⁰"), =HYPERLINK("CSG3.html#group24M3", "24M³"), =HYPERLINK("CSG16.html#group48A16", "48A¹⁶"), =HYPERLINK("CSG10.html#group48F10", "48F¹⁰"), =HYPERLINK("CSG23.html#group192J23", "192J²³"), =HYPERLINK("CSG11.html#group48E11", "48E¹¹"), =HYPERLINK("CSG17.html#group120K17", "120K¹⁷"), =HYPERLINK("CSG10.html#group30C10", "30C¹⁰"), =HYPERLINK("CSG3.html#group21C3", "21C³"), =HYPERLINK("CSG22.html#group72C22", "72C²²"), =HYPERLINK("CSG7.html#group45D7", "45D⁷"), =HYPERLINK("CSG7.html#group18L7", "18L⁷"), =HYPERLINK("CSG21.html#group96AV21", "96AV²¹"), =HYPERLINK("CSG6.html#group48C6", "48C⁶"), =HYPERLINK("CSG20.html#group144E20", "144E²⁰"), =HYPERLINK("CSG19.html#group24O19", "24O¹⁹"), =HYPERLINK("CSG4.html#group24M4", "24M⁴"), =HYPERLINK("CSG21.html#group48G21", "48G²¹"), =HYPERLINK("CSG11.html#group96I11", "96I¹¹"), =HYPERLINK("CSG21.html#group120L21", "120L²¹"), =HYPERLINK("CSG16.html#group168A16", "168A¹⁶"), =HYPERLINK("CSG13.html#group120G13", "120G¹³"), =HYPERLINK("CSG17.html#group144C17", "144C¹⁷"), =HYPERLINK("CSG11.html#group21B11", "21B¹¹"), =HYPERLINK("CSG21.html#group45E21", "45E²¹"), =HYPERLINK("CSG9.html#group96A9", "96A⁹"), =HYPERLINK("CSG7.html#group90B7", "90B⁷"), =HYPERLINK("CSG19.html#group96K19", "96K¹⁹"), =HYPERLINK("CSG1.html#group24D1", "24D¹"), =HYPERLINK("CSG21.html#group63B21", "63B²¹"), =HYPERLINK("CSG9.html#group60A9", "60A⁹"), =HYPERLINK("CSG19.html#group60B19", "60B¹⁹"), =HYPERLINK("CSG15.html#group84H15", "84H¹⁵"), =HYPERLINK("CSG16.html#group72N16", "72N¹⁶"), =HYPERLINK("CSG8.html#group48AD8", "48AD⁸"), =HYPERLINK("CSG17.html#group48AX17", "48AX¹⁷"), =HYPERLINK("CSG23.html#group30H23", "30H²³"), =HYPERLINK("CSG8.html#group72I8", "72I⁸"), =HYPERLINK("CSG22.html#group168D22", "168D²²"), =HYPERLINK("CSG19.html#group96AQ19", "96AQ¹⁹"), =HYPERLINK("CSG11.html#group96F11", "96F¹¹"), =HYPERLINK("CSG15.html#group90F15", "90F¹⁵"), =HYPERLINK("CSG11.html#group48L11", "48L¹¹"), =HYPERLINK("CSG15.html#group132D15", "132D¹⁵"), =HYPERLINK("CSG22.html#group72H22", "72H²²"), =HYPERLINK("CSG19.html#group63D19", "63D¹⁹"), =HYPERLINK("CSG17.html#group96AE17", "96AE¹⁷"), =HYPERLINK("CSG3.html#group24AB3", "24AB³"), =HYPERLINK("CSG6.html#group75A6", "75A⁶"), =HYPERLINK("CSG4.html#group24L4", "24L⁴"), =HYPERLINK("CSG2.html#group18I2", "18I²"), =HYPERLINK("CSG13.html#group36R13", "36R¹³"), =HYPERLINK("CSG17.html#group90H17", "90H¹⁷"), =HYPERLINK("CSG22.html#group168N22", "168N²²"), =HYPERLINK("CSG19.html#group24P19", "24P¹⁹"), =HYPERLINK("CSG17.html#group84K17", "84K¹⁷"), =HYPERLINK("CSG9.html#group60J9", "60J⁹"), =HYPERLINK("CSG7.html#group102B7", "102B⁷"), =HYPERLINK("CSG19.html#group246B19", "246B¹⁹"), =HYPERLINK("CSG5.html#group30O5", "30O⁵"), =HYPERLINK("CSG4.html#group30A4", "30A⁴"), =HYPERLINK("CSG21.html#group48R21", "48R²¹"), =HYPERLINK("CSG21.html#group48BL21", "48BL²¹"), =HYPERLINK("CSG22.html#group48D22", "48D²²"), =HYPERLINK("CSG19.html#group48AA19", "48AA¹⁹"), =HYPERLINK("CSG22.html#group144J22", "144J²²"), =HYPERLINK("CSG14.html#group105D14", "105D¹⁴"), =HYPERLINK("CSG20.html#group273A20", "273A²⁰"), =HYPERLINK("CSG24.html#group279A24", "279A²⁴"), =HYPERLINK("CSG9.html#group24A9", "24A⁹"), =HYPERLINK("CSG19.html#group36S19", "36S¹⁹"), =HYPERLINK("CSG15.html#group48E15", "48E¹⁵"), =HYPERLINK("CSG21.html#group105D21", "105D²¹"), =HYPERLINK("CSG19.html#group48AS19", "48AS¹⁹"), =HYPERLINK("CSG11.html#group60Q11", "60Q¹¹"), =HYPERLINK("CSG8.html#group18B8", "18B⁸"), =HYPERLINK("CSG23.html#group96AB23", "96AB²³"), =HYPERLINK("CSG24.html#group144B24", "144B²⁴"), =HYPERLINK("CSG11.html#group84A11", "84A¹¹"), =HYPERLINK("CSG17.html#group24AC17", "24AC¹⁷"), =HYPERLINK("CSG19.html#group60G19", "60G¹⁹"), =HYPERLINK("CSG9.html#group36L9", "36L⁹"), =HYPERLINK("CSG1.html#group12G1", "12G¹"), =HYPERLINK("CSG4.html#group36J4", "36J⁴"), =HYPERLINK("CSG19.html#group96C19", "96C¹⁹"), =HYPERLINK("CSG24.html#group276D24", "276D²⁴"), =HYPERLINK("CSG6.html#group63F6", "63F⁶"), =HYPERLINK("CSG19.html#group48K19", "48K¹⁹"), =HYPERLINK("CSG17.html#group48BY17", "48BY¹⁷"), =HYPERLINK("CSG15.html#group66A15", "66A¹⁵"), =HYPERLINK("CSG14.html#group150A14", "150A¹⁴"), =HYPERLINK("CSG17.html#group24Q17", "24Q¹⁷"), =HYPERLINK("CSG16.html#group78A16", "78A¹⁶"), =HYPERLINK("CSG22.html#group84D22", "84D²²"), =HYPERLINK("CSG21.html#group192E21", "192E²¹"), =HYPERLINK("CSG5.html#group30H5", "30H⁵"), =HYPERLINK("CSG17.html#group48CI17", "48CI¹⁷"), =HYPERLINK("CSG9.html#group24D9", "24D⁹"), =HYPERLINK("CSG15.html#group48AD15", "48AD¹⁵"), =HYPERLINK("CSG17.html#group126I17", "126I¹⁷"), =HYPERLINK("CSG21.html#group48BG21", "48BG²¹"), =HYPERLINK("CSG17.html#group48AF17", "48AF¹⁷"), =HYPERLINK("CSG19.html#group192D19", "192D¹⁹"), =HYPERLINK("CSG6.html#group36C6", "36C⁶"), =HYPERLINK("CSG23.html#group96R23", "96R²³"), =HYPERLINK("CSG8.html#group72D8", "72D⁸"), =HYPERLINK("CSG19.html#group24Q19", "24Q¹⁹"), =HYPERLINK("CSG15.html#group24R15", "24R¹⁵"), =HYPERLINK("CSG17.html#group96T17", "96T¹⁷"), =HYPERLINK("CSG21.html#group48BX21", "48BX²¹"), =HYPERLINK("CSG18.html#group84F18", "84F¹⁸"), =HYPERLINK("CSG17.html#group72V17", "72V¹⁷"), =HYPERLINK("CSG6.html#group45A6", "45A⁶"), =HYPERLINK("CSG7.html#group42H7", "42H⁷"), =HYPERLINK("CSG15.html#group36P15", "36P¹⁵"), =HYPERLINK("CSG21.html#group96B21", "96B²¹"), =HYPERLINK("CSG8.html#group48X8", "48X⁸"), =HYPERLINK("CSG22.html#group72G22", "72G²²"), =HYPERLINK("CSG16.html#group210D16", "210D¹⁶"), =HYPERLINK("CSG3.html#group30H3", "30H³"), =HYPERLINK("CSG23.html#group60O23", "60O²³"), =HYPERLINK("CSG21.html#group48P21", "48P²¹"), =HYPERLINK("CSG5.html#group126B5", "126B⁵"), =HYPERLINK("CSG21.html#group72W21", "72W²¹"), =HYPERLINK("CSG8.html#group63B8", "63B⁸"), =HYPERLINK("CSG11.html#group30G11", "30G¹¹"), =HYPERLINK("CSG16.html#group66A16", "66A¹⁶"), =HYPERLINK("CSG21.html#group240D21", "240D²¹"), =HYPERLINK("CSG7.html#group30A7", "30A⁷"), =HYPERLINK("CSG19.html#group48X19", "48X¹⁹"), =HYPERLINK("CSG19.html#group120H19", "120H¹⁹"), =HYPERLINK("CSG10.html#group75A10", "75A¹⁰"), =HYPERLINK("CSG19.html#group192C19", "192C¹⁹"), =HYPERLINK("CSG1.html#group6F1", "6F¹"), =HYPERLINK("CSG5.html#group24O5", "24O⁵"), =HYPERLINK("CSG23.html#group192F23", "192F²³"), =HYPERLINK("CSG17.html#group126B17", "126B¹⁷"), =HYPERLINK("CSG23.html#group204E23", "204E²³"), =HYPERLINK("CSG7.html#group48Z7", "48Z⁷"), =HYPERLINK("CSG3.html#group33A3", "33A³"), =HYPERLINK("CSG20.html#group96P20", "96P²⁰"), =HYPERLINK("CSG17.html#group72A17", "72A¹⁷"), =HYPERLINK("CSG22.html#group144D22", "144D²²"), =HYPERLINK("CSG21.html#group48W21", "48W²¹"), =HYPERLINK("CSG10.html#group144A10", "144A¹⁰"), =HYPERLINK("CSG21.html#group126R21", "126R²¹"), =HYPERLINK("CSG21.html#group120M21", "120M²¹"), =HYPERLINK("CSG19.html#group36H19", "36H¹⁹"), =HYPERLINK("CSG17.html#group48X17", "48X¹⁷"), =HYPERLINK("CSG11.html#group84E11", "84E¹¹"), =HYPERLINK("CSG3.html#group48M3", "48M³"), =HYPERLINK("CSG22.html#group144C22", "144C²²"), =HYPERLINK("CSG7.html#group60Q7", "60Q⁷"), =HYPERLINK("CSG16.html#group60E16", "60E¹⁶"), =HYPERLINK("CSG8.html#group126B8", "126B⁸"), =HYPERLINK("CSG11.html#group36B11", "36B¹¹"), =HYPERLINK("CSG21.html#group60C21", "60C²¹"), =HYPERLINK("CSG17.html#group48E17", "48E¹⁷"), =HYPERLINK("CSG19.html#group24D19", "24D¹⁹"), =HYPERLINK("CSG20.html#group96L20", "96L²⁰"), =HYPERLINK("CSG19.html#group96AE19", "96AE¹⁹"), =HYPERLINK("CSG3.html#group12F3", "12F³"), =HYPERLINK("CSG13.html#group24R13", "24R¹³"), =HYPERLINK("CSG20.html#group96N20", "96N²⁰"), =HYPERLINK("CSG21.html#group102D21", "102D²¹"), =HYPERLINK("CSG17.html#group24I17", "24I¹⁷"), =HYPERLINK("CSG23.html#group60Q23", "60Q²³"), =HYPERLINK("CSG21.html#group66B21", "66B²¹"), =HYPERLINK("CSG19.html#group60J19", "60J¹⁹"), =HYPERLINK("CSG23.html#group120B23", "120B²³"), =HYPERLINK("CSG16.html#group18F16", "18F¹⁶"), =HYPERLINK("CSG23.html#group156B23", "156B²³"), =HYPERLINK("CSG6.html#group48B6", "48B⁶"), =HYPERLINK("CSG9.html#group30J9", "30J⁹"), =HYPERLINK("CSG22.html#group111A22", "111A²²"), =HYPERLINK("CSG23.html#group120I23", "120I²³"), =HYPERLINK("CSG13.html#group51A13", "51A¹³"), =HYPERLINK("CSG4.html#group18O4", "18O⁴"), =HYPERLINK("CSG12.html#group150C12", "150C¹²"), =HYPERLINK("CSG7.html#group42E7", "42E⁷"), =HYPERLINK("CSG18.html#group48E18", "48E¹⁸"), =HYPERLINK("CSG7.html#group48AI7", "48AI⁷"), =HYPERLINK("CSG10.html#group84A10", "84A¹⁰"), =HYPERLINK("CSG22.html#group84A22", "84A²²"), =HYPERLINK("CSG5.html#group60C5", "60C⁵"), =HYPERLINK("CSG8.html#group60D8", "60D⁸"), =HYPERLINK("CSG22.html#group36F22", "36F²²"), =HYPERLINK("CSG15.html#group24N15", "24N¹⁵"), =HYPERLINK("CSG1.html#group9E1", "9E¹"), =HYPERLINK("CSG19.html#group84F19", "84F¹⁹"), =HYPERLINK("CSG9.html#group36P9", "36P⁹"), =HYPERLINK("CSG11.html#group42B11", "42B¹¹"), =HYPERLINK("CSG4.html#group36N4", "36N⁴"), =HYPERLINK("CSG23.html#group96P23", "96P²³"), =HYPERLINK("CSG19.html#group48F19", "48F¹⁹"), =HYPERLINK("CSG9.html#group90G9", "90G⁹"), =HYPERLINK("CSG9.html#group48O9", "48O⁹"), =HYPERLINK("CSG19.html#group96AZ19", "96AZ¹⁹"), =HYPERLINK("CSG8.html#group48A8", "48A⁸"), =HYPERLINK("CSG21.html#group48AW21", "48AW²¹"), =HYPERLINK("CSG7.html#group18A7", "18A⁷"), =HYPERLINK("CSG24.html#group315A24", "315A²⁴"), =HYPERLINK("CSG23.html#group45C23", "45C²³"), =HYPERLINK("CSG15.html#group90K15", "90K¹⁵"), =HYPERLINK("CSG23.html#group114A23", "114A²³"), =HYPERLINK("CSG15.html#group42G15", "42G¹⁵"), =HYPERLINK("CSG19.html#group48Y19", "48Y¹⁹"), =HYPERLINK("CSG6.html#group63E6", "63E⁶"), =HYPERLINK("CSG7.html#group30B7", "30B⁷"), =HYPERLINK("CSG4.html#group12B4", "12B⁴"), =HYPERLINK("CSG19.html#group114B19", "114B¹⁹"), =HYPERLINK("CSG17.html#group90C17", "90C¹⁷"), =HYPERLINK("CSG10.html#group105A10", "105A¹⁰"), =HYPERLINK("CSG24.html#group336H24", "336H²⁴"), =HYPERLINK("CSG14.html#group63B14", "63B¹⁴"), =HYPERLINK("CSG10.html#group60A10", "60A¹⁰"), =HYPERLINK("CSG4.html#group30F4", "30F⁴"), =HYPERLINK("CSG14.html#group174A14", "174A¹⁴"), =HYPERLINK("CSG6.html#group72E6", "72E⁶"), =HYPERLINK("CSG1.html#group21E1", "21E¹"), =HYPERLINK("CSG16.html#group72K16", "72K¹⁶"), =HYPERLINK("CSG9.html#group30K9", "30K⁹"), =HYPERLINK("CSG6.html#group30A6", "30A⁶"), =HYPERLINK("CSG11.html#group105B11", "105B¹¹"), =HYPERLINK("CSG19.html#group96V19", "96V¹⁹"), =HYPERLINK("CSG12.html#group90B12", "90B¹²"), =HYPERLINK("CSG19.html#group90J19", "90J¹⁹"), =HYPERLINK("CSG22.html#group117A22", "117A²²"), =HYPERLINK("CSG14.html#group75D14", "75D¹⁴"), =HYPERLINK("CSG15.html#group48J15", "48J¹⁵"), =HYPERLINK("CSG7.html#group60B7", "60B⁷"), =HYPERLINK("CSG17.html#group24H17", "24H¹⁷"), =HYPERLINK("CSG7.html#group18B7", "18B⁷"), =HYPERLINK("CSG13.html#group30Q13", "30Q¹³"), =HYPERLINK("CSG16.html#group42D16", "42D¹⁶"), =HYPERLINK("CSG6.html#group18C6", "18C⁶"), =HYPERLINK("CSG15.html#group72O15", "72O¹⁵"), =HYPERLINK("CSG16.html#group48I16", "48I¹⁶"), =HYPERLINK("CSG17.html#group24AF17", "24AF¹⁷"), =HYPERLINK("CSG17.html#group90I17", "90I¹⁷"), =HYPERLINK("CSG10.html#group60B10", "60B¹⁰"), =HYPERLINK("CSG15.html#group84E15", "84E¹⁵"), =HYPERLINK("CSG22.html#group66D22", "66D²²"), =HYPERLINK("CSG8.html#group42C8", "42C⁸"), =HYPERLINK("CSG14.html#group90G14", "90G¹⁴"), =HYPERLINK("CSG20.html#group90B20", "90B²⁰"), =HYPERLINK("CSG11.html#group48U11", "48U¹¹"), =HYPERLINK("CSG12.html#group126H12", "126H¹²"), =HYPERLINK("CSG5.html#group24B5", "24B⁵"), =HYPERLINK("CSG17.html#group96AB17", "96AB¹⁷"), =HYPERLINK("CSG7.html#group48I7", "48I⁷"), =HYPERLINK("CSG8.html#group48AB8", "48AB⁸"), =HYPERLINK("CSG7.html#group24AA7", "24AA⁷"), =HYPERLINK("CSG10.html#group42K10", "42K¹⁰"), =HYPERLINK("CSG8.html#group54D8", "54D⁸"), =HYPERLINK("CSG16.html#group96C16", "96C¹⁶"), =HYPERLINK("CSG7.html#group24J7", "24J⁷"), =HYPERLINK("CSG4.html#group21A4", "21A⁴"), =HYPERLINK("CSG19.html#group48AQ19", "48AQ¹⁹"), =HYPERLINK("CSG22.html#group33B22", "33B²²"), =HYPERLINK("CSG1.html#group30D1", "30D¹"), =HYPERLINK("CSG22.html#group48A22", "48A²²"), =HYPERLINK("CSG22.html#group84E22", "84E²²"), =HYPERLINK("CSG18.html#group192A18", "192A¹⁸"), =HYPERLINK("CSG23.html#group120O23", "120O²</f>
        <v/>
      </c>
    </row>
    <row r="7">
      <c r="A7" t="inlineStr">
        <is>
          <t>3B⁰</t>
        </is>
      </c>
      <c r="B7" t="inlineStr">
        <is>
          <t>Γ₀(3), Γ₁(3)</t>
        </is>
      </c>
      <c r="C7" t="inlineStr">
        <is>
          <t>4</t>
        </is>
      </c>
      <c r="D7" t="inlineStr">
        <is>
          <t>1</t>
        </is>
      </c>
      <c r="E7" t="inlineStr">
        <is>
          <t>4</t>
        </is>
      </c>
      <c r="F7" t="inlineStr">
        <is>
          <t>0</t>
        </is>
      </c>
      <c r="G7" t="inlineStr">
        <is>
          <t>1</t>
        </is>
      </c>
      <c r="H7" t="inlineStr">
        <is>
          <t>1¹, 3¹</t>
        </is>
      </c>
      <c r="I7" t="n">
        <v>2</v>
      </c>
      <c r="J7" t="inlineStr">
        <is>
          <t>1², 2¹</t>
        </is>
      </c>
      <c r="K7">
        <f>HYPERLINK("CSG0.html#group1A0", "1A⁰")</f>
        <v/>
      </c>
      <c r="L7">
        <f>HYPERLINK("CSG0.html#group3D0", "3D⁰"), =HYPERLINK("CSG0.html#group6C0", "6C⁰"), =HYPERLINK("CSG0.html#group6F0", "6F⁰"), =HYPERLINK("CSG0.html#group9B0", "9B⁰"), =HYPERLINK("CSG0.html#group9C0", "9C⁰"), =HYPERLINK("CSG1.html#group9A1", "9A¹"), =HYPERLINK("CSG1.html#group12A1", "12A¹"), =HYPERLINK("CSG1.html#group15B1", "15B¹"), =HYPERLINK("CSG1.html#group15C1", "15C¹"), =HYPERLINK("CSG1.html#group21B1", "21B¹"), =HYPERLINK("CSG2.html#group15C2", "15C²"), =HYPERLINK("CSG2.html#group21B2", "21B²"), =HYPERLINK("CSG3.html#group33B3", "33B³"), =HYPERLINK("CSG3.html#group33C3", "33C³"), =HYPERLINK("CSG3.html#group39A3", "39A³"), =HYPERLINK("CSG5.html#group51A5", "51A⁵"), =HYPERLINK("CSG5.html#group57C5", "57C⁵"), =HYPERLINK("CSG7.html#group69A7", "69A⁷"), =HYPERLINK("CSG9.html#group87A9", "87A⁹"), =HYPERLINK("CSG9.html#group93A9", "93A⁹"), =HYPERLINK("CSG11.html#group111A11", "111A¹¹"), =HYPERLINK("CSG13.html#group123A13", "123A¹³"), =HYPERLINK("CSG13.html#group129A13", "129A¹³"), =HYPERLINK("CSG14.html#group33A14", "33A¹⁴"), =HYPERLINK("CSG15.html#group141A15", "141A¹⁵"), =HYPERLINK("CSG16.html#group57A16", "57A¹⁶"), =HYPERLINK("CSG17.html#group159A17", "159A¹⁷"), =HYPERLINK("CSG19.html#group177A19", "177A¹⁹"), =HYPERLINK("CSG19.html#group183A19", "183A¹⁹"), =HYPERLINK("CSG21.html#group39A21", "39A²¹"), =HYPERLINK("CSG21.html#group201A21", "201A²¹"), =HYPERLINK("CSG23.html#group39A23", "39A²³"), =HYPERLINK("CSG23.html#group213A23", "213A²³"), =HYPERLINK("CSG23.html#group219A23", "219A²³"), =HYPERLINK("CSG24.html#group39A24", "39A²⁴")</f>
        <v/>
      </c>
      <c r="M7">
        <f>HYPERLINK("CSG0.html#group1A0", "1A⁰")</f>
        <v/>
      </c>
      <c r="N7">
        <f>HYPERLINK("CSG15.html#group126D15", "126D¹⁵"), =HYPERLINK("CSG22.html#group90K22", "90K²²"), =HYPERLINK("CSG22.html#group198B22", "198B²²"), =HYPERLINK("CSG12.html#group42B12", "42B¹²"), =HYPERLINK("CSG17.html#group39A17", "39A¹⁷"), =HYPERLINK("CSG7.html#group42F7", "42F⁷"), =HYPERLINK("CSG3.html#group9A3", "9A³"), =HYPERLINK("CSG13.html#group54P13", "54P¹³"), =HYPERLINK("CSG11.html#group72K11", "72K¹¹"), =HYPERLINK("CSG12.html#group108B12", "108B¹²"), =HYPERLINK("CSG23.html#group210J23", "210J²³"), =HYPERLINK("CSG15.html#group135B15", "135B¹⁵"), =HYPERLINK("CSG13.html#group126F13", "126F¹³"), =HYPERLINK("CSG13.html#group36C13", "36C¹³"), =HYPERLINK("CSG23.html#group204B23", "204B²³"), =HYPERLINK("CSG9.html#group24AC9", "24AC⁹"), =HYPERLINK("CSG13.html#group45O13", "45O¹³"), =HYPERLINK("CSG17.html#group24AO17", "24AO¹⁷"), =HYPERLINK("CSG9.html#group75B9", "75B⁹"), =HYPERLINK("CSG13.html#group144H13", "144H¹³"), =HYPERLINK("CSG18.html#group60B18", "60B¹⁸"), =HYPERLINK("CSG7.html#group24AF7", "24AF⁷"), =HYPERLINK("CSG23.html#group84J23", "84J²³"), =HYPERLINK("CSG16.html#group60B16", "60B¹⁶"), =HYPERLINK("CSG13.html#group30P13", "30P¹³"), =HYPERLINK("CSG11.html#group24D11", "24D¹¹"), =HYPERLINK("CSG13.html#group126E13", "126E¹³"), =HYPERLINK("CSG7.html#group60G7", "60G⁷"), =HYPERLINK("CSG14.html#group132A14", "132A¹⁴"), =HYPERLINK("CSG21.html#group48CD21", "48CD²¹"), =HYPERLINK("CSG13.html#group126A13", "126A¹³"), =HYPERLINK("CSG3.html#group24X3", "24X³"), =HYPERLINK("CSG16.html#group27A16", "27A¹⁶"), =HYPERLINK("CSG23.html#group180L23", "180L²³"), =HYPERLINK("CSG15.html#group45A15", "45A¹⁵"), =HYPERLINK("CSG19.html#group36D19", "36D¹⁹"), =HYPERLINK("CSG11.html#group108C11", "108C¹¹"), =HYPERLINK("CSG9.html#group60H9", "60H⁹"), =HYPERLINK("CSG21.html#group90H21", "90H²¹"), =HYPERLINK("CSG15.html#group90G15", "90G¹⁵"), =HYPERLINK("CSG23.html#group126J23", "126J²³"), =HYPERLINK("CSG3.html#group33B3", "33B³"), =HYPERLINK("CSG2.html#group18E2", "18E²"), =HYPERLINK("CSG22.html#group36Q22", "36Q²²"), =HYPERLINK("CSG7.html#group30K7", "30K⁷"), =HYPERLINK("CSG11.html#group72L11", "72L¹¹"), =HYPERLINK("CSG13.html#group84K13", "84K¹³"), =HYPERLINK("CSG24.html#group84C24", "84C²⁴"), =HYPERLINK("CSG22.html#group36K22", "36K²²"), =HYPERLINK("CSG23.html#group84H23", "84H²³"), =HYPERLINK("CSG13.html#group12A13", "12A¹³"), =HYPERLINK("CSG19.html#group63K19", "63K¹⁹"), =HYPERLINK("CSG23.html#group78B23", "78B²³"), =HYPERLINK("CSG16.html#group162A16", "162A¹⁶"), =HYPERLINK("CSG17.html#group171B17", "171B¹⁷"), =HYPERLINK("CSG9.html#group75D9", "75D⁹"), =HYPERLINK("CSG2.html#group15C2", "15C²"), =HYPERLINK("CSG21.html#group126O21", "126O²¹"), =HYPERLINK("CSG16.html#group108B16", "108B¹⁶"), =HYPERLINK("CSG22.html#group60A22", "60A²²"), =HYPERLINK("CSG5.html#group42I5", "42I⁵"), =HYPERLINK("CSG13.html#group45D13", "45D¹³"), =HYPERLINK("CSG18.html#group63D18", "63D¹⁸"), =HYPERLINK("CSG15.html#group120D15", "120D¹⁵"), =HYPERLINK("CSG24.html#group252F24", "252F²⁴"), =HYPERLINK("CSG21.html#group102A21", "102A²¹"), =HYPERLINK("CSG21.html#group96BD21", "96BD²¹"), =HYPERLINK("CSG23.html#group84I23", "84I²³"), =HYPERLINK("CSG21.html#group147B21", "147B²¹"), =HYPERLINK("CSG8.html#group36H8", "36H⁸"), =HYPERLINK("CSG10.html#group72C10", "72C¹⁰"), =HYPERLINK("CSG10.html#group36R10", "36R¹⁰"), =HYPERLINK("CSG19.html#group144F19", "144F¹⁹"), =HYPERLINK("CSG17.html#group30H17", "30H¹⁷"), =HYPERLINK("CSG23.html#group42D23", "42D²³"), =HYPERLINK("CSG22.html#group81B22", "81B²²"), =HYPERLINK("CSG5.html#group24Q5", "24Q⁵"), =HYPERLINK("CSG5.html#group24J5", "24J⁵"), =HYPERLINK("CSG13.html#group24AC13", "24AC¹³"), =HYPERLINK("CSG13.html#group18D13", "18D¹³"), =HYPERLINK("CSG8.html#group54A8", "54A⁸"), =HYPERLINK("CSG4.html#group18C4", "18C⁴"), =HYPERLINK("CSG9.html#group96M9", "96M⁹"), =HYPERLINK("CSG21.html#group117A21", "117A²¹"), =HYPERLINK("CSG23.html#group198E23", "198E²³"), =HYPERLINK("CSG3.html#group30G3", "30G³"), =HYPERLINK("CSG23.html#group219A23", "219A²³"), =HYPERLINK("CSG12.html#group45C12", "45C¹²"), =HYPERLINK("CSG21.html#group126P21", "126P²¹"), =HYPERLINK("CSG5.html#group75A5", "75A⁵"), =HYPERLINK("CSG17.html#group24AP17", "24AP¹⁷"), =HYPERLINK("CSG3.html#group21D3", "21D³"), =HYPERLINK("CSG9.html#group45D9", "45D⁹"), =HYPERLINK("CSG18.html#group168B18", "168B¹⁸"), =HYPERLINK("CSG9.html#group75A9", "75A⁹"), =HYPERLINK("CSG22.html#group36M22", "36M²²"), =HYPERLINK("CSG10.html#group33A10", "33A¹⁰"), =HYPERLINK("CSG22.html#group72M22", "72M²²"), =HYPERLINK("CSG22.html#group108F22", "108F²²"), =HYPERLINK("CSG9.html#group36M9", "36M⁹"), =HYPERLINK("CSG13.html#group78G13", "78G¹³"), =HYPERLINK("CSG23.html#group234B23", "234B²³"), =HYPERLINK("CSG17.html#group108E17", "108E¹⁷"), =HYPERLINK("CSG3.html#group45C3", "45C³"), =HYPERLINK("CSG17.html#group48CO17", "48CO¹⁷"), =HYPERLINK("CSG3.html#group15D3", "15D³"), =HYPERLINK("CSG13.html#group24N13", "24N¹³"), =HYPERLINK("CSG11.html#group111A11", "111A¹¹"), =HYPERLINK("CSG19.html#group48BT19", "48BT¹⁹"), =HYPERLINK("CSG5.html#group36B5", "36B⁵"), =HYPERLINK("CSG1.html#group12P1", "12P¹"), =HYPERLINK("CSG11.html#group99A11", "99A¹¹"), =HYPERLINK("CSG15.html#group180A15", "180A¹⁵"), =HYPERLINK("CSG21.html#group42D21", "42D²¹"), =HYPERLINK("CSG4.html#group18P4", "18P⁴"), =HYPERLINK("CSG3.html#group15A3", "15A³"), =HYPERLINK("CSG19.html#group27C19", "27C¹⁹"), =HYPERLINK("CSG23.html#group90E23", "90E²³"), =HYPERLINK("CSG15.html#group120K15", "120K¹⁵"), =HYPERLINK("CSG8.html#group108B8", "108B⁸"), =HYPERLINK("CSG4.html#group48A4", "48A⁴"), =HYPERLINK("CSG7.html#group96C7", "96C⁷"), =HYPERLINK("CSG21.html#group144A21", "144A²¹"), =HYPERLINK("CSG24.html#group90H24", "90H²⁴"), =HYPERLINK("CSG18.html#group168A18", "168A¹⁸"), =HYPERLINK("CSG10.html#group45B10", "45B¹⁰"), =HYPERLINK("CSG21.html#group72I21", "72I²¹"), =HYPERLINK("CSG11.html#group90A11", "90A¹¹"), =HYPERLINK("CSG8.html#group72A8", "72A⁸"), =HYPERLINK("CSG7.html#group24AH7", "24AH⁷"), =HYPERLINK("CSG7.html#group60O7", "60O⁷"), =HYPERLINK("CSG21.html#group108E21", "108E²¹"), =HYPERLINK("CSG19.html#group36B19", "36B¹⁹"), =HYPERLINK("CSG11.html#group18B11", "18B¹¹"), =HYPERLINK("CSG19.html#group150E19", "150E¹⁹"), =HYPERLINK("CSG9.html#group45G9", "45G⁹"), =HYPERLINK("CSG16.html#group90A16", "90A¹⁶"), =HYPERLINK("CSG16.html#group81B16", "81B¹⁶"), =HYPERLINK("CSG13.html#group144G13", "144G¹³"), =HYPERLINK("CSG18.html#group60I18", "60I¹⁸"), =HYPERLINK("CSG1.html#group36B1", "36B¹"), =HYPERLINK("CSG0.html#group6K0", "6K⁰"), =HYPERLINK("CSG10.html#group90B10", "90B¹⁰"), =HYPERLINK("CSG23.html#group30A23", "30A²³"), =HYPERLINK("CSG17.html#group180A17", "180A¹⁷"), =HYPERLINK("CSG17.html#group171A17", "171A¹⁷"), =HYPERLINK("CSG23.html#group144J23", "144J²³"), =HYPERLINK("CSG13.html#group117A13", "117A¹³"), =HYPERLINK("CSG13.html#group63B13", "63B¹³"), =HYPERLINK("CSG0.html#group36A0", "36A⁰"), =HYPERLINK("CSG10.html#group36Q10", "36Q¹⁰"), =HYPERLINK("CSG7.html#group18N7", "18N⁷"), =HYPERLINK("CSG13.html#group48B13", "48B¹³"), =HYPERLINK("CSG9.html#group90F9", "90F⁹"), =HYPERLINK("CSG1.html#group18K1", "18K¹"), =HYPERLINK("CSG13.html#group24B13", "24B¹³"), =HYPERLINK("CSG21.html#group189C21", "189C²¹"), =HYPERLINK("CSG5.html#group30N5", "30N⁵"), =HYPERLINK("CSG0.html#group9B0", "9B⁰"), =HYPERLINK("CSG4.html#group36F4", "36F⁴"), =HYPERLINK("CSG16.html#group18A16", "18A¹⁶"), =HYPERLINK("CSG13.html#group126D13", "126D¹³"), =HYPERLINK("CSG19.html#group72D19", "72D¹⁹"), =HYPERLINK("CSG16.html#group54J16", "54J¹⁶"), =HYPERLINK("CSG17.html#group36F17", "36F¹⁷"), =HYPERLINK("CSG23.html#group180J23", "180J²³"), =HYPERLINK("CSG4.html#group27A4", "27A⁴"), =HYPERLINK("CSG24.html#group78A24", "78A²⁴"), =HYPERLINK("CSG19.html#group189E19", "189E¹⁹"), =HYPERLINK("CSG5.html#group24I5", "24I⁵"), =HYPERLINK("CSG15.html#group180B15", "180B¹⁵"), =HYPERLINK("CSG17.html#group48A17", "48A¹⁷"), =HYPERLINK("CSG17.html#group33A17", "33A¹⁷"), =HYPERLINK("CSG19.html#group120E19", "120E¹⁹"), =HYPERLINK("CSG19.html#group60N19", "60N¹⁹"), =HYPERLINK("CSG11.html#group36K11", "36K¹¹"), =HYPERLINK("CSG21.html#group48CQ21", "48CQ²¹"), =HYPERLINK("CSG12.html#group180A12", "180A¹²"), =HYPERLINK("CSG7.html#group24H7", "24H⁷"), =HYPERLINK("CSG17.html#group93A17", "93A¹⁷"), =HYPERLINK("CSG13.html#group72A13", "72A¹³"), =HYPERLINK("CSG1.html#group18D1", "18D¹"), =HYPERLINK("CSG22.html#group105A22", "105A²²"), =HYPERLINK("CSG17.html#group60T17", "60T¹⁷"), =HYPERLINK("CSG7.html#group27B7", "27B⁷"), =HYPERLINK("CSG18.html#group63E18", "63E¹⁸"), =HYPERLINK("CSG13.html#group42L13", "42L¹³"), =HYPERLINK("CSG21.html#group36B21", "36B²¹"), =HYPERLINK("CSG10.html#group18M10", "18M¹⁰"), =HYPERLINK("CSG17.html#group96AI17", "96AI¹⁷"), =HYPERLINK("CSG2.html#group27A2", "27A²"), =HYPERLINK("CSG17.html#group63E17", "63E¹⁷"), =HYPERLINK("CSG21.html#group72AB21", "72AB²¹"), =HYPERLINK("CSG6.html#group54A6", "54A⁶"), =HYPERLINK("CSG15.html#group132B15", "132B¹⁵"), =HYPERLINK("CSG8.html#group90D8", "90D⁸"), =HYPERLINK("CSG19.html#group96BC19", "96BC¹⁹"), =HYPERLINK("CSG21.html#group72H21", "72H²¹"), =HYPERLINK("CSG15.html#group96E15", "96E¹⁵"), =HYPERLINK("CSG11.html#group24F11", "24F¹¹"), =HYPERLINK("CSG22.html#group210A22", "210A²²"), =HYPERLINK("CSG13.html#group144J13", "144J¹³"), =HYPERLINK("CSG6.html#group42C6", "42C⁶"), =HYPERLINK("CSG17.html#group60B17", "60B¹⁷"), =HYPERLINK("CSG3.html#group42E3", "42E³"), =HYPERLINK("CSG7.html#group48AM7", "48AM⁷"), =HYPERLINK("CSG13.html#group45I13", "45I¹³"), =HYPERLINK("CSG23.html#group78G23", "78G²³"), =HYPERLINK("CSG8.html#group54B8", "54B⁸"), =HYPERLINK("CSG21.html#group48CO21", "48CO²¹"), =HYPERLINK("CSG5.html#group24R5", "24R⁵"), =HYPERLINK("CSG9.html#group36B9", "36B⁹"), =HYPERLINK("CSG4.html#group18E4", "18E⁴"), =HYPERLINK("CSG6.html#group24B6", "24B⁶"), =HYPERLINK("CSG13.html#group24O13", "24O¹³"), =HYPERLINK("CSG20.html#group63A20", "63A²⁰"), =HYPERLINK("CSG19.html#group144A19", "144A¹⁹"), =HYPERLINK("CSG0.html#group9J0", "9J⁰"), =HYPERLINK("CSG21.html#group72G21", "72G²¹"), =HYPERLINK("CSG13.html#group54I13", "54I¹³"), =HYPERLINK("CSG15.html#group51A15", "51A¹⁵"), =HYPERLINK("CSG17.html#group72M17", "72M¹⁷"), =HYPERLINK("CSG13.html#group54N13", "54N¹³"), =HYPERLINK("CSG15.html#group138B15", "138B¹⁵"), =HYPERLINK("CSG4.html#group18H4", "18H⁴"), =HYPERLINK("CSG19.html#group45H19", "45H¹⁹"), =HYPERLINK("CSG19.html#group75D19", "75D¹⁹"), =HYPERLINK("CSG10.html#group108A10", "108A¹⁰"), =HYPERLINK("CSG22.html#group36P22", "36P²²"), =HYPERLINK("CSG21.html#group72R21", "72R²¹"), =HYPERLINK("CSG7.html#group18O7", "18O⁷"), =HYPERLINK("CSG21.html#group48CH21", "48CH²¹"), =HYPERLINK("CSG23.html#group207A23", "207A²³"), =HYPERLINK("CSG10.html#group36A10", "36A¹⁰"), =HYPERLINK("CSG10.html#group108F10", "108F¹⁰"), =HYPERLINK("CSG22.html#group54F22", "54F²²"), =HYPERLINK("CSG21.html#group132C21", "132C²¹"), =HYPERLINK("CSG11.html#group60I11", "60I¹¹"), =HYPERLINK("CSG2.html#group18P2", "18P²"), =HYPERLINK("CSG12.html#group90E12", "90E¹²"), =HYPERLINK("CSG9.html#group42E9", "42E⁹"), =HYPERLINK("CSG21.html#group201A21", "201A²¹"), =HYPERLINK("CSG23.html#group180F23", "180F²³"), =HYPERLINK("CSG10.html#group117A10", "117A¹⁰"), =HYPERLINK("CSG19.html#group60O19", "60O¹⁹"), =HYPERLINK("CSG13.html#group96C13", "96C¹³"), =HYPERLINK("CSG22.html#group54A22", "54A²²"), =HYPERLINK("CSG2.html#group54B2", "54B²"), =HYPERLINK("CSG12.html#group84B12", "84B¹²"), =HYPERLINK("CSG17.html#group96AJ17", "96AJ¹⁷"), =HYPERLINK("CSG13.html#group48AG13", "48AG¹³"), =HYPERLINK("CSG9.html#group96L9", "96L⁹"), =HYPERLINK("CSG5.html#group18A5", "18A⁵"), =HYPERLINK("CSG21.html#group60R21", "60R²¹"), =HYPERLINK("CSG14.html#group45A14", "45A¹⁴"), =HYPERLINK("CSG21.html#group24E21", "24E²¹"), =HYPERLINK("CSG7.html#group78B7", "78B⁷"), =HYPERLINK("CSG1.html#group12S1", "12S¹"), =HYPERLINK("CSG4.html#group18F4", "18F⁴"), =HYPERLINK("CSG9.html#group48AG9", "48AG⁹"), =HYPERLINK("CSG21.html#group48CB21", "48CB²¹"), =HYPERLINK("CSG11.html#group108E11", "108E¹¹"), =HYPERLINK("CSG9.html#group48AM9", "48AM⁹"), =HYPERLINK("CSG13.html#group72T13", "72T¹³"), =HYPERLINK("CSG5.html#group45C5", "45C⁵"), =HYPERLINK("CSG19.html#group63J19", "63J¹⁹"), =HYPERLINK("CSG15.html#group60AA15", "60AA¹⁵"), =HYPERLINK("CSG3.html#group18F3", "18F³"), =HYPERLINK("CSG2.html#group9A2", "9A²"), =HYPERLINK("CSG17.html#group189A17", "189A¹⁷"), =HYPERLINK("CSG24.html#group168B24", "168B²⁴"), =HYPERLINK("CSG8.html#group60C8", "60C⁸"), =HYPERLINK("CSG14.html#group75E14", "75E¹⁴"), =HYPERLINK("CSG17.html#group24AR17", "24AR¹⁷"), =HYPERLINK("CSG23.html#group120K23", "120K²³"), =HYPERLINK("CSG9.html#group57B9", "57B⁹"), =HYPERLINK("CSG13.html#group24C13", "24C¹³"), =HYPERLINK("CSG6.html#group63D6", "63D⁶"), =HYPERLINK("CSG13.html#group45M13", "45M¹³"), =HYPERLINK("CSG19.html#group120L19", "120L¹⁹"), =HYPERLINK("CSG17.html#group108C17", "108C¹⁷"), =HYPERLINK("CSG21.html#group132B21", "132B²¹"), =HYPERLINK("CSG21.html#group192N21", "192N²¹"), =HYPERLINK("CSG23.html#group84G23", "84G²³"), =HYPERLINK("CSG3.html#group12B3", "12B³"), =HYPERLINK("CSG9.html#group21A9", "21A⁹"), =HYPERLINK("CSG24.html#group39A24", "39A²⁴"), =HYPERLINK("CSG24.html#group90F24", "90F²⁴"), =HYPERLINK("CSG23.html#group78E23", "78E²³"), =HYPERLINK("CSG17.html#group24AS17", "24AS¹⁷"), =HYPERLINK("CSG3.html#group24G3", "24G³"), =HYPERLINK("CSG13.html#group54O13", "54O¹³"), =HYPERLINK("CSG9.html#group108B9", "108B⁹"), =HYPERLINK("CSG16.html#group27D16", "27D¹⁶"), =HYPERLINK("CSG13.html#group54D13", "54D¹³"), =HYPERLINK("CSG11.html#group45C11", "45C¹¹"), =HYPERLINK("CSG15.html#group96L15", "96L¹⁵"), =HYPERLINK("CSG11.html#group72A11", "72A¹¹"), =HYPERLINK("CSG9.html#group48AI9", "48AI⁹"), =HYPERLINK("CSG22.html#group72N22", "72N²²"), =HYPERLINK("CSG1.html#group36C1", "36C¹"), =HYPERLINK("CSG3.html#group36J3", "36J³"), =HYPERLINK("CSG13.html#group129A13", "129A¹³"), =HYPERLINK("CSG17.html#group30A17", "30A¹⁷"), =HYPERLINK("CSG17.html#group24C17", "24C¹⁷"), =HYPERLINK("CSG4.html#group21C4", "21C⁴"), =HYPERLINK("CSG7.html#group24AI7", "24AI⁷"), =HYPERLINK("CSG7.html#group24AK7", "24AK⁷"), =HYPERLINK("CSG19.html#group150H19", "150H¹⁹"), =HYPERLINK("CSG9.html#group36A9", "36A⁹"), =HYPERLINK("CSG18.html#group168C18", "168C¹⁸"), =HYPERLINK("CSG19.html#group81D19", "81D¹⁹"), =HYPERLINK("CSG17.html#group36H17", "36H¹⁷"), =HYPERLINK("CSG13.html#group27B13", "27B¹³"), =HYPERLINK("CSG13.html#group72U13", "72U¹³"), =HYPERLINK("CSG9.html#group24AD9", "24AD⁹"), =HYPERLINK("CSG13.html#group45A13", "45A¹³"), =HYPERLINK("CSG3.html#group36A3", "36A³"), =HYPERLINK("CSG21.html#group24D21", "24D²¹"), =HYPERLINK("CSG8.html#group30A8", "30A⁸"), =HYPERLINK("CSG3.html#group24U3", "24U³"), =HYPERLINK("CSG21.html#group60T21", "60T²¹"), =HYPERLINK("CSG15.html#group120C15", "120C¹⁵"), =HYPERLINK("CSG19.html#group72F19", "72F¹⁹"), =HYPERLINK("CSG10.html#group18H10", "18H¹⁰"), =HYPERLINK("CSG10.html#group99A10", "99A¹⁰"), =HYPERLINK("CSG21.html#group165A21", "165A²¹"), =HYPERLINK("CSG5.html#group24H5", "24H⁵"), =HYPERLINK("CSG12.html#group42C12", "42C¹²"), =HYPERLINK("CSG13.html#group24G13", "24G¹³"), =HYPERLINK("CSG21.html#group126K21", "126K²¹"), =HYPERLINK("CSG21.html#group66A21", "66A²¹"), =HYPERLINK("CSG13.html#group42F13", "42F¹³"), =HYPERLINK("CSG21.html#group48CE21", "48CE²¹"), =HYPERLINK("CSG13.html#group45E13", "45E¹³"), =HYPERLINK("CSG9.html#group75F9", "75F⁹"), =HYPERLINK("CSG21.html#group96BI21", "96BI²¹"), =HYPERLINK("CSG21.html#group198D21", "198D²¹"), =HYPERLINK("CSG21.html#group126T21", "126T²¹"), =HYPERLINK("CSG11.html#group90C11", "90C¹¹"), =HYPERLINK("CSG11.html#group48Y11", "48Y¹¹"), =HYPERLINK("CSG10.html#group21B10", "21B¹⁰"), =HYPERLINK("CSG23.html#group204A23", "204A²³"), =HYPERLINK("CSG17.html#group75D17", "75D¹⁷"), =HYPERLINK("CSG12.html#group63A12", "63A¹²"), =HYPERLINK("CSG11.html#group84I11", "84I¹¹"), =HYPERLINK("CSG24.html#group240A24", "240A²⁴"), =HYPERLINK("CSG10.html#group90C10", "90C¹⁰"), =HYPERLINK("CSG19.html#group48BQ19", "48BQ¹⁹"), =HYPERLINK("CSG5.html#group24M5", "24M⁵"), =HYPERLINK("CSG19.html#group63B19", "63B¹⁹"), =HYPERLINK("CSG3.html#group54A3", "54A³"), =HYPERLINK("CSG21.html#group48CN21", "48CN²¹"), =HYPERLINK("CSG13.html#group48E13", "48E¹³"), =HYPERLINK("CSG4.html#group9A4", "9A⁴"), =HYPERLINK("CSG13.html#group72B13", "72B¹³"), =HYPERLINK("CSG20.html#group132B20", "132B²⁰"), =HYPERLINK("CSG14.html#group135A14", "135A¹⁴"), =HYPERLINK("CSG11.html#group54C11", "54C¹¹"), =HYPERLINK("CSG21.html#group24F21", "24F²¹"), =HYPERLINK("CSG6.html#group30E6", "30E⁶"), =HYPERLINK("CSG19.html#group63O19", "63O¹⁹"), =HYPERLINK("CSG9.html#group24AG9", "24AG⁹"), =HYPERLINK("CSG13.html#group54G13", "54G¹³"), =HYPERLINK("CSG17.html#group36L17", "36L¹⁷"), =HYPERLINK("CSG17.html#group75F17", "75F¹⁷"), =HYPERLINK("CSG21.html#group36F21", "36F²¹"), =HYPERLINK("CSG8.html#group36I8", "36I⁸"), =HYPERLINK("CSG21.html#group114A21", "114A²¹"), =HYPERLINK("CSG13.html#group24AB13", "24AB¹³"), =HYPERLINK("CSG13.html#group54J13", "54J¹³"), =HYPERLINK("CSG17.html#group90M17", "90M¹⁷"), =HYPERLINK("CSG11.html#group114A11", "114A¹¹"), =HYPERLINK("CSG23.html#group78H23", "78H²³"), =HYPERLINK("CSG19.html#group60K19", "60K¹⁹"), =HYPERLINK("CSG7.html#group48L7", "48L⁷"), =HYPERLINK("CSG17.html#group216A17", "216A¹⁷"), =HYPERLINK("CSG17.html#group63J17", "63J¹⁷"), =HYPERLINK("CSG15.html#group72E15", "72E¹⁵"), =HYPERLINK("CSG15.html#group96D15", "96D¹⁵"), =HYPERLINK("CSG9.html#group66A9", "66A⁹"), =HYPERLINK("CSG17.html#group57A17", "57A¹⁷"), =HYPERLINK("CSG22.html#group189A22", "189A²²"), =HYPERLINK("CSG23.html#group222B23", "222B²³"), =HYPERLINK("CSG21.html#group144K21", "144K²¹"), =HYPERLINK("CSG21.html#group120D21", "120D²¹"), =HYPERLINK("CSG13.html#group96F13", "96F¹³"), =HYPERLINK("CSG8.html#group72G8", "72G⁸"), =HYPERLINK("CSG9.html#group15C9", "15C⁹"), =HYPERLINK("CSG13.html#group36A13", "36A¹³"), =HYPERLINK("CSG7.html#group63F7", "63F⁷"), =HYPERLINK("CSG14.html#group126B14", "126B¹⁴"), =HYPERLINK("CSG16.html#group54G16", "54G¹⁶"), =HYPERLINK("CSG5.html#group24AB5", "24AB⁵"), =HYPERLINK("CSG13.html#group54R13", "54R¹³"), =HYPERLINK("CSG12.html#group117A12", "117A¹²"), =HYPERLINK("CSG3.html#group54C3", "54C³"), =HYPERLINK("CSG13.html#group24L13", "24L¹³"), =HYPERLINK("CSG3.html#group45B3", "45B³"), =HYPERLINK("CSG19.html#group189D19", "189D¹⁹"), =HYPERLINK("CSG10.html#group36D10", "36D¹⁰"), =HYPERLINK("CSG17.html#group63F17", "63F¹⁷"), =HYPERLINK("CSG12.html#group144A12", "144A¹²"), =HYPERLINK("CSG17.html#group63D17", "63D¹⁷"), =HYPERLINK("CSG19.html#group189A19", "189A¹⁹"), =HYPERLINK("CSG22.html#group108E22", "108E²²"), =HYPERLINK("CSG18.html#group198E18", "198E¹⁸"), =HYPERLINK("CSG17.html#group60P17", "60P¹⁷"), =HYPERLINK("CSG23.html#group144G23", "144G²³"), =HYPERLINK("CSG21.html#group96BB21", "96BB²¹"), =HYPERLINK("CSG12.html#group108A12", "108A¹²"), =HYPERLINK("CSG11.html#group108B11", "108B¹¹"), =HYPERLINK("CSG15.html#group30E15", "30E¹⁵"), =HYPERLINK("CSG9.html#group24AK9", "24AK⁹"), =HYPERLINK("CSG13.html#group54E13", "54E¹³"), =HYPERLINK("CSG4.html#group18G4", "18G⁴"), =HYPERLINK("CSG19.html#group27A19", "27A¹⁹"), =HYPERLINK("CSG13.html#group48P13", "48P¹³"), =HYPERLINK("CSG10.html#group36J10", "36J¹⁰"), =HYPERLINK("CSG9.html#group48AJ9", "48AJ⁹"), =HYPERLINK("CSG7.html#group48A7", "48A⁷"), =HYPERLINK("CSG9.html#group39B9", "39B⁹"), =HYPERLINK("CSG22.html#group72D22", "72D²²"), =HYPERLINK("CSG11.html#group96G11", "96G¹¹"), =HYPERLINK("CSG15.html#group132A15", "132A¹⁵"), =HYPERLINK("CSG23.html#group78F23", "78F²³"), =HYPERLINK("CSG20.html#group126D20", "126D²⁰"), =HYPERLINK("CSG22.html#group36L22", "36L²²"), =HYPERLINK("CSG13.html#group96E13", "96E¹³"), =HYPERLINK("CSG1.html#group27A1", "27A¹"), =HYPERLINK("CSG9.html#group24AJ9", "24AJ⁹"), =HYPERLINK("CSG2.html#group18N2", "18N²"), =HYPERLINK("CSG13.html#group60J13", "60J¹³"), =HYPERLINK("CSG16.html#group36F16", "36F¹⁶"), =HYPERLINK("CSG13.html#group18E13", "18E¹³"), =HYPERLINK("CSG13.html#group48S13", "48S¹³"), =HYPERLINK("CSG3.html#group18I3", "18I³"), =HYPERLINK("CSG19.html#group36J19", "36J¹⁹"), =HYPERLINK("CSG16.html#group54O16", "54O¹⁶"), =HYPERLINK("CSG5.html#group30J5", "30J⁵"), =HYPERLINK("CSG8.html#group84D8", "84D⁸"), =HYPERLINK("CSG21.html#group111A21", "111A²¹"), =HYPERLINK("CSG23.html#group204C23", "204C²³"), =HYPERLINK("CSG6.html#group72A6", "72A⁶"), =HYPERLINK("CSG22.html#group216C22", "216C²²"), =HYPERLINK("CSG13.html#group42C13", "42C¹³"), =HYPERLINK("CSG4.html#group27C4", "27C⁴"), =HYPERLINK("CSG23.html#group144V23", "144V²³"), =HYPERLINK("CSG0.html#group18B0", "18B⁰"), =HYPERLINK("CSG10.html#group18E10", "18E¹⁰"), =HYPERLINK("CSG21.html#group189B21", "189B²¹"), =HYPERLINK("CSG21.html#group96BJ21", "96BJ²¹"), =HYPERLINK("CSG14.html#group135B14", "135B¹⁴"), =HYPERLINK("CSG21.html#group120C21", "120C²¹"), =HYPERLINK("CSG17.html#group36I17", "36I¹⁷"), =HYPERLINK("CSG7.html#group24AG7", "24AG⁷"), =HYPERLINK("CSG19.html#group108A19", "108A¹⁹"), =HYPERLINK("CSG11.html#group84H11", "84H¹¹"), =HYPERLINK("CSG7.html#group15A7", "15A⁷"), =HYPERLINK("CSG21.html#group48CM21", "48CM²¹"), =HYPERLINK("CSG13.html#group60L13", "60L¹³"), =HYPERLINK("CSG17.html#group87A17", "87A¹⁷"), =HYPERLINK("CSG20.html#group72B20", "72B²⁰"), =HYPERLINK("CSG23.html#group48B23", "48B²³"), =HYPERLINK("CSG21.html#group48B21", "48B²¹"), =HYPERLINK("CSG9.html#group90C9", "90C⁹"), =HYPERLINK("CSG2.html#group24I2", "24I²"), =HYPERLINK("CSG23.html#group198F23", "198F²³"), =HYPERLINK("CSG9.html#group21D9", "21D⁹"), =HYPERLINK("CSG11.html#group48W11", "48W¹¹"), =HYPERLINK("CSG13.html#group48Y13", "48Y¹³"), =HYPERLINK("CSG9.html#group36Q9", "36Q⁹"), =HYPERLINK("CSG15.html#group153A15", "153A¹⁵"), =HYPERLINK("CSG15.html#group72D15", "72D¹⁵"), =HYPERLINK("CSG13.html#group96A13", "96A¹³"), =HYPERLINK("CSG2.html#group12G2", "12G²"), =HYPERLINK("CSG3.html#group12K3", "12K³"), =HYPERLINK("CSG24.html#group84D24", "84D²⁴"), =HYPERLINK("CSG13.html#group96D13", "96D¹³"), =HYPERLINK("CSG13.html#group162A13", "162A¹³"), =HYPERLINK("CSG23.html#group234D23", "234D²³"), =HYPERLINK("CSG23.html#group96AL23", "96AL²³"), =HYPERLINK("CSG3.html#group33C3", "33C³"), =HYPERLINK("CSG7.html#group27A7", "27A⁷"), =HYPERLINK("CSG9.html#group36D9", "36D⁹"), =HYPERLINK("CSG8.html#group90F8", "90F⁸"), =HYPERLINK("CSG20.html#group72A20", "72A²⁰"), =HYPERLINK("CSG11.html#group42H11", "42H¹¹"), =HYPERLINK("CSG13.html#group24H13", "24H¹³"), =HYPERLINK("CSG22.html#group72C22", "72C²²"), =HYPERLINK("CSG21.html#group126S21", "126S²¹"), =HYPERLINK("CSG7.html#group63A7", "63A⁷"), =HYPERLINK("CSG21.html#group189A21", "189A²¹"), =HYPERLINK("CSG22.html#group27A22", "27A²²"), =HYPERLINK("CSG13.html#group135E13", "135E¹³"), =HYPERLINK("CSG21.html#group48G21", "48G²¹"), =HYPERLINK("CSG13.html#group84B13", "84B¹³"), =HYPERLINK("CSG0.html#group9I0", "9I⁰"), =HYPERLINK("CSG4.html#group18I4", "18I⁴"), =HYPERLINK("CSG19.html#group117B19", "117B¹⁹"), =HYPERLINK("CSG9.html#group30A9", "30A⁹"), =HYPERLINK("CSG21.html#group60B21", "60B²¹"), =HYPERLINK("CSG21.html#group45E21", "45E²¹"), =HYPERLINK("CSG11.html#group90E11", "90E¹¹"), =HYPERLINK("CSG11.html#group21B11", "21B¹¹"), =HYPERLINK("CSG21.html#group96BC21", "96BC²¹"), =HYPERLINK("CSG1.html#group12F1", "12F¹"), =HYPERLINK("CSG13.html#group48D13", "48D¹³"), =HYPERLINK("CSG0.html#group6C0", "6C⁰"), =HYPERLINK("CSG21.html#group63B21", "63B²¹"), =HYPERLINK("CSG24.html#group270B24", "270B²⁴"), =HYPERLINK("CSG16.html#group144A16", "144A¹⁶"), =HYPERLINK("CSG21.html#group72A21", "72A²¹"), =HYPERLINK("CSG1.html#group21F1", "21F¹"), =HYPERLINK("CSG24.html#group24A24", "24A²⁴"), =HYPERLINK("CSG21.html#group24J21", "24J²¹"), =HYPERLINK("CSG23.html#group144F23", "144F²³"), =HYPERLINK("CSG17.html#group189B17", "189B¹⁷"), =HYPERLINK("CSG13.html#group30R13", "30R¹³"), =HYPERLINK("CSG21.html#group66D21", "66D²¹"), =HYPERLINK("CSG21.html#group144J21", "144J²¹"), =HYPERLINK("CSG7.html#group48AK7", "48AK⁷"), =HYPERLINK("CSG17.html#group48CM17", "48CM¹⁷"), =HYPERLINK("CSG7.html#group24AL7", "24AL⁷"), =HYPERLINK("CSG23.html#group180E23", "180E²³"), =HYPERLINK("CSG2.html#group18B2", "18B²"), =HYPERLINK("CSG1.html#group6D1", "6D¹"), =HYPERLINK("CSG21.html#group48CL21", "48CL²¹"), =HYPERLINK("CSG13.html#group36T13", "36T¹³"), =HYPERLINK("CSG21.html#group72L21", "72L²¹"), =HYPERLINK("CSG19.html#group144B19", "144B¹⁹"), =HYPERLINK("CSG7.html#group30M7", "30M⁷"), =HYPERLINK("CSG0.html#group9H0", "9H⁰"), =HYPERLINK("CSG17.html#group171C17", "171C¹⁷"), =HYPERLINK("CSG7.html#group24AJ7", "24AJ⁷"), =HYPERLINK("CSG22.html#group30A22", "30A²²"), =HYPERLINK("CSG17.html#group108G17", "108G¹⁷"), =HYPERLINK("CSG15.html#group30A15", "30A¹⁵"), =HYPERLINK("CSG7.html#group48H7", "48H⁷"), =HYPERLINK("CSG19.html#group48BS19", "48BS¹⁹"), =HYPERLINK("CSG21.html#group96BH21", "96BH²¹"), =HYPERLINK("CSG17.html#group153A17", "153A¹⁷"), =HYPERLINK("CSG19.html#group72C19", "72C¹⁹"), =HYPERLINK("CSG0.html#group12J0", "12J⁰"), =HYPERLINK("CSG23.html#group180K23", "180K²³"), =HYPERLINK("CSG17.html#group114A17", "114A¹⁷"), =HYPERLINK("CSG17.html#group45B17", "45B¹⁷"), =HYPERLINK("CSG6.html#group63B6", "63B⁶"), =HYPERLINK("CSG12.html#group45B12", "45B¹²"), =HYPERLINK("CSG15.html#group24C15", "24C¹⁵"), =HYPERLINK("CSG23.html#group39A23", "39A²³"), =HYPERLINK("CSG19.html#group144D19", "144D¹⁹"), =HYPERLINK("CSG20.html#group144B20", "144B²⁰"), =HYPERLINK("CSG0.html#group18C0", "18C⁰"), =HYPERLINK("CSG16.html#group108A16", "108A¹⁶"), =HYPERLINK("CSG9.html#group24A9", "24A⁹"), =HYPERLINK("CSG10.html#group48I10", "48I¹⁰"), =HYPERLINK("CSG21.html#group36A21", "36A²¹"), =HYPERLINK("CSG11.html#group48Z11", "48Z¹¹"), =HYPERLINK("CSG7.html#group48G7", "48G⁷"), =HYPERLINK("CSG18.html#group60C18", "60C¹⁸"), =HYPERLINK("CSG17.html#group60F17", "60F¹⁷"), =HYPERLINK("CSG13.html#group48O13", "48O¹³"), =HYPERLINK("CSG21.html#group180H21", "180H²¹"), =HYPERLINK("CSG11.html#group78C11", "78C¹¹"), =HYPERLINK("CSG9.html#group30N9", "30N⁹"), =HYPERLINK("CSG21.html#group48CA21", "48CA²¹"), =HYPERLINK("CSG13.html#group54Q13", "54Q¹³"), =HYPERLINK("CSG12.html#group126G12", "126G¹²"), =HYPERLINK("CSG21.html#group78B21", "78B²¹"), =HYPERLINK("CSG17.html#group90L17", "90L¹⁷"), =HYPERLINK("CSG23.html#group144A23", "144A²³"), =HYPERLINK("CSG10.html#group63A10", "63A¹⁰"), =HYPERLINK("CSG6.html#group54B6", "54B⁶"), =HYPERLINK("CSG11.html#group72C11", "72C¹¹"), =HYPERLINK("CSG19.html#group27F19", "27F¹⁹"), =HYPERLINK("CSG17.html#group48CJ17", "48CJ¹⁷"), =HYPERLINK("CSG19.html#group72M19", "72M¹⁹"), =HYPERLINK("CSG16.html#group54A16", "54A¹⁶"), =HYPERLINK("CSG19.html#group189B19", "189B¹⁹"), =HYPERLINK("CSG20.html#group189C20", "189C²⁰"), =HYPERLINK("CSG12.html#group42G12", "42G¹²"), =HYPERLINK("CSG21.html#group90F21", "90F²¹"), =HYPERLINK("CSG13.html#group54K13", "54K¹³"), =HYPERLINK("CSG17.html#group72Y17", "72Y¹⁷"), =HYPERLINK("CSG21.html#group24H21", "24H²¹"), =HYPERLINK("CSG14.html#group90A14", "90A¹⁴"), =HYPERLINK("CSG17.html#group126K17", "126K¹⁷"), =HYPERLINK("CSG19.html#group36I19", "36I¹⁹"), =HYPERLINK("CSG19.html#group72I19", "72I¹⁹"), =HYPERLINK("CSG3.html#group24Y3", "24Y³"), =HYPERLINK("CSG4.html#group36B4", "36B⁴"), =HYPERLINK("CSG12.html#group126I12", "126I¹²"), =HYPERLINK("CSG13.html#group126C13", "126C¹³"), =HYPERLINK("CSG22.html#group60D22", "60D²²"), =HYPERLINK("CSG23.html#group144E23", "144E²³"), =HYPERLINK("CSG5.html#group12B5", "12B⁵"), =HYPERLINK("CSG14.html#group33A14", "33A¹⁴"), =HYPERLINK("CSG21.html#group24B21", "24B²¹"), =HYPERLINK("CSG17.html#group90N17", "90N¹⁷"), =HYPERLINK("CSG10.html#group36G10", "36G¹⁰"), =HYPERLINK("CSG15.html#group144E15", "144E¹⁵"), =HYPERLINK("CSG23.html#group198D23", "198D²³"), =HYPERLINK("CSG11.html#group63E11", "63E¹¹"), =HYPERLINK("CSG13.html#group72W13", "72W¹³"), =HYPERLINK("CSG23.html#group234A23", "234A²³"), =HYPERLINK("CSG23.html#group144L23", "144L²³"), =HYPERLINK("CSG3.html#group15G3", "15G³"), =HYPERLINK("CSG9.html#group36I9", "36I⁹"), =HYPERLINK("CSG13.html#group48G13", "48G¹³"), =HYPERLINK("CSG7.html#group48C7", "48C⁷"), =HYPERLINK("CSG17.html#group84P17", "84P¹⁷"), =HYPERLINK("CSG22.html#group108B22", "108B²²"), =HYPERLINK("CSG4.html#group24C4", "24C⁴"), =HYPERLINK("CSG7.html#group63C7", "63C⁷"), =HYPERLINK("CSG13.html#group48N13", "48N¹³"), =HYPERLINK("CSG11.html#group30G11", "30G¹¹"), =HYPERLINK("CSG13.html#group96I13", "96I¹³"), =HYPERLINK("CSG11.html#group135A11", "135A¹¹"), =HYPERLINK("CSG3.html#group24Z3", "24Z³"), =HYPERLINK("CSG8.html#group30E8", "30E⁸"), =HYPERLINK("CSG19.html#group120K19", "120K¹⁹"), =HYPERLINK("CSG1.html#group6F1", "6F¹"), =HYPERLINK("CSG2.html#group30D2", "30D²"), =HYPERLINK("CSG16.html#group54I16", "54I¹⁶"), =HYPERLINK("CSG9.html#group60G9", "60G⁹"), =HYPERLINK("CSG4.html#group108A4", "108A⁴"), =HYPERLINK("CSG11.html#group108D11", "108D¹¹"), =HYPERLINK("CSG14.html#group90F14", "90F¹⁴"), =HYPERLINK("CSG19.html#group198A19", "198A¹⁹"), =HYPERLINK("CSG11.html#group60H11", "60H¹¹"), =HYPERLINK("CSG19.html#group225A19", "225A¹⁹"), =HYPERLINK("CSG21.html#group48W21", "48W²¹"), =HYPERLINK("CSG21.html#group144L21", "144L²¹"), =HYPERLINK("CSG7.html#group90E7", "90E⁷"), =HYPERLINK("CSG12.html#group132E12", "132E¹²"), =HYPERLINK("CSG21.html#group144G21", "144G²¹"), =HYPERLINK("CSG19.html#group36H19", "36H¹⁹"), =HYPERLINK("CSG10.html#group90A10", "90A¹⁰"), =HYPERLINK("CSG16.html#group18E16", "18E¹⁶"), =HYPERLINK("CSG21.html#group120F21", "120F²¹"), =HYPERLINK("CSG11.html#group33B11", "33B¹¹"), =HYPERLINK("CSG23.html#group180I23", "180I²³"), =HYPERLINK("CSG17.html#group51A17", "51A¹⁷"), =HYPERLINK("CSG23.html#group84K23", "84K²³"), =HYPERLINK("CSG13.html#group30N13", "30N¹³"), =HYPERLINK("CSG5.html#group48J5", "48J⁵"), =HYPERLINK("CSG11.html#group60J11", "60J¹¹"), =HYPERLINK("CSG5.html#group15B5", "15B⁵"), =HYPERLINK("CSG11.html#group36B11", "36B¹¹"), =HYPERLINK("CSG21.html#group24I21", "24I²¹"), =HYPERLINK("CSG2.html#group18C2", "18C²"), =HYPERLINK("CSG20.html#group66A20", "66A²⁰"), =HYPERLINK("CSG17.html#group126J17", "126J¹⁷"), =HYPERLINK("CSG17.html#group30K17", "30K¹⁷"), =HYPERLINK("CSG17.html#group57B17", "57B¹⁷"), =HYPERLINK("CSG23.html#group228B23", "228B²³"), =HYPERLINK("CSG1.html#group27C1", "27C¹"), =HYPERLINK("CSG2.html#group24A2", "24A²"), =HYPERLINK("CSG21.html#group207A21", "207A²¹"), =HYPERLINK("CSG13.html#group60K13", "60K¹³"), =HYPERLINK("CSG21.html#group66B21", "66B²¹"), =HYPERLINK("CSG14.html#group126D14", "126D¹⁴"), =HYPERLINK("CSG24.html#group270A24", "270A²⁴"), =HYPERLINK("CSG13.html#group60M13", "60M¹³"), =HYPERLINK("CSG16.html#group162C16", "162C¹⁶"), =HYPERLINK("CSG1.html#group21B1", "21B¹"), =HYPERLINK("CSG19.html#group72E19", "72E¹⁹"), =HYPERLINK("CSG12.html#group45E12", "45E¹²"), =HYPERLINK("CSG11.html#group45D11", "45D¹¹"), =HYPERLINK("CSG23.html#group144D23", "144D²³"), =HYPERLINK("CSG19.html#group72K19", "72K¹⁹"), =HYPERLINK("CSG9.html#group24AP9", "24AP⁹"), =HYPERLINK("CSG5.html#group48C5", "48C⁵"), =HYPERLINK("CSG20.html#group180B20", "180B²⁰"), =HYPERLINK("CSG10.html#group72A10", "72A¹⁰"), =HYPERLINK("CSG15.html#group72A15", "72A¹⁵"), =HYPERLINK("CSG23.html#group222A23", "222A²³"), =HYPERLINK("CSG19.html#group48BO19", "48BO¹⁹"), =HYPERLINK("CSG6.html#group27A6", "27A⁶"), =HYPERLINK("CSG21.html#group216A21", "216A²¹"), =HYPERLINK("CSG21.html#group48X21", "48X²¹"), =HYPERLINK("CSG19.html#group150I19", "150I¹⁹"), =HYPERLINK("CSG23.html#group180G23", "180G²³"), =HYPERLINK("CSG21.html#group108A21", "108A²¹"), =HYPERLINK("CSG4.html#group18J4", "18J⁴"), =HYPERLINK("CSG6.html#group18A6", "18A⁶"), =HYPERLINK("CSG13.html#group54B13", "54B¹³"), =HYPERLINK("CSG4.html#group24R4", "24R⁴"), =HYPERLINK("CSG5.html#group18B5", "18B⁵"), =HYPERLINK("CSG9.html#group48AN9", "48AN⁹"), =HYPERLINK("CSG14.html#group30A14", "30A¹⁴"), =HYPERLINK("CSG3.html#group36K3", "36K³"), =HYPERLINK("CSG4.html#group54A4", "54A⁴"), =HYPERLINK("CSG21.html#group60I21", "60I²¹"), =HYPERLINK("CSG13.html#group162B13", "162B¹³"), =HYPERLINK("CSG5.html#group54B5", "54B⁵"), =HYPERLINK("CSG21.html#group72AC21", "72AC²¹"), =HYPERLINK("CSG21.html#group39B21", "39B²¹"), =HYPERLINK("CSG8.html#group30D8", "30D⁸"), =HYPERLINK("CSG16.html#group54N16", "54N¹⁶"), =HYPERLINK("CSG24.html#group252E24", "252E²⁴"), =HYPERLINK("CSG17.html#group75C17", "75C¹⁷"), =HYPERLINK("CSG7.html#group69A7", "69A⁷"), =HYPERLINK("CSG17.html#group24AQ17", "24AQ¹⁷"), =HYPERLINK("CSG2.html#group54A2", "54A²"), =HYPERLINK("CSG13.html#group60AI13", "60AI¹³"), =HYPERLINK("CSG12.html#group30H12", "30H¹²"), =HYPERLINK("CSG21.html#group48BZ21", "48BZ²¹"), =HYPERLINK("CSG23.html#group105A23", "105A²³"), =HYPERLINK("CSG13.html#group54M13", "54M¹³"), =HYPERLINK("CSG6.html#group36K6", "36K⁶"), =HYPERLINK("CSG17.html#group48CL17", "48CL¹⁷"), =HYPERLINK("CSG13.html#group105B13", "105B¹³"), =HYPERLINK("CSG13.html#group108B13", "108B¹³"), =HYPERLINK("C</f>
        <v/>
      </c>
    </row>
    <row r="8">
      <c r="A8" t="inlineStr">
        <is>
          <t>3C⁰</t>
        </is>
      </c>
      <c r="B8" t="inlineStr"/>
      <c r="C8" t="inlineStr">
        <is>
          <t>6</t>
        </is>
      </c>
      <c r="D8" t="inlineStr">
        <is>
          <t>1</t>
        </is>
      </c>
      <c r="E8" t="inlineStr">
        <is>
          <t>3</t>
        </is>
      </c>
      <c r="F8" t="inlineStr">
        <is>
          <t>2</t>
        </is>
      </c>
      <c r="G8" t="inlineStr">
        <is>
          <t>0</t>
        </is>
      </c>
      <c r="H8" t="inlineStr">
        <is>
          <t>3²</t>
        </is>
      </c>
      <c r="I8" t="n">
        <v>2</v>
      </c>
      <c r="J8" t="inlineStr">
        <is>
          <t>1¹, 2¹</t>
        </is>
      </c>
      <c r="K8">
        <f>HYPERLINK("CSG0.html#group3A0", "3A⁰")</f>
        <v/>
      </c>
      <c r="L8">
        <f>HYPERLINK("CSG0.html#group3D0", "3D⁰"), =HYPERLINK("CSG0.html#group6E0", "6E⁰"), =HYPERLINK("CSG0.html#group6G0", "6G⁰"), =HYPERLINK("CSG0.html#group9D0", "9D⁰"), =HYPERLINK("CSG0.html#group9E0", "9E⁰"), =HYPERLINK("CSG1.html#group6B1", "6B¹"), =HYPERLINK("CSG1.html#group9B1", "9B¹"), =HYPERLINK("CSG1.html#group12G1", "12G¹"), =HYPERLINK("CSG1.html#group15E1", "15E¹"), =HYPERLINK("CSG2.html#group15A2", "15A²"), =HYPERLINK("CSG2.html#group21D2", "21D²"), =HYPERLINK("CSG3.html#group15C3", "15C³"), =HYPERLINK("CSG3.html#group21A3", "21A³"), =HYPERLINK("CSG4.html#group33A4", "33A⁴"), =HYPERLINK("CSG5.html#group33A5", "33A⁵"), =HYPERLINK("CSG5.html#group39A5", "39A⁵"), =HYPERLINK("CSG7.html#group51B7", "51B⁷"), =HYPERLINK("CSG9.html#group57A9", "57A⁹"), =HYPERLINK("CSG11.html#group69A11", "69A¹¹"), =HYPERLINK("CSG13.html#group87A13", "87A¹³"), =HYPERLINK("CSG15.html#group93A15", "93A¹⁵"), =HYPERLINK("CSG17.html#group111A17", "111A¹⁷"), =HYPERLINK("CSG19.html#group123B19", "123B¹⁹"), =HYPERLINK("CSG20.html#group33A20", "33A²⁰"), =HYPERLINK("CSG21.html#group129A21", "129A²¹"), =HYPERLINK("CSG23.html#group141A23", "141A²³"), =HYPERLINK("CSG24.html#group57A24", "57A²⁴")</f>
        <v/>
      </c>
      <c r="M8">
        <f>HYPERLINK("CSG0.html#group3A0", "3A⁰"), =HYPERLINK("CSG0.html#group1A0", "1A⁰")</f>
        <v/>
      </c>
      <c r="N8">
        <f>HYPERLINK("CSG4.html#group36K4", "36K⁴"), =HYPERLINK("CSG20.html#group45A20", "45A²⁰"), =HYPERLINK("CSG11.html#group24L11", "24L¹¹"), =HYPERLINK("CSG10.html#group36H10", "36H¹⁰"), =HYPERLINK("CSG17.html#group48O17", "48O¹⁷"), =HYPERLINK("CSG19.html#group15A19", "15A¹⁹"), =HYPERLINK("CSG9.html#group48M9", "48M⁹"), =HYPERLINK("CSG16.html#group105B16", "105B¹⁶"), =HYPERLINK("CSG19.html#group24M19", "24M¹⁹"), =HYPERLINK("CSG15.html#group24L15", "24L¹⁵"), =HYPERLINK("CSG3.html#group12G3", "12G³"), =HYPERLINK("CSG15.html#group36G15", "36G¹⁵"), =HYPERLINK("CSG9.html#group24O9", "24O⁹"), =HYPERLINK("CSG21.html#group96AU21", "96AU²¹"), =HYPERLINK("CSG17.html#group30E17", "30E¹⁷"), =HYPERLINK("CSG9.html#group15A9", "15A⁹"), =HYPERLINK("CSG15.html#group48A15", "48A¹⁵"), =HYPERLINK("CSG7.html#group24R7", "24R⁷"), =HYPERLINK("CSG19.html#group48Z19", "48Z¹⁹"), =HYPERLINK("CSG3.html#group18B3", "18B³"), =HYPERLINK("CSG15.html#group24K15", "24K¹⁵"), =HYPERLINK("CSG13.html#group36C13", "36C¹³"), =HYPERLINK("CSG17.html#group48AG17", "48AG¹⁷"), =HYPERLINK("CSG19.html#group36R19", "36R¹⁹"), =HYPERLINK("CSG17.html#group33B17", "33B¹⁷"), =HYPERLINK("CSG22.html#group54H22", "54H²²"), =HYPERLINK("CSG3.html#group12M3", "12M³"), =HYPERLINK("CSG7.html#group24G7", "24G⁷"), =HYPERLINK("CSG3.html#group24K3", "24K³"), =HYPERLINK("CSG19.html#group36U19", "36U¹⁹"), =HYPERLINK("CSG17.html#group24AD17", "24AD¹⁷"), =HYPERLINK("CSG19.html#group45F19", "45F¹⁹"), =HYPERLINK("CSG8.html#group15A8", "15A⁸"), =HYPERLINK("CSG15.html#group84D15", "84D¹⁵"), =HYPERLINK("CSG21.html#group48AD21", "48AD²¹"), =HYPERLINK("CSG3.html#group12A3", "12A³"), =HYPERLINK("CSG17.html#group48M17", "48M¹⁷"), =HYPERLINK("CSG15.html#group36C15", "36C¹⁵"), =HYPERLINK("CSG17.html#group48AH17", "48AH¹⁷"), =HYPERLINK("CSG17.html#group96W17", "96W¹⁷"), =HYPERLINK("CSG21.html#group45B21", "45B²¹"), =HYPERLINK("CSG21.html#group48BW21", "48BW²¹"), =HYPERLINK("CSG3.html#group15I3", "15I³"), =HYPERLINK("CSG15.html#group72R15", "72R¹⁵"), =HYPERLINK("CSG15.html#group24I15", "24I¹⁵"), =HYPERLINK("CSG20.html#group84D20", "84D²⁰"), =HYPERLINK("CSG16.html#group27A16", "27A¹⁶"), =HYPERLINK("CSG13.html#group48AC13", "48AC¹³"), =HYPERLINK("CSG7.html#group48J7", "48J⁷"), =HYPERLINK("CSG21.html#group72P21", "72P²¹"), =HYPERLINK("CSG15.html#group45A15", "45A¹⁵"), =HYPERLINK("CSG15.html#group36T15", "36T¹⁵"), =HYPERLINK("CSG19.html#group90K19", "90K¹⁹"), =HYPERLINK("CSG23.html#group132G23", "132G²³"), =HYPERLINK("CSG3.html#group30I3", "30I³"), =HYPERLINK("CSG22.html#group18A22", "18A²²"), =HYPERLINK("CSG20.html#group126E20", "126E²⁰"), =HYPERLINK("CSG14.html#group90D14", "90D¹⁴"), =HYPERLINK("CSG15.html#group72V15", "72V¹⁵"), =HYPERLINK("CSG11.html#group30A11", "30A¹¹"), =HYPERLINK("CSG2.html#group21D2", "21D²"), =HYPERLINK("CSG4.html#group18S4", "18S⁴"), =HYPERLINK("CSG21.html#group48BE21", "48BE²¹"), =HYPERLINK("CSG19.html#group54A19", "54A¹⁹"), =HYPERLINK("CSG11.html#group45F11", "45F¹¹"), =HYPERLINK("CSG17.html#group30B17", "30B¹⁷"), =HYPERLINK("CSG17.html#group24AA17", "24AA¹⁷"), =HYPERLINK("CSG7.html#group12E7", "12E⁷"), =HYPERLINK("CSG12.html#group30E12", "30E¹²"), =HYPERLINK("CSG19.html#group48BG19", "48BG¹⁹"), =HYPERLINK("CSG8.html#group27A8", "27A⁸"), =HYPERLINK("CSG9.html#group36K9", "36K⁹"), =HYPERLINK("CSG19.html#group42O19", "42O¹⁹"), =HYPERLINK("CSG23.html#group30E23", "30E²³"), =HYPERLINK("CSG22.html#group54I22", "54I²²"), =HYPERLINK("CSG1.html#group9B1", "9B¹"), =HYPERLINK("CSG19.html#group24B19", "24B¹⁹"), =HYPERLINK("CSG23.html#group126A23", "126A²³"), =HYPERLINK("CSG21.html#group96AE21", "96AE²¹"), =HYPERLINK("CSG21.html#group126L21", "126L²¹"), =HYPERLINK("CSG11.html#group78A11", "78A¹¹"), =HYPERLINK("CSG21.html#group48AF21", "48AF²¹"), =HYPERLINK("CSG22.html#group36A22", "36A²²"), =HYPERLINK("CSG22.html#group36K22", "36K²²"), =HYPERLINK("CSG11.html#group48P11", "48P¹¹"), =HYPERLINK("CSG13.html#group12A13", "12A¹³"), =HYPERLINK("CSG21.html#group84D21", "84D²¹"), =HYPERLINK("CSG5.html#group12C5", "12C⁵"), =HYPERLINK("CSG23.html#group36A23", "36A²³"), =HYPERLINK("CSG15.html#group24D15", "24D¹⁵"), =HYPERLINK("CSG17.html#group24D17", "24D¹⁷"), =HYPERLINK("CSG9.html#group30C9", "30C⁹"), =HYPERLINK("CSG9.html#group30H9", "30H⁹"), =HYPERLINK("CSG7.html#group48X7", "48X⁷"), =HYPERLINK("CSG21.html#group120G21", "120G²¹"), =HYPERLINK("CSG18.html#group63F18", "63F¹⁸"), =HYPERLINK("CSG11.html#group36L11", "36L¹¹"), =HYPERLINK("CSG21.html#group36E21", "36E²¹"), =HYPERLINK("CSG9.html#group45F9", "45F⁹"), =HYPERLINK("CSG19.html#group42N19", "42N¹⁹"), =HYPERLINK("CSG7.html#group24O7", "24O⁷"), =HYPERLINK("CSG7.html#group36N7", "36N⁷"), =HYPERLINK("CSG14.html#group90C14", "90C¹⁴"), =HYPERLINK("CSG6.html#group18B6", "18B⁶"), =HYPERLINK("CSG11.html#group72G11", "72G¹¹"), =HYPERLINK("CSG7.html#group24N7", "24N⁷"), =HYPERLINK("CSG15.html#group90A15", "90A¹⁵"), =HYPERLINK("CSG23.html#group30F23", "30F²³"), =HYPERLINK("CSG5.html#group36H5", "36H⁵"), =HYPERLINK("CSG18.html#group63C18", "63C¹⁸"), =HYPERLINK("CSG23.html#group84C23", "84C²³"), =HYPERLINK("CSG13.html#group24A13", "24A¹³"), =HYPERLINK("CSG22.html#group36C22", "36C²²"), =HYPERLINK("CSG17.html#group96Q17", "96Q¹⁷"), =HYPERLINK("CSG23.html#group96Y23", "96Y²³"), =HYPERLINK("CSG6.html#group18D6", "18D⁶"), =HYPERLINK("CSG5.html#group36C5", "36C⁵"), =HYPERLINK("CSG11.html#group48S11", "48S¹¹"), =HYPERLINK("CSG15.html#group48N15", "48N¹⁵"), =HYPERLINK("CSG17.html#group30H17", "30H¹⁷"), =HYPERLINK("CSG15.html#group96N15", "96N¹⁵"), =HYPERLINK("CSG22.html#group54J22", "54J²²"), =HYPERLINK("CSG23.html#group150C23", "150C²³"), =HYPERLINK("CSG12.html#group30C12", "30C¹²"), =HYPERLINK("CSG21.html#group42A21", "42A²¹"), =HYPERLINK("CSG15.html#group45B15", "45B¹⁵"), =HYPERLINK("CSG17.html#group48AZ17", "48AZ¹⁷"), =HYPERLINK("CSG15.html#group24E15", "24E¹⁵"), =HYPERLINK("CSG23.html#group90C23", "90C²³"), =HYPERLINK("CSG9.html#group75E9", "75E⁹"), =HYPERLINK("CSG13.html#group18D13", "18D¹³"), =HYPERLINK("CSG19.html#group72Q19", "72Q¹⁹"), =HYPERLINK("CSG13.html#group75A13", "75A¹³"), =HYPERLINK("CSG5.html#group45F5", "45F⁵"), =HYPERLINK("CSG21.html#group72O21", "72O²¹"), =HYPERLINK("CSG11.html#group72Q11", "72Q¹¹"), =HYPERLINK("CSG7.html#group24T7", "24T⁷"), =HYPERLINK("CSG3.html#group30J3", "30J³"), =HYPERLINK("CSG22.html#group27B22", "27B²²"), =HYPERLINK("CSG18.html#group126E18", "126E¹⁸"), =HYPERLINK("CSG21.html#group60W21", "60W²¹"), =HYPERLINK("CSG15.html#group51B15", "51B¹⁵"), =HYPERLINK("CSG21.html#group60A21", "60A²¹"), =HYPERLINK("CSG17.html#group48Y17", "48Y¹⁷"), =HYPERLINK("CSG11.html#group30H11", "30H¹¹"), =HYPERLINK("CSG19.html#group72S19", "72S¹⁹"), =HYPERLINK("CSG21.html#group96AO21", "96AO²¹"), =HYPERLINK("CSG13.html#group21B13", "21B¹³"), =HYPERLINK("CSG11.html#group72H11", "72H¹¹"), =HYPERLINK("CSG9.html#group60E9", "60E⁹"), =HYPERLINK("CSG17.html#group24Z17", "24Z¹⁷"), =HYPERLINK("CSG15.html#group60G15", "60G¹⁵"), =HYPERLINK("CSG17.html#group15A17", "15A¹⁷"), =HYPERLINK("CSG21.html#group72M21", "72M²¹"), =HYPERLINK("CSG21.html#group48Y21", "48Y²¹"), =HYPERLINK("CSG21.html#group90N21", "90N²¹"), =HYPERLINK("CSG14.html#group90H14", "90H¹⁴"), =HYPERLINK("CSG17.html#group48AE17", "48AE¹⁷"), =HYPERLINK("CSG21.html#group120H21", "120H²¹"), =HYPERLINK("CSG19.html#group24K19", "24K¹⁹"), =HYPERLINK("CSG10.html#group33A10", "33A¹⁰"), =HYPERLINK("CSG9.html#group30I9", "30I⁹"), =HYPERLINK("CSG12.html#group60B12", "60B¹²"), =HYPERLINK("CSG11.html#group72N11", "72N¹¹"), =HYPERLINK("CSG17.html#group36C17", "36C¹⁷"), =HYPERLINK("CSG18.html#group126A18", "126A¹⁸"), =HYPERLINK("CSG15.html#group48K15", "48K¹⁵"), =HYPERLINK("CSG23.html#group153C23", "153C²³"), =HYPERLINK("CSG21.html#group48AC21", "48AC²¹"), =HYPERLINK("CSG13.html#group24Y13", "24Y¹³"), =HYPERLINK("CSG13.html#group24N13", "24N¹³"), =HYPERLINK("CSG23.html#group126B23", "126B²³"), =HYPERLINK("CSG23.html#group72A23", "72A²³"), =HYPERLINK("CSG21.html#group24K21", "24K²¹"), =HYPERLINK("CSG13.html#group90C13", "90C¹³"), =HYPERLINK("CSG16.html#group54T16", "54T¹⁶"), =HYPERLINK("CSG13.html#group36D13", "36D¹³"), =HYPERLINK("CSG15.html#group72H15", "72H¹⁵"), =HYPERLINK("CSG21.html#group96F21", "96F²¹"), =HYPERLINK("CSG1.html#group12L1", "12L¹"), =HYPERLINK("CSG9.html#group24R9", "24R⁹"), =HYPERLINK("CSG16.html#group84C16", "84C¹⁶"), =HYPERLINK("CSG17.html#group42C17", "42C¹⁷"), =HYPERLINK("CSG19.html#group123B19", "123B¹⁹"), =HYPERLINK("CSG21.html#group72AA21", "72AA²¹"), =HYPERLINK("CSG15.html#group24J15", "24J¹⁵"), =HYPERLINK("CSG21.html#group84N21", "84N²¹"), =HYPERLINK("CSG23.html#group36D23", "36D²³"), =HYPERLINK("CSG5.html#group30R5", "30R⁵"), =HYPERLINK("CSG16.html#group18D16", "18D¹⁶"), =HYPERLINK("CSG2.html#group18H2", "18H²"), =HYPERLINK("CSG19.html#group120C19", "120C¹⁹"), =HYPERLINK("CSG5.html#group36M5", "36M⁵"), =HYPERLINK("CSG17.html#group24Y17", "24Y¹⁷"), =HYPERLINK("CSG23.html#group75A23", "75A²³"), =HYPERLINK("CSG11.html#group66C11", "66C¹¹"), =HYPERLINK("CSG9.html#group21B9", "21B⁹"), =HYPERLINK("CSG15.html#group48P15", "48P¹⁵"), =HYPERLINK("CSG17.html#group78A17", "78A¹⁷"), =HYPERLINK("CSG3.html#group24L3", "24L³"), =HYPERLINK("CSG19.html#group36K19", "36K¹⁹"), =HYPERLINK("CSG9.html#group24E9", "24E⁹"), =HYPERLINK("CSG19.html#group54B19", "54B¹⁹"), =HYPERLINK("CSG16.html#group81A16", "81A¹⁶"), =HYPERLINK("CSG17.html#group117A17", "117A¹⁷"), =HYPERLINK("CSG18.html#group63B18", "63B¹⁸"), =HYPERLINK("CSG1.html#group12K1", "12K¹"), =HYPERLINK("CSG23.html#group45A23", "45A²³"), =HYPERLINK("CSG11.html#group60N11", "60N¹¹"), =HYPERLINK("CSG11.html#group66B11", "66B¹¹"), =HYPERLINK("CSG19.html#group45I19", "45I¹⁹"), =HYPERLINK("CSG5.html#group15A5", "15A⁵"), =HYPERLINK("CSG13.html#group30K13", "30K¹³"), =HYPERLINK("CSG7.html#group18C7", "18C⁷"), =HYPERLINK("CSG23.html#group72F23", "72F²³"), =HYPERLINK("CSG7.html#group30J7", "30J⁷"), =HYPERLINK("CSG19.html#group36N19", "36N¹⁹"), =HYPERLINK("CSG11.html#group12A11", "12A¹¹"), =HYPERLINK("CSG21.html#group126H21", "126H²¹"), =HYPERLINK("CSG23.html#group144Q23", "144Q²³"), =HYPERLINK("CSG23.html#group144R23", "144R²³"), =HYPERLINK("CSG5.html#group30B5", "30B⁵"), =HYPERLINK("CSG15.html#group90I15", "90I¹⁵"), =HYPERLINK("CSG15.html#group90D15", "90D¹⁵"), =HYPERLINK("CSG17.html#group96P17", "96P¹⁷"), =HYPERLINK("CSG5.html#group39A5", "39A⁵"), =HYPERLINK("CSG5.html#group42E5", "42E⁵"), =HYPERLINK("CSG5.html#group33A5", "33A⁵"), =HYPERLINK("CSG16.html#group42C16", "42C¹⁶"), =HYPERLINK("CSG13.html#group36Q13", "36Q¹³"), =HYPERLINK("CSG0.html#group6K0", "6K⁰"), =HYPERLINK("CSG11.html#group36N11", "36N¹¹"), =HYPERLINK("CSG23.html#group30A23", "30A²³"), =HYPERLINK("CSG13.html#group60T13", "60T¹³"), =HYPERLINK("CSG11.html#group30I11", "30I¹¹"), =HYPERLINK("CSG21.html#group30A21", "30A²¹"), =HYPERLINK("CSG21.html#group120K21", "120K²¹"), =HYPERLINK("CSG23.html#group126C23", "126C²³"), =HYPERLINK("CSG9.html#group36G9", "36G⁹"), =HYPERLINK("CSG16.html#group45B16", "45B¹⁶"), =HYPERLINK("CSG10.html#group36Q10", "36Q¹⁰"), =HYPERLINK("CSG7.html#group18N7", "18N⁷"), =HYPERLINK("CSG17.html#group24V17", "24V¹⁷"), =HYPERLINK("CSG21.html#group30H21", "30H²¹"), =HYPERLINK("CSG7.html#group36J7", "36J⁷"), =HYPERLINK("CSG13.html#group45N13", "45N¹³"), =HYPERLINK("CSG17.html#group60E17", "60E¹⁷"), =HYPERLINK("CSG9.html#group72F9", "72F⁹"), =HYPERLINK("CSG21.html#group96AB21", "96AB²¹"), =HYPERLINK("CSG13.html#group24B13", "24B¹³"), =HYPERLINK("CSG7.html#group24Z7", "24Z⁷"), =HYPERLINK("CSG21.html#group72N21", "72N²¹"), =HYPERLINK("CSG21.html#group33B21", "33B²¹"), =HYPERLINK("CSG5.html#group12D5", "12D⁵"), =HYPERLINK("CSG23.html#group60D23", "60D²³"), =HYPERLINK("CSG17.html#group48AL17", "48AL¹⁷"), =HYPERLINK("CSG16.html#group18A16", "18A¹⁶"), =HYPERLINK("CSG9.html#group30G9", "30G⁹"), =HYPERLINK("CSG17.html#group48F17", "48F¹⁷"), =HYPERLINK("CSG16.html#group45C16", "45C¹⁶"), =HYPERLINK("CSG23.html#group144T23", "144T²³"), =HYPERLINK("CSG4.html#group15C4", "15C⁴"), =HYPERLINK("CSG8.html#group36A8", "36A⁸"), =HYPERLINK("CSG21.html#group60G21", "60G²¹"), =HYPERLINK("CSG13.html#group60Y13", "60Y¹³"), =HYPERLINK("CSG5.html#group21C5", "21C⁵"), =HYPERLINK("CSG17.html#group48C17", "48C¹⁷"), =HYPERLINK("CSG21.html#group24M21", "24M²¹"), =HYPERLINK("CSG19.html#group60A19", "60A¹⁹"), =HYPERLINK("CSG11.html#group63A11", "63A¹¹"), =HYPERLINK("CSG11.html#group78B11", "78B¹¹"), =HYPERLINK("CSG17.html#group60U17", "60U¹⁷"), =HYPERLINK("CSG13.html#group90I13", "90I¹³"), =HYPERLINK("CSG9.html#group45E9", "45E⁹"), =HYPERLINK("CSG7.html#group18F7", "18F⁷"), =HYPERLINK("CSG7.html#group42C7", "42C⁷"), =HYPERLINK("CSG23.html#group36C23", "36C²³"), =HYPERLINK("CSG7.html#group24H7", "24H⁷"), =HYPERLINK("CSG7.html#group48AA7", "48AA⁷"), =HYPERLINK("CSG19.html#group48AM19", "48AM¹⁹"), =HYPERLINK("CSG21.html#group96P21", "96P²¹"), =HYPERLINK("CSG13.html#group36O13", "36O¹³"), =HYPERLINK("CSG10.html#group18F10", "18F¹⁰"), =HYPERLINK("CSG5.html#group36I5", "36I⁵"), =HYPERLINK("CSG6.html#group45C6", "45C⁶"), =HYPERLINK("CSG21.html#group36B21", "36B²¹"), =HYPERLINK("CSG10.html#group18M10", "18M¹⁰"), =HYPERLINK("CSG19.html#group96AJ19", "96AJ¹⁹"), =HYPERLINK("CSG7.html#group18E7", "18E⁷"), =HYPERLINK("CSG21.html#group72AB21", "72AB²¹"), =HYPERLINK("CSG1.html#group9H1", "9H¹"), =HYPERLINK("CSG13.html#group30F13", "30F¹³"), =HYPERLINK("CSG21.html#group96AG21", "96AG²¹"), =HYPERLINK("CSG4.html#group18R4", "18R⁴"), =HYPERLINK("CSG21.html#group48H21", "48H²¹"), =HYPERLINK("CSG17.html#group60C17", "60C¹⁷"), =HYPERLINK("CSG16.html#group54K16", "54K¹⁶"), =HYPERLINK("CSG13.html#group75B13", "75B¹³"), =HYPERLINK("CSG13.html#group72H13", "72H¹³"), =HYPERLINK("CSG12.html#group21A12", "21A¹²"), =HYPERLINK("CSG21.html#group24L21", "24L²¹"), =HYPERLINK("CSG6.html#group36H6", "36H⁶"), =HYPERLINK("CSG16.html#group63D16", "63D¹⁶"), =HYPERLINK("CSG6.html#group45B6", "45B⁶"), =HYPERLINK("CSG19.html#group117A19", "117A¹⁹"), =HYPERLINK("CSG21.html#group48O21", "48O²¹"), =HYPERLINK("CSG9.html#group60K9", "60K⁹"), =HYPERLINK("CSG21.html#group48A21", "48A²¹"), =HYPERLINK("CSG23.html#group144W23", "144W²³"), =HYPERLINK("CSG23.html#group96S23", "96S²³"), =HYPERLINK("CSG13.html#group45I13", "45I¹³"), =HYPERLINK("CSG5.html#group24R5", "24R⁵"), =HYPERLINK("CSG13.html#group18A13", "18A¹³"), =HYPERLINK("CSG7.html#group36K7", "36K⁷"), =HYPERLINK("CSG9.html#group33A9", "33A⁹"), =HYPERLINK("CSG13.html#group24O13", "24O¹³"), =HYPERLINK("CSG4.html#group18E4", "18E⁴"), =HYPERLINK("CSG17.html#group24K17", "24K¹⁷"), =HYPERLINK("CSG17.html#group60V17", "60V¹⁷"), =HYPERLINK("CSG11.html#group36E11", "36E¹¹"), =HYPERLINK("CSG20.html#group63A20", "63A²⁰"), =HYPERLINK("CSG17.html#group42H17", "42H¹⁷"), =HYPERLINK("CSG1.html#group9F1", "9F¹"), =HYPERLINK("CSG10.html#group27A10", "27A¹⁰"), =HYPERLINK("CSG17.html#group96I17", "96I¹⁷"), =HYPERLINK("CSG13.html#group54I13", "54I¹³"), =HYPERLINK("CSG15.html#group48F15", "48F¹⁵"), =HYPERLINK("CSG17.html#group48R17", "48R¹⁷"), =HYPERLINK("CSG15.html#group51A15", "51A¹⁵"), =HYPERLINK("CSG15.html#group42C15", "42C¹⁵"), =HYPERLINK("CSG15.html#group99C15", "99C¹⁵"), =HYPERLINK("CSG17.html#group48BL17", "48BL¹⁷"), =HYPERLINK("CSG7.html#group18M7", "18M⁷"), =HYPERLINK("CSG23.html#group30I23", "30I²³"), =HYPERLINK("CSG9.html#group36O9", "36O⁹"), =HYPERLINK("CSG17.html#group24J17", "24J¹⁷"), =HYPERLINK("CSG24.html#group198A24", "198A²⁴"), =HYPERLINK("CSG7.html#group36D7", "36D⁷"), =HYPERLINK("CSG19.html#group96N19", "96N¹⁹"), =HYPERLINK("CSG4.html#group18H4", "18H⁴"), =HYPERLINK("CSG17.html#group42E17", "42E¹⁷"), =HYPERLINK("CSG20.html#group90A20", "90A²⁰"), =HYPERLINK("CSG11.html#group36A11", "36A¹¹"), =HYPERLINK("CSG21.html#group72T21", "72T²¹"), =HYPERLINK("CSG19.html#group75D19", "75D¹⁹"), =HYPERLINK("CSG11.html#group45A11", "45A¹¹"), =HYPERLINK("CSG6.html#group21C6", "21C⁶"), =HYPERLINK("CSG14.html#group42A14", "42A¹⁴"), =HYPERLINK("CSG19.html#group48BD19", "48BD¹⁹"), =HYPERLINK("CSG4.html#group9C4", "9C⁴"), =HYPERLINK("CSG17.html#group99A17", "99A¹⁷"), =HYPERLINK("CSG5.html#group36D5", "36D⁵"), =HYPERLINK("CSG5.html#group30E5", "30E⁵"), =HYPERLINK("CSG21.html#group54B21", "54B²¹"), =HYPERLINK("CSG2.html#group18P2", "18P²"), =HYPERLINK("CSG15.html#group60E15", "60E¹⁵"), =HYPERLINK("CSG23.html#group132D23", "132D²³"), =HYPERLINK("CSG17.html#group72W17", "72W¹⁷"), =HYPERLINK("CSG24.html#group54A24", "54A²⁴"), =HYPERLINK("CSG8.html#group36E8", "36E⁸"), =HYPERLINK("CSG23.html#group60E23", "60E²³"), =HYPERLINK("CSG7.html#group42D7", "42D⁷"), =HYPERLINK("CSG22.html#group54A22", "54A²²"), =HYPERLINK("CSG4.html#group42F4", "42F⁴"), =HYPERLINK("CSG16.html#group18C16", "18C¹⁶"), =HYPERLINK("CSG11.html#group36C11", "36C¹¹"), =HYPERLINK("CSG15.html#group90N15", "90N¹⁵"), =HYPERLINK("CSG5.html#group18A5", "18A⁵"), =HYPERLINK("CSG14.html#group45A14", "45A¹⁴"), =HYPERLINK("CSG7.html#group24X7", "24X⁷"), =HYPERLINK("CSG21.html#group126N21", "126N²¹"), =HYPERLINK("CSG11.html#group24N11", "24N¹¹"), =HYPERLINK("CSG24.html#group42C24", "42C²⁴"), =HYPERLINK("CSG1.html#group12S1", "12S¹"), =HYPERLINK("CSG8.html#group66B8", "66B⁸"), =HYPERLINK("CSG21.html#group48S21", "48S²¹"), =HYPERLINK("CSG17.html#group105C17", "105C¹⁷"), =HYPERLINK("CSG21.html#group96I21", "96I²¹"), =HYPERLINK("CSG13.html#group30C13", "30C¹³"), =HYPERLINK("CSG15.html#group96P15", "96P¹⁵"), =HYPERLINK("CSG3.html#group18F3", "18F³"), =HYPERLINK("CSG8.html#group36N8", "36N⁸"), =HYPERLINK("CSG6.html#group42A6", "42A⁶"), =HYPERLINK("CSG2.html#group9A2", "9A²"), =HYPERLINK("CSG3.html#group24N3", "24N³"), =HYPERLINK("CSG17.html#group72J17", "72J¹⁷"), =HYPERLINK("CSG21.html#group96AP21", "96AP²¹"), =HYPERLINK("CSG7.html#group45B7", "45B⁷"), =HYPERLINK("CSG21.html#group48BT21", "48BT²¹"), =HYPERLINK("CSG17.html#group117C17", "117C¹⁷"), =HYPERLINK("CSG17.html#group24AH17", "24AH¹⁷"), =HYPERLINK("CSG9.html#group48W9", "48W⁹"), =HYPERLINK("CSG17.html#group48AV17", "48AV¹⁷"), =HYPERLINK("CSG13.html#group90A13", "90A¹³"), =HYPERLINK("CSG13.html#group24C13", "24C¹³"), =HYPERLINK("CSG17.html#group84H17", "84H¹⁷"), =HYPERLINK("CSG1.html#group12U1", "12U¹"), =HYPERLINK("CSG7.html#group24P7", "24P⁷"), =HYPERLINK("CSG1.html#group24I1", "24I¹"), =HYPERLINK("CSG9.html#group57A9", "57A⁹"), =HYPERLINK("CSG17.html#group90B17", "90B¹⁷"), =HYPERLINK("CSG16.html#group42E16", "42E¹⁶"), =HYPERLINK("CSG3.html#group12B3", "12B³"), =HYPERLINK("CSG17.html#group72X17", "72X¹⁷"), =HYPERLINK("CSG9.html#group48J9", "48J⁹"), =HYPERLINK("CSG19.html#group45B19", "45B¹⁹"), =HYPERLINK("CSG13.html#group36L13", "36L¹³"), =HYPERLINK("CSG19.html#group18E19", "18E¹⁹"), =HYPERLINK("CSG19.html#group96D19", "96D¹⁹"), =HYPERLINK("CSG9.html#group48I9", "48I⁹"), =HYPERLINK("CSG20.html#group126B20", "126B²⁰"), =HYPERLINK("CSG17.html#group24N17", "24N¹⁷"), =HYPERLINK("CSG17.html#group36K17", "36K¹⁷"), =HYPERLINK("CSG17.html#group24O17", "24O¹⁷"), =HYPERLINK("CSG21.html#group45C21", "45C²¹"), =HYPERLINK("CSG14.html#group21A14", "21A¹⁴"), =HYPERLINK("CSG17.html#group48B17", "48B¹⁷"), =HYPERLINK("CSG19.html#group36Q19", "36Q¹⁹"), =HYPERLINK("CSG19.html#group60C19", "60C¹⁹"), =HYPERLINK("CSG22.html#group144L22", "144L²²"), =HYPERLINK("CSG15.html#group48R15", "48R¹⁵"), =HYPERLINK("CSG23.html#group30C23", "30C²³"), =HYPERLINK("CSG7.html#group12C7", "12C⁷"), =HYPERLINK("CSG11.html#group39B11", "39B¹¹"), =HYPERLINK("CSG18.html#group84A18", "84A¹⁸"), =HYPERLINK("CSG19.html#group36M19", "36M¹⁹"), =HYPERLINK("CSG4.html#group18M4", "18M⁴"), =HYPERLINK("CSG15.html#group93A15", "93A¹⁵"), =HYPERLINK("CSG19.html#group18A19", "18A¹⁹"), =HYPERLINK("CSG21.html#group48AP21", "48AP²¹"), =HYPERLINK("CSG2.html#group12C2", "12C²"), =HYPERLINK("CSG17.html#group24C17", "24C¹⁷"), =HYPERLINK("CSG17.html#group30A17", "30A¹⁷"), =HYPERLINK("CSG13.html#group36N13", "36N¹³"), =HYPERLINK("CSG1.html#group12T1", "12T¹"), =HYPERLINK("CSG15.html#group99A15", "99A¹⁵"), =HYPERLINK("CSG19.html#group42Q19", "42Q¹⁹"), =HYPERLINK("CSG19.html#group63C19", "63C¹⁹"), =HYPERLINK("CSG9.html#group36A9", "36A⁹"), =HYPERLINK("CSG17.html#group48BM17", "48BM¹⁷"), =HYPERLINK("CSG13.html#group72F13", "72F¹³"), =HYPERLINK("CSG9.html#group39A9", "39A⁹"), =HYPERLINK("CSG17.html#group42F17", "42F¹⁷"), =HYPERLINK("CSG3.html#group18A3", "18A³"), =HYPERLINK("CSG15.html#group36M15", "36M¹⁵"), =HYPERLINK("CSG18.html#group18A18", "18A¹⁸"), =HYPERLINK("CSG15.html#group102B15", "102B¹⁵"), =HYPERLINK("CSG12.html#group30A12", "30A¹²"), =HYPERLINK("CSG17.html#group24L17", "24L¹⁷"), =HYPERLINK("CSG10.html#group72J10", "72J¹⁰"), =HYPERLINK("CSG17.html#group24AI17", "24AI¹⁷"), =HYPERLINK("CSG21.html#group144M21", "144M²¹"), =HYPERLINK("CSG21.html#group96G21", "96G²¹"), =HYPERLINK("CSG21.html#group48AZ21", "48AZ²¹"), =HYPERLINK("CSG23.html#group72G23", "72G²³"), =HYPERLINK("CSG23.html#group126G23", "126G²³"), =HYPERLINK("CSG11.html#group63B11", "63B¹¹"), =HYPERLINK("CSG17.html#group60J17", "60J¹⁷"), =HYPERLINK("CSG16.html#group54V16", "54V¹⁶"), =HYPERLINK("CSG9.html#group24Y9", "24Y⁹"), =HYPERLINK("CSG11.html#group72P11", "72P¹¹"), =HYPERLINK("CSG18.html#group126J18", "126J¹⁸"), =HYPERLINK("CSG19.html#group42R19", "42R¹⁹"), =HYPERLINK("CSG11.html#group36D11", "36D¹¹"), =HYPERLINK("CSG21.html#group66A21", "66A²¹"), =HYPERLINK("CSG15.html#group36J15", "36J¹⁵"), =HYPERLINK("CSG5.html#group24L5", "24L⁵"), =HYPERLINK("CSG13.html#group42F13", "42F¹³"), =HYPERLINK("CSG1.html#group6E1", "6E¹"), =HYPERLINK("CSG14.html#group60C14", "60C¹⁴"), =HYPERLINK("CSG7.html#group48W7", "48W⁷"), =HYPERLINK("CSG21.html#group48Z21", "48Z²¹"), =HYPERLINK("CSG21.html#group21A21", "21A²¹"), =HYPERLINK("CSG19.html#group63I19", "63I¹⁹"), =HYPERLINK("CSG21.html#group126G21", "126G²¹"), =HYPERLINK("CSG3.html#group24D3", "24D³"), =HYPERLINK("CSG17.html#group48K17", "48K¹⁷"), =HYPERLINK("CSG8.html#group72M8", "72M⁸"), =HYPERLINK("CSG3.html#group36H3", "36H³"), =HYPERLINK("CSG21.html#group126B21", "126B²¹"), =HYPERLINK("CSG9.html#group24B9", "24B⁹"), =HYPERLINK("CSG10.html#group15B10", "15B¹⁰"), =HYPERLINK("CSG11.html#group39A11", "39A¹¹"), =HYPERLINK("CSG21.html#group48BD21", "48BD²¹"), =HYPERLINK("CSG3.html#group12J3", "12J³"), =HYPERLINK("CSG8.html#group18A8", "18A⁸"), =HYPERLINK("CSG17.html#group72S17", "72S¹⁷"), =HYPERLINK("CSG7.html#group18D7", "18D⁷"), =HYPERLINK("CSG9.html#group48C9", "48C⁹"), =HYPERLINK("CSG15.html#group72N15", "72N¹⁵"), =HYPERLINK("CSG15.html#group90C15", "90C¹⁵"), =HYPERLINK("CSG9.html#group72G9", "72G⁹"), =HYPERLINK("CSG18.html#group42B18", "42B¹⁸"), =HYPERLINK("CSG17.html#group24T17", "24T¹⁷"), =HYPERLINK("CSG3.html#group12P3", "12P³"), =HYPERLINK("CSG21.html#group48D21", "48D²¹"), =HYPERLINK("CSG22.html#group81A22", "81A²²"), =HYPERLINK("CSG23.html#group72D23", "72D²³"), =HYPERLINK("CSG11.html#group90I11", "90I¹¹"), =HYPERLINK("CSG13.html#group75C13", "75C¹³"), =HYPERLINK("CSG18.html#group42A18", "42A¹⁸"), =HYPERLINK("CSG14.html#group66A14", "66A¹⁴"), =HYPERLINK("CSG15.html#group48O15", "48O¹⁵"), =HYPERLINK("CSG4.html#group9A4", "9A⁴"), =HYPERLINK("CSG17.html#group30C17", "30C¹⁷"), =HYPERLINK("CSG19.html#group72V19", "72V¹⁹"), =HYPERLINK("CSG21.html#group36C21", "36C²¹"), =HYPERLINK("CSG21.html#group21B21", "21B²¹"), =HYPERLINK("CSG13.html#group36E13", "36E¹³"), =HYPERLINK("CSG4.html#group15A4", "15A⁴"), =HYPERLINK("CSG13.html#group42B13", "42B¹³"), =HYPERLINK("CSG19.html#group96AI19", "96AI¹⁹"), =HYPERLINK("CSG19.html#group63O19", "63O¹⁹"), =HYPERLINK("CSG21.html#group90I21", "90I²¹"), =HYPERLINK("CSG3.html#group24I3", "24I³"), =HYPERLINK("CSG15.html#group24H15", "24H¹⁵"), =HYPERLINK("CSG15.html#group36D15", "36D¹⁵"), =HYPERLINK("CSG3.html#group15C3", "15C³"), =HYPERLINK("CSG17.html#group42I17", "42I¹⁷"), =HYPERLINK("CSG15.html#group72U15", "72U¹⁵"), =HYPERLINK("CSG17.html#group72B17", "72B¹⁷"), =HYPERLINK("CSG11.html#group72M11", "72M¹¹"), =HYPERLINK("CSG9.html#group42A9", "42A⁹"), =HYPERLINK("CSG21.html#group96AM21", "96AM²¹"), =HYPERLINK("CSG23.html#group30D23", "30D²³"), =HYPERLINK("CSG9.html#group12A9", "12A⁹"), =HYPERLINK("CSG12.html#group72E12", "72E¹²"), =HYPERLINK("CSG23.html#group72H23", "72H²³"), =HYPERLINK("CSG18.html#group84B18", "84B¹⁸"), =HYPERLINK("CSG22.html#group27C22", "27C²²"), =HYPERLINK("CSG21.html#group48C21", "48C²¹"), =HYPERLINK("CSG21.html#group72Q21", "72Q²¹"), =HYPERLINK("CSG17.html#group36E17", "36E¹⁷"), =HYPERLINK("CSG3.html#group24H3", "24H³"), =HYPERLINK("CSG21.html#group45D21", "45D²¹"), =HYPERLINK("CSG17.html#group24M17", "24M¹⁷"), =HYPERLINK("CSG15.html#group24B15", "24B¹⁵"), =HYPERLINK("CSG8.html#group36O8", "36O⁸"), =HYPERLINK("CSG17.html#group57A17", "57A¹⁷"), =HYPERLINK("CSG5.html#group24U5", "24U⁵"), =HYPERLINK("CSG7.html#group12B7", "12B⁷"), =HYPERLINK("CSG5.html#group24S5", "24S⁵"), =HYPERLINK("CSG4.html#group18T4", "18T⁴"), =HYPERLINK("CSG19.html#group18C19", "18C¹⁹"), =HYPERLINK("CSG9.html#group24J9", "24J⁹"), =HYPERLINK("CSG15.html#group72S15", "72S¹⁵"), =HYPERLINK("CSG15.html#group24U15", "24U¹⁵"), =HYPERLINK("CSG17.html#group48AY17", "48AY¹⁷"), =HYPERLINK("CSG9.html#group48R9", "48R⁹"), =HYPERLINK("CSG9.html#group15C9", "15C⁹"), =HYPERLINK("CSG15.html#group48G15", "48G¹⁵"), =HYPERLINK("CSG11.html#group72O11", "72O¹¹"), =HYPERLINK("CSG19.html#group48BC19", "48BC¹⁹"), =HYPERLINK("CSG13.html#group36I13", "36I¹³"), =HYPERLINK("CSG11.html#group27A11", "27A¹¹"), =HYPERLINK("CSG9.html#group12B9", "12B⁹"), =HYPERLINK("CSG19.html#group48BB19", "48BB¹⁹"), =HYPERLINK("CSG11.html#group36J11", "36J¹¹"), =HYPERLINK("CSG16.html#group54G16", "54G¹⁶"), =HYPERLINK("CSG4.html#group36H4", "36H⁴"), =HYPERLINK("CSG21.html#group54A21", "54A²¹"), =HYPERLINK("CSG9.html#group63B9", "63B⁹"), =HYPERLINK("CSG7.html#group24A7", "24A⁷"), =HYPERLINK("CSG3.html#group15F3", "15F³"), =HYPERLINK("CSG17.html#group126E17", "126E¹⁷"), =HYPERLINK("CSG18.html#group42C18", "42C¹⁸"), =HYPERLINK("CSG13.html#group24L13", "24L¹³"), =HYPERLINK("CSG5.html#group15C5", "15C⁵"), =HYPERLINK("CSG19.html#group45C19", "45C¹⁹"), =HYPERLINK("CSG19.html#group132A19", "132A¹⁹"), =HYPERLINK("CSG21.html#group48BB21", "48BB²¹"), =HYPERLINK("CSG7.html#group48N7", "48N⁷"), =HYPERLINK("CSG24.html#group54B24", "54B²⁴"), =HYPERLINK("CSG17.html#group48BK17", "48BK¹⁷"), =HYPERLINK("CSG17.html#group63D17", "63D¹⁷"), =HYPERLINK("CSG13.html#group48X13", "48X¹³"), =HYPERLINK("CSG17.html#group24AE17", "24AE¹⁷"), =HYPERLINK("CSG9.html#group24K9", "24K⁹"), =HYPERLINK("CSG21.html#group78A21", "78A²¹"), =HYPERLINK("CSG2.html#group18G2", "18G²"), =HYPERLINK("CSG15.html#group36Q15", "36Q¹⁵"), =HYPERLINK("CSG17.html#group60X17", "60X¹⁷"), =HYPERLINK("CSG15.html#group24M15", "24M¹⁵"), =HYPERLINK("CSG7.html#group24B7", "24B⁷"), =HYPERLINK("CSG13.html#group54E13", "54E¹³"), =HYPERLINK("CSG21.html#group96Y21", "96Y²¹"), =HYPERLINK("CSG10.html#group27B10", "27B¹⁰"), =HYPERLINK("CSG19.html#group27A19", "27A¹⁹"), =HYPERLINK("CSG13.html#group72K13", "72K¹³"), =HYPERLINK("CSG19.html#group48BE19", "48BE¹⁹"), =HYPERLINK("CSG17.html#group21B17", "21B¹⁷"), =HYPERLINK("CSG21.html#group90B21", "90B²¹"), =HYPERLINK("CSG15.html#group21B15", "21B¹⁵"), =HYPERLINK("CSG9.html#group48N9", "48N⁹"), =HYPERLINK("CSG12.html#group36D12", "36D¹²"), =HYPERLINK("CSG17.html#group48AI17", "48AI¹⁷"), =HYPERLINK("CSG15.html#group90P15", "90P¹⁵"), =HYPERLINK("CSG17.html#group48AK17", "48AK¹⁷"), =HYPERLINK("CSG9.html#group63C9", "63C⁹"), =HYPERLINK("CSG5.html#group12A5", "12A⁵"), =HYPERLINK("CSG15.html#group72T15", "72T¹⁵"), =HYPERLINK("CSG13.html#group48W13", "48W¹³"), =HYPERLINK("CSG16.html#group18B16", "18B¹⁶"), =HYPERLINK("CSG17.html#group24AB17", "24AB¹⁷"), =HYPERLINK("CSG22.html#group36L22", "36L²²"), =HYPERLINK("CSG17.html#group48U17", "48U¹⁷"), =HYPERLINK("CSG15.html#group36B15", "36B¹⁵"), =HYPERLINK("CSG4.html#group18N4", "18N⁴"), =HYPERLINK("CSG23.html#group72C23", "72C²³"), =HYPERLINK("CSG15.html#group84B15", "84B¹⁵"), =HYPERLINK("CSG7.html#group36E7", "36E⁷"), =HYPERLINK("CSG17.html#group102G17", "102G¹⁷"), =HYPERLINK("CSG3.html#group18K3", "18K³"), =HYPERLINK("CSG13.html#group18E13", "18E¹³"), =HYPERLINK("CSG13.html#group24Q13", "24Q¹³"), =HYPERLINK("CSG1.html#group12Q1", "12Q¹"), =HYPERLINK("CSG13.html#group45C13", "45C¹³"), =HYPERLINK("CSG1.html#group18G1", "18G¹"), =HYPERLINK("CSG7.html#group27H7", "27H⁷"), =HYPERLINK("CSG18.html#group63G18", "63G¹⁸"), =HYPERLINK("CSG9.html#group48V9", "48V⁹"), =HYPERLINK("CSG13.html#group24F13", "24F¹³"), =HYPERLINK("CSG15.html#group36N15", "36N¹⁵"), =HYPERLINK("CSG13.html#group42D13", "42D¹³"), =HYPERLINK("CSG13.html#group42C13", "42C¹³"), =HYPERLINK("CSG19.html#group45A19", "45A¹⁹"), =HYPERLINK("CSG23.html#group126F23", "126F²³"), =HYPERLINK("CSG4.html#group27C4", "27C⁴"), =HYPERLINK("CSG7.html#group24V7", "24V⁷"), =HYPERLINK("CSG10.html#group18E10", "18E¹⁰"), =HYPERLINK("CSG19.html#group72T19", "72T¹⁹"), =HYPERLINK("CSG5.html#group45G5", "45G⁵"), =HYPERLINK("CSG19.html#group48AL19", "48AL¹⁹"), =HYPERLINK("CSG17.html#group36I17", "36I¹⁷"), =HYPERLINK("CSG13.html#group24U13", "24U¹³"), =HYPERLINK("CSG4.html#group36P4", "36P⁴"), =HYPERLINK("CSG16.html#group18H16", "18H¹⁶"), =HYPERLINK("CSG7.html#group15A7", "15A⁷"), =HYPERLINK("CSG17.html#group48P17", "48P¹⁷"), =HYPERLINK("CSG11.html#group24M11", "24M¹¹"), =HYPERLINK("CSG17.html#group60D17", "60D¹⁷"), =HYPERLINK("CSG21.html#group96M21", "96M²¹"), =HYPERLINK("CSG21.html#group48AB21", "48AB²¹"), =HYPERLINK("CSG13.html#group72J13", "72J¹³"), =HYPERLINK("CSG21.html#group48BC21", "48BC²¹"), =HYPERLINK("CSG21.html#group48B21", "48B²¹"), =HYPERLINK("CSG21.html#group72V21", "72V²¹"), =HYPERLINK("CSG13.html#group48R13", "48R¹³"), =HYPERLINK("CSG3.html#group24E3", "24E³"), =HYPERLINK("CSG13.html#group48Y13", "48Y¹³"), =HYPERLINK("CSG23.html#group132B23", "132B²³"), =HYPERLINK("CSG9.html#group21D9", "21D⁹"), =HYPERLINK("CSG7.html#group27F7", "27F⁷"), =HYPERLINK("CSG15.html#group36F15", "36F¹⁵"), =HYPERLINK("CSG19.html#group48E19", "48E¹⁹"), =HYPERLINK("CSG19.html#group63E19", "63E¹⁹"), =HYPERLINK("CSG17.html#group48BJ17", "48BJ¹⁷"), =HYPERLINK("CSG17.html#group48BI17", "48BI¹⁷"), =HYPERLINK("CSG23.html#group144S23", "144S²³"), =HYPERLINK("CSG1.html#group9C1", "9C¹"), =HYPERLINK("CSG16.html#group36I16", "36I¹⁶"), =HYPERLINK("CSG19.html#group36L19", "36L¹⁹"), =HYPERLINK("CSG18.html#group126K18", "126K¹⁸"), =HYPERLINK("CSG7.html#group27A7", "27A⁷"), =HYPERLINK("CSG1.html#group12D1", "12D¹"), =HYPERLINK("CSG23.html#group96Z23", "96Z²³"), =HYPERLINK("CSG21.html#group48AV21", "48AV²¹"), =HYPERLINK("CSG13.html#group36S13", "36S¹³"), =HYPERLINK("CSG21.html#group96N21", "96N²¹"), =HYPERLINK("CSG0.html#group6G0", "6G⁰"), =HYPERLINK("CSG3.html#group24M3", "24M³"), =HYPERLINK("CSG17.html#group63A17", "63A¹⁷"), =HYPERLINK("CSG19.html#group72U19", "72U¹⁹"), =HYPERLINK("CSG2.html#group9B2", "9B²"), =HYPERLINK("CSG22.html#group144K22", "144K²²"), =HYPERLINK("CSG11.html#group48E11", "48E¹¹"), =HYPERLINK("CSG13.html#group36G13", "36G¹³"), =HYPERLINK("CSG17.html#group48AA17", "48AA¹⁷"), =HYPERLINK("CSG17.html#group60K17", "60K¹⁷"), =HYPERLINK("CSG21.html#group45A21", "45A²¹"), =HYPERLINK("CSG22.html#group72C22", "72C²²"), =HYPERLINK("CSG21.html#group96AV21", "96AV²¹"), =HYPERLINK("CSG19.html#group126D19", "126D¹⁹"), =HYPERLINK("CSG17.html#group60W17", "60W¹⁷"), =HYPERLINK("CSG10.html#group18K10", "18K¹⁰"), =HYPERLINK("CSG22.html#group27A22", "27A²²"), =HYPERLINK("CSG15.html#group48C15", "48C¹⁵"), =HYPERLINK("CSG23.html#group96T23", "96T²³"), =HYPERLINK("CSG19.html#group24O19", "24O¹⁹"), =HYPERLINK("CSG21.html#group48G21", "48G²¹"), =HYPERLINK("CSG12.html#group72H12", "72H¹²"), =HYPERLINK("CSG3.html#group36F3", "36F³"), =HYPERLINK("CSG9.html#group30A9", "30A⁹"), =HYPERLINK("CSG21.html#group120L21", "120L²¹"), =HYPERLINK("CSG19.html#group84D19", "84D¹⁹"), =HYPERLINK("CSG12.html#group126J12", "126J¹²"), =HYPERLINK("CSG2.html#group18F2", "18F²"), =HYPERLINK("CSG21.html#group48M21", "48M²¹"), =HYPERLINK("CSG11.html#group21B11", "21B¹¹"), =HYPERLINK("CSG21.html#group45E21", "45E²¹"), =HYPERLINK("CSG21.html#group60B21", "60B²¹"), =HYPERLINK("CSG17.html#group75E17", "75E¹⁷"), =HYPERLINK("CSG21.html#group63B21", "63B²¹"), =HYPERLINK("CSG9.html#group60A9", "60A⁹"), =HYPERLINK("CSG19.html#group48AF19", "48AF¹⁹"), =HYPERLINK("CSG15.html#group96M15", "96M¹⁵"), =HYPERLINK("CSG17.html#group48AX17", "48AX¹⁷"), =HYPERLINK("CSG23.html#group30H23", "30H²³"), =HYPERLINK("CSG18.html#group63A18", "63A¹⁸"), =HYPERLINK("CSG12.html#group99A12", "99A¹²"), =HYPERLINK("CSG19.html#group36O19", "36O¹⁹"), =HYPERLINK("CSG15.html#group30D15", "30D¹⁵"), =HYPERLINK("CSG17.html#group30D17", "30D¹⁷"), =HYPERLINK("CSG9.html#group30Q9", "30Q⁹"), =HYPERLINK("CSG15.html#group72I15", "72I¹⁵"), =HYPERLINK("CSG21.html#group48K21", "48K²¹"), =HYPERLINK("CSG19.html#group24C19", "24C¹⁹"), =HYPERLINK("CSG19.html#group63D19", "63D¹⁹"), =HYPERLINK("CSG5.html#group24T5", "24T⁵"), =HYPERLINK("CSG15.html#group90F15", "90F¹⁵"), =HYPERLINK("CSG13.html#group36M</f>
        <v/>
      </c>
    </row>
    <row r="9">
      <c r="A9" t="inlineStr">
        <is>
          <t>3D⁰</t>
        </is>
      </c>
      <c r="B9" t="inlineStr">
        <is>
          <t>Γ(3)</t>
        </is>
      </c>
      <c r="C9" t="inlineStr">
        <is>
          <t>12</t>
        </is>
      </c>
      <c r="D9" t="inlineStr">
        <is>
          <t>1</t>
        </is>
      </c>
      <c r="E9" t="inlineStr">
        <is>
          <t>1</t>
        </is>
      </c>
      <c r="F9" t="inlineStr">
        <is>
          <t>0</t>
        </is>
      </c>
      <c r="G9" t="inlineStr">
        <is>
          <t>0</t>
        </is>
      </c>
      <c r="H9" t="inlineStr">
        <is>
          <t>3⁴</t>
        </is>
      </c>
      <c r="I9" t="n">
        <v>4</v>
      </c>
      <c r="J9" t="inlineStr">
        <is>
          <t>1¹</t>
        </is>
      </c>
      <c r="K9">
        <f>HYPERLINK("CSG0.html#group3B0", "3B⁰"), =HYPERLINK("CSG0.html#group3C0", "3C⁰")</f>
        <v/>
      </c>
      <c r="L9">
        <f>HYPERLINK("CSG0.html#group6K0", "6K⁰"), =HYPERLINK("CSG0.html#group9H0", "9H⁰"), =HYPERLINK("CSG1.html#group6D1", "6D¹"), =HYPERLINK("CSG1.html#group9C1", "9C¹"), =HYPERLINK("CSG2.html#group9A2", "9A²"), =HYPERLINK("CSG3.html#group12B3", "12B³"), =HYPERLINK("CSG3.html#group15E3", "15E³"), =HYPERLINK("CSG4.html#group15A4", "15A⁴"), =HYPERLINK("CSG5.html#group21C5", "21C⁵"), =HYPERLINK("CSG6.html#group21A6", "21A⁶"), =HYPERLINK("CSG7.html#group15A7", "15A⁷"), =HYPERLINK("CSG9.html#group33A9", "33A⁹"), =HYPERLINK("CSG10.html#group33A10", "33A¹⁰"), =HYPERLINK("CSG11.html#group39A11", "39A¹¹"), =HYPERLINK("CSG15.html#group51A15", "51A¹⁵"), =HYPERLINK("CSG17.html#group57A17", "57A¹⁷"), =HYPERLINK("CSG21.html#group69A21", "69A²¹")</f>
        <v/>
      </c>
      <c r="M9">
        <f>HYPERLINK("CSG0.html#group3B0", "3B⁰"), =HYPERLINK("CSG0.html#group3C0", "3C⁰"), =HYPERLINK("CSG0.html#group3A0", "3A⁰"), =HYPERLINK("CSG0.html#group1A0", "1A⁰")</f>
        <v/>
      </c>
      <c r="N9">
        <f>HYPERLINK("CSG10.html#group27B10", "27B¹⁰"), =HYPERLINK("CSG19.html#group27A19", "27A¹⁹"), =HYPERLINK("CSG21.html#group36B21", "36B²¹"), =HYPERLINK("CSG10.html#group18M10", "18M¹⁰"), =HYPERLINK("CSG10.html#group36H10", "36H¹⁰"), =HYPERLINK("CSG21.html#group72AB21", "72AB²¹"), =HYPERLINK("CSG1.html#group9H1", "9H¹"), =HYPERLINK("CSG7.html#group24D7", "24D⁷"), =HYPERLINK("CSG21.html#group48H21", "48H²¹"), =HYPERLINK("CSG21.html#group66B21", "66B²¹"), =HYPERLINK("CSG16.html#group54K16", "54K¹⁶"), =HYPERLINK("CSG5.html#group12A5", "12A⁵"), =HYPERLINK("CSG13.html#group45K13", "45K¹³"), =HYPERLINK("CSG16.html#group18B16", "18B¹⁶"), =HYPERLINK("CSG13.html#group48W13", "48W¹³"), =HYPERLINK("CSG22.html#group36L22", "36L²²"), =HYPERLINK("CSG21.html#group48A21", "48A²¹"), =HYPERLINK("CSG12.html#group45E12", "45E¹²"), =HYPERLINK("CSG13.html#group36C13", "36C¹³"), =HYPERLINK("CSG13.html#group45I13", "45I¹³"), =HYPERLINK("CSG17.html#group33B17", "33B¹⁷"), =HYPERLINK("CSG5.html#group24R5", "24R⁵"), =HYPERLINK("CSG13.html#group18A13", "18A¹³"), =HYPERLINK("CSG9.html#group33A9", "33A⁹"), =HYPERLINK("CSG13.html#group45C13", "45C¹³"), =HYPERLINK("CSG13.html#group18E13", "18E¹³"), =HYPERLINK("CSG4.html#group18E4", "18E⁴"), =HYPERLINK("CSG13.html#group24O13", "24O¹³"), =HYPERLINK("CSG7.html#group24G7", "24G⁷"), =HYPERLINK("CSG17.html#group24K17", "24K¹⁷"), =HYPERLINK("CSG20.html#group63A20", "63A²⁰"), =HYPERLINK("CSG9.html#group24AP9", "24AP⁹"), =HYPERLINK("CSG13.html#group42C13", "42C¹³"), =HYPERLINK("CSG13.html#group54I13", "54I¹³"), =HYPERLINK("CSG15.html#group51A15", "51A¹⁵"), =HYPERLINK("CSG4.html#group27C4", "27C⁴"), =HYPERLINK("CSG3.html#group12A3", "12A³"), =HYPERLINK("CSG10.html#group18E10", "18E¹⁰"), =HYPERLINK("CSG17.html#group36I17", "36I¹⁷"), =HYPERLINK("CSG21.html#group48X21", "48X²¹"), =HYPERLINK("CSG7.html#group15A7", "15A⁷"), =HYPERLINK("CSG3.html#group24AC3", "24AC³"), =HYPERLINK("CSG13.html#group24K13", "24K¹³"), =HYPERLINK("CSG4.html#group18H4", "18H⁴"), =HYPERLINK("CSG11.html#group36A11", "36A¹¹"), =HYPERLINK("CSG19.html#group75D19", "75D¹⁹"), =HYPERLINK("CSG21.html#group48B21", "48B²¹"), =HYPERLINK("CSG13.html#group48Y13", "48Y¹³"), =HYPERLINK("CSG6.html#group18A6", "18A⁶"), =HYPERLINK("CSG16.html#group27A16", "27A¹⁶"), =HYPERLINK("CSG9.html#group21D9", "21D⁹"), =HYPERLINK("CSG16.html#group21A16", "21A¹⁶"), =HYPERLINK("CSG15.html#group45A15", "45A¹⁵"), =HYPERLINK("CSG5.html#group18B5", "18B⁵"), =HYPERLINK("CSG1.html#group9C1", "9C¹"), =HYPERLINK("CSG13.html#group18B13", "18B¹³"), =HYPERLINK("CSG2.html#group18P2", "18P²"), =HYPERLINK("CSG7.html#group27A7", "27A⁷"), =HYPERLINK("CSG11.html#group36C11", "36C¹¹"), =HYPERLINK("CSG22.html#group54A22", "54A²²"), =HYPERLINK("CSG21.html#group39B21", "39B²¹"), =HYPERLINK("CSG5.html#group18A5", "18A⁵"), =HYPERLINK("CSG17.html#group30B17", "30B¹⁷"), =HYPERLINK("CSG14.html#group45A14", "45A¹⁴"), =HYPERLINK("CSG11.html#group45F11", "45F¹¹"), =HYPERLINK("CSG15.html#group36A15", "36A¹⁵"), =HYPERLINK("CSG1.html#group12S1", "12S¹"), =HYPERLINK("CSG22.html#group72C22", "72C²²"), =HYPERLINK("CSG3.html#group18F3", "18F³"), =HYPERLINK("CSG10.html#group18K10", "18K¹⁰"), =HYPERLINK("CSG2.html#group9A2", "9A²"), =HYPERLINK("CSG22.html#group36K22", "36K²²"), =HYPERLINK("CSG13.html#group12A13", "12A¹³"), =HYPERLINK("CSG22.html#group27A22", "27A²²"), =HYPERLINK("CSG17.html#group24D17", "24D¹⁷"), =HYPERLINK("CSG21.html#group48G21", "48G²¹"), =HYPERLINK("CSG13.html#group48Z13", "48Z¹³"), =HYPERLINK("CSG9.html#group30H9", "30H⁹"), =HYPERLINK("CSG9.html#group30A9", "30A⁹"), =HYPERLINK("CSG13.html#group24C13", "24C¹³"), =HYPERLINK("CSG21.html#group36E21", "36E²¹"), =HYPERLINK("CSG21.html#group60B21", "60B²¹"), =HYPERLINK("CSG21.html#group45E21", "45E²¹"), =HYPERLINK("CSG11.html#group21B11", "21B¹¹"), =HYPERLINK("CSG3.html#group12B3", "12B³"), =HYPERLINK("CSG7.html#group36N7", "36N⁷"), =HYPERLINK("CSG17.html#group72X17", "72X¹⁷"), =HYPERLINK("CSG21.html#group63B21", "63B²¹"), =HYPERLINK("CSG13.html#group24A13", "24A¹³"), =HYPERLINK("CSG6.html#group21A6", "21A⁶"), =HYPERLINK("CSG19.html#group24J19", "24J¹⁹"), =HYPERLINK("CSG17.html#group36K17", "36K¹⁷"), =HYPERLINK("CSG21.html#group69A21", "69A²¹"), =HYPERLINK("CSG10.html#group9A10", "9A¹⁰"), =HYPERLINK("CSG17.html#group48B17", "48B¹⁷"), =HYPERLINK("CSG18.html#group63A18", "63A¹⁸"), =HYPERLINK("CSG1.html#group6D1", "6D¹"), =HYPERLINK("CSG19.html#group60C19", "60C¹⁹"), =HYPERLINK("CSG17.html#group30H17", "30H¹⁷"), =HYPERLINK("CSG19.html#group27B19", "27B¹⁹"), =HYPERLINK("CSG21.html#group63A21", "63A²¹"), =HYPERLINK("CSG7.html#group12C7", "12C⁷"), =HYPERLINK("CSG0.html#group9H0", "9H⁰"), =HYPERLINK("CSG4.html#group18M4", "18M⁴"), =HYPERLINK("CSG13.html#group18D13", "18D¹³"), =HYPERLINK("CSG17.html#group24C17", "24C¹⁷"), =HYPERLINK("CSG17.html#group30A17", "30A¹⁷"), =HYPERLINK("CSG9.html#group36A9", "36A⁹"), =HYPERLINK("CSG19.html#group63C19", "63C¹⁹"), =HYPERLINK("CSG21.html#group72O21", "72O²¹"), =HYPERLINK("CSG14.html#group45B14", "45B¹⁴"), =HYPERLINK("CSG22.html#group27B22", "27B²²"), =HYPERLINK("CSG21.html#group60A21", "60A²¹"), =HYPERLINK("CSG13.html#group18G13", "18G¹³"), =HYPERLINK("CSG3.html#group12N3", "12N³"), =HYPERLINK("CSG15.html#group24C15", "24C¹⁵"), =HYPERLINK("CSG12.html#group30A12", "30A¹²"), =HYPERLINK("CSG17.html#group24L17", "24L¹⁷"), =HYPERLINK("CSG11.html#group36I11", "36I¹¹"), =HYPERLINK("CSG9.html#group24A9", "24A⁹"), =HYPERLINK("CSG21.html#group36A21", "36A²¹"), =HYPERLINK("CSG17.html#group63H17", "63H¹⁷"), =HYPERLINK("CSG3.html#group18H3", "18H³"), =HYPERLINK("CSG13.html#group24J13", "24J¹³"), =HYPERLINK("CSG13.html#group48V13", "48V¹³"), =HYPERLINK("CSG10.html#group33A10", "33A¹⁰"), =HYPERLINK("CSG12.html#group45A12", "45A¹²"), =HYPERLINK("CSG21.html#group60Q21", "60Q²¹"), =HYPERLINK("CSG21.html#group66A21", "66A²¹"), =HYPERLINK("CSG13.html#group42F13", "42F¹³"), =HYPERLINK("CSG17.html#group36C17", "36C¹⁷"), =HYPERLINK("CSG3.html#group12O3", "12O³"), =HYPERLINK("CSG19.html#group63I19", "63I¹⁹"), =HYPERLINK("CSG21.html#group21A21", "21A²¹"), =HYPERLINK("CSG13.html#group24N13", "24N¹³"), =HYPERLINK("CSG13.html#group18C13", "18C¹³"), =HYPERLINK("CSG13.html#group42G13", "42G¹³"), =HYPERLINK("CSG16.html#group54T16", "54T¹⁶"), =HYPERLINK("CSG9.html#group24B9", "24B⁹"), =HYPERLINK("CSG10.html#group18D10", "18D¹⁰"), =HYPERLINK("CSG16.html#group54A16", "54A¹⁶"), =HYPERLINK("CSG13.html#group36D13", "36D¹³"), =HYPERLINK("CSG10.html#group15B10", "15B¹⁰"), =HYPERLINK("CSG11.html#group39A11", "39A¹¹"), =HYPERLINK("CSG9.html#group36E9", "36E⁹"), =HYPERLINK("CSG13.html#group18H13", "18H¹³"), =HYPERLINK("CSG21.html#group66C21", "66C²¹"), =HYPERLINK("CSG13.html#group27C13", "27C¹³"), =HYPERLINK("CSG7.html#group12A7", "12A⁷"), =HYPERLINK("CSG3.html#group12D3", "12D³"), =HYPERLINK("CSG3.html#group15E3", "15E³"), =HYPERLINK("CSG10.html#group36F10", "36F¹⁰"), =HYPERLINK("CSG18.html#group42B18", "42B¹⁸"), =HYPERLINK("CSG22.html#group81A22", "81A²²"), =HYPERLINK("CSG21.html#group48D21", "48D²¹"), =HYPERLINK("CSG13.html#group24M13", "24M¹³"), =HYPERLINK("CSG19.html#group15B19", "15B¹⁹"), =HYPERLINK("CSG21.html#group60E21", "60E²¹"), =HYPERLINK("CSG17.html#group30G17", "30G¹⁷"), =HYPERLINK("CSG4.html#group9A4", "9A⁴"), =HYPERLINK("CSG22.html#group72L22", "72L²²"), =HYPERLINK("CSG16.html#group81A16", "81A¹⁶"), =HYPERLINK("CSG4.html#group15A4", "15A⁴"), =HYPERLINK("CSG23.html#group45A23", "45A²³"), =HYPERLINK("CSG5.html#group12B5", "12B⁵"), =HYPERLINK("CSG15.html#group48D15", "48D¹⁵"), =HYPERLINK("CSG19.html#group63O19", "63O¹⁹"), =HYPERLINK("CSG13.html#group42B13", "42B¹³"), =HYPERLINK("CSG19.html#group27E19", "27E¹⁹"), =HYPERLINK("CSG17.html#group42I17", "42I¹⁷"), =HYPERLINK("CSG23.html#group72F23", "72F²³"), =HYPERLINK("CSG13.html#group54E13", "54E¹³"), =HYPERLINK("CSG9.html#group12A9", "12A⁹"), =HYPERLINK("CSG19.html#group81C19", "81C¹⁹"), =HYPERLINK("CSG19.html#group48J19", "48J¹⁹"), =HYPERLINK("CSG21.html#group48C21", "48C²¹"), =HYPERLINK("CSG17.html#group36E17", "36E¹⁷"), =HYPERLINK("CSG17.html#group57A17", "57A¹⁷"), =HYPERLINK("CSG16.html#group54H16", "54H¹⁶"), =HYPERLINK("CSG7.html#group27D7", "27D⁷"), =HYPERLINK("CSG0.html#group6K0", "6K⁰"), =HYPERLINK("CSG21.html#group30G21", "30G²¹"), =HYPERLINK("CSG23.html#group30A23", "30A²³"), =HYPERLINK("CSG17.html#group24A17", "24A¹⁷"), =HYPERLINK("CSG17.html#group24E17", "24E¹⁷"), =HYPERLINK("CSG10.html#group36C10", "36C¹⁰"), =HYPERLINK("CSG9.html#group15C9", "15C⁹"), =HYPERLINK("CSG9.html#group36G9", "36G⁹"), =HYPERLINK("CSG11.html#group30G11", "30G¹¹"), =HYPERLINK("CSG7.html#group18N7", "18N⁷"), =HYPERLINK("CSG10.html#group36Q10", "36Q¹⁰"), =HYPERLINK("CSG15.html#group48G15", "48G¹⁵"), =HYPERLINK("CSG9.html#group12B9", "12B⁹"), =HYPERLINK("CSG1.html#group6F1", "6F¹"), =HYPERLINK("CSG13.html#group24B13", "24B¹³"), =HYPERLINK("CSG13.html#group24P13", "24P¹³"), =HYPERLINK("CSG13.html#group12B13", "12B¹³"), =HYPERLINK("CSG16.html#group54G16", "54G¹⁶"), =HYPERLINK("CSG16.html#group18A16", "18A¹⁶"), =HYPERLINK("CSG9.html#group30G9", "30G⁹"), =HYPERLINK("CSG21.html#group48W21", "48W²¹"), =HYPERLINK("CSG13.html#group24L13", "24L¹³"), =HYPERLINK("CSG19.html#group36H19", "36H¹⁹"), =HYPERLINK("CSG5.html#group15C5", "15C⁵"), =HYPERLINK("CSG5.html#group21C5", "21C⁵"), =HYPERLINK("CSG4.html#group9B4", "9B⁴"), =HYPERLINK("CSG13.html#group18F13", "18F¹³"), =HYPERLINK("CSG17.html#group63D17", "63D¹⁷"), =HYPERLINK("CSG13.html#group15A13", "15A¹³"), =HYPERLINK("CSG19.html#group60A19", "60A¹⁹"), =HYPERLINK("CSG19.html#group36E19", "36E¹⁹"), =HYPERLINK("CSG17.html#group48C17", "48C¹⁷"), =HYPERLINK("CSG13.html#group21C13", "21C¹³"), =HYPERLINK("CSG7.html#group24H7", "24H⁷"), =HYPERLINK("CSG22.html#group54E22", "54E²²"), =HYPERLINK("CSG11.html#group36B11", "36B¹¹"), =HYPERLINK("CSG16.html#group27B16", "27B¹⁶"), =HYPERLINK("CSG10.html#group18F10", "18F¹⁰")</f>
        <v/>
      </c>
    </row>
    <row r="10">
      <c r="A10" t="inlineStr">
        <is>
          <t>4A⁰</t>
        </is>
      </c>
      <c r="B10" t="inlineStr"/>
      <c r="C10" t="inlineStr">
        <is>
          <t>4</t>
        </is>
      </c>
      <c r="D10" t="inlineStr">
        <is>
          <t>1</t>
        </is>
      </c>
      <c r="E10" t="inlineStr">
        <is>
          <t>4</t>
        </is>
      </c>
      <c r="F10" t="inlineStr">
        <is>
          <t>2</t>
        </is>
      </c>
      <c r="G10" t="inlineStr">
        <is>
          <t>1</t>
        </is>
      </c>
      <c r="H10" t="inlineStr">
        <is>
          <t>4¹</t>
        </is>
      </c>
      <c r="I10" t="n">
        <v>1</v>
      </c>
      <c r="J10" t="inlineStr">
        <is>
          <t>2²</t>
        </is>
      </c>
      <c r="K10">
        <f>HYPERLINK("CSG0.html#group1A0", "1A⁰")</f>
        <v/>
      </c>
      <c r="L10">
        <f>HYPERLINK("CSG0.html#group4D0", "4D⁰"), =HYPERLINK("CSG0.html#group4F0", "4F⁰"), =HYPERLINK("CSG0.html#group8A0", "8A⁰"), =HYPERLINK("CSG0.html#group8F0", "8F⁰"), =HYPERLINK("CSG0.html#group12A0", "12A⁰"), =HYPERLINK("CSG1.html#group12A1", "12A¹"), =HYPERLINK("CSG1.html#group20A1", "20A¹"), =HYPERLINK("CSG1.html#group20B1", "20B¹"), =HYPERLINK("CSG1.html#group28A1", "28A¹"), =HYPERLINK("CSG2.html#group20E2", "20E²"), =HYPERLINK("CSG2.html#group28A2", "28A²"), =HYPERLINK("CSG2.html#group44A2", "44A²"), =HYPERLINK("CSG3.html#group52A3", "52A³"), =HYPERLINK("CSG4.html#group44B4", "44B⁴"), =HYPERLINK("CSG5.html#group68A5", "68A⁵"), =HYPERLINK("CSG6.html#group36G6", "36G⁶"), =HYPERLINK("CSG6.html#group76A6", "76A⁶"), =HYPERLINK("CSG8.html#group92B8", "92B⁸"), =HYPERLINK("CSG9.html#group116A9", "116A⁹"), =HYPERLINK("CSG10.html#group124A10", "124A¹⁰"), =HYPERLINK("CSG11.html#group148A11", "148A¹¹"), =HYPERLINK("CSG13.html#group44B13", "44B¹³"), =HYPERLINK("CSG13.html#group164A13", "164A¹³"), =HYPERLINK("CSG14.html#group172A14", "172A¹⁴"), =HYPERLINK("CSG15.html#group76A15", "76A¹⁵"), =HYPERLINK("CSG16.html#group188B16", "188B¹⁶"), =HYPERLINK("CSG17.html#group212A17", "212A¹⁷"), =HYPERLINK("CSG19.html#group244A19", "244A¹⁹"), =HYPERLINK("CSG20.html#group236B20", "236B²⁰"), =HYPERLINK("CSG21.html#group52A21", "52A²¹"), =HYPERLINK("CSG22.html#group268A22", "268A²²"), =HYPERLINK("CSG23.html#group292A23", "292A²³"), =HYPERLINK("CSG24.html#group52A24", "52A²⁴"), =HYPERLINK("CSG24.html#group284B24", "284B²⁴")</f>
        <v/>
      </c>
      <c r="M10">
        <f>HYPERLINK("CSG0.html#group1A0", "1A⁰")</f>
        <v/>
      </c>
      <c r="N10">
        <f>HYPERLINK("CSG11.html#group24L11", "24L¹¹"), =HYPERLINK("CSG11.html#group16A11", "16A¹¹"), =HYPERLINK("CSG19.html#group16B19", "16B¹⁹"), =HYPERLINK("CSG5.html#group16F5", "16F⁵"), =HYPERLINK("CSG21.html#group308B21", "308B²¹"), =HYPERLINK("CSG23.html#group140C23", "140C²³"), =HYPERLINK("CSG3.html#group16P3", "16P³"), =HYPERLINK("CSG19.html#group24M19", "24M¹⁹"), =HYPERLINK("CSG14.html#group72F14", "72F¹⁴"), =HYPERLINK("CSG12.html#group140A12", "140A¹²"), =HYPERLINK("CSG11.html#group72K11", "72K¹¹"), =HYPERLINK("CSG23.html#group120C23", "120C²³"), =HYPERLINK("CSG12.html#group108B12", "108B¹²"), =HYPERLINK("CSG8.html#group40E8", "40E⁸"), =HYPERLINK("CSG20.html#group96B20", "96B²⁰"), =HYPERLINK("CSG16.html#group48D16", "48D¹⁶"), =HYPERLINK("CSG24.html#group56H24", "56H²⁴"), =HYPERLINK("CSG19.html#group48AT19", "48AT¹⁹"), =HYPERLINK("CSG21.html#group156A21", "156A²¹"), =HYPERLINK("CSG2.html#group16H2", "16H²"), =HYPERLINK("CSG15.html#group80A15", "80A¹⁵"), =HYPERLINK("CSG13.html#group64K13", "64K¹³"), =HYPERLINK("CSG23.html#group84E23", "84E²³"), =HYPERLINK("CSG13.html#group60G13", "60G¹³"), =HYPERLINK("CSG9.html#group40E9", "40E⁹"), =HYPERLINK("CSG19.html#group100K19", "100K¹⁹"), =HYPERLINK("CSG9.html#group24AC9", "24AC⁹"), =HYPERLINK("CSG15.html#group104C15", "104C¹⁵"), =HYPERLINK("CSG17.html#group24AO17", "24AO¹⁷"), =HYPERLINK("CSG9.html#group28E9", "28E⁹"), =HYPERLINK("CSG5.html#group48E5", "48E⁵"), =HYPERLINK("CSG7.html#group24AF7", "24AF⁷"), =HYPERLINK("CSG21.html#group48AD21", "48AD²¹"), =HYPERLINK("CSG17.html#group48AM17", "48AM¹⁷"), =HYPERLINK("CSG7.html#group112A7", "112A⁷"), =HYPERLINK("CSG11.html#group32H11", "32H¹¹"), =HYPERLINK("CSG11.html#group24D11", "24D¹¹"), =HYPERLINK("CSG6.html#group24C6", "24C⁶"), =HYPERLINK("CSG21.html#group48BW21", "48BW²¹"), =HYPERLINK("CSG13.html#group100I13", "100I¹³"), =HYPERLINK("CSG14.html#group132A14", "132A¹⁴"), =HYPERLINK("CSG9.html#group32K9", "32K⁹"), =HYPERLINK("CSG15.html#group40U15", "40U¹⁵"), =HYPERLINK("CSG21.html#group48CD21", "48CD²¹"), =HYPERLINK("CSG15.html#group92A15", "92A¹⁵"), =HYPERLINK("CSG23.html#group112H23", "112H²³"), =HYPERLINK("CSG3.html#group52A3", "52A³"), =HYPERLINK("CSG21.html#group64G21", "64G²¹"), =HYPERLINK("CSG21.html#group72P21", "72P²¹"), =HYPERLINK("CSG0.html#group16F0", "16F⁰"), =HYPERLINK("CSG1.html#group20G1", "20G¹"), =HYPERLINK("CSG19.html#group48AY19", "48AY¹⁹"), =HYPERLINK("CSG24.html#group32B24", "32B²⁴"), =HYPERLINK("CSG23.html#group312C23", "312C²³"), =HYPERLINK("CSG5.html#group28D5", "28D⁵"), =HYPERLINK("CSG18.html#group120B18", "120B¹⁸"), =HYPERLINK("CSG23.html#group136A23", "136A²³"), =HYPERLINK("CSG11.html#group108C11", "108C¹¹"), =HYPERLINK("CSG16.html#group40E16", "40E¹⁶"), =HYPERLINK("CSG20.html#group144H20", "144H²⁰"), =HYPERLINK("CSG9.html#group16D9", "16D⁹"), =HYPERLINK("CSG15.html#group20F15", "20F¹⁵"), =HYPERLINK("CSG16.html#group132D16", "132D¹⁶"), =HYPERLINK("CSG24.html#group56J24", "56J²⁴"), =HYPERLINK("CSG17.html#group24AA17", "24AA¹⁷"), =HYPERLINK("CSG13.html#group24V13", "24V¹³"), =HYPERLINK("CSG11.html#group72L11", "72L¹¹"), =HYPERLINK("CSG19.html#group24B19", "24B¹⁹"), =HYPERLINK("CSG9.html#group40P9", "40P⁹"), =HYPERLINK("CSG9.html#group28G9", "28G⁹"), =HYPERLINK("CSG21.html#group48AF21", "48AF²¹"), =HYPERLINK("CSG10.html#group16B10", "16B¹⁰"), =HYPERLINK("CSG13.html#group12A13", "12A¹³"), =HYPERLINK("CSG17.html#group48BR17", "48BR¹⁷"), =HYPERLINK("CSG13.html#group24X13", "24X¹³"), =HYPERLINK("CSG19.html#group200G19", "200G¹⁹"), =HYPERLINK("CSG21.html#group48BV21", "48BV²¹"), =HYPERLINK("CSG12.html#group36F12", "36F¹²"), =HYPERLINK("CSG15.html#group48X15", "48X¹⁵"), =HYPERLINK("CSG13.html#group40T13", "40T¹³"), =HYPERLINK("CSG1.html#group16K1", "16K¹"), =HYPERLINK("CSG21.html#group120G21", "120G²¹"), =HYPERLINK("CSG22.html#group40F22", "40F²²"), =HYPERLINK("CSG5.html#group40I5", "40I⁵"), =HYPERLINK("CSG16.html#group40C16", "40C¹⁶"), =HYPERLINK("CSG19.html#group16A19", "16A¹⁹"), =HYPERLINK("CSG7.html#group40C7", "40C⁷"), =HYPERLINK("CSG11.html#group72G11", "72G¹¹"), =HYPERLINK("CSG18.html#group264D18", "264D¹⁸"), =HYPERLINK("CSG19.html#group40G19", "40G¹⁹"), =HYPERLINK("CSG3.html#group20C3", "20C³"), =HYPERLINK("CSG1.html#group24B1", "24B¹"), =HYPERLINK("CSG15.html#group120D15", "120D¹⁵"), =HYPERLINK("CSG22.html#group64B22", "64B²²"), =HYPERLINK("CSG15.html#group100B15", "100B¹⁵"), =HYPERLINK("CSG15.html#group28B15", "28B¹⁵"), =HYPERLINK("CSG17.html#group48BZ17", "48BZ¹⁷"), =HYPERLINK("CSG12.html#group72F12", "72F¹²"), =HYPERLINK("CSG4.html#group60A4", "60A⁴"), =HYPERLINK("CSG14.html#group56C14", "56C¹⁴"), =HYPERLINK("CSG23.html#group52G23", "52G²³"), =HYPERLINK("CSG5.html#group24Q5", "24Q⁵"), =HYPERLINK("CSG5.html#group24J5", "24J⁵"), =HYPERLINK("CSG21.html#group64P21", "64P²¹"), =HYPERLINK("CSG21.html#group28K21", "28K²¹"), =HYPERLINK("CSG19.html#group72Q19", "72Q¹⁹"), =HYPERLINK("CSG23.html#group32C23", "32C²³"), =HYPERLINK("CSG15.html#group88B15", "88B¹⁵"), =HYPERLINK("CSG9.html#group32F9", "32F⁹"), =HYPERLINK("CSG8.html#group48R8", "48R⁸"), =HYPERLINK("CSG20.html#group48G20", "48G²⁰"), =HYPERLINK("CSG15.html#group40V15", "40V¹⁵"), =HYPERLINK("CSG16.html#group188B16", "188B¹⁶"), =HYPERLINK("CSG17.html#group80K17", "80K¹⁷"), =HYPERLINK("CSG19.html#group80K19", "80K¹⁹"), =HYPERLINK("CSG19.html#group72S19", "72S¹⁹"), =HYPERLINK("CSG1.html#group8J1", "8J¹"), =HYPERLINK("CSG0.html#group8K0", "8K⁰"), =HYPERLINK("CSG9.html#group60I9", "60I⁹"), =HYPERLINK("CSG13.html#group32R13", "32R¹³"), =HYPERLINK("CSG6.html#group48F6", "48F⁶"), =HYPERLINK("CSG7.html#group132A7", "132A⁷"), =HYPERLINK("CSG13.html#group20B13", "20B¹³"), =HYPERLINK("CSG17.html#group24AP17", "24AP¹⁷"), =HYPERLINK("CSG21.html#group72M21", "72M²¹"), =HYPERLINK("CSG4.html#group28A4", "28A⁴"), =HYPERLINK("CSG18.html#group168B18", "168B¹⁸"), =HYPERLINK("CSG7.html#group24L7", "24L⁷"), =HYPERLINK("CSG18.html#group80F18", "80F¹⁸"), =HYPERLINK("CSG9.html#group36M9", "36M⁹"), =HYPERLINK("CSG22.html#group92B22", "92B²²"), =HYPERLINK("CSG17.html#group108E17", "108E¹⁷"), =HYPERLINK("CSG11.html#group48J11", "48J¹¹"), =HYPERLINK("CSG21.html#group24K21", "24K²¹"), =HYPERLINK("CSG9.html#group24AN9", "24AN⁹"), =HYPERLINK("CSG2.html#group8B2", "8B²"), =HYPERLINK("CSG0.html#group8E0", "8E⁰"), =HYPERLINK("CSG12.html#group132D12", "132D¹²"), =HYPERLINK("CSG5.html#group40D5", "40D⁵"), =HYPERLINK("CSG13.html#group44B13", "44B¹³"), =HYPERLINK("CSG17.html#group28E17", "28E¹⁷"), =HYPERLINK("CSG7.html#group80A7", "80A⁷"), =HYPERLINK("CSG19.html#group120C19", "120C¹⁹"), =HYPERLINK("CSG5.html#group36M5", "36M⁵"), =HYPERLINK("CSG24.html#group280A24", "280A²⁴"), =HYPERLINK("CSG21.html#group80T21", "80T²¹"), =HYPERLINK("CSG0.html#group4F0", "4F⁰"), =HYPERLINK("CSG4.html#group48A4", "48A⁴"), =HYPERLINK("CSG19.html#group36K19", "36K¹⁹"), =HYPERLINK("CSG11.html#group68B11", "68B¹¹"), =HYPERLINK("CSG16.html#group184A16", "184A¹⁶"), =HYPERLINK("CSG17.html#group40AI17", "40AI¹⁷"), =HYPERLINK("CSG15.html#group112J15", "112J¹⁵"), =HYPERLINK("CSG19.html#group60E19", "60E¹⁹"), =HYPERLINK("CSG24.html#group336A24", "336A²⁴"), =HYPERLINK("CSG21.html#group20C21", "20C²¹"), =HYPERLINK("CSG18.html#group168A18", "168A¹⁸"), =HYPERLINK("CSG12.html#group152A12", "152A¹²"), =HYPERLINK("CSG19.html#group80S19", "80S¹⁹"), =HYPERLINK("CSG4.html#group72C4", "72C⁴"), =HYPERLINK("CSG8.html#group72A8", "72A⁸"), =HYPERLINK("CSG13.html#group32J13", "32J¹³"), =HYPERLINK("CSG19.html#group36B19", "36B¹⁹"), =HYPERLINK("CSG7.html#group20F7", "20F⁷"), =HYPERLINK("CSG13.html#group104E13", "104E¹³"), =HYPERLINK("CSG17.html#group96D17", "96D¹⁷"), =HYPERLINK("CSG23.html#group144Q23", "144Q²³"), =HYPERLINK("CSG23.html#group144R23", "144R²³"), =HYPERLINK("CSG17.html#group96C17", "96C¹⁷"), =HYPERLINK("CSG21.html#group48BN21", "48BN²¹"), =HYPERLINK("CSG18.html#group60I18", "60I¹⁸"), =HYPERLINK("CSG18.html#group32A18", "32A¹⁸"), =HYPERLINK("CSG22.html#group168R22", "168R²²"), =HYPERLINK("CSG23.html#group48F23", "48F²³"), =HYPERLINK("CSG7.html#group36J7", "36J⁷"), =HYPERLINK("CSG17.html#group60E17", "60E¹⁷"), =HYPERLINK("CSG23.html#group28B23", "28B²³"), =HYPERLINK("CSG21.html#group48AS21", "48AS²¹"), =HYPERLINK("CSG15.html#group88C15", "88C¹⁵"), =HYPERLINK("CSG13.html#group24B13", "24B¹³"), =HYPERLINK("CSG21.html#group72N21", "72N²¹"), =HYPERLINK("CSG9.html#group72F9", "72F⁹"), =HYPERLINK("CSG13.html#group104D13", "104D¹³"), =HYPERLINK("CSG5.html#group12D5", "12D⁵"), =HYPERLINK("CSG17.html#group40U17", "40U¹⁷"), =HYPERLINK("CSG23.html#group56I23", "56I²³"), =HYPERLINK("CSG17.html#group80B17", "80B¹⁷"), =HYPERLINK("CSG10.html#group156A10", "156A¹⁰"), =HYPERLINK("CSG23.html#group144T23", "144T²³"), =HYPERLINK("CSG17.html#group36F17", "36F¹⁷"), =HYPERLINK("CSG23.html#group180J23", "180J²³"), =HYPERLINK("CSG21.html#group16C21", "16C²¹"), =HYPERLINK("CSG17.html#group48A17", "48A¹⁷"), =HYPERLINK("CSG21.html#group24M21", "24M²¹"), =HYPERLINK("CSG17.html#group96Y17", "96Y¹⁷"), =HYPERLINK("CSG17.html#group60U17", "60U¹⁷"), =HYPERLINK("CSG19.html#group60N19", "60N¹⁹"), =HYPERLINK("CSG5.html#group16A5", "16A⁵"), =HYPERLINK("CSG13.html#group72A13", "72A¹³"), =HYPERLINK("CSG17.html#group80AR17", "80AR¹⁷"), =HYPERLINK("CSG21.html#group76A21", "76A²¹"), =HYPERLINK("CSG20.html#group132A20", "132A²⁰"), =HYPERLINK("CSG5.html#group36J5", "36J⁵"), =HYPERLINK("CSG21.html#group36B21", "36B²¹"), =HYPERLINK("CSG10.html#group72F10", "72F¹⁰"), =HYPERLINK("CSG14.html#group84B14", "84B¹⁴"), =HYPERLINK("CSG16.html#group48C16", "48C¹⁶"), =HYPERLINK("CSG9.html#group16K9", "16K⁹"), =HYPERLINK("CSG21.html#group40C21", "40C²¹"), =HYPERLINK("CSG6.html#group36A6", "36A⁶"), =HYPERLINK("CSG21.html#group72H21", "72H²¹"), =HYPERLINK("CSG8.html#group24M8", "24M⁸"), =HYPERLINK("CSG15.html#group40H15", "40H¹⁵"), =HYPERLINK("CSG21.html#group24L21", "24L²¹"), =HYPERLINK("CSG11.html#group24F11", "24F¹¹"), =HYPERLINK("CSG17.html#group16B17", "16B¹⁷"), =HYPERLINK("CSG6.html#group44A6", "44A⁶"), =HYPERLINK("CSG15.html#group48V15", "48V¹⁵"), =HYPERLINK("CSG5.html#group40J5", "40J⁵"), =HYPERLINK("CSG15.html#group96O15", "96O¹⁵"), =HYPERLINK("CSG21.html#group48CO21", "48CO²¹"), =HYPERLINK("CSG19.html#group240A19", "240A¹⁹"), =HYPERLINK("CSG6.html#group24B6", "24B⁶"), =HYPERLINK("CSG9.html#group40T9", "40T⁹"), =HYPERLINK("CSG11.html#group28G11", "28G¹¹"), =HYPERLINK("CSG21.html#group48V21", "48V²¹"), =HYPERLINK("CSG21.html#group32P21", "32P²¹"), =HYPERLINK("CSG22.html#group80A22", "80A²²"), =HYPERLINK("CSG21.html#group72G21", "72G²¹"), =HYPERLINK("CSG11.html#group32C11", "32C¹¹"), =HYPERLINK("CSG24.html#group264B24", "264B²⁴"), =HYPERLINK("CSG14.html#group112F14", "112F¹⁴"), =HYPERLINK("CSG17.html#group40Z17", "40Z¹⁷"), =HYPERLINK("CSG22.html#group84I22", "84I²²"), =HYPERLINK("CSG22.html#group144H22", "144H²²"), =HYPERLINK("CSG17.html#group48BL17", "48BL¹⁷"), =HYPERLINK("CSG19.html#group120Q19", "120Q¹⁹"), =HYPERLINK("CSG17.html#group24J17", "24J¹⁷"), =HYPERLINK("CSG24.html#group168D24", "168D²⁴"), =HYPERLINK("CSG8.html#group48V8", "48V⁸"), =HYPERLINK("CSG10.html#group40A10", "40A¹⁰"), =HYPERLINK("CSG21.html#group40L21", "40L²¹"), =HYPERLINK("CSG10.html#group28A10", "28A¹⁰"), =HYPERLINK("CSG7.html#group112B7", "112B⁷"), =HYPERLINK("CSG3.html#group84A3", "84A³"), =HYPERLINK("CSG21.html#group72R21", "72R²¹"), =HYPERLINK("CSG24.html#group32A24", "32A²⁴"), =HYPERLINK("CSG17.html#group120L17", "120L¹⁷"), =HYPERLINK("CSG21.html#group48AX21", "48AX²¹"), =HYPERLINK("CSG19.html#group100J19", "100J¹⁹"), =HYPERLINK("CSG14.html#group72I14", "72I¹⁴"), =HYPERLINK("CSG9.html#group24C9", "24C⁹"), =HYPERLINK("CSG18.html#group48G18", "48G¹⁸"), =HYPERLINK("CSG23.html#group132C23", "132C²³"), =HYPERLINK("CSG21.html#group120J21", "120J²¹"), =HYPERLINK("CSG23.html#group152A23", "152A²³"), =HYPERLINK("CSG4.html#group16A4", "16A⁴"), =HYPERLINK("CSG8.html#group40G8", "40G⁸"), =HYPERLINK("CSG21.html#group140D21", "140D²¹"), =HYPERLINK("CSG21.html#group24E21", "24E²¹"), =HYPERLINK("CSG7.html#group24X7", "24X⁷"), =HYPERLINK("CSG12.html#group28A12", "28A¹²"), =HYPERLINK("CSG5.html#group28I5", "28I⁵"), =HYPERLINK("CSG18.html#group120C18", "120C¹⁸"), =HYPERLINK("CSG21.html#group48CB21", "48CB²¹"), =HYPERLINK("CSG24.html#group168C24", "168C²⁴"), =HYPERLINK("CSG7.html#group16E7", "16E⁷"), =HYPERLINK("CSG2.html#group20D2", "20D²"), =HYPERLINK("CSG20.html#group48F20", "48F²⁰"), =HYPERLINK("CSG13.html#group56F13", "56F¹³"), =HYPERLINK("CSG2.html#group12A2", "12A²"), =HYPERLINK("CSG19.html#group200H19", "200H¹⁹"), =HYPERLINK("CSG23.html#group120K23", "120K²³"), =HYPERLINK("CSG22.html#group56L22", "56L²²"), =HYPERLINK("CSG20.html#group236B20", "236B²⁰"), =HYPERLINK("CSG8.html#group88A8", "88A⁸"), =HYPERLINK("CSG9.html#group84E9", "84E⁹"), =HYPERLINK("CSG13.html#group24C13", "24C¹³"), =HYPERLINK("CSG8.html#group72J8", "72J⁸"), =HYPERLINK("CSG15.html#group40AE15", "40AE¹⁵"), =HYPERLINK("CSG3.html#group8A3", "8A³"), =HYPERLINK("CSG3.html#group12B3", "12B³"), =HYPERLINK("CSG8.html#group80E8", "80E⁸"), =HYPERLINK("CSG13.html#group60AK13", "60AK¹³"), =HYPERLINK("CSG3.html#group24G3", "24G³"), =HYPERLINK("CSG23.html#group40B23", "40B²³"), =HYPERLINK("CSG23.html#group168L23", "168L²³"), =HYPERLINK("CSG7.html#group56G7", "56G⁷"), =HYPERLINK("CSG2.html#group8A2", "8A²"), =HYPERLINK("CSG5.html#group16B5", "16B⁵"), =HYPERLINK("CSG23.html#group56L23", "56L²³"), =HYPERLINK("CSG21.html#group280B21", "280B²¹"), =HYPERLINK("CSG3.html#group16L3", "16L³"), =HYPERLINK("CSG5.html#group16I5", "16I⁵"), =HYPERLINK("CSG9.html#group100B9", "100B⁹"), =HYPERLINK("CSG15.html#group72M15", "72M¹⁵"), =HYPERLINK("CSG7.html#group20O7", "20O⁷"), =HYPERLINK("CSG13.html#group40C13", "40C¹³"), =HYPERLINK("CSG13.html#group36N13", "36N¹³"), =HYPERLINK("CSG9.html#group28C9", "28C⁹"), =HYPERLINK("CSG11.html#group60E11", "60E¹¹"), =HYPERLINK("CSG21.html#group52A21", "52A²¹"), =HYPERLINK("CSG17.html#group48BM17", "48BM¹⁷"), =HYPERLINK("CSG18.html#group168C18", "168C¹⁸"), =HYPERLINK("CSG5.html#group16M5", "16M⁵"), =HYPERLINK("CSG23.html#group80D23", "80D²³"), =HYPERLINK("CSG17.html#group36H17", "36H¹⁷"), =HYPERLINK("CSG7.html#group48P7", "48P⁷"), =HYPERLINK("CSG6.html#group24F6", "24F⁶"), =HYPERLINK("CSG20.html#group48B20", "48B²⁰"), =HYPERLINK("CSG14.html#group56F14", "56F¹⁴"), =HYPERLINK("CSG1.html#group8H1", "8H¹"), =HYPERLINK("CSG10.html#group72J10", "72J¹⁰"), =HYPERLINK("CSG21.html#group24D21", "24D²¹"), =HYPERLINK("CSG21.html#group144M21", "144M²¹"), =HYPERLINK("CSG19.html#group36P19", "36P¹⁹"), =HYPERLINK("CSG21.html#group60T21", "60T²¹"), =HYPERLINK("CSG11.html#group56J11", "56J¹¹"), =HYPERLINK("CSG15.html#group120C15", "120C¹⁵"), =HYPERLINK("CSG13.html#group16B13", "16B¹³"), =HYPERLINK("CSG7.html#group24AE7", "24AE⁷"), =HYPERLINK("CSG9.html#group24Y9", "24Y⁹"), =HYPERLINK("CSG11.html#group36D11", "36D¹¹"), =HYPERLINK("CSG13.html#group24G13", "24G¹³"), =HYPERLINK("CSG15.html#group40AF15", "40AF¹⁵"), =HYPERLINK("CSG21.html#group48F21", "48F²¹"), =HYPERLINK("CSG13.html#group40E13", "40E¹³"), =HYPERLINK("CSG9.html#group32N9", "32N⁹"), =HYPERLINK("CSG5.html#group24L5", "24L⁵"), =HYPERLINK("CSG6.html#group20A6", "20A⁶"), =HYPERLINK("CSG7.html#group24K7", "24K⁷"), =HYPERLINK("CSG21.html#group48CE21", "48CE²¹"), =HYPERLINK("CSG23.html#group48E23", "48E²³"), =HYPERLINK("CSG23.html#group40G23", "40G²³"), =HYPERLINK("CSG24.html#group112Y24", "112Y²⁴"), =HYPERLINK("CSG0.html#group16A0", "16A⁰"), =HYPERLINK("CSG17.html#group120M17", "120M¹⁷"), =HYPERLINK("CSG3.html#group36H3", "36H³"), =HYPERLINK("CSG11.html#group48Y11", "48Y¹¹"), =HYPERLINK("CSG8.html#group60B8", "60B⁸"), =HYPERLINK("CSG11.html#group84D11", "84D¹¹"), =HYPERLINK("CSG15.html#group80B15", "80B¹⁵"), =HYPERLINK("CSG24.html#group240A24", "240A²⁴"), =HYPERLINK("CSG17.html#group72S17", "72S¹⁷"), =HYPERLINK("CSG23.html#group96AC23", "96AC²³"), =HYPERLINK("CSG19.html#group200B19", "200B¹⁹"), =HYPERLINK("CSG4.html#group24H4", "24H⁴"), =HYPERLINK("CSG2.html#group24K2", "24K²"), =HYPERLINK("CSG21.html#group16F21", "16F²¹"), =HYPERLINK("CSG19.html#group232A19", "232A¹⁹"), =HYPERLINK("CSG9.html#group40Q9", "40Q⁹"), =HYPERLINK("CSG23.html#group72D23", "72D²³"), =HYPERLINK("CSG17.html#group120I17", "120I¹⁷"), =HYPERLINK("CSG21.html#group48CN21", "48CN²¹"), =HYPERLINK("CSG13.html#group48E13", "48E¹³"), =HYPERLINK("CSG13.html#group72B13", "72B¹³"), =HYPERLINK("CSG19.html#group72V19", "72V¹⁹"), =HYPERLINK("CSG7.html#group52A7", "52A⁷"), =HYPERLINK("CSG15.html#group80C15", "80C¹⁵"), =HYPERLINK("CSG21.html#group24F21", "24F²¹"), =HYPERLINK("CSG8.html#group48F8", "48F⁸"), =HYPERLINK("CSG21.html#group16A21", "16A²¹"), =HYPERLINK("CSG23.html#group56O23", "56O²³"), =HYPERLINK("CSG23.html#group136C23", "136C²³"), =HYPERLINK("CSG2.html#group8C2", "8C²"), =HYPERLINK("CSG23.html#group112K23", "112K²³"), =HYPERLINK("CSG10.html#group168B10", "168B¹⁰"), =HYPERLINK("CSG16.html#group48B16", "48B¹⁶"), =HYPERLINK("CSG13.html#group24AB13", "24AB¹³"), =HYPERLINK("CSG19.html#group24F19", "24F¹⁹"), =HYPERLINK("CSG10.html#group56C10", "56C¹⁰"), =HYPERLINK("CSG7.html#group48L7", "48L⁷"), =HYPERLINK("CSG15.html#group72E15", "72E¹⁵"), =HYPERLINK("CSG19.html#group100H19", "100H¹⁹"), =HYPERLINK("CSG15.html#group24B15", "24B¹⁵"), =HYPERLINK("CSG15.html#group56C15", "56C¹⁵"), =HYPERLINK("CSG21.html#group84O21", "84O²¹"), =HYPERLINK("CSG15.html#group56B15", "56B¹⁵"), =HYPERLINK("CSG19.html#group120R19", "120R¹⁹"), =HYPERLINK("CSG9.html#group64H9", "64H⁹"), =HYPERLINK("CSG18.html#group48P18", "48P¹⁸"), =HYPERLINK("CSG23.html#group156E23", "156E²³"), =HYPERLINK("CSG9.html#group24H9", "24H⁹"), =HYPERLINK("CSG13.html#group36A13", "36A¹³"), =HYPERLINK("CSG13.html#group36I13", "36I¹³"), =HYPERLINK("CSG4.html#group72B4", "72B⁴"), =HYPERLINK("CSG19.html#group232B19", "232B¹⁹"), =HYPERLINK("CSG8.html#group92B8", "92B⁸"), =HYPERLINK("CSG24.html#group56A24", "56A²⁴"), =HYPERLINK("CSG15.html#group48S15", "48S¹⁵"), =HYPERLINK("CSG13.html#group72M13", "72M¹³"), =HYPERLINK("CSG14.html#group100E14", "100E¹⁴"), =HYPERLINK("CSG23.html#group80B23", "80B²³"), =HYPERLINK("CSG23.html#group220C23", "220C²³"), =HYPERLINK("CSG12.html#group144A12", "144A¹²"), =HYPERLINK("CSG8.html#group60F8", "60F⁸"), =HYPERLINK("CSG21.html#group48E21", "48E²¹"), =HYPERLINK("CSG19.html#group48AB19", "48AB¹⁹"), =HYPERLINK("CSG23.html#group148B23", "148B²³"), =HYPERLINK("CSG17.html#group56D17", "56D¹⁷"), =HYPERLINK("CSG19.html#group32A19", "32A¹⁹"), =HYPERLINK("CSG13.html#group32S13", "32S¹³"), =HYPERLINK("CSG19.html#group84L19", "84L¹⁹"), =HYPERLINK("CSG8.html#group48G8", "48G⁸"), =HYPERLINK("CSG23.html#group32D23", "32D²³"), =HYPERLINK("CSG6.html#group32B6", "32B⁶"), =HYPERLINK("CSG15.html#group64K15", "64K¹⁵"), =HYPERLINK("CSG7.html#group24B7", "24B⁷"), =HYPERLINK("CSG9.html#group120A9", "120A⁹"), =HYPERLINK("CSG19.html#group100G19", "100G¹⁹"), =HYPERLINK("CSG10.html#group36J10", "36J¹⁰"), =HYPERLINK("CSG18.html#group264A18", "264A¹⁸"), =HYPERLINK("CSG24.html#group168H24", "168H²⁴"), =HYPERLINK("CSG21.html#group68A21", "68A²¹"), =HYPERLINK("CSG13.html#group24E13", "24E¹³"), =HYPERLINK("CSG11.html#group176A11", "176A¹¹"), =HYPERLINK("CSG23.html#group272B23", "272B²³"), =HYPERLINK("CSG22.html#group72D22", "72D²²"), =HYPERLINK("CSG17.html#group212A17", "212A¹⁷"), =HYPERLINK("CSG1.html#group20B1", "20B¹"), =HYPERLINK("CSG15.html#group68F15", "68F¹⁵"), =HYPERLINK("CSG17.html#group24AB17", "24AB¹⁷"), =HYPERLINK("CSG21.html#group100B21", "100B²¹"), =HYPERLINK("CSG15.html#group40P15", "40P¹⁵"), =HYPERLINK("CSG9.html#group24AJ9", "24AJ⁹"), =HYPERLINK("CSG23.html#group72C23", "72C²³"), =HYPERLINK("CSG9.html#group48AP9", "48AP⁹"), =HYPERLINK("CSG16.html#group36F16", "36F¹⁶"), =HYPERLINK("CSG9.html#group24AA9", "24AA⁹"), =HYPERLINK("CSG14.html#group72O14", "72O¹⁴"), =HYPERLINK("CSG17.html#group40M17", "40M¹⁷"), =HYPERLINK("CSG11.html#group32A11", "32A¹¹"), =HYPERLINK("CSG13.html#group40S13", "40S¹³"), =HYPERLINK("CSG19.html#group36J19", "36J¹⁹"), =HYPERLINK("CSG24.html#group56I24", "56I²⁴"), =HYPERLINK("CSG22.html#group96B22", "96B²²"), =HYPERLINK("CSG23.html#group104T23", "104T²³"), =HYPERLINK("CSG15.html#group36N15", "36N¹⁵"), =HYPERLINK("CSG23.html#group204C23", "204C²³"), =HYPERLINK("CSG6.html#group72A6", "72A⁶"), =HYPERLINK("CSG19.html#group96L19", "96L¹⁹"), =HYPERLINK("CSG11.html#group32K11", "32K¹¹"), =HYPERLINK("CSG17.html#group80L17", "80L¹⁷"), =HYPERLINK("CSG23.html#group144V23", "144V²³"), =HYPERLINK("CSG19.html#group72T19", "72T¹⁹"), =HYPERLINK("CSG8.html#group24A8", "24A⁸"), =HYPERLINK("CSG18.html#group48B18", "48B¹⁸"), =HYPERLINK("CSG13.html#group24U13", "24U¹³"), =HYPERLINK("CSG7.html#group24AG7", "24AG⁷"), =HYPERLINK("CSG19.html#group108A19", "108A¹⁹"), =HYPERLINK("CSG6.html#group56H6", "56H⁶"), =HYPERLINK("CSG11.html#group24M11", "24M¹¹"), =HYPERLINK("CSG13.html#group60L13", "60L¹³"), =HYPERLINK("CSG22.html#group88A22", "88A²²"), =HYPERLINK("CSG20.html#group72B20", "72B²⁰"), =HYPERLINK("CSG10.html#group48G10", "48G¹⁰"), =HYPERLINK("CSG23.html#group112E23", "112E²³"), =HYPERLINK("CSG23.html#group48B23", "48B²³"), =HYPERLINK("CSG13.html#group48R13", "48R¹³"), =HYPERLINK("CSG3.html#group24E3", "24E³"), =HYPERLINK("CSG17.html#group48S17", "48S¹⁷"), =HYPERLINK("CSG11.html#group52F11", "52F¹¹"), =HYPERLINK("CSG14.html#group72G14", "72G¹⁴"), =HYPERLINK("CSG1.html#group8I1", "8I¹"), =HYPERLINK("CSG15.html#group72D15", "72D¹⁵"), =HYPERLINK("CSG17.html#group48BJ17", "48BJ¹⁷"), =HYPERLINK("CSG4.html#group24K4", "24K⁴"), =HYPERLINK("CSG23.html#group144S23", "144S²³"), =HYPERLINK("CSG3.html#group56C3", "56C³"), =HYPERLINK("CSG3.html#group12K3", "12K³"), =HYPERLINK("CSG21.html#group48Q21", "48Q²¹"), =HYPERLINK("CSG2.html#group12G2", "12G²"), =HYPERLINK("CSG23.html#group104P23", "104P²³"), =HYPERLINK("CSG5.html#group20D5", "20D⁵"), =HYPERLINK("CSG3.html#group20Q3", "20Q³"), =HYPERLINK("CSG24.html#group336G24", "336G²⁴"), =HYPERLINK("CSG23.html#group96AL23", "96AL²³"), =HYPERLINK("CSG16.html#group24E16", "24E¹⁶"), =HYPERLINK("CSG17.html#group48AU17", "48AU¹⁷"), =HYPERLINK("CSG20.html#group72A20", "72A²⁰"), =HYPERLINK("CSG21.html#group40E21", "40E²¹"), =HYPERLINK("CSG7.html#group60R7", "60R⁷"), =HYPERLINK("CSG13.html#group24H13", "24H¹³"), =HYPERLINK("CSG7.html#group32K7", "32K⁷"), =HYPERLINK("CSG19.html#group168C19", "168C¹⁹"), =HYPERLINK("CSG23.html#group56P23", "56P²³"), =HYPERLINK("CSG16.html#group48A16", "48A¹⁶"), =HYPERLINK("CSG10.html#group48F10", "48F¹⁰"), =HYPERLINK("CSG13.html#group56M13", "56M¹³"), =HYPERLINK("CSG9.html#group64F9", "64F⁹"), =HYPERLINK("CSG17.html#group120K17", "120K¹⁷"), =HYPERLINK("CSG22.html#group72C22", "72C²²"), =HYPERLINK("CSG18.html#group72B18", "72B¹⁸"), =HYPERLINK("CSG22.html#group84G22", "84G²²"), =HYPERLINK("CSG10.html#group84E10", "84E¹⁰"), =HYPERLINK("CSG13.html#group44A13", "44A¹³"), =HYPERLINK("CSG20.html#group144E20", "144E²⁰"), =HYPERLINK("CSG19.html#group24O19", "24O¹⁹"), =HYPERLINK("CSG7.html#group16D7", "16D⁷"), =HYPERLINK("CSG13.html#group32P13", "32P¹³"), =HYPERLINK("CSG5.html#group88B5", "88B⁵"), =HYPERLINK("CSG21.html#group136C21", "136C²¹"), =HYPERLINK("CSG11.html#group96I11", "96I¹¹"), =HYPERLINK("CSG21.html#group120L21", "120L²¹"), =HYPERLINK("CSG16.html#group168A16", "168A¹⁶"), =HYPERLINK("CSG20.html#group248A20", "248A²⁰"), =HYPERLINK("CSG3.html#group56A3", "56A³"), =HYPERLINK("CSG13.html#group180A13", "180A¹³"), =HYPERLINK("CSG9.html#group40O9", "40O⁹"), =HYPERLINK("CSG19.html#group80U19", "80U¹⁹"), =HYPERLINK("CSG17.html#group80AD17", "80AD¹⁷"), =HYPERLINK("CSG16.html#group144A16", "144A¹⁶"), =HYPERLINK("CSG24.html#group252C24", "252C²⁴"), =HYPERLINK("CSG18.html#group120E18", "120E¹⁸"), =HYPERLINK("CSG21.html#group24J21", "24J²¹"), =HYPERLINK("CSG16.html#group120A16", "120A¹⁶"), =HYPERLINK("CSG24.html#group24A24", "24A²⁴"), =HYPERLINK("CSG0.html#group8H0", "8H⁰"), =HYPERLINK("CSG8.html#group72I8", "72I⁸"), =HYPERLINK("CSG7.html#group48AB7", "48AB⁷"), =HYPERLINK("CSG0.html#group12A0", "12A⁰"), =HYPERLINK("CSG5.html#group40H5", "40H⁵"), =HYPERLINK("CSG22.html#group32B22", "32B²²"), =HYPERLINK("CSG20.html#group96G20", "96G²⁰"), =HYPERLINK("CSG7.html#group120B7", "120B⁷"), =HYPERLINK("CSG23.html#group32F23", "32F²³"), =HYPERLINK("CSG10.html#group32B10", "32B¹⁰"), =HYPERLINK("CSG19.html#group24C19", "24C¹⁹"), =HYPERLINK("CSG8.html#group40H8", "40H⁸"), =HYPERLINK("CSG13.html#group36T13", "36T¹³"), =HYPERLINK("CSG17.html#group48T17", "48T¹⁷"), =HYPERLINK("CSG20.html#group96O20", "96O²⁰"), =HYPERLINK("CSG14.html#group40A14", "40A¹⁴"), =HYPERLINK("CSG3.html#group24AB3", "24AB³"), =HYPERLINK("CSG6.html#group32H6", "32H⁶"), =HYPERLINK("CSG5.html#group16J5", "16J⁵"), =HYPERLINK("CSG13.html#group36R13", "36R¹³"), =HYPERLINK("CSG19.html#group24P19", "24P¹⁹"), =HYPERLINK("CSG22.html#group168N22", "168N²²"), =HYPERLINK("CSG19.html#group124A19", "124A¹⁹"), =HYPERLINK("CSG9.html#group60J9", "60J⁹"), =HYPERLINK("CSG5.html#group20B5", "20B⁵"), =HYPERLINK("CSG17.html#group60Y17", "60Y¹⁷"), =HYPERLINK("CSG23.html#group104O23", "104O²³"), =HYPERLINK("CSG21.html#group48L21", "48L²¹"), =HYPERLINK("CSG21.html#group48BL21", "48BL²¹"), =HYPERLINK("CSG21.html#group28M21", "28M²¹"), =HYPERLINK("CSG22.html#group48D22", "48D²²"), =HYPERLINK("CSG15.html#group24C15", "24C¹⁵"), =HYPERLINK("CSG22.html#group144J22", "144J²²"), =HYPERLINK("CSG19.html#group40I19", "40I¹⁹"), =HYPERLINK("CSG3.html#group60A3", "60A³"), =HYPERLINK("CSG21.html#group68B21", "68B²¹"), =HYPERLINK("CSG18.html#group80D18", "80D¹⁸"), =HYPERLINK("CSG10.html#group48I10", "48I¹⁰"), =HYPERLINK("CSG21.html#group36A21", "36A²¹"), =HYPERLINK("CSG11.html#group48Z11", "48Z¹¹"), =HYPERLINK("CSG19.html#group48AS19", "48AS¹⁹"), =HYPERLINK("CSG24.html#group144B24", "144B²⁴"), =HYPERLINK("CSG3.html#group16Q3", "16Q³"), =HYPERLINK("CSG19.html#group60G19", "60G¹⁹"), =HYPERLINK("CSG13.html#group32F13", "32F¹³"), =HYPERLINK("CSG17.html#group24AC17", "24AC¹⁷"), =HYPERLINK("CSG9.html#group36L9", "36L⁹"), =HYPERLINK("CSG1.html#group12G1", "12G¹"), =HYPERLINK("CSG17.html#group20A17", "20A¹⁷"), =HYPERLINK("CSG17.html#group48AT17", "48AT¹⁷"), =HYPERLINK("CSG24.html#group276D24", "276D²⁴"), =HYPERLINK("CSG7.html#group104B7", "104B⁷"), =HYPERLINK("CSG16.html#group48E16", "48E¹⁶"), =HYPERLINK("CSG17.html#group24G17", "24G¹⁷"), =HYPERLINK("CSG22.html#group64A22", "64A²²"), =HYPERLINK("CSG7.html#group84A7", "84A⁷"), =HYPERLINK("CSG9.html#group16J9", "16J⁹"), =HYPERLINK("CSG19.html#group48AH19", "48AH¹⁹"), =HYPERLINK("CSG17.html#group48CI17", "48CI¹⁷"), =HYPERLINK("CSG21.html#group32F21", "32F²¹"), =HYPERLINK("CSG19.html#group40K19", "40K¹⁹"), =HYPERLINK("CSG21.html#group24H21", "24H²¹"), =HYPERLINK("CSG17.html#group48AF17", "48AF¹⁷"), =HYPERLINK("CSG17.html#group200B17", "200B¹⁷"), =HYPERLINK("CSG12.html#group72A12", "72A¹²"), =HYPERLINK("CSG19.html#group36I19", "36I¹⁹"), =HYPERLINK("CSG19.html#group24Q19", "24Q¹⁹"), =HYPERLINK("CSG15.html#group24R15", "24R¹⁵"), =HYPERLINK("CSG18.html#group80C18", "80C¹⁸"), =HYPERLINK("CSG15.html#group80D15", "80D¹⁵"), =HYPERLINK("CSG11.html#group28B11", "28B¹¹"), =HYPERLINK("CSG6.html#group36G6", "36G⁶"), =HYPERLINK("CSG17.html#group80BA17", "80BA¹⁷"), =HYPERLINK("CSG20.html#group48I20", "48I²⁰"), =HYPERLINK("CSG21.html#group48BX21", "48BX²¹"), =HYPERLINK("CSG9.html#group40S9", "40S⁹"), =HYPERLINK("CSG21.html#group112B21", "112B²¹"), =HYPERLINK("CSG4.html#group80A4", "80A⁴"), =HYPERLINK("CSG17.html#group72V17", "72V¹⁷"), =HYPERLINK("CSG15.html#group36P15", "36P¹⁵"), =HYPERLINK("CSG21.html#group80O21", "80O²¹"), =HYPERLINK("CSG12.html#group20A12", "20A¹²"), =HYPERLINK("CSG21.html#group24B21", "24B²¹"), =HYPERLINK("CSG17.html#group80AZ17", "80AZ¹⁷"), =HYPERLINK("CSG10.html#group72E10", "72E¹⁰"), =HYPERLINK("CSG6.html#group28G6", "28G⁶"), =HYPERLINK("CSG21.html#group32B21", "32B²¹"), =HYPERLINK("CSG13.html#group32T13", "32T¹³"), =HYPERLINK("CSG19.html#group40J19", "40J¹⁹"), =HYPERLINK("CSG7.html#group56D7", "56D⁷"), =HYPERLINK("CSG14.html#group64A14", "64A¹⁴"), =HYPERLINK("CSG19.html#group32E19", "32E¹⁹"), =HYPERLINK("CSG9.html#group36I9", "36I⁹"), =HYPERLINK("CSG21.html#group64D21", "64D²¹"), =HYPERLINK("CSG22.html#group144M22", "144M²²"), =HYPERLINK("CSG13.html#group48G13", "48G¹³"), =HYPERLINK("CSG21.html#group72W21", "72W²¹"), =HYPERLINK("CSG17.html#group84P17", "84P¹⁷"), =HYPERLINK("CSG11.html#group16D11", "16D¹¹"), =HYPERLINK("CSG21.html#group40B21", "40B²¹"), =HYPERLINK("CSG4.html#group24C4", "24C⁴"), =HYPERLINK("CSG9.html#group24AL9", "24AL⁹"), =HYPERLINK("CSG11.html#group80E11", "80E¹¹"), =HYPERLINK("CSG3.html#group56B3", "56B³"), =HYPERLINK("CSG18.html#group264B18", "264B¹⁸"), =HYPERLINK("CSG21.html#group80AI21", "80AI²¹"), =HYPERLINK("CSG21.html#group240D21", "240D²¹"), =HYPERLINK("CSG19.html#group120H19", "120H¹⁹"), =HYPERLINK("CSG1.html#group8K1", "8K¹"), =HYPERLINK("CSG5.html#group24O5", "24O⁵"), =HYPERLINK("CSG22.html#group168I22", "168I²²"), =HYPERLINK("CSG5.html#group16G5", "16G⁵"), =HYPERLINK("CSG19.html#group80Y19", "80Y¹⁹"), =HYPERLINK("CSG19.html#group24N19", "24N¹⁹"), =HYPERLINK("CSG21.html#group48T21", "48T²¹"), =HYPERLINK("CSG23.html#group80C23", "80C²³"), =HYPERLINK("CSG11.html#group108D11", "108D¹¹"), =HYPERLINK("CSG5.html#group20A5", "20A⁵"), =HYPERLINK("CSG22.html#group144D22", "144D²²"), =HYPERLINK("CSG23.html#group152B23", "152B²³"), =HYPERLINK("CSG10.html#group144A10", "144A¹⁰"), =HYPERLINK("CSG1.html#group16L1", "16L¹"), =HYPERLINK("CSG21.html#group120M21", "120M²¹"), =HYPERLINK("CSG19.html#group36H19", "36H¹⁹"), =HYPERLINK("CSG17.html#group120H17", "120H¹⁷"), =HYPERLINK("CSG22.html#group144C22", "144C²²"), =HYPERLINK("CSG7.html#group60Q7", "60Q⁷"), =HYPERLINK("CSG23.html#group180I23", "180I²³"), =HYPERLINK("CSG11.html#group40F11", "40F¹¹"), =HYPERLINK("CSG11.html#group60J11", "60J¹¹"), =HYPERLINK("CSG7.html#group24Y7", "24Y⁷"), =HYPERLINK("CSG19.html#group24D19", "24D¹⁹"), =HYPERLINK("CSG21.html#group16E21", "16E²¹"), =HYPERLINK("CSG21.html#group24I21", "24I²¹"), =HYPERLINK("CSG5.html#group40G5", "40G⁵"), =HYPERLINK("CSG2.html#group24A2", "24A²"), =HYPERLINK("CSG11.html#group148A11", "148A¹¹"), =HYPERLINK("CSG6.html#group20B6", "20B⁶"), =HYPERLINK("CSG13.html#group60K13", "60K¹³"), =HYPERLINK("CSG12.html#group28B12", "28B¹²"), =HYPERLINK("CSG20.html#group96N20", "96N²⁰"), =HYPERLINK("CSG13.html#group24R13", "24R¹³"), =HYPERLINK("CSG14.html#group56D14", "56D¹⁴"), =HYPERLINK("CSG24.html#group88A24", "88A²⁴"), =HYPERLINK("CSG14.html#group168A14", "168A¹⁴"), =HYPERLINK("CSG13.html#group60M13", "60M¹³"), =HYPERLINK("CSG21.html#group32Y21", "32Y²¹"), =HYPERLINK("CSG18.html#group48L18", "48L¹⁸"), =HYPERLINK("CSG23.html#group120B23", "120B²³"), =HYPERLINK("CSG24.html#group112W24", "112W²⁴"), =HYPERLINK("CSG15.html#group72L15", "72L¹⁵"), =HYPERLINK("CSG23.html#group56T23", "56T²³"), =HYPERLINK("CSG24.html#group168I24", "168I²⁴"), =HYPERLINK("CSG12.html#group56E12", "56E¹²"), =HYPERLINK("CSG23.html#group120I23", "120I²³"), =HYPERLINK("CSG14.html#group72J14", "72J¹⁴"), =HYPERLINK("CSG22.html#group56D22", "56D²²"), =HYPERLINK("CSG5.html#group16K5", "16K⁵"), =HYPERLINK("CSG21.html#group120I21", "120I²¹"), =HYPERLINK("CSG18.html#group48E18", "48E¹⁸"), =HYPERLINK("CSG9.html#group100A9", "100A⁹"), =HYPERLINK("CSG17.html#group24W17", "24W¹⁷"), =HYPERLINK("CSG20.html#group96H20", "96H²⁰"), =HYPERLINK("CSG15.html#group72A15", "72A¹⁵"), =HYPERLINK("CSG5.html#group60C5", "60C⁵"), =HYPERLINK("CSG21.html#group216A21", "216A²¹"), =HYPERLINK("CSG8.html#group60D8", "60D⁸"), =HYPERLINK("CSG19.html#group48BO19", "48BO¹⁹"), =HYPERLINK("CSG0.html#group12F0", "12F⁰"), =HYPERLINK("CSG23.html#group104U23", "104U²³"), =HYPERLINK("CSG3.html#group16G3", "16G³"), =HYPERLINK("CSG15.html#group24N15", "24N¹⁵"), =HYPERLINK("CSG24.html#group168J24", "168J²⁴"), =HYPERLINK("CSG10.html#group40B10", "40B¹⁰"), =HYPERLINK("CSG6.html#group56G6", "56G⁶"), =HYPERLINK("CSG3.html#group20B3", "20B³"), =HYPERLINK("CSG21.html#group108A21", "108A²¹"), =HYPERLINK("CSG17.html#group96E17", "96E¹⁷"), =HYPERLINK("CSG3.html#group16K3", "16K³"), =HYPERLINK("CSG4.html#group36N4", "36N⁴"), =HYPERLINK("CSG21.html#group32K21", "32K²¹"), =HYPERLINK("CSG15.html#group40Q15", "40Q¹⁵"), =HYPERLINK("CSG18.html#group48F18", "48F¹⁸"), =HYPERLINK("CSG16.html#group28H16", "28H¹⁶"), =HYPERLINK("CSG1.html#group8C1", "8C¹"), =HYPERLINK("CSG11.html#group40I11", "40I¹¹"), =HYPERLINK("CSG15.html#group240A15", "240A¹⁵"), =HYPERLINK("CSG12.html#group32B12", "32B¹²"), =HYPERLINK("CSG4.html#group24R4", "24R⁴"), =HYPERLINK("CSG7.html#group28A7", "28A⁷"), =HYPERLINK("CSG15.html#group76A15", "76A¹⁵"), =HYPERLINK("CSG9.html#group68A9", "68A⁹"), =HYPERLINK("CSG13.html#group60B13", "60B¹³"), =HYPERLINK("CSG8.html#group48A8", "48A⁸"), =HYPERLINK("CSG17.html#group40AB17", "40AB¹⁷"), =HYPERLINK("CSG6.html#group16B6", "16B⁶"), =HYPERLINK("CSG18.html#group48K18", "48K¹⁸"), =HYPERLINK("CSG19.html#group48Y19", "48Y¹⁹"), =HYPERLINK("CSG23.html#group140H23", "140H²³"), =HYPERLINK("CSG</f>
        <v/>
      </c>
    </row>
    <row r="11">
      <c r="A11" t="inlineStr">
        <is>
          <t>4B⁰</t>
        </is>
      </c>
      <c r="B11" t="inlineStr">
        <is>
          <t>Γ₀(4), Γ₁(4)</t>
        </is>
      </c>
      <c r="C11" t="inlineStr">
        <is>
          <t>6</t>
        </is>
      </c>
      <c r="D11" t="inlineStr">
        <is>
          <t>1</t>
        </is>
      </c>
      <c r="E11" t="inlineStr">
        <is>
          <t>3</t>
        </is>
      </c>
      <c r="F11" t="inlineStr">
        <is>
          <t>0</t>
        </is>
      </c>
      <c r="G11" t="inlineStr">
        <is>
          <t>0</t>
        </is>
      </c>
      <c r="H11" t="inlineStr">
        <is>
          <t>1², 4¹</t>
        </is>
      </c>
      <c r="I11" t="n">
        <v>3</v>
      </c>
      <c r="J11" t="inlineStr">
        <is>
          <t>1³</t>
        </is>
      </c>
      <c r="K11">
        <f>HYPERLINK("CSG0.html#group2B0", "2B⁰")</f>
        <v/>
      </c>
      <c r="L11">
        <f>HYPERLINK("CSG0.html#group4E0", "4E⁰"), =HYPERLINK("CSG0.html#group8C0", "8C⁰"), =HYPERLINK("CSG0.html#group12E0", "12E⁰"), =HYPERLINK("CSG1.html#group12B1", "12B¹"), =HYPERLINK("CSG1.html#group20D1", "20D¹"), =HYPERLINK("CSG2.html#group20A2", "20A²"), =HYPERLINK("CSG2.html#group28D2", "28D²"), =HYPERLINK("CSG3.html#group20E3", "20E³"), =HYPERLINK("CSG3.html#group28A3", "28A³"), =HYPERLINK("CSG4.html#group44D4", "44D⁴"), =HYPERLINK("CSG5.html#group44A5", "44A⁵"), =HYPERLINK("CSG5.html#group52A5", "52A⁵"), =HYPERLINK("CSG7.html#group68B7", "68B⁷"), =HYPERLINK("CSG8.html#group76A8", "76A⁸"), =HYPERLINK("CSG10.html#group36M10", "36M¹⁰"), =HYPERLINK("CSG10.html#group92A10", "92A¹⁰"), =HYPERLINK("CSG13.html#group116A13", "116A¹³"), =HYPERLINK("CSG14.html#group124A14", "124A¹⁴"), =HYPERLINK("CSG17.html#group148A17", "148A¹⁷"), =HYPERLINK("CSG19.html#group164B19", "164B¹⁹"), =HYPERLINK("CSG20.html#group172A20", "172A²⁰"), =HYPERLINK("CSG21.html#group44A21", "44A²¹"), =HYPERLINK("CSG22.html#group188A22", "188A²²")</f>
        <v/>
      </c>
      <c r="M11">
        <f>HYPERLINK("CSG0.html#group1A0", "1A⁰"), =HYPERLINK("CSG0.html#group2B0", "2B⁰")</f>
        <v/>
      </c>
      <c r="N11">
        <f>HYPERLINK("CSG6.html#group56C6", "56C⁶"), =HYPERLINK("CSG23.html#group192E23", "192E²³"), =HYPERLINK("CSG11.html#group16A11", "16A¹¹"), =HYPERLINK("CSG3.html#group20E3", "20E³"), =HYPERLINK("CSG22.html#group40H22", "40H²²"), =HYPERLINK("CSG12.html#group56H12", "56H¹²"), =HYPERLINK("CSG24.html#group56G24", "56G²⁴"), =HYPERLINK("CSG13.html#group64H13", "64H¹³"), =HYPERLINK("CSG13.html#group36C13", "36C¹³"), =HYPERLINK("CSG21.html#group80C21", "80C²¹"), =HYPERLINK("CSG19.html#group176F19", "176F¹⁹"), =HYPERLINK("CSG17.html#group28A17", "28A¹⁷"), =HYPERLINK("CSG3.html#group24K3", "24K³"), =HYPERLINK("CSG19.html#group96S19", "96S¹⁹"), =HYPERLINK("CSG7.html#group64A7", "64A⁷"), =HYPERLINK("CSG9.html#group24AC9", "24AC⁹"), =HYPERLINK("CSG17.html#group24AO17", "24AO¹⁷"), =HYPERLINK("CSG13.html#group144H13", "144H¹³"), =HYPERLINK("CSG7.html#group24AF7", "24AF⁷"), =HYPERLINK("CSG16.html#group60B16", "60B¹⁶"), =HYPERLINK("CSG21.html#group32G21", "32G²¹"), =HYPERLINK("CSG21.html#group168D21", "168D²¹"), =HYPERLINK("CSG16.html#group76C16", "76C¹⁶"), =HYPERLINK("CSG21.html#group56F21", "56F²¹"), =HYPERLINK("CSG21.html#group48CD21", "48CD²¹"), =HYPERLINK("CSG15.html#group40U15", "40U¹⁵"), =HYPERLINK("CSG3.html#group24X3", "24X³"), =HYPERLINK("CSG15.html#group24I15", "24I¹⁵"), =HYPERLINK("CSG11.html#group48A11", "48A¹¹"), =HYPERLINK("CSG21.html#group184A21", "184A²¹"), =HYPERLINK("CSG24.html#group112B24", "112B²⁴"), =HYPERLINK("CSG19.html#group36D19", "36D¹⁹"), =HYPERLINK("CSG21.html#group168C21", "168C²¹"), =HYPERLINK("CSG9.html#group16D9", "16D⁹"), =HYPERLINK("CSG16.html#group72I16", "72I¹⁶"), =HYPERLINK("CSG19.html#group164B19", "164B¹⁹"), =HYPERLINK("CSG24.html#group56D24", "56D²⁴"), =HYPERLINK("CSG22.html#group36Q22", "36Q²²"), =HYPERLINK("CSG19.html#group24B19", "24B¹⁹"), =HYPERLINK("CSG24.html#group84C24", "84C²⁴"), =HYPERLINK("CSG15.html#group128B15", "128B¹⁵"), =HYPERLINK("CSG19.html#group48AW19", "48AW¹⁹"), =HYPERLINK("CSG13.html#group12A13", "12A¹³"), =HYPERLINK("CSG12.html#group56C12", "56C¹²"), =HYPERLINK("CSG15.html#group24D15", "24D¹⁵"), =HYPERLINK("CSG21.html#group48BR21", "48BR²¹"), =HYPERLINK("CSG1.html#group32E1", "32E¹"), =HYPERLINK("CSG16.html#group108B16", "108B¹⁶"), =HYPERLINK("CSG22.html#group60A22", "60A²²"), =HYPERLINK("CSG11.html#group36L11", "36L¹¹"), =HYPERLINK("CSG7.html#group40U7", "40U⁷"), =HYPERLINK("CSG7.html#group24N7", "24N⁷"), =HYPERLINK("CSG21.html#group64A21", "64A²¹"), =HYPERLINK("CSG21.html#group64E21", "64E²¹"), =HYPERLINK("CSG22.html#group180A22", "180A²²"), =HYPERLINK("CSG23.html#group208D23", "208D²³"), =HYPERLINK("CSG21.html#group96BD21", "96BD²¹"), =HYPERLINK("CSG8.html#group88C8", "88C⁸"), =HYPERLINK("CSG8.html#group72C8", "72C⁸"), =HYPERLINK("CSG12.html#group112B12", "112B¹²"), =HYPERLINK("CSG19.html#group144F19", "144F¹⁹"), =HYPERLINK("CSG10.html#group36R10", "36R¹⁰"), =HYPERLINK("CSG15.html#group24E15", "24E¹⁵"), =HYPERLINK("CSG19.html#group32B19", "32B¹⁹"), =HYPERLINK("CSG13.html#group24AC13", "24AC¹³"), =HYPERLINK("CSG11.html#group64A11", "64A¹¹"), =HYPERLINK("CSG19.html#group192B19", "192B¹⁹"), =HYPERLINK("CSG19.html#group48H19", "48H¹⁹"), =HYPERLINK("CSG0.html#group16G0", "16G⁰"), =HYPERLINK("CSG11.html#group48M11", "48M¹¹"), =HYPERLINK("CSG9.html#group96M9", "96M⁹"), =HYPERLINK("CSG11.html#group72Q11", "72Q¹¹"), =HYPERLINK("CSG5.html#group32N5", "32N⁵"), =HYPERLINK("CSG4.html#group48F4", "48F⁴"), =HYPERLINK("CSG16.html#group144D16", "144D¹⁶"), =HYPERLINK("CSG15.html#group40V15", "40V¹⁵"), =HYPERLINK("CSG5.html#group64D5", "64D⁵"), =HYPERLINK("CSG20.html#group84N20", "84N²⁰"), =HYPERLINK("CSG17.html#group48AC17", "48AC¹⁷"), =HYPERLINK("CSG17.html#group24AP17", "24AP¹⁷"), =HYPERLINK("CSG8.html#group80B8", "80B⁸"), =HYPERLINK("CSG21.html#group48Y21", "48Y²¹"), =HYPERLINK("CSG13.html#group32E13", "32E¹³"), =HYPERLINK("CSG13.html#group28C13", "28C¹³"), =HYPERLINK("CSG23.html#group112Q23", "112Q²³"), =HYPERLINK("CSG5.html#group40M5", "40M⁵"), =HYPERLINK("CSG10.html#group20C10", "20C¹⁰"), =HYPERLINK("CSG22.html#group72M22", "72M²²"), =HYPERLINK("CSG22.html#group108F22", "108F²²"), =HYPERLINK("CSG15.html#group48K15", "48K¹⁵"), =HYPERLINK("CSG18.html#group140A18", "140A¹⁸"), =HYPERLINK("CSG13.html#group64V13", "64V¹³"), =HYPERLINK("CSG17.html#group48CO17", "48CO¹⁷"), =HYPERLINK("CSG15.html#group160A15", "160A¹⁵"), =HYPERLINK("CSG13.html#group24N13", "24N¹³"), =HYPERLINK("CSG17.html#group40C17", "40C¹⁷"), =HYPERLINK("CSG19.html#group48BT19", "48BT¹⁹"), =HYPERLINK("CSG1.html#group12P1", "12P¹"), =HYPERLINK("CSG21.html#group96F21", "96F²¹"), =HYPERLINK("CSG3.html#group16N3", "16N³"), =HYPERLINK("CSG15.html#group24J15", "24J¹⁵"), =HYPERLINK("CSG13.html#group32H13", "32H¹³"), =HYPERLINK("CSG21.html#group48AJ21", "48AJ²¹"), =HYPERLINK("CSG9.html#group32J9", "32J⁹"), =HYPERLINK("CSG15.html#group120K15", "120K¹⁵"), =HYPERLINK("CSG21.html#group64N21", "64N²¹"), =HYPERLINK("CSG2.html#group32A2", "32A²"), =HYPERLINK("CSG19.html#group140B19", "140B¹⁹"), =HYPERLINK("CSG19.html#group100Q19", "100Q¹⁹"), =HYPERLINK("CSG15.html#group48P15", "48P¹⁵"), =HYPERLINK("CSG3.html#group24L3", "24L³"), =HYPERLINK("CSG17.html#group80U17", "80U¹⁷"), =HYPERLINK("CSG11.html#group112H11", "112H¹¹"), =HYPERLINK("CSG7.html#group96C7", "96C⁷"), =HYPERLINK("CSG23.html#group96I23", "96I²³"), =HYPERLINK("CSG1.html#group12K1", "12K¹"), =HYPERLINK("CSG17.html#group48D17", "48D¹⁷"), =HYPERLINK("CSG7.html#group24AH7", "24AH⁷"), =HYPERLINK("CSG21.html#group104B21", "104B²¹"), =HYPERLINK("CSG3.html#group64B3", "64B³"), =HYPERLINK("CSG21.html#group108E21", "108E²¹"), =HYPERLINK("CSG19.html#group36B19", "36B¹⁹"), =HYPERLINK("CSG0.html#group16H0", "16H⁰"), =HYPERLINK("CSG13.html#group144G13", "144G¹³"), =HYPERLINK("CSG1.html#group16M1", "16M¹"), =HYPERLINK("CSG19.html#group192A19", "192A¹⁹"), =HYPERLINK("CSG19.html#group156A19", "156A¹⁹"), =HYPERLINK("CSG10.html#group36Q10", "36Q¹⁰"), =HYPERLINK("CSG17.html#group24V17", "24V¹⁷"), =HYPERLINK("CSG13.html#group48B13", "48B¹³"), =HYPERLINK("CSG21.html#group84A21", "84A²¹"), =HYPERLINK("CSG21.html#group96AB21", "96AB²¹"), =HYPERLINK("CSG17.html#group40U17", "40U¹⁷"), =HYPERLINK("CSG4.html#group36F4", "36F⁴"), =HYPERLINK("CSG18.html#group96D18", "96D¹⁸"), =HYPERLINK("CSG19.html#group72D19", "72D¹⁹"), =HYPERLINK("CSG23.html#group96F23", "96F²³"), =HYPERLINK("CSG21.html#group16C21", "16C²¹"), =HYPERLINK("CSG23.html#group104C23", "104C²³"), =HYPERLINK("CSG5.html#group24I5", "24I⁵"), =HYPERLINK("CSG22.html#group96C22", "96C²²"), =HYPERLINK("CSG20.html#group84C20", "84C²⁰"), =HYPERLINK("CSG19.html#group120E19", "120E¹⁹"), =HYPERLINK("CSG5.html#group16A5", "16A⁵"), =HYPERLINK("CSG21.html#group48CQ21", "48CQ²¹"), =HYPERLINK("CSG10.html#group96B10", "96B¹⁰"), =HYPERLINK("CSG15.html#group128D15", "128D¹⁵"), =HYPERLINK("CSG21.html#group96P21", "96P²¹"), =HYPERLINK("CSG17.html#group60T17", "60T¹⁷"), =HYPERLINK("CSG9.html#group32C9", "32C⁹"), =HYPERLINK("CSG8.html#group36C8", "36C⁸"), =HYPERLINK("CSG17.html#group96AI17", "96AI¹⁷"), =HYPERLINK("CSG23.html#group56U23", "56U²³"), =HYPERLINK("CSG10.html#group36N10", "36N¹⁰"), =HYPERLINK("CSG21.html#group72AB21", "72AB²¹"), =HYPERLINK("CSG18.html#group48C18", "48C¹⁸"), =HYPERLINK("CSG21.html#group88A21", "88A²¹"), =HYPERLINK("CSG21.html#group96U21", "96U²¹"), =HYPERLINK("CSG13.html#group128C13", "128C¹³"), =HYPERLINK("CSG19.html#group96BC19", "96BC¹⁹"), =HYPERLINK("CSG21.html#group88C21", "88C²¹"), =HYPERLINK("CSG3.html#group32C3", "32C³"), =HYPERLINK("CSG17.html#group16B17", "16B¹⁷"), =HYPERLINK("CSG9.html#group16F9", "16F⁹"), =HYPERLINK("CSG18.html#group48H18", "48H¹⁸"), =HYPERLINK("CSG13.html#group144J13", "144J¹³"), =HYPERLINK("CSG21.html#group48O21", "48O²¹"), =HYPERLINK("CSG17.html#group60B17", "60B¹⁷"), =HYPERLINK("CSG24.html#group56E24", "56E²⁴"), =HYPERLINK("CSG24.html#group112D24", "112D²⁴"), =HYPERLINK("CSG7.html#group48AM7", "48AM⁷"), =HYPERLINK("CSG5.html#group32D5", "32D⁵"), =HYPERLINK("CSG5.html#group24R5", "24R⁵"), =HYPERLINK("CSG22.html#group96A22", "96A²²"), =HYPERLINK("CSG13.html#group24O13", "24O¹³"), =HYPERLINK("CSG21.html#group64K21", "64K²¹"), =HYPERLINK("CSG7.html#group64E7", "64E⁷"), =HYPERLINK("CSG19.html#group144A19", "144A¹⁹"), =HYPERLINK("CSG17.html#group96I17", "96I¹⁷"), =HYPERLINK("CSG21.html#group48AK21", "48AK²¹"), =HYPERLINK("CSG20.html#group184A20", "184A²⁰"), =HYPERLINK("CSG23.html#group96E23", "96E²³"), =HYPERLINK("CSG21.html#group44B21", "44B²¹"), =HYPERLINK("CSG17.html#group72M17", "72M¹⁷"), =HYPERLINK("CSG17.html#group24J17", "24J¹⁷"), =HYPERLINK("CSG15.html#group40W15", "40W¹⁵"), =HYPERLINK("CSG16.html#group144H16", "144H¹⁶"), =HYPERLINK("CSG21.html#group92A21", "92A²¹"), =HYPERLINK("CSG19.html#group48O19", "48O¹⁹"), =HYPERLINK("CSG22.html#group36P22", "36P²²"), =HYPERLINK("CSG21.html#group48CH21", "48CH²¹"), =HYPERLINK("CSG4.html#group56C4", "56C⁴"), =HYPERLINK("CSG10.html#group108F10", "108F¹⁰"), =HYPERLINK("CSG4.html#group36D4", "36D⁴"), =HYPERLINK("CSG8.html#group48C8", "48C⁸"), =HYPERLINK("CSG8.html#group36F8", "36F⁸"), =HYPERLINK("CSG9.html#group24C9", "24C⁹"), =HYPERLINK("CSG18.html#group48G18", "48G¹⁸"), =HYPERLINK("CSG8.html#group80C8", "80C⁸"), =HYPERLINK("CSG19.html#group88B19", "88B¹⁹"), =HYPERLINK("CSG21.html#group96X21", "96X²¹"), =HYPERLINK("CSG23.html#group208C23", "208C²³"), =HYPERLINK("CSG13.html#group96C13", "96C¹³"), =HYPERLINK("CSG12.html#group84B12", "84B¹²"), =HYPERLINK("CSG17.html#group96AJ17", "96AJ¹⁷"), =HYPERLINK("CSG13.html#group48AG13", "48AG¹³"), =HYPERLINK("CSG9.html#group96L9", "96L⁹"), =HYPERLINK("CSG19.html#group48AP19", "48AP¹⁹"), =HYPERLINK("CSG21.html#group24E21", "24E²¹"), =HYPERLINK("CSG1.html#group12S1", "12S¹"), =HYPERLINK("CSG9.html#group48AG9", "48AG⁹"), =HYPERLINK("CSG21.html#group48CB21", "48CB²¹"), =HYPERLINK("CSG17.html#group72K17", "72K¹⁷"), =HYPERLINK("CSG9.html#group48AM9", "48AM⁹"), =HYPERLINK("CSG21.html#group96I21", "96I²¹"), =HYPERLINK("CSG13.html#group72T13", "72T¹³"), =HYPERLINK("CSG15.html#group96P15", "96P¹⁵"), =HYPERLINK("CSG21.html#group176C21", "176C²¹"), =HYPERLINK("CSG8.html#group48L8", "48L⁸"), =HYPERLINK("CSG24.html#group168B24", "168B²⁴"), =HYPERLINK("CSG8.html#group60C8", "60C⁸"), =HYPERLINK("CSG19.html#group96P19", "96P¹⁹"), =HYPERLINK("CSG17.html#group24AR17", "24AR¹⁷"), =HYPERLINK("CSG23.html#group96G23", "96G²³"), =HYPERLINK("CSG23.html#group192A23", "192A²³"), =HYPERLINK("CSG21.html#group160F21", "160F²¹"), =HYPERLINK("CSG23.html#group96C23", "96C²³"), =HYPERLINK("CSG19.html#group140I19", "140I¹⁹"), =HYPERLINK("CSG23.html#group52H23", "52H²³"), =HYPERLINK("CSG2.html#group16C2", "16C²"), =HYPERLINK("CSG21.html#group192N21", "192N²¹"), =HYPERLINK("CSG3.html#group8A3", "8A³"), =HYPERLINK("CSG17.html#group160E17", "160E¹⁷"), =HYPERLINK("CSG19.html#group88H19", "88H¹⁹"), =HYPERLINK("CSG11.html#group64B11", "64B¹¹"), =HYPERLINK("CSG19.html#group96D19", "96D¹⁹"), =HYPERLINK("CSG17.html#group24AS17", "24AS¹⁷"), =HYPERLINK("CSG9.html#group40L9", "40L⁹"), =HYPERLINK("CSG11.html#group104C11", "104C¹¹"), =HYPERLINK("CSG22.html#group76A22", "76A²²"), =HYPERLINK("CSG2.html#group8A2", "8A²"), =HYPERLINK("CSG13.html#group20G13", "20G¹³"), =HYPERLINK("CSG5.html#group16B5", "16B⁵"), =HYPERLINK("CSG9.html#group24U9", "24U⁹"), =HYPERLINK("CSG16.html#group152A16", "152A¹⁶"), =HYPERLINK("CSG23.html#group208I23", "208I²³"), =HYPERLINK("CSG9.html#group48AI9", "48AI⁹"), =HYPERLINK("CSG22.html#group72N22", "72N²²"), =HYPERLINK("CSG1.html#group36C1", "36C¹"), =HYPERLINK("CSG17.html#group160A17", "160A¹⁷"), =HYPERLINK("CSG21.html#group48AP21", "48AP²¹"), =HYPERLINK("CSG17.html#group24C17", "24C¹⁷"), =HYPERLINK("CSG7.html#group24AI7", "24AI⁷"), =HYPERLINK("CSG19.html#group96H19", "96H¹⁹"), =HYPERLINK("CSG21.html#group96H21", "96H²¹"), =HYPERLINK("CSG17.html#group140A17", "140A¹⁷"), =HYPERLINK("CSG10.html#group48A10", "48A¹⁰"), =HYPERLINK("CSG7.html#group24AK7", "24AK⁷"), =HYPERLINK("CSG21.html#group96A21", "96A²¹"), =HYPERLINK("CSG19.html#group84C19", "84C¹⁹"), =HYPERLINK("CSG5.html#group16M5", "16M⁵"), =HYPERLINK("CSG13.html#group40K13", "40K¹³"), =HYPERLINK("CSG13.html#group72U13", "72U¹³"), =HYPERLINK("CSG7.html#group32M7", "32M⁷"), =HYPERLINK("CSG9.html#group24AD9", "24AD⁹"), =HYPERLINK("CSG17.html#group48BT17", "48BT¹⁷"), =HYPERLINK("CSG21.html#group24D21", "24D²¹"), =HYPERLINK("CSG2.html#group24B2", "24B²"), =HYPERLINK("CSG13.html#group116A13", "116A¹³"), =HYPERLINK("CSG21.html#group96G21", "96G²¹"), =HYPERLINK("CSG3.html#group24U3", "24U³"), =HYPERLINK("CSG17.html#group48J17", "48J¹⁷"), =HYPERLINK("CSG13.html#group16B13", "16B¹³"), =HYPERLINK("CSG21.html#group128C21", "128C²¹"), =HYPERLINK("CSG19.html#group72F19", "72F¹⁹"), =HYPERLINK("CSG5.html#group24H5", "24H⁵"), =HYPERLINK("CSG1.html#group12B1", "12B¹"), =HYPERLINK("CSG11.html#group56N11", "56N¹¹"), =HYPERLINK("CSG21.html#group48F21", "48F²¹"), =HYPERLINK("CSG21.html#group160A21", "160A²¹"), =HYPERLINK("CSG10.html#group88B10", "88B¹⁰"), =HYPERLINK("CSG5.html#group48B5", "48B⁵"), =HYPERLINK("CSG21.html#group48CE21", "48CE²¹"), =HYPERLINK("CSG13.html#group128A13", "128A¹³"), =HYPERLINK("CSG5.html#group48A5", "48A⁵"), =HYPERLINK("CSG22.html#group80C22", "80C²²"), =HYPERLINK("CSG9.html#group48E9", "48E⁹"), =HYPERLINK("CSG8.html#group72E8", "72E⁸"), =HYPERLINK("CSG15.html#group128A15", "128A¹⁵"), =HYPERLINK("CSG21.html#group96BI21", "96BI²¹"), =HYPERLINK("CSG17.html#group48K17", "48K¹⁷"), =HYPERLINK("CSG1.html#group16E1", "16E¹"), =HYPERLINK("CSG19.html#group96AX19", "96AX¹⁹"), =HYPERLINK("CSG3.html#group32A3", "32A³"), =HYPERLINK("CSG8.html#group40D8", "40D⁸"), =HYPERLINK("CSG11.html#group84I11", "84I¹¹"), =HYPERLINK("CSG19.html#group48BQ19", "48BQ¹⁹"), =HYPERLINK("CSG23.html#group192D23", "192D²³"), =HYPERLINK("CSG9.html#group28F9", "28F⁹"), =HYPERLINK("CSG17.html#group24T17", "24T¹⁷"), =HYPERLINK("CSG13.html#group56G13", "56G¹³"), =HYPERLINK("CSG15.html#group48O15", "48O¹⁵"), =HYPERLINK("CSG23.html#group96B23", "96B²³"), =HYPERLINK("CSG20.html#group132B20", "132B²⁰"), =HYPERLINK("CSG21.html#group24F21", "24F²¹"), =HYPERLINK("CSG15.html#group80S15", "80S¹⁵"), =HYPERLINK("CSG9.html#group24AG9", "24AG⁹"), =HYPERLINK("CSG21.html#group16A21", "16A²¹"), =HYPERLINK("CSG17.html#group36L17", "36L¹⁷"), =HYPERLINK("CSG23.html#group56O23", "56O²³"), =HYPERLINK("CSG8.html#group72B8", "72B⁸"), =HYPERLINK("CSG21.html#group36F21", "36F²¹"), =HYPERLINK("CSG20.html#group168E20", "168E²⁰"), =HYPERLINK("CSG15.html#group24H15", "24H¹⁵"), =HYPERLINK("CSG13.html#group24AB13", "24AB¹³"), =HYPERLINK("CSG19.html#group160K19", "160K¹⁹"), =HYPERLINK("CSG19.html#group24F19", "24F¹⁹"), =HYPERLINK("CSG17.html#group76A17", "76A¹⁷"), =HYPERLINK("CSG13.html#group60R13", "60R¹³"), =HYPERLINK("CSG10.html#group20A10", "20A¹⁰"), =HYPERLINK("CSG5.html#group28E5", "28E⁵"), =HYPERLINK("CSG15.html#group60B15", "60B¹⁵"), =HYPERLINK("CSG17.html#group216A17", "216A¹⁷"), =HYPERLINK("CSG19.html#group20D19", "20D¹⁹"), =HYPERLINK("CSG0.html#group8G0", "8G⁰"), =HYPERLINK("CSG15.html#group40X15", "40X¹⁵"), =HYPERLINK("CSG15.html#group24B15", "24B¹⁵"), =HYPERLINK("CSG13.html#group128E13", "128E¹³"), =HYPERLINK("CSG21.html#group48AI21", "48AI²¹"), =HYPERLINK("CSG13.html#group96F13", "96F¹³"), =HYPERLINK("CSG15.html#group72S15", "72S¹⁵"), =HYPERLINK("CSG22.html#group40E22", "40E²²"), =HYPERLINK("CSG16.html#group144G16", "144G¹⁶"), =HYPERLINK("CSG8.html#group72G8", "72G⁸"), =HYPERLINK("CSG9.html#group24H9", "24H⁹"), =HYPERLINK("CSG7.html#group40O7", "40O⁷"), =HYPERLINK("CSG13.html#group112D13", "112D¹³"), =HYPERLINK("CSG5.html#group24AB5", "24AB⁵"), =HYPERLINK("CSG7.html#group16C7", "16C⁷"), =HYPERLINK("CSG24.html#group56A24", "56A²⁴"), =HYPERLINK("CSG10.html#group48B10", "48B¹⁰"), =HYPERLINK("CSG4.html#group48G4", "48G⁴"), =HYPERLINK("CSG17.html#group80AH17", "80AH¹⁷"), =HYPERLINK("CSG19.html#group20B19", "20B¹⁹"), =HYPERLINK("CSG13.html#group24L13", "24L¹³"), =HYPERLINK("CSG17.html#group48BS17", "48BS¹⁷"), =HYPERLINK("CSG9.html#group64E9", "64E⁹"), =HYPERLINK("CSG23.html#group192L23", "192L²³"), =HYPERLINK("CSG7.html#group20A7", "20A⁷"), =HYPERLINK("CSG21.html#group48E21", "48E²¹"), =HYPERLINK("CSG4.html#group24E4", "24E⁴"), =HYPERLINK("CSG21.html#group96BB21", "96BB²¹"), =HYPERLINK("CSG24.html#group224A24", "224A²⁴"), =HYPERLINK("CSG19.html#group32A19", "32A¹⁹"), =HYPERLINK("CSG9.html#group24AK9", "24AK⁹"), =HYPERLINK("CSG21.html#group256B21", "256B²¹"), =HYPERLINK("CSG9.html#group48AJ9", "48AJ⁹"), =HYPERLINK("CSG23.html#group104M23", "104M²³"), =HYPERLINK("CSG9.html#group48N9", "48N⁹"), =HYPERLINK("CSG8.html#group40A8", "40A⁸"), =HYPERLINK("CSG15.html#group64A15", "64A¹⁵"), =HYPERLINK("CSG16.html#group72E16", "72E¹⁶"), =HYPERLINK("CSG11.html#group96G11", "96G¹¹"), =HYPERLINK("CSG21.html#group48AH21", "48AH²¹"), =HYPERLINK("CSG22.html#group36L22", "36L²²"), =HYPERLINK("CSG13.html#group96E13", "96E¹³"), =HYPERLINK("CSG17.html#group48U17", "48U¹⁷"), =HYPERLINK("CSG21.html#group96W21", "96W²¹"), =HYPERLINK("CSG21.html#group96L21", "96L²¹"), =HYPERLINK("CSG14.html#group120D14", "120D¹⁴"), =HYPERLINK("CSG19.html#group160J19", "160J¹⁹"), =HYPERLINK("CSG17.html#group128B17", "128B¹⁷"), =HYPERLINK("CSG19.html#group176D19", "176D¹⁹"), =HYPERLINK("CSG21.html#group80Q21", "80Q²¹"), =HYPERLINK("CSG15.html#group136D15", "136D¹⁵"), =HYPERLINK("CSG11.html#group32A11", "32A¹¹"), =HYPERLINK("CSG21.html#group128B21", "128B²¹"), =HYPERLINK("CSG23.html#group56E23", "56E²³"), =HYPERLINK("CSG12.html#group56A12", "56A¹²"), =HYPERLINK("CSG15.html#group128H15", "128H¹⁵"), =HYPERLINK("CSG22.html#group216C22", "216C²²"), =HYPERLINK("CSG21.html#group96BJ21", "96BJ²¹"), =HYPERLINK("CSG8.html#group24A8", "24A⁸"), =HYPERLINK("CSG7.html#group24V7", "24V⁷"), =HYPERLINK("CSG21.html#group112E21", "112E²¹"), =HYPERLINK("CSG21.html#group96C21", "96C²¹"), =HYPERLINK("CSG18.html#group48B18", "48B¹⁸"), =HYPERLINK("CSG21.html#group48CM21", "48CM²¹"), =HYPERLINK("CSG7.html#group24AG7", "24AG⁷"), =HYPERLINK("CSG20.html#group168F20", "168F²⁰"), =HYPERLINK("CSG11.html#group40J11", "40J¹¹"), =HYPERLINK("CSG13.html#group32G13", "32G¹³"), =HYPERLINK("CSG21.html#group56L21", "56L²¹"), =HYPERLINK("CSG9.html#group80E9", "80E⁹"), =HYPERLINK("CSG11.html#group48W11", "48W¹¹"), =HYPERLINK("CSG13.html#group48Y13", "48Y¹³"), =HYPERLINK("CSG19.html#group48E19", "48E¹⁹"), =HYPERLINK("CSG9.html#group24I9", "24I⁹"), =HYPERLINK("CSG9.html#group36Q9", "36Q⁹"), =HYPERLINK("CSG15.html#group60M15", "60M¹⁵"), =HYPERLINK("CSG9.html#group24Z9", "24Z⁹"), =HYPERLINK("CSG7.html#group40K7", "40K⁷"), =HYPERLINK("CSG13.html#group96A13", "96A¹³"), =HYPERLINK("CSG3.html#group12K3", "12K³"), =HYPERLINK("CSG21.html#group48Q21", "48Q²¹"), =HYPERLINK("CSG24.html#group84D24", "84D²⁴"), =HYPERLINK("CSG13.html#group96D13", "96D¹³"), =HYPERLINK("CSG21.html#group48BQ21", "48BQ²¹"), =HYPERLINK("CSG13.html#group56H13", "56H¹³"), =HYPERLINK("CSG17.html#group64D17", "64D¹⁷"), =HYPERLINK("CSG9.html#group36D9", "36D⁹"), =HYPERLINK("CSG15.html#group160C15", "160C¹⁵"), =HYPERLINK("CSG7.html#group32G7", "32G⁷"), =HYPERLINK("CSG16.html#group28E16", "28E¹⁶"), =HYPERLINK("CSG17.html#group48AD17", "48AD¹⁷"), =HYPERLINK("CSG21.html#group64C21", "64C²¹"), =HYPERLINK("CSG16.html#group72B16", "72B¹⁶"), =HYPERLINK("CSG23.html#group56P23", "56P²³"), =HYPERLINK("CSG23.html#group192J23", "192J²³"), =HYPERLINK("CSG19.html#group64B19", "64B¹⁹"), =HYPERLINK("CSG9.html#group40I9", "40I⁹"), =HYPERLINK("CSG17.html#group48AA17", "48AA¹⁷"), =HYPERLINK("CSG7.html#group40F7", "40F⁷"), =HYPERLINK("CSG19.html#group44B19", "44B¹⁹"), =HYPERLINK("CSG21.html#group160S21", "160S²¹"), =HYPERLINK("CSG3.html#group40F3", "40F³"), =HYPERLINK("CSG4.html#group24M4", "24M⁴"), =HYPERLINK("CSG9.html#group52A9", "52A⁹"), =HYPERLINK("CSG21.html#group32R21", "32R²¹"), =HYPERLINK("CSG15.html#group80O15", "80O¹⁵"), =HYPERLINK("CSG19.html#group84D19", "84D¹⁹"), =HYPERLINK("CSG17.html#group144C17", "144C¹⁷"), =HYPERLINK("CSG4.html#group24F4", "24F⁴"), =HYPERLINK("CSG21.html#group96BC21", "96BC²¹"), =HYPERLINK("CSG2.html#group32C2", "32C²"), =HYPERLINK("CSG9.html#group96A9", "96A⁹"), =HYPERLINK("CSG13.html#group48D13", "48D¹³"), =HYPERLINK("CSG19.html#group96K19", "96K¹⁹"), =HYPERLINK("CSG9.html#group40J9", "40J⁹"), =HYPERLINK("CSG1.html#group8B1", "8B¹"), =HYPERLINK("CSG21.html#group72A21", "72A²¹"), =HYPERLINK("CSG15.html#group96M15", "96M¹⁵"), =HYPERLINK("CSG4.html#group48B4", "48B⁴"), =HYPERLINK("CSG7.html#group48AK7", "48AK⁷"), =HYPERLINK("CSG17.html#group48CM17", "48CM¹⁷"), =HYPERLINK("CSG9.html#group48AA9", "48AA⁹"), =HYPERLINK("CSG7.html#group24AL7", "24AL⁷"), =HYPERLINK("CSG11.html#group96F11", "96F¹¹"), =HYPERLINK("CSG19.html#group36O19", "36O¹⁹"), =HYPERLINK("CSG21.html#group48K21", "48K²¹"), =HYPERLINK("CSG19.html#group24C19", "24C¹⁹"), =HYPERLINK("CSG22.html#group72H22", "72H²²"), =HYPERLINK("CSG21.html#group48CL21", "48CL²¹"), =HYPERLINK("CSG13.html#group36T13", "36T¹³"), =HYPERLINK("CSG19.html#group144B19", "144B¹⁹"), =HYPERLINK("CSG23.html#group112B23", "112B²³"), =HYPERLINK("CSG7.html#group24AJ7", "24AJ⁷"), =HYPERLINK("CSG21.html#group160D21", "160D²¹"), =HYPERLINK("CSG18.html#group48D18", "48D¹⁸"), =HYPERLINK("CSG17.html#group40D17", "40D¹⁷"), =HYPERLINK("CSG17.html#group108G17", "108G¹⁷"), =HYPERLINK("CSG21.html#group96BH21", "96BH²¹"), =HYPERLINK("CSG19.html#group48BS19", "48BS¹⁹"), =HYPERLINK("CSG0.html#group12J0", "12J⁰"), =HYPERLINK("CSG19.html#group72C19", "72C¹⁹"), =HYPERLINK("CSG21.html#group48L21", "48L²¹"), =HYPERLINK("CSG21.html#group48R21", "48R²¹"), =HYPERLINK("CSG1.html#group20H1", "20H¹"), =HYPERLINK("CSG21.html#group28M21", "28M²¹"), =HYPERLINK("CSG13.html#group64I13", "64I¹³"), =HYPERLINK("CSG19.html#group48AA19", "48AA¹⁹"), =HYPERLINK("CSG19.html#group144D19", "144D¹⁹"), =HYPERLINK("CSG11.html#group56Q11", "56Q¹¹"), =HYPERLINK("CSG21.html#group80AD21", "80AD²¹"), =HYPERLINK("CSG16.html#group108A16", "108A¹⁶"), =HYPERLINK("CSG3.html#group32O3", "32O³"), =HYPERLINK("CSG15.html#group48E15", "48E¹⁵"), =HYPERLINK("CSG19.html#group176E19", "176E¹⁹"), =HYPERLINK("CSG19.html#group200J19", "200J¹⁹"), =HYPERLINK("CSG10.html#group48E10", "48E¹⁰"), =HYPERLINK("CSG13.html#group32F13", "32F¹³"), =HYPERLINK("CSG21.html#group48CA21", "48CA²¹"), =HYPERLINK("CSG13.html#group64B13", "64B¹³"), =HYPERLINK("CSG19.html#group96C19", "96C¹⁹"), =HYPERLINK("CSG11.html#group112J11", "112J¹¹"), =HYPERLINK("CSG19.html#group84A19", "84A¹⁹"), =HYPERLINK("CSG16.html#group72Q16", "72Q¹⁶"), =HYPERLINK("CSG19.html#group48K19", "48K¹⁹"), =HYPERLINK("CSG9.html#group40W9", "40W⁹"), =HYPERLINK("CSG15.html#group40AA15", "40AA¹⁵"), =HYPERLINK("CSG4.html#group24J4", "24J⁴"), =HYPERLINK("CSG17.html#group48CJ17", "48CJ¹⁷"), =HYPERLINK("CSG17.html#group24G17", "24G¹⁷"), =HYPERLINK("CSG15.html#group80M15", "80M¹⁵"), =HYPERLINK("CSG17.html#group24Q17", "24Q¹⁷"), =HYPERLINK("CSG19.html#group72M19", "72M¹⁹"), =HYPERLINK("CSG8.html#group36B8", "36B⁸"), =HYPERLINK("CSG21.html#group32F21", "32F²¹"), =HYPERLINK("CSG9.html#group24D9", "24D⁹"), =HYPERLINK("CSG17.html#group72Y17", "72Y¹⁷"), =HYPERLINK("CSG19.html#group192D19", "192D¹⁹"), =HYPERLINK("CSG7.html#group20C7", "20C⁷"), =HYPERLINK("CSG19.html#group72I19", "72I¹⁹"), =HYPERLINK("CSG3.html#group24Y3", "24Y³"), =HYPERLINK("CSG9.html#group64A9", "64A⁹"), =HYPERLINK("CSG23.html#group56Q23", "56Q²³"), =HYPERLINK("CSG0.html#group8O0", "8O⁰"), =HYPERLINK("CSG15.html#group72G15", "72G¹⁵"), =HYPERLINK("CSG15.html#group20H15", "20H¹⁵"), =HYPERLINK("CSG10.html#group44A10", "44A¹⁰"), =HYPERLINK("CSG5.html#group12B5", "12B⁵"), =HYPERLINK("CSG21.html#group96B21", "96B²¹"), =HYPERLINK("CSG2.html#group12D2", "12D²"), =HYPERLINK("CSG21.html#group24B21", "24B²¹"), =HYPERLINK("CSG22.html#group72G22", "72G²²"), =HYPERLINK("CSG16.html#group72A16", "72A¹⁶"), =HYPERLINK("CSG21.html#group32B21", "32B²¹"), =HYPERLINK("CSG10.html#group36M10", "36M¹⁰"), =HYPERLINK("CSG19.html#group256B19", "256B¹⁹"), =HYPERLINK("CSG16.html#group80A16", "80A¹⁶"), =HYPERLINK("CSG13.html#group72W13", "72W¹³"), =HYPERLINK("CSG17.html#group32D17", "32D¹⁷"), =HYPERLINK("CSG17.html#group80AJ17", "80AJ¹⁷"), =HYPERLINK("CSG10.html#group56F10", "56F¹⁰"), =HYPERLINK("CSG13.html#group32T13", "32T¹³"), =HYPERLINK("CSG21.html#group48P21", "48P²¹"), =HYPERLINK("CSG1.html#group8G1", "8G¹"), =HYPERLINK("CSG7.html#group80E7", "80E⁷"), =HYPERLINK("CSG19.html#group160C19", "160C¹⁹"), =HYPERLINK("CSG21.html#group64D21", "64D²¹"), =HYPERLINK("CSG19.html#group160B19", "160B¹⁹"), =HYPERLINK("CSG13.html#group96I13", "96I¹³"), =HYPERLINK("CSG15.html#group40M15", "40M¹⁵"), =HYPERLINK("CSG3.html#group24Z3", "24Z³"), =HYPERLINK("CSG23.html#group112O23", "112O²³"), =HYPERLINK("CSG1.html#group8K1", "8K¹"), =HYPERLINK("CSG19.html#group192C19", "192C¹⁹"), =HYPERLINK("CSG21.html#group80R21", "80R²¹"), =HYPERLINK("CSG19.html#group80A19", "80A¹⁹"), =HYPERLINK("CSG23.html#group192F23", "192F²³"), =HYPERLINK("CSG15.html#group64E15", "64E¹⁵"), =HYPERLINK("CSG3.html#group32K3", "32K³"), =HYPERLINK("CSG5.html#group44A5", "44A⁵"), =HYPERLINK("CSG7.html#group80G7", "80G⁷"), =HYPERLINK("CSG2.html#group16K2", "16K²"), =HYPERLINK("CSG23.html#group104L23", "104L²³"), =HYPERLINK("CSG7.html#group48Q7", "48Q⁷"), =HYPERLINK("CSG21.html#group144G21", "144G²¹"), =HYPERLINK("CSG17.html#group48X17", "48X¹⁷"), =HYPERLINK("CSG13.html#group40G13", "40G¹³"), =HYPERLINK("CSG23.html#group84K23", "84K²³"), =HYPERLINK("CSG5.html#group48J5", "48J⁵"), =HYPERLINK("CSG18.html#group152A18", "152A¹⁸"), =HYPERLINK("CSG19.html#group24D19", "24D¹⁹"), =HYPERLINK("CSG21.html#group16E21", "16E²¹"), =HYPERLINK("CSG17.html#group48E17", "48E¹⁷"), =HYPERLINK("CSG15.html#group80N15", "80N¹⁵"), =HYPERLINK("CSG4.html#group20D4", "20D⁴"), =HYPERLINK("CSG21.html#group56M21", "56M²¹"), =HYPERLINK("CSG21.html#group160R21", "160R²¹"), =HYPERLINK("CSG12.html#group28B12", "28B¹²"), =HYPERLINK("CSG5.html#group24A5", "24A⁵"), =HYPERLINK("CSG17.html#group24I17", "24I¹⁷"), =HYPERLINK("CSG18.html#group192B18", "192B¹⁸"), =HYPERLINK("CSG20.html#group172A20", "172A²⁰"), =HYPERLINK("CSG20.html#group92B20", "92B²⁰"), =HYPERLINK("CSG7.html#group20N7", "20N⁷"), =HYPERLINK("CSG19.html#group72E19", "72E¹⁹"), =HYPERLINK("CSG21.html#group112F21", "112F²¹"), =HYPERLINK("CSG8.html#group24H8", "24H⁸"), =HYPERLINK("CSG9.html#group128A9", "128A⁹"), =HYPERLINK("CSG7.html#group64D7", "64D⁷"), =HYPERLINK("CSG21.html#group80AC21", "80AC²¹"), =HYPERLINK("CSG21.html#group192A21", "192A²¹"), =HYPERLINK("CSG11.html#group56P11", "56P¹¹"), =HYPERLINK("CSG19.html#group72K19", "72K¹⁹"), =HYPERLINK("CSG9.html#group24AP9", "24AP⁹"), =HYPERLINK("CSG5.html#group48C5", "48C⁵"), =HYPERLINK("CSG23.html#group112F23", "112F²³"), =HYPERLINK("CSG17.html#group24W17", "24W¹⁷"), =HYPERLINK("CSG17.html#group32B17", "32B¹⁷"), =HYPERLINK("CSG10.html#group72A10", "72A¹⁰"), =HYPERLINK("CSG10.html#group84A10", "84A¹⁰"), =HYPERLINK("CSG20.html#group84A20", "84A²⁰"), =HYPERLINK("CSG19.html#group48BO19", "48BO¹⁹"), =HYPERLINK("CSG22.html#group36F22", "36F²²"), =HYPERLINK("CSG11.html#group56O11", "56O¹¹"), =HYPERLINK("CSG21.html#group160B21", "160B²¹"), =HYPERLINK("CSG12.html#group112E12", "112E¹²"), =HYPERLINK("CSG21.html#group44A21", "44A²¹"), =HYPERLINK("CSG16.html#group144C16", "144C¹⁶"), =HYPERLINK("CSG23.html#group96P23", "96P²³"), =HYPERLINK("CSG19.html#group48F19", "48F¹⁹"), =HYPERLINK("CSG19.html#group256A19", "256A¹⁹"), =HYPERLINK("CSG21.html#group48AM21", "48AM²¹"), =HYPERLINK("CSG9.html#group48O9", "48O⁹"), =HYPERLINK("CSG9.html#group48AN9", "48AN⁹"), =HYPERLINK("CSG7.html#group64K7", "64K⁷"), =HYPERLINK("CSG13.html#group80E13", "80E¹³"), =HYPERLINK("CSG3.html#group36K3", "36K³"), =HYPERLINK("CSG10.html#group40F10", "40F¹⁰"), =HYPERLINK("CSG13.html#group56D13", "56D¹³"), =HYPERLINK("CSG21.html#group72AC21", "72AC²¹"), =HYPERLINK("CSG15.html#group128F15", "128F¹⁵"), =HYPERLINK("CSG12.html#group56I12", "56I¹²"), =HYPERLINK("CSG7.html#group32E7", "32E⁷"), =HYPERLINK("CSG17.html#group24AQ17", "24AQ¹⁷"), =HYPERLINK("CSG22.html#group80F22", "80F²²"), =HYPERLINK("CSG15.html#group68C15", "68C¹⁵"), =HYPERLINK("CSG3.html#group16J3", "16J³"), =HYPERLINK("CSG19.html#group96I19", "96I¹⁹"), =HYPERLINK("CSG13.html#group40L13", "40L¹³"), =HYPERLINK("CSG10.html#group84B10", "84B¹⁰"), =HYPERLINK("CSG21.html#group48BZ21", "48BZ²¹"), =HYPERLINK("CSG19.html#group60H19", "60H¹⁹"), =HYPERLINK("CSG16.html#group72K16", "72K¹⁶"), =HYPERLINK("CSG17.html#group48CL17", "48CL¹⁷"), =HYPERLINK("CSG12.html#group112C12", "112C¹²"), =HYPERLINK("CSG7.html#group80K7", "80K⁷"), =HYPERLINK("CSG23.html#group104N23", "104N²³"), =HYPERLINK("CSG13.html#group108B13", "108B¹³"), =HYPERLINK("CSG17.html#group48H17", "48H¹⁷"), =HYPERLINK("CSG17.html#group40AH17", "40AH¹⁷"), =HYPERLINK("CSG1.html#group12V1", "12V¹"), =HYPERLINK("CSG8.html#group76A8", "76A⁸"), =HYPERLINK("CSG13.html#group128B13", "128B¹³"), =HYPERLINK("CSG17.html#group24H17", "24H¹⁷"), =HYPERLINK("CSG9.html#group88B9", "88B⁹"), =HYPERLINK("CSG15.html#group20E15", "20E¹⁵"), =HYPERLINK("CSG10.html#group88A10", "88A¹⁰"), =HYPERLINK("CSG19.html#group24S19", "24S¹⁹"), =HYPERLINK("CSG16.html#group56A16", "56A¹⁶"), =HYPERLINK("CSG17.html#group44D17", "44D¹⁷"), =HYPERLINK("CSG3.html#group16H3", "16H³"), =HYPERLINK("CSG7.html#group100C7", "100C⁷"), =HYPERLINK("CSG21.html#group32O21", "32O²¹"), =HYPERLINK("CSG9.html#group36C9", "36C⁹"), =HYPERLINK("CSG19.html#group40L19", "40L¹⁹"), =HYPERLINK("CSG14.html#group120C14", "120C¹⁴"), =HYPERLINK("CSG15.html#group128G15", "128G¹⁵"), =HYPERLINK("CSG22.html#group192B22", "192B²²"), =HYPERLINK("CSG3.html#group24W3", "24W³"), =HYPERLINK("CSG15.html#group40A15", "40A¹⁵"), =HYPERLINK("CSG21.html#group48AG21", "48AG²¹"), =HYPERLINK("CSG17.html#group80A17", "80A¹⁷"), =HYPERLINK("CSG4.html#group24G4", "24G⁴"), =HYPERLINK("CSG21.html#group48AO21", "48AO²¹"), =HYPERLINK("CSG9.html#group48B9", "48B⁹"), =HYPERLINK("CSG13.html#group56O13", "56O¹³"), =HYPERLINK("CSG23.html#group112R23", "112R²³"), =HYPERLINK("CSG7.html#group24J7", "24J⁷"), =HYPERLINK("CSG19.html#group72J19", "72J¹⁹"), =HYPERLINK("CSG11.html#group128A11", "128A¹¹"), =HYPERLINK("CSG5.html#group32M5", "32M⁵"), =HYPERLINK("CSG13.html#group20F13", "20F¹³"), =HYPERLINK("CSG22.html#group48A22", "48A²²"), =HYPERLINK("CSG18.html#group192A18", "192A¹⁸"), =HYPERLINK("CSG19.html#group48BP19", "48BP¹⁹"), =HYPERLINK("CSG20.html#group168G20", "168G²⁰"), =HYPERLINK("CSG19.html#group24I19", "24I¹⁹"), =HYPERLINK("CSG8.html#group48M8", "48M⁸"), =HYPERLINK("CSG8.html#group24E8", "24E⁸"), =HYPERLINK("CSG23.html#group28C23", "28C²³"), =HYPERLINK("CSG17.html#group40AR17", "40AR¹⁷"), =HYPERLINK("CSG16.html#group56E16", "56E¹⁶"), =HYPERLINK("CSG17.html#group120D17", "120D¹⁷"), =HYPERLINK("CSG17.html#group144A17", "144A¹⁷"), =HYPERLINK("CSG19.html#group48AR19", "48AR¹⁹"), =HYPERLINK("CSG13.html#group64D13", "64D¹³"), =HYPERLINK("CSG13.html#group100J13", "100J¹³"), =HYPERLINK("CSG11.html#group20C11", "20C¹¹"), =HYPERLINK("CSG21.html#group16D21", "16D²¹"), =HYPERLINK("CSG3.html#group16O3", "16O³"), =HYPERLINK("CSG19.html#group84K19", "84K¹⁹"), =HYPERLINK("CSG21.html#group128D21", "128D²¹"), =HYPERLINK("CSG19.html#group128A19", "128A¹⁹"), =HYPERLINK("CSG17.html#group80Y17", "80Y¹⁷"), =HYPERLINK("CSG19.html#group96R19", "96R¹⁹"), =HYPERLINK("CSG15.html#group80P15", "80P¹⁵"), =HYPERLINK("CSG22.html#group20A22", "20A²²"), =HYPERLINK("CSG19.html#group80N19", "80N¹⁹"), =HYPERLINK("CSG21.html#group96J21", "96J²¹"), =HYPERLINK("CSG19.html#group144C19", "144C¹⁹"), =HYPERLINK("CSG22.html#group80D22", "80D²²"), =HYPERLINK("CSG4.html#group36Q4", "36Q⁴"), =HYPERLINK("CSG3.html#group12E3", "12E³"), =HYPERLINK("CSG23.html#group56V23", "56V²³"), =HYPERLINK("CSG23.html#group192B23", "192B²³"), =HYPERLINK("CSG22.html#group72L22", "72L²²"), =HYPERLINK("CSG17.html#group48V17", "48V¹⁷"), =HYPERLINK("CSG7.html#group40L7", "40L⁷"), =HYPERLINK("CSG15.html#group40Y15", "40Y¹⁵"), =HYPERLINK("CSG19.html#group156C19", "156C¹⁹"), =HYPERLINK("CSG15.html#group80I15", "80I¹⁵"), =HYPERLINK("CSG21.html#group48CP21", "48CP²¹"), =HYPERLINK("CSG11.html#group96E11", "96E¹¹"), =HYPERLINK("CSG19.html#group72B19", "72B¹⁹"), =HYPERLINK("CSG21.html#group96R21", "96R²¹"), =HYPERLINK("CSG17.html#group32A17", "32A¹⁷"), =HYPERLINK("CSG15.html#group64F15", "64F¹⁵"), =HYPERLINK("CSG17.html#group80E17", "80E¹⁷"), =HYPERLINK("CSG21.html#group160Q21", "160Q²¹"), =HYPERLINK("CSG17.html#group96A17", "96A¹⁷"), =HYPERLINK("CSG7.html#group48Y7", "48Y⁷"), =HYPERLINK("CSG21.html#group96T21", "96T²¹"), =HYPERLINK("CSG21.html#group96O21", "96O²¹"), =HYPERLINK("CSG13.html#group56C13", "56C¹³"), =HYPERLINK("CSG17.html#group48BP17", "48BP¹⁷"), =HYPERLINK("CSG5.html#group32B5", "32B⁵"), =HYPERLINK("CSG3.html#group48J3", "48J³"), =HYPERLINK("CSG19.html#group24E19", "24E¹⁹"), =HYPERLINK("CSG13.html#group64F13", "64F¹³"), =HYPERLINK("CSG21.html#group192M21", "192M²¹"), =HYPERLINK("CSG0.html#group32A0", "32A⁰"), =HYPERLINK("CSG21.html#group128F</f>
        <v/>
      </c>
    </row>
    <row r="12">
      <c r="A12" t="inlineStr">
        <is>
          <t>4C⁰</t>
        </is>
      </c>
      <c r="B12" t="inlineStr"/>
      <c r="C12" t="inlineStr">
        <is>
          <t>6</t>
        </is>
      </c>
      <c r="D12" t="inlineStr">
        <is>
          <t>1</t>
        </is>
      </c>
      <c r="E12" t="inlineStr">
        <is>
          <t>3</t>
        </is>
      </c>
      <c r="F12" t="inlineStr">
        <is>
          <t>2</t>
        </is>
      </c>
      <c r="G12" t="inlineStr">
        <is>
          <t>0</t>
        </is>
      </c>
      <c r="H12" t="inlineStr">
        <is>
          <t>2¹, 4¹</t>
        </is>
      </c>
      <c r="I12" t="n">
        <v>2</v>
      </c>
      <c r="J12" t="inlineStr">
        <is>
          <t>1³</t>
        </is>
      </c>
      <c r="K12">
        <f>HYPERLINK("CSG0.html#group2B0", "2B⁰")</f>
        <v/>
      </c>
      <c r="L12">
        <f>HYPERLINK("CSG0.html#group4E0", "4E⁰"), =HYPERLINK("CSG0.html#group4F0", "4F⁰"), =HYPERLINK("CSG0.html#group8B0", "8B⁰"), =HYPERLINK("CSG0.html#group8D0", "8D⁰"), =HYPERLINK("CSG0.html#group12C0", "12C⁰"), =HYPERLINK("CSG1.html#group8A1", "8A¹"), =HYPERLINK("CSG1.html#group12F1", "12F¹"), =HYPERLINK("CSG1.html#group20E1", "20E¹"), =HYPERLINK("CSG2.html#group20B2", "20B²"), =HYPERLINK("CSG2.html#group28C2", "28C²"), =HYPERLINK("CSG3.html#group20F3", "20F³"), =HYPERLINK("CSG3.html#group28C3", "28C³"), =HYPERLINK("CSG4.html#group44C4", "44C⁴"), =HYPERLINK("CSG5.html#group44B5", "44B⁵"), =HYPERLINK("CSG5.html#group52B5", "52B⁵"), =HYPERLINK("CSG7.html#group68D7", "68D⁷"), =HYPERLINK("CSG9.html#group76A9", "76A⁹"), =HYPERLINK("CSG10.html#group36O10", "36O¹⁰"), =HYPERLINK("CSG11.html#group92A11", "92A¹¹"), =HYPERLINK("CSG13.html#group116B13", "116B¹³"), =HYPERLINK("CSG15.html#group124A15", "124A¹⁵"), =HYPERLINK("CSG17.html#group148B17", "148B¹⁷"), =HYPERLINK("CSG19.html#group164D19", "164D¹⁹"), =HYPERLINK("CSG20.html#group44B20", "44B²⁰"), =HYPERLINK("CSG21.html#group172A21", "172A²¹"), =HYPERLINK("CSG23.html#group188A23", "188A²³"), =HYPERLINK("CSG24.html#group76A24", "76A²⁴")</f>
        <v/>
      </c>
      <c r="M12">
        <f>HYPERLINK("CSG0.html#group1A0", "1A⁰"), =HYPERLINK("CSG0.html#group2B0", "2B⁰")</f>
        <v/>
      </c>
      <c r="N12">
        <f>HYPERLINK("CSG1.html#group24E1", "24E¹"), =HYPERLINK("CSG5.html#group16F5", "16F⁵"), =HYPERLINK("CSG11.html#group16A11", "16A¹¹"), =HYPERLINK("CSG8.html#group36L8", "36L⁸"), =HYPERLINK("CSG19.html#group24M19", "24M¹⁹"), =HYPERLINK("CSG14.html#group72F14", "72F¹⁴"), =HYPERLINK("CSG19.html#group48BK19", "48BK¹⁹"), =HYPERLINK("CSG21.html#group120O21", "120O²¹"), =HYPERLINK("CSG12.html#group56H12", "56H¹²"), =HYPERLINK("CSG24.html#group56G24", "56G²⁴"), =HYPERLINK("CSG9.html#group88A9", "88A⁹"), =HYPERLINK("CSG0.html#group16B0", "16B⁰"), =HYPERLINK("CSG20.html#group96B20", "96B²⁰"), =HYPERLINK("CSG19.html#group48AT19", "48AT¹⁹"), =HYPERLINK("CSG24.html#group56H24", "56H²⁴"), =HYPERLINK("CSG7.html#group56C7", "56C⁷"), =HYPERLINK("CSG13.html#group60G13", "60G¹³"), =HYPERLINK("CSG9.html#group40E9", "40E⁹"), =HYPERLINK("CSG9.html#group24AC9", "24AC⁹"), =HYPERLINK("CSG7.html#group48AH7", "48AH⁷"), =HYPERLINK("CSG17.html#group72L17", "72L¹⁷"), =HYPERLINK("CSG17.html#group48AM17", "48AM¹⁷"), =HYPERLINK("CSG24.html#group264C24", "264C²⁴"), =HYPERLINK("CSG15.html#group136B15", "136B¹⁵"), =HYPERLINK("CSG19.html#group160N19", "160N¹⁹"), =HYPERLINK("CSG0.html#group48A0", "48A⁰"), =HYPERLINK("CSG7.html#group48AJ7", "48AJ⁷"), =HYPERLINK("CSG23.html#group104G23", "104G²³"), =HYPERLINK("CSG16.html#group36H16", "36H¹⁶"), =HYPERLINK("CSG21.html#group48CD21", "48CD²¹"), =HYPERLINK("CSG15.html#group24I15", "24I¹⁵"), =HYPERLINK("CSG19.html#group96AS19", "96AS¹⁹"), =HYPERLINK("CSG19.html#group80P19", "80P¹⁹"), =HYPERLINK("CSG13.html#group48AC13", "48AC¹³"), =HYPERLINK("CSG5.html#group28D5", "28D⁵"), =HYPERLINK("CSG19.html#group36D19", "36D¹⁹"), =HYPERLINK("CSG9.html#group60H9", "60H⁹"), =HYPERLINK("CSG21.html#group88H21", "88H²¹"), =HYPERLINK("CSG9.html#group16D9", "16D⁹"), =HYPERLINK("CSG16.html#group72I16", "72I¹⁶"), =HYPERLINK("CSG17.html#group24AA17", "24AA¹⁷"), =HYPERLINK("CSG9.html#group40P9", "40P⁹"), =HYPERLINK("CSG21.html#group48AF21", "48AF²¹"), =HYPERLINK("CSG21.html#group96AY21", "96AY²¹"), =HYPERLINK("CSG17.html#group48BR17", "48BR¹⁷"), =HYPERLINK("CSG10.html#group16B10", "16B¹⁰"), =HYPERLINK("CSG15.html#group24D15", "24D¹⁵"), =HYPERLINK("CSG13.html#group24X13", "24X¹³"), =HYPERLINK("CSG21.html#group48BV21", "48BV²¹"), =HYPERLINK("CSG12.html#group36F12", "36F¹²"), =HYPERLINK("CSG21.html#group48BR21", "48BR²¹"), =HYPERLINK("CSG13.html#group40T13", "40T¹³"), =HYPERLINK("CSG16.html#group40C16", "40C¹⁶"), =HYPERLINK("CSG24.html#group112P24", "112P²⁴"), =HYPERLINK("CSG19.html#group40G19", "40G¹⁹"), =HYPERLINK("CSG5.html#group36H5", "36H⁵"), =HYPERLINK("CSG21.html#group72X21", "72X²¹"), =HYPERLINK("CSG12.html#group72F12", "72F¹²"), =HYPERLINK("CSG7.html#group64J7", "64J⁷"), =HYPERLINK("CSG23.html#group52G23", "52G²³"), =HYPERLINK("CSG5.html#group24J5", "24J⁵"), =HYPERLINK("CSG11.html#group64A11", "64A¹¹"), =HYPERLINK("CSG20.html#group96AF20", "96AF²⁰"), =HYPERLINK("CSG21.html#group60U21", "60U²¹"), =HYPERLINK("CSG23.html#group32C23", "32C²³"), =HYPERLINK("CSG9.html#group48AF9", "48AF⁹"), =HYPERLINK("CSG17.html#group96AA17", "96AA¹⁷"), =HYPERLINK("CSG23.html#group160C23", "160C²³"), =HYPERLINK("CSG3.html#group32N3", "32N³"), =HYPERLINK("CSG13.html#group32R13", "32R¹³"), =HYPERLINK("CSG17.html#group24AP17", "24AP¹⁷"), =HYPERLINK("CSG7.html#group96A7", "96A⁷"), =HYPERLINK("CSG15.html#group124A15", "124A¹⁵"), =HYPERLINK("CSG11.html#group72N11", "72N¹¹"), =HYPERLINK("CSG22.html#group92B22", "92B²²"), =HYPERLINK("CSG13.html#group24Y13", "24Y¹³"), =HYPERLINK("CSG24.html#group252G24", "252G²⁴"), =HYPERLINK("CSG17.html#group40C17", "40C¹⁷"), =HYPERLINK("CSG21.html#group112D21", "112D²¹"), =HYPERLINK("CSG2.html#group8B2", "8B²"), =HYPERLINK("CSG5.html#group36B5", "36B⁵"), =HYPERLINK("CSG15.html#group24J15", "24J¹⁵"), =HYPERLINK("CSG13.html#group32H13", "32H¹³"), =HYPERLINK("CSG11.html#group88A11", "88A¹¹"), =HYPERLINK("CSG0.html#group4F0", "4F⁰"), =HYPERLINK("CSG7.html#group28D7", "28D⁷"), =HYPERLINK("CSG9.html#group24E9", "24E⁹"), =HYPERLINK("CSG9.html#group80G9", "80G⁹"), =HYPERLINK("CSG21.html#group144A21", "144A²¹"), =HYPERLINK("CSG21.html#group20C21", "20C²¹"), =HYPERLINK("CSG21.html#group44C21", "44C²¹"), =HYPERLINK("CSG19.html#group52C19", "52C¹⁹"), =HYPERLINK("CSG13.html#group28E13", "28E¹³"), =HYPERLINK("CSG21.html#group96AJ21", "96AJ²¹"), =HYPERLINK("CSG22.html#group168F22", "168F²²"), =HYPERLINK("CSG3.html#group24T3", "24T³"), =HYPERLINK("CSG19.html#group80H19", "80H¹⁹"), =HYPERLINK("CSG23.html#group144J23", "144J²³"), =HYPERLINK("CSG17.html#group40AQ17", "40AQ¹⁷"), =HYPERLINK("CSG17.html#group24V17", "24V¹⁷"), =HYPERLINK("CSG13.html#group48B13", "48B¹³"), =HYPERLINK("CSG13.html#group56B13", "56B¹³"), =HYPERLINK("CSG24.html#group112L24", "112L²⁴"), =HYPERLINK("CSG19.html#group152A19", "152A¹⁹"), =HYPERLINK("CSG17.html#group40U17", "40U¹⁷"), =HYPERLINK("CSG19.html#group72D19", "72D¹⁹"), =HYPERLINK("CSG21.html#group52F21", "52F²¹"), =HYPERLINK("CSG5.html#group24I5", "24I⁵"), =HYPERLINK("CSG20.html#group84C20", "84C²⁰"), =HYPERLINK("CSG16.html#group96D16", "96D¹⁶"), =HYPERLINK("CSG17.html#group96Y17", "96Y¹⁷"), =HYPERLINK("CSG19.html#group60N19", "60N¹⁹"), =HYPERLINK("CSG7.html#group24H7", "24H⁷"), =HYPERLINK("CSG19.html#group80D19", "80D¹⁹"), =HYPERLINK("CSG17.html#group60T17", "60T¹⁷"), =HYPERLINK("CSG13.html#group144B13", "144B¹³"), =HYPERLINK("CSG16.html#group48C16", "48C¹⁶"), =HYPERLINK("CSG9.html#group16K9", "16K⁹"), =HYPERLINK("CSG19.html#group96BC19", "96BC¹⁹"), =HYPERLINK("CSG21.html#group160I21", "160I²¹"), =HYPERLINK("CSG21.html#group88C21", "88C²¹"), =HYPERLINK("CSG21.html#group72H21", "72H²¹"), =HYPERLINK("CSG15.html#group96E15", "96E¹⁵"), =HYPERLINK("CSG22.html#group80H22", "80H²²"), =HYPERLINK("CSG17.html#group80H17", "80H¹⁷"), =HYPERLINK("CSG11.html#group84C11", "84C¹¹"), =HYPERLINK("CSG21.html#group48O21", "48O²¹"), =HYPERLINK("CSG17.html#group60B17", "60B¹⁷"), =HYPERLINK("CSG18.html#group56A18", "56A¹⁸"), =HYPERLINK("CSG23.html#group144W23", "144W²³"), =HYPERLINK("CSG15.html#group96O15", "96O¹⁵"), =HYPERLINK("CSG23.html#group96S23", "96S²³"), =HYPERLINK("CSG22.html#group96A22", "96A²²"), =HYPERLINK("CSG6.html#group24K6", "24K⁶"), =HYPERLINK("CSG13.html#group24O13", "24O¹³"), =HYPERLINK("CSG21.html#group48V21", "48V²¹"), =HYPERLINK("CSG21.html#group32P21", "32P²¹"), =HYPERLINK("CSG15.html#group64H15", "64H¹⁵"), =HYPERLINK("CSG13.html#group100G13", "100G¹³"), =HYPERLINK("CSG10.html#group96C10", "96C¹⁰"), =HYPERLINK("CSG11.html#group32C11", "32C¹¹"), =HYPERLINK("CSG21.html#group48AK21", "48AK²¹"), =HYPERLINK("CSG15.html#group40W15", "40W¹⁵"), =HYPERLINK("CSG8.html#group48V8", "48V⁸"), =HYPERLINK("CSG7.html#group64G7", "64G⁷"), =HYPERLINK("CSG21.html#group92A21", "92A²¹"), =HYPERLINK("CSG19.html#group48O19", "48O¹⁹"), =HYPERLINK("CSG21.html#group48CH21", "48CH²¹"), =HYPERLINK("CSG24.html#group32A24", "32A²⁴"), =HYPERLINK("CSG21.html#group48AX21", "48AX²¹"), =HYPERLINK("CSG18.html#group72E18", "72E¹⁸"), =HYPERLINK("CSG10.html#group144E10", "144E¹⁰"), =HYPERLINK("CSG21.html#group132C21", "132C²¹"), =HYPERLINK("CSG17.html#group48BG17", "48BG¹⁷"), =HYPERLINK("CSG17.html#group48CB17", "48CB¹⁷"), =HYPERLINK("CSG13.html#group64M13", "64M¹³"), =HYPERLINK("CSG19.html#group88B19", "88B¹⁹"), =HYPERLINK("CSG22.html#group112A22", "112A²²"), =HYPERLINK("CSG4.html#group16A4", "16A⁴"), =HYPERLINK("CSG19.html#group140A19", "140A¹⁹"), =HYPERLINK("CSG13.html#group48AG13", "48AG¹³"), =HYPERLINK("CSG4.html#group36R4", "36R⁴"), =HYPERLINK("CSG17.html#group72K17", "72K¹⁷"), =HYPERLINK("CSG11.html#group108E11", "108E¹¹"), =HYPERLINK("CSG17.html#group80AO17", "80AO¹⁷"), =HYPERLINK("CSG21.html#group224A21", "224A²¹"), =HYPERLINK("CSG13.html#group80H13", "80H¹³"), =HYPERLINK("CSG20.html#group48F20", "48F²⁰"), =HYPERLINK("CSG13.html#group56F13", "56F¹³"), =HYPERLINK("CSG7.html#group40H7", "40H⁷"), =HYPERLINK("CSG19.html#group80AB19", "80AB¹⁹"), =HYPERLINK("CSG21.html#group48BT21", "48BT²¹"), =HYPERLINK("CSG23.html#group96C23", "96C²³"), =HYPERLINK("CSG17.html#group108C17", "108C¹⁷"), =HYPERLINK("CSG15.html#group40AE15", "40AE¹⁵"), =HYPERLINK("CSG19.html#group88H19", "88H¹⁹"), =HYPERLINK("CSG17.html#group24AS17", "24AS¹⁷"), =HYPERLINK("CSG8.html#group48Q8", "48Q⁸"), =HYPERLINK("CSG2.html#group8A2", "8A²"), =HYPERLINK("CSG9.html#group24U9", "24U⁹"), =HYPERLINK("CSG5.html#group16I5", "16I⁵"), =HYPERLINK("CSG9.html#group96H9", "96H⁹"), =HYPERLINK("CSG15.html#group80U15", "80U¹⁵"), =HYPERLINK("CSG23.html#group176E23", "176E²³"), =HYPERLINK("CSG12.html#group60C12", "60C¹²"), =HYPERLINK("CSG21.html#group48AP21", "48AP²¹"), =HYPERLINK("CSG15.html#group48AF15", "48AF¹⁵"), =HYPERLINK("CSG17.html#group24C17", "24C¹⁷"), =HYPERLINK("CSG10.html#group48A10", "48A¹⁰"), =HYPERLINK("CSG7.html#group24AK7", "24AK⁷"), =HYPERLINK("CSG21.html#group96A21", "96A²¹"), =HYPERLINK("CSG13.html#group40K13", "40K¹³"), =HYPERLINK("CSG7.html#group48P7", "48P⁷"), =HYPERLINK("CSG1.html#group8H1", "8H¹"), =HYPERLINK("CSG13.html#group72I13", "72I¹³"), =HYPERLINK("CSG19.html#group96BA19", "96BA¹⁹"), =HYPERLINK("CSG7.html#group24AE7", "24AE⁷"), =HYPERLINK("CSG9.html#group24Y9", "24Y⁹"), =HYPERLINK("CSG15.html#group40AF15", "40AF¹⁵"), =HYPERLINK("CSG3.html#group96A3", "96A³"), =HYPERLINK("CSG7.html#group24K7", "24K⁷"), =HYPERLINK("CSG21.html#group48CE21", "48CE²¹"), =HYPERLINK("CSG23.html#group40G23", "40G²³"), =HYPERLINK("CSG1.html#group16E1", "16E¹"), =HYPERLINK("CSG8.html#group48W8", "48W⁸"), =HYPERLINK("CSG8.html#group40D8", "40D⁸"), =HYPERLINK("CSG11.html#group48Y11", "48Y¹¹"), =HYPERLINK("CSG23.html#group204F23", "204F²³"), =HYPERLINK("CSG6.html#group72B6", "72B⁶"), =HYPERLINK("CSG23.html#group96AC23", "96AC²³"), =HYPERLINK("CSG7.html#group48V7", "48V⁷"), =HYPERLINK("CSG9.html#group80M9", "80M⁹"), =HYPERLINK("CSG5.html#group24M5", "24M⁵"), =HYPERLINK("CSG6.html#group72D6", "72D⁶"), =HYPERLINK("CSG17.html#group24T17", "24T¹⁷"), =HYPERLINK("CSG9.html#group40Q9", "40Q⁹"), =HYPERLINK("CSG7.html#group72B7", "72B⁷"), =HYPERLINK("CSG21.html#group180I21", "180I²¹"), =HYPERLINK("CSG5.html#group40N5", "40N⁵"), =HYPERLINK("CSG13.html#group48E13", "48E¹³"), =HYPERLINK("CSG19.html#group96AO19", "96AO¹⁹"), =HYPERLINK("CSG16.html#group168C16", "168C¹⁶"), =HYPERLINK("CSG4.html#group20E4", "20E⁴"), =HYPERLINK("CSG14.html#group112B14", "112B¹⁴"), =HYPERLINK("CSG15.html#group112H15", "112H¹⁵"), =HYPERLINK("CSG21.html#group16A21", "16A²¹"), =HYPERLINK("CSG23.html#group56O23", "56O²³"), =HYPERLINK("CSG15.html#group120B15", "120B¹⁵"), =HYPERLINK("CSG2.html#group8C2", "8C²"), =HYPERLINK("CSG21.html#group36F21", "36F²¹"), =HYPERLINK("CSG7.html#group32J7", "32J⁷"), =HYPERLINK("CSG15.html#group72U15", "72U¹⁵"), =HYPERLINK("CSG13.html#group24AB13", "24AB¹³"), =HYPERLINK("CSG19.html#group24F19", "24F¹⁹"), =HYPERLINK("CSG17.html#group76A17", "76A¹⁷"), =HYPERLINK("CSG23.html#group120M23", "120M²³"), =HYPERLINK("CSG23.html#group200B23", "200B²³"), =HYPERLINK("CSG0.html#group8G0", "8G⁰"), =HYPERLINK("CSG15.html#group96D15", "96D¹⁵"), =HYPERLINK("CSG15.html#group72W15", "72W¹⁵"), =HYPERLINK("CSG21.html#group48AI21", "48AI²¹"), =HYPERLINK("CSG21.html#group144K21", "144K²¹"), =HYPERLINK("CSG21.html#group120D21", "120D²¹"), =HYPERLINK("CSG15.html#group72Q15", "72Q¹⁵"), =HYPERLINK("CSG23.html#group120N23", "120N²³"), =HYPERLINK("CSG24.html#group40B24", "40B²⁴"), =HYPERLINK("CSG15.html#group48AA15", "48AA¹⁵"), =HYPERLINK("CSG19.html#group48BB19", "48BB¹⁹"), =HYPERLINK("CSG7.html#group16C7", "16C⁷"), =HYPERLINK("CSG24.html#group56A24", "56A²⁴"), =HYPERLINK("CSG10.html#group48B10", "48B¹⁰"), =HYPERLINK("CSG12.html#group96A12", "96A¹²"), =HYPERLINK("CSG9.html#group32P9", "32P⁹"), =HYPERLINK("CSG7.html#group40E7", "40E⁷"), =HYPERLINK("CSG18.html#group144C18", "144C¹⁸"), =HYPERLINK("CSG21.html#group48E21", "48E²¹"), =HYPERLINK("CSG20.html#group96AE20", "96AE²⁰"), =HYPERLINK("CSG4.html#group24E4", "24E⁴"), =HYPERLINK("CSG19.html#group32A19", "32A¹⁹"), =HYPERLINK("CSG3.html#group40D3", "40D³"), =HYPERLINK("CSG23.html#group32D23", "32D²³"), =HYPERLINK("CSG24.html#group224C24", "224C²⁴"), =HYPERLINK("CSG15.html#group96R15", "96R¹⁵"), =HYPERLINK("CSG19.html#group80AC19", "80AC¹⁹"), =HYPERLINK("CSG23.html#group104M23", "104M²³"), =HYPERLINK("CSG7.html#group48A7", "48A⁷"), =HYPERLINK("CSG11.html#group48R11", "48R¹¹"), =HYPERLINK("CSG17.html#group48AI17", "48AI¹⁷"), =HYPERLINK("CSG15.html#group68F15", "68F¹⁵"), =HYPERLINK("CSG23.html#group104F23", "104F²³"), =HYPERLINK("CSG17.html#group24AB17", "24AB¹⁷"), =HYPERLINK("CSG10.html#group20F10", "20F¹⁰"), =HYPERLINK("CSG21.html#group100B21", "100B²¹"), =HYPERLINK("CSG23.html#group224A23", "224A²³"), =HYPERLINK("CSG9.html#group80L9", "80L⁹"), =HYPERLINK("CSG7.html#group36E7", "36E⁷"), =HYPERLINK("CSG9.html#group24AA9", "24AA⁹"), =HYPERLINK("CSG19.html#group96AK19", "96AK¹⁹"), =HYPERLINK("CSG13.html#group48S13", "48S¹³"), =HYPERLINK("CSG11.html#group32A11", "32A¹¹"), =HYPERLINK("CSG11.html#group48N11", "48N¹¹"), =HYPERLINK("CSG9.html#group48V9", "48V⁹"), =HYPERLINK("CSG19.html#group96L19", "96L¹⁹"), =HYPERLINK("CSG12.html#group56A12", "56A¹²"), =HYPERLINK("CSG8.html#group24A8", "24A⁸"), =HYPERLINK("CSG21.html#group120C21", "120C²¹"), =HYPERLINK("CSG18.html#group48B18", "48B¹⁸"), =HYPERLINK("CSG5.html#group44B5", "44B⁵"), =HYPERLINK("CSG13.html#group24U13", "24U¹³"), =HYPERLINK("CSG13.html#group144A13", "144A¹³"), =HYPERLINK("CSG7.html#group24AG7", "24AG⁷"), =HYPERLINK("CSG10.html#group56D10", "56D¹⁰"), =HYPERLINK("CSG21.html#group48AB21", "48AB²¹"), =HYPERLINK("CSG23.html#group112E23", "112E²³"), =HYPERLINK("CSG13.html#group72J13", "72J¹³"), =HYPERLINK("CSG10.html#group48G10", "48G¹⁰"), =HYPERLINK("CSG22.html#group88A22", "88A²²"), =HYPERLINK("CSG21.html#group48B21", "48B²¹"), =HYPERLINK("CSG21.html#group56L21", "56L²¹"), =HYPERLINK("CSG17.html#group48S17", "48S¹⁷"), =HYPERLINK("CSG11.html#group52F11", "52F¹¹"), =HYPERLINK("CSG14.html#group72G14", "72G¹⁴"), =HYPERLINK("CSG19.html#group96AY19", "96AY¹⁹"), =HYPERLINK("CSG13.html#group120I13", "120I¹³"), =HYPERLINK("CSG11.html#group48W11", "48W¹¹"), =HYPERLINK("CSG2.html#group24I2", "24I²"), =HYPERLINK("CSG19.html#group48E19", "48E¹⁹"), =HYPERLINK("CSG9.html#group24I9", "24I⁹"), =HYPERLINK("CSG13.html#group60AA13", "60AA¹³"), =HYPERLINK("CSG13.html#group20D13", "20D¹³"), =HYPERLINK("CSG4.html#group24K4", "24K⁴"), =HYPERLINK("CSG9.html#group48AE9", "48AE⁹"), =HYPERLINK("CSG21.html#group48BQ21", "48BQ²¹"), =HYPERLINK("CSG23.html#group104P23", "104P²³"), =HYPERLINK("CSG13.html#group60F13", "60F¹³"), =HYPERLINK("CSG17.html#group136B17", "136B¹⁷"), =HYPERLINK("CSG9.html#group36D9", "36D⁹"), =HYPERLINK("CSG1.html#group20E1", "20E¹"), =HYPERLINK("CSG7.html#group32G7", "32G⁷"), =HYPERLINK("CSG17.html#group48AU17", "48AU¹⁷"), =HYPERLINK("CSG7.html#group32K7", "32K⁷"), =HYPERLINK("CSG9.html#group64F9", "64F⁹"), =HYPERLINK("CSG5.html#group28C5", "28C⁵"), =HYPERLINK("CSG16.html#group48A16", "48A¹⁶"), =HYPERLINK("CSG9.html#group40I9", "40I⁹"), =HYPERLINK("CSG9.html#group80N9", "80N⁹"), =HYPERLINK("CSG10.html#group48F10", "48F¹⁰"), =HYPERLINK("CSG11.html#group48E11", "48E¹¹"), =HYPERLINK("CSG11.html#group40E11", "40E¹¹"), =HYPERLINK("CSG13.html#group40V13", "40V¹³"), =HYPERLINK("CSG21.html#group96AV21", "96AV²¹"), =HYPERLINK("CSG6.html#group48C6", "48C⁶"), =HYPERLINK("CSG19.html#group24O19", "24O¹⁹"), =HYPERLINK("CSG21.html#group48G21", "48G²¹"), =HYPERLINK("CSG13.html#group32P13", "32P¹³"), =HYPERLINK("CSG7.html#group16D7", "16D⁷"), =HYPERLINK("CSG15.html#group80O15", "80O¹⁵"), =HYPERLINK("CSG11.html#group96I11", "96I¹¹"), =HYPERLINK("CSG19.html#group176C19", "176C¹⁹"), =HYPERLINK("CSG13.html#group120G13", "120G¹³"), =HYPERLINK("CSG19.html#group80U19", "80U¹⁹"), =HYPERLINK("CSG1.html#group12F1", "12F¹"), =HYPERLINK("CSG17.html#group80AD17", "80AD¹⁷"), =HYPERLINK("CSG1.html#group24D1", "24D¹"), =HYPERLINK("CSG9.html#group40J9", "40J⁹"), =HYPERLINK("CSG21.html#group72A21", "72A²¹"), =HYPERLINK("CSG21.html#group40H21", "40H²¹"), =HYPERLINK("CSG16.html#group72N16", "72N¹⁶"), =HYPERLINK("CSG8.html#group48AD8", "48AD⁸"), =HYPERLINK("CSG21.html#group24J21", "24J²¹"), =HYPERLINK("CSG23.html#group144F23", "144F²³"), =HYPERLINK("CSG17.html#group48AX17", "48AX¹⁷"), =HYPERLINK("CSG0.html#group8H0", "8H⁰"), =HYPERLINK("CSG22.html#group168D22", "168D²²"), =HYPERLINK("CSG7.html#group48AK7", "48AK⁷"), =HYPERLINK("CSG19.html#group96AQ19", "96AQ¹⁹"), =HYPERLINK("CSG17.html#group48CM17", "48CM¹⁷"), =HYPERLINK("CSG11.html#group48L11", "48L¹¹"), =HYPERLINK("CSG17.html#group156D17", "156D¹⁷"), =HYPERLINK("CSG23.html#group32F23", "32F²³"), =HYPERLINK("CSG12.html#group112F12", "112F¹²"), =HYPERLINK("CSG21.html#group72L21", "72L²¹"), =HYPERLINK("CSG17.html#group96AE17", "96AE¹⁷"), =HYPERLINK("CSG4.html#group24L4", "24L⁴"), =HYPERLINK("CSG22.html#group72E22", "72E²²"), =HYPERLINK("CSG9.html#group40G9", "40G⁹"), =HYPERLINK("CSG17.html#group40D17", "40D¹⁷"), =HYPERLINK("CSG19.html#group24P19", "24P¹⁹"), =HYPERLINK("CSG19.html#group48BS19", "48BS¹⁹"), =HYPERLINK("CSG7.html#group48H7", "48H⁷"), =HYPERLINK("CSG19.html#group72C19", "72C¹⁹"), =HYPERLINK("CSG23.html#group104O23", "104O²³"), =HYPERLINK("CSG21.html#group48R21", "48R²¹"), =HYPERLINK("CSG21.html#group48BL21", "48BL²¹"), =HYPERLINK("CSG13.html#group100F13", "100F¹³"), =HYPERLINK("CSG21.html#group28M21", "28M²¹"), =HYPERLINK("CSG22.html#group48D22", "48D²²"), =HYPERLINK("CSG9.html#group24A9", "24A⁹"), =HYPERLINK("CSG15.html#group48E15", "48E¹⁵"), =HYPERLINK("CSG11.html#group48Z11", "48Z¹¹"), =HYPERLINK("CSG18.html#group80E18", "80E¹⁸"), =HYPERLINK("CSG19.html#group48AS19", "48AS¹⁹"), =HYPERLINK("CSG11.html#group60Q11", "60Q¹¹"), =HYPERLINK("CSG23.html#group96AB23", "96AB²³"), =HYPERLINK("CSG11.html#group84A11", "84A¹¹"), =HYPERLINK("CSG17.html#group24AC17", "24AC¹⁷"), =HYPERLINK("CSG13.html#group32F13", "32F¹³"), =HYPERLINK("CSG13.html#group64B13", "64B¹³"), =HYPERLINK("CSG23.html#group144A23", "144A²³"), =HYPERLINK("CSG19.html#group48K19", "48K¹⁹"), =HYPERLINK("CSG17.html#group48BY17", "48BY¹⁷"), =HYPERLINK("CSG11.html#group72C11", "72C¹¹"), =HYPERLINK("CSG11.html#group104E11", "104E¹¹"), =HYPERLINK("CSG17.html#group24Q17", "24Q¹⁷"), =HYPERLINK("CSG17.html#group48CJ17", "48CJ¹⁷"), =HYPERLINK("CSG19.html#group72M19", "72M¹⁹"), =HYPERLINK("CSG22.html#group64A22", "64A²²"), =HYPERLINK("CSG22.html#group176A22", "176A²²"), =HYPERLINK("CSG21.html#group192E21", "192E²¹"), =HYPERLINK("CSG9.html#group16J9", "16J⁹"), =HYPERLINK("CSG15.html#group48AD15", "48AD¹⁵"), =HYPERLINK("CSG17.html#group48CI17", "48CI¹⁷"), =HYPERLINK("CSG9.html#group24D9", "24D⁹"), =HYPERLINK("CSG21.html#group48BG21", "48BG²¹"), =HYPERLINK("CSG17.html#group48AF17", "48AF¹⁷"), =HYPERLINK("CSG11.html#group112B11", "112B¹¹"), =HYPERLINK("CSG6.html#group36C6", "36C⁶"), =HYPERLINK("CSG23.html#group96R23", "96R²³"), =HYPERLINK("CSG7.html#group20C7", "20C⁷"), =HYPERLINK("CSG8.html#group72D8", "72D⁸"), =HYPERLINK("CSG19.html#group24Q19", "24Q¹⁹"), =HYPERLINK("CSG15.html#group24R15", "24R¹⁵"), =HYPERLINK("CSG17.html#group96T17", "96T¹⁷"), =HYPERLINK("CSG21.html#group48BX21", "48BX²¹"), =HYPERLINK("CSG10.html#group44A10", "44A¹⁰"), =HYPERLINK("CSG21.html#group112B21", "112B²¹"), =HYPERLINK("CSG8.html#group48X8", "48X⁸"), =HYPERLINK("CSG21.html#group96B21", "96B²¹"), =HYPERLINK("CSG17.html#group80AZ17", "80AZ¹⁷"), =HYPERLINK("CSG3.html#group20K3", "20K³"), =HYPERLINK("CSG21.html#group32B21", "32B²¹"), =HYPERLINK("CSG15.html#group144E15", "144E¹⁵"), =HYPERLINK("CSG16.html#group80A16", "80A¹⁶"), =HYPERLINK("CSG13.html#group72W13", "72W¹³"), =HYPERLINK("CSG15.html#group40G15", "40G¹⁵"), =HYPERLINK("CSG15.html#group136F15", "136F¹⁵"), =HYPERLINK("CSG13.html#group32T13", "32T¹³"), =HYPERLINK("CSG21.html#group48P21", "48P²¹"), =HYPERLINK("CSG1.html#group8G1", "8G¹"), =HYPERLINK("CSG19.html#group32E19", "32E¹⁹"), =HYPERLINK("CSG21.html#group64M21", "64M²¹"), =HYPERLINK("CSG21.html#group64D21", "64D²¹"), =HYPERLINK("CSG21.html#group64L21", "64L²¹"), =HYPERLINK("CSG5.html#group40A5", "40A⁵"), =HYPERLINK("CSG7.html#group48C7", "48C⁷"), =HYPERLINK("CSG23.html#group112A23", "112A²³"), =HYPERLINK("CSG14.html#group112A14", "112A¹⁴"), =HYPERLINK("CSG13.html#group120D13", "120D¹³"), =HYPERLINK("CSG3.html#group24Z3", "24Z³"), =HYPERLINK("CSG19.html#group48X19", "48X¹⁹"), =HYPERLINK("CSG15.html#group64E15", "64E¹⁵"), =HYPERLINK("CSG21.html#group80V21", "80V²¹"), =HYPERLINK("CSG7.html#group48Z7", "48Z⁷"), =HYPERLINK("CSG20.html#group96P20", "96P²⁰"), =HYPERLINK("CSG17.html#group72A17", "72A¹⁷"), =HYPERLINK("CSG21.html#group48W21", "48W²¹"), =HYPERLINK("CSG17.html#group80I17", "80I¹⁷"), =HYPERLINK("CSG17.html#group136A17", "136A¹⁷"), =HYPERLINK("CSG3.html#group48M3", "48M³"), =HYPERLINK("CSG17.html#group160K17", "160K¹⁷"), =HYPERLINK("CSG23.html#group160B23", "160B²³"), =HYPERLINK("CSG17.html#group48E17", "48E¹⁷"), =HYPERLINK("CSG19.html#group24D19", "24D¹⁹"), =HYPERLINK("CSG21.html#group16E21", "16E²¹"), =HYPERLINK("CSG21.html#group24I21", "24I²¹"), =HYPERLINK("CSG13.html#group64Q13", "64Q¹³"), =HYPERLINK("CSG20.html#group96L20", "96L²⁰"), =HYPERLINK("CSG19.html#group96AE19", "96AE¹⁹"), =HYPERLINK("CSG16.html#group176B16", "176B¹⁶"), =HYPERLINK("CSG20.html#group96N20", "96N²⁰"), =HYPERLINK("CSG13.html#group24R13", "24R¹³"), =HYPERLINK("CSG5.html#group40C5", "40C⁵"), =HYPERLINK("CSG9.html#group80D9", "80D⁹"), =HYPERLINK("CSG17.html#group24I17", "24I¹⁷"), =HYPERLINK("CSG24.html#group224F24", "224F²⁴"), =HYPERLINK("CSG24.html#group112W24", "112W²⁴"), =HYPERLINK("CSG6.html#group48B6", "48B⁶"), =HYPERLINK("CSG13.html#group52C13", "52C¹³"), =HYPERLINK("CSG21.html#group80AC21", "80AC²¹"), =HYPERLINK("CSG22.html#group56D22", "56D²²"), =HYPERLINK("CSG3.html#group16R3", "16R³"), =HYPERLINK("CSG19.html#group72K19", "72K¹⁹"), =HYPERLINK("CSG18.html#group48E18", "48E¹⁸"), =HYPERLINK("CSG7.html#group48AI7", "48AI⁷"), =HYPERLINK("CSG17.html#group160G17", "160G¹⁷"), =HYPERLINK("CSG22.html#group36F22", "36F²²"), =HYPERLINK("CSG15.html#group24N15", "24N¹⁵"), =HYPERLINK("CSG3.html#group16G3", "16G³"), =HYPERLINK("CSG9.html#group36P9", "36P⁹"), =HYPERLINK("CSG21.html#group40F21", "40F²¹"), =HYPERLINK("CSG3.html#group16K3", "16K³"), =HYPERLINK("CSG17.html#group80AW17", "80AW¹⁷"), =HYPERLINK("CSG23.html#group96P23", "96P²³"), =HYPERLINK("CSG1.html#group8C1", "8C¹"), =HYPERLINK("CSG13.html#group40W13", "40W¹³"), =HYPERLINK("CSG19.html#group48F19", "48F¹⁹"), =HYPERLINK("CSG15.html#group80K15", "80K¹⁵"), =HYPERLINK("CSG19.html#group96AZ19", "96AZ¹⁹"), =HYPERLINK("CSG22.html#group184B22", "184B²²"), =HYPERLINK("CSG13.html#group56D13", "56D¹³"), =HYPERLINK("CSG21.html#group48AW21", "48AW²¹"), =HYPERLINK("CSG12.html#group56I12", "56I¹²"), =HYPERLINK("CSG19.html#group48Y19", "48Y¹⁹"), =HYPERLINK("CSG7.html#group32E7", "32E⁷"), =HYPERLINK("CSG21.html#group28J21", "28J²¹"), =HYPERLINK("CSG6.html#group72E6", "72E⁶"), =HYPERLINK("CSG21.html#group48BZ21", "48BZ²¹"), =HYPERLINK("CSG23.html#group32A23", "32A²³"), =HYPERLINK("CSG13.html#group64S13", "64S¹³"), =HYPERLINK("CSG19.html#group96V19", "96V¹⁹"), =HYPERLINK("CSG23.html#group104N23", "104N²³"), =HYPERLINK("CSG10.html#group20B10", "20B¹⁰"), =HYPERLINK("CSG17.html#group40AH17", "40AH¹⁷"), =HYPERLINK("CSG23.html#group208G23", "208G²³"), =HYPERLINK("CSG5.html#group24K5", "24K⁵"), =HYPERLINK("CSG15.html#group48J15", "48J¹⁵"), =HYPERLINK("CSG17.html#group24H17", "24H¹⁷"), =HYPERLINK("CSG22.html#group72B22", "72B²²"), =HYPERLINK("CSG21.html#group72K21", "72K²¹"), =HYPERLINK("CSG15.html#group72O15", "72O¹⁵"), =HYPERLINK("CSG16.html#group48I16", "48I¹⁶"), =HYPERLINK("CSG17.html#group24AF17", "24AF¹⁷"), =HYPERLINK("CSG11.html#group48U11", "48U¹¹"), =HYPERLINK("CSG17.html#group96AB17", "96AB¹⁷"), =HYPERLINK("CSG5.html#group24B5", "24B⁵"), =HYPERLINK("CSG17.html#group80AN17", "80AN¹⁷"), =HYPERLINK("CSG17.html#group20B17", "20B¹⁷"), =HYPERLINK("CSG8.html#group48AB8", "48AB⁸"), =HYPERLINK("CSG11.html#group72B11", "72B¹¹"), =HYPERLINK("CSG7.html#group24AA7", "24AA⁷"), =HYPERLINK("CSG5.html#group24N5", "24N⁵"), =HYPERLINK("CSG5.html#group20J5", "20J⁵"), =HYPERLINK("CSG16.html#group96C16", "96C¹⁶"), =HYPERLINK("CSG15.html#group112F15", "112F¹⁵"), =HYPERLINK("CSG7.html#group24J7", "24J⁷"), =HYPERLINK("CSG19.html#group48AQ19", "48AQ¹⁹"), =HYPERLINK("CSG13.html#group20F13", "20F¹³"), =HYPERLINK("CSG22.html#group48A22", "48A²²"), =HYPERLINK("CSG15.html#group40I15", "40I¹⁵"), =HYPERLINK("CSG19.html#group24I19", "24I¹⁹"), =HYPERLINK("CSG20.html#group40B20", "40B²⁰"), =HYPERLINK("CSG23.html#group96V23", "96V²³"), =HYPERLINK("CSG17.html#group40AR17", "40AR¹⁷"), =HYPERLINK("CSG13.html#group64R13", "64R¹³"), =HYPERLINK("CSG19.html#group48AR19", "48AR¹⁹"), =HYPERLINK("CSG22.html#group80B22", "80B²²"), =HYPERLINK("CSG9.html#group40H9", "40H⁹"), =HYPERLINK("CSG21.html#group16D21", "16D²¹"), =HYPERLINK("CSG9.html#group80K9", "80K⁹"), =HYPERLINK("CSG3.html#group16O3", "16O³"), =HYPERLINK("CSG24.html#group112T24", "112T²⁴"), =HYPERLINK("CSG21.html#group128D21", "128D²¹"), =HYPERLINK("CSG14.html#group144B14", "144B¹⁴"), =HYPERLINK("CSG9.html#group24W9", "24W⁹"), =HYPERLINK("CSG15.html#group20G15", "20G¹⁵"), =HYPERLINK("CSG9.html#group32O9", "32O⁹"), =HYPERLINK("CSG15.html#group80P15", "80P¹⁵"), =HYPERLINK("CSG22.html#group20A22", "20A²²"), =HYPERLINK("CSG19.html#group80N19", "80N¹⁹"), =HYPERLINK("CSG9.html#group48H9", "48H⁹"), =HYPERLINK("CSG21.html#group48BA21", "48BA²¹"), =HYPERLINK("CSG10.html#group80B10", "80B¹⁰"), =HYPERLINK("CSG24.html#group112I24", "112I²⁴"), =HYPERLINK("CSG4.html#group48J4", "48J⁴"), =HYPERLINK("CSG23.html#group40H23", "40H²³"), =HYPERLINK("CSG17.html#group48AN17", "48AN¹⁷"), =HYPERLINK("CSG17.html#group40AO17", "40AO¹⁷"), =HYPERLINK("CSG15.html#group40Y15", "40Y¹⁵"), =HYPERLINK("CSG22.html#group32A22", "32A²²"), =HYPERLINK("CSG23.html#group176D23", "176D²³"), =HYPERLINK("CSG12.html#group56L12", "56L¹²"), =HYPERLINK("CSG12.html#group168A12", "168A¹²"), =HYPERLINK("CSG17.html#group96H17", "96H¹⁷"), =HYPERLINK("CSG21.html#group48CP21", "48CP²¹"), =HYPERLINK("CSG21.html#group32X21", "32X²¹"), =HYPERLINK("CSG17.html#group32A17", "32A¹⁷"), =HYPERLINK("CSG13.html#group72O13", "72O¹³"), =HYPERLINK("CSG13.html#group56C13", "56C¹³"), =HYPERLINK("CSG5.html#group32B5", "32B⁵"), =HYPERLINK("CSG19.html#group24E19", "24E¹⁹"), =HYPERLINK("CSG17.html#group84D17", "84D¹⁷"), =HYPERLINK("CSG24.html#group112K24", "112K²⁴"), =HYPERLINK("CSG19.html#group48AC19", "48AC¹⁹"), =HYPERLINK("CSG5.html#group24G5", "24G⁵"), =HYPERLINK("CSG9.html#group80J9", "80J⁹"), =HYPERLINK("CSG15.html#group48H15", "48H¹⁵"), =HYPERLINK("CSG21.html#group192L21", "192L²¹"), =HYPERLINK("CSG5.html#group48G5", "48G⁵"), =HYPERLINK("CSG13.html#group108A13", "108A¹³"), =HYPERLINK("CSG17.html#group48BV17", "48BV¹⁷"), =HYPERLINK("CSG21.html#group88D21", "88D²¹"), =HYPERLINK("CSG19.html#group48BN19", "48BN¹⁹"), =HYPERLINK("CSG15.html#group40D15", "40D¹⁵"), =HYPERLINK("CSG8.html#group20A8", "20A⁸"), =HYPERLINK("CSG11.html#group32G11", "32G¹¹"), =HYPERLINK("CSG21.html#group48BM21", "48BM²¹"), =HYPERLINK("CSG10.html#group24C10", "24C¹⁰"), =HYPERLINK("CSG17.html#group48O17", "48O¹⁷"), =HYPERLINK("CSG21.html#group64Q21", "64Q²¹"), =HYPERLINK("CSG8.html#group48O8", "48O⁸"), =HYPERLINK("CSG18.html#group96A18", "96A¹⁸"), =HYPERLINK("CSG20.html#group20A20", "20A²⁰"), =HYPERLINK("CSG3.html#group12G3", "12G³"), =HYPERLINK("CSG11.html#group52A11", "52A¹¹"), =HYPERLINK("CSG10.html#group40E10", "40E¹⁰"), =HYPERLINK("CSG22.html#group36G22", "36G²²"), =HYPERLINK("CSG24.html#group112Q24", "112Q²⁴"), =HYPERLINK("CSG6.html#group36I6", "36I⁶"), =HYPERLINK("CSG19.html#group48Z19", "48Z¹⁹"), =HYPERLINK("CSG5.html#group60A5", "60A⁵"), =HYPERLINK("CSG15.html#group24K15", "24K¹⁵"), =HYPERLINK("CSG17.html#group48AG17", "48AG¹⁷"), =HYPERLINK("CSG19.html#group36R19", "36R¹⁹"), =HYPERLINK("CSG23.html#group288A23", "288A²³"), =HYPERLINK("CSG19.html#group36U19", "36U¹⁹"), =HYPERLINK("CSG23.html#group96AJ23", "96AJ²³"), =HYPERLINK("CSG13.html#group48L13", "48L¹³"), =HYPERLINK("CSG3.html#group20J3", "20J³"), =HYPERLINK("CSG17.html#group24AD17", "24AD¹⁷"), =HYPERLINK("CSG17.html#group48CH17", "48CH¹⁷"), =HYPERLINK("CSG18.html#group48O18", "48O¹⁸"), =HYPERLINK("CSG11.html#group112A11", "112A¹¹"), =HYPERLINK("CSG11.html#group48I11", "48I¹¹"), =HYPERLINK("CSG11.html#group28F11", "28F¹¹"), =HYPERLINK("CSG11.html#group48K11", "48K¹¹"), =HYPERLINK("CSG21.html#group96E21", "96E²¹"), =HYPERLINK("CSG21.html#group32C21", "32C²¹"), =HYPERLINK("CSG21.html#group32U21", "32U²¹"), =HYPERLINK("CSG17.html#group48AH17", "48AH¹⁷"), =HYPERLINK("CSG17.html#group96W17", "96W¹⁷"), =HYPERLINK("CSG19.html#group96Y19", "96Y¹⁹"), =HYPERLINK("CSG7.html#group32C7", "32C⁷"), =HYPERLINK("CSG16.html#group72L16", "72L¹⁶"), =HYPERLINK("CSG20.html#group20B20", "20B²⁰"), =HYPERLINK("CSG19.html#group96M19", "96M¹⁹"), =HYPERLINK("CSG19.html#group48AZ19", "48AZ¹⁹"), =HYPERLINK("CSG21.html#group72B21", "72B²¹"), =HYPERLINK("CSG11.html#group28D11", "28D¹¹"), =HYPERLINK("CSG7.html#group40M7", "40M⁷"), =HYPERLINK("CSG20.html#group44A20", "44A²⁰"), =HYPERLINK("CSG1.html#group16C1", "16C¹"), =HYPERLINK("CSG16.html#group48H16", "48H¹⁶"), =HYPERLINK("CSG12.html#group28C12", "28C¹²"), =HYPERLINK("CSG9.html#group24AI9", "24AI⁹"), =HYPERLINK("CSG18.html#group60G18", "60G¹⁸"), =HYPERLINK("CSG19.html#group24G19", "24G¹⁹"), =HYPERLINK("CSG15.html#group72V15", "72V¹⁵"), =HYPERLINK("CSG10.html#group24A10", "24A¹⁰"), =HYPERLINK("CSG17.html#group40AP17", "40AP¹⁷"), =HYPERLINK("CSG6.html#group60D6", "60D⁶"), =HYPERLINK("CSG9.html#group40N9", "40N⁹"), =HYPERLINK("CSG15.html#group48U15", "48U¹⁵"), =HYPERLINK("CSG21.html#group48BE21", "48BE²¹"), =HYPERLINK("CSG23.html#group32B23", "32B²³"), =HYPERLINK("CSG19.html#group40A19", "40A¹⁹"), =HYPERLINK("CSG21.html#group96AE21", "96AE²¹"), =HYPERLINK("CSG19.html#group48P19", "48P¹⁹"), =HYPERLINK("CSG2.html#group12H2", "12H²"), =HYPERLINK("CSG11.html#group48P11", "48P¹¹"), =HYPERLINK("CSG5.html#group12C5", "12C⁵"), =HYPERLINK("CSG7.html#group20H7", "20H⁷"), =HYPERLINK("CSG19.html#group80V19", "80V¹⁹"), =HYPERLINK("CSG16.html#group72H16", "72H¹⁶"), =HYPERLINK("CSG17.html#group24D17", "24D¹⁷"), =HYPERLINK("CSG19.html#group36A19", "36A¹⁹"), =HYPERLINK("CSG9.html#group72C9", "72C⁹"), =HYPERLINK("CSG21.html#group160L21", "160L²¹"), =HYPERLINK("CSG9.html#group32L9", "32L⁹"), =HYPERLINK("CSG15.html#group168B15", "168B¹⁵"), =HYPERLINK("CSG3.html#group16E3", "16E³"), =HYPERLINK("CSG19.html#group40E19", "40E¹⁹"), =HYPERLINK("CSG9.html#group48T9", "48T⁹"), =HYPERLINK("CSG21.html#group80P21", "80P²¹"), =HYPERLINK("CSG21.html#group160O21", "160O²¹"), =HYPERLINK("CSG18.html#group96C18", "96C¹⁸"), =HYPERLINK("CSG24.html#group224E24", "224E²⁴"), =HYPERLINK("CSG7.html#group24O7", "24O⁷"), =HYPERLINK("CSG24.html#group112S24", "112S²⁴"), =HYPERLINK("CSG9.html#group64I9", "64I⁹"), =HYPERLINK("CSG23.html#group168A23", "168A²³"), =HYPERLINK("CSG15.html#group40AB15", "40AB¹⁵"), =HYPERLINK("CSG21.html#group80K21", "80K²¹"), =HYPERLINK("CSG10.html#group16C10", "16C¹⁰"), =HYPERLINK("CSG17.html#group24AK17", "24AK¹⁷"), =HYPERLINK("CSG23.html#group96Y23", "96Y²³"), =HYPERLINK("CSG23.html#group176A23", "176A²³"), =HYPERLINK("CSG13.html#group40J13", "40J¹³"), =HYPERLINK("CSG18.html#group96E18", "96E¹⁸"), =HYPERLINK("CSG21.html#group48N21", "48N²¹"), =HYPERLINK("CSG15.html#group40AI15", "40AI¹⁵"), =HYPERLINK("CSG19.html#group96AD19", "96AD¹⁹"), =HYPERLINK("CSG13.html#group64O13", "64O¹³"), =HYPERLINK("CSG19.html#group96AA19", "96AA¹⁹"), =HYPERLINK("CSG20.html#group36B20", "36B²⁰"), =HYPERLINK("CSG5.html#group56A5", "56A⁵"), =HYPERLINK("CSG13.html#group84G13", "84G¹³"), =HYPERLINK("CSG21.html#group64H21", "64H²¹"), =HYPERLINK("CSG11.html#group80D11", "80D¹¹"), =HYPERLINK("CSG12.html#group72K12", "72K¹²"), =HYPERLINK("CSG2.html#group12B2", "12B²"), =HYPERLINK("CSG17.html#group36B17", "36B¹⁷"), =HYPERLINK("CSG5.html#group24W5", "24W⁵"), =HYPERLINK("CSG21.html#group96AO21", "96AO²¹"), =HYPERLINK("CSG18.html#group48M18", "48M¹⁸"), =HYPERLINK("CSG15.html#group72K15", "72K¹⁵"), =HYPERLINK("CSG20.html#group96R20", "96R²⁰"), =HYPERLINK("CSG10.html#group32A10", "32A¹⁰"), =HYPERLINK("CSG21.html#group48CK21", "48CK²¹"), =HYPERLINK("CSG9.html#group48AK9", "48AK⁹"), =HYPERLINK("CSG19.html#group96A19", "96A¹⁹"), =HYPERLINK("CSG6.html#group16C6", "16C⁶"), =HYPERLINK("CSG9.html#group16C9", "16C⁹"), =HYPERLINK("CSG21.html#group104A21", "104A²¹"), =HYPERLINK("CSG9.html#group28B9", "28B⁹"), =HYPERLINK("CSG21.html#group80AG21", "80AG²¹"), =HYPERLINK("CSG20.html#group36C20", "36C²⁰"), =HYPERLINK("CSG17.html#group80AT17", "80AT¹⁷"), =HYPERLINK("CSG20.html#group48E20", "48E²⁰"), =HYPERLINK("CSG21.html#group32H21", "32H²¹"), =HYPERLINK("CSG11.html#group28C11", "28C¹¹"), =HYPERLINK("CSG1.html#group12L1", "12L¹"), =HYPERLINK("CSG1.html#group8D1", "8D¹"), =HYPERLINK("CSG9.html#group24R9", "24R⁹"), =HYPERLINK("CSG23.html#group36D23", "36D²³"), =HYPERLINK("CSG21</f>
        <v/>
      </c>
    </row>
    <row r="13">
      <c r="A13" t="inlineStr">
        <is>
          <t>4D⁰</t>
        </is>
      </c>
      <c r="B13" t="inlineStr"/>
      <c r="C13" t="inlineStr">
        <is>
          <t>8</t>
        </is>
      </c>
      <c r="D13" t="inlineStr">
        <is>
          <t>1</t>
        </is>
      </c>
      <c r="E13" t="inlineStr">
        <is>
          <t>4</t>
        </is>
      </c>
      <c r="F13" t="inlineStr">
        <is>
          <t>0</t>
        </is>
      </c>
      <c r="G13" t="inlineStr">
        <is>
          <t>2</t>
        </is>
      </c>
      <c r="H13" t="inlineStr">
        <is>
          <t>4²</t>
        </is>
      </c>
      <c r="I13" t="n">
        <v>2</v>
      </c>
      <c r="J13" t="inlineStr">
        <is>
          <t>2²</t>
        </is>
      </c>
      <c r="K13">
        <f>HYPERLINK("CSG0.html#group2A0", "2A⁰"), =HYPERLINK("CSG0.html#group4A0", "4A⁰")</f>
        <v/>
      </c>
      <c r="L13">
        <f>HYPERLINK("CSG0.html#group4G0", "4G⁰"), =HYPERLINK("CSG0.html#group8E0", "8E⁰"), =HYPERLINK("CSG1.html#group8E1", "8E¹"), =HYPERLINK("CSG1.html#group12E1", "12E¹"), =HYPERLINK("CSG1.html#group12I1", "12I¹"), =HYPERLINK("CSG2.html#group12A2", "12A²"), =HYPERLINK("CSG2.html#group20D2", "20D²"), =HYPERLINK("CSG3.html#group20C3", "20C³"), =HYPERLINK("CSG3.html#group28E3", "28E³"), =HYPERLINK("CSG4.html#group28A4", "28A⁴"), =HYPERLINK("CSG5.html#group20A5", "20A⁵"), =HYPERLINK("CSG6.html#group44A6", "44A⁶"), =HYPERLINK("CSG7.html#group44A7", "44A⁷"), =HYPERLINK("CSG7.html#group52B7", "52B⁷"), =HYPERLINK("CSG11.html#group68B11", "68B¹¹"), =HYPERLINK("CSG11.html#group76A11", "76A¹¹"), =HYPERLINK("CSG14.html#group36C14", "36C¹⁴"), =HYPERLINK("CSG15.html#group92A15", "92A¹⁵"), =HYPERLINK("CSG19.html#group116C19", "116C¹⁹"), =HYPERLINK("CSG19.html#group124A19", "124A¹⁹"), =HYPERLINK("CSG23.html#group148B23", "148B²³")</f>
        <v/>
      </c>
      <c r="M13">
        <f>HYPERLINK("CSG0.html#group2A0", "2A⁰"), =HYPERLINK("CSG0.html#group1A0", "1A⁰"), =HYPERLINK("CSG0.html#group4A0", "4A⁰")</f>
        <v/>
      </c>
      <c r="N13">
        <f>HYPERLINK("CSG11.html#group16A11", "16A¹¹"), =HYPERLINK("CSG6.html#group24A6", "24A⁶"), =HYPERLINK("CSG23.html#group140C23", "140C²³"), =HYPERLINK("CSG17.html#group40X17", "40X¹⁷"), =HYPERLINK("CSG13.html#group24E13", "24E¹³"), =HYPERLINK("CSG14.html#group84A14", "84A¹⁴"), =HYPERLINK("CSG16.html#group112A16", "112A¹⁶"), =HYPERLINK("CSG5.html#group12A5", "12A⁵"), =HYPERLINK("CSG11.html#group72K11", "72K¹¹"), =HYPERLINK("CSG24.html#group176A24", "176A²⁴"), =HYPERLINK("CSG23.html#group120C23", "120C²³"), =HYPERLINK("CSG15.html#group48A15", "48A¹⁵"), =HYPERLINK("CSG23.html#group60B23", "60B²³"), =HYPERLINK("CSG23.html#group72C23", "72C²³"), =HYPERLINK("CSG15.html#group80A15", "80A¹⁵"), =HYPERLINK("CSG21.html#group48CF21", "48CF²¹"), =HYPERLINK("CSG16.html#group36F16", "36F¹⁶"), =HYPERLINK("CSG13.html#group52A13", "52A¹³"), =HYPERLINK("CSG11.html#group32A11", "32A¹¹"), =HYPERLINK("CSG9.html#group24AC9", "24AC⁹"), =HYPERLINK("CSG19.html#group36J19", "36J¹⁹"), =HYPERLINK("CSG24.html#group72B24", "72B²⁴"), =HYPERLINK("CSG19.html#group100K19", "100K¹⁹"), =HYPERLINK("CSG17.html#group24AO17", "24AO¹⁷"), =HYPERLINK("CSG13.html#group24F13", "24F¹³"), =HYPERLINK("CSG20.html#group120A20", "120A²⁰"), =HYPERLINK("CSG7.html#group24AF7", "24AF⁷"), =HYPERLINK("CSG11.html#group36H11", "36H¹¹"), =HYPERLINK("CSG8.html#group24A8", "24A⁸"), =HYPERLINK("CSG23.html#group144V23", "144V²³"), =HYPERLINK("CSG21.html#group32C21", "32C²¹"), =HYPERLINK("CSG18.html#group48B18", "48B¹⁸"), =HYPERLINK("CSG7.html#group24AG7", "24AG⁷"), =HYPERLINK("CSG19.html#group108A19", "108A¹⁹"), =HYPERLINK("CSG11.html#group24D11", "24D¹¹"), =HYPERLINK("CSG6.html#group24C6", "24C⁶"), =HYPERLINK("CSG3.html#group16I3", "16I³"), =HYPERLINK("CSG23.html#group120E23", "120E²³"), =HYPERLINK("CSG3.html#group24F3", "24F³"), =HYPERLINK("CSG15.html#group40U15", "40U¹⁵"), =HYPERLINK("CSG21.html#group48CD21", "48CD²¹"), =HYPERLINK("CSG15.html#group92A15", "92A¹⁵"), =HYPERLINK("CSG20.html#group44A20", "44A²⁰"), =HYPERLINK("CSG15.html#group72D15", "72D¹⁵"), =HYPERLINK("CSG0.html#group16F0", "16F⁰"), =HYPERLINK("CSG3.html#group12K3", "12K³"), =HYPERLINK("CSG19.html#group24G19", "24G¹⁹"), =HYPERLINK("CSG21.html#group48Q21", "48Q²¹"), =HYPERLINK("CSG23.html#group136A23", "136A²³"), =HYPERLINK("CSG5.html#group20D5", "20D⁵"), =HYPERLINK("CSG9.html#group16E9", "16E⁹"), =HYPERLINK("CSG10.html#group24A10", "24A¹⁰"), =HYPERLINK("CSG9.html#group16D9", "16D⁹"), =HYPERLINK("CSG13.html#group32B13", "32B¹³"), =HYPERLINK("CSG15.html#group20F15", "20F¹⁵"), =HYPERLINK("CSG7.html#group36B7", "36B⁷"), =HYPERLINK("CSG21.html#group64F21", "64F²¹"), =HYPERLINK("CSG13.html#group24H13", "24H¹³"), =HYPERLINK("CSG7.html#group16B7", "16B⁷"), =HYPERLINK("CSG11.html#group72L11", "72L¹¹"), =HYPERLINK("CSG0.html#group4G0", "4G⁰"), =HYPERLINK("CSG23.html#group56P23", "56P²³"), =HYPERLINK("CSG19.html#group40A19", "40A¹⁹"), =HYPERLINK("CSG17.html#group24F17", "24F¹⁷"), =HYPERLINK("CSG19.html#group24B19", "24B¹⁹"), =HYPERLINK("CSG19.html#group48A19", "48A¹⁹"), =HYPERLINK("CSG13.html#group44A13", "44A¹³"), =HYPERLINK("CSG9.html#group28G9", "28G⁹"), =HYPERLINK("CSG23.html#group52C23", "52C²³"), =HYPERLINK("CSG4.html#group12D4", "12D⁴"), =HYPERLINK("CSG13.html#group12A13", "12A¹³"), =HYPERLINK("CSG15.html#group48C15", "48C¹⁵"), =HYPERLINK("CSG19.html#group100L19", "100L¹⁹"), =HYPERLINK("CSG24.html#group56B24", "56B²⁴"), =HYPERLINK("CSG4.html#group24B4", "24B⁴"), =HYPERLINK("CSG19.html#group36A19", "36A¹⁹"), =HYPERLINK("CSG19.html#group108C19", "108C¹⁹"), =HYPERLINK("CSG17.html#group108D17", "108D¹⁷"), =HYPERLINK("CSG19.html#group116C19", "116C¹⁹"), =HYPERLINK("CSG23.html#group120D23", "120D²³"), =HYPERLINK("CSG22.html#group140A22", "140A²²"), =HYPERLINK("CSG1.html#group12E1", "12E¹"), =HYPERLINK("CSG3.html#group20C3", "20C³"), =HYPERLINK("CSG17.html#group36G17", "36G¹⁷"), =HYPERLINK("CSG13.html#group24A13", "24A¹³"), =HYPERLINK("CSG11.html#group60F11", "60F¹¹"), =HYPERLINK("CSG6.html#group16A6", "16A⁶"), =HYPERLINK("CSG18.html#group120E18", "120E¹⁸"), =HYPERLINK("CSG24.html#group24A24", "24A²⁴"), =HYPERLINK("CSG16.html#group120A16", "120A¹⁶"), =HYPERLINK("CSG19.html#group24C19", "24C¹⁹"), =HYPERLINK("CSG12.html#group88A12", "88A¹²"), =HYPERLINK("CSG13.html#group36T13", "36T¹³"), =HYPERLINK("CSG22.html#group132A22", "132A²²"), =HYPERLINK("CSG17.html#group84Q17", "84Q¹⁷"), =HYPERLINK("CSG5.html#group24Q5", "24Q⁵"), =HYPERLINK("CSG14.html#group40A14", "40A¹⁴"), =HYPERLINK("CSG21.html#group28K21", "28K²¹"), =HYPERLINK("CSG19.html#group64A19", "64A¹⁹"), =HYPERLINK("CSG9.html#group24AF9", "24AF⁹"), =HYPERLINK("CSG8.html#group48B8", "48B⁸"), =HYPERLINK("CSG19.html#group124A19", "124A¹⁹"), =HYPERLINK("CSG15.html#group88B15", "88B¹⁵"), =HYPERLINK("CSG18.html#group60E18", "60E¹⁸"), =HYPERLINK("CSG11.html#group72J11", "72J¹¹"), =HYPERLINK("CSG15.html#group40V15", "40V¹⁵"), =HYPERLINK("CSG21.html#group48L21", "48L²¹"), =HYPERLINK("CSG21.html#group28M21", "28M²¹"), =HYPERLINK("CSG1.html#group8J1", "8J¹"), =HYPERLINK("CSG5.html#group12E5", "12E⁵"), =HYPERLINK("CSG13.html#group32C13", "32C¹³"), =HYPERLINK("CSG21.html#group68B21", "68B²¹"), =HYPERLINK("CSG17.html#group24AP17", "24AP¹⁷"), =HYPERLINK("CSG21.html#group72M21", "72M²¹"), =HYPERLINK("CSG15.html#group72B15", "72B¹⁵"), =HYPERLINK("CSG21.html#group36A21", "36A²¹"), =HYPERLINK("CSG4.html#group28A4", "28A⁴"), =HYPERLINK("CSG23.html#group120F23", "120F²³"), =HYPERLINK("CSG19.html#group36F19", "36F¹⁹"), =HYPERLINK("CSG17.html#group36D17", "36D¹⁷"), =HYPERLINK("CSG24.html#group144B24", "144B²⁴"), =HYPERLINK("CSG19.html#group60G19", "60G¹⁹"), =HYPERLINK("CSG15.html#group24A15", "24A¹⁵"), =HYPERLINK("CSG13.html#group32F13", "32F¹³"), =HYPERLINK("CSG9.html#group36M9", "36M⁹"), =HYPERLINK("CSG17.html#group36C17", "36C¹⁷"), =HYPERLINK("CSG17.html#group20A17", "20A¹⁷"), =HYPERLINK("CSG9.html#group16C9", "16C⁹"), =HYPERLINK("CSG17.html#group108E17", "108E¹⁷"), =HYPERLINK("CSG23.html#group72A23", "72A²³"), =HYPERLINK("CSG15.html#group112L15", "112L¹⁵"), =HYPERLINK("CSG15.html#group20D15", "20D¹⁵"), =HYPERLINK("CSG17.html#group24G17", "24G¹⁷"), =HYPERLINK("CSG3.html#group12C3", "12C³"), =HYPERLINK("CSG0.html#group8E0", "8E⁰"), =HYPERLINK("CSG19.html#group24H19", "24H¹⁹"), =HYPERLINK("CSG11.html#group72I11", "72I¹¹"), =HYPERLINK("CSG5.html#group8A5", "8A⁵"), =HYPERLINK("CSG16.html#group36D16", "36D¹⁶"), =HYPERLINK("CSG21.html#group32F21", "32F²¹"), =HYPERLINK("CSG7.html#group40A7", "40A⁷"), =HYPERLINK("CSG17.html#group28E17", "28E¹⁷"), =HYPERLINK("CSG21.html#group24H21", "24H²¹"), =HYPERLINK("CSG21.html#group108C21", "108C²¹"), =HYPERLINK("CSG8.html#group24C8", "24C⁸"), =HYPERLINK("CSG17.html#group24R17", "24R¹⁷"), =HYPERLINK("CSG21.html#group32E21", "32E²¹"), =HYPERLINK("CSG11.html#group24C11", "24C¹¹"), =HYPERLINK("CSG12.html#group72A12", "72A¹²"), =HYPERLINK("CSG19.html#group36I19", "36I¹⁹"), =HYPERLINK("CSG23.html#group72E23", "72E²³"), =HYPERLINK("CSG9.html#group60D9", "60D⁹"), =HYPERLINK("CSG11.html#group68B11", "68B¹¹"), =HYPERLINK("CSG19.html#group60E19", "60E¹⁹"), =HYPERLINK("CSG17.html#group24AT17", "24AT¹⁷"), =HYPERLINK("CSG13.html#group20E13", "20E¹³"), =HYPERLINK("CSG21.html#group24B21", "24B²¹"), =HYPERLINK("CSG7.html#group52B7", "52B⁷"), =HYPERLINK("CSG13.html#group24D13", "24D¹³"), =HYPERLINK("CSG13.html#group36B13", "36B¹³"), =HYPERLINK("CSG21.html#group32B21", "32B²¹"), =HYPERLINK("CSG19.html#group36B19", "36B¹⁹"), =HYPERLINK("CSG24.html#group144A24", "144A²⁴"), =HYPERLINK("CSG19.html#group44A19", "44A¹⁹"), =HYPERLINK("CSG7.html#group20K7", "20K⁷"), =HYPERLINK("CSG13.html#group32T13", "32T¹³"), =HYPERLINK("CSG15.html#group48B15", "48B¹⁵"), =HYPERLINK("CSG21.html#group60F21", "60F²¹"), =HYPERLINK("CSG21.html#group64D21", "64D²¹"), =HYPERLINK("CSG9.html#group36J9", "36J⁹"), =HYPERLINK("CSG21.html#group52E21", "52E²¹"), =HYPERLINK("CSG21.html#group40B21", "40B²¹"), =HYPERLINK("CSG1.html#group12I1", "12I¹"), =HYPERLINK("CSG11.html#group36F11", "36F¹¹"), =HYPERLINK("CSG7.html#group56F7", "56F⁷"), =HYPERLINK("CSG6.html#group36B6", "36B⁶"), =HYPERLINK("CSG1.html#group8K1", "8K¹"), =HYPERLINK("CSG23.html#group28B23", "28B²³"), =HYPERLINK("CSG11.html#group76A11", "76A¹¹"), =HYPERLINK("CSG13.html#group24B13", "24B¹³"), =HYPERLINK("CSG8.html#group56A8", "56A⁸"), =HYPERLINK("CSG21.html#group72N21", "72N²¹"), =HYPERLINK("CSG17.html#group40U17", "40U¹⁷"), =HYPERLINK("CSG23.html#group80C23", "80C²³"), =HYPERLINK("CSG15.html#group72C15", "72C¹⁵"), =HYPERLINK("CSG5.html#group20A5", "20A⁵"), =HYPERLINK("CSG11.html#group24E11", "24E¹¹"), =HYPERLINK("CSG8.html#group20B8", "20B⁸"), =HYPERLINK("CSG17.html#group36F17", "36F¹⁷"), =HYPERLINK("CSG21.html#group16C21", "16C²¹"), =HYPERLINK("CSG23.html#group152B23", "152B²³"), =HYPERLINK("CSG17.html#group32E17", "32E¹⁷"), =HYPERLINK("CSG19.html#group36H19", "36H¹⁹"), =HYPERLINK("CSG19.html#group36E19", "36E¹⁹"), =HYPERLINK("CSG5.html#group16A5", "16A⁵"), =HYPERLINK("CSG19.html#group48D19", "48D¹⁹"), =HYPERLINK("CSG19.html#group108B19", "108B¹⁹"), =HYPERLINK("CSG11.html#group60J11", "60J¹¹"), =HYPERLINK("CSG19.html#group40B19", "40B¹⁹"), =HYPERLINK("CSG13.html#group24I13", "24I¹³"), =HYPERLINK("CSG19.html#group24D19", "24D¹⁹"), =HYPERLINK("CSG21.html#group16E21", "16E²¹"), =HYPERLINK("CSG13.html#group72A13", "72A¹³"), =HYPERLINK("CSG20.html#group132A20", "132A²⁰"), =HYPERLINK("CSG21.html#group76A21", "76A²¹"), =HYPERLINK("CSG21.html#group36B21", "36B²¹"), =HYPERLINK("CSG12.html#group28B12", "28B¹²"), =HYPERLINK("CSG14.html#group84B14", "84B¹⁴"), =HYPERLINK("CSG21.html#group40C21", "40C²¹"), =HYPERLINK("CSG6.html#group36A6", "36A⁶"), =HYPERLINK("CSG13.html#group60M13", "60M¹³"), =HYPERLINK("CSG17.html#group16B17", "16B¹⁷"), =HYPERLINK("CSG6.html#group44A6", "44A⁶"), =HYPERLINK("CSG4.html#group12A4", "12A⁴"), =HYPERLINK("CSG23.html#group120B23", "120B²³"), =HYPERLINK("CSG23.html#group56T23", "56T²³"), =HYPERLINK("CSG11.html#group24B11", "24B¹¹"), =HYPERLINK("CSG5.html#group16O5", "16O⁵"), =HYPERLINK("CSG23.html#group132E23", "132E²³"), =HYPERLINK("CSG12.html#group72C12", "72C¹²"), =HYPERLINK("CSG5.html#group16K5", "16K⁵"), =HYPERLINK("CSG11.html#group28G11", "28G¹¹"), =HYPERLINK("CSG11.html#group36E11", "36E¹¹"), =HYPERLINK("CSG5.html#group36F5", "36F⁵"), =HYPERLINK("CSG17.html#group24W17", "24W¹⁷"), =HYPERLINK("CSG11.html#group40B11", "40B¹¹"), =HYPERLINK("CSG0.html#group8N0", "8N⁰"), =HYPERLINK("CSG14.html#group36C14", "36C¹⁴"), =HYPERLINK("CSG15.html#group72A15", "72A¹⁵"), =HYPERLINK("CSG19.html#group48BO19", "48BO¹⁹"), =HYPERLINK("CSG7.html#group16A7", "16A⁷"), =HYPERLINK("CSG21.html#group72Y21", "72Y²¹"), =HYPERLINK("CSG22.html#group48B22", "48B²²"), =HYPERLINK("CSG17.html#group24J17", "24J¹⁷"), =HYPERLINK("CSG23.html#group136B23", "136B²³"), =HYPERLINK("CSG22.html#group108A22", "108A²²"), =HYPERLINK("CSG21.html#group108A21", "108A²¹"), =HYPERLINK("CSG13.html#group48U13", "48U¹³"), =HYPERLINK("CSG18.html#group40D18", "40D¹⁸"), =HYPERLINK("CSG16.html#group40A16", "40A¹⁶"), =HYPERLINK("CSG15.html#group100C15", "100C¹⁵"), =HYPERLINK("CSG19.html#group100J19", "100J¹⁹"), =HYPERLINK("CSG17.html#group40A17", "40A¹⁷"), =HYPERLINK("CSG7.html#group28A7", "28A⁷"), =HYPERLINK("CSG9.html#group32B9", "32B⁹"), =HYPERLINK("CSG9.html#group24C9", "24C⁹"), =HYPERLINK("CSG18.html#group48G18", "48G¹⁸"), =HYPERLINK("CSG13.html#group32A13", "32A¹³"), =HYPERLINK("CSG13.html#group84E13", "84E¹³"), =HYPERLINK("CSG23.html#group132C23", "132C²³"), =HYPERLINK("CSG17.html#group56C17", "56C¹⁷"), =HYPERLINK("CSG23.html#group152A23", "152A²³"), =HYPERLINK("CSG8.html#group48A8", "48A⁸"), =HYPERLINK("CSG21.html#group24E21", "24E²¹"), =HYPERLINK("CSG21.html#group32A21", "32A²¹"), =HYPERLINK("CSG21.html#group24A21", "24A²¹"), =HYPERLINK("CSG12.html#group28A12", "28A¹²"), =HYPERLINK("CSG5.html#group28I5", "28I⁵"), =HYPERLINK("CSG21.html#group48CB21", "48CB²¹"), =HYPERLINK("CSG1.html#group8F1", "8F¹"), =HYPERLINK("CSG17.html#group16A17", "16A¹⁷"), =HYPERLINK("CSG7.html#group36A7", "36A⁷"), =HYPERLINK("CSG9.html#group20E9", "20E⁹"), =HYPERLINK("CSG10.html#group60A10", "60A¹⁰"), =HYPERLINK("CSG2.html#group20D2", "20D²"), =HYPERLINK("CSG2.html#group12A2", "12A²"), =HYPERLINK("CSG21.html#group16B21", "16B²¹"), =HYPERLINK("CSG10.html#group24B10", "24B¹⁰"), =HYPERLINK("CSG23.html#group120K23", "120K²³"), =HYPERLINK("CSG12.html#group72B12", "72B¹²"), =HYPERLINK("CSG19.html#group48G19", "48G¹⁹"), =HYPERLINK("CSG23.html#group120L23", "120L²³"), =HYPERLINK("CSG3.html#group8A3", "8A³"), =HYPERLINK("CSG13.html#group84I13", "84I¹³"), =HYPERLINK("CSG8.html#group80E8", "80E⁸"), =HYPERLINK("CSG4.html#group24A4", "24A⁴"), =HYPERLINK("CSG19.html#group24S19", "24S¹⁹"), =HYPERLINK("CSG3.html#group24G3", "24G³"), =HYPERLINK("CSG23.html#group72B23", "72B²³"), =HYPERLINK("CSG17.html#group24AN17", "24AN¹⁷"), =HYPERLINK("CSG21.html#group40A21", "40A²¹"), =HYPERLINK("CSG3.html#group16H3", "16H³"), =HYPERLINK("CSG15.html#group56A15", "56A¹⁵"), =HYPERLINK("CSG7.html#group56G7", "56G⁷"), =HYPERLINK("CSG2.html#group8A2", "8A²"), =HYPERLINK("CSG11.html#group28E11", "28E¹¹"), =HYPERLINK("CSG5.html#group16B5", "16B⁵"), =HYPERLINK("CSG9.html#group16B9", "16B⁹"), =HYPERLINK("CSG19.html#group48B19", "48B¹⁹"), =HYPERLINK("CSG7.html#group40B7", "40B⁷"), =HYPERLINK("CSG8.html#group56B8", "56B⁸"), =HYPERLINK("CSG16.html#group120D16", "120D¹⁶"), =HYPERLINK("CSG9.html#group36N9", "36N⁹"), =HYPERLINK("CSG13.html#group16C13", "16C¹³"), =HYPERLINK("CSG13.html#group40C13", "40C¹³"), =HYPERLINK("CSG11.html#group40A11", "40A¹¹"), =HYPERLINK("CSG21.html#group60O21", "60O²¹"), =HYPERLINK("CSG13.html#group40B13", "40B¹³"), =HYPERLINK("CSG11.html#group60E11", "60E¹¹"), =HYPERLINK("CSG5.html#group16M5", "16M⁵"), =HYPERLINK("CSG17.html#group36H17", "36H¹⁷"), =HYPERLINK("CSG23.html#group40A23", "40A²³"), =HYPERLINK("CSG3.html#group28E3", "28E³"), =HYPERLINK("CSG1.html#group8E1", "8E¹"), =HYPERLINK("CSG4.html#group36O4", "36O⁴"), =HYPERLINK("CSG5.html#group36G5", "36G⁵"), =HYPERLINK("CSG17.html#group56A17", "56A¹⁷"), =HYPERLINK("CSG21.html#group24D21", "24D²¹"), =HYPERLINK("CSG22.html#group48A22", "48A²²"), =HYPERLINK("CSG21.html#group60T21", "60T²¹"), =HYPERLINK("CSG9.html#group20A9", "20A⁹"), =HYPERLINK("CSG23.html#group72G23", "72G²³"), =HYPERLINK("CSG23.html#group56S23", "56S²³"), =HYPERLINK("CSG13.html#group16B13", "16B¹³"), =HYPERLINK("CSG19.html#group48BP19", "48BP¹⁹"), =HYPERLINK("CSG19.html#group24I19", "24I¹⁹"), =HYPERLINK("CSG23.html#group28C23", "28C²³"), =HYPERLINK("CSG13.html#group24G13", "24G¹³"), =HYPERLINK("CSG11.html#group36D11", "36D¹¹"), =HYPERLINK("CSG21.html#group60M21", "60M²¹"), =HYPERLINK("CSG1.html#group12R1", "12R¹"), =HYPERLINK("CSG4.html#group48I4", "48I⁴"), =HYPERLINK("CSG21.html#group48F21", "48F²¹"), =HYPERLINK("CSG13.html#group40E13", "40E¹³"), =HYPERLINK("CSG16.html#group112B16", "112B¹⁶"), =HYPERLINK("CSG6.html#group20A6", "20A⁶"), =HYPERLINK("CSG21.html#group48CE21", "48CE²¹"), =HYPERLINK("CSG13.html#group56N13", "56N¹³"), =HYPERLINK("CSG19.html#group24A19", "24A¹⁹"), =HYPERLINK("CSG7.html#group48K7", "48K⁷"), =HYPERLINK("CSG13.html#group16A13", "16A¹³"), =HYPERLINK("CSG21.html#group16D21", "16D²¹"), =HYPERLINK("CSG15.html#group112K15", "112K¹⁵"), =HYPERLINK("CSG9.html#group32A9", "32A⁹"), =HYPERLINK("CSG23.html#group120A23", "120A²³"), =HYPERLINK("CSG2.html#group24E2", "24E²"), =HYPERLINK("CSG11.html#group40C11", "40C¹¹"), =HYPERLINK("CSG15.html#group28A15", "28A¹⁵"), =HYPERLINK("CSG19.html#group36G19", "36G¹⁹"), =HYPERLINK("CSG11.html#group24A11", "24A¹¹"), =HYPERLINK("CSG8.html#group60B8", "60B⁸"), =HYPERLINK("CSG15.html#group80B15", "80B¹⁵"), =HYPERLINK("CSG22.html#group20A22", "20A²²"), =HYPERLINK("CSG23.html#group80A23", "80A²³"), =HYPERLINK("CSG9.html#group16A9", "16A⁹"), =HYPERLINK("CSG16.html#group36A16", "36A¹⁶"), =HYPERLINK("CSG23.html#group72D23", "72D²³"), =HYPERLINK("CSG21.html#group108D21", "108D²¹"), =HYPERLINK("CSG13.html#group72B13", "72B¹³"), =HYPERLINK("CSG21.html#group24C21", "24C²¹"), =HYPERLINK("CSG21.html#group24G21", "24G²¹"), =HYPERLINK("CSG11.html#group24J11", "24J¹¹"), =HYPERLINK("CSG18.html#group40A18", "40A¹⁸"), =HYPERLINK("CSG3.html#group8B3", "8B³"), =HYPERLINK("CSG4.html#group40D4", "40D⁴"), =HYPERLINK("CSG21.html#group24F21", "24F²¹"), =HYPERLINK("CSG21.html#group72Z21", "72Z²¹"), =HYPERLINK("CSG15.html#group80C15", "80C¹⁵"), =HYPERLINK("CSG7.html#group12F7", "12F⁷"), =HYPERLINK("CSG21.html#group16A21", "16A²¹"), =HYPERLINK("CSG17.html#group84C17", "84C¹⁷"), =HYPERLINK("CSG15.html#group104B15", "104B¹⁵"), =HYPERLINK("CSG23.html#group56O23", "56O²³"), =HYPERLINK("CSG13.html#group24AB13", "24AB¹³"), =HYPERLINK("CSG17.html#group32A17", "32A¹⁷"), =HYPERLINK("CSG19.html#group24F19", "24F¹⁹"), =HYPERLINK("CSG21.html#group60H21", "60H²¹"), =HYPERLINK("CSG9.html#group12A9", "12A⁹"), =HYPERLINK("CSG15.html#group84C15", "84C¹⁵"), =HYPERLINK("CSG23.html#group72H23", "72H²³"), =HYPERLINK("CSG7.html#group48L7", "48L⁷"), =HYPERLINK("CSG7.html#group24C7", "24C⁷"), =HYPERLINK("CSG19.html#group100I19", "100I¹⁹"), =HYPERLINK("CSG17.html#group36E17", "36E¹⁷"), =HYPERLINK("CSG13.html#group84A13", "84A¹³"), =HYPERLINK("CSG13.html#group72C13", "72C¹³"), =HYPERLINK("CSG15.html#group24B15", "24B¹⁵"), =HYPERLINK("CSG18.html#group40B18", "40B¹⁸"), =HYPERLINK("CSG19.html#group24E19", "24E¹⁹"), =HYPERLINK("CSG7.html#group12B7", "12B⁷"), =HYPERLINK("CSG21.html#group108B21", "108B²¹"), =HYPERLINK("CSG7.html#group32L7", "32L⁷"), =HYPERLINK("CSG13.html#group72D13", "72D¹³"), =HYPERLINK("CSG9.html#group24H9", "24H⁹"), =HYPERLINK("CSG21.html#group28N21", "28N²¹"), =HYPERLINK("CSG17.html#group24B17", "24B¹⁷"), =HYPERLINK("CSG20.html#group120B20", "120B²⁰"), =HYPERLINK("CSG13.html#group36A13", "36A¹³"), =HYPERLINK("CSG15.html#group88A15", "88A¹⁵"), =HYPERLINK("CSG2.html#group16I2", "16I²"), =HYPERLINK("CSG23.html#group108A23", "108A²³"), =HYPERLINK("CSG7.html#group24A7", "24A⁷"), =HYPERLINK("CSG24.html#group56A24", "56A²⁴"), =HYPERLINK("CSG23.html#group28D23", "28D²³"), =HYPERLINK("CSG15.html#group104A15", "104A¹⁵"), =HYPERLINK("CSG7.html#group24E7", "24E⁷"), =HYPERLINK("CSG23.html#group80B23", "80B²³"), =HYPERLINK("CSG8.html#group60F8", "60F⁸"), =HYPERLINK("CSG20.html#group108A20", "108A²⁰"), =HYPERLINK("CSG24.html#group144C24", "144C²⁴"), =HYPERLINK("CSG23.html#group144U23", "144U²³"), =HYPERLINK("CSG21.html#group48E21", "48E²¹"), =HYPERLINK("CSG7.html#group36M7", "36M⁷"), =HYPERLINK("CSG8.html#group20A8", "20A⁸"), =HYPERLINK("CSG23.html#group52F23", "52F²³"), =HYPERLINK("CSG23.html#group148B23", "148B²³"), =HYPERLINK("CSG7.html#group44A7", "44A⁷"), =HYPERLINK("CSG19.html#group32A19", "32A¹⁹"), =HYPERLINK("CSG13.html#group32S13", "32S¹³"), =HYPERLINK("CSG21.html#group32D21", "32D²¹"), =HYPERLINK("CSG7.html#group24B7", "24B⁷")</f>
        <v/>
      </c>
    </row>
    <row r="14">
      <c r="A14" t="inlineStr">
        <is>
          <t>4E⁰</t>
        </is>
      </c>
      <c r="B14" t="inlineStr">
        <is>
          <t>Γ₀(4)∩Γ(2)</t>
        </is>
      </c>
      <c r="C14" t="inlineStr">
        <is>
          <t>12</t>
        </is>
      </c>
      <c r="D14" t="inlineStr">
        <is>
          <t>1</t>
        </is>
      </c>
      <c r="E14" t="inlineStr">
        <is>
          <t>3</t>
        </is>
      </c>
      <c r="F14" t="inlineStr">
        <is>
          <t>0</t>
        </is>
      </c>
      <c r="G14" t="inlineStr">
        <is>
          <t>0</t>
        </is>
      </c>
      <c r="H14" t="inlineStr">
        <is>
          <t>2², 4²</t>
        </is>
      </c>
      <c r="I14" t="n">
        <v>4</v>
      </c>
      <c r="J14" t="inlineStr">
        <is>
          <t>1³</t>
        </is>
      </c>
      <c r="K14">
        <f>HYPERLINK("CSG0.html#group2C0", "2C⁰"), =HYPERLINK("CSG0.html#group4B0", "4B⁰"), =HYPERLINK("CSG0.html#group4C0", "4C⁰")</f>
        <v/>
      </c>
      <c r="L14">
        <f>HYPERLINK("CSG0.html#group4G0", "4G⁰"), =HYPERLINK("CSG0.html#group8G0", "8G⁰"), =HYPERLINK("CSG0.html#group8J0", "8J⁰"), =HYPERLINK("CSG1.html#group8B1", "8B¹"), =HYPERLINK("CSG1.html#group12P1", "12P¹"), =HYPERLINK("CSG2.html#group12B2", "12B²"), =HYPERLINK("CSG3.html#group20J3", "20J³"), =HYPERLINK("CSG4.html#group20A4", "20A⁴"), =HYPERLINK("CSG5.html#group28E5", "28E⁵"), =HYPERLINK("CSG6.html#group28C6", "28C⁶"), =HYPERLINK("CSG7.html#group20C7", "20C⁷"), =HYPERLINK("CSG9.html#group44B9", "44B⁹"), =HYPERLINK("CSG10.html#group44A10", "44A¹⁰"), =HYPERLINK("CSG11.html#group52D11", "52D¹¹"), =HYPERLINK("CSG15.html#group68D15", "68D¹⁵"), =HYPERLINK("CSG17.html#group76A17", "76A¹⁷"), =HYPERLINK("CSG21.html#group92A21", "92A²¹"), =HYPERLINK("CSG22.html#group36B22", "36B²²")</f>
        <v/>
      </c>
      <c r="M14">
        <f>HYPERLINK("CSG0.html#group2A0", "2A⁰"), =HYPERLINK("CSG0.html#group2B0", "2B⁰"), =HYPERLINK("CSG0.html#group4B0", "4B⁰"), =HYPERLINK("CSG0.html#group1A0", "1A⁰"), =HYPERLINK("CSG0.html#group2C0", "2C⁰"), =HYPERLINK("CSG0.html#group4C0", "4C⁰")</f>
        <v/>
      </c>
      <c r="N14">
        <f>HYPERLINK("CSG13.html#group40R13", "40R¹³"), =HYPERLINK("CSG11.html#group16A11", "16A¹¹"), =HYPERLINK("CSG18.html#group96A18", "96A¹⁸"), =HYPERLINK("CSG17.html#group40X17", "40X¹⁷"), =HYPERLINK("CSG3.html#group12G3", "12G³"), =HYPERLINK("CSG12.html#group56H12", "56H¹²"), =HYPERLINK("CSG24.html#group56G24", "56G²⁴"), =HYPERLINK("CSG21.html#group48CF21", "48CF²¹"), =HYPERLINK("CSG21.html#group80C21", "80C²¹"), =HYPERLINK("CSG3.html#group20J3", "20J³"), =HYPERLINK("CSG9.html#group24AC9", "24AC⁹"), =HYPERLINK("CSG21.html#group48BS21", "48BS²¹"), =HYPERLINK("CSG13.html#group32U13", "32U¹³"), =HYPERLINK("CSG17.html#group24AO17", "24AO¹⁷"), =HYPERLINK("CSG11.html#group48I11", "48I¹¹"), =HYPERLINK("CSG7.html#group24AF7", "24AF⁷"), =HYPERLINK("CSG11.html#group28F11", "28F¹¹"), =HYPERLINK("CSG21.html#group32G21", "32G²¹"), =HYPERLINK("CSG21.html#group96E21", "96E²¹"), =HYPERLINK("CSG21.html#group32C21", "32C²¹"), =HYPERLINK("CSG19.html#group48I19", "48I¹⁹"), =HYPERLINK("CSG7.html#group32C7", "32C⁷"), =HYPERLINK("CSG3.html#group16I3", "16I³"), =HYPERLINK("CSG21.html#group72B21", "72B²¹"), =HYPERLINK("CSG15.html#group40U15", "40U¹⁵"), =HYPERLINK("CSG21.html#group48CD21", "48CD²¹"), =HYPERLINK("CSG15.html#group24I15", "24I¹⁵"), =HYPERLINK("CSG11.html#group48A11", "48A¹¹"), =HYPERLINK("CSG7.html#group40M7", "40M⁷"), =HYPERLINK("CSG20.html#group44A20", "44A²⁰"), =HYPERLINK("CSG12.html#group28C12", "28C¹²"), =HYPERLINK("CSG24.html#group112B24", "112B²⁴"), =HYPERLINK("CSG19.html#group36D19", "36D¹⁹"), =HYPERLINK("CSG19.html#group24G19", "24G¹⁹"), =HYPERLINK("CSG9.html#group16E9", "16E⁹"), =HYPERLINK("CSG10.html#group24A10", "24A¹⁰"), =HYPERLINK("CSG9.html#group16D9", "16D⁹"), =HYPERLINK("CSG16.html#group72I16", "72I¹⁶"), =HYPERLINK("CSG24.html#group56D24", "56D²⁴"), =HYPERLINK("CSG23.html#group56F23", "56F²³"), =HYPERLINK("CSG7.html#group16B7", "16B⁷"), =HYPERLINK("CSG9.html#group32D9", "32D⁹"), =HYPERLINK("CSG0.html#group4G0", "4G⁰"), =HYPERLINK("CSG19.html#group40A19", "40A¹⁹"), =HYPERLINK("CSG19.html#group24B19", "24B¹⁹"), =HYPERLINK("CSG19.html#group48P19", "48P¹⁹"), =HYPERLINK("CSG19.html#group48AW19", "48AW¹⁹"), =HYPERLINK("CSG23.html#group52C23", "52C²³"), =HYPERLINK("CSG13.html#group12A13", "12A¹³"), =HYPERLINK("CSG4.html#group24N4", "24N⁴"), =HYPERLINK("CSG16.html#group72H16", "72H¹⁶"), =HYPERLINK("CSG15.html#group24D15", "24D¹⁵"), =HYPERLINK("CSG19.html#group36A19", "36A¹⁹"), =HYPERLINK("CSG13.html#group40Q13", "40Q¹³"), =HYPERLINK("CSG21.html#group48BR21", "48BR²¹"), =HYPERLINK("CSG21.html#group36E21", "36E²¹"), =HYPERLINK("CSG17.html#group24U17", "24U¹⁷"), =HYPERLINK("CSG21.html#group80P21", "80P²¹"), =HYPERLINK("CSG18.html#group96C18", "96C¹⁸"), =HYPERLINK("CSG21.html#group64A21", "64A²¹"), =HYPERLINK("CSG15.html#group40AB15", "40AB¹⁵"), =HYPERLINK("CSG21.html#group64E21", "64E²¹"), =HYPERLINK("CSG15.html#group40C15", "40C¹⁵"), =HYPERLINK("CSG6.html#group16A6", "16A⁶"), =HYPERLINK("CSG21.html#group96BD21", "96BD²¹"), =HYPERLINK("CSG13.html#group40J13", "40J¹³"), =HYPERLINK("CSG21.html#group48N21", "48N²¹"), =HYPERLINK("CSG17.html#group64A17", "64A¹⁷"), =HYPERLINK("CSG13.html#group48A13", "48A¹³"), =HYPERLINK("CSG15.html#group24E15", "24E¹⁵"), =HYPERLINK("CSG13.html#group24AC13", "24AC¹³"), =HYPERLINK("CSG11.html#group64A11", "64A¹¹"), =HYPERLINK("CSG19.html#group48H19", "48H¹⁹"), =HYPERLINK("CSG9.html#group24AF9", "24AF⁹"), =HYPERLINK("CSG0.html#group16G0", "16G⁰"), =HYPERLINK("CSG11.html#group48M11", "48M¹¹"), =HYPERLINK("CSG5.html#group32N5", "32N⁵"), =HYPERLINK("CSG2.html#group12B2", "12B²"), =HYPERLINK("CSG9.html#group24AH9", "24AH⁹"), =HYPERLINK("CSG15.html#group40V15", "40V¹⁵"), =HYPERLINK("CSG17.html#group36B17", "36B¹⁷"), =HYPERLINK("CSG17.html#group24Z17", "24Z¹⁷"), =HYPERLINK("CSG9.html#group48AH9", "48AH⁹"), =HYPERLINK("CSG17.html#group24AP17", "24AP¹⁷"), =HYPERLINK("CSG21.html#group48Y21", "48Y²¹"), =HYPERLINK("CSG13.html#group32E13", "32E¹³"), =HYPERLINK("CSG17.html#group24P17", "24P¹⁷"), =HYPERLINK("CSG19.html#group24K19", "24K¹⁹"), =HYPERLINK("CSG21.html#group48CK21", "48CK²¹"), =HYPERLINK("CSG9.html#group48AK9", "48AK⁹"), =HYPERLINK("CSG19.html#group96A19", "96A¹⁹"), =HYPERLINK("CSG15.html#group48K15", "48K¹⁵"), =HYPERLINK("CSG9.html#group16C9", "16C⁹"), =HYPERLINK("CSG13.html#group64V13", "64V¹³"), =HYPERLINK("CSG17.html#group40C17", "40C¹⁷"), =HYPERLINK("CSG19.html#group48BT19", "48BT¹⁹"), =HYPERLINK("CSG19.html#group24H19", "24H¹⁹"), =HYPERLINK("CSG21.html#group32H21", "32H²¹"), =HYPERLINK("CSG11.html#group28C11", "28C¹¹"), =HYPERLINK("CSG1.html#group12P1", "12P¹"), =HYPERLINK("CSG15.html#group24J15", "24J¹⁵"), =HYPERLINK("CSG15.html#group64B15", "64B¹⁵"), =HYPERLINK("CSG13.html#group32H13", "32H¹³"), =HYPERLINK("CSG8.html#group24C8", "24C⁸"), =HYPERLINK("CSG21.html#group48AJ21", "48AJ²¹"), =HYPERLINK("CSG17.html#group24R17", "24R¹⁷"), =HYPERLINK("CSG21.html#group32E21", "32E²¹"), =HYPERLINK("CSG17.html#group24Y17", "24Y¹⁷"), =HYPERLINK("CSG19.html#group100Q19", "100Q¹⁹"), =HYPERLINK("CSG19.html#group96B19", "96B¹⁹"), =HYPERLINK("CSG23.html#group96I23", "96I²³"), =HYPERLINK("CSG13.html#group20E13", "20E¹³"), =HYPERLINK("CSG21.html#group48CC21", "48CC²¹"), =HYPERLINK("CSG7.html#group40X7", "40X⁷"), =HYPERLINK("CSG17.html#group48D17", "48D¹⁷"), =HYPERLINK("CSG7.html#group24AH7", "24AH⁷"), =HYPERLINK("CSG11.html#group32B11", "32B¹¹"), =HYPERLINK("CSG21.html#group108E21", "108E²¹"), =HYPERLINK("CSG19.html#group36B19", "36B¹⁹"), =HYPERLINK("CSG9.html#group44B9", "44B⁹"), =HYPERLINK("CSG19.html#group44A19", "44A¹⁹"), =HYPERLINK("CSG7.html#group20K7", "20K⁷"), =HYPERLINK("CSG11.html#group36N11", "36N¹¹"), =HYPERLINK("CSG1.html#group16M1", "16M¹"), =HYPERLINK("CSG17.html#group24V17", "24V¹⁷"), =HYPERLINK("CSG13.html#group48B13", "48B¹³"), =HYPERLINK("CSG21.html#group84A21", "84A²¹"), =HYPERLINK("CSG23.html#group104B23", "104B²³"), =HYPERLINK("CSG12.html#group56B12", "56B¹²"), =HYPERLINK("CSG11.html#group56L11", "56L¹¹"), =HYPERLINK("CSG17.html#group40U17", "40U¹⁷"), =HYPERLINK("CSG19.html#group72D19", "72D¹⁹"), =HYPERLINK("CSG23.html#group96F23", "96F²³"), =HYPERLINK("CSG23.html#group56A23", "56A²³"), =HYPERLINK("CSG21.html#group16C21", "16C²¹"), =HYPERLINK("CSG23.html#group104C23", "104C²³"), =HYPERLINK("CSG5.html#group24I5", "24I⁵"), =HYPERLINK("CSG15.html#group40O15", "40O¹⁵"), =HYPERLINK("CSG22.html#group96C22", "96C²²"), =HYPERLINK("CSG20.html#group84C20", "84C²⁰"), =HYPERLINK("CSG5.html#group16A5", "16A⁵"), =HYPERLINK("CSG21.html#group48CQ21", "48CQ²¹"), =HYPERLINK("CSG17.html#group60T17", "60T¹⁷"), =HYPERLINK("CSG9.html#group32C9", "32C⁹"), =HYPERLINK("CSG19.html#group88G19", "88G¹⁹"), =HYPERLINK("CSG23.html#group96O23", "96O²³"), =HYPERLINK("CSG21.html#group88A21", "88A²¹"), =HYPERLINK("CSG19.html#group96BC19", "96BC¹⁹"), =HYPERLINK("CSG21.html#group88C21", "88C²¹"), =HYPERLINK("CSG17.html#group16B17", "16B¹⁷"), =HYPERLINK("CSG4.html#group12A4", "12A⁴"), =HYPERLINK("CSG9.html#group16F9", "16F⁹"), =HYPERLINK("CSG18.html#group80A18", "80A¹⁸"), =HYPERLINK("CSG21.html#group48O21", "48O²¹"), =HYPERLINK("CSG17.html#group60B17", "60B¹⁷"), =HYPERLINK("CSG11.html#group24B11", "24B¹¹"), =HYPERLINK("CSG21.html#group48AN21", "48AN²¹"), =HYPERLINK("CSG22.html#group96A22", "96A²²"), =HYPERLINK("CSG21.html#group48J21", "48J²¹"), =HYPERLINK("CSG13.html#group24O13", "24O¹³"), =HYPERLINK("CSG17.html#group36A17", "36A¹⁷"), =HYPERLINK("CSG19.html#group72A19", "72A¹⁹"), =HYPERLINK("CSG0.html#group8N0", "8N⁰"), =HYPERLINK("CSG15.html#group48F15", "48F¹⁵"), =HYPERLINK("CSG21.html#group48AK21", "48AK²¹"), =HYPERLINK("CSG19.html#group88C19", "88C¹⁹"), =HYPERLINK("CSG21.html#group96BF21", "96BF²¹"), =HYPERLINK("CSG23.html#group96E23", "96E²³"), =HYPERLINK("CSG3.html#group16B3", "16B³"), =HYPERLINK("CSG17.html#group72M17", "72M¹⁷"), =HYPERLINK("CSG17.html#group24J17", "24J¹⁷"), =HYPERLINK("CSG15.html#group40W15", "40W¹⁵"), =HYPERLINK("CSG21.html#group92A21", "92A²¹"), =HYPERLINK("CSG19.html#group48O19", "48O¹⁹"), =HYPERLINK("CSG21.html#group48CH21", "48CH²¹"), =HYPERLINK("CSG8.html#group48C8", "48C⁸"), =HYPERLINK("CSG9.html#group32B9", "32B⁹"), =HYPERLINK("CSG15.html#group64C15", "64C¹⁵"), =HYPERLINK("CSG9.html#group24C9", "24C⁹"), =HYPERLINK("CSG13.html#group32A13", "32A¹³"), =HYPERLINK("CSG19.html#group80B19", "80B¹⁹"), =HYPERLINK("CSG18.html#group48G18", "48G¹⁸"), =HYPERLINK("CSG21.html#group48CJ21", "48CJ²¹"), =HYPERLINK("CSG19.html#group88B19", "88B¹⁹"), =HYPERLINK("CSG13.html#group48AG13", "48AG¹³"), =HYPERLINK("CSG13.html#group48J13", "48J¹³"), =HYPERLINK("CSG21.html#group72D21", "72D²¹"), =HYPERLINK("CSG21.html#group24E21", "24E²¹"), =HYPERLINK("CSG21.html#group32A21", "32A²¹"), =HYPERLINK("CSG3.html#group16A3", "16A³"), =HYPERLINK("CSG21.html#group48CB21", "48CB²¹"), =HYPERLINK("CSG21.html#group48S21", "48S²¹"), =HYPERLINK("CSG17.html#group72K17", "72K¹⁷"), =HYPERLINK("CSG17.html#group16A17", "16A¹⁷"), =HYPERLINK("CSG13.html#group36U13", "36U¹³"), =HYPERLINK("CSG17.html#group24AR17", "24AR¹⁷"), =HYPERLINK("CSG23.html#group96D23", "96D²³"), =HYPERLINK("CSG21.html#group16B21", "16B²¹"), =HYPERLINK("CSG23.html#group96G23", "96G²³"), =HYPERLINK("CSG23.html#group96C23", "96C²³"), =HYPERLINK("CSG17.html#group40G17", "40G¹⁷"), =HYPERLINK("CSG9.html#group24AB9", "24AB⁹"), =HYPERLINK("CSG24.html#group56F24", "56F²⁴"), =HYPERLINK("CSG23.html#group96J23", "96J²³"), =HYPERLINK("CSG19.html#group48G19", "48G¹⁹"), =HYPERLINK("CSG5.html#group36L5", "36L⁵"), =HYPERLINK("CSG2.html#group16C2", "16C²"), =HYPERLINK("CSG20.html#group88A20", "88A²⁰"), =HYPERLINK("CSG3.html#group8A3", "8A³"), =HYPERLINK("CSG19.html#group88H19", "88H¹⁹"), =HYPERLINK("CSG17.html#group24AS17", "24AS¹⁷"), =HYPERLINK("CSG15.html#group40B15", "40B¹⁵"), =HYPERLINK("CSG17.html#group24AN17", "24AN¹⁷"), =HYPERLINK("CSG2.html#group8A2", "8A²"), =HYPERLINK("CSG5.html#group16B5", "16B⁵"), =HYPERLINK("CSG16.html#group36B16", "36B¹⁶"), =HYPERLINK("CSG9.html#group24U9", "24U⁹"), =HYPERLINK("CSG19.html#group48B19", "48B¹⁹"), =HYPERLINK("CSG4.html#group20A4", "20A⁴"), =HYPERLINK("CSG11.html#group48X11", "48X¹¹"), =HYPERLINK("CSG9.html#group20F9", "20F⁹"), =HYPERLINK("CSG13.html#group16C13", "16C¹³"), =HYPERLINK("CSG4.html#group12C4", "12C⁴"), =HYPERLINK("CSG21.html#group48AP21", "48AP²¹"), =HYPERLINK("CSG17.html#group24C17", "24C¹⁷"), =HYPERLINK("CSG7.html#group24AI7", "24AI⁷"), =HYPERLINK("CSG19.html#group96H19", "96H¹⁹"), =HYPERLINK("CSG21.html#group96H21", "96H²¹"), =HYPERLINK("CSG9.html#group64C9", "64C⁹"), =HYPERLINK("CSG10.html#group48A10", "48A¹⁰"), =HYPERLINK("CSG7.html#group32F7", "32F⁷"), =HYPERLINK("CSG7.html#group24AK7", "24AK⁷"), =HYPERLINK("CSG21.html#group96A21", "96A²¹"), =HYPERLINK("CSG3.html#group24AA3", "24AA³"), =HYPERLINK("CSG5.html#group16M5", "16M⁵"), =HYPERLINK("CSG13.html#group40K13", "40K¹³"), =HYPERLINK("CSG9.html#group24AD9", "24AD⁹"), =HYPERLINK("CSG5.html#group24F5", "24F⁵"), =HYPERLINK("CSG21.html#group24D21", "24D²¹"), =HYPERLINK("CSG22.html#group36B22", "36B²²"), =HYPERLINK("CSG7.html#group48AL7", "48AL⁷"), =HYPERLINK("CSG3.html#group24U3", "24U³"), =HYPERLINK("CSG17.html#group48J17", "48J¹⁷"), =HYPERLINK("CSG13.html#group16B13", "16B¹³"), =HYPERLINK("CSG21.html#group80I21", "80I²¹"), =HYPERLINK("CSG5.html#group24H5", "24H⁵"), =HYPERLINK("CSG21.html#group48F21", "48F²¹"), =HYPERLINK("CSG21.html#group48CE21", "48CE²¹"), =HYPERLINK("CSG9.html#group48E9", "48E⁹"), =HYPERLINK("CSG19.html#group24A19", "24A¹⁹"), =HYPERLINK("CSG21.html#group48Z21", "48Z²¹"), =HYPERLINK("CSG17.html#group48K17", "48K¹⁷"), =HYPERLINK("CSG1.html#group16E1", "16E¹"), =HYPERLINK("CSG9.html#group32A9", "32A⁹"), =HYPERLINK("CSG8.html#group40D8", "40D⁸"), =HYPERLINK("CSG18.html#group48I18", "48I¹⁸"), =HYPERLINK("CSG16.html#group28C16", "28C¹⁶"), =HYPERLINK("CSG19.html#group80F19", "80F¹⁹"), =HYPERLINK("CSG11.html#group24A11", "24A¹¹"), =HYPERLINK("CSG13.html#group48I13", "48I¹³"), =HYPERLINK("CSG19.html#group72L19", "72L¹⁹"), =HYPERLINK("CSG2.html#group32B2", "32B²"), =HYPERLINK("CSG9.html#group28F9", "28F⁹"), =HYPERLINK("CSG9.html#group16A9", "16A⁹"), =HYPERLINK("CSG17.html#group24T17", "24T¹⁷"), =HYPERLINK("CSG16.html#group36A16", "36A¹⁶"), =HYPERLINK("CSG13.html#group56G13", "56G¹³"), =HYPERLINK("CSG13.html#group32M13", "32M¹³"), =HYPERLINK("CSG13.html#group32D13", "32D¹³"), =HYPERLINK("CSG23.html#group96B23", "96B²³"), =HYPERLINK("CSG0.html#group8J0", "8J⁰"), =HYPERLINK("CSG17.html#group48I17", "48I¹⁷"), =HYPERLINK("CSG18.html#group40A18", "40A¹⁸"), =HYPERLINK("CSG3.html#group8B3", "8B³"), =HYPERLINK("CSG3.html#group24V3", "24V³"), =HYPERLINK("CSG21.html#group24F21", "24F²¹"), =HYPERLINK("CSG9.html#group24AG9", "24AG⁹"), =HYPERLINK("CSG21.html#group16A21", "16A²¹"), =HYPERLINK("CSG23.html#group56O23", "56O²³"), =HYPERLINK("CSG22.html#group40A22", "40A²²"), =HYPERLINK("CSG21.html#group36F21", "36F²¹"), =HYPERLINK("CSG15.html#group36D15", "36D¹⁵"), =HYPERLINK("CSG13.html#group24AB13", "24AB¹³"), =HYPERLINK("CSG19.html#group24F19", "24F¹⁹"), =HYPERLINK("CSG17.html#group76A17", "76A¹⁷"), =HYPERLINK("CSG11.html#group56M11", "56M¹¹"), =HYPERLINK("CSG10.html#group20A10", "20A¹⁰"), =HYPERLINK("CSG5.html#group28E5", "28E⁵"), =HYPERLINK("CSG19.html#group72N19", "72N¹⁹"), =HYPERLINK("CSG19.html#group20D19", "20D¹⁹"), =HYPERLINK("CSG0.html#group8G0", "8G⁰"), =HYPERLINK("CSG15.html#group40X15", "40X¹⁵"), =HYPERLINK("CSG15.html#group24B15", "24B¹⁵"), =HYPERLINK("CSG7.html#group12B7", "12B⁷"), =HYPERLINK("CSG21.html#group48AI21", "48AI²¹"), =HYPERLINK("CSG5.html#group32A5", "32A⁵"), =HYPERLINK("CSG11.html#group56R11", "56R¹¹"), =HYPERLINK("CSG9.html#group24J9", "24J⁹"), =HYPERLINK("CSG22.html#group40E22", "40E²²"), =HYPERLINK("CSG9.html#group24H9", "24H⁹"), =HYPERLINK("CSG17.html#group24B17", "24B¹⁷"), =HYPERLINK("CSG9.html#group12B9", "12B⁹"), =HYPERLINK("CSG8.html#group24B8", "24B⁸"), =HYPERLINK("CSG17.html#group40V17", "40V¹⁷"), =HYPERLINK("CSG19.html#group48L19", "48L¹⁹"), =HYPERLINK("CSG5.html#group24AB5", "24AB⁵"), =HYPERLINK("CSG7.html#group16C7", "16C⁷"), =HYPERLINK("CSG15.html#group64D15", "64D¹⁵"), =HYPERLINK("CSG24.html#group56A24", "56A²⁴"), =HYPERLINK("CSG10.html#group48B10", "48B¹⁰"), =HYPERLINK("CSG19.html#group80L19", "80L¹⁹"), =HYPERLINK("CSG15.html#group60D15", "60D¹⁵"), =HYPERLINK("CSG21.html#group48E21", "48E²¹"), =HYPERLINK("CSG4.html#group24E4", "24E⁴"), =HYPERLINK("CSG13.html#group48C13", "48C¹³"), =HYPERLINK("CSG19.html#group32A19", "32A¹⁹"), =HYPERLINK("CSG21.html#group32D21", "32D²¹"), =HYPERLINK("CSG9.html#group24AK9", "24AK⁹"), =HYPERLINK("CSG9.html#group64B9", "64B⁹"), =HYPERLINK("CSG21.html#group48I21", "48I²¹"), =HYPERLINK("CSG23.html#group104M23", "104M²³"), =HYPERLINK("CSG8.html#group40A8", "40A⁸"), =HYPERLINK("CSG15.html#group64A15", "64A¹⁵"), =HYPERLINK("CSG17.html#group48CK17", "48CK¹⁷"), =HYPERLINK("CSG21.html#group48CG21", "48CG²¹"), =HYPERLINK("CSG16.html#group36E16", "36E¹⁶"), =HYPERLINK("CSG21.html#group48AH21", "48AH²¹"), =HYPERLINK("CSG17.html#group48U17", "48U¹⁷"), =HYPERLINK("CSG9.html#group40A9", "40A⁹"), =HYPERLINK("CSG3.html#group12L3", "12L³"), =HYPERLINK("CSG21.html#group80Q21", "80Q²¹"), =HYPERLINK("CSG11.html#group32A11", "32A¹¹"), =HYPERLINK("CSG12.html#group56A12", "56A¹²"), =HYPERLINK("CSG8.html#group24A8", "24A⁸"), =HYPERLINK("CSG7.html#group24V7", "24V⁷"), =HYPERLINK("CSG9.html#group24S9", "24S⁹"), =HYPERLINK("CSG18.html#group48B18", "48B¹⁸"), =HYPERLINK("CSG7.html#group24AG7", "24AG⁷"), =HYPERLINK("CSG3.html#group32J3", "32J³"), =HYPERLINK("CSG13.html#group32G13", "32G¹³"), =HYPERLINK("CSG21.html#group56L21", "56L²¹"), =HYPERLINK("CSG8.html#group24G8", "24G⁸"), =HYPERLINK("CSG11.html#group48W11", "48W¹¹"), =HYPERLINK("CSG9.html#group24I9", "24I⁹"), =HYPERLINK("CSG19.html#group48E19", "48E¹⁹"), =HYPERLINK("CSG9.html#group36Q9", "36Q⁹"), =HYPERLINK("CSG19.html#group96E19", "96E¹⁹"), =HYPERLINK("CSG9.html#group24Z9", "24Z⁹"), =HYPERLINK("CSG7.html#group32D7", "32D⁷"), =HYPERLINK("CSG3.html#group12K3", "12K³"), =HYPERLINK("CSG21.html#group48Q21", "48Q²¹"), =HYPERLINK("CSG21.html#group48BQ21", "48BQ²¹"), =HYPERLINK("CSG13.html#group56H13", "56H¹³"), =HYPERLINK("CSG17.html#group64D17", "64D¹⁷"), =HYPERLINK("CSG9.html#group36D9", "36D⁹"), =HYPERLINK("CSG13.html#group32B13", "32B¹³"), =HYPERLINK("CSG7.html#group32G7", "32G⁷"), =HYPERLINK("CSG21.html#group64F21", "64F²¹"), =HYPERLINK("CSG21.html#group64C21", "64C²¹"), =HYPERLINK("CSG16.html#group72B16", "72B¹⁶"), =HYPERLINK("CSG23.html#group56P23", "56P²³"), =HYPERLINK("CSG9.html#group40I9", "40I⁹"), =HYPERLINK("CSG17.html#group24F17", "24F¹⁷"), =HYPERLINK("CSG19.html#group48A19", "48A¹⁹"), =HYPERLINK("CSG17.html#group40T17", "40T¹⁷"), =HYPERLINK("CSG19.html#group44B19", "44B¹⁹"), =HYPERLINK("CSG11.html#group48B11", "48B¹¹"), =HYPERLINK("CSG17.html#group72N17", "72N¹⁷"), =HYPERLINK("CSG19.html#group40C19", "40C¹⁹"), =HYPERLINK("CSG24.html#group56B24", "56B²⁴"), =HYPERLINK("CSG21.html#group32R21", "32R²¹"), =HYPERLINK("CSG15.html#group80O15", "80O¹⁵"), =HYPERLINK("CSG24.html#group112A24", "112A²⁴"), =HYPERLINK("CSG17.html#group40W17", "40W¹⁷"), =HYPERLINK("CSG21.html#group96BA21", "96BA²¹"), =HYPERLINK("CSG13.html#group48D13", "48D¹³"), =HYPERLINK("CSG23.html#group56W23", "56W²³"), =HYPERLINK("CSG1.html#group8B1", "8B¹"), =HYPERLINK("CSG9.html#group40J9", "40J⁹"), =HYPERLINK("CSG21.html#group72A21", "72A²¹"), =HYPERLINK("CSG17.html#group40AD17", "40AD¹⁷"), =HYPERLINK("CSG7.html#group48AK7", "48AK⁷"), =HYPERLINK("CSG17.html#group48CM17", "48CM¹⁷"), =HYPERLINK("CSG7.html#group24AL7", "24AL⁷"), =HYPERLINK("CSG21.html#group48K21", "48K²¹"), =HYPERLINK("CSG8.html#group48D8", "48D⁸"), =HYPERLINK("CSG19.html#group24C19", "24C¹⁹"), =HYPERLINK("CSG13.html#group36T13", "36T¹³"), =HYPERLINK("CSG19.html#group64A19", "64A¹⁹"), =HYPERLINK("CSG18.html#group48D18", "48D¹⁸"), =HYPERLINK("CSG17.html#group40D17", "40D¹⁷"), =HYPERLINK("CSG20.html#group88C20", "88C²⁰"), =HYPERLINK("CSG7.html#group20L7", "20L⁷"), =HYPERLINK("CSG19.html#group48BS19", "48BS¹⁹"), =HYPERLINK("CSG19.html#group72C19", "72C¹⁹"), =HYPERLINK("CSG13.html#group32L13", "32L¹³"), =HYPERLINK("CSG21.html#group48L21", "48L²¹"), =HYPERLINK("CSG17.html#group24AJ17", "24AJ¹⁷"), =HYPERLINK("CSG21.html#group48R21", "48R²¹"), =HYPERLINK("CSG21.html#group28M21", "28M²¹"), =HYPERLINK("CSG5.html#group12E5", "12E⁵"), =HYPERLINK("CSG13.html#group32C13", "32C¹³"), =HYPERLINK("CSG11.html#group56Q11", "56Q¹¹"), =HYPERLINK("CSG21.html#group80AD21", "80AD²¹"), =HYPERLINK("CSG17.html#group72C17", "72C¹⁷"), =HYPERLINK("CSG15.html#group48E15", "48E¹⁵"), =HYPERLINK("CSG13.html#group32F13", "32F¹³"), =HYPERLINK("CSG15.html#group24A15", "24A¹⁵"), =HYPERLINK("CSG9.html#group32E9", "32E⁹"), =HYPERLINK("CSG21.html#group48CA21", "48CA²¹"), =HYPERLINK("CSG13.html#group64B13", "64B¹³"), =HYPERLINK("CSG16.html#group72Q16", "72Q¹⁶"), =HYPERLINK("CSG19.html#group48K19", "48K¹⁹"), =HYPERLINK("CSG17.html#group24G17", "24G¹⁷"), =HYPERLINK("CSG15.html#group20D15", "20D¹⁵"), =HYPERLINK("CSG17.html#group48CJ17", "48CJ¹⁷"), =HYPERLINK("CSG17.html#group24Q17", "24Q¹⁷"), =HYPERLINK("CSG19.html#group72M19", "72M¹⁹"), =HYPERLINK("CSG8.html#group36B8", "36B⁸"), =HYPERLINK("CSG5.html#group8A5", "8A⁵"), =HYPERLINK("CSG21.html#group48AL21", "48AL²¹"), =HYPERLINK("CSG21.html#group32F21", "32F²¹"), =HYPERLINK("CSG9.html#group24D9", "24D⁹"), =HYPERLINK("CSG24.html#group56C24", "56C²⁴"), =HYPERLINK("CSG21.html#group52C21", "52C²¹"), =HYPERLINK("CSG7.html#group20C7", "20C⁷"), =HYPERLINK("CSG17.html#group80Z17", "80Z¹⁷"), =HYPERLINK("CSG23.html#group56Q23", "56Q²³"), =HYPERLINK("CSG21.html#group32Q21", "32Q²¹"), =HYPERLINK("CSG0.html#group8O0", "8O⁰"), =HYPERLINK("CSG10.html#group44A10", "44A¹⁰"), =HYPERLINK("CSG17.html#group24AT17", "24AT¹⁷"), =HYPERLINK("CSG5.html#group12B5", "12B⁵"), =HYPERLINK("CSG21.html#group96B21", "96B²¹"), =HYPERLINK("CSG21.html#group24B21", "24B²¹"), =HYPERLINK("CSG19.html#group96BD19", "96BD¹⁹"), =HYPERLINK("CSG16.html#group72A16", "72A¹⁶"), =HYPERLINK("CSG17.html#group40Y17", "40Y¹⁷"), =HYPERLINK("CSG9.html#group24G9", "24G⁹"), =HYPERLINK("CSG21.html#group32B21", "32B²¹"), =HYPERLINK("CSG23.html#group52D23", "52D²³"), =HYPERLINK("CSG21.html#group64B21", "64B²¹"), =HYPERLINK("CSG16.html#group80A16", "80A¹⁶"), =HYPERLINK("CSG13.html#group72W13", "72W¹³"), =HYPERLINK("CSG17.html#group32D17", "32D¹⁷"), =HYPERLINK("CSG13.html#group32T13", "32T¹³"), =HYPERLINK("CSG21.html#group48P21", "48P²¹"), =HYPERLINK("CSG1.html#group8G1", "8G¹"), =HYPERLINK("CSG7.html#group24I7", "24I⁷"), =HYPERLINK("CSG6.html#group28C6", "28C⁶"), =HYPERLINK("CSG21.html#group64D21", "64D²¹"), =HYPERLINK("CSG11.html#group52D11", "52D¹¹"), =HYPERLINK("CSG11.html#group48F11", "48F¹¹"), =HYPERLINK("CSG8.html#group24D8", "24D⁸"), =HYPERLINK("CSG3.html#group24Z3", "24Z³"), =HYPERLINK("CSG23.html#group112O23", "112O²³"), =HYPERLINK("CSG21.html#group80R21", "80R²¹"), =HYPERLINK("CSG1.html#group8K1", "8K¹"), =HYPERLINK("CSG19.html#group80A19", "80A¹⁹"), =HYPERLINK("CSG15.html#group64E15", "64E¹⁵"), =HYPERLINK("CSG3.html#group32K3", "32K³"), =HYPERLINK("CSG17.html#group24S17", "24S¹⁷"), =HYPERLINK("CSG2.html#group16K2", "16K²"), =HYPERLINK("CSG17.html#group32E17", "32E¹⁷"), =HYPERLINK("CSG13.html#group64A13", "64A¹³"), =HYPERLINK("CSG21.html#group84G21", "84G²¹"), =HYPERLINK("CSG19.html#group48D19", "48D¹⁹"), =HYPERLINK("CSG23.html#group96L23", "96L²³"), =HYPERLINK("CSG19.html#group40B19", "40B¹⁹"), =HYPERLINK("CSG15.html#group80N15", "80N¹⁵"), =HYPERLINK("CSG17.html#group48E17", "48E¹⁷"), =HYPERLINK("CSG19.html#group24D19", "24D¹⁹"), =HYPERLINK("CSG21.html#group16E21", "16E²¹"), =HYPERLINK("CSG9.html#group24AE9", "24AE⁹"), =HYPERLINK("CSG14.html#group60A14", "60A¹⁴"), =HYPERLINK("CSG5.html#group20I5", "20I⁵"), =HYPERLINK("CSG12.html#group28B12", "28B¹²"), =HYPERLINK("CSG5.html#group24A5", "24A⁵"), =HYPERLINK("CSG17.html#group24I17", "24I¹⁷"), =HYPERLINK("CSG19.html#group48AX19", "48AX¹⁹"), =HYPERLINK("CSG21.html#group56N21", "56N²¹"), =HYPERLINK("CSG8.html#group24H8", "24H⁸"), =HYPERLINK("CSG5.html#group16O5", "16O⁵"), =HYPERLINK("CSG8.html#group24J8", "24J⁸"), =HYPERLINK("CSG21.html#group80AC21", "80AC²¹"), =HYPERLINK("CSG13.html#group72R13", "72R¹³"), =HYPERLINK("CSG21.html#group72C21", "72C²¹"), =HYPERLINK("CSG19.html#group80M19", "80M¹⁹"), =HYPERLINK("CSG19.html#group72K19", "72K¹⁹"), =HYPERLINK("CSG21.html#group80G21", "80G²¹"), =HYPERLINK("CSG17.html#group24W17", "24W¹⁷"), =HYPERLINK("CSG17.html#group32B17", "32B¹⁷"), =HYPERLINK("CSG7.html#group40W7", "40W⁷"), =HYPERLINK("CSG19.html#group48BO19", "48BO¹⁹"), =HYPERLINK("CSG22.html#group36F22", "36F²²"), =HYPERLINK("CSG22.html#group48B22", "48B²²"), =HYPERLINK("CSG13.html#group24K13", "24K¹³"), =HYPERLINK("CSG21.html#group48CI21", "48CI²¹"), =HYPERLINK("CSG9.html#group16G9", "16G⁹"), =HYPERLINK("CSG19.html#group48M19", "48M¹⁹"), =HYPERLINK("CSG23.html#group96P23", "96P²³"), =HYPERLINK("CSG19.html#group48F19", "48F¹⁹"), =HYPERLINK("CSG16.html#group40A16", "40A¹⁶"), =HYPERLINK("CSG22.html#group40L22", "40L²²"), =HYPERLINK("CSG21.html#group48AM21", "48AM²¹"), =HYPERLINK("CSG17.html#group40A17", "40A¹⁷"), =HYPERLINK("CSG7.html#group64K7", "64K⁷"), =HYPERLINK("CSG13.html#group72Q13", "72Q¹³"), =HYPERLINK("CSG13.html#group56D13", "56D¹³"), =HYPERLINK("CSG23.html#group112P23", "112P²³"), =HYPERLINK("CSG12.html#group56I12", "56I¹²"), =HYPERLINK("CSG7.html#group32E7", "32E⁷"), =HYPERLINK("CSG16.html#group40B16", "40B¹⁶"), =HYPERLINK("CSG17.html#group24AQ17", "24AQ¹⁷"), =HYPERLINK("CSG19.html#group48R19", "48R¹⁹"), =HYPERLINK("CSG21.html#group24A21", "24A²¹"), =HYPERLINK("CSG3.html#group16J3", "16J³"), =HYPERLINK("CSG1.html#group8F1", "8F¹"), =HYPERLINK("CSG13.html#group20A13", "20A¹³"), =HYPERLINK("CSG15.html#group24F15", "24F¹⁵"), =HYPERLINK("CSG21.html#group48AU21", "48AU²¹"), =HYPERLINK("CSG21.html#group48BZ21", "48BZ²¹"), =HYPERLINK("CSG11.html#group48D11", "48D¹¹"), =HYPERLINK("CSG21.html#group96AZ21", "96AZ²¹"), =HYPERLINK("CSG17.html#group48CL17", "48CL¹⁷"), =HYPERLINK("CSG10.html#group24B10", "24B¹⁰"), =HYPERLINK("CSG23.html#group104N23", "104N²³"), =HYPERLINK("CSG17.html#group48H17", "48H¹⁷"), =HYPERLINK("CSG17.html#group40AH17", "40AH¹⁷"), =HYPERLINK("CSG1.html#group12V1", "12V¹"), =HYPERLINK("CSG17.html#group24H17", "24H¹⁷"), =HYPERLINK("CSG19.html#group24S19", "24S¹⁹"), =HYPERLINK("CSG15.html#group20E15", "20E¹⁵"), =HYPERLINK("CSG6.html#group32A6", "32A⁶"), =HYPERLINK("CSG7.html#group24W7", "24W⁷"), =HYPERLINK("CSG17.html#group44D17", "44D¹⁷"), =HYPERLINK("CSG13.html#group72V13", "72V¹³"), =HYPERLINK("CSG3.html#group16H3", "16H³"), =HYPERLINK("CSG9.html#group36C9", "36C⁹"), =HYPERLINK("CSG9.html#group48A9", "48A⁹"), =HYPERLINK("CSG11.html#group28E11", "28E¹¹"), =HYPERLINK("CSG7.html#group12D7", "12D⁷"), =HYPERLINK("CSG9.html#group16B9", "16B⁹"), =HYPERLINK("CSG21.html#group48AG21", "48AG²¹"), =HYPERLINK("CSG19.html#group48N19", "48N¹⁹"), =HYPERLINK("CSG17.html#group80A17", "80A¹⁷"), =HYPERLINK("CSG4.html#group24G4", "24G⁴"), =HYPERLINK("CSG9.html#group24F9", "24F⁹"), =HYPERLINK("CSG21.html#group48AO21", "48AO²¹"), =HYPERLINK("CSG16.html#group72G16", "72G¹⁶"), =HYPERLINK("CSG15.html#group36K15", "36K¹⁵"), =HYPERLINK("CSG5.html#group16D5", "16D⁵"), =HYPERLINK("CSG22.html#group20C22", "20C²²"), =HYPERLINK("CSG7.html#group24J7", "24J⁷"), =HYPERLINK("CSG23.html#group96K23", "96K²³"), =HYPERLINK("CSG8.html#group24I8", "24I⁸"), =HYPERLINK("CSG5.html#group32M5", "32M⁵"), =HYPERLINK("CSG13.html#group20F13", "20F¹³"), =HYPERLINK("CSG22.html#group48A22", "48A²²"), =HYPERLINK("CSG15.html#group68D15", "68D¹⁵"), =HYPERLINK("CSG19.html#group48BP19", "48BP¹⁹"), =HYPERLINK("CSG17.html#group80BD17", "80BD¹⁷"), =HYPERLINK("CSG13.html#group24J13", "24J¹³"), =HYPERLINK("CSG19.html#group24I19", "24I¹⁹"), =HYPERLINK("CSG23.html#group28C23", "28C²³"), =HYPERLINK("CSG17.html#group40AR17", "40AR¹⁷"), =HYPERLINK("CSG19.html#group48AR19", "48AR¹⁹"), =HYPERLINK("CSG13.html#group64D13", "64D¹³"), =HYPERLINK("CSG22.html#group40C22", "40C²²"), =HYPERLINK("CSG15.html#group40AD15", "40AD¹⁵"), =HYPERLINK("CSG21.html#group16D21", "16D²¹"), =HYPERLINK("CSG3.html#group16O3", "16O³"), =HYPERLINK("CSG21.html#group128D21", "128D²¹"), =HYPERLINK("CSG21.html#group28D21", "28D²¹"), =HYPERLINK("CSG19.html#group128A19", "128A¹⁹"), =HYPERLINK("CSG4.html#group24D4", "24D⁴"), =HYPERLINK("CSG19.html#group36C19", "36C¹⁹"), =HYPERLINK("CSG15.html#group80P15", "80P¹⁵"), =HYPERLINK("CSG22.html#group20A22", "20A²²"), =HYPERLINK("CSG19.html#group80N19", "80N¹⁹"), =HYPERLINK("CSG13.html#group28F13", "28F¹³"), =HYPERLINK("CSG14.html#group60F14", "60F¹⁴"), =HYPERLINK("CSG19.html#group48C19", "48C¹⁹"), =HYPERLINK("CSG23.html#group56V23", "56V²³"), =HYPERLINK("CSG21.html#group24C21", "24C²¹"), =HYPERLINK("CSG21.html#group24G21", "24G²¹"), =HYPERLINK("CSG7.html#group40L7", "40L⁷"), =HYPERLINK("CSG15.html#group40Y15", "40Y¹⁵"), =HYPERLINK("CSG5.html#group16C5", "16C⁵"), =HYPERLINK("CSG21.html#group48CP21", "48CP²¹"), =HYPERLINK("CSG19.html#group72B19", "72B¹⁹"), =HYPERLINK("CSG17.html#group40AE17", "40AE¹⁷"), =HYPERLINK("CSG17.html#group32A17", "32A¹⁷"), =HYPERLINK("CSG15.html#group64F15", "64F¹⁵"), =HYPERLINK("CSG13.html#group64C13", "64C¹³"), =HYPERLINK("CSG5.html#group24Z5", "24Z⁵"), =HYPERLINK("CSG17.html#group48BP17", "48BP¹⁷"), =HYPERLINK("CSG5.html#group32B5", "32B⁵"), =HYPERLINK("CSG13.html#group56C13", "56C¹³"), =HYPERLINK("CSG17.html#group80W17", "80W¹⁷"), =HYPERLINK("CSG19.html#group24E19", "24E¹⁹"), =HYPERLINK("CSG21.html#group128F21", "128F²¹"), =HYPERLINK("CSG17.html#group24A17", "24A¹⁷"), =HYPERLINK("CSG7.html#group32L7", "32L⁷"), =HYPERLINK("CSG15.html#group40N15", "40N¹⁵"), =HYPERLINK("CSG5.html#group16N5", "16N⁵"), =HYPERLINK("CSG3.html#group16D3", "16D³"), =HYPERLINK("CSG2.html#group16I2", "16I²"), =HYPERLINK("CSG13.html#group12B13", "12B¹³"), =HYPERLINK("CSG17.html#group72E17", "72E¹⁷"), =HYPERLINK("CSG21.html#group88D21", "88D²¹"), =HYPERLINK("CSG19.html#group32C19", "32C¹⁹"), =HYPERLINK("CSG23.html#group56R23", "56R²³"), =HYPERLINK("CSG9.html#group24T9", "24T⁹"), =HYPERLINK("CSG21.html#group80D21", "80D²¹"), =HYPERLINK("CSG8.html#group20A8", "20A⁸"), =HYPERLINK("CSG17.html#group48CN17", "48CN¹⁷"), =HYPERLINK("CSG7.html#group32B7", "32B⁷"), =HYPERLINK("CSG13.html#group24P13", "24P¹³")</f>
        <v/>
      </c>
    </row>
    <row r="15">
      <c r="A15" t="inlineStr">
        <is>
          <t>4F⁰</t>
        </is>
      </c>
      <c r="B15" t="inlineStr"/>
      <c r="C15" t="inlineStr">
        <is>
          <t>12</t>
        </is>
      </c>
      <c r="D15" t="inlineStr">
        <is>
          <t>1</t>
        </is>
      </c>
      <c r="E15" t="inlineStr">
        <is>
          <t>6</t>
        </is>
      </c>
      <c r="F15" t="inlineStr">
        <is>
          <t>2</t>
        </is>
      </c>
      <c r="G15" t="inlineStr">
        <is>
          <t>0</t>
        </is>
      </c>
      <c r="H15" t="inlineStr">
        <is>
          <t>4³</t>
        </is>
      </c>
      <c r="I15" t="n">
        <v>3</v>
      </c>
      <c r="J15" t="inlineStr">
        <is>
          <t>1², 2²</t>
        </is>
      </c>
      <c r="K15">
        <f>HYPERLINK("CSG0.html#group4A0", "4A⁰"), =HYPERLINK("CSG0.html#group4C0", "4C⁰")</f>
        <v/>
      </c>
      <c r="L15">
        <f>HYPERLINK("CSG0.html#group4G0", "4G⁰"), =HYPERLINK("CSG0.html#group8H0", "8H⁰"), =HYPERLINK("CSG0.html#group8K0", "8K⁰"), =HYPERLINK("CSG1.html#group8C1", "8C¹"), =HYPERLINK("CSG1.html#group8D1", "8D¹"), =HYPERLINK("CSG1.html#group12J1", "12J¹"), =HYPERLINK("CSG2.html#group12G2", "12G²"), =HYPERLINK("CSG3.html#group20L3", "20L³"), =HYPERLINK("CSG4.html#group20C4", "20C⁴"), =HYPERLINK("CSG5.html#group28D5", "28D⁵"), =HYPERLINK("CSG6.html#group28G6", "28G⁶"), =HYPERLINK("CSG7.html#group20H7", "20H⁷"), =HYPERLINK("CSG9.html#group44A9", "44A⁹"), =HYPERLINK("CSG10.html#group44C10", "44C¹⁰"), =HYPERLINK("CSG11.html#group52F11", "52F¹¹"), =HYPERLINK("CSG15.html#group68F15", "68F¹⁵"), =HYPERLINK("CSG18.html#group76C18", "76C¹⁸"), =HYPERLINK("CSG22.html#group36G22", "36G²²"), =HYPERLINK("CSG22.html#group92B22", "92B²²")</f>
        <v/>
      </c>
      <c r="M15">
        <f>HYPERLINK("CSG0.html#group2B0", "2B⁰"), =HYPERLINK("CSG0.html#group1A0", "1A⁰"), =HYPERLINK("CSG0.html#group4A0", "4A⁰"), =HYPERLINK("CSG0.html#group4C0", "4C⁰")</f>
        <v/>
      </c>
      <c r="N15">
        <f>HYPERLINK("CSG10.html#group24C10", "24C¹⁰"), =HYPERLINK("CSG5.html#group16F5", "16F⁵"), =HYPERLINK("CSG11.html#group16A11", "16A¹¹"), =HYPERLINK("CSG19.html#group16B19", "16B¹⁹"), =HYPERLINK("CSG21.html#group80M21", "80M²¹"), =HYPERLINK("CSG17.html#group80G17", "80G¹⁷"), =HYPERLINK("CSG21.html#group64Q21", "64Q²¹"), =HYPERLINK("CSG17.html#group40X17", "40X¹⁷"), =HYPERLINK("CSG3.html#group16P3", "16P³"), =HYPERLINK("CSG19.html#group24M19", "24M¹⁹"), =HYPERLINK("CSG14.html#group72F14", "72F¹⁴"), =HYPERLINK("CSG15.html#group24L15", "24L¹⁵"), =HYPERLINK("CSG8.html#group40E8", "40E⁸"), =HYPERLINK("CSG20.html#group96B20", "96B²⁰"), =HYPERLINK("CSG22.html#group36G22", "36G²²"), =HYPERLINK("CSG16.html#group48D16", "48D¹⁶"), =HYPERLINK("CSG21.html#group48AE21", "48AE²¹"), =HYPERLINK("CSG19.html#group48AT19", "48AT¹⁹"), =HYPERLINK("CSG24.html#group56H24", "56H²⁴"), =HYPERLINK("CSG13.html#group64K13", "64K¹³"), =HYPERLINK("CSG7.html#group24R7", "24R⁷"), =HYPERLINK("CSG19.html#group48Z19", "48Z¹⁹"), =HYPERLINK("CSG21.html#group48CF21", "48CF²¹"), =HYPERLINK("CSG13.html#group60G13", "60G¹³"), =HYPERLINK("CSG23.html#group96AJ23", "96AJ²³"), =HYPERLINK("CSG13.html#group48L13", "48L¹³"), =HYPERLINK("CSG9.html#group40E9", "40E⁹"), =HYPERLINK("CSG9.html#group24AC9", "24AC⁹"), =HYPERLINK("CSG17.html#group24AD17", "24AD¹⁷"), =HYPERLINK("CSG17.html#group24AO17", "24AO¹⁷"), =HYPERLINK("CSG18.html#group48O18", "48O¹⁸"), =HYPERLINK("CSG5.html#group48E5", "48E⁵"), =HYPERLINK("CSG7.html#group24AF7", "24AF⁷"), =HYPERLINK("CSG21.html#group48AD21", "48AD²¹"), =HYPERLINK("CSG17.html#group48AM17", "48AM¹⁷"), =HYPERLINK("CSG17.html#group48BW17", "48BW¹⁷"), =HYPERLINK("CSG18.html#group64B18", "64B¹⁸"), =HYPERLINK("CSG21.html#group32C21", "32C²¹"), =HYPERLINK("CSG11.html#group32H11", "32H¹¹"), =HYPERLINK("CSG16.html#group72L16", "72L¹⁶"), =HYPERLINK("CSG20.html#group20B20", "20B²⁰"), =HYPERLINK("CSG21.html#group48BW21", "48BW²¹"), =HYPERLINK("CSG3.html#group16I3", "16I³"), =HYPERLINK("CSG19.html#group96M19", "96M¹⁹"), =HYPERLINK("CSG19.html#group48AZ19", "48AZ¹⁹"), =HYPERLINK("CSG15.html#group40U15", "40U¹⁵"), =HYPERLINK("CSG21.html#group48CD21", "48CD²¹"), =HYPERLINK("CSG9.html#group32K9", "32K⁹"), =HYPERLINK("CSG11.html#group28D11", "28D¹¹"), =HYPERLINK("CSG23.html#group112H23", "112H²³"), =HYPERLINK("CSG21.html#group64G21", "64G²¹"), =HYPERLINK("CSG20.html#group44A20", "44A²⁰"), =HYPERLINK("CSG17.html#group48AQ17", "48AQ¹⁷"), =HYPERLINK("CSG5.html#group28D5", "28D⁵"), =HYPERLINK("CSG18.html#group60G18", "60G¹⁸"), =HYPERLINK("CSG16.html#group48H16", "48H¹⁶"), =HYPERLINK("CSG24.html#group32B24", "32B²⁴"), =HYPERLINK("CSG19.html#group48AY19", "48AY¹⁹"), =HYPERLINK("CSG9.html#group24AI9", "24AI⁹"), =HYPERLINK("CSG19.html#group24G19", "24G¹⁹"), =HYPERLINK("CSG9.html#group16E9", "16E⁹"), =HYPERLINK("CSG10.html#group24A10", "24A¹⁰"), =HYPERLINK("CSG9.html#group16D9", "16D⁹"), =HYPERLINK("CSG19.html#group40F19", "40F¹⁹"), =HYPERLINK("CSG17.html#group40AP17", "40AP¹⁷"), =HYPERLINK("CSG15.html#group48U15", "48U¹⁵"), =HYPERLINK("CSG23.html#group32B23", "32B²³"), =HYPERLINK("CSG24.html#group56J24", "56J²⁴"), =HYPERLINK("CSG17.html#group24AA17", "24AA¹⁷"), =HYPERLINK("CSG7.html#group16B7", "16B⁷"), =HYPERLINK("CSG13.html#group24V13", "24V¹³"), =HYPERLINK("CSG0.html#group4G0", "4G⁰"), =HYPERLINK("CSG19.html#group40A19", "40A¹⁹"), =HYPERLINK("CSG19.html#group24B19", "24B¹⁹"), =HYPERLINK("CSG9.html#group40P9", "40P⁹"), =HYPERLINK("CSG10.html#group16A10", "16A¹⁰"), =HYPERLINK("CSG21.html#group48AF21", "48AF²¹"), =HYPERLINK("CSG23.html#group52C23", "52C²³"), =HYPERLINK("CSG7.html#group20H7", "20H⁷"), =HYPERLINK("CSG13.html#group12A13", "12A¹³"), =HYPERLINK("CSG10.html#group16B10", "16B¹⁰"), =HYPERLINK("CSG17.html#group48BR17", "48BR¹⁷"), =HYPERLINK("CSG19.html#group80V19", "80V¹⁹"), =HYPERLINK("CSG17.html#group24D17", "24D¹⁷"), =HYPERLINK("CSG19.html#group36A19", "36A¹⁹"), =HYPERLINK("CSG13.html#group24X13", "24X¹³"), =HYPERLINK("CSG15.html#group48X15", "48X¹⁵"), =HYPERLINK("CSG9.html#group32L9", "32L⁹"), =HYPERLINK("CSG21.html#group48BV21", "48BV²¹"), =HYPERLINK("CSG17.html#group48BO17", "48BO¹⁷"), =HYPERLINK("CSG12.html#group36F12", "36F¹²"), =HYPERLINK("CSG1.html#group16K1", "16K¹"), =HYPERLINK("CSG13.html#group40T13", "40T¹³"), =HYPERLINK("CSG3.html#group16E3", "16E³"), =HYPERLINK("CSG5.html#group32F5", "32F⁵"), =HYPERLINK("CSG22.html#group40F22", "40F²²"), =HYPERLINK("CSG19.html#group48AD19", "48AD¹⁹"), =HYPERLINK("CSG19.html#group40E19", "40E¹⁹"), =HYPERLINK("CSG16.html#group40C16", "40C¹⁶"), =HYPERLINK("CSG10.html#group44C10", "44C¹⁰"), =HYPERLINK("CSG19.html#group16A19", "16A¹⁹"), =HYPERLINK("CSG17.html#group40O17", "40O¹⁷"), =HYPERLINK("CSG19.html#group40G19", "40G¹⁹"), =HYPERLINK("CSG10.html#group16C10", "16C¹⁰"), =HYPERLINK("CSG17.html#group24AK17", "24AK¹⁷"), =HYPERLINK("CSG6.html#group16A6", "16A⁶"), =HYPERLINK("CSG19.html#group96AD19", "96AD¹⁹"), =HYPERLINK("CSG17.html#group48BZ17", "48BZ¹⁷"), =HYPERLINK("CSG12.html#group72F12", "72F¹²"), =HYPERLINK("CSG23.html#group52G23", "52G²³"), =HYPERLINK("CSG5.html#group24J5", "24J⁵"), =HYPERLINK("CSG20.html#group36B20", "36B²⁰"), =HYPERLINK("CSG23.html#group96AD23", "96AD²³"), =HYPERLINK("CSG21.html#group64P21", "64P²¹"), =HYPERLINK("CSG21.html#group64H21", "64H²¹"), =HYPERLINK("CSG19.html#group24L19", "24L¹⁹"), =HYPERLINK("CSG9.html#group24AF9", "24AF⁹"), =HYPERLINK("CSG23.html#group32C23", "32C²³"), =HYPERLINK("CSG9.html#group32F9", "32F⁹"), =HYPERLINK("CSG8.html#group48R8", "48R⁸"), =HYPERLINK("CSG20.html#group48G20", "48G²⁰"), =HYPERLINK("CSG15.html#group40V15", "40V¹⁵"), =HYPERLINK("CSG17.html#group80K17", "80K¹⁷"), =HYPERLINK("CSG19.html#group80K19", "80K¹⁹"), =HYPERLINK("CSG19.html#group48S19", "48S¹⁹"), =HYPERLINK("CSG0.html#group8K0", "8K⁰"), =HYPERLINK("CSG5.html#group24W5", "24W⁵"), =HYPERLINK("CSG18.html#group48M18", "48M¹⁸"), =HYPERLINK("CSG13.html#group32R13", "32R¹³"), =HYPERLINK("CSG17.html#group96X17", "96X¹⁷"), =HYPERLINK("CSG17.html#group24AP17", "24AP¹⁷"), =HYPERLINK("CSG10.html#group32A10", "32A¹⁰"), =HYPERLINK("CSG17.html#group48AE17", "48AE¹⁷"), =HYPERLINK("CSG23.html#group48A23", "48A²³"), =HYPERLINK("CSG7.html#group24L7", "24L⁷"), =HYPERLINK("CSG6.html#group16C6", "16C⁶"), =HYPERLINK("CSG17.html#group96N17", "96N¹⁷"), =HYPERLINK("CSG22.html#group92B22", "92B²²"), =HYPERLINK("CSG23.html#group32H23", "32H²³"), =HYPERLINK("CSG15.html#group64L15", "64L¹⁵"), =HYPERLINK("CSG9.html#group16C9", "16C⁹"), =HYPERLINK("CSG11.html#group48J11", "48J¹¹"), =HYPERLINK("CSG2.html#group8B2", "8B²"), =HYPERLINK("CSG21.html#group80AG21", "80AG²¹"), =HYPERLINK("CSG20.html#group48E20", "48E²⁰"), =HYPERLINK("CSG19.html#group24H19", "24H¹⁹"), =HYPERLINK("CSG1.html#group8D1", "8D¹"), =HYPERLINK("CSG9.html#group24R9", "24R⁹"), =HYPERLINK("CSG3.html#group24J3", "24J³"), =HYPERLINK("CSG23.html#group36D23", "36D²³"), =HYPERLINK("CSG15.html#group48T15", "48T¹⁵"), =HYPERLINK("CSG23.html#group32E23", "32E²³"), =HYPERLINK("CSG8.html#group24C8", "24C⁸"), =HYPERLINK("CSG17.html#group24R17", "24R¹⁷"), =HYPERLINK("CSG21.html#group32E21", "32E²¹"), =HYPERLINK("CSG4.html#group16C4", "16C⁴"), =HYPERLINK("CSG18.html#group48N18", "48N¹⁸"), =HYPERLINK("CSG21.html#group80T21", "80T²¹"), =HYPERLINK("CSG1.html#group12J1", "12J¹"), =HYPERLINK("CSG17.html#group48AS17", "48AS¹⁷"), =HYPERLINK("CSG7.html#group48O7", "48O⁷"), =HYPERLINK("CSG9.html#group40R9", "40R⁹"), =HYPERLINK("CSG17.html#group40AI17", "40AI¹⁷"), =HYPERLINK("CSG4.html#group24O4", "24O⁴"), =HYPERLINK("CSG8.html#group40B8", "40B⁸"), =HYPERLINK("CSG21.html#group20C21", "20C²¹"), =HYPERLINK("CSG19.html#group32D19", "32D¹⁹"), =HYPERLINK("CSG21.html#group48AQ21", "48AQ²¹"), =HYPERLINK("CSG19.html#group80S19", "80S¹⁹"), =HYPERLINK("CSG13.html#group20E13", "20E¹³"), =HYPERLINK("CSG17.html#group72Q17", "72Q¹⁷"), =HYPERLINK("CSG13.html#group32J13", "32J¹³"), =HYPERLINK("CSG18.html#group76C18", "76C¹⁸"), =HYPERLINK("CSG19.html#group36B19", "36B¹⁹"), =HYPERLINK("CSG17.html#group96D17", "96D¹⁷"), =HYPERLINK("CSG17.html#group40AJ17", "40AJ¹⁷"), =HYPERLINK("CSG11.html#group12A11", "12A¹¹"), =HYPERLINK("CSG9.html#group24Q9", "24Q⁹"), =HYPERLINK("CSG19.html#group44A19", "44A¹⁹"), =HYPERLINK("CSG7.html#group20K7", "20K⁷"), =HYPERLINK("CSG17.html#group96C17", "96C¹⁷"), =HYPERLINK("CSG21.html#group48BN21", "48BN²¹"), =HYPERLINK("CSG18.html#group32A18", "32A¹⁸"), =HYPERLINK("CSG19.html#group48BL19", "48BL¹⁹"), =HYPERLINK("CSG7.html#group20M7", "20M⁷"), =HYPERLINK("CSG13.html#group20C13", "20C¹³"), =HYPERLINK("CSG24.html#group40A24", "40A²⁴"), =HYPERLINK("CSG3.html#group16C3", "16C³"), =HYPERLINK("CSG24.html#group112L24", "112L²⁴"), =HYPERLINK("CSG21.html#group48AS21", "48AS²¹"), =HYPERLINK("CSG3.html#group16M3", "16M³"), =HYPERLINK("CSG5.html#group12D5", "12D⁵"), =HYPERLINK("CSG17.html#group40U17", "40U¹⁷"), =HYPERLINK("CSG8.html#group48U8", "48U⁸"), =HYPERLINK("CSG17.html#group48AL17", "48AL¹⁷"), =HYPERLINK("CSG23.html#group56I23", "56I²³"), =HYPERLINK("CSG17.html#group80B17", "80B¹⁷"), =HYPERLINK("CSG2.html#group24L2", "24L²"), =HYPERLINK("CSG21.html#group16C21", "16C²¹"), =HYPERLINK("CSG17.html#group96Y17", "96Y¹⁷"), =HYPERLINK("CSG5.html#group16A5", "16A⁵"), =HYPERLINK("CSG19.html#group60N19", "60N¹⁹"), =HYPERLINK("CSG13.html#group48AB13", "48AB¹³"), =HYPERLINK("CSG19.html#group48AM19", "48AM¹⁹"), =HYPERLINK("CSG21.html#group80S21", "80S²¹"), =HYPERLINK("CSG17.html#group80AR17", "80AR¹⁷"), =HYPERLINK("CSG23.html#group96AI23", "96AI²³"), =HYPERLINK("CSG16.html#group48C16", "48C¹⁶"), =HYPERLINK("CSG9.html#group16K9", "16K⁹"), =HYPERLINK("CSG21.html#group72H21", "72H²¹"), =HYPERLINK("CSG8.html#group24M8", "24M⁸"), =HYPERLINK("CSG15.html#group40H15", "40H¹⁵"), =HYPERLINK("CSG11.html#group24F11", "24F¹¹"), =HYPERLINK("CSG17.html#group16B17", "16B¹⁷"), =HYPERLINK("CSG4.html#group12A4", "12A⁴"), =HYPERLINK("CSG15.html#group48V15", "48V¹⁵"), =HYPERLINK("CSG11.html#group24B11", "24B¹¹"), =HYPERLINK("CSG15.html#group96O15", "96O¹⁵"), =HYPERLINK("CSG14.html#group64D14", "64D¹⁴"), =HYPERLINK("CSG21.html#group48CO21", "48CO²¹"), =HYPERLINK("CSG6.html#group24B6", "24B⁶"), =HYPERLINK("CSG21.html#group48V21", "48V²¹"), =HYPERLINK("CSG9.html#group16I9", "16I⁹"), =HYPERLINK("CSG21.html#group32P21", "32P²¹"), =HYPERLINK("CSG21.html#group56J21", "56J²¹"), =HYPERLINK("CSG21.html#group72G21", "72G²¹"), =HYPERLINK("CSG0.html#group8N0", "8N⁰"), =HYPERLINK("CSG11.html#group32C11", "32C¹¹"), =HYPERLINK("CSG9.html#group32H9", "32H⁹"), =HYPERLINK("CSG17.html#group96R17", "96R¹⁷"), =HYPERLINK("CSG9.html#group48K9", "48K⁹"), =HYPERLINK("CSG17.html#group40Z17", "40Z¹⁷"), =HYPERLINK("CSG22.html#group84I22", "84I²²"), =HYPERLINK("CSG17.html#group48BL17", "48BL¹⁷"), =HYPERLINK("CSG5.html#group32H5", "32H⁵"), =HYPERLINK("CSG4.html#group20C4", "20C⁴"), =HYPERLINK("CSG17.html#group24J17", "24J¹⁷"), =HYPERLINK("CSG8.html#group48H8", "48H⁸"), =HYPERLINK("CSG15.html#group48Y15", "48Y¹⁵"), =HYPERLINK("CSG9.html#group32G9", "32G⁹"), =HYPERLINK("CSG8.html#group48V8", "48V⁸"), =HYPERLINK("CSG2.html#group16L2", "16L²"), =HYPERLINK("CSG17.html#group80BB17", "80BB¹⁷"), =HYPERLINK("CSG22.html#group84L22", "84L²²"), =HYPERLINK("CSG12.html#group56J12", "56J¹²"), =HYPERLINK("CSG15.html#group24O15", "24O¹⁵"), =HYPERLINK("CSG16.html#group84B16", "84B¹⁶"), =HYPERLINK("CSG10.html#group28A10", "28A¹⁰"), =HYPERLINK("CSG10.html#group36K10", "36K¹⁰"), =HYPERLINK("CSG24.html#group32A24", "32A²⁴"), =HYPERLINK("CSG19.html#group88A19", "88A¹⁹"), =HYPERLINK("CSG21.html#group48AX21", "48AX²¹"), =HYPERLINK("CSG9.html#group16H9", "16H⁹"), =HYPERLINK("CSG19.html#group72O19", "72O¹⁹"), =HYPERLINK("CSG9.html#group32B9", "32B⁹"), =HYPERLINK("CSG9.html#group24C9", "24C⁹"), =HYPERLINK("CSG18.html#group48G18", "48G¹⁸"), =HYPERLINK("CSG13.html#group32A13", "32A¹³"), =HYPERLINK("CSG15.html#group48W15", "48W¹⁵"), =HYPERLINK("CSG20.html#group88E20", "88E²⁰"), =HYPERLINK("CSG13.html#group32K13", "32K¹³"), =HYPERLINK("CSG4.html#group16A4", "16A⁴"), =HYPERLINK("CSG7.html#group32A7", "32A⁷"), =HYPERLINK("CSG17.html#group40AK17", "40AK¹⁷"), =HYPERLINK("CSG5.html#group32E5", "32E⁵"), =HYPERLINK("CSG17.html#group96B17", "96B¹⁷"), =HYPERLINK("CSG16.html#group24B16", "24B¹⁶"), =HYPERLINK("CSG21.html#group24E21", "24E²¹"), =HYPERLINK("CSG21.html#group32A21", "32A²¹"), =HYPERLINK("CSG7.html#group24X7", "24X⁷"), =HYPERLINK("CSG7.html#group16E7", "16E⁷"), =HYPERLINK("CSG21.html#group48CB21", "48CB²¹"), =HYPERLINK("CSG3.html#group32Q3", "32Q³"), =HYPERLINK("CSG17.html#group16A17", "16A¹⁷"), =HYPERLINK("CSG11.html#group24G11", "24G¹¹"), =HYPERLINK("CSG20.html#group48F20", "48F²⁰"), =HYPERLINK("CSG13.html#group56F13", "56F¹³"), =HYPERLINK("CSG21.html#group16B21", "16B²¹"), =HYPERLINK("CSG17.html#group24AH17", "24AH¹⁷"), =HYPERLINK("CSG1.html#group16H1", "16H¹"), =HYPERLINK("CSG19.html#group48G19", "48G¹⁹"), =HYPERLINK("CSG15.html#group40AE15", "40AE¹⁵"), =HYPERLINK("CSG4.html#group32C4", "32C⁴"), =HYPERLINK("CSG3.html#group8A3", "8A³"), =HYPERLINK("CSG24.html#group32C24", "32C²⁴"), =HYPERLINK("CSG17.html#group24N17", "24N¹⁷"), =HYPERLINK("CSG17.html#group24AN17", "24AN¹⁷"), =HYPERLINK("CSG2.html#group8A2", "8A²"), =HYPERLINK("CSG6.html#group24G6", "24G⁶"), =HYPERLINK("CSG5.html#group16B5", "16B⁵"), =HYPERLINK("CSG3.html#group16L3", "16L³"), =HYPERLINK("CSG19.html#group48B19", "48B¹⁹"), =HYPERLINK("CSG5.html#group16I5", "16I⁵"), =HYPERLINK("CSG17.html#group72F17", "72F¹⁷"), =HYPERLINK("CSG15.html#group72M15", "72M¹⁵"), =HYPERLINK("CSG19.html#group48AE19", "48AE¹⁹"), =HYPERLINK("CSG7.html#group12C7", "12C⁷"), =HYPERLINK("CSG13.html#group16C13", "16C¹³"), =HYPERLINK("CSG13.html#group40M13", "40M¹³"), =HYPERLINK("CSG21.html#group72F21", "72F²¹"), =HYPERLINK("CSG17.html#group48BM17", "48BM¹⁷"), =HYPERLINK("CSG5.html#group16M5", "16M⁵"), =HYPERLINK("CSG7.html#group48P7", "48P⁷"), =HYPERLINK("CSG6.html#group24F6", "24F⁶"), =HYPERLINK("CSG23.html#group56D23", "56D²³"), =HYPERLINK("CSG21.html#group80AF21", "80AF²¹"), =HYPERLINK("CSG20.html#group48B20", "48B²⁰"), =HYPERLINK("CSG1.html#group8H1", "8H¹"), =HYPERLINK("CSG21.html#group24D21", "24D²¹"), =HYPERLINK("CSG21.html#group48AZ21", "48AZ²¹"), =HYPERLINK("CSG7.html#group24AE7", "24AE⁷"), =HYPERLINK("CSG13.html#group16B13", "16B¹³"), =HYPERLINK("CSG17.html#group40P17", "40P¹⁷"), =HYPERLINK("CSG9.html#group32Q9", "32Q⁹"), =HYPERLINK("CSG9.html#group24Y9", "24Y⁹"), =HYPERLINK("CSG3.html#group24R3", "24R³"), =HYPERLINK("CSG15.html#group40AF15", "40AF¹⁵"), =HYPERLINK("CSG21.html#group48F21", "48F²¹"), =HYPERLINK("CSG9.html#group32N9", "32N⁹"), =HYPERLINK("CSG21.html#group48CE21", "48CE²¹"), =HYPERLINK("CSG7.html#group24K7", "24K⁷"), =HYPERLINK("CSG24.html#group112Y24", "112Y²⁴"), =HYPERLINK("CSG19.html#group24A19", "24A¹⁹"), =HYPERLINK("CSG17.html#group48BN17", "48BN¹⁷"), =HYPERLINK("CSG23.html#group40G23", "40G²³"), =HYPERLINK("CSG20.html#group96A20", "96A²⁰"), =HYPERLINK("CSG9.html#group32A9", "32A⁹"), =HYPERLINK("CSG23.html#group112I23", "112I²³"), =HYPERLINK("CSG11.html#group48Y11", "48Y¹¹"), =HYPERLINK("CSG11.html#group24A11", "24A¹¹"), =HYPERLINK("CSG3.html#group12J3", "12J³"), =HYPERLINK("CSG23.html#group96AC23", "96AC²³"), =HYPERLINK("CSG4.html#group24H4", "24H⁴"), =HYPERLINK("CSG21.html#group16F21", "16F²¹"), =HYPERLINK("CSG10.html#group32C10", "32C¹⁰"), =HYPERLINK("CSG22.html#group56E22", "56E²²"), =HYPERLINK("CSG9.html#group16A9", "16A⁹"), =HYPERLINK("CSG19.html#group48BA19", "48BA¹⁹"), =HYPERLINK("CSG16.html#group36A16", "36A¹⁶"), =HYPERLINK("CSG8.html#group24K8", "24K⁸"), =HYPERLINK("CSG18.html#group48J18", "48J¹⁸"), =HYPERLINK("CSG9.html#group40Q9", "40Q⁹"), =HYPERLINK("CSG21.html#group48CN21", "48CN²¹"), =HYPERLINK("CSG20.html#group48D20", "48D²⁰"), =HYPERLINK("CSG13.html#group48E13", "48E¹³"), =HYPERLINK("CSG3.html#group20L3", "20L³"), =HYPERLINK("CSG18.html#group40A18", "40A¹⁸"), =HYPERLINK("CSG21.html#group64I21", "64I²¹"), =HYPERLINK("CSG3.html#group8B3", "8B³"), =HYPERLINK("CSG11.html#group24I11", "24I¹¹"), =HYPERLINK("CSG21.html#group24F21", "24F²¹"), =HYPERLINK("CSG8.html#group48F8", "48F⁸"), =HYPERLINK("CSG11.html#group48O11", "48O¹¹"), =HYPERLINK("CSG19.html#group40D19", "40D¹⁹"), =HYPERLINK("CSG21.html#group16A21", "16A²¹"), =HYPERLINK("CSG9.html#group32M9", "32M⁹"), =HYPERLINK("CSG23.html#group56O23", "56O²³"), =HYPERLINK("CSG2.html#group8C2", "8C²"), =HYPERLINK("CSG16.html#group24A16", "24A¹⁶"), =HYPERLINK("CSG23.html#group112K23", "112K²³"), =HYPERLINK("CSG16.html#group48B16", "48B¹⁶"), =HYPERLINK("CSG13.html#group24AB13", "24AB¹³"), =HYPERLINK("CSG19.html#group24F19", "24F¹⁹"), =HYPERLINK("CSG17.html#group40Q17", "40Q¹⁷"), =HYPERLINK("CSG22.html#group40B22", "40B²²"), =HYPERLINK("CSG10.html#group56C10", "56C¹⁰"), =HYPERLINK("CSG23.html#group56N23", "56N²³"), =HYPERLINK("CSG15.html#group24B15", "24B¹⁵"), =HYPERLINK("CSG15.html#group40AC15", "40AC¹⁵"), =HYPERLINK("CSG7.html#group12B7", "12B⁷"), =HYPERLINK("CSG7.html#group24AB7", "24AB⁷"), =HYPERLINK("CSG19.html#group48U19", "48U¹⁹"), =HYPERLINK("CSG9.html#group64H9", "64H⁹"), =HYPERLINK("CSG5.html#group32I5", "32I⁵"), =HYPERLINK("CSG22.html#group96D22", "96D²²"), =HYPERLINK("CSG18.html#group48P18", "48P¹⁸"), =HYPERLINK("CSG9.html#group24H9", "24H⁹"), =HYPERLINK("CSG17.html#group24B17", "24B¹⁷"), =HYPERLINK("CSG13.html#group36I13", "36I¹³"), =HYPERLINK("CSG17.html#group40AA17", "40AA¹⁷"), =HYPERLINK("CSG12.html#group32A12", "32A¹²"), =HYPERLINK("CSG24.html#group56A24", "56A²⁴"), =HYPERLINK("CSG15.html#group48S15", "48S¹⁵"), =HYPERLINK("CSG13.html#group72M13", "72M¹³"), =HYPERLINK("CSG17.html#group48BK17", "48BK¹⁷"), =HYPERLINK("CSG23.html#group56M23", "56M²³"), =HYPERLINK("CSG21.html#group48E21", "48E²¹"), =HYPERLINK("CSG17.html#group24AE17", "24AE¹⁷"), =HYPERLINK("CSG7.html#group40Y7", "40Y⁷"), =HYPERLINK("CSG19.html#group48AB19", "48AB¹⁹"), =HYPERLINK("CSG17.html#group40N17", "40N¹⁷"), =HYPERLINK("CSG8.html#group48G8", "48G⁸"), =HYPERLINK("CSG19.html#group32A19", "32A¹⁹"), =HYPERLINK("CSG6.html#group32B6", "32B⁶"), =HYPERLINK("CSG21.html#group32D21", "32D²¹"), =HYPERLINK("CSG10.html#group48C10", "48C¹⁰"), =HYPERLINK("CSG23.html#group32D23", "32D²³"), =HYPERLINK("CSG17.html#group80AK17", "80AK¹⁷"), =HYPERLINK("CSG15.html#group64K15", "64K¹⁵"), =HYPERLINK("CSG15.html#group24M15", "24M¹⁵"), =HYPERLINK("CSG10.html#group36J10", "36J¹⁰"), =HYPERLINK("CSG21.html#group48AY21", "48AY²¹"), =HYPERLINK("CSG12.html#group36D12", "36D¹²"), =HYPERLINK("CSG10.html#group48D10", "48D¹⁰"), =HYPERLINK("CSG17.html#group48AK17", "48AK¹⁷"), =HYPERLINK("CSG15.html#group68F15", "68F¹⁵"), =HYPERLINK("CSG17.html#group24AB17", "24AB¹⁷"), =HYPERLINK("CSG13.html#group64U13", "64U¹³"), =HYPERLINK("CSG7.html#group36I7", "36I⁷"), =HYPERLINK("CSG21.html#group100B21", "100B²¹"), =HYPERLINK("CSG4.html#group16B4", "16B⁴"), =HYPERLINK("CSG15.html#group40P15", "40P¹⁵"), =HYPERLINK("CSG17.html#group80F17", "80F¹⁷"), =HYPERLINK("CSG9.html#group24AJ9", "24AJ⁹"), =HYPERLINK("CSG9.html#group24AA9", "24AA⁹"), =HYPERLINK("CSG17.html#group40M17", "40M¹⁷"), =HYPERLINK("CSG0.html#group8P0", "8P⁰"), =HYPERLINK("CSG13.html#group56J13", "56J¹³"), =HYPERLINK("CSG11.html#group32A11", "32A¹¹"), =HYPERLINK("CSG24.html#group56I24", "56I²⁴"), =HYPERLINK("CSG13.html#group40S13", "40S¹³"), =HYPERLINK("CSG22.html#group96B22", "96B²²"), =HYPERLINK("CSG17.html#group80AE17", "80AE¹⁷"), =HYPERLINK("CSG19.html#group96L19", "96L¹⁹"), =HYPERLINK("CSG10.html#group24E10", "24E¹⁰"), =HYPERLINK("CSG15.html#group36N15", "36N¹⁵"), =HYPERLINK("CSG11.html#group32K11", "32K¹¹"), =HYPERLINK("CSG17.html#group80L17", "80L¹⁷"), =HYPERLINK("CSG8.html#group24A8", "24A⁸"), =HYPERLINK("CSG20.html#group48H20", "48H²⁰"), =HYPERLINK("CSG19.html#group48AL19", "48AL¹⁹"), =HYPERLINK("CSG18.html#group48B18", "48B¹⁸"), =HYPERLINK("CSG13.html#group24U13", "24U¹³"), =HYPERLINK("CSG7.html#group24AG7", "24AG⁷"), =HYPERLINK("CSG17.html#group48P17", "48P¹⁷"), =HYPERLINK("CSG21.html#group48AT21", "48AT²¹"), =HYPERLINK("CSG20.html#group72B20", "72B²⁰"), =HYPERLINK("CSG14.html#group56A14", "56A¹⁴"), =HYPERLINK("CSG22.html#group88A22", "88A²²"), =HYPERLINK("CSG10.html#group48G10", "48G¹⁰"), =HYPERLINK("CSG23.html#group112E23", "112E²³"), =HYPERLINK("CSG23.html#group48B23", "48B²³"), =HYPERLINK("CSG11.html#group52F11", "52F¹¹"), =HYPERLINK("CSG17.html#group48S17", "48S¹⁷"), =HYPERLINK("CSG14.html#group72G14", "72G¹⁴"), =HYPERLINK("CSG6.html#group32C6", "32C⁶"), =HYPERLINK("CSG21.html#group88E21", "88E²¹"), =HYPERLINK("CSG1.html#group8I1", "8I¹"), =HYPERLINK("CSG17.html#group48BJ17", "48BJ¹⁷"), =HYPERLINK("CSG8.html#group24L8", "24L⁸"), =HYPERLINK("CSG4.html#group24K4", "24K⁴"), =HYPERLINK("CSG17.html#group48BI17", "48BI¹⁷"), =HYPERLINK("CSG2.html#group12G2", "12G²"), =HYPERLINK("CSG3.html#group12K3", "12K³"), =HYPERLINK("CSG21.html#group48Q21", "48Q²¹"), =HYPERLINK("CSG23.html#group104P23", "104P²³"), =HYPERLINK("CSG23.html#group96AL23", "96AL²³"), =HYPERLINK("CSG7.html#group48U7", "48U⁷"), =HYPERLINK("CSG13.html#group32B13", "32B¹³"), =HYPERLINK("CSG11.html#group56G11", "56G¹¹"), =HYPERLINK("CSG6.html#group24D6", "24D⁶"), =HYPERLINK("CSG16.html#group24E16", "24E¹⁶"), =HYPERLINK("CSG17.html#group48AU17", "48AU¹⁷"), =HYPERLINK("CSG20.html#group72A20", "72A²⁰"), =HYPERLINK("CSG18.html#group32B18", "32B¹⁸"), =HYPERLINK("CSG21.html#group64F21", "64F²¹"), =HYPERLINK("CSG7.html#group32K7", "32K⁷"), =HYPERLINK("CSG21.html#group48BO21", "48BO²¹"), =HYPERLINK("CSG9.html#group64F9", "64F⁹"), =HYPERLINK("CSG23.html#group56P23", "56P²³"), =HYPERLINK("CSG16.html#group48A16", "48A¹⁶"), =HYPERLINK("CSG10.html#group48F10", "48F¹⁰"), =HYPERLINK("CSG17.html#group24F17", "24F¹⁷"), =HYPERLINK("CSG21.html#group32I21", "32I²¹"), =HYPERLINK("CSG19.html#group48A19", "48A¹⁹"), =HYPERLINK("CSG18.html#group48T18", "48T¹⁸"), =HYPERLINK("CSG6.html#group36F6", "36F⁶"), =HYPERLINK("CSG21.html#group48BP21", "48BP²¹"), =HYPERLINK("CSG11.html#group32E11", "32E¹¹"), =HYPERLINK("CSG19.html#group48BM19", "48BM¹⁹"), =HYPERLINK("CSG14.html#group64C14", "64C¹⁴"), =HYPERLINK("CSG24.html#group56B24", "56B²⁴"), =HYPERLINK("CSG19.html#group24O19", "24O¹⁹"), =HYPERLINK("CSG7.html#group16D7", "16D⁷"), =HYPERLINK("CSG13.html#group32P13", "32P¹³"), =HYPERLINK("CSG18.html#group48Q18", "48Q¹⁸"), =HYPERLINK("CSG11.html#group96I11", "96I¹¹"), =HYPERLINK("CSG2.html#group16D2", "16D²"), =HYPERLINK("CSG19.html#group80U19", "80U¹⁹"), =HYPERLINK("CSG9.html#group40B9", "40B⁹"), =HYPERLINK("CSG9.html#group40O9", "40O⁹"), =HYPERLINK("CSG22.html#group40M22", "40M²²"), =HYPERLINK("CSG17.html#group80AD17", "80AD¹⁷"), =HYPERLINK("CSG13.html#group60P13", "60P¹³"), =HYPERLINK("CSG21.html#group24J21", "24J²¹"), =HYPERLINK("CSG0.html#group8H0", "8H⁰"), =HYPERLINK("CSG7.html#group48AB7", "48AB⁷"), =HYPERLINK("CSG15.html#group72J15", "72J¹⁵"), =HYPERLINK("CSG17.html#group80AQ17", "80AQ¹⁷"), =HYPERLINK("CSG22.html#group32B22", "32B²²"), =HYPERLINK("CSG20.html#group96G20", "96G²⁰"), =HYPERLINK("CSG23.html#group32F23", "32F²³"), =HYPERLINK("CSG10.html#group32B10", "32B¹⁰"), =HYPERLINK("CSG19.html#group24C19", "24C¹⁹"), =HYPERLINK("CSG13.html#group36T13", "36T¹³"), =HYPERLINK("CSG17.html#group48T17", "48T¹⁷"), =HYPERLINK("CSG20.html#group96O20", "96O²⁰"), =HYPERLINK("CSG6.html#group32H6", "32H⁶"), =HYPERLINK("CSG5.html#group16J5", "16J⁵"), =HYPERLINK("CSG19.html#group64A19", "64A¹⁹"), =HYPERLINK("CSG19.html#group48AU19", "48AU¹⁹"), =HYPERLINK("CSG19.html#group24P19", "24P¹⁹"), =HYPERLINK("CSG21.html#group32M21", "32M²¹"), =HYPERLINK("CSG21.html#group72E21", "72E²¹"), =HYPERLINK("CSG23.html#group104O23", "104O²³"), =HYPERLINK("CSG21.html#group48L21", "48L²¹"), =HYPERLINK("CSG21.html#group48BL21", "48BL²¹"), =HYPERLINK("CSG21.html#group28M21", "28M²¹"), =HYPERLINK("CSG5.html#group12E5", "12E⁵"), =HYPERLINK("CSG15.html#group24C15", "24C¹⁵"), =HYPERLINK("CSG22.html#group48D22", "48D²²"), =HYPERLINK("CSG13.html#group32C13", "32C¹³"), =HYPERLINK("CSG10.html#group48I10", "48I¹⁰"), =HYPERLINK("CSG10.html#group48H10", "48H¹⁰"), =HYPERLINK("CSG11.html#group48Z11", "48Z¹¹"), =HYPERLINK("CSG19.html#group48AS19", "48AS¹⁹"), =HYPERLINK("CSG20.html#group48A20", "48A²⁰"), =HYPERLINK("CSG17.html#group48BX17", "48BX¹⁷"), =HYPERLINK("CSG13.html#group56I13", "56I¹³"), =HYPERLINK("CSG3.html#group16Q3", "16Q³"), =HYPERLINK("CSG17.html#group24AC17", "24AC¹⁷"), =HYPERLINK("CSG15.html#group24A15", "24A¹⁵"), =HYPERLINK("CSG13.html#group32F13", "32F¹³"), =HYPERLINK("CSG11.html#group16B11", "16B¹¹"), =HYPERLINK("CSG17.html#group24AG17", "24AG¹⁷"), =HYPERLINK("CSG17.html#group48AT17", "48AT¹⁷"), =HYPERLINK("CSG15.html#group72X15", "72X¹⁵"), =HYPERLINK("CSG5.html#group16H5", "16H⁵"), =HYPERLINK("CSG16.html#group48E16", "48E¹⁶"), =HYPERLINK("CSG18.html#group88A18", "88A¹⁸"), =HYPERLINK("CSG6.html#group24E6", "24E⁶"), =HYPERLINK("CSG15.html#group20D15", "20D¹⁵"), =HYPERLINK("CSG17.html#group24G17", "24G¹⁷"), =HYPERLINK("CSG6.html#group32D6", "32D⁶"), =HYPERLINK("CSG19.html#group96J19", "96J¹⁹"), =HYPERLINK("CSG22.html#group64A22", "64A²²"), =HYPERLINK("CSG5.html#group8A5", "8A⁵"), =HYPERLINK("CSG9.html#group16J9", "16J⁹"), =HYPERLINK("CSG19.html#group48AH19", "48AH¹⁹"), =HYPERLINK("CSG17.html#group48CI17", "48CI¹⁷"), =HYPERLINK("CSG21.html#group32F21", "32F²¹"), =HYPERLINK("CSG17.html#group48AF17", "48AF¹⁷"), =HYPERLINK("CSG18.html#group64A18", "64A¹⁸"), =HYPERLINK("CSG9.html#group24V9", "24V⁹"), =HYPERLINK("CSG19.html#group24Q19", "24Q¹⁹"), =HYPERLINK("CSG15.html#group24R15", "24R¹⁵"), =HYPERLINK("CSG18.html#group80C18", "80C¹⁸"), =HYPERLINK("CSG17.html#group80BA17", "80BA¹⁷"), =HYPERLINK("CSG20.html#group48I20", "48I²⁰"), =HYPERLINK("CSG21.html#group48BX21", "48BX²¹"), =HYPERLINK("CSG17.html#group24AT17", "24AT¹⁷"), =HYPERLINK("CSG21.html#group112B21", "112B²¹"), =HYPERLINK("CSG21.html#group80O21", "80O²¹"), =HYPERLINK("CSG21.html#group24B21", "24B²¹"), =HYPERLINK("CSG17.html#group80AZ17", "80AZ¹⁷"), =HYPERLINK("CSG6.html#group28G6", "28G⁶"), =HYPERLINK("CSG21.html#group32B21", "32B²¹"), =HYPERLINK("CSG17.html#group40AM17", "40AM¹⁷"), =HYPERLINK("CSG23.html#group56G23", "56G²³"), =HYPERLINK("CSG21.html#group52D21", "52D²¹"), =HYPERLINK("CSG13.html#group32T13", "32T¹³"), =HYPERLINK("CSG14.html#group64A14", "64A¹⁴"), =HYPERLINK("CSG19.html#group32E19", "32E¹⁹"), =HYPERLINK("CSG21.html#group64D21", "64D²¹"), =HYPERLINK("CSG13.html#group48G13", "48G¹³"), =HYPERLINK("CSG11.html#group16D11", "16D¹¹"), =HYPERLINK("CSG14.html#group64B14", "64B¹⁴"), =HYPERLINK("CSG1.html#group8K1", "8K¹"), =HYPERLINK("CSG13.html#group48K13", "48K¹³"), =HYPERLINK("CSG5.html#group16G5", "16G⁵"), =HYPERLINK("CSG19.html#group80Q19", "80Q¹⁹"), =HYPERLINK("CSG19.html#group80Y19", "80Y¹⁹"), =HYPERLINK("CSG19.html#group24N19", "24N¹⁹"), =HYPERLINK("CSG24.html#group32D24", "32D²⁴"), =HYPERLINK("CSG21.html#group48T21", "48T²¹"), =HYPERLINK("CSG1.html#group16L1", "16L¹"), =HYPERLINK("CSG17.html#group32E17", "32E¹⁷"), =HYPERLINK("CSG19.html#group48AJ19", "48AJ¹⁹"), =HYPERLINK("CSG9.html#group24X9", "24X⁹"), =HYPERLINK("CSG19.html#group48D19", "48D¹⁹"), =HYPERLINK("CSG21.html#group48AR21", "48AR²¹"), =HYPERLINK("CSG3.html#group32L3", "32L³"), =HYPERLINK("CSG7.html#group24Y7", "24Y⁷"), =HYPERLINK("CSG19.html#group40B19", "40B¹⁹"), =HYPERLINK("CSG19.html#group24D19", "24D¹⁹"), =HYPERLINK("CSG21.html#group16E21", "16E²¹"), =HYPERLINK("CSG21.html#group24I21", "24I²¹"), =HYPERLINK("CSG7.html#group24Q7", "24Q⁷"), =HYPERLINK("CSG7.html#group24AC7", "24AC⁷"), =HYPERLINK("CSG12.html#group28B12", "28B¹²"), =HYPERLINK("CSG23.html#group56J23", "56J²³"), =HYPERLINK("CSG20.html#group96N20", "96N²⁰"), =HYPERLINK("CSG21.html#group88B21", "88B²¹"), =HYPERLINK("CSG13.html#group24R13", "24R¹³"), =HYPERLINK("CSG11.html#group20E11", "20E¹¹"), =HYPERLINK("CSG2.html#group16E2", "16E²"), =HYPERLINK("CSG21.html#group32Y21", "32Y²¹"), =HYPERLINK("CSG18.html#group48L18", "48L¹⁸"), =HYPERLINK("CSG24.html#group112W24", "112W²⁴"), =HYPERLINK("CSG15.html#group72L15", "72L¹⁵"), =HYPERLINK("CSG5.html#group16O5", "16O⁵"), =HYPERLINK("CSG12.html#group56E12", "56E¹²"), =HYPERLINK("CSG14.html#group72J14", "72J¹⁴"), =HYPERLINK("CSG22.html#group56D22", "56D²²"), =HYPERLINK("CSG17.html#group48Q17", "48Q¹⁷"), =HYPERLINK("CSG9.html#group24P9", "24P⁹"), =HYPERLINK("CSG18.html#group48E18", "48E¹⁸"), =HYPERLINK("CSG17.html#group24W17", "24W¹⁷"), =HYPERLINK("CSG20.html#group96H20", "96H²⁰"), =HYPERLINK("CSG19.html#group48BO19", "48BO¹⁹"), =HYPERLINK("CSG15.html#group24N15", "24N¹⁵"), =HYPERLINK("CSG22.html#group48B22", "48B²²"), =HYPERLINK("CSG3.html#group16G3", "16G³"), =HYPERLINK("CSG15.html#group72Y15", "72Y¹⁵"), =HYPERLINK("CSG19.html#group48AV19", "48AV¹⁹"), =HYPERLINK("CSG20.html#group48C20", "48C²⁰"), =HYPERLINK("CSG21.html#group32K21", "32K²¹"), =HYPERLINK("CSG17.html#group96E17", "96E¹⁷"), =HYPERLINK("CSG3.html#group16K3", "16K³"), =HYPERLINK("CSG15.html#group40Q15", "40Q¹⁵"), =HYPERLINK("CSG14.html#group36B14", "36B¹⁴"), =HYPERLINK("CSG1.html#group8C1", "8C¹"), =HYPERLINK("CSG23.html#group32G23", "32G²³"), =HYPERLINK("CSG16.html#group40A16", "40A¹⁶"), =HYPERLINK("CSG16.html#group28H16", "28H¹⁶"), =HYPERLINK("CSG16.html#group24C16", "24C¹⁶"), =HYPERLINK("CSG12.html#group32B12", "32B¹²"), =HYPERLINK("CSG18.html#group48F18", "48F¹⁸"), =HYPERLINK("CSG4.html#group24R4", "24R⁴"), =HYPERLINK("CSG17.html#group40A17", "40A¹⁷"), =HYPERLINK("CSG3.html#group32P3", "32P³"), =HYPERLINK("CSG11.html#group48C11", "48C¹¹"), =HYPERLINK("CSG13.html#group60B13", "60B¹³"), =HYPERLINK("CSG17.html#group40AN17", "40AN¹⁷"), =HYPERLINK("CSG9.html#group64G9", "64G⁹"), =HYPERLINK("CSG18.html#group48K18", "48K¹⁸"), =HYPERLINK("CSG17.html#group40AB17", "40AB¹⁷"), =HYPERLINK("CSG6.html#group16B6", "16B⁶"), =HYPERLINK("CSG2.html#group12I2", "12I²"), =HYPERLINK("CSG17.html#group80BF17", "80BF¹⁷"), =HYPERLINK("CSG19.html#group48Y19", "48Y¹⁹"), =HYPERLINK("CSG9.html#group32R9", "32R⁹"), =HYPERLINK("CSG21.html#group28J21", "28J²¹"), =HYPERLINK("CSG21.html#group24A21", "24A²¹"), =HYPERLINK("CSG11.html#group32D11", "32D¹¹"), =HYPERLINK("CSG17.html#group96F17", "96F¹⁷"), =HYPERLINK("CSG5.html#group32G5", "32G⁵"), =HYPERLINK("CSG16.html#group48J16", "48J¹⁶"), =HYPERLINK("CSG1.html#group8F1", "8F¹"), =HYPERLINK("CSG14.html#group72D14", "72D¹⁴"), =HYPERLINK("CSG18.html#group48S18", "48S¹⁸"), =HYPERLINK("CSG21.html#group88F21", "88F²¹"), =HYPERLINK("CSG17.html#group40L17", "40L¹⁷"), =HYPERLINK("CSG21.html#group48U21", "48U²¹"), =HYPERLINK("CSG23.html#group64B23", "64B²³"), =HYPERLINK("CSG24.html#group112Z24", "112Z²⁴"), =HYPERLINK("CSG11.html#group56E11", "56E¹¹"), =HYPERLINK("CSG17.html#group48AP17", "48AP¹⁷"), =HYPERLINK("CSG8.html#group24N8", "24N⁸"), =HYPERLINK("CSG23.html#group32A23", "32A²³"), =HYPERLINK("CSG22.html#group48C22", "48C²²"), =HYPERLINK("CSG23.html#group112J23", "112J²³"), =HYPERLINK("CSG16.html#group24D16", "24D¹⁶"), =HYPERLINK("CSG21.html#group32W21", "32W²¹"), =HYPERLINK("CSG15.html#group28F15", "28F¹⁵"), =HYPERLINK("CSG10.html#group24B10", "24B¹⁰"), =HYPERLINK("CSG7.html#group40Z7", "40Z⁷"), =HYPERLINK("CSG11.html#group48AB11", "48AB¹¹"), =HYPERLINK("CSG10.html#group20B10", "20B¹⁰"), =HYPERLINK("CSG15.html#group40AG15", "40AG¹⁵"), =HYPERLINK("CSG5.html#group24K5", "24K⁵"), =HYPERLINK("CSG15.html#group48J15", "48J¹⁵"), =HYPERLINK("CSG22.html#group72A22", "72A²²"), =HYPERLINK("CSG19.html#group80Z19", "80Z¹⁹"), =HYPERLINK("CSG19.html#group24S19", "24S¹⁹"), =HYPERLINK("CSG22.html#group72B22", "72B²²"), =HYPERLINK("CSG17.html#group96O17", "96O¹⁷"), =HYPERLINK("CSG19.html#group24J19", "24J¹⁹"), =HYPERLINK("CSG3.html#group16H3", "16H³"), =HYPERLINK("CSG17.html#group80AY17", "80AY¹⁷"), =HYPERLINK("CSG21.html#group32L21", "32L²¹"), =HYPERLINK("CSG11.html#group28E11", "28E¹¹"), =HYPERLINK("CSG17.html#group24AF17", "24AF¹⁷"), =HYPERLINK("CSG16.html#group48I16", "48I¹⁶"), =HYPERLINK("CSG9.html#group16B9", "16B⁹"), =HYPERLINK("CSG17.html#group72R17", "72R¹⁷"), =HYPERLINK("CSG7.html#group40R7", "40R⁷"), =HYPERLINK("CSG11.html#group16C11", "16C¹¹"), =HYPERLINK("CSG5.html#group24B5", "24B⁵"), =HYPERLINK("CSG19.html#group96AC19", "96AC¹⁹"), =HYPERLINK("CSG23.html#group104I23", "104I²³"), =HYPERLINK("CSG5.html#group20J5", "20J⁵"), =HYPERLINK("CSG7.html#group48AC7", "48AC⁷"), =HYPERLINK("CSG24.html#group112X24", "112X²⁴"), =HYPERLINK("CSG17.html#group40AL17", "40AL¹⁷"), =HYPERLINK("CSG19.html#group48AI19", "48AI¹⁹"), =HYPERLINK("CSG14.html#group48A14", "48A¹⁴"), =HYPERLINK("CSG11.html#group32F11", "32F¹¹"), =HYPERLINK("CSG22.html#group48A22", "48A²²"), =HYPERLINK("CSG15.html#group24Q15", "24Q¹⁵"), =HYPERLINK("CSG18.html#group40C18", "40C¹⁸"), =HYPERLINK("CSG23.html#group64A23", "64A²³"), =HYPERLINK("CSG15.html#group40I15", "40I¹⁵"), =HYPERLINK("CSG19.html#group48BP19", "48BP¹⁹"), =HYPERLINK("CSG13.html#group32Q13", "32Q¹³"), =HYPERLINK("CSG15.html#group24P15", "24P¹⁵"), =HYPERLINK("CSG19.html#group24I19", "24I¹⁹"), =HYPERLINK("CSG23.html#group28C23", "28C²³"), =HYPERLINK("CSG23.html#group96A2</f>
        <v/>
      </c>
    </row>
    <row r="16">
      <c r="A16" t="inlineStr">
        <is>
          <t>4G⁰</t>
        </is>
      </c>
      <c r="B16" t="inlineStr">
        <is>
          <t>Γ(4)</t>
        </is>
      </c>
      <c r="C16" t="inlineStr">
        <is>
          <t>24</t>
        </is>
      </c>
      <c r="D16" t="inlineStr">
        <is>
          <t>1</t>
        </is>
      </c>
      <c r="E16" t="inlineStr">
        <is>
          <t>1</t>
        </is>
      </c>
      <c r="F16" t="inlineStr">
        <is>
          <t>0</t>
        </is>
      </c>
      <c r="G16" t="inlineStr">
        <is>
          <t>0</t>
        </is>
      </c>
      <c r="H16" t="inlineStr">
        <is>
          <t>4⁶</t>
        </is>
      </c>
      <c r="I16" t="n">
        <v>6</v>
      </c>
      <c r="J16" t="inlineStr">
        <is>
          <t>1¹</t>
        </is>
      </c>
      <c r="K16">
        <f>HYPERLINK("CSG0.html#group4D0", "4D⁰"), =HYPERLINK("CSG0.html#group4E0", "4E⁰"), =HYPERLINK("CSG0.html#group4F0", "4F⁰")</f>
        <v/>
      </c>
      <c r="L16">
        <f>HYPERLINK("CSG0.html#group8N0", "8N⁰"), =HYPERLINK("CSG1.html#group8F1", "8F¹"), =HYPERLINK("CSG2.html#group8A2", "8A²"), =HYPERLINK("CSG3.html#group12K3", "12K³"), =HYPERLINK("CSG4.html#group12A4", "12A⁴"), =HYPERLINK("CSG7.html#group20K7", "20K⁷"), =HYPERLINK("CSG8.html#group20A8", "20A⁸"), =HYPERLINK("CSG11.html#group28E11", "28E¹¹"), =HYPERLINK("CSG12.html#group28B12", "28B¹²"), =HYPERLINK("CSG15.html#group20D15", "20D¹⁵"), =HYPERLINK("CSG19.html#group44A19", "44A¹⁹"), =HYPERLINK("CSG20.html#group44A20", "44A²⁰"), =HYPERLINK("CSG23.html#group52C23", "52C²³")</f>
        <v/>
      </c>
      <c r="M16">
        <f>HYPERLINK("CSG0.html#group2A0", "2A⁰"), =HYPERLINK("CSG0.html#group4A0", "4A⁰"), =HYPERLINK("CSG0.html#group4D0", "4D⁰"), =HYPERLINK("CSG0.html#group4C0", "4C⁰"), =HYPERLINK("CSG0.html#group2B0", "2B⁰"), =HYPERLINK("CSG0.html#group4E0", "4E⁰"), =HYPERLINK("CSG0.html#group4F0", "4F⁰"), =HYPERLINK("CSG0.html#group4B0", "4B⁰"), =HYPERLINK("CSG0.html#group1A0", "1A⁰"), =HYPERLINK("CSG0.html#group2C0", "2C⁰")</f>
        <v/>
      </c>
      <c r="N16">
        <f>HYPERLINK("CSG11.html#group16A11", "16A¹¹"), =HYPERLINK("CSG12.html#group28B12", "28B¹²"), =HYPERLINK("CSG17.html#group40X17", "40X¹⁷"), =HYPERLINK("CSG17.html#group16B17", "16B¹⁷"), =HYPERLINK("CSG4.html#group12A4", "12A⁴"), =HYPERLINK("CSG11.html#group24B11", "24B¹¹"), =HYPERLINK("CSG5.html#group16O5", "16O⁵"), =HYPERLINK("CSG21.html#group48CF21", "48CF²¹"), =HYPERLINK("CSG11.html#group32A11", "32A¹¹"), =HYPERLINK("CSG9.html#group24AC9", "24AC⁹"), =HYPERLINK("CSG17.html#group24AO17", "24AO¹⁷"), =HYPERLINK("CSG17.html#group24W17", "24W¹⁷"), =HYPERLINK("CSG0.html#group8N0", "8N⁰"), =HYPERLINK("CSG7.html#group24AF7", "24AF⁷"), =HYPERLINK("CSG8.html#group24A8", "24A⁸"), =HYPERLINK("CSG19.html#group48BO19", "48BO¹⁹"), =HYPERLINK("CSG21.html#group32C21", "32C²¹"), =HYPERLINK("CSG18.html#group48B18", "48B¹⁸"), =HYPERLINK("CSG7.html#group24AG7", "24AG⁷"), =HYPERLINK("CSG22.html#group48B22", "48B²²"), =HYPERLINK("CSG17.html#group24J17", "24J¹⁷"), =HYPERLINK("CSG3.html#group16I3", "16I³"), =HYPERLINK("CSG15.html#group40U15", "40U¹⁵"), =HYPERLINK("CSG21.html#group48CD21", "48CD²¹"), =HYPERLINK("CSG16.html#group40A16", "40A¹⁶"), =HYPERLINK("CSG20.html#group44A20", "44A²⁰"), =HYPERLINK("CSG17.html#group40A17", "40A¹⁷"), =HYPERLINK("CSG9.html#group32B9", "32B⁹"), =HYPERLINK("CSG3.html#group12K3", "12K³"), =HYPERLINK("CSG19.html#group24G19", "24G¹⁹"), =HYPERLINK("CSG9.html#group24C9", "24C⁹"), =HYPERLINK("CSG21.html#group48Q21", "48Q²¹"), =HYPERLINK("CSG18.html#group48G18", "48G¹⁸"), =HYPERLINK("CSG13.html#group32A13", "32A¹³"), =HYPERLINK("CSG9.html#group16E9", "16E⁹"), =HYPERLINK("CSG10.html#group24A10", "24A¹⁰"), =HYPERLINK("CSG9.html#group16D9", "16D⁹"), =HYPERLINK("CSG13.html#group32B13", "32B¹³"), =HYPERLINK("CSG21.html#group64F21", "64F²¹"), =HYPERLINK("CSG21.html#group24E21", "24E²¹"), =HYPERLINK("CSG7.html#group16B7", "16B⁷"), =HYPERLINK("CSG21.html#group32A21", "32A²¹"), =HYPERLINK("CSG23.html#group56P23", "56P²³"), =HYPERLINK("CSG21.html#group24A21", "24A²¹"), =HYPERLINK("CSG21.html#group48CB21", "48CB²¹"), =HYPERLINK("CSG19.html#group40A19", "40A¹⁹"), =HYPERLINK("CSG1.html#group8F1", "8F¹"), =HYPERLINK("CSG17.html#group24F17", "24F¹⁷"), =HYPERLINK("CSG19.html#group24B19", "24B¹⁹"), =HYPERLINK("CSG19.html#group48A19", "48A¹⁹"), =HYPERLINK("CSG17.html#group16A17", "16A¹⁷"), =HYPERLINK("CSG23.html#group52C23", "52C²³"), =HYPERLINK("CSG13.html#group12A13", "12A¹³"), =HYPERLINK("CSG24.html#group56B24", "56B²⁴"), =HYPERLINK("CSG19.html#group36A19", "36A¹⁹"), =HYPERLINK("CSG21.html#group16B21", "16B²¹"), =HYPERLINK("CSG10.html#group24B10", "24B¹⁰"), =HYPERLINK("CSG19.html#group48G19", "48G¹⁹"), =HYPERLINK("CSG3.html#group8A3", "8A³"), =HYPERLINK("CSG19.html#group24S19", "24S¹⁹"), =HYPERLINK("CSG6.html#group16A6", "16A⁶"), =HYPERLINK("CSG17.html#group24AN17", "24AN¹⁷"), =HYPERLINK("CSG3.html#group16H3", "16H³"), =HYPERLINK("CSG2.html#group8A2", "8A²"), =HYPERLINK("CSG11.html#group28E11", "28E¹¹"), =HYPERLINK("CSG5.html#group16B5", "16B⁵"), =HYPERLINK("CSG9.html#group16B9", "16B⁹"), =HYPERLINK("CSG19.html#group48B19", "48B¹⁹"), =HYPERLINK("CSG19.html#group24C19", "24C¹⁹"), =HYPERLINK("CSG13.html#group36T13", "36T¹³"), =HYPERLINK("CSG13.html#group16C13", "16C¹³"), =HYPERLINK("CSG19.html#group64A19", "64A¹⁹"), =HYPERLINK("CSG9.html#group24AF9", "24AF⁹"), =HYPERLINK("CSG5.html#group16M5", "16M⁵"), =HYPERLINK("CSG15.html#group40V15", "40V¹⁵"), =HYPERLINK("CSG21.html#group48L21", "48L²¹"), =HYPERLINK("CSG21.html#group28M21", "28M²¹"), =HYPERLINK("CSG5.html#group12E5", "12E⁵"), =HYPERLINK("CSG13.html#group32C13", "32C¹³"), =HYPERLINK("CSG21.html#group24D21", "24D²¹"), =HYPERLINK("CSG22.html#group48A22", "48A²²"), =HYPERLINK("CSG17.html#group24AP17", "24AP¹⁷"), =HYPERLINK("CSG13.html#group16B13", "16B¹³"), =HYPERLINK("CSG19.html#group48BP19", "48BP¹⁹"), =HYPERLINK("CSG19.html#group24I19", "24I¹⁹"), =HYPERLINK("CSG23.html#group28C23", "28C²³"), =HYPERLINK("CSG21.html#group48F21", "48F²¹"), =HYPERLINK("CSG15.html#group24A15", "24A¹⁵"), =HYPERLINK("CSG13.html#group32F13", "32F¹³"), =HYPERLINK("CSG21.html#group48CE21", "48CE²¹"), =HYPERLINK("CSG9.html#group16C9", "16C⁹"), =HYPERLINK("CSG19.html#group24A19", "24A¹⁹"), =HYPERLINK("CSG21.html#group16D21", "16D²¹"), =HYPERLINK("CSG15.html#group20D15", "20D¹⁵"), =HYPERLINK("CSG17.html#group24G17", "24G¹⁷"), =HYPERLINK("CSG9.html#group32A9", "32A⁹"), =HYPERLINK("CSG19.html#group24H19", "24H¹⁹"), =HYPERLINK("CSG11.html#group24A11", "24A¹¹"), =HYPERLINK("CSG5.html#group8A5", "8A⁵"), =HYPERLINK("CSG22.html#group20A22", "20A²²"), =HYPERLINK("CSG21.html#group32F21", "32F²¹"), =HYPERLINK("CSG8.html#group24C8", "24C⁸"), =HYPERLINK("CSG9.html#group16A9", "16A⁹"), =HYPERLINK("CSG17.html#group24R17", "24R¹⁷"), =HYPERLINK("CSG16.html#group36A16", "36A¹⁶"), =HYPERLINK("CSG21.html#group32E21", "32E²¹"), =HYPERLINK("CSG21.html#group24C21", "24C²¹"), =HYPERLINK("CSG21.html#group24G21", "24G²¹"), =HYPERLINK("CSG18.html#group40A18", "40A¹⁸"), =HYPERLINK("CSG3.html#group8B3", "8B³"), =HYPERLINK("CSG17.html#group24AT17", "24AT¹⁷"), =HYPERLINK("CSG21.html#group24F21", "24F²¹"), =HYPERLINK("CSG21.html#group16A21", "16A²¹"), =HYPERLINK("CSG13.html#group20E13", "20E¹³"), =HYPERLINK("CSG23.html#group56O23", "56O²³"), =HYPERLINK("CSG21.html#group24B21", "24B²¹"), =HYPERLINK("CSG13.html#group24AB13", "24AB¹³"), =HYPERLINK("CSG17.html#group32A17", "32A¹⁷"), =HYPERLINK("CSG21.html#group32B21", "32B²¹"), =HYPERLINK("CSG19.html#group24F19", "24F¹⁹"), =HYPERLINK("CSG19.html#group36B19", "36B¹⁹"), =HYPERLINK("CSG19.html#group44A19", "44A¹⁹"), =HYPERLINK("CSG7.html#group20K7", "20K⁷"), =HYPERLINK("CSG13.html#group32T13", "32T¹³"), =HYPERLINK("CSG15.html#group24B15", "24B¹⁵"), =HYPERLINK("CSG19.html#group24E19", "24E¹⁹"), =HYPERLINK("CSG7.html#group12B7", "12B⁷"), =HYPERLINK("CSG21.html#group64D21", "64D²¹"), =HYPERLINK("CSG7.html#group32L7", "32L⁷"), =HYPERLINK("CSG9.html#group24H9", "24H⁹"), =HYPERLINK("CSG17.html#group24B17", "24B¹⁷"), =HYPERLINK("CSG1.html#group8K1", "8K¹"), =HYPERLINK("CSG2.html#group16I2", "16I²"), =HYPERLINK("CSG17.html#group40U17", "40U¹⁷"), =HYPERLINK("CSG24.html#group56A24", "56A²⁴"), =HYPERLINK("CSG21.html#group16C21", "16C²¹"), =HYPERLINK("CSG17.html#group32E17", "32E¹⁷"), =HYPERLINK("CSG21.html#group48E21", "48E²¹"), =HYPERLINK("CSG5.html#group16A5", "16A⁵"), =HYPERLINK("CSG19.html#group48D19", "48D¹⁹"), =HYPERLINK("CSG8.html#group20A8", "20A⁸"), =HYPERLINK("CSG19.html#group32A19", "32A¹⁹"), =HYPERLINK("CSG21.html#group32D21", "32D²¹"), =HYPERLINK("CSG19.html#group40B19", "40B¹⁹"), =HYPERLINK("CSG19.html#group24D19", "24D¹⁹"), =HYPERLINK("CSG21.html#group16E21", "16E²¹")</f>
        <v/>
      </c>
    </row>
    <row r="17">
      <c r="A17" t="inlineStr">
        <is>
          <t>5A⁰</t>
        </is>
      </c>
      <c r="B17" t="inlineStr"/>
      <c r="C17" t="inlineStr">
        <is>
          <t>5</t>
        </is>
      </c>
      <c r="D17" t="inlineStr">
        <is>
          <t>1</t>
        </is>
      </c>
      <c r="E17" t="inlineStr">
        <is>
          <t>5</t>
        </is>
      </c>
      <c r="F17" t="inlineStr">
        <is>
          <t>1</t>
        </is>
      </c>
      <c r="G17" t="inlineStr">
        <is>
          <t>2</t>
        </is>
      </c>
      <c r="H17" t="inlineStr">
        <is>
          <t>5¹</t>
        </is>
      </c>
      <c r="I17" t="n">
        <v>1</v>
      </c>
      <c r="J17" t="inlineStr">
        <is>
          <t>1¹, 4¹</t>
        </is>
      </c>
      <c r="K17">
        <f>HYPERLINK("CSG0.html#group1A0", "1A⁰")</f>
        <v/>
      </c>
      <c r="L17">
        <f>HYPERLINK("CSG0.html#group5E0", "5E⁰"), =HYPERLINK("CSG0.html#group5F0", "5F⁰"), =HYPERLINK("CSG0.html#group10A0", "10A⁰"), =HYPERLINK("CSG0.html#group15A0", "15A⁰"), =HYPERLINK("CSG1.html#group10B1", "10B¹"), =HYPERLINK("CSG1.html#group15A1", "15A¹"), =HYPERLINK("CSG1.html#group15B1", "15B¹"), =HYPERLINK("CSG1.html#group20A1", "20A¹"), =HYPERLINK("CSG2.html#group35A2", "35A²"), =HYPERLINK("CSG2.html#group35B2", "35B²"), =HYPERLINK("CSG3.html#group55A3", "55A³"), =HYPERLINK("CSG4.html#group65A4", "65A⁴"), =HYPERLINK("CSG5.html#group55A5", "55A⁵"), =HYPERLINK("CSG7.html#group85A7", "85A⁷"), =HYPERLINK("CSG7.html#group95A7", "95A⁷"), =HYPERLINK("CSG8.html#group45C8", "45C⁸"), =HYPERLINK("CSG10.html#group115A10", "115A¹⁰"), =HYPERLINK("CSG12.html#group145A12", "145A¹²"), =HYPERLINK("CSG12.html#group155A12", "155A¹²"), =HYPERLINK("CSG14.html#group185A14", "185A¹⁴"), =HYPERLINK("CSG17.html#group205A17", "205A¹⁷"), =HYPERLINK("CSG17.html#group215A17", "215A¹⁷"), =HYPERLINK("CSG19.html#group55A19", "55A¹⁹"), =HYPERLINK("CSG20.html#group95A20", "95A²⁰"), =HYPERLINK("CSG20.html#group235A20", "235A²⁰"), =HYPERLINK("CSG22.html#group265A22", "265A²²"), =HYPERLINK("CSG24.html#group305A24", "305A²⁴")</f>
        <v/>
      </c>
      <c r="M17">
        <f>HYPERLINK("CSG0.html#group1A0", "1A⁰")</f>
        <v/>
      </c>
      <c r="N17">
        <f>HYPERLINK("CSG22.html#group90K22", "90K²²"), =HYPERLINK("CSG20.html#group45A20", "45A²⁰"), =HYPERLINK("CSG10.html#group30I10", "30I¹⁰"), =HYPERLINK("CSG13.html#group135C13", "135C¹³"), =HYPERLINK("CSG19.html#group15A19", "15A¹⁹"), =HYPERLINK("CSG17.html#group80G17", "80G¹⁷"), =HYPERLINK("CSG8.html#group65A8", "65A⁸"), =HYPERLINK("CSG16.html#group105B16", "105B¹⁶"), =HYPERLINK("CSG23.html#group140C23", "140C²³"), =HYPERLINK("CSG20.html#group90D20", "90D²⁰"), =HYPERLINK("CSG21.html#group70F21", "70F²¹"), =HYPERLINK("CSG20.html#group20A20", "20A²⁰"), =HYPERLINK("CSG12.html#group140A12", "140A¹²"), =HYPERLINK("CSG18.html#group60D18", "60D¹⁸"), =HYPERLINK("CSG23.html#group50B23", "50B²³"), =HYPERLINK("CSG22.html#group40H22", "40H²²"), =HYPERLINK("CSG17.html#group30E17", "30E¹⁷"), =HYPERLINK("CSG9.html#group15A9", "15A⁹"), =HYPERLINK("CSG8.html#group40E8", "40E⁸"), =HYPERLINK("CSG23.html#group210J23", "210J²³"), =HYPERLINK("CSG7.html#group30P7", "30P⁷"), =HYPERLINK("CSG19.html#group70C19", "70C¹⁹"), =HYPERLINK("CSG10.html#group40E10", "40E¹⁰"), =HYPERLINK("CSG5.html#group30L5", "30L⁵"), =HYPERLINK("CSG22.html#group90L22", "90L²²"), =HYPERLINK("CSG21.html#group40G21", "40G²¹"), =HYPERLINK("CSG9.html#group50F9", "50F⁹"), =HYPERLINK("CSG13.html#group60G13", "60G¹³"), =HYPERLINK("CSG4.html#group45A4", "45A⁴"), =HYPERLINK("CSG21.html#group255A21", "255A²¹"), =HYPERLINK("CSG9.html#group40E9", "40E⁹"), =HYPERLINK("CSG13.html#group45O13", "45O¹³"), =HYPERLINK("CSG13.html#group30O13", "30O¹³"), =HYPERLINK("CSG9.html#group90B9", "90B⁹"), =HYPERLINK("CSG16.html#group30D16", "30D¹⁶"), =HYPERLINK("CSG20.html#group120A20", "120A²⁰"), =HYPERLINK("CSG18.html#group60B18", "60B¹⁸"), =HYPERLINK("CSG8.html#group15A8", "15A⁸"), =HYPERLINK("CSG21.html#group20B21", "20B²¹"), =HYPERLINK("CSG3.html#group10D3", "10D³"), =HYPERLINK("CSG16.html#group60B16", "60B¹⁶"), =HYPERLINK("CSG22.html#group105B22", "105B²²"), =HYPERLINK("CSG5.html#group45A5", "45A⁵"), =HYPERLINK("CSG13.html#group135D13", "135D¹³"), =HYPERLINK("CSG6.html#group60B6", "60B⁶"), =HYPERLINK("CSG23.html#group70A23", "70A²³"), =HYPERLINK("CSG20.html#group20B20", "20B²⁰"), =HYPERLINK("CSG15.html#group40AJ15", "40AJ¹⁵"), =HYPERLINK("CSG0.html#group5H0", "5H⁰"), =HYPERLINK("CSG13.html#group210B13", "210B¹³"), =HYPERLINK("CSG8.html#group35B8", "35B⁸"), =HYPERLINK("CSG18.html#group60G18", "60G¹⁸"), =HYPERLINK("CSG18.html#group120F18", "120F¹⁸"), =HYPERLINK("CSG22.html#group90D22", "90D²²"), =HYPERLINK("CSG18.html#group120B18", "120B¹⁸"), =HYPERLINK("CSG14.html#group90D14", "90D¹⁴"), =HYPERLINK("CSG19.html#group35B19", "35B¹⁹"), =HYPERLINK("CSG16.html#group40E16", "40E¹⁶"), =HYPERLINK("CSG21.html#group280A21", "280A²¹"), =HYPERLINK("CSG3.html#group30A3", "30A³"), =HYPERLINK("CSG15.html#group20F15", "20F¹⁵"), =HYPERLINK("CSG22.html#group30D22", "30D²²"), =HYPERLINK("CSG11.html#group30A11", "30A¹¹"), =HYPERLINK("CSG6.html#group60D6", "60D⁶"), =HYPERLINK("CSG18.html#group180A18", "180A¹⁸"), =HYPERLINK("CSG10.html#group30B10", "30B¹⁰"), =HYPERLINK("CSG7.html#group30K7", "30K⁷"), =HYPERLINK("CSG12.html#group30E12", "30E¹²"), =HYPERLINK("CSG23.html#group30E23", "30E²³"), =HYPERLINK("CSG0.html#group5F0", "5F⁰"), =HYPERLINK("CSG14.html#group50A14", "50A¹⁴"), =HYPERLINK("CSG19.html#group180A19", "180A¹⁹"), =HYPERLINK("CSG24.html#group40D24", "40D²⁴"), =HYPERLINK("CSG7.html#group90F7", "90F⁷"), =HYPERLINK("CSG17.html#group80C17", "80C¹⁷"), =HYPERLINK("CSG22.html#group40K22", "40K²²"), =HYPERLINK("CSG18.html#group210A18", "210A¹⁸"), =HYPERLINK("CSG9.html#group80A9", "80A⁹"), =HYPERLINK("CSG18.html#group160A18", "160A¹⁸"), =HYPERLINK("CSG11.html#group105A11", "105A¹¹"), =HYPERLINK("CSG18.html#group70C18", "70C¹⁸"), =HYPERLINK("CSG6.html#group20C6", "20C⁶"), =HYPERLINK("CSG4.html#group10B4", "10B⁴"), =HYPERLINK("CSG21.html#group55A21", "55A²¹"), =HYPERLINK("CSG22.html#group60A22", "60A²²"), =HYPERLINK("CSG22.html#group40F22", "40F²²"), =HYPERLINK("CSG16.html#group40C16", "40C¹⁶"), =HYPERLINK("CSG4.html#group10A4", "10A⁴"), =HYPERLINK("CSG12.html#group30F12", "30F¹²"), =HYPERLINK("CSG20.html#group180A20", "180A²⁰"), =HYPERLINK("CSG14.html#group90C14", "90C¹⁴"), =HYPERLINK("CSG16.html#group195A16", "195A¹⁶"), =HYPERLINK("CSG22.html#group140A22", "140A²²"), =HYPERLINK("CSG17.html#group40O17", "40O¹⁷"), =HYPERLINK("CSG16.html#group90B16", "90B¹⁶"), =HYPERLINK("CSG15.html#group35A15", "35A¹⁵"), =HYPERLINK("CSG13.html#group45H13", "45H¹³"), =HYPERLINK("CSG13.html#group45D13", "45D¹³"), =HYPERLINK("CSG15.html#group90A15", "90A¹⁵"), =HYPERLINK("CSG23.html#group30F23", "30F²³"), =HYPERLINK("CSG9.html#group15B9", "15B⁹"), =HYPERLINK("CSG22.html#group180A22", "180A²²"), =HYPERLINK("CSG15.html#group105A15", "105A¹⁵"), =HYPERLINK("CSG14.html#group35B14", "35B¹⁴"), =HYPERLINK("CSG23.html#group15A23", "15A²³"), =HYPERLINK("CSG2.html#group35A2", "35A²"), =HYPERLINK("CSG16.html#group45A16", "45A¹⁶"), =HYPERLINK("CSG19.html#group40M19", "40M¹⁹"), =HYPERLINK("CSG16.html#group210G16", "210G¹⁶"), =HYPERLINK("CSG4.html#group60A4", "60A⁴"), =HYPERLINK("CSG16.html#group120E16", "120E¹⁶"), =HYPERLINK("CSG12.html#group30C12", "30C¹²"), =HYPERLINK("CSG9.html#group45B9", "45B⁹"), =HYPERLINK("CSG16.html#group160A16", "160A¹⁶"), =HYPERLINK("CSG17.html#group60A17", "60A¹⁷"), =HYPERLINK("CSG24.html#group60B24", "60B²⁴"), =HYPERLINK("CSG5.html#group10A5", "10A⁵"), =HYPERLINK("CSG10.html#group30F10", "30F¹⁰"), =HYPERLINK("CSG8.html#group90E8", "90E⁸"), =HYPERLINK("CSG11.html#group45B11", "45B¹¹"), =HYPERLINK("CSG17.html#group80K17", "80K¹⁷"), =HYPERLINK("CSG19.html#group80K19", "80K¹⁹"), =HYPERLINK("CSG19.html#group35A19", "35A¹⁹"), =HYPERLINK("CSG24.html#group190A24", "190A²⁴"), =HYPERLINK("CSG12.html#group45C12", "45C¹²"), =HYPERLINK("CSG20.html#group180G20", "180G²⁰"), =HYPERLINK("CSG5.html#group10B5", "10B⁵"), =HYPERLINK("CSG24.html#group90I24", "90I²⁴"), =HYPERLINK("CSG8.html#group60E8", "60E⁸"), =HYPERLINK("CSG13.html#group20B13", "20B¹³"), =HYPERLINK("CSG8.html#group25A8", "25A⁸"), =HYPERLINK("CSG17.html#group15A17", "15A¹⁷"), =HYPERLINK("CSG8.html#group80B8", "80B⁸"), =HYPERLINK("CSG13.html#group30E13", "30E¹³"), =HYPERLINK("CSG14.html#group90H14", "90H¹⁴"), =HYPERLINK("CSG10.html#group20C10", "20C¹⁰"), =HYPERLINK("CSG22.html#group90C22", "90C²²"), =HYPERLINK("CSG12.html#group60B12", "60B¹²"), =HYPERLINK("CSG19.html#group90F19", "90F¹⁹"), =HYPERLINK("CSG18.html#group80F18", "80F¹⁸"), =HYPERLINK("CSG15.html#group70A15", "70A¹⁵"), =HYPERLINK("CSG7.html#group120A7", "120A⁷"), =HYPERLINK("CSG24.html#group30A24", "30A²⁴"), =HYPERLINK("CSG3.html#group45C3", "45C³"), =HYPERLINK("CSG18.html#group140A18", "140A¹⁸"), =HYPERLINK("CSG3.html#group15D3", "15D³"), =HYPERLINK("CSG24.html#group50B24", "50B²⁴"), =HYPERLINK("CSG13.html#group90C13", "90C¹³"), =HYPERLINK("CSG8.html#group105A8", "105A⁸"), =HYPERLINK("CSG9.html#group120B9", "120B⁹"), =HYPERLINK("CSG5.html#group40D5", "40D⁵"), =HYPERLINK("CSG15.html#group180A15", "180A¹⁵"), =HYPERLINK("CSG23.html#group40F23", "40F²³"), =HYPERLINK("CSG19.html#group30B19", "30B¹⁹"), =HYPERLINK("CSG3.html#group15A3", "15A³"), =HYPERLINK("CSG20.html#group50A20", "50A²⁰"), =HYPERLINK("CSG19.html#group120C19", "120C¹⁹"), =HYPERLINK("CSG3.html#group10B3", "10B³"), =HYPERLINK("CSG24.html#group280A24", "280A²⁴"), =HYPERLINK("CSG16.html#group70C16", "70C¹⁶"), =HYPERLINK("CSG19.html#group55A19", "55A¹⁹"), =HYPERLINK("CSG14.html#group185A14", "185A¹⁴"), =HYPERLINK("CSG17.html#group70B17", "70B¹⁷"), =HYPERLINK("CSG12.html#group135C12", "135C¹²"), =HYPERLINK("CSG8.html#group40B8", "40B⁸"), =HYPERLINK("CSG7.html#group30G7", "30G⁷"), =HYPERLINK("CSG21.html#group20C21", "20C²¹"), =HYPERLINK("CSG24.html#group90H24", "90H²⁴"), =HYPERLINK("CSG20.html#group25A20", "25A²⁰"), =HYPERLINK("CSG10.html#group45B10", "45B¹⁰"), =HYPERLINK("CSG13.html#group35B13", "35B¹³"), =HYPERLINK("CSG6.html#group25E6", "25E⁶"), =HYPERLINK("CSG6.html#group30B6", "30B⁶"), =HYPERLINK("CSG16.html#group80B16", "80B¹⁶"), =HYPERLINK("CSG7.html#group20F7", "20F⁷"), =HYPERLINK("CSG5.html#group30B5", "30B⁵"), =HYPERLINK("CSG7.html#group30C7", "30C⁷"), =HYPERLINK("CSG15.html#group90D15", "90D¹⁵"), =HYPERLINK("CSG20.html#group90C20", "90C²⁰"), =HYPERLINK("CSG15.html#group135A15", "135A¹⁵"), =HYPERLINK("CSG4.html#group70B4", "70B⁴"), =HYPERLINK("CSG14.html#group90B14", "90B¹⁴"), =HYPERLINK("CSG15.html#group60P15", "60P¹⁵"), =HYPERLINK("CSG18.html#group60I18", "60I¹⁸"), =HYPERLINK("CSG10.html#group20D10", "20D¹⁰"), =HYPERLINK("CSG13.html#group45F13", "45F¹³"), =HYPERLINK("CSG10.html#group90B10", "90B¹⁰"), =HYPERLINK("CSG3.html#group15B3", "15B³"), =HYPERLINK("CSG17.html#group180A17", "180A¹⁷"), =HYPERLINK("CSG8.html#group80D8", "80D⁸"), =HYPERLINK("CSG19.html#group80H19", "80H¹⁹"), =HYPERLINK("CSG21.html#group30A21", "30A²¹"), =HYPERLINK("CSG19.html#group160F19", "160F¹⁹"), =HYPERLINK("CSG7.html#group60C7", "60C⁷"), =HYPERLINK("CSG23.html#group315A23", "315A²³"), =HYPERLINK("CSG22.html#group80E22", "80E²²"), =HYPERLINK("CSG16.html#group45B16", "45B¹⁶"), =HYPERLINK("CSG24.html#group40A24", "40A²⁴"), =HYPERLINK("CSG17.html#group60E17", "60E¹⁷"), =HYPERLINK("CSG7.html#group10A7", "10A⁷"), =HYPERLINK("CSG12.html#group45D12", "45D¹²"), =HYPERLINK("CSG19.html#group240B19", "240B¹⁹"), =HYPERLINK("CSG16.html#group60F16", "60F¹⁶"), =HYPERLINK("CSG17.html#group80B17", "80B¹⁷"), =HYPERLINK("CSG24.html#group310A24", "310A²⁴"), =HYPERLINK("CSG5.html#group45B5", "45B⁵"), =HYPERLINK("CSG18.html#group70D18", "70D¹⁸"), =HYPERLINK("CSG2.html#group10D2", "10D²"), =HYPERLINK("CSG8.html#group20B8", "20B⁸"), =HYPERLINK("CSG16.html#group45C16", "45C¹⁶"), =HYPERLINK("CSG4.html#group15C4", "15C⁴"), =HYPERLINK("CSG9.html#group105B9", "105B⁹"), =HYPERLINK("CSG7.html#group85A7", "85A⁷"), =HYPERLINK("CSG2.html#group30A2", "30A²"), =HYPERLINK("CSG15.html#group180B15", "180B¹⁵"), =HYPERLINK("CSG16.html#group130A16", "130A¹⁶"), =HYPERLINK("CSG10.html#group25A10", "25A¹⁰"), =HYPERLINK("CSG19.html#group60A19", "60A¹⁹"), =HYPERLINK("CSG17.html#group165B17", "165B¹⁷"), =HYPERLINK("CSG7.html#group30D7", "30D⁷"), =HYPERLINK("CSG15.html#group20C15", "20C¹⁵"), =HYPERLINK("CSG12.html#group180A12", "180A¹²"), =HYPERLINK("CSG12.html#group65A12", "65A¹²"), =HYPERLINK("CSG14.html#group45C14", "45C¹⁴"), =HYPERLINK("CSG6.html#group45C6", "45C⁶"), =HYPERLINK("CSG11.html#group20B11", "20B¹¹"), =HYPERLINK("CSG9.html#group30M9", "30M⁹"), =HYPERLINK("CSG13.html#group30F13", "30F¹³"), =HYPERLINK("CSG8.html#group90D8", "90D⁸"), =HYPERLINK("CSG16.html#group60A16", "60A¹⁶"), =HYPERLINK("CSG21.html#group40C21", "40C²¹"), =HYPERLINK("CSG10.html#group30D10", "30D¹⁰"), =HYPERLINK("CSG22.html#group80H22", "80H²²"), =HYPERLINK("CSG17.html#group55A17", "55A¹⁷"), =HYPERLINK("CSG6.html#group45B6", "45B⁶"), =HYPERLINK("CSG14.html#group70C14", "70C¹⁴"), =HYPERLINK("CSG18.html#group80A18", "80A¹⁸"), =HYPERLINK("CSG22.html#group210A22", "210A²²"), =HYPERLINK("CSG17.html#group60B17", "60B¹⁷"), =HYPERLINK("CSG8.html#group130A8", "130A⁸"), =HYPERLINK("CSG13.html#group45I13", "45I¹³"), =HYPERLINK("CSG19.html#group240A19", "240A¹⁹"), =HYPERLINK("CSG17.html#group130B17", "130B¹⁷"), =HYPERLINK("CSG18.html#group120A18", "120A¹⁸"), =HYPERLINK("CSG22.html#group80A22", "80A²²"), =HYPERLINK("CSG10.html#group35A10", "35A¹⁰"), =HYPERLINK("CSG17.html#group160C17", "160C¹⁷"), =HYPERLINK("CSG24.html#group330C24", "330C²⁴"), =HYPERLINK("CSG16.html#group210E16", "210E¹⁶"), =HYPERLINK("CSG4.html#group20C4", "20C⁴"), =HYPERLINK("CSG12.html#group30B12", "30B¹²"), =HYPERLINK("CSG5.html#group55A5", "55A⁵"), =HYPERLINK("CSG21.html#group140A21", "140A²¹"), =HYPERLINK("CSG20.html#group90A20", "90A²⁰"), =HYPERLINK("CSG8.html#group20C8", "20C⁸"), =HYPERLINK("CSG21.html#group60S21", "60S²¹"), =HYPERLINK("CSG19.html#group45H19", "45H¹⁹"), =HYPERLINK("CSG2.html#group25F2", "25F²"), =HYPERLINK("CSG3.html#group10C3", "10C³"), =HYPERLINK("CSG12.html#group120A12", "120A¹²"), =HYPERLINK("CSG19.html#group90D19", "90D¹⁹"), =HYPERLINK("CSG18.html#group40D18", "40D¹⁸"), =HYPERLINK("CSG14.html#group120A14", "120A¹⁴"), =HYPERLINK("CSG15.html#group195A15", "195A¹⁵"), =HYPERLINK("CSG12.html#group90E12", "90E¹²"), =HYPERLINK("CSG19.html#group80B19", "80B¹⁹"), =HYPERLINK("CSG23.html#group95B23", "95B²³"), =HYPERLINK("CSG19.html#group75A19", "75A¹⁹"), =HYPERLINK("CSG8.html#group80C8", "80C⁸"), =HYPERLINK("CSG19.html#group140A19", "140A¹⁹"), =HYPERLINK("CSG4.html#group40A4", "40A⁴"), =HYPERLINK("CSG8.html#group40G8", "40G⁸"), =HYPERLINK("CSG21.html#group60R21", "60R²¹"), =HYPERLINK("CSG15.html#group165A15", "165A¹⁵"), =HYPERLINK("CSG14.html#group45A14", "45A¹⁴"), =HYPERLINK("CSG24.html#group80A24", "80A²⁴"), =HYPERLINK("CSG18.html#group120C18", "120C¹⁸"), =HYPERLINK("CSG21.html#group280C21", "280C²¹"), =HYPERLINK("CSG22.html#group270A22", "270A²²"), =HYPERLINK("CSG18.html#group60J18", "60J¹⁸"), =HYPERLINK("CSG13.html#group30C13", "30C¹³"), =HYPERLINK("CSG13.html#group135A13", "135A¹³"), =HYPERLINK("CSG13.html#group55A13", "55A¹³"), =HYPERLINK("CSG4.html#group40C4", "40C⁴"), =HYPERLINK("CSG20.html#group180C20", "180C²⁰"), =HYPERLINK("CSG0.html#group10A0", "10A⁰"), =HYPERLINK("CSG2.html#group20D2", "20D²"), =HYPERLINK("CSG22.html#group90I22", "90I²²"), =HYPERLINK("CSG8.html#group60C8", "60C⁸"), =HYPERLINK("CSG23.html#group120K23", "120K²³"), =HYPERLINK("CSG9.html#group50E9", "50E⁹"), =HYPERLINK("CSG10.html#group40G10", "40G¹⁰"), =HYPERLINK("CSG17.html#group40G17", "40G¹⁷"), =HYPERLINK("CSG13.html#group90A13", "90A¹³"), =HYPERLINK("CSG2.html#group20A2", "20A²"), =HYPERLINK("CSG22.html#group90B22", "90B²²"), =HYPERLINK("CSG6.html#group90A6", "90A⁶"), =HYPERLINK("CSG15.html#group70B15", "70B¹⁵"), =HYPERLINK("CSG22.html#group50A22", "50A²²"), =HYPERLINK("CSG21.html#group90A21", "90A²¹"), =HYPERLINK("CSG9.html#group30B9", "30B⁹"), =HYPERLINK("CSG21.html#group30B21", "30B²¹"), =HYPERLINK("CSG10.html#group30E10", "30E¹⁰"), =HYPERLINK("CSG24.html#group90F24", "90F²⁴"), =HYPERLINK("CSG8.html#group80E8", "80E⁸"), =HYPERLINK("CSG19.html#group45B19", "45B¹⁹"), =HYPERLINK("CSG19.html#group120B19", "120B¹⁹"), =HYPERLINK("CSG23.html#group40B23", "40B²³"), =HYPERLINK("CSG18.html#group50B18", "50B¹⁸"), =HYPERLINK("CSG12.html#group120C12", "120C¹²"), =HYPERLINK("CSG9.html#group35C9", "35C⁹"), =HYPERLINK("CSG8.html#group30C8", "30C⁸"), =HYPERLINK("CSG13.html#group20G13", "20G¹³"), =HYPERLINK("CSG16.html#group180C16", "180C¹⁶"), =HYPERLINK("CSG21.html#group280B21", "280B²¹"), =HYPERLINK("CSG18.html#group180C18", "180C¹⁸"), =HYPERLINK("CSG11.html#group45C11", "45C¹¹"), =HYPERLINK("CSG19.html#group60C19", "60C¹⁹"), =HYPERLINK("CSG4.html#group20A4", "20A⁴"), =HYPERLINK("CSG14.html#group135C14", "135C¹⁴"), =HYPERLINK("CSG21.html#group70D21", "70D²¹"), =HYPERLINK("CSG23.html#group30C23", "30C²³"), =HYPERLINK("CSG10.html#group45C10", "45C¹⁰"), =HYPERLINK("CSG12.html#group60C12", "60C¹²"), =HYPERLINK("CSG17.html#group160A17", "160A¹⁷"), =HYPERLINK("CSG24.html#group290A24", "290A²⁴"), =HYPERLINK("CSG21.html#group70E21", "70E²¹"), =HYPERLINK("CSG22.html#group105C22", "105C²²"), =HYPERLINK("CSG15.html#group30F15", "30F¹⁵"), =HYPERLINK("CSG12.html#group120B12", "120B¹²"), =HYPERLINK("CSG13.html#group60H13", "60H¹³"), =HYPERLINK("CSG7.html#group20D7", "20D⁷"), =HYPERLINK("CSG16.html#group30C16", "30C¹⁶"), =HYPERLINK("CSG17.html#group140A17", "140A¹⁷"), =HYPERLINK("CSG23.html#group40I23", "40I²³"), =HYPERLINK("CSG2.html#group10A2", "10A²"), =HYPERLINK("CSG23.html#group285C23", "285C²³"), =HYPERLINK("CSG22.html#group30C22", "30C²²"), =HYPERLINK("CSG14.html#group195B14", "195B¹⁴"), =HYPERLINK("CSG23.html#group80D23", "80D²³"), =HYPERLINK("CSG8.html#group90A8", "90A⁸"), =HYPERLINK("CSG18.html#group55A18", "55A¹⁸"), =HYPERLINK("CSG12.html#group30A12", "30A¹²"), =HYPERLINK("CSG13.html#group45A13", "45A¹³"), =HYPERLINK("CSG16.html#group25A16", "25A¹⁶"), =HYPERLINK("CSG10.html#group50A10", "50A¹⁰"), =HYPERLINK("CSG16.html#group70E16", "70E¹⁶"), =HYPERLINK("CSG8.html#group30A8", "30A⁸"), =HYPERLINK("CSG21.html#group60T21", "60T²¹"), =HYPERLINK("CSG9.html#group20A9", "20A⁹"), =HYPERLINK("CSG20.html#group220A20", "220A²⁰"), =HYPERLINK("CSG2.html#group10F2", "10F²"), =HYPERLINK("CSG20.html#group230A20", "230A²⁰"), =HYPERLINK("CSG12.html#group145A12", "145A¹²"), =HYPERLINK("CSG11.html#group20A11", "20A¹¹"), =HYPERLINK("CSG6.html#group35C6", "35C⁶"), =HYPERLINK("CSG8.html#group90C8", "90C⁸"), =HYPERLINK("CSG2.html#group40A2", "40A²"), =HYPERLINK("CSG12.html#group90C12", "90C¹²"), =HYPERLINK("CSG1.html#group15A1", "15A¹"), =HYPERLINK("CSG13.html#group110A13", "110A¹³"), =HYPERLINK("CSG11.html#group55A11", "55A¹¹"), =HYPERLINK("CSG6.html#group20A6", "20A⁶"), =HYPERLINK("CSG22.html#group80C22", "80C²²"), =HYPERLINK("CSG21.html#group260A21", "260A²¹"), =HYPERLINK("CSG14.html#group60C14", "60C¹⁴"), =HYPERLINK("CSG23.html#group40G23", "40G²³"), =HYPERLINK("CSG19.html#group160D19", "160D¹⁹"), =HYPERLINK("CSG6.html#group60C6", "60C⁶"), =HYPERLINK("CSG13.html#group45E13", "45E¹³"), =HYPERLINK("CSG23.html#group60C23", "60C²³"), =HYPERLINK("CSG20.html#group210A20", "210A²⁰"), =HYPERLINK("CSG8.html#group40D8", "40D⁸"), =HYPERLINK("CSG17.html#group210A17", "210A¹⁷"), =HYPERLINK("CSG21.html#group70G21", "70G²¹"), =HYPERLINK("CSG2.html#group20B2", "20B²"), =HYPERLINK("CSG11.html#group40C11", "40C¹¹"), =HYPERLINK("CSG19.html#group80F19", "80F¹⁹"), =HYPERLINK("CSG2.html#group10B2", "10B²"), =HYPERLINK("CSG8.html#group60B8", "60B⁸"), =HYPERLINK("CSG10.html#group15B10", "15B¹⁰"), =HYPERLINK("CSG16.html#group45D16", "45D¹⁶"), =HYPERLINK("CSG15.html#group45D15", "45D¹⁵"), =HYPERLINK("CSG24.html#group240A24", "240A²⁴"), =HYPERLINK("CSG9.html#group20C9", "20C⁹"), =HYPERLINK("CSG10.html#group90C10", "90C¹⁰"), =HYPERLINK("CSG7.html#group50B7", "50B⁷"), =HYPERLINK("CSG15.html#group90C15", "90C¹⁵"), =HYPERLINK("CSG18.html#group50A18", "50A¹⁸"), =HYPERLINK("CSG20.html#group95A20", "95A²⁰"), =HYPERLINK("CSG9.html#group30F9", "30F⁹"), =HYPERLINK("CSG24.html#group240C24", "240C²⁴"), =HYPERLINK("CSG18.html#group40A18", "40A¹⁸"), =HYPERLINK("CSG14.html#group135A14", "135A¹⁴"), =HYPERLINK("CSG4.html#group40D4", "40D⁴"), =HYPERLINK("CSG6.html#group30E6", "30E⁶"), =HYPERLINK("CSG4.html#group15A4", "15A⁴"), =HYPERLINK("CSG4.html#group20E4", "20E⁴"), =HYPERLINK("CSG16.html#group210A16", "210A¹⁶"), =HYPERLINK("CSG15.html#group210B15", "210B¹⁵"), =HYPERLINK("CSG22.html#group30F22", "30F²²"), =HYPERLINK("CSG22.html#group40A22", "40A²²"), =HYPERLINK("CSG19.html#group60I19", "60I¹⁹"), =HYPERLINK("CSG15.html#group120B15", "120B¹⁵"), =HYPERLINK("CSG13.html#group120A13", "120A¹³"), =HYPERLINK("CSG11.html#group50B11", "50B¹¹"), =HYPERLINK("CSG23.html#group30D23", "30D²³"), =HYPERLINK("CSG22.html#group40B22", "40B²²"), =HYPERLINK("CSG10.html#group20A10", "20A¹⁰"), =HYPERLINK("CSG19.html#group20D19", "20D¹⁹"), =HYPERLINK("CSG5.html#group15D5", "15D⁵"), =HYPERLINK("CSG14.html#group70B14", "70B¹⁴"), =HYPERLINK("CSG12.html#group135B12", "135B¹²"), =HYPERLINK("CSG23.html#group45E23", "45E²³"), =HYPERLINK("CSG22.html#group40E22", "40E²²"), =HYPERLINK("CSG22.html#group30G22", "30G²²"), =HYPERLINK("CSG13.html#group210A13", "210A¹³"), =HYPERLINK("CSG24.html#group40B24", "40B²⁴"), =HYPERLINK("CSG10.html#group110A10", "110A¹⁰"), =HYPERLINK("CSG9.html#group70A9", "70A⁹"), =HYPERLINK("CSG1.html#group10B1", "10B¹"), =HYPERLINK("CSG14.html#group90E14", "90E¹⁴"), =HYPERLINK("CSG14.html#group110A14", "110A¹⁴"), =HYPERLINK("CSG15.html#group20I15", "20I¹⁵"), =HYPERLINK("CSG19.html#group65B19", "65B¹⁹"), =HYPERLINK("CSG11.html#group30E11", "30E¹¹"), =HYPERLINK("CSG16.html#group70D16", "70D¹⁶"), =HYPERLINK("CSG24.html#group210B24", "210B²⁴"), =HYPERLINK("CSG19.html#group85A19", "85A¹⁹"), =HYPERLINK("CSG24.html#group55A24", "55A²⁴"), =HYPERLINK("CSG16.html#group210B16", "210B¹⁶"), =HYPERLINK("CSG19.html#group160G19", "160G¹⁹"), =HYPERLINK("CSG19.html#group20B19", "20B¹⁹"), =HYPERLINK("CSG3.html#group45B3", "45B³"), =HYPERLINK("CSG7.html#group90A7", "90A⁷"), =HYPERLINK("CSG8.html#group60F8", "60F⁸"), =HYPERLINK("CSG19.html#group45C19", "45C¹⁹"), =HYPERLINK("CSG0.html#group10E0", "10E⁰"), =HYPERLINK("CSG23.html#group95A23", "95A²³"), =HYPERLINK("CSG14.html#group70E14", "70E¹⁴"), =HYPERLINK("CSG17.html#group40N17", "40N¹⁷"), =HYPERLINK("CSG17.html#group45C17", "45C¹⁷"), =HYPERLINK("CSG9.html#group120A9", "120A⁹"), =HYPERLINK("CSG17.html#group205A17", "205A¹⁷"), =HYPERLINK("CSG19.html#group50C19", "50C¹⁹"), =HYPERLINK("CSG21.html#group90B21", "90B²¹"), =HYPERLINK("CSG4.html#group60B4", "60B⁴"), =HYPERLINK("CSG24.html#group40F24", "40F²⁴"), =HYPERLINK("CSG8.html#group40A8", "40A⁸"), =HYPERLINK("CSG23.html#group80E23", "80E²³"), =HYPERLINK("CSG14.html#group190A14", "190A¹⁴"), =HYPERLINK("CSG16.html#group140B16", "140B¹⁶"), =HYPERLINK("CSG10.html#group20F10", "20F¹⁰"), =HYPERLINK("CSG10.html#group15A10", "15A¹⁰"), =HYPERLINK("CSG9.html#group40A9", "40A⁹"), =HYPERLINK("CSG20.html#group160A20", "160A²⁰"), =HYPERLINK("CSG1.html#group10I1", "10I¹"), =HYPERLINK("CSG17.html#group80F17", "80F¹⁷"), =HYPERLINK("CSG12.html#group30D12", "30D¹²"), =HYPERLINK("CSG18.html#group90B18", "90B¹⁸"), =HYPERLINK("CSG17.html#group70A17", "70A¹⁷"), =HYPERLINK("CSG14.html#group120D14", "120D¹⁴"), =HYPERLINK("CSG7.html#group20E7", "20E⁷"), =HYPERLINK("CSG13.html#group45C13", "45C¹³"), =HYPERLINK("CSG11.html#group75B11", "75B¹¹"), =HYPERLINK("CSG15.html#group35C15", "35C¹⁵"), =HYPERLINK("CSG6.html#group10A6", "10A⁶"), =HYPERLINK("CSG15.html#group195B15", "195B¹⁵"), =HYPERLINK("CSG22.html#group265A22", "265A²²"), =HYPERLINK("CSG20.html#group40A20", "40A²⁰"), =HYPERLINK("CSG4.html#group15D4", "15D⁴"), =HYPERLINK("CSG19.html#group45A19", "45A¹⁹"), =HYPERLINK("CSG9.html#group60B9", "60B⁹"), =HYPERLINK("CSG17.html#group80L17", "80L¹⁷"), =HYPERLINK("CSG14.html#group135B14", "135B¹⁴"), =HYPERLINK("CSG21.html#group20A21", "20A²¹"), =HYPERLINK("CSG16.html#group70B16", "70B¹⁶"), =HYPERLINK("CSG11.html#group40J11", "40J¹¹"), =HYPERLINK("CSG17.html#group120C17", "120C¹⁷"), =HYPERLINK("CSG17.html#group90P17", "90P¹⁷"), =HYPERLINK("CSG14.html#group105C14", "105C¹⁴"), =HYPERLINK("CSG22.html#group180B22", "180B²²"), =HYPERLINK("CSG9.html#group90C9", "90C⁹"), =HYPERLINK("CSG16.html#group180A16", "180A¹⁶"), =HYPERLINK("CSG0.html#group5E0", "5E⁰"), =HYPERLINK("CSG19.html#group35C19", "35C¹⁹"), =HYPERLINK("CSG13.html#group60F13", "60F¹³"), =HYPERLINK("CSG17.html#group45A17", "45A¹⁷"), =HYPERLINK("CSG8.html#group90F8", "90F⁸"), =HYPERLINK("CSG17.html#group40E17", "40E¹⁷"), =HYPERLINK("CSG24.html#group50A24", "50A²⁴"), =HYPERLINK("CSG17.html#group60L17", "60L¹⁷"), =HYPERLINK("CSG4.html#group15B4", "15B⁴"), =HYPERLINK("CSG17.html#group30F17", "30F¹⁷"), =HYPERLINK("CSG14.html#group195A14", "195A¹⁴"), =HYPERLINK("CSG17.html#group40R17", "40R¹⁷"), =HYPERLINK("CSG8.html#group140A8", "140A⁸"), =HYPERLINK("CSG7.html#group45D7", "45D⁷"), =HYPERLINK("CSG19.html#group60D19", "60D¹⁹"), =HYPERLINK("CSG11.html#group40E11", "40E¹¹"), =HYPERLINK("CSG20.html#group160B20", "160B²⁰"), =HYPERLINK("CSG15.html#group60T15", "60T¹⁵"), =HYPERLINK("CSG7.html#group30H7", "30H⁷"), =HYPERLINK("CSG5.html#group70A5", "70A⁵"), =HYPERLINK("CSG7.html#group35A7", "35A⁷"), =HYPERLINK("CSG2.html#group10C2", "10C²"), =HYPERLINK("CSG23.html#group110A23", "110A²³"), =HYPERLINK("CSG9.html#group30A9", "30A⁹"), =HYPERLINK("CSG13.html#group120B13", "120B¹³"), =HYPERLINK("CSG13.html#group120C13", "120C¹³"), =HYPERLINK("CSG22.html#group90J22", "90J²²"), =HYPERLINK("CSG3.html#group15H3", "15H³"), =HYPERLINK("CSG8.html#group80A8", "80A⁸"), =HYPERLINK("CSG10.html#group140A10", "140A¹⁰"), =HYPERLINK("CSG22.html#group40I22", "40I²²"), =HYPERLINK("CSG4.html#group15E4", "15E⁴"), =HYPERLINK("CSG5.html#group20E5", "20E⁵"), =HYPERLINK("CSG13.html#group180A13", "180A¹³"), =HYPERLINK("CSG20.html#group235A20", "235A²⁰"), =HYPERLINK("CSG4.html#group25E4", "25E⁴"), =HYPERLINK("CSG9.html#group40B9", "40B⁹"), =HYPERLINK("CSG22.html#group40M22", "40M²²"), =HYPERLINK("CSG18.html#group210B18", "210B¹⁸"), =HYPERLINK("CSG7.html#group90B7", "90B⁷"), =HYPERLINK("CSG16.html#group55A16", "55A¹⁶"), =HYPERLINK("CSG24.html#group270B24", "270B²⁴"), =HYPERLINK("CSG17.html#group70C17", "70C¹⁷"), =HYPERLINK("CSG19.html#group60B19", "60B¹⁹"), =HYPERLINK("CSG9.html#group60A9", "60A⁹"), =HYPERLINK("CSG22.html#group25A22", "25A²²"), =HYPERLINK("CSG21.html#group40H21", "40H²¹"), =HYPERLINK("CSG8.html#group35A8", "35A⁸"), =HYPERLINK("CSG23.html#group40E23", "40E²³"), =HYPERLINK("CSG23.html#group60J23", "60J²³"), =HYPERLINK("CSG18.html#group120E18", "120E¹⁸"), =HYPERLINK("CSG16.html#group120A16", "120A¹⁶"), =HYPERLINK("CSG15.html#group70C15", "70C¹⁵"), =HYPERLINK("CSG12.html#group45H12", "45H¹²"), =HYPERLINK("CSG12.html#group155A12", "155A¹²"), =HYPERLINK("CSG17.html#group30D17", "30D¹⁷"), =HYPERLINK("CSG15.html#group90F15", "90F¹⁵"), =HYPERLINK("CSG7.html#group120B7", "120B⁷"), =HYPERLINK("CSG6.html#group90C6", "90C⁶"), =HYPERLINK("CSG8.html#group40H8", "40H⁸"), =HYPERLINK("CSG7.html#group30M7", "30M⁷"), =HYPERLINK("CSG14.html#group40A14", "40A¹⁴"), =HYPERLINK("CSG14.html#group60D14", "60D¹⁴"), =HYPERLINK("CSG8.html#group15B8", "15B⁸"), =HYPERLINK("CSG13.html#group45B13", "45B¹³"), =HYPERLINK("CSG22.html#group30A22", "30A²²"), =HYPERLINK("CSG14.html#group45B14", "45B¹⁴"), =HYPERLINK("CSG6.html#group35D6", "35D⁶"), =HYPERLINK("CSG5.html#group20B5", "20B⁵"), =HYPERLINK("CSG15.html#group40K15", "40K¹⁵"), =HYPERLINK("CSG17.html#group45B17", "45B¹⁷"), =HYPERLINK("CSG4.html#group30A4", "30A⁴"), =HYPERLINK("CSG12.html#group45B12", "45B¹²"), =HYPERLINK("CSG6.html#group60A6", "60A⁶"), =HYPERLINK("CSG8.html#group105B8", "105B⁸"), =HYPERLINK("CSG13.html#group40A13", "40A¹³"), =HYPERLINK("CSG7.html#group30O7", "30O⁷"), =HYPERLINK("CSG20.html#group220B20", "220B²⁰"), =HYPERLINK("CSG3.html#group60A3", "60A³"), =HYPERLINK("CSG19.html#group90G19", "90G¹⁹"), =HYPERLINK("CSG22.html#group30B22", "30B²²"), =HYPERLINK("CSG19.html#group60F19", "60F¹⁹"), =HYPERLINK("CSG24.html#group305A24", "305A²⁴"), =HYPERLINK("CSG18.html#group80D18", "80D¹⁸"), =HYPERLINK("CSG4.html#group30E4", "30E⁴"), =HYPERLINK("CSG12.html#group40A12", "40A¹²"), =HYPERLINK("CSG18.html#group60A18", "60A¹⁸"), =HYPERLINK("CSG14.html#group65A14", "65A¹⁴"), =HYPERLINK("CSG18.html#group80E18", "80E¹⁸"), =HYPERLINK("CSG21.html#group105F21", "105F²¹"), =HYPERLINK("CSG18.html#group60C18", "60C¹⁸"), =HYPERLINK("CSG23.html#group30B23", "30B²³"), =HYPERLINK("CSG13.html#group85A13", "85A¹³"), =HYPERLINK("CSG19.html#group60G19", "60G¹⁹"), =HYPERLINK("CSG0.html#group5G0", "5G⁰"), =HYPERLINK("CSG19.html#group160E19", "160E¹⁹"), =HYPERLINK("CSG9.html#group30N9", "30N⁹"), =HYPERLINK("CSG19.html#group120A19", "120A¹⁹"), =HYPERLINK("CSG13.html#group30B13", "30B¹³"), =HYPERLINK("CSG24.html#group55B24", "55B²⁴"), =HYPERLINK("CSG17.html#group20A17", "20A¹⁷"), =HYPERLINK("CSG18.html#group45A18", "45A¹⁸"), =HYPERLINK("CSG18.html#group70B18", "70B¹⁸"), =HYPERLINK("CSG22.html#group40G22", "40G²²"), =HYPERLINK("CSG24.html#group240B24", "240B²⁴"), =HYPERLINK("CSG21.html#group195A21", "195A²¹"), =HYPERLINK("CSG17.html#group210B17", "210B¹⁷"), =HYPERLINK("CSG3.html#group30D3", "30D³"), =HYPERLINK("CSG24.html#group60A24", "60A²⁴"), =HYPERLINK("CSG21.html#group50E21", "50E²¹"), =HYPERLINK("CSG14.html#group90A14", "90A¹⁴"), =HYPERLINK("CSG2.html#group15A2", "15A²"), =HYPERLINK("CSG19.html#group105B19", "105B¹⁹"), =HYPERLINK("CSG3.html#group30E3", "30E³"), =HYPERLINK("CSG10.html#group40C10", "40C¹⁰"), =HYPERLINK("CSG23.html#group40J23", "40J²³"), =HYPERLINK("CSG24.html#group40C24", "40C²⁴"), =HYPERLINK("CSG19.html#group160A19", "160A¹⁹"), =HYPERLINK("CSG19.html#group15B19", "15B¹⁹"), =HYPERLINK("CSG18.html#group80C18", "80C¹⁸"), =HYPERLINK("CSG9.html#group60D9", "60D⁹"), =HYPERLINK("CSG23.html#group40D23", "40D²³"), =HYPERLINK("CSG9.html#group80C9", "80C⁹"), =HYPERLINK("CSG13.html#group10A13", "10A¹³"), =HYPERLINK("CSG22.html#group60D22", "60D²²"), =HYPERLINK("CSG14.html#group60E14", "60E¹⁴"), =HYPERLINK("CSG4.html#group80A4", "80A⁴"), =HYPERLINK("CSG7.html#group15B7", "15B⁷"), =HYPERLINK("CSG2.html#group15E2", "15E²"), =HYPERLINK("CSG10.html#group165B10", "165B¹⁰"), =HYPERLINK("CSG6.html#group45A6", "45A⁶"), =HYPERLINK("CSG15.html#group210A15", "210A¹⁵"), =HYPERLINK("CSG16.html#group180B16", "180B¹⁶"), =HYPERLINK("CSG14.html#group65B14", "65B¹⁴"), =HYPERLINK("CSG1.html#group15F1", "15F¹"), =HYPERLINK("CSG17.html#group210D17", "210D¹⁷"), =HYPERLINK("CSG16.html#group210D16", "210D¹⁶"), =HYPERLINK("CSG16.html#group70A16", "70A¹⁶"), =HYPERLINK("CSG22.html#group40D22", "40D²²"), =HYPERLINK("CSG16.html#group80A16", "80A¹⁶"), =HYPERLINK("CSG20.html#group90E20", "90E²⁰"), =HYPERLINK("CSG2.html#group30B2", "30B²"), =HYPERLINK("CSG19.html#group160H19", "160H¹⁹"), =HYPERLINK("CSG16.html#group120B16", "120B¹⁶"), =HYPERLINK("CSG15.html#group20A15", "20A¹⁵"), =HYPERLINK("CSG3.html#group15G3", "15G³"), =HYPERLINK("CSG5.html#group20C5", "20C⁵"), =HYPERLINK("CSG12.html#group15A12", "15A¹²"), =HYPERLINK("CSG19.html#group160C19", "160C¹⁹"), =HYPERLINK("CSG19.html#group160B19", "160B¹⁹"), =HYPERLINK("CSG5.html#group40A5", "40A⁵"), =HYPERLINK("CSG7.html#group50A7", "50A⁷"), =HYPERLINK("CSG15.html#group105C15", "105C¹⁵"), =HYPERLINK("CSG6.html#group30F6", "30F⁶"), =HYPERLINK("CSG21.html#group40B21", "40B²¹"), =HYPERLINK("CSG8.html#group30E8", "30E⁸"), =HYPERLINK("CSG13.html#group120D13", "120D¹³"), =HYPERLINK("CSG17.html#group260A17", "260A¹⁷"), =HYPERLINK("CSG6.html#group105B6", "105B⁶"), =HYPERLINK("CSG10.html#group30A10", "30A¹⁰"), =HYPERLINK("CSG11.html#group135A11", "135A¹¹"), =HYPERLINK("CSG7.html#group30A7", "30A⁷"), =HYPERLINK("CSG15.html#group105B15", "105B¹⁵"), =HYPERLINK("CSG19.html#group80A19", "80A¹⁹"), =HYPERLINK("CSG20.html#group180D20", "180D²⁰"), =HYPERLINK("CSG22.html#group35A22", "35A²²"), =HYPERLINK("CSG2.html#group30D2", "30D²"), =HYPERLINK("CSG14.html#group90F14", "90F¹⁴"), =HYPERLINK("CSG24.html#group330A24", "330A²⁴"), =HYPERLINK("CSG17.html#group210C17", "210C¹⁷"), =HYPERLINK("CSG24.html#group110A24", "110A²⁴"), =HYPERLINK("CSG7.html#group90E7", "90E⁷"), =HYPERLINK("CSG24.html#group90G24", "90G²⁴"), =HYPERLINK("CSG10.html#group90A10", "90A¹⁰"), =HYPERLINK("CSG13.html#group40G13", "40G¹³"), =HYPERLINK("CSG24.html#group75A24", "75A²⁴"), =HYPERLINK("CSG13.html#group30N13", "30N¹³"), =HYPERLINK("CSG2.html#group35B2", "35B²"), =HYPERLINK("CSG10.html#group115A10", "115A¹⁰"), =HYPERLINK("CSG16.html#group60E16", "60E¹⁶"), =HYPERLINK("CSG16.html#group30E16", "30E¹⁶"), =HYPERLINK("CSG11.html#group60J11", "60J¹¹"), =HYPERLINK("CSG23.html#group40C23", "40C²³"), =HYPERLINK("CSG19.html#group90E19", "90E¹⁹"), =HYPERLINK("CSG15.html#group165B15", "165B¹⁵"), =HYPERLINK("CSG18.html#group210E18", "210E¹⁸"), =HYPERLINK("CSG15.html#group170B15", "170B¹⁵"), =HYPERLINK("CSG19.html#group160I19", "160I¹⁹"), =HYPERLINK("CSG5.html#group15B5", "15B⁵"), =HYPERLINK("CSG19.html#group20A19", "20A¹⁹"), =HYPERLINK("CSG4.html#group20D4", "20D⁴"), =HYPERLINK("CSG17.html#group30K17", "30K¹⁷"), =HYPERLINK("CSG14.html#group60A14", "60A¹⁴"), =HYPERLINK("CSG4.html#group70A4", "70A⁴"), =HYPERLINK("CSG16.html#group105A16", "105A¹⁶"), =HYPERLINK("CSG6.html#group20B6", "20B⁶"), =HYPERLINK("CSG9.html#group80D9", "80D⁹"), =HYPERLINK("CSG15.html#group20B15", "20B¹⁵"), =HYPERLINK("CSG19.html#group60J19", "60J¹⁹"), =HYPERLINK("CSG24.html#group270A24", "270A²⁴"), =HYPERLINK("CSG20.html#group180F20", "180F²⁰"), =HYPERLINK("CSG23.html#group285A23", "285A²³"), =HYPERLINK("CSG21.html#group180A21", "180A²¹"), =HYPERLINK("CSG12.html#group45E12", "45E¹²"), =HYPERLINK("CSG11.html#group45D11", "45D¹¹"), =HYPERLINK("CSG22.html#group80G22", "80G²²"), =HYPERLINK("CSG7.html#group20P7", "20P⁷"), =HYPERLINK("CSG14.html#group70G14", "70G¹⁴"), =HYPERLINK("CSG11.html#group30B11", "30B¹¹"), =HYPERLINK("CSG21.html#group280D21", "280D²¹"), =HYPERLINK("CSG17.html#group215A17", "215A¹⁷"), =HYPERLINK("CSG19.html#group50D19", "50D¹⁹"), =HYPERLINK("CSG20.html#group180B20", "180B²⁰"), =HYPERLINK("CSG19.html#group75B19", "75B¹⁹"), =HYPERLINK("CSG16.html#group120C16", "120C¹⁶"), =HYPERLINK("CSG8.html#group60D8", "60D⁸"), =HYPERLINK("CSG15.html#group60Q15", "60Q¹⁵"), =HYPERLINK("CSG23.html#group95C23", "95C²³"), =HYPERLINK("CSG1.html#group10E1", "10E¹"), =HYPERLINK("CSG15.html#group30C15", "30C¹⁵"), =HYPERLINK("CSG10.html#group40B10", "40B¹⁰"), =HYPERLINK("CSG21.html#group40F21", "40F²¹"), =HYPERLINK("CSG22.html#group70A22", "70A²²"), =HYPERLINK("CSG11.html#group30F11", "30F¹¹"), =HYPERLINK("CSG19.html#group105C19", "105C¹⁹"), =HYPERLINK("CSG16.html#group210C16", "210C¹⁶"), =HYPERLINK("CSG16.html#group40A16", "40A¹⁶"), =HYPERLINK("CSG1.html#group30B1", "30B¹"), =HYPERLINK("CSG22.html#group40L22", "40L²²"), =HYPERLINK("CSG17.html#group35A17", "35A¹⁷"), =HYPERLINK("CSG15.html#group240A15", "240A¹⁵"), =HYPERLINK("CSG15.html#group30B15", "30B¹⁵"), =HYPERLINK("CSG19.html#group100R19", "100R¹⁹"), =HYPERLIN</f>
        <v/>
      </c>
    </row>
    <row r="18">
      <c r="A18" t="inlineStr">
        <is>
          <t>5B⁰</t>
        </is>
      </c>
      <c r="B18" t="inlineStr">
        <is>
          <t>Γ₀(5)</t>
        </is>
      </c>
      <c r="C18" t="inlineStr">
        <is>
          <t>6</t>
        </is>
      </c>
      <c r="D18" t="inlineStr">
        <is>
          <t>1</t>
        </is>
      </c>
      <c r="E18" t="inlineStr">
        <is>
          <t>6</t>
        </is>
      </c>
      <c r="F18" t="inlineStr">
        <is>
          <t>2</t>
        </is>
      </c>
      <c r="G18" t="inlineStr">
        <is>
          <t>0</t>
        </is>
      </c>
      <c r="H18" t="inlineStr">
        <is>
          <t>1¹, 5¹</t>
        </is>
      </c>
      <c r="I18" t="n">
        <v>2</v>
      </c>
      <c r="J18" t="inlineStr">
        <is>
          <t>1², 4¹</t>
        </is>
      </c>
      <c r="K18">
        <f>HYPERLINK("CSG0.html#group1A0", "1A⁰")</f>
        <v/>
      </c>
      <c r="L18">
        <f>HYPERLINK("CSG0.html#group5D0", "5D⁰"), =HYPERLINK("CSG0.html#group5G0", "5G⁰"), =HYPERLINK("CSG0.html#group10B0", "10B⁰"), =HYPERLINK("CSG0.html#group10C0", "10C⁰"), =HYPERLINK("CSG0.html#group15B0", "15B⁰"), =HYPERLINK("CSG0.html#group25A0", "25A⁰"), =HYPERLINK("CSG1.html#group10A1", "10A¹"), =HYPERLINK("CSG1.html#group15C1", "15C¹"), =HYPERLINK("CSG1.html#group20B1", "20B¹"), =HYPERLINK("CSG2.html#group25A2", "25A²"), =HYPERLINK("CSG2.html#group25B2", "25B²"), =HYPERLINK("CSG2.html#group25C2", "25C²"), =HYPERLINK("CSG2.html#group25D2", "25D²"), =HYPERLINK("CSG2.html#group35C2", "35C²"), =HYPERLINK("CSG3.html#group35A3", "35A³"), =HYPERLINK("CSG4.html#group55A4", "55A⁴"), =HYPERLINK("CSG5.html#group55B5", "55B⁵"), =HYPERLINK("CSG5.html#group65A5", "65A⁵"), =HYPERLINK("CSG7.html#group85B7", "85B⁷"), =HYPERLINK("CSG9.html#group95A9", "95A⁹"), =HYPERLINK("CSG10.html#group45A10", "45A¹⁰"), =HYPERLINK("CSG11.html#group115A11", "115A¹¹"), =HYPERLINK("CSG13.html#group145A13", "145A¹³"), =HYPERLINK("CSG15.html#group155A15", "155A¹⁵"), =HYPERLINK("CSG17.html#group185A17", "185A¹⁷"), =HYPERLINK("CSG19.html#group205A19", "205A¹⁹"), =HYPERLINK("CSG20.html#group55A20", "55A²⁰"), =HYPERLINK("CSG21.html#group215A21", "215A²¹"), =HYPERLINK("CSG23.html#group235A23", "235A²³"), =HYPERLINK("CSG24.html#group95A24", "95A²⁴")</f>
        <v/>
      </c>
      <c r="M18">
        <f>HYPERLINK("CSG0.html#group1A0", "1A⁰")</f>
        <v/>
      </c>
      <c r="N18">
        <f>HYPERLINK("CSG16.html#group140C16", "140C¹⁶"), =HYPERLINK("CSG4.html#group35C4", "35C⁴"), =HYPERLINK("CSG19.html#group15A19", "15A¹⁹"), =HYPERLINK("CSG23.html#group50B23", "50B²³"), =HYPERLINK("CSG14.html#group110B14", "110B¹⁴"), =HYPERLINK("CSG23.html#group120C23", "120C²³"), =HYPERLINK("CSG21.html#group120O21", "120O²¹"), =HYPERLINK("CSG9.html#group15A9", "15A⁹"), =HYPERLINK("CSG6.html#group50A6", "50A⁶"), =HYPERLINK("CSG15.html#group135B15", "135B¹⁵"), =HYPERLINK("CSG4.html#group70C4", "70C⁴"), =HYPERLINK("CSG15.html#group80A15", "80A¹⁵"), =HYPERLINK("CSG21.html#group80C21", "80C²¹"), =HYPERLINK("CSG19.html#group100K19", "100K¹⁹"), =HYPERLINK("CSG13.html#group60AE13", "60AE¹³"), =HYPERLINK("CSG9.html#group75B9", "75B⁹"), =HYPERLINK("CSG21.html#group20B21", "20B²¹"), =HYPERLINK("CSG11.html#group60U11", "60U¹¹"), =HYPERLINK("CSG13.html#group30P13", "30P¹³"), =HYPERLINK("CSG19.html#group160N19", "160N¹⁹"), =HYPERLINK("CSG21.html#group50C21", "50C²¹"), =HYPERLINK("CSG15.html#group40AJ15", "40AJ¹⁵"), =HYPERLINK("CSG13.html#group100I13", "100I¹³"), =HYPERLINK("CSG7.html#group60G7", "60G⁷"), =HYPERLINK("CSG3.html#group15I3", "15I³"), =HYPERLINK("CSG15.html#group40U15", "40U¹⁵"), =HYPERLINK("CSG7.html#group30F7", "30F⁷"), =HYPERLINK("CSG19.html#group80P19", "80P¹⁹"), =HYPERLINK("CSG23.html#group180L23", "180L²³"), =HYPERLINK("CSG15.html#group45A15", "45A¹⁵"), =HYPERLINK("CSG1.html#group20G1", "20G¹"), =HYPERLINK("CSG3.html#group20I3", "20I³"), =HYPERLINK("CSG9.html#group60H9", "60H⁹"), =HYPERLINK("CSG21.html#group90H21", "90H²¹"), =HYPERLINK("CSG15.html#group20F15", "20F¹⁵"), =HYPERLINK("CSG15.html#group90G15", "90G¹⁵"), =HYPERLINK("CSG15.html#group90M15", "90M¹⁵"), =HYPERLINK("CSG10.html#group30B10", "30B¹⁰"), =HYPERLINK("CSG23.html#group120R23", "120R²³"), =HYPERLINK("CSG6.html#group35A6", "35A⁶"), =HYPERLINK("CSG9.html#group40P9", "40P⁹"), =HYPERLINK("CSG21.html#group160G21", "160G²¹"), =HYPERLINK("CSG3.html#group60C3", "60C³"), =HYPERLINK("CSG19.html#group200G19", "200G¹⁹"), =HYPERLINK("CSG9.html#group75D9", "75D⁹"), =HYPERLINK("CSG4.html#group10B4", "10B⁴"), =HYPERLINK("CSG13.html#group30H13", "30H¹³"), =HYPERLINK("CSG19.html#group100N19", "100N¹⁹"), =HYPERLINK("CSG13.html#group40T13", "40T¹³"), =HYPERLINK("CSG21.html#group120G21", "120G²¹"), =HYPERLINK("CSG5.html#group40I5", "40I⁵"), =HYPERLINK("CSG23.html#group60R23", "60R²³"), =HYPERLINK("CSG7.html#group40U7", "40U⁷"), =HYPERLINK("CSG9.html#group45F9", "45F⁹"), =HYPERLINK("CSG7.html#group40C7", "40C⁷"), =HYPERLINK("CSG23.html#group120H23", "120H²³"), =HYPERLINK("CSG11.html#group60R11", "60R¹¹"), =HYPERLINK("CSG19.html#group40G19", "40G¹⁹"), =HYPERLINK("CSG3.html#group20C3", "20C³"), =HYPERLINK("CSG9.html#group40F9", "40F⁹"), =HYPERLINK("CSG15.html#group120D15", "120D¹⁵"), =HYPERLINK("CSG17.html#group210E17", "210E¹⁷"), =HYPERLINK("CSG15.html#group100B15", "100B¹⁵"), =HYPERLINK("CSG23.html#group60P23", "60P²³"), =HYPERLINK("CSG17.html#group30H17", "30H¹⁷"), =HYPERLINK("CSG17.html#group70H17", "70H¹⁷"), =HYPERLINK("CSG17.html#group160I17", "160I¹⁷"), =HYPERLINK("CSG5.html#group45F5", "45F⁵"), =HYPERLINK("CSG5.html#group10A5", "10A⁵"), =HYPERLINK("CSG16.html#group175D16", "175D¹⁶"), =HYPERLINK("CSG3.html#group30J3", "30J³"), =HYPERLINK("CSG11.html#group110A11", "110A¹¹"), =HYPERLINK("CSG8.html#group45A8", "45A⁸"), =HYPERLINK("CSG21.html#group60W21", "60W²¹"), =HYPERLINK("CSG23.html#group250A23", "250A²³"), =HYPERLINK("CSG15.html#group40V15", "40V¹⁵"), =HYPERLINK("CSG17.html#group55B17", "55B¹⁷"), =HYPERLINK("CSG20.html#group225D20", "225D²⁰"), =HYPERLINK("CSG19.html#group70B19", "70B¹⁹"), =HYPERLINK("CSG11.html#group120B11", "120B¹¹"), =HYPERLINK("CSG3.html#group30G3", "30G³"), =HYPERLINK("CSG19.html#group175C19", "175C¹⁹"), =HYPERLINK("CSG20.html#group140A20", "140A²⁰"), =HYPERLINK("CSG23.html#group160C23", "160C²³"), =HYPERLINK("CSG9.html#group60I9", "60I⁹"), =HYPERLINK("CSG3.html#group20T3", "20T³"), =HYPERLINK("CSG13.html#group20B13", "20B¹³"), =HYPERLINK("CSG15.html#group60G15", "60G¹⁵"), =HYPERLINK("CSG12.html#group100A12", "100A¹²"), =HYPERLINK("CSG11.html#group130A11", "130A¹¹"), =HYPERLINK("CSG21.html#group90N21", "90N²¹"), =HYPERLINK("CSG5.html#group75A5", "75A⁵"), =HYPERLINK("CSG13.html#group30E13", "30E¹³"), =HYPERLINK("CSG9.html#group45D9", "45D⁹"), =HYPERLINK("CSG5.html#group40M5", "40M⁵"), =HYPERLINK("CSG6.html#group50E6", "50E⁶"), =HYPERLINK("CSG9.html#group75A9", "75A⁹"), =HYPERLINK("CSG9.html#group30I9", "30I⁹"), =HYPERLINK("CSG24.html#group275A24", "275A²⁴"), =HYPERLINK("CSG15.html#group150H15", "150H¹⁵"), =HYPERLINK("CSG15.html#group160A15", "160A¹⁵"), =HYPERLINK("CSG12.html#group50E12", "50E¹²"), =HYPERLINK("CSG23.html#group210G23", "210G²³"), =HYPERLINK("CSG24.html#group50B24", "50B²⁴"), =HYPERLINK("CSG7.html#group80A7", "80A⁷"), =HYPERLINK("CSG3.html#group10B3", "10B³"), =HYPERLINK("CSG15.html#group120K15", "120K¹⁵"), =HYPERLINK("CSG21.html#group80T21", "80T²¹"), =HYPERLINK("CSG19.html#group140B19", "140B¹⁹"), =HYPERLINK("CSG19.html#group100Q19", "100Q¹⁹"), =HYPERLINK("CSG19.html#group160M19", "160M¹⁹"), =HYPERLINK("CSG23.html#group235A23", "235A²³"), =HYPERLINK("CSG15.html#group40AH15", "40AH¹⁵"), =HYPERLINK("CSG17.html#group80U17", "80U¹⁷"), =HYPERLINK("CSG9.html#group80G9", "80G⁹"), =HYPERLINK("CSG17.html#group40AI17", "40AI¹⁷"), =HYPERLINK("CSG16.html#group50B16", "50B¹⁶"), =HYPERLINK("CSG2.html#group45A2", "45A²"), =HYPERLINK("CSG15.html#group70E15", "70E¹⁵"), =HYPERLINK("CSG21.html#group20C21", "20C²¹"), =HYPERLINK("CSG20.html#group25A20", "25A²⁰"), =HYPERLINK("CSG19.html#group80S19", "80S¹⁹"), =HYPERLINK("CSG11.html#group60N11", "60N¹¹"), =HYPERLINK("CSG11.html#group90A11", "90A¹¹"), =HYPERLINK("CSG7.html#group60O7", "60O⁷"), =HYPERLINK("CSG13.html#group30K13", "30K¹³"), =HYPERLINK("CSG6.html#group25E6", "25E⁶"), =HYPERLINK("CSG7.html#group20F7", "20F⁷"), =HYPERLINK("CSG9.html#group45G9", "45G⁹"), =HYPERLINK("CSG19.html#group150E19", "150E¹⁹"), =HYPERLINK("CSG8.html#group75A8", "75A⁸"), =HYPERLINK("CSG12.html#group125B12", "125B¹²"), =HYPERLINK("CSG15.html#group90I15", "90I¹⁵"), =HYPERLINK("CSG8.html#group90B8", "90B⁸"), =HYPERLINK("CSG19.html#group70A19", "70A¹⁹"), =HYPERLINK("CSG2.html#group15B2", "15B²"), =HYPERLINK("CSG21.html#group210A21", "210A²¹"), =HYPERLINK("CSG11.html#group30I11", "30I¹¹"), =HYPERLINK("CSG13.html#group35D13", "35D¹³"), =HYPERLINK("CSG13.html#group60AB13", "60AB¹³"), =HYPERLINK("CSG17.html#group40AQ17", "40AQ¹⁷"), =HYPERLINK("CSG13.html#group45N13", "45N¹³"), =HYPERLINK("CSG9.html#group90F9", "90F⁹"), =HYPERLINK("CSG3.html#group30I3", "30I³"), =HYPERLINK("CSG7.html#group10A7", "10A⁷"), =HYPERLINK("CSG5.html#group30N5", "30N⁵"), =HYPERLINK("CSG17.html#group40U17", "40U¹⁷"), =HYPERLINK("CSG14.html#group150C14", "150C¹⁴"), =HYPERLINK("CSG4.html#group75A4", "75A⁴"), =HYPERLINK("CSG21.html#group215A21", "215A²¹"), =HYPERLINK("CSG23.html#group180J23", "180J²³"), =HYPERLINK("CSG13.html#group60Y13", "60Y¹³"), =HYPERLINK("CSG20.html#group125B20", "125B²⁰"), =HYPERLINK("CSG12.html#group50H12", "50H¹²"), =HYPERLINK("CSG20.html#group55A20", "55A²⁰"), =HYPERLINK("CSG19.html#group120E19", "120E¹⁹"), =HYPERLINK("CSG17.html#group60U17", "60U¹⁷"), =HYPERLINK("CSG19.html#group60N19", "60N¹⁹"), =HYPERLINK("CSG13.html#group70C13", "70C¹³"), =HYPERLINK("CSG15.html#group150D15", "150D¹⁵"), =HYPERLINK("CSG23.html#group180M23", "180M²³"), =HYPERLINK("CSG17.html#group80AR17", "80AR¹⁷"), =HYPERLINK("CSG17.html#group60T17", "60T¹⁷"), =HYPERLINK("CSG13.html#group75B13", "75B¹³"), =HYPERLINK("CSG13.html#group180D13", "180D¹³"), =HYPERLINK("CSG3.html#group60D3", "60D³"), =HYPERLINK("CSG21.html#group160I21", "160I²¹"), =HYPERLINK("CSG5.html#group30P5", "30P⁵"), =HYPERLINK("CSG12.html#group150E12", "150E¹²"), =HYPERLINK("CSG21.html#group160N21", "160N²¹"), =HYPERLINK("CSG5.html#group20K5", "20K⁵"), =HYPERLINK("CSG6.html#group30D6", "30D⁶"), =HYPERLINK("CSG9.html#group60K9", "60K⁹"), =HYPERLINK("CSG5.html#group40J5", "40J⁵"), =HYPERLINK("CSG9.html#group65B9", "65B⁹"), =HYPERLINK("CSG11.html#group30K11", "30K¹¹"), =HYPERLINK("CSG19.html#group205A19", "205A¹⁹"), =HYPERLINK("CSG11.html#group110B11", "110B¹¹"), =HYPERLINK("CSG13.html#group100G13", "100G¹³"), =HYPERLINK("CSG6.html#group25A6", "25A⁶"), =HYPERLINK("CSG17.html#group170B17", "170B¹⁷"), =HYPERLINK("CSG17.html#group40Z17", "40Z¹⁷"), =HYPERLINK("CSG19.html#group120Q19", "120Q¹⁹"), =HYPERLINK("CSG21.html#group80AE21", "80AE²¹"), =HYPERLINK("CSG15.html#group40W15", "40W¹⁵"), =HYPERLINK("CSG7.html#group60N7", "60N⁷"), =HYPERLINK("CSG21.html#group90L21", "90L²¹"), =HYPERLINK("CSG21.html#group40L21", "40L²¹"), =HYPERLINK("CSG19.html#group45H19", "45H¹⁹"), =HYPERLINK("CSG19.html#group75D19", "75D¹⁹"), =HYPERLINK("CSG4.html#group55A4", "55A⁴"), =HYPERLINK("CSG17.html#group120L17", "120L¹⁷"), =HYPERLINK("CSG23.html#group120G23", "120G²³"), =HYPERLINK("CSG21.html#group105B21", "105B²¹"), =HYPERLINK("CSG19.html#group100J19", "100J¹⁹"), =HYPERLINK("CSG9.html#group80H9", "80H⁹"), =HYPERLINK("CSG12.html#group35B12", "35B¹²"), =HYPERLINK("CSG16.html#group175A16", "175A¹⁶"), =HYPERLINK("CSG15.html#group60E15", "60E¹⁵"), =HYPERLINK("CSG21.html#group35B21", "35B²¹"), =HYPERLINK("CSG13.html#group60AF13", "60AF¹³"), =HYPERLINK("CSG21.html#group120J21", "120J²¹"), =HYPERLINK("CSG19.html#group70G19", "70G¹⁹"), =HYPERLINK("CSG23.html#group180F23", "180F²³"), =HYPERLINK("CSG19.html#group60O19", "60O¹⁹"), =HYPERLINK("CSG11.html#group65B11", "65B¹¹"), =HYPERLINK("CSG17.html#group90G17", "90G¹⁷"), =HYPERLINK("CSG15.html#group90N15", "90N¹⁵"), =HYPERLINK("CSG11.html#group120C11", "120C¹¹"), =HYPERLINK("CSG7.html#group40T7", "40T⁷"), =HYPERLINK("CSG21.html#group140D21", "140D²¹"), =HYPERLINK("CSG19.html#group70E19", "70E¹⁹"), =HYPERLINK("CSG1.html#group10A1", "10A¹"), =HYPERLINK("CSG17.html#group80AO17", "80AO¹⁷"), =HYPERLINK("CSG18.html#group70E18", "70E¹⁸"), =HYPERLINK("CSG2.html#group25B2", "25B²"), =HYPERLINK("CSG5.html#group45C5", "45C⁵"), =HYPERLINK("CSG15.html#group60AA15", "60AA¹⁵"), =HYPERLINK("CSG13.html#group80H13", "80H¹³"), =HYPERLINK("CSG19.html#group140C19", "140C¹⁹"), =HYPERLINK("CSG7.html#group80I7", "80I⁷"), =HYPERLINK("CSG13.html#group60O13", "60O¹³"), =HYPERLINK("CSG19.html#group80AB19", "80AB¹⁹"), =HYPERLINK("CSG19.html#group200H19", "200H¹⁹"), =HYPERLINK("CSG21.html#group160F21", "160F²¹"), =HYPERLINK("CSG13.html#group45M13", "45M¹³"), =HYPERLINK("CSG19.html#group140I19", "140I¹⁹"), =HYPERLINK("CSG5.html#group50F5", "50F⁵"), =HYPERLINK("CSG21.html#group80N21", "80N²¹"), =HYPERLINK("CSG16.html#group50D16", "50D¹⁶"), =HYPERLINK("CSG19.html#group120L19", "120L¹⁹"), =HYPERLINK("CSG15.html#group40AE15", "40AE¹⁵"), =HYPERLINK("CSG17.html#group90B17", "90B¹⁷"), =HYPERLINK("CSG24.html#group330D24", "330D²⁴"), =HYPERLINK("CSG17.html#group160E17", "160E¹⁷"), =HYPERLINK("CSG21.html#group30B21", "30B²¹"), =HYPERLINK("CSG13.html#group60AK13", "60AK¹³"), =HYPERLINK("CSG21.html#group180J21", "180J²¹"), =HYPERLINK("CSG17.html#group195A17", "195A¹⁷"), =HYPERLINK("CSG9.html#group40L9", "40L⁹"), =HYPERLINK("CSG13.html#group20G13", "20G¹³"), =HYPERLINK("CSG13.html#group150F13", "150F¹³"), =HYPERLINK("CSG9.html#group100B9", "100B⁹"), =HYPERLINK("CSG9.html#group100G9", "100G⁹"), =HYPERLINK("CSG19.html#group175A19", "175A¹⁹"), =HYPERLINK("CSG15.html#group80U15", "80U¹⁵"), =HYPERLINK("CSG13.html#group40C13", "40C¹³"), =HYPERLINK("CSG11.html#group60E11", "60E¹¹"), =HYPERLINK("CSG16.html#group30C16", "30C¹⁶"), =HYPERLINK("CSG19.html#group150H19", "150H¹⁹"), =HYPERLINK("CSG6.html#group45D6", "45D⁶"), =HYPERLINK("CSG15.html#group90L15", "90L¹⁵"), =HYPERLINK("CSG13.html#group40K13", "40K¹³"), =HYPERLINK("CSG4.html#group25A4", "25A⁴"), =HYPERLINK("CSG15.html#group120C15", "120C¹⁵"), =HYPERLINK("CSG21.html#group160M21", "160M²¹"), =HYPERLINK("CSG21.html#group165A21", "165A²¹"), =HYPERLINK("CSG12.html#group125A12", "125A¹²"), =HYPERLINK("CSG15.html#group40AF15", "40AF¹⁵"), =HYPERLINK("CSG13.html#group40E13", "40E¹³"), =HYPERLINK("CSG21.html#group160P21", "160P²¹"), =HYPERLINK("CSG21.html#group160A21", "160A²¹"), =HYPERLINK("CSG21.html#group105C21", "105C²¹"), =HYPERLINK("CSG2.html#group35C2", "35C²"), =HYPERLINK("CSG15.html#group35D15", "35D¹⁵"), =HYPERLINK("CSG9.html#group75F9", "75F⁹"), =HYPERLINK("CSG17.html#group120M17", "120M¹⁷"), =HYPERLINK("CSG23.html#group230B23", "230B²³"), =HYPERLINK("CSG11.html#group90C11", "90C¹¹"), =HYPERLINK("CSG21.html#group200B21", "200B²¹"), =HYPERLINK("CSG17.html#group75D17", "75D¹⁷"), =HYPERLINK("CSG15.html#group80B15", "80B¹⁵"), =HYPERLINK("CSG21.html#group70H21", "70H²¹"), =HYPERLINK("CSG19.html#group200B19", "200B¹⁹"), =HYPERLINK("CSG9.html#group80M9", "80M⁹"), =HYPERLINK("CSG9.html#group40Q9", "40Q⁹"), =HYPERLINK("CSG13.html#group75C13", "75C¹³"), =HYPERLINK("CSG17.html#group120I17", "120I¹⁷"), =HYPERLINK("CSG21.html#group180I21", "180I²¹"), =HYPERLINK("CSG5.html#group40N5", "40N⁵"), =HYPERLINK("CSG20.html#group150B20", "150B²⁰"), =HYPERLINK("CSG15.html#group80C15", "80C¹⁵"), =HYPERLINK("CSG11.html#group80C11", "80C¹¹"), =HYPERLINK("CSG15.html#group80S15", "80S¹⁵"), =HYPERLINK("CSG17.html#group75F17", "75F¹⁷"), =HYPERLINK("CSG7.html#group80J7", "80J⁷"), =HYPERLINK("CSG0.html#group5D0", "5D⁰"), =HYPERLINK("CSG19.html#group160K19", "160K¹⁹"), =HYPERLINK("CSG19.html#group60K19", "60K¹⁹"), =HYPERLINK("CSG13.html#group60R13", "60R¹³"), =HYPERLINK("CSG15.html#group60B15", "60B¹⁵"), =HYPERLINK("CSG19.html#group20D19", "20D¹⁹"), =HYPERLINK("CSG23.html#group200B23", "200B²³"), =HYPERLINK("CSG19.html#group100H19", "100H¹⁹"), =HYPERLINK("CSG15.html#group40X15", "40X¹⁵"), =HYPERLINK("CSG21.html#group120D21", "120D²¹"), =HYPERLINK("CSG19.html#group120R19", "120R¹⁹"), =HYPERLINK("CSG18.html#group225A18", "225A¹⁸"), =HYPERLINK("CSG9.html#group15C9", "15C⁹"), =HYPERLINK("CSG13.html#group40N13", "40N¹³"), =HYPERLINK("CSG7.html#group40O7", "40O⁷"), =HYPERLINK("CSG15.html#group140D15", "140D¹⁵"), =HYPERLINK("CSG13.html#group90H13", "90H¹³"), =HYPERLINK("CSG3.html#group15F3", "15F³"), =HYPERLINK("CSG12.html#group100D12", "100D¹²"), =HYPERLINK("CSG6.html#group50B6", "50B⁶"), =HYPERLINK("CSG21.html#group105E21", "105E²¹"), =HYPERLINK("CSG21.html#group80H21", "80H²¹"), =HYPERLINK("CSG17.html#group80AH17", "80AH¹⁷"), =HYPERLINK("CSG19.html#group20B19", "20B¹⁹"), =HYPERLINK("CSG16.html#group150A16", "150A¹⁶"), =HYPERLINK("CSG23.html#group220C23", "220C²³"), =HYPERLINK("CSG2.html#group30E2", "30E²"), =HYPERLINK("CSG7.html#group70C7", "70C⁷"), =HYPERLINK("CSG17.html#group60P17", "60P¹⁷"), =HYPERLINK("CSG13.html#group60V13", "60V¹³"), =HYPERLINK("CSG3.html#group40D3", "40D³"), =HYPERLINK("CSG15.html#group60O15", "60O¹⁵"), =HYPERLINK("CSG4.html#group25G4", "25G⁴"), =HYPERLINK("CSG1.html#group20C1", "20C¹"), =HYPERLINK("CSG19.html#group80AC19", "80AC¹⁹"), =HYPERLINK("CSG21.html#group90J21", "90J²¹"), =HYPERLINK("CSG19.html#group100G19", "100G¹⁹"), =HYPERLINK("CSG13.html#group50B13", "50B¹³"), =HYPERLINK("CSG7.html#group35B7", "35B⁷"), =HYPERLINK("CSG20.html#group225A20", "225A²⁰"), =HYPERLINK("CSG6.html#group30C6", "30C⁶"), =HYPERLINK("CSG1.html#group20B1", "20B¹"), =HYPERLINK("CSG10.html#group15A10", "15A¹⁰"), =HYPERLINK("CSG21.html#group100B21", "100B²¹"), =HYPERLINK("CSG11.html#group65A11", "65A¹¹"), =HYPERLINK("CSG9.html#group80L9", "80L⁹"), =HYPERLINK("CSG24.html#group75C24", "75C²⁴"), =HYPERLINK("CSG24.html#group250A24", "250A²⁴"), =HYPERLINK("CSG19.html#group160J19", "160J¹⁹"), =HYPERLINK("CSG15.html#group60I15", "60I¹⁵"), =HYPERLINK("CSG13.html#group60J13", "60J¹³"), =HYPERLINK("CSG21.html#group80Q21", "80Q²¹"), =HYPERLINK("CSG13.html#group40S13", "40S¹³"), =HYPERLINK("CSG15.html#group35C15", "35C¹⁵"), =HYPERLINK("CSG4.html#group15D4", "15D⁴"), =HYPERLINK("CSG3.html#group20M3", "20M³"), =HYPERLINK("CSG11.html#group40K11", "40K¹¹"), =HYPERLINK("CSG5.html#group45G5", "45G⁵"), =HYPERLINK("CSG21.html#group120C21", "120C²¹"), =HYPERLINK("CSG11.html#group70D11", "70D¹¹"), =HYPERLINK("CSG13.html#group60L13", "60L¹³"), =HYPERLINK("CSG9.html#group80E9", "80E⁹"), =HYPERLINK("CSG13.html#group120I13", "120I¹³"), =HYPERLINK("CSG12.html#group75D12", "75D¹²"), =HYPERLINK("CSG7.html#group40K7", "40K⁷"), =HYPERLINK("CSG13.html#group60AA13", "60AA¹³"), =HYPERLINK("CSG15.html#group60M15", "60M¹⁵"), =HYPERLINK("CSG14.html#group75C14", "75C¹⁴"), =HYPERLINK("CSG12.html#group165B12", "165B¹²"), =HYPERLINK("CSG5.html#group20D5", "20D⁵"), =HYPERLINK("CSG23.html#group220B23", "220B²³"), =HYPERLINK("CSG3.html#group20Q3", "20Q³"), =HYPERLINK("CSG1.html#group20E1", "20E¹"), =HYPERLINK("CSG15.html#group160C15", "160C¹⁵"), =HYPERLINK("CSG11.html#group60C11", "60C¹¹"), =HYPERLINK("CSG14.html#group75B14", "75B¹⁴"), =HYPERLINK("CSG19.html#group80AE19", "80AE¹⁹"), =HYPERLINK("CSG7.html#group60R7", "60R⁷"), =HYPERLINK("CSG8.html#group70B8", "70B⁸"), =HYPERLINK("CSG4.html#group60C4", "60C⁴"), =HYPERLINK("CSG5.html#group70B5", "70B⁵"), =HYPERLINK("CSG9.html#group40I9", "40I⁹"), =HYPERLINK("CSG9.html#group80N9", "80N⁹"), =HYPERLINK("CSG17.html#group120K17", "120K¹⁷"), =HYPERLINK("CSG3.html#group20A3", "20A³"), =HYPERLINK("CSG23.html#group220A23", "220A²³"), =HYPERLINK("CSG13.html#group40V13", "40V¹³"), =HYPERLINK("CSG13.html#group35C13", "35C¹³"), =HYPERLINK("CSG21.html#group160S21", "160S²¹"), =HYPERLINK("CSG15.html#group150A15", "150A¹⁵"), =HYPERLINK("CSG3.html#group40F3", "40F³"), =HYPERLINK("CSG13.html#group135E13", "135E¹³"), =HYPERLINK("CSG17.html#group165A17", "165A¹⁷"), =HYPERLINK("CSG2.html#group10C2", "10C²"), =HYPERLINK("CSG19.html#group190A19", "190A¹⁹"), =HYPERLINK("CSG15.html#group80O15", "80O¹⁵"), =HYPERLINK("CSG21.html#group120L21", "120L²¹"), =HYPERLINK("CSG3.html#group35A3", "35A³"), =HYPERLINK("CSG17.html#group80BC17", "80BC¹⁷"), =HYPERLINK("CSG11.html#group150A11", "150A¹¹"), =HYPERLINK("CSG13.html#group120G13", "120G¹³"), =HYPERLINK("CSG21.html#group60B21", "60B²¹"), =HYPERLINK("CSG21.html#group45E21", "45E²¹"), =HYPERLINK("CSG11.html#group90E11", "90E¹¹"), =HYPERLINK("CSG9.html#group40O9", "40O⁹"), =HYPERLINK("CSG19.html#group80U19", "80U¹⁹"), =HYPERLINK("CSG17.html#group75E17", "75E¹⁷"), =HYPERLINK("CSG17.html#group80AD17", "80AD¹⁷"), =HYPERLINK("CSG19.html#group100P19", "100P¹⁹"), =HYPERLINK("CSG9.html#group40J9", "40J⁹"), =HYPERLINK("CSG10.html#group100A10", "100A¹⁰"), =HYPERLINK("CSG21.html#group40H21", "40H²¹"), =HYPERLINK("CSG23.html#group180E23", "180E²³"), =HYPERLINK("CSG13.html#group30R13", "30R¹³"), =HYPERLINK("CSG5.html#group40H5", "40H⁵"), =HYPERLINK("CSG19.html#group140H19", "140H¹⁹"), =HYPERLINK("CSG17.html#group160H17", "160H¹⁷"), =HYPERLINK("CSG6.html#group75C6", "75C⁶"), =HYPERLINK("CSG16.html#group70F16", "70F¹⁶"), =HYPERLINK("CSG11.html#group110C11", "110C¹¹"), =HYPERLINK("CSG6.html#group75A6", "75A⁶"), =HYPERLINK("CSG21.html#group160D21", "160D²¹"), =HYPERLINK("CSG9.html#group40G9", "40G⁹"), =HYPERLINK("CSG17.html#group90H17", "90H¹⁷"), =HYPERLINK("CSG13.html#group70D13", "70D¹³"), =HYPERLINK("CSG6.html#group100A6", "100A⁶"), =HYPERLINK("CSG7.html#group40Q7", "40Q⁷"), =HYPERLINK("CSG9.html#group60J9", "60J⁹"), =HYPERLINK("CSG15.html#group140B15", "140B¹⁵"), =HYPERLINK("CSG17.html#group80AM17", "80AM¹⁷"), =HYPERLINK("CSG15.html#group60C15", "60C¹⁵"), =HYPERLINK("CSG17.html#group60Y17", "60Y¹⁷"), =HYPERLINK("CSG23.html#group180K23", "180K²³"), =HYPERLINK("CSG1.html#group20H1", "20H¹"), =HYPERLINK("CSG5.html#group30O5", "30O⁵"), =HYPERLINK("CSG1.html#group10D1", "10D¹"), =HYPERLINK("CSG13.html#group100F13", "100F¹³"), =HYPERLINK("CSG11.html#group140A11", "140A¹¹"), =HYPERLINK("CSG15.html#group45C15", "45C¹⁵"), =HYPERLINK("CSG14.html#group105D14", "105D¹⁴"), =HYPERLINK("CSG21.html#group80AD21", "80AD²¹"), =HYPERLINK("CSG21.html#group160J21", "160J²¹"), =HYPERLINK("CSG17.html#group80AB17", "80AB¹⁷"), =HYPERLINK("CSG21.html#group105D21", "105D²¹"), =HYPERLINK("CSG14.html#group35D14", "35D¹⁴"), =HYPERLINK("CSG19.html#group175D19", "175D¹⁹"), =HYPERLINK("CSG11.html#group60Q11", "60Q¹¹"), =HYPERLINK("CSG5.html#group65A5", "65A⁵"), =HYPERLINK("CSG19.html#group200J19", "200J¹⁹"), =HYPERLINK("CSG21.html#group180H21", "180H²¹"), =HYPERLINK("CSG0.html#group5G0", "5G⁰"), =HYPERLINK("CSG21.html#group60X21", "60X²¹"), =HYPERLINK("CSG16.html#group175B16", "175B¹⁶"), =HYPERLINK("CSG21.html#group250A21", "250A²¹"), =HYPERLINK("CSG14.html#group150A14", "150A¹⁴"), =HYPERLINK("CSG9.html#group40W9", "40W⁹"), =HYPERLINK("CSG15.html#group40AA15", "40AA¹⁵"), =HYPERLINK("CSG21.html#group90F21", "90F²¹"), =HYPERLINK("CSG5.html#group30H5", "30H⁵"), =HYPERLINK("CSG21.html#group50E21", "50E²¹"), =HYPERLINK("CSG17.html#group200B17", "200B¹⁷"), =HYPERLINK("CSG11.html#group140D11", "140D¹¹"), =HYPERLINK("CSG15.html#group80D15", "80D¹⁵"), =HYPERLINK("CSG13.html#group50C13", "50C¹³"), =HYPERLINK("CSG17.html#group80BA17", "80BA¹⁷"), =HYPERLINK("CSG13.html#group10A13", "10A¹³"), =HYPERLINK("CSG9.html#group60L9", "60L⁹"), =HYPERLINK("CSG19.html#group80AD19", "80AD¹⁹"), =HYPERLINK("CSG21.html#group80O21", "80O²¹"), =HYPERLINK("CSG9.html#group30R9", "30R⁹"), =HYPERLINK("CSG17.html#group80AZ17", "80AZ¹⁷"), =HYPERLINK("CSG10.html#group55A10", "55A¹⁰"), =HYPERLINK("CSG3.html#group20K3", "20K³"), =HYPERLINK("CSG2.html#group25C2", "25C²"), =HYPERLINK("CSG23.html#group60O23", "60O²³"), =HYPERLINK("CSG17.html#group80AJ17", "80AJ¹⁷"), =HYPERLINK("CSG12.html#group100C12", "100C¹²"), =HYPERLINK("CSG23.html#group210A23", "210A²³"), =HYPERLINK("CSG17.html#group60N17", "60N¹⁷"), =HYPERLINK("CSG7.html#group80E7", "80E⁷"), =HYPERLINK("CSG2.html#group20C2", "20C²"), =HYPERLINK("CSG11.html#group30G11", "30G¹¹"), =HYPERLINK("CSG12.html#group75C12", "75C¹²"), =HYPERLINK("CSG21.html#group240D21", "240D²¹"), =HYPERLINK("CSG21.html#group80R21", "80R²¹"), =HYPERLINK("CSG19.html#group120H19", "120H¹⁹"), =HYPERLINK("CSG10.html#group75A10", "75A¹⁰"), =HYPERLINK("CSG19.html#group120K19", "120K¹⁹"), =HYPERLINK("CSG8.html#group110A8", "110A⁸"), =HYPERLINK("CSG9.html#group60G9", "60G⁹"), =HYPERLINK("CSG21.html#group80V21", "80V²¹"), =HYPERLINK("CSG19.html#group80Y19", "80Y¹⁹"), =HYPERLINK("CSG17.html#group70F17", "70F¹⁷"), =HYPERLINK("CSG7.html#group80G7", "80G⁷"), =HYPERLINK("CSG19.html#group225A19", "225A¹⁹"), =HYPERLINK("CSG23.html#group220D23", "220D²³"), =HYPERLINK("CSG15.html#group85A15", "85A¹⁵"), =HYPERLINK("CSG21.html#group120M21", "120M²¹"), =HYPERLINK("CSG21.html#group55B21", "55B²¹"), =HYPERLINK("CSG17.html#group160K17", "160K¹⁷"), =HYPERLINK("CSG21.html#group120F21", "120F²¹"), =HYPERLINK("CSG16.html#group25E16", "25E¹⁶"), =HYPERLINK("CSG7.html#group60Q7", "60Q⁷"), =HYPERLINK("CSG23.html#group180I23", "180I²³"), =HYPERLINK("CSG11.html#group40F11", "40F¹¹"), =HYPERLINK("CSG23.html#group40C23", "40C²³"), =HYPERLINK("CSG5.html#group15B5", "15B⁵"), =HYPERLINK("CSG21.html#group60C21", "60C²¹"), =HYPERLINK("CSG15.html#group80N15", "80N¹⁵"), =HYPERLINK("CSG1.html#group10G1", "10G¹"), =HYPERLINK("CSG23.html#group160B23", "160B²³"), =HYPERLINK("CSG19.html#group20A19", "20A¹⁹"), =HYPERLINK("CSG5.html#group40G5", "40G⁵"), =HYPERLINK("CSG21.html#group160R21", "160R²¹"), =HYPERLINK("CSG6.html#group125A6", "125A⁶"), =HYPERLINK("CSG13.html#group60K13", "60K¹³"), =HYPERLINK("CSG5.html#group40C5", "40C⁵"), =HYPERLINK("CSG23.html#group60Q23", "60Q²³"), =HYPERLINK("CSG21.html#group110B21", "110B²¹"), =HYPERLINK("CSG13.html#group60M13", "60M¹³"), =HYPERLINK("CSG7.html#group40P7", "40P⁷"), =HYPERLINK("CSG15.html#group150F15", "150F¹⁵"), =HYPERLINK("CSG23.html#group120B23", "120B²³"), =HYPERLINK("CSG9.html#group50B9", "50B⁹"), =HYPERLINK("CSG7.html#group20N7", "20N⁷"), =HYPERLINK("CSG9.html#group30J9", "30J⁹"), =HYPERLINK("CSG11.html#group45H11", "45H¹¹"), =HYPERLINK("CSG12.html#group50B12", "50B¹²"), =HYPERLINK("CSG23.html#group120I23", "120I²³"), =HYPERLINK("CSG21.html#group80AC21", "80AC²¹"), =HYPERLINK("CSG9.html#group50C9", "50C⁹"), =HYPERLINK("CSG11.html#group30B11", "30B¹¹"), =HYPERLINK("CSG12.html#group150C12", "150C¹²"), =HYPERLINK("CSG21.html#group120I21", "120I²¹"), =HYPERLINK("CSG9.html#group100A9", "100A⁹"), =HYPERLINK("CSG17.html#group160G17", "160G¹⁷"), =HYPERLINK("CSG5.html#group60C5", "60C⁵"), =HYPERLINK("CSG22.html#group90H22", "90H²²"), =HYPERLINK("CSG3.html#group20B3", "20B³"), =HYPERLINK("CSG21.html#group160B21", "160B²¹"), =HYPERLINK("CSG19.html#group150I19", "150I¹⁹"), =HYPERLINK("CSG23.html#group180G23", "180G²³"), =HYPERLINK("CSG17.html#group40AC17", "40AC¹⁷"), =HYPERLINK("CSG0.html#group20A0", "20A⁰"), =HYPERLINK("CSG17.html#group80AW17", "80AW¹⁷"), =HYPERLINK("CSG13.html#group40W13", "40W¹³"), =HYPERLINK("CSG7.html#group80D7", "80D⁷"), =HYPERLINK("CSG9.html#group90G9", "90G⁹"), =HYPERLINK("CSG15.html#group155A15", "155A¹⁵"), =HYPERLINK("CSG11.html#group40I11", "40I¹¹"), =HYPERLINK("CSG17.html#group70G17", "70G¹⁷"), =HYPERLINK("CSG21.html#group80Y21", "80Y²¹"), =HYPERLINK("CSG13.html#group80E13", "80E¹³"), =HYPERLINK("CSG21.html#group60I21", "60I²¹"), =HYPERLINK("CSG23.html#group160D23", "160D²³"), =HYPERLINK("CSG5.html#group30D5", "30D⁵"), =HYPERLINK("CSG17.html#group40AB17", "40AB¹⁷"), =HYPERLINK("CSG24.html#group315A24", "315A²⁴"), =HYPERLINK("CSG21.html#group80J21", "80J²¹"), =HYPERLINK("CSG23.html#group210C23", "210C²³"), =HYPERLINK("CSG10.html#group150A10", "150A¹⁰"), =HYPERLINK("CSG15.html#group90K15", "90K¹⁵"), =HYPERLINK("CSG17.html#group75C17", "75C¹⁷"), =HYPERLINK("CSG23.html#group140H23", "140H²³"), =HYPERLINK("CSG17.html#group35B17", "35B¹⁷"), =HYPERLINK("CSG13.html#group30D13", "30D¹³"), =HYPERLINK("CSG11.html#group60G11", "60G¹¹"), =HYPERLINK("CSG17.html#group90C17", "90C¹⁷"), =HYPERLINK("CSG1.html#group20J1", "20J¹"), =HYPERLINK("CSG13.html#group40L13", "40L¹³"), =HYPERLINK("CSG13.html#group60AI13", "60AI¹³"), =HYPERLINK("CSG9.html#group20E9", "20E⁹"), =HYPERLINK("CSG10.html#group45A10", "45A¹⁰"), =HYPERLINK("CSG9.html#group30K9", "30K⁹"), =HYPERLINK("CSG19.html#group70I19", "70I¹⁹"), =HYPERLINK("CSG11.html#group105B11", "105B¹¹"), =HYPERLINK("CSG13.html#group105B13", "105B¹³"), =HYPERLINK("CSG7.html#group80K7", "80K⁷"), =HYPERLINK("CSG22.html#group90G22", "90G²²"), =HYPERLINK("CSG15.html#group40AG15", "40AG¹⁵"), =HYPERLINK("CSG17.html#group40AT17", "40AT¹⁷"), =HYPERLINK("CSG13.html#group50D13", "50D¹³"), =HYPERLINK("CSG17.html#group40AH17", "40AH¹⁷"), =HYPERLINK("CSG17.html#group105A17", "105A¹⁷"), =HYPERLINK("CSG19.html#group90J19", "90J¹⁹"), =HYPERLINK("CSG23.html#group170A23", "170A²³"), =HYPERLINK("CSG20.html#group90G20", "90G²⁰"), =HYPERLINK("CSG19.html#group20C19", "20C¹⁹"), =HYPERLINK("CSG14.html#group75D14", "75D¹⁴"), =HYPERLINK("CSG14.html#group35C14", "35C¹⁴"), =HYPERLINK("CSG9.html#group90E9", "90E⁹"), =HYPERLINK("CSG13.html#group30Q13", "30Q¹³"), =HYPERLINK("CSG19.html#group175B19", "175B¹⁹"), =HYPERLINK("CSG10.html#group125A10", "125A¹⁰"), =HYPERLINK("CSG15.html#group110A15", "110A¹⁵"), =HYPERLINK("CSG7.html#group100C7", "100C⁷"), =HYPERLINK("CSG9.html#group40V9", "40V⁹"), =HYPERLINK("CSG19.html#group150C19", "150C¹⁹"), =HYPERLINK("CSG17.html#group90I17", "90I¹⁷"), =HYPERLINK("CSG5.html#group55B5", "55B⁵"), =HYPERLINK("CSG19.html#group40L19", "40L¹⁹"), =HYPERLINK("CSG9.html#group100E9", "100E⁹"), =HYPERLINK("CSG7.html#group60F7", "60F⁷"), =HYPERLINK("CSG21.html#group90G21", "90G²¹"), =HYPERLINK("CSG23.html#group180B23", "180B²³"), =HYPERLINK("CSG7.html#group40B7", "40B⁷"), =HYPERLINK("CSG19.html#group50B19", "50B¹⁹"), =HYPERLINK("CSG7.html#group40R7", "40R⁷"), =HYPERLINK("CSG6.html#group25F6", "25F⁶"), =HYPERLINK("CSG24.html#group90A24", "90A²⁴"), =HYPERLINK("CSG13.html#group75D13", "75D¹³"), =HYPERLINK("CSG17.html#group90S17", "90S¹⁷"), =HYPERLINK("CSG4.html#group25C4", "25C⁴"), =HYPERLINK("CSG2.html#group30C2", "30C²"), =HYPERLINK("CSG17.html#group80AN17", "80AN¹⁷"), =HYPERLINK("CSG17.html#group20B17", "20B¹⁷"), =HYPERLINK("CSG9.html#group75C9", "75C⁹"), =HYPERLINK("CSG0.html#group10G0", "10G⁰"), =HYPERLINK("CSG5.html#group30M5", "30M⁵"), =HYPERLINK("CSG5.html#group20J5", "20J⁵"), =HYPERLINK("CSG17.html#group40AL17", "40AL¹⁷"), =HYPERLINK("CSG17.html#group100A17", "100A¹⁷"), =HYPERLINK("CSG1.html#group15H1", "15H¹"), =HYPERLINK("CSG13.html#group20F13", "20F¹³"), =HYPERLINK("CSG1.html#group30D1", "30D¹"), =HYPERLINK("CSG21.html#group245A21", "245A²¹"), =HYPERLINK("CSG15.html#group140A15", "140A¹⁵"), =HYPERLINK("CSG0.html#group10C0", "10C⁰"), =HYPERLINK("CSG7.html#group70A7", "70A⁷"), =HYPERLINK("CSG5.html#group35B5", "35B⁵"), =HYPERLINK("CSG13.html#group50E13", "50E¹³"), =HYPERLINK("CSG21.html#group60M21", "60M²¹"), =HYPERLINK("CSG17.html#group40AR17", "40AR¹⁷"), =HYPERLINK("CSG3.html#group30L3", "30L³"), =HYPERLINK("CSG4.html#group50F4", "50F⁴"), =HYPERLINK("CSG13.html#group100J13", "100J¹³"), =HYPERLINK("CSG3.html#group40H3", "40H³"), =HYPERLINK("CSG14.html#group70H14", "70H¹⁴"), =HYPERLINK("CSG9.html#group40H9", "40H⁹"), =HYPERLINK("CSG17.html#group60O17", "60O¹⁷"), =HYPERLINK("CSG23.html#group120A23", "120A²³"), =HYPERLINK("CSG21.html#group60K21", "60K²¹"), =HYPERLINK("CSG9.html#group80K9", "80K⁹"), =HYPERLINK("CSG9.html#group20B9", "20B⁹"), =HYPERLINK("CSG22.html#group180D22", "180D²²"), =HYPERLINK("CSG22.html#group90F22", "90F²²"), =HYPERLINK("CSG17.html#group80Y17", "80Y¹⁷"), =HYPERLINK("CSG15.html#group80P15", "80P¹⁵"), =HYPERLINK("CSG16.html#group70G16", "70G¹⁶"), =HYPERLINK("CSG19.html#group80N19", "80N¹⁹"), =HYPERLINK("CSG13.html#group60U13", "60U¹³"), =HYPERLINK("CSG0.html#group30A0", "30A⁰"), =HYPERLINK("CSG19.html#group200A19", "200A¹⁹"), =HYPERLINK("CSG17.html#group40AO17", "40AO¹⁷"), =HYPERLINK("CSG15.html#group40Y15", "40Y¹⁵"), =HYPERLINK("CSG7.html#group40L7", "40L⁷"), =HYPERLINK("CSG6.html#group25C6", "25C⁶"), =HYPERLINK("CSG17.html#group75A17", "75A¹⁷"), =HYPERLINK("CSG22.html#group250A22", "250A²²"), =HYPERLINK("CSG17.html#group90R17", "90R¹⁷"), =HYPERLINK("CSG19.html#group200F19", "200F¹⁹"), =HYPERLINK("CSG13.html#group30L13", "30L¹³"), =HYPERLINK("CSG21.html#group160Q21", "160Q²¹"), =HYPERLINK("CSG7.html#group40S7", "40S⁷"), =HYPERLINK("CSG21.html#group160T21", "160T²¹"), =HYPERLINK("CSG9.html#group50A9", "50A⁹"), =HYPERLINK("CSG17.html#group70E17", "70E¹⁷"), =HYPERLINK("CSG13.html#group90E13", "90E¹³"), =HYPERLINK("CSG19.html#group100I19", "100I¹⁹"), =HYPERLINK("CSG6.html#group25B6", "25B⁶"), =HYPERLINK("CSG7.html#group60E7", "60E⁷"), =HYPERLINK("CSG15.html#group120M15", "120M¹⁵"), =HYPERLINK("CSG19.html#group200D19", "200D¹⁹"), =HYPERLINK("CSG11.html#group90H11", "90H¹¹"), =HYPERLINK("CSG17.html#group60R17", "60R¹⁷"), =HYPERLINK("CSG15.html#group150J15", "150J¹⁵"), =HYPERLINK("CSG21.html#group30G21", "30G²¹"), =HYPERLINK("CSG17.html#group80AS17", "80AS¹⁷"), =HYPERLINK("CSG17.html#group90D17", "90D¹⁷"), =HYPERLINK("CSG6.html#group25D6", "25D⁶"), =HYPERLINK("CSG21.html#group110C21", "110C²¹"), =HYPERLINK("CSG0.html#group15C0", "15C⁰"), =HYPERLINK("CSG9.html#group80J9", "80J⁹"), =HYPERLINK("CSG21.html#group135A21", "135A²¹"), =HYPERLINK("CSG17.html#group40AF17", "40AF¹⁷"), =HYPERLINK("CSG13.html#group150D13", "150D¹³"), =HYPERLINK("CSG13.html#group50A13", "50A¹³"), =HYPERLINK("CSG23.html#group250B23", "250B²³"), =HYPERLINK("CSG12.html#group150D12", "150D¹²"), =HYPERLINK("CSG19.html#group40H19", "40H¹⁹"), =HYPERLINK("CSG9.html#group100C9", "100C⁹"), =HYPERLINK("CSG5.html#group45D5", "45D⁵"), =HYPERLINK("CSG7.html#group40AA7", "40AA⁷"), =HYPERLINK("CSG3.html#group40B3", "40B³"), =HYPERLINK("CSG16.html#group25C16", "25C¹⁶"), =HYPERLINK("CSG9.html#group55B9", "55B⁹"), =HYPERLINK("CSG15.html#group80V15", "80V¹⁵"), =HYPERLINK("CSG13.html#group80G13", "80G¹³"), =HYPERLINK("CSG20.html#group225B20", "225B²⁰"), =HYPERLINK("CSG13.html#group40R13", "40R¹³"), =HYPERLINK("CSG21.html#group80M21", "80M²¹"), =HYPERLINK("CSG12.html#group75A12", "75A¹²"), =HYPERLINK("CSG14.html#group105E14", "105E¹⁴"), =HYPERLINK("CSG17.html#group40X17", "40X¹⁷"), =HYPERLINK("CSG13.html#group150A13", "150A¹³"), =HYPERLINK("CSG15.html#group60AE15", "60AE¹⁵"), =HYPERLINK("CSG15.html#group120G15", "120G¹⁵"), =HYPERLINK("CSG17.html#group100C17", "100C¹⁷"), =HYPERLINK("CSG13.html#group120K13", "120K¹³"), =HYPERLINK("CSG5.html#group60A5", "60A⁵"), =HYPERLINK("CSG8.html#group45D8", "45D⁸"), =HYPERLINK("CSG21.html#group40G21", "40G²¹"), =HYPERLINK("CSG13.html#group60AG13", "60AG¹³"), =HYPERLINK("CSG18.html#group70F18", "70F¹⁸"), =HYPERLINK("CSG3.html#group20J3", "20J³"), =HYPERLINK("CSG19.html#group45F19", "45F¹⁹"), =HYPERLINK("CSG21.html#group90O21", "90O²¹"), =HYPERLINK("CSG21.html#group90E21", "90E²¹"), =HYPERLINK("CSG14.html#group50B14", "50B¹⁴"), =HYPERLINK("CSG22.html#group50E22", "50E²²"), =HYPERLINK("CSG11.html#group90B11", "90B¹¹"), =HYPERLINK("CSG0.html#group5H0", "5H⁰"), =HYPERLINK("CSG23.html#group120E23", "120E²³"), =HYPERLINK("CSG16.html#group35A16", "35A¹⁶"), =HYPERLINK("CSG7.html#group40M7", "40M⁷"), =HYPERLINK("CSG13.html#group40O13", "40O¹³"), =HYPERLINK("CSG17.html#group130A17", "130A¹⁷"), =HYPERLINK("CSG19.html#group90K19", "90K¹⁹"), =HYPERLIN</f>
        <v/>
      </c>
    </row>
    <row r="19">
      <c r="A19" t="inlineStr">
        <is>
          <t>5C⁰</t>
        </is>
      </c>
      <c r="B19" t="inlineStr"/>
      <c r="C19" t="inlineStr">
        <is>
          <t>10</t>
        </is>
      </c>
      <c r="D19" t="inlineStr">
        <is>
          <t>1</t>
        </is>
      </c>
      <c r="E19" t="inlineStr">
        <is>
          <t>10</t>
        </is>
      </c>
      <c r="F19" t="inlineStr">
        <is>
          <t>2</t>
        </is>
      </c>
      <c r="G19" t="inlineStr">
        <is>
          <t>1</t>
        </is>
      </c>
      <c r="H19" t="inlineStr">
        <is>
          <t>5²</t>
        </is>
      </c>
      <c r="I19" t="n">
        <v>2</v>
      </c>
      <c r="J19" t="inlineStr">
        <is>
          <t>2¹, 4²</t>
        </is>
      </c>
      <c r="K19">
        <f>HYPERLINK("CSG0.html#group1A0", "1A⁰")</f>
        <v/>
      </c>
      <c r="L19">
        <f>HYPERLINK("CSG0.html#group5F0", "5F⁰"), =HYPERLINK("CSG0.html#group5G0", "5G⁰"), =HYPERLINK("CSG0.html#group10D0", "10D⁰"), =HYPERLINK("CSG1.html#group10C1", "10C¹"), =HYPERLINK("CSG1.html#group10F1", "10F¹"), =HYPERLINK("CSG1.html#group15D1", "15D¹"), =HYPERLINK("CSG2.html#group15C2", "15C²"), =HYPERLINK("CSG2.html#group20E2", "20E²"), =HYPERLINK("CSG2.html#group25E2", "25E²"), =HYPERLINK("CSG4.html#group35B4", "35B⁴"), =HYPERLINK("CSG5.html#group35A5", "35A⁵"), =HYPERLINK("CSG7.html#group55A7", "55A⁷"), =HYPERLINK("CSG9.html#group55A9", "55A⁹"), =HYPERLINK("CSG9.html#group65A9", "65A⁹"), =HYPERLINK("CSG13.html#group85B13", "85B¹³"), =HYPERLINK("CSG14.html#group25A14", "25A¹⁴"), =HYPERLINK("CSG15.html#group95A15", "95A¹⁵"), =HYPERLINK("CSG18.html#group45B18", "45B¹⁸"), =HYPERLINK("CSG19.html#group115A19", "115A¹⁹"), =HYPERLINK("CSG23.html#group145A23", "145A²³")</f>
        <v/>
      </c>
      <c r="M19">
        <f>HYPERLINK("CSG0.html#group1A0", "1A⁰")</f>
        <v/>
      </c>
      <c r="N19">
        <f>HYPERLINK("CSG7.html#group40G7", "40G⁷"), =HYPERLINK("CSG14.html#group25A14", "25A¹⁴"), =HYPERLINK("CSG19.html#group50C19", "50C¹⁹"), =HYPERLINK("CSG13.html#group60A13", "60A¹³"), =HYPERLINK("CSG19.html#group15A19", "15A¹⁹"), =HYPERLINK("CSG15.html#group35B15", "35B¹⁵"), =HYPERLINK("CSG3.html#group20E3", "20E³"), =HYPERLINK("CSG17.html#group40J17", "40J¹⁷"), =HYPERLINK("CSG19.html#group115A19", "115A¹⁹"), =HYPERLINK("CSG23.html#group145A23", "145A²³"), =HYPERLINK("CSG21.html#group70F21", "70F²¹"), =HYPERLINK("CSG15.html#group60S15", "60S¹⁵"), =HYPERLINK("CSG23.html#group80E23", "80E²³"), =HYPERLINK("CSG19.html#group90C19", "90C¹⁹"), =HYPERLINK("CSG23.html#group50B23", "50B²³"), =HYPERLINK("CSG17.html#group30E17", "30E¹⁷"), =HYPERLINK("CSG23.html#group150A23", "150A²³"), =HYPERLINK("CSG23.html#group165A23", "165A²³"), =HYPERLINK("CSG9.html#group15A9", "15A⁹"), =HYPERLINK("CSG10.html#group15A10", "15A¹⁰"), =HYPERLINK("CSG21.html#group30E21", "30E²¹"), =HYPERLINK("CSG7.html#group20E7", "20E⁷"), =HYPERLINK("CSG23.html#group60B23", "60B²³"), =HYPERLINK("CSG15.html#group40P15", "40P¹⁵"), =HYPERLINK("CSG12.html#group30D12", "30D¹²"), =HYPERLINK("CSG2.html#group25E2", "25E²"), =HYPERLINK("CSG21.html#group40G21", "40G²¹"), =HYPERLINK("CSG11.html#group20D11", "20D¹¹"), =HYPERLINK("CSG9.html#group50F9", "50F⁹"), =HYPERLINK("CSG10.html#group90F10", "90F¹⁰"), =HYPERLINK("CSG13.html#group105C13", "105C¹³"), =HYPERLINK("CSG17.html#group40M17", "40M¹⁷"), =HYPERLINK("CSG15.html#group95A15", "95A¹⁵"), =HYPERLINK("CSG15.html#group35C15", "35C¹⁵"), =HYPERLINK("CSG6.html#group10A6", "10A⁶"), =HYPERLINK("CSG13.html#group45O13", "45O¹³"), =HYPERLINK("CSG17.html#group80R17", "80R¹⁷"), =HYPERLINK("CSG5.html#group30J5", "30J⁵"), =HYPERLINK("CSG21.html#group20B21", "20B²¹"), =HYPERLINK("CSG4.html#group15D4", "15D⁴"), =HYPERLINK("CSG3.html#group10D3", "10D³"), =HYPERLINK("CSG7.html#group15A7", "15A⁷"), =HYPERLINK("CSG9.html#group65A9", "65A⁹"), =HYPERLINK("CSG23.html#group140D23", "140D²³"), =HYPERLINK("CSG21.html#group20A21", "20A²¹"), =HYPERLINK("CSG21.html#group45B21", "45B²¹"), =HYPERLINK("CSG15.html#group40AJ15", "40AJ¹⁵"), =HYPERLINK("CSG2.html#group30F2", "30F²"), =HYPERLINK("CSG0.html#group5H0", "5H⁰"), =HYPERLINK("CSG11.html#group40J11", "40J¹¹"), =HYPERLINK("CSG17.html#group60D17", "60D¹⁷"), =HYPERLINK("CSG15.html#group40R15", "40R¹⁵"), =HYPERLINK("CSG17.html#group45D17", "45D¹⁷"), =HYPERLINK("CSG13.html#group90D13", "90D¹³"), =HYPERLINK("CSG5.html#group50E5", "50E⁵"), =HYPERLINK("CSG15.html#group80G15", "80G¹⁵"), =HYPERLINK("CSG13.html#group20D13", "20D¹³"), =HYPERLINK("CSG12.html#group90D12", "90D¹²"), =HYPERLINK("CSG17.html#group80N17", "80N¹⁷"), =HYPERLINK("CSG2.html#group20E2", "20E²"), =HYPERLINK("CSG10.html#group60C10", "60C¹⁰"), =HYPERLINK("CSG19.html#group35B19", "35B¹⁹"), =HYPERLINK("CSG17.html#group45A17", "45A¹⁷"), =HYPERLINK("CSG14.html#group60B14", "60B¹⁴"), =HYPERLINK("CSG15.html#group20F15", "20F¹⁵"), =HYPERLINK("CSG4.html#group30B4", "30B⁴"), =HYPERLINK("CSG17.html#group40E17", "40E¹⁷"), =HYPERLINK("CSG24.html#group50A24", "50A²⁴"), =HYPERLINK("CSG22.html#group150A22", "150A²²"), =HYPERLINK("CSG19.html#group110B19", "110B¹⁹"), =HYPERLINK("CSG21.html#group40E21", "40E²¹"), =HYPERLINK("CSG13.html#group35A13", "35A¹³"), =HYPERLINK("CSG10.html#group30B10", "30B¹⁰"), =HYPERLINK("CSG4.html#group15B4", "15B⁴"), =HYPERLINK("CSG17.html#group30B17", "30B¹⁷"), =HYPERLINK("CSG0.html#group5F0", "5F⁰"), =HYPERLINK("CSG14.html#group50A14", "50A¹⁴"), =HYPERLINK("CSG17.html#group40R17", "40R¹⁷"), =HYPERLINK("CSG17.html#group60K17", "60K¹⁷"), =HYPERLINK("CSG10.html#group30C10", "30C¹⁰"), =HYPERLINK("CSG22.html#group75A22", "75A²²"), =HYPERLINK("CSG7.html#group40F7", "40F⁷"), =HYPERLINK("CSG19.html#group60D19", "60D¹⁹"), =HYPERLINK("CSG4.html#group30C4", "30C⁴"), =HYPERLINK("CSG7.html#group30H7", "30H⁷"), =HYPERLINK("CSG7.html#group20H7", "20H⁷"), =HYPERLINK("CSG23.html#group30K23", "30K²³"), =HYPERLINK("CSG5.html#group20G5", "20G⁵"), =HYPERLINK("CSG17.html#group60H17", "60H¹⁷"), =HYPERLINK("CSG2.html#group10C2", "10C²"), =HYPERLINK("CSG15.html#group60U15", "60U¹⁵"), =HYPERLINK("CSG9.html#group30C9", "30C⁹"), =HYPERLINK("CSG4.html#group10B4", "10B⁴"), =HYPERLINK("CSG2.html#group15C2", "15C²"), =HYPERLINK("CSG23.html#group120P23", "120P²³"), =HYPERLINK("CSG7.html#group40D7", "40D⁷"), =HYPERLINK("CSG5.html#group20E5", "20E⁵"), =HYPERLINK("CSG7.html#group20B7", "20B⁷"), =HYPERLINK("CSG12.html#group30F12", "30F¹²"), =HYPERLINK("CSG4.html#group25E4", "25E⁴"), =HYPERLINK("CSG15.html#group80J15", "80J¹⁵"), =HYPERLINK("CSG16.html#group55A16", "55A¹⁶"), =HYPERLINK("CSG19.html#group60B19", "60B¹⁹"), =HYPERLINK("CSG23.html#group30F23", "30F²³"), =HYPERLINK("CSG9.html#group15B9", "15B⁹"), =HYPERLINK("CSG12.html#group60A12", "60A¹²"), =HYPERLINK("CSG21.html#group40H21", "40H²¹"), =HYPERLINK("CSG22.html#group50C22", "50C²²"), =HYPERLINK("CSG23.html#group15A23", "15A²³"), =HYPERLINK("CSG12.html#group60D12", "60D¹²"), =HYPERLINK("CSG15.html#group40C15", "40C¹⁵"), =HYPERLINK("CSG16.html#group45A16", "45A¹⁶"), =HYPERLINK("CSG18.html#group35A18", "35A¹⁸"), =HYPERLINK("CSG23.html#group30H23", "30H²³"), =HYPERLINK("CSG12.html#group45H12", "45H¹²"), =HYPERLINK("CSG5.html#group30Q5", "30Q⁵"), =HYPERLINK("CSG19.html#group40M19", "40M¹⁹"), =HYPERLINK("CSG15.html#group30D15", "30D¹⁵"), =HYPERLINK("CSG17.html#group30D17", "30D¹⁷"), =HYPERLINK("CSG15.html#group40S15", "40S¹⁵"), =HYPERLINK("CSG4.html#group35B4", "35B⁴"), =HYPERLINK("CSG4.html#group50E4", "50E⁴"), =HYPERLINK("CSG11.html#group60L11", "60L¹¹"), =HYPERLINK("CSG23.html#group90C23", "90C²³"), =HYPERLINK("CSG8.html#group15B8", "15B⁸"), =HYPERLINK("CSG13.html#group40F13", "40F¹³"), =HYPERLINK("CSG21.html#group60U21", "60U²¹"), =HYPERLINK("CSG17.html#group40D17", "40D¹⁷"), =HYPERLINK("CSG17.html#group60A17", "60A¹⁷"), =HYPERLINK("CSG15.html#group30A15", "30A¹⁵"), =HYPERLINK("CSG5.html#group10A5", "10A⁵"), =HYPERLINK("CSG18.html#group60E18", "60E¹⁸"), =HYPERLINK("CSG2.html#group15D2", "15D²"), =HYPERLINK("CSG5.html#group20B5", "20B⁵"), =HYPERLINK("CSG17.html#group45B17", "45B¹⁷"), =HYPERLINK("CSG11.html#group50A11", "50A¹¹"), =HYPERLINK("CSG13.html#group60E13", "60E¹³"), =HYPERLINK("CSG5.html#group30I5", "30I⁵"), =HYPERLINK("CSG19.html#group70D19", "70D¹⁹"), =HYPERLINK("CSG19.html#group40I19", "40I¹⁹"), =HYPERLINK("CSG23.html#group90D23", "90D²³"), =HYPERLINK("CSG5.html#group10B5", "10B⁵"), =HYPERLINK("CSG23.html#group135A23", "135A²³"), =HYPERLINK("CSG9.html#group35B9", "35B⁹"), =HYPERLINK("CSG9.html#group45A9", "45A⁹"), =HYPERLINK("CSG22.html#group30B22", "30B²²"), =HYPERLINK("CSG13.html#group20B13", "20B¹³"), =HYPERLINK("CSG19.html#group60F19", "60F¹⁹"), =HYPERLINK("CSG8.html#group25A8", "25A⁸"), =HYPERLINK("CSG17.html#group15A17", "15A¹⁷"), =HYPERLINK("CSG17.html#group80S17", "80S¹⁷"), =HYPERLINK("CSG13.html#group30E13", "30E¹³"), =HYPERLINK("CSG17.html#group70I17", "70I¹⁷"), =HYPERLINK("CSG23.html#group50A23", "50A²³"), =HYPERLINK("CSG7.html#group20G7", "20G⁷"), =HYPERLINK("CSG10.html#group30G10", "30G¹⁰"), =HYPERLINK("CSG17.html#group60F17", "60F¹⁷"), =HYPERLINK("CSG23.html#group30B23", "30B²³"), =HYPERLINK("CSG19.html#group80I19", "80I¹⁹"), =HYPERLINK("CSG0.html#group5G0", "5G⁰"), =HYPERLINK("CSG9.html#group30N9", "30N⁹"), =HYPERLINK("CSG18.html#group45A18", "45A¹⁸"), =HYPERLINK("CSG24.html#group55B24", "55B²⁴"), =HYPERLINK("CSG17.html#group20A17", "20A¹⁷"), =HYPERLINK("CSG17.html#group90L17", "90L¹⁷"), =HYPERLINK("CSG13.html#group60AH13", "60AH¹³"), =HYPERLINK("CSG11.html#group70C11", "70C¹¹"), =HYPERLINK("CSG23.html#group140A23", "140A²³"), =HYPERLINK("CSG22.html#group100A22", "100A²²"), =HYPERLINK("CSG24.html#group50B24", "50B²⁴"), =HYPERLINK("CSG10.html#group30H10", "30H¹⁰"), =HYPERLINK("CSG17.html#group40C17", "40C¹⁷"), =HYPERLINK("CSG15.html#group20D15", "20D¹⁵"), =HYPERLINK("CSG5.html#group45E5", "45E⁵"), =HYPERLINK("CSG15.html#group80M15", "80M¹⁵"), =HYPERLINK("CSG9.html#group40D9", "40D⁹"), =HYPERLINK("CSG15.html#group60Z15", "60Z¹⁵"), =HYPERLINK("CSG2.html#group20F2", "20F²"), =HYPERLINK("CSG15.html#group40L15", "40L¹⁵"), =HYPERLINK("CSG23.html#group60H23", "60H²³"), =HYPERLINK("CSG7.html#group60L7", "60L⁷"), =HYPERLINK("CSG19.html#group30B19", "30B¹⁹"), =HYPERLINK("CSG21.html#group70C21", "70C²¹"), =HYPERLINK("CSG21.html#group50E21", "50E²¹"), =HYPERLINK("CSG19.html#group40K19", "40K¹⁹"), =HYPERLINK("CSG23.html#group90E23", "90E²³"), =HYPERLINK("CSG23.html#group140B23", "140B²³"), =HYPERLINK("CSG19.html#group140E19", "140E¹⁹"), =HYPERLINK("CSG20.html#group50A20", "50A²⁰"), =HYPERLINK("CSG9.html#group70C9", "70C⁹"), =HYPERLINK("CSG3.html#group10B3", "10B³"), =HYPERLINK("CSG17.html#group110A17", "110A¹⁷"), =HYPERLINK("CSG23.html#group75A23", "75A²³"), =HYPERLINK("CSG1.html#group10C1", "10C¹"), =HYPERLINK("CSG19.html#group15B19", "15B¹⁹"), =HYPERLINK("CSG7.html#group20C7", "20C⁷"), =HYPERLINK("CSG23.html#group60F23", "60F²³"), =HYPERLINK("CSG23.html#group40D23", "40D²³"), =HYPERLINK("CSG11.html#group80F11", "80F¹¹"), =HYPERLINK("CSG13.html#group10A13", "10A¹³"), =HYPERLINK("CSG7.html#group30G7", "30G⁷"), =HYPERLINK("CSG15.html#group20H15", "20H¹⁵"), =HYPERLINK("CSG9.html#group40S9", "40S⁹"), =HYPERLINK("CSG7.html#group15B7", "15B⁷"), =HYPERLINK("CSG23.html#group45A23", "45A²³"), =HYPERLINK("CSG21.html#group20C21", "20C²¹"), =HYPERLINK("CSG20.html#group25A20", "25A²⁰"), =HYPERLINK("CSG11.html#group60M11", "60M¹¹"), =HYPERLINK("CSG19.html#group60E19", "60E¹⁹"), =HYPERLINK("CSG15.html#group80F15", "80F¹⁵"), =HYPERLINK("CSG17.html#group120E17", "120E¹⁷"), =HYPERLINK("CSG12.html#group20A12", "20A¹²"), =HYPERLINK("CSG21.html#group130B21", "130B²¹"), =HYPERLINK("CSG3.html#group10A3", "10A³"), =HYPERLINK("CSG5.html#group15A5", "15A⁵"), =HYPERLINK("CSG17.html#group90N17", "90N¹⁷"), =HYPERLINK("CSG6.html#group25E6", "25E⁶"), =HYPERLINK("CSG3.html#group30H3", "30H³"), =HYPERLINK("CSG7.html#group20F7", "20F⁷"), =HYPERLINK("CSG7.html#group30J7", "30J⁷"), =HYPERLINK("CSG16.html#group90A16", "90A¹⁶"), =HYPERLINK("CSG15.html#group40G15", "40G¹⁵"), =HYPERLINK("CSG19.html#group40J19", "40J¹⁹"), =HYPERLINK("CSG15.html#group20A15", "20A¹⁵"), =HYPERLINK("CSG17.html#group80M17", "80M¹⁷"), =HYPERLINK("CSG15.html#group60P15", "60P¹⁵"), =HYPERLINK("CSG3.html#group15G3", "15G³"), =HYPERLINK("CSG7.html#group60K7", "60K⁷"), =HYPERLINK("CSG12.html#group15A12", "15A¹²"), =HYPERLINK("CSG3.html#group15B3", "15B³"), =HYPERLINK("CSG23.html#group30A23", "30A²³"), =HYPERLINK("CSG9.html#group40C9", "40C⁹"), =HYPERLINK("CSG13.html#group40I13", "40I¹³"), =HYPERLINK("CSG23.html#group60K23", "60K²³"), =HYPERLINK("CSG21.html#group40B21", "40B²¹"), =HYPERLINK("CSG19.html#group80J19", "80J¹⁹"), =HYPERLINK("CSG13.html#group20C13", "20C¹³"), =HYPERLINK("CSG24.html#group150A24", "150A²⁴"), =HYPERLINK("CSG17.html#group60G17", "60G¹⁷"), =HYPERLINK("CSG21.html#group80AI21", "80AI²¹"), =HYPERLINK("CSG15.html#group60R15", "60R¹⁵"), =HYPERLINK("CSG7.html#group10A7", "10A⁷"), =HYPERLINK("CSG15.html#group40M15", "40M¹⁵"), =HYPERLINK("CSG13.html#group30A13", "30A¹³"), =HYPERLINK("CSG11.html#group80E11", "80E¹¹"), =HYPERLINK("CSG21.html#group70B21", "70B²¹"), =HYPERLINK("CSG23.html#group60D23", "60D²³"), =HYPERLINK("CSG23.html#group80C23", "80C²³"), =HYPERLINK("CSG11.html#group60H11", "60H¹¹"), =HYPERLINK("CSG17.html#group80D17", "80D¹⁷"), =HYPERLINK("CSG5.html#group20A5", "20A⁵"), =HYPERLINK("CSG2.html#group10D2", "10D²"), =HYPERLINK("CSG1.html#group20F1", "20F¹"), =HYPERLINK("CSG5.html#group30K5", "30K⁵"), =HYPERLINK("CSG19.html#group140D19", "140D¹⁹"), =HYPERLINK("CSG17.html#group80I17", "80I¹⁷"), =HYPERLINK("CSG15.html#group40O15", "40O¹⁵"), =HYPERLINK("CSG17.html#group120H17", "120H¹⁷"), =HYPERLINK("CSG10.html#group25A10", "25A¹⁰"), =HYPERLINK("CSG13.html#group40G13", "40G¹³"), =HYPERLINK("CSG24.html#group75A24", "75A²⁴"), =HYPERLINK("CSG13.html#group30N13", "30N¹³"), =HYPERLINK("CSG23.html#group60G23", "60G²³"), =HYPERLINK("CSG15.html#group20C15", "20C¹⁵"), =HYPERLINK("CSG23.html#group40C23", "40C²³"), =HYPERLINK("CSG15.html#group40J15", "40J¹⁵"), =HYPERLINK("CSG19.html#group80D19", "80D¹⁹"), =HYPERLINK("CSG5.html#group15B5", "15B⁵"), =HYPERLINK("CSG14.html#group45C14", "45C¹⁴"), =HYPERLINK("CSG23.html#group100A23", "100A²³"), =HYPERLINK("CSG19.html#group20A19", "20A¹⁹"), =HYPERLINK("CSG22.html#group105A22", "105A²²"), =HYPERLINK("CSG7.html#group60J7", "60J⁷"), =HYPERLINK("CSG17.html#group30K17", "30K¹⁷"), =HYPERLINK("CSG15.html#group60V15", "60V¹⁵"), =HYPERLINK("CSG11.html#group20B11", "20B¹¹"), =HYPERLINK("CSG19.html#group130A19", "130A¹⁹"), =HYPERLINK("CSG9.html#group30M9", "30M⁹"), =HYPERLINK("CSG16.html#group30A16", "30A¹⁶"), =HYPERLINK("CSG15.html#group20B15", "20B¹⁵"), =HYPERLINK("CSG7.html#group30L7", "30L⁷"), =HYPERLINK("CSG17.html#group60C17", "60C¹⁷"), =HYPERLINK("CSG15.html#group40H15", "40H¹⁵"), =HYPERLINK("CSG11.html#group45E11", "45E¹¹"), =HYPERLINK("CSG17.html#group80H17", "80H¹⁷"), =HYPERLINK("CSG17.html#group55A17", "55A¹⁷"), =HYPERLINK("CSG5.html#group40E5", "40E⁵"), =HYPERLINK("CSG7.html#group30N7", "30N⁷"), =HYPERLINK("CSG23.html#group90F23", "90F²³"), =HYPERLINK("CSG9.html#group40T9", "40T⁹"), =HYPERLINK("CSG7.html#group20P7", "20P⁷"), =HYPERLINK("CSG11.html#group30B11", "30B¹¹"), =HYPERLINK("CSG11.html#group70A11", "70A¹¹"), =HYPERLINK("CSG19.html#group50D19", "50D¹⁹"), =HYPERLINK("CSG18.html#group105A18", "105A¹⁸"), =HYPERLINK("CSG10.html#group35A10", "35A¹⁰"), =HYPERLINK("CSG20.html#group150E20", "150E²⁰"), =HYPERLINK("CSG17.html#group80T17", "80T¹⁷"), =HYPERLINK("CSG11.html#group40B11", "40B¹¹"), =HYPERLINK("CSG7.html#group30I7", "30I⁷"), =HYPERLINK("CSG15.html#group60Q15", "60Q¹⁵"), =HYPERLINK("CSG17.html#group70D17", "70D¹⁷"), =HYPERLINK("CSG23.html#group30I23", "30I²³"), =HYPERLINK("CSG12.html#group30B12", "30B¹²"), =HYPERLINK("CSG21.html#group30D21", "30D²¹"), =HYPERLINK("CSG10.html#group40A10", "40A¹⁰"), =HYPERLINK("CSG15.html#group30C15", "30C¹⁵"), =HYPERLINK("CSG19.html#group45H19", "45H¹⁹"), =HYPERLINK("CSG21.html#group60S21", "60S²¹"), =HYPERLINK("CSG11.html#group45A11", "45A¹¹"), =HYPERLINK("CSG15.html#group40Q15", "40Q¹⁵"), =HYPERLINK("CSG21.html#group80AH21", "80AH²¹"), =HYPERLINK("CSG17.html#group35A17", "35A¹⁷"), =HYPERLINK("CSG15.html#group30B15", "30B¹⁵"), =HYPERLINK("CSG12.html#group60E12", "60E¹²"), =HYPERLINK("CSG11.html#group60I11", "60I¹¹"), =HYPERLINK("CSG19.html#group100R19", "100R¹⁹"), =HYPERLINK("CSG19.html#group65A19", "65A¹⁹"), =HYPERLINK("CSG11.html#group75A11", "75A¹¹"), =HYPERLINK("CSG14.html#group30A14", "30A¹⁴"), =HYPERLINK("CSG17.html#group80P17", "80P¹⁷"), =HYPERLINK("CSG15.html#group80K15", "80K¹⁵"), =HYPERLINK("CSG4.html#group20B4", "20B⁴"), =HYPERLINK("CSG15.html#group40T15", "40T¹⁵"), =HYPERLINK("CSG19.html#group75A19", "75A¹⁹"), =HYPERLINK("CSG7.html#group55A7", "55A⁷"), =HYPERLINK("CSG23.html#group60E23", "60E²³"), =HYPERLINK("CSG15.html#group70D15", "70D¹⁵"), =HYPERLINK("CSG10.html#group70A10", "70A¹⁰"), =HYPERLINK("CSG23.html#group45C23", "45C²³"), =HYPERLINK("CSG0.html#group10D0", "10D⁰"), =HYPERLINK("CSG21.html#group60R21", "60R²¹"), =HYPERLINK("CSG17.html#group40I17", "40I¹⁷"), =HYPERLINK("CSG18.html#group90A18", "90A¹⁸"), =HYPERLINK("CSG13.html#group30D13", "30D¹³"), =HYPERLINK("CSG19.html#group90A19", "90A¹⁹"), =HYPERLINK("CSG21.html#group40I21", "40I²¹"), =HYPERLINK("CSG22.html#group50D22", "50D²²"), =HYPERLINK("CSG17.html#group120G17", "120G¹⁷"), =HYPERLINK("CSG13.html#group20A13", "20A¹³"), =HYPERLINK("CSG17.html#group40L17", "40L¹⁷"), =HYPERLINK("CSG24.html#group75B24", "75B²⁴"), =HYPERLINK("CSG23.html#group105A23", "105A²³"), =HYPERLINK("CSG14.html#group75E14", "75E¹⁴"), =HYPERLINK("CSG17.html#group40S17", "40S¹⁷"), =HYPERLINK("CSG7.html#group40H7", "40H⁷"), =HYPERLINK("CSG13.html#group90B13", "90B¹³"), =HYPERLINK("CSG13.html#group85B13", "85B¹³"), =HYPERLINK("CSG19.html#group50A19", "50A¹⁹"), =HYPERLINK("CSG22.html#group50B22", "50B²²"), =HYPERLINK("CSG22.html#group50A22", "50A²²"), =HYPERLINK("CSG19.html#group20C19", "20C¹⁹"), =HYPERLINK("CSG9.html#group30B9", "30B⁹"), =HYPERLINK("CSG14.html#group35C14", "35C¹⁴"), =HYPERLINK("CSG21.html#group30B21", "30B²¹"), =HYPERLINK("CSG15.html#group80H15", "80H¹⁵"), =HYPERLINK("CSG19.html#group130B19", "130B¹⁹"), =HYPERLINK("CSG3.html#group20N3", "20N³"), =HYPERLINK("CSG15.html#group20E15", "20E¹⁵"), =HYPERLINK("CSG15.html#group40B15", "40B¹⁵"), =HYPERLINK("CSG23.html#group40B23", "40B²³"), =HYPERLINK("CSG18.html#group50B18", "50B¹⁸"), =HYPERLINK("CSG3.html#group20F3", "20F³"), =HYPERLINK("CSG21.html#group40A21", "40A²¹"), =HYPERLINK("CSG17.html#group15B17", "15B¹⁷"), =HYPERLINK("CSG1.html#group10F1", "10F¹"), =HYPERLINK("CSG21.html#group45C21", "45C²¹"), =HYPERLINK("CSG9.html#group35C9", "35C⁹"), =HYPERLINK("CSG8.html#group30C8", "30C⁸"), =HYPERLINK("CSG13.html#group20G13", "20G¹³"), =HYPERLINK("CSG15.html#group80L15", "80L¹⁵"), =HYPERLINK("CSG2.html#group10E2", "10E²"), =HYPERLINK("CSG19.html#group40L19", "40L¹⁹"), =HYPERLINK("CSG15.html#group60X15", "60X¹⁵"), =HYPERLINK("CSG11.html#group60K11", "60K¹¹"), =HYPERLINK("CSG23.html#group30C23", "30C²³"), =HYPERLINK("CSG7.html#group20O7", "20O⁷"), =HYPERLINK("CSG21.html#group70D21", "70D²¹"), =HYPERLINK("CSG15.html#group40A15", "40A¹⁵"), =HYPERLINK("CSG6.html#group25F6", "25F⁶"), =HYPERLINK("CSG14.html#group90G14", "90G¹⁴"), =HYPERLINK("CSG11.html#group40A11", "40A¹¹"), =HYPERLINK("CSG21.html#group70E21", "70E²¹"), =HYPERLINK("CSG5.html#group40K5", "40K⁵"), =HYPERLINK("CSG17.html#group30A17", "30A¹⁷"), =HYPERLINK("CSG19.html#group80E19", "80E¹⁹"), =HYPERLINK("CSG17.html#group20B17", "20B¹⁷"), =HYPERLINK("CSG1.html#group10H1", "10H¹"), =HYPERLINK("CSG7.html#group20D7", "20D⁷"), =HYPERLINK("CSG16.html#group30C16", "30C¹⁶"), =HYPERLINK("CSG7.html#group40I7", "40I⁷"), =HYPERLINK("CSG10.html#group20E10", "20E¹⁰"), =HYPERLINK("CSG15.html#group40E15", "40E¹⁵"), =HYPERLINK("CSG8.html#group45B8", "45B⁸"), =HYPERLINK("CSG23.html#group40A23", "40A²³"), =HYPERLINK("CSG7.html#group45C7", "45C⁷"), =HYPERLINK("CSG21.html#group40D21", "40D²¹"), =HYPERLINK("CSG24.html#group100A24", "100A²⁴"), =HYPERLINK("CSG23.html#group30G23", "30G²³"), =HYPERLINK("CSG15.html#group80E15", "80E¹⁵"), =HYPERLINK("CSG16.html#group25A16", "25A¹⁶"), =HYPERLINK("CSG10.html#group45D10", "45D¹⁰"), =HYPERLINK("CSG17.html#group65A17", "65A¹⁷"), =HYPERLINK("CSG1.html#group10J1", "10J¹"), =HYPERLINK("CSG11.html#group15A11", "15A¹¹"), =HYPERLINK("CSG9.html#group20A9", "20A⁹"), =HYPERLINK("CSG15.html#group40I15", "40I¹⁵"), =HYPERLINK("CSG2.html#group10F2", "10F²"), =HYPERLINK("CSG5.html#group20F5", "20F⁵"), =HYPERLINK("CSG17.html#group60J17", "60J¹⁷"), =HYPERLINK("CSG23.html#group120O23", "120O²³"), =HYPERLINK("CSG17.html#group40P17", "40P¹⁷"), =HYPERLINK("CSG13.html#group45J13", "45J¹³"), =HYPERLINK("CSG11.html#group20A11", "20A¹¹"), =HYPERLINK("CSG19.html#group90H19", "90H¹⁹"), =HYPERLINK("CSG14.html#group110C14", "110C¹⁴"), =HYPERLINK("CSG17.html#group40H17", "40H¹⁷"), =HYPERLINK("CSG11.html#group20C11", "20C¹¹"), =HYPERLINK("CSG17.html#group90O17", "90O¹⁷"), =HYPERLINK("CSG23.html#group60A23", "60A²³"), =HYPERLINK("CSG23.html#group60C23", "60C²³"), =HYPERLINK("CSG21.html#group130A21", "130A²¹"), =HYPERLINK("CSG9.html#group20B9", "20B⁹"), =HYPERLINK("CSG18.html#group45B18", "45B¹⁸"), =HYPERLINK("CSG21.html#group70G21", "70G²¹"), =HYPERLINK("CSG13.html#group40H13", "40H¹³"), =HYPERLINK("CSG15.html#group20G15", "20G¹⁵"), =HYPERLINK("CSG17.html#group80O17", "80O¹⁷"), =HYPERLINK("CSG18.html#group60H18", "60H¹⁸"), =HYPERLINK("CSG8.html#group70C8", "70C⁸"), =HYPERLINK("CSG15.html#group45D15", "45D¹⁵"), =HYPERLINK("CSG21.html#group90M21", "90M²¹"), =HYPERLINK("CSG19.html#group140F19", "140F¹⁹"), =HYPERLINK("CSG11.html#group30C11", "30C¹¹"), =HYPERLINK("CSG18.html#group50A18", "50A¹⁸"), =HYPERLINK("CSG23.html#group80A23", "80A²³"), =HYPERLINK("CSG19.html#group110A19", "110A¹⁹"), =HYPERLINK("CSG12.html#group25A12", "25A¹²"), =HYPERLINK("CSG9.html#group30D9", "30D⁹"), =HYPERLINK("CSG23.html#group30J23", "30J²³"), =HYPERLINK("CSG15.html#group90E15", "90E¹⁵"), =HYPERLINK("CSG8.html#group35C8", "35C⁸"), =HYPERLINK("CSG12.html#group30G12", "30G¹²"), =HYPERLINK("CSG17.html#group30C17", "30C¹⁷"), =HYPERLINK("CSG9.html#group30F9", "30F⁹"), =HYPERLINK("CSG21.html#group30C21", "30C²¹"), =HYPERLINK("CSG5.html#group40F5", "40F⁵"), =HYPERLINK("CSG4.html#group25F4", "25F⁴"), =HYPERLINK("CSG5.html#group35A5", "35A⁵"), =HYPERLINK("CSG19.html#group105A19", "105A¹⁹"), =HYPERLINK("CSG15.html#group60W15", "60W¹⁵"), =HYPERLINK("CSG15.html#group80I15", "80I¹⁵"), =HYPERLINK("CSG23.html#group100B23", "100B²³"), =HYPERLINK("CSG23.html#group45B23", "45B²³"), =HYPERLINK("CSG9.html#group40U9", "40U⁹"), =HYPERLINK("CSG11.html#group40D11", "40D¹¹"), =HYPERLINK("CSG7.html#group40J7", "40J⁷"), =HYPERLINK("CSG17.html#group40F17", "40F¹⁷"), =HYPERLINK("CSG3.html#group15C3", "15C³"), =HYPERLINK("CSG18.html#group60F18", "60F¹⁸"), =HYPERLINK("CSG17.html#group90M17", "90M¹⁷"), =HYPERLINK("CSG17.html#group80E17", "80E¹⁷"), =HYPERLINK("CSG5.html#group30A5", "30A⁵"), =HYPERLINK("CSG17.html#group40Q17", "40Q¹⁷"), =HYPERLINK("CSG23.html#group120M23", "120M²³"), =HYPERLINK("CSG17.html#group60I17", "60I¹⁷"), =HYPERLINK("CSG12.html#group45F12", "45F¹²"), =HYPERLINK("CSG6.html#group20D6", "20D⁶"), =HYPERLINK("CSG12.html#group45G12", "45G¹²"), =HYPERLINK("CSG19.html#group20D19", "20D¹⁹"), =HYPERLINK("CSG23.html#group60L23", "60L²³"), =HYPERLINK("CSG21.html#group45D21", "45D²¹"), =HYPERLINK("CSG23.html#group60I23", "60I²³"), =HYPERLINK("CSG11.html#group70B11", "70B¹¹"), =HYPERLINK("CSG5.html#group15D5", "15D⁵"), =HYPERLINK("CSG19.html#group90B19", "90B¹⁹"), =HYPERLINK("CSG17.html#group80Q17", "80Q¹⁷"), =HYPERLINK("CSG23.html#group60M23", "60M²³"), =HYPERLINK("CSG23.html#group45E23", "45E²³"), =HYPERLINK("CSG23.html#group120N23", "120N²³"), =HYPERLINK("CSG9.html#group30E9", "30E⁹"), =HYPERLINK("CSG5.html#group20H5", "20H⁵"), =HYPERLINK("CSG9.html#group55A9", "55A⁹"), =HYPERLINK("CSG15.html#group40N15", "40N¹⁵"), =HYPERLINK("CSG11.html#group30D11", "30D¹¹"), =HYPERLINK("CSG3.html#group20O3", "20O³"), =HYPERLINK("CSG15.html#group40F15", "40F¹⁵"), =HYPERLINK("CSG20.html#group140C20", "140C²⁰"), =HYPERLINK("CSG17.html#group120F17", "120F¹⁷"), =HYPERLINK("CSG15.html#group20I15", "20I¹⁵"), =HYPERLINK("CSG19.html#group65B19", "65B¹⁹"), =HYPERLINK("CSG24.html#group45A24", "45A²⁴"), =HYPERLINK("CSG7.html#group20I7", "20I⁷"), =HYPERLINK("CSG17.html#group40B17", "40B¹⁷"), =HYPERLINK("CSG17.html#group50A17", "50A¹⁷"), =HYPERLINK("CSG19.html#group140G19", "140G¹⁹"), =HYPERLINK("CSG14.html#group100E14", "100E¹⁴"), =HYPERLINK("CSG19.html#group20B19", "20B¹⁹"), =HYPERLINK("CSG1.html#group15D1", "15D¹"), =HYPERLINK("CSG13.html#group30M13", "30M¹³"), =HYPERLINK("CSG23.html#group80B23", "80B²³"), =HYPERLINK("CSG7.html#group40E7", "40E⁷"), =HYPERLINK("CSG9.html#group100J9", "100J⁹"), =HYPERLINK("CSG13.html#group15A13", "15A¹³"), =HYPERLINK("CSG15.html#group40D15", "40D¹⁵"), =HYPERLINK("CSG7.html#group20A7", "20A⁷"), =HYPERLINK("CSG17.html#group40K17", "40K¹⁷"), =HYPERLINK("CSG21.html#group60V21", "60V²¹"), =HYPERLINK("CSG15.html#group30E15", "30E¹⁵"), =HYPERLINK("CSG11.html#group90G11", "90G¹¹")</f>
        <v/>
      </c>
    </row>
    <row r="20">
      <c r="A20" t="inlineStr">
        <is>
          <t>5D⁰</t>
        </is>
      </c>
      <c r="B20" t="inlineStr">
        <is>
          <t>Γ₁(5)</t>
        </is>
      </c>
      <c r="C20" t="inlineStr">
        <is>
          <t>12</t>
        </is>
      </c>
      <c r="D20" t="inlineStr">
        <is>
          <t>1</t>
        </is>
      </c>
      <c r="E20" t="inlineStr">
        <is>
          <t>6</t>
        </is>
      </c>
      <c r="F20" t="inlineStr">
        <is>
          <t>0</t>
        </is>
      </c>
      <c r="G20" t="inlineStr">
        <is>
          <t>0</t>
        </is>
      </c>
      <c r="H20" t="inlineStr">
        <is>
          <t>1², 5²</t>
        </is>
      </c>
      <c r="I20" t="n">
        <v>4</v>
      </c>
      <c r="J20" t="inlineStr">
        <is>
          <t>1², 4¹</t>
        </is>
      </c>
      <c r="K20">
        <f>HYPERLINK("CSG0.html#group5B0", "5B⁰")</f>
        <v/>
      </c>
      <c r="L20">
        <f>HYPERLINK("CSG0.html#group5H0", "5H⁰"), =HYPERLINK("CSG0.html#group10F0", "10F⁰"), =HYPERLINK("CSG0.html#group25B0", "25B⁰"), =HYPERLINK("CSG1.html#group10D1", "10D¹"), =HYPERLINK("CSG1.html#group15G1", "15G¹"), =HYPERLINK("CSG2.html#group15B2", "15B²"), =HYPERLINK("CSG3.html#group20B3", "20B³"), =HYPERLINK("CSG4.html#group25C4", "25C⁴"), =HYPERLINK("CSG4.html#group25B4", "25B⁴"), =HYPERLINK("CSG4.html#group25D4", "25D⁴"), =HYPERLINK("CSG4.html#group25A4", "25A⁴"), =HYPERLINK("CSG5.html#group35C5", "35C⁵"), =HYPERLINK("CSG6.html#group35A6", "35A⁶"), =HYPERLINK("CSG9.html#group55B9", "55B⁹"), =HYPERLINK("CSG10.html#group55A10", "55A¹⁰"), =HYPERLINK("CSG11.html#group65A11", "65A¹¹"), =HYPERLINK("CSG15.html#group85B15", "85B¹⁵"), =HYPERLINK("CSG17.html#group95A17", "95A¹⁷"), =HYPERLINK("CSG21.html#group115A21", "115A²¹"), =HYPERLINK("CSG22.html#group45A22", "45A²²")</f>
        <v/>
      </c>
      <c r="M20">
        <f>HYPERLINK("CSG0.html#group5B0", "5B⁰"), =HYPERLINK("CSG0.html#group1A0", "1A⁰")</f>
        <v/>
      </c>
      <c r="N20">
        <f>HYPERLINK("CSG13.html#group80G13", "80G¹³"), =HYPERLINK("CSG19.html#group20A19", "20A¹⁹"), =HYPERLINK("CSG13.html#group40R13", "40R¹³"), =HYPERLINK("CSG19.html#group100G19", "100G¹⁹"), =HYPERLINK("CSG5.html#group20I5", "20I⁵"), =HYPERLINK("CSG21.html#group60N21", "60N²¹"), =HYPERLINK("CSG19.html#group15A19", "15A¹⁹"), =HYPERLINK("CSG11.html#group60B11", "60B¹¹"), =HYPERLINK("CSG13.html#group60K13", "60K¹³"), =HYPERLINK("CSG17.html#group70J17", "70J¹⁷"), =HYPERLINK("CSG6.html#group30C6", "30C⁶"), =HYPERLINK("CSG16.html#group25D16", "25D¹⁶"), =HYPERLINK("CSG21.html#group60P21", "60P²¹"), =HYPERLINK("CSG15.html#group20B15", "20B¹⁵"), =HYPERLINK("CSG21.html#group110B21", "110B²¹"), =HYPERLINK("CSG9.html#group50B9", "50B⁹"), =HYPERLINK("CSG10.html#group15A10", "15A¹⁰"), =HYPERLINK("CSG15.html#group60A15", "60A¹⁵"), =HYPERLINK("CSG11.html#group65A11", "65A¹¹"), =HYPERLINK("CSG11.html#group35A11", "35A¹¹"), =HYPERLINK("CSG9.html#group30J9", "30J⁹"), =HYPERLINK("CSG11.html#group45H11", "45H¹¹"), =HYPERLINK("CSG12.html#group50B12", "50B¹²"), =HYPERLINK("CSG13.html#group60J13", "60J¹³"), =HYPERLINK("CSG22.html#group45A22", "45A²²"), =HYPERLINK("CSG23.html#group120I23", "120I²³"), =HYPERLINK("CSG9.html#group50C9", "50C⁹"), =HYPERLINK("CSG18.html#group70F18", "70F¹⁸"), =HYPERLINK("CSG13.html#group60AJ13", "60AJ¹³"), =HYPERLINK("CSG17.html#group75B17", "75B¹⁷"), =HYPERLINK("CSG21.html#group90O21", "90O²¹"), =HYPERLINK("CSG21.html#group90E21", "90E²¹"), =HYPERLINK("CSG11.html#group60D11", "60D¹¹"), =HYPERLINK("CSG13.html#group30P13", "30P¹³"), =HYPERLINK("CSG3.html#group20G3", "20G³"), =HYPERLINK("CSG1.html#group15I1", "15I¹"), =HYPERLINK("CSG15.html#group85B15", "85B¹⁵"), =HYPERLINK("CSG9.html#group35E9", "35E⁹"), =HYPERLINK("CSG3.html#group20B3", "20B³"), =HYPERLINK("CSG0.html#group5H0", "5H⁰"), =HYPERLINK("CSG21.html#group35A21", "35A²¹"), =HYPERLINK("CSG16.html#group35A16", "35A¹⁶"), =HYPERLINK("CSG13.html#group40O13", "40O¹³"), =HYPERLINK("CSG21.html#group105B21", "105B²¹"), =HYPERLINK("CSG7.html#group40K7", "40K⁷"), =HYPERLINK("CSG14.html#group75C14", "75C¹⁴"), =HYPERLINK("CSG13.html#group80E13", "80E¹³"), =HYPERLINK("CSG13.html#group60I13", "60I¹³"), =HYPERLINK("CSG21.html#group90H21", "90H²¹"), =HYPERLINK("CSG5.html#group20D5", "20D⁵"), =HYPERLINK("CSG5.html#group30D5", "30D⁵"), =HYPERLINK("CSG9.html#group30S9", "30S⁹"), =HYPERLINK("CSG17.html#group40AB17", "40AB¹⁷"), =HYPERLINK("CSG11.html#group60C11", "60C¹¹"), =HYPERLINK("CSG17.html#group90G17", "90G¹⁷"), =HYPERLINK("CSG14.html#group75B14", "75B¹⁴"), =HYPERLINK("CSG19.html#group100B19", "100B¹⁹"), =HYPERLINK("CSG17.html#group45F17", "45F¹⁷"), =HYPERLINK("CSG21.html#group80J21", "80J²¹"), =HYPERLINK("CSG17.html#group75C17", "75C¹⁷"), =HYPERLINK("CSG21.html#group80Z21", "80Z²¹"), =HYPERLINK("CSG13.html#group40P13", "40P¹³"), =HYPERLINK("CSG22.html#group45B22", "45B²²"), =HYPERLINK("CSG13.html#group70E13", "70E¹³"), =HYPERLINK("CSG6.html#group35A6", "35A⁶"), =HYPERLINK("CSG3.html#group20A3", "20A³"), =HYPERLINK("CSG13.html#group40L13", "40L¹³"), =HYPERLINK("CSG7.html#group40N7", "40N⁷"), =HYPERLINK("CSG13.html#group60AI13", "60AI¹³"), =HYPERLINK("CSG17.html#group40T17", "40T¹⁷"), =HYPERLINK("CSG9.html#group20E9", "20E⁹"), =HYPERLINK("CSG13.html#group60S13", "60S¹³"), =HYPERLINK("CSG9.html#group30K9", "30K⁹"), =HYPERLINK("CSG4.html#group10B4", "10B⁴"), =HYPERLINK("CSG12.html#group50D12", "50D¹²"), =HYPERLINK("CSG13.html#group40Q13", "40Q¹³"), =HYPERLINK("CSG13.html#group30H13", "30H¹³"), =HYPERLINK("CSG19.html#group100N19", "100N¹⁹"), =HYPERLINK("CSG19.html#group100D19", "100D¹⁹"), =HYPERLINK("CSG5.html#group50F5", "50F⁵"), =HYPERLINK("CSG15.html#group100A15", "100A¹⁵"), =HYPERLINK("CSG21.html#group80N21", "80N²¹"), =HYPERLINK("CSG21.html#group80B21", "80B²¹"), =HYPERLINK("CSG21.html#group45E21", "45E²¹"), =HYPERLINK("CSG7.html#group40C7", "40C⁷"), =HYPERLINK("CSG23.html#group120J23", "120J²³"), =HYPERLINK("CSG14.html#group75D14", "75D¹⁴"), =HYPERLINK("CSG21.html#group115A21", "115A²¹"), =HYPERLINK("CSG1.html#group15G1", "15G¹"), =HYPERLINK("CSG17.html#group90Q17", "90Q¹⁷"), =HYPERLINK("CSG9.html#group15B9", "15B⁹"), =HYPERLINK("CSG3.html#group40J3", "40J³"), =HYPERLINK("CSG0.html#group10F0", "10F⁰"), =HYPERLINK("CSG17.html#group15B17", "15B¹⁷"), =HYPERLINK("CSG5.html#group35C5", "35C⁵"), =HYPERLINK("CSG13.html#group40J13", "40J¹³"), =HYPERLINK("CSG13.html#group30R13", "30R¹³"), =HYPERLINK("CSG15.html#group100B15", "100B¹⁵"), =HYPERLINK("CSG13.html#group20G13", "20G¹³"), =HYPERLINK("CSG20.html#group125A20", "125A²⁰"), =HYPERLINK("CSG21.html#group90G21", "90G²¹"), =HYPERLINK("CSG17.html#group30H17", "30H¹⁷"), =HYPERLINK("CSG17.html#group95A17", "95A¹⁷"), =HYPERLINK("CSG19.html#group100A19", "100A¹⁹"), =HYPERLINK("CSG15.html#group45B15", "45B¹⁵"), =HYPERLINK("CSG17.html#group90J17", "90J¹⁷"), =HYPERLINK("CSG9.html#group20F9", "20F⁹"), =HYPERLINK("CSG13.html#group40C13", "40C¹³"), =HYPERLINK("CSG24.html#group90A24", "90A²⁴"), =HYPERLINK("CSG17.html#group90S17", "90S¹⁷"), =HYPERLINK("CSG15.html#group80U15", "80U¹⁵"), =HYPERLINK("CSG0.html#group25B0", "25B⁰"), =HYPERLINK("CSG13.html#group40B13", "40B¹³"), =HYPERLINK("CSG4.html#group25C4", "25C⁴"), =HYPERLINK("CSG9.html#group40G9", "40G⁹"), =HYPERLINK("CSG12.html#group25B12", "25B¹²"), =HYPERLINK("CSG5.html#group10A5", "10A⁵"), =HYPERLINK("CSG11.html#group60A11", "60A¹¹"), =HYPERLINK("CSG5.html#group30M5", "30M⁵"), =HYPERLINK("CSG21.html#group80F21", "80F²¹"), =HYPERLINK("CSG13.html#group40K13", "40K¹³"), =HYPERLINK("CSG8.html#group45A8", "45A⁸"), =HYPERLINK("CSG21.html#group80AA21", "80AA²¹"), =HYPERLINK("CSG5.html#group30G5", "30G⁵"), =HYPERLINK("CSG21.html#group60L21", "60L²¹"), =HYPERLINK("CSG17.html#group55B17", "55B¹⁷"), =HYPERLINK("CSG1.html#group20H1", "20H¹"), =HYPERLINK("CSG11.html#group30H11", "30H¹¹"), =HYPERLINK("CSG4.html#group25D4", "25D⁴"), =HYPERLINK("CSG1.html#group10D1", "10D¹"), =HYPERLINK("CSG21.html#group90D21", "90D²¹"), =HYPERLINK("CSG4.html#group25A4", "25A⁴"), =HYPERLINK("CSG16.html#group25A16", "25A¹⁶"), =HYPERLINK("CSG13.html#group20F13", "20F¹³"), =HYPERLINK("CSG15.html#group45C15", "45C¹⁵"), =HYPERLINK("CSG16.html#group25B16", "25B¹⁶"), =HYPERLINK("CSG9.html#group45D9", "45D⁹"), =HYPERLINK("CSG21.html#group80A21", "80A²¹"), =HYPERLINK("CSG17.html#group90F17", "90F¹⁷"), =HYPERLINK("CSG3.html#group20R3", "20R³"), =HYPERLINK("CSG5.html#group40M5", "40M⁵"), =HYPERLINK("CSG13.html#group50E13", "50E¹³"), =HYPERLINK("CSG12.html#group125A12", "125A¹²"), =HYPERLINK("CSG19.html#group80O19", "80O¹⁹"), =HYPERLINK("CSG9.html#group45C9", "45C⁹"), =HYPERLINK("CSG9.html#group75F9", "75F⁹"), =HYPERLINK("CSG4.html#group50F4", "50F⁴"), =HYPERLINK("CSG13.html#group100J13", "100J¹³"), =HYPERLINK("CSG21.html#group90C21", "90C²¹"), =HYPERLINK("CSG9.html#group40H9", "40H⁹"), =HYPERLINK("CSG17.html#group60O17", "60O¹⁷"), =HYPERLINK("CSG9.html#group40W9", "40W⁹"), =HYPERLINK("CSG13.html#group60N13", "60N¹³"), =HYPERLINK("CSG17.html#group75D17", "75D¹⁷"), =HYPERLINK("CSG19.html#group100C19", "100C¹⁹"), =HYPERLINK("CSG16.html#group125A16", "125A¹⁶"), =HYPERLINK("CSG3.html#group20S3", "20S³"), =HYPERLINK("CSG21.html#group90F21", "90F²¹"), =HYPERLINK("CSG12.html#group25A12", "25A¹²"), =HYPERLINK("CSG7.html#group20J7", "20J⁷"), =HYPERLINK("CSG17.html#group60Q17", "60Q¹⁷"), =HYPERLINK("CSG17.html#group30G17", "30G¹⁷"), =HYPERLINK("CSG1.html#group10K1", "10K¹"), =HYPERLINK("CSG15.html#group80D15", "80D¹⁵"), =HYPERLINK("CSG17.html#group80U17", "80U¹⁷"), =HYPERLINK("CSG9.html#group30P9", "30P⁹"), =HYPERLINK("CSG5.html#group30C5", "30C⁵"), =HYPERLINK("CSG13.html#group10A13", "10A¹³"), =HYPERLINK("CSG17.html#group45E17", "45E¹⁷"), =HYPERLINK("CSG17.html#group75A17", "75A¹⁷"), =HYPERLINK("CSG4.html#group25B4", "25B⁴"), =HYPERLINK("CSG20.html#group25A20", "25A²⁰"), =HYPERLINK("CSG13.html#group20E13", "20E¹³"), =HYPERLINK("CSG21.html#group110A21", "110A²¹"), =HYPERLINK("CSG17.html#group75F17", "75F¹⁷"), =HYPERLINK("CSG21.html#group45F21", "45F²¹"), =HYPERLINK("CSG9.html#group50D9", "50D⁹"), =HYPERLINK("CSG10.html#group55A10", "55A¹⁰"), =HYPERLINK("CSG17.html#group90R17", "90R¹⁷"), =HYPERLINK("CSG17.html#group40Y17", "40Y¹⁷"), =HYPERLINK("CSG13.html#group30L13", "30L¹³"), =HYPERLINK("CSG9.html#group45G9", "45G⁹"), =HYPERLINK("CSG21.html#group60H21", "60H²¹"), =HYPERLINK("CSG9.html#group50A9", "50A⁹"), =HYPERLINK("CSG12.html#group125B12", "125B¹²"), =HYPERLINK("CSG15.html#group60J15", "60J¹⁵"), =HYPERLINK("CSG19.html#group100H19", "100H¹⁹"), =HYPERLINK("CSG15.html#group20A15", "20A¹⁵"), =HYPERLINK("CSG15.html#group40AC15", "40AC¹⁵"), =HYPERLINK("CSG17.html#group80V17", "80V¹⁷"), =HYPERLINK("CSG2.html#group15B2", "15B²"), =HYPERLINK("CSG21.html#group60F21", "60F²¹"), =HYPERLINK("CSG5.html#group30S5", "30S⁵"), =HYPERLINK("CSG21.html#group30G21", "30G²¹"), =HYPERLINK("CSG13.html#group35D13", "35D¹³"), =HYPERLINK("CSG17.html#group90D17", "90D¹⁷"), =HYPERLINK("CSG9.html#group15C9", "15C⁹"), =HYPERLINK("CSG21.html#group110C21", "110C²¹"), =HYPERLINK("CSG13.html#group70F13", "70F¹³"), =HYPERLINK("CSG13.html#group70B13", "70B¹³"), =HYPERLINK("CSG7.html#group20M7", "20M⁷"), =HYPERLINK("CSG17.html#group40AA17", "40AA¹⁷"), =HYPERLINK("CSG21.html#group65A21", "65A²¹"), =HYPERLINK("CSG10.html#group75A10", "75A¹⁰"), =HYPERLINK("CSG17.html#group30J17", "30J¹⁷"), =HYPERLINK("CSG21.html#group135A21", "135A²¹"), =HYPERLINK("CSG5.html#group30N5", "30N⁵"), =HYPERLINK("CSG17.html#group40AF17", "40AF¹⁷"), =HYPERLINK("CSG19.html#group100E19", "100E¹⁹"), =HYPERLINK("CSG19.html#group100F19", "100F¹⁹"), =HYPERLINK("CSG14.html#group75A14", "75A¹⁴"), =HYPERLINK("CSG3.html#group15F3", "15F³"), =HYPERLINK("CSG12.html#group50C12", "50C¹²"), =HYPERLINK("CSG19.html#group75C19", "75C¹⁹"), =HYPERLINK("CSG21.html#group105E21", "105E²¹"), =HYPERLINK("CSG21.html#group60D21", "60D²¹"), =HYPERLINK("CSG19.html#group40H19", "40H¹⁹"), =HYPERLINK("CSG21.html#group80H21", "80H²¹"), =HYPERLINK("CSG21.html#group60G21", "60G²¹"), =HYPERLINK("CSG20.html#group105A20", "105A²⁰"), =HYPERLINK("CSG12.html#group50A12", "50A¹²"), =HYPERLINK("CSG13.html#group80F13", "80F¹³"), =HYPERLINK("CSG5.html#group15C5", "15C⁵"), =HYPERLINK("CSG20.html#group125B20", "125B²⁰"), =HYPERLINK("CSG13.html#group80D13", "80D¹³"), =HYPERLINK("CSG16.html#group25E16", "25E¹⁶"), =HYPERLINK("CSG13.html#group70C13", "70C¹³"), =HYPERLINK("CSG5.html#group45H5", "45H⁵"), =HYPERLINK("CSG16.html#group25C16", "25C¹⁶"), =HYPERLINK("CSG9.html#group55B9", "55B⁹"), =HYPERLINK("CSG17.html#group40AG17", "40AG¹⁷"), =HYPERLINK("CSG21.html#group60C21", "60C²¹"), =HYPERLINK("CSG13.html#group40D13", "40D¹³")</f>
        <v/>
      </c>
    </row>
    <row r="21">
      <c r="A21" t="inlineStr">
        <is>
          <t>5E⁰</t>
        </is>
      </c>
      <c r="B21" t="inlineStr"/>
      <c r="C21" t="inlineStr">
        <is>
          <t>15</t>
        </is>
      </c>
      <c r="D21" t="inlineStr">
        <is>
          <t>1</t>
        </is>
      </c>
      <c r="E21" t="inlineStr">
        <is>
          <t>5</t>
        </is>
      </c>
      <c r="F21" t="inlineStr">
        <is>
          <t>3</t>
        </is>
      </c>
      <c r="G21" t="inlineStr">
        <is>
          <t>0</t>
        </is>
      </c>
      <c r="H21" t="inlineStr">
        <is>
          <t>5³</t>
        </is>
      </c>
      <c r="I21" t="n">
        <v>3</v>
      </c>
      <c r="J21" t="inlineStr">
        <is>
          <t>1¹, 4¹</t>
        </is>
      </c>
      <c r="K21">
        <f>HYPERLINK("CSG0.html#group5A0", "5A⁰")</f>
        <v/>
      </c>
      <c r="L21">
        <f>HYPERLINK("CSG0.html#group5G0", "5G⁰"), =HYPERLINK("CSG1.html#group10E1", "10E¹"), =HYPERLINK("CSG1.html#group10I1", "10I¹"), =HYPERLINK("CSG1.html#group15F1", "15F¹"), =HYPERLINK("CSG2.html#group10A2", "10A²"), =HYPERLINK("CSG2.html#group25F2", "25F²"), =HYPERLINK("CSG3.html#group15A3", "15A³"), =HYPERLINK("CSG3.html#group20D3", "20D³"), =HYPERLINK("CSG6.html#group35B6", "35B⁶"), =HYPERLINK("CSG8.html#group35A8", "35A⁸"), =HYPERLINK("CSG11.html#group55A11", "55A¹¹"), =HYPERLINK("CSG13.html#group55A13", "55A¹³"), =HYPERLINK("CSG14.html#group65A14", "65A¹⁴"), =HYPERLINK("CSG19.html#group85A19", "85A¹⁹"), =HYPERLINK("CSG23.html#group95A23", "95A²³")</f>
        <v/>
      </c>
      <c r="M21">
        <f>HYPERLINK("CSG0.html#group1A0", "1A⁰"), =HYPERLINK("CSG0.html#group5A0", "5A⁰")</f>
        <v/>
      </c>
      <c r="N21">
        <f>HYPERLINK("CSG4.html#group20D4", "20D⁴"), =HYPERLINK("CSG19.html#group20A19", "20A¹⁹"), =HYPERLINK("CSG19.html#group50C19", "50C¹⁹"), =HYPERLINK("CSG10.html#group30I10", "30I¹⁰"), =HYPERLINK("CSG6.html#group20B6", "20B⁶"), =HYPERLINK("CSG19.html#group15A19", "15A¹⁹"), =HYPERLINK("CSG24.html#group40F24", "40F²⁴"), =HYPERLINK("CSG19.html#group60J19", "60J¹⁹"), =HYPERLINK("CSG15.html#group20B15", "20B¹⁵"), =HYPERLINK("CSG20.html#group20A20", "20A²⁰"), =HYPERLINK("CSG18.html#group60D18", "60D¹⁸"), =HYPERLINK("CSG23.html#group50B23", "50B²³"), =HYPERLINK("CSG22.html#group40H22", "40H²²"), =HYPERLINK("CSG22.html#group80H22", "80H²²"), =HYPERLINK("CSG10.html#group30D10", "30D¹⁰"), =HYPERLINK("CSG9.html#group15A9", "15A⁹"), =HYPERLINK("CSG7.html#group30P7", "30P⁷"), =HYPERLINK("CSG10.html#group20F10", "20F¹⁰"), =HYPERLINK("CSG10.html#group15A10", "15A¹⁰"), =HYPERLINK("CSG10.html#group40E10", "40E¹⁰"), =HYPERLINK("CSG7.html#group20E7", "20E⁷"), =HYPERLINK("CSG1.html#group10I1", "10I¹"), =HYPERLINK("CSG5.html#group30L5", "30L⁵"), =HYPERLINK("CSG12.html#group30D12", "30D¹²"), =HYPERLINK("CSG21.html#group40G21", "40G²¹"), =HYPERLINK("CSG22.html#group80G22", "80G²²"), =HYPERLINK("CSG7.html#group20P7", "20P⁷"), =HYPERLINK("CSG11.html#group75B11", "75B¹¹"), =HYPERLINK("CSG11.html#group30B11", "30B¹¹"), =HYPERLINK("CSG15.html#group35C15", "35C¹⁵"), =HYPERLINK("CSG6.html#group10A6", "10A⁶"), =HYPERLINK("CSG19.html#group50D19", "50D¹⁹"), =HYPERLINK("CSG16.html#group30D16", "30D¹⁶"), =HYPERLINK("CSG21.html#group20B21", "20B²¹"), =HYPERLINK("CSG19.html#group75B19", "75B¹⁹"), =HYPERLINK("CSG20.html#group40A20", "40A²⁰"), =HYPERLINK("CSG8.html#group15A8", "15A⁸"), =HYPERLINK("CSG4.html#group15D4", "15D⁴"), =HYPERLINK("CSG18.html#group80D18", "80D¹⁸"), =HYPERLINK("CSG21.html#group20A21", "20A²¹"), =HYPERLINK("CSG1.html#group10E1", "10E¹"), =HYPERLINK("CSG15.html#group30C15", "30C¹⁵"), =HYPERLINK("CSG20.html#group20B20", "20B²⁰"), =HYPERLINK("CSG15.html#group40AJ15", "40AJ¹⁵"), =HYPERLINK("CSG8.html#group20C8", "20C⁸"), =HYPERLINK("CSG19.html#group45H19", "45H¹⁹"), =HYPERLINK("CSG21.html#group40F21", "40F²¹"), =HYPERLINK("CSG2.html#group25F2", "25F²"), =HYPERLINK("CSG22.html#group70A22", "70A²²"), =HYPERLINK("CSG3.html#group10C3", "10C³"), =HYPERLINK("CSG17.html#group90P17", "90P¹⁷"), =HYPERLINK("CSG19.html#group90D19", "90D¹⁹"), =HYPERLINK("CSG19.html#group105C19", "105C¹⁹"), =HYPERLINK("CSG18.html#group40D18", "40D¹⁸"), =HYPERLINK("CSG22.html#group40L22", "40L²²"), =HYPERLINK("CSG15.html#group30B15", "30B¹⁵"), =HYPERLINK("CSG10.html#group40F10", "40F¹⁰"), =HYPERLINK("CSG19.html#group35C19", "35C¹⁹"), =HYPERLINK("CSG16.html#group40E16", "40E¹⁶"), =HYPERLINK("CSG11.html#group30A11", "30A¹¹"), =HYPERLINK("CSG15.html#group20F15", "20F¹⁵"), =HYPERLINK("CSG24.html#group50A24", "50A²⁴"), =HYPERLINK("CSG8.html#group30D8", "30D⁸"), =HYPERLINK("CSG8.html#group40G8", "40G⁸"), =HYPERLINK("CSG10.html#group30B10", "30B¹⁰"), =HYPERLINK("CSG17.html#group30F17", "30F¹⁷"), =HYPERLINK("CSG23.html#group30E23", "30E²³"), =HYPERLINK("CSG14.html#group50A14", "50A¹⁴"), =HYPERLINK("CSG13.html#group30D13", "30D¹³"), =HYPERLINK("CSG24.html#group80A24", "80A²⁴"), =HYPERLINK("CSG19.html#group100M19", "100M¹⁹"), =HYPERLINK("CSG22.html#group80F22", "80F²²"), =HYPERLINK("CSG21.html#group40I21", "40I²¹"), =HYPERLINK("CSG22.html#group50D22", "50D²²"), =HYPERLINK("CSG17.html#group40R17", "40R¹⁷"), =HYPERLINK("CSG24.html#group40D24", "40D²⁴"), =HYPERLINK("CSG18.html#group60J18", "60J¹⁸"), =HYPERLINK("CSG9.html#group30O9", "30O⁹"), =HYPERLINK("CSG11.html#group40E11", "40E¹¹"), =HYPERLINK("CSG13.html#group55A13", "55A¹³"), =HYPERLINK("CSG7.html#group45D7", "45D⁷"), =HYPERLINK("CSG4.html#group30F4", "30F⁴"), =HYPERLINK("CSG22.html#group40K22", "40K²²"), =HYPERLINK("CSG19.html#group60H19", "60H¹⁹"), =HYPERLINK("CSG22.html#group40N22", "40N²²"), =HYPERLINK("CSG24.html#group75B24", "75B²⁴"), =HYPERLINK("CSG17.html#group40S17", "40S¹⁷"), =HYPERLINK("CSG2.html#group10C2", "10C²"), =HYPERLINK("CSG4.html#group10B4", "10B⁴"), =HYPERLINK("CSG9.html#group50E9", "50E⁹"), =HYPERLINK("CSG22.html#group60C22", "60C²²"), =HYPERLINK("CSG10.html#group20B10", "20B¹⁰"), =HYPERLINK("CSG10.html#group40G10", "40G¹⁰"), =HYPERLINK("CSG19.html#group50A19", "50A¹⁹"), =HYPERLINK("CSG22.html#group60A22", "60A²²"), =HYPERLINK("CSG3.html#group15H3", "15H³"), =HYPERLINK("CSG3.html#group20D3", "20D³"), =HYPERLINK("CSG9.html#group20D9", "20D⁹"), =HYPERLINK("CSG22.html#group40F22", "40F²²"), =HYPERLINK("CSG22.html#group50B22", "50B²²"), =HYPERLINK("CSG22.html#group40I22", "40I²²"), =HYPERLINK("CSG4.html#group10A4", "10A⁴"), =HYPERLINK("CSG19.html#group30A19", "30A¹⁹"), =HYPERLINK("CSG19.html#group20C19", "20C¹⁹"), =HYPERLINK("CSG22.html#group40M22", "40M²²"), =HYPERLINK("CSG21.html#group30B21", "30B²¹"), =HYPERLINK("CSG10.html#group30E10", "30E¹⁰"), =HYPERLINK("CSG16.html#group90B16", "90B¹⁶"), =HYPERLINK("CSG19.html#group45B19", "45B¹⁹"), =HYPERLINK("CSG14.html#group35C14", "35C¹⁴"), =HYPERLINK("CSG22.html#group25A22", "25A²²"), =HYPERLINK("CSG9.html#group15B9", "15B⁹"), =HYPERLINK("CSG8.html#group35A8", "35A⁸"), =HYPERLINK("CSG21.html#group40H21", "40H²¹"), =HYPERLINK("CSG19.html#group90E19", "90E¹⁹"), =HYPERLINK("CSG23.html#group40E23", "40E²³"), =HYPERLINK("CSG18.html#group50B18", "50B¹⁸"), =HYPERLINK("CSG23.html#group60J23", "60J²³"), =HYPERLINK("CSG17.html#group15B17", "15B¹⁷"), =HYPERLINK("CSG15.html#group70C15", "70C¹⁵"), =HYPERLINK("CSG19.html#group40M19", "40M¹⁹"), =HYPERLINK("CSG21.html#group30F21", "30F²¹"), =HYPERLINK("CSG13.html#group20G13", "20G¹³"), =HYPERLINK("CSG10.html#group60B10", "60B¹⁰"), =HYPERLINK("CSG19.html#group40L19", "40L¹⁹"), =HYPERLINK("CSG8.html#group40H8", "40H⁸"), =HYPERLINK("CSG12.html#group30C12", "30C¹²"), =HYPERLINK("CSG6.html#group25F6", "25F⁶"), =HYPERLINK("CSG23.html#group30C23", "30C²³"), =HYPERLINK("CSG8.html#group15B8", "15B⁸"), =HYPERLINK("CSG13.html#group45B13", "45B¹³"), =HYPERLINK("CSG15.html#group30F15", "30F¹⁵"), =HYPERLINK("CSG22.html#group30A22", "30A²²"), =HYPERLINK("CSG17.html#group20B17", "20B¹⁷"), =HYPERLINK("CSG16.html#group30C16", "30C¹⁶"), =HYPERLINK("CSG23.html#group40I23", "40I²³"), =HYPERLINK("CSG2.html#group10A2", "10A²"), =HYPERLINK("CSG5.html#group10A5", "10A⁵"), =HYPERLINK("CSG22.html#group30C22", "30C²²"), =HYPERLINK("CSG10.html#group30F10", "30F¹⁰"), =HYPERLINK("CSG22.html#group20C22", "20C²²"), =HYPERLINK("CSG10.html#group20E10", "20E¹⁰"), =HYPERLINK("CSG15.html#group40K15", "40K¹⁵"), =HYPERLINK("CSG13.html#group40A13", "40A¹³"), =HYPERLINK("CSG13.html#group45A13", "45A¹³"), =HYPERLINK("CSG10.html#group50A10", "50A¹⁰"), =HYPERLINK("CSG16.html#group25A16", "25A¹⁶"), =HYPERLINK("CSG14.html#group65A14", "65A¹⁴"), =HYPERLINK("CSG8.html#group30A8", "30A⁸"), =HYPERLINK("CSG19.html#group90I19", "90I¹⁹"), =HYPERLINK("CSG4.html#group30E4", "30E⁴"), =HYPERLINK("CSG12.html#group40A12", "40A¹²"), =HYPERLINK("CSG17.html#group15A17", "15A¹⁷"), =HYPERLINK("CSG18.html#group60A18", "60A¹⁸"), =HYPERLINK("CSG13.html#group30E13", "30E¹³"), =HYPERLINK("CSG2.html#group10F2", "10F²"), =HYPERLINK("CSG10.html#group20C10", "20C¹⁰"), =HYPERLINK("CSG22.html#group40J22", "40J²²"), =HYPERLINK("CSG14.html#group70A14", "70A¹⁴"), =HYPERLINK("CSG18.html#group60C18", "60C¹⁸"), =HYPERLINK("CSG20.html#group40B20", "40B²⁰"), =HYPERLINK("CSG16.html#group30B16", "30B¹⁶"), =HYPERLINK("CSG23.html#group30B23", "30B²³"), =HYPERLINK("CSG18.html#group80F18", "80F¹⁸"), =HYPERLINK("CSG0.html#group5G0", "5G⁰"), =HYPERLINK("CSG22.html#group30E22", "30E²²"), =HYPERLINK("CSG11.html#group55A11", "55A¹¹"), =HYPERLINK("CSG13.html#group30B13", "30B¹³"), =HYPERLINK("CSG22.html#group80C22", "80C²²"), =HYPERLINK("CSG18.html#group45A18", "45A¹⁸"), =HYPERLINK("CSG22.html#group40C22", "40C²²"), =HYPERLINK("CSG23.html#group40G23", "40G²³"), =HYPERLINK("CSG14.html#group35A14", "35A¹⁴"), =HYPERLINK("CSG24.html#group40E24", "40E²⁴"), =HYPERLINK("CSG22.html#group80B22", "80B²²"), =HYPERLINK("CSG24.html#group55B24", "55B²⁴"), =HYPERLINK("CSG24.html#group50B24", "50B²⁴"), =HYPERLINK("CSG9.html#group20B9", "20B⁹"), =HYPERLINK("CSG10.html#group15B10", "15B¹⁰"), =HYPERLINK("CSG16.html#group45D16", "45D¹⁶"), =HYPERLINK("CSG22.html#group40G22", "40G²²"), =HYPERLINK("CSG9.html#group20C9", "20C⁹"), =HYPERLINK("CSG23.html#group40F23", "40F²³"), =HYPERLINK("CSG18.html#group90C18", "90C¹⁸"), =HYPERLINK("CSG19.html#group30B19", "30B¹⁹"), =HYPERLINK("CSG22.html#group20A22", "20A²²"), =HYPERLINK("CSG3.html#group15A3", "15A³"), =HYPERLINK("CSG7.html#group50B7", "50B⁷"), =HYPERLINK("CSG21.html#group50E21", "50E²¹"), =HYPERLINK("CSG24.html#group60A24", "60A²⁴"), =HYPERLINK("CSG13.html#group30G13", "30G¹³"), =HYPERLINK("CSG18.html#group50A18", "50A¹⁸"), =HYPERLINK("CSG22.html#group80D22", "80D²²"), =HYPERLINK("CSG10.html#group40C10", "40C¹⁰"), =HYPERLINK("CSG20.html#group50A20", "50A²⁰"), =HYPERLINK("CSG3.html#group10B3", "10B³"), =HYPERLINK("CSG12.html#group25A12", "25A¹²"), =HYPERLINK("CSG23.html#group40J23", "40J²³"), =HYPERLINK("CSG24.html#group40C24", "40C²⁴"), =HYPERLINK("CSG19.html#group15B19", "15B¹⁹"), =HYPERLINK("CSG23.html#group40H23", "40H²³"), =HYPERLINK("CSG23.html#group30J23", "30J²³"), =HYPERLINK("CSG17.html#group70B17", "70B¹⁷"), =HYPERLINK("CSG23.html#group40D23", "40D²³"), =HYPERLINK("CSG7.html#group15C7", "15C⁷"), =HYPERLINK("CSG4.html#group25F4", "25F⁴"), =HYPERLINK("CSG22.html#group60D22", "60D²²"), =HYPERLINK("CSG13.html#group10A13", "10A¹³"), =HYPERLINK("CSG8.html#group25A8", "25A⁸"), =HYPERLINK("CSG4.html#group20E4", "20E⁴"), =HYPERLINK("CSG21.html#group20C21", "20C²¹"), =HYPERLINK("CSG10.html#group45B10", "45B¹⁰"), =HYPERLINK("CSG17.html#group45C17", "45C¹⁷"), =HYPERLINK("CSG16.html#group40D16", "40D¹⁶"), =HYPERLINK("CSG20.html#group25A20", "25A²⁰"), =HYPERLINK("CSG0.html#group5H0", "5H⁰"), =HYPERLINK("CSG22.html#group40A22", "40A²²"), =HYPERLINK("CSG1.html#group15F1", "15F¹"), =HYPERLINK("CSG19.html#group60I19", "60I¹⁹"), =HYPERLINK("CSG22.html#group60B22", "60B²²"), =HYPERLINK("CSG13.html#group35B13", "35B¹³"), =HYPERLINK("CSG6.html#group25E6", "25E⁶"), =HYPERLINK("CSG7.html#group20F7", "20F⁷"), =HYPERLINK("CSG11.html#group50B11", "50B¹¹"), =HYPERLINK("CSG23.html#group30D23", "30D²³"), =HYPERLINK("CSG7.html#group30C7", "30C⁷"), =HYPERLINK("CSG22.html#group40D22", "40D²²"), =HYPERLINK("CSG22.html#group40B22", "40B²²"), =HYPERLINK("CSG10.html#group20A10", "20A¹⁰"), =HYPERLINK("CSG6.html#group20D6", "20D⁶"), =HYPERLINK("CSG19.html#group20D19", "20D¹⁹"), =HYPERLINK("CSG15.html#group20A15", "20A¹⁵"), =HYPERLINK("CSG18.html#group40B18", "40B¹⁸"), =HYPERLINK("CSG10.html#group20D10", "20D¹⁰"), =HYPERLINK("CSG5.html#group20C5", "20C⁵"), =HYPERLINK("CSG14.html#group70B14", "70B¹⁴"), =HYPERLINK("CSG3.html#group20P3", "20P³"), =HYPERLINK("CSG22.html#group40E22", "40E²²"), =HYPERLINK("CSG21.html#group30A21", "30A²¹"), =HYPERLINK("CSG13.html#group20B13", "20B¹³"), =HYPERLINK("CSG7.html#group50A7", "50A⁷"), =HYPERLINK("CSG22.html#group80E22", "80E²²"), =HYPERLINK("CSG22.html#group20B22", "20B²²"), =HYPERLINK("CSG16.html#group45B16", "45B¹⁶"), =HYPERLINK("CSG17.html#group60M17", "60M¹⁷"), =HYPERLINK("CSG24.html#group40B24", "40B²⁴"), =HYPERLINK("CSG24.html#group40A24", "40A²⁴"), =HYPERLINK("CSG10.html#group30A10", "30A¹⁰"), =HYPERLINK("CSG7.html#group30A7", "30A⁷"), =HYPERLINK("CSG22.html#group90A22", "90A²²"), =HYPERLINK("CSG7.html#group10A7", "10A⁷"), =HYPERLINK("CSG16.html#group60D16", "60D¹⁶"), =HYPERLINK("CSG22.html#group35A22", "35A²²"), =HYPERLINK("CSG16.html#group15A16", "15A¹⁶"), =HYPERLINK("CSG16.html#group60F16", "60F¹⁶"), =HYPERLINK("CSG15.html#group20I15", "20I¹⁵"), =HYPERLINK("CSG18.html#group70A18", "70A¹⁸"), =HYPERLINK("CSG11.html#group30E11", "30E¹¹"), =HYPERLINK("CSG19.html#group85A19", "85A¹⁹"), =HYPERLINK("CSG18.html#group70D18", "70D¹⁸"), =HYPERLINK("CSG8.html#group20B8", "20B⁸"), =HYPERLINK("CSG16.html#group45C16", "45C¹⁶"), =HYPERLINK("CSG4.html#group15C4", "15C⁴"), =HYPERLINK("CSG19.html#group20B19", "20B¹⁹"), =HYPERLINK("CSG24.html#group110A24", "110A²⁴"), =HYPERLINK("CSG10.html#group25A10", "25A¹⁰"), =HYPERLINK("CSG23.html#group95A23", "95A²³"), =HYPERLINK("CSG6.html#group35B6", "35B⁶"), =HYPERLINK("CSG16.html#group60E16", "60E¹⁶"), =HYPERLINK("CSG23.html#group40C23", "40C²³"), =HYPERLINK("CSG16.html#group30E16", "30E¹⁶"), =HYPERLINK("CSG10.html#group40D10", "40D¹⁰"), =HYPERLINK("CSG5.html#group15B5", "15B⁵")</f>
        <v/>
      </c>
    </row>
    <row r="22">
      <c r="A22" t="inlineStr">
        <is>
          <t>5F⁰</t>
        </is>
      </c>
      <c r="B22" t="inlineStr"/>
      <c r="C22" t="inlineStr">
        <is>
          <t>20</t>
        </is>
      </c>
      <c r="D22" t="inlineStr">
        <is>
          <t>1</t>
        </is>
      </c>
      <c r="E22" t="inlineStr">
        <is>
          <t>10</t>
        </is>
      </c>
      <c r="F22" t="inlineStr">
        <is>
          <t>0</t>
        </is>
      </c>
      <c r="G22" t="inlineStr">
        <is>
          <t>2</t>
        </is>
      </c>
      <c r="H22" t="inlineStr">
        <is>
          <t>5⁴</t>
        </is>
      </c>
      <c r="I22" t="n">
        <v>4</v>
      </c>
      <c r="J22" t="inlineStr">
        <is>
          <t>2¹, 4²</t>
        </is>
      </c>
      <c r="K22">
        <f>HYPERLINK("CSG0.html#group5A0", "5A⁰"), =HYPERLINK("CSG0.html#group5C0", "5C⁰")</f>
        <v/>
      </c>
      <c r="L22">
        <f>HYPERLINK("CSG0.html#group5H0", "5H⁰"), =HYPERLINK("CSG1.html#group10H1", "10H¹"), =HYPERLINK("CSG2.html#group10D2", "10D²"), =HYPERLINK("CSG3.html#group15B3", "15B³"), =HYPERLINK("CSG3.html#group15G3", "15G³"), =HYPERLINK("CSG4.html#group15B4", "15B⁴"), =HYPERLINK("CSG4.html#group25E4", "25E⁴"), =HYPERLINK("CSG5.html#group20B5", "20B⁵"), =HYPERLINK("CSG9.html#group35C9", "35C⁹"), =HYPERLINK("CSG10.html#group35A10", "35A¹⁰"), =HYPERLINK("CSG16.html#group55A16", "55A¹⁶"), =HYPERLINK("CSG17.html#group55A17", "55A¹⁷"), =HYPERLINK("CSG19.html#group65B19", "65B¹⁹")</f>
        <v/>
      </c>
      <c r="M22">
        <f>HYPERLINK("CSG0.html#group5C0", "5C⁰"), =HYPERLINK("CSG0.html#group5A0", "5A⁰"), =HYPERLINK("CSG0.html#group1A0", "1A⁰")</f>
        <v/>
      </c>
      <c r="N22">
        <f>HYPERLINK("CSG1.html#group10H1", "10H¹"), =HYPERLINK("CSG17.html#group60A17", "60A¹⁷"), =HYPERLINK("CSG7.html#group20D7", "20D⁷"), =HYPERLINK("CSG17.html#group30K17", "30K¹⁷"), =HYPERLINK("CSG19.html#group20A19", "20A¹⁹"), =HYPERLINK("CSG5.html#group10A5", "10A⁵"), =HYPERLINK("CSG11.html#group20B11", "20B¹¹"), =HYPERLINK("CSG9.html#group30M9", "30M⁹"), =HYPERLINK("CSG19.html#group15A19", "15A¹⁹"), =HYPERLINK("CSG5.html#group20B5", "20B⁵"), =HYPERLINK("CSG21.html#group70F21", "70F²¹"), =HYPERLINK("CSG17.html#group45B17", "45B¹⁷"), =HYPERLINK("CSG23.html#group80E23", "80E²³"), =HYPERLINK("CSG15.html#group20B15", "20B¹⁵"), =HYPERLINK("CSG17.html#group30E17", "30E¹⁷"), =HYPERLINK("CSG5.html#group10B5", "10B⁵"), =HYPERLINK("CSG16.html#group25A16", "25A¹⁶"), =HYPERLINK("CSG17.html#group55A17", "55A¹⁷"), =HYPERLINK("CSG22.html#group30B22", "30B²²"), =HYPERLINK("CSG10.html#group15A10", "15A¹⁰"), =HYPERLINK("CSG19.html#group60F19", "60F¹⁹"), =HYPERLINK("CSG9.html#group20A9", "20A⁹"), =HYPERLINK("CSG11.html#group20A11", "20A¹¹"), =HYPERLINK("CSG9.html#group50F9", "50F⁹"), =HYPERLINK("CSG13.html#group45O13", "45O¹³"), =HYPERLINK("CSG9.html#group30N9", "30N⁹"), =HYPERLINK("CSG10.html#group35A10", "35A¹⁰"), =HYPERLINK("CSG17.html#group20A17", "20A¹⁷"), =HYPERLINK("CSG3.html#group10D3", "10D³"), =HYPERLINK("CSG11.html#group20C11", "20C¹¹"), =HYPERLINK("CSG15.html#group60Q15", "60Q¹⁵"), =HYPERLINK("CSG23.html#group60C23", "60C²³"), =HYPERLINK("CSG21.html#group70G21", "70G²¹"), =HYPERLINK("CSG12.html#group30B12", "30B¹²"), =HYPERLINK("CSG15.html#group20G15", "20G¹⁵"), =HYPERLINK("CSG15.html#group45D15", "45D¹⁵"), =HYPERLINK("CSG0.html#group5H0", "5H⁰"), =HYPERLINK("CSG11.html#group40J11", "40J¹¹"), =HYPERLINK("CSG21.html#group60S21", "60S²¹"), =HYPERLINK("CSG17.html#group35A17", "35A¹⁷"), =HYPERLINK("CSG12.html#group25A12", "25A¹²"), =HYPERLINK("CSG19.html#group100R19", "100R¹⁹"), =HYPERLINK("CSG9.html#group30F9", "30F⁹"), =HYPERLINK("CSG19.html#group75A19", "75A¹⁹"), =HYPERLINK("CSG19.html#group35B19", "35B¹⁹"), =HYPERLINK("CSG17.html#group45A17", "45A¹⁷"), =HYPERLINK("CSG13.html#group10A13", "10A¹³"), =HYPERLINK("CSG7.html#group30G7", "30G⁷"), =HYPERLINK("CSG17.html#group40E17", "40E¹⁷"), =HYPERLINK("CSG7.html#group15B7", "15B⁷"), =HYPERLINK("CSG23.html#group45C23", "45C²³"), =HYPERLINK("CSG20.html#group25A20", "25A²⁰"), =HYPERLINK("CSG4.html#group15B4", "15B⁴"), =HYPERLINK("CSG21.html#group60R21", "60R²¹"), =HYPERLINK("CSG11.html#group40D11", "40D¹¹"), =HYPERLINK("CSG17.html#group40F17", "40F¹⁷"), =HYPERLINK("CSG18.html#group60F18", "60F¹⁸"), =HYPERLINK("CSG19.html#group60D19", "60D¹⁹"), =HYPERLINK("CSG13.html#group20A13", "20A¹³"), =HYPERLINK("CSG7.html#group30H7", "30H⁷"), =HYPERLINK("CSG15.html#group20A15", "20A¹⁵"), =HYPERLINK("CSG3.html#group15G3", "15G³"), =HYPERLINK("CSG15.html#group60P15", "60P¹⁵"), =HYPERLINK("CSG5.html#group15D5", "15D⁵"), =HYPERLINK("CSG12.html#group15A12", "15A¹²"), =HYPERLINK("CSG3.html#group15B3", "15B³"), =HYPERLINK("CSG4.html#group10B4", "10B⁴"), =HYPERLINK("CSG23.html#group45E23", "45E²³"), =HYPERLINK("CSG21.html#group40B21", "40B²¹"), =HYPERLINK("CSG5.html#group20E5", "20E⁵"), =HYPERLINK("CSG12.html#group30F12", "30F¹²"), =HYPERLINK("CSG22.html#group50A22", "50A²²"), =HYPERLINK("CSG4.html#group25E4", "25E⁴"), =HYPERLINK("CSG9.html#group30B9", "30B⁹"), =HYPERLINK("CSG16.html#group55A16", "55A¹⁶"), =HYPERLINK("CSG19.html#group65B19", "65B¹⁹"), =HYPERLINK("CSG3.html#group20N3", "20N³"), =HYPERLINK("CSG19.html#group60B19", "60B¹⁹"), =HYPERLINK("CSG23.html#group30F23", "30F²³"), =HYPERLINK("CSG9.html#group15B9", "15B⁹"), =HYPERLINK("CSG2.html#group10D2", "10D²"), =HYPERLINK("CSG23.html#group15A23", "15A²³"), =HYPERLINK("CSG23.html#group40B23", "40B²³"), =HYPERLINK("CSG21.html#group40A21", "40A²¹"), =HYPERLINK("CSG17.html#group15B17", "15B¹⁷"), =HYPERLINK("CSG16.html#group45A16", "45A¹⁶"), =HYPERLINK("CSG12.html#group45H12", "45H¹²"), =HYPERLINK("CSG9.html#group35C9", "35C⁹"), =HYPERLINK("CSG8.html#group30C8", "30C⁸"), =HYPERLINK("CSG13.html#group20G13", "20G¹³"), =HYPERLINK("CSG17.html#group30D17", "30D¹⁷"), =HYPERLINK("CSG13.html#group15A13", "15A¹³"), =HYPERLINK("CSG15.html#group40D15", "40D¹⁵"), =HYPERLINK("CSG13.html#group40G13", "40G¹³"), =HYPERLINK("CSG24.html#group75A24", "75A²⁴"), =HYPERLINK("CSG21.html#group70D21", "70D²¹"), =HYPERLINK("CSG13.html#group30N13", "30N¹³"), =HYPERLINK("CSG15.html#group20C15", "20C¹⁵"), =HYPERLINK("CSG15.html#group40A15", "40A¹⁵"), =HYPERLINK("CSG21.html#group70E21", "70E²¹"), =HYPERLINK("CSG14.html#group45C14", "45C¹⁴")</f>
        <v/>
      </c>
    </row>
    <row r="23">
      <c r="A23" t="inlineStr">
        <is>
          <t>5G⁰</t>
        </is>
      </c>
      <c r="B23" t="inlineStr"/>
      <c r="C23" t="inlineStr">
        <is>
          <t>30</t>
        </is>
      </c>
      <c r="D23" t="inlineStr">
        <is>
          <t>1</t>
        </is>
      </c>
      <c r="E23" t="inlineStr">
        <is>
          <t>15</t>
        </is>
      </c>
      <c r="F23" t="inlineStr">
        <is>
          <t>2</t>
        </is>
      </c>
      <c r="G23" t="inlineStr">
        <is>
          <t>0</t>
        </is>
      </c>
      <c r="H23" t="inlineStr">
        <is>
          <t>5⁶</t>
        </is>
      </c>
      <c r="I23" t="n">
        <v>6</v>
      </c>
      <c r="J23" t="inlineStr">
        <is>
          <t>1¹, 2¹, 4³</t>
        </is>
      </c>
      <c r="K23">
        <f>HYPERLINK("CSG0.html#group5B0", "5B⁰"), =HYPERLINK("CSG0.html#group5C0", "5C⁰"), =HYPERLINK("CSG0.html#group5E0", "5E⁰")</f>
        <v/>
      </c>
      <c r="L23">
        <f>HYPERLINK("CSG0.html#group5H0", "5H⁰"), =HYPERLINK("CSG2.html#group10C2", "10C²"), =HYPERLINK("CSG2.html#group10F2", "10F²"), =HYPERLINK("CSG3.html#group10B3", "10B³"), =HYPERLINK("CSG4.html#group15D4", "15D⁴"), =HYPERLINK("CSG4.html#group25F4", "25F⁴"), =HYPERLINK("CSG5.html#group15B5", "15B⁵"), =HYPERLINK("CSG6.html#group25E6", "25E⁶"), =HYPERLINK("CSG6.html#group25F6", "25F⁶"), =HYPERLINK("CSG7.html#group20F7", "20F⁷"), =HYPERLINK("CSG8.html#group25A8", "25A⁸"), =HYPERLINK("CSG10.html#group25A10", "25A¹⁰"), =HYPERLINK("CSG14.html#group35C14", "35C¹⁴"), =HYPERLINK("CSG15.html#group35C15", "35C¹⁵"), =HYPERLINK("CSG24.html#group55B24", "55B²⁴")</f>
        <v/>
      </c>
      <c r="M23">
        <f>HYPERLINK("CSG0.html#group5B0", "5B⁰"), =HYPERLINK("CSG0.html#group5E0", "5E⁰"), =HYPERLINK("CSG0.html#group1A0", "1A⁰"), =HYPERLINK("CSG0.html#group5A0", "5A⁰"), =HYPERLINK("CSG0.html#group5C0", "5C⁰")</f>
        <v/>
      </c>
      <c r="N23">
        <f>HYPERLINK("CSG17.html#group20B17", "20B¹⁷"), =HYPERLINK("CSG19.html#group20A19", "20A¹⁹"), =HYPERLINK("CSG16.html#group30C16", "30C¹⁶"), =HYPERLINK("CSG19.html#group50C19", "50C¹⁹"), =HYPERLINK("CSG5.html#group10A5", "10A⁵"), =HYPERLINK("CSG10.html#group20E10", "20E¹⁰"), =HYPERLINK("CSG19.html#group15A19", "15A¹⁹"), =HYPERLINK("CSG15.html#group20B15", "20B¹⁵"), =HYPERLINK("CSG23.html#group50B23", "50B²³"), =HYPERLINK("CSG16.html#group25A16", "25A¹⁶"), =HYPERLINK("CSG9.html#group15A9", "15A⁹"), =HYPERLINK("CSG10.html#group15A10", "15A¹⁰"), =HYPERLINK("CSG13.html#group20B13", "20B¹³"), =HYPERLINK("CSG8.html#group25A8", "25A⁸"), =HYPERLINK("CSG7.html#group20E7", "20E⁷"), =HYPERLINK("CSG17.html#group15A17", "15A¹⁷"), =HYPERLINK("CSG12.html#group30D12", "30D¹²"), =HYPERLINK("CSG2.html#group10F2", "10F²"), =HYPERLINK("CSG13.html#group30E13", "30E¹³"), =HYPERLINK("CSG21.html#group40G21", "40G²¹"), =HYPERLINK("CSG7.html#group20P7", "20P⁷"), =HYPERLINK("CSG23.html#group30B23", "30B²³"), =HYPERLINK("CSG11.html#group30B11", "30B¹¹"), =HYPERLINK("CSG15.html#group35C15", "35C¹⁵"), =HYPERLINK("CSG6.html#group10A6", "10A⁶"), =HYPERLINK("CSG19.html#group50D19", "50D¹⁹"), =HYPERLINK("CSG18.html#group45A18", "45A¹⁸"), =HYPERLINK("CSG24.html#group55B24", "55B²⁴"), =HYPERLINK("CSG21.html#group20B21", "20B²¹"), =HYPERLINK("CSG4.html#group15D4", "15D⁴"), =HYPERLINK("CSG24.html#group50B24", "50B²⁴"), =HYPERLINK("CSG9.html#group20B9", "20B⁹"), =HYPERLINK("CSG21.html#group20A21", "20A²¹"), =HYPERLINK("CSG15.html#group40AJ15", "40AJ¹⁵"), =HYPERLINK("CSG15.html#group30C15", "30C¹⁵"), =HYPERLINK("CSG0.html#group5H0", "5H⁰"), =HYPERLINK("CSG19.html#group45H19", "45H¹⁹"), =HYPERLINK("CSG19.html#group30B19", "30B¹⁹"), =HYPERLINK("CSG21.html#group50E21", "50E²¹"), =HYPERLINK("CSG18.html#group50A18", "50A¹⁸"), =HYPERLINK("CSG20.html#group50A20", "50A²⁰"), =HYPERLINK("CSG15.html#group30B15", "30B¹⁵"), =HYPERLINK("CSG3.html#group10B3", "10B³"), =HYPERLINK("CSG12.html#group25A12", "25A¹²"), =HYPERLINK("CSG19.html#group15B19", "15B¹⁹"), =HYPERLINK("CSG23.html#group30J23", "30J²³"), =HYPERLINK("CSG23.html#group40D23", "40D²³"), =HYPERLINK("CSG4.html#group25F4", "25F⁴"), =HYPERLINK("CSG13.html#group10A13", "10A¹³"), =HYPERLINK("CSG15.html#group20F15", "20F¹⁵"), =HYPERLINK("CSG24.html#group50A24", "50A²⁴"), =HYPERLINK("CSG21.html#group20C21", "20C²¹"), =HYPERLINK("CSG20.html#group25A20", "25A²⁰"), =HYPERLINK("CSG10.html#group30B10", "30B¹⁰"), =HYPERLINK("CSG14.html#group50A14", "50A¹⁴"), =HYPERLINK("CSG13.html#group30D13", "30D¹³"), =HYPERLINK("CSG6.html#group25E6", "25E⁶"), =HYPERLINK("CSG21.html#group40I21", "40I²¹"), =HYPERLINK("CSG17.html#group40R17", "40R¹⁷"), =HYPERLINK("CSG22.html#group50D22", "50D²²"), =HYPERLINK("CSG7.html#group20F7", "20F⁷"), =HYPERLINK("CSG6.html#group20D6", "20D⁶"), =HYPERLINK("CSG19.html#group20D19", "20D¹⁹"), =HYPERLINK("CSG24.html#group75B24", "75B²⁴"), =HYPERLINK("CSG15.html#group20A15", "20A¹⁵"), =HYPERLINK("CSG17.html#group40S17", "40S¹⁷"), =HYPERLINK("CSG2.html#group10C2", "10C²"), =HYPERLINK("CSG4.html#group10B4", "10B⁴"), =HYPERLINK("CSG19.html#group50A19", "50A¹⁹"), =HYPERLINK("CSG22.html#group50B22", "50B²²"), =HYPERLINK("CSG7.html#group10A7", "10A⁷"), =HYPERLINK("CSG19.html#group20C19", "20C¹⁹"), =HYPERLINK("CSG14.html#group35C14", "35C¹⁴"), =HYPERLINK("CSG21.html#group30B21", "30B²¹"), =HYPERLINK("CSG15.html#group20I15", "20I¹⁵"), =HYPERLINK("CSG9.html#group15B9", "15B⁹"), =HYPERLINK("CSG21.html#group40H21", "40H²¹"), =HYPERLINK("CSG18.html#group50B18", "50B¹⁸"), =HYPERLINK("CSG17.html#group15B17", "15B¹⁷"), =HYPERLINK("CSG19.html#group40M19", "40M¹⁹"), =HYPERLINK("CSG19.html#group20B19", "20B¹⁹"), =HYPERLINK("CSG13.html#group20G13", "20G¹³"), =HYPERLINK("CSG19.html#group40L19", "40L¹⁹"), =HYPERLINK("CSG10.html#group25A10", "25A¹⁰"), =HYPERLINK("CSG6.html#group25F6", "25F⁶"), =HYPERLINK("CSG23.html#group30C23", "30C²³"), =HYPERLINK("CSG23.html#group40C23", "40C²³"), =HYPERLINK("CSG8.html#group15B8", "15B⁸"), =HYPERLINK("CSG5.html#group15B5", "15B⁵")</f>
        <v/>
      </c>
    </row>
    <row r="24">
      <c r="A24" t="inlineStr">
        <is>
          <t>5H⁰</t>
        </is>
      </c>
      <c r="B24" t="inlineStr">
        <is>
          <t>Γ(5)</t>
        </is>
      </c>
      <c r="C24" t="inlineStr">
        <is>
          <t>60</t>
        </is>
      </c>
      <c r="D24" t="inlineStr">
        <is>
          <t>1</t>
        </is>
      </c>
      <c r="E24" t="inlineStr">
        <is>
          <t>1</t>
        </is>
      </c>
      <c r="F24" t="inlineStr">
        <is>
          <t>0</t>
        </is>
      </c>
      <c r="G24" t="inlineStr">
        <is>
          <t>0</t>
        </is>
      </c>
      <c r="H24" t="inlineStr">
        <is>
          <t>5¹²</t>
        </is>
      </c>
      <c r="I24" t="n">
        <v>12</v>
      </c>
      <c r="J24" t="inlineStr">
        <is>
          <t>1¹</t>
        </is>
      </c>
      <c r="K24">
        <f>HYPERLINK("CSG0.html#group5D0", "5D⁰"), =HYPERLINK("CSG0.html#group5F0", "5F⁰"), =HYPERLINK("CSG0.html#group5G0", "5G⁰")</f>
        <v/>
      </c>
      <c r="L24">
        <f>HYPERLINK("CSG4.html#group10B4", "10B⁴"), =HYPERLINK("CSG5.html#group10A5", "10A⁵"), =HYPERLINK("CSG9.html#group15B9", "15B⁹"), =HYPERLINK("CSG10.html#group15A10", "15A¹⁰"), =HYPERLINK("CSG12.html#group25A12", "25A¹²"), =HYPERLINK("CSG15.html#group20B15", "20B¹⁵"), =HYPERLINK("CSG16.html#group25A16", "25A¹⁶"), =HYPERLINK("CSG20.html#group25A20", "25A²⁰")</f>
        <v/>
      </c>
      <c r="M24">
        <f>HYPERLINK("CSG0.html#group5A0", "5A⁰"), =HYPERLINK("CSG0.html#group5C0", "5C⁰"), =HYPERLINK("CSG0.html#group5B0", "5B⁰"), =HYPERLINK("CSG0.html#group5E0", "5E⁰"), =HYPERLINK("CSG0.html#group5D0", "5D⁰"), =HYPERLINK("CSG0.html#group5F0", "5F⁰"), =HYPERLINK("CSG0.html#group1A0", "1A⁰"), =HYPERLINK("CSG0.html#group5G0", "5G⁰")</f>
        <v/>
      </c>
      <c r="N24">
        <f>HYPERLINK("CSG19.html#group20A19", "20A¹⁹"), =HYPERLINK("CSG13.html#group10A13", "10A¹³"), =HYPERLINK("CSG10.html#group15A10", "15A¹⁰"), =HYPERLINK("CSG13.html#group20G13", "20G¹³"), =HYPERLINK("CSG5.html#group10A5", "10A⁵"), =HYPERLINK("CSG20.html#group25A20", "25A²⁰"), =HYPERLINK("CSG19.html#group15A19", "15A¹⁹"), =HYPERLINK("CSG15.html#group20A15", "20A¹⁵"), =HYPERLINK("CSG12.html#group25A12", "25A¹²"), =HYPERLINK("CSG4.html#group10B4", "10B⁴"), =HYPERLINK("CSG9.html#group15B9", "15B⁹"), =HYPERLINK("CSG15.html#group20B15", "20B¹⁵"), =HYPERLINK("CSG17.html#group15B17", "15B¹⁷"), =HYPERLINK("CSG16.html#group25A16", "25A¹⁶")</f>
        <v/>
      </c>
    </row>
    <row r="25">
      <c r="A25" t="inlineStr">
        <is>
          <t>6A⁰</t>
        </is>
      </c>
      <c r="B25" t="inlineStr"/>
      <c r="C25" t="inlineStr">
        <is>
          <t>6</t>
        </is>
      </c>
      <c r="D25" t="inlineStr">
        <is>
          <t>1</t>
        </is>
      </c>
      <c r="E25" t="inlineStr">
        <is>
          <t>2</t>
        </is>
      </c>
      <c r="F25" t="inlineStr">
        <is>
          <t>0</t>
        </is>
      </c>
      <c r="G25" t="inlineStr">
        <is>
          <t>3</t>
        </is>
      </c>
      <c r="H25" t="inlineStr">
        <is>
          <t>6¹</t>
        </is>
      </c>
      <c r="I25" t="n">
        <v>1</v>
      </c>
      <c r="J25" t="inlineStr">
        <is>
          <t>2¹</t>
        </is>
      </c>
      <c r="K25">
        <f>HYPERLINK("CSG0.html#group2A0", "2A⁰")</f>
        <v/>
      </c>
      <c r="L25">
        <f>HYPERLINK("CSG0.html#group6J0", "6J⁰"), =HYPERLINK("CSG1.html#group6C1", "6C¹"), =HYPERLINK("CSG1.html#group12E1", "12E¹"), =HYPERLINK("CSG1.html#group12H1", "12H¹"), =HYPERLINK("CSG1.html#group30A1", "30A¹"), =HYPERLINK("CSG2.html#group42B2", "42B²"), =HYPERLINK("CSG3.html#group30C3", "30C³"), =HYPERLINK("CSG3.html#group42A3", "42A³"), =HYPERLINK("CSG4.html#group30B4", "30B⁴"), =HYPERLINK("CSG4.html#group66A4", "66A⁴"), =HYPERLINK("CSG5.html#group78A5", "78A⁵"), =HYPERLINK("CSG6.html#group66C6", "66C⁶"), =HYPERLINK("CSG7.html#group18H7", "18H⁷"), =HYPERLINK("CSG8.html#group114A8", "114A⁸"), =HYPERLINK("CSG9.html#group102C9", "102C⁹"), =HYPERLINK("CSG12.html#group138B12", "138B¹²"), =HYPERLINK("CSG14.html#group186A14", "186A¹⁴"), =HYPERLINK("CSG15.html#group174B15", "174B¹⁵"), =HYPERLINK("CSG17.html#group222A17", "222A¹⁷"), =HYPERLINK("CSG20.html#group258A20", "258A²⁰"), =HYPERLINK("CSG21.html#group246C21", "246C²¹"), =HYPERLINK("CSG24.html#group282B24", "282B²⁴")</f>
        <v/>
      </c>
      <c r="M25">
        <f>HYPERLINK("CSG0.html#group2A0", "2A⁰"), =HYPERLINK("CSG0.html#group1A0", "1A⁰")</f>
        <v/>
      </c>
      <c r="N25">
        <f>HYPERLINK("CSG21.html#group48I21", "48I²¹"), =HYPERLINK("CSG22.html#group114A22", "114A²²"), =HYPERLINK("CSG11.html#group60B11", "60B¹¹"), =HYPERLINK("CSG18.html#group96A18", "96A¹⁸"), =HYPERLINK("CSG6.html#group24A6", "24A⁶"), =HYPERLINK("CSG13.html#group54P13", "54P¹³"), =HYPERLINK("CSG3.html#group12G3", "12G³"), =HYPERLINK("CSG23.html#group120C23", "120C²³"), =HYPERLINK("CSG16.html#group36E16", "36E¹⁶"), =HYPERLINK("CSG21.html#group48AH21", "48AH²¹"), =HYPERLINK("CSG16.html#group78D16", "78D¹⁶"), =HYPERLINK("CSG17.html#group48U17", "48U¹⁷"), =HYPERLINK("CSG4.html#group18N4", "18N⁴"), =HYPERLINK("CSG16.html#group36F16", "36F¹⁶"), =HYPERLINK("CSG17.html#group222A17", "222A¹⁷"), =HYPERLINK("CSG21.html#group48BS21", "48BS²¹"), =HYPERLINK("CSG9.html#group78A9", "78A⁹"), =HYPERLINK("CSG11.html#group48I11", "48I¹¹"), =HYPERLINK("CSG1.html#group12H1", "12H¹"), =HYPERLINK("CSG7.html#group18H7", "18H⁷"), =HYPERLINK("CSG8.html#group24A8", "24A⁸"), =HYPERLINK("CSG7.html#group24V7", "24V⁷"), =HYPERLINK("CSG10.html#group18E10", "18E¹⁰"), =HYPERLINK("CSG21.html#group96E21", "96E²¹"), =HYPERLINK("CSG9.html#group24S9", "24S⁹"), =HYPERLINK("CSG15.html#group36C15", "36C¹⁵"), =HYPERLINK("CSG17.html#group36I17", "36I¹⁷"), =HYPERLINK("CSG18.html#group48B18", "48B¹⁸"), =HYPERLINK("CSG19.html#group48I19", "48I¹⁹"), =HYPERLINK("CSG11.html#group24D11", "24D¹¹"), =HYPERLINK("CSG6.html#group24C6", "24C⁶"), =HYPERLINK("CSG15.html#group60L15", "60L¹⁵"), =HYPERLINK("CSG8.html#group36D8", "36D⁸"), =HYPERLINK("CSG19.html#group78B19", "78B¹⁹"), =HYPERLINK("CSG8.html#group24G8", "24G⁸"), =HYPERLINK("CSG15.html#group24I15", "24I¹⁵"), =HYPERLINK("CSG11.html#group48A11", "48A¹¹"), =HYPERLINK("CSG7.html#group30F7", "30F⁷"), =HYPERLINK("CSG19.html#group48E19", "48E¹⁹"), =HYPERLINK("CSG9.html#group24I9", "24I⁹"), =HYPERLINK("CSG19.html#group96E19", "96E¹⁹"), =HYPERLINK("CSG9.html#group24Z9", "24Z⁹"), =HYPERLINK("CSG5.html#group42D5", "42D⁵"), =HYPERLINK("CSG19.html#group24G19", "24G¹⁹"), =HYPERLINK("CSG21.html#group48Q21", "48Q²¹"), =HYPERLINK("CSG21.html#group48BQ21", "48BQ²¹"), =HYPERLINK("CSG10.html#group18C10", "18C¹⁰"), =HYPERLINK("CSG10.html#group24A10", "24A¹⁰"), =HYPERLINK("CSG4.html#group30B4", "30B⁴"), =HYPERLINK("CSG22.html#group30D22", "30D²²"), =HYPERLINK("CSG11.html#group42H11", "42H¹¹"), =HYPERLINK("CSG16.html#group72I16", "72I¹⁶"), =HYPERLINK("CSG20.html#group84H20", "84H²⁰"), =HYPERLINK("CSG3.html#group30C3", "30C³"), =HYPERLINK("CSG7.html#group30K7", "30K⁷"), =HYPERLINK("CSG16.html#group72B16", "72B¹⁶"), =HYPERLINK("CSG17.html#group24F17", "24F¹⁷"), =HYPERLINK("CSG23.html#group42A23", "42A²³"), =HYPERLINK("CSG19.html#group24B19", "24B¹⁹"), =HYPERLINK("CSG19.html#group48A19", "48A¹⁹"), =HYPERLINK("CSG19.html#group48P19", "48P¹⁹"), =HYPERLINK("CSG11.html#group48B11", "48B¹¹"), =HYPERLINK("CSG22.html#group36K22", "36K²²"), =HYPERLINK("CSG19.html#group48AW19", "48AW¹⁹"), =HYPERLINK("CSG13.html#group12A13", "12A¹³"), =HYPERLINK("CSG15.html#group60T15", "60T¹⁵"), =HYPERLINK("CSG4.html#group12D4", "12D⁴"), =HYPERLINK("CSG4.html#group24N4", "24N⁴"), =HYPERLINK("CSG24.html#group282B24", "282B²⁴"), =HYPERLINK("CSG16.html#group72H16", "72H¹⁶"), =HYPERLINK("CSG15.html#group24D15", "24D¹⁵"), =HYPERLINK("CSG21.html#group48BR21", "48BR²¹"), =HYPERLINK("CSG13.html#group30H13", "30H¹³"), =HYPERLINK("CSG23.html#group120D23", "120D²³"), =HYPERLINK("CSG21.html#group36E21", "36E²¹"), =HYPERLINK("CSG17.html#group24U17", "24U¹⁷"), =HYPERLINK("CSG18.html#group96C18", "96C¹⁸"), =HYPERLINK("CSG23.html#group120H23", "120H²³"), =HYPERLINK("CSG1.html#group12E1", "12E¹"), =HYPERLINK("CSG11.html#group60F11", "60F¹¹"), =HYPERLINK("CSG13.html#group30I13", "30I¹³"), =HYPERLINK("CSG16.html#group120A16", "120A¹⁶"), =HYPERLINK("CSG19.html#group42H19", "42H¹⁹"), =HYPERLINK("CSG24.html#group24A24", "24A²⁴"), =HYPERLINK("CSG21.html#group66D21", "66D²¹"), =HYPERLINK("CSG21.html#group48N21", "48N²¹"), =HYPERLINK("CSG21.html#group84F21", "84F²¹"), =HYPERLINK("CSG21.html#group246C21", "246C²¹"), =HYPERLINK("CSG21.html#group48K21", "48K²¹"), =HYPERLINK("CSG19.html#group24C19", "24C¹⁹"), =HYPERLINK("CSG8.html#group48D8", "48D⁸"), =HYPERLINK("CSG7.html#group18P7", "18P⁷"), =HYPERLINK("CSG15.html#group24E15", "24E¹⁵"), =HYPERLINK("CSG19.html#group48H19", "48H¹⁹"), =HYPERLINK("CSG18.html#group48D18", "48D¹⁸"), =HYPERLINK("CSG11.html#group48M11", "48M¹¹"), =HYPERLINK("CSG19.html#group42C19", "42C¹⁹"), =HYPERLINK("CSG16.html#group84K16", "84K¹⁶"), =HYPERLINK("CSG18.html#group60E18", "60E¹⁸"), =HYPERLINK("CSG1.html#group6C1", "6C¹"), =HYPERLINK("CSG2.html#group12B2", "12B²"), =HYPERLINK("CSG15.html#group60C15", "60C¹⁵"), =HYPERLINK("CSG21.html#group48L21", "48L²¹"), =HYPERLINK("CSG17.html#group24AJ17", "24AJ¹⁷"), =HYPERLINK("CSG21.html#group48R21", "48R²¹"), =HYPERLINK("CSG22.html#group108C22", "108C²²"), =HYPERLINK("CSG8.html#group60E8", "60E⁸"), =HYPERLINK("CSG17.html#group24Z17", "24Z¹⁷"), =HYPERLINK("CSG22.html#group30B22", "30B²²"), =HYPERLINK("CSG17.html#group72C17", "72C¹⁷"), =HYPERLINK("CSG23.html#group42H23", "42H²³"), =HYPERLINK("CSG13.html#group30E13", "30E¹³"), =HYPERLINK("CSG21.html#group48Y21", "48Y²¹"), =HYPERLINK("CSG15.html#group48E15", "48E¹⁵"), =HYPERLINK("CSG17.html#group24P17", "24P¹⁷"), =HYPERLINK("CSG19.html#group24K19", "24K¹⁹"), =HYPERLINK("CSG19.html#group36F19", "36F¹⁹"), =HYPERLINK("CSG22.html#group36M22", "36M²²"), =HYPERLINK("CSG13.html#group54H13", "54H¹³"), =HYPERLINK("CSG19.html#group96A19", "96A¹⁹"), =HYPERLINK("CSG12.html#group138B12", "138B¹²"), =HYPERLINK("CSG15.html#group24A15", "24A¹⁵"), =HYPERLINK("CSG15.html#group48K15", "48K¹⁵"), =HYPERLINK("CSG15.html#group150H15", "150H¹⁵"), =HYPERLINK("CSG16.html#group72Q16", "72Q¹⁶"), =HYPERLINK("CSG19.html#group48K19", "48K¹⁹"), =HYPERLINK("CSG17.html#group24G17", "24G¹⁷"), =HYPERLINK("CSG17.html#group24Q17", "24Q¹⁷"), =HYPERLINK("CSG8.html#group36B8", "36B⁸"), =HYPERLINK("CSG19.html#group24H19", "24H¹⁹"), =HYPERLINK("CSG21.html#group48AL21", "48AL²¹"), =HYPERLINK("CSG13.html#group54K13", "54K¹³"), =HYPERLINK("CSG2.html#group42B2", "42B²"), =HYPERLINK("CSG15.html#group24J15", "24J¹⁵"), =HYPERLINK("CSG7.html#group12A7", "12A⁷"), =HYPERLINK("CSG9.html#group24D9", "24D⁹"), =HYPERLINK("CSG21.html#group24H21", "24H²¹"), =HYPERLINK("CSG8.html#group24C8", "24C⁸"), =HYPERLINK("CSG21.html#group48AJ21", "48AJ²¹"), =HYPERLINK("CSG17.html#group24R17", "24R¹⁷"), =HYPERLINK("CSG11.html#group24C11", "24C¹¹"), =HYPERLINK("CSG13.html#group84H13", "84H¹³"), =HYPERLINK("CSG17.html#group24Y17", "24Y¹⁷"), =HYPERLINK("CSG19.html#group96B19", "96B¹⁹"), =HYPERLINK("CSG7.html#group30G7", "30G⁷"), =HYPERLINK("CSG23.html#group96I23", "96I²³"), =HYPERLINK("CSG14.html#group60E14", "60E¹⁴"), =HYPERLINK("CSG5.html#group12B5", "12B⁵"), =HYPERLINK("CSG21.html#group96B21", "96B²¹"), =HYPERLINK("CSG7.html#group42M7", "42M⁷"), =HYPERLINK("CSG17.html#group48D17", "48D¹⁷"), =HYPERLINK("CSG16.html#group72A16", "72A¹⁶"), =HYPERLINK("CSG9.html#group24G9", "24G⁹"), =HYPERLINK("CSG4.html#group66A4", "66A⁴"), =HYPERLINK("CSG10.html#group42C10", "42C¹⁰"), =HYPERLINK("CSG7.html#group30C7", "30C⁷"), =HYPERLINK("CSG11.html#group36M11", "36M¹¹"), =HYPERLINK("CSG21.html#group48P21", "48P²¹"), =HYPERLINK("CSG12.html#group42A12", "42A¹²"), =HYPERLINK("CSG15.html#group60P15", "60P¹⁵"), =HYPERLINK("CSG7.html#group24I7", "24I⁷"), =HYPERLINK("CSG11.html#group36N11", "36N¹¹"), =HYPERLINK("CSG19.html#group42G19", "42G¹⁹"), =HYPERLINK("CSG19.html#group42K19", "42K¹⁹"), =HYPERLINK("CSG11.html#group48F11", "48F¹¹"), =HYPERLINK("CSG7.html#group18N7", "18N⁷"), =HYPERLINK("CSG16.html#group66A16", "66A¹⁶"), =HYPERLINK("CSG17.html#group24V17", "24V¹⁷"), =HYPERLINK("CSG13.html#group30A13", "30A¹³"), =HYPERLINK("CSG8.html#group24D8", "24D⁸"), =HYPERLINK("CSG21.html#group84A21", "84A²¹"), =HYPERLINK("CSG1.html#group18K1", "18K¹"), =HYPERLINK("CSG17.html#group30J17", "30J¹⁷"), =HYPERLINK("CSG1.html#group6F1", "6F¹"), =HYPERLINK("CSG4.html#group84A4", "84A⁴"), =HYPERLINK("CSG23.html#group96F23", "96F²³"), =HYPERLINK("CSG16.html#group54J16", "54J¹⁶"), =HYPERLINK("CSG17.html#group24S17", "24S¹⁷"), =HYPERLINK("CSG11.html#group24E11", "24E¹¹"), =HYPERLINK("CSG21.html#group60J21", "60J²¹"), =HYPERLINK("CSG19.html#group78C19", "78C¹⁹"), =HYPERLINK("CSG22.html#group96C22", "96C²²"), =HYPERLINK("CSG20.html#group84C20", "84C²⁰"), =HYPERLINK("CSG9.html#group30L9", "30L⁹"), =HYPERLINK("CSG19.html#group48D19", "48D¹⁹"), =HYPERLINK("CSG23.html#group96L23", "96L²³"), =HYPERLINK("CSG2.html#group24J2", "24J²"), =HYPERLINK("CSG17.html#group48E17", "48E¹⁷"), =HYPERLINK("CSG19.html#group24D19", "24D¹⁹"), =HYPERLINK("CSG20.html#group132A20", "132A²⁰"), =HYPERLINK("CSG7.html#group24M7", "24M⁷"), =HYPERLINK("CSG9.html#group102C9", "102C⁹"), =HYPERLINK("CSG14.html#group60A14", "60A¹⁴"), =HYPERLINK("CSG23.html#group96O23", "96O²³"), =HYPERLINK("CSG7.html#group18E7", "18E⁷"), =HYPERLINK("CSG16.html#group30A16", "30A¹⁶"), =HYPERLINK("CSG3.html#group12F3", "12F³"), =HYPERLINK("CSG5.html#group24A5", "24A⁵"), =HYPERLINK("CSG2.html#group12E2", "12E²"), =HYPERLINK("CSG21.html#group60P21", "60P²¹"), =HYPERLINK("CSG17.html#group24I17", "24I¹⁷"), =HYPERLINK("CSG15.html#group150F15", "150F¹⁵"), =HYPERLINK("CSG4.html#group12A4", "12A⁴"), =HYPERLINK("CSG19.html#group48AX19", "48AX¹⁹"), =HYPERLINK("CSG21.html#group48O21", "48O²¹"), =HYPERLINK("CSG24.html#group276B24", "276B²⁴"), =HYPERLINK("CSG8.html#group24H8", "24H⁸"), =HYPERLINK("CSG8.html#group24J8", "24J⁸"), =HYPERLINK("CSG21.html#group48AN21", "48AN²¹"), =HYPERLINK("CSG22.html#group96A22", "96A²²"), =HYPERLINK("CSG21.html#group48J21", "48J²¹"), =HYPERLINK("CSG23.html#group132E23", "132E²³"), =HYPERLINK("CSG13.html#group24O13", "24O¹³"), =HYPERLINK("CSG17.html#group24W17", "24W¹⁷"), =HYPERLINK("CSG20.html#group150E20", "150E²⁰"), =HYPERLINK("CSG14.html#group186A14", "186A¹⁴"), =HYPERLINK("CSG24.html#group330C24", "330C²⁴"), =HYPERLINK("CSG15.html#group48F15", "48F¹⁵"), =HYPERLINK("CSG16.html#group210E16", "210E¹⁶"), =HYPERLINK("CSG21.html#group48AK21", "48AK²¹"), =HYPERLINK("CSG22.html#group84A22", "84A²²"), =HYPERLINK("CSG16.html#group120C16", "120C¹⁶"), =HYPERLINK("CSG22.html#group36F22", "36F²²"), =HYPERLINK("CSG23.html#group96E23", "96E²³"), =HYPERLINK("CSG10.html#group42E10", "42E¹⁰"), =HYPERLINK("CSG17.html#group24J17", "24J¹⁷"), =HYPERLINK("CSG22.html#group48B22", "48B²²"), =HYPERLINK("CSG13.html#group24K13", "24K¹³"), =HYPERLINK("CSG15.html#group150E15", "150E¹⁵"), =HYPERLINK("CSG13.html#group84D13", "84D¹³"), =HYPERLINK("CSG19.html#group48O19", "48O¹⁹"), =HYPERLINK("CSG19.html#group48M19", "48M¹⁹"), =HYPERLINK("CSG23.html#group96P23", "96P²³"), =HYPERLINK("CSG16.html#group210C16", "210C¹⁶"), =HYPERLINK("CSG23.html#group120G23", "120G²³"), =HYPERLINK("CSG19.html#group48F19", "48F¹⁹"), =HYPERLINK("CSG10.html#group54F10", "54F¹⁰"), =HYPERLINK("CSG21.html#group48AM21", "48AM²¹"), =HYPERLINK("CSG8.html#group48C8", "48C⁸"), =HYPERLINK("CSG16.html#group36C16", "36C¹⁶"), =HYPERLINK("CSG4.html#group30G4", "30G⁴"), =HYPERLINK("CSG13.html#group18B13", "18B¹³"), =HYPERLINK("CSG15.html#group150G15", "150G¹⁵"), =HYPERLINK("CSG21.html#group60I21", "60I²¹"), =HYPERLINK("CSG9.html#group24C9", "24C⁹"), =HYPERLINK("CSG18.html#group48G18", "48G¹⁸"), =HYPERLINK("CSG13.html#group84E13", "84E¹³"), =HYPERLINK("CSG5.html#group30D5", "30D⁵"), =HYPERLINK("CSG7.html#group18A7", "18A⁷"), =HYPERLINK("CSG23.html#group210C23", "210C²³"), =HYPERLINK("CSG19.html#group48R19", "48R¹⁹"), =HYPERLINK("CSG7.html#group30B7", "30B⁷"), =HYPERLINK("CSG11.html#group60G11", "60G¹¹"), =HYPERLINK("CSG4.html#group12B4", "12B⁴"), =HYPERLINK("CSG21.html#group42I21", "42I²¹"), =HYPERLINK("CSG21.html#group48S21", "48S²¹"), =HYPERLINK("CSG17.html#group72K17", "72K¹⁷"), =HYPERLINK("CSG4.html#group18F4", "18F⁴"), =HYPERLINK("CSG12.html#group132B12", "132B¹²"), =HYPERLINK("CSG22.html#group66C22", "66C²²"), =HYPERLINK("CSG13.html#group30C13", "30C¹³"), =HYPERLINK("CSG20.html#group84K20", "84K²⁰"), =HYPERLINK("CSG15.html#group24F15", "24F¹⁵"), =HYPERLINK("CSG21.html#group210B21", "210B²¹"), =HYPERLINK("CSG21.html#group48AU21", "48AU²¹"), =HYPERLINK("CSG22.html#group90I22", "90I²²"), =HYPERLINK("CSG11.html#group48D11", "48D¹¹"), =HYPERLINK("CSG4.html#group18A4", "18A⁴"), =HYPERLINK("CSG23.html#group96D23", "96D²³"), =HYPERLINK("CSG10.html#group24B10", "24B¹⁰"), =HYPERLINK("CSG23.html#group96G23", "96G²³"), =HYPERLINK("CSG23.html#group96C23", "96C²³"), =HYPERLINK("CSG22.html#group84F22", "84F²²"), =HYPERLINK("CSG17.html#group48H17", "48H¹⁷"), =HYPERLINK("CSG22.html#group90B22", "90B²²"), =HYPERLINK("CSG23.html#group96J23", "96J²³"), =HYPERLINK("CSG19.html#group48G19", "48G¹⁹"), =HYPERLINK("CSG19.html#group30A19", "30A¹⁹"), =HYPERLINK("CSG17.html#group24H17", "24H¹⁷"), =HYPERLINK("CSG19.html#group18E19", "18E¹⁹"), =HYPERLINK("CSG12.html#group42E12", "42E¹²"), =HYPERLINK("CSG19.html#group24S19", "24S¹⁹"), =HYPERLINK("CSG23.html#group78E23", "78E²³"), =HYPERLINK("CSG7.html#group24W7", "24W⁷"), =HYPERLINK("CSG16.html#group42B16", "42B¹⁶"), =HYPERLINK("CSG10.html#group42B10", "42B¹⁰"), =HYPERLINK("CSG9.html#group48A9", "48A⁹"), =HYPERLINK("CSG4.html#group36S4", "36S⁴"), =HYPERLINK("CSG7.html#group12D7", "12D⁷"), =HYPERLINK("CSG16.html#group36B16", "36B¹⁶"), =HYPERLINK("CSG9.html#group24U9", "24U⁹"), =HYPERLINK("CSG19.html#group48B19", "48B¹⁹"), =HYPERLINK("CSG20.html#group258A20", "258A²⁰"), =HYPERLINK("CSG17.html#group102C17", "102C¹⁷"), =HYPERLINK("CSG4.html#group12C4", "12C⁴"), =HYPERLINK("CSG19.html#group18A19", "18A¹⁹"), =HYPERLINK("CSG21.html#group48AP21", "48AP²¹"), =HYPERLINK("CSG21.html#group48AG21", "48AG²¹"), =HYPERLINK("CSG19.html#group48N19", "48N¹⁹"), =HYPERLINK("CSG17.html#group24C17", "24C¹⁷"), =HYPERLINK("CSG19.html#group96H19", "96H¹⁹"), =HYPERLINK("CSG4.html#group24G4", "24G⁴"), =HYPERLINK("CSG21.html#group96H21", "96H²¹"), =HYPERLINK("CSG21.html#group48AO21", "48AO²¹"), =HYPERLINK("CSG9.html#group24F9", "24F⁹"), =HYPERLINK("CSG16.html#group72G16", "72G¹⁶"), =HYPERLINK("CSG15.html#group36K15", "36K¹⁵"), =HYPERLINK("CSG10.html#group48A10", "48A¹⁰"), =HYPERLINK("CSG21.html#group96A21", "96A²¹"), =HYPERLINK("CSG19.html#group42P19", "42P¹⁹"), =HYPERLINK("CSG7.html#group24J7", "24J⁷"), =HYPERLINK("CSG3.html#group12N3", "12N³"), =HYPERLINK("CSG23.html#group96K23", "96K²³"), =HYPERLINK("CSG8.html#group36G8", "36G⁸"), =HYPERLINK("CSG20.html#group84I20", "84I²⁰"), =HYPERLINK("CSG8.html#group24I8", "24I⁸"), =HYPERLINK("CSG5.html#group24F5", "24F⁵"), =HYPERLINK("CSG20.html#group84F20", "84F²⁰"), =HYPERLINK("CSG10.html#group18J10", "18J¹⁰"), =HYPERLINK("CSG22.html#group48A22", "48A²²"), =HYPERLINK("CSG1.html#group30A1", "30A¹"), =HYPERLINK("CSG10.html#group18I10", "18I¹⁰"), =HYPERLINK("CSG17.html#group48J17", "48J¹⁷"), =HYPERLINK("CSG13.html#group24J13", "24J¹³"), =HYPERLINK("CSG19.html#group24I19", "24I¹⁹"), =HYPERLINK("CSG4.html#group48I4", "48I⁴"), =HYPERLINK("CSG13.html#group30J13", "30J¹³"), =HYPERLINK("CSG21.html#group48F21", "48F²¹"), =HYPERLINK("CSG15.html#group36J15", "36J¹⁵"), =HYPERLINK("CSG1.html#group12O1", "12O¹"), =HYPERLINK("CSG19.html#group48AR19", "48AR¹⁹"), =HYPERLINK("CSG1.html#group6E1", "6E¹"), =HYPERLINK("CSG21.html#group48Z21", "48Z²¹"), =HYPERLINK("CSG9.html#group48E9", "48E⁹"), =HYPERLINK("CSG19.html#group24A19", "24A¹⁹"), =HYPERLINK("CSG19.html#group66A19", "66A¹⁹"), =HYPERLINK("CSG17.html#group48K17", "48K¹⁷"), =HYPERLINK("CSG2.html#group24E2", "24E²"), =HYPERLINK("CSG20.html#group84B20", "84B²⁰"), =HYPERLINK("CSG18.html#group48I18", "48I¹⁸"), =HYPERLINK("CSG19.html#group36G19", "36G¹⁹"), =HYPERLINK("CSG18.html#group60H18", "60H¹⁸"), =HYPERLINK("CSG8.html#group60B8", "60B⁸"), =HYPERLINK("CSG4.html#group24D4", "24D⁴"), =HYPERLINK("CSG17.html#group24T17", "24T¹⁷"), =HYPERLINK("CSG16.html#group36A16", "36A¹⁶"), =HYPERLINK("CSG19.html#group48C19", "48C¹⁹"), =HYPERLINK("CSG23.html#group96B23", "96B²³"), =HYPERLINK("CSG5.html#group78A5", "78A⁵"), =HYPERLINK("CSG16.html#group66B16", "66B¹⁶"), =HYPERLINK("CSG17.html#group48I17", "48I¹⁷"), =HYPERLINK("CSG11.html#group24J11", "24J¹¹"), =HYPERLINK("CSG10.html#group24D10", "24D¹⁰"), =HYPERLINK("CSG7.html#group12F7", "12F⁷"), =HYPERLINK("CSG22.html#group30F22", "30F²²"), =HYPERLINK("CSG15.html#group60N15", "60N¹⁵"), =HYPERLINK("CSG15.html#group36D15", "36D¹⁵"), =HYPERLINK("CSG13.html#group54J13", "54J¹³"), =HYPERLINK("CSG19.html#group24F19", "24F¹⁹"), =HYPERLINK("CSG21.html#group60H21", "60H²¹"), =HYPERLINK("CSG8.html#group114A8", "114A⁸"), =HYPERLINK("CSG10.html#group42F10", "42F¹⁰"), =HYPERLINK("CSG17.html#group48BP17", "48BP¹⁷"), =HYPERLINK("CSG13.html#group84A13", "84A¹³"), =HYPERLINK("CSG3.html#group42A3", "42A³"), =HYPERLINK("CSG15.html#group24B15", "24B¹⁵"), =HYPERLINK("CSG22.html#group36E22", "36E²²"), =HYPERLINK("CSG19.html#group24E19", "24E¹⁹"), =HYPERLINK("CSG7.html#group12B7", "12B⁷"), =HYPERLINK("CSG21.html#group48AI21", "48AI²¹"), =HYPERLINK("CSG19.html#group18C19", "18C¹⁹"), =HYPERLINK("CSG9.html#group24J9", "24J⁹"), =HYPERLINK("CSG17.html#group24A17", "24A¹⁷"), =HYPERLINK("CSG23.html#group132H23", "132H²³"), =HYPERLINK("CSG19.html#group156D19", "156D¹⁹"), =HYPERLINK("CSG9.html#group24H9", "24H⁹"), =HYPERLINK("CSG17.html#group24B17", "24B¹⁷"), =HYPERLINK("CSG9.html#group12B9", "12B⁹"), =HYPERLINK("CSG10.html#group36E10", "36E¹⁰"), =HYPERLINK("CSG8.html#group24B8", "24B⁸"), =HYPERLINK("CSG23.html#group294A23", "294A²³"), =HYPERLINK("CSG13.html#group12B13", "12B¹³"), =HYPERLINK("CSG19.html#group48L19", "48L¹⁹"), =HYPERLINK("CSG15.html#group174B15", "174B¹⁵"), =HYPERLINK("CSG19.html#group42L19", "42L¹⁹"), =HYPERLINK("CSG10.html#group48B10", "48B¹⁰"), =HYPERLINK("CSG20.html#group132C20", "132C²⁰"), =HYPERLINK("CSG17.html#group72E17", "72E¹⁷"), =HYPERLINK("CSG10.html#group36D10", "36D¹⁰"), =HYPERLINK("CSG22.html#group36J22", "36J²²"), =HYPERLINK("CSG15.html#group60D15", "60D¹⁵"), =HYPERLINK("CSG21.html#group48E21", "48E²¹"), =HYPERLINK("CSG0.html#group6J0", "6J⁰"), =HYPERLINK("CSG9.html#group24T9", "24T⁹"), =HYPERLINK("CSG9.html#group24K9", "24K⁹"), =HYPERLINK("CSG4.html#group24E4", "24E⁴"), =HYPERLINK("CSG6.html#group66C6", "66C⁶"), =HYPERLINK("CSG16.html#group228A16", "228A¹⁶"), =HYPERLINK("CSG13.html#group24P13", "24P¹³"), =HYPERLINK("CSG22.html#group84C22", "84C²²"), =HYPERLINK("CSG13.html#group150B13", "150B¹³"), =HYPERLINK("CSG4.html#group18G4", "18G⁴")</f>
        <v/>
      </c>
    </row>
    <row r="26">
      <c r="A26" t="inlineStr">
        <is>
          <t>6B⁰</t>
        </is>
      </c>
      <c r="B26" t="inlineStr"/>
      <c r="C26" t="inlineStr">
        <is>
          <t>6</t>
        </is>
      </c>
      <c r="D26" t="inlineStr">
        <is>
          <t>1</t>
        </is>
      </c>
      <c r="E26" t="inlineStr">
        <is>
          <t>3</t>
        </is>
      </c>
      <c r="F26" t="inlineStr">
        <is>
          <t>4</t>
        </is>
      </c>
      <c r="G26" t="inlineStr">
        <is>
          <t>0</t>
        </is>
      </c>
      <c r="H26" t="inlineStr">
        <is>
          <t>6¹</t>
        </is>
      </c>
      <c r="I26" t="n">
        <v>1</v>
      </c>
      <c r="J26" t="inlineStr">
        <is>
          <t>1¹, 2¹</t>
        </is>
      </c>
      <c r="K26">
        <f>HYPERLINK("CSG0.html#group3A0", "3A⁰")</f>
        <v/>
      </c>
      <c r="L26">
        <f>HYPERLINK("CSG0.html#group6E0", "6E⁰"), =HYPERLINK("CSG0.html#group6H0", "6H⁰"), =HYPERLINK("CSG0.html#group12F0", "12F⁰"), =HYPERLINK("CSG0.html#group18A0", "18A⁰"), =HYPERLINK("CSG1.html#group6B1", "6B¹"), =HYPERLINK("CSG1.html#group18A1", "18A¹"), =HYPERLINK("CSG1.html#group18B1", "18B¹"), =HYPERLINK("CSG1.html#group30C1", "30C¹"), =HYPERLINK("CSG1.html#group42B1", "42B¹"), =HYPERLINK("CSG2.html#group30A2", "30A²"), =HYPERLINK("CSG3.html#group30H3", "30H³"), =HYPERLINK("CSG3.html#group66A3", "66A³"), =HYPERLINK("CSG4.html#group42C4", "42C⁴"), =HYPERLINK("CSG5.html#group78B5", "78B⁵"), =HYPERLINK("CSG6.html#group66D6", "66D⁶"), =HYPERLINK("CSG7.html#group102B7", "102B⁷"), =HYPERLINK("CSG10.html#group114B10", "114B¹⁰"), =HYPERLINK("CSG12.html#group138C12", "138C¹²"), =HYPERLINK("CSG13.html#group174A13", "174A¹³"), =HYPERLINK("CSG16.html#group186B16", "186B¹⁶"), =HYPERLINK("CSG17.html#group222B17", "222B¹⁷"), =HYPERLINK("CSG19.html#group66D19", "66D¹⁹"), =HYPERLINK("CSG19.html#group246B19", "246B¹⁹"), =HYPERLINK("CSG22.html#group258B22", "258B²²"), =HYPERLINK("CSG23.html#group114A23", "114A²³"), =HYPERLINK("CSG24.html#group282C24", "282C²⁴")</f>
        <v/>
      </c>
      <c r="M26">
        <f>HYPERLINK("CSG0.html#group3A0", "3A⁰"), =HYPERLINK("CSG0.html#group1A0", "1A⁰")</f>
        <v/>
      </c>
      <c r="N26">
        <f>HYPERLINK("CSG4.html#group24Q4", "24Q⁴"), =HYPERLINK("CSG4.html#group36K4", "36K⁴"), =HYPERLINK("CSG10.html#group30I10", "30I¹⁰"), =HYPERLINK("CSG8.html#group48O8", "48O⁸"), =HYPERLINK("CSG20.html#group90D20", "90D²⁰"), =HYPERLINK("CSG15.html#group60S15", "60S¹⁵"), =HYPERLINK("CSG18.html#group198C18", "198C¹⁸"), =HYPERLINK("CSG3.html#group12G3", "12G³"), =HYPERLINK("CSG15.html#group36G15", "36G¹⁵"), =HYPERLINK("CSG14.html#group42F14", "42F¹⁴"), =HYPERLINK("CSG15.html#group24L15", "24L¹⁵"), =HYPERLINK("CSG17.html#group30E17", "30E¹⁷"), =HYPERLINK("CSG23.html#group150A23", "150A²³"), =HYPERLINK("CSG15.html#group48A15", "48A¹⁵"), =HYPERLINK("CSG21.html#group30E21", "30E²¹"), =HYPERLINK("CSG19.html#group126E19", "126E¹⁹"), =HYPERLINK("CSG16.html#group48D16", "48D¹⁶"), =HYPERLINK("CSG21.html#group48AE21", "48AE²¹"), =HYPERLINK("CSG3.html#group18B3", "18B³"), =HYPERLINK("CSG15.html#group24K15", "24K¹⁵"), =HYPERLINK("CSG17.html#group48AG17", "48AG¹⁷"), =HYPERLINK("CSG23.html#group84E23", "84E²³"), =HYPERLINK("CSG3.html#group12M3", "12M³"), =HYPERLINK("CSG22.html#group126A22", "126A²²"), =HYPERLINK("CSG22.html#group54H22", "54H²²"), =HYPERLINK("CSG19.html#group36U19", "36U¹⁹"), =HYPERLINK("CSG19.html#group96S19", "96S¹⁹"), =HYPERLINK("CSG17.html#group126C17", "126C¹⁷"), =HYPERLINK("CSG16.html#group30D16", "30D¹⁶"), =HYPERLINK("CSG7.html#group48AH7", "48AH⁷"), =HYPERLINK("CSG15.html#group72P15", "72P¹⁵"), =HYPERLINK("CSG15.html#group84D15", "84D¹⁵"), =HYPERLINK("CSG12.html#group126D12", "126D¹²"), =HYPERLINK("CSG3.html#group12A3", "12A³"), =HYPERLINK("CSG17.html#group48M17", "48M¹⁷"), =HYPERLINK("CSG5.html#group36K5", "36K⁵"), =HYPERLINK("CSG15.html#group36C15", "36C¹⁵"), =HYPERLINK("CSG17.html#group48AH17", "48AH¹⁷"), =HYPERLINK("CSG6.html#group48E6", "48E⁶"), =HYPERLINK("CSG16.html#group36H16", "36H¹⁶"), =HYPERLINK("CSG15.html#group24I15", "24I¹⁵"), =HYPERLINK("CSG19.html#group96AS19", "96AS¹⁹"), =HYPERLINK("CSG13.html#group90D13", "90D¹³"), =HYPERLINK("CSG21.html#group42E21", "42E²¹"), =HYPERLINK("CSG13.html#group48AC13", "48AC¹³"), =HYPERLINK("CSG17.html#group48AQ17", "48AQ¹⁷"), =HYPERLINK("CSG21.html#group72P21", "72P²¹"), =HYPERLINK("CSG15.html#group36T15", "36T¹⁵"), =HYPERLINK("CSG12.html#group126C12", "126C¹²"), =HYPERLINK("CSG3.html#group30I3", "30I³"), =HYPERLINK("CSG18.html#group120F18", "120F¹⁸"), =HYPERLINK("CSG18.html#group120B18", "120B¹⁸"), =HYPERLINK("CSG20.html#group126E20", "126E²⁰"), =HYPERLINK("CSG14.html#group90D14", "90D¹⁴"), =HYPERLINK("CSG17.html#group48BH17", "48BH¹⁷"), =HYPERLINK("CSG20.html#group144H20", "144H²⁰"), =HYPERLINK("CSG21.html#group48CR21", "48CR²¹"), =HYPERLINK("CSG4.html#group18S4", "18S⁴"), =HYPERLINK("CSG15.html#group90M15", "90M¹⁵"), =HYPERLINK("CSG16.html#group132D16", "132D¹⁶"), =HYPERLINK("CSG15.html#group48U15", "48U¹⁵"), =HYPERLINK("CSG21.html#group48BE21", "48BE²¹"), =HYPERLINK("CSG19.html#group54A19", "54A¹⁹"), =HYPERLINK("CSG19.html#group42O19", "42O¹⁹"), =HYPERLINK("CSG17.html#group30B17", "30B¹⁷"), =HYPERLINK("CSG17.html#group24AA17", "24AA¹⁷"), =HYPERLINK("CSG12.html#group30E12", "30E¹²"), =HYPERLINK("CSG7.html#group12E7", "12E⁷"), =HYPERLINK("CSG9.html#group36K9", "36K⁹"), =HYPERLINK("CSG13.html#group24V13", "24V¹³"), =HYPERLINK("CSG23.html#group126C23", "126C²³"), =HYPERLINK("CSG22.html#group54I22", "54I²²"), =HYPERLINK("CSG10.html#group72I10", "72I¹⁰"), =HYPERLINK("CSG19.html#group24B19", "24B¹⁹"), =HYPERLINK("CSG23.html#group126A23", "126A²³"), =HYPERLINK("CSG21.html#group126L21", "126L²¹"), =HYPERLINK("CSG11.html#group78A11", "78A¹¹"), =HYPERLINK("CSG2.html#group12H2", "12H²"), =HYPERLINK("CSG22.html#group36K22", "36K²²"), =HYPERLINK("CSG13.html#group12A13", "12A¹³"), =HYPERLINK("CSG13.html#group42I13", "42I¹³"), =HYPERLINK("CSG23.html#group30K23", "30K²³"), =HYPERLINK("CSG5.html#group12C5", "12C⁵"), =HYPERLINK("CSG17.html#group48BR17", "48BR¹⁷"), =HYPERLINK("CSG23.html#group36A23", "36A²³"), =HYPERLINK("CSG15.html#group24D15", "24D¹⁵"), =HYPERLINK("CSG13.html#group24X13", "24X¹³"), =HYPERLINK("CSG9.html#group30H9", "30H⁹"), =HYPERLINK("CSG12.html#group36F12", "36F¹²"), =HYPERLINK("CSG17.html#group48CC17", "48CC¹⁷"), =HYPERLINK("CSG13.html#group150E13", "150E¹³"), =HYPERLINK("CSG9.html#group24AM9", "24AM⁹"), =HYPERLINK("CSG21.html#group36E21", "36E²¹"), =HYPERLINK("CSG11.html#group36L11", "36L¹¹"), =HYPERLINK("CSG19.html#group42N19", "42N¹⁹"), =HYPERLINK("CSG16.html#group126A16", "126A¹⁶"), =HYPERLINK("CSG11.html#group60R11", "60R¹¹"), =HYPERLINK("CSG14.html#group90C14", "90C¹⁴"), =HYPERLINK("CSG6.html#group18B6", "18B⁶"), =HYPERLINK("CSG16.html#group90B16", "90B¹⁶"), =HYPERLINK("CSG19.html#group126A19", "126A¹⁹"), =HYPERLINK("CSG7.html#group24N7", "24N⁷"), =HYPERLINK("CSG19.html#group234B19", "234B¹⁹"), =HYPERLINK("CSG15.html#group90A15", "90A¹⁵"), =HYPERLINK("CSG13.html#group24A13", "24A¹³"), =HYPERLINK("CSG17.html#group24AK17", "24AK¹⁷"), =HYPERLINK("CSG22.html#group144I22", "144I²²"), =HYPERLINK("CSG6.html#group18D6", "18D⁶"), =HYPERLINK("CSG5.html#group36C5", "36C⁵"), =HYPERLINK("CSG23.html#group60P23", "60P²³"), =HYPERLINK("CSG16.html#group96A16", "96A¹⁶"), =HYPERLINK("CSG19.html#group96AL19", "96AL¹⁹"), =HYPERLINK("CSG21.html#group84H21", "84H²¹"), =HYPERLINK("CSG17.html#group30H17", "30H¹⁷"), =HYPERLINK("CSG22.html#group54J22", "54J²²"), =HYPERLINK("CSG8.html#group24F8", "24F⁸"), =HYPERLINK("CSG13.html#group48AF13", "48AF¹³"), =HYPERLINK("CSG21.html#group42A21", "42A²¹"), =HYPERLINK("CSG23.html#group90C23", "90C²³"), =HYPERLINK("CSG15.html#group24E15", "24E¹⁵"), =HYPERLINK("CSG13.html#group18D13", "18D¹³"), =HYPERLINK("CSG19.html#group24L19", "24L¹⁹"), =HYPERLINK("CSG5.html#group24X5", "24X⁵"), =HYPERLINK("CSG13.html#group102B13", "102B¹³"), =HYPERLINK("CSG9.html#group48AF9", "48AF⁹"), =HYPERLINK("CSG13.html#group78D13", "78D¹³"), =HYPERLINK("CSG2.html#group18K2", "18K²"), =HYPERLINK("CSG21.html#group90K21", "90K²¹"), =HYPERLINK("CSG18.html#group126E18", "126E¹⁸"), =HYPERLINK("CSG20.html#group48G20", "48G²⁰"), =HYPERLINK("CSG21.html#group60A21", "60A²¹"), =HYPERLINK("CSG22.html#group144E22", "144E²²"), =HYPERLINK("CSG10.html#group36T10", "36T¹⁰"), =HYPERLINK("CSG19.html#group72S19", "72S¹⁹"), =HYPERLINK("CSG21.html#group36D21", "36D²¹"), =HYPERLINK("CSG5.html#group24W5", "24W⁵"), =HYPERLINK("CSG9.html#group60E9", "60E⁹"), =HYPERLINK("CSG6.html#group48F6", "48F⁶"), =HYPERLINK("CSG17.html#group24Z17", "24Z¹⁷"), =HYPERLINK("CSG17.html#group48AC17", "48AC¹⁷"), =HYPERLINK("CSG21.html#group90N21", "90N²¹"), =HYPERLINK("CSG21.html#group72M21", "72M²¹"), =HYPERLINK("CSG14.html#group90H14", "90H¹⁴"), =HYPERLINK("CSG21.html#group48Y21", "48Y²¹"), =HYPERLINK("CSG13.html#group66B13", "66B¹³"), =HYPERLINK("CSG22.html#group144F22", "144F²²"), =HYPERLINK("CSG19.html#group24K19", "24K¹⁹"), =HYPERLINK("CSG9.html#group30I9", "30I⁹"), =HYPERLINK("CSG14.html#group72C14", "72C¹⁴"), =HYPERLINK("CSG19.html#group90F19", "90F¹⁹"), =HYPERLINK("CSG17.html#group36C17", "36C¹⁷"), =HYPERLINK("CSG15.html#group48K15", "48K¹⁵"), =HYPERLINK("CSG22.html#group168K22", "168K²²"), =HYPERLINK("CSG13.html#group24Y13", "24Y¹³"), =HYPERLINK("CSG23.html#group126B23", "126B²³"), =HYPERLINK("CSG23.html#group72A23", "72A²³"), =HYPERLINK("CSG20.html#group96K20", "96K²⁰"), =HYPERLINK("CSG21.html#group24K21", "24K²¹"), =HYPERLINK("CSG9.html#group24AN9", "24AN⁹"), =HYPERLINK("CSG13.html#group90C13", "90C¹³"), =HYPERLINK("CSG12.html#group138C12", "138C¹²"), =HYPERLINK("CSG23.html#group144Y23", "144Y²³"), =HYPERLINK("CSG20.html#group48E20", "48E²⁰"), =HYPERLINK("CSG15.html#group60Z15", "60Z¹⁵"), =HYPERLINK("CSG16.html#group72J16", "72J¹⁶"), =HYPERLINK("CSG23.html#group156H23", "156H²³"), =HYPERLINK("CSG21.html#group72AA21", "72AA²¹"), =HYPERLINK("CSG15.html#group24J15", "24J¹⁵"), =HYPERLINK("CSG17.html#group42G17", "42G¹⁷"), =HYPERLINK("CSG22.html#group168M22", "168M²²"), =HYPERLINK("CSG21.html#group84N21", "84N²¹"), =HYPERLINK("CSG23.html#group36D23", "36D²³"), =HYPERLINK("CSG16.html#group18D16", "18D¹⁶"), =HYPERLINK("CSG15.html#group48T15", "48T¹⁵"), =HYPERLINK("CSG5.html#group30R5", "30R⁵"), =HYPERLINK("CSG5.html#group36M5", "36M⁵"), =HYPERLINK("CSG12.html#group36G12", "36G¹²"), =HYPERLINK("CSG17.html#group24Y17", "24Y¹⁷"), =HYPERLINK("CSG19.html#group72P19", "72P¹⁹"), =HYPERLINK("CSG11.html#group66C11", "66C¹¹"), =HYPERLINK("CSG16.html#group84H16", "84H¹⁶"), =HYPERLINK("CSG17.html#group48AS17", "48AS¹⁷"), =HYPERLINK("CSG19.html#group36K19", "36K¹⁹"), =HYPERLINK("CSG9.html#group24E9", "24E⁹"), =HYPERLINK("CSG11.html#group54A11", "54A¹¹"), =HYPERLINK("CSG19.html#group54B19", "54B¹⁹"), =HYPERLINK("CSG2.html#group24H2", "24H²"), =HYPERLINK("CSG14.html#group84D14", "84D¹⁴"), =HYPERLINK("CSG6.html#group66D6", "66D⁶"), =HYPERLINK("CSG11.html#group66B11", "66B¹¹"), =HYPERLINK("CSG17.html#group126F17", "126F¹⁷"), =HYPERLINK("CSG6.html#group30B6", "30B⁶"), =HYPERLINK("CSG7.html#group18C7", "18C⁷"), =HYPERLINK("CSG11.html#group12A11", "12A¹¹"), =HYPERLINK("CSG5.html#group30B5", "30B⁵"), =HYPERLINK("CSG20.html#group90C20", "90C²⁰"), =HYPERLINK("CSG21.html#group126H21", "126H²¹"), =HYPERLINK("CSG15.html#group90D15", "90D¹⁵"), =HYPERLINK("CSG9.html#group24Q9", "24Q⁹"), =HYPERLINK("CSG19.html#group24R19", "24R¹⁹"), =HYPERLINK("CSG13.html#group36Q13", "36Q¹³"), =HYPERLINK("CSG11.html#group36N11", "36N¹¹"), =HYPERLINK("CSG15.html#group48AB15", "48AB¹⁵"), =HYPERLINK("CSG11.html#group30I11", "30I¹¹"), =HYPERLINK("CSG22.html#group168R22", "168R²²"), =HYPERLINK("CSG21.html#group30A21", "30A²¹"), =HYPERLINK("CSG7.html#group18N7", "18N⁷"), =HYPERLINK("CSG17.html#group24V17", "24V¹⁷"), =HYPERLINK("CSG21.html#group30H21", "30H²¹"), =HYPERLINK("CSG7.html#group18K7", "18K⁷"), =HYPERLINK("CSG15.html#group60R15", "60R¹⁵"), =HYPERLINK("CSG2.html#group24N2", "24N²"), =HYPERLINK("CSG6.html#group48I6", "48I⁶"), =HYPERLINK("CSG13.html#group24B13", "24B¹³"), =HYPERLINK("CSG7.html#group36J7", "36J⁷"), =HYPERLINK("CSG21.html#group72N21", "72N²¹"), =HYPERLINK("CSG17.html#group60E17", "60E¹⁷"), =HYPERLINK("CSG5.html#group12D5", "12D⁵"), =HYPERLINK("CSG17.html#group126D17", "126D¹⁷"), =HYPERLINK("CSG17.html#group48F17", "48F¹⁷"), =HYPERLINK("CSG21.html#group60G21", "60G²¹"), =HYPERLINK("CSG2.html#group30A2", "30A²"), =HYPERLINK("CSG19.html#group234A19", "234A¹⁹"), =HYPERLINK("CSG18.html#group126I18", "126I¹⁸"), =HYPERLINK("CSG16.html#group72C16", "72C¹⁶"), =HYPERLINK("CSG19.html#group96O19", "96O¹⁹"), =HYPERLINK("CSG15.html#group42I15", "42I¹⁵"), =HYPERLINK("CSG21.html#group24M21", "24M²¹"), =HYPERLINK("CSG19.html#group60A19", "60A¹⁹"), =HYPERLINK("CSG16.html#group96D16", "96D¹⁶"), =HYPERLINK("CSG13.html#group90I13", "90I¹³"), =HYPERLINK("CSG13.html#group78H13", "78H¹³"), =HYPERLINK("CSG13.html#group48AB13", "48AB¹³"), =HYPERLINK("CSG7.html#group18F7", "18F⁷"), =HYPERLINK("CSG7.html#group48AE7", "48AE⁷"), =HYPERLINK("CSG7.html#group42C7", "42C⁷"), =HYPERLINK("CSG23.html#group36C23", "36C²³"), =HYPERLINK("CSG1.html#group18A1", "18A¹"), =HYPERLINK("CSG13.html#group36O13", "36O¹³"), =HYPERLINK("CSG14.html#group198B14", "198B¹⁴"), =HYPERLINK("CSG10.html#group18F10", "18F¹⁰"), =HYPERLINK("CSG5.html#group42F5", "42F⁵"), =HYPERLINK("CSG21.html#group36B21", "36B²¹"), =HYPERLINK("CSG8.html#group36C8", "36C⁸"), =HYPERLINK("CSG10.html#group72F10", "72F¹⁰"), =HYPERLINK("CSG7.html#group18E7", "18E⁷"), =HYPERLINK("CSG13.html#group30F13", "30F¹³"), =HYPERLINK("CSG17.html#group84M17", "84M¹⁷"), =HYPERLINK("CSG16.html#group48C16", "48C¹⁶"), =HYPERLINK("CSG4.html#group18R4", "18R⁴"), =HYPERLINK("CSG17.html#group60C17", "60C¹⁷"), =HYPERLINK("CSG16.html#group54K16", "54K¹⁶"), =HYPERLINK("CSG8.html#group24M8", "24M⁸"), =HYPERLINK("CSG5.html#group30P5", "30P⁵"), =HYPERLINK("CSG21.html#group24L21", "24L²¹"), =HYPERLINK("CSG15.html#group48V15", "48V¹⁵"), =HYPERLINK("CSG22.html#group144G22", "144G²²"), =HYPERLINK("CSG7.html#group90D7", "90D⁷"), =HYPERLINK("CSG21.html#group48O21", "48O²¹"), =HYPERLINK("CSG3.html#group24S3", "24S³"), =HYPERLINK("CSG5.html#group42H5", "42H⁵"), =HYPERLINK("CSG11.html#group30K11", "30K¹¹"), =HYPERLINK("CSG13.html#group18A13", "18A¹³"), =HYPERLINK("CSG7.html#group36K7", "36K⁷"), =HYPERLINK("CSG13.html#group24O13", "24O¹³"), =HYPERLINK("CSG4.html#group18E4", "18E⁴"), =HYPERLINK("CSG17.html#group60V17", "60V¹⁷"), =HYPERLINK("CSG19.html#group120G19", "120G¹⁹"), =HYPERLINK("CSG11.html#group36E11", "36E¹¹"), =HYPERLINK("CSG23.html#group66A23", "66A²³"), =HYPERLINK("CSG21.html#group48AA21", "48AA²¹"), =HYPERLINK("CSG13.html#group54I13", "54I¹³"), =HYPERLINK("CSG17.html#group84J17", "84J¹⁷"), =HYPERLINK("CSG15.html#group48F15", "48F¹⁵"), =HYPERLINK("CSG17.html#group48R17", "48R¹⁷"), =HYPERLINK("CSG22.html#group144H22", "144H²²"), =HYPERLINK("CSG19.html#group120Q19", "120Q¹⁹"), =HYPERLINK("CSG9.html#group36O9", "36O⁹"), =HYPERLINK("CSG17.html#group24J17", "24J¹⁷"), =HYPERLINK("CSG7.html#group60N7", "60N⁷"), =HYPERLINK("CSG21.html#group90L21", "90L²¹"), =HYPERLINK("CSG21.html#group30D21", "30D²¹"), =HYPERLINK("CSG24.html#group198A24", "198A²⁴"), =HYPERLINK("CSG15.html#group60H15", "60H¹⁵"), =HYPERLINK("CSG21.html#group72T21", "72T²¹"), =HYPERLINK("CSG7.html#group36F7", "36F⁷"), =HYPERLINK("CSG4.html#group18H4", "18H⁴"), =HYPERLINK("CSG11.html#group36A11", "36A¹¹"), =HYPERLINK("CSG15.html#group24O15", "24O¹⁵"), =HYPERLINK("CSG7.html#group48AD7", "48AD⁷"), =HYPERLINK("CSG19.html#group90D19", "90D¹⁹"), =HYPERLINK("CSG14.html#group42A14", "42A¹⁴"), =HYPERLINK("CSG17.html#group48BC17", "48BC¹⁷"), =HYPERLINK("CSG5.html#group36D5", "36D⁵"), =HYPERLINK("CSG10.html#group42H10", "42H¹⁰"), =HYPERLINK("CSG7.html#group90C7", "90C⁷"), =HYPERLINK("CSG21.html#group54B21", "54B²¹"), =HYPERLINK("CSG9.html#group78B9", "78B⁹"), =HYPERLINK("CSG8.html#group36F8", "36F⁸"), =HYPERLINK("CSG17.html#group48BG17", "48BG¹⁷"), =HYPERLINK("CSG13.html#group60AF13", "60AF¹³"), =HYPERLINK("CSG23.html#group132D23", "132D²³"), =HYPERLINK("CSG17.html#group72W17", "72W¹⁷"), =HYPERLINK("CSG1.html#group30C1", "30C¹"), =HYPERLINK("CSG24.html#group54A24", "54A²⁴"), =HYPERLINK("CSG21.html#group96K21", "96K²¹"), =HYPERLINK("CSG17.html#group48BF17", "48BF¹⁷"), =HYPERLINK("CSG7.html#group42D7", "42D⁷"), =HYPERLINK("CSG22.html#group144N22", "144N²²"), =HYPERLINK("CSG17.html#group90G17", "90G¹⁷"), =HYPERLINK("CSG16.html#group18C16", "18C¹⁶"), =HYPERLINK("CSG15.html#group90N15", "90N¹⁵"), =HYPERLINK("CSG18.html#group126C18", "126C¹⁸"), =HYPERLINK("CSG4.html#group42F4", "42F⁴"), =HYPERLINK("CSG5.html#group18A5", "18A⁵"), =HYPERLINK("CSG18.html#group126B18", "126B¹⁸"), =HYPERLINK("CSG8.html#group66B8", "66B⁸"), =HYPERLINK("CSG4.html#group36R4", "36R⁴"), =HYPERLINK("CSG11.html#group24N11", "24N¹¹"), =HYPERLINK("CSG21.html#group126N21", "126N²¹"), =HYPERLINK("CSG9.html#group24M9", "24M⁹"), =HYPERLINK("CSG18.html#group120C18", "120C¹⁸"), =HYPERLINK("CSG21.html#group48S21", "48S²¹"), =HYPERLINK("CSG18.html#group198D18", "198D¹⁸"), =HYPERLINK("CSG1.html#group12N1", "12N¹"), =HYPERLINK("CSG13.html#group30C13", "30C¹³"), =HYPERLINK("CSG17.html#group72D17", "72D¹⁷"), =HYPERLINK("CSG3.html#group18F3", "18F³"), =HYPERLINK("CSG8.html#group48L8", "48L⁸"), =HYPERLINK("CSG8.html#group36N8", "36N⁸"), =HYPERLINK("CSG11.html#group60S11", "60S¹¹"), =HYPERLINK("CSG13.html#group90B13", "90B¹³"), =HYPERLINK("CSG20.html#group48F20", "48F²⁰"), =HYPERLINK("CSG17.html#group48AV17", "48AV¹⁷"), =HYPERLINK("CSG13.html#group90A13", "90A¹³"), =HYPERLINK("CSG15.html#group24S15", "24S¹⁵"), =HYPERLINK("CSG12.html#group126A12", "126A¹²"), =HYPERLINK("CSG8.html#group72J8", "72J⁸"), =HYPERLINK("CSG1.html#group12U1", "12U¹"), =HYPERLINK("CSG6.html#group90A6", "90A⁶"), =HYPERLINK("CSG17.html#group48BD17", "48BD¹⁷"), =HYPERLINK("CSG17.html#group90B17", "90B¹⁷"), =HYPERLINK("CSG16.html#group42E16", "42E¹⁶"), =HYPERLINK("CSG21.html#group90A21", "90A²¹"), =HYPERLINK("CSG13.html#group60AD13", "60AD¹³"), =HYPERLINK("CSG21.html#group30B21", "30B²¹"), =HYPERLINK("CSG13.html#group36L13", "36L¹³"), =HYPERLINK("CSG13.html#group60AK13", "60AK¹³"), =HYPERLINK("CSG19.html#group18E19", "18E¹⁹"), =HYPERLINK("CSG5.html#group90A5", "90A⁵"), =HYPERLINK("CSG23.html#group306B23", "306B²³"), =HYPERLINK("CSG7.html#group60M7", "60M⁷"), =HYPERLINK("CSG17.html#group24N17", "24N¹⁷"), =HYPERLINK("CSG17.html#group24O17", "24O¹⁷"), =HYPERLINK("CSG17.html#group222B17", "222B¹⁷"), =HYPERLINK("CSG17.html#group48BE17", "48BE¹⁷"), =HYPERLINK("CSG13.html#group150F13", "150F¹³"), =HYPERLINK("CSG22.html#group36I22", "36I²²"), =HYPERLINK("CSG7.html#group42L7", "42L⁷"), =HYPERLINK("CSG15.html#group48R15", "48R¹⁵"), =HYPERLINK("CSG12.html#group60C12", "60C¹²"), =HYPERLINK("CSG19.html#group18A19", "18A¹⁹"), =HYPERLINK("CSG16.html#group186B16", "186B¹⁶"), =HYPERLINK("CSG21.html#group48AP21", "48AP²¹"), =HYPERLINK("CSG17.html#group48BU17", "48BU¹⁷"), =HYPERLINK("CSG17.html#group24C17", "24C¹⁷"), =HYPERLINK("CSG13.html#group60H13", "60H¹³"), =HYPERLINK("CSG1.html#group12T1", "12T¹"), =HYPERLINK("CSG2.html#group24O2", "24O²"), =HYPERLINK("CSG19.html#group42Q19", "42Q¹⁹"), =HYPERLINK("CSG15.html#group24T15", "24T¹⁵"), =HYPERLINK("CSG9.html#group36A9", "36A⁹"), =HYPERLINK("CSG15.html#group90L15", "90L¹⁵"), =HYPERLINK("CSG3.html#group18A3", "18A³"), =HYPERLINK("CSG1.html#group18B1", "18B¹"), =HYPERLINK("CSG14.html#group42E14", "42E¹⁴"), =HYPERLINK("CSG6.html#group24F6", "24F⁶"), =HYPERLINK("CSG17.html#group126G17", "126G¹⁷"), =HYPERLINK("CSG17.html#group84N17", "84N¹⁷"), =HYPERLINK("CSG15.html#group102B15", "102B¹⁵"), =HYPERLINK("CSG18.html#group18A18", "18A¹⁸"), =HYPERLINK("CSG17.html#group48BT17", "48BT¹⁷"), =HYPERLINK("CSG2.html#group18L2", "18L²"), =HYPERLINK("CSG17.html#group84I17", "84I¹⁷"), =HYPERLINK("CSG7.html#group48S7", "48S⁷"), =HYPERLINK("CSG13.html#group72I13", "72I¹³"), =HYPERLINK("CSG23.html#group72G23", "72G²³"), =HYPERLINK("CSG23.html#group126G23", "126G²³"), =HYPERLINK("CSG21.html#group96AQ21", "96AQ²¹"), =HYPERLINK("CSG16.html#group54V16", "54V¹⁶"), =HYPERLINK("CSG7.html#group24AE7", "24AE⁷"), =HYPERLINK("CSG17.html#group90F17", "90F¹⁷"), =HYPERLINK("CSG13.html#group174A13", "174A¹³"), =HYPERLINK("CSG18.html#group126J18", "126J¹⁸"), =HYPERLINK("CSG11.html#group36D11", "36D¹¹"), =HYPERLINK("CSG19.html#group42R19", "42R¹⁹"), =HYPERLINK("CSG9.html#group48F9", "48F⁹"), =HYPERLINK("CSG8.html#group48N8", "48N⁸"), =HYPERLINK("CSG21.html#group66A21", "66A²¹"), =HYPERLINK("CSG15.html#group36J15", "36J¹⁵"), =HYPERLINK("CSG5.html#group24L5", "24L⁵"), =HYPERLINK("CSG1.html#group6E1", "6E¹"), =HYPERLINK("CSG21.html#group48Z21", "48Z²¹"), =HYPERLINK("CSG16.html#group96E16", "96E¹⁶"), =HYPERLINK("CSG21.html#group126G21", "126G²¹"), =HYPERLINK("CSG15.html#group90O15", "90O¹⁵"), =HYPERLINK("CSG17.html#group48K17", "48K¹⁷"), =HYPERLINK("CSG8.html#group48W8", "48W⁸"), =HYPERLINK("CSG21.html#group126B21", "126B²¹"), =HYPERLINK("CSG5.html#group24Y5", "24Y⁵"), =HYPERLINK("CSG23.html#group210E23", "210E²³"), =HYPERLINK("CSG6.html#group48G6", "48G⁶"), =HYPERLINK("CSG17.html#group72S17", "72S¹⁷"), =HYPERLINK("CSG7.html#group18D7", "18D⁷"), =HYPERLINK("CSG2.html#group24K2", "24K²"), =HYPERLINK("CSG15.html#group90C15", "90C¹⁵"), =HYPERLINK("CSG17.html#group24T17", "24T¹⁷"), =HYPERLINK("CSG3.html#group12P3", "12P³"), =HYPERLINK("CSG15.html#group48AC15", "48AC¹⁵"), =HYPERLINK("CSG23.html#group72D23", "72D²³"), =HYPERLINK("CSG17.html#group30C17", "30C¹⁷"), =HYPERLINK("CSG22.html#group168Q22", "168Q²²"), =HYPERLINK("CSG9.html#group30F9", "30F⁹"), =HYPERLINK("CSG19.html#group72V19", "72V¹⁹"), =HYPERLINK("CSG20.html#group144G20", "144G²⁰"), =HYPERLINK("CSG4.html#group24I4", "24I⁴"), =HYPERLINK("CSG11.html#group48G11", "48G¹¹"), =HYPERLINK("CSG13.html#group126J13", "126J¹³"), =HYPERLINK("CSG14.html#group72B14", "72B¹⁴"), =HYPERLINK("CSG13.html#group36E13", "36E¹³"), =HYPERLINK("CSG15.html#group210B15", "210B¹⁵"), =HYPERLINK("CSG12.html#group36H12", "36H¹²"), =HYPERLINK("CSG15.html#group24H15", "24H¹⁵"), =HYPERLINK("CSG15.html#group36D15", "36D¹⁵"), =HYPERLINK("CSG16.html#group48B16", "48B¹⁶"), =HYPERLINK("CSG9.html#group12A9", "12A⁹"), =HYPERLINK("CSG18.html#group198A18", "198A¹⁸"), =HYPERLINK("CSG15.html#group102D15", "102D¹⁵"), =HYPERLINK("CSG23.html#group72H23", "72H²³"), =HYPERLINK("CSG21.html#group72Q21", "72Q²¹"), =HYPERLINK("CSG17.html#group36E17", "36E¹⁷"), =HYPERLINK("CSG17.html#group24M17", "24M¹⁷"), =HYPERLINK("CSG15.html#group24B15", "24B¹⁵"), =HYPERLINK("CSG8.html#group36O8", "36O⁸"), =HYPERLINK("CSG5.html#group24U5", "24U⁵"), =HYPERLINK("CSG7.html#group12B7", "12B⁷"), =HYPERLINK("CSG21.html#group84O21", "84O²¹"), =HYPERLINK("CSG5.html#group24S5", "24S⁵"), =HYPERLINK("CSG4.html#group18T4", "18T⁴"), =HYPERLINK("CSG19.html#group18C19", "18C¹⁹"), =HYPERLINK("CSG9.html#group24J9", "24J⁹"), =HYPERLINK("CSG19.html#group48U19", "48U¹⁹"), =HYPERLINK("CSG15.html#group72Q15", "72Q¹⁵"), =HYPERLINK("CSG11.html#group54B11", "54B¹¹"), =HYPERLINK("CSG11.html#group30D11", "30D¹¹"), =HYPERLINK("CSG12.html#group72L12", "72L¹²"), =HYPERLINK("CSG8.html#group72H8", "72H⁸"), =HYPERLINK("CSG9.html#group12B9", "12B⁹"), =HYPERLINK("CSG9.html#group42B9", "42B⁹"), =HYPERLINK("CSG11.html#group78E11", "78E¹¹"), =HYPERLINK("CSG13.html#group90H13", "90H¹³"), =HYPERLINK("CSG11.html#group36J11", "36J¹¹"), =HYPERLINK("CSG16.html#group54G16", "54G¹⁶"), =HYPERLINK("CSG4.html#group42C4", "42C⁴"), =HYPERLINK("CSG21.html#group54A21", "54A²¹"), =HYPERLINK("CSG7.html#group24A7", "24A⁷"), =HYPERLINK("CSG15.html#group48S15", "48S¹⁵"), =HYPERLINK("CSG4.html#group36H4", "36H⁴"), =HYPERLINK("CSG17.html#group126E17", "126E¹⁷"), =HYPERLINK("CSG19.html#group96AN19", "96AN¹⁹"), =HYPERLINK("CSG19.html#group96AV19", "96AV¹⁹"), =HYPERLINK("CSG14.html#group126F14", "126F¹⁴"), =HYPERLINK("CSG17.html#group48BS17", "48BS¹⁷"), =HYPERLINK("CSG2.html#group18H2", "18H²"), =HYPERLINK("CSG19.html#group132A19", "132A¹⁹"), =HYPERLINK("CSG24.html#group54B24", "54B²⁴"), =HYPERLINK("CSG7.html#group90A7", "90A⁷"), =HYPERLINK("CSG21.html#group78A21", "78A²¹"), =HYPERLINK("CSG13.html#group126K13", "126K¹³"), =HYPERLINK("CSG13.html#group48X13", "48X¹³"), =HYPERLINK("CSG17.html#group24AE17", "24AE¹⁷"), =HYPERLINK("CSG9.html#group24K9", "24K⁹"), =HYPERLINK("CSG19.html#group84L19", "84L¹⁹"), =HYPERLINK("CSG2.html#group18G2", "18G²"), =HYPERLINK("CSG15.html#group36Q15", "36Q¹⁵"), =HYPERLINK("CSG17.html#group60X17", "60X¹⁷"), =HYPERLINK("CSG7.html#group24B7", "24B⁷"), =HYPERLINK("CSG13.html#group54E13", "54E¹³"), =HYPERLINK("CSG19.html#group96AH19", "96AH¹⁹"), =HYPERLINK("CSG21.html#group90J21", "90J²¹"), =HYPERLINK("CSG16.html#group126D16", "126D¹⁶"), =HYPERLINK("CSG16.html#group96B16", "96B¹⁶"), =HYPERLINK("CSG21.html#group48AY21", "48AY²¹"), =HYPERLINK("CSG21.html#group60N21", "60N²¹"), =HYPERLINK("CSG11.html#group48R11", "48R¹¹"), =HYPERLINK("CSG15.html#group90P15", "90P¹⁵"), =HYPERLINK("CSG16.html#group126C16", "126C¹⁶"), =HYPERLINK("CSG5.html#group12A5", "12A⁵"), =HYPERLINK("CSG15.html#group42H15", "42H¹⁵"), =HYPERLINK("CSG17.html#group48U17", "48U¹⁷"), =HYPERLINK("CSG15.html#group36B15", "36B¹⁵"), =HYPERLINK("CSG22.html#group168L22", "168L²²"), =HYPERLINK("CSG4.html#group18N4", "18N⁴"), =HYPERLINK("CSG21.html#group96L21", "96L²¹"), =HYPERLINK("CSG23.html#group72C23", "72C²³"), =HYPERLINK("CSG15.html#group84B15", "84B¹⁵"), =HYPERLINK("CSG17.html#group102G17", "102G¹⁷"), =HYPERLINK("CSG3.html#group18K3", "18K³"), =HYPERLINK("CSG13.html#group18E13", "18E¹³"), =HYPERLINK("CSG16.html#group66C16", "66C¹⁶"), =HYPERLINK("CSG19.html#group96AK19", "96AK¹⁹"), =HYPERLINK("CSG13.html#group24Q13", "24Q¹³"), =HYPERLINK("CSG20.html#group96F20", "96F²⁰"), =HYPERLINK("CSG1.html#group12Q1", "12Q¹"), =HYPERLINK("CSG7.html#group36G7", "36G⁷"), =HYPERLINK("CSG1.html#group18G1", "18G¹"), =HYPERLINK("CSG8.html#group126D8", "126D⁸"), =HYPERLINK("CSG13.html#group24F13", "24F¹³"), =HYPERLINK("CSG11.html#group48N11", "48N¹¹"), =HYPERLINK("CSG7.html#group24AD7", "24AD⁷"), =HYPERLINK("CSG23.html#group126F23", "126F²³"), =HYPERLINK("CSG13.html#group42D13", "42D¹³"), =HYPERLINK("CSG13.html#group42C13", "42C¹³"), =HYPERLINK("CSG23.html#group102D23", "102D²³"), =HYPERLINK("CSG1.html#group18H1", "18H¹"), =HYPERLINK("CSG7.html#group24V7", "24V⁷"), =HYPERLINK("CSG16.html#group18H16", "18H¹⁶"), =HYPERLINK("CSG10.html#group18E10", "18E¹⁰"), =HYPERLINK("CSG8.html#group84I8", "84I⁸"), =HYPERLINK("CSG17.html#group48CD17", "48CD¹⁷"), =HYPERLINK("CSG17.html#group36I17", "36I¹⁷"), =HYPERLINK("CSG13.html#group24U13", "24U¹³"), =HYPERLINK("CSG21.html#group48BK21", "48BK²¹"), =HYPERLINK("CSG19.html#group72T19", "72T¹⁹"), =HYPERLINK("CSG23.html#group90A23", "90A²³"), =HYPERLINK("CSG19.html#group120P19", "120P¹⁹"), =HYPERLINK("CSG17.html#group60D17", "60D¹⁷"), =HYPERLINK("CSG19.html#group96AW19", "96AW¹⁹"), =HYPERLINK("CSG21.html#group48AT21", "48AT²¹"), =HYPERLINK("CSG8.html#group126A8", "126A⁸"), =HYPERLINK("CSG21.html#group72V21", "72V²¹"), =HYPERLINK("CSG23.html#group96AA23", "96AA²³"), =HYPERLINK("CSG13.html#group48R13", "48R¹³"), =HYPERLINK("CSG23.html#group132B23", "132B²³"), =HYPERLINK("CSG17.html#group102E17", "102E¹⁷"), =HYPERLINK("CSG19.html#group48E19", "48E¹⁹"), =HYPERLINK("CSG15.html#group60M15", "60M¹⁵"), =HYPERLINK("CSG19.html#group120J19", "120J¹⁹"), =HYPERLINK("CSG11.html#group198B11", "198B¹¹"), =HYPERLINK("CSG19.html#group36L19", "36L¹⁹"), =HYPERLINK("CSG18.html#group126K18", "126K¹⁸"), =HYPERLINK("CSG14.html#group126E14", "126E¹⁴"), =HYPERLINK("CSG17.html#group48AD17", "48AD¹⁷"), =HYPERLINK("CSG9.html#group24AO9", "24AO⁹"), =HYPERLINK("CSG1.html#group12D1", "12D¹"), =HYPERLINK("CSG13.html#group36S13", "36S¹³"), =HYPERLINK("CSG21.html#group48AV21", "48AV²¹"), =HYPERLINK("CSG5.html#group78B5", "78B⁵"), =HYPERLINK("CSG7.html#group60R7", "60R⁷"), =HYPERLINK("CSG19.html#group72U19", "72U¹⁹"), =HYPERLINK("CSG5.html#group126A5", "126A⁵"), =HYPERLINK("CSG13.html#group36G13", "36G¹³"), =HYPERLINK("CSG6.html#group48K6", "48K⁶"), =HYPERLINK("CSG7.html#group18L7", "18L⁷"), =HYPERLINK("CSG20.html#group144D20", "144D²⁰"), =HYPERLINK("CSG23.html#group42K23", "42K²³"), =HYPERLINK("CSG19.html#group48BM19", "48BM¹⁹"), =HYPERLINK("CSG10.html#group18K10", "18K¹⁰"), =HYPERLINK("CSG15.html#group48C15", "48C¹⁵"), =HYPERLINK("CSG14.html#group72K14", "72K¹⁴"), =HYPERLINK("CSG20.html#group144E20", "144E²⁰"), =HYPERLINK("CSG3.html#group36F3", "36F³"), =HYPERLINK("CSG9.html#group30A9", "30A⁹"), =HYPERLINK("CSG12.html#group126J12", "126J¹²"), =HYPERLINK("CSG19.html#group120I19", "120I¹⁹"), =HYPERLINK("CSG2.html#group18F2", "18F²"), =HYPERLINK("CSG21.html#group48M21", "48M²¹"), =HYPERLINK("CSG11.html#group150A11", "150A¹¹"), =HYPERLINK("CSG21.html#group60B21", "60B²¹"), =HYPERLINK("CSG7.html#group90B7", "90B⁷"), =HYPERLINK("CSG6.html#group48H6", "48H⁶"), =HYPERLINK("CSG19.html#group96AM19", "96AM¹⁹"), =HYPERLINK("CSG9.html#group60A9", "60A⁹"), =HYPERLINK("CSG6.html#group24J6", "24J⁶"), =HYPERLINK("CSG8.html#group72I8", "72I⁸"), =HYPERLINK("CSG5.html#group30Q5", "30Q⁵"), =HYPERLINK("CSG9.html#group48AA9", "48AA⁹"), =HYPERLINK("CSG1.html#group6D1", "6D¹"), =HYPERLINK("CSG17.html#group30D17", "30D¹⁷"), =HYPERLINK("CSG15.html#group90F15", "90F¹⁵"), =HYPERLINK("CSG5.html#group24T5", "24T⁵"), =HYPERLINK("CSG23.html#group156F23", "156F²³"), =HYPERLINK("CSG13.html#group36M13", "36M¹³"), =HYPERLINK("CSG21.html#group48K21", "48K²¹"), =HYPERLINK("CSG19.html#group24C19", "24C¹⁹"), =HYPERLINK("CSG12.html#group36E12", "36E¹²"), =HYPERLINK("CSG10.html#group72L10", "72L¹⁰"), =HYPERLINK("CSG14.html#group60D14", "60D¹⁴"), =HYPERLINK("CSG3.html#group24AB3", "24AB³"), =HYPERLINK("CSG17.html#group48AR17", "48AR¹⁷"), =HYPERLINK("CSG13.html#group150C13", "150C¹³"), =HYPERLINK("CSG22.html#group168N22", "168N²²"), =HYPERLINK("CSG17.html#group48W17", "48W¹⁷"), =HYPERLINK("CSG19.html#group24P19", "24P¹⁹"), =HYPERLINK("CSG13.html#group48AA13", "48AA¹³"), =HYPERLINK("CSG19.html#group96AU19", "96AU¹⁹"), =HYPERLINK("CSG16.html#group72R16", "72R¹⁶"), =HYPERLINK("CSG7.html#group102B7", "102B⁷"), =HYPERLINK("CSG17.html#group90K17", "90K¹⁷"), =HYPERLINK("CSG19.html#group246B19", "246B¹⁹"), =HYPERLINK("CSG17.html#group60Y17", "60Y¹⁷"), =HYPERLINK("CSG5.html#group30G5", "30G⁵"), =HYPERLINK("CSG13.html#group18G13", "18G¹³"), =HYPERLINK("CSG4.html#group30A4", "30A⁴"), =HYPERLINK("CSG0.html#group18A0", "18A⁰"), =HYPERLINK("CSG19.html#group48AA19", "48AA¹⁹"), =HYPERLINK("CSG17.html#group78B17", "78B¹⁷"), =HYPERLINK("CSG23.html#group36B23", "36B²³"), =HYPERLINK("CSG22.html#group144J22", "144J²²"), =HYPERLINK("CSG8.html#group72K8", "72K⁸"), =HYPERLINK("CSG7.html#group48T7", "48T⁷"), =HYPERLINK("CSG3.html#group18D3", "18D³"), =HYPERLINK("CSG19.html#group36S19", "36S¹⁹"), =HYPERLINK("CSG4.html#group30E4", "30E⁴"), =HYPERLINK("CSG3.html#group66A3", "66A³"), =HYPERLINK("CSG21.html#group36A21", "36A²¹"), =HYPERLINK("CSG15.html#group48E15", "48E¹⁵"), =HYPERLINK("CSG23.html#group150B23", "150B²³"), =HYPERLINK("CSG16.html#group42I16", "42I¹⁶"), =HYPERLINK("CSG8.html#group18B8", "18B⁸"), =HYPERLINK("CSG16.html#group54Q16", "54Q¹⁶"), =HYPERLINK("CSG23.html#group96AB23", "96AB²³"), =HYPERLINK("CSG23.html#group30B23", "30B²³"), =HYPERLINK("CSG10.html#group48E10", "48E¹⁰"), =HYPERLINK("CSG9.html#group36L9", "36L⁹"), =HYPERLINK("CSG15.html#group24A15", "24A¹⁵"), =HYPERLINK("CSG19.html#group60G19", "60G¹⁹"), =HYPERLINK("CSG13.html#group30B13", "30B¹³"), =HYPERLINK("CSG4.html#group36J4", "36J⁴"), =HYPERLINK("CSG21.html#group60X21", "60X²¹"), =HYPERLINK("CSG15.html#group96V15", "96V¹⁵"), =HYPERLINK("CSG4.html#group36I4", "36I⁴"), =HYPERLINK("CSG6.html#group24E6", "24E⁶"), =HYPERLINK("CSG19.html#group48K19", "48K¹⁹"), =HYPERLINK("CSG16.html#group48E16", "48E¹⁶"), =HYPERLINK("CSG17.html#group48BY17", "48BY¹⁷"), =HYPERLINK("CSG24.html#group282C24", "282C²⁴"), =HYPERLINK("CSG11.html#group72R11", "72R¹¹"), =HYPERLINK("CSG17.html#group24G17", "24G¹⁷"), =HYPERLINK("CSG4.html#group24J4", "24J⁴"), =HYPERLINK("CSG3.html#group12C3", "12C³"), =HYPERLINK("CSG17.html#group24AM17", "24AM¹⁷"), =HYPERLINK("CSG16.html#group54A16", "54A¹⁶"), =HYPERLINK("CSG13.html#group78E13", "78E¹³"), =HYPERLINK("CSG18.html#group36B18", "36B¹⁸"), =HYPERLINK("CSG23.html#group60H23", "60H²³"), =HYPERLINK("CSG5.html#group30H5", "30H⁵"), =HYPERLINK("CSG17.html#group48CI17", "48CI¹⁷"), =HYPERLINK("CSG19.html#group114A19", "114A¹⁹"), =HYPERLINK("CSG7.html#group12A7", "12A⁷"), =HYPERLINK("CSG17.html#group126I17", "126I¹⁷"), =HYPERLINK("CSG12.html#group36A12", "36A¹²"), =HYPERLINK("CSG4.html#group42G4", "42G⁴"), =HYPERLINK("CSG6.html#group36C6", "36C⁶"), =HYPERLINK("CSG8.html#group24O8", "24O⁸"), =HYPERLINK("CSG19.html#group36T19", "36T¹⁹"), =HYPERLINK("CSG23.html#group96R23", "96R²³"), =HYPERLINK("CSG15.html#group24R15", "24R¹⁵"), =HYPERLINK("CSG21.html#group126M21", "126M²¹"), =HYPERLINK("CSG20.html#group48I20", "48I²⁰"), =HYPERLINK("CSG5.html#group12B5", "12B⁵"), =HYPERLINK("CSG15.html#group36P15", "36P¹⁵"), =HYPERLINK("CSG2.html#group12D2", "12D²"), =HYPERLINK("CSG9.html#group30R9", "30R⁹"), =HYPERLINK("CSG9.html#group24G9", "24G⁹"), =HYPERLINK("CSG10.html#group72E10", "72E¹⁰"), =HYPERLINK("CSG3.html#group30H3", "30H³"), =HYPERLINK("CSG20.html#group90E20", "90E²⁰"), =HYPERLINK("CSG9.html#group72H9", "72H⁹"), =HYPERLINK("CSG23.html#group60O23", "60O²³"), =HYPERLINK("CSG5.html#group24V5", "24V⁵"), =HYPERLINK("CSG23.html#group96W23", "96W²³"), =HYPERLINK("CSG11.html#group36M11", "36M¹¹"), =HYPERLINK("CSG21.html#group48P21", "48P²¹"), =HYPERLINK("CSG14.html#group36A14", "36A¹⁴"), =HYPERLINK("CSG15.html#group48B15", "48B¹⁵"), =HYPERLINK("CSG17.html#group60N17", "60N¹⁷"), =HYPERLINK("CSG5.html#group126B5", "126B⁵"), =HYPERLINK("CSG19.html#group18D19", "18D¹⁹"), =HYPERLINK("CSG15.html#group36L15", "36L¹⁵"), =HYPERLINK("CSG7.html#group24I7", "24I⁷"), =HYPERLINK("CSG22.html#group144M22", "144M²²"), =HYPERLINK("CSG9.html#group36J9", "36J⁹"), =HYPERLINK("CSG3.html#group12H3", "12H³"), =HYPERLINK("CSG7.html#group18J7", "18J⁷"), =HYPERLINK("CSG5.html#group24P5", "24P⁵"), =HYPERLINK("CSG10.html#group36C10", "36C¹⁰"), =HYPERLINK("CSG9.html#group24AL9", "24AL⁹"), =HYPERLINK("CSG10.html#group30A10", "30A¹⁰"), =HYPERLINK("CSG11.html#group36F11", "36F¹¹"), =HYPERLINK("CSG18.html#group84D18", "84D¹⁸"), =HYPERLINK("CSG19.html#group120H19", "120H¹⁹"), =HYPERLINK("CSG1.html#group6F1", "6F¹"), =HYPERLINK("CSG9.html#group60F9", "60F⁹"), =HYPERLINK("CSG19.html#group96AT19", "96AT¹⁹"), =HYPERLINK("CSG22.html#group168O22", "168O²²"), =HYPERLINK("CSG17.html#group126B17", "126B¹⁷"), =HYPERLINK("CSG11.html#group90K11", "90K¹¹"), =HYPERLINK("CSG2.html#group18M2", "18M²"), =HYPERLINK("CSG21.html#group60D21", "60D²¹"), =HYPERLINK("CSG13.html#group42E13", "42E¹³"), =HYPERLINK("CSG20.html#group144C20", "144C²⁰"), =HYPERLINK("CSG22.html#group144D22", "144D²²"), =HYPERLINK("CSG15.html#group36O15", "36O¹⁵"), =HYPERLINK("CSG21.html#group126R21", "126R²¹"), =HYPERLINK("CSG5.html#group24D5", "24D⁵"), =HYPERLINK("CSG19.html#group36H19", "36H¹⁹"), =HYPERLINK("CSG11</f>
        <v/>
      </c>
    </row>
    <row r="27">
      <c r="A27" t="inlineStr">
        <is>
          <t>6C⁰</t>
        </is>
      </c>
      <c r="B27" t="inlineStr"/>
      <c r="C27" t="inlineStr">
        <is>
          <t>8</t>
        </is>
      </c>
      <c r="D27" t="inlineStr">
        <is>
          <t>1</t>
        </is>
      </c>
      <c r="E27" t="inlineStr">
        <is>
          <t>4</t>
        </is>
      </c>
      <c r="F27" t="inlineStr">
        <is>
          <t>0</t>
        </is>
      </c>
      <c r="G27" t="inlineStr">
        <is>
          <t>2</t>
        </is>
      </c>
      <c r="H27" t="inlineStr">
        <is>
          <t>2¹, 6¹</t>
        </is>
      </c>
      <c r="I27" t="n">
        <v>2</v>
      </c>
      <c r="J27" t="inlineStr">
        <is>
          <t>1², 2¹</t>
        </is>
      </c>
      <c r="K27">
        <f>HYPERLINK("CSG0.html#group2A0", "2A⁰"), =HYPERLINK("CSG0.html#group3B0", "3B⁰")</f>
        <v/>
      </c>
      <c r="L27">
        <f>HYPERLINK("CSG0.html#group6I0", "6I⁰"), =HYPERLINK("CSG0.html#group6J0", "6J⁰"), =HYPERLINK("CSG0.html#group12B0", "12B⁰"), =HYPERLINK("CSG0.html#group18B0", "18B⁰"), =HYPERLINK("CSG0.html#group18C0", "18C⁰"), =HYPERLINK("CSG1.html#group6D1", "6D¹"), =HYPERLINK("CSG1.html#group12I1", "12I¹"), =HYPERLINK("CSG1.html#group18C1", "18C¹"), =HYPERLINK("CSG1.html#group18D1", "18D¹"), =HYPERLINK("CSG2.html#group18B2", "18B²"), =HYPERLINK("CSG2.html#group18C2", "18C²"), =HYPERLINK("CSG2.html#group30D2", "30D²"), =HYPERLINK("CSG3.html#group30G3", "30G³"), =HYPERLINK("CSG3.html#group42E3", "42E³"), =HYPERLINK("CSG4.html#group42E4", "42E⁴"), =HYPERLINK("CSG5.html#group30J5", "30J⁵"), =HYPERLINK("CSG6.html#group66E6", "66E⁶"), =HYPERLINK("CSG7.html#group66B7", "66B⁷"), =HYPERLINK("CSG7.html#group78C7", "78C⁷"), =HYPERLINK("CSG11.html#group102B11", "102B¹¹"), =HYPERLINK("CSG11.html#group114B11", "114B¹¹"), =HYPERLINK("CSG15.html#group138B15", "138B¹⁵"), =HYPERLINK("CSG19.html#group174B19", "174B¹⁹"), =HYPERLINK("CSG19.html#group186B19", "186B¹⁹"), =HYPERLINK("CSG23.html#group222B23", "222B²³")</f>
        <v/>
      </c>
      <c r="M27">
        <f>HYPERLINK("CSG0.html#group3B0", "3B⁰"), =HYPERLINK("CSG0.html#group2A0", "2A⁰"), =HYPERLINK("CSG0.html#group1A0", "1A⁰")</f>
        <v/>
      </c>
      <c r="N27">
        <f>HYPERLINK("CSG22.html#group90K22", "90K²²"), =HYPERLINK("CSG22.html#group198B22", "198B²²"), =HYPERLINK("CSG15.html#group156A15", "156A¹⁵"), =HYPERLINK("CSG0.html#group12I0", "12I⁰"), =HYPERLINK("CSG7.html#group42F7", "42F⁷"), =HYPERLINK("CSG13.html#group54P13", "54P¹³"), =HYPERLINK("CSG11.html#group72K11", "72K¹¹"), =HYPERLINK("CSG23.html#group210J23", "210J²³"), =HYPERLINK("CSG23.html#group60B23", "60B²³"), =HYPERLINK("CSG13.html#group126F13", "126F¹³"), =HYPERLINK("CSG22.html#group90L22", "90L²²"), =HYPERLINK("CSG23.html#group234E23", "234E²³"), =HYPERLINK("CSG21.html#group48CF21", "48CF²¹"), =HYPERLINK("CSG15.html#group84G15", "84G¹⁵"), =HYPERLINK("CSG21.html#group198C21", "198C²¹"), =HYPERLINK("CSG23.html#group204B23", "204B²³"), =HYPERLINK("CSG10.html#group54D10", "54D¹⁰"), =HYPERLINK("CSG9.html#group24AC9", "24AC⁹"), =HYPERLINK("CSG9.html#group90B9", "90B⁹"), =HYPERLINK("CSG21.html#group90E21", "90E²¹"), =HYPERLINK("CSG17.html#group24AO17", "24AO¹⁷"), =HYPERLINK("CSG18.html#group60B18", "60B¹⁸"), =HYPERLINK("CSG7.html#group24AF7", "24AF⁷"), =HYPERLINK("CSG23.html#group84J23", "84J²³"), =HYPERLINK("CSG3.html#group12A3", "12A³"), =HYPERLINK("CSG13.html#group30P13", "30P¹³"), =HYPERLINK("CSG11.html#group24D11", "24D¹¹"), =HYPERLINK("CSG1.html#group18J1", "18J¹"), =HYPERLINK("CSG13.html#group126E13", "126E¹³"), =HYPERLINK("CSG21.html#group72B21", "72B²¹"), =HYPERLINK("CSG21.html#group48CD21", "48CD²¹"), =HYPERLINK("CSG3.html#group54B3", "54B³"), =HYPERLINK("CSG19.html#group36D19", "36D¹⁹"), =HYPERLINK("CSG7.html#group54B7", "54B⁷"), =HYPERLINK("CSG21.html#group90H21", "90H²¹"), =HYPERLINK("CSG23.html#group126J23", "126J²³"), =HYPERLINK("CSG22.html#group30D22", "30D²²"), =HYPERLINK("CSG10.html#group36I10", "36I¹⁰"), =HYPERLINK("CSG10.html#group54E10", "54E¹⁰"), =HYPERLINK("CSG17.html#group30B17", "30B¹⁷"), =HYPERLINK("CSG7.html#group30K7", "30K⁷"), =HYPERLINK("CSG11.html#group72L11", "72L¹¹"), =HYPERLINK("CSG6.html#group66E6", "66E⁶"), =HYPERLINK("CSG13.html#group84K13", "84K¹³"), =HYPERLINK("CSG19.html#group180A19", "180A¹⁹"), =HYPERLINK("CSG7.html#group90F7", "90F⁷"), =HYPERLINK("CSG2.html#group12F2", "12F²"), =HYPERLINK("CSG22.html#group36K22", "36K²²"), =HYPERLINK("CSG23.html#group84H23", "84H²³"), =HYPERLINK("CSG4.html#group12D4", "12D⁴"), =HYPERLINK("CSG13.html#group12A13", "12A¹³"), =HYPERLINK("CSG19.html#group36A19", "36A¹⁹"), =HYPERLINK("CSG23.html#group78B23", "78B²³"), =HYPERLINK("CSG16.html#group162A16", "162A¹⁶"), =HYPERLINK("CSG9.html#group30H9", "30H⁹"), =HYPERLINK("CSG5.html#group42I5", "42I⁵"), =HYPERLINK("CSG21.html#group36E21", "36E²¹"), =HYPERLINK("CSG20.html#group180A20", "180A²⁰"), =HYPERLINK("CSG17.html#group36G17", "36G¹⁷"), =HYPERLINK("CSG13.html#group24A13", "24A¹³"), =HYPERLINK("CSG23.html#group78C23", "78C²³"), =HYPERLINK("CSG24.html#group252F24", "252F²⁴"), =HYPERLINK("CSG23.html#group252A23", "252A²³"), =HYPERLINK("CSG21.html#group96BD21", "96BD²¹"), =HYPERLINK("CSG23.html#group84I23", "84I²³"), =HYPERLINK("CSG8.html#group36H8", "36H⁸"), =HYPERLINK("CSG17.html#group30H17", "30H¹⁷"), =HYPERLINK("CSG23.html#group42D23", "42D²³"), =HYPERLINK("CSG13.html#group48A13", "48A¹³"), =HYPERLINK("CSG7.html#group18P7", "18P⁷"), =HYPERLINK("CSG5.html#group24Q5", "24Q⁵"), =HYPERLINK("CSG13.html#group24AC13", "24AC¹³"), =HYPERLINK("CSG13.html#group18D13", "18D¹³"), =HYPERLINK("CSG21.html#group180E21", "180E²¹"), =HYPERLINK("CSG7.html#group66B7", "66B⁷"), =HYPERLINK("CSG4.html#group18C4", "18C⁴"), =HYPERLINK("CSG7.html#group30Q7", "30Q⁷"), =HYPERLINK("CSG23.html#group252B23", "252B²³"), =HYPERLINK("CSG9.html#group24AF9", "24AF⁹"), =HYPERLINK("CSG8.html#group90E8", "90E⁸"), =HYPERLINK("CSG9.html#group24AH9", "24AH⁹"), =HYPERLINK("CSG21.html#group60A21", "60A²¹"), =HYPERLINK("CSG17.html#group36B17", "36B¹⁷"), =HYPERLINK("CSG22.html#group108C22", "108C²²"), =HYPERLINK("CSG3.html#group30G3", "30G³"), =HYPERLINK("CSG23.html#group198E23", "198E²³"), =HYPERLINK("CSG24.html#group90I24", "90I²⁴"), =HYPERLINK("CSG9.html#group48AH9", "48AH⁹"), =HYPERLINK("CSG17.html#group24AP17", "24AP¹⁷"), =HYPERLINK("CSG22.html#group36M22", "36M²²"), =HYPERLINK("CSG19.html#group36F19", "36F¹⁹"), =HYPERLINK("CSG13.html#group54H13", "54H¹³"), =HYPERLINK("CSG21.html#group48CK21", "48CK²¹"), =HYPERLINK("CSG17.html#group36D17", "36D¹⁷"), =HYPERLINK("CSG9.html#group48AK9", "48AK⁹"), =HYPERLINK("CSG9.html#group36M9", "36M⁹"), =HYPERLINK("CSG13.html#group78G13", "78G¹³"), =HYPERLINK("CSG15.html#group126E15", "126E¹⁵"), =HYPERLINK("CSG23.html#group234B23", "234B²³"), =HYPERLINK("CSG17.html#group36C17", "36C¹⁷"), =HYPERLINK("CSG17.html#group108E17", "108E¹⁷"), =HYPERLINK("CSG15.html#group126B15", "126B¹⁵"), =HYPERLINK("CSG19.html#group48BT19", "48BT¹⁹"), =HYPERLINK("CSG1.html#group12P1", "12P¹"), =HYPERLINK("CSG15.html#group180A15", "180A¹⁵"), =HYPERLINK("CSG21.html#group42D21", "42D²¹"), =HYPERLINK("CSG16.html#group54B16", "54B¹⁶"), =HYPERLINK("CSG4.html#group36A4", "36A⁴"), =HYPERLINK("CSG8.html#group108B8", "108B⁸"), =HYPERLINK("CSG13.html#group54C13", "54C¹³"), =HYPERLINK("CSG24.html#group90H24", "90H²⁴"), =HYPERLINK("CSG21.html#group48CC21", "48CC²¹"), =HYPERLINK("CSG7.html#group24AH7", "24AH⁷"), =HYPERLINK("CSG21.html#group108E21", "108E²¹"), =HYPERLINK("CSG19.html#group36B19", "36B¹⁹"), =HYPERLINK("CSG11.html#group18B11", "18B¹¹"), =HYPERLINK("CSG19.html#group150E19", "150E¹⁹"), =HYPERLINK("CSG16.html#group90A16", "90A¹⁶"), =HYPERLINK("CSG23.html#group180C23", "180C²³"), =HYPERLINK("CSG1.html#group36B1", "36B¹"), =HYPERLINK("CSG10.html#group90B10", "90B¹⁰"), =HYPERLINK("CSG17.html#group180A17", "180A¹⁷"), =HYPERLINK("CSG22.html#group198A22", "198A²²"), =HYPERLINK("CSG0.html#group36A0", "36A⁰"), =HYPERLINK("CSG7.html#group18N7", "18N⁷"), =HYPERLINK("CSG1.html#group12I1", "12I¹"), =HYPERLINK("CSG13.html#group48B13", "48B¹³"), =HYPERLINK("CSG9.html#group90F9", "90F⁹"), =HYPERLINK("CSG0.html#group6I0", "6I⁰"), =HYPERLINK("CSG1.html#group18K1", "18K¹"), =HYPERLINK("CSG17.html#group30J17", "30J¹⁷"), =HYPERLINK("CSG13.html#group24B13", "24B¹³"), =HYPERLINK("CSG5.html#group30N5", "30N⁵"), =HYPERLINK("CSG23.html#group180D23", "180D²³"), =HYPERLINK("CSG15.html#group72C15", "72C¹⁵"), =HYPERLINK("CSG19.html#group72D19", "72D¹⁹"), =HYPERLINK("CSG16.html#group54J16", "54J¹⁶"), =HYPERLINK("CSG11.html#group24E11", "24E¹¹"), =HYPERLINK("CSG17.html#group36F17", "36F¹⁷"), =HYPERLINK("CSG24.html#group78A24", "78A²⁴"), =HYPERLINK("CSG5.html#group24I5", "24I⁵"), =HYPERLINK("CSG15.html#group180B15", "180B¹⁵"), =HYPERLINK("CSG9.html#group30L9", "30L⁹"), =HYPERLINK("CSG19.html#group60A19", "60A¹⁹"), =HYPERLINK("CSG21.html#group48CQ21", "48CQ²¹"), =HYPERLINK("CSG19.html#group108B19", "108B¹⁹"), =HYPERLINK("CSG12.html#group180A12", "180A¹²"), =HYPERLINK("CSG13.html#group72A13", "72A¹³"), =HYPERLINK("CSG13.html#group24I13", "24I¹³"), =HYPERLINK("CSG10.html#group18F10", "18F¹⁰"), =HYPERLINK("CSG17.html#group60T17", "60T¹⁷"), =HYPERLINK("CSG1.html#group18D1", "18D¹"), =HYPERLINK("CSG21.html#group36B21", "36B²¹"), =HYPERLINK("CSG6.html#group54A6", "54A⁶"), =HYPERLINK("CSG16.html#group30A16", "30A¹⁶"), =HYPERLINK("CSG9.html#group108A9", "108A⁹"), =HYPERLINK("CSG15.html#group132B15", "132B¹⁵"), =HYPERLINK("CSG23.html#group234C23", "234C²³"), =HYPERLINK("CSG8.html#group90D8", "90D⁸"), =HYPERLINK("CSG16.html#group60A16", "60A¹⁶"), =HYPERLINK("CSG16.html#group54K16", "54K¹⁶"), =HYPERLINK("CSG19.html#group96BC19", "96BC¹⁹"), =HYPERLINK("CSG17.html#group60B17", "60B¹⁷"), =HYPERLINK("CSG11.html#group24B11", "24B¹¹"), =HYPERLINK("CSG3.html#group42E3", "42E³"), =HYPERLINK("CSG13.html#group18A13", "18A¹³"), =HYPERLINK("CSG9.html#group36B9", "36B⁹"), =HYPERLINK("CSG4.html#group18E4", "18E⁴"), =HYPERLINK("CSG13.html#group24O13", "24O¹³"), =HYPERLINK("CSG5.html#group36F5", "36F⁵"), =HYPERLINK("CSG17.html#group36A17", "36A¹⁷"), =HYPERLINK("CSG19.html#group72A19", "72A¹⁹"), =HYPERLINK("CSG13.html#group54I13", "54I¹³"), =HYPERLINK("CSG21.html#group96BF21", "96BF²¹"), =HYPERLINK("CSG21.html#group42J21", "42J²¹"), =HYPERLINK("CSG17.html#group72M17", "72M¹⁷"), =HYPERLINK("CSG13.html#group54N13", "54N¹³"), =HYPERLINK("CSG15.html#group138B15", "138B¹⁵"), =HYPERLINK("CSG4.html#group18H4", "18H⁴"), =HYPERLINK("CSG11.html#group36A11", "36A¹¹"), =HYPERLINK("CSG21.html#group60S21", "60S²¹"), =HYPERLINK("CSG10.html#group108A10", "108A¹⁰"), =HYPERLINK("CSG7.html#group18O7", "18O⁷"), =HYPERLINK("CSG10.html#group54F10", "54F¹⁰"), =HYPERLINK("CSG21.html#group48CH21", "48CH²¹"), =HYPERLINK("CSG10.html#group36A10", "36A¹⁰"), =HYPERLINK("CSG12.html#group42H12", "42H¹²"), =HYPERLINK("CSG11.html#group60I11", "60I¹¹"), =HYPERLINK("CSG21.html#group48CJ21", "48CJ²¹"), =HYPERLINK("CSG19.html#group66B19", "66B¹⁹"), =HYPERLINK("CSG23.html#group180F23", "180F²³"), =HYPERLINK("CSG13.html#group48AG13", "48AG¹³"), =HYPERLINK("CSG13.html#group48J13", "48J¹³"), =HYPERLINK("CSG5.html#group18A5", "18A⁵"), =HYPERLINK("CSG21.html#group60R21", "60R²¹"), =HYPERLINK("CSG21.html#group72D21", "72D²¹"), =HYPERLINK("CSG21.html#group24E21", "24E²¹"), =HYPERLINK("CSG18.html#group90A18", "90A¹⁸"), =HYPERLINK("CSG4.html#group18F4", "18F⁴"), =HYPERLINK("CSG8.html#group84E8", "84E⁸"), =HYPERLINK("CSG21.html#group48CB21", "48CB²¹"), =HYPERLINK("CSG22.html#group270A22", "270A²²"), =HYPERLINK("CSG7.html#group36A7", "36A⁷"), =HYPERLINK("CSG15.html#group60AA15", "60AA¹⁵"), =HYPERLINK("CSG13.html#group36U13", "36U¹³"), =HYPERLINK("CSG3.html#group18F3", "18F³"), =HYPERLINK("CSG22.html#group90I22", "90I²²"), =HYPERLINK("CSG17.html#group24AR17", "24AR¹⁷"), =HYPERLINK("CSG23.html#group120K23", "120K²³"), =HYPERLINK("CSG21.html#group180C21", "180C²¹"), =HYPERLINK("CSG9.html#group24AB9", "24AB⁹"), =HYPERLINK("CSG5.html#group36L5", "36L⁵"), =HYPERLINK("CSG23.html#group84G23", "84G²³"), =HYPERLINK("CSG4.html#group54B4", "54B⁴"), =HYPERLINK("CSG24.html#group90F24", "90F²⁴"), =HYPERLINK("CSG11.html#group42K11", "42K¹¹"), =HYPERLINK("CSG23.html#group78E23", "78E²³"), =HYPERLINK("CSG17.html#group24AS17", "24AS¹⁷"), =HYPERLINK("CSG3.html#group24G3", "24G³"), =HYPERLINK("CSG13.html#group54O13", "54O¹³"), =HYPERLINK("CSG19.html#group150F19", "150F¹⁹"), =HYPERLINK("CSG17.html#group24AN17", "24AN¹⁷"), =HYPERLINK("CSG9.html#group108B9", "108B⁹"), =HYPERLINK("CSG16.html#group180C16", "180C¹⁶"), =HYPERLINK("CSG13.html#group54D13", "54D¹³"), =HYPERLINK("CSG11.html#group48X11", "48X¹¹"), =HYPERLINK("CSG4.html#group18D4", "18D⁴"), =HYPERLINK("CSG3.html#group36J3", "36J³"), =HYPERLINK("CSG17.html#group24C17", "24C¹⁷"), =HYPERLINK("CSG7.html#group24AI7", "24AI⁷"), =HYPERLINK("CSG22.html#group108D22", "108D²²"), =HYPERLINK("CSG19.html#group150H19", "150H¹⁹"), =HYPERLINK("CSG7.html#group24AK7", "24AK⁷"), =HYPERLINK("CSG9.html#group36A9", "36A⁹"), =HYPERLINK("CSG3.html#group24AA3", "24AA³"), =HYPERLINK("CSG17.html#group36H17", "36H¹⁷"), =HYPERLINK("CSG9.html#group24AD9", "24AD⁹"), =HYPERLINK("CSG4.html#group36O4", "36O⁴"), =HYPERLINK("CSG3.html#group36A3", "36A³"), =HYPERLINK("CSG10.html#group18J10", "18J¹⁰"), =HYPERLINK("CSG21.html#group24D21", "24D²¹"), =HYPERLINK("CSG10.html#group18I10", "18I¹⁰"), =HYPERLINK("CSG3.html#group24U3", "24U³"), =HYPERLINK("CSG9.html#group42D9", "42D⁹"), =HYPERLINK("CSG21.html#group60T21", "60T²¹"), =HYPERLINK("CSG7.html#group48AL7", "48AL⁷"), =HYPERLINK("CSG8.html#group30A8", "30A⁸"), =HYPERLINK("CSG10.html#group18H10", "18H¹⁰"), =HYPERLINK("CSG5.html#group24H5", "24H⁵"), =HYPERLINK("CSG13.html#group54S13", "54S¹³"), =HYPERLINK("CSG12.html#group42C12", "42C¹²"), =HYPERLINK("CSG13.html#group24G13", "24G¹³"), =HYPERLINK("CSG21.html#group66A21", "66A²¹"), =HYPERLINK("CSG8.html#group90C8", "90C⁸"), =HYPERLINK("CSG21.html#group48CE21", "48CE²¹"), =HYPERLINK("CSG19.html#group66A19", "66A¹⁹"), =HYPERLINK("CSG21.html#group198D21", "198D²¹"), =HYPERLINK("CSG21.html#group126T21", "126T²¹"), =HYPERLINK("CSG11.html#group90C11", "90C¹¹"), =HYPERLINK("CSG11.html#group24A11", "24A¹¹"), =HYPERLINK("CSG16.html#group54C16", "54C¹⁶"), =HYPERLINK("CSG23.html#group204A23", "204A²³"), =HYPERLINK("CSG21.html#group102B21", "102B²¹"), =HYPERLINK("CSG13.html#group48I13", "48I¹³"), =HYPERLINK("CSG10.html#group90C10", "90C¹⁰"), =HYPERLINK("CSG19.html#group72L19", "72L¹⁹"), =HYPERLINK("CSG3.html#group54A3", "54A³"), =HYPERLINK("CSG13.html#group54F13", "54F¹³"), =HYPERLINK("CSG13.html#group72B13", "72B¹³"), =HYPERLINK("CSG9.html#group30P9", "30P⁹"), =HYPERLINK("CSG0.html#group12B0", "12B⁰"), =HYPERLINK("CSG11.html#group54C11", "54C¹¹"), =HYPERLINK("CSG23.html#group42G23", "42G²³"), =HYPERLINK("CSG21.html#group72Z21", "72Z²¹"), =HYPERLINK("CSG21.html#group24F21", "24F²¹"), =HYPERLINK("CSG3.html#group24V3", "24V³"), =HYPERLINK("CSG6.html#group30E6", "30E⁶"), =HYPERLINK("CSG9.html#group24AG9", "24AG⁹"), =HYPERLINK("CSG13.html#group54G13", "54G¹³"), =HYPERLINK("CSG21.html#group36F21", "36F²¹"), =HYPERLINK("CSG8.html#group36I8", "36I⁸"), =HYPERLINK("CSG21.html#group198A21", "198A²¹"), =HYPERLINK("CSG13.html#group24AB13", "24AB¹³"), =HYPERLINK("CSG13.html#group54J13", "54J¹³"), =HYPERLINK("CSG21.html#group114A21", "114A²¹"), =HYPERLINK("CSG17.html#group90M17", "90M¹⁷"), =HYPERLINK("CSG23.html#group78H23", "78H²³"), =HYPERLINK("CSG19.html#group60K19", "60K¹⁹"), =HYPERLINK("CSG9.html#group12A9", "12A⁹"), =HYPERLINK("CSG16.html#group54P16", "54P¹⁶"), =HYPERLINK("CSG7.html#group48L7", "48L⁷"), =HYPERLINK("CSG19.html#group72N19", "72N¹⁹"), =HYPERLINK("CSG17.html#group36E17", "36E¹⁷"), =HYPERLINK("CSG19.html#group90B19", "90B¹⁹"), =HYPERLINK("CSG23.html#group222B23", "222B²³"), =HYPERLINK("CSG17.html#group60S17", "60S¹⁷"), =HYPERLINK("CSG13.html#group72D13", "72D¹³"), =HYPERLINK("CSG21.html#group42H21", "42H²¹"), =HYPERLINK("CSG11.html#group126F11", "126F¹¹"), =HYPERLINK("CSG13.html#group36A13", "36A¹³"), =HYPERLINK("CSG9.html#group12B9", "12B⁹"), =HYPERLINK("CSG23.html#group42F23", "42F²³"), =HYPERLINK("CSG14.html#group126B14", "126B¹⁴"), =HYPERLINK("CSG16.html#group54G16", "54G¹⁶"), =HYPERLINK("CSG5.html#group24AB5", "24AB⁵"), =HYPERLINK("CSG13.html#group54R13", "54R¹³"), =HYPERLINK("CSG14.html#group54A14", "54A¹⁴"), =HYPERLINK("CSG5.html#group54A5", "54A⁵"), =HYPERLINK("CSG3.html#group54C3", "54C³"), =HYPERLINK("CSG10.html#group36D10", "36D¹⁰"), =HYPERLINK("CSG20.html#group108A20", "108A²⁰"), =HYPERLINK("CSG23.html#group144U23", "144U²³"), =HYPERLINK("CSG22.html#group108E22", "108E²²"), =HYPERLINK("CSG18.html#group198E18", "198E¹⁸"), =HYPERLINK("CSG19.html#group150G19", "150G¹⁹"), =HYPERLINK("CSG13.html#group48C13", "48C¹³"), =HYPERLINK("CSG12.html#group108A12", "108A¹²"), =HYPERLINK("CSG11.html#group108B11", "108B¹¹"), =HYPERLINK("CSG9.html#group24AK9", "24AK⁹"), =HYPERLINK("CSG4.html#group18G4", "18G⁴"), =HYPERLINK("CSG13.html#group54E13", "54E¹³"), =HYPERLINK("CSG4.html#group60B4", "60B⁴"), =HYPERLINK("CSG5.html#group12A5", "12A⁵"), =HYPERLINK("CSG19.html#group90C19", "90C¹⁹"), =HYPERLINK("CSG17.html#group48CK17", "48CK¹⁷"), =HYPERLINK("CSG15.html#group132A15", "132A¹⁵"), =HYPERLINK("CSG21.html#group48CG21", "48CG²¹"), =HYPERLINK("CSG13.html#group126B13", "126B¹³"), =HYPERLINK("CSG1.html#group18C1", "18C¹"), =HYPERLINK("CSG3.html#group12L3", "12L³"), =HYPERLINK("CSG2.html#group18N2", "18N²"), =HYPERLINK("CSG13.html#group60J13", "60J¹³"), =HYPERLINK("CSG16.html#group36F16", "36F¹⁶"), =HYPERLINK("CSG13.html#group18E13", "18E¹³"), =HYPERLINK("CSG3.html#group18I3", "18I³"), =HYPERLINK("CSG19.html#group36J19", "36J¹⁹"), =HYPERLINK("CSG24.html#group72B24", "72B²⁴"), =HYPERLINK("CSG16.html#group54O16", "54O¹⁶"), =HYPERLINK("CSG5.html#group30J5", "30J⁵"), =HYPERLINK("CSG8.html#group84D8", "84D⁸"), =HYPERLINK("CSG15.html#group60AB15", "60AB¹⁵"), =HYPERLINK("CSG13.html#group42C13", "42C¹³"), =HYPERLINK("CSG11.html#group36H11", "36H¹¹"), =HYPERLINK("CSG23.html#group144V23", "144V²³"), =HYPERLINK("CSG0.html#group18B0", "18B⁰"), =HYPERLINK("CSG10.html#group18E10", "18E¹⁰"), =HYPERLINK("CSG17.html#group36I17", "36I¹⁷"), =HYPERLINK("CSG13.html#group126H13", "126H¹³"), =HYPERLINK("CSG19.html#group108A19", "108A¹⁹"), =HYPERLINK("CSG7.html#group24AG7", "24AG⁷"), =HYPERLINK("CSG7.html#group60D7", "60D⁷"), =HYPERLINK("CSG10.html#group54C10", "54C¹⁰"), =HYPERLINK("CSG3.html#group24F3", "24F³"), =HYPERLINK("CSG9.html#group90C9", "90C⁹"), =HYPERLINK("CSG11.html#group48W11", "48W¹¹"), =HYPERLINK("CSG23.html#group198F23", "198F²³"), =HYPERLINK("CSG9.html#group36Q9", "36Q⁹"), =HYPERLINK("CSG15.html#group72D15", "72D¹⁵"), =HYPERLINK("CSG16.html#group180A16", "180A¹⁶"), =HYPERLINK("CSG10.html#group54A10", "54A¹⁰"), =HYPERLINK("CSG13.html#group60I13", "60I¹³"), =HYPERLINK("CSG3.html#group12K3", "12K³"), =HYPERLINK("CSG13.html#group162A13", "162A¹³"), =HYPERLINK("CSG10.html#group108C10", "108C¹⁰"), =HYPERLINK("CSG11.html#group114B11", "114B¹¹"), =HYPERLINK("CSG9.html#group36D9", "36D⁹"), =HYPERLINK("CSG8.html#group90F8", "90F⁸"), =HYPERLINK("CSG11.html#group42H11", "42H¹¹"), =HYPERLINK("CSG17.html#group60L17", "60L¹⁷"), =HYPERLINK("CSG7.html#group36B7", "36B⁷"), =HYPERLINK("CSG24.html#group42B24", "42B²⁴"), =HYPERLINK("CSG13.html#group24H13", "24H¹³"), =HYPERLINK("CSG21.html#group126S21", "126S²¹"), =HYPERLINK("CSG21.html#group180D21", "180D²¹"), =HYPERLINK("CSG15.html#group60T15", "60T¹⁵"), =HYPERLINK("CSG10.html#group18K10", "18K¹⁰"), =HYPERLINK("CSG17.html#group72N17", "72N¹⁷"), =HYPERLINK("CSG19.html#group108C19", "108C¹⁹"), =HYPERLINK("CSG4.html#group18I4", "18I⁴"), =HYPERLINK("CSG17.html#group108D17", "108D¹⁷"), =HYPERLINK("CSG9.html#group30A9", "30A⁹"), =HYPERLINK("CSG22.html#group90J22", "90J²²"), =HYPERLINK("CSG23.html#group126L23", "126L²³"), =HYPERLINK("CSG21.html#group60B21", "60B²¹"), =HYPERLINK("CSG11.html#group90E11", "90E¹¹"), =HYPERLINK("CSG13.html#group48D13", "48D¹³"), =HYPERLINK("CSG10.html#group18G10", "18G¹⁰"), =HYPERLINK("CSG21.html#group96BA21", "96BA²¹"), =HYPERLINK("CSG24.html#group270B24", "270B²⁴"), =HYPERLINK("CSG21.html#group72A21", "72A²¹"), =HYPERLINK("CSG24.html#group24A24", "24A²⁴"), =HYPERLINK("CSG23.html#group180E23", "180E²³"), =HYPERLINK("CSG2.html#group18B2", "18B²"), =HYPERLINK("CSG7.html#group48AK7", "48AK⁷"), =HYPERLINK("CSG17.html#group48CM17", "48CM¹⁷"), =HYPERLINK("CSG21.html#group66D21", "66D²¹"), =HYPERLINK("CSG1.html#group6D1", "6D¹"), =HYPERLINK("CSG7.html#group24AL7", "24AL⁷"), =HYPERLINK("CSG16.html#group162B16", "162B¹⁶"), =HYPERLINK("CSG16.html#group162D16", "162D¹⁶"), =HYPERLINK("CSG6.html#group90C6", "90C⁶"), =HYPERLINK("CSG13.html#group36T13", "36T¹³"), =HYPERLINK("CSG7.html#group30M7", "30M⁷"), =HYPERLINK("CSG24.html#group234A24", "234A²⁴"), =HYPERLINK("CSG17.html#group84Q17", "84Q¹⁷"), =HYPERLINK("CSG22.html#group30A22", "30A²²"), =HYPERLINK("CSG15.html#group30A15", "30A¹⁵"), =HYPERLINK("CSG11.html#group90D11", "90D¹¹"), =HYPERLINK("CSG19.html#group48BS19", "48BS¹⁹"), =HYPERLINK("CSG11.html#group72J11", "72J¹¹"), =HYPERLINK("CSG19.html#group72C19", "72C¹⁹"), =HYPERLINK("CSG13.html#group18G13", "18G¹³"), =HYPERLINK("CSG5.html#group12E5", "12E⁵"), =HYPERLINK("CSG16.html#group54D16", "54D¹⁶"), =HYPERLINK("CSG0.html#group18C0", "18C⁰"), =HYPERLINK("CSG23.html#group42H23", "42H²³"), =HYPERLINK("CSG15.html#group72B15", "72B¹⁵"), =HYPERLINK("CSG18.html#group60A18", "60A¹⁸"), =HYPERLINK("CSG21.html#group36A21", "36A²¹"), =HYPERLINK("CSG18.html#group60C18", "60C¹⁸"), =HYPERLINK("CSG9.html#group30N9", "30N⁹"), =HYPERLINK("CSG13.html#group54Q13", "54Q¹³"), =HYPERLINK("CSG12.html#group126G12", "126G¹²"), =HYPERLINK("CSG21.html#group48CA21", "48CA²¹"), =HYPERLINK("CSG21.html#group78B21", "78B²¹"), =HYPERLINK("CSG17.html#group48CJ17", "48CJ¹⁷"), =HYPERLINK("CSG19.html#group72M19", "72M¹⁹"), =HYPERLINK("CSG16.html#group54A16", "54A¹⁶"), =HYPERLINK("CSG11.html#group72I11", "72I¹¹"), =HYPERLINK("CSG21.html#group90F21", "90F²¹"), =HYPERLINK("CSG13.html#group54K13", "54K¹³"), =HYPERLINK("CSG7.html#group12A7", "12A⁷"), =HYPERLINK("CSG21.html#group24H21", "24H²¹"), =HYPERLINK("CSG21.html#group108C21", "108C²¹"), =HYPERLINK("CSG21.html#group42G21", "42G²¹"), =HYPERLINK("CSG19.html#group36I19", "36I¹⁹"), =HYPERLINK("CSG4.html#group36B4", "36B⁴"), =HYPERLINK("CSG2.html#group36A2", "36A²"), =HYPERLINK("CSG23.html#group126K23", "126K²³"), =HYPERLINK("CSG12.html#group126I12", "126I¹²"), =HYPERLINK("CSG13.html#group126C13", "126C¹³"), =HYPERLINK("CSG17.html#group24AT17", "24AT¹⁷"), =HYPERLINK("CSG17.html#group42L17", "42L¹⁷"), =HYPERLINK("CSG5.html#group12B5", "12B⁵"), =HYPERLINK("CSG16.html#group180B16", "180B¹⁶"), =HYPERLINK("CSG21.html#group24B21", "24B²¹"), =HYPERLINK("CSG19.html#group96BD19", "96BD¹⁹"), =HYPERLINK("CSG13.html#group36B13", "36B¹³"), =HYPERLINK("CSG10.html#group36G10", "36G¹⁰"), =HYPERLINK("CSG23.html#group198D23", "198D²³"), =HYPERLINK("CSG10.html#group54B10", "54B¹⁰"), =HYPERLINK("CSG13.html#group72W13", "72W¹³"), =HYPERLINK("CSG10.html#group36B10", "36B¹⁰"), =HYPERLINK("CSG24.html#group84A24", "84A²⁴"), =HYPERLINK("CSG12.html#group126F12", "126F¹²"), =HYPERLINK("CSG15.html#group156B15", "156B¹⁵"), =HYPERLINK("CSG10.html#group36C10", "36C¹⁰"), =HYPERLINK("CSG22.html#group108B22", "108B²²"), =HYPERLINK("CSG8.html#group30E8", "30E⁸"), =HYPERLINK("CSG3.html#group24Z3", "24Z³"), =HYPERLINK("CSG6.html#group36B6", "36B⁶"), =HYPERLINK("CSG23.html#group198C23", "198C²³"), =HYPERLINK("CSG20.html#group180D20", "180D²⁰"), =HYPERLINK("CSG1.html#group6F1", "6F¹"), =HYPERLINK("CSG2.html#group30D2", "30D²"), =HYPERLINK("CSG16.html#group54I16", "54I¹⁶"), =HYPERLINK("CSG4.html#group108A4", "108A⁴"), =HYPERLINK("CSG19.html#group198A19", "198A¹⁹"), =HYPERLINK("CSG23.html#group180H23", "180H²³"), =HYPERLINK("CSG11.html#group60H11", "60H¹¹"), =HYPERLINK("CSG17.html#group108F17", "108F¹⁷"), =HYPERLINK("CSG21.html#group60J21", "60J²¹"), =HYPERLINK("CSG7.html#group90E7", "90E⁷"), =HYPERLINK("CSG12.html#group132E12", "132E¹²"), =HYPERLINK("CSG19.html#group36H19", "36H¹⁹"), =HYPERLINK("CSG24.html#group90G24", "90G²⁴"), =HYPERLINK("CSG10.html#group90A10", "90A¹⁰"), =HYPERLINK("CSG23.html#group42M23", "42M²³"), =HYPERLINK("CSG19.html#group36E19", "36E¹⁹"), =HYPERLINK("CSG11.html#group60J11", "60J¹¹"), =HYPERLINK("CSG11.html#group36B11", "36B¹¹"), =HYPERLINK("CSG11.html#group18A11", "18A¹¹"), =HYPERLINK("CSG2.html#group18C2", "18C²"), =HYPERLINK("CSG20.html#group66A20", "66A²⁰"), =HYPERLINK("CSG9.html#group24AE9", "24AE⁹"), =HYPERLINK("CSG17.html#group30K17", "30K¹⁷"), =HYPERLINK("CSG23.html#group228B23", "228B²³"), =HYPERLINK("CSG10.html#group54G10", "54G¹⁰"), =HYPERLINK("CSG15.html#group42B15", "42B¹⁵"), =HYPERLINK("CSG7.html#group78C7", "78C⁷"), =HYPERLINK("CSG14.html#group126D14", "126D¹⁴"), =HYPERLINK("CSG16.html#group162C16", "162C¹⁶"), =HYPERLINK("CSG13.html#group60M13", "60M¹³"), =HYPERLINK("CSG24.html#group270A24", "270A²⁴"), =HYPERLINK("CSG23.html#group126M23", "126M²³"), =HYPERLINK("CSG13.html#group72R13", "72R¹³"), =HYPERLINK("CSG21.html#group72C21", "72C²¹"), =HYPERLINK("CSG19.html#group72K19", "72K¹⁹"), =HYPERLINK("CSG20.html#group180B20", "180B²⁰"), =HYPERLINK("CSG15.html#group72A15", "72A¹⁵"), =HYPERLINK("CSG19.html#group48BO19", "48BO¹⁹"), =HYPERLINK("CSG21.html#group72Y21", "72Y²¹"), =HYPERLINK("CSG13.html#group24K13", "24K¹³"), =HYPERLINK("CSG11.html#group102B11", "102B¹¹"), =HYPERLINK("CSG15.html#group30C15", "30C¹⁵"), =HYPERLINK("CSG22.html#group108A22", "108A²²"), =HYPERLINK("CSG21.html#group48CI21", "48CI²¹"), =HYPERLINK("CSG23.html#group180G23", "180G²³"), =HYPERLINK("CSG21.html#group108A21", "108A²¹"), =HYPERLINK("CSG13.html#group48U13", "48U¹³"), =HYPERLINK("CSG11.html#group126D11", "126D¹¹"), =HYPERLINK("CSG4.html#group18J4", "18J⁴"), =HYPERLINK("CSG13.html#group54B13", "54B¹³"), =HYPERLINK("CSG5.html#group18B5", "18B⁵"), =HYPERLINK("CSG13.html#group18B13", "18B¹³"), =HYPERLINK("CSG4.html#group54A4", "54A⁴"), =HYPERLINK("CSG21.html#group60I21", "60I²¹"), =HYPERLINK("CSG13.html#group162B13", "162B¹³"), =HYPERLINK("CSG13.html#group72Q13", "72Q¹³"), =HYPERLINK("CSG5.html#group54B5", "54B⁵"), =HYPERLINK("CSG16.html#group54N16", "54N¹⁶"), =HYPERLINK("CSG24.html#group252E24", "252E²⁴"), =HYPERLINK("CSG24.html#group84B24", "84B²⁴"), =HYPERLINK("CSG11.html#group90F11", "90F¹¹"), =HYPERLINK("CSG17.html#group24AQ17", "24AQ¹⁷"), =HYPERLINK("CSG21.html#group42I21", "42I²¹"), =HYPERLINK("CSG21.html#group24A21", "24A²¹"), =HYPERLINK("CSG2.html#group54A2", "54A²"), =HYPERLINK("CSG11.html#group108A11", "108A¹¹"), =HYPERLINK("CSG21.html#group48BZ21", "48BZ²¹"), =HYPERLINK("CSG13.html#group54M13", "54M¹³"), =HYPERLINK("CSG21.html#group96AZ21", "96AZ²¹"), =HYPERLINK("CSG6.html#group36K6", "36K⁶"), =HYPERLINK("CSG17.html#group48CL17", "48CL¹⁷"), =HYPERLINK("CSG14.html#group126C14", "126C¹⁴"), =HYPERLINK("CSG22.html#group36O22", "36O²²"), =HYPERLINK("CSG23.html#group42E23", "42E²³"), =HYPERLINK("CSG23.html#group120L23", "120L²³"), =HYPERLINK("CSG1.html#group12V1", "12V¹"), =HYPERLINK("CSG9.html#group90E9", "90E⁹"), =HYPERLINK("CSG12.html#group42E12", "42E¹²"), =HYPERLINK("CSG7.html#group84E7", "84E⁷"), =HYPERLINK("CSG24.html#group90D24", "90D²⁴"), =HYPERLINK("CSG18.html#group180B18", "180B¹⁸"), =HYPERLINK("CSG19.html#group174B19", "174B¹⁹"), =HYPERLINK("CSG13.html#group72V13", "72V¹³"), =HYPERLINK("CSG20.html#group198A20", "198A²⁰"), =HYPERLINK("CSG6.html#group36J6", "36J⁶"), =HYPERLINK("CSG9.html#group36C9", "36C⁹"), =HYPERLINK("CSG4.html#group36S4", "36S⁴"), =HYPERLINK("CSG23.html#group180B23", "180B²³"), =HYPERLINK("CSG21.html#group90G21", "90G²¹"), =HYPERLINK("CSG17.html#group36J17", "36J¹⁷"), =HYPERLINK("CSG15.html#group60Y15", "60Y¹⁵"), =HYPERLINK("CSG23.html#group228A23", "228A²³"), =HYPERLINK("CSG9.html#group36N9", "36N⁹"), =HYPERLINK("CSG4.html#group54C4", "54C⁴"), =HYPERLINK("CSG17.html#group90S17", "90S¹⁷"), =HYPERLINK("CSG11.html#group126C11", "126C¹¹"), =HYPERLINK("CSG13.html#group66A13", "66A¹³"), =HYPERLINK("CSG9.html#group36F9", "36F⁹"), =HYPERLINK("CSG24.html#group126A24", "126A²⁴"), =HYPERLINK("CSG13.html#group126I13", "126I¹³"), =HYPERLINK("CSG23.html#group180A23", "180A²³"), =HYPERLINK("CSG7.html#group36H7", "36H⁷"), =HYPERLINK("CSG2.html#group18O2", "18O²"), =HYPERLINK("CSG14.html#group54B14", "54B¹⁴"), =HYPERLINK("CSG3.html#group12N3", "12N³"), =HYPERLINK("CSG5.html#group36G5", "36G⁵"), =HYPERLINK("CSG19.html#group48BP19", "48BP¹⁹"), =HYPERLINK("CSG3.html#group18H3", "18H³"), =HYPERLINK("CSG13.html#group24J13", "24J¹³"), =HYPERLINK("CSG1.html#group12R1", "12R¹"), =HYPERLINK("CSG1.html#group12O1", "12O¹"), =HYPERLINK("CSG22.html#group36N22", "36N²²"), =HYPERLINK("CSG22.html#group210B22", "210B²²"), =HYPERLINK("CSG7.html#group48K7", "48K⁷"), =HYPERLINK("CSG13.html#group18C13", "18C¹³"), =HYPERLINK("CSG17.html#group90O17", "90O¹⁷"), =HYPERLINK("CSG13.html#group42G13", "42G¹³"), =HYPERLINK("CSG11.html#group54D11", "54D¹¹"), =HYPERLINK("CSG10.html#group18D10", "18D¹⁰"), =HYPERLINK("CSG19.html#group36G19", "36G¹⁹"), =HYPERLINK("CSG9.html#group36E9", "36E⁹"), =HYPERLINK("CSG13.html#group18H13", "18H¹³"), =HYPERLINK("CSG8.html#group108A8", "108A⁸"), =HYPERLINK("CSG21.html#group66C21", "66C²¹"), =HYPERLINK("CSG19.html#group186B19", "186B¹⁹"), =HYPERLINK("CSG19.html#group36C19", "36C¹⁹"), =HYPERLINK("CSG3.html#group18G3", "18G³"), =HYPERLINK("CSG10.html#group36F10", "36F¹⁰"), =HYPERLINK("CSG12.html#group42D12", "42D¹²"), =HYPERLINK("CSG24.html#group90E24", "90E²⁴"), =HYPERLINK("CSG21.html#group108D21", "108D²¹"), =HYPERLINK("CSG14.html#group60G14", "60G¹⁴"), =HYPERLINK("CSG21.html#group24C21", "24C²¹"), =HYPERLINK("CSG21.html#group24G21", "24G²¹"), =HYPERLINK("CSG21.html#group180F21", "180F²¹"), =HYPERLINK("CSG16.html#group54E16", "54E¹⁶"), =HYPERLINK("CSG7.html#group12F7", "12F⁷"), =HYPERLINK("CSG19.html#group60L19", "60L¹⁹"), =HYPERLINK("CSG17.html#group84C17", "84C¹⁷"), =HYPERLINK("CSG6.html#group108A6", "108A⁶"), =HYPERLINK("CSG21.html#group126U21", "126U²¹"), =HYPERLINK("CSG21.html#group48CP21", "48CP²¹"), =HYPERLINK("CSG11.html#group42F11", "42F¹¹"), =HYPERLINK("CSG4.html#group54D4", "54D⁴"), =HYPERLINK("CSG19.html#group72B19", "72B¹⁹"), =HYPERLINK("CSG17.html#group90R17", "90R¹⁷"), =HYPERLINK("CSG7.html#group84D7", "84D⁷"), =HYPERLINK("CSG5.html#group24Z5", "24Z⁵"), =HYPERLINK("CSG10.html#group54H10", "54H¹⁰"), =HYPERLINK("CSG10.html#group108B10", "108B¹⁰"), =HYPERLINK("CSG7.html#group60E7", "60E⁷"), =HYPERLINK("CSG13.html#group54T13", "54T¹³"), =HYPERLINK("CSG15.html#group126C15", "126C¹⁵"), =HYPERLINK("CSG13.html#group72C13", "72C¹³"), =HYPERLINK("CSG16.html#group54H16", "54H¹⁶"), =HYPERLINK("CSG16.html#group54F16", "54F¹⁶"), =HYPERLINK("CSG13.html#group54L13", "54L¹³"), =HYPERLINK("CSG15.html#group150J15", "150J¹⁵"), =HYPERLINK("CSG16.html#group54L16", "54L¹⁶"), =HYPERLINK("CSG5.html#group54C5", "54C⁵"), =HYPERLINK("CSG21.html#group108B21", "108B²¹"), =HYPERLINK("CSG16.html#group54M16", "54M¹⁶"), =HYPERLINK("CSG17.html#group24A17", "24A¹⁷"), =HYPERLINK("CSG11.html#group42G11", "42G¹¹"), =HYPERLINK("CSG10.html#group36E10", "36E¹⁰"), =HYPERLINK("CSG23.html#group108A23", "108A²³"), =HYPERLINK("CSG13.html#group12B13", "12B¹³"), =HYPERLINK("CSG7.html#group24E7", "24E⁷"), =HYPERLINK("CSG8.html#group30B8", "30B⁸"), =HYPERLINK("CSG13.html#group18F13", "18F¹³"), =HYPERLINK("CSG4.html#group42E4", "42E⁴"), =HYPERLINK("CSG7.html#group36M7", "36M⁷"), =HYPERLINK("CSG0.html#group6J0", "6J⁰"), =HYPERLINK("CSG17.html#group48CN17", "48CN¹⁷"), =HYPERLINK("CSG13.html#group24P13", "24P¹³")</f>
        <v/>
      </c>
    </row>
    <row r="28">
      <c r="A28" t="inlineStr">
        <is>
          <t>6D⁰</t>
        </is>
      </c>
      <c r="B28" t="inlineStr"/>
      <c r="C28" t="inlineStr">
        <is>
          <t>9</t>
        </is>
      </c>
      <c r="D28" t="inlineStr">
        <is>
          <t>1</t>
        </is>
      </c>
      <c r="E28" t="inlineStr">
        <is>
          <t>3</t>
        </is>
      </c>
      <c r="F28" t="inlineStr">
        <is>
          <t>3</t>
        </is>
      </c>
      <c r="G28" t="inlineStr">
        <is>
          <t>0</t>
        </is>
      </c>
      <c r="H28" t="inlineStr">
        <is>
          <t>3¹, 6¹</t>
        </is>
      </c>
      <c r="I28" t="n">
        <v>2</v>
      </c>
      <c r="J28" t="inlineStr">
        <is>
          <t>1³</t>
        </is>
      </c>
      <c r="K28">
        <f>HYPERLINK("CSG0.html#group2B0", "2B⁰"), =HYPERLINK("CSG0.html#group3A0", "3A⁰")</f>
        <v/>
      </c>
      <c r="L28">
        <f>HYPERLINK("CSG0.html#group6G0", "6G⁰"), =HYPERLINK("CSG0.html#group6H0", "6H⁰"), =HYPERLINK("CSG0.html#group12C0", "12C⁰"), =HYPERLINK("CSG0.html#group12D0", "12D⁰"), =HYPERLINK("CSG1.html#group6C1", "6C¹"), =HYPERLINK("CSG1.html#group12B1", "12B¹"), =HYPERLINK("CSG1.html#group12C1", "12C¹"), =HYPERLINK("CSG1.html#group18E1", "18E¹"), =HYPERLINK("CSG2.html#group30E2", "30E²"), =HYPERLINK("CSG3.html#group30D3", "30D³"), =HYPERLINK("CSG3.html#group42C3", "42C³"), =HYPERLINK("CSG5.html#group30K5", "30K⁵"), =HYPERLINK("CSG5.html#group42A5", "42A⁵"), =HYPERLINK("CSG6.html#group66F6", "66F⁶"), =HYPERLINK("CSG8.html#group66A8", "66A⁸"), =HYPERLINK("CSG8.html#group78A8", "78A⁸"), =HYPERLINK("CSG11.html#group102C11", "102C¹¹"), =HYPERLINK("CSG14.html#group114A14", "114A¹⁴"), =HYPERLINK("CSG17.html#group138A17", "138A¹⁷"), =HYPERLINK("CSG20.html#group174A20", "174A²⁰"), =HYPERLINK("CSG23.html#group186A23", "186A²³")</f>
        <v/>
      </c>
      <c r="M28">
        <f>HYPERLINK("CSG0.html#group3A0", "3A⁰"), =HYPERLINK("CSG0.html#group1A0", "1A⁰"), =HYPERLINK("CSG0.html#group2B0", "2B⁰")</f>
        <v/>
      </c>
      <c r="N28">
        <f>HYPERLINK("CSG1.html#group24E1", "24E¹"), =HYPERLINK("CSG23.html#group192E23", "192E²³"), =HYPERLINK("CSG16.html#group84F16", "84F¹⁶"), =HYPERLINK("CSG8.html#group36L8", "36L⁸"), =HYPERLINK("CSG9.html#group48M9", "48M⁹"), =HYPERLINK("CSG20.html#group90D20", "90D²⁰"), =HYPERLINK("CSG19.html#group24M19", "24M¹⁹"), =HYPERLINK("CSG14.html#group72F14", "72F¹⁴"), =HYPERLINK("CSG19.html#group48BK19", "48BK¹⁹"), =HYPERLINK("CSG19.html#group84H19", "84H¹⁹"), =HYPERLINK("CSG21.html#group120O21", "120O²¹"), =HYPERLINK("CSG9.html#group24O9", "24O⁹"), =HYPERLINK("CSG20.html#group96D20", "96D²⁰"), =HYPERLINK("CSG7.html#group30P7", "30P⁷"), =HYPERLINK("CSG20.html#group96B20", "96B²⁰"), =HYPERLINK("CSG16.html#group48D16", "48D¹⁶"), =HYPERLINK("CSG19.html#group48AT19", "48AT¹⁹"), =HYPERLINK("CSG13.html#group36C13", "36C¹³"), =HYPERLINK("CSG3.html#group24K3", "24K³"), =HYPERLINK("CSG19.html#group96S19", "96S¹⁹"), =HYPERLINK("CSG13.html#group60AE13", "60AE¹³"), =HYPERLINK("CSG7.html#group48AH7", "48AH⁷"), =HYPERLINK("CSG16.html#group30D16", "30D¹⁶"), =HYPERLINK("CSG11.html#group60U11", "60U¹¹"), =HYPERLINK("CSG15.html#group72P15", "72P¹⁵"), =HYPERLINK("CSG21.html#group48AD21", "48AD²¹"), =HYPERLINK("CSG17.html#group72L17", "72L¹⁷"), =HYPERLINK("CSG6.html#group36E6", "36E⁶"), =HYPERLINK("CSG5.html#group48E5", "48E⁵"), =HYPERLINK("CSG24.html#group264C24", "264C²⁴"), =HYPERLINK("CSG17.html#group48AM17", "48AM¹⁷"), =HYPERLINK("CSG5.html#group36K5", "36K⁵"), =HYPERLINK("CSG15.html#group36C15", "36C¹⁵"), =HYPERLINK("CSG0.html#group48A0", "48A⁰"), =HYPERLINK("CSG7.html#group48AJ7", "48AJ⁷"), =HYPERLINK("CSG15.html#group48L15", "48L¹⁵"), =HYPERLINK("CSG21.html#group48BW21", "48BW²¹"), =HYPERLINK("CSG16.html#group36H16", "36H¹⁶"), =HYPERLINK("CSG19.html#group78B19", "78B¹⁹"), =HYPERLINK("CSG17.html#group168A17", "168A¹⁷"), =HYPERLINK("CSG15.html#group24I15", "24I¹⁵"), =HYPERLINK("CSG11.html#group48A11", "48A¹¹"), =HYPERLINK("CSG19.html#group96AS19", "96AS¹⁹"), =HYPERLINK("CSG23.html#group102C23", "102C²³"), =HYPERLINK("CSG20.html#group84D20", "84D²⁰"), =HYPERLINK("CSG7.html#group30F7", "30F⁷"), =HYPERLINK("CSG13.html#group48AC13", "48AC¹³"), =HYPERLINK("CSG21.html#group48BH21", "48BH²¹"), =HYPERLINK("CSG19.html#group48AY19", "48AY¹⁹"), =HYPERLINK("CSG17.html#group48BH17", "48BH¹⁷"), =HYPERLINK("CSG21.html#group168C21", "168C²¹"), =HYPERLINK("CSG10.html#group18C10", "18C¹⁰"), =HYPERLINK("CSG16.html#group72I16", "72I¹⁶"), =HYPERLINK("CSG17.html#group24AA17", "24AA¹⁷"), =HYPERLINK("CSG12.html#group30E12", "30E¹²"), =HYPERLINK("CSG13.html#group24V13", "24V¹³"), =HYPERLINK("CSG19.html#group48BG19", "48BG¹⁹"), =HYPERLINK("CSG23.html#group120R23", "120R²³"), =HYPERLINK("CSG19.html#group24B19", "24B¹⁹"), =HYPERLINK("CSG21.html#group48AF21", "48AF²¹"), =HYPERLINK("CSG19.html#group48AW19", "48AW¹⁹"), =HYPERLINK("CSG22.html#group84J22", "84J²²"), =HYPERLINK("CSG9.html#group96I9", "96I⁹"), =HYPERLINK("CSG17.html#group48BR17", "48BR¹⁷"), =HYPERLINK("CSG13.html#group12A13", "12A¹³"), =HYPERLINK("CSG21.html#group96AY21", "96AY²¹"), =HYPERLINK("CSG22.html#group36K22", "36K²²"), =HYPERLINK("CSG22.html#group36A22", "36A²²"), =HYPERLINK("CSG23.html#group30K23", "30K²³"), =HYPERLINK("CSG15.html#group24D15", "24D¹⁵"), =HYPERLINK("CSG13.html#group24X13", "24X¹³"), =HYPERLINK("CSG21.html#group48BV21", "48BV²¹"), =HYPERLINK("CSG12.html#group36F12", "36F¹²"), =HYPERLINK("CSG15.html#group48X15", "48X¹⁵"), =HYPERLINK("CSG21.html#group48BR21", "48BR²¹"), =HYPERLINK("CSG13.html#group30H13", "30H¹³"), =HYPERLINK("CSG17.html#group132A17", "132A¹⁷"), =HYPERLINK("CSG21.html#group48BU21", "48BU²¹"), =HYPERLINK("CSG11.html#group36L11", "36L¹¹"), =HYPERLINK("CSG23.html#group60R23", "60R²³"), =HYPERLINK("CSG11.html#group60R11", "60R¹¹"), =HYPERLINK("CSG18.html#group84E18", "84E¹⁸"), =HYPERLINK("CSG7.html#group24N7", "24N⁷"), =HYPERLINK("CSG5.html#group36H5", "36H⁵"), =HYPERLINK("CSG23.html#group30F23", "30F²³"), =HYPERLINK("CSG22.html#group180A22", "180A²²"), =HYPERLINK("CSG22.html#group36C22", "36C²²"), =HYPERLINK("CSG12.html#group60D12", "60D¹²"), =HYPERLINK("CSG6.html#group18D6", "18D⁶"), =HYPERLINK("CSG9.html#group48Y9", "48Y⁹"), =HYPERLINK("CSG9.html#group48L9", "48L⁹"), =HYPERLINK("CSG21.html#group72X21", "72X²¹"), =HYPERLINK("CSG17.html#group48BZ17", "48BZ¹⁷"), =HYPERLINK("CSG23.html#group60P23", "60P²³"), =HYPERLINK("CSG19.html#group96AL19", "96AL¹⁹"), =HYPERLINK("CSG12.html#group72F12", "72F¹²"), =HYPERLINK("CSG21.html#group84H21", "84H²¹"), =HYPERLINK("CSG8.html#group72C8", "72C⁸"), =HYPERLINK("CSG17.html#group72G17", "72G¹⁷"), =HYPERLINK("CSG21.html#group192F21", "192F²¹"), =HYPERLINK("CSG0.html#group12D0", "12D⁰"), =HYPERLINK("CSG15.html#group24E15", "24E¹⁵"), =HYPERLINK("CSG19.html#group192B19", "192B¹⁹"), =HYPERLINK("CSG19.html#group48H19", "48H¹⁹"), =HYPERLINK("CSG20.html#group96AF20", "96AF²⁰"), =HYPERLINK("CSG21.html#group60U21", "60U²¹"), =HYPERLINK("CSG5.html#group24X5", "24X⁵"), =HYPERLINK("CSG11.html#group48M11", "48M¹¹"), =HYPERLINK("CSG4.html#group24P4", "24P⁴"), =HYPERLINK("CSG8.html#group48R8", "48R⁸"), =HYPERLINK("CSG11.html#group72Q11", "72Q¹¹"), =HYPERLINK("CSG9.html#group48AF9", "48AF⁹"), =HYPERLINK("CSG1.html#group6C1", "6C¹"), =HYPERLINK("CSG21.html#group60W21", "60W²¹"), =HYPERLINK("CSG20.html#group48G20", "48G²⁰"), =HYPERLINK("CSG17.html#group96AA17", "96AA¹⁷"), =HYPERLINK("CSG4.html#group48F4", "48F⁴"), =HYPERLINK("CSG16.html#group144D16", "144D¹⁶"), =HYPERLINK("CSG11.html#group120B11", "120B¹¹"), =HYPERLINK("CSG20.html#group96AC20", "96AC²⁰"), =HYPERLINK("CSG20.html#group180G20", "180G²⁰"), =HYPERLINK("CSG15.html#group60G15", "60G¹⁵"), =HYPERLINK("CSG17.html#group48AC17", "48AC¹⁷"), =HYPERLINK("CSG18.html#group84G18", "84G¹⁸"), =HYPERLINK("CSG13.html#group66B13", "66B¹³"), =HYPERLINK("CSG21.html#group48Y21", "48Y²¹"), =HYPERLINK("CSG16.html#group72O16", "72O¹⁶"), =HYPERLINK("CSG20.html#group96AA20", "96AA²⁰"), =HYPERLINK("CSG7.html#group96A7", "96A⁷"), =HYPERLINK("CSG18.html#group78B18", "78B¹⁸"), =HYPERLINK("CSG14.html#group72C14", "72C¹⁴"), =HYPERLINK("CSG7.html#group24L7", "24L⁷"), =HYPERLINK("CSG12.html#group60B12", "60B¹²"), =HYPERLINK("CSG8.html#group48AC8", "48AC⁸"), =HYPERLINK("CSG22.html#group168B22", "168B²²"), =HYPERLINK("CSG11.html#group84B11", "84B¹¹"), =HYPERLINK("CSG11.html#group72N11", "72N¹¹"), =HYPERLINK("CSG15.html#group48K15", "48K¹⁵"), =HYPERLINK("CSG13.html#group24Y13", "24Y¹³"), =HYPERLINK("CSG20.html#group96I20", "96I²⁰"), =HYPERLINK("CSG11.html#group48J11", "48J¹¹"), =HYPERLINK("CSG13.html#group96H13", "96H¹³"), =HYPERLINK("CSG24.html#group252G24", "252G²⁴"), =HYPERLINK("CSG13.html#group24N13", "24N¹³"), =HYPERLINK("CSG23.html#group144Y23", "144Y²³"), =HYPERLINK("CSG5.html#group48H5", "48H⁵"), =HYPERLINK("CSG15.html#group72H15", "72H¹⁵"), =HYPERLINK("CSG21.html#group96F21", "96F²¹"), =HYPERLINK("CSG16.html#group84C16", "84C¹⁶"), =HYPERLINK("CSG17.html#group42C17", "42C¹⁷"), =HYPERLINK("CSG21.html#group72AA21", "72AA²¹"), =HYPERLINK("CSG15.html#group24J15", "24J¹⁵"), =HYPERLINK("CSG17.html#group42G17", "42G¹⁷"), =HYPERLINK("CSG21.html#group48AJ21", "48AJ²¹"), =HYPERLINK("CSG11.html#group36G11", "36G¹¹"), =HYPERLINK("CSG16.html#group84H16", "84H¹⁶"), =HYPERLINK("CSG15.html#group48P15", "48P¹⁵"), =HYPERLINK("CSG17.html#group78A17", "78A¹⁷"), =HYPERLINK("CSG3.html#group24L3", "24L³"), =HYPERLINK("CSG23.html#group60F23", "60F²³"), =HYPERLINK("CSG9.html#group24E9", "24E⁹"), =HYPERLINK("CSG3.html#group24Q3", "24Q³"), =HYPERLINK("CSG23.html#group96I23", "96I²³"), =HYPERLINK("CSG1.html#group12K1", "12K¹"), =HYPERLINK("CSG11.html#group60N11", "60N¹¹"), =HYPERLINK("CSG17.html#group48D17", "48D¹⁷"), =HYPERLINK("CSG13.html#group30K13", "30K¹³"), =HYPERLINK("CSG8.html#group84F8", "84F⁸"), =HYPERLINK("CSG17.html#group96D17", "96D¹⁷"), =HYPERLINK("CSG9.html#group84C9", "84C⁹"), =HYPERLINK("CSG21.html#group96AJ21", "96AJ²¹"), =HYPERLINK("CSG10.html#group42C10", "42C¹⁰"), =HYPERLINK("CSG17.html#group96P17", "96P¹⁷"), =HYPERLINK("CSG17.html#group96C17", "96C¹⁷"), =HYPERLINK("CSG21.html#group48BN21", "48BN²¹"), =HYPERLINK("CSG16.html#group42C16", "42C¹⁶"), =HYPERLINK("CSG3.html#group24T3", "24T³"), =HYPERLINK("CSG9.html#group84B9", "84B⁹"), =HYPERLINK("CSG0.html#group6K0", "6K⁰"), =HYPERLINK("CSG13.html#group144D13", "144D¹³"), =HYPERLINK("CSG23.html#group30A23", "30A²³"), =HYPERLINK("CSG11.html#group30I11", "30I¹¹"), =HYPERLINK("CSG19.html#group42G19", "42G¹⁹"), =HYPERLINK("CSG19.html#group42K19", "42K¹⁹"), =HYPERLINK("CSG17.html#group96AF17", "96AF¹⁷"), =HYPERLINK("CSG13.html#group60AB13", "60AB¹³"), =HYPERLINK("CSG18.html#group96G18", "96G¹⁸"), =HYPERLINK("CSG7.html#group18N7", "18N⁷"), =HYPERLINK("CSG10.html#group36Q10", "36Q¹⁰"), =HYPERLINK("CSG19.html#group156A19", "156A¹⁹"), =HYPERLINK("CSG17.html#group24V17", "24V¹⁷"), =HYPERLINK("CSG19.html#group192A19", "192A¹⁹"), =HYPERLINK("CSG7.html#group18K7", "18K⁷"), =HYPERLINK("CSG2.html#group24N2", "24N²"), =HYPERLINK("CSG21.html#group84A21", "84A²¹"), =HYPERLINK("CSG21.html#group48AS21", "48AS²¹"), =HYPERLINK("CSG21.html#group96AB21", "96AB²¹"), =HYPERLINK("CSG5.html#group12D5", "12D⁵"), =HYPERLINK("CSG23.html#group60D23", "60D²³"), =HYPERLINK("CSG16.html#group18A16", "18A¹⁶"), =HYPERLINK("CSG18.html#group96D18", "96D¹⁸"), =HYPERLINK("CSG23.html#group96F23", "96F²³"), =HYPERLINK("CSG17.html#group96G17", "96G¹⁷"), =HYPERLINK("CSG5.html#group30K5", "30K⁵"), =HYPERLINK("CSG8.html#group36A8", "36A⁸"), =HYPERLINK("CSG13.html#group60Y13", "60Y¹³"), =HYPERLINK("CSG22.html#group96C22", "96C²²"), =HYPERLINK("CSG20.html#group84C20", "84C²⁰"), =HYPERLINK("CSG16.html#group96D16", "96D¹⁶"), =HYPERLINK("CSG17.html#group96Y17", "96Y¹⁷"), =HYPERLINK("CSG23.html#group60G23", "60G²³"), =HYPERLINK("CSG23.html#group180M23", "180M²³"), =HYPERLINK("CSG23.html#group36C23", "36C²³"), =HYPERLINK("CSG7.html#group24H7", "24H⁷"), =HYPERLINK("CSG10.html#group96B10", "96B¹⁰"), =HYPERLINK("CSG21.html#group96P21", "96P²¹"), =HYPERLINK("CSG5.html#group36I5", "36I⁵"), =HYPERLINK("CSG10.html#group18M10", "18M¹⁰"), =HYPERLINK("CSG8.html#group36C8", "36C⁸"), =HYPERLINK("CSG7.html#group18E7", "18E⁷"), =HYPERLINK("CSG10.html#group36N10", "36N¹⁰"), =HYPERLINK("CSG21.html#group72AB21", "72AB²¹"), =HYPERLINK("CSG13.html#group144B13", "144B¹³"), =HYPERLINK("CSG13.html#group72P13", "72P¹³"), =HYPERLINK("CSG16.html#group48C16", "48C¹⁶"), =HYPERLINK("CSG21.html#group96AG21", "96AG²¹"), =HYPERLINK("CSG18.html#group48C18", "48C¹⁸"), =HYPERLINK("CSG21.html#group96U21", "96U²¹"), =HYPERLINK("CSG17.html#group84M17", "84M¹⁷"), =HYPERLINK("CSG8.html#group24M8", "24M⁸"), =HYPERLINK("CSG5.html#group30P5", "30P⁵"), =HYPERLINK("CSG6.html#group36H6", "36H⁶"), =HYPERLINK("CSG15.html#group48V15", "48V¹⁵"), =HYPERLINK("CSG15.html#group96T15", "96T¹⁵"), =HYPERLINK("CSG6.html#group30D6", "30D⁶"), =HYPERLINK("CSG21.html#group48O21", "48O²¹"), =HYPERLINK("CSG18.html#group48H18", "48H¹⁸"), =HYPERLINK("CSG23.html#group144W23", "144W²³"), =HYPERLINK("CSG3.html#group24S3", "24S³"), =HYPERLINK("CSG15.html#group96O15", "96O¹⁵"), =HYPERLINK("CSG23.html#group96S23", "96S²³"), =HYPERLINK("CSG5.html#group24R5", "24R⁵"), =HYPERLINK("CSG11.html#group30K11", "30K¹¹"), =HYPERLINK("CSG22.html#group96A22", "96A²²"), =HYPERLINK("CSG6.html#group24K6", "24K⁶"), =HYPERLINK("CSG13.html#group24O13", "24O¹³"), =HYPERLINK("CSG18.html#group168E18", "168E¹⁸"), =HYPERLINK("CSG23.html#group204G23", "204G²³"), =HYPERLINK("CSG21.html#group48V21", "48V²¹"), =HYPERLINK("CSG10.html#group96C10", "96C¹⁰"), =HYPERLINK("CSG17.html#group96I17", "96I¹⁷"), =HYPERLINK("CSG17.html#group84J17", "84J¹⁷"), =HYPERLINK("CSG17.html#group48R17", "48R¹⁷"), =HYPERLINK("CSG21.html#group48AK21", "48AK²¹"), =HYPERLINK("CSG23.html#group96E23", "96E²³"), =HYPERLINK("CSG17.html#group48BL17", "48BL¹⁷"), =HYPERLINK("CSG22.html#group84I22", "84I²²"), =HYPERLINK("CSG14.html#group84C14", "84C¹⁴"), =HYPERLINK("CSG9.html#group36O9", "36O⁹"), =HYPERLINK("CSG17.html#group24J17", "24J¹⁷"), =HYPERLINK("CSG7.html#group18M7", "18M⁷"), =HYPERLINK("CSG12.html#group30B12", "30B¹²"), =HYPERLINK("CSG8.html#group48V8", "48V⁸"), =HYPERLINK("CSG7.html#group36F7", "36F⁷"), =HYPERLINK("CSG20.html#group90A20", "90A²⁰"), =HYPERLINK("CSG7.html#group48AD7", "48AD⁷"), =HYPERLINK("CSG16.html#group144H16", "144H¹⁶"), =HYPERLINK("CSG19.html#group48O19", "48O¹⁹"), =HYPERLINK("CSG17.html#group48BC17", "48BC¹⁷"), =HYPERLINK("CSG21.html#group48AX21", "48AX²¹"), =HYPERLINK("CSG18.html#group72E18", "72E¹⁸"), =HYPERLINK("CSG10.html#group144E10", "144E¹⁰"), =HYPERLINK("CSG4.html#group36D4", "36D⁴"), =HYPERLINK("CSG19.html#group48BH19", "48BH¹⁹"), =HYPERLINK("CSG8.html#group48C8", "48C⁸"), =HYPERLINK("CSG2.html#group18P2", "18P²"), =HYPERLINK("CSG17.html#group48BG17", "48BG¹⁷"), =HYPERLINK("CSG15.html#group60E15", "60E¹⁵"), =HYPERLINK("CSG8.html#group36F8", "36F⁸"), =HYPERLINK("CSG9.html#group24C9", "24C⁹"), =HYPERLINK("CSG18.html#group48G18", "48G¹⁸"), =HYPERLINK("CSG13.html#group60AF13", "60AF¹³"), =HYPERLINK("CSG23.html#group42L23", "42L²³"), =HYPERLINK("CSG17.html#group48CB17", "48CB¹⁷"), =HYPERLINK("CSG16.html#group132C16", "132C¹⁶"), =HYPERLINK("CSG15.html#group96U15", "96U¹⁵"), =HYPERLINK("CSG8.html#group36E8", "36E⁸"), =HYPERLINK("CSG17.html#group48BF17", "48BF¹⁷"), =HYPERLINK("CSG23.html#group60E23", "60E²³"), =HYPERLINK("CSG21.html#group96X21", "96X²¹"), =HYPERLINK("CSG22.html#group54A22", "54A²²"), =HYPERLINK("CSG11.html#group120C11", "120C¹¹"), =HYPERLINK("CSG19.html#group48AP19", "48AP¹⁹"), =HYPERLINK("CSG7.html#group24X7", "24X⁷"), =HYPERLINK("CSG4.html#group36R4", "36R⁴"), =HYPERLINK("CSG1.html#group12S1", "12S¹"), =HYPERLINK("CSG24.html#group42C24", "42C²⁴"), =HYPERLINK("CSG17.html#group72K17", "72K¹⁷"), =HYPERLINK("CSG1.html#group12N1", "12N¹"), =HYPERLINK("CSG21.html#group96I21", "96I²¹"), =HYPERLINK("CSG21.html#group192J21", "192J²¹"), =HYPERLINK("CSG15.html#group96P15", "96P¹⁵"), =HYPERLINK("CSG17.html#group72D17", "72D¹⁷"), =HYPERLINK("CSG8.html#group48L8", "48L⁸"), =HYPERLINK("CSG8.html#group36N8", "36N⁸"), =HYPERLINK("CSG20.html#group48F20", "48F²⁰"), =HYPERLINK("CSG21.html#group96AP21", "96AP²¹"), =HYPERLINK("CSG13.html#group60O13", "60O¹³"), =HYPERLINK("CSG19.html#group96P19", "96P¹⁹"), =HYPERLINK("CSG21.html#group48BT21", "48BT²¹"), =HYPERLINK("CSG23.html#group96G23", "96G²³"), =HYPERLINK("CSG23.html#group192A23", "192A²³"), =HYPERLINK("CSG23.html#group96C23", "96C²³"), =HYPERLINK("CSG17.html#group48AV17", "48AV¹⁷"), =HYPERLINK("CSG15.html#group24S15", "24S¹⁵"), =HYPERLINK("CSG1.html#group12U1", "12U¹"), =HYPERLINK("CSG17.html#group48BD17", "48BD¹⁷"), =HYPERLINK("CSG16.html#group42E16", "42E¹⁶"), =HYPERLINK("CSG21.html#group90A21", "90A²¹"), =HYPERLINK("CSG4.html#group72E4", "72E⁴"), =HYPERLINK("CSG19.html#group18E19", "18E¹⁹"), =HYPERLINK("CSG19.html#group96D19", "96D¹⁹"), =HYPERLINK("CSG21.html#group180J21", "180J²¹"), =HYPERLINK("CSG8.html#group48Q8", "48Q⁸"), =HYPERLINK("CSG20.html#group96Y20", "96Y²⁰"), =HYPERLINK("CSG9.html#group24U9", "24U⁹"), =HYPERLINK("CSG17.html#group48BE17", "48BE¹⁷"), =HYPERLINK("CSG15.html#group72M15", "72M¹⁵"), =HYPERLINK("CSG9.html#group96H9", "96H⁹"), =HYPERLINK("CSG17.html#group48BU17", "48BU¹⁷"), =HYPERLINK("CSG12.html#group60C12", "60C¹²"), =HYPERLINK("CSG21.html#group48AP21", "48AP²¹"), =HYPERLINK("CSG15.html#group48AF15", "48AF¹⁵"), =HYPERLINK("CSG3.html#group42C3", "42C³"), =HYPERLINK("CSG17.html#group24C17", "24C¹⁷"), =HYPERLINK("CSG19.html#group96H19", "96H¹⁹"), =HYPERLINK("CSG21.html#group96H21", "96H²¹"), =HYPERLINK("CSG2.html#group12C2", "12C²"), =HYPERLINK("CSG1.html#group12T1", "12T¹"), =HYPERLINK("CSG8.html#group66A8", "66A⁸"), =HYPERLINK("CSG16.html#group30C16", "30C¹⁶"), =HYPERLINK("CSG10.html#group48A10", "48A¹⁰"), =HYPERLINK("CSG15.html#group30F15", "30F¹⁵"), =HYPERLINK("CSG17.html#group48BM17", "48BM¹⁷"), =HYPERLINK("CSG21.html#group96A21", "96A²¹"), =HYPERLINK("CSG19.html#group84C19", "84C¹⁹"), =HYPERLINK("CSG19.html#group48BJ19", "48BJ¹⁹"), =HYPERLINK("CSG7.html#group48P7", "48P⁷"), =HYPERLINK("CSG6.html#group24F6", "24F⁶"), =HYPERLINK("CSG15.html#group36M15", "36M¹⁵"), =HYPERLINK("CSG17.html#group84N17", "84N¹⁷"), =HYPERLINK("CSG20.html#group48B20", "48B²⁰"), =HYPERLINK("CSG8.html#group36G8", "36G⁸"), =HYPERLINK("CSG18.html#group18A18", "18A¹⁸"), =HYPERLINK("CSG17.html#group48BT17", "48BT¹⁷"), =HYPERLINK("CSG2.html#group18L2", "18L²"), =HYPERLINK("CSG7.html#group42I7", "42I⁷"), =HYPERLINK("CSG2.html#group24B2", "24B²"), =HYPERLINK("CSG21.html#group96G21", "96G²¹"), =HYPERLINK("CSG13.html#group72I13", "72I¹³"), =HYPERLINK("CSG19.html#group96BA19", "96BA¹⁹"), =HYPERLINK("CSG17.html#group48J17", "48J¹⁷"), =HYPERLINK("CSG7.html#group24AE7", "24AE⁷"), =HYPERLINK("CSG9.html#group24Y9", "24Y⁹"), =HYPERLINK("CSG1.html#group12B1", "12B¹"), =HYPERLINK("CSG21.html#group48F21", "48F²¹"), =HYPERLINK("CSG3.html#group96A3", "96A³"), =HYPERLINK("CSG5.html#group48B5", "48B⁵"), =HYPERLINK("CSG7.html#group24K7", "24K⁷"), =HYPERLINK("CSG5.html#group48A5", "48A⁵"), =HYPERLINK("CSG9.html#group48E9", "48E⁹"), =HYPERLINK("CSG8.html#group72E8", "72E⁸"), =HYPERLINK("CSG17.html#group48K17", "48K¹⁷"), =HYPERLINK("CSG19.html#group96AX19", "96AX¹⁹"), =HYPERLINK("CSG8.html#group48W8", "48W⁸"), =HYPERLINK("CSG23.html#group204F23", "204F²³"), =HYPERLINK("CSG5.html#group24Y5", "24Y⁵"), =HYPERLINK("CSG6.html#group72B6", "72B⁶"), =HYPERLINK("CSG21.html#group48BD21", "48BD²¹"), =HYPERLINK("CSG8.html#group18A8", "18A⁸"), =HYPERLINK("CSG23.html#group96AC23", "96AC²³"), =HYPERLINK("CSG7.html#group48V7", "48V⁷"), =HYPERLINK("CSG23.html#group192D23", "192D²³"), =HYPERLINK("CSG4.html#group24H4", "24H⁴"), =HYPERLINK("CSG6.html#group72D6", "72D⁶"), =HYPERLINK("CSG17.html#group24T17", "24T¹⁷"), =HYPERLINK("CSG7.html#group72B7", "72B⁷"), =HYPERLINK("CSG14.html#group114A14", "114A¹⁴"), =HYPERLINK("CSG19.html#group96W19", "96W¹⁹"), =HYPERLINK("CSG21.html#group180I21", "180I²¹"), =HYPERLINK("CSG23.html#group96B23", "96B²³"), =HYPERLINK("CSG14.html#group66A14", "66A¹⁴"), =HYPERLINK("CSG15.html#group48O15", "48O¹⁵"), =HYPERLINK("CSG16.html#group66B16", "66B¹⁶"), =HYPERLINK("CSG19.html#group96AO19", "96AO¹⁹"), =HYPERLINK("CSG2.html#group36C2", "36C²"), =HYPERLINK("CSG20.html#group150B20", "150B²⁰"), =HYPERLINK("CSG16.html#group168C16", "168C¹⁶"), =HYPERLINK("CSG14.html#group72B14", "72B¹⁴"), =HYPERLINK("CSG8.html#group48F8", "48F⁸"), =HYPERLINK("CSG9.html#group96B9", "96B⁹"), =HYPERLINK("CSG8.html#group72B8", "72B⁸"), =HYPERLINK("CSG3.html#group24I3", "24I³"), =HYPERLINK("CSG8.html#group96D8", "96D⁸"), =HYPERLINK("CSG15.html#group72U15", "72U¹⁵"), =HYPERLINK("CSG17.html#group72B17", "72B¹⁷"), =HYPERLINK("CSG16.html#group48B16", "48B¹⁶"), =HYPERLINK("CSG15.html#group24H15", "24H¹⁵"), =HYPERLINK("CSG20.html#group168E20", "168E²⁰"), =HYPERLINK("CSG19.html#group24F19", "24F¹⁹"), =HYPERLINK("CSG11.html#group72M11", "72M¹¹"), =HYPERLINK("CSG9.html#group42A9", "42A⁹"), =HYPERLINK("CSG21.html#group96AM21", "96AM²¹"), =HYPERLINK("CSG23.html#group120M23", "120M²³"), =HYPERLINK("CSG13.html#group60R13", "60R¹³"), =HYPERLINK("CSG12.html#group72E12", "72E¹²"), =HYPERLINK("CSG18.html#group84B18", "84B¹⁸"), =HYPERLINK("CSG15.html#group60B15", "60B¹⁵"), =HYPERLINK("CSG15.html#group24B15", "24B¹⁵"), =HYPERLINK("CSG8.html#group36O8", "36O⁸"), =HYPERLINK("CSG15.html#group72W15", "72W¹⁵"), =HYPERLINK("CSG21.html#group48AI21", "48AI²¹"), =HYPERLINK("CSG15.html#group72S15", "72S¹⁵"), =HYPERLINK("CSG16.html#group144G16", "144G¹⁶"), =HYPERLINK("CSG15.html#group72Q15", "72Q¹⁵"), =HYPERLINK("CSG18.html#group48P18", "48P¹⁸"), =HYPERLINK("CSG23.html#group120N23", "120N²³"), =HYPERLINK("CSG5.html#group48F5", "48F⁵"), =HYPERLINK("CSG19.html#group156B19", "156B¹⁹"), =HYPERLINK("CSG9.html#group24H9", "24H⁹"), =HYPERLINK("CSG11.html#group30D11", "30D¹¹"), =HYPERLINK("CSG13.html#group36I13", "36I¹³"), =HYPERLINK("CSG19.html#group48BC19", "48BC¹⁹"), =HYPERLINK("CSG4.html#group48H4", "48H⁴"), =HYPERLINK("CSG15.html#group48AA15", "48AA¹⁵"), =HYPERLINK("CSG19.html#group48BB19", "48BB¹⁹"), =HYPERLINK("CSG11.html#group36J11", "36J¹¹"), =HYPERLINK("CSG15.html#group48S15", "48S¹⁵"), =HYPERLINK("CSG13.html#group72M13", "72M¹³"), =HYPERLINK("CSG12.html#group96A12", "96A¹²"), =HYPERLINK("CSG10.html#group48B10", "48B¹⁰"), =HYPERLINK("CSG19.html#group96AN19", "96AN¹⁹"), =HYPERLINK("CSG4.html#group48G4", "48G⁴"), =HYPERLINK("CSG16.html#group150A16", "150A¹⁶"), =HYPERLINK("CSG13.html#group24L13", "24L¹³"), =HYPERLINK("CSG2.html#group30E2", "30E²"), =HYPERLINK("CSG17.html#group48BS17", "48BS¹⁷"), =HYPERLINK("CSG15.html#group54A15", "54A¹⁵"), =HYPERLINK("CSG16.html#group156A16", "156A¹⁶"), =HYPERLINK("CSG23.html#group192L23", "192L²³"), =HYPERLINK("CSG18.html#group144C18", "144C¹⁸"), =HYPERLINK("CSG21.html#group48E21", "48E²¹"), =HYPERLINK("CSG20.html#group96AE20", "96AE²⁰"), =HYPERLINK("CSG4.html#group24E4", "24E⁴"), =HYPERLINK("CSG11.html#group48Q11", "48Q¹¹"), =HYPERLINK("CSG19.html#group48AB19", "48AB¹⁹"), =HYPERLINK("CSG8.html#group48G8", "48G⁸"), =HYPERLINK("CSG3.html#group48F3", "48F³"), =HYPERLINK("CSG10.html#group60C10", "60C¹⁰"), =HYPERLINK("CSG13.html#group60V13", "60V¹³"), =HYPERLINK("CSG15.html#group60O15", "60O¹⁵"), =HYPERLINK("CSG15.html#group96R15", "96R¹⁵"), =HYPERLINK("CSG19.html#group48BE19", "48BE¹⁹"), =HYPERLINK("CSG21.html#group90B21", "90B²¹"), =HYPERLINK("CSG11.html#group48R11", "48R¹¹"), =HYPERLINK("CSG9.html#group48N9", "48N⁹"), =HYPERLINK("CSG17.html#group48AI17", "48AI¹⁷"), =HYPERLINK("CSG18.html#group156B18", "156B¹⁸"), =HYPERLINK("CSG6.html#group30C6", "30C⁶"), =HYPERLINK("CSG16.html#group72E16", "72E¹⁶"), =HYPERLINK("CSG17.html#group24AB17", "24AB¹⁷"), =HYPERLINK("CSG21.html#group48AH21", "48AH²¹"), =HYPERLINK("CSG22.html#group36L22", "36L²²"), =HYPERLINK("CSG17.html#group48U17", "48U¹⁷"), =HYPERLINK("CSG21.html#group96W21", "96W²¹"), =HYPERLINK("CSG4.html#group18N4", "18N⁴"), =HYPERLINK("CSG21.html#group96L21", "96L²¹"), =HYPERLINK("CSG15.html#group60I15", "60I¹⁵"), =HYPERLINK("CSG7.html#group36E7", "36E⁷"), =HYPERLINK("CSG15.html#group144B15", "144B¹⁵"), =HYPERLINK("CSG9.html#group24AA9", "24AA⁹"), =HYPERLINK("CSG19.html#group96AK19", "96AK¹⁹"), =HYPERLINK("CSG16.html#group66C16", "66C¹⁶"), =HYPERLINK("CSG20.html#group96S20", "96S²⁰"), =HYPERLINK("CSG22.html#group96B22", "96B²²"), =HYPERLINK("CSG11.html#group48N11", "48N¹¹"), =HYPERLINK("CSG9.html#group48V9", "48V⁹"), =HYPERLINK("CSG15.html#group36N15", "36N¹⁵"), =HYPERLINK("CSG19.html#group96L19", "96L¹⁹"), =HYPERLINK("CSG23.html#group102D23", "102D²³"), =HYPERLINK("CSG8.html#group24A8", "24A⁸"), =HYPERLINK("CSG7.html#group24V7", "24V⁷"), =HYPERLINK("CSG10.html#group18E10", "18E¹⁰"), =HYPERLINK("CSG21.html#group96C21", "96C²¹"), =HYPERLINK("CSG18.html#group48B18", "48B¹⁸"), =HYPERLINK("CSG13.html#group24U13", "24U¹³"), =HYPERLINK("CSG17.html#group36I17", "36I¹⁷"), =HYPERLINK("CSG13.html#group144A13", "144A¹³"), =HYPERLINK("CSG20.html#group168F20", "168F²⁰"), =HYPERLINK("CSG21.html#group48AB21", "48AB²¹"), =HYPERLINK("CSG21.html#group48BC21", "48BC²¹"), =HYPERLINK("CSG13.html#group72J13", "72J¹³"), =HYPERLINK("CSG10.html#group48G10", "48G¹⁰"), =HYPERLINK("CSG8.html#group36D8", "36D⁸"), =HYPERLINK("CSG23.html#group96AA23", "96AA²³"), =HYPERLINK("CSG21.html#group48B21", "48B²¹"), =HYPERLINK("CSG22.html#group180B22", "180B²²"), =HYPERLINK("CSG17.html#group48S17", "48S¹⁷"), =HYPERLINK("CSG14.html#group72G14", "72G¹⁴"), =HYPERLINK("CSG19.html#group96AY19", "96AY¹⁹"), =HYPERLINK("CSG13.html#group120I13", "120I¹³"), =HYPERLINK("CSG13.html#group48Y13", "48Y¹³"), =HYPERLINK("CSG19.html#group48E19", "48E¹⁹"), =HYPERLINK("CSG9.html#group24I9", "24I⁹"), =HYPERLINK("CSG13.html#group60AA13", "60AA¹³"), =HYPERLINK("CSG17.html#group48BJ17", "48BJ¹⁷"), =HYPERLINK("CSG4.html#group24K4", "24K⁴"), =HYPERLINK("CSG9.html#group24Z9", "24Z⁹"), =HYPERLINK("CSG9.html#group48AE9", "48AE⁹"), =HYPERLINK("CSG15.html#group60M15", "60M¹⁵"), =HYPERLINK("CSG21.html#group48Q21", "48Q²¹"), =HYPERLINK("CSG21.html#group48BQ21", "48BQ²¹"), =HYPERLINK("CSG13.html#group60F13", "60F¹³"), =HYPERLINK("CSG16.html#group24E16", "24E¹⁶"), =HYPERLINK("CSG23.html#group96Z23", "96Z²³"), =HYPERLINK("CSG17.html#group48AU17", "48AU¹⁷"), =HYPERLINK("CSG20.html#group84H20", "84H²⁰"), =HYPERLINK("CSG17.html#group48AD17", "48AD¹⁷"), =HYPERLINK("CSG13.html#group36S13", "36S¹³"), =HYPERLINK("CSG17.html#group30F17", "30F¹⁷"), =HYPERLINK("CSG0.html#group6G0", "6G⁰"), =HYPERLINK("CSG16.html#group72B16", "72B¹⁶"), =HYPERLINK("CSG3.html#group24M3", "24M³"), =HYPERLINK("CSG16.html#group48A16", "48A¹⁶"), =HYPERLINK("CSG10.html#group48F10", "48F¹⁰"), =HYPERLINK("CSG23.html#group192J23", "192J²³"), =HYPERLINK("CSG4.html#group60C4", "60C⁴"), =HYPERLINK("CSG11.html#group48E11", "48E¹¹"), =HYPERLINK("CSG13.html#group36G13", "36G¹³"), =HYPERLINK("CSG17.html#group48AA17", "48AA¹⁷"), =HYPERLINK("CSG10.html#group30C10", "30C¹⁰"), =HYPERLINK("CSG17.html#group48BB17", "48BB¹⁷"), =HYPERLINK("CSG21.html#group96AV21", "96AV²¹"), =HYPERLINK("CSG6.html#group48C6", "48C⁶"), =HYPERLINK("CSG14.html#group72K14", "72K¹⁴"), =HYPERLINK("CSG19.html#group24O19", "24O¹⁹"), =HYPERLINK("CSG4.html#group24M4", "24M⁴"), =HYPERLINK("CSG21.html#group48G21", "48G²¹"), =HYPERLINK("CSG12.html#group72H12", "72H¹²"), =HYPERLINK("CSG11.html#group96I11", "96I¹¹"), =HYPERLINK("CSG13.html#group120B13", "120B¹³"), =HYPERLINK("CSG19.html#group84D19", "84D¹⁹"), =HYPERLINK("CSG21.html#group48M21", "48M²¹"), =HYPERLINK("CSG13.html#group120G13", "120G¹³"), =HYPERLINK("CSG17.html#group144C17", "144C¹⁷"), =HYPERLINK("CSG4.html#group24F4", "24F⁴"), =HYPERLINK("CSG9.html#group96A9", "96A⁹"), =HYPERLINK("CSG19.html#group96K19", "96K¹⁹"), =HYPERLINK("CSG1.html#group24D1", "24D¹"), =HYPERLINK("CSG9.html#group48U9", "48U⁹"), =HYPERLINK("CSG19.html#group96AM19", "96AM¹⁹"), =HYPERLINK("CSG15.html#group84H15", "84H¹⁵"), =HYPERLINK("CSG6.html#group24J6", "24J⁶"), =HYPERLINK("CSG15.html#group96M15", "96M¹⁵"), =HYPERLINK("CSG16.html#group72N16", "72N¹⁶"), =HYPERLINK("CSG8.html#group48AD8", "48AD⁸"), =HYPERLINK("CSG4.html#group48B4", "48B⁴"), =HYPERLINK("CSG17.html#group48AX17", "48AX¹⁷"), =HYPERLINK("CSG23.html#group30H23", "30H²³"), =HYPERLINK("CSG22.html#group168D22", "168D²²"), =HYPERLINK("CSG8.html#group36M8", "36M⁸"), =HYPERLINK("CSG7.html#group48AB7", "48AB⁷"), =HYPERLINK("CSG19.html#group96AQ19", "96AQ¹⁹"), =HYPERLINK("CSG9.html#group48AA9", "48AA⁹"), =HYPERLINK("CSG21.html#group84F21", "84F²¹"), =HYPERLINK("CSG19.html#group36O19", "36O¹⁹"), =HYPERLINK("CSG11.html#group48L11", "48L¹¹"), =HYPERLINK("CSG12.html#group96D12", "96D¹²"), =HYPERLINK("CSG15.html#group72I15", "72I¹⁵"), =HYPERLINK("CSG21.html#group48K21", "48K²¹"), =HYPERLINK("CSG19.html#group24C19", "24C¹⁹"), =HYPERLINK("CSG20.html#group96G20", "96G²⁰"), =HYPERLINK("CSG2.html#group24M2", "24M²"), =HYPERLINK("CSG5.html#group24T5", "24T⁵"), =HYPERLINK("CSG22.html#group72H22", "72H²²"), =HYPERLINK("CSG15.html#group132D15", "132D¹⁵"), =HYPERLINK("CSG17.html#group48T17", "48T¹⁷"), =HYPERLINK("CSG17.html#group96AE17", "96AE¹⁷"), =HYPERLINK("CSG20.html#group96O20", "96O²⁰"), =HYPERLINK("CSG4.html#group24L4", "24L⁴"), =HYPERLINK("CSG2.html#group18I2", "18I²"), =HYPERLINK("CSG18.html#group48D18", "48D¹⁸"), =HYPERLINK("CSG19.html#group24P19", "24P¹⁹"), =HYPERLINK("CSG13.html#group48AA13", "48AA¹³"), =HYPERLINK("CSG17.html#group84K17", "84K¹⁷"), =HYPERLINK("CSG15.html#group60C15", "60C¹⁵"), =HYPERLINK("CSG21.html#group96AD21", "96AD²¹"), =HYPERLINK("CSG7.html#group18I7", "18I⁷"), =HYPERLINK("CSG21.html#group48R21", "48R²¹"), =HYPERLINK("CSG21.html#group48L21", "48L²¹"), =HYPERLINK("CSG21.html#group48BL21", "48BL²¹"), =HYPERLINK("CSG16.html#group144F16", "144F¹⁶"), =HYPERLINK("CSG9.html#group96J9", "96J⁹"), =HYPERLINK("CSG22.html#group48D22", "48D²²"), =HYPERLINK("CSG15.html#group24C15", "24C¹⁵"), =HYPERLINK("CSG5.html#group30O5", "30O⁵"), =HYPERLINK("CSG19.html#group48AA19", "48AA¹⁹"), =HYPERLINK("CSG7.html#group48T7", "48T⁷"), =HYPERLINK("CSG9.html#group24A9", "24A⁹"), =HYPERLINK("CSG19.html#group36S19", "36S¹⁹"), =HYPERLINK("CSG15.html#group48E15", "48E¹⁵"), =HYPERLINK("CSG19.html#group48AS19", "48AS¹⁹"), =HYPERLINK("CSG16.html#group42I16", "42I¹⁶"), =HYPERLINK("CSG11.html#group60Q11", "60Q¹¹"), =HYPERLINK("CSG8.html#group18B8", "18B⁸"), =HYPERLINK("CSG23.html#group96AB23", "96AB²³"), =HYPERLINK("CSG11.html#group84A11", "84A¹¹"), =HYPERLINK("CSG10.html#group48E10", "48E¹⁰"), =HYPERLINK("CSG17.html#group24AC17", "24AC¹⁷"), =HYPERLINK("CSG19.html#group96C19", "96C¹⁹"), =HYPERLINK("CSG21.html#group60X21", "60X²¹"), =HYPERLINK("CSG17.html#group48AT17", "48AT¹⁷"), =HYPERLINK("CSG19.html#group84A19", "84A¹⁹"), =HYPERLINK("CSG16.html#group72Q16", "72Q¹⁶"), =HYPERLINK("CSG17.html#group48CG17", "48CG¹⁷"), =HYPERLINK("CSG19.html#group48K19", "48K¹⁹"), =HYPERLINK("CSG16.html#group48E16", "48E¹⁶"), =HYPERLINK("CSG17.html#group48BY17", "48BY¹⁷"), =HYPERLINK("CSG15.html#group66A15", "66A¹⁵"), =HYPERLINK("CSG11.html#group72R11", "72R¹¹"), =HYPERLINK("CSG17.html#group24G17", "24G¹⁷"), =HYPERLINK("CSG4.html#group24J4", "24J⁴"), =HYPERLINK("CSG17.html#group24Q17", "24Q¹⁷"), =HYPERLINK("CSG8.html#group36B8", "36B⁸"), =HYPERLINK("CSG17.html#group126A17", "126A¹⁷"), =HYPERLINK("CSG21.html#group192E21", "192E²¹"), =HYPERLINK("CSG19.html#group48AH19", "48AH¹⁹"), =HYPERLINK("CSG15.html#group48AD15", "48AD¹⁵"), =HYPERLINK("CSG17.html#group48CI17", "48CI¹⁷"), =HYPERLINK("CSG9.html#group24D9", "24D⁹"), =HYPERLINK("CSG20.html#group96X20", "96X²⁰"), =HYPERLINK("CSG21.html#group48BG21", "48BG²¹"), =HYPERLINK("CSG1.html#group12C1", "12C¹"), =HYPERLINK("CSG17.html#group48AF17", "48AF¹⁷"), =HYPERLINK("CSG19.html#group192D19", "192D¹⁹"), =HYPERLINK("CSG6.html#group36C6", "36C⁶"), =HYPERLINK("CSG23.html#group96R23", "96R²³"), =HYPERLINK("CSG13.html#group144E13", "144E¹³"), =HYPERLINK("CSG8.html#group72D8", "72D⁸"), =HYPERLINK("CSG19.html#group24Q19", "24Q¹⁹"), =HYPERLINK("CSG15.html#group24R15", "24R¹⁵"), =HYPERLINK("CSG19.html#group36T19", "36T¹⁹"), =HYPERLINK("CSG17.html#group96T17", "96T¹⁷"), =HYPERLINK("CSG15.html#group72G15", "72G¹⁵"), =HYPERLINK("CSG20.html#group48I20", "48I²⁰"), =HYPERLINK("CSG21.html#group48BX21", "48BX²¹"), =HYPERLINK("CSG18.html#group84F18", "84F¹⁸"), =HYPERLINK("CSG14.html#group60E14", "60E¹⁴"), =HYPERLINK("CSG17.html#group72I17", "72I¹⁷"), =HYPERLINK("CSG5.html#group12B5", "12B⁵"), =HYPERLINK("CSG8.html#group48X8", "48X⁸"), =HYPERLINK("CSG21.html#group96B21", "96B²¹"), =HYPERLINK("CSG2.html#group12D2", "12D²"), =HYPERLINK("CSG9.html#group30R9", "30R⁹"), =HYPERLINK("CSG22.html#group72G22", "72G²²"), =HYPERLINK("CSG16.html#group72A16", "72A¹⁶"), =HYPERLINK("CSG23.html#group60O23", "60O²³"), =HYPERLINK("CSG5.html#group24V5", "24V⁵"), =HYPERLINK("CSG21.html#group48P21", "48P²¹"), =HYPERLINK("CSG3.html#group12H3", "12H³"), =HYPERLINK("CSG11.html#group30G11", "30G¹¹"), =HYPERLINK("CSG16.html#group66A16", "66A¹⁶"), =HYPERLINK("CSG18.html#group84D18", "84D¹⁸"), =HYPERLINK("CSG19.html#group48X19", "48X¹⁹"), =HYPERLINK("CSG19.html#group192C19", "192C¹⁹"), =HYPERLINK("CSG1.html#group6F1", "6F¹"), =HYPERLINK("CSG23.html#group192F23", "192F²³"), =HYPERLINK("CSG19.html#group48AO19", "48AO¹⁹"), =HYPERLINK("CSG19.html#group96AT19", "96AT¹⁹"), =HYPERLINK("CSG23.html#group204E23", "204E²³"), =HYPERLINK("CSG19.html#group24N19", "24N¹⁹"), =HYPERLINK("CSG21.html#group48T21", "48T²¹"), =HYPERLINK("CSG7.html#group48Z7", "48Z⁷"), =HYPERLINK("CSG20.html#group96P20", "96P²⁰"), =HYPERLINK("CSG17.html#group72A17", "72A¹⁷"), =HYPERLINK("CSG21.html#group48W21", "48W²¹"), =HYPERLINK("CSG7.html#group48Q7", "48Q⁷"), =HYPERLINK("CSG17.html#group48X17", "48X¹⁷"), =HYPERLINK("CSG3.html#group48M3", "48M³"), =HYPERLINK("CSG22.html#group72K22", "72K²²"), =HYPERLINK("CSG16.html#group60E16", "60E¹⁶"), =HYPERLINK("CSG7.html#group24Y7", "24Y⁷"), =HYPERLINK("CSG17.html#group48E17", "48E¹⁷"), =HYPERLINK("CSG19.html#group24D19", "24D¹⁹"), =HYPERLINK("CSG21.html#group84C21", "84C²¹"), =HYPERLINK("CSG20.html#group96L20", "96L²⁰"), =HYPERLINK("CSG19.html#group96AE19", "96AE¹⁹"), =HYPERLINK("CSG2.html#group36B2", "36B²"), =HYPERLINK("CSG13.html#group24R13", "24R¹³"), =HYPERLINK("CSG5.html#group24A5", "24A⁵"), =HYPERLINK("CSG20.html#group96N20", "96N²⁰"), =HYPERLINK("CSG3.html#group12F3", "12F³"), =HYPERLINK("CSG2.html#group12E2", "12E²"), =HYPERLINK("CSG17.html#group24I17", "24I¹⁷"), =HYPERLINK("CSG23.html#group60Q23", "60Q²³"), =HYPERLINK("CSG19.html#group60J19", "60J¹⁹"), =HYPERLINK("CSG18.html#group48L18", "48L¹⁸"), =HYPERLINK("CSG16.html#group42H16", "42H¹⁶"), =HYPERLINK("CSG18.html#group192B18", "192B¹⁸"), =HYPERLINK("CSG21.html#group180A21", "180A²¹"), =HYPERLINK("CSG17.html#group48CA17", "48CA¹⁷"), =HYPERLINK("CSG15.html#group72L15", "72L¹⁵"), =HYPERLINK("CSG6.html#group48B6", "48B⁶"), =HYPERLINK("CSG21.html#group192I21", "192I²¹"), =HYPERLINK("CSG8.html#group24H8", "24H⁸"), =HYPERLINK("CSG14.html#group72J14", "72J¹⁴")</f>
        <v/>
      </c>
    </row>
    <row r="29">
      <c r="A29" t="inlineStr">
        <is>
          <t>6E⁰</t>
        </is>
      </c>
      <c r="B29" t="inlineStr"/>
      <c r="C29" t="inlineStr">
        <is>
          <t>12</t>
        </is>
      </c>
      <c r="D29" t="inlineStr">
        <is>
          <t>1</t>
        </is>
      </c>
      <c r="E29" t="inlineStr">
        <is>
          <t>3</t>
        </is>
      </c>
      <c r="F29" t="inlineStr">
        <is>
          <t>4</t>
        </is>
      </c>
      <c r="G29" t="inlineStr">
        <is>
          <t>0</t>
        </is>
      </c>
      <c r="H29" t="inlineStr">
        <is>
          <t>6²</t>
        </is>
      </c>
      <c r="I29" t="n">
        <v>2</v>
      </c>
      <c r="J29" t="inlineStr">
        <is>
          <t>1¹, 2¹</t>
        </is>
      </c>
      <c r="K29">
        <f>HYPERLINK("CSG0.html#group3C0", "3C⁰"), =HYPERLINK("CSG0.html#group6B0", "6B⁰")</f>
        <v/>
      </c>
      <c r="L29">
        <f>HYPERLINK("CSG0.html#group6L0", "6L⁰"), =HYPERLINK("CSG0.html#group18D0", "18D⁰"), =HYPERLINK("CSG1.html#group6D1", "6D¹"), =HYPERLINK("CSG1.html#group12D1", "12D¹"), =HYPERLINK("CSG1.html#group12Q1", "12Q¹"), =HYPERLINK("CSG1.html#group18F1", "18F¹"), =HYPERLINK("CSG1.html#group18G1", "18G¹"), =HYPERLINK("CSG2.html#group18G2", "18G²"), =HYPERLINK("CSG2.html#group18H2", "18H²"), =HYPERLINK("CSG3.html#group30I3", "30I³"), =HYPERLINK("CSG4.html#group30A4", "30A⁴"), =HYPERLINK("CSG4.html#group42F4", "42F⁴"), =HYPERLINK("CSG7.html#group30I7", "30I⁷"), =HYPERLINK("CSG7.html#group42D7", "42D⁷"), =HYPERLINK("CSG8.html#group66B8", "66B⁸"), =HYPERLINK("CSG11.html#group66B11", "66B¹¹"), =HYPERLINK("CSG11.html#group78A11", "78A¹¹"), =HYPERLINK("CSG15.html#group102B15", "102B¹⁵"), =HYPERLINK("CSG19.html#group114A19", "114A¹⁹"), =HYPERLINK("CSG23.html#group138A23", "138A²³")</f>
        <v/>
      </c>
      <c r="M29">
        <f>HYPERLINK("CSG0.html#group3C0", "3C⁰"), =HYPERLINK("CSG0.html#group6B0", "6B⁰"), =HYPERLINK("CSG0.html#group3A0", "3A⁰"), =HYPERLINK("CSG0.html#group1A0", "1A⁰")</f>
        <v/>
      </c>
      <c r="N29">
        <f>HYPERLINK("CSG4.html#group36K4", "36K⁴"), =HYPERLINK("CSG15.html#group90P15", "90P¹⁵"), =HYPERLINK("CSG15.html#group24L15", "24L¹⁵"), =HYPERLINK("CSG5.html#group12A5", "12A⁵"), =HYPERLINK("CSG15.html#group36G15", "36G¹⁵"), =HYPERLINK("CSG15.html#group36B15", "36B¹⁵"), =HYPERLINK("CSG15.html#group24K15", "24K¹⁵"), =HYPERLINK("CSG17.html#group48AG17", "48AG¹⁷"), =HYPERLINK("CSG3.html#group12M3", "12M³"), =HYPERLINK("CSG1.html#group12Q1", "12Q¹"), =HYPERLINK("CSG3.html#group18K3", "18K³"), =HYPERLINK("CSG13.html#group18E13", "18E¹³"), =HYPERLINK("CSG1.html#group18G1", "18G¹"), =HYPERLINK("CSG13.html#group24Q13", "24Q¹³"), =HYPERLINK("CSG19.html#group36U19", "36U¹⁹"), =HYPERLINK("CSG15.html#group84D15", "84D¹⁵"), =HYPERLINK("CSG13.html#group42C13", "42C¹³"), =HYPERLINK("CSG3.html#group12A3", "12A³"), =HYPERLINK("CSG19.html#group72T19", "72T¹⁹"), =HYPERLINK("CSG16.html#group18H16", "18H¹⁶"), =HYPERLINK("CSG10.html#group18E10", "18E¹⁰"), =HYPERLINK("CSG17.html#group48M17", "48M¹⁷"), =HYPERLINK("CSG13.html#group24U13", "24U¹³"), =HYPERLINK("CSG17.html#group36I17", "36I¹⁷"), =HYPERLINK("CSG17.html#group48AH17", "48AH¹⁷"), =HYPERLINK("CSG17.html#group60D17", "60D¹⁷"), =HYPERLINK("CSG21.html#group72V21", "72V²¹"), =HYPERLINK("CSG13.html#group48R13", "48R¹³"), =HYPERLINK("CSG13.html#group48AC13", "48AC¹³"), =HYPERLINK("CSG21.html#group72P21", "72P²¹"), =HYPERLINK("CSG15.html#group36T15", "36T¹⁵"), =HYPERLINK("CSG19.html#group36L19", "36L¹⁹"), =HYPERLINK("CSG14.html#group90D14", "90D¹⁴"), =HYPERLINK("CSG18.html#group126K18", "126K¹⁸"), =HYPERLINK("CSG1.html#group12D1", "12D¹"), =HYPERLINK("CSG4.html#group18S4", "18S⁴"), =HYPERLINK("CSG13.html#group36S13", "36S¹³"), =HYPERLINK("CSG23.html#group126C23", "126C²³"), =HYPERLINK("CSG19.html#group54A19", "54A¹⁹"), =HYPERLINK("CSG21.html#group48AV21", "48AV²¹"), =HYPERLINK("CSG17.html#group30B17", "30B¹⁷"), =HYPERLINK("CSG17.html#group24AA17", "24AA¹⁷"), =HYPERLINK("CSG7.html#group12E7", "12E⁷"), =HYPERLINK("CSG12.html#group30E12", "30E¹²"), =HYPERLINK("CSG9.html#group36K9", "36K⁹"), =HYPERLINK("CSG21.html#group48BE21", "48BE²¹"), =HYPERLINK("CSG19.html#group72U19", "72U¹⁹"), =HYPERLINK("CSG13.html#group36G13", "36G¹³"), =HYPERLINK("CSG23.html#group126A23", "126A²³"), =HYPERLINK("CSG21.html#group126L21", "126L²¹"), =HYPERLINK("CSG11.html#group78A11", "78A¹¹"), =HYPERLINK("CSG22.html#group36K22", "36K²²"), =HYPERLINK("CSG10.html#group18K10", "18K¹⁰"), =HYPERLINK("CSG5.html#group12C5", "12C⁵"), =HYPERLINK("CSG13.html#group12A13", "12A¹³"), =HYPERLINK("CSG23.html#group36A23", "36A²³"), =HYPERLINK("CSG3.html#group36F3", "36F³"), =HYPERLINK("CSG15.html#group36Q15", "36Q¹⁵"), =HYPERLINK("CSG9.html#group30H9", "30H⁹"), =HYPERLINK("CSG9.html#group30A9", "30A⁹"), =HYPERLINK("CSG12.html#group126J12", "126J¹²"), =HYPERLINK("CSG21.html#group48M21", "48M²¹"), =HYPERLINK("CSG21.html#group36E21", "36E²¹"), =HYPERLINK("CSG21.html#group60B21", "60B²¹"), =HYPERLINK("CSG19.html#group42N19", "42N¹⁹"), =HYPERLINK("CSG11.html#group36L11", "36L¹¹"), =HYPERLINK("CSG6.html#group18B6", "18B⁶"), =HYPERLINK("CSG7.html#group24N7", "24N⁷"), =HYPERLINK("CSG9.html#group60A9", "60A⁹"), =HYPERLINK("CSG13.html#group24A13", "24A¹³"), =HYPERLINK("CSG6.html#group18D6", "18D⁶"), =HYPERLINK("CSG5.html#group36C5", "36C⁵"), =HYPERLINK("CSG1.html#group6D1", "6D¹"), =HYPERLINK("CSG17.html#group30D17", "30D¹⁷"), =HYPERLINK("CSG5.html#group24T5", "24T⁵"), =HYPERLINK("CSG13.html#group36M13", "36M¹³"), =HYPERLINK("CSG17.html#group30H17", "30H¹⁷"), =HYPERLINK("CSG22.html#group54J22", "54J²²"), =HYPERLINK("CSG21.html#group42A21", "42A²¹"), =HYPERLINK("CSG23.html#group90C23", "90C²³"), =HYPERLINK("CSG13.html#group18D13", "18D¹³"), =HYPERLINK("CSG17.html#group48AR17", "48AR¹⁷"), =HYPERLINK("CSG18.html#group126E18", "126E¹⁸"), =HYPERLINK("CSG21.html#group60A21", "60A²¹"), =HYPERLINK("CSG13.html#group18G13", "18G¹³"), =HYPERLINK("CSG4.html#group30A4", "30A⁴"), =HYPERLINK("CSG19.html#group72S19", "72S¹⁹"), =HYPERLINK("CSG19.html#group48AA19", "48AA¹⁹"), =HYPERLINK("CSG23.html#group36B23", "36B²³"), =HYPERLINK("CSG9.html#group60E9", "60E⁹"), =HYPERLINK("CSG21.html#group90N21", "90N²¹"), =HYPERLINK("CSG14.html#group90H14", "90H¹⁴"), =HYPERLINK("CSG21.html#group36A21", "36A²¹"), =HYPERLINK("CSG23.html#group150B23", "150B²³"), =HYPERLINK("CSG16.html#group54Q16", "54Q¹⁶"), =HYPERLINK("CSG23.html#group30B23", "30B²³"), =HYPERLINK("CSG9.html#group36L9", "36L⁹"), =HYPERLINK("CSG17.html#group36C17", "36C¹⁷"), =HYPERLINK("CSG4.html#group36J4", "36J⁴"), =HYPERLINK("CSG13.html#group24Y13", "24Y¹³"), =HYPERLINK("CSG4.html#group36I4", "36I⁴"), =HYPERLINK("CSG21.html#group24K21", "24K²¹"), =HYPERLINK("CSG13.html#group90C13", "90C¹³"), =HYPERLINK("CSG16.html#group54A16", "54A¹⁶"), =HYPERLINK("CSG19.html#group114A19", "114A¹⁹"), =HYPERLINK("CSG21.html#group72AA21", "72AA²¹"), =HYPERLINK("CSG12.html#group36A12", "36A¹²"), =HYPERLINK("CSG7.html#group12A7", "12A⁷"), =HYPERLINK("CSG21.html#group84N21", "84N²¹"), =HYPERLINK("CSG23.html#group36D23", "36D²³"), =HYPERLINK("CSG16.html#group18D16", "18D¹⁶"), =HYPERLINK("CSG5.html#group30R5", "30R⁵"), =HYPERLINK("CSG5.html#group36M5", "36M⁵"), =HYPERLINK("CSG19.html#group36K19", "36K¹⁹"), =HYPERLINK("CSG9.html#group24E9", "24E⁹"), =HYPERLINK("CSG19.html#group54B19", "54B¹⁹"), =HYPERLINK("CSG5.html#group12B5", "12B⁵"), =HYPERLINK("CSG15.html#group36P15", "36P¹⁵"), =HYPERLINK("CSG11.html#group66B11", "66B¹¹"), =HYPERLINK("CSG11.html#group12A11", "12A¹¹"), =HYPERLINK("CSG17.html#group60N17", "60N¹⁷"), =HYPERLINK("CSG15.html#group36L15", "36L¹⁵"), =HYPERLINK("CSG13.html#group36Q13", "36Q¹³"), =HYPERLINK("CSG21.html#group30A21", "30A²¹"), =HYPERLINK("CSG11.html#group30I11", "30I¹¹"), =HYPERLINK("CSG3.html#group12H3", "12H³"), =HYPERLINK("CSG5.html#group24P5", "24P⁵"), =HYPERLINK("CSG10.html#group36C10", "36C¹⁰"), =HYPERLINK("CSG9.html#group24AL9", "24AL⁹"), =HYPERLINK("CSG7.html#group18N7", "18N⁷"), =HYPERLINK("CSG3.html#group30I3", "30I³"), =HYPERLINK("CSG10.html#group30A10", "30A¹⁰"), =HYPERLINK("CSG7.html#group36J7", "36J⁷"), =HYPERLINK("CSG17.html#group60E17", "60E¹⁷"), =HYPERLINK("CSG21.html#group30H21", "30H²¹"), =HYPERLINK("CSG13.html#group24B13", "24B¹³"), =HYPERLINK("CSG1.html#group6F1", "6F¹"), =HYPERLINK("CSG9.html#group60F9", "60F⁹"), =HYPERLINK("CSG5.html#group12D5", "12D⁵"), =HYPERLINK("CSG17.html#group48F17", "48F¹⁷"), =HYPERLINK("CSG15.html#group36O15", "36O¹⁵"), =HYPERLINK("CSG21.html#group60G21", "60G²¹"), =HYPERLINK("CSG19.html#group36H19", "36H¹⁹"), =HYPERLINK("CSG11.html#group84F11", "84F¹¹"), =HYPERLINK("CSG0.html#group18D0", "18D⁰"), =HYPERLINK("CSG23.html#group72I23", "72I²³"), =HYPERLINK("CSG21.html#group24M21", "24M²¹"), =HYPERLINK("CSG19.html#group36E19", "36E¹⁹"), =HYPERLINK("CSG19.html#group60A19", "60A¹⁹"), =HYPERLINK("CSG13.html#group90I13", "90I¹³"), =HYPERLINK("CSG23.html#group36C23", "36C²³"), =HYPERLINK("CSG11.html#group36B11", "36B¹¹"), =HYPERLINK("CSG13.html#group36O13", "36O¹³"), =HYPERLINK("CSG10.html#group18F10", "18F¹⁰"), =HYPERLINK("CSG21.html#group36B21", "36B²¹"), =HYPERLINK("CSG13.html#group24R13", "24R¹³"), =HYPERLINK("CSG4.html#group18R4", "18R⁴"), =HYPERLINK("CSG17.html#group60C17", "60C¹⁷"), =HYPERLINK("CSG16.html#group54K16", "54K¹⁶"), =HYPERLINK("CSG17.html#group48G17", "48G¹⁷"), =HYPERLINK("CSG21.html#group24L21", "24L²¹"), =HYPERLINK("CSG16.html#group18F16", "18F¹⁶"), =HYPERLINK("CSG9.html#group30J9", "30J⁹"), =HYPERLINK("CSG7.html#group36K7", "36K⁷"), =HYPERLINK("CSG13.html#group18A13", "18A¹³"), =HYPERLINK("CSG9.html#group24L9", "24L⁹"), =HYPERLINK("CSG4.html#group18E4", "18E⁴"), =HYPERLINK("CSG17.html#group60V17", "60V¹⁷"), =HYPERLINK("CSG13.html#group24O13", "24O¹³"), =HYPERLINK("CSG4.html#group18O4", "18O⁴"), =HYPERLINK("CSG6.html#group18E6", "18E⁶"), =HYPERLINK("CSG13.html#group54I13", "54I¹³"), =HYPERLINK("CSG17.html#group48R17", "48R¹⁷"), =HYPERLINK("CSG7.html#group30I7", "30I⁷"), =HYPERLINK("CSG9.html#group36O9", "36O⁹"), =HYPERLINK("CSG13.html#group24K13", "24K¹³"), =HYPERLINK("CSG24.html#group198A24", "198A²⁴"), =HYPERLINK("CSG21.html#group72T21", "72T²¹"), =HYPERLINK("CSG4.html#group18H4", "18H⁴"), =HYPERLINK("CSG9.html#group36P9", "36P⁹"), =HYPERLINK("CSG11.html#group36A11", "36A¹¹"), =HYPERLINK("CSG13.html#group36P13", "36P¹³"), =HYPERLINK("CSG11.html#group42B11", "42B¹¹"), =HYPERLINK("CSG16.html#group18G16", "18G¹⁶"), =HYPERLINK("CSG13.html#group90G13", "90G¹³"), =HYPERLINK("CSG14.html#group42A14", "42A¹⁴"), =HYPERLINK("CSG5.html#group36D5", "36D⁵"), =HYPERLINK("CSG17.html#group126H17", "126H¹⁷"), =HYPERLINK("CSG21.html#group54B21", "54B²¹"), =HYPERLINK("CSG18.html#group126D18", "126D¹⁸"), =HYPERLINK("CSG5.html#group18B5", "18B⁵"), =HYPERLINK("CSG13.html#group18B13", "18B¹³"), =HYPERLINK("CSG1.html#group18F1", "18F¹"), =HYPERLINK("CSG23.html#group132D23", "132D²³"), =HYPERLINK("CSG21.html#group72U21", "72U²¹"), =HYPERLINK("CSG17.html#group72W17", "72W¹⁷"), =HYPERLINK("CSG24.html#group54A24", "54A²⁴"), =HYPERLINK("CSG7.html#group42D7", "42D⁷"), =HYPERLINK("CSG15.html#group90N15", "90N¹⁵"), =HYPERLINK("CSG4.html#group42F4", "42F⁴"), =HYPERLINK("CSG16.html#group18C16", "18C¹⁶"), =HYPERLINK("CSG13.html#group24S13", "24S¹³"), =HYPERLINK("CSG5.html#group18A5", "18A⁵"), =HYPERLINK("CSG17.html#group24X17", "24X¹⁷"), =HYPERLINK("CSG8.html#group66B8", "66B⁸"), =HYPERLINK("CSG21.html#group126N21", "126N²¹"), =HYPERLINK("CSG11.html#group24N11", "24N¹¹"), =HYPERLINK("CSG12.html#group90A12", "90A¹²"), =HYPERLINK("CSG3.html#group18F3", "18F³"), =HYPERLINK("CSG8.html#group36N8", "36N⁸"), =HYPERLINK("CSG13.html#group90A13", "90A¹³"), =HYPERLINK("CSG17.html#group48AV17", "48AV¹⁷"), =HYPERLINK("CSG7.html#group24S7", "24S⁷"), =HYPERLINK("CSG12.html#group90B12", "90B¹²"), =HYPERLINK("CSG1.html#group12U1", "12U¹"), =HYPERLINK("CSG15.html#group36H15", "36H¹⁵"), =HYPERLINK("CSG16.html#group42E16", "42E¹⁶"), =HYPERLINK("CSG15.html#group36S15", "36S¹⁵"), =HYPERLINK("CSG13.html#group36L13", "36L¹³"), =HYPERLINK("CSG13.html#group48Q13", "48Q¹³"), =HYPERLINK("CSG13.html#group30Q13", "30Q¹³"), =HYPERLINK("CSG17.html#group24N17", "24N¹⁷"), =HYPERLINK("CSG17.html#group24O17", "24O¹⁷"), =HYPERLINK("CSG6.html#group18C6", "18C⁶"), =HYPERLINK("CSG12.html#group36B12", "36B¹²"), =HYPERLINK("CSG0.html#group6L0", "6L⁰"), =HYPERLINK("CSG9.html#group42C9", "42C⁹"), =HYPERLINK("CSG15.html#group48R15", "48R¹⁵"), =HYPERLINK("CSG17.html#group24C17", "24C¹⁷"), =HYPERLINK("CSG1.html#group12T1", "12T¹"), =HYPERLINK("CSG9.html#group36A9", "36A⁹"), =HYPERLINK("CSG15.html#group36I15", "36I¹⁵"), =HYPERLINK("CSG3.html#group12N3", "12N³"), =HYPERLINK("CSG15.html#group102B15", "102B¹⁵"), =HYPERLINK("CSG18.html#group18A18", "18A¹⁸"), =HYPERLINK("CSG23.html#group30G23", "30G²³"), =HYPERLINK("CSG23.html#group72J23", "72J²³"), =HYPERLINK("CSG15.html#group24G15", "24G¹⁵"), =HYPERLINK("CSG23.html#group126G23", "126G²³"), =HYPERLINK("CSG16.html#group54V16", "54V¹⁶"), =HYPERLINK("CSG3.html#group18H3", "18H³"), =HYPERLINK("CSG13.html#group24J13", "24J¹³"), =HYPERLINK("CSG19.html#group42R19", "42R¹⁹"), =HYPERLINK("CSG18.html#group126J18", "126J¹⁸"), =HYPERLINK("CSG21.html#group66A21", "66A²¹"), =HYPERLINK("CSG5.html#group24L5", "24L⁵"), =HYPERLINK("CSG13.html#group24T13", "24T¹³"), =HYPERLINK("CSG13.html#group36F13", "36F¹³"), =HYPERLINK("CSG4.html#group18L4", "18L⁴"), =HYPERLINK("CSG13.html#group18C13", "18C¹³"), =HYPERLINK("CSG13.html#group42G13", "42G¹³"), =HYPERLINK("CSG10.html#group18D10", "18D¹⁰"), =HYPERLINK("CSG9.html#group36E9", "36E⁹"), =HYPERLINK("CSG13.html#group18H13", "18H¹³"), =HYPERLINK("CSG21.html#group66C21", "66C²¹"), =HYPERLINK("CSG17.html#group72S17", "72S¹⁷"), =HYPERLINK("CSG10.html#group36F10", "36F¹⁰"), =HYPERLINK("CSG3.html#group12P3", "12P³"), =HYPERLINK("CSG22.html#group54K22", "54K²²"), =HYPERLINK("CSG3.html#group12E3", "12E³"), =HYPERLINK("CSG17.html#group48L17", "48L¹⁷"), =HYPERLINK("CSG15.html#group36R15", "36R¹⁵"), =HYPERLINK("CSG19.html#group72V19", "72V¹⁹"), =HYPERLINK("CSG17.html#group48V17", "48V¹⁷"), =HYPERLINK("CSG13.html#group36E13", "36E¹³"), =HYPERLINK("CSG15.html#group24H15", "24H¹⁵"), =HYPERLINK("CSG9.html#group12A9", "12A⁹"), =HYPERLINK("CSG21.html#group72Q21", "72Q²¹"), =HYPERLINK("CSG15.html#group36E15", "36E¹⁵"), =HYPERLINK("CSG23.html#group126I23", "126I²³"), =HYPERLINK("CSG17.html#group36E17", "36E¹⁷"), =HYPERLINK("CSG17.html#group24M17", "24M¹⁷"), =HYPERLINK("CSG8.html#group36O8", "36O⁸"), =HYPERLINK("CSG11.html#group90H11", "90H¹¹"), =HYPERLINK("CSG16.html#group54H16", "54H¹⁶"), =HYPERLINK("CSG5.html#group24U5", "24U⁵"), =HYPERLINK("CSG5.html#group24S5", "24S⁵"), =HYPERLINK("CSG4.html#group18T4", "18T⁴"), =HYPERLINK("CSG17.html#group24A17", "24A¹⁷"), =HYPERLINK("CSG9.html#group12B9", "12B⁹"), =HYPERLINK("CSG13.html#group12B13", "12B¹³"), =HYPERLINK("CSG21.html#group72S21", "72S²¹"), =HYPERLINK("CSG16.html#group54G16", "54G¹⁶"), =HYPERLINK("CSG4.html#group36H4", "36H⁴"), =HYPERLINK("CSG11.html#group36J11", "36J¹¹"), =HYPERLINK("CSG13.html#group48AD13", "48AD¹³"), =HYPERLINK("CSG21.html#group54A21", "54A²¹"), =HYPERLINK("CSG17.html#group126E17", "126E¹⁷"), =HYPERLINK("CSG23.html#group138A23", "138A²³"), =HYPERLINK("CSG11.html#group24K11", "24K¹¹"), =HYPERLINK("CSG13.html#group30M13", "30M¹³"), =HYPERLINK("CSG23.html#group72K23", "72K²³"), =HYPERLINK("CSG2.html#group18H2", "18H²"), =HYPERLINK("CSG19.html#group132A19", "132A¹⁹"), =HYPERLINK("CSG23.html#group84A23", "84A²³"), =HYPERLINK("CSG13.html#group18F13", "18F¹³"), =HYPERLINK("CSG21.html#group78A21", "78A²¹"), =HYPERLINK("CSG13.html#group24W13", "24W¹³"), =HYPERLINK("CSG24.html#group54B24", "54B²⁴"), =HYPERLINK("CSG13.html#group48X13", "48X¹³"), =HYPERLINK("CSG17.html#group24AE17", "24AE¹⁷"), =HYPERLINK("CSG2.html#group18G2", "18G²"), =HYPERLINK("CSG13.html#group24P13", "24P¹³"), =HYPERLINK("CSG17.html#group60X17", "60X¹⁷"), =HYPERLINK("CSG11.html#group84E11", "84E¹¹"), =HYPERLINK("CSG13.html#group54E13", "54E¹³")</f>
        <v/>
      </c>
    </row>
    <row r="30">
      <c r="A30" t="inlineStr">
        <is>
          <t>6F⁰</t>
        </is>
      </c>
      <c r="B30" t="inlineStr">
        <is>
          <t>Γ₀(6), Γ₁(6)</t>
        </is>
      </c>
      <c r="C30" t="inlineStr">
        <is>
          <t>12</t>
        </is>
      </c>
      <c r="D30" t="inlineStr">
        <is>
          <t>1</t>
        </is>
      </c>
      <c r="E30" t="inlineStr">
        <is>
          <t>12</t>
        </is>
      </c>
      <c r="F30" t="inlineStr">
        <is>
          <t>0</t>
        </is>
      </c>
      <c r="G30" t="inlineStr">
        <is>
          <t>0</t>
        </is>
      </c>
      <c r="H30" t="inlineStr">
        <is>
          <t>1¹, 2¹, 3¹, 6¹</t>
        </is>
      </c>
      <c r="I30" t="n">
        <v>4</v>
      </c>
      <c r="J30" t="inlineStr">
        <is>
          <t>1⁶, 2³</t>
        </is>
      </c>
      <c r="K30">
        <f>HYPERLINK("CSG0.html#group2B0", "2B⁰"), =HYPERLINK("CSG0.html#group3B0", "3B⁰")</f>
        <v/>
      </c>
      <c r="L30">
        <f>HYPERLINK("CSG0.html#group6I0", "6I⁰"), =HYPERLINK("CSG0.html#group6K0", "6K⁰"), =HYPERLINK("CSG0.html#group12E0", "12E⁰"), =HYPERLINK("CSG0.html#group18E0", "18E⁰"), =HYPERLINK("CSG1.html#group12F1", "12F¹"), =HYPERLINK("CSG2.html#group18D2", "18D²"), =HYPERLINK("CSG2.html#group18E2", "18E²"), =HYPERLINK("CSG3.html#group30K3", "30K³"), =HYPERLINK("CSG4.html#group30D4", "30D⁴"), =HYPERLINK("CSG5.html#group42G5", "42G⁵"), =HYPERLINK("CSG6.html#group42C6", "42C⁶"), =HYPERLINK("CSG7.html#group30L7", "30L⁷"), =HYPERLINK("CSG9.html#group66A9", "66A⁹"), =HYPERLINK("CSG10.html#group66A10", "66A¹⁰"), =HYPERLINK("CSG11.html#group78C11", "78C¹¹"), =HYPERLINK("CSG15.html#group102C15", "102C¹⁵"), =HYPERLINK("CSG17.html#group114A17", "114A¹⁷"), =HYPERLINK("CSG21.html#group138A21", "138A²¹")</f>
        <v/>
      </c>
      <c r="M30">
        <f>HYPERLINK("CSG0.html#group3B0", "3B⁰"), =HYPERLINK("CSG0.html#group1A0", "1A⁰"), =HYPERLINK("CSG0.html#group2B0", "2B⁰")</f>
        <v/>
      </c>
      <c r="N30">
        <f>HYPERLINK("CSG0.html#group12I0", "12I⁰"), =HYPERLINK("CSG13.html#group36C13", "36C¹³"), =HYPERLINK("CSG21.html#group48CF21", "48CF²¹"), =HYPERLINK("CSG7.html#group24G7", "24G⁷"), =HYPERLINK("CSG23.html#group96AJ23", "96AJ²³"), =HYPERLINK("CSG13.html#group48L13", "48L¹³"), =HYPERLINK("CSG9.html#group24AC9", "24AC⁹"), =HYPERLINK("CSG21.html#group90O21", "90O²¹"), =HYPERLINK("CSG17.html#group24AO17", "24AO¹⁷"), =HYPERLINK("CSG13.html#group144H13", "144H¹³"), =HYPERLINK("CSG18.html#group60B18", "60B¹⁸"), =HYPERLINK("CSG7.html#group24AF7", "24AF⁷"), =HYPERLINK("CSG16.html#group108C16", "108C¹⁶"), =HYPERLINK("CSG16.html#group60B16", "60B¹⁶"), =HYPERLINK("CSG23.html#group84J23", "84J²³"), =HYPERLINK("CSG13.html#group30P13", "30P¹³"), =HYPERLINK("CSG1.html#group18J1", "18J¹"), =HYPERLINK("CSG21.html#group72B21", "72B²¹"), =HYPERLINK("CSG13.html#group144I13", "144I¹³"), =HYPERLINK("CSG21.html#group48CD21", "48CD²¹"), =HYPERLINK("CSG13.html#group36J13", "36J¹³"), =HYPERLINK("CSG3.html#group24X3", "24X³"), =HYPERLINK("CSG0.html#group18E0", "18E⁰"), =HYPERLINK("CSG18.html#group60G18", "60G¹⁸"), =HYPERLINK("CSG9.html#group24AI9", "24AI⁹"), =HYPERLINK("CSG19.html#group36D19", "36D¹⁹"), =HYPERLINK("CSG3.html#group30K3", "30K³"), =HYPERLINK("CSG7.html#group54B7", "54B⁷"), =HYPERLINK("CSG9.html#group60H9", "60H⁹"), =HYPERLINK("CSG17.html#group72P17", "72P¹⁷"), =HYPERLINK("CSG15.html#group60AF15", "60AF¹⁵"), =HYPERLINK("CSG15.html#group90G15", "90G¹⁵"), =HYPERLINK("CSG2.html#group18E2", "18E²"), =HYPERLINK("CSG22.html#group36Q22", "36Q²²"), =HYPERLINK("CSG5.html#group36A5", "36A⁵"), =HYPERLINK("CSG10.html#group72B10", "72B¹⁰"), =HYPERLINK("CSG24.html#group84C24", "84C²⁴"), =HYPERLINK("CSG2.html#group12F2", "12F²"), =HYPERLINK("CSG22.html#group36K22", "36K²²"), =HYPERLINK("CSG13.html#group12A13", "12A¹³"), =HYPERLINK("CSG17.html#group24D17", "24D¹⁷"), =HYPERLINK("CSG19.html#group36A19", "36A¹⁹"), =HYPERLINK("CSG15.html#group60U15", "60U¹⁵"), =HYPERLINK("CSG9.html#group72C9", "72C⁹"), =HYPERLINK("CSG21.html#group126O21", "126O²¹"), =HYPERLINK("CSG16.html#group108B16", "108B¹⁶"), =HYPERLINK("CSG22.html#group60A22", "60A²²"), =HYPERLINK("CSG13.html#group72S13", "72S¹³"), =HYPERLINK("CSG21.html#group72J21", "72J²¹"), =HYPERLINK("CSG21.html#group36E21", "36E²¹"), =HYPERLINK("CSG21.html#group120E21", "120E²¹"), =HYPERLINK("CSG7.html#group36N7", "36N⁷"), =HYPERLINK("CSG23.html#group78C23", "78C²³"), =HYPERLINK("CSG21.html#group96BD21", "96BD²¹"), =HYPERLINK("CSG3.html#group24C3", "24C³"), =HYPERLINK("CSG23.html#group84I23", "84I²³"), =HYPERLINK("CSG8.html#group36H8", "36H⁸"), =HYPERLINK("CSG11.html#group72D11", "72D¹¹"), =HYPERLINK("CSG10.html#group72C10", "72C¹⁰"), =HYPERLINK("CSG19.html#group144F19", "144F¹⁹"), =HYPERLINK("CSG10.html#group36R10", "36R¹⁰"), =HYPERLINK("CSG13.html#group48A13", "48A¹³"), =HYPERLINK("CSG5.html#group24J5", "24J⁵"), =HYPERLINK("CSG13.html#group24AC13", "24AC¹³"), =HYPERLINK("CSG13.html#group84G13", "84G¹³"), =HYPERLINK("CSG8.html#group54A8", "54A⁸"), =HYPERLINK("CSG9.html#group24AF9", "24AF⁹"), =HYPERLINK("CSG7.html#group48B7", "48B⁷"), =HYPERLINK("CSG7.html#group30Q7", "30Q⁷"), =HYPERLINK("CSG4.html#group18C4", "18C⁴"), =HYPERLINK("CSG9.html#group96M9", "96M⁹"), =HYPERLINK("CSG10.html#group30F10", "30F¹⁰"), =HYPERLINK("CSG9.html#group24AH9", "24AH⁹"), =HYPERLINK("CSG17.html#group36B17", "36B¹⁷"), =HYPERLINK("CSG21.html#group126P21", "126P²¹"), =HYPERLINK("CSG19.html#group96BE19", "96BE¹⁹"), =HYPERLINK("CSG9.html#group48AH9", "48AH⁹"), =HYPERLINK("CSG17.html#group24AP17", "24AP¹⁷"), =HYPERLINK("CSG23.html#group48A23", "48A²³"), =HYPERLINK("CSG21.html#group48CK21", "48CK²¹"), =HYPERLINK("CSG9.html#group48AK9", "48AK⁹"), =HYPERLINK("CSG22.html#group72M22", "72M²²"), =HYPERLINK("CSG22.html#group108F22", "108F²²"), =HYPERLINK("CSG3.html#group48L3", "48L³"), =HYPERLINK("CSG17.html#group48CO17", "48CO¹⁷"), =HYPERLINK("CSG13.html#group24N13", "24N¹³"), =HYPERLINK("CSG16.html#group54T16", "54T¹⁶"), =HYPERLINK("CSG19.html#group48BT19", "48BT¹⁹"), =HYPERLINK("CSG5.html#group36B5", "36B⁵"), =HYPERLINK("CSG19.html#group120M19", "120M¹⁹"), =HYPERLINK("CSG13.html#group36D13", "36D¹³"), =HYPERLINK("CSG1.html#group12P1", "12P¹"), =HYPERLINK("CSG23.html#group84L23", "84L²³"), =HYPERLINK("CSG19.html#group30B19", "30B¹⁹"), =HYPERLINK("CSG4.html#group18P4", "18P⁴"), =HYPERLINK("CSG23.html#group168Q23", "168Q²³"), =HYPERLINK("CSG23.html#group90E23", "90E²³"), =HYPERLINK("CSG0.html#group24B0", "24B⁰"), =HYPERLINK("CSG15.html#group120K15", "120K¹⁵"), =HYPERLINK("CSG21.html#group192O21", "192O²¹"), =HYPERLINK("CSG7.html#group96C7", "96C⁷"), =HYPERLINK("CSG21.html#group144A21", "144A²¹"), =HYPERLINK("CSG21.html#group72I21", "72I²¹"), =HYPERLINK("CSG1.html#group24G1", "24G¹"), =HYPERLINK("CSG22.html#group162A22", "162A²²"), =HYPERLINK("CSG21.html#group48CC21", "48CC²¹"), =HYPERLINK("CSG7.html#group24AH7", "24AH⁷"), =HYPERLINK("CSG17.html#group72Q17", "72Q¹⁷"), =HYPERLINK("CSG7.html#group60O7", "60O⁷"), =HYPERLINK("CSG19.html#group192E19", "192E¹⁹"), =HYPERLINK("CSG21.html#group108E21", "108E²¹"), =HYPERLINK("CSG15.html#group96C15", "96C¹⁵"), =HYPERLINK("CSG19.html#group36B19", "36B¹⁹"), =HYPERLINK("CSG10.html#group96F10", "96F¹⁰"), =HYPERLINK("CSG13.html#group144G13", "144G¹³"), =HYPERLINK("CSG14.html#group90B14", "90B¹⁴"), =HYPERLINK("CSG0.html#group6K0", "6K⁰"), =HYPERLINK("CSG23.html#group30A23", "30A²³"), =HYPERLINK("CSG23.html#group144J23", "144J²³"), =HYPERLINK("CSG10.html#group36Q10", "36Q¹⁰"), =HYPERLINK("CSG7.html#group18N7", "18N⁷"), =HYPERLINK("CSG17.html#group60G17", "60G¹⁷"), =HYPERLINK("CSG13.html#group48B13", "48B¹³"), =HYPERLINK("CSG0.html#group6I0", "6I⁰"), =HYPERLINK("CSG4.html#group36F4", "36F⁴"), =HYPERLINK("CSG16.html#group18A16", "18A¹⁶"), =HYPERLINK("CSG17.html#group48CP17", "48CP¹⁷"), =HYPERLINK("CSG19.html#group72D19", "72D¹⁹"), =HYPERLINK("CSG7.html#group96B7", "96B⁷"), =HYPERLINK("CSG5.html#group24I5", "24I⁵"), =HYPERLINK("CSG23.html#group168R23", "168R²³"), =HYPERLINK("CSG17.html#group48C17", "48C¹⁷"), =HYPERLINK("CSG19.html#group120E19", "120E¹⁹"), =HYPERLINK("CSG19.html#group60N19", "60N¹⁹"), =HYPERLINK("CSG11.html#group36K11", "36K¹¹"), =HYPERLINK("CSG21.html#group48CQ21", "48CQ²¹"), =HYPERLINK("CSG18.html#group126F18", "126F¹⁸"), =HYPERLINK("CSG7.html#group60P7", "60P⁷"), =HYPERLINK("CSG7.html#group24H7", "24H⁷"), =HYPERLINK("CSG17.html#group144E17", "144E¹⁷"), =HYPERLINK("CSG16.html#group54R16", "54R¹⁶"), =HYPERLINK("CSG17.html#group60T17", "60T¹⁷"), =HYPERLINK("CSG23.html#group96AI23", "96AI²³"), =HYPERLINK("CSG13.html#group42L13", "42L¹³"), =HYPERLINK("CSG10.html#group18M10", "18M¹⁰"), =HYPERLINK("CSG17.html#group96AI17", "96AI¹⁷"), =HYPERLINK("CSG21.html#group72AB21", "72AB²¹"), =HYPERLINK("CSG15.html#group60AC15", "60AC¹⁵"), =HYPERLINK("CSG21.html#group48H21", "48H²¹"), =HYPERLINK("CSG16.html#group60A16", "60A¹⁶"), =HYPERLINK("CSG19.html#group96BC19", "96BC¹⁹"), =HYPERLINK("CSG7.html#group30S7", "30S⁷"), =HYPERLINK("CSG21.html#group72H21", "72H²¹"), =HYPERLINK("CSG15.html#group96E15", "96E¹⁵"), =HYPERLINK("CSG11.html#group24F11", "24F¹¹"), =HYPERLINK("CSG15.html#group90H15", "90H¹⁵"), =HYPERLINK("CSG7.html#group48AN7", "48AN⁷"), =HYPERLINK("CSG13.html#group144J13", "144J¹³"), =HYPERLINK("CSG6.html#group42C6", "42C⁶"), =HYPERLINK("CSG17.html#group60B17", "60B¹⁷"), =HYPERLINK("CSG21.html#group48A21", "48A²¹"), =HYPERLINK("CSG11.html#group24B11", "24B¹¹"), =HYPERLINK("CSG7.html#group48AM7", "48AM⁷"), =HYPERLINK("CSG21.html#group48CO21", "48CO²¹"), =HYPERLINK("CSG8.html#group54B8", "54B⁸"), =HYPERLINK("CSG5.html#group24R5", "24R⁵"), =HYPERLINK("CSG13.html#group24O13", "24O¹³"), =HYPERLINK("CSG6.html#group24B6", "24B⁶"), =HYPERLINK("CSG17.html#group24K17", "24K¹⁷"), =HYPERLINK("CSG19.html#group192F19", "192F¹⁹"), =HYPERLINK("CSG18.html#group120A18", "120A¹⁸"), =HYPERLINK("CSG17.html#group36A17", "36A¹⁷"), =HYPERLINK("CSG19.html#group144A19", "144A¹⁹"), =HYPERLINK("CSG21.html#group72G21", "72G²¹"), =HYPERLINK("CSG19.html#group72A19", "72A¹⁹"), =HYPERLINK("CSG21.html#group96BF21", "96BF²¹"), =HYPERLINK("CSG13.html#group48AH13", "48AH¹³"), =HYPERLINK("CSG17.html#group72M17", "72M¹⁷"), =HYPERLINK("CSG7.html#group48AO7", "48AO⁷"), =HYPERLINK("CSG10.html#group36K10", "36K¹⁰"), =HYPERLINK("CSG13.html#group36K13", "36K¹³"), =HYPERLINK("CSG23.html#group144M23", "144M²³"), =HYPERLINK("CSG23.html#group144B23", "144B²³"), =HYPERLINK("CSG22.html#group36P22", "36P²²"), =HYPERLINK("CSG7.html#group18O7", "18O⁷"), =HYPERLINK("CSG21.html#group48CH21", "48CH²¹"), =HYPERLINK("CSG10.html#group108F10", "108F¹⁰"), =HYPERLINK("CSG10.html#group36A10", "36A¹⁰"), =HYPERLINK("CSG22.html#group54F22", "54F²²"), =HYPERLINK("CSG19.html#group132C19", "132C¹⁹"), =HYPERLINK("CSG21.html#group132C21", "132C²¹"), =HYPERLINK("CSG2.html#group18P2", "18P²"), =HYPERLINK("CSG19.html#group72O19", "72O¹⁹"), =HYPERLINK("CSG12.html#group90E12", "90E¹²"), =HYPERLINK("CSG9.html#group42E9", "42E⁹"), =HYPERLINK("CSG21.html#group48CJ21", "48CJ²¹"), =HYPERLINK("CSG19.html#group66B19", "66B¹⁹"), =HYPERLINK("CSG17.html#group120N17", "120N¹⁷"), =HYPERLINK("CSG9.html#group30S9", "30S⁹"), =HYPERLINK("CSG19.html#group60O19", "60O¹⁹"), =HYPERLINK("CSG13.html#group96C13", "96C¹³"), =HYPERLINK("CSG22.html#group54A22", "54A²²"), =HYPERLINK("CSG2.html#group54B2", "54B²"), =HYPERLINK("CSG12.html#group84B12", "84B¹²"), =HYPERLINK("CSG23.html#group156C23", "156C²³"), =HYPERLINK("CSG13.html#group48AG13", "48AG¹³"), =HYPERLINK("CSG17.html#group96AJ17", "96AJ¹⁷"), =HYPERLINK("CSG13.html#group48J13", "48J¹³"), =HYPERLINK("CSG9.html#group96L9", "96L⁹"), =HYPERLINK("CSG21.html#group72D21", "72D²¹"), =HYPERLINK("CSG21.html#group24E21", "24E²¹"), =HYPERLINK("CSG1.html#group12S1", "12S¹"), =HYPERLINK("CSG13.html#group48T13", "48T¹³"), =HYPERLINK("CSG11.html#group108E11", "108E¹¹"), =HYPERLINK("CSG21.html#group48CB21", "48CB²¹"), =HYPERLINK("CSG9.html#group48AG9", "48AG⁹"), =HYPERLINK("CSG9.html#group48AM9", "48AM⁹"), =HYPERLINK("CSG13.html#group72T13", "72T¹³"), =HYPERLINK("CSG15.html#group60AA15", "60AA¹⁵"), =HYPERLINK("CSG13.html#group36U13", "36U¹³"), =HYPERLINK("CSG24.html#group168B24", "168B²⁴"), =HYPERLINK("CSG8.html#group60C8", "60C⁸"), =HYPERLINK("CSG5.html#group72B5", "72B⁵"), =HYPERLINK("CSG11.html#group24G11", "24G¹¹"), =HYPERLINK("CSG17.html#group24AR17", "24AR¹⁷"), =HYPERLINK("CSG7.html#group72D7", "72D⁷"), =HYPERLINK("CSG8.html#group54C8", "54C⁸"), =HYPERLINK("CSG3.html#group36G3", "36G³"), =HYPERLINK("CSG9.html#group24AB9", "24AB⁹"), =HYPERLINK("CSG19.html#group120L19", "120L¹⁹"), =HYPERLINK("CSG17.html#group108C17", "108C¹⁷"), =HYPERLINK("CSG5.html#group36L5", "36L⁵"), =HYPERLINK("CSG21.html#group132B21", "132B²¹"), =HYPERLINK("CSG21.html#group192N21", "192N²¹"), =HYPERLINK("CSG17.html#group72O17", "72O¹⁷"), =HYPERLINK("CSG17.html#group72X17", "72X¹⁷"), =HYPERLINK("CSG19.html#group120B19", "120B¹⁹"), =HYPERLINK("CSG17.html#group24AS17", "24AS¹⁷"), =HYPERLINK("CSG14.html#group96A14", "96A¹⁴"), =HYPERLINK("CSG17.html#group36K17", "36K¹⁷"), =HYPERLINK("CSG17.html#group24AN17", "24AN¹⁷"), =HYPERLINK("CSG17.html#group48B17", "48B¹⁷"), =HYPERLINK("CSG21.html#group144E21", "144E²¹"), =HYPERLINK("CSG15.html#group96L15", "96L¹⁵"), =HYPERLINK("CSG11.html#group72A11", "72A¹¹"), =HYPERLINK("CSG9.html#group48AI9", "48AI⁹"), =HYPERLINK("CSG22.html#group72N22", "72N²²"), =HYPERLINK("CSG11.html#group48X11", "48X¹¹"), =HYPERLINK("CSG7.html#group12C7", "12C⁷"), =HYPERLINK("CSG1.html#group36C1", "36C¹"), =HYPERLINK("CSG4.html#group18M4", "18M⁴"), =HYPERLINK("CSG4.html#group18D4", "18D⁴"), =HYPERLINK("CSG3.html#group36J3", "36J³"), =HYPERLINK("CSG22.html#group162B22", "162B²²"), =HYPERLINK("CSG5.html#group48D5", "48D⁵"), =HYPERLINK("CSG17.html#group24C17", "24C¹⁷"), =HYPERLINK("CSG7.html#group24AI7", "24AI⁷"), =HYPERLINK("CSG21.html#group72F21", "72F²¹"), =HYPERLINK("CSG7.html#group24AK7", "24AK⁷"), =HYPERLINK("CSG21.html#group192P21", "192P²¹"), =HYPERLINK("CSG22.html#group30C22", "30C²²"), =HYPERLINK("CSG3.html#group24AA3", "24AA³"), =HYPERLINK("CSG13.html#group72U13", "72U¹³"), =HYPERLINK("CSG9.html#group24AD9", "24AD⁹"), =HYPERLINK("CSG17.html#group108B17", "108B¹⁷"), =HYPERLINK("CSG12.html#group30A12", "30A¹²"), =HYPERLINK("CSG17.html#group24L17", "24L¹⁷"), =HYPERLINK("CSG21.html#group24D21", "24D²¹"), =HYPERLINK("CSG21.html#group120B21", "120B²¹"), =HYPERLINK("CSG7.html#group48AL7", "48AL⁷"), =HYPERLINK("CSG3.html#group24U3", "24U³"), =HYPERLINK("CSG19.html#group72F19", "72F¹⁹"), =HYPERLINK("CSG10.html#group18H10", "18H¹⁰"), =HYPERLINK("CSG5.html#group24H5", "24H⁵"), =HYPERLINK("CSG3.html#group48I3", "48I³"), =HYPERLINK("CSG21.html#group126K21", "126K²¹"), =HYPERLINK("CSG12.html#group90C12", "90C¹²"), =HYPERLINK("CSG21.html#group48CE21", "48CE²¹"), =HYPERLINK("CSG16.html#group54S16", "54S¹⁶"), =HYPERLINK("CSG21.html#group96BI21", "96BI²¹"), =HYPERLINK("CSG9.html#group24B9", "24B⁹"), =HYPERLINK("CSG11.html#group48Y11", "48Y¹¹"), =HYPERLINK("CSG19.html#group144I19", "144I¹⁹"), =HYPERLINK("CSG19.html#group96BF19", "96BF¹⁹"), =HYPERLINK("CSG11.html#group24A11", "24A¹¹"), =HYPERLINK("CSG11.html#group84I11", "84I¹¹"), =HYPERLINK("CSG7.html#group48D7", "48D⁷"), =HYPERLINK("CSG13.html#group48I13", "48I¹³"), =HYPERLINK("CSG19.html#group48BQ19", "48BQ¹⁹"), =HYPERLINK("CSG19.html#group72L19", "72L¹⁹"), =HYPERLINK("CSG17.html#group48CQ17", "48CQ¹⁷"), =HYPERLINK("CSG5.html#group24M5", "24M⁵"), =HYPERLINK("CSG18.html#group42B18", "42B¹⁸"), =HYPERLINK("CSG21.html#group48D21", "48D²¹"), =HYPERLINK("CSG21.html#group48CN21", "48CN²¹"), =HYPERLINK("CSG13.html#group48E13", "48E¹³"), =HYPERLINK("CSG20.html#group132B20", "132B²⁰"), =HYPERLINK("CSG11.html#group24I11", "24I¹¹"), =HYPERLINK("CSG21.html#group24F21", "24F²¹"), =HYPERLINK("CSG3.html#group24V3", "24V³"), =HYPERLINK("CSG9.html#group24AG9", "24AG⁹"), =HYPERLINK("CSG17.html#group36L17", "36L¹⁷"), =HYPERLINK("CSG19.html#group60M19", "60M¹⁹"), =HYPERLINK("CSG21.html#group36F21", "36F²¹"), =HYPERLINK("CSG8.html#group36I8", "36I⁸"), =HYPERLINK("CSG13.html#group24AB13", "24AB¹³"), =HYPERLINK("CSG17.html#group42I17", "42I¹⁷"), =HYPERLINK("CSG19.html#group120F19", "120F¹⁹"), =HYPERLINK("CSG19.html#group60K19", "60K¹⁹"), =HYPERLINK("CSG19.html#group72N19", "72N¹⁹"), =HYPERLINK("CSG17.html#group216A17", "216A¹⁷"), =HYPERLINK("CSG21.html#group48C21", "48C²¹"), =HYPERLINK("CSG7.html#group48AQ7", "48AQ⁷"), =HYPERLINK("CSG15.html#group96D15", "96D¹⁵"), =HYPERLINK("CSG9.html#group66A9", "66A⁹"), =HYPERLINK("CSG21.html#group144K21", "144K²¹"), =HYPERLINK("CSG21.html#group120D21", "120D²¹"), =HYPERLINK("CSG13.html#group96F13", "96F¹³"), =HYPERLINK("CSG10.html#group54I10", "54I¹⁰"), =HYPERLINK("CSG8.html#group72G8", "72G⁸"), =HYPERLINK("CSG17.html#group60S17", "60S¹⁷"), =HYPERLINK("CSG8.html#group36J8", "36J⁸"), =HYPERLINK("CSG21.html#group42H21", "42H²¹"), =HYPERLINK("CSG15.html#group48G15", "48G¹⁵"), =HYPERLINK("CSG5.html#group48I5", "48I⁵"), =HYPERLINK("CSG14.html#group90E14", "90E¹⁴"), =HYPERLINK("CSG23.html#group42F23", "42F²³"), =HYPERLINK("CSG9.html#group12B9", "12B⁹"), =HYPERLINK("CSG5.html#group24AB5", "24AB⁵"), =HYPERLINK("CSG13.html#group24L13", "24L¹³"), =HYPERLINK("CSG20.html#group126C20", "126C²⁰"), =HYPERLINK("CSG15.html#group96H15", "96H¹⁵"), =HYPERLINK("CSG22.html#group108E22", "108E²²"), =HYPERLINK("CSG21.html#group144B21", "144B²¹"), =HYPERLINK("CSG13.html#group48C13", "48C¹³"), =HYPERLINK("CSG23.html#group144G23", "144G²³"), =HYPERLINK("CSG17.html#group60P17", "60P¹⁷"), =HYPERLINK("CSG21.html#group96BB21", "96BB²¹"), =HYPERLINK("CSG15.html#group30E15", "30E¹⁵"), =HYPERLINK("CSG9.html#group24AK9", "24AK⁹"), =HYPERLINK("CSG19.html#group72H19", "72H¹⁹"), =HYPERLINK("CSG21.html#group138A21", "138A²¹"), =HYPERLINK("CSG13.html#group48P13", "48P¹³"), =HYPERLINK("CSG10.html#group36J10", "36J¹⁰"), =HYPERLINK("CSG22.html#group54B22", "54B²²"), =HYPERLINK("CSG9.html#group48AJ9", "48AJ⁹"), =HYPERLINK("CSG7.html#group48A7", "48A⁷"), =HYPERLINK("CSG2.html#group18D2", "18D²"), =HYPERLINK("CSG11.html#group96G11", "96G¹¹"), =HYPERLINK("CSG17.html#group48CK17", "48CK¹⁷"), =HYPERLINK("CSG16.html#group18B16", "18B¹⁶"), =HYPERLINK("CSG13.html#group48W13", "48W¹³"), =HYPERLINK("CSG15.html#group96A15", "96A¹⁵"), =HYPERLINK("CSG20.html#group126D20", "126D²⁰"), =HYPERLINK("CSG21.html#group48CG21", "48CG²¹"), =HYPERLINK("CSG23.html#group78F23", "78F²³"), =HYPERLINK("CSG22.html#group36L22", "36L²²"), =HYPERLINK("CSG7.html#group36I7", "36I⁷"), =HYPERLINK("CSG11.html#group96H11", "96H¹¹"), =HYPERLINK("CSG13.html#group96E13", "96E¹³"), =HYPERLINK("CSG9.html#group24AJ9", "24AJ⁹"), =HYPERLINK("CSG3.html#group12L3", "12L³"), =HYPERLINK("CSG22.html#group54D22", "54D²²"), =HYPERLINK("CSG13.html#group84F13", "84F¹³"), =HYPERLINK("CSG13.html#group48S13", "48S¹³"), =HYPERLINK("CSG13.html#group60AJ13", "60AJ¹³"), =HYPERLINK("CSG4.html#group54E4", "54E⁴"), =HYPERLINK("CSG23.html#group144N23", "144N²³"), =HYPERLINK("CSG22.html#group216C22", "216C²²"), =HYPERLINK("CSG15.html#group60AB15", "60AB¹⁵"), =HYPERLINK("CSG9.html#group60B9", "60B⁹"), =HYPERLINK("CSG15.html#group96F15", "96F¹⁵"), =HYPERLINK("CSG21.html#group96BJ21", "96BJ²¹"), =HYPERLINK("CSG10.html#group18E10", "18E¹⁰"), =HYPERLINK("CSG21.html#group120C21", "120C²¹"), =HYPERLINK("CSG17.html#group36I17", "36I¹⁷"), =HYPERLINK("CSG7.html#group24AG7", "24AG⁷"), =HYPERLINK("CSG19.html#group48BR19", "48BR¹⁹"), =HYPERLINK("CSG11.html#group84H11", "84H¹¹"), =HYPERLINK("CSG21.html#group48CM21", "48CM²¹"), =HYPERLINK("CSG16.html#group42A16", "42A¹⁶"), =HYPERLINK("CSG20.html#group72B20", "72B²⁰"), =HYPERLINK("CSG21.html#group48B21", "48B²¹"), =HYPERLINK("CSG23.html#group48B23", "48B²³"), =HYPERLINK("CSG2.html#group24I2", "24I²"), =HYPERLINK("CSG11.html#group48W11", "48W¹¹"), =HYPERLINK("CSG13.html#group48Y13", "48Y¹³"), =HYPERLINK("CSG9.html#group36Q9", "36Q⁹"), =HYPERLINK("CSG4.html#group18Q4", "18Q⁴"), =HYPERLINK("CSG13.html#group96A13", "96A¹³"), =HYPERLINK("CSG2.html#group12G2", "12G²"), =HYPERLINK("CSG10.html#group54A10", "54A¹⁰"), =HYPERLINK("CSG3.html#group12K3", "12K³"), =HYPERLINK("CSG24.html#group84D24", "84D²⁴"), =HYPERLINK("CSG13.html#group96D13", "96D¹³"), =HYPERLINK("CSG23.html#group96AL23", "96AL²³"), =HYPERLINK("CSG9.html#group36D9", "36D⁹"), =HYPERLINK("CSG23.html#group144H23", "144H²³"), =HYPERLINK("CSG20.html#group72A20", "72A²⁰"), =HYPERLINK("CSG19.html#group144H19", "144H¹⁹"), =HYPERLINK("CSG10.html#group36S10", "36S¹⁰"), =HYPERLINK("CSG11.html#group90J11", "90J¹¹"), =HYPERLINK("CSG1.html#group24J1", "24J¹"), =HYPERLINK("CSG17.html#group72U17", "72U¹⁷"), =HYPERLINK("CSG17.html#group72N17", "72N¹⁷"), =HYPERLINK("CSG21.html#group48G21", "48G²¹"), =HYPERLINK("CSG13.html#group84B13", "84B¹³"), =HYPERLINK("CSG22.html#group54G22", "54G²²"), =HYPERLINK("CSG7.html#group48F7", "48F⁷"), =HYPERLINK("CSG21.html#group96BC21", "96BC²¹"), =HYPERLINK("CSG1.html#group12F1", "12F¹"), =HYPERLINK("CSG13.html#group48D13", "48D¹³"), =HYPERLINK("CSG21.html#group96BA21", "96BA²¹"), =HYPERLINK("CSG10.html#group18G10", "18G¹⁰"), =HYPERLINK("CSG15.html#group96K15", "96K¹⁵"), =HYPERLINK("CSG17.html#group96AK17", "96AK¹⁷"), =HYPERLINK("CSG21.html#group72A21", "72A²¹"), =HYPERLINK("CSG21.html#group24J21", "24J²¹"), =HYPERLINK("CSG23.html#group144F23", "144F²³"), =HYPERLINK("CSG19.html#group66C19", "66C¹⁹"), =HYPERLINK("CSG13.html#group30R13", "30R¹³"), =HYPERLINK("CSG21.html#group144J21", "144J²¹"), =HYPERLINK("CSG7.html#group48AK7", "48AK⁷"), =HYPERLINK("CSG17.html#group48CM17", "48CM¹⁷"), =HYPERLINK("CSG21.html#group216B21", "216B²¹"), =HYPERLINK("CSG7.html#group24AL7", "24AL⁷"), =HYPERLINK("CSG21.html#group48CL21", "48CL²¹"), =HYPERLINK("CSG13.html#group36T13", "36T¹³"), =HYPERLINK("CSG21.html#group72L21", "72L²¹"), =HYPERLINK("CSG19.html#group144B19", "144B¹⁹"), =HYPERLINK("CSG2.html#group24F2", "24F²"), =HYPERLINK("CSG7.html#group24AJ7", "24AJ⁷"), =HYPERLINK("CSG21.html#group144D21", "144D²¹"), =HYPERLINK("CSG22.html#group30A22", "30A²²"), =HYPERLINK("CSG17.html#group108G17", "108G¹⁷"), =HYPERLINK("CSG15.html#group30A15", "30A¹⁵"), =HYPERLINK("CSG22.html#group144B22", "144B²²"), =HYPERLINK("CSG7.html#group48H7", "48H⁷"), =HYPERLINK("CSG19.html#group48BS19", "48BS¹⁹"), =HYPERLINK("CSG21.html#group96BH21", "96BH²¹"), =HYPERLINK("CSG21.html#group72E21", "72E²¹"), =HYPERLINK("CSG19.html#group72C19", "72C¹⁹"), =HYPERLINK("CSG0.html#group12J0", "12J⁰"), =HYPERLINK("CSG17.html#group114A17", "114A¹⁷"), =HYPERLINK("CSG21.html#group144C21", "144C²¹"), =HYPERLINK("CSG9.html#group72B9", "72B⁹"), =HYPERLINK("CSG15.html#group24C15", "24C¹⁵"), =HYPERLINK("CSG5.html#group12E5", "12E⁵"), =HYPERLINK("CSG11.html#group36I11", "36I¹¹"), =HYPERLINK("CSG16.html#group54D16", "54D¹⁶"), =HYPERLINK("CSG20.html#group144B20", "144B²⁰"), =HYPERLINK("CSG19.html#group144D19", "144D¹⁹"), =HYPERLINK("CSG16.html#group108A16", "108A¹⁶"), =HYPERLINK("CSG9.html#group24A9", "24A⁹"), =HYPERLINK("CSG10.html#group48I10", "48I¹⁰"), =HYPERLINK("CSG7.html#group72C7", "72C⁷"), =HYPERLINK("CSG11.html#group48Z11", "48Z¹¹"), =HYPERLINK("CSG7.html#group48G7", "48G⁷"), =HYPERLINK("CSG10.html#group48H10", "48H¹⁰"), =HYPERLINK("CSG13.html#group48V13", "48V¹³"), =HYPERLINK("CSG17.html#group60F17", "60F¹⁷"), =HYPERLINK("CSG13.html#group48O13", "48O¹³"), =HYPERLINK("CSG11.html#group78C11", "78C¹¹"), =HYPERLINK("CSG19.html#group120A19", "120A¹⁹"), =HYPERLINK("CSG21.html#group48CA21", "48CA²¹"), =HYPERLINK("CSG21.html#group144F21", "144F²¹"), =HYPERLINK("CSG3.html#group12O3", "12O³"), =HYPERLINK("CSG23.html#group144A23", "144A²³"), =HYPERLINK("CSG6.html#group54B6", "54B⁶"), =HYPERLINK("CSG3.html#group24B3", "24B³"), =HYPERLINK("CSG11.html#group72C11", "72C¹¹"), =HYPERLINK("CSG17.html#group48CJ17", "48CJ¹⁷"), =HYPERLINK("CSG19.html#group72M19", "72M¹⁹"), =HYPERLINK("CSG12.html#group42G12", "42G¹²"), =HYPERLINK("CSG7.html#group12A7", "12A⁷"), =HYPERLINK("CSG17.html#group72Y17", "72Y¹⁷"), =HYPERLINK("CSG14.html#group90A14", "90A¹⁴"), =HYPERLINK("CSG22.html#group144A22", "144A²²"), =HYPERLINK("CSG17.html#group126K17", "126K¹⁷"), =HYPERLINK("CSG16.html#group162E16", "162E¹⁶"), =HYPERLINK("CSG15.html#group96B15", "96B¹⁵"), =HYPERLINK("CSG10.html#group72D10", "72D¹⁰"), =HYPERLINK("CSG13.html#group24M13", "24M¹³"), =HYPERLINK("CSG19.html#group72I19", "72I¹⁹"), =HYPERLINK("CSG3.html#group24Y3", "24Y³"), =HYPERLINK("CSG22.html#group60D22", "60D²²"), =HYPERLINK("CSG17.html#group24AT17", "24AT¹⁷"), =HYPERLINK("CSG5.html#group12B5", "12B⁵"), =HYPERLINK("CSG23.html#group144E23", "144E²³"), =HYPERLINK("CSG21.html#group24B21", "24B²¹"), =HYPERLINK("CSG19.html#group96BD19", "96BD¹⁹"), =HYPERLINK("CSG15.html#group144E15", "144E¹⁵"), =HYPERLINK("CSG13.html#group72W13", "72W¹³"), =HYPERLINK("CSG10.html#group36B10", "36B¹⁰"), =HYPERLINK("CSG15.html#group102C15", "102C¹⁵"), =HYPERLINK("CSG23.html#group144L23", "144L²³"), =HYPERLINK("CSG17.html#group120O17", "120O¹⁷"), =HYPERLINK("CSG24.html#group84A24", "84A²⁴"), =HYPERLINK("CSG16.html#group120B16", "120B¹⁶"), =HYPERLINK("CSG5.html#group30S5", "30S⁵"), =HYPERLINK("CSG10.html#group96E10", "96E¹⁰"), =HYPERLINK("CSG13.html#group48G13", "48G¹³"), =HYPERLINK("CSG7.html#group48C7", "48C⁷"), =HYPERLINK("CSG13.html#group96B13", "96B¹³"), =HYPERLINK("CSG13.html#group48N13", "48N¹³"), =HYPERLINK("CSG11.html#group30G11", "30G¹¹"), =HYPERLINK("CSG13.html#group96I13", "96I¹³"), =HYPERLINK("CSG3.html#group24Z3", "24Z³"), =HYPERLINK("CSG21.html#group96BK21", "96BK²¹"), =HYPERLINK("CSG19.html#group120K19", "120K¹⁹"), =HYPERLINK("CSG1.html#group6F1", "6F¹"), =HYPERLINK("CSG13.html#group48K13", "48K¹³"), =HYPERLINK("CSG9.html#group60G9", "60G⁹"), =HYPERLINK("CSG14.html#group90F14", "90F¹⁴"), =HYPERLINK("CSG17.html#group108F17", "108F¹⁷"), =HYPERLINK("CSG21.html#group48W21", "48W²¹"), =HYPERLINK("CSG21.html#group144L21", "144L²¹"), =HYPERLINK("CSG21.html#group144G21", "144G²¹"), =HYPERLINK("CSG16.html#group18E16", "18E¹⁶"), =HYPERLINK("CSG21.html#group120F21", "120F²¹"), =HYPERLINK("CSG13.html#group30N13", "30N¹³"), =HYPERLINK("CSG23.html#group84K23", "84K²³"), =HYPERLINK("CSG5.html#group48J5", "48J⁵"), =HYPERLINK("CSG22.html#group54E22", "54E²²"), =HYPERLINK("CSG7.html#group48AP7", "48AP⁷"), =HYPERLINK("CSG21.html#group120A21", "120A²¹"), =HYPERLINK("CSG21.html#group24I21", "24I²¹"), =HYPERLINK("CSG9.html#group24AE9", "24AE⁹"), =HYPERLINK("CSG20.html#group66A20", "66A²⁰"), =HYPERLINK("CSG17.html#group126J17", "126J¹⁷"), =HYPERLINK("CSG15.html#group60V15", "60V¹⁵"), =HYPERLINK("CSG17.html#group66A17", "66A¹⁷"), =HYPERLINK("CSG6.html#group48D6", "48D⁶"), =HYPERLINK("CSG19.html#group144E19", "144E¹⁹"), =HYPERLINK("CSG7.html#group30L7", "30L⁷"), =HYPERLINK("CSG23.html#group144O23", "144O²³"), =HYPERLINK("CSG8.html#group36K8", "36K⁸"), =HYPERLINK("CSG7.html#group108A7", "108A⁷"), =HYPERLINK("CSG19.html#group72E19", "72E¹⁹"), =HYPERLINK("CSG21.html#group42C21", "42C²¹"), =HYPERLINK("CSG13.html#group72R13", "72R¹³"), =HYPERLINK("CSG21.html#group72C21", "72C²¹"), =HYPERLINK("CSG23.html#group144D23", "144D²³"), =HYPERLINK("CSG19.html#group72G19", "72G¹⁹"), =HYPERLINK("CSG19.html#group72K19", "72K¹⁹"), =HYPERLINK("CSG9.html#group24AP9", "24AP⁹"), =HYPERLINK("CSG5.html#group48C5", "48C⁵"), =HYPERLINK("CSG10.html#group72A10", "72A¹⁰"), =HYPERLINK("CSG21.html#group96BL21", "96BL²¹"), =HYPERLINK("CSG21.html#group126J21", "126J²¹"), =HYPERLINK("CSG19.html#group48BO19", "48BO¹⁹"), =HYPERLINK("CSG3.html#group48K3", "48K³"), =HYPERLINK("CSG21.html#group48X21", "48X²¹"), =HYPERLINK("CSG3.html#group24AC3", "24AC³"), =HYPERLINK("CSG13.html#group24K13", "24K¹³"), =HYPERLINK("CSG17.html#group96AL17", "96AL¹⁷"), =HYPERLINK("CSG23.html#group144I23", "144I²³"), =HYPERLINK("CSG15.html#group72Y15", "72Y¹⁵"), =HYPERLINK("CSG21.html#group48CI21", "48CI²¹"), =HYPERLINK("CSG19.html#group150I19", "150I¹⁹"), =HYPERLINK("CSG7.html#group48E7", "48E⁷"), =HYPERLINK("CSG17.html#group144D17", "144D¹⁷"), =HYPERLINK("CSG6.html#group18A6", "18A⁶"), =HYPERLINK("CSG13.html#group54B13", "54B¹³"), =HYPERLINK("CSG15.html#group120L15", "120L¹⁵"), =HYPERLINK("CSG21.html#group132A21", "132A²¹"), =HYPERLINK("CSG4.html#group24R4", "24R⁴"), =HYPERLINK("CSG9.html#group48AN9", "48AN⁹"), =HYPERLINK("CSG3.html#group36K3", "36K³"), =HYPERLINK("CSG13.html#group18B13", "18B¹³"), =HYPERLINK("CSG13.html#group72Q13", "72Q¹³"), =HYPERLINK("CSG9.html#group72D9", "72D⁹"), =HYPERLINK("CSG21.html#group72AC21", "72AC²¹"), =HYPERLINK("CSG5.html#group24AA5", "24AA⁵"), =HYPERLINK("CSG24.html#group84B24", "84B²⁴"), =HYPERLINK("CSG17.html#group24AQ17", "24AQ¹⁷"), =HYPERLINK("CSG15.html#group36A15", "36A¹⁵"), =HYPERLINK("CSG21.html#group144I21", "144I²¹"), =HYPERLINK("CSG21.html#group24A21", "24A²¹"), =HYPERLINK("CSG21.html#group78C21", "78C²¹"), =HYPERLINK("CSG17.html#group42J17", "42J¹⁷"), =HYPERLINK("CSG11.html#group42I11", "42I¹¹"), =HYPERLINK("CSG3.html#group72A3", "72A³"), =HYPERLINK("CSG13.html#group48M13", "48M¹³"), =HYPERLINK("CSG13.html#group60AI13", "60AI¹³"), =HYPERLINK("CSG12.html#group30H12", "30H¹²"), =HYPERLINK("CSG21.html#group48BZ21", "48BZ²¹"), =HYPERLINK("CSG23.html#group144K23", "144K²³"), =HYPERLINK("CSG21.html#group96AZ21", "96AZ²¹"), =HYPERLINK("CSG13.html#group48Z13", "48Z¹³"), =HYPERLINK("CSG17.html#group48CL17", "48CL¹⁷"), =HYPERLINK("CSG15.html#group96G15", "96G¹⁵"), =HYPERLINK("CSG11.html#group48AB11", "48AB¹¹"), =HYPERLINK("CSG13.html#group108B13", "108B¹³"), =HYPERLINK("CSG22.html#group36O22", "36O²²"), =HYPERLINK("CSG5.html#group24K5", "24K⁵"), =HYPERLINK("CSG21.html#group84Q21", "84Q²¹"), =HYPERLINK("CSG1.html#group12V1", "12V¹"), =HYPERLINK("CSG22.html#group72A22", "72A²²"), =HYPERLINK("CSG11.html#group42C11", "42C¹¹"), =HYPERLINK("CSG22.html#group72B22", "72B²²"), =HYPERLINK("CSG5.html#group42G5", "42G⁵"), =HYPERLINK("CSG12.html#group84A12", "84A¹²"), =HYPERLINK("CSG13.html#group72V13", "72V¹³"), =HYPERLINK("CSG19.html#group24J19", "24J¹⁹"), =HYPERLINK("CSG21.html#group72K21", "72K²¹"), =HYPERLINK("CSG9.html#group36C9", "36C⁹"), =HYPERLINK("CSG4.html#group30D4", "30D⁴"), =HYPERLINK("CSG24.html#group168A24", "168A²⁴"), =HYPERLINK("CSG17.html#group36J17", "36J¹⁷"), =HYPERLINK("CSG17.html#group72R17", "72R¹⁷"), =HYPERLINK("CSG3.html#group24W3", "24W³"), =HYPERLINK("CSG18.html#group120D18", "120D¹⁸"), =HYPERLINK("CSG23.html#group144P23", "144P²³"), =HYPERLINK("CSG23.html#group84B23", "84B²³"), =HYPERLINK("CSG15.html#group108A15", "108A¹⁵"), =HYPERLINK("CSG11.html#group72B11", "72B¹¹"), =HYPERLINK("CSG9.html#group72E9", "72E⁹"), =HYPERLINK("CSG5.html#group24N5", "24N⁵"), =HYPERLINK("CSG19.html#group72J19", "72J¹⁹"), =HYPERLINK("CSG14.html#group48A14", "48A¹⁴"), =HYPERLINK("CSG7.html#group36H7", "36H⁷"), =HYPERLINK("CSG3.html#group12N3", "12N³"), =HYPERLINK("CSG17.html#group108A17", "108A¹⁷"), =HYPERLINK("CSG16.html#group54U16", "54U¹⁶"), =HYPERLINK("CSG19.html#group48BP19", "48BP¹⁹"), =HYPERLINK("CSG19.html#group132D19", "132D¹⁹"), =HYPERLINK("CSG13.html#group24J13", "24J¹³"), =HYPERLINK("CSG9.html#group72I9", "72I⁹"), =HYPERLINK("CSG22.html#group36N22", "36N²²"), =HYPERLINK("CSG17.html#group120D17", "120D¹⁷"), =HYPERLINK("CSG15.html#group96I15", "96I¹⁵"), =HYPERLINK("CSG17.html#group60O17", "60O¹⁷"), =HYPERLINK("CSG23.html#group96AK23", "96AK²³"), =HYPERLINK("CSG13.html#group48F13", "48F¹³"), =HYPERLINK("CSG19.html#group36C19", "36C¹⁹"), =HYPERLINK("CSG22.html#group54C22", "54C²²"), =HYPERLINK("CSG19.html#group144C19", "144C¹⁹"), =HYPERLINK("CSG3.html#group12D3", "12D³"), =HYPERLINK("CSG12.html#group42D12", "42D¹²"), =HYPERLINK("CSG4.html#group48J4", "48J⁴"), =HYPERLINK("CSG17.html#group60Q17", "60Q¹⁷"), =HYPERLINK("CSG23.html#group144C23", "144C²³"), =HYPERLINK("CSG22.html#group72L22", "72L²²"), =HYPERLINK("CSG21.html#group24C21", "24C²¹"), =HYPERLINK("CSG21.html#group24G21", "24G²¹"), =HYPERLINK("CSG13.html#group84C13", "84C¹³"), =HYPERLINK("CSG9.html#group48AL9", "48AL⁹"), =HYPERLINK("CSG16.html#group54E16", "54E¹⁶"), =HYPERLINK("CSG19.html#group60L19", "60L¹⁹"), =HYPERLINK("CSG21.html#group48CP21", "48CP²¹"), =HYPERLINK("CSG19.html#group72B19", "72B¹⁹"), =HYPERLINK("CSG17.html#group96AH17", "96AH¹⁷"), =HYPERLINK("CSG23.html#group48C23", "48C²³"), =HYPERLINK("CSG10.html#group66A10", "66A¹⁰"), =HYPERLINK("CSG13.html#group48H13", "48H¹³"), =HYPERLINK("CSG5.html#group24Z5", "24Z⁵"), =HYPERLINK("CSG19.html#group48J19", "48J¹⁹"), =HYPERLINK("CSG15.html#group96J15", "96J¹⁵"), =HYPERLINK("CSG15.html#group60AD15", "60AD¹⁵"), =HYPERLINK("CSG2.html#group18Q2", "18Q²"), =HYPERLINK("CSG15.html#group120M15", "120M¹⁵"), =HYPERLINK("CSG3.html#group48J3", "48J³"), =HYPERLINK("CSG16.html#group54F16", "54F¹⁶"), =HYPERLINK("CSG17.html#group60R17", "60R¹⁷"), =HYPERLINK("CSG21.html#group192M21", "192M²¹"), =HYPERLINK("CSG21.html#group30G21", "30G²¹"), =HYPERLINK("CSG9.html#group48AO9", "48AO⁹"), =HYPERLINK("CSG17.html#group24E17", "24E¹⁷"), =HYPERLINK("CSG17.html#group24A17", "24A¹⁷"), =HYPERLINK("CSG17.html#group72T17", "72T¹⁷"), =HYPERLINK("CSG21.html#group96BG21", "96BG²¹"), =HYPERLINK("CSG11.html#group42G11", "42G¹¹"), =HYPERLINK("CSG7.html#group36O7", "36O⁷"), =HYPERLINK("CSG23.html#group156D23", "156D²³"), =HYPERLINK("CSG11.html#group24H11", "24H¹¹"), =HYPERLINK("CSG11.html#group48AA11", "48AA¹¹"), =HYPERLINK("CSG4.html#group36G4", "36G⁴"), =HYPERLINK("CSG23.html#group48D23", "48D²³"), =HYPERLINK("CSG13.html#group12B13", "12B¹³"), =HYPERLINK("CSG21.html#group96BM21", "96BM²¹"), =HYPERLINK("CSG13.html#group108A13", "108A¹³"), =HYPERLINK("CSG8.html#group30B8", "30B⁸"), =HYPERLINK("CSG21.html#group144H21", "144H²¹"), =HYPERLINK("CSG19.html#group144G19", "144G¹⁹"), =HYPERLINK("CSG20.html#group144A20", "144A²⁰"), =HYPERLINK("CSG21.html#group96BE21", "96BE²¹"), =HYPERLINK("CSG17.html#group48CN17", "48CN¹⁷"), =HYPERLINK("CSG13.html#group24P13", "24P¹³"), =HYPERLINK("CSG8.html#group72F8", "72F⁸"), =HYPERLINK("CSG0.html#group12E0", "12E⁰")</f>
        <v/>
      </c>
    </row>
    <row r="31">
      <c r="A31" t="inlineStr">
        <is>
          <t>6G⁰</t>
        </is>
      </c>
      <c r="B31" t="inlineStr"/>
      <c r="C31" t="inlineStr">
        <is>
          <t>18</t>
        </is>
      </c>
      <c r="D31" t="inlineStr">
        <is>
          <t>1</t>
        </is>
      </c>
      <c r="E31" t="inlineStr">
        <is>
          <t>9</t>
        </is>
      </c>
      <c r="F31" t="inlineStr">
        <is>
          <t>2</t>
        </is>
      </c>
      <c r="G31" t="inlineStr">
        <is>
          <t>0</t>
        </is>
      </c>
      <c r="H31" t="inlineStr">
        <is>
          <t>3², 6²</t>
        </is>
      </c>
      <c r="I31" t="n">
        <v>4</v>
      </c>
      <c r="J31" t="inlineStr">
        <is>
          <t>1³, 2³</t>
        </is>
      </c>
      <c r="K31">
        <f>HYPERLINK("CSG0.html#group3C0", "3C⁰"), =HYPERLINK("CSG0.html#group6D0", "6D⁰")</f>
        <v/>
      </c>
      <c r="L31">
        <f>HYPERLINK("CSG0.html#group6K0", "6K⁰"), =HYPERLINK("CSG0.html#group6L0", "6L⁰"), =HYPERLINK("CSG0.html#group12G0", "12G⁰"), =HYPERLINK("CSG1.html#group6E1", "6E¹"), =HYPERLINK("CSG1.html#group12K1", "12K¹"), =HYPERLINK("CSG1.html#group12L1", "12L¹"), =HYPERLINK("CSG1.html#group18I1", "18I¹"), =HYPERLINK("CSG2.html#group12C2", "12C²"), =HYPERLINK("CSG2.html#group18I2", "18I²"), =HYPERLINK("CSG3.html#group18E3", "18E³"), =HYPERLINK("CSG5.html#group30O5", "30O⁵"), =HYPERLINK("CSG6.html#group30A6", "30A⁶"), =HYPERLINK("CSG8.html#group42C8", "42C⁸"), =HYPERLINK("CSG9.html#group42A9", "42A⁹"), =HYPERLINK("CSG11.html#group30C11", "30C¹¹"), =HYPERLINK("CSG14.html#group66A14", "66A¹⁴"), =HYPERLINK("CSG15.html#group66A15", "66A¹⁵"), =HYPERLINK("CSG17.html#group78A17", "78A¹⁷"), =HYPERLINK("CSG23.html#group102B23", "102B²³")</f>
        <v/>
      </c>
      <c r="M31">
        <f>HYPERLINK("CSG0.html#group3C0", "3C⁰"), =HYPERLINK("CSG0.html#group2B0", "2B⁰"), =HYPERLINK("CSG0.html#group3A0", "3A⁰"), =HYPERLINK("CSG0.html#group1A0", "1A⁰"), =HYPERLINK("CSG0.html#group6D0", "6D⁰")</f>
        <v/>
      </c>
      <c r="N31">
        <f>HYPERLINK("CSG21.html#group96Y21", "96Y²¹"), =HYPERLINK("CSG13.html#group72K13", "72K¹³"), =HYPERLINK("CSG19.html#group48BE19", "48BE¹⁹"), =HYPERLINK("CSG21.html#group90B21", "90B²¹"), =HYPERLINK("CSG17.html#group48O17", "48O¹⁷"), =HYPERLINK("CSG9.html#group48M9", "48M⁹"), =HYPERLINK("CSG9.html#group48N9", "48N⁹"), =HYPERLINK("CSG12.html#group36D12", "36D¹²"), =HYPERLINK("CSG17.html#group48AI17", "48AI¹⁷"), =HYPERLINK("CSG19.html#group24M19", "24M¹⁹"), =HYPERLINK("CSG17.html#group48AK17", "48AK¹⁷"), =HYPERLINK("CSG15.html#group24L15", "24L¹⁵"), =HYPERLINK("CSG3.html#group12G3", "12G³"), =HYPERLINK("CSG15.html#group72T15", "72T¹⁵"), =HYPERLINK("CSG13.html#group48W13", "48W¹³"), =HYPERLINK("CSG16.html#group18B16", "18B¹⁶"), =HYPERLINK("CSG9.html#group24O9", "24O⁹"), =HYPERLINK("CSG21.html#group96AU21", "96AU²¹"), =HYPERLINK("CSG17.html#group24AB17", "24AB¹⁷"), =HYPERLINK("CSG22.html#group36L22", "36L²²"), =HYPERLINK("CSG17.html#group48U17", "48U¹⁷"), =HYPERLINK("CSG15.html#group36B15", "36B¹⁵"), =HYPERLINK("CSG7.html#group24R7", "24R⁷"), =HYPERLINK("CSG4.html#group18N4", "18N⁴"), =HYPERLINK("CSG19.html#group48Z19", "48Z¹⁹"), =HYPERLINK("CSG15.html#group24K15", "24K¹⁵"), =HYPERLINK("CSG13.html#group36C13", "36C¹³"), =HYPERLINK("CSG17.html#group48AG17", "48AG¹⁷"), =HYPERLINK("CSG19.html#group36R19", "36R¹⁹"), =HYPERLINK("CSG7.html#group36E7", "36E⁷"), =HYPERLINK("CSG3.html#group18K3", "18K³"), =HYPERLINK("CSG7.html#group24G7", "24G⁷"), =HYPERLINK("CSG3.html#group24K3", "24K³"), =HYPERLINK("CSG19.html#group36U19", "36U¹⁹"), =HYPERLINK("CSG13.html#group24Q13", "24Q¹³"), =HYPERLINK("CSG17.html#group24AD17", "24AD¹⁷"), =HYPERLINK("CSG9.html#group48V9", "48V⁹"), =HYPERLINK("CSG15.html#group36N15", "36N¹⁵"), =HYPERLINK("CSG21.html#group48AD21", "48AD²¹"), =HYPERLINK("CSG7.html#group24V7", "24V⁷"), =HYPERLINK("CSG10.html#group18E10", "18E¹⁰"), =HYPERLINK("CSG17.html#group48M17", "48M¹⁷"), =HYPERLINK("CSG19.html#group48AL19", "48AL¹⁹"), =HYPERLINK("CSG17.html#group36I17", "36I¹⁷"), =HYPERLINK("CSG15.html#group36C15", "36C¹⁵"), =HYPERLINK("CSG13.html#group24U13", "24U¹³"), =HYPERLINK("CSG17.html#group48AH17", "48AH¹⁷"), =HYPERLINK("CSG17.html#group96W17", "96W¹⁷"), =HYPERLINK("CSG17.html#group48P17", "48P¹⁷"), =HYPERLINK("CSG4.html#group36P4", "36P⁴"), =HYPERLINK("CSG21.html#group48BW21", "48BW²¹"), =HYPERLINK("CSG21.html#group96M21", "96M²¹"), =HYPERLINK("CSG21.html#group48AB21", "48AB²¹"), =HYPERLINK("CSG13.html#group72J13", "72J¹³"), =HYPERLINK("CSG21.html#group48BC21", "48BC²¹"), =HYPERLINK("CSG21.html#group48B21", "48B²¹"), =HYPERLINK("CSG15.html#group72R15", "72R¹⁵"), =HYPERLINK("CSG15.html#group24I15", "24I¹⁵"), =HYPERLINK("CSG13.html#group48Y13", "48Y¹³"), =HYPERLINK("CSG20.html#group84D20", "84D²⁰"), =HYPERLINK("CSG13.html#group48AC13", "48AC¹³"), =HYPERLINK("CSG19.html#group48E19", "48E¹⁹"), =HYPERLINK("CSG17.html#group48BJ17", "48BJ¹⁷"), =HYPERLINK("CSG19.html#group90K19", "90K¹⁹"), =HYPERLINK("CSG17.html#group48BI17", "48BI¹⁷"), =HYPERLINK("CSG16.html#group36I16", "36I¹⁶"), =HYPERLINK("CSG22.html#group18A22", "18A²²"), =HYPERLINK("CSG15.html#group72V15", "72V¹⁵"), =HYPERLINK("CSG23.html#group96Z23", "96Z²³"), =HYPERLINK("CSG21.html#group48AV21", "48AV²¹"), =HYPERLINK("CSG21.html#group48BE21", "48BE²¹"), =HYPERLINK("CSG13.html#group36S13", "36S¹³"), =HYPERLINK("CSG17.html#group24AA17", "24AA¹⁷"), =HYPERLINK("CSG7.html#group12E7", "12E⁷"), =HYPERLINK("CSG21.html#group96N21", "96N²¹"), =HYPERLINK("CSG12.html#group30E12", "30E¹²"), =HYPERLINK("CSG19.html#group48BG19", "48BG¹⁹"), =HYPERLINK("CSG3.html#group24M3", "24M³"), =HYPERLINK("CSG11.html#group48E11", "48E¹¹"), =HYPERLINK("CSG13.html#group36G13", "36G¹³"), =HYPERLINK("CSG17.html#group48AA17", "48AA¹⁷"), =HYPERLINK("CSG19.html#group24B19", "24B¹⁹"), =HYPERLINK("CSG21.html#group96AE21", "96AE²¹"), =HYPERLINK("CSG21.html#group96AV21", "96AV²¹"), =HYPERLINK("CSG21.html#group48AF21", "48AF²¹"), =HYPERLINK("CSG22.html#group36A22", "36A²²"), =HYPERLINK("CSG22.html#group36K22", "36K²²"), =HYPERLINK("CSG11.html#group48P11", "48P¹¹"), =HYPERLINK("CSG13.html#group12A13", "12A¹³"), =HYPERLINK("CSG21.html#group84D21", "84D²¹"), =HYPERLINK("CSG5.html#group12C5", "12C⁵"), =HYPERLINK("CSG23.html#group96T23", "96T²³"), =HYPERLINK("CSG23.html#group36A23", "36A²³"), =HYPERLINK("CSG19.html#group24O19", "24O¹⁹"), =HYPERLINK("CSG15.html#group24D15", "24D¹⁵"), =HYPERLINK("CSG17.html#group24D17", "24D¹⁷"), =HYPERLINK("CSG21.html#group48G21", "48G²¹"), =HYPERLINK("CSG12.html#group72H12", "72H¹²"), =HYPERLINK("CSG19.html#group84D19", "84D¹⁹"), =HYPERLINK("CSG7.html#group48X7", "48X⁷"), =HYPERLINK("CSG21.html#group48M21", "48M²¹"), =HYPERLINK("CSG11.html#group36L11", "36L¹¹"), =HYPERLINK("CSG21.html#group36E21", "36E²¹"), =HYPERLINK("CSG19.html#group48V19", "48V¹⁹"), =HYPERLINK("CSG7.html#group24O7", "24O⁷"), =HYPERLINK("CSG7.html#group36N7", "36N⁷"), =HYPERLINK("CSG7.html#group24N7", "24N⁷"), =HYPERLINK("CSG19.html#group48AF19", "48AF¹⁹"), =HYPERLINK("CSG23.html#group30F23", "30F²³"), =HYPERLINK("CSG5.html#group36H5", "36H⁵"), =HYPERLINK("CSG15.html#group96M15", "96M¹⁵"), =HYPERLINK("CSG22.html#group36C22", "36C²²"), =HYPERLINK("CSG17.html#group96Q17", "96Q¹⁷"), =HYPERLINK("CSG23.html#group96Y23", "96Y²³"), =HYPERLINK("CSG17.html#group48AX17", "48AX¹⁷"), =HYPERLINK("CSG23.html#group30H23", "30H²³"), =HYPERLINK("CSG6.html#group18D6", "18D⁶"), =HYPERLINK("CSG19.html#group36O19", "36O¹⁹"), =HYPERLINK("CSG15.html#group48N15", "48N¹⁵"), =HYPERLINK("CSG9.html#group30Q9", "30Q⁹"), =HYPERLINK("CSG15.html#group72I15", "72I¹⁵"), =HYPERLINK("CSG21.html#group48K21", "48K²¹"), =HYPERLINK("CSG15.html#group96N15", "96N¹⁵"), =HYPERLINK("CSG19.html#group24C19", "24C¹⁹"), =HYPERLINK("CSG5.html#group24T5", "24T⁵"), =HYPERLINK("CSG17.html#group48AZ17", "48AZ¹⁷"), =HYPERLINK("CSG15.html#group24E15", "24E¹⁵"), =HYPERLINK("CSG9.html#group24N9", "24N⁹"), =HYPERLINK("CSG2.html#group18I2", "18I²"), =HYPERLINK("CSG17.html#group48AR17", "48AR¹⁷"), =HYPERLINK("CSG11.html#group72Q11", "72Q¹¹"), =HYPERLINK("CSG7.html#group24T7", "24T⁷"), =HYPERLINK("CSG21.html#group60W21", "60W²¹"), =HYPERLINK("CSG21.html#group84B21", "84B²¹"), =HYPERLINK("CSG7.html#group18I7", "18I⁷"), =HYPERLINK("CSG21.html#group96AN21", "96AN²¹"), =HYPERLINK("CSG5.html#group30O5", "30O⁵"), =HYPERLINK("CSG17.html#group48Y17", "48Y¹⁷"), =HYPERLINK("CSG11.html#group30H11", "30H¹¹"), =HYPERLINK("CSG15.html#group24C15", "24C¹⁵"), =HYPERLINK("CSG19.html#group48AA19", "48AA¹⁹"), =HYPERLINK("CSG11.html#group36I11", "36I¹¹"), =HYPERLINK("CSG23.html#group36B23", "36B²³"), =HYPERLINK("CSG8.html#group72L8", "72L⁸"), =HYPERLINK("CSG19.html#group90G19", "90G¹⁹"), =HYPERLINK("CSG3.html#group24O3", "24O³"), =HYPERLINK("CSG17.html#group24Z17", "24Z¹⁷"), =HYPERLINK("CSG15.html#group60G15", "60G¹⁵"), =HYPERLINK("CSG21.html#group96AO21", "96AO²¹"), =HYPERLINK("CSG9.html#group24A9", "24A⁹"), =HYPERLINK("CSG21.html#group48Y21", "48Y²¹"), =HYPERLINK("CSG15.html#group48E15", "48E¹⁵"), =HYPERLINK("CSG17.html#group48AE17", "48AE¹⁷"), =HYPERLINK("CSG13.html#group48V13", "48V¹³"), =HYPERLINK("CSG19.html#group24K19", "24K¹⁹"), =HYPERLINK("CSG13.html#group60Q13", "60Q¹³"), =HYPERLINK("CSG12.html#group60B12", "60B¹²"), =HYPERLINK("CSG17.html#group24AC17", "24AC¹⁷"), =HYPERLINK("CSG15.html#group24A15", "24A¹⁵"), =HYPERLINK("CSG11.html#group72N11", "72N¹¹"), =HYPERLINK("CSG17.html#group24AG17", "24AG¹⁷"), =HYPERLINK("CSG3.html#group12O3", "12O³"), =HYPERLINK("CSG15.html#group48K15", "48K¹⁵"), =HYPERLINK("CSG21.html#group48AC21", "48AC²¹"), =HYPERLINK("CSG13.html#group24Y13", "24Y¹³"), =HYPERLINK("CSG13.html#group24N13", "24N¹³"), =HYPERLINK("CSG19.html#group48K19", "48K¹⁹"), =HYPERLINK("CSG15.html#group66A15", "66A¹⁵"), =HYPERLINK("CSG17.html#group24G17", "24G¹⁷"), =HYPERLINK("CSG16.html#group54T16", "54T¹⁶"), =HYPERLINK("CSG13.html#group36D13", "36D¹³"), =HYPERLINK("CSG15.html#group72H15", "72H¹⁵"), =HYPERLINK("CSG21.html#group96F21", "96F²¹"), =HYPERLINK("CSG1.html#group12L1", "12L¹"), =HYPERLINK("CSG19.html#group48AH19", "48AH¹⁹"), =HYPERLINK("CSG9.html#group24R9", "24R⁹"), =HYPERLINK("CSG16.html#group84C16", "84C¹⁶"), =HYPERLINK("CSG17.html#group42C17", "42C¹⁷"), =HYPERLINK("CSG21.html#group72AA21", "72AA²¹"), =HYPERLINK("CSG15.html#group24J15", "24J¹⁵"), =HYPERLINK("CSG7.html#group12A7", "12A⁷"), =HYPERLINK("CSG23.html#group36D23", "36D²³"), =HYPERLINK("CSG17.html#group48AB17", "48AB¹⁷"), =HYPERLINK("CSG12.html#group36A12", "36A¹²"), =HYPERLINK("CSG16.html#group18D16", "18D¹⁶"), =HYPERLINK("CSG21.html#group48BG21", "48BG²¹"), =HYPERLINK("CSG17.html#group48AF17", "48AF¹⁷"), =HYPERLINK("CSG23.html#group144X23", "144X²³"), =HYPERLINK("CSG17.html#group96V17", "96V¹⁷"), =HYPERLINK("CSG9.html#group24V9", "24V⁹"), =HYPERLINK("CSG13.html#group24M13", "24M¹³"), =HYPERLINK("CSG17.html#group24Y17", "24Y¹⁷"), =HYPERLINK("CSG19.html#group24Q19", "24Q¹⁹"), =HYPERLINK("CSG15.html#group48P15", "48P¹⁵"), =HYPERLINK("CSG17.html#group78A17", "78A¹⁷"), =HYPERLINK("CSG3.html#group24L3", "24L³"), =HYPERLINK("CSG9.html#group24E9", "24E⁹"), =HYPERLINK("CSG17.html#group96T17", "96T¹⁷"), =HYPERLINK("CSG15.html#group72G15", "72G¹⁵"), =HYPERLINK("CSG1.html#group12K1", "12K¹"), =HYPERLINK("CSG5.html#group12B5", "12B⁵"), =HYPERLINK("CSG17.html#group72I17", "72I¹⁷"), =HYPERLINK("CSG11.html#group60N11", "60N¹¹"), =HYPERLINK("CSG13.html#group30K13", "30K¹³"), =HYPERLINK("CSG9.html#group24G9", "24G⁹"), =HYPERLINK("CSG11.html#group48H11", "48H¹¹"), =HYPERLINK("CSG19.html#group36N19", "36N¹⁹"), =HYPERLINK("CSG11.html#group12A11", "12A¹¹"), =HYPERLINK("CSG7.html#group48M7", "48M⁷"), =HYPERLINK("CSG21.html#group48P21", "48P²¹"), =HYPERLINK("CSG11.html#group36M11", "36M¹¹"), =HYPERLINK("CSG17.html#group96P17", "96P¹⁷"), =HYPERLINK("CSG16.html#group42C16", "42C¹⁶"), =HYPERLINK("CSG7.html#group24I7", "24I⁷"), =HYPERLINK("CSG15.html#group36L15", "36L¹⁵"), =HYPERLINK("CSG0.html#group6K0", "6K⁰"), =HYPERLINK("CSG11.html#group36N11", "36N¹¹"), =HYPERLINK("CSG23.html#group30A23", "30A²³"), =HYPERLINK("CSG13.html#group60T13", "60T¹³"), =HYPERLINK("CSG11.html#group30I11", "30I¹¹"), =HYPERLINK("CSG19.html#group96F19", "96F¹⁹"), =HYPERLINK("CSG3.html#group12H3", "12H³"), =HYPERLINK("CSG7.html#group24U7", "24U⁷"), =HYPERLINK("CSG10.html#group36Q10", "36Q¹⁰"), =HYPERLINK("CSG11.html#group30G11", "30G¹¹"), =HYPERLINK("CSG7.html#group18N7", "18N⁷"), =HYPERLINK("CSG17.html#group24V17", "24V¹⁷"), =HYPERLINK("CSG21.html#group30H21", "30H²¹"), =HYPERLINK("CSG19.html#group48X19", "48X¹⁹"), =HYPERLINK("CSG21.html#group96AB21", "96AB²¹"), =HYPERLINK("CSG1.html#group6F1", "6F¹"), =HYPERLINK("CSG7.html#group24Z7", "24Z⁷"), =HYPERLINK("CSG5.html#group12D5", "12D⁵"), =HYPERLINK("CSG23.html#group60D23", "60D²³"), =HYPERLINK("CSG17.html#group48AL17", "48AL¹⁷"), =HYPERLINK("CSG19.html#group24N19", "24N¹⁹"), =HYPERLINK("CSG16.html#group18A16", "18A¹⁶"), =HYPERLINK("CSG7.html#group48Z7", "48Z⁷"), =HYPERLINK("CSG17.html#group48F17", "48F¹⁷"), =HYPERLINK("CSG17.html#group72A17", "72A¹⁷"), =HYPERLINK("CSG21.html#group48W21", "48W²¹"), =HYPERLINK("CSG7.html#group48Q7", "48Q⁷"), =HYPERLINK("CSG13.html#group72L13", "72L¹³"), =HYPERLINK("CSG8.html#group36A8", "36A⁸"), =HYPERLINK("CSG13.html#group60Y13", "60Y¹³"), =HYPERLINK("CSG17.html#group48C17", "48C¹⁷"), =HYPERLINK("CSG23.html#group72I23", "72I²³"), =HYPERLINK("CSG23.html#group36C23", "36C²³"), =HYPERLINK("CSG7.html#group24H7", "24H⁷"), =HYPERLINK("CSG22.html#group54E22", "54E²²"), =HYPERLINK("CSG7.html#group48AA7", "48AA⁷"), =HYPERLINK("CSG7.html#group24Y7", "24Y⁷"), =HYPERLINK("CSG17.html#group48E17", "48E¹⁷"), =HYPERLINK("CSG21.html#group96P21", "96P²¹"), =HYPERLINK("CSG21.html#group96AA21", "96AA²¹"), =HYPERLINK("CSG5.html#group36I5", "36I⁵"), =HYPERLINK("CSG19.html#group48AM19", "48AM¹⁹"), =HYPERLINK("CSG7.html#group24M7", "24M⁷"), =HYPERLINK("CSG7.html#group24Q7", "24Q⁷"), =HYPERLINK("CSG10.html#group18M10", "18M¹⁰"), =HYPERLINK("CSG19.html#group96AJ19", "96AJ¹⁹"), =HYPERLINK("CSG7.html#group18E7", "18E⁷"), =HYPERLINK("CSG21.html#group72AB21", "72AB²¹"), =HYPERLINK("CSG3.html#group12F3", "12F³"), =HYPERLINK("CSG13.html#group24R13", "24R¹³"), =HYPERLINK("CSG21.html#group96AG21", "96AG²¹"), =HYPERLINK("CSG21.html#group48H21", "48H²¹"), =HYPERLINK("CSG17.html#group24I17", "24I¹⁷"), =HYPERLINK("CSG17.html#group48G17", "48G¹⁷"), =HYPERLINK("CSG23.html#group60Q23", "60Q²³"), =HYPERLINK("CSG13.html#group72H13", "72H¹³"), =HYPERLINK("CSG6.html#group36H6", "36H⁶"), =HYPERLINK("CSG21.html#group48O21", "48O²¹"), =HYPERLINK("CSG21.html#group48A21", "48A²¹"), =HYPERLINK("CSG23.html#group144W23", "144W²³"), =HYPERLINK("CSG9.html#group48S9", "48S⁹"), =HYPERLINK("CSG23.html#group96S23", "96S²³"), =HYPERLINK("CSG5.html#group24R5", "24R⁵"), =HYPERLINK("CSG9.html#group24L9", "24L⁹"), =HYPERLINK("CSG13.html#group24O13", "24O¹³"), =HYPERLINK("CSG17.html#group24K17", "24K¹⁷"), =HYPERLINK("CSG17.html#group48Q17", "48Q¹⁷"), =HYPERLINK("CSG9.html#group24AP9", "24AP⁹"), =HYPERLINK("CSG9.html#group24P9", "24P⁹"), =HYPERLINK("CSG17.html#group96I17", "96I¹⁷"), =HYPERLINK("CSG15.html#group48F15", "48F¹⁵"), =HYPERLINK("CSG17.html#group48R17", "48R¹⁷"), =HYPERLINK("CSG19.html#group30C19", "30C¹⁹"), =HYPERLINK("CSG21.html#group48X21", "48X²¹"), =HYPERLINK("CSG17.html#group48BL17", "48BL¹⁷"), =HYPERLINK("CSG15.html#group24N15", "24N¹⁵"), =HYPERLINK("CSG9.html#group36O9", "36O⁹"), =HYPERLINK("CSG17.html#group24J17", "24J¹⁷"), =HYPERLINK("CSG3.html#group24AC3", "24AC³"), =HYPERLINK("CSG13.html#group24K13", "24K¹³"), =HYPERLINK("CSG21.html#group96AF21", "96AF²¹"), =HYPERLINK("CSG7.html#group18M7", "18M⁷"), =HYPERLINK("CSG7.html#group36D7", "36D⁷"), =HYPERLINK("CSG19.html#group96N19", "96N¹⁹"), =HYPERLINK("CSG20.html#group90A20", "90A²⁰"), =HYPERLINK("CSG9.html#group36P9", "36P⁹"), =HYPERLINK("CSG13.html#group36P13", "36P¹³"), =HYPERLINK("CSG16.html#group18G16", "18G¹⁶"), =HYPERLINK("CSG7.html#group36C7", "36C⁷"), =HYPERLINK("CSG16.html#group36G16", "36G¹⁶"), =HYPERLINK("CSG17.html#group84F17", "84F¹⁷"), =HYPERLINK("CSG19.html#group48F19", "48F¹⁹"), =HYPERLINK("CSG6.html#group18A6", "18A⁶"), =HYPERLINK("CSG19.html#group48BD19", "48BD¹⁹"), =HYPERLINK("CSG2.html#group18P2", "18P²"), =HYPERLINK("CSG15.html#group60E15", "60E¹⁵"), =HYPERLINK("CSG13.html#group18B13", "18B¹³"), =HYPERLINK("CSG11.html#group30J11", "30J¹¹"), =HYPERLINK("CSG17.html#group96U17", "96U¹⁷"), =HYPERLINK("CSG8.html#group36E8", "36E⁸"), =HYPERLINK("CSG23.html#group60E23", "60E²³"), =HYPERLINK("CSG7.html#group18A7", "18A⁷"), =HYPERLINK("CSG22.html#group54A22", "54A²²"), =HYPERLINK("CSG13.html#group24S13", "24S¹³"), =HYPERLINK("CSG17.html#group24X17", "24X¹⁷"), =HYPERLINK("CSG7.html#group24X7", "24X⁷"), =HYPERLINK("CSG15.html#group36A15", "36A¹⁵"), =HYPERLINK("CSG1.html#group12S1", "12S¹"), =HYPERLINK("CSG11.html#group24N11", "24N¹¹"), =HYPERLINK("CSG24.html#group42C24", "42C²⁴"), =HYPERLINK("CSG21.html#group48S21", "48S²¹"), =HYPERLINK("CSG21.html#group96I21", "96I²¹"), =HYPERLINK("CSG17.html#group48AJ17", "48AJ¹⁷"), =HYPERLINK("CSG13.html#group30C13", "30C¹³"), =HYPERLINK("CSG15.html#group24F15", "24F¹⁵"), =HYPERLINK("CSG15.html#group96P15", "96P¹⁵"), =HYPERLINK("CSG21.html#group48AU21", "48AU²¹"), =HYPERLINK("CSG7.html#group48R7", "48R⁷"), =HYPERLINK("CSG8.html#group36N8", "36N⁸"), =HYPERLINK("CSG3.html#group24N3", "24N³"), =HYPERLINK("CSG13.html#group60C13", "60C¹³"), =HYPERLINK("CSG17.html#group72J17", "72J¹⁷"), =HYPERLINK("CSG13.html#group48Z13", "48Z¹³"), =HYPERLINK("CSG21.html#group96AP21", "96AP²¹"), =HYPERLINK("CSG12.html#group36C12", "36C¹²"), =HYPERLINK("CSG21.html#group48BT21", "48BT²¹"), =HYPERLINK("CSG6.html#group30A6", "30A⁶"), =HYPERLINK("CSG17.html#group24AH17", "24AH¹⁷"), =HYPERLINK("CSG9.html#group48W9", "48W⁹"), =HYPERLINK("CSG17.html#group48AV17", "48AV¹⁷"), =HYPERLINK("CSG17.html#group84H17", "84H¹⁷"), =HYPERLINK("CSG7.html#group24S7", "24S⁷"), =HYPERLINK("CSG1.html#group12U1", "12U¹"), =HYPERLINK("CSG7.html#group24P7", "24P⁷"), =HYPERLINK("CSG17.html#group48AW17", "48AW¹⁷"), =HYPERLINK("CSG1.html#group24I1", "24I¹"), =HYPERLINK("CSG16.html#group42E16", "42E¹⁶"), =HYPERLINK("CSG1.html#group18I1", "18I¹"), =HYPERLINK("CSG17.html#group72X17", "72X¹⁷"), =HYPERLINK("CSG9.html#group48J9", "48J⁹"), =HYPERLINK("CSG17.html#group24H17", "24H¹⁷"), =HYPERLINK("CSG19.html#group18E19", "18E¹⁹"), =HYPERLINK("CSG19.html#group96D19", "96D¹⁹"), =HYPERLINK("CSG12.html#group72D12", "72D¹²"), =HYPERLINK("CSG9.html#group48D9", "48D⁹"), =HYPERLINK("CSG9.html#group48I9", "48I⁹"), =HYPERLINK("CSG17.html#group24N17", "24N¹⁷"), =HYPERLINK("CSG17.html#group36K17", "36K¹⁷"), =HYPERLINK("CSG7.html#group24W7", "24W⁷"), =HYPERLINK("CSG19.html#group24J19", "24J¹⁹"), =HYPERLINK("CSG17.html#group24O17", "24O¹⁷"), =HYPERLINK("CSG19.html#group48W19", "48W¹⁹"), =HYPERLINK("CSG12.html#group36B12", "36B¹²"), =HYPERLINK("CSG15.html#group72O15", "72O¹⁵"), =HYPERLINK("CSG17.html#group48B17", "48B¹⁷"), =HYPERLINK("CSG7.html#group12D7", "12D⁷"), =HYPERLINK("CSG17.html#group24AF17", "24AF¹⁷"), =HYPERLINK("CSG19.html#group36Q19", "36Q¹⁹"), =HYPERLINK("CSG0.html#group6L0", "6L⁰"), =HYPERLINK("CSG15.html#group48R15", "48R¹⁵"), =HYPERLINK("CSG22.html#group36H22", "36H²²"), =HYPERLINK("CSG8.html#group42C8", "42C⁸"), =HYPERLINK("CSG7.html#group12C7", "12C⁷"), =HYPERLINK("CSG20.html#group90B20", "90B²⁰"), =HYPERLINK("CSG19.html#group36M19", "36M¹⁹"), =HYPERLINK("CSG4.html#group18M4", "18M⁴"), =HYPERLINK("CSG19.html#group18A19", "18A¹⁹"), =HYPERLINK("CSG21.html#group48AP21", "48AP²¹"), =HYPERLINK("CSG2.html#group12C2", "12C²"), =HYPERLINK("CSG13.html#group72G13", "72G¹³"), =HYPERLINK("CSG17.html#group24C17", "24C¹⁷"), =HYPERLINK("CSG18.html#group84A18", "84A¹⁸"), =HYPERLINK("CSG21.html#group48AO21", "48AO²¹"), =HYPERLINK("CSG1.html#group12T1", "12T¹"), =HYPERLINK("CSG15.html#group36K15", "36K¹⁵"), =HYPERLINK("CSG23.html#group30L23", "30L²³"), =HYPERLINK("CSG7.html#group24AA7", "24AA⁷"), =HYPERLINK("CSG17.html#group48BM17", "48BM¹⁷"), =HYPERLINK("CSG15.html#group48Q15", "48Q¹⁵"), =HYPERLINK("CSG13.html#group72F13", "72F¹³"), =HYPERLINK("CSG15.html#group36I15", "36I¹⁵"), =HYPERLINK("CSG17.html#group42F17", "42F¹⁷"), =HYPERLINK("CSG11.html#group60O11", "60O¹¹"), =HYPERLINK("CSG19.html#group48AI19", "48AI¹⁹"), =HYPERLINK("CSG21.html#group96S21", "96S²¹"), =HYPERLINK("CSG7.html#group24J7", "24J⁷"), =HYPERLINK("CSG19.html#group42P19", "42P¹⁹"), =HYPERLINK("CSG15.html#group36M15", "36M¹⁵"), =HYPERLINK("CSG3.html#group12N3", "12N³"), =HYPERLINK("CSG18.html#group18A18", "18A¹⁸"), =HYPERLINK("CSG23.html#group30G23", "30G²³"), =HYPERLINK("CSG12.html#group30A12", "30A¹²"), =HYPERLINK("CSG17.html#group24L17", "24L¹⁷"), =HYPERLINK("CSG17.html#group24AI17", "24AI¹⁷"), =HYPERLINK("CSG21.html#group96G21", "96G²¹"), =HYPERLINK("CSG15.html#group24G15", "24G¹⁵"), =HYPERLINK("CSG23.html#group72J23", "72J²³"), =HYPERLINK("CSG21.html#group48AZ21", "48AZ²¹"), =HYPERLINK("CSG13.html#group24J13", "24J¹³"), =HYPERLINK("CSG9.html#group24Y9", "24Y⁹"), =HYPERLINK("CSG11.html#group72P11", "72P¹¹"), =HYPERLINK("CSG19.html#group42R19", "42R¹⁹"), =HYPERLINK("CSG16.html#group30B16", "30B¹⁶"), =HYPERLINK("CSG13.html#group30J13", "30J¹³"), =HYPERLINK("CSG15.html#group36J15", "36J¹⁵"), =HYPERLINK("CSG1.html#group6E1", "6E¹"), =HYPERLINK("CSG14.html#group60C14", "60C¹⁴"), =HYPERLINK("CSG7.html#group48W7", "48W⁷"), =HYPERLINK("CSG21.html#group48Z21", "48Z²¹"), =HYPERLINK("CSG13.html#group24T13", "24T¹³"), =HYPERLINK("CSG21.html#group96AH21", "96AH²¹"), =HYPERLINK("CSG4.html#group18L4", "18L⁴"), =HYPERLINK("CSG17.html#group48K17", "48K¹⁷"), =HYPERLINK("CSG8.html#group72M8", "72M⁸"), =HYPERLINK("CSG19.html#group84K19", "84K¹⁹"), =HYPERLINK("CSG9.html#group24B9", "24B⁹"), =HYPERLINK("CSG23.html#group102B23", "102B²³"), =HYPERLINK("CSG19.html#group48AG19", "48AG¹⁹"), =HYPERLINK("CSG19.html#group84J19", "84J¹⁹"), =HYPERLINK("CSG3.html#group12J3", "12J³"), =HYPERLINK("CSG21.html#group48BD21", "48BD²¹"), =HYPERLINK("CSG8.html#group18A8", "18A⁸"), =HYPERLINK("CSG12.html#group72I12", "72I¹²"), =HYPERLINK("CSG11.html#group30C11", "30C¹¹"), =HYPERLINK("CSG0.html#group12G0", "12G⁰"), =HYPERLINK("CSG21.html#group96J21", "96J²¹"), =HYPERLINK("CSG9.html#group48C9", "48C⁹"), =HYPERLINK("CSG3.html#group12D3", "12D³"), =HYPERLINK("CSG15.html#group72N15", "72N¹⁵"), =HYPERLINK("CSG3.html#group12I3", "12I³"), =HYPERLINK("CSG17.html#group24T17", "24T¹⁷"), =HYPERLINK("CSG18.html#group42B18", "42B¹⁸"), =HYPERLINK("CSG9.html#group48H9", "48H⁹"), =HYPERLINK("CSG21.html#group48D21", "48D²¹"), =HYPERLINK("CSG5.html#group24C5", "24C⁵"), =HYPERLINK("CSG3.html#group12P3", "12P³"), =HYPERLINK("CSG4.html#group36Q4", "36Q⁴"), =HYPERLINK("CSG3.html#group12E3", "12E³"), =HYPERLINK("CSG21.html#group48BA21", "48BA²¹"), =HYPERLINK("CSG17.html#group48L17", "48L¹⁷"), =HYPERLINK("CSG14.html#group66A14", "66A¹⁴"), =HYPERLINK("CSG15.html#group48O15", "48O¹⁵"), =HYPERLINK("CSG22.html#group72L22", "72L²²"), =HYPERLINK("CSG23.html#group90B23", "90B²³"), =HYPERLINK("CSG13.html#group60U13", "60U¹³"), =HYPERLINK("CSG21.html#group30C21", "30C²¹"), =HYPERLINK("CSG19.html#group84G19", "84G¹⁹"), =HYPERLINK("CSG21.html#group36C21", "36C²¹"), =HYPERLINK("CSG17.html#group48V17", "48V¹⁷"), =HYPERLINK("CSG17.html#group48Z17", "48Z¹⁷"), =HYPERLINK("CSG19.html#group96AI19", "96AI¹⁹"), =HYPERLINK("CSG17.html#group48N17", "48N¹⁷"), =HYPERLINK("CSG9.html#group48Z9", "48Z⁹"), =HYPERLINK("CSG13.html#group60D13", "60D¹³"), =HYPERLINK("CSG13.html#group36H13", "36H¹³"), =HYPERLINK("CSG15.html#group72F15", "72F¹⁵"), =HYPERLINK("CSG21.html#group90I21", "90I²¹"), =HYPERLINK("CSG3.html#group24I3", "24I³"), =HYPERLINK("CSG18.html#group36A18", "36A¹⁸"), =HYPERLINK("CSG15.html#group24H15", "24H¹⁵"), =HYPERLINK("CSG15.html#group36D15", "36D¹⁵"), =HYPERLINK("CSG17.html#group42I17", "42I¹⁷"), =HYPERLINK("CSG15.html#group72U15", "72U¹⁵"), =HYPERLINK("CSG17.html#group72B17", "72B¹⁷"), =HYPERLINK("CSG5.html#group24E5", "24E⁵"), =HYPERLINK("CSG11.html#group72M11", "72M¹¹"), =HYPERLINK("CSG9.html#group42A9", "42A⁹"), =HYPERLINK("CSG17.html#group96S17", "96S¹⁷"), =HYPERLINK("CSG21.html#group96AM21", "96AM²¹"), =HYPERLINK("CSG7.html#group48Y7", "48Y⁷"), =HYPERLINK("CSG19.html#group48J19", "48J¹⁹"), =HYPERLINK("CSG12.html#group72E12", "72E¹²"), =HYPERLINK("CSG18.html#group84B18", "84B¹⁸"), =HYPERLINK("CSG21.html#group48C21", "48C²¹"), =HYPERLINK("CSG3.html#group24H3", "24H³"), =HYPERLINK("CSG17.html#group24M17", "24M¹⁷"), =HYPERLINK("CSG15.html#group24B15", "24B¹⁵"), =HYPERLINK("CSG8.html#group36O8", "36O⁸"), =HYPERLINK("CSG5.html#group24U5", "24U⁵"), =HYPERLINK("CSG7.html#group12B7", "12B⁷"), =HYPERLINK("CSG5.html#group24S5", "24S⁵"), =HYPERLINK("CSG19.html#group18C19", "18C¹⁹"), =HYPERLINK("CSG9.html#group24J9", "24J⁹"), =HYPERLINK("CSG21.html#group30G21", "30G²¹"), =HYPERLINK("CSG3.html#group36I3", "36I³"), =HYPERLINK("CSG15.html#group72S15", "72S¹⁵"), =HYPERLINK("CSG17.html#group24A17", "24A¹⁷"), =HYPERLINK("CSG17.html#group96J17", "96J¹⁷"), =HYPERLINK("CSG17.html#group24E17", "24E¹⁷"), =HYPERLINK("CSG15.html#group24U15", "24U¹⁵"), =HYPERLINK("CSG17.html#group48AY17", "48AY¹⁷"), =HYPERLINK("CSG9.html#group48R9", "48R⁹"), =HYPERLINK("CSG15.html#group48G15", "48G¹⁵"), =HYPERLINK("CSG11.html#group72O11", "72O¹¹"), =HYPERLINK("CSG19.html#group48BC19", "48BC¹⁹"), =HYPERLINK("CSG13.html#group36I13", "36I¹³"), =HYPERLINK("CSG9.html#group12B9", "12B⁹"), =HYPERLINK("CSG13.html#group12B13", "12B¹³"), =HYPERLINK("CSG19.html#group48BB19", "48BB¹⁹"), =HYPERLINK("CSG11.html#group36J11", "36J¹¹"), =HYPERLINK("CSG13.html#group48AD13", "48AD¹³"), =HYPERLINK("CSG6.html#group36D6", "36D⁶"), =HYPERLINK("CSG19.html#group42L19", "42L¹⁹"), =HYPERLINK("CSG3.html#group18E3", "18E³"), =HYPERLINK("CSG18.html#group42C18", "42C¹⁸"), =HYPERLINK("CSG13.html#group24L13", "24L¹³"), =HYPERLINK("CSG23.html#group72K23", "72K²³"), =HYPERLINK("CSG21.html#group48BB21", "48BB²¹"), =HYPERLINK("CSG7.html#group48N7", "48N⁷"), =HYPERLINK("CSG13.html#group24W13", "24W¹³"), =HYPERLINK("CSG17.html#group48BK17", "48BK¹⁷"), =HYPERLINK("CSG13.html#group48X13", "48X¹³"), =HYPERLINK("CSG17.html#group24AE17", "24AE¹⁷"), =HYPERLINK("CSG9.html#group24K9", "24K⁹"), =HYPERLINK("CSG21.html#group48BY21", "48BY²¹"), =HYPERLINK("CSG13.html#group24P13", "24P¹³"), =HYPERLINK("CSG11.html#group48S11", "48S¹¹"), =HYPERLINK("CSG15.html#group24M15", "24M¹⁵")</f>
        <v/>
      </c>
    </row>
    <row r="32">
      <c r="A32" t="inlineStr">
        <is>
          <t>6H⁰</t>
        </is>
      </c>
      <c r="B32" t="inlineStr"/>
      <c r="C32" t="inlineStr">
        <is>
          <t>18</t>
        </is>
      </c>
      <c r="D32" t="inlineStr">
        <is>
          <t>1</t>
        </is>
      </c>
      <c r="E32" t="inlineStr">
        <is>
          <t>9</t>
        </is>
      </c>
      <c r="F32" t="inlineStr">
        <is>
          <t>4</t>
        </is>
      </c>
      <c r="G32" t="inlineStr">
        <is>
          <t>0</t>
        </is>
      </c>
      <c r="H32" t="inlineStr">
        <is>
          <t>6³</t>
        </is>
      </c>
      <c r="I32" t="n">
        <v>3</v>
      </c>
      <c r="J32" t="inlineStr">
        <is>
          <t>1³, 2³</t>
        </is>
      </c>
      <c r="K32">
        <f>HYPERLINK("CSG0.html#group6B0", "6B⁰"), =HYPERLINK("CSG0.html#group6D0", "6D⁰")</f>
        <v/>
      </c>
      <c r="L32">
        <f>HYPERLINK("CSG0.html#group6L0", "6L⁰"), =HYPERLINK("CSG0.html#group12H0", "12H⁰"), =HYPERLINK("CSG1.html#group6E1", "6E¹"), =HYPERLINK("CSG1.html#group12N1", "12N¹"), =HYPERLINK("CSG2.html#group12D2", "12D²"), =HYPERLINK("CSG2.html#group18L2", "18L²"), =HYPERLINK("CSG3.html#group18D3", "18D³"), =HYPERLINK("CSG5.html#group30P5", "30P⁵"), =HYPERLINK("CSG6.html#group30B6", "30B⁶"), =HYPERLINK("CSG7.html#group42L7", "42L⁷"), =HYPERLINK("CSG10.html#group42I10", "42I¹⁰"), =HYPERLINK("CSG11.html#group30D11", "30D¹¹"), =HYPERLINK("CSG13.html#group66B13", "66B¹³"), =HYPERLINK("CSG16.html#group66C16", "66C¹⁶"), =HYPERLINK("CSG17.html#group78B17", "78B¹⁷"), =HYPERLINK("CSG23.html#group102D23", "102D²³")</f>
        <v/>
      </c>
      <c r="M32">
        <f>HYPERLINK("CSG0.html#group2B0", "2B⁰"), =HYPERLINK("CSG0.html#group6B0", "6B⁰"), =HYPERLINK("CSG0.html#group3A0", "3A⁰"), =HYPERLINK("CSG0.html#group1A0", "1A⁰"), =HYPERLINK("CSG0.html#group6D0", "6D⁰")</f>
        <v/>
      </c>
      <c r="N32">
        <f>HYPERLINK("CSG4.html#group24Q4", "24Q⁴"), =HYPERLINK("CSG19.html#group96AH19", "96AH¹⁹"), =HYPERLINK("CSG16.html#group96B16", "96B¹⁶"), =HYPERLINK("CSG21.html#group48AY21", "48AY²¹"), =HYPERLINK("CSG8.html#group48O8", "48O⁸"), =HYPERLINK("CSG20.html#group90D20", "90D²⁰"), =HYPERLINK("CSG11.html#group48R11", "48R¹¹"), =HYPERLINK("CSG15.html#group24L15", "24L¹⁵"), =HYPERLINK("CSG3.html#group12G3", "12G³"), =HYPERLINK("CSG15.html#group42H15", "42H¹⁵"), =HYPERLINK("CSG17.html#group48U17", "48U¹⁷"), =HYPERLINK("CSG15.html#group36B15", "36B¹⁵"), =HYPERLINK("CSG16.html#group48D16", "48D¹⁶"), =HYPERLINK("CSG21.html#group48AE21", "48AE²¹"), =HYPERLINK("CSG4.html#group18N4", "18N⁴"), =HYPERLINK("CSG21.html#group96L21", "96L²¹"), =HYPERLINK("CSG15.html#group24K15", "24K¹⁵"), =HYPERLINK("CSG17.html#group48AG17", "48AG¹⁷"), =HYPERLINK("CSG3.html#group18K3", "18K³"), =HYPERLINK("CSG19.html#group96AK19", "96AK¹⁹"), =HYPERLINK("CSG16.html#group66C16", "66C¹⁶"), =HYPERLINK("CSG19.html#group36U19", "36U¹⁹"), =HYPERLINK("CSG13.html#group24Q13", "24Q¹³"), =HYPERLINK("CSG19.html#group96S19", "96S¹⁹"), =HYPERLINK("CSG20.html#group96F20", "96F²⁰"), =HYPERLINK("CSG7.html#group36G7", "36G⁷"), =HYPERLINK("CSG11.html#group48N11", "48N¹¹"), =HYPERLINK("CSG7.html#group24AD7", "24AD⁷"), =HYPERLINK("CSG16.html#group30D16", "30D¹⁶"), =HYPERLINK("CSG7.html#group48AH7", "48AH⁷"), =HYPERLINK("CSG15.html#group72P15", "72P¹⁵"), =HYPERLINK("CSG23.html#group102D23", "102D²³"), =HYPERLINK("CSG17.html#group48CD17", "48CD¹⁷"), =HYPERLINK("CSG7.html#group24V7", "24V⁷"), =HYPERLINK("CSG10.html#group18E10", "18E¹⁰"), =HYPERLINK("CSG17.html#group48M17", "48M¹⁷"), =HYPERLINK("CSG5.html#group36K5", "36K⁵"), =HYPERLINK("CSG15.html#group36C15", "36C¹⁵"), =HYPERLINK("CSG17.html#group36I17", "36I¹⁷"), =HYPERLINK("CSG13.html#group24U13", "24U¹³"), =HYPERLINK("CSG17.html#group48AH17", "48AH¹⁷"), =HYPERLINK("CSG21.html#group48BK21", "48BK²¹"), =HYPERLINK("CSG23.html#group90A23", "90A²³"), =HYPERLINK("CSG19.html#group96AW19", "96AW¹⁹"), =HYPERLINK("CSG21.html#group48AT21", "48AT²¹"), =HYPERLINK("CSG16.html#group36H16", "36H¹⁶"), =HYPERLINK("CSG23.html#group96AA23", "96AA²³"), =HYPERLINK("CSG15.html#group24I15", "24I¹⁵"), =HYPERLINK("CSG19.html#group96AS19", "96AS¹⁹"), =HYPERLINK("CSG13.html#group48AC13", "48AC¹³"), =HYPERLINK("CSG19.html#group48E19", "48E¹⁹"), =HYPERLINK("CSG17.html#group48AQ17", "48AQ¹⁷"), =HYPERLINK("CSG15.html#group60M15", "60M¹⁵"), =HYPERLINK("CSG17.html#group48BH17", "48BH¹⁷"), =HYPERLINK("CSG17.html#group48AD17", "48AD¹⁷"), =HYPERLINK("CSG13.html#group36S13", "36S¹³"), =HYPERLINK("CSG21.html#group48AV21", "48AV²¹"), =HYPERLINK("CSG21.html#group48BE21", "48BE²¹"), =HYPERLINK("CSG15.html#group48U15", "48U¹⁵"), =HYPERLINK("CSG17.html#group24AA17", "24AA¹⁷"), =HYPERLINK("CSG12.html#group30E12", "30E¹²"), =HYPERLINK("CSG7.html#group12E7", "12E⁷"), =HYPERLINK("CSG13.html#group24V13", "24V¹³"), =HYPERLINK("CSG13.html#group36G13", "36G¹³"), =HYPERLINK("CSG6.html#group48K6", "48K⁶"), =HYPERLINK("CSG19.html#group24B19", "24B¹⁹"), =HYPERLINK("CSG2.html#group12H2", "12H²"), =HYPERLINK("CSG23.html#group42K23", "42K²³"), =HYPERLINK("CSG22.html#group36K22", "36K²²"), =HYPERLINK("CSG19.html#group48BM19", "48BM¹⁹"), =HYPERLINK("CSG13.html#group12A13", "12A¹³"), =HYPERLINK("CSG5.html#group12C5", "12C⁵"), =HYPERLINK("CSG23.html#group30K23", "30K²³"), =HYPERLINK("CSG14.html#group72K14", "72K¹⁴"), =HYPERLINK("CSG17.html#group48BR17", "48BR¹⁷"), =HYPERLINK("CSG23.html#group36A23", "36A²³"), =HYPERLINK("CSG15.html#group24D15", "24D¹⁵"), =HYPERLINK("CSG13.html#group24X13", "24X¹³"), =HYPERLINK("CSG12.html#group36F12", "36F¹²"), =HYPERLINK("CSG17.html#group48CC17", "48CC¹⁷"), =HYPERLINK("CSG21.html#group48M21", "48M²¹"), =HYPERLINK("CSG21.html#group36E21", "36E²¹"), =HYPERLINK("CSG11.html#group36L11", "36L¹¹"), =HYPERLINK("CSG11.html#group60R11", "60R¹¹"), =HYPERLINK("CSG7.html#group24N7", "24N⁷"), =HYPERLINK("CSG19.html#group96AM19", "96AM¹⁹"), =HYPERLINK("CSG6.html#group24J6", "24J⁶"), =HYPERLINK("CSG17.html#group24AK17", "24AK¹⁷"), =HYPERLINK("CSG6.html#group18D6", "18D⁶"), =HYPERLINK("CSG9.html#group48AA9", "48AA⁹"), =HYPERLINK("CSG23.html#group60P23", "60P²³"), =HYPERLINK("CSG16.html#group96A16", "96A¹⁶"), =HYPERLINK("CSG19.html#group96AL19", "96AL¹⁹"), =HYPERLINK("CSG5.html#group24T5", "24T⁵"), =HYPERLINK("CSG21.html#group84H21", "84H²¹"), =HYPERLINK("CSG21.html#group48K21", "48K²¹"), =HYPERLINK("CSG19.html#group24C19", "24C¹⁹"), =HYPERLINK("CSG8.html#group24F8", "24F⁸"), =HYPERLINK("CSG12.html#group36E12", "36E¹²"), =HYPERLINK("CSG13.html#group48AF13", "48AF¹³"), =HYPERLINK("CSG14.html#group60D14", "60D¹⁴"), =HYPERLINK("CSG15.html#group24E15", "24E¹⁵"), =HYPERLINK("CSG19.html#group24L19", "24L¹⁹"), =HYPERLINK("CSG17.html#group48AR17", "48AR¹⁷"), =HYPERLINK("CSG5.html#group24X5", "24X⁵"), =HYPERLINK("CSG17.html#group48W17", "48W¹⁷"), =HYPERLINK("CSG19.html#group24P19", "24P¹⁹"), =HYPERLINK("CSG13.html#group48AA13", "48AA¹³"), =HYPERLINK("CSG19.html#group96AU19", "96AU¹⁹"), =HYPERLINK("CSG16.html#group72R16", "72R¹⁶"), =HYPERLINK("CSG9.html#group48AF9", "48AF⁹"), =HYPERLINK("CSG21.html#group90K21", "90K²¹"), =HYPERLINK("CSG20.html#group48G20", "48G²⁰"), =HYPERLINK("CSG21.html#group36D21", "36D²¹"), =HYPERLINK("CSG5.html#group24W5", "24W⁵"), =HYPERLINK("CSG19.html#group48AA19", "48AA¹⁹"), =HYPERLINK("CSG17.html#group78B17", "78B¹⁷"), =HYPERLINK("CSG23.html#group36B23", "36B²³"), =HYPERLINK("CSG7.html#group48T7", "48T⁷"), =HYPERLINK("CSG17.html#group24Z17", "24Z¹⁷"), =HYPERLINK("CSG17.html#group48AC17", "48AC¹⁷"), =HYPERLINK("CSG3.html#group18D3", "18D³"), =HYPERLINK("CSG19.html#group36S19", "36S¹⁹"), =HYPERLINK("CSG13.html#group66B13", "66B¹³"), =HYPERLINK("CSG21.html#group48Y21", "48Y²¹"), =HYPERLINK("CSG15.html#group48E15", "48E¹⁵"), =HYPERLINK("CSG16.html#group42I16", "42I¹⁶"), =HYPERLINK("CSG19.html#group24K19", "24K¹⁹"), =HYPERLINK("CSG14.html#group72C14", "72C¹⁴"), =HYPERLINK("CSG8.html#group18B8", "18B⁸"), =HYPERLINK("CSG23.html#group96AB23", "96AB²³"), =HYPERLINK("CSG10.html#group48E10", "48E¹⁰"), =HYPERLINK("CSG15.html#group24A15", "24A¹⁵"), =HYPERLINK("CSG15.html#group48K15", "48K¹⁵"), =HYPERLINK("CSG21.html#group60X21", "60X²¹"), =HYPERLINK("CSG15.html#group96V15", "96V¹⁵"), =HYPERLINK("CSG13.html#group24Y13", "24Y¹³"), =HYPERLINK("CSG6.html#group24E6", "24E⁶"), =HYPERLINK("CSG19.html#group48K19", "48K¹⁹"), =HYPERLINK("CSG16.html#group48E16", "48E¹⁶"), =HYPERLINK("CSG17.html#group48BY17", "48BY¹⁷"), =HYPERLINK("CSG20.html#group96K20", "96K²⁰"), =HYPERLINK("CSG17.html#group24G17", "24G¹⁷"), =HYPERLINK("CSG4.html#group24J4", "24J⁴"), =HYPERLINK("CSG17.html#group24AM17", "24AM¹⁷"), =HYPERLINK("CSG20.html#group48E20", "48E²⁰"), =HYPERLINK("CSG11.html#group72R11", "72R¹¹"), =HYPERLINK("CSG23.html#group144Y23", "144Y²³"), =HYPERLINK("CSG16.html#group72J16", "72J¹⁶"), =HYPERLINK("CSG23.html#group60H23", "60H²³"), =HYPERLINK("CSG18.html#group36B18", "36B¹⁸"), =HYPERLINK("CSG21.html#group72AA21", "72AA²¹"), =HYPERLINK("CSG15.html#group24J15", "24J¹⁵"), =HYPERLINK("CSG7.html#group12A7", "12A⁷"), =HYPERLINK("CSG23.html#group36D23", "36D²³"), =HYPERLINK("CSG12.html#group36A12", "36A¹²"), =HYPERLINK("CSG17.html#group42G17", "42G¹⁷"), =HYPERLINK("CSG16.html#group18D16", "18D¹⁶"), =HYPERLINK("CSG17.html#group48CI17", "48CI¹⁷"), =HYPERLINK("CSG15.html#group48T15", "48T¹⁵"), =HYPERLINK("CSG6.html#group36C6", "36C⁶"), =HYPERLINK("CSG8.html#group24O8", "24O⁸"), =HYPERLINK("CSG19.html#group36T19", "36T¹⁹"), =HYPERLINK("CSG17.html#group24Y17", "24Y¹⁷"), =HYPERLINK("CSG23.html#group96R23", "96R²³"), =HYPERLINK("CSG16.html#group84H16", "84H¹⁶"), =HYPERLINK("CSG15.html#group24R15", "24R¹⁵"), =HYPERLINK("CSG17.html#group48AS17", "48AS¹⁷"), =HYPERLINK("CSG9.html#group24E9", "24E⁹"), =HYPERLINK("CSG20.html#group48I20", "48I²⁰"), =HYPERLINK("CSG14.html#group84D14", "84D¹⁴"), =HYPERLINK("CSG5.html#group12B5", "12B⁵"), =HYPERLINK("CSG2.html#group12D2", "12D²"), =HYPERLINK("CSG9.html#group30R9", "30R⁹"), =HYPERLINK("CSG9.html#group24G9", "24G⁹"), =HYPERLINK("CSG6.html#group30B6", "30B⁶"), =HYPERLINK("CSG11.html#group12A11", "12A¹¹"), =HYPERLINK("CSG9.html#group24Q9", "24Q⁹"), =HYPERLINK("CSG9.html#group72H9", "72H⁹"), =HYPERLINK("CSG23.html#group60O23", "60O²³"), =HYPERLINK("CSG5.html#group24V5", "24V⁵"), =HYPERLINK("CSG23.html#group96W23", "96W²³"), =HYPERLINK("CSG11.html#group36M11", "36M¹¹"), =HYPERLINK("CSG21.html#group48P21", "48P²¹"), =HYPERLINK("CSG19.html#group24R19", "24R¹⁹"), =HYPERLINK("CSG14.html#group36A14", "36A¹⁴"), =HYPERLINK("CSG7.html#group24I7", "24I⁷"), =HYPERLINK("CSG15.html#group36L15", "36L¹⁵"), =HYPERLINK("CSG11.html#group36N11", "36N¹¹"), =HYPERLINK("CSG15.html#group48AB15", "48AB¹⁵"), =HYPERLINK("CSG11.html#group30I11", "30I¹¹"), =HYPERLINK("CSG3.html#group12H3", "12H³"), =HYPERLINK("CSG7.html#group18N7", "18N⁷"), =HYPERLINK("CSG17.html#group24V17", "24V¹⁷"), =HYPERLINK("CSG21.html#group30H21", "30H²¹"), =HYPERLINK("CSG18.html#group84D18", "84D¹⁸"), =HYPERLINK("CSG2.html#group24N2", "24N²"), =HYPERLINK("CSG6.html#group48I6", "48I⁶"), =HYPERLINK("CSG7.html#group18K7", "18K⁷"), =HYPERLINK("CSG1.html#group6F1", "6F¹"), =HYPERLINK("CSG5.html#group12D5", "12D⁵"), =HYPERLINK("CSG19.html#group96AT19", "96AT¹⁹"), =HYPERLINK("CSG17.html#group48F17", "48F¹⁷"), =HYPERLINK("CSG5.html#group24D5", "24D⁵"), =HYPERLINK("CSG17.html#group48X17", "48X¹⁷"), =HYPERLINK("CSG19.html#group96O19", "96O¹⁹"), =HYPERLINK("CSG16.html#group72C16", "72C¹⁶"), =HYPERLINK("CSG23.html#group72I23", "72I²³"), =HYPERLINK("CSG21.html#group84E21", "84E²¹"), =HYPERLINK("CSG3.html#group48M3", "48M³"), =HYPERLINK("CSG16.html#group96D16", "96D¹⁶"), =HYPERLINK("CSG13.html#group48AB13", "48AB¹³"), =HYPERLINK("CSG7.html#group48AE7", "48AE⁷"), =HYPERLINK("CSG23.html#group36C23", "36C²³"), =HYPERLINK("CSG21.html#group48BJ21", "48BJ²¹"), =HYPERLINK("CSG20.html#group84G20", "84G²⁰"), =HYPERLINK("CSG17.html#group48E17", "48E¹⁷"), =HYPERLINK("CSG7.html#group24M7", "24M⁷"), =HYPERLINK("CSG21.html#group84C21", "84C²¹"), =HYPERLINK("CSG20.html#group96L20", "96L²⁰"), =HYPERLINK("CSG8.html#group36C8", "36C⁸"), =HYPERLINK("CSG7.html#group18E7", "18E⁷"), =HYPERLINK("CSG19.html#group96AE19", "96AE¹⁹"), =HYPERLINK("CSG3.html#group12F3", "12F³"), =HYPERLINK("CSG13.html#group24R13", "24R¹³"), =HYPERLINK("CSG16.html#group48C16", "48C¹⁶"), =HYPERLINK("CSG17.html#group84M17", "84M¹⁷"), =HYPERLINK("CSG17.html#group24I17", "24I¹⁷"), =HYPERLINK("CSG17.html#group48G17", "48G¹⁷"), =HYPERLINK("CSG8.html#group24M8", "24M⁸"), =HYPERLINK("CSG5.html#group30P5", "30P⁵"), =HYPERLINK("CSG15.html#group48V15", "48V¹⁵"), =HYPERLINK("CSG16.html#group42H16", "42H¹⁶"), =HYPERLINK("CSG17.html#group48CA17", "48CA¹⁷"), =HYPERLINK("CSG21.html#group48O21", "48O²¹"), =HYPERLINK("CSG3.html#group24S3", "24S³"), =HYPERLINK("CSG21.html#group48BF21", "48BF²¹"), =HYPERLINK("CSG11.html#group30K11", "30K¹¹"), =HYPERLINK("CSG9.html#group24L9", "24L⁹"), =HYPERLINK("CSG23.html#group60S23", "60S²³"), =HYPERLINK("CSG13.html#group24O13", "24O¹³"), =HYPERLINK("CSG1.html#group24H1", "24H¹"), =HYPERLINK("CSG21.html#group48AA21", "48AA²¹"), =HYPERLINK("CSG17.html#group84J17", "84J¹⁷"), =HYPERLINK("CSG15.html#group48F15", "48F¹⁵"), =HYPERLINK("CSG17.html#group48R17", "48R¹⁷"), =HYPERLINK("CSG9.html#group36O9", "36O⁹"), =HYPERLINK("CSG17.html#group24J17", "24J¹⁷"), =HYPERLINK("CSG13.html#group24K13", "24K¹³"), =HYPERLINK("CSG21.html#group30D21", "30D²¹"), =HYPERLINK("CSG15.html#group60H15", "60H¹⁵"), =HYPERLINK("CSG7.html#group36F7", "36F⁷"), =HYPERLINK("CSG13.html#group36P13", "36P¹³"), =HYPERLINK("CSG9.html#group36P9", "36P⁹"), =HYPERLINK("CSG15.html#group24O15", "24O¹⁵"), =HYPERLINK("CSG7.html#group48AD7", "48AD⁷"), =HYPERLINK("CSG16.html#group18G16", "18G¹⁶"), =HYPERLINK("CSG14.html#group36B14", "36B¹⁴"), =HYPERLINK("CSG19.html#group48F19", "48F¹⁹"), =HYPERLINK("CSG17.html#group48BC17", "48BC¹⁷"), =HYPERLINK("CSG12.html#group72M12", "72M¹²"), =HYPERLINK("CSG13.html#group18B13", "18B¹³"), =HYPERLINK("CSG8.html#group36F8", "36F⁸"), =HYPERLINK("CSG22.html#group36D22", "36D²²"), =HYPERLINK("CSG13.html#group60AF13", "60AF¹³"), =HYPERLINK("CSG16.html#group72D16", "72D¹⁶"), =HYPERLINK("CSG17.html#group48BG17", "48BG¹⁷"), =HYPERLINK("CSG13.html#group24Z13", "24Z¹³"), =HYPERLINK("CSG2.html#group12I2", "12I²"), =HYPERLINK("CSG21.html#group96K21", "96K²¹"), =HYPERLINK("CSG17.html#group48BF17", "48BF¹⁷"), =HYPERLINK("CSG7.html#group18A7", "18A⁷"), =HYPERLINK("CSG13.html#group24S13", "24S¹³"), =HYPERLINK("CSG21.html#group48AW21", "48AW²¹"), =HYPERLINK("CSG19.html#group48Y19", "48Y¹⁹"), =HYPERLINK("CSG17.html#group24X17", "24X¹⁷"), =HYPERLINK("CSG4.html#group36R4", "36R⁴"), =HYPERLINK("CSG11.html#group24N11", "24N¹¹"), =HYPERLINK("CSG9.html#group24M9", "24M⁹"), =HYPERLINK("CSG16.html#group48J16", "48J¹⁶"), =HYPERLINK("CSG1.html#group12N1", "12N¹"), =HYPERLINK("CSG21.html#group48S21", "48S²¹"), =HYPERLINK("CSG19.html#group96I19", "96I¹⁹"), =HYPERLINK("CSG13.html#group24AA13", "24AA¹³"), =HYPERLINK("CSG13.html#group30C13", "30C¹³"), =HYPERLINK("CSG15.html#group24F15", "24F¹⁵"), =HYPERLINK("CSG23.html#group96X23", "96X²³"), =HYPERLINK("CSG21.html#group48AU21", "48AU²¹"), =HYPERLINK("CSG17.html#group72D17", "72D¹⁷"), =HYPERLINK("CSG8.html#group48L8", "48L⁸"), =HYPERLINK("CSG8.html#group36N8", "36N⁸"), =HYPERLINK("CSG11.html#group60S11", "60S¹¹"), =HYPERLINK("CSG16.html#group72K16", "72K¹⁶"), =HYPERLINK("CSG8.html#group24N8", "24N⁸"), =HYPERLINK("CSG20.html#group48F20", "48F²⁰"), =HYPERLINK("CSG17.html#group48AV17", "48AV¹⁷"), =HYPERLINK("CSG15.html#group24S15", "24S¹⁵"), =HYPERLINK("CSG7.html#group24S7", "24S⁷"), =HYPERLINK("CSG1.html#group12U1", "12U¹"), =HYPERLINK("CSG17.html#group48BD17", "48BD¹⁷"), =HYPERLINK("CSG16.html#group42E16", "42E¹⁶"), =HYPERLINK("CSG21.html#group90A21", "90A²¹"), =HYPERLINK("CSG13.html#group60AD13", "60AD¹³"), =HYPERLINK("CSG17.html#group24H17", "24H¹⁷"), =HYPERLINK("CSG19.html#group18E19", "18E¹⁹"), =HYPERLINK("CSG17.html#group24N17", "24N¹⁷"), =HYPERLINK("CSG7.html#group24W7", "24W⁷"), =HYPERLINK("CSG17.html#group24O17", "24O¹⁷"), =HYPERLINK("CSG12.html#group36B12", "36B¹²"), =HYPERLINK("CSG7.html#group12D7", "12D⁷"), =HYPERLINK("CSG11.html#group96K11", "96K¹¹"), =HYPERLINK("CSG0.html#group6L0", "6L⁰"), =HYPERLINK("CSG17.html#group48BE17", "48BE¹⁷"), =HYPERLINK("CSG7.html#group42L7", "42L⁷"), =HYPERLINK("CSG22.html#group36I22", "36I²²"), =HYPERLINK("CSG15.html#group48R15", "48R¹⁵"), =HYPERLINK("CSG19.html#group96AF19", "96AF¹⁹"), =HYPERLINK("CSG19.html#group144J19", "144J¹⁹"), =HYPERLINK("CSG12.html#group60C12", "60C¹²"), =HYPERLINK("CSG19.html#group18A19", "18A¹⁹"), =HYPERLINK("CSG21.html#group48AP21", "48AP²¹"), =HYPERLINK("CSG17.html#group48BU17", "48BU¹⁷"), =HYPERLINK("CSG17.html#group24C17", "24C¹⁷"), =HYPERLINK("CSG21.html#group48AO21", "48AO²¹"), =HYPERLINK("CSG13.html#group60H13", "60H¹³"), =HYPERLINK("CSG1.html#group12T1", "12T¹"), =HYPERLINK("CSG15.html#group36K15", "36K¹⁵"), =HYPERLINK("CSG2.html#group24O2", "24O²"), =HYPERLINK("CSG15.html#group24T15", "24T¹⁵"), =HYPERLINK("CSG19.html#group96G19", "96G¹⁹"), =HYPERLINK("CSG15.html#group36I15", "36I¹⁵"), =HYPERLINK("CSG16.html#group96C16", "96C¹⁶"), =HYPERLINK("CSG6.html#group24F6", "24F⁶"), =HYPERLINK("CSG19.html#group42P19", "42P¹⁹"), =HYPERLINK("CSG7.html#group24J7", "24J⁷"), =HYPERLINK("CSG3.html#group12N3", "12N³"), =HYPERLINK("CSG18.html#group18A18", "18A¹⁸"), =HYPERLINK("CSG17.html#group48BT17", "48BT¹⁷"), =HYPERLINK("CSG23.html#group30G23", "30G²³"), =HYPERLINK("CSG17.html#group84N17", "84N¹⁷"), =HYPERLINK("CSG19.html#group48AQ19", "48AQ¹⁹"), =HYPERLINK("CSG2.html#group18L2", "18L²"), =HYPERLINK("CSG17.html#group84I17", "84I¹⁷"), =HYPERLINK("CSG7.html#group48S7", "48S⁷"), =HYPERLINK("CSG23.html#group72J23", "72J²³"), =HYPERLINK("CSG13.html#group72I13", "72I¹³"), =HYPERLINK("CSG15.html#group24G15", "24G¹⁵"), =HYPERLINK("CSG15.html#group24Q15", "24Q¹⁵"), =HYPERLINK("CSG21.html#group96AQ21", "96AQ²¹"), =HYPERLINK("CSG7.html#group24AE7", "24AE⁷"), =HYPERLINK("CSG15.html#group24P15", "24P¹⁵"), =HYPERLINK("CSG13.html#group24J13", "24J¹³"), =HYPERLINK("CSG8.html#group48M8", "48M⁸"), =HYPERLINK("CSG8.html#group24E8", "24E⁸"), =HYPERLINK("CSG19.html#group42R19", "42R¹⁹"), =HYPERLINK("CSG9.html#group48G9", "48G⁹"), =HYPERLINK("CSG9.html#group48F9", "48F⁹"), =HYPERLINK("CSG8.html#group48N8", "48N⁸"), =HYPERLINK("CSG13.html#group30J13", "30J¹³"), =HYPERLINK("CSG15.html#group36J15", "36J¹⁵"), =HYPERLINK("CSG1.html#group6E1", "6E¹"), =HYPERLINK("CSG13.html#group24T13", "24T¹³"), =HYPERLINK("CSG21.html#group48Z21", "48Z²¹"), =HYPERLINK("CSG16.html#group96E16", "96E¹⁶"), =HYPERLINK("CSG4.html#group18L4", "18L⁴"), =HYPERLINK("CSG16.html#group72S16", "72S¹⁶"), =HYPERLINK("CSG17.html#group48K17", "48K¹⁷"), =HYPERLINK("CSG20.html#group96E20", "96E²⁰"), =HYPERLINK("CSG8.html#group48W8", "48W⁸"), =HYPERLINK("CSG23.html#group96Q23", "96Q²³"), =HYPERLINK("CSG5.html#group24Y5", "24Y⁵"), =HYPERLINK("CSG13.html#group48AE13", "48AE¹³"), =HYPERLINK("CSG19.html#group96U19", "96U¹⁹"), =HYPERLINK("CSG19.html#group96AG19", "96AG¹⁹"), =HYPERLINK("CSG17.html#group24T17", "24T¹⁷"), =HYPERLINK("CSG3.html#group12P3", "12P³"), =HYPERLINK("CSG15.html#group48AC15", "48AC¹⁵"), =HYPERLINK("CSG3.html#group12E3", "12E³"), =HYPERLINK("CSG17.html#group48L17", "48L¹⁷"), =HYPERLINK("CSG4.html#group24I4", "24I⁴"), =HYPERLINK("CSG17.html#group48V17", "48V¹⁷"), =HYPERLINK("CSG17.html#group72H17", "72H¹⁷"), =HYPERLINK("CSG11.html#group48G11", "48G¹¹"), =HYPERLINK("CSG14.html#group72B14", "72B¹⁴"), =HYPERLINK("CSG15.html#group24H15", "24H¹⁵"), =HYPERLINK("CSG15.html#group36D15", "36D¹⁵"), =HYPERLINK("CSG16.html#group48B16", "48B¹⁶"), =HYPERLINK("CSG13.html#group30L13", "30L¹³"), =HYPERLINK("CSG21.html#group96T21", "96T²¹"), =HYPERLINK("CSG21.html#group96O21", "96O²¹"), =HYPERLINK("CSG17.html#group24M17", "24M¹⁷"), =HYPERLINK("CSG15.html#group24B15", "24B¹⁵"), =HYPERLINK("CSG23.html#group60I23", "60I²³"), =HYPERLINK("CSG8.html#group36O8", "36O⁸"), =HYPERLINK("CSG5.html#group24U5", "24U⁵"), =HYPERLINK("CSG7.html#group12B7", "12B⁷"), =HYPERLINK("CSG5.html#group24S5", "24S⁵"), =HYPERLINK("CSG19.html#group18C19", "18C¹⁹"), =HYPERLINK("CSG9.html#group24J9", "24J⁹"), =HYPERLINK("CSG19.html#group48U19", "48U¹⁹"), =HYPERLINK("CSG17.html#group24A17", "24A¹⁷"), =HYPERLINK("CSG15.html#group72Q15", "72Q¹⁵"), =HYPERLINK("CSG11.html#group30D11", "30D¹¹"), =HYPERLINK("CSG12.html#group72L12", "72L¹²"), =HYPERLINK("CSG9.html#group12B9", "12B⁹"), =HYPERLINK("CSG10.html#group42I10", "42I¹⁰"), =HYPERLINK("CSG13.html#group12B13", "12B¹³"), =HYPERLINK("CSG11.html#group36J11", "36J¹¹"), =HYPERLINK("CSG13.html#group48AD13", "48AD¹³"), =HYPERLINK("CSG19.html#group42L19", "42L¹⁹"), =HYPERLINK("CSG15.html#group48S15", "48S¹⁵"), =HYPERLINK("CSG19.html#group96AN19", "96AN¹⁹"), =HYPERLINK("CSG19.html#group96AV19", "96AV¹⁹"), =HYPERLINK("CSG17.html#group48BQ17", "48BQ¹⁷"), =HYPERLINK("CSG17.html#group48BV17", "48BV¹⁷"), =HYPERLINK("CSG23.html#group72K23", "72K²³"), =HYPERLINK("CSG17.html#group48BS17", "48BS¹⁷"), =HYPERLINK("CSG19.html#group48BN19", "48BN¹⁹"), =HYPERLINK("CSG6.html#group48J6", "48J⁶"), =HYPERLINK("CSG13.html#group24W13", "24W¹³"), =HYPERLINK("CSG17.html#group24AL17", "24AL¹⁷"), =HYPERLINK("CSG13.html#group48X13", "48X¹³"), =HYPERLINK("CSG17.html#group24AE17", "24AE¹⁷"), =HYPERLINK("CSG9.html#group24K9", "24K⁹"), =HYPERLINK("CSG13.html#group24P13", "24P¹³"), =HYPERLINK("CSG0.html#group12H0", "12H⁰")</f>
        <v/>
      </c>
    </row>
    <row r="33">
      <c r="A33" t="inlineStr">
        <is>
          <t>6I⁰</t>
        </is>
      </c>
      <c r="B33" t="inlineStr">
        <is>
          <t>Γ₀(3)∩Γ(2)</t>
        </is>
      </c>
      <c r="C33" t="inlineStr">
        <is>
          <t>24</t>
        </is>
      </c>
      <c r="D33" t="inlineStr">
        <is>
          <t>1</t>
        </is>
      </c>
      <c r="E33" t="inlineStr">
        <is>
          <t>4</t>
        </is>
      </c>
      <c r="F33" t="inlineStr">
        <is>
          <t>0</t>
        </is>
      </c>
      <c r="G33" t="inlineStr">
        <is>
          <t>0</t>
        </is>
      </c>
      <c r="H33" t="inlineStr">
        <is>
          <t>2³, 6³</t>
        </is>
      </c>
      <c r="I33" t="n">
        <v>6</v>
      </c>
      <c r="J33" t="inlineStr">
        <is>
          <t>1², 2¹</t>
        </is>
      </c>
      <c r="K33">
        <f>HYPERLINK("CSG0.html#group2C0", "2C⁰"), =HYPERLINK("CSG0.html#group6C0", "6C⁰"), =HYPERLINK("CSG0.html#group6F0", "6F⁰")</f>
        <v/>
      </c>
      <c r="L33">
        <f>HYPERLINK("CSG0.html#group12I0", "12I⁰"), =HYPERLINK("CSG1.html#group6F1", "6F¹"), =HYPERLINK("CSG1.html#group12P1", "12P¹"), =HYPERLINK("CSG1.html#group18J1", "18J¹"), =HYPERLINK("CSG2.html#group12F2", "12F²"), =HYPERLINK("CSG4.html#group18C4", "18C⁴"), =HYPERLINK("CSG4.html#group18D4", "18D⁴"), =HYPERLINK("CSG7.html#group30Q7", "30Q⁷"), =HYPERLINK("CSG8.html#group30B8", "30B⁸"), =HYPERLINK("CSG11.html#group42G11", "42G¹¹"), =HYPERLINK("CSG12.html#group42D12", "42D¹²"), =HYPERLINK("CSG15.html#group30A15", "30A¹⁵"), =HYPERLINK("CSG19.html#group66B19", "66B¹⁹"), =HYPERLINK("CSG20.html#group66A20", "66A²⁰"), =HYPERLINK("CSG23.html#group78C23", "78C²³")</f>
        <v/>
      </c>
      <c r="M33">
        <f>HYPERLINK("CSG0.html#group3B0", "3B⁰"), =HYPERLINK("CSG0.html#group2A0", "2A⁰"), =HYPERLINK("CSG0.html#group6C0", "6C⁰"), =HYPERLINK("CSG0.html#group6F0", "6F⁰"), =HYPERLINK("CSG0.html#group2B0", "2B⁰"), =HYPERLINK("CSG0.html#group1A0", "1A⁰"), =HYPERLINK("CSG0.html#group2C0", "2C⁰")</f>
        <v/>
      </c>
      <c r="N33">
        <f>HYPERLINK("CSG17.html#group60T17", "60T¹⁷"), =HYPERLINK("CSG20.html#group66A20", "66A²⁰"), =HYPERLINK("CSG9.html#group24AE9", "24AE⁹"), =HYPERLINK("CSG0.html#group12I0", "12I⁰"), =HYPERLINK("CSG16.html#group60A16", "60A¹⁶"), =HYPERLINK("CSG19.html#group96BC19", "96BC¹⁹"), =HYPERLINK("CSG17.html#group48CK17", "48CK¹⁷"), =HYPERLINK("CSG21.html#group48CG21", "48CG²¹"), =HYPERLINK("CSG17.html#group60B17", "60B¹⁷"), =HYPERLINK("CSG11.html#group24B11", "24B¹¹"), =HYPERLINK("CSG3.html#group12L3", "12L³"), =HYPERLINK("CSG21.html#group48CF21", "48CF²¹"), =HYPERLINK("CSG13.html#group72R13", "72R¹³"), =HYPERLINK("CSG13.html#group24O13", "24O¹³"), =HYPERLINK("CSG21.html#group72C21", "72C²¹"), =HYPERLINK("CSG9.html#group24AC9", "24AC⁹"), =HYPERLINK("CSG17.html#group36A17", "36A¹⁷"), =HYPERLINK("CSG19.html#group72K19", "72K¹⁹"), =HYPERLINK("CSG17.html#group24AO17", "24AO¹⁷"), =HYPERLINK("CSG15.html#group60AB15", "60AB¹⁵"), =HYPERLINK("CSG18.html#group60B18", "60B¹⁸"), =HYPERLINK("CSG19.html#group72A19", "72A¹⁹"), =HYPERLINK("CSG7.html#group24AF7", "24AF⁷"), =HYPERLINK("CSG23.html#group84J23", "84J²³"), =HYPERLINK("CSG19.html#group48BO19", "48BO¹⁹"), =HYPERLINK("CSG10.html#group18E10", "18E¹⁰"), =HYPERLINK("CSG21.html#group96BF21", "96BF²¹"), =HYPERLINK("CSG13.html#group30P13", "30P¹³"), =HYPERLINK("CSG17.html#group36I17", "36I¹⁷"), =HYPERLINK("CSG17.html#group72M17", "72M¹⁷"), =HYPERLINK("CSG7.html#group24AG7", "24AG⁷"), =HYPERLINK("CSG13.html#group24K13", "24K¹³"), =HYPERLINK("CSG1.html#group18J1", "18J¹"), =HYPERLINK("CSG21.html#group48CI21", "48CI²¹"), =HYPERLINK("CSG21.html#group72B21", "72B²¹"), =HYPERLINK("CSG21.html#group48CD21", "48CD²¹"), =HYPERLINK("CSG21.html#group48CH21", "48CH²¹"), =HYPERLINK("CSG7.html#group18O7", "18O⁷"), =HYPERLINK("CSG11.html#group48W11", "48W¹¹"), =HYPERLINK("CSG10.html#group36A10", "36A¹⁰"), =HYPERLINK("CSG13.html#group54B13", "54B¹³"), =HYPERLINK("CSG9.html#group36Q9", "36Q⁹"), =HYPERLINK("CSG19.html#group36D19", "36D¹⁹"), =HYPERLINK("CSG13.html#group18B13", "18B¹³"), =HYPERLINK("CSG3.html#group12K3", "12K³"), =HYPERLINK("CSG10.html#group54A10", "54A¹⁰"), =HYPERLINK("CSG7.html#group54B7", "54B⁷"), =HYPERLINK("CSG13.html#group72Q13", "72Q¹³"), =HYPERLINK("CSG21.html#group48CJ21", "48CJ²¹"), =HYPERLINK("CSG19.html#group66B19", "66B¹⁹"), =HYPERLINK("CSG9.html#group36D9", "36D⁹"), =HYPERLINK("CSG13.html#group48AG13", "48AG¹³"), =HYPERLINK("CSG13.html#group48J13", "48J¹³"), =HYPERLINK("CSG21.html#group72D21", "72D²¹"), =HYPERLINK("CSG24.html#group84B24", "84B²⁴"), =HYPERLINK("CSG21.html#group24E21", "24E²¹"), =HYPERLINK("CSG17.html#group24AQ17", "24AQ¹⁷"), =HYPERLINK("CSG21.html#group24A21", "24A²¹"), =HYPERLINK("CSG21.html#group48CB21", "48CB²¹"), =HYPERLINK("CSG2.html#group12F2", "12F²"), =HYPERLINK("CSG15.html#group60AA15", "60AA¹⁵"), =HYPERLINK("CSG13.html#group36U13", "36U¹³"), =HYPERLINK("CSG22.html#group36K22", "36K²²"), =HYPERLINK("CSG13.html#group12A13", "12A¹³"), =HYPERLINK("CSG21.html#group48BZ21", "48BZ²¹"), =HYPERLINK("CSG17.html#group72N17", "72N¹⁷"), =HYPERLINK("CSG21.html#group96AZ21", "96AZ²¹"), =HYPERLINK("CSG19.html#group36A19", "36A¹⁹"), =HYPERLINK("CSG17.html#group24AR17", "24AR¹⁷"), =HYPERLINK("CSG17.html#group48CL17", "48CL¹⁷"), =HYPERLINK("CSG9.html#group24AB9", "24AB⁹"), =HYPERLINK("CSG22.html#group36O22", "36O²²"), =HYPERLINK("CSG21.html#group36E21", "36E²¹"), =HYPERLINK("CSG5.html#group36L5", "36L⁵"), =HYPERLINK("CSG1.html#group12V1", "12V¹"), =HYPERLINK("CSG13.html#group48D13", "48D¹³"), =HYPERLINK("CSG21.html#group96BA21", "96BA²¹"), =HYPERLINK("CSG10.html#group18G10", "18G¹⁰"), =HYPERLINK("CSG17.html#group24AS17", "24AS¹⁷"), =HYPERLINK("CSG23.html#group78C23", "78C²³"), =HYPERLINK("CSG21.html#group72A21", "72A²¹"), =HYPERLINK("CSG13.html#group72V13", "72V¹³"), =HYPERLINK("CSG17.html#group24AN17", "24AN¹⁷"), =HYPERLINK("CSG21.html#group96BD21", "96BD²¹"), =HYPERLINK("CSG9.html#group36C9", "36C⁹"), =HYPERLINK("CSG7.html#group48AK7", "48AK⁷"), =HYPERLINK("CSG23.html#group84I23", "84I²³"), =HYPERLINK("CSG17.html#group48CM17", "48CM¹⁷"), =HYPERLINK("CSG7.html#group24AL7", "24AL⁷"), =HYPERLINK("CSG8.html#group36H8", "36H⁸"), =HYPERLINK("CSG17.html#group36J17", "36J¹⁷"), =HYPERLINK("CSG13.html#group48A13", "48A¹³"), =HYPERLINK("CSG13.html#group36T13", "36T¹³"), =HYPERLINK("CSG11.html#group48X11", "48X¹¹"), =HYPERLINK("CSG4.html#group18D4", "18D⁴"), =HYPERLINK("CSG3.html#group36J3", "36J³"), =HYPERLINK("CSG13.html#group24AC13", "24AC¹³"), =HYPERLINK("CSG17.html#group24C17", "24C¹⁷"), =HYPERLINK("CSG7.html#group24AI7", "24AI⁷"), =HYPERLINK("CSG9.html#group24AF9", "24AF⁹"), =HYPERLINK("CSG4.html#group18C4", "18C⁴"), =HYPERLINK("CSG7.html#group30Q7", "30Q⁷"), =HYPERLINK("CSG22.html#group30A22", "30A²²"), =HYPERLINK("CSG15.html#group30A15", "30A¹⁵"), =HYPERLINK("CSG7.html#group24AK7", "24AK⁷"), =HYPERLINK("CSG3.html#group24AA3", "24AA³"), =HYPERLINK("CSG19.html#group48BS19", "48BS¹⁹"), =HYPERLINK("CSG9.html#group24AH9", "24AH⁹"), =HYPERLINK("CSG19.html#group72C19", "72C¹⁹"), =HYPERLINK("CSG17.html#group36B17", "36B¹⁷"), =HYPERLINK("CSG7.html#group36H7", "36H⁷"), =HYPERLINK("CSG9.html#group24AD9", "24AD⁹"), =HYPERLINK("CSG3.html#group12N3", "12N³"), =HYPERLINK("CSG5.html#group12E5", "12E⁵"), =HYPERLINK("CSG16.html#group54D16", "54D¹⁶"), =HYPERLINK("CSG21.html#group24D21", "24D²¹"), =HYPERLINK("CSG3.html#group24U3", "24U³"), =HYPERLINK("CSG7.html#group48AL7", "48AL⁷"), =HYPERLINK("CSG17.html#group24AP17", "24AP¹⁷"), =HYPERLINK("CSG9.html#group48AH9", "48AH⁹"), =HYPERLINK("CSG19.html#group48BP19", "48BP¹⁹"), =HYPERLINK("CSG10.html#group18H10", "18H¹⁰"), =HYPERLINK("CSG13.html#group24J13", "24J¹³"), =HYPERLINK("CSG5.html#group24H5", "24H⁵"), =HYPERLINK("CSG21.html#group48CK21", "48CK²¹"), =HYPERLINK("CSG9.html#group48AK9", "48AK⁹"), =HYPERLINK("CSG22.html#group36N22", "36N²²"), =HYPERLINK("CSG21.html#group48CA21", "48CA²¹"), =HYPERLINK("CSG21.html#group48CE21", "48CE²¹"), =HYPERLINK("CSG17.html#group48CJ17", "48CJ¹⁷"), =HYPERLINK("CSG19.html#group72M19", "72M¹⁹"), =HYPERLINK("CSG19.html#group48BT19", "48BT¹⁹"), =HYPERLINK("CSG1.html#group12P1", "12P¹"), =HYPERLINK("CSG11.html#group24A11", "24A¹¹"), =HYPERLINK("CSG19.html#group36C19", "36C¹⁹"), =HYPERLINK("CSG13.html#group48I13", "48I¹³"), =HYPERLINK("CSG7.html#group12A7", "12A⁷"), =HYPERLINK("CSG19.html#group72L19", "72L¹⁹"), =HYPERLINK("CSG12.html#group42D12", "42D¹²"), =HYPERLINK("CSG21.html#group24C21", "24C²¹"), =HYPERLINK("CSG21.html#group24G21", "24G²¹"), =HYPERLINK("CSG17.html#group24AT17", "24AT¹⁷"), =HYPERLINK("CSG3.html#group24V3", "24V³"), =HYPERLINK("CSG21.html#group24F21", "24F²¹"), =HYPERLINK("CSG5.html#group12B5", "12B⁵"), =HYPERLINK("CSG16.html#group54E16", "54E¹⁶"), =HYPERLINK("CSG9.html#group24AG9", "24AG⁹"), =HYPERLINK("CSG19.html#group60L19", "60L¹⁹"), =HYPERLINK("CSG21.html#group48CC21", "48CC²¹"), =HYPERLINK("CSG21.html#group24B21", "24B²¹"), =HYPERLINK("CSG19.html#group72B19", "72B¹⁹"), =HYPERLINK("CSG21.html#group48CP21", "48CP²¹"), =HYPERLINK("CSG8.html#group36I8", "36I⁸"), =HYPERLINK("CSG21.html#group36F21", "36F²¹"), =HYPERLINK("CSG13.html#group24AB13", "24AB¹³"), =HYPERLINK("CSG7.html#group24AH7", "24AH⁷"), =HYPERLINK("CSG21.html#group108E21", "108E²¹"), =HYPERLINK("CSG19.html#group36B19", "36B¹⁹"), =HYPERLINK("CSG19.html#group96BD19", "96BD¹⁹"), =HYPERLINK("CSG19.html#group60K19", "60K¹⁹"), =HYPERLINK("CSG13.html#group72W13", "72W¹³"), =HYPERLINK("CSG10.html#group36B10", "36B¹⁰"), =HYPERLINK("CSG5.html#group24Z5", "24Z⁵"), =HYPERLINK("CSG19.html#group72N19", "72N¹⁹"), =HYPERLINK("CSG24.html#group84A24", "84A²⁴"), =HYPERLINK("CSG16.html#group54F16", "54F¹⁶"), =HYPERLINK("CSG17.html#group24A17", "24A¹⁷"), =HYPERLINK("CSG17.html#group60S17", "60S¹⁷"), =HYPERLINK("CSG11.html#group42G11", "42G¹¹"), =HYPERLINK("CSG21.html#group42H21", "42H²¹"), =HYPERLINK("CSG7.html#group18N7", "18N⁷"), =HYPERLINK("CSG3.html#group24Z3", "24Z³"), =HYPERLINK("CSG13.html#group48B13", "48B¹³"), =HYPERLINK("CSG9.html#group12B9", "12B⁹"), =HYPERLINK("CSG1.html#group6F1", "6F¹"), =HYPERLINK("CSG23.html#group42F23", "42F²³"), =HYPERLINK("CSG13.html#group12B13", "12B¹³"), =HYPERLINK("CSG5.html#group24AB5", "24AB⁵"), =HYPERLINK("CSG19.html#group72D19", "72D¹⁹"), =HYPERLINK("CSG17.html#group108F17", "108F¹⁷"), =HYPERLINK("CSG5.html#group24I5", "24I⁵"), =HYPERLINK("CSG8.html#group30B8", "30B⁸"), =HYPERLINK("CSG22.html#group108E22", "108E²²"), =HYPERLINK("CSG13.html#group48C13", "48C¹³"), =HYPERLINK("CSG21.html#group48CQ21", "48CQ²¹"), =HYPERLINK("CSG17.html#group48CN17", "48CN¹⁷"), =HYPERLINK("CSG13.html#group24P13", "24P¹³"), =HYPERLINK("CSG9.html#group24AK9", "24AK⁹")</f>
        <v/>
      </c>
    </row>
    <row r="34">
      <c r="A34" t="inlineStr">
        <is>
          <t>6J⁰</t>
        </is>
      </c>
      <c r="B34" t="inlineStr"/>
      <c r="C34" t="inlineStr">
        <is>
          <t>24</t>
        </is>
      </c>
      <c r="D34" t="inlineStr">
        <is>
          <t>1</t>
        </is>
      </c>
      <c r="E34" t="inlineStr">
        <is>
          <t>8</t>
        </is>
      </c>
      <c r="F34" t="inlineStr">
        <is>
          <t>0</t>
        </is>
      </c>
      <c r="G34" t="inlineStr">
        <is>
          <t>3</t>
        </is>
      </c>
      <c r="H34" t="inlineStr">
        <is>
          <t>6⁴</t>
        </is>
      </c>
      <c r="I34" t="n">
        <v>4</v>
      </c>
      <c r="J34" t="inlineStr">
        <is>
          <t>2⁴</t>
        </is>
      </c>
      <c r="K34">
        <f>HYPERLINK("CSG0.html#group6A0", "6A⁰"), =HYPERLINK("CSG0.html#group6C0", "6C⁰")</f>
        <v/>
      </c>
      <c r="L34">
        <f>HYPERLINK("CSG1.html#group6F1", "6F¹"), =HYPERLINK("CSG1.html#group12O1", "12O¹"), =HYPERLINK("CSG1.html#group18K1", "18K¹"), =HYPERLINK("CSG4.html#group12D4", "12D⁴"), =HYPERLINK("CSG4.html#group18F4", "18F⁴"), =HYPERLINK("CSG4.html#group18G4", "18G⁴"), =HYPERLINK("CSG7.html#group30K7", "30K⁷"), =HYPERLINK("CSG9.html#group30L9", "30L⁹"), =HYPERLINK("CSG11.html#group42H11", "42H¹¹"), =HYPERLINK("CSG12.html#group42E12", "42E¹²"), =HYPERLINK("CSG16.html#group30A16", "30A¹⁶"), =HYPERLINK("CSG19.html#group66A19", "66A¹⁹"), =HYPERLINK("CSG21.html#group66D21", "66D²¹"), =HYPERLINK("CSG23.html#group78E23", "78E²³")</f>
        <v/>
      </c>
      <c r="M34">
        <f>HYPERLINK("CSG0.html#group3B0", "3B⁰"), =HYPERLINK("CSG0.html#group2A0", "2A⁰"), =HYPERLINK("CSG0.html#group6A0", "6A⁰"), =HYPERLINK("CSG0.html#group1A0", "1A⁰"), =HYPERLINK("CSG0.html#group6C0", "6C⁰")</f>
        <v/>
      </c>
      <c r="N34">
        <f>HYPERLINK("CSG22.html#group30D22", "30D²²"), =HYPERLINK("CSG11.html#group42H11", "42H¹¹"), =HYPERLINK("CSG5.html#group12B5", "12B⁵"), =HYPERLINK("CSG21.html#group60I21", "60I²¹"), =HYPERLINK("CSG7.html#group12F7", "12F⁷"), =HYPERLINK("CSG16.html#group30A16", "30A¹⁶"), =HYPERLINK("CSG7.html#group30K7", "30K⁷"), =HYPERLINK("CSG4.html#group18F4", "18F⁴"), =HYPERLINK("CSG21.html#group42I21", "42I²¹"), =HYPERLINK("CSG22.html#group108C22", "108C²²"), =HYPERLINK("CSG3.html#group12N3", "12N³"), =HYPERLINK("CSG13.html#group54P13", "54P¹³"), =HYPERLINK("CSG13.html#group54J13", "54J¹³"), =HYPERLINK("CSG10.html#group18J10", "18J¹⁰"), =HYPERLINK("CSG23.html#group42H23", "42H²³"), =HYPERLINK("CSG10.html#group18I10", "18I¹⁰"), =HYPERLINK("CSG15.html#group60T15", "60T¹⁵"), =HYPERLINK("CSG4.html#group12D4", "12D⁴"), =HYPERLINK("CSG22.html#group36K22", "36K²²"), =HYPERLINK("CSG13.html#group12A13", "12A¹³"), =HYPERLINK("CSG22.html#group90I22", "90I²²"), =HYPERLINK("CSG19.html#group36F19", "36F¹⁹"), =HYPERLINK("CSG22.html#group36M22", "36M²²"), =HYPERLINK("CSG16.html#group36F16", "36F¹⁶"), =HYPERLINK("CSG13.html#group24J13", "24J¹³"), =HYPERLINK("CSG13.html#group54H13", "54H¹³"), =HYPERLINK("CSG13.html#group24O13", "24O¹³"), =HYPERLINK("CSG17.html#group24A17", "24A¹⁷"), =HYPERLINK("CSG1.html#group12O1", "12O¹"), =HYPERLINK("CSG7.html#group18N7", "18N⁷"), =HYPERLINK("CSG21.html#group36E21", "36E²¹"), =HYPERLINK("CSG19.html#group66A19", "66A¹⁹"), =HYPERLINK("CSG1.html#group18K1", "18K¹"), =HYPERLINK("CSG10.html#group18E10", "18E¹⁰"), =HYPERLINK("CSG1.html#group6F1", "6F¹"), =HYPERLINK("CSG9.html#group12B9", "12B⁹"), =HYPERLINK("CSG17.html#group30J17", "30J¹⁷"), =HYPERLINK("CSG17.html#group36I17", "36I¹⁷"), =HYPERLINK("CSG10.html#group36E10", "36E¹⁰"), =HYPERLINK("CSG12.html#group42E12", "42E¹²"), =HYPERLINK("CSG23.html#group78E23", "78E²³"), =HYPERLINK("CSG19.html#group36G19", "36G¹⁹"), =HYPERLINK("CSG11.html#group24D11", "24D¹¹"), =HYPERLINK("CSG13.html#group12B13", "12B¹³"), =HYPERLINK("CSG16.html#group54J16", "54J¹⁶"), =HYPERLINK("CSG13.html#group24K13", "24K¹³"), =HYPERLINK("CSG11.html#group24E11", "24E¹¹"), =HYPERLINK("CSG24.html#group24A24", "24A²⁴"), =HYPERLINK("CSG21.html#group60J21", "60J²¹"), =HYPERLINK("CSG13.html#group54K13", "54K¹³"), =HYPERLINK("CSG7.html#group12A7", "12A⁷"), =HYPERLINK("CSG21.html#group66D21", "66D²¹"), =HYPERLINK("CSG4.html#group36S4", "36S⁴"), =HYPERLINK("CSG21.html#group24H21", "24H²¹"), =HYPERLINK("CSG10.html#group54F10", "54F¹⁰"), =HYPERLINK("CSG10.html#group36D10", "36D¹⁰"), =HYPERLINK("CSG9.html#group30L9", "30L⁹"), =HYPERLINK("CSG13.html#group18B13", "18B¹³"), =HYPERLINK("CSG7.html#group18P7", "18P⁷"), =HYPERLINK("CSG13.html#group24P13", "24P¹³"), =HYPERLINK("CSG17.html#group24C17", "24C¹⁷"), =HYPERLINK("CSG4.html#group18G4", "18G⁴")</f>
        <v/>
      </c>
    </row>
    <row r="35">
      <c r="A35" t="inlineStr">
        <is>
          <t>6K⁰</t>
        </is>
      </c>
      <c r="B35" t="inlineStr">
        <is>
          <t>Γ₀(2)∩Γ(3)</t>
        </is>
      </c>
      <c r="C35" t="inlineStr">
        <is>
          <t>36</t>
        </is>
      </c>
      <c r="D35" t="inlineStr">
        <is>
          <t>1</t>
        </is>
      </c>
      <c r="E35" t="inlineStr">
        <is>
          <t>3</t>
        </is>
      </c>
      <c r="F35" t="inlineStr">
        <is>
          <t>0</t>
        </is>
      </c>
      <c r="G35" t="inlineStr">
        <is>
          <t>0</t>
        </is>
      </c>
      <c r="H35" t="inlineStr">
        <is>
          <t>3⁴, 6⁴</t>
        </is>
      </c>
      <c r="I35" t="n">
        <v>8</v>
      </c>
      <c r="J35" t="inlineStr">
        <is>
          <t>1³</t>
        </is>
      </c>
      <c r="K35">
        <f>HYPERLINK("CSG0.html#group3D0", "3D⁰"), =HYPERLINK("CSG0.html#group6F0", "6F⁰"), =HYPERLINK("CSG0.html#group6G0", "6G⁰")</f>
        <v/>
      </c>
      <c r="L35">
        <f>HYPERLINK("CSG1.html#group6F1", "6F¹"), =HYPERLINK("CSG1.html#group12S1", "12S¹"), =HYPERLINK("CSG2.html#group18P2", "18P²"), =HYPERLINK("CSG3.html#group12D3", "12D³"), =HYPERLINK("CSG4.html#group18M4", "18M⁴"), =HYPERLINK("CSG6.html#group18A6", "18A⁶"), =HYPERLINK("CSG11.html#group30G11", "30G¹¹"), =HYPERLINK("CSG12.html#group30A12", "30A¹²"), =HYPERLINK("CSG17.html#group42I17", "42I¹⁷"), =HYPERLINK("CSG18.html#group42B18", "42B¹⁸"), =HYPERLINK("CSG23.html#group30A23", "30A²³")</f>
        <v/>
      </c>
      <c r="M35">
        <f>HYPERLINK("CSG0.html#group3B0", "3B⁰"), =HYPERLINK("CSG0.html#group6F0", "6F⁰"), =HYPERLINK("CSG0.html#group6G0", "6G⁰"), =HYPERLINK("CSG0.html#group3C0", "3C⁰"), =HYPERLINK("CSG0.html#group2B0", "2B⁰"), =HYPERLINK("CSG0.html#group3A0", "3A⁰"), =HYPERLINK("CSG0.html#group1A0", "1A⁰"), =HYPERLINK("CSG0.html#group6D0", "6D⁰"), =HYPERLINK("CSG0.html#group3D0", "3D⁰")</f>
        <v/>
      </c>
      <c r="N35">
        <f>HYPERLINK("CSG10.html#group18M10", "18M¹⁰"), =HYPERLINK("CSG21.html#group72AB21", "72AB²¹"), =HYPERLINK("CSG21.html#group48H21", "48H²¹"), =HYPERLINK("CSG3.html#group12N3", "12N³"), =HYPERLINK("CSG15.html#group24C15", "24C¹⁵"), =HYPERLINK("CSG12.html#group30A12", "30A¹²"), =HYPERLINK("CSG17.html#group24L17", "24L¹⁷"), =HYPERLINK("CSG11.html#group36I11", "36I¹¹"), =HYPERLINK("CSG16.html#group18B16", "18B¹⁶"), =HYPERLINK("CSG13.html#group48W13", "48W¹³"), =HYPERLINK("CSG22.html#group36L22", "36L²²"), =HYPERLINK("CSG9.html#group24A9", "24A⁹"), =HYPERLINK("CSG21.html#group48A21", "48A²¹"), =HYPERLINK("CSG13.html#group36C13", "36C¹³"), =HYPERLINK("CSG13.html#group24J13", "24J¹³"), =HYPERLINK("CSG13.html#group48V13", "48V¹³"), =HYPERLINK("CSG5.html#group24R5", "24R⁵"), =HYPERLINK("CSG7.html#group24G7", "24G⁷"), =HYPERLINK("CSG13.html#group24O13", "24O¹³"), =HYPERLINK("CSG17.html#group24K17", "24K¹⁷"), =HYPERLINK("CSG9.html#group24AP9", "24AP⁹"), =HYPERLINK("CSG3.html#group12O3", "12O³"), =HYPERLINK("CSG13.html#group24N13", "24N¹³"), =HYPERLINK("CSG10.html#group18E10", "18E¹⁰"), =HYPERLINK("CSG16.html#group54T16", "54T¹⁶"), =HYPERLINK("CSG21.html#group48X21", "48X²¹"), =HYPERLINK("CSG17.html#group36I17", "36I¹⁷"), =HYPERLINK("CSG9.html#group24B9", "24B⁹"), =HYPERLINK("CSG3.html#group24AC3", "24AC³"), =HYPERLINK("CSG13.html#group36D13", "36D¹³"), =HYPERLINK("CSG13.html#group24K13", "24K¹³"), =HYPERLINK("CSG21.html#group48B21", "48B²¹"), =HYPERLINK("CSG7.html#group12A7", "12A⁷"), =HYPERLINK("CSG3.html#group12D3", "12D³"), =HYPERLINK("CSG13.html#group48Y13", "48Y¹³"), =HYPERLINK("CSG6.html#group18A6", "18A⁶"), =HYPERLINK("CSG18.html#group42B18", "42B¹⁸"), =HYPERLINK("CSG21.html#group48D21", "48D²¹"), =HYPERLINK("CSG13.html#group24M13", "24M¹³"), =HYPERLINK("CSG2.html#group18P2", "18P²"), =HYPERLINK("CSG13.html#group18B13", "18B¹³"), =HYPERLINK("CSG22.html#group72L22", "72L²²"), =HYPERLINK("CSG22.html#group54A22", "54A²²"), =HYPERLINK("CSG5.html#group12B5", "12B⁵"), =HYPERLINK("CSG15.html#group36A15", "36A¹⁵"), =HYPERLINK("CSG1.html#group12S1", "12S¹"), =HYPERLINK("CSG17.html#group42I17", "42I¹⁷"), =HYPERLINK("CSG19.html#group48J19", "48J¹⁹"), =HYPERLINK("CSG21.html#group48C21", "48C²¹"), =HYPERLINK("CSG22.html#group36K22", "36K²²"), =HYPERLINK("CSG13.html#group12A13", "12A¹³"), =HYPERLINK("CSG4.html#group18M4", "18M⁴"), =HYPERLINK("CSG17.html#group24D17", "24D¹⁷"), =HYPERLINK("CSG21.html#group48G21", "48G²¹"), =HYPERLINK("CSG13.html#group48Z13", "48Z¹³"), =HYPERLINK("CSG21.html#group30G21", "30G²¹"), =HYPERLINK("CSG23.html#group30A23", "30A²³"), =HYPERLINK("CSG17.html#group24E17", "24E¹⁷"), =HYPERLINK("CSG17.html#group24A17", "24A¹⁷"), =HYPERLINK("CSG11.html#group30G11", "30G¹¹"), =HYPERLINK("CSG21.html#group36E21", "36E²¹"), =HYPERLINK("CSG15.html#group48G15", "48G¹⁵"), =HYPERLINK("CSG7.html#group18N7", "18N⁷"), =HYPERLINK("CSG10.html#group36Q10", "36Q¹⁰"), =HYPERLINK("CSG7.html#group36N7", "36N⁷"), =HYPERLINK("CSG17.html#group72X17", "72X¹⁷"), =HYPERLINK("CSG9.html#group12B9", "12B⁹"), =HYPERLINK("CSG1.html#group6F1", "6F¹"), =HYPERLINK("CSG13.html#group12B13", "12B¹³"), =HYPERLINK("CSG16.html#group18A16", "18A¹⁶"), =HYPERLINK("CSG19.html#group24J19", "24J¹⁹"), =HYPERLINK("CSG17.html#group36K17", "36K¹⁷"), =HYPERLINK("CSG21.html#group48W21", "48W²¹"), =HYPERLINK("CSG13.html#group24L13", "24L¹³"), =HYPERLINK("CSG17.html#group48B17", "48B¹⁷"), =HYPERLINK("CSG17.html#group48C17", "48C¹⁷"), =HYPERLINK("CSG7.html#group12C7", "12C⁷"), =HYPERLINK("CSG13.html#group24P13", "24P¹³"), =HYPERLINK("CSG7.html#group24H7", "24H⁷"), =HYPERLINK("CSG22.html#group54E22", "54E²²"), =HYPERLINK("CSG17.html#group24C17", "24C¹⁷")</f>
        <v/>
      </c>
    </row>
    <row r="36">
      <c r="A36" t="inlineStr">
        <is>
          <t>6L⁰</t>
        </is>
      </c>
      <c r="B36" t="inlineStr"/>
      <c r="C36" t="inlineStr">
        <is>
          <t>36</t>
        </is>
      </c>
      <c r="D36" t="inlineStr">
        <is>
          <t>1</t>
        </is>
      </c>
      <c r="E36" t="inlineStr">
        <is>
          <t>9</t>
        </is>
      </c>
      <c r="F36" t="inlineStr">
        <is>
          <t>4</t>
        </is>
      </c>
      <c r="G36" t="inlineStr">
        <is>
          <t>0</t>
        </is>
      </c>
      <c r="H36" t="inlineStr">
        <is>
          <t>6⁶</t>
        </is>
      </c>
      <c r="I36" t="n">
        <v>6</v>
      </c>
      <c r="J36" t="inlineStr">
        <is>
          <t>1³, 2³</t>
        </is>
      </c>
      <c r="K36">
        <f>HYPERLINK("CSG0.html#group6E0", "6E⁰"), =HYPERLINK("CSG0.html#group6G0", "6G⁰"), =HYPERLINK("CSG0.html#group6H0", "6H⁰")</f>
        <v/>
      </c>
      <c r="L36">
        <f>HYPERLINK("CSG1.html#group6F1", "6F¹"), =HYPERLINK("CSG1.html#group12T1", "12T¹"), =HYPERLINK("CSG1.html#group12U1", "12U¹"), =HYPERLINK("CSG3.html#group12E3", "12E³"), =HYPERLINK("CSG3.html#group12H3", "12H³"), =HYPERLINK("CSG3.html#group18K3", "18K³"), =HYPERLINK("CSG4.html#group18L4", "18L⁴"), =HYPERLINK("CSG6.html#group18D6", "18D⁶"), =HYPERLINK("CSG11.html#group30I11", "30I¹¹"), =HYPERLINK("CSG12.html#group30E12", "30E¹²"), =HYPERLINK("CSG16.html#group42E16", "42E¹⁶"), =HYPERLINK("CSG19.html#group42R19", "42R¹⁹"), =HYPERLINK("CSG23.html#group30G23", "30G²³")</f>
        <v/>
      </c>
      <c r="M36">
        <f>HYPERLINK("CSG0.html#group6B0", "6B⁰"), =HYPERLINK("CSG0.html#group6E0", "6E⁰"), =HYPERLINK("CSG0.html#group6G0", "6G⁰"), =HYPERLINK("CSG0.html#group3C0", "3C⁰"), =HYPERLINK("CSG0.html#group2B0", "2B⁰"), =HYPERLINK("CSG0.html#group6H0", "6H⁰"), =HYPERLINK("CSG0.html#group3A0", "3A⁰"), =HYPERLINK("CSG0.html#group1A0", "1A⁰"), =HYPERLINK("CSG0.html#group6D0", "6D⁰")</f>
        <v/>
      </c>
      <c r="N36">
        <f>HYPERLINK("CSG1.html#group12T1", "12T¹"), =HYPERLINK("CSG15.html#group36I15", "36I¹⁵"), =HYPERLINK("CSG13.html#group24R13", "24R¹³"), =HYPERLINK("CSG3.html#group12N3", "12N³"), =HYPERLINK("CSG15.html#group24L15", "24L¹⁵"), =HYPERLINK("CSG18.html#group18A18", "18A¹⁸"), =HYPERLINK("CSG23.html#group30G23", "30G²³"), =HYPERLINK("CSG17.html#group48G17", "48G¹⁷"), =HYPERLINK("CSG19.html#group48AA19", "48AA¹⁹"), =HYPERLINK("CSG23.html#group36B23", "36B²³"), =HYPERLINK("CSG23.html#group72J23", "72J²³"), =HYPERLINK("CSG15.html#group24G15", "24G¹⁵"), =HYPERLINK("CSG15.html#group36B15", "36B¹⁵"), =HYPERLINK("CSG15.html#group24K15", "24K¹⁵"), =HYPERLINK("CSG17.html#group48AG17", "48AG¹⁷"), =HYPERLINK("CSG13.html#group24J13", "24J¹³"), =HYPERLINK("CSG3.html#group18K3", "18K³"), =HYPERLINK("CSG19.html#group42R19", "42R¹⁹"), =HYPERLINK("CSG19.html#group36U19", "36U¹⁹"), =HYPERLINK("CSG13.html#group24O13", "24O¹³"), =HYPERLINK("CSG13.html#group24Q13", "24Q¹³"), =HYPERLINK("CSG9.html#group24L9", "24L⁹"), =HYPERLINK("CSG13.html#group24T13", "24T¹³"), =HYPERLINK("CSG13.html#group24Y13", "24Y¹³"), =HYPERLINK("CSG17.html#group48R17", "48R¹⁷"), =HYPERLINK("CSG4.html#group18L4", "18L⁴"), =HYPERLINK("CSG17.html#group48M17", "48M¹⁷"), =HYPERLINK("CSG10.html#group18E10", "18E¹⁰"), =HYPERLINK("CSG13.html#group24U13", "24U¹³"), =HYPERLINK("CSG17.html#group48AH17", "48AH¹⁷"), =HYPERLINK("CSG17.html#group36I17", "36I¹⁷"), =HYPERLINK("CSG9.html#group36O9", "36O⁹"), =HYPERLINK("CSG13.html#group24K13", "24K¹³"), =HYPERLINK("CSG9.html#group36P9", "36P⁹"), =HYPERLINK("CSG13.html#group36P13", "36P¹³"), =HYPERLINK("CSG21.html#group72AA21", "72AA²¹"), =HYPERLINK("CSG23.html#group36D23", "36D²³"), =HYPERLINK("CSG16.html#group18G16", "18G¹⁶"), =HYPERLINK("CSG7.html#group12A7", "12A⁷"), =HYPERLINK("CSG12.html#group36A12", "36A¹²"), =HYPERLINK("CSG16.html#group18D16", "18D¹⁶"), =HYPERLINK("CSG13.html#group48AC13", "48AC¹³"), =HYPERLINK("CSG3.html#group12P3", "12P³"), =HYPERLINK("CSG3.html#group12E3", "12E³"), =HYPERLINK("CSG17.html#group48L17", "48L¹⁷"), =HYPERLINK("CSG13.html#group18B13", "18B¹³"), =HYPERLINK("CSG9.html#group24E9", "24E⁹"), =HYPERLINK("CSG17.html#group48V17", "48V¹⁷"), =HYPERLINK("CSG13.html#group24S13", "24S¹³"), =HYPERLINK("CSG5.html#group12B5", "12B⁵"), =HYPERLINK("CSG21.html#group48AV21", "48AV²¹"), =HYPERLINK("CSG21.html#group48BE21", "48BE²¹"), =HYPERLINK("CSG13.html#group36S13", "36S¹³"), =HYPERLINK("CSG17.html#group24X17", "24X¹⁷"), =HYPERLINK("CSG17.html#group24AA17", "24AA¹⁷"), =HYPERLINK("CSG12.html#group30E12", "30E¹²"), =HYPERLINK("CSG7.html#group12E7", "12E⁷"), =HYPERLINK("CSG11.html#group24N11", "24N¹¹"), =HYPERLINK("CSG15.html#group24H15", "24H¹⁵"), =HYPERLINK("CSG13.html#group36G13", "36G¹³"), =HYPERLINK("CSG11.html#group12A11", "12A¹¹"), =HYPERLINK("CSG22.html#group36K22", "36K²²"), =HYPERLINK("CSG5.html#group12C5", "12C⁵"), =HYPERLINK("CSG13.html#group12A13", "12A¹³"), =HYPERLINK("CSG8.html#group36N8", "36N⁸"), =HYPERLINK("CSG17.html#group24M17", "24M¹⁷"), =HYPERLINK("CSG23.html#group36A23", "36A²³"), =HYPERLINK("CSG8.html#group36O8", "36O⁸"), =HYPERLINK("CSG5.html#group24U5", "24U⁵"), =HYPERLINK("CSG5.html#group24S5", "24S⁵"), =HYPERLINK("CSG15.html#group36L15", "36L¹⁵"), =HYPERLINK("CSG11.html#group30I11", "30I¹¹"), =HYPERLINK("CSG17.html#group24A17", "24A¹⁷"), =HYPERLINK("CSG3.html#group12H3", "12H³"), =HYPERLINK("CSG17.html#group48AV17", "48AV¹⁷"), =HYPERLINK("CSG7.html#group24S7", "24S⁷"), =HYPERLINK("CSG1.html#group12U1", "12U¹"), =HYPERLINK("CSG21.html#group48M21", "48M²¹"), =HYPERLINK("CSG21.html#group36E21", "36E²¹"), =HYPERLINK("CSG7.html#group18N7", "18N⁷"), =HYPERLINK("CSG11.html#group36L11", "36L¹¹"), =HYPERLINK("CSG21.html#group30H21", "30H²¹"), =HYPERLINK("CSG16.html#group42E16", "42E¹⁶"), =HYPERLINK("CSG9.html#group12B9", "12B⁹"), =HYPERLINK("CSG1.html#group6F1", "6F¹"), =HYPERLINK("CSG7.html#group24N7", "24N⁷"), =HYPERLINK("CSG5.html#group12D5", "12D⁵"), =HYPERLINK("CSG13.html#group12B13", "12B¹³"), =HYPERLINK("CSG11.html#group36J11", "36J¹¹"), =HYPERLINK("CSG13.html#group48AD13", "48AD¹³"), =HYPERLINK("CSG17.html#group24N17", "24N¹⁷"), =HYPERLINK("CSG17.html#group24O17", "24O¹⁷"), =HYPERLINK("CSG17.html#group48F17", "48F¹⁷"), =HYPERLINK("CSG6.html#group18D6", "18D⁶"), =HYPERLINK("CSG12.html#group36B12", "36B¹²"), =HYPERLINK("CSG23.html#group72K23", "72K²³"), =HYPERLINK("CSG23.html#group72I23", "72I²³"), =HYPERLINK("CSG5.html#group24T5", "24T⁵"), =HYPERLINK("CSG13.html#group24W13", "24W¹³"), =HYPERLINK("CSG13.html#group48X13", "48X¹³"), =HYPERLINK("CSG17.html#group24AE17", "24AE¹⁷"), =HYPERLINK("CSG15.html#group48R15", "48R¹⁵"), =HYPERLINK("CSG13.html#group24P13", "24P¹³"), =HYPERLINK("CSG23.html#group36C23", "36C²³"), =HYPERLINK("CSG17.html#group24C17", "24C¹⁷"), =HYPERLINK("CSG17.html#group48AR17", "48AR¹⁷")</f>
        <v/>
      </c>
    </row>
    <row r="37">
      <c r="A37" t="inlineStr">
        <is>
          <t>7A⁰</t>
        </is>
      </c>
      <c r="B37" t="inlineStr"/>
      <c r="C37" t="inlineStr">
        <is>
          <t>7</t>
        </is>
      </c>
      <c r="D37" t="inlineStr">
        <is>
          <t>2</t>
        </is>
      </c>
      <c r="E37" t="inlineStr">
        <is>
          <t>7</t>
        </is>
      </c>
      <c r="F37" t="inlineStr">
        <is>
          <t>3</t>
        </is>
      </c>
      <c r="G37" t="inlineStr">
        <is>
          <t>1</t>
        </is>
      </c>
      <c r="H37" t="inlineStr">
        <is>
          <t>7¹</t>
        </is>
      </c>
      <c r="I37" t="n">
        <v>1</v>
      </c>
      <c r="J37" t="inlineStr">
        <is>
          <t>2¹, 6²</t>
        </is>
      </c>
      <c r="K37">
        <f>HYPERLINK("CSG0.html#group1A0", "1A⁰")</f>
        <v/>
      </c>
      <c r="L37">
        <f>HYPERLINK("CSG0.html#group7C0", "7C⁰"), =HYPERLINK("CSG0.html#group7D0", "7D⁰"), =HYPERLINK("CSG0.html#group7F0", "7F⁰"), =HYPERLINK("CSG0.html#group14A0", "14A⁰"), =HYPERLINK("CSG0.html#group21A0", "21A⁰"), =HYPERLINK("CSG1.html#group14A1", "14A¹"), =HYPERLINK("CSG1.html#group14B1", "14B¹"), =HYPERLINK("CSG1.html#group28A1", "28A¹"), =HYPERLINK("CSG2.html#group21B2", "21B²"), =HYPERLINK("CSG2.html#group35A2", "35A²"), =HYPERLINK("CSG2.html#group35C2", "35C²"), =HYPERLINK("CSG4.html#group35B4", "35B⁴"), =HYPERLINK("CSG4.html#group77A4", "77A⁴"), =HYPERLINK("CSG4.html#group77B4", "77B⁴"), =HYPERLINK("CSG6.html#group91A6", "91A⁶"), =HYPERLINK("CSG7.html#group77A7", "77A⁷"), =HYPERLINK("CSG9.html#group119A9", "119A⁹"), =HYPERLINK("CSG11.html#group133A11", "133A¹¹"), =HYPERLINK("CSG12.html#group63B12", "63B¹²"), =HYPERLINK("CSG14.html#group161A14", "161A¹⁴"), =HYPERLINK("CSG16.html#group203A16", "203A¹⁶"), =HYPERLINK("CSG18.html#group217A18", "217A¹⁸"), =HYPERLINK("CSG20.html#group259A20", "259A²⁰"), =HYPERLINK("CSG23.html#group287A23", "287A²³")</f>
        <v/>
      </c>
      <c r="M37">
        <f>HYPERLINK("CSG0.html#group1A0", "1A⁰")</f>
        <v/>
      </c>
      <c r="N37">
        <f>HYPERLINK("CSG6.html#group56C6", "56C⁶"), =HYPERLINK("CSG21.html#group56H21", "56H²¹"), =HYPERLINK("CSG12.html#group42B12", "42B¹²"), =HYPERLINK("CSG16.html#group140C16", "140C¹⁶"), =HYPERLINK("CSG1.html#group14B1", "14B¹"), =HYPERLINK("CSG16.html#group84F16", "84F¹⁶"), =HYPERLINK("CSG23.html#group56B23", "56B²³"), =HYPERLINK("CSG16.html#group168E16", "168E¹⁶"), =HYPERLINK("CSG21.html#group308B21", "308B²¹"), =HYPERLINK("CSG16.html#group105B16", "105B¹⁶"), =HYPERLINK("CSG7.html#group42F7", "42F⁷"), =HYPERLINK("CSG14.html#group105E14", "105E¹⁴"), =HYPERLINK("CSG24.html#group42D24", "42D²⁴"), =HYPERLINK("CSG20.html#group189B20", "189B²⁰"), =HYPERLINK("CSG14.html#group84A14", "84A¹⁴"), =HYPERLINK("CSG7.html#group21C7", "21C⁷"), =HYPERLINK("CSG13.html#group28D13", "28D¹³"), =HYPERLINK("CSG16.html#group112A16", "112A¹⁶"), =HYPERLINK("CSG19.html#group84H19", "84H¹⁹"), =HYPERLINK("CSG14.html#group42F14", "42F¹⁴"), =HYPERLINK("CSG19.html#group70C19", "70C¹⁹"), =HYPERLINK("CSG24.html#group56G24", "56G²⁴"), =HYPERLINK("CSG12.html#group56H12", "56H¹²"), =HYPERLINK("CSG23.html#group168M23", "168M²³"), =HYPERLINK("CSG8.html#group63A8", "63A⁸"), =HYPERLINK("CSG24.html#group112Q24", "112Q²⁴"), =HYPERLINK("CSG19.html#group126E19", "126E¹⁹"), =HYPERLINK("CSG24.html#group56H24", "56H²⁴"), =HYPERLINK("CSG4.html#group70C4", "70C⁴"), =HYPERLINK("CSG21.html#group28L21", "28L²¹"), =HYPERLINK("CSG6.html#group63C6", "63C⁶"), =HYPERLINK("CSG19.html#group63F19", "63F¹⁹"), =HYPERLINK("CSG23.html#group84E23", "84E²³"), =HYPERLINK("CSG20.html#group189A20", "189A²⁰"), =HYPERLINK("CSG22.html#group126A22", "126A²²"), =HYPERLINK("CSG17.html#group28A17", "28A¹⁷"), =HYPERLINK("CSG15.html#group84G15", "84G¹⁵"), =HYPERLINK("CSG18.html#group70F18", "70F¹⁸"), =HYPERLINK("CSG24.html#group56L24", "56L²⁴"), =HYPERLINK("CSG11.html#group112A11", "112A¹¹"), =HYPERLINK("CSG17.html#group126C17", "126C¹⁷"), =HYPERLINK("CSG9.html#group28E9", "28E⁹"), =HYPERLINK("CSG7.html#group112A7", "112A⁷"), =HYPERLINK("CSG8.html#group42B8", "42B⁸"), =HYPERLINK("CSG9.html#group14C9", "14C⁹"), =HYPERLINK("CSG22.html#group105B22", "105B²²"), =HYPERLINK("CSG8.html#group28A8", "28A⁸"), =HYPERLINK("CSG21.html#group56E21", "56E²¹"), =HYPERLINK("CSG23.html#group70A23", "70A²³"), =HYPERLINK("CSG13.html#group210B13", "210B¹³"), =HYPERLINK("CSG21.html#group56F21", "56F²¹"), =HYPERLINK("CSG17.html#group168A17", "168A¹⁷"), =HYPERLINK("CSG13.html#group126A13", "126A¹³"), =HYPERLINK("CSG16.html#group35A16", "35A¹⁶"), =HYPERLINK("CSG11.html#group28D11", "28D¹¹"), =HYPERLINK("CSG23.html#group112H23", "112H²³"), =HYPERLINK("CSG21.html#group56A21", "56A²¹"), =HYPERLINK("CSG20.html#group84D20", "84D²⁰"), =HYPERLINK("CSG21.html#group42E21", "42E²¹"), =HYPERLINK("CSG15.html#group77A15", "77A¹⁵"), =HYPERLINK("CSG24.html#group112U24", "112U²⁴"), =HYPERLINK("CSG16.html#group42F16", "42F¹⁶"), =HYPERLINK("CSG5.html#group28D5", "28D⁵"), =HYPERLINK("CSG12.html#group28C12", "28C¹²"), =HYPERLINK("CSG24.html#group112B24", "112B²⁴"), =HYPERLINK("CSG11.html#group112F11", "112F¹¹"), =HYPERLINK("CSG18.html#group49A18", "49A¹⁸"), =HYPERLINK("CSG23.html#group287A23", "287A²³"), =HYPERLINK("CSG24.html#group168G24", "168G²⁴"), =HYPERLINK("CSG20.html#group126E20", "126E²⁰"), =HYPERLINK("CSG13.html#group28A13", "28A¹³"), =HYPERLINK("CSG21.html#group126E21", "126E²¹"), =HYPERLINK("CSG19.html#group35B19", "35B¹⁹"), =HYPERLINK("CSG21.html#group280A21", "280A²¹"), =HYPERLINK("CSG21.html#group84L21", "84L²¹"), =HYPERLINK("CSG5.html#group56B5", "56B⁵"), =HYPERLINK("CSG23.html#group126J23", "126J²³"), =HYPERLINK("CSG2.html#group21D2", "21D²"), =HYPERLINK("CSG13.html#group91A13", "91A¹³"), =HYPERLINK("CSG5.html#group28G5", "28G⁵"), =HYPERLINK("CSG24.html#group56D24", "56D²⁴"), =HYPERLINK("CSG24.html#group56J24", "56J²⁴"), =HYPERLINK("CSG23.html#group56F23", "56F²³"), =HYPERLINK("CSG2.html#group21C2", "21C²"), =HYPERLINK("CSG20.html#group154A20", "154A²⁰"), =HYPERLINK("CSG6.html#group21B6", "21B⁶"), =HYPERLINK("CSG10.html#group56A10", "56A¹⁰"), =HYPERLINK("CSG6.html#group35A6", "35A⁶"), =HYPERLINK("CSG24.html#group84C24", "84C²⁴"), =HYPERLINK("CSG13.html#group105A13", "105A¹³"), =HYPERLINK("CSG13.html#group42I13", "42I¹³"), =HYPERLINK("CSG18.html#group210A18", "210A¹⁸"), =HYPERLINK("CSG11.html#group105A11", "105A¹¹"), =HYPERLINK("CSG12.html#group56C12", "56C¹²"), =HYPERLINK("CSG24.html#group63H24", "63H²⁴"), =HYPERLINK("CSG15.html#group168B15", "168B¹⁵"), =HYPERLINK("CSG21.html#group63C21", "63C²¹"), =HYPERLINK("CSG18.html#group63F18", "63F¹⁸"), =HYPERLINK("CSG24.html#group112P24", "112P²⁴"), =HYPERLINK("CSG24.html#group224E24", "224E²⁴"), =HYPERLINK("CSG15.html#group105D15", "105D¹⁵"), =HYPERLINK("CSG16.html#group126A16", "126A¹⁶"), =HYPERLINK("CSG24.html#group112S24", "112S²⁴"), =HYPERLINK("CSG15.html#group35A15", "35A¹⁵"), =HYPERLINK("CSG18.html#group84E18", "84E¹⁸"), =HYPERLINK("CSG11.html#group56I11", "56I¹¹"), =HYPERLINK("CSG22.html#group140A22", "140A²²"), =HYPERLINK("CSG19.html#group126A19", "126A¹⁹"), =HYPERLINK("CSG22.html#group56J22", "56J²²"), =HYPERLINK("CSG13.html#group14B13", "14B¹³"), =HYPERLINK("CSG18.html#group63D18", "63D¹⁸"), =HYPERLINK("CSG15.html#group105A15", "105A¹⁵"), =HYPERLINK("CSG18.html#group63C18", "63C¹⁸"), =HYPERLINK("CSG23.html#group84C23", "84C²³"), =HYPERLINK("CSG24.html#group252F24", "252F²⁴"), =HYPERLINK("CSG14.html#group35B14", "35B¹⁴"), =HYPERLINK("CSG2.html#group35A2", "35A²"), =HYPERLINK("CSG17.html#group210E17", "210E¹⁷"), =HYPERLINK("CSG21.html#group28C21", "28C²¹"), =HYPERLINK("CSG18.html#group35A18", "35A¹⁸"), =HYPERLINK("CSG15.html#group28B15", "28B¹⁵"), =HYPERLINK("CSG12.html#group21B12", "21B¹²"), =HYPERLINK("CSG3.html#group14A3", "14A³"), =HYPERLINK("CSG13.html#group56A13", "56A¹³"), =HYPERLINK("CSG23.html#group42D23", "42D²³"), =HYPERLINK("CSG12.html#group112B12", "112B¹²"), =HYPERLINK("CSG14.html#group56C14", "56C¹⁴"), =HYPERLINK("CSG22.html#group84N22", "84N²²"), =HYPERLINK("CSG21.html#group42A21", "42A²¹"), =HYPERLINK("CSG17.html#group70H17", "70H¹⁷"), =HYPERLINK("CSG5.html#group56A5", "56A⁵"), =HYPERLINK("CSG21.html#group56I21", "56I²¹"), =HYPERLINK("CSG21.html#group28K21", "28K²¹"), =HYPERLINK("CSG10.html#group168C10", "168C¹⁰"), =HYPERLINK("CSG16.html#group175D16", "175D¹⁶"), =HYPERLINK("CSG18.html#group126E18", "126E¹⁸"), =HYPERLINK("CSG22.html#group266B22", "266B²²"), =HYPERLINK("CSG17.html#group84G17", "84G¹⁷"), =HYPERLINK("CSG19.html#group70B19", "70B¹⁹"), =HYPERLINK("CSG20.html#group140A20", "140A²⁰"), =HYPERLINK("CSG9.html#group56B9", "56B⁹"), =HYPERLINK("CSG6.html#group28I6", "28I⁶"), =HYPERLINK("CSG19.html#group35A19", "35A¹⁹"), =HYPERLINK("CSG13.html#group21B13", "21B¹³"), =HYPERLINK("CSG21.html#group77A21", "77A²¹"), =HYPERLINK("CSG18.html#group84G18", "84G¹⁸"), =HYPERLINK("CSG6.html#group126A6", "126A⁶"), =HYPERLINK("CSG13.html#group28C13", "28C¹³"), =HYPERLINK("CSG4.html#group28A4", "28A⁴"), =HYPERLINK("CSG18.html#group168B18", "168B¹⁸"), =HYPERLINK("CSG13.html#group182A13", "182A¹³"), =HYPERLINK("CSG10.html#group168D10", "168D¹⁰"), =HYPERLINK("CSG15.html#group70A15", "70A¹⁵"), =HYPERLINK("CSG14.html#group126A14", "126A¹⁴"), =HYPERLINK("CSG18.html#group126A18", "126A¹⁸"), =HYPERLINK("CSG4.html#group14A4", "14A⁴"), =HYPERLINK("CSG22.html#group168K22", "168K²²"), =HYPERLINK("CSG24.html#group252G24", "252G²⁴"), =HYPERLINK("CSG9.html#group28B9", "28B⁹"), =HYPERLINK("CSG21.html#group56G21", "56G²¹"), =HYPERLINK("CSG11.html#group21D11", "21D¹¹"), =HYPERLINK("CSG21.html#group112D21", "112D²¹"), =HYPERLINK("CSG18.html#group168D18", "168D¹⁸"), =HYPERLINK("CSG6.html#group42D6", "42D⁶"), =HYPERLINK("CSG11.html#group28C11", "28C¹¹"), =HYPERLINK("CSG1.html#group14G1", "14G¹"), =HYPERLINK("CSG5.html#group21A5", "21A⁵"), =HYPERLINK("CSG5.html#group14F5", "14F⁵"), =HYPERLINK("CSG21.html#group42D21", "42D²¹"), =HYPERLINK("CSG7.html#group14A7", "14A⁷"), =HYPERLINK("CSG16.html#group84C16", "84C¹⁶"), =HYPERLINK("CSG17.html#group42C17", "42C¹⁷"), =HYPERLINK("CSG21.html#group70C21", "70C²¹"), =HYPERLINK("CSG9.html#group119A9", "119A⁹"), =HYPERLINK("CSG17.html#group42G17", "42G¹⁷"), =HYPERLINK("CSG21.html#group112C21", "112C²¹"), =HYPERLINK("CSG22.html#group168M22", "168M²²"), =HYPERLINK("CSG21.html#group84N21", "84N²¹"), =HYPERLINK("CSG24.html#group336C24", "336C²⁴"), =HYPERLINK("CSG17.html#group154A17", "154A¹⁷"), =HYPERLINK("CSG21.html#group126I21", "126I²¹"), =HYPERLINK("CSG16.html#group70C16", "70C¹⁶"), =HYPERLINK("CSG24.html#group224D24", "224D²⁴"), =HYPERLINK("CSG16.html#group84H16", "84H¹⁶"), =HYPERLINK("CSG19.html#group140B19", "140B¹⁹"), =HYPERLINK("CSG9.html#group21B9", "21B⁹"), =HYPERLINK("CSG17.html#group70B17", "70B¹⁷"), =HYPERLINK("CSG15.html#group112J15", "112J¹⁵"), =HYPERLINK("CSG4.html#group21D4", "21D⁴"), =HYPERLINK("CSG14.html#group84D14", "84D¹⁴"), =HYPERLINK("CSG18.html#group63B18", "63B¹⁸"), =HYPERLINK("CSG9.html#group28D9", "28D⁹"), =HYPERLINK("CSG15.html#group70E15", "70E¹⁵"), =HYPERLINK("CSG24.html#group336A24", "336A²⁴"), =HYPERLINK("CSG18.html#group168A18", "168A¹⁸"), =HYPERLINK("CSG17.html#group42D17", "42D¹⁷"), =HYPERLINK("CSG12.html#group112A12", "112A¹²"), =HYPERLINK("CSG13.html#group35B13", "35B¹³"), =HYPERLINK("CSG17.html#group126F17", "126F¹⁷"), =HYPERLINK("CSG7.html#group14D7", "14D⁷"), =HYPERLINK("CSG9.html#group14A9", "14A⁹"), =HYPERLINK("CSG13.html#group28E13", "28E¹³"), =HYPERLINK("CSG8.html#group42A8", "42A⁸"), =HYPERLINK("CSG16.html#group203A16", "203A¹⁶"), =HYPERLINK("CSG8.html#group84F8", "84F⁸"), =HYPERLINK("CSG9.html#group84C9", "84C⁹"), =HYPERLINK("CSG7.html#group42B7", "42B⁷"), =HYPERLINK("CSG9.html#group154B9", "154B⁹"), =HYPERLINK("CSG10.html#group42C10", "42C¹⁰"), =HYPERLINK("CSG21.html#group126H21", "126H²¹"), =HYPERLINK("CSG2.html#group14A2", "14A²"), =HYPERLINK("CSG4.html#group35C4", "35C⁴"), =HYPERLINK("CSG5.html#group42E5", "42E⁵"), =HYPERLINK("CSG19.html#group70A19", "70A¹⁹"), =HYPERLINK("CSG16.html#group42C16", "42C¹⁶"), =HYPERLINK("CSG9.html#group84B9", "84B⁹"), =HYPERLINK("CSG21.html#group210A21", "210A²¹"), =HYPERLINK("CSG17.html#group84A17", "84A¹⁷"), =HYPERLINK("CSG22.html#group168R22", "168R²²"), =HYPERLINK("CSG19.html#group42G19", "42G¹⁹"), =HYPERLINK("CSG19.html#group42K19", "42K¹⁹"), =HYPERLINK("CSG13.html#group63B13", "63B¹³"), =HYPERLINK("CSG23.html#group315A23", "315A²³"), =HYPERLINK("CSG7.html#group28E7", "28E⁷"), =HYPERLINK("CSG13.html#group56B13", "56B¹³"), =HYPERLINK("CSG24.html#group112L24", "112L²⁴"), =HYPERLINK("CSG23.html#group28B23", "28B²³"), =HYPERLINK("CSG24.html#group112J24", "112J²⁴"), =HYPERLINK("CSG12.html#group56B12", "56B¹²"), =HYPERLINK("CSG21.html#group70B21", "70B²¹"), =HYPERLINK("CSG16.html#group56C16", "56C¹⁶"), =HYPERLINK("CSG23.html#group56I23", "56I²³"), =HYPERLINK("CSG17.html#group126D17", "126D¹⁷"), =HYPERLINK("CSG23.html#group56A23", "56A²³"), =HYPERLINK("CSG24.html#group112O24", "112O²⁴"), =HYPERLINK("CSG7.html#group84B7", "84B⁷"), =HYPERLINK("CSG19.html#group140D19", "140D¹⁹"), =HYPERLINK("CSG18.html#group126I18", "126I¹⁸"), =HYPERLINK("CSG20.html#group84C20", "84C²⁰"), =HYPERLINK("CSG15.html#group42I15", "42I¹⁵"), =HYPERLINK("CSG21.html#group28A21", "28A²¹"), =HYPERLINK("CSG18.html#group70G18", "70G¹⁸"), =HYPERLINK("CSG13.html#group70C13", "70C¹³"), =HYPERLINK("CSG18.html#group126F18", "126F¹⁸"), =HYPERLINK("CSG15.html#group14A15", "14A¹⁵"), =HYPERLINK("CSG7.html#group42C7", "42C⁷"), =HYPERLINK("CSG1.html#group7B1", "7B¹"), =HYPERLINK("CSG21.html#group308A21", "308A²¹"), =HYPERLINK("CSG4.html#group56B4", "56B⁴"), =HYPERLINK("CSG20.html#group168B20", "168B²⁰"), =HYPERLINK("CSG22.html#group105A22", "105A²²"), =HYPERLINK("CSG7.html#group112C7", "112C⁷"), =HYPERLINK("CSG18.html#group63E18", "63E¹⁸"), =HYPERLINK("CSG5.html#group42F5", "42F⁵"), =HYPERLINK("CSG7.html#group56A7", "56A⁷"), =HYPERLINK("CSG3.html#group14B3", "14B³"), =HYPERLINK("CSG11.html#group112D11", "112D¹¹"), =HYPERLINK("CSG1.html#group21D1", "21D¹"), =HYPERLINK("CSG18.html#group91A18", "91A¹⁸"), =HYPERLINK("CSG17.html#group84M17", "84M¹⁷"), =HYPERLINK("CSG0.html#group7G0", "7G⁰"), =HYPERLINK("CSG23.html#group28E23", "28E²³"), =HYPERLINK("CSG4.html#group77B4", "77B⁴"), =HYPERLINK("CSG12.html#group21A12", "21A¹²"), =HYPERLINK("CSG21.html#group84K21", "84K²¹"), =HYPERLINK("CSG11.html#group56H11", "56H¹¹"), =HYPERLINK("CSG16.html#group63D16", "63D¹⁶"), =HYPERLINK("CSG24.html#group63I24", "63I²⁴"), =HYPERLINK("CSG19.html#group119B19", "119B¹⁹"), =HYPERLINK("CSG14.html#group70C14", "70C¹⁴"), =HYPERLINK("CSG22.html#group210A22", "210A²²"), =HYPERLINK("CSG17.html#group140D17", "140D¹⁷"), =HYPERLINK("CSG15.html#group56G15", "56G¹⁵"), =HYPERLINK("CSG11.html#group35A11", "35A¹¹"), =HYPERLINK("CSG18.html#group56A18", "56A¹⁸"), =HYPERLINK("CSG6.html#group42C6", "42C⁶"), =HYPERLINK("CSG24.html#group56E24", "56E²⁴"), =HYPERLINK("CSG24.html#group112D24", "112D²⁴"), =HYPERLINK("CSG5.html#group42H5", "42H⁵"), =HYPERLINK("CSG8.html#group112B8", "112B⁸"), =HYPERLINK("CSG18.html#group168E18", "168E¹⁸"), =HYPERLINK("CSG21.html#group126C21", "126C²¹"), =HYPERLINK("CSG20.html#group63A20", "63A²⁰"), =HYPERLINK("CSG16.html#group105C16", "105C¹⁶"), =HYPERLINK("CSG17.html#group42H17", "42H¹⁷"), =HYPERLINK("CSG3.html#group21B3", "21B³"), =HYPERLINK("CSG10.html#group35A10", "35A¹⁰"), =HYPERLINK("CSG21.html#group56J21", "56J²¹"), =HYPERLINK("CSG16.html#group63C16", "63C¹⁶"), =HYPERLINK("CSG17.html#group84J17", "84J¹⁷"), =HYPERLINK("CSG10.html#group63B10", "63B¹⁰"), =HYPERLINK("CSG21.html#group126F21", "126F²¹"), =HYPERLINK("CSG14.html#group112F14", "112F¹⁴"), =HYPERLINK("CSG15.html#group42C15", "42C¹⁵"), =HYPERLINK("CSG14.html#group84C14", "84C¹⁴"), =HYPERLINK("CSG17.html#group42A17", "42A¹⁷"), =HYPERLINK("CSG12.html#group56J12", "56J¹²"), =HYPERLINK("CSG18.html#group84C18", "84C¹⁸"), =HYPERLINK("CSG24.html#group168D24", "168D²⁴"), =HYPERLINK("CSG6.html#group14B6", "14B⁶"), =HYPERLINK("CSG16.html#group84B16", "84B¹⁶"), =HYPERLINK("CSG18.html#group217A18", "217A¹⁸"), =HYPERLINK("CSG17.html#group42E17", "42E¹⁷"), =HYPERLINK("CSG21.html#group140A21", "140A²¹"), =HYPERLINK("CSG10.html#group28A10", "28A¹⁰"), =HYPERLINK("CSG17.html#group119A17", "119A¹⁷"), =HYPERLINK("CSG6.html#group28J6", "28J⁶"), =HYPERLINK("CSG2.html#group28C2", "28C²"), =HYPERLINK("CSG17.html#group84L17", "84L¹⁷"), =HYPERLINK("CSG13.html#group84D13", "84D¹³"), =HYPERLINK("CSG3.html#group84A3", "84A³"), =HYPERLINK("CSG6.html#group21C6", "21C⁶"), =HYPERLINK("CSG14.html#group42A14", "42A¹⁴"), =HYPERLINK("CSG15.html#group42E15", "42E¹⁵"), =HYPERLINK("CSG7.html#group112B7", "112B⁷"), =HYPERLINK("CSG24.html#group63G24", "63G²⁴"), =HYPERLINK("CSG12.html#group35B12", "35B¹²"), =HYPERLINK("CSG16.html#group175A16", "175A¹⁶"), =HYPERLINK("CSG23.html#group112M23", "112M²³"), =HYPERLINK("CSG12.html#group56D12", "56D¹²"), =HYPERLINK("CSG23.html#group168H23", "168H²³"), =HYPERLINK("CSG23.html#group42L23", "42L²³"), =HYPERLINK("CSG21.html#group35B21", "35B²¹"), =HYPERLINK("CSG24.html#group63A24", "63A²⁴"), =HYPERLINK("CSG23.html#group63A23", "63A²³"), =HYPERLINK("CSG21.html#group238A21", "238A²¹"), =HYPERLINK("CSG21.html#group56K21", "56K²¹"), =HYPERLINK("CSG2.html#group28B2", "28B²"), =HYPERLINK("CSG22.html#group112A22", "112A²²"), =HYPERLINK("CSG10.html#group70A10", "70A¹⁰"), =HYPERLINK("CSG16.html#group42G16", "42G¹⁶"), =HYPERLINK("CSG12.html#group84B12", "84B¹²"), =HYPERLINK("CSG18.html#group126C18", "126C¹⁸"), =HYPERLINK("CSG4.html#group42F4", "42F⁴"), =HYPERLINK("CSG19.html#group42M19", "42M¹⁹"), =HYPERLINK("CSG15.html#group42A15", "42A¹⁵"), =HYPERLINK("CSG21.html#group140D21", "140D²¹"), =HYPERLINK("CSG18.html#group126B18", "126B¹⁸"), =HYPERLINK("CSG7.html#group42G7", "42G⁷"), =HYPERLINK("CSG21.html#group133A21", "133A²¹"), =HYPERLINK("CSG24.html#group42C24", "42C²⁴"), =HYPERLINK("CSG12.html#group28A12", "28A¹²"), =HYPERLINK("CSG8.html#group84E8", "84E⁸"), =HYPERLINK("CSG24.html#group168C24", "168C²⁴"), =HYPERLINK("CSG21.html#group280C21", "280C²¹"), =HYPERLINK("CSG17.html#group105C17", "105C¹⁷"), =HYPERLINK("CSG18.html#group70E18", "70E¹⁸"), =HYPERLINK("CSG9.html#group35D9", "35D⁹"), =HYPERLINK("CSG24.html#group70A24", "70A²⁴"), =HYPERLINK("CSG23.html#group98A23", "98A²³"), =HYPERLINK("CSG15.html#group28D15", "28D¹⁵"), =HYPERLINK("CSG22.html#group98B22", "98B²²"), =HYPERLINK("CSG21.html#group224A21", "224A²¹"), =HYPERLINK("CSG19.html#group140C19", "140C¹⁹"), =HYPERLINK("CSG15.html#group28H15", "28H¹⁵"), =HYPERLINK("CSG2.html#group42A2", "42A²"), =HYPERLINK("CSG24.html#group168B24", "168B²⁴"), =HYPERLINK("CSG24.html#group56N24", "56N²⁴"), =HYPERLINK("CSG6.html#group105C6", "105C⁶"), =HYPERLINK("CSG23.html#group154A23", "154A²³"), =HYPERLINK("CSG6.html#group42A6", "42A⁶"), =HYPERLINK("CSG13.html#group56F13", "56F¹³"), =HYPERLINK("CSG9.html#group84E9", "84E⁹"), =HYPERLINK("CSG22.html#group56L22", "56L²²"), =HYPERLINK("CSG9.html#group21C9", "21C⁹"), =HYPERLINK("CSG7.html#group28C7", "28C⁷"), =HYPERLINK("CSG17.html#group84H17", "84H¹⁷"), =HYPERLINK("CSG24.html#group56F24", "56F²⁴"), =HYPERLINK("CSG15.html#group28E15", "28E¹⁵"), =HYPERLINK("CSG11.html#group56A11", "56A¹¹"), =HYPERLINK("CSG15.html#group70B15", "70B¹⁵"), =HYPERLINK("CSG17.html#group21A17", "21A¹⁷"), =HYPERLINK("CSG17.html#group14A17", "14A¹⁷"), =HYPERLINK("CSG9.html#group21A9", "21A⁹"), =HYPERLINK("CSG16.html#group42E16", "42E¹⁶"), =HYPERLINK("CSG16.html#group168G16", "168G¹⁶"), =HYPERLINK("CSG8.html#group84G8", "84G⁸"), =HYPERLINK("CSG16.html#group84G16", "84G¹⁶"), =HYPERLINK("CSG19.html#group84B19", "84B¹⁹"), =HYPERLINK("CSG16.html#group70H16", "70H¹⁶"), =HYPERLINK("CSG20.html#group126B20", "126B²⁰"), =HYPERLINK("CSG11.html#group140C11", "140C¹¹"), =HYPERLINK("CSG15.html#group56A15", "56A¹⁵"), =HYPERLINK("CSG23.html#group168L23", "168L²³"), =HYPERLINK("CSG23.html#group56L23", "56L²³"), =HYPERLINK("CSG14.html#group21A14", "21A¹⁴"), =HYPERLINK("CSG13.html#group42K13", "42K¹³"), =HYPERLINK("CSG10.html#group168E10", "168E¹⁰"), =HYPERLINK("CSG21.html#group280B21", "280B²¹"), =HYPERLINK("CSG19.html#group224A19", "224A¹⁹"), =HYPERLINK("CSG7.html#group42L7", "42L⁷"), =HYPERLINK("CSG10.html#group112A10", "112A¹⁰"), =HYPERLINK("CSG21.html#group70D21", "70D²¹"), =HYPERLINK("CSG18.html#group84A18", "84A¹⁸"), =HYPERLINK("CSG1.html#group28A1", "28A¹"), =HYPERLINK("CSG22.html#group105C22", "105C²²"), =HYPERLINK("CSG9.html#group28C9", "28C⁹"), =HYPERLINK("CSG3.html#group42C3", "42C³"), =HYPERLINK("CSG21.html#group70E21", "70E²¹"), =HYPERLINK("CSG17.html#group140A17", "140A¹⁷"), =HYPERLINK("CSG16.html#group28B16", "28B¹⁶"), =HYPERLINK("CSG19.html#group63C19", "63C¹⁹"), =HYPERLINK("CSG24.html#group112H24", "112H²⁴"), =HYPERLINK("CSG6.html#group28B6", "28B⁶"), =HYPERLINK("CSG18.html#group168C18", "168C¹⁸"), =HYPERLINK("CSG19.html#group84C19", "84C¹⁹"), =HYPERLINK("CSG24.html#group126D24", "126D²⁴"), =HYPERLINK("CSG17.html#group42F17", "42F¹⁷"), =HYPERLINK("CSG4.html#group77A4", "77A⁴"), =HYPERLINK("CSG23.html#group56D23", "56D²³"), =HYPERLINK("CSG14.html#group42E14", "42E¹⁴"), =HYPERLINK("CSG22.html#group98A22", "98A²²"), =HYPERLINK("CSG17.html#group126G17", "126G¹⁷"), =HYPERLINK("CSG9.html#group154A9", "154A⁹"), =HYPERLINK("CSG17.html#group84N17", "84N¹⁷"), =HYPERLINK("CSG14.html#group56F14", "56F¹⁴"), =HYPERLINK("CSG7.html#group42I7", "42I⁷"), =HYPERLINK("CSG21.html#group28B21", "28B²¹"), =HYPERLINK("CSG20.html#group84F20", "84F²⁰"), =HYPERLINK("CSG11.html#group14A11", "14A¹¹"), =HYPERLINK("CSG17.html#group84I17", "84I¹⁷"), =HYPERLINK("CSG24.html#group168F24", "168F²⁴"), =HYPERLINK("CSG11.html#group56J11", "56J¹¹"), =HYPERLINK("CSG11.html#group21C11", "21C¹¹"), =HYPERLINK("CSG20.html#group168C20", "168C²⁰"), =HYPERLINK("CSG3.html#group14F3", "14F³"), =HYPERLINK("CSG12.html#group42C12", "42C¹²"), =HYPERLINK("CSG18.html#group126J18", "126J¹⁸"), =HYPERLINK("CSG22.html#group42B22", "42B²²"), =HYPERLINK("CSG2.html#group35C2", "35C²"), =HYPERLINK("CSG24.html#group112Y24", "112Y²⁴"), =HYPERLINK("CSG21.html#group21A21", "21A²¹"), =HYPERLINK("CSG15.html#group35D15", "35D¹⁵"), =HYPERLINK("CSG21.html#group126G21", "126G²¹"), =HYPERLINK("CSG23.html#group154B23", "154B²³"), =HYPERLINK("CSG17.html#group210A17", "210A¹⁷"), =HYPERLINK("CSG11.html#group42D11", "42D¹¹"), =HYPERLINK("CSG23.html#group112I23", "112I²³"), =HYPERLINK("CSG7.html#group42K7", "42K⁷"), =HYPERLINK("CSG16.html#group28C16", "28C¹⁶"), =HYPERLINK("CSG21.html#group126B21", "126B²¹"), =HYPERLINK("CSG10.html#group21B10", "21B¹⁰"), =HYPERLINK("CSG1.html#group7C1", "7C¹"), =HYPERLINK("CSG5.html#group28A5", "28A⁵"), =HYPERLINK("CSG11.html#group84D11", "84D¹¹"), =HYPERLINK("CSG12.html#group63A12", "63A¹²"), =HYPERLINK("CSG14.html#group175A14", "175A¹⁴"), =HYPERLINK("CSG3.html#group14D3", "14D³"), =HYPERLINK("CSG21.html#group70H21", "70H²¹"), =HYPERLINK("CSG11.html#group112E11", "112E¹¹"), =HYPERLINK("CSG22.html#group56E22", "56E²²"), =HYPERLINK("CSG16.html#group168D16", "168D¹⁶"), =HYPERLINK("CSG19.html#group63B19", "63B¹⁹"), =HYPERLINK("CSG18.html#group42B18", "42B¹⁸"), =HYPERLINK("CSG6.html#group28A6", "28A⁶"), =HYPERLINK("CSG7.html#group28B7", "28B⁷"), =HYPERLINK("CSG18.html#group42A18", "42A¹⁸"), =HYPERLINK("CSG8.html#group35C8", "35C⁸"), =HYPERLINK("CSG22.html#group168Q22", "168Q²²"), =HYPERLINK("CSG9.html#group28A9", "28A⁹"), =HYPERLINK("CSG23.html#group42G23", "42G²³"), =HYPERLINK("CSG16.html#group168C16", "168C¹⁶"), =HYPERLINK("CSG13.html#group126J13", "126J¹³"), =HYPERLINK("CSG10.html#group77A10", "77A¹⁰"), =HYPERLINK("CSG12.html#group154A12", "154A¹²"), =HYPERLINK("CSG21.html#group21B21", "21B²¹"), =HYPERLINK("CSG16.html#group210H16", "210H¹⁶"), =HYPERLINK("CSG13.html#group42B13", "42B¹³"), =HYPERLINK("CSG14.html#group112B14", "112B¹⁴"), =HYPERLINK("CSG16.html#group210A16", "210A¹⁶"), =HYPERLINK("CSG15.html#group210B15", "210B¹⁵"), =HYPERLINK("CSG23.html#group140E23", "140E²³"), =HYPERLINK("CSG23.html#group112K23", "112K²³"), =HYPERLINK("CSG19.html#group273A19", "273A¹⁹"), =HYPERLINK("CSG3.html#group28A3", "28A³"), =HYPERLINK("CSG10.html#group168B10", "168B¹⁰"), =HYPERLINK("CSG10.html#group56C10", "56C¹⁰"), =HYPERLINK("CSG23.html#group56N23", "56N²³"), =HYPERLINK("CSG18.html#group84B18", "84B¹⁸"), =HYPERLINK("CSG18.html#group189A18", "189A¹⁸"), =HYPERLINK("CSG7.html#group84C7", "84C⁷"), =HYPERLINK("CSG0.html#group7C0", "7C⁰"), =HYPERLINK("CSG4.html#group42D4", "42D⁴"), =HYPERLINK("CSG3.html#group42A3", "42A³"), =HYPERLINK("CSG21.html#group84O21", "84O²¹"), =HYPERLINK("CSG15.html#group56C15", "56C¹⁵"), =HYPERLINK("CSG15.html#group56B15", "56B¹⁵"), =HYPERLINK("CSG15.html#group28C15", "28C¹⁵"), =HYPERLINK("CSG14.html#group70B14", "70B¹⁴"), =HYPERLINK("CSG23.html#group140F23", "140F²³"), =HYPERLINK("CSG6.html#group84B6", "84B⁶"), =HYPERLINK("CSG13.html#group210A13", "210A¹³"), =HYPERLINK("CSG23.html#group42F23", "42F²³"), =HYPERLINK("CSG24.html#group42A24", "42A²⁴"), =HYPERLINK("CSG14.html#group126B14", "126B¹⁴"), =HYPERLINK("CSG9.html#group42B9", "42B⁹"), =HYPERLINK("CSG12.html#group56G12", "56G¹²"), =HYPERLINK("CSG13.html#group14C13", "14C¹³"), =HYPERLINK("CSG24.html#group210B24", "210B²⁴"), =HYPERLINK("CSG24.html#group56A24", "56A²⁴"), =HYPERLINK("CSG9.html#group63B9", "63B⁹"), =HYPERLINK("CSG16.html#group210B16", "210B¹⁶"), =HYPERLINK("CSG23.html#group28D23", "28D²³"), =HYPERLINK("CSG24.html#group126B24", "126B²⁴"), =HYPERLINK("CSG3.html#group7A3", "7A³"), =HYPERLINK("CSG15.html#group84I15", "84I¹⁵"), =HYPERLINK("CSG23.html#group112G23", "112G²³"), =HYPERLINK("CSG18.html#group42C18", "42C¹⁸"), =HYPERLINK("CSG17.html#group126E17", "126E¹⁷"), =HYPERLINK("CSG14.html#group126F14", "126F¹⁴"), =HYPERLINK("CSG10.html#group168H10", "168H¹⁰"), =HYPERLINK("CSG10.html#group84F10", "84F¹⁰"), =HYPERLINK("CSG13.html#group126K13", "126K¹³"), =HYPERLINK("CSG20.html#group126C20", "126C²⁰"), =HYPERLINK("CSG23.html#group56M23", "56M²³"), =HYPERLINK("CSG9.html#group14B9", "14B⁹"), =HYPERLINK("CSG18.html#group210G18", "210G¹⁸"), =HYPERLINK("CSG1.html#group21C1", "21C¹"), =HYPERLINK("CSG19.html#group49B19", "49B¹⁹"), =HYPERLINK("CSG19.html#group84L19", "84L¹⁹"), =HYPERLINK("CSG24.html#group224A24", "224A²⁴"), =HYPERLINK("CSG6.html#group91A6", "91A⁶"), =HYPERLINK("CSG14.html#group112C14", "112C¹⁴"), =HYPERLINK("CSG13.html#group70A13", "70A¹³"), =HYPERLINK("CSG24.html#group224C24", "224C²⁴"), =HYPERLINK("CSG21.html#group21C21", "21C²¹"), =HYPERLINK("CSG24.html#group336I24", "336I²⁴"), =HYPERLINK("CSG16.html#group126D16", "126D¹⁶"), =HYPERLINK("CSG19.html#group49A19", "49A¹⁹"), =HYPERLINK("CSG12.html#group91A12", "91A¹²"), =HYPERLINK("CSG24.html#group168H24", "168H²⁴"), =HYPERLINK("CSG17.html#group21B17", "21B¹⁷"), =HYPERLINK("CSG15.html#group21B15", "21B¹⁵"), =HYPERLINK("CSG16.html#group126C16", "126C¹⁶"), =HYPERLINK("CSG24.html#group98A24", "98A²⁴"), =HYPERLINK("CSG16.html#group175C16", "175C¹⁶"), =HYPERLINK("CSG24.html#group112V24", "112V²⁴"), =HYPERLINK("CSG14.html#group56G14", "56G¹⁴"), =HYPERLINK("CSG21.html#group84M21", "84M²¹"), =HYPERLINK("CSG1.html#group14D1", "14D¹"), =HYPERLINK("CSG15.html#group42H15", "42H¹⁵"), =HYPERLINK("CSG16.html#group84D16", "84D¹⁶"), =HYPERLINK("CSG6.html#group70A6", "70A⁶"), =HYPERLINK("CSG20.html#group126D20", "126D²⁰"), =HYPERLINK("CSG19.html#group189A19", "189A¹⁹"), =HYPERLINK("CSG16.html#group140B16", "140B¹⁶"), =HYPERLINK("CSG13.html#group126B13", "126B¹³"), =HYPERLINK("CSG23.html#group224A23", "224A²³"), =HYPERLINK("CSG7.html#group56E7", "56E⁷"), =HYPERLINK("CSG22.html#group168L22", "168L²²"), =HYPERLINK("CSG17.html#group84B17", "84B¹⁷"), =HYPERLINK("CSG10.html#group42A10", "42A¹⁰"), =HYPERLINK("CSG9.html#group84A9", "84A⁹"), =HYPERLINK("CSG17.html#group70A17", "70A¹⁷"), =HYPERLINK("CSG19.html#group63A19", "63A¹⁹"), =HYPERLINK("CSG1.html#group7A1", "7A¹"), =HYPERLINK("CSG0.html#group7F0", "7F⁰"), =HYPERLINK("CSG21.html#group56B21", "56B²¹"), =HYPERLINK("CSG3.html#group14C3", "14C³"), =HYPERLINK("CSG13.html#group42A13", "42A¹³"), =HYPERLINK("CSG19.html#group42F19", "42F¹⁹"), =HYPERLINK("CSG13.html#group105C13", "105C¹³"), =HYPERLINK("CSG15.html#group56H15", "56H¹⁵"), =HYPERLINK("CSG24.html#group63B24", "63B²⁴"), =HYPERLINK("CSG24.html#group56I24", "56I²⁴"), =HYPERLINK("CSG7.html#group63D7", "63D⁷"), =HYPERLINK("CSG8.html#group126D8", "126D⁸"), =HYPERLINK("CSG18.html#group63G18", "63G¹⁸"), =HYPERLINK("CSG8.html#group84D8", "84D⁸"), =HYPERLINK("CSG21.html#group28E21", "28E²¹"), =HYPERLINK("CSG12.html#group154B12", "154B¹²"), =HYPERLINK("CSG23.html#group56E23", "56E²³"), =HYPERLINK("CSG12.html#group56A12", "56A¹²"), =HYPERLINK("CSG13.html#group42D13", "42D¹³"), =HYPERLINK("CSG2.html#group14B2", "14B²"), =HYPERLINK("CSG22.html#group182A22", "182A²²"), =HYPERLINK("CSG10.html#group56B10", "56B¹⁰"), =HYPERLINK("CSG13.html#group42C13", "42C¹³"), =HYPERLINK("CSG24.html#group168E24", "168E²⁴"), =HYPERLINK("CSG8.html#group84I8", "84I⁸"), =HYPERLINK("CSG19.html#group28A19", "28A¹⁹"), =HYPERLINK("CSG6.html#group56H6", "56H⁶"), =HYPERLINK("CSG11.html#group70D11", "70D¹¹"), =HYPERLINK("CSG10.html#group56D10", "56D¹⁰"), =HYPERLINK("CSG16.html#group70B16", "70B¹⁶"), =HYPERLINK("CSG16.html#group42A16", "42A¹⁶"), =HYPERLINK("CSG23.html#group112L23", "112L²³"), =HYPERLINK("CSG23.html#group112E23", "112E²³"), =HYPERLINK("CSG8.html#group126A8", "126A⁸"), =HYPERLINK("CSG21.html#group35A21", "35A²¹"), =HYPERLINK("CSG8.html#group126C8", "126C⁸"), =HYPERLINK("CSG14.html#group105C14", "105C¹⁴"), =HYPERLINK("CSG2.html#group21B2", "21B²"), =HYPERLINK("CSG17.html#group154B17", "154B¹⁷"), =HYPERLINK("CSG6.html#group56B6", "56B⁶"), =HYPERLINK("CSG19.html#group63E19", "63E¹⁹"), =HYPERLINK("CSG7.html#group42A7", "42A⁷"), =HYPERLINK("CSG19.html#group28B19", "28B¹⁹"), =HYPERLINK("CSG7.html#group21A7", "21A⁷"), =HYPERLINK("CSG5.html#group42D5", "42D⁵"), =HYPERLINK("CSG3.html#group56C3", "56C³"), =HYPERLINK("CSG24.html#group84D24", "84D²⁴"), =HYPERLINK("CSG19.html#group35C19", "35C¹⁹"), =HYPERLINK("CSG24.html#group336G24", "336G²⁴"), =HYPERLINK("CSG13.html#group231B13", "231B¹³"), =HYPERLINK("CSG18.html#group126K18", "126K¹⁸"), =HYPERLINK("CSG11.html#group56G11", "56G¹¹"), =HYPERLINK("CSG16.html#group28E16", "28E¹⁶"), =HYPERLINK("CSG15.html#group182A15", "182A¹⁵"), =HYPERLINK("CSG21.html#group126D21", "126D²¹"), =HYPERLINK("CSG22.html#group56I22", "56I²²"), =HYPERLINK("CSG14.html#group126E14", "126E¹⁴"), =HYPERLINK("CSG20.html#group84H20", "84H²⁰"), =HYPERLINK("CSG7.html#group126A7", "126A⁷"), =HYPERLINK("CSG13.html#group35A13", "35A¹³"), =HYPERLINK("CSG24.html#group42B24", "42B²⁴"), =HYPERLINK("CSG1.html#group14A1", "14A¹"), =HYPERLINK("CSG0.html#group21A0", "21A⁰"), =HYPERLINK("CSG8.html#group70B8", "70B⁸"), =HYPERLINK("CSG13.html#group56M13", "56M¹³"), =HYPERLINK("CSG5.html#group70B5", "70B⁵"), =HYPERLINK("CSG17.html#group28B17", "28B¹⁷"), =HYPERLINK("CSG20.html#group168D20", "168D²⁰"), =HYPERLINK("CSG5.html#group28C5", "28C⁵"), =HYPERLINK("CSG19.html#group168C19", "168C¹⁹"), =HYPERLINK("CSG21.html#group63D21", "63D²¹"), =HYPERLINK("CSG17.html#group63A17", "63A¹⁷"), =HYPERLINK("CSG23.html#group42A23", "42A²³"), =HYPERLINK("CSG5.html#group126A5", "126A⁵"), =HYPERLINK("CSG3.html#group21C3", "21C³"), =HYPERLINK("CSG10.html#group84E10", "84E¹⁰"), =HYPERLINK("CSG7.html#group63A7", "63A⁷"), =HYPERLINK("CSG13.html#group35C13", "35C¹³"), =HYPERLINK("CSG13.html#group56E13", "56E¹³"), =HYPERLINK("CSG21.html#group189A21", "189A²¹"), =HYPERLINK("CSG23.html#group42K23", "42K²³"), =HYPERLINK("CSG19.html#group126D19", "126D¹⁹"), =HYPERLINK("CSG22.html#group63B22", "63B²²"), =HYPERLINK("CSG19.html#group42B19", "42B¹⁹"), =HYPERLINK("CSG19.html#group28C19", "28C¹⁹"), =HYPERLINK("CSG24.html#group56B24", "56B²⁴"), =HYPERLINK("CSG5.html#group70A5", "70A⁵"), =HYPERLINK("CSG7.html#group35A7", "35A⁷"), =HYPERLINK("CSG13.html#group84B13", "84B¹³"), =HYPERLINK("CSG19.html#group238B19", "238B¹⁹"), =HYPERLINK("CSG11.html#group112C11", "112C¹¹"), =HYPERLINK("CSG24.html#group112A24", "112A²⁴"), =HYPERLINK("CSG12.html#group112D12", "112D¹²"), =HYPERLINK("CSG15.html#group21A15", "21A¹⁵"), =HYPERLINK("CSG19.html#group84D19", "84D¹⁹"), =HYPERLINK("CSG23.html#group126L23", "126L²³"), =HYPERLINK("CSG12.html#group126J12", "126J¹²"), =HYPERLINK("CSG22.html#group56F22", "56F²²"), =HYPERLINK("CSG18.html#group84H18", "84H¹⁸"), =HYPERLINK("CSG19.html#group119A19", "119A¹⁹"), =HYPERLINK("CSG10.html#group140A10", "140A¹⁰"), =HYPERLINK("CSG3.html#group56A3", "56A³"), =HYPERLINK("CSG11.html#group21B11", "21B¹¹"), =HYPERLINK("CSG23.html#group42C23", "42C²³"), =HYPERLINK("CSG17.html#group84E17", "84E¹⁷"), =HYPERLINK("CSG7.html#group14C7", "14C⁷"), =HYPERLINK("CSG21.html#group112A21", "112A²¹"), =HYPERLINK("CSG17.html#group70C17", "70C¹⁷"), =HYPERLINK("CSG15.html#group84H15", "84H¹⁵"), =HYPERLINK("CSG16.html#group28D16", "28D¹⁶"), =HYPERLINK("CSG14.html#group42C14", "42C¹⁴"), =HYPERLINK("CSG21.html#group28H21", "28H²¹"), =HYPERLINK("CSG15.html#group70C15", "70C¹⁵"), =HYPERLINK("CSG19.html#group42H19", "42H¹⁹"), =HYPERLINK("CSG19.html#group42I19", "42I¹⁹"), =HYPERLINK("CSG17.html#group28C17", "28C¹⁷"), =HYPERLINK("CSG18.html#group63A18", "63A¹⁸"), =HYPERLINK("CSG22.html#group168J22", "168J²²"), =HYPERLINK("CSG5.html#group14A5", "14A⁵"), =HYPERLINK("CSG13.html#group231A13", "231A¹³"), =HYPERLINK("CSG4.html#group35B4", "35B⁴"), =HYPERLINK("CSG12.html#group112F12", "112F¹²"), =HYPERLINK("CSG19.html#group63D19", "63D¹⁹"), =HYPERLINK("CSG16.html#group70F16", "70F¹⁶"), =HYPERLINK("CSG23.html#group112B23", "112B²³"), =HYPERLINK("CSG21.html#group28G21", "28G²¹"), =HYPERLINK("CSG24.html#group112C24", "112C²⁴"), =HYPERLINK("CSG24.html#group56M24", "56M²⁴"), =HYPERLINK("CSG22.html#group168N22", "168N²²"), =HYPERLINK("CSG13.html#group70D13", "70D¹³"), =HYPERLINK("CSG17.html#group84K17", "84K¹⁷"), =HYPERLINK("CSG19.html#group42C19", "42C¹⁹"), =HYPERLINK("CSG21.html#group70I21", "70I²¹"), =HYPERLINK("CSG22.html#group56A22", "56A²²"), =HYPERLINK("CSG2.html#group14C2", "14C²"), =HYPERLINK("CSG6.html#group63B6", "63B⁶"), =HYPERLINK("CSG21.html#group56C21", "56C²¹"), =HYPERLINK("CSG19.html#group70D19", "70D¹⁹"), =HYPERLINK("CSG24.html#group112N24", "112N²⁴"), =HYPERLINK("CSG11.html#group140A11", "140A¹¹"), =HYPERLINK("CSG11.html#group140E11", "140E¹¹"), =HYPERLINK("CSG23.html#group112D23", "112D²³"), =HYPERLINK("CSG14.html#group105D14", "105D¹⁴"), =HYPERLINK("CSG11.html#group28A11", "28A¹¹"), =HYPERLINK("CSG23.html#group42H23", "42H²³"), =HYPERLINK("CSG20.html#group273A20", "273A²⁰"), =HYPERLINK("CSG9.html#group35B9", "35B⁹"), =HYPERLINK("CSG23.html#group42B23", "42B²³"), =HYPERLINK("CSG14.html#group182A14", "182A¹⁴"), =HYPERLINK("CSG21.html#group238B21", "238B²¹"), =HYPERLINK("CSG17.html#group70I17", "70I¹⁷"), =HYPERLINK("CSG14.html#group35D14", "35D¹⁴"), =HYPERLINK("CSG16.html#group42I16", "42I¹⁶"), =HYPERLINK("CSG11.html#group56D11", "56D¹¹"), =HYPERLINK("CSG11.html#group21A11", "21A¹¹"), =HYPERLINK("CSG7.html#group77A7", "77A⁷"), =HYPERLINK("CSG24.html#group63E24", "63E²⁴"), =HYPERLINK("CS</f>
        <v/>
      </c>
    </row>
    <row r="38">
      <c r="A38" t="inlineStr">
        <is>
          <t>7B⁰</t>
        </is>
      </c>
      <c r="B38" t="inlineStr">
        <is>
          <t>Γ₀(7)</t>
        </is>
      </c>
      <c r="C38" t="inlineStr">
        <is>
          <t>8</t>
        </is>
      </c>
      <c r="D38" t="inlineStr">
        <is>
          <t>1</t>
        </is>
      </c>
      <c r="E38" t="inlineStr">
        <is>
          <t>8</t>
        </is>
      </c>
      <c r="F38" t="inlineStr">
        <is>
          <t>0</t>
        </is>
      </c>
      <c r="G38" t="inlineStr">
        <is>
          <t>2</t>
        </is>
      </c>
      <c r="H38" t="inlineStr">
        <is>
          <t>1¹, 7¹</t>
        </is>
      </c>
      <c r="I38" t="n">
        <v>2</v>
      </c>
      <c r="J38" t="inlineStr">
        <is>
          <t>1², 6¹</t>
        </is>
      </c>
      <c r="K38">
        <f>HYPERLINK("CSG0.html#group1A0", "1A⁰")</f>
        <v/>
      </c>
      <c r="L38">
        <f>HYPERLINK("CSG0.html#group7E0", "7E⁰"), =HYPERLINK("CSG0.html#group14B0", "14B⁰"), =HYPERLINK("CSG1.html#group7B1", "7B¹"), =HYPERLINK("CSG1.html#group14C1", "14C¹"), =HYPERLINK("CSG1.html#group21A1", "21A¹"), =HYPERLINK("CSG1.html#group21B1", "21B¹"), =HYPERLINK("CSG1.html#group49A1", "49A¹"), =HYPERLINK("CSG2.html#group21A2", "21A²"), =HYPERLINK("CSG2.html#group28A2", "28A²"), =HYPERLINK("CSG2.html#group35B2", "35B²"), =HYPERLINK("CSG3.html#group35A3", "35A³"), =HYPERLINK("CSG5.html#group35A5", "35A⁵"), =HYPERLINK("CSG6.html#group77A6", "77A⁶"), =HYPERLINK("CSG7.html#group77B7", "77B⁷"), =HYPERLINK("CSG7.html#group91A7", "91A⁷"), =HYPERLINK("CSG11.html#group119A11", "119A¹¹"), =HYPERLINK("CSG11.html#group133B11", "133B¹¹"), =HYPERLINK("CSG14.html#group63A14", "63A¹⁴"), =HYPERLINK("CSG15.html#group161A15", "161A¹⁵"), =HYPERLINK("CSG19.html#group203A19", "203A¹⁹"), =HYPERLINK("CSG19.html#group217A19", "217A¹⁹"), =HYPERLINK("CSG23.html#group259A23", "259A²³")</f>
        <v/>
      </c>
      <c r="M38">
        <f>HYPERLINK("CSG0.html#group1A0", "1A⁰")</f>
        <v/>
      </c>
      <c r="N38">
        <f>HYPERLINK("CSG23.html#group168D23", "168D²³"), =HYPERLINK("CSG15.html#group126D15", "126D¹⁵"), =HYPERLINK("CSG21.html#group21C21", "21C²¹"), =HYPERLINK("CSG15.html#group175A15", "175A¹⁵"), =HYPERLINK("CSG7.html#group35B7", "35B⁷"), =HYPERLINK("CSG9.html#group63E9", "63E⁹"), =HYPERLINK("CSG17.html#group70J17", "70J¹⁷"), =HYPERLINK("CSG21.html#group154A21", "154A²¹"), =HYPERLINK("CSG15.html#group35B15", "35B¹⁵"), =HYPERLINK("CSG23.html#group140C23", "140C²³"), =HYPERLINK("CSG23.html#group91B23", "91B²³"), =HYPERLINK("CSG2.html#group14D2", "14D²"), =HYPERLINK("CSG15.html#group154B15", "154B¹⁵"), =HYPERLINK("CSG11.html#group147A11", "147A¹¹"), =HYPERLINK("CSG21.html#group70F21", "70F²¹"), =HYPERLINK("CSG22.html#group84K22", "84K²²"), =HYPERLINK("CSG9.html#group63C9", "63C⁹"), =HYPERLINK("CSG12.html#group140A12", "140A¹²"), =HYPERLINK("CSG2.html#group28A2", "28A²"), =HYPERLINK("CSG23.html#group210J23", "210J²³"), =HYPERLINK("CSG8.html#group84A8", "84A⁸"), =HYPERLINK("CSG13.html#group126F13", "126F¹³"), =HYPERLINK("CSG15.html#group84B15", "84B¹⁵"), =HYPERLINK("CSG13.html#group84F13", "84F¹³"), =HYPERLINK("CSG17.html#group28A17", "28A¹⁷"), =HYPERLINK("CSG7.html#group56C7", "56C⁷"), =HYPERLINK("CSG13.html#group56J13", "56J¹³"), =HYPERLINK("CSG10.html#group84D10", "84D¹⁰"), =HYPERLINK("CSG15.html#group35C15", "35C¹⁵"), =HYPERLINK("CSG21.html#group28E21", "28E²¹"), =HYPERLINK("CSG23.html#group126F23", "126F²³"), =HYPERLINK("CSG15.html#group84D15", "84D¹⁵"), =HYPERLINK("CSG15.html#group126A15", "126A¹⁵"), =HYPERLINK("CSG12.html#group126D12", "126D¹²"), =HYPERLINK("CSG23.html#group84J23", "84J²³"), =HYPERLINK("CSG11.html#group28F11", "28F¹¹"), =HYPERLINK("CSG21.html#group189B21", "189B²¹"), =HYPERLINK("CSG10.html#group84C10", "84C¹⁰"), =HYPERLINK("CSG21.html#group112E21", "112E²¹"), =HYPERLINK("CSG13.html#group126H13", "126H¹³"), =HYPERLINK("CSG11.html#group84H11", "84H¹¹"), =HYPERLINK("CSG23.html#group140D23", "140D²³"), =HYPERLINK("CSG21.html#group168D21", "168D²¹"), =HYPERLINK("CSG6.html#group28E6", "28E⁶"), =HYPERLINK("CSG9.html#group56A9", "56A⁹"), =HYPERLINK("CSG22.html#group168A22", "168A²²"), =HYPERLINK("CSG13.html#group126E13", "126E¹³"), =HYPERLINK("CSG20.html#group168F20", "168F²⁰"), =HYPERLINK("CSG14.html#group56A14", "56A¹⁴"), =HYPERLINK("CSG17.html#group63G17", "63G¹⁷"), =HYPERLINK("CSG21.html#group56L21", "56L²¹"), =HYPERLINK("CSG19.html#group49C19", "49C¹⁹"), =HYPERLINK("CSG2.html#group21A2", "21A²"), =HYPERLINK("CSG8.html#group35B8", "35B⁸"), =HYPERLINK("CSG9.html#group21D9", "21D⁹"), =HYPERLINK("CSG13.html#group196A13", "196A¹³"), =HYPERLINK("CSG10.html#group42D10", "42D¹⁰"), =HYPERLINK("CSG12.html#group126C12", "126C¹²"), =HYPERLINK("CSG19.html#group63G19", "63G¹⁹"), =HYPERLINK("CSG13.html#group28A13", "28A¹³"), =HYPERLINK("CSG4.html#group63A4", "63A⁴"), =HYPERLINK("CSG13.html#group56H13", "56H¹³"), =HYPERLINK("CSG21.html#group168C21", "168C²¹"), =HYPERLINK("CSG12.html#group112H12", "112H¹²"), =HYPERLINK("CSG23.html#group210B23", "210B²³"), =HYPERLINK("CSG11.html#group42H11", "42H¹¹"), =HYPERLINK("CSG23.html#group126C23", "126C²³"), =HYPERLINK("CSG19.html#group42O19", "42O¹⁹"), =HYPERLINK("CSG13.html#group63C13", "63C¹³"), =HYPERLINK("CSG23.html#group56P23", "56P²³"), =HYPERLINK("CSG3.html#group42D3", "42D³"), =HYPERLINK("CSG13.html#group84K13", "84K¹³"), =HYPERLINK("CSG16.html#group63F16", "63F¹⁶"), =HYPERLINK("CSG23.html#group42A23", "42A²³"), =HYPERLINK("CSG19.html#group56B19", "56B¹⁹"), =HYPERLINK("CSG21.html#group126S21", "126S²¹"), =HYPERLINK("CSG22.html#group84G22", "84G²²"), =HYPERLINK("CSG4.html#group28D4", "28D⁴"), =HYPERLINK("CSG15.html#group154A15", "154A¹⁵"), =HYPERLINK("CSG9.html#group28G9", "28G⁹"), =HYPERLINK("CSG23.html#group126A23", "126A²³"), =HYPERLINK("CSG21.html#group126L21", "126L²¹"), =HYPERLINK("CSG8.html#group140A8", "140A⁸"), =HYPERLINK("CSG22.html#group84J22", "84J²²"), =HYPERLINK("CSG23.html#group84H23", "84H²³"), =HYPERLINK("CSG21.html#group84D21", "84D²¹"), =HYPERLINK("CSG23.html#group112U23", "112U²³"), =HYPERLINK("CSG19.html#group63K19", "63K¹⁹"), =HYPERLINK("CSG16.html#group63A16", "63A¹⁶"), =HYPERLINK("CSG18.html#group70C18", "70C¹⁸"), =HYPERLINK("CSG21.html#group126O21", "126O²¹"), =HYPERLINK("CSG13.html#group56K13", "56K¹³"), =HYPERLINK("CSG3.html#group35A3", "35A³"), =HYPERLINK("CSG16.html#group168A16", "168A¹⁶"), =HYPERLINK("CSG5.html#group42I5", "42I⁵"), =HYPERLINK("CSG19.html#group42N19", "42N¹⁹"), =HYPERLINK("CSG0.html#group28A0", "28A⁰"), =HYPERLINK("CSG19.html#group63L19", "63L¹⁹"), =HYPERLINK("CSG18.html#group210B18", "210B¹⁸"), =HYPERLINK("CSG7.html#group14C7", "14C⁷"), =HYPERLINK("CSG23.html#group168B23", "168B²³"), =HYPERLINK("CSG23.html#group168A23", "168A²³"), =HYPERLINK("CSG21.html#group63B21", "63B²¹"), =HYPERLINK("CSG23.html#group56W23", "56W²³"), =HYPERLINK("CSG24.html#group252A24", "252A²⁴"), =HYPERLINK("CSG8.html#group35A8", "35A⁸"), =HYPERLINK("CSG24.html#group252C24", "252C²⁴"), =HYPERLINK("CSG23.html#group252A23", "252A²³"), =HYPERLINK("CSG1.html#group21F1", "21F¹"), =HYPERLINK("CSG22.html#group168C22", "168C²²"), =HYPERLINK("CSG5.html#group63A5", "63A⁵"), =HYPERLINK("CSG17.html#group189B17", "189B¹⁷"), =HYPERLINK("CSG15.html#group28B15", "28B¹⁵"), =HYPERLINK("CSG23.html#group84I23", "84I²³"), =HYPERLINK("CSG22.html#group168D22", "168D²²"), =HYPERLINK("CSG21.html#group147B21", "147B²¹"), =HYPERLINK("CSG15.html#group112D15", "112D¹⁵"), =HYPERLINK("CSG15.html#group161A15", "161A¹⁵"), =HYPERLINK("CSG21.html#group84F21", "84F²¹"), =HYPERLINK("CSG19.html#group140H19", "140H¹⁹"), =HYPERLINK("CSG16.html#group210G16", "210G¹⁶"), =HYPERLINK("CSG21.html#group84H21", "84H²¹"), =HYPERLINK("CSG11.html#group126B11", "126B¹¹"), =HYPERLINK("CSG20.html#group84M20", "84M²⁰"), =HYPERLINK("CSG17.html#group84Q17", "84Q¹⁷"), =HYPERLINK("CSG0.html#group14C0", "14C⁰"), =HYPERLINK("CSG19.html#group70H19", "70H¹⁹"), =HYPERLINK("CSG11.html#group119A11", "119A¹¹"), =HYPERLINK("CSG13.html#group84G13", "84G¹³"), =HYPERLINK("CSG6.html#group56E6", "56E⁶"), =HYPERLINK("CSG15.html#group112C15", "112C¹⁵"), =HYPERLINK("CSG6.html#group77A6", "77A⁶"), =HYPERLINK("CSG23.html#group238A23", "238A²³"), =HYPERLINK("CSG23.html#group252B23", "252B²³"), =HYPERLINK("CSG10.html#group42G10", "42G¹⁰"), =HYPERLINK("CSG16.html#group84K16", "84K¹⁶"), =HYPERLINK("CSG5.html#group98A5", "98A⁵"), =HYPERLINK("CSG15.html#group140B15", "140B¹⁵"), =HYPERLINK("CSG23.html#group294B23", "294B²³"), =HYPERLINK("CSG23.html#group238B23", "238B²³"), =HYPERLINK("CSG17.html#group196A17", "196A¹⁷"), =HYPERLINK("CSG21.html#group84B21", "84B²¹"), =HYPERLINK("CSG6.html#group35D6", "35D⁶"), =HYPERLINK("CSG5.html#group63B5", "63B⁵"), =HYPERLINK("CSG8.html#group105B8", "105B⁸"), =HYPERLINK("CSG20.html#group84N20", "84N²⁰"), =HYPERLINK("CSG19.html#group175C19", "175C¹⁹"), =HYPERLINK("CSG21.html#group28M21", "28M²¹"), =HYPERLINK("CSG19.html#group35A19", "35A¹⁹"), =HYPERLINK("CSG21.html#group126P21", "126P²¹"), =HYPERLINK("CSG11.html#group56Q11", "56Q¹¹"), =HYPERLINK("CSG20.html#group84J20", "84J²⁰"), =HYPERLINK("CSG21.html#group105F21", "105F²¹"), =HYPERLINK("CSG19.html#group70F19", "70F¹⁹"), =HYPERLINK("CSG23.html#group42B23", "42B²³"), =HYPERLINK("CSG3.html#group21D3", "21D³"), =HYPERLINK("CSG21.html#group105D21", "105D²¹"), =HYPERLINK("CSG19.html#group98A19", "98A¹⁹"), =HYPERLINK("CSG23.html#group112Q23", "112Q²³"), =HYPERLINK("CSG11.html#group21A11", "21A¹¹"), =HYPERLINK("CSG19.html#group175D19", "175D¹⁹"), =HYPERLINK("CSG11.html#group84A11", "84A¹¹"), =HYPERLINK("CSG13.html#group56I13", "56I¹³"), =HYPERLINK("CSG22.html#group168B22", "168B²²"), =HYPERLINK("CSG11.html#group84B11", "84B¹¹"), =HYPERLINK("CSG10.html#group28C10", "28C¹⁰"), =HYPERLINK("CSG15.html#group126E15", "126E¹⁵"), =HYPERLINK("CSG11.html#group112J11", "112J¹¹"), =HYPERLINK("CSG19.html#group203A19", "203A¹⁹"), =HYPERLINK("CSG18.html#group140A18", "140A¹⁸"), =HYPERLINK("CSG23.html#group168F23", "168F²³"), =HYPERLINK("CSG11.html#group70C11", "70C¹¹"), =HYPERLINK("CSG23.html#group140A23", "140A²³"), =HYPERLINK("CSG15.html#group112L15", "112L¹⁵"), =HYPERLINK("CSG23.html#group210G23", "210G²³"), =HYPERLINK("CSG17.html#group98A17", "98A¹⁷"), =HYPERLINK("CSG15.html#group126B15", "126B¹⁵"), =HYPERLINK("CSG23.html#group126B23", "126B²³"), =HYPERLINK("CSG8.html#group105A8", "105A⁸"), =HYPERLINK("CSG13.html#group77B13", "77B¹³"), =HYPERLINK("CSG0.html#group7E0", "7E⁰"), =HYPERLINK("CSG7.html#group84A7", "84A⁷"), =HYPERLINK("CSG17.html#group126A17", "126A¹⁷"), =HYPERLINK("CSG23.html#group210D23", "210D²³"), =HYPERLINK("CSG18.html#group70B18", "70B¹⁸"), =HYPERLINK("CSG23.html#group84L23", "84L²³"), =HYPERLINK("CSG22.html#group84D22", "84D²²"), =HYPERLINK("CSG21.html#group168B21", "168B²¹"), =HYPERLINK("CSG20.html#group189C20", "189C²⁰"), =HYPERLINK("CSG16.html#group56F16", "56F¹⁶"), =HYPERLINK("CSG2.html#group42B2", "42B²"), =HYPERLINK("CSG11.html#group126E11", "126E¹¹"), =HYPERLINK("CSG23.html#group168Q23", "168Q²³"), =HYPERLINK("CSG4.html#group28E4", "28E⁴"), =HYPERLINK("CSG17.html#group28E17", "28E¹⁷"), =HYPERLINK("CSG17.html#group126K17", "126K¹⁷"), =HYPERLINK("CSG23.html#group140B23", "140B²³"), =HYPERLINK("CSG8.html#group84C8", "84C⁸"), =HYPERLINK("CSG19.html#group105B19", "105B¹⁹"), =HYPERLINK("CSG21.html#group42G21", "42G²¹"), =HYPERLINK("CSG13.html#group84H13", "84H¹³"), =HYPERLINK("CSG24.html#group280A24", "280A²⁴"), =HYPERLINK("CSG13.html#group91B13", "91B¹³"), =HYPERLINK("CSG3.html#group28C3", "28C³"), =HYPERLINK("CSG12.html#group126I12", "126I¹²"), =HYPERLINK("CSG23.html#group56Q23", "56Q²³"), =HYPERLINK("CSG7.html#group28D7", "28D⁷"), =HYPERLINK("CSG21.html#group126M21", "126M²¹"), =HYPERLINK("CSG11.html#group112H11", "112H¹¹"), =HYPERLINK("CSG17.html#group42L17", "42L¹⁷"), =HYPERLINK("CSG24.html#group252D24", "252D²⁴"), =HYPERLINK("CSG7.html#group42M7", "42M⁷"), =HYPERLINK("CSG17.html#group210D17", "210D¹⁷"), =HYPERLINK("CSG6.html#group28G6", "28G⁶"), =HYPERLINK("CSG3.html#group21A3", "21A³"), =HYPERLINK("CSG23.html#group266A23", "266A²³"), =HYPERLINK("CSG9.html#group70D9", "70D⁹"), =HYPERLINK("CSG10.html#group56F10", "56F¹⁰"), =HYPERLINK("CSG23.html#group210A23", "210A²³"), =HYPERLINK("CSG23.html#group189A23", "189A²³"), =HYPERLINK("CSG23.html#group231A23", "231A²³"), =HYPERLINK("CSG23.html#group210F23", "210F²³"), =HYPERLINK("CSG22.html#group168F22", "168F²²"), =HYPERLINK("CSG4.html#group70B4", "70B⁴"), =HYPERLINK("CSG12.html#group154C12", "154C¹²"), =HYPERLINK("CSG17.html#group63K17", "63K¹⁷"), =HYPERLINK("CSG12.html#group49A12", "49A¹²"), =HYPERLINK("CSG13.html#group35D13", "35D¹³"), =HYPERLINK("CSG2.html#group28F2", "28F²"), =HYPERLINK("CSG17.html#group84P17", "84P¹⁷"), =HYPERLINK("CSG13.html#group70F13", "70F¹³"), =HYPERLINK("CSG7.html#group63C7", "63C⁷"), =HYPERLINK("CSG4.html#group28F4", "28F⁴"), =HYPERLINK("CSG7.html#group56F7", "56F⁷"), =HYPERLINK("CSG23.html#group112O23", "112O²³"), =HYPERLINK("CSG21.html#group84A21", "84A²¹"), =HYPERLINK("CSG10.html#group21A10", "21A¹⁰"), =HYPERLINK("CSG22.html#group35A22", "35A²²"), =HYPERLINK("CSG21.html#group189C21", "189C²¹"), =HYPERLINK("CSG17.html#group98B17", "98B¹⁷"), =HYPERLINK("CSG11.html#group56L11", "56L¹¹"), =HYPERLINK("CSG20.html#group77A20", "77A²⁰"), =HYPERLINK("CSG15.html#group112E15", "112E¹⁵"), =HYPERLINK("CSG4.html#group84A4", "84A⁴"), =HYPERLINK("CSG13.html#group126D13", "126D¹³"), =HYPERLINK("CSG15.html#group140C15", "140C¹⁵"), =HYPERLINK("CSG18.html#group70D18", "70D¹⁸"), =HYPERLINK("CSG23.html#group168E23", "168E²³"), =HYPERLINK("CSG17.html#group210C17", "210C¹⁷"), =HYPERLINK("CSG9.html#group105B9", "105B⁹"), =HYPERLINK("CSG19.html#group189E19", "189E¹⁹"), =HYPERLINK("CSG23.html#group231B23", "231B²³"), =HYPERLINK("CSG23.html#group168R23", "168R²³"), =HYPERLINK("CSG5.html#group21C5", "21C⁵"), =HYPERLINK("CSG21.html#group84E21", "84E²¹"), =HYPERLINK("CSG23.html#group42M23", "42M²³"), =HYPERLINK("CSG19.html#group14A19", "14A¹⁹"), =HYPERLINK("CSG10.html#group28D10", "28D¹⁰"), =HYPERLINK("CSG22.html#group84H22", "84H²²"), =HYPERLINK("CSG21.html#group84G21", "84G²¹"), =HYPERLINK("CSG5.html#group21E5", "21E⁵"), =HYPERLINK("CSG19.html#group168B19", "168B¹⁹"), =HYPERLINK("CSG11.html#group63A11", "63A¹¹"), =HYPERLINK("CSG19.html#group63N19", "63N¹⁹"), =HYPERLINK("CSG23.html#group84K23", "84K²³"), =HYPERLINK("CSG2.html#group35B2", "35B²"), =HYPERLINK("CSG13.html#group21C13", "21C¹³"), =HYPERLINK("CSG17.html#group14B17", "14B¹⁷"), =HYPERLINK("CSG15.html#group14A15", "14A¹⁵"), =HYPERLINK("CSG1.html#group7B1", "7B¹"), =HYPERLINK("CSG18.html#group210E18", "210E¹⁸"), =HYPERLINK("CSG21.html#group84C21", "84C²¹"), =HYPERLINK("CSG17.html#group126J17", "126J¹⁷"), =HYPERLINK("CSG13.html#group42L13", "42L¹³"), =HYPERLINK("CSG21.html#group56M21", "56M²¹"), =HYPERLINK("CSG5.html#group42B5", "42B⁵"), =HYPERLINK("CSG14.html#group84B14", "84B¹⁴"), =HYPERLINK("CSG17.html#group63E17", "63E¹⁷"), =HYPERLINK("CSG23.html#group56U23", "56U²³"), =HYPERLINK("CSG21.html#group91B21", "91B²¹"), =HYPERLINK("CSG7.html#group63B7", "63B⁷"), =HYPERLINK("CSG14.html#group126D14", "126D¹⁴"), =HYPERLINK("CSG19.html#group217A19", "217A¹⁹"), =HYPERLINK("CSG14.html#group168A14", "168A¹⁴"), =HYPERLINK("CSG11.html#group147B11", "147B¹¹"), =HYPERLINK("CSG11.html#group84C11", "84C¹¹"), =HYPERLINK("CSG23.html#group168C23", "168C²³"), =HYPERLINK("CSG1.html#group21B1", "21B¹"), =HYPERLINK("CSG23.html#group56T23", "56T²³"), =HYPERLINK("CSG21.html#group56N21", "56N²¹"), =HYPERLINK("CSG7.html#group21D7", "21D⁷"), =HYPERLINK("CSG3.html#group42E3", "42E³"), =HYPERLINK("CSG23.html#group126M23", "126M²³"), =HYPERLINK("CSG13.html#group112C13", "112C¹³"), =HYPERLINK("CSG19.html#group63M19", "63M¹⁹"), =HYPERLINK("CSG21.html#group112F21", "112F²¹"), =HYPERLINK("CSG11.html#group56P11", "56P¹¹"), =HYPERLINK("CSG21.html#group140C21", "140C²¹"), =HYPERLINK("CSG8.html#group84B8", "84B⁸"), =HYPERLINK("CSG11.html#group28G11", "28G¹¹"), =HYPERLINK("CSG14.html#group70G14", "70G¹⁴"), =HYPERLINK("CSG1.html#group21A1", "21A¹"), =HYPERLINK("CSG7.html#group42E7", "42E⁷"), =HYPERLINK("CSG18.html#group105A18", "105A¹⁸"), =HYPERLINK("CSG16.html#group210E16", "210E¹⁶"), =HYPERLINK("CSG11.html#group63F11", "63F¹¹"), =HYPERLINK("CSG21.html#group126J21", "126J²¹"), =HYPERLINK("CSG8.html#group112A8", "112A⁸"), =HYPERLINK("CSG22.html#group84A22", "84A²²"), =HYPERLINK("CSG17.html#group70D17", "70D¹⁷"), =HYPERLINK("CSG22.html#group84I22", "84I²²"), =HYPERLINK("CSG21.html#group42J21", "42J²¹"), =HYPERLINK("CSG21.html#group189E21", "189E²¹"), =HYPERLINK("CSG11.html#group56O11", "56O¹¹"), =HYPERLINK("CSG10.html#group42E10", "42E¹⁰"), =HYPERLINK("CSG9.html#group35E9", "35E⁹"), =HYPERLINK("CSG16.html#group63B16", "63B¹⁶"), =HYPERLINK("CSG22.html#group84L22", "84L²²"), =HYPERLINK("CSG15.html#group112A15", "112A¹⁵"), =HYPERLINK("CSG15.html#group112G15", "112G¹⁵"), =HYPERLINK("CSG11.html#group126D11", "126D¹¹"), =HYPERLINK("CSG4.html#group56C4", "56C⁴"), =HYPERLINK("CSG16.html#group28H16", "28H¹⁶"), =HYPERLINK("CSG21.html#group105B21", "105B²¹"), =HYPERLINK("CSG17.html#group35A17", "35A¹⁷"), =HYPERLINK("CSG10.html#group42H10", "42H¹⁰"), =HYPERLINK("CSG0.html#group14B0", "14B⁰"), =HYPERLINK("CSG12.html#group42H12", "42H¹²"), =HYPERLINK("CSG21.html#group35B21", "35B²¹"), =HYPERLINK("CSG9.html#group42E9", "42E⁹"), =HYPERLINK("CSG21.html#group189D21", "189D²¹"), =HYPERLINK("CSG13.html#group84E13", "84E¹³"), =HYPERLINK("CSG19.html#group70G19", "70G¹⁹"), =HYPERLINK("CSG17.html#group56C17", "56C¹⁷"), =HYPERLINK("CSG23.html#group112P23", "112P²³"), =HYPERLINK("CSG7.html#group42D7", "42D⁷"), =HYPERLINK("CSG19.html#group140A19", "140A¹⁹"), =HYPERLINK("CSG14.html#group112D14", "112D¹⁴"), =HYPERLINK("CSG23.html#group210C23", "210C²³"), =HYPERLINK("CSG19.html#group70E19", "70E¹⁹"), =HYPERLINK("CSG4.html#group14B4", "14B⁴"), =HYPERLINK("CSG21.html#group140B21", "140B²¹"), =HYPERLINK("CSG21.html#group42I21", "42I²¹"), =HYPERLINK("CSG21.html#group126N21", "126N²¹"), =HYPERLINK("CSG5.html#group28I5", "28I⁵"), =HYPERLINK("CSG21.html#group91A21", "91A²¹"), =HYPERLINK("CSG17.html#group42J17", "42J¹⁷"), =HYPERLINK("CSG13.html#group70E13", "70E¹³"), =HYPERLINK("CSG23.html#group224C23", "224C²³"), =HYPERLINK("CSG10.html#group105A10", "105A¹⁰"), =HYPERLINK("CSG18.html#group210D18", "210D¹⁸"), =HYPERLINK("CSG11.html#group112G11", "112G¹¹"), =HYPERLINK("CSG11.html#group42I11", "42I¹¹"), =HYPERLINK("CSG20.html#group84K20", "84K²⁰"), =HYPERLINK("CSG19.html#group63J19", "63J¹⁹"), =HYPERLINK("CSG23.html#group126D23", "126D²³"), =HYPERLINK("CSG10.html#group84B10", "84B¹⁰"), =HYPERLINK("CSG23.html#group112S23", "112S²³"), =HYPERLINK("CSG17.html#group189A17", "189A¹⁷"), =HYPERLINK("CSG5.html#group42A5", "42A⁵"), =HYPERLINK("CSG23.html#group126H23", "126H²³"), =HYPERLINK("CSG23.html#group105A23", "105A²³"), =HYPERLINK("CSG13.html#group56L13", "56L¹³"), =HYPERLINK("CSG15.html#group84A15", "84A¹⁵"), =HYPERLINK("CSG9.html#group105A9", "105A⁹"), =HYPERLINK("CSG19.html#group70I19", "70I¹⁹"), =HYPERLINK("CSG20.html#group231B20", "231B²⁰"), =HYPERLINK("CSG12.html#group49B12", "49B¹²"), =HYPERLINK("CSG11.html#group105B11", "105B¹¹"), =HYPERLINK("CSG13.html#group105B13", "105B¹³"), =HYPERLINK("CSG6.html#group63D6", "63D⁶"), =HYPERLINK("CSG22.html#group84F22", "84F²²"), =HYPERLINK("CSG19.html#group140I19", "140I¹⁹"), =HYPERLINK("CSG14.html#group168B14", "168B¹⁴"), =HYPERLINK("CSG12.html#group126A12", "126A¹²"), =HYPERLINK("CSG14.html#group70D14", "70D¹⁴"), =HYPERLINK("CSG15.html#group196A15", "196A¹⁵"), =HYPERLINK("CSG21.html#group84Q21", "84Q²¹"), =HYPERLINK("CSG17.html#group14A17", "14A¹⁷"), =HYPERLINK("CSG23.html#group84G23", "84G²³"), =HYPERLINK("CSG11.html#group42E11", "42E¹¹"), =HYPERLINK("CSG13.html#group84I13", "84I¹³"), =HYPERLINK("CSG11.html#group42K11", "42K¹¹"), =HYPERLINK("CSG6.html#group84A6", "84A⁶"), =HYPERLINK("CSG19.html#group175B19", "175B¹⁹"), =HYPERLINK("CSG7.html#group84E7", "84E⁷"), =HYPERLINK("CSG5.html#group42G5", "42G⁵"), =HYPERLINK("CSG4.html#group84B4", "84B⁴"), =HYPERLINK("CSG3.html#group49A3", "49A³"), =HYPERLINK("CSG5.html#group35C5", "35C⁵"), =HYPERLINK("CSG13.html#group42H13", "42H¹³"), =HYPERLINK("CSG4.html#group56A4", "56A⁴"), =HYPERLINK("CSG9.html#group35C9", "35C⁹"), =HYPERLINK("CSG7.html#group56G7", "56G⁷"), =HYPERLINK("CSG6.html#group28F6", "28F⁶"), =HYPERLINK("CSG11.html#group28E11", "28E¹¹"), =HYPERLINK("CSG11.html#group133B11", "133B¹¹"), =HYPERLINK("CSG7.html#group98A7", "98A⁷"), =HYPERLINK("CSG7.html#group21B7", "21B⁷"), =HYPERLINK("CSG19.html#group77B19", "77B¹⁹"), =HYPERLINK("CSG15.html#group84E15", "84E¹⁵"), =HYPERLINK("CSG1.html#group49A1", "49A¹"), =HYPERLINK("CSG19.html#group175A19", "175A¹⁹"), =HYPERLINK("CSG21.html#group63A21", "63A²¹"), =HYPERLINK("CSG24.html#group294A24", "294A²⁴"), =HYPERLINK("CSG15.html#group112B15", "112B¹⁵"), =HYPERLINK("CSG10.html#group42F10", "42F¹⁰"), =HYPERLINK("CSG11.html#group126C11", "126C¹¹"), =HYPERLINK("CSG23.html#group91A23", "91A²³"), =HYPERLINK("CSG21.html#group196A21", "196A²¹"), =HYPERLINK("CSG19.html#group189C19", "189C¹⁹"), =HYPERLINK("CSG11.html#group112I11", "112I¹¹"), =HYPERLINK("CSG4.html#group21C4", "21C⁴"), =HYPERLINK("CSG3.html#group42B3", "42B³"), =HYPERLINK("CSG13.html#group63E13", "63E¹³"), =HYPERLINK("CSG14.html#group56B14", "56B¹⁴"), =HYPERLINK("CSG19.html#group42Q19", "42Q¹⁹"), =HYPERLINK("CSG13.html#group126I13", "126I¹³"), =HYPERLINK("CSG13.html#group56O13", "56O¹³"), =HYPERLINK("CSG13.html#group63D13", "63D¹³"), =HYPERLINK("CSG13.html#group126G13", "126G¹³"), =HYPERLINK("CSG19.html#group42P19", "42P¹⁹"), =HYPERLINK("CSG23.html#group112R23", "112R²³"), =HYPERLINK("CSG15.html#group112F15", "112F¹⁵"), =HYPERLINK("CSG3.html#group28E3", "28E³"), =HYPERLINK("CSG15.html#group182C15", "182C¹⁵"), =HYPERLINK("CSG20.html#group84I20", "84I²⁰"), =HYPERLINK("CSG4.html#group21A4", "21A⁴"), =HYPERLINK("CSG7.html#group56B7", "56B⁷"), =HYPERLINK("CSG16.html#group28G16", "28G¹⁶"), =HYPERLINK("CSG22.html#group84E22", "84E²²"), =HYPERLINK("CSG21.html#group245A21", "245A²¹"), =HYPERLINK("CSG19.html#group56C19", "56C¹⁹"), =HYPERLINK("CSG16.html#group70E16", "70E¹⁶"), =HYPERLINK("CSG9.html#group42D9", "42D⁹"), =HYPERLINK("CSG23.html#group210I23", "210I²³"), =HYPERLINK("CSG23.html#group126G23", "126G²³"), =HYPERLINK("CSG19.html#group168A19", "168A¹⁹"), =HYPERLINK("CSG23.html#group56S23", "56S²³"), =HYPERLINK("CSG17.html#group63H17", "63H¹⁷"), =HYPERLINK("CSG11.html#group63B11", "63B¹¹"), =HYPERLINK("CSG16.html#group210F16", "210F¹⁶"), =HYPERLINK("CSG20.html#group168G20", "168G²⁰"), =HYPERLINK("CSG15.html#group140A15", "140A¹⁵"), =HYPERLINK("CSG20.html#group231A20", "231A²⁰"), =HYPERLINK("CSG19.html#group42R19", "42R¹⁹"), =HYPERLINK("CSG21.html#group126K21", "126K²¹"), =HYPERLINK("CSG6.html#group35C6", "35C⁶"), =HYPERLINK("CSG11.html#group56N11", "56N¹¹"), =HYPERLINK("CSG21.html#group147A21", "147A²¹"), =HYPERLINK("CSG16.html#group56E16", "56E¹⁶"), =HYPERLINK("CSG21.html#group105C21", "105C²¹"), =HYPERLINK("CSG15.html#group84F15", "84F¹⁵"), =HYPERLINK("CSG13.html#group42F13", "42F¹³"), =HYPERLINK("CSG13.html#group56N13", "56N¹³"), =HYPERLINK("CSG19.html#group63I19", "63I¹⁹"), =HYPERLINK("CSG6.html#group63A6", "63A⁶"), =HYPERLINK("CSG11.html#group105C11", "105C¹¹"), =HYPERLINK("CSG15.html#group112K15", "112K¹⁵"), =HYPERLINK("CSG13.html#group42G13", "42G¹³"), =HYPERLINK("CSG21.html#group126T21", "126T²¹"), =HYPERLINK("CSG6.html#group28D6", "28D⁶"), =HYPERLINK("CSG20.html#group210A20", "210A²⁰"), =HYPERLINK("CSG21.html#group70G21", "70G²¹"), =HYPERLINK("CSG19.html#group84K19", "84K¹⁹"), =HYPERLINK("CSG14.html#group63A14", "63A¹⁴"), =HYPERLINK("CSG22.html#group231A22", "231A²²"), =HYPERLINK("CSG7.html#group77B7", "77B⁷"), =HYPERLINK("CSG9.html#group56C9", "56C⁹"), =HYPERLINK("CSG24.html#group252B24", "252B²⁴"), =HYPERLINK("CSG10.html#group147A10", "147A¹⁰"), =HYPERLINK("CSG23.html#group210E23", "210E²³"), =HYPERLINK("CSG11.html#group84I11", "84I¹¹"), =HYPERLINK("CSG23.html#group259A23", "259A²³"), =HYPERLINK("CSG19.html#group84J19", "84J¹⁹"), =HYPERLINK("CSG21.html#group133B21", "133B²¹"), =HYPERLINK("CSG14.html#group70F14", "70F¹⁴"), =HYPERLINK("CSG9.html#group28F9", "28F⁹"), =HYPERLINK("CSG22.html#group84B22", "84B²²"), =HYPERLINK("CSG13.html#group56G13", "56G¹³"), =HYPERLINK("CSG13.html#group28F13", "28F¹³"), =HYPERLINK("CSG16.html#group168B16", "168B¹⁶"), =HYPERLINK("CSG23.html#group56V23", "56V²³"), =HYPERLINK("CSG21.html#group119A21", "119A²¹"), =HYPERLINK("CSG5.html#group35A5", "35A⁵"), =HYPERLINK("CSG9.html#group63F9", "63F⁹"), =HYPERLINK("CSG19.html#group105A19", "105A¹⁹"), =HYPERLINK("CSG21.html#group21B21", "21B²¹"), =HYPERLINK("CSG9.html#group84D9", "84D⁹"), =HYPERLINK("CSG19.html#group63O19", "63O¹⁹"), =HYPERLINK("CSG15.html#group112H15", "112H¹⁵"), =HYPERLINK("CSG23.html#group56O23", "56O²³"), =HYPERLINK("CSG12.html#group56L12", "56L¹²"), =HYPERLINK("CSG21.html#group126U21", "126U²¹"), =HYPERLINK("CSG17.html#group63I17", "63I¹⁷"), =HYPERLINK("CSG11.html#group42F11", "42F¹¹"), =HYPERLINK("CSG2.html#group28D2", "28D²"), =HYPERLINK("CSG20.html#group168E20", "168E²⁰"), =HYPERLINK("CSG15.html#group98A15", "98A¹⁵"), =HYPERLINK("CSG17.html#group42I17", "42I¹⁷"), =HYPERLINK("CSG2.html#group14E2", "14E²"), =HYPERLINK("CSG7.html#group84D7", "84D⁷"), =HYPERLINK("CSG5.html#group56D5", "56D⁵"), =HYPERLINK("CSG9.html#group42A9", "42A⁹"), =HYPERLINK("CSG11.html#group56M11", "56M¹¹"), =HYPERLINK("CSG19.html#group245A19", "245A¹⁹"), =HYPERLINK("CSG15.html#group84C15", "84C¹⁵"), =HYPERLINK("CSG5.html#group28E5", "28E⁵"), =HYPERLINK("CSG17.html#group63J17", "63J¹⁷"), =HYPERLINK("CSG23.html#group126I23", "126I²³"), =HYPERLINK("CSG15.html#group126C15", "126C¹⁵"), =HYPERLINK("CSG23.html#group266B23", "266B²³"), =HYPERLINK("CSG11.html#group70B11", "70B¹¹"), =HYPERLINK("CSG1.html#group14C1", "14C¹"), =HYPERLINK("CSG22.html#group189A22", "189A²²"), =HYPERLINK("CSG11.html#group56R11", "56R¹¹"), =HYPERLINK("CSG7.html#group91A7", "91A⁷"), =HYPERLINK("CSG7.html#group70B7", "70B⁷"), =HYPERLINK("CSG11.html#group42G11", "42G¹¹"), =HYPERLINK("CSG11.html#group105D11", "105D¹¹"), =HYPERLINK("CSG21.html#group42H21", "42H²¹"), =HYPERLINK("CSG11.html#group126F11", "126F¹¹"), =HYPERLINK("CSG10.html#group42J10", "42J¹⁰"), =HYPERLINK("CSG21.html#group28N21", "28N²¹"), =HYPERLINK("CSG21.html#group154B21", "154B²¹"), =HYPERLINK("CSG7.html#group63F7", "63F⁷"), =HYPERLINK("CSG9.html#group70A9", "70A⁹"), =HYPERLINK("CSG13.html#group112D13", "112D¹³"), =HYPERLINK("CSG24.html#group42A24", "42A²⁴"), =HYPERLINK("CSG24.html#group308A24", "308A²⁴"), =HYPERLINK("CSG23.html#group294A23", "294A²³"), =HYPERLINK("CSG10.html#group42I10", "42I¹⁰"), =HYPERLINK("CSG15.html#group182B15", "182B¹⁵"), =HYPERLINK("CSG15.html#group140D15", "140D¹⁵"), =HYPERLINK("CSG17.html#group84O17", "84O¹⁷"), =HYPERLINK("CSG23.html#group126E23", "126E²³"), =HYPERLINK("CSG18.html#group210C18", "210C¹⁸"), =HYPERLINK("CSG18.html#group70A18", "70A¹⁸"), =HYPERLINK("CSG20.html#group84L20", "84L²⁰"), =HYPERLINK("CSG4.html#group42C4", "42C⁴"), =HYPERLINK("CSG21.html#group105E21", "105E²¹"), =HYPERLINK("CSG20.html#group210B20", "210B²⁰"), =HYPERLINK("CSG16.html#group70D16", "70D¹⁶"), =HYPERLINK("CSG19.html#group63H19", "63H¹⁹"), =HYPERLINK("CSG3.html#group7A3", "7A³"), =HYPERLINK("CSG5.html#group14E5", "14E⁵"), =HYPERLINK("CSG23.html#group112T23", "112T²³"), =HYPERLINK("CSG11.html#group42J11", "42J¹¹"), =HYPERLINK("CSG19.html#group189D19", "189D¹⁹"), =HYPERLINK("CSG12.html#group126B12", "126B¹²"), =HYPERLINK("CSG6.html#group56D6", "56D⁶"), =HYPERLINK("CSG17.html#group63F17", "63F¹⁷"), =HYPERLINK("CSG4.html#group42B4", "42B⁴"), =HYPERLINK("CSG17.html#group63D17", "63D¹⁷"), =HYPERLINK("CSG23.html#group224B23", "224B²³"), =HYPERLINK("CSG1.html#group14H1", "14H¹"), =HYPERLINK("CSG22.html#group168E22", "168E²²"), =HYPERLINK("CSG23.html#group56R23", "56R²³"), =HYPERLINK("CSG2.html#group42C2", "42C²"), =HYPERLINK("CSG7.html#group70C7", "70C⁷"), =HYPERLINK("CSG14.html#group70E14", "70E¹⁴"), =HYPERLINK("CSG19.html#group49B19", "49B¹⁹"), =HYPERLINK("CSG17.html#group56D17", "56D¹⁷"), =HYPERLINK("CSG11.html#group63C11", "63C¹¹"), =HYPERLINK("CSG22.html#group84C22", "84C²²"), =HYPERLINK("CSG11.html#group21C11", "21C¹¹"), =HYPERLINK("CSG23.html#group210H23", "210H²³")</f>
        <v/>
      </c>
    </row>
    <row r="39">
      <c r="A39" t="inlineStr">
        <is>
          <t>7C⁰</t>
        </is>
      </c>
      <c r="B39" t="inlineStr"/>
      <c r="C39" t="inlineStr">
        <is>
          <t>14</t>
        </is>
      </c>
      <c r="D39" t="inlineStr">
        <is>
          <t>2</t>
        </is>
      </c>
      <c r="E39" t="inlineStr">
        <is>
          <t>7</t>
        </is>
      </c>
      <c r="F39" t="inlineStr">
        <is>
          <t>2</t>
        </is>
      </c>
      <c r="G39" t="inlineStr">
        <is>
          <t>2</t>
        </is>
      </c>
      <c r="H39" t="inlineStr">
        <is>
          <t>7²</t>
        </is>
      </c>
      <c r="I39" t="n">
        <v>2</v>
      </c>
      <c r="J39" t="inlineStr">
        <is>
          <t>2¹, 6²</t>
        </is>
      </c>
      <c r="K39">
        <f>HYPERLINK("CSG0.html#group7A0", "7A⁰")</f>
        <v/>
      </c>
      <c r="L39">
        <f>HYPERLINK("CSG0.html#group7G0", "7G⁰"), =HYPERLINK("CSG1.html#group7B1", "7B¹"), =HYPERLINK("CSG1.html#group14D1", "14D¹"), =HYPERLINK("CSG1.html#group21C1", "21C¹"), =HYPERLINK("CSG2.html#group14A2", "14A²"), =HYPERLINK("CSG2.html#group21C2", "21C²"), =HYPERLINK("CSG3.html#group21B3", "21B³"), =HYPERLINK("CSG3.html#group28D3", "28D³"), =HYPERLINK("CSG4.html#group35A4", "35A⁴"), =HYPERLINK("CSG5.html#group35B5", "35B⁵"), =HYPERLINK("CSG9.html#group35B9", "35B⁹"), =HYPERLINK("CSG10.html#group77A10", "77A¹⁰"), =HYPERLINK("CSG10.html#group77B10", "77B¹⁰"), =HYPERLINK("CSG13.html#group77A13", "77A¹³"), =HYPERLINK("CSG13.html#group91A13", "91A¹³"), =HYPERLINK("CSG19.html#group119B19", "119B¹⁹"), =HYPERLINK("CSG21.html#group133A21", "133A²¹")</f>
        <v/>
      </c>
      <c r="M39">
        <f>HYPERLINK("CSG0.html#group1A0", "1A⁰"), =HYPERLINK("CSG0.html#group7A0", "7A⁰")</f>
        <v/>
      </c>
      <c r="N39">
        <f>HYPERLINK("CSG21.html#group21C21", "21C²¹"), =HYPERLINK("CSG8.html#group21A8", "21A⁸"), =HYPERLINK("CSG5.html#group42F5", "42F⁵"), =HYPERLINK("CSG16.html#group105A16", "105A¹⁶"), =HYPERLINK("CSG23.html#group56B23", "56B²³"), =HYPERLINK("CSG7.html#group42F7", "42F⁷"), =HYPERLINK("CSG5.html#group14C5", "14C⁵"), =HYPERLINK("CSG0.html#group7G0", "7G⁰"), =HYPERLINK("CSG23.html#group28E23", "28E²³"), =HYPERLINK("CSG13.html#group28D13", "28D¹³"), =HYPERLINK("CSG13.html#group77A13", "77A¹³"), =HYPERLINK("CSG1.html#group14D1", "14D¹"), =HYPERLINK("CSG19.html#group119B19", "119B¹⁹"), =HYPERLINK("CSG8.html#group63A8", "63A⁸"), =HYPERLINK("CSG7.html#group56E7", "56E⁷"), =HYPERLINK("CSG17.html#group84B17", "84B¹⁷"), =HYPERLINK("CSG19.html#group126E19", "126E¹⁹"), =HYPERLINK("CSG11.html#group35A11", "35A¹¹"), =HYPERLINK("CSG21.html#group28L21", "28L²¹"), =HYPERLINK("CSG23.html#group84E23", "84E²³"), =HYPERLINK("CSG15.html#group28G15", "28G¹⁵"), =HYPERLINK("CSG17.html#group28A17", "28A¹⁷"), =HYPERLINK("CSG19.html#group42F19", "42F¹⁹"), =HYPERLINK("CSG15.html#group84G15", "84G¹⁵"), =HYPERLINK("CSG23.html#group168G23", "168G²³"), =HYPERLINK("CSG21.html#group126C21", "126C²¹"), =HYPERLINK("CSG3.html#group21B3", "21B³"), =HYPERLINK("CSG3.html#group28D3", "28D³"), =HYPERLINK("CSG21.html#group28E21", "28E²¹"), =HYPERLINK("CSG23.html#group112F23", "112F²³"), =HYPERLINK("CSG23.html#group56E23", "56E²³"), =HYPERLINK("CSG17.html#group126C17", "126C¹⁷"), =HYPERLINK("CSG7.html#group14B7", "14B⁷"), =HYPERLINK("CSG8.html#group42B8", "42B⁸"), =HYPERLINK("CSG9.html#group14C9", "14C⁹"), =HYPERLINK("CSG11.html#group70D11", "70D¹¹"), =HYPERLINK("CSG19.html#group84F19", "84F¹⁹"), =HYPERLINK("CSG23.html#group56K23", "56K²³"), =HYPERLINK("CSG21.html#group140A21", "140A²¹"), =HYPERLINK("CSG11.html#group42B11", "42B¹¹"), =HYPERLINK("CSG14.html#group105C14", "105C¹⁴"), =HYPERLINK("CSG11.html#group28D11", "28D¹¹"), =HYPERLINK("CSG19.html#group63E19", "63E¹⁹"), =HYPERLINK("CSG7.html#group42A7", "42A⁷"), =HYPERLINK("CSG7.html#group28A7", "28A⁷"), =HYPERLINK("CSG23.html#group168H23", "168H²³"), =HYPERLINK("CSG5.html#group42D5", "42D⁵"), =HYPERLINK("CSG21.html#group35B21", "35B²¹"), =HYPERLINK("CSG18.html#group49A18", "49A¹⁸"), =HYPERLINK("CSG13.html#group28A13", "28A¹³"), =HYPERLINK("CSG19.html#group35B19", "35B¹⁹"), =HYPERLINK("CSG14.html#group105A14", "105A¹⁴"), =HYPERLINK("CSG13.html#group91A13", "91A¹³"), =HYPERLINK("CSG23.html#group126J23", "126J²³"), =HYPERLINK("CSG24.html#group42B24", "42B²⁴"), =HYPERLINK("CSG23.html#group56F23", "56F²³"), =HYPERLINK("CSG2.html#group21C2", "21C²"), =HYPERLINK("CSG21.html#group133A21", "133A²¹"), =HYPERLINK("CSG17.html#group63A17", "63A¹⁷"), =HYPERLINK("CSG23.html#group42A23", "42A²³"), =HYPERLINK("CSG5.html#group42C5", "42C⁵"), =HYPERLINK("CSG10.html#group84E10", "84E¹⁰"), =HYPERLINK("CSG13.html#group35C13", "35C¹³"), =HYPERLINK("CSG15.html#group14A15", "14A¹⁵"), =HYPERLINK("CSG22.html#group63B22", "63B²²"), =HYPERLINK("CSG19.html#group28C19", "28C¹⁹"), =HYPERLINK("CSG13.html#group42I13", "42I¹³"), =HYPERLINK("CSG23.html#group154A23", "154A²³"), =HYPERLINK("CSG6.html#group42B6", "42B⁶"), =HYPERLINK("CSG9.html#group21C9", "21C⁹"), =HYPERLINK("CSG23.html#group56C23", "56C²³"), =HYPERLINK("CSG15.html#group112I15", "112I¹⁵"), =HYPERLINK("CSG23.html#group126L23", "126L²³"), =HYPERLINK("CSG13.html#group21A13", "21A¹³"), =HYPERLINK("CSG23.html#group42E23", "42E²³"), =HYPERLINK("CSG11.html#group21B11", "21B¹¹"), =HYPERLINK("CSG17.html#group84E17", "84E¹⁷"), =HYPERLINK("CSG11.html#group56A11", "56A¹¹"), =HYPERLINK("CSG17.html#group21A17", "21A¹⁷"), =HYPERLINK("CSG17.html#group105A17", "105A¹⁷"), =HYPERLINK("CSG17.html#group14A17", "14A¹⁷"), =HYPERLINK("CSG5.html#group14D5", "14D⁵"), =HYPERLINK("CSG7.html#group14C7", "14C⁷"), =HYPERLINK("CSG19.html#group126A19", "126A¹⁹"), =HYPERLINK("CSG19.html#group84B19", "84B¹⁹"), =HYPERLINK("CSG11.html#group42C11", "42C¹¹"), =HYPERLINK("CSG15.html#group105A15", "105A¹⁵"), =HYPERLINK("CSG9.html#group70B9", "70B⁹"), =HYPERLINK("CSG14.html#group35B14", "35B¹⁴"), =HYPERLINK("CSG16.html#group42B16", "42B¹⁶"), =HYPERLINK("CSG23.html#group42I23", "42I²³"), =HYPERLINK("CSG15.html#group56A15", "56A¹⁵"), =HYPERLINK("CSG19.html#group42H19", "42H¹⁹"), =HYPERLINK("CSG23.html#group56L23", "56L²³"), =HYPERLINK("CSG15.html#group28B15", "28B¹⁵"), =HYPERLINK("CSG19.html#group42I19", "42I¹⁹"), =HYPERLINK("CSG19.html#group63D19", "63D¹⁹"), =HYPERLINK("CSG23.html#group112B23", "112B²³"), =HYPERLINK("CSG23.html#group84B23", "84B²³"), =HYPERLINK("CSG9.html#group28C9", "28C⁹"), =HYPERLINK("CSG21.html#group28K21", "28K²¹"), =HYPERLINK("CSG19.html#group42J19", "42J¹⁹"), =HYPERLINK("CSG13.html#group70D13", "70D¹³"), =HYPERLINK("CSG24.html#group126A24", "126A²⁴"), =HYPERLINK("CSG23.html#group42J23", "42J²³"), =HYPERLINK("CSG23.html#group56D23", "56D²³"), =HYPERLINK("CSG17.html#group84G17", "84G¹⁷"), =HYPERLINK("CSG15.html#group56D15", "56D¹⁵"), =HYPERLINK("CSG19.html#group70D19", "70D¹⁹"), =HYPERLINK("CSG19.html#group35A19", "35A¹⁹"), =HYPERLINK("CSG13.html#group21B13", "21B¹³"), =HYPERLINK("CSG9.html#group35B9", "35B⁹"), =HYPERLINK("CSG11.html#group14A11", "14A¹¹"), =HYPERLINK("CSG23.html#group42H23", "42H²³"), =HYPERLINK("CSG23.html#group42B23", "42B²³"), =HYPERLINK("CSG11.html#group21A11", "21A¹¹"), =HYPERLINK("CSG3.html#group14F3", "14F³"), =HYPERLINK("CSG5.html#group35B5", "35B⁵"), =HYPERLINK("CSG23.html#group28C23", "28C²³"), =HYPERLINK("CSG11.html#group63D11", "63D¹¹"), =HYPERLINK("CSG21.html#group105A21", "105A²¹"), =HYPERLINK("CSG14.html#group35A14", "35A¹⁴"), =HYPERLINK("CSG4.html#group14A4", "14A⁴"), =HYPERLINK("CSG19.html#group84A19", "84A¹⁹"), =HYPERLINK("CSG21.html#group42F21", "42F²¹"), =HYPERLINK("CSG10.html#group63A10", "63A¹⁰"), =HYPERLINK("CSG23.html#group154B23", "154B²³"), =HYPERLINK("CSG5.html#group21B5", "21B⁵"), =HYPERLINK("CSG11.html#group21D11", "21D¹¹"), =HYPERLINK("CSG11.html#group28C11", "28C¹¹"), =HYPERLINK("CSG10.html#group21B10", "21B¹⁰"), =HYPERLINK("CSG1.html#group7C1", "7C¹"), =HYPERLINK("CSG12.html#group63A12", "63A¹²"), =HYPERLINK("CSG11.html#group84D11", "84D¹¹"), =HYPERLINK("CSG5.html#group28A5", "28A⁵"), =HYPERLINK("CSG21.html#group42D21", "42D²¹"), =HYPERLINK("CSG12.html#group35A12", "35A¹²"), =HYPERLINK("CSG17.html#group42C17", "42C¹⁷"), =HYPERLINK("CSG21.html#group70C21", "70C²¹"), =HYPERLINK("CSG17.html#group42G17", "42G¹⁷"), =HYPERLINK("CSG14.html#group105B14", "105B¹⁴"), =HYPERLINK("CSG23.html#group56H23", "56H²³"), =HYPERLINK("CSG3.html#group14E3", "14E³"), =HYPERLINK("CSG11.html#group28I11", "28I¹¹"), =HYPERLINK("CSG23.html#group126K23", "126K²³"), =HYPERLINK("CSG4.html#group21E4", "21E⁴"), =HYPERLINK("CSG23.html#group42G23", "42G²³"), =HYPERLINK("CSG15.html#group112J15", "112J¹⁵"), =HYPERLINK("CSG10.html#group77A10", "77A¹⁰"), =HYPERLINK("CSG21.html#group21B21", "21B²¹"), =HYPERLINK("CSG10.html#group77B10", "77B¹⁰"), =HYPERLINK("CSG13.html#group63A13", "63A¹³"), =HYPERLINK("CSG16.html#group70A16", "70A¹⁶"), =HYPERLINK("CSG8.html#group42A8", "42A⁸"), =HYPERLINK("CSG13.html#group28E13", "28E¹³"), =HYPERLINK("CSG17.html#group63B17", "63B¹⁷"), =HYPERLINK("CSG9.html#group14A9", "14A⁹"), =HYPERLINK("CSG23.html#group56G23", "56G²³"), =HYPERLINK("CSG13.html#group42J13", "42J¹³"), =HYPERLINK("CSG11.html#group63E11", "63E¹¹"), =HYPERLINK("CSG17.html#group70E17", "70E¹⁷"), =HYPERLINK("CSG23.html#group14A23", "14A²³"), =HYPERLINK("CSG2.html#group14A2", "14A²"), =HYPERLINK("CSG7.html#group56D7", "56D⁷"), =HYPERLINK("CSG17.html#group63C17", "63C¹⁷"), =HYPERLINK("CSG17.html#group84D17", "84D¹⁷"), =HYPERLINK("CSG17.html#group105B17", "105B¹⁷"), =HYPERLINK("CSG17.html#group21C17", "21C¹⁷"), =HYPERLINK("CSG19.html#group42G19", "42G¹⁹"), =HYPERLINK("CSG23.html#group112A23", "112A²³"), =HYPERLINK("CSG13.html#group63B13", "63B¹³"), =HYPERLINK("CSG22.html#group42C22", "42C²²"), =HYPERLINK("CSG11.html#group56C11", "56C¹¹"), =HYPERLINK("CSG13.html#group56B13", "56B¹³"), =HYPERLINK("CSG15.html#group105B15", "105B¹⁵"), =HYPERLINK("CSG23.html#group42F23", "42F²³"), =HYPERLINK("CSG21.html#group28F21", "28F²¹"), =HYPERLINK("CSG10.html#group21A10", "21A¹⁰"), =HYPERLINK("CSG24.html#group42A24", "42A²⁴"), =HYPERLINK("CSG15.html#group42F15", "42F¹⁵"), =HYPERLINK("CSG17.html#group126D17", "126D¹⁷"), =HYPERLINK("CSG13.html#group14C13", "14C¹³"), =HYPERLINK("CSG5.html#group28B5", "28B⁵"), =HYPERLINK("CSG13.html#group42E13", "42E¹³"), =HYPERLINK("CSG23.html#group28D23", "28D²³"), =HYPERLINK("CSG23.html#group56A23", "56A²³"), =HYPERLINK("CSG11.html#group56B11", "56B¹¹"), =HYPERLINK("CSG23.html#group112G23", "112G²³"), =HYPERLINK("CSG3.html#group7A3", "7A³"), =HYPERLINK("CSG5.html#group14E5", "14E⁵"), =HYPERLINK("CSG19.html#group14A19", "14A¹⁹"), =HYPERLINK("CSG4.html#group35A4", "35A⁴"), =HYPERLINK("CSG1.html#group21C1", "21C¹"), =HYPERLINK("CSG21.html#group28A21", "28A²¹"), =HYPERLINK("CSG19.html#group49B19", "49B¹⁹"), =HYPERLINK("CSG17.html#group14B17", "14B¹⁷"), =HYPERLINK("CSG11.html#group21C11", "21C¹¹"), =HYPERLINK("CSG1.html#group7B1", "7B¹")</f>
        <v/>
      </c>
    </row>
    <row r="40">
      <c r="A40" t="inlineStr">
        <is>
          <t>7D⁰</t>
        </is>
      </c>
      <c r="B40" t="inlineStr"/>
      <c r="C40" t="inlineStr">
        <is>
          <t>21</t>
        </is>
      </c>
      <c r="D40" t="inlineStr">
        <is>
          <t>1</t>
        </is>
      </c>
      <c r="E40" t="inlineStr">
        <is>
          <t>21</t>
        </is>
      </c>
      <c r="F40" t="inlineStr">
        <is>
          <t>5</t>
        </is>
      </c>
      <c r="G40" t="inlineStr">
        <is>
          <t>0</t>
        </is>
      </c>
      <c r="H40" t="inlineStr">
        <is>
          <t>7³</t>
        </is>
      </c>
      <c r="I40" t="n">
        <v>3</v>
      </c>
      <c r="J40" t="inlineStr">
        <is>
          <t>3¹, 6³</t>
        </is>
      </c>
      <c r="K40">
        <f>HYPERLINK("CSG0.html#group7A0", "7A⁰")</f>
        <v/>
      </c>
      <c r="L40">
        <f>HYPERLINK("CSG0.html#group7G0", "7G⁰"), =HYPERLINK("CSG1.html#group7A1", "7A¹"), =HYPERLINK("CSG1.html#group14E1", "14E¹"), =HYPERLINK("CSG1.html#group21E1", "21E¹"), =HYPERLINK("CSG2.html#group14B2", "14B²"), =HYPERLINK("CSG2.html#group14F2", "14F²"), =HYPERLINK("CSG3.html#group14A3", "14A³"), =HYPERLINK("CSG4.html#group28B4", "28B⁴"), =HYPERLINK("CSG5.html#group21A5", "21A⁵"), =HYPERLINK("CSG6.html#group35E6", "35E⁶"), =HYPERLINK("CSG7.html#group35A7", "35A⁷"), =HYPERLINK("CSG9.html#group49A9", "49A⁹"), =HYPERLINK("CSG13.html#group35A13", "35A¹³"), =HYPERLINK("CSG15.html#group77A15", "77A¹⁵"), =HYPERLINK("CSG19.html#group77A19", "77A¹⁹"), =HYPERLINK("CSG20.html#group91A20", "91A²⁰")</f>
        <v/>
      </c>
      <c r="M40">
        <f>HYPERLINK("CSG0.html#group1A0", "1A⁰"), =HYPERLINK("CSG0.html#group7A0", "7A⁰")</f>
        <v/>
      </c>
      <c r="N40">
        <f>HYPERLINK("CSG22.html#group84M22", "84M²²"), =HYPERLINK("CSG19.html#group49A19", "49A¹⁹"), =HYPERLINK("CSG12.html#group42B12", "42B¹²"), =HYPERLINK("CSG23.html#group56B23", "56B²³"), =HYPERLINK("CSG15.html#group21B15", "21B¹⁵"), =HYPERLINK("CSG24.html#group42D24", "42D²⁴"), =HYPERLINK("CSG5.html#group14C5", "14C⁵"), =HYPERLINK("CSG24.html#group98A24", "98A²⁴"), =HYPERLINK("CSG14.html#group56G14", "56G¹⁴"), =HYPERLINK("CSG0.html#group7G0", "7G⁰"), =HYPERLINK("CSG23.html#group28E23", "28E²³"), =HYPERLINK("CSG13.html#group28D13", "28D¹³"), =HYPERLINK("CSG12.html#group21A12", "21A¹²"), =HYPERLINK("CSG22.html#group56B22", "56B²²"), =HYPERLINK("CSG14.html#group42F14", "42F¹⁴"), =HYPERLINK("CSG16.html#group56B16", "56B¹⁶"), =HYPERLINK("CSG11.html#group56H11", "56H¹¹"), =HYPERLINK("CSG10.html#group42A10", "42A¹⁰"), =HYPERLINK("CSG15.html#group56G15", "56G¹⁵"), =HYPERLINK("CSG17.html#group70A17", "70A¹⁷"), =HYPERLINK("CSG18.html#group56A18", "56A¹⁸"), =HYPERLINK("CSG8.html#group28B8", "28B⁸"), =HYPERLINK("CSG19.html#group63A19", "63A¹⁹"), =HYPERLINK("CSG1.html#group7A1", "7A¹"), =HYPERLINK("CSG5.html#group42H5", "42H⁵"), =HYPERLINK("CSG15.html#group28G15", "28G¹⁵"), =HYPERLINK("CSG19.html#group42F19", "42F¹⁹"), =HYPERLINK("CSG15.html#group56H15", "56H¹⁵"), =HYPERLINK("CSG24.html#group63B24", "63B²⁴"), =HYPERLINK("CSG15.html#group56F15", "56F¹⁵"), =HYPERLINK("CSG24.html#group56L24", "56L²⁴"), =HYPERLINK("CSG16.html#group63C16", "63C¹⁶"), =HYPERLINK("CSG2.html#group14B2", "14B²"), =HYPERLINK("CSG7.html#group14B7", "14B⁷"), =HYPERLINK("CSG14.html#group28A14", "28A¹⁴"), =HYPERLINK("CSG9.html#group14C9", "14C⁹"), =HYPERLINK("CSG22.html#group105B22", "105B²²"), =HYPERLINK("CSG8.html#group28A8", "28A⁸"), =HYPERLINK("CSG15.html#group42C15", "42C¹⁵"), =HYPERLINK("CSG17.html#group42A17", "42A¹⁷"), =HYPERLINK("CSG23.html#group70A23", "70A²³"), =HYPERLINK("CSG23.html#group56K23", "56K²³"), =HYPERLINK("CSG24.html#group63C24", "63C²⁴"), =HYPERLINK("CSG16.html#group70B16", "70B¹⁶"), =HYPERLINK("CSG16.html#group42A16", "42A¹⁶"), =HYPERLINK("CSG17.html#group42E17", "42E¹⁷"), =HYPERLINK("CSG14.html#group42D14", "42D¹⁴"), =HYPERLINK("CSG6.html#group28J6", "28J⁶"), =HYPERLINK("CSG16.html#group35A16", "35A¹⁶"), =HYPERLINK("CSG6.html#group21C6", "21C⁶"), =HYPERLINK("CSG14.html#group42A14", "42A¹⁴"), =HYPERLINK("CSG15.html#group42E15", "42E¹⁵"), =HYPERLINK("CSG23.html#group84F23", "84F²³"), =HYPERLINK("CSG15.html#group77A15", "77A¹⁵"), =HYPERLINK("CSG24.html#group63G24", "63G²⁴"), =HYPERLINK("CSG16.html#group21A16", "21A¹⁶"), =HYPERLINK("CSG16.html#group42F16", "42F¹⁶"), =HYPERLINK("CSG12.html#group35B12", "35B¹²"), =HYPERLINK("CSG7.html#group21A7", "21A⁷"), =HYPERLINK("CSG23.html#group42L23", "42L²³"), =HYPERLINK("CSG18.html#group49A18", "49A¹⁸"), =HYPERLINK("CSG19.html#group35C19", "35C¹⁹"), =HYPERLINK("CSG16.html#group28E16", "28E¹⁶"), =HYPERLINK("CSG16.html#group42G16", "42G¹⁶"), =HYPERLINK("CSG19.html#group42M19", "42M¹⁹"), =HYPERLINK("CSG13.html#group35A13", "35A¹³"), =HYPERLINK("CSG15.html#group42G15", "42G¹⁵"), =HYPERLINK("CSG6.html#group35E6", "35E⁶"), =HYPERLINK("CSG7.html#group42G7", "42G⁷"), =HYPERLINK("CSG24.html#group42C24", "42C²⁴"), =HYPERLINK("CSG5.html#group14B5", "14B⁵"), =HYPERLINK("CSG12.html#group28A12", "28A¹²"), =HYPERLINK("CSG21.html#group63D21", "63D²¹"), =HYPERLINK("CSG18.html#group70E18", "70E¹⁸"), =HYPERLINK("CSG24.html#group70A24", "70A²⁴"), =HYPERLINK("CSG23.html#group98A23", "98A²³"), =HYPERLINK("CSG13.html#group35C13", "35C¹³"), =HYPERLINK("CSG15.html#group28D15", "28D¹⁵"), =HYPERLINK("CSG23.html#group42K23", "42K²³"), =HYPERLINK("CSG22.html#group63B22", "63B²²"), =HYPERLINK("CSG19.html#group42B19", "42B¹⁹"), =HYPERLINK("CSG19.html#group28C19", "28C¹⁹"), =HYPERLINK("CSG1.html#group21E1", "21E¹"), =HYPERLINK("CSG24.html#group56N24", "56N²⁴"), =HYPERLINK("CSG13.html#group42I13", "42I¹³"), =HYPERLINK("CSG15.html#group28H15", "28H¹⁵"), =HYPERLINK("CSG7.html#group35A7", "35A⁷"), =HYPERLINK("CSG16.html#group28F16", "28F¹⁶"), =HYPERLINK("CSG15.html#group28F15", "28F¹⁵"), =HYPERLINK("CSG9.html#group21C9", "21C⁹"), =HYPERLINK("CSG23.html#group56C23", "56C²³"), =HYPERLINK("CSG7.html#group28C7", "28C⁷"), =HYPERLINK("CSG15.html#group21A15", "21A¹⁵"), =HYPERLINK("CSG13.html#group21A13", "21A¹³"), =HYPERLINK("CSG15.html#group28E15", "28E¹⁵"), =HYPERLINK("CSG23.html#group42E23", "42E²³"), =HYPERLINK("CSG10.html#group28B10", "28B¹⁰"), =HYPERLINK("CSG23.html#group42C23", "42C²³"), =HYPERLINK("CSG17.html#group21A17", "21A¹⁷"), =HYPERLINK("CSG17.html#group14A17", "14A¹⁷"), =HYPERLINK("CSG9.html#group21A9", "21A⁹"), =HYPERLINK("CSG15.html#group35A15", "35A¹⁵"), =HYPERLINK("CSG11.html#group56I11", "56I¹¹"), =HYPERLINK("CSG13.html#group14B13", "14B¹³"), =HYPERLINK("CSG16.html#group28D16", "28D¹⁶"), =HYPERLINK("CSG14.html#group28C14", "28C¹⁴"), =HYPERLINK("CSG14.html#group42C14", "42C¹⁴"), =HYPERLINK("CSG16.html#group42D16", "42D¹⁶"), =HYPERLINK("CSG14.html#group35B14", "35B¹⁴"), =HYPERLINK("CSG16.html#group56A16", "56A¹⁶"), =HYPERLINK("CSG23.html#group42I23", "42I²³"), =HYPERLINK("CSG19.html#group42H19", "42H¹⁹"), =HYPERLINK("CSG10.html#group42B10", "42B¹⁰"), =HYPERLINK("CSG23.html#group56L23", "56L²³"), =HYPERLINK("CSG14.html#group21A14", "21A¹⁴"), =HYPERLINK("CSG9.html#group63D9", "63D⁹"), =HYPERLINK("CSG13.html#group42K13", "42K¹³"), =HYPERLINK("CSG12.html#group21B12", "21B¹²"), =HYPERLINK("CSG5.html#group14A5", "14A⁵"), =HYPERLINK("CSG3.html#group14A3", "14A³"), =HYPERLINK("CSG17.html#group42B17", "42B¹⁷"), =HYPERLINK("CSG23.html#group42D23", "42D²³"), =HYPERLINK("CSG22.html#group84N22", "84N²²"), =HYPERLINK("CSG21.html#group56I21", "56I²¹"), =HYPERLINK("CSG1.html#group14E1", "14E¹"), =HYPERLINK("CSG22.html#group105C22", "105C²²"), =HYPERLINK("CSG9.html#group28C9", "28C⁹"), =HYPERLINK("CSG24.html#group56M24", "56M²⁴"), =HYPERLINK("CSG16.html#group28B16", "28B¹⁶"), =HYPERLINK("CSG19.html#group42C19", "42C¹⁹"), =HYPERLINK("CSG22.html#group56A22", "56A²²"), =HYPERLINK("CSG24.html#group126D24", "126D²⁴"), =HYPERLINK("CSG10.html#group42K10", "42K¹⁰"), =HYPERLINK("CSG14.html#group42E14", "42E¹⁴"), =HYPERLINK("CSG22.html#group98A22", "98A²²"), =HYPERLINK("CSG4.html#group28B4", "28B⁴"), =HYPERLINK("CSG12.html#group28D12", "28D¹²"), =HYPERLINK("CSG6.html#group28I6", "28I⁶"), =HYPERLINK("CSG22.html#group56H22", "56H²²"), =HYPERLINK("CSG13.html#group21B13", "21B¹³"), =HYPERLINK("CSG19.html#group56A19", "56A¹⁹"), =HYPERLINK("CSG11.html#group14A11", "14A¹¹"), =HYPERLINK("CSG11.html#group56J11", "56J¹¹"), =HYPERLINK("CSG14.html#group35D14", "35D¹⁴"), =HYPERLINK("CSG13.html#group28C13", "28C¹³"), =HYPERLINK("CSG19.html#group42E19", "42E¹⁹"), =HYPERLINK("CSG3.html#group14F3", "14F³"), =HYPERLINK("CSG2.html#group14F2", "14F²"), =HYPERLINK("CSG11.html#group42L11", "42L¹¹"), =HYPERLINK("CSG12.html#group42C12", "42C¹²"), =HYPERLINK("CSG15.html#group70A15", "70A¹⁵"), =HYPERLINK("CSG22.html#group42B22", "42B²²"), =HYPERLINK("CSG13.html#group84J13", "84J¹³"), =HYPERLINK("CSG24.html#group126E24", "126E²⁴"), =HYPERLINK("CSG4.html#group14A4", "14A⁴"), =HYPERLINK("CSG15.html#group35D15", "35D¹⁵"), =HYPERLINK("CSG14.html#group70H14", "70H¹⁴"), =HYPERLINK("CSG11.html#group21D11", "21D¹¹"), =HYPERLINK("CSG6.html#group42D6", "42D⁶"), =HYPERLINK("CSG16.html#group28C16", "28C¹⁶"), =HYPERLINK("CSG1.html#group7C1", "7C¹"), =HYPERLINK("CSG5.html#group21A5", "21A⁵"), =HYPERLINK("CSG20.html#group91A20", "91A²⁰"), =HYPERLINK("CSG5.html#group14F5", "14F⁵"), =HYPERLINK("CSG16.html#group28A16", "28A¹⁶"), =HYPERLINK("CSG7.html#group14A7", "14A⁷"), =HYPERLINK("CSG5.html#group21D5", "21D⁵"), =HYPERLINK("CSG22.html#group42A22", "42A²²"), =HYPERLINK("CSG16.html#group70G16", "70G¹⁶"), =HYPERLINK("CSG24.html#group56K24", "56K²⁴"), =HYPERLINK("CSG19.html#group63B19", "63B¹⁹"), =HYPERLINK("CSG11.html#group28I11", "28I¹¹"), =HYPERLINK("CSG16.html#group56D16", "56D¹⁶"), =HYPERLINK("CSG24.html#group63F24", "63F²⁴"), =HYPERLINK("CSG7.html#group28B7", "28B⁷"), =HYPERLINK("CSG18.html#group42A18", "42A¹⁸"), =HYPERLINK("CSG4.html#group21E4", "21E⁴"), =HYPERLINK("CSG11.html#group28B11", "28B¹¹"), =HYPERLINK("CSG23.html#group63B23", "63B²³"), =HYPERLINK("CSG4.html#group21D4", "21D⁴"), =HYPERLINK("CSG4.html#group42I4", "42I⁴"), =HYPERLINK("CSG15.html#group70E15", "70E¹⁵"), =HYPERLINK("CSG7.html#group42H7", "42H⁷"), =HYPERLINK("CSG17.html#group42D17", "42D¹⁷"), =HYPERLINK("CSG9.html#group14A9", "14A⁹"), =HYPERLINK("CSG13.html#group28E13", "28E¹³"), =HYPERLINK("CSG14.html#group28B14", "28B¹⁴"), =HYPERLINK("CSG17.html#group56B17", "56B¹⁷"), =HYPERLINK("CSG6.html#group14A6", "14A⁶"), =HYPERLINK("CSG13.html#group42J13", "42J¹³"), =HYPERLINK("CSG23.html#group14A23", "14A²³"), =HYPERLINK("CSG5.html#group14G5", "14G⁵"), =HYPERLINK("CSG24.html#group84E24", "84E²⁴"), =HYPERLINK("CSG11.html#group56K11", "56K¹¹"), =HYPERLINK("CSG9.html#group49A9", "49A⁹"), =HYPERLINK("CSG22.html#group105D22", "105D²²"), =HYPERLINK("CSG19.html#group70A19", "70A¹⁹"), =HYPERLINK("CSG5.html#group28H5", "28H⁵"), =HYPERLINK("CSG12.html#group42F12", "42F¹²"), =HYPERLINK("CSG19.html#group42A19", "42A¹⁹"), =HYPERLINK("CSG22.html#group63A22", "63A²²"), =HYPERLINK("CSG15.html#group28C15", "28C¹⁵"), =HYPERLINK("CSG14.html#group42B14", "42B¹⁴"), =HYPERLINK("CSG22.html#group42C22", "42C²²"), =HYPERLINK("CSG19.html#group77A19", "77A¹⁹"), =HYPERLINK("CSG19.html#group42D19", "42D¹⁹"), =HYPERLINK("CSG23.html#group28B23", "28B²³"), =HYPERLINK("CSG13.html#group28B13", "28B¹³"), =HYPERLINK("CSG21.html#group28F21", "28F²¹"), =HYPERLINK("CSG16.html#group56C16", "56C¹⁶"), =HYPERLINK("CSG15.html#group42F15", "42F¹⁵"), =HYPERLINK("CSG17.html#group70F17", "70F¹⁷"), =HYPERLINK("CSG13.html#group14C13", "14C¹³"), =HYPERLINK("CSG23.html#group28D23", "28D²³"), =HYPERLINK("CSG24.html#group126B24", "126B²⁴"), =HYPERLINK("CSG13.html#group14A13", "14A¹³"), =HYPERLINK("CSG3.html#group7A3", "7A³"), =HYPERLINK("CSG15.html#group56E15", "56E¹⁵"), =HYPERLINK("CSG21.html#group126R21", "126R²¹"), =HYPERLINK("CSG12.html#group21C12", "21C¹²"), =HYPERLINK("CSG21.html#group126Q21", "126Q²¹"), =HYPERLINK("CSG19.html#group14A19", "14A¹⁹"), =HYPERLINK("CSG21.html#group28A21", "28A²¹"), =HYPERLINK("CSG23.html#group28A23", "28A²³")</f>
        <v/>
      </c>
    </row>
    <row r="41">
      <c r="A41" t="inlineStr">
        <is>
          <t>7E⁰</t>
        </is>
      </c>
      <c r="B41" t="inlineStr">
        <is>
          <t>Γ₁(7)</t>
        </is>
      </c>
      <c r="C41" t="inlineStr">
        <is>
          <t>24</t>
        </is>
      </c>
      <c r="D41" t="inlineStr">
        <is>
          <t>1</t>
        </is>
      </c>
      <c r="E41" t="inlineStr">
        <is>
          <t>8</t>
        </is>
      </c>
      <c r="F41" t="inlineStr">
        <is>
          <t>0</t>
        </is>
      </c>
      <c r="G41" t="inlineStr">
        <is>
          <t>0</t>
        </is>
      </c>
      <c r="H41" t="inlineStr">
        <is>
          <t>1³, 7³</t>
        </is>
      </c>
      <c r="I41" t="n">
        <v>6</v>
      </c>
      <c r="J41" t="inlineStr">
        <is>
          <t>1², 6¹</t>
        </is>
      </c>
      <c r="K41">
        <f>HYPERLINK("CSG0.html#group7B0", "7B⁰")</f>
        <v/>
      </c>
      <c r="L41">
        <f>HYPERLINK("CSG1.html#group14H1", "14H¹"), =HYPERLINK("CSG2.html#group14D2", "14D²"), =HYPERLINK("CSG3.html#group7A3", "7A³"), =HYPERLINK("CSG3.html#group21D3", "21D³"), =HYPERLINK("CSG3.html#group49A3", "49A³"), =HYPERLINK("CSG4.html#group21A4", "21A⁴"), =HYPERLINK("CSG6.html#group28F6", "28F⁶"), =HYPERLINK("CSG7.html#group35B7", "35B⁷"), =HYPERLINK("CSG8.html#group35B8", "35B⁸"), =HYPERLINK("CSG12.html#group49A12", "49A¹²"), =HYPERLINK("CSG12.html#group49B12", "49B¹²"), =HYPERLINK("CSG15.html#group35B15", "35B¹⁵"), =HYPERLINK("CSG19.html#group77B19", "77B¹⁹"), =HYPERLINK("CSG20.html#group77A20", "77A²⁰"), =HYPERLINK("CSG23.html#group91A23", "91A²³")</f>
        <v/>
      </c>
      <c r="M41">
        <f>HYPERLINK("CSG0.html#group1A0", "1A⁰"), =HYPERLINK("CSG0.html#group7B0", "7B⁰")</f>
        <v/>
      </c>
      <c r="N41">
        <f>HYPERLINK("CSG13.html#group63E13", "63E¹³"), =HYPERLINK("CSG14.html#group56B14", "56B¹⁴"), =HYPERLINK("CSG13.html#group42L13", "42L¹³"), =HYPERLINK("CSG7.html#group35B7", "35B⁷"), =HYPERLINK("CSG15.html#group35B15", "35B¹⁵"), =HYPERLINK("CSG19.html#group42O19", "42O¹⁹"), =HYPERLINK("CSG19.html#group70E19", "70E¹⁹"), =HYPERLINK("CSG2.html#group14D2", "14D²"), =HYPERLINK("CSG13.html#group56O13", "56O¹³"), =HYPERLINK("CSG11.html#group42F11", "42F¹¹"), =HYPERLINK("CSG4.html#group14B4", "14B⁴"), =HYPERLINK("CSG4.html#group21A4", "21A⁴"), =HYPERLINK("CSG19.html#group56B19", "56B¹⁹"), =HYPERLINK("CSG22.html#group84G22", "84G²²"), =HYPERLINK("CSG16.html#group28G16", "28G¹⁶"), =HYPERLINK("CSG22.html#group84E22", "84E²²"), =HYPERLINK("CSG19.html#group56C19", "56C¹⁹"), =HYPERLINK("CSG19.html#group70F19", "70F¹⁹"), =HYPERLINK("CSG10.html#group56F10", "56F¹⁰"), =HYPERLINK("CSG3.html#group21D3", "21D³"), =HYPERLINK("CSG16.html#group63A16", "63A¹⁶"), =HYPERLINK("CSG19.html#group98A19", "98A¹⁹"), =HYPERLINK("CSG12.html#group49A12", "49A¹²"), =HYPERLINK("CSG12.html#group49B12", "49B¹²"), =HYPERLINK("CSG13.html#group35D13", "35D¹³"), =HYPERLINK("CSG23.html#group91A23", "91A²³"), =HYPERLINK("CSG11.html#group28G11", "28G¹¹"), =HYPERLINK("CSG10.html#group28C10", "28C¹⁰"), =HYPERLINK("CSG16.html#group56E16", "56E¹⁶"), =HYPERLINK("CSG21.html#group28N21", "28N²¹"), =HYPERLINK("CSG19.html#group42N19", "42N¹⁹"), =HYPERLINK("CSG4.html#group28F4", "28F⁴"), =HYPERLINK("CSG17.html#group14A17", "14A¹⁷"), =HYPERLINK("CSG17.html#group98A17", "98A¹⁷"), =HYPERLINK("CSG22.html#group35A22", "35A²²"), =HYPERLINK("CSG6.html#group28D6", "28D⁶"), =HYPERLINK("CSG11.html#group42E11", "42E¹¹"), =HYPERLINK("CSG20.html#group77A20", "77A²⁰"), =HYPERLINK("CSG18.html#group70B18", "70B¹⁸"), =HYPERLINK("CSG19.html#group63H19", "63H¹⁹"), =HYPERLINK("CSG3.html#group7A3", "7A³"), =HYPERLINK("CSG3.html#group49A3", "49A³"), =HYPERLINK("CSG7.html#group21B7", "21B⁷"), =HYPERLINK("CSG13.html#group42H13", "42H¹³"), =HYPERLINK("CSG16.html#group56F16", "56F¹⁶"), =HYPERLINK("CSG6.html#group28F6", "28F⁶"), =HYPERLINK("CSG8.html#group35B8", "35B⁸"), =HYPERLINK("CSG19.html#group77B19", "77B¹⁹"), =HYPERLINK("CSG16.html#group28H16", "28H¹⁶"), =HYPERLINK("CSG19.html#group14A19", "14A¹⁹"), =HYPERLINK("CSG10.html#group28D10", "28D¹⁰"), =HYPERLINK("CSG21.html#group42G21", "42G²¹"), =HYPERLINK("CSG22.html#group84B22", "84B²²"), =HYPERLINK("CSG1.html#group14H1", "14H¹"), =HYPERLINK("CSG10.html#group42D10", "42D¹⁰"), =HYPERLINK("CSG5.html#group21E5", "21E⁵"), =HYPERLINK("CSG13.html#group28F13", "28F¹³"), =HYPERLINK("CSG10.html#group42H10", "42H¹⁰"), =HYPERLINK("CSG10.html#group42F10", "42F¹⁰"), =HYPERLINK("CSG13.html#group21C13", "21C¹³"), =HYPERLINK("CSG22.html#group84C22", "84C²²"), =HYPERLINK("CSG19.html#group63G19", "63G¹⁹"), =HYPERLINK("CSG7.html#group28D7", "28D⁷")</f>
        <v/>
      </c>
    </row>
    <row r="42">
      <c r="A42" t="inlineStr">
        <is>
          <t>7F⁰</t>
        </is>
      </c>
      <c r="B42" t="inlineStr"/>
      <c r="C42" t="inlineStr">
        <is>
          <t>28</t>
        </is>
      </c>
      <c r="D42" t="inlineStr">
        <is>
          <t>1</t>
        </is>
      </c>
      <c r="E42" t="inlineStr">
        <is>
          <t>28</t>
        </is>
      </c>
      <c r="F42" t="inlineStr">
        <is>
          <t>4</t>
        </is>
      </c>
      <c r="G42" t="inlineStr">
        <is>
          <t>1</t>
        </is>
      </c>
      <c r="H42" t="inlineStr">
        <is>
          <t>7⁴</t>
        </is>
      </c>
      <c r="I42" t="n">
        <v>4</v>
      </c>
      <c r="J42" t="inlineStr">
        <is>
          <t>1¹, 3¹, 6⁴</t>
        </is>
      </c>
      <c r="K42">
        <f>HYPERLINK("CSG0.html#group7A0", "7A⁰")</f>
        <v/>
      </c>
      <c r="L42">
        <f>HYPERLINK("CSG1.html#group7B1", "7B¹"), =HYPERLINK("CSG1.html#group7C1", "7C¹"), =HYPERLINK("CSG1.html#group14G1", "14G¹"), =HYPERLINK("CSG3.html#group14C3", "14C³"), =HYPERLINK("CSG3.html#group14D3", "14D³"), =HYPERLINK("CSG3.html#group21C3", "21C³"), =HYPERLINK("CSG6.html#group21B6", "21B⁶"), =HYPERLINK("CSG6.html#group28H6", "28H⁶"), =HYPERLINK("CSG9.html#group35A9", "35A⁹"), =HYPERLINK("CSG9.html#group35D9", "35D⁹"), =HYPERLINK("CSG9.html#group49B9", "49B⁹"), =HYPERLINK("CSG18.html#group35A18", "35A¹⁸"), =HYPERLINK("CSG21.html#group77A21", "77A²¹")</f>
        <v/>
      </c>
      <c r="M42">
        <f>HYPERLINK("CSG0.html#group1A0", "1A⁰"), =HYPERLINK("CSG0.html#group7A0", "7A⁰")</f>
        <v/>
      </c>
      <c r="N42">
        <f>HYPERLINK("CSG21.html#group21C21", "21C²¹"), =HYPERLINK("CSG21.html#group56H21", "56H²¹"), =HYPERLINK("CSG15.html#group42B15", "42B¹⁵"), =HYPERLINK("CSG21.html#group70I21", "70I²¹"), =HYPERLINK("CSG17.html#group21B17", "21B¹⁷"), =HYPERLINK("CSG17.html#group56E17", "56E¹⁷"), =HYPERLINK("CSG21.html#group56C21", "56C²¹"), =HYPERLINK("CSG23.html#group28E23", "28E²³"), =HYPERLINK("CSG7.html#group21C7", "21C⁷"), =HYPERLINK("CSG21.html#group84M21", "84M²¹"), =HYPERLINK("CSG19.html#group35A19", "35A¹⁹"), =HYPERLINK("CSG21.html#group77A21", "77A²¹"), =HYPERLINK("CSG19.html#group70C19", "70C¹⁹"), =HYPERLINK("CSG21.html#group84K21", "84K²¹"), =HYPERLINK("CSG21.html#group28B21", "28B²¹"), =HYPERLINK("CSG11.html#group28A11", "28A¹¹"), =HYPERLINK("CSG23.html#group42B23", "42B²³"), =HYPERLINK("CSG21.html#group84I21", "84I²¹"), =HYPERLINK("CSG3.html#group14C3", "14C³"), =HYPERLINK("CSG21.html#group42C21", "42C²¹"), =HYPERLINK("CSG11.html#group21A11", "21A¹¹"), =HYPERLINK("CSG21.html#group56B21", "56B²¹"), =HYPERLINK("CSG13.html#group42A13", "42A¹³"), =HYPERLINK("CSG17.html#group28A17", "28A¹⁷"), =HYPERLINK("CSG21.html#group28E21", "28E²¹"), =HYPERLINK("CSG17.html#group14B17", "14B¹⁷"), =HYPERLINK("CSG21.html#group21A21", "21A²¹"), =HYPERLINK("CSG7.html#group14B7", "14B⁷"), =HYPERLINK("CSG9.html#group14C9", "14C⁹"), =HYPERLINK("CSG9.html#group28B9", "28B⁹"), =HYPERLINK("CSG21.html#group56G21", "56G²¹"), =HYPERLINK("CSG21.html#group56E21", "56E²¹"), =HYPERLINK("CSG19.html#group28A19", "28A¹⁹"), =HYPERLINK("CSG15.html#group28A15", "28A¹⁵"), =HYPERLINK("CSG21.html#group28D21", "28D²¹"), =HYPERLINK("CSG1.html#group7C1", "7C¹"), =HYPERLINK("CSG1.html#group14G1", "14G¹"), =HYPERLINK("CSG6.html#group14B6", "14B⁶"), =HYPERLINK("CSG21.html#group35A21", "35A²¹"), =HYPERLINK("CSG9.html#group49B9", "49B⁹"), =HYPERLINK("CSG3.html#group14D3", "14D³"), =HYPERLINK("CSG21.html#group84J21", "84J²¹"), =HYPERLINK("CSG11.html#group42A11", "42A¹¹"), =HYPERLINK("CSG21.html#group70H21", "70H²¹"), =HYPERLINK("CSG21.html#group56F21", "56F²¹"), =HYPERLINK("CSG21.html#group56A21", "56A²¹"), =HYPERLINK("CSG21.html#group42E21", "42E²¹"), =HYPERLINK("CSG15.html#group63A15", "63A¹⁵"), =HYPERLINK("CSG21.html#group28I21", "28I²¹"), =HYPERLINK("CSG19.html#group28B19", "28B¹⁹"), =HYPERLINK("CSG17.html#group42K17", "42K¹⁷"), =HYPERLINK("CSG24.html#group63A24", "63A²⁴"), =HYPERLINK("CSG7.html#group42N7", "42N⁷"), =HYPERLINK("CSG9.html#group21B9", "21B⁹"), =HYPERLINK("CSG21.html#group35B21", "35B²¹"), =HYPERLINK("CSG13.html#group28A13", "28A¹³"), =HYPERLINK("CSG17.html#group56F17", "56F¹⁷"), =HYPERLINK("CSG9.html#group28A9", "28A⁹"), =HYPERLINK("CSG5.html#group28F5", "28F⁵"), =HYPERLINK("CSG21.html#group84L21", "84L²¹"), =HYPERLINK("CSG24.html#group98B24", "98B²⁴"), =HYPERLINK("CSG21.html#group21B21", "21B²¹"), =HYPERLINK("CSG5.html#group28G5", "28G⁵"), =HYPERLINK("CSG15.html#group42A15", "42A¹⁵"), =HYPERLINK("CSG17.html#group35B17", "35B¹⁷"), =HYPERLINK("CSG21.html#group28J21", "28J²¹"), =HYPERLINK("CSG7.html#group14D7", "14D⁷"), =HYPERLINK("CSG17.html#group28B17", "28B¹⁷"), =HYPERLINK("CSG9.html#group14A9", "14A⁹"), =HYPERLINK("CSG6.html#group21B6", "21B⁶"), =HYPERLINK("CSG3.html#group21C3", "21C³"), =HYPERLINK("CSG23.html#group42A23", "42A²³"), =HYPERLINK("CSG9.html#group35D9", "35D⁹"), =HYPERLINK("CSG15.html#group42D15", "42D¹⁵"), =HYPERLINK("CSG6.html#group28H6", "28H⁶"), =HYPERLINK("CSG23.html#group14A23", "14A²³"), =HYPERLINK("CSG22.html#group98B22", "98B²²"), =HYPERLINK("CSG12.html#group42A12", "42A¹²"), =HYPERLINK("CSG17.html#group28D17", "28D¹⁷"), =HYPERLINK("CSG15.html#group56C15", "56C¹⁵"), =HYPERLINK("CSG15.html#group56B15", "56B¹⁵"), =HYPERLINK("CSG21.html#group63C21", "63C²¹"), =HYPERLINK("CSG13.html#group21A13", "21A¹³"), =HYPERLINK("CSG9.html#group35A9", "35A⁹"), =HYPERLINK("CSG7.html#group28E7", "28E⁷"), =HYPERLINK("CSG17.html#group21A17", "21A¹⁷"), =HYPERLINK("CSG17.html#group14A17", "14A¹⁷"), =HYPERLINK("CSG24.html#group42A24", "42A²⁴"), =HYPERLINK("CSG21.html#group28F21", "28F²¹"), =HYPERLINK("CSG10.html#group21A10", "21A¹⁰"), =HYPERLINK("CSG7.html#group14C7", "14C⁷"), =HYPERLINK("CSG9.html#group42B9", "42B⁹"), =HYPERLINK("CSG21.html#group42B21", "42B²¹"), =HYPERLINK("CSG11.html#group28H11", "28H¹¹"), =HYPERLINK("CSG21.html#group28H21", "28H²¹"), =HYPERLINK("CSG3.html#group7A3", "7A³"), =HYPERLINK("CSG18.html#group35A18", "35A¹⁸"), =HYPERLINK("CSG21.html#group28C21", "28C²¹"), =HYPERLINK("CSG5.html#group14E5", "14E⁵"), =HYPERLINK("CSG15.html#group28B15", "28B¹⁵"), =HYPERLINK("CSG17.html#group28C17", "28C¹⁷"), =HYPERLINK("CSG21.html#group70A21", "70A²¹"), =HYPERLINK("CSG19.html#group14A19", "14A¹⁹"), =HYPERLINK("CSG21.html#group56D21", "56D²¹"), =HYPERLINK("CSG9.html#group14B9", "14B⁹"), =HYPERLINK("CSG21.html#group28A21", "28A²¹"), =HYPERLINK("CSG19.html#group49B19", "49B¹⁹"), =HYPERLINK("CSG21.html#group42A21", "42A²¹"), =HYPERLINK("CSG15.html#group14A15", "14A¹⁵"), =HYPERLINK("CSG21.html#group28G21", "28G²¹"), =HYPERLINK("CSG11.html#group21C11", "21C¹¹"), =HYPERLINK("CSG1.html#group7B1", "7B¹")</f>
        <v/>
      </c>
    </row>
    <row r="43">
      <c r="A43" t="inlineStr">
        <is>
          <t>7G⁰</t>
        </is>
      </c>
      <c r="B43" t="inlineStr"/>
      <c r="C43" t="inlineStr">
        <is>
          <t>42</t>
        </is>
      </c>
      <c r="D43" t="inlineStr">
        <is>
          <t>2</t>
        </is>
      </c>
      <c r="E43" t="inlineStr">
        <is>
          <t>7</t>
        </is>
      </c>
      <c r="F43" t="inlineStr">
        <is>
          <t>6</t>
        </is>
      </c>
      <c r="G43" t="inlineStr">
        <is>
          <t>0</t>
        </is>
      </c>
      <c r="H43" t="inlineStr">
        <is>
          <t>7⁶</t>
        </is>
      </c>
      <c r="I43" t="n">
        <v>6</v>
      </c>
      <c r="J43" t="inlineStr">
        <is>
          <t>2¹, 6²</t>
        </is>
      </c>
      <c r="K43">
        <f>HYPERLINK("CSG0.html#group7C0", "7C⁰"), =HYPERLINK("CSG0.html#group7D0", "7D⁰")</f>
        <v/>
      </c>
      <c r="L43">
        <f>HYPERLINK("CSG1.html#group7C1", "7C¹"), =HYPERLINK("CSG3.html#group14F3", "14F³"), =HYPERLINK("CSG4.html#group14A4", "14A⁴"), =HYPERLINK("CSG4.html#group21E4", "21E⁴"), =HYPERLINK("CSG5.html#group14C5", "14C⁵"), =HYPERLINK("CSG9.html#group21C9", "21C⁹"), =HYPERLINK("CSG9.html#group28C9", "28C⁹"), =HYPERLINK("CSG13.html#group35C13", "35C¹³"), =HYPERLINK("CSG14.html#group35B14", "35B¹⁴"), =HYPERLINK("CSG18.html#group49A18", "49A¹⁸")</f>
        <v/>
      </c>
      <c r="M43">
        <f>HYPERLINK("CSG0.html#group7D0", "7D⁰"), =HYPERLINK("CSG0.html#group1A0", "1A⁰"), =HYPERLINK("CSG0.html#group7C0", "7C⁰"), =HYPERLINK("CSG0.html#group7A0", "7A⁰")</f>
        <v/>
      </c>
      <c r="N43">
        <f>HYPERLINK("CSG23.html#group56B23", "56B²³"), =HYPERLINK("CSG5.html#group14C5", "14C⁵"), =HYPERLINK("CSG23.html#group28E23", "28E²³"), =HYPERLINK("CSG13.html#group28E13", "28E¹³"), =HYPERLINK("CSG13.html#group28D13", "28D¹³"), =HYPERLINK("CSG9.html#group14A9", "14A⁹"), =HYPERLINK("CSG13.html#group21B13", "21B¹³"), =HYPERLINK("CSG13.html#group42J13", "42J¹³"), =HYPERLINK("CSG11.html#group14A11", "14A¹¹"), =HYPERLINK("CSG13.html#group35C13", "35C¹³"), =HYPERLINK("CSG23.html#group14A23", "14A²³"), =HYPERLINK("CSG22.html#group63B22", "63B²²"), =HYPERLINK("CSG19.html#group28C19", "28C¹⁹"), =HYPERLINK("CSG13.html#group42I13", "42I¹³"), =HYPERLINK("CSG3.html#group14F3", "14F³"), =HYPERLINK("CSG15.html#group28G15", "28G¹⁵"), =HYPERLINK("CSG19.html#group42F19", "42F¹⁹"), =HYPERLINK("CSG9.html#group21C9", "21C⁹"), =HYPERLINK("CSG23.html#group56C23", "56C²³"), =HYPERLINK("CSG13.html#group21A13", "21A¹³"), =HYPERLINK("CSG23.html#group42E23", "42E²³"), =HYPERLINK("CSG4.html#group14A4", "14A⁴"), =HYPERLINK("CSG22.html#group42C22", "42C²²"), =HYPERLINK("CSG7.html#group14B7", "14B⁷"), =HYPERLINK("CSG17.html#group14A17", "14A¹⁷"), =HYPERLINK("CSG17.html#group21A17", "21A¹⁷"), =HYPERLINK("CSG9.html#group14C9", "14C⁹"), =HYPERLINK("CSG11.html#group21D11", "21D¹¹"), =HYPERLINK("CSG21.html#group28F21", "28F²¹"), =HYPERLINK("CSG15.html#group42F15", "42F¹⁵"), =HYPERLINK("CSG13.html#group14C13", "14C¹³"), =HYPERLINK("CSG23.html#group56K23", "56K²³"), =HYPERLINK("CSG1.html#group7C1", "7C¹"), =HYPERLINK("CSG14.html#group35B14", "35B¹⁴"), =HYPERLINK("CSG23.html#group28D23", "28D²³"), =HYPERLINK("CSG3.html#group7A3", "7A³"), =HYPERLINK("CSG23.html#group42I23", "42I²³"), =HYPERLINK("CSG19.html#group42H19", "42H¹⁹"), =HYPERLINK("CSG23.html#group56L23", "56L²³"), =HYPERLINK("CSG19.html#group14A19", "14A¹⁹"), =HYPERLINK("CSG11.html#group28I11", "28I¹¹"), =HYPERLINK("CSG21.html#group28A21", "28A²¹"), =HYPERLINK("CSG18.html#group49A18", "49A¹⁸"), =HYPERLINK("CSG9.html#group28C9", "28C⁹"), =HYPERLINK("CSG4.html#group21E4", "21E⁴")</f>
        <v/>
      </c>
    </row>
    <row r="44">
      <c r="A44" t="inlineStr">
        <is>
          <t>8A⁰</t>
        </is>
      </c>
      <c r="B44" t="inlineStr"/>
      <c r="C44" t="inlineStr">
        <is>
          <t>8</t>
        </is>
      </c>
      <c r="D44" t="inlineStr">
        <is>
          <t>2</t>
        </is>
      </c>
      <c r="E44" t="inlineStr">
        <is>
          <t>4</t>
        </is>
      </c>
      <c r="F44" t="inlineStr">
        <is>
          <t>2</t>
        </is>
      </c>
      <c r="G44" t="inlineStr">
        <is>
          <t>2</t>
        </is>
      </c>
      <c r="H44" t="inlineStr">
        <is>
          <t>8¹</t>
        </is>
      </c>
      <c r="I44" t="n">
        <v>1</v>
      </c>
      <c r="J44" t="inlineStr">
        <is>
          <t>4²</t>
        </is>
      </c>
      <c r="K44">
        <f>HYPERLINK("CSG0.html#group4A0", "4A⁰")</f>
        <v/>
      </c>
      <c r="L44">
        <f>HYPERLINK("CSG0.html#group8E0", "8E⁰"), =HYPERLINK("CSG0.html#group8M0", "8M⁰"), =HYPERLINK("CSG0.html#group16A0", "16A⁰"), =HYPERLINK("CSG1.html#group8D1", "8D¹"), =HYPERLINK("CSG1.html#group24A1", "24A¹"), =HYPERLINK("CSG2.html#group24A2", "24A²"), =HYPERLINK("CSG2.html#group40A2", "40A²"), =HYPERLINK("CSG3.html#group40B3", "40B³"), =HYPERLINK("CSG3.html#group56C3", "56C³"), =HYPERLINK("CSG3.html#group56D3", "56D³"), =HYPERLINK("CSG4.html#group56A4", "56A⁴"), =HYPERLINK("CSG5.html#group40F5", "40F⁵"), =HYPERLINK("CSG5.html#group88A5", "88A⁵"), =HYPERLINK("CSG5.html#group88B5", "88B⁵"), =HYPERLINK("CSG7.html#group104B7", "104B⁷"), =HYPERLINK("CSG8.html#group88A8", "88A⁸"), =HYPERLINK("CSG11.html#group136B11", "136B¹¹"), =HYPERLINK("CSG12.html#group152A12", "152A¹²"), =HYPERLINK("CSG14.html#group72I14", "72I¹⁴"), =HYPERLINK("CSG16.html#group184A16", "184A¹⁶"), =HYPERLINK("CSG19.html#group232B19", "232B¹⁹"), =HYPERLINK("CSG20.html#group248A20", "248A²⁰"), =HYPERLINK("CSG23.html#group296B23", "296B²³")</f>
        <v/>
      </c>
      <c r="M44">
        <f>HYPERLINK("CSG0.html#group1A0", "1A⁰"), =HYPERLINK("CSG0.html#group4A0", "4A⁰")</f>
        <v/>
      </c>
      <c r="N44">
        <f>HYPERLINK("CSG10.html#group24C10", "24C¹⁰"), =HYPERLINK("CSG9.html#group120A9", "120A⁹"), =HYPERLINK("CSG11.html#group16A11", "16A¹¹"), =HYPERLINK("CSG19.html#group16B19", "16B¹⁹"), =HYPERLINK("CSG18.html#group264A18", "264A¹⁸"), =HYPERLINK("CSG23.html#group56B23", "56B²³"), =HYPERLINK("CSG21.html#group240C21", "240C²¹"), =HYPERLINK("CSG10.html#group144B10", "144B¹⁰"), =HYPERLINK("CSG3.html#group16P3", "16P³"), =HYPERLINK("CSG23.html#group272B23", "272B²³"), =HYPERLINK("CSG11.html#group176A11", "176A¹¹"), =HYPERLINK("CSG24.html#group264A24", "264A²⁴"), =HYPERLINK("CSG23.html#group80E23", "80E²³"), =HYPERLINK("CSG16.html#group112A16", "112A¹⁶"), =HYPERLINK("CSG22.html#group72D22", "72D²²"), =HYPERLINK("CSG24.html#group176A24", "176A²⁴"), =HYPERLINK("CSG17.html#group24AB17", "24AB¹⁷"), =HYPERLINK("CSG15.html#group48A15", "48A¹⁵"), =HYPERLINK("CSG7.html#group72A7", "72A⁷"), =HYPERLINK("CSG4.html#group16B4", "16B⁴"), =HYPERLINK("CSG7.html#group56E7", "56E⁷"), =HYPERLINK("CSG24.html#group56H24", "56H²⁴"), =HYPERLINK("CSG14.html#group72L14", "72L¹⁴"), =HYPERLINK("CSG23.html#group72C23", "72C²³"), =HYPERLINK("CSG2.html#group16H2", "16H²"), =HYPERLINK("CSG15.html#group80A15", "80A¹⁵"), =HYPERLINK("CSG11.html#group136B11", "136B¹¹"), =HYPERLINK("CSG9.html#group40E9", "40E⁹"), =HYPERLINK("CSG3.html#group48B3", "48B³"), =HYPERLINK("CSG11.html#group16E11", "16E¹¹"), =HYPERLINK("CSG20.html#group120A20", "120A²⁰"), =HYPERLINK("CSG6.html#group72A6", "72A⁶"), =HYPERLINK("CSG17.html#group48AM17", "48AM¹⁷"), =HYPERLINK("CSG24.html#group168E24", "168E²⁴"), =HYPERLINK("CSG7.html#group112A7", "112A⁷"), =HYPERLINK("CSG23.html#group144V23", "144V²³"), =HYPERLINK("CSG19.html#group72T19", "72T¹⁹"), =HYPERLINK("CSG10.html#group144D10", "144D¹⁰"), =HYPERLINK("CSG20.html#group48H20", "48H²⁰"), =HYPERLINK("CSG11.html#group32H11", "32H¹¹"), =HYPERLINK("CSG11.html#group24D11", "24D¹¹"), =HYPERLINK("CSG11.html#group24M11", "24M¹¹"), =HYPERLINK("CSG21.html#group48BW21", "48BW²¹"), =HYPERLINK("CSG22.html#group88A22", "88A²²"), =HYPERLINK("CSG14.html#group56A14", "56A¹⁴"), =HYPERLINK("CSG10.html#group48G10", "48G¹⁰"), =HYPERLINK("CSG23.html#group48B23", "48B²³"), =HYPERLINK("CSG13.html#group48R13", "48R¹³"), =HYPERLINK("CSG3.html#group24E3", "24E³"), =HYPERLINK("CSG17.html#group48S17", "48S¹⁷"), =HYPERLINK("CSG9.html#group32K9", "32K⁹"), =HYPERLINK("CSG21.html#group64G21", "64G²¹"), =HYPERLINK("CSG7.html#group48J7", "48J⁷"), =HYPERLINK("CSG15.html#group72D15", "72D¹⁵"), =HYPERLINK("CSG21.html#group72P21", "72P²¹"), =HYPERLINK("CSG8.html#group24L8", "24L⁸"), =HYPERLINK("CSG0.html#group16F0", "16F⁰"), =HYPERLINK("CSG24.html#group32B24", "32B²⁴"), =HYPERLINK("CSG18.html#group120F18", "120F¹⁸"), =HYPERLINK("CSG23.html#group312C23", "312C²³"), =HYPERLINK("CSG23.html#group144S23", "144S²³"), =HYPERLINK("CSG3.html#group56C3", "56C³"), =HYPERLINK("CSG24.html#group336G24", "336G²⁴"), =HYPERLINK("CSG16.html#group40E16", "40E¹⁶"), =HYPERLINK("CSG10.html#group24A10", "24A¹⁰"), =HYPERLINK("CSG9.html#group16D9", "16D⁹"), =HYPERLINK("CSG9.html#group24AO9", "24AO⁹"), =HYPERLINK("CSG21.html#group40E21", "40E²¹"), =HYPERLINK("CSG18.html#group32B18", "32B¹⁸"), =HYPERLINK("CSG23.html#group32B23", "32B²³"), =HYPERLINK("CSG24.html#group56J24", "56J²⁴"), =HYPERLINK("CSG21.html#group48BO21", "48BO²¹"), =HYPERLINK("CSG7.html#group16B7", "16B⁷"), =HYPERLINK("CSG11.html#group72L11", "72L¹¹"), =HYPERLINK("CSG21.html#group240A21", "240A²¹"), =HYPERLINK("CSG10.html#group48F10", "48F¹⁰"), =HYPERLINK("CSG22.html#group144K22", "144K²²"), =HYPERLINK("CSG10.html#group72I10", "72I¹⁰"), =HYPERLINK("CSG21.html#group32I21", "32I²¹"), =HYPERLINK("CSG22.html#group72C22", "72C²²"), =HYPERLINK("CSG10.html#group16A10", "16A¹⁰"), =HYPERLINK("CSG20.html#group144D20", "144D²⁰"), =HYPERLINK("CSG21.html#group48BP21", "48BP²¹"), =HYPERLINK("CSG11.html#group32E11", "32E¹¹"), =HYPERLINK("CSG22.html#group216A22", "216A²²"), =HYPERLINK("CSG3.html#group48A3", "48A³"), =HYPERLINK("CSG10.html#group16B10", "16B¹⁰"), =HYPERLINK("CSG21.html#group240B21", "240B²¹"), =HYPERLINK("CSG20.html#group144E20", "144E²⁰"), =HYPERLINK("CSG7.html#group16D7", "16D⁷"), =HYPERLINK("CSG13.html#group32P13", "32P¹³"), =HYPERLINK("CSG19.html#group200G19", "200G¹⁹"), =HYPERLINK("CSG5.html#group88B5", "88B⁵"), =HYPERLINK("CSG21.html#group136C21", "136C²¹"), =HYPERLINK("CSG9.html#group32L9", "32L⁹"), =HYPERLINK("CSG17.html#group48BO17", "48BO¹⁷"), =HYPERLINK("CSG21.html#group120L21", "120L²¹"), =HYPERLINK("CSG16.html#group168A16", "168A¹⁶"), =HYPERLINK("CSG20.html#group248A20", "248A²⁰"), =HYPERLINK("CSG23.html#group120D23", "120D²³"), =HYPERLINK("CSG20.html#group72C20", "72C²⁰"), =HYPERLINK("CSG19.html#group16A19", "16A¹⁹"), =HYPERLINK("CSG7.html#group40C7", "40C⁷"), =HYPERLINK("CSG11.html#group72G11", "72G¹¹"), =HYPERLINK("CSG11.html#group56I11", "56I¹¹"), =HYPERLINK("CSG19.html#group40G19", "40G¹⁹"), =HYPERLINK("CSG6.html#group48H6", "48H⁶"), =HYPERLINK("CSG16.html#group144A16", "144A¹⁶"), =HYPERLINK("CSG10.html#group16C10", "16C¹⁰"), =HYPERLINK("CSG15.html#group120D15", "120D¹⁵"), =HYPERLINK("CSG17.html#group24AK17", "24AK¹⁷"), =HYPERLINK("CSG22.html#group64B22", "64B²²"), =HYPERLINK("CSG22.html#group144I22", "144I²²"), =HYPERLINK("CSG18.html#group120E18", "120E¹⁸"), =HYPERLINK("CSG6.html#group16A6", "16A⁶"), =HYPERLINK("CSG21.html#group24J21", "24J²¹"), =HYPERLINK("CSG16.html#group120A16", "120A¹⁶"), =HYPERLINK("CSG22.html#group32B22", "32B²²"), =HYPERLINK("CSG7.html#group120B7", "120B⁷"), =HYPERLINK("CSG23.html#group32F23", "32F²³"), =HYPERLINK("CSG10.html#group32B10", "32B¹⁰"), =HYPERLINK("CSG19.html#group24C19", "24C¹⁹"), =HYPERLINK("CSG12.html#group88A12", "88A¹²"), =HYPERLINK("CSG15.html#group104D15", "104D¹⁵"), =HYPERLINK("CSG23.html#group312D23", "312D²³"), =HYPERLINK("CSG19.html#group32A19", "32A¹⁹"), =HYPERLINK("CSG17.html#group48T17", "48T¹⁷"), =HYPERLINK("CSG5.html#group24Q5", "24Q⁵"), =HYPERLINK("CSG10.html#group72L10", "72L¹⁰"), =HYPERLINK("CSG14.html#group40A14", "40A¹⁴"), =HYPERLINK("CSG5.html#group16J5", "16J⁵"), =HYPERLINK("CSG8.html#group48B8", "48B⁸"), =HYPERLINK("CSG19.html#group48AU19", "48AU¹⁹"), =HYPERLINK("CSG24.html#group56M24", "56M²⁴"), =HYPERLINK("CSG19.html#group24P19", "24P¹⁹"), =HYPERLINK("CSG21.html#group72O21", "72O²¹"), =HYPERLINK("CSG15.html#group88B15", "88B¹⁵"), =HYPERLINK("CSG21.html#group32M21", "32M²¹"), =HYPERLINK("CSG7.html#group80B7", "80B⁷"), =HYPERLINK("CSG9.html#group32F9", "32F⁹"), =HYPERLINK("CSG11.html#group72J11", "72J¹¹"), =HYPERLINK("CSG20.html#group48G20", "48G²⁰"), =HYPERLINK("CSG19.html#group80K19", "80K¹⁹"), =HYPERLINK("CSG21.html#group48BL21", "48BL²¹"), =HYPERLINK("CSG19.html#group48S19", "48S¹⁹"), =HYPERLINK("CSG1.html#group8J1", "8J¹"), =HYPERLINK("CSG22.html#group48D22", "48D²²"), =HYPERLINK("CSG6.html#group32G6", "32G⁶"), =HYPERLINK("CSG22.html#group144J22", "144J²²"), =HYPERLINK("CSG11.html#group72H11", "72H¹¹"), =HYPERLINK("CSG4.html#group72A4", "72A⁴"), =HYPERLINK("CSG8.html#group72K8", "72K⁸"), =HYPERLINK("CSG13.html#group32R13", "32R¹³"), =HYPERLINK("CSG18.html#group80D18", "80D¹⁸"), =HYPERLINK("CSG15.html#group72B15", "72B¹⁵"), =HYPERLINK("CSG23.html#group48A23", "48A²³"), =HYPERLINK("CSG20.html#group48A20", "48A²⁰"), =HYPERLINK("CSG10.html#group168D10", "168D¹⁰"), =HYPERLINK("CSG24.html#group144B24", "144B²⁴"), =HYPERLINK("CSG18.html#group80F18", "80F¹⁸"), =HYPERLINK("CSG6.html#group16C6", "16C⁶"), =HYPERLINK("CSG3.html#group16Q3", "16Q³"), =HYPERLINK("CSG11.html#group16B11", "16B¹¹"), =HYPERLINK("CSG7.html#group120A7", "120A⁷"), =HYPERLINK("CSG9.html#group16C9", "16C⁹"), =HYPERLINK("CSG5.html#group16H5", "16H⁵"), =HYPERLINK("CSG7.html#group104B7", "104B⁷"), =HYPERLINK("CSG15.html#group112L15", "112L¹⁵"), =HYPERLINK("CSG18.html#group168D18", "168D¹⁸"), =HYPERLINK("CSG21.html#group80AG21", "80AG²¹"), =HYPERLINK("CSG2.html#group8B2", "8B²"), =HYPERLINK("CSG0.html#group8E0", "8E⁰"), =HYPERLINK("CSG22.html#group64A22", "64A²²"), =HYPERLINK("CSG1.html#group8D1", "8D¹"), =HYPERLINK("CSG5.html#group8A5", "8A⁵"), =HYPERLINK("CSG9.html#group16J9", "16J⁹"), =HYPERLINK("CSG24.html#group336C24", "336C²⁴"), =HYPERLINK("CSG19.html#group40K19", "40K¹⁹"), =HYPERLINK("CSG21.html#group24H21", "24H²¹"), =HYPERLINK("CSG7.html#group80A7", "80A⁷"), =HYPERLINK("CSG23.html#group32E23", "32E²³"), =HYPERLINK("CSG18.html#group72A18", "72A¹⁸"), =HYPERLINK("CSG11.html#group24C11", "24C¹¹"), =HYPERLINK("CSG17.html#group200B17", "200B¹⁷"), =HYPERLINK("CSG12.html#group72A12", "72A¹²"), =HYPERLINK("CSG24.html#group280A24", "280A²⁴"), =HYPERLINK("CSG19.html#group24Q19", "24Q¹⁹"), =HYPERLINK("CSG4.html#group48A4", "48A⁴"), =HYPERLINK("CSG15.html#group80D15", "80D¹⁵"), =HYPERLINK("CSG9.html#group40R9", "40R⁹"), =HYPERLINK("CSG11.html#group80F11", "80F¹¹"), =HYPERLINK("CSG16.html#group184A16", "184A¹⁶"), =HYPERLINK("CSG20.html#group48I20", "48I²⁰"), =HYPERLINK("CSG21.html#group48BX21", "48BX²¹"), =HYPERLINK("CSG15.html#group112J15", "112J¹⁵"), =HYPERLINK("CSG24.html#group336A24", "336A²⁴"), =HYPERLINK("CSG4.html#group80A4", "80A⁴"), =HYPERLINK("CSG19.html#group32D19", "32D¹⁹"), =HYPERLINK("CSG12.html#group152A12", "152A¹²"), =HYPERLINK("CSG21.html#group48AQ21", "48AQ²¹"), =HYPERLINK("CSG21.html#group24B21", "24B²¹"), =HYPERLINK("CSG8.html#group72A8", "72A⁸"), =HYPERLINK("CSG13.html#group24D13", "24D¹³"), =HYPERLINK("CSG21.html#group32B21", "32B²¹"), =HYPERLINK("CSG13.html#group104E13", "104E¹³"), =HYPERLINK("CSG23.html#group72F23", "72F²³"), =HYPERLINK("CSG17.html#group40AJ17", "40AJ¹⁷"), =HYPERLINK("CSG24.html#group144A24", "144A²⁴"), =HYPERLINK("CSG23.html#group144Q23", "144Q²³"), =HYPERLINK("CSG23.html#group144R23", "144R²³"), =HYPERLINK("CSG17.html#group40AM17", "40AM¹⁷"), =HYPERLINK("CSG14.html#group56E14", "56E¹⁴"), =HYPERLINK("CSG19.html#group40J19", "40J¹⁹"), =HYPERLINK("CSG15.html#group48B15", "48B¹⁵"), =HYPERLINK("CSG7.html#group56D7", "56D⁷"), =HYPERLINK("CSG22.html#group216B22", "216B²²"), =HYPERLINK("CSG19.html#group32E19", "32E¹⁹"), =HYPERLINK("CSG18.html#group32A18", "32A¹⁸"), =HYPERLINK("CSG22.html#group144M22", "144M²²"), =HYPERLINK("CSG22.html#group168R22", "168R²²"), =HYPERLINK("CSG5.html#group24P5", "24P⁵"), =HYPERLINK("CSG11.html#group16D11", "16D¹¹"), =HYPERLINK("CSG21.html#group40B21", "40B²¹"), =HYPERLINK("CSG11.html#group80E11", "80E¹¹"), =HYPERLINK("CSG18.html#group264B18", "264B¹⁸"), =HYPERLINK("CSG21.html#group80AI21", "80AI²¹"), =HYPERLINK("CSG21.html#group240D21", "240D²¹"), =HYPERLINK("CSG13.html#group24B13", "24B¹³"), =HYPERLINK("CSG21.html#group72N21", "72N²¹"), =HYPERLINK("CSG13.html#group80A13", "80A¹³"), =HYPERLINK("CSG19.html#group240B19", "240B¹⁹"), =HYPERLINK("CSG15.html#group208A15", "208A¹⁵"), =HYPERLINK("CSG19.html#group24N19", "24N¹⁹"), =HYPERLINK("CSG21.html#group48T21", "48T²¹"), =HYPERLINK("CSG24.html#group32D24", "32D²⁴"), =HYPERLINK("CSG20.html#group144C20", "144C²⁰"), =HYPERLINK("CSG23.html#group144T23", "144T²³"), =HYPERLINK("CSG21.html#group40M21", "40M²¹"), =HYPERLINK("CSG23.html#group152B23", "152B²³"), =HYPERLINK("CSG10.html#group144A10", "144A¹⁰"), =HYPERLINK("CSG17.html#group48A17", "48A¹⁷"), =HYPERLINK("CSG21.html#group24M21", "24M²¹"), =HYPERLINK("CSG7.html#group24F7", "24F⁷"), =HYPERLINK("CSG9.html#group24X9", "24X⁹"), =HYPERLINK("CSG19.html#group168B19", "168B¹⁹"), =HYPERLINK("CSG7.html#group112D7", "112D⁷"), =HYPERLINK("CSG11.html#group40F11", "40F¹¹"), =HYPERLINK("CSG19.html#group40B19", "40B¹⁹"), =HYPERLINK("CSG13.html#group24I13", "24I¹³"), =HYPERLINK("CSG19.html#group24D19", "24D¹⁹"), =HYPERLINK("CSG21.html#group24I21", "24I²¹"), =HYPERLINK("CSG21.html#group16E21", "16E²¹"), =HYPERLINK("CSG7.html#group112C7", "112C⁷"), =HYPERLINK("CSG2.html#group24A2", "24A²"), =HYPERLINK("CSG23.html#group56J23", "56J²³"), =HYPERLINK("CSG19.html#group200E19", "200E¹⁹"), =HYPERLINK("CSG7.html#group24D7", "24D⁷"), =HYPERLINK("CSG21.html#group40C21", "40C²¹"), =HYPERLINK("CSG24.html#group88A24", "88A²⁴"), =HYPERLINK("CSG14.html#group168A14", "168A¹⁴"), =HYPERLINK("CSG11.html#group24F11", "24F¹¹"), =HYPERLINK("CSG18.html#group48L18", "48L¹⁸"), =HYPERLINK("CSG23.html#group120B23", "120B²³"), =HYPERLINK("CSG12.html#group48B12", "48B¹²"), =HYPERLINK("CSG15.html#group72L15", "72L¹⁵"), =HYPERLINK("CSG23.html#group56T23", "56T²³"), =HYPERLINK("CSG24.html#group336F24", "336F²⁴"), =HYPERLINK("CSG11.html#group24B11", "24B¹¹"), =HYPERLINK("CSG5.html#group40J5", "40J⁵"), =HYPERLINK("CSG5.html#group16L5", "16L⁵"), =HYPERLINK("CSG23.html#group120I23", "120I²³"), =HYPERLINK("CSG19.html#group240A19", "240A¹⁹"), =HYPERLINK("CSG6.html#group24B6", "24B⁶"), =HYPERLINK("CSG23.html#group168G23", "168G²³"), =HYPERLINK("CSG5.html#group16K5", "16K⁵"), =HYPERLINK("CSG21.html#group280D21", "280D²¹"), =HYPERLINK("CSG22.html#group168H22", "168H²²"), =HYPERLINK("CSG21.html#group32P21", "32P²¹"), =HYPERLINK("CSG9.html#group16I9", "16I⁹"), =HYPERLINK("CSG22.html#group80A22", "80A²²"), =HYPERLINK("CSG18.html#group48E18", "48E¹⁸"), =HYPERLINK("CSG11.html#group40B11", "40B¹¹"), =HYPERLINK("CSG23.html#group296B23", "296B²³"), =HYPERLINK("CSG8.html#group112A8", "112A⁸"), =HYPERLINK("CSG21.html#group72Y21", "72Y²¹"), =HYPERLINK("CSG21.html#group216A21", "216A²¹"), =HYPERLINK("CSG14.html#group112F14", "112F¹⁴"), =HYPERLINK("CSG11.html#group24J11", "24J¹¹"), =HYPERLINK("CSG19.html#group120Q19", "120Q¹⁹"), =HYPERLINK("CSG22.html#group48B22", "48B²²"), =HYPERLINK("CSG3.html#group16G3", "16G³"), =HYPERLINK("CSG23.html#group104U23", "104U²³"), =HYPERLINK("CSG9.html#group120D9", "120D⁹"), =HYPERLINK("CSG21.html#group72T21", "72T²¹"), =HYPERLINK("CSG20.html#group48C20", "48C²⁰"), =HYPERLINK("CSG6.html#group56G6", "56G⁶"), =HYPERLINK("CSG19.html#group48AV19", "48AV¹⁹"), =HYPERLINK("CSG23.html#group136B23", "136B²³"), =HYPERLINK("CSG10.html#group40B10", "40B¹⁰"), =HYPERLINK("CSG7.html#group112B7", "112B⁷"), =HYPERLINK("CSG23.html#group216A23", "216A²³"), =HYPERLINK("CSG12.html#group120A12", "120A¹²"), =HYPERLINK("CSG13.html#group48U13", "48U¹³"), =HYPERLINK("CSG21.html#group72R21", "72R²¹"), =HYPERLINK("CSG3.html#group16K3", "16K³"), =HYPERLINK("CSG23.html#group32G23", "32G²³"), =HYPERLINK("CSG21.html#group144N21", "144N²¹"), =HYPERLINK("CSG21.html#group80AH21", "80AH²¹"), =HYPERLINK("CSG16.html#group24C16", "24C¹⁶"), =HYPERLINK("CSG11.html#group40I11", "40I¹¹"), =HYPERLINK("CSG15.html#group240A15", "240A¹⁵"), =HYPERLINK("CSG14.html#group72I14", "72I¹⁴"), =HYPERLINK("CSG24.html#group32A24", "32A²⁴"), =HYPERLINK("CSG12.html#group32B12", "32B¹²"), =HYPERLINK("CSG9.html#group16H9", "16H⁹"), =HYPERLINK("CSG23.html#group168H23", "168H²³"), =HYPERLINK("CSG19.html#group72O19", "72O¹⁹"), =HYPERLINK("CSG21.html#group120J21", "120J²¹"), =HYPERLINK("CSG21.html#group72U21", "72U²¹"), =HYPERLINK("CSG17.html#group72W17", "72W¹⁷"), =HYPERLINK("CSG17.html#group40AN17", "40AN¹⁷"), =HYPERLINK("CSG8.html#group48A8", "48A⁸"), =HYPERLINK("CSG4.html#group16A4", "16A⁴"), =HYPERLINK("CSG6.html#group16B6", "16B⁶"), =HYPERLINK("CSG22.html#group144N22", "144N²²"), =HYPERLINK("CSG11.html#group40G11", "40G¹¹"), =HYPERLINK("CSG4.html#group24S4", "24S⁴"), =HYPERLINK("CSG8.html#group40G8", "40G⁸"), =HYPERLINK("CSG21.html#group32A21", "32A²¹"), =HYPERLINK("CSG9.html#group32R9", "32R⁹"), =HYPERLINK("CSG15.html#group208B15", "208B¹⁵"), =HYPERLINK("CSG21.html#group280C21", "280C²¹"), =HYPERLINK("CSG24.html#group336H24", "336H²⁴"), =HYPERLINK("CSG19.html#group120O19", "120O¹⁹"), =HYPERLINK("CSG17.html#group16A17", "16A¹⁷"), =HYPERLINK("CSG17.html#group120P17", "120P¹⁷"), =HYPERLINK("CSG5.html#group16E5", "16E⁵"), =HYPERLINK("CSG24.html#group56N24", "56N²⁴"), =HYPERLINK("CSG17.html#group40S17", "40S¹⁷"), =HYPERLINK("CSG11.html#group24G11", "24G¹¹"), =HYPERLINK("CSG8.html#group24N8", "24N⁸"), =HYPERLINK("CSG22.html#group48C22", "48C²²"), =HYPERLINK("CSG19.html#group120D19", "120D¹⁹"), =HYPERLINK("CSG23.html#group32A23", "32A²³"), =HYPERLINK("CSG21.html#group32W21", "32W²¹"), =HYPERLINK("CSG21.html#group16B21", "16B²¹"), =HYPERLINK("CSG22.html#group56L22", "56L²²"), =HYPERLINK("CSG23.html#group56C23", "56C²³"), =HYPERLINK("CSG8.html#group88A8", "88A⁸"), =HYPERLINK("CSG13.html#group80B13", "80B¹³"), =HYPERLINK("CSG19.html#group200H19", "200H¹⁹"), =HYPERLINK("CSG15.html#group112I15", "112I¹⁵"), =HYPERLINK("CSG24.html#group304A24", "304A²⁴"), =HYPERLINK("CSG14.html#group168B14", "168B¹⁴"), =HYPERLINK("CSG8.html#group72J8", "72J⁸"), =HYPERLINK("CSG23.html#group120L23", "120L²³"), =HYPERLINK("CSG24.html#group32C24", "32C²⁴"), =HYPERLINK("CSG8.html#group80E8", "80E⁸"), =HYPERLINK("CSG4.html#group24A4", "24A⁴"), =HYPERLINK("CSG22.html#group72A22", "72A²²"), =HYPERLINK("CSG13.html#group48Q13", "48Q¹³"), =HYPERLINK("CSG3.html#group24G3", "24G³"), =HYPERLINK("CSG22.html#group72B22", "72B²²"), =HYPERLINK("CSG19.html#group24J19", "24J¹⁹"), =HYPERLINK("CSG23.html#group72B23", "72B²³"), =HYPERLINK("CSG15.html#group56A15", "56A¹⁵"), =HYPERLINK("CSG4.html#group56A4", "56A⁴"), =HYPERLINK("CSG23.html#group168L23", "168L²³"), =HYPERLINK("CSG7.html#group56G7", "56G⁷"), =HYPERLINK("CSG17.html#group24AF17", "24AF¹⁷"), =HYPERLINK("CSG2.html#group8A2", "8A²"), =HYPERLINK("CSG20.html#group216A20", "216A²⁰"), =HYPERLINK("CSG22.html#group144L22", "144L²²"), =HYPERLINK("CSG5.html#group16I5", "16I⁵"), =HYPERLINK("CSG7.html#group40B7", "40B⁷"), =HYPERLINK("CSG8.html#group56B8", "56B⁸"), =HYPERLINK("CSG24.html#group88B24", "88B²⁴"), =HYPERLINK("CSG16.html#group120D16", "120D¹⁶"), =HYPERLINK("CSG14.html#group112E14", "112E¹⁴"), =HYPERLINK("CSG13.html#group40C13", "40C¹³"), =HYPERLINK("CSG11.html#group16C11", "16C¹¹"), =HYPERLINK("CSG7.html#group48I7", "48I⁷"), =HYPERLINK("CSG14.html#group56B14", "56B¹⁴"), =HYPERLINK("CSG18.html#group168C18", "168C¹⁸"), =HYPERLINK("CSG21.html#group80AF21", "80AF²¹"), =HYPERLINK("CSG14.html#group48A14", "48A¹⁴"), =HYPERLINK("CSG20.html#group48B20", "48B²⁰"), =HYPERLINK("CSG22.html#group56H22", "56H²²"), =HYPERLINK("CSG14.html#group56F14", "56F¹⁴"), =HYPERLINK("CSG23.html#group272A23", "272A²³"), =HYPERLINK("CSG1.html#group8H1", "8H¹"), =HYPERLINK("CSG21.html#group144M21", "144M²¹"), =HYPERLINK("CSG24.html#group168F24", "168F²⁴"), =HYPERLINK("CSG22.html#group48A22", "48A²²"), =HYPERLINK("CSG1.html#group24A1", "24A¹"), =HYPERLINK("CSG18.html#group40C18", "40C¹⁸"), =HYPERLINK("CSG23.html#group64A23", "64A²³"), =HYPERLINK("CSG13.html#group16B13", "16B¹³"), =HYPERLINK("CSG15.html#group144A15", "144A¹⁵"), =HYPERLINK("CSG15.html#group24P15", "24P¹⁵"), =HYPERLINK("CSG9.html#group32Q9", "32Q⁹"), =HYPERLINK("CSG9.html#group24Y9", "24Y⁹"), =HYPERLINK("CSG19.html#group24I19", "24I¹⁹"), =HYPERLINK("CSG22.html#group168G22", "168G²²"), =HYPERLINK("CSG5.html#group88A5", "88A⁵"), =HYPERLINK("CSG0.html#group8M0", "8M⁰"), =HYPERLINK("CSG4.html#group48I4", "48I⁴"), =HYPERLINK("CSG2.html#group40A2", "40A²"), =HYPERLINK("CSG16.html#group112B16", "112B¹⁶"), =HYPERLINK("CSG7.html#group24K7", "24K⁷"), =HYPERLINK("CSG13.html#group56N13", "56N¹³"), =HYPERLINK("CSG23.html#group48E23", "48E²³"), =HYPERLINK("CSG17.html#group48BN17", "48BN¹⁷"), =HYPERLINK("CSG0.html#group16A0", "16A⁰"), =HYPERLINK("CSG7.html#group48K7", "48K⁷"), =HYPERLINK("CSG12.html#group48A12", "48A¹²"), =HYPERLINK("CSG13.html#group16A13", "16A¹³"), =HYPERLINK("CSG21.html#group16D21", "16D²¹"), =HYPERLINK("CSG2.html#group24E2", "24E²"), =HYPERLINK("CSG15.html#group112K15", "112K¹⁵"), =HYPERLINK("CSG14.html#group64I14", "64I¹⁴"), =HYPERLINK("CSG24.html#group216A24", "216A²⁴"), =HYPERLINK("CSG24.html#group336D24", "336D²⁴"), =HYPERLINK("CSG6.html#group48G6", "48G⁶"), =HYPERLINK("CSG15.html#group80B15", "80B¹⁵"), =HYPERLINK("CSG24.html#group240A24", "240A²⁴"), =HYPERLINK("CSG4.html#group24H4", "24H⁴"), =HYPERLINK("CSG2.html#group24K2", "24K²"), =HYPERLINK("CSG21.html#group16F21", "16F²¹"), =HYPERLINK("CSG23.html#group80A23", "80A²³"), =HYPERLINK("CSG10.html#group32C10", "32C¹⁰"), =HYPERLINK("CSG15.html#group16A15", "16A¹⁵"), =HYPERLINK("CSG20.html#group48D20", "48D²⁰"), =HYPERLINK("CSG22.html#group168Q22", "168Q²²"), =HYPERLINK("CSG13.html#group72B13", "72B¹³"), =HYPERLINK("CSG12.html#group56K12", "56K¹²"), =HYPERLINK("CSG21.html#group24C21", "24C²¹"), =HYPERLINK("CSG21.html#group24G21", "24G²¹"), =HYPERLINK("CSG19.html#group72V19", "72V¹⁹"), =HYPERLINK("CSG5.html#group40F5", "40F⁵"), =HYPERLINK("CSG16.html#group176A16", "176A¹⁶"), =HYPERLINK("CSG18.html#group40A18", "40A¹⁸"), =HYPERLINK("CSG4.html#group40D4", "40D⁴"), =HYPERLINK("CSG3.html#group56D3", "56D³"), =HYPERLINK("CSG21.html#group72Z21", "72Z²¹"), =HYPERLINK("CSG3.html#group8B3", "8B³"), =HYPERLINK("CSG22.html#group32A22", "32A²²"), =HYPERLINK("CSG15.html#group48D15", "48D¹⁵"), =HYPERLINK("CSG19.html#group40D19", "40D¹⁹"), =HYPERLINK("CSG24.html#group336E24", "336E²⁴"), =HYPERLINK("CSG20.html#group144F20", "144F²⁰"), =HYPERLINK("CSG15.html#group104B15", "104B¹⁵"), =HYPERLINK("CSG16.html#group24A16", "24A¹⁶"), =HYPERLINK("CSG9.html#group40U9", "40U⁹"), =HYPERLINK("CSG11.html#group40D11", "40D¹¹"), =HYPERLINK("CSG23.html#group136C23", "136C²³"), =HYPERLINK("CSG2.html#group8C2", "8C²"), =HYPERLINK("CSG21.html#group32X21", "32X²¹"), =HYPERLINK("CSG19.html#group200F19", "200F¹⁹"), =HYPERLINK("CSG23.html#group48C23", "48C²³"), =HYPERLINK("CSG17.html#group40Q17", "40Q¹⁷"), =HYPERLINK("CSG23.html#group72H23", "72H²³"), =HYPERLINK("CSG7.html#group48L7", "48L⁷"), =HYPERLINK("CSG21.html#group72Q21", "72Q²¹"), =HYPERLINK("CSG10.html#group168C10", "168C¹⁰"), =HYPERLINK("CSG20.html#group88D20", "88D²⁰"), =HYPERLINK("CSG18.html#group40B18", "40B¹⁸"), =HYPERLINK("CSG15.html#group56C15", "56C¹⁵"), =HYPERLINK("CSG13.html#group72D13", "72D¹³"), =HYPERLINK("CSG21.html#group32J21", "32J²¹"), =HYPERLINK("CSG6.html#group56F6", "56F⁶"), =HYPERLINK("CSG19.html#group48T19", "48T¹⁹"), =HYPERLINK("CSG10.html#group144C10", "144C¹⁰"), =HYPERLINK("CSG11.html#group176B11", "176B¹¹"), =HYPERLINK("CSG19.html#group232B19", "232B¹⁹"), =HYPERLINK("CSG24.html#group336B24", "336B²⁴"), =HYPERLINK("CSG15.html#group48H15", "48H¹⁵"), =HYPERLINK("CSG17.html#group120F17", "120F¹⁷"), =HYPERLINK("CSG23.html#group48D23", "48D²³"), =HYPERLINK("CSG12.html#group32A12", "32A¹²"), =HYPERLINK("CSG22.html#group56K22", "56K²²"), =HYPERLINK("CSG19.html#group40H19", "40H¹⁹"), =HYPERLINK("CSG15.html#group240B15", "240B¹⁵"), =HYPERLINK("CSG23.html#group80B23", "80B²³"), =HYPERLINK("CSG11.html#group24K11", "24K¹¹"), =HYPERLINK("CSG13.html#group32I13", "32I¹³"), =HYPERLINK("CSG10.html#group72K10", "72K¹⁰"), =HYPERLINK("CSG12.html#group144A12", "144A¹²"), =HYPERLINK("CSG24.html#group144C24", "144C²⁴"), =HYPERLINK("CSG3.html#group40B3", "40B³"), =HYPERLINK("CSG23.html#group144U23", "144U²³"), =HYPERLINK("CSG17.html#group24AE17", "24AE¹⁷"), =HYPERLINK("CSG21.html#group48BY21", "48BY²¹"), =HYPERLINK("CSG19.html#group48AB19", "48AB¹⁹"), =HYPERLINK("CSG17.html#group56D17", "56D¹⁷"), =HYPERLINK("CSG13.html#group32S13", "32S¹³"), =HYPERLINK("CSG17.html#group40N17", "40N¹⁷"), =HYPERLINK("CSG21.html#group32D21", "32D²¹"), =HYPERLINK("CSG9.html#group72G9", "72G⁹"), =HYPERLINK("CSG7.html#group24B7", "24B⁷"), =HYPERLINK("CSG23.html#group168K23", "168K²³")</f>
        <v/>
      </c>
    </row>
    <row r="45">
      <c r="A45" t="inlineStr">
        <is>
          <t>8B⁰</t>
        </is>
      </c>
      <c r="B45" t="inlineStr"/>
      <c r="C45" t="inlineStr">
        <is>
          <t>12</t>
        </is>
      </c>
      <c r="D45" t="inlineStr">
        <is>
          <t>1</t>
        </is>
      </c>
      <c r="E45" t="inlineStr">
        <is>
          <t>3</t>
        </is>
      </c>
      <c r="F45" t="inlineStr">
        <is>
          <t>4</t>
        </is>
      </c>
      <c r="G45" t="inlineStr">
        <is>
          <t>0</t>
        </is>
      </c>
      <c r="H45" t="inlineStr">
        <is>
          <t>4¹, 8¹</t>
        </is>
      </c>
      <c r="I45" t="n">
        <v>2</v>
      </c>
      <c r="J45" t="inlineStr">
        <is>
          <t>1³</t>
        </is>
      </c>
      <c r="K45">
        <f>HYPERLINK("CSG0.html#group4C0", "4C⁰")</f>
        <v/>
      </c>
      <c r="L45">
        <f>HYPERLINK("CSG0.html#group8H0", "8H⁰"), =HYPERLINK("CSG0.html#group8L0", "8L⁰"), =HYPERLINK("CSG0.html#group16B0", "16B⁰"), =HYPERLINK("CSG0.html#group24A0", "24A⁰"), =HYPERLINK("CSG1.html#group8B1", "8B¹"), =HYPERLINK("CSG1.html#group16B1", "16B¹"), =HYPERLINK("CSG1.html#group16D1", "16D¹"), =HYPERLINK("CSG2.html#group16A2", "16A²"), =HYPERLINK("CSG3.html#group24B3", "24B³"), =HYPERLINK("CSG3.html#group40D3", "40D³"), =HYPERLINK("CSG4.html#group40A4", "40A⁴"), =HYPERLINK("CSG4.html#group56B4", "56B⁴"), =HYPERLINK("CSG7.html#group40E7", "40E⁷"), =HYPERLINK("CSG7.html#group56B7", "56B⁷"), =HYPERLINK("CSG8.html#group88B8", "88B⁸"), =HYPERLINK("CSG11.html#group88B11", "88B¹¹"), =HYPERLINK("CSG11.html#group104B11", "104B¹¹"), =HYPERLINK("CSG15.html#group136B15", "136B¹⁵"), =HYPERLINK("CSG19.html#group152A19", "152A¹⁹"), =HYPERLINK("CSG22.html#group72E22", "72E²²"), =HYPERLINK("CSG23.html#group184A23", "184A²³")</f>
        <v/>
      </c>
      <c r="M45">
        <f>HYPERLINK("CSG0.html#group1A0", "1A⁰"), =HYPERLINK("CSG0.html#group2B0", "2B⁰"), =HYPERLINK("CSG0.html#group4C0", "4C⁰")</f>
        <v/>
      </c>
      <c r="N45">
        <f>HYPERLINK("CSG5.html#group16F5", "16F⁵"), =HYPERLINK("CSG11.html#group16A11", "16A¹¹"), =HYPERLINK("CSG19.html#group16B19", "16B¹⁹"), =HYPERLINK("CSG21.html#group80M21", "80M²¹"), =HYPERLINK("CSG17.html#group48O17", "48O¹⁷"), =HYPERLINK("CSG17.html#group80G17", "80G¹⁷"), =HYPERLINK("CSG21.html#group64Q21", "64Q²¹"), =HYPERLINK("CSG9.html#group48M9", "48M⁹"), =HYPERLINK("CSG17.html#group40X17", "40X¹⁷"), =HYPERLINK("CSG3.html#group16P3", "16P³"), =HYPERLINK("CSG19.html#group48BK19", "48BK¹⁹"), =HYPERLINK("CSG21.html#group120O21", "120O²¹"), =HYPERLINK("CSG17.html#group48CE17", "48CE¹⁷"), =HYPERLINK("CSG0.html#group16B0", "16B⁰"), =HYPERLINK("CSG21.html#group48AE21", "48AE²¹"), =HYPERLINK("CSG7.html#group24R7", "24R⁷"), =HYPERLINK("CSG24.html#group112Q24", "112Q²⁴"), =HYPERLINK("CSG13.html#group64K13", "64K¹³"), =HYPERLINK("CSG21.html#group48CF21", "48CF²¹"), =HYPERLINK("CSG23.html#group288A23", "288A²³"), =HYPERLINK("CSG21.html#group80C21", "80C²¹"), =HYPERLINK("CSG15.html#group96W15", "96W¹⁵"), =HYPERLINK("CSG17.html#group24AD17", "24AD¹⁷"), =HYPERLINK("CSG17.html#group48CH17", "48CH¹⁷"), =HYPERLINK("CSG21.html#group48BS21", "48BS²¹"), =HYPERLINK("CSG17.html#group24AO17", "24AO¹⁷"), =HYPERLINK("CSG18.html#group48O18", "48O¹⁸"), =HYPERLINK("CSG7.html#group48AH7", "48AH⁷"), =HYPERLINK("CSG11.html#group112A11", "112A¹¹"), =HYPERLINK("CSG5.html#group48E5", "48E⁵"), =HYPERLINK("CSG11.html#group48I11", "48I¹¹"), =HYPERLINK("CSG21.html#group48AD21", "48AD²¹"), =HYPERLINK("CSG17.html#group48BW17", "48BW¹⁷"), =HYPERLINK("CSG17.html#group48AM17", "48AM¹⁷"), =HYPERLINK("CSG24.html#group264C24", "264C²⁴"), =HYPERLINK("CSG18.html#group64B18", "64B¹⁸"), =HYPERLINK("CSG11.html#group48K11", "48K¹¹"), =HYPERLINK("CSG17.html#group48M17", "48M¹⁷"), =HYPERLINK("CSG21.html#group32C21", "32C²¹"), =HYPERLINK("CSG21.html#group32U21", "32U²¹"), =HYPERLINK("CSG15.html#group136B15", "136B¹⁵"), =HYPERLINK("CSG15.html#group48L15", "48L¹⁵"), =HYPERLINK("CSG0.html#group48A0", "48A⁰"), =HYPERLINK("CSG19.html#group96Y19", "96Y¹⁹"), =HYPERLINK("CSG7.html#group32C7", "32C⁷"), =HYPERLINK("CSG7.html#group48AJ7", "48AJ⁷"), =HYPERLINK("CSG23.html#group104G23", "104G²³"), =HYPERLINK("CSG19.html#group160N19", "160N¹⁹"), =HYPERLINK("CSG19.html#group96M19", "96M¹⁹"), =HYPERLINK("CSG19.html#group48AZ19", "48AZ¹⁹"), =HYPERLINK("CSG3.html#group16I3", "16I³"), =HYPERLINK("CSG18.html#group88B18", "88B¹⁸"), =HYPERLINK("CSG9.html#group32K9", "32K⁹"), =HYPERLINK("CSG21.html#group48CD21", "48CD²¹"), =HYPERLINK("CSG15.html#group40R15", "40R¹⁵"), =HYPERLINK("CSG11.html#group48A11", "48A¹¹"), =HYPERLINK("CSG19.html#group96AS19", "96AS¹⁹"), =HYPERLINK("CSG23.html#group112H23", "112H²³"), =HYPERLINK("CSG21.html#group64G21", "64G²¹"), =HYPERLINK("CSG21.html#group48BH21", "48BH²¹"), =HYPERLINK("CSG24.html#group112U24", "112U²⁴"), =HYPERLINK("CSG17.html#group48AQ17", "48AQ¹⁷"), =HYPERLINK("CSG16.html#group48H16", "48H¹⁶"), =HYPERLINK("CSG19.html#group48AY19", "48AY¹⁹"), =HYPERLINK("CSG24.html#group32B24", "32B²⁴"), =HYPERLINK("CSG11.html#group112F11", "112F¹¹"), =HYPERLINK("CSG19.html#group24G19", "24G¹⁹"), =HYPERLINK("CSG9.html#group16E9", "16E⁹"), =HYPERLINK("CSG17.html#group48BH17", "48BH¹⁷"), =HYPERLINK("CSG21.html#group88H21", "88H²¹"), =HYPERLINK("CSG9.html#group16D9", "16D⁹"), =HYPERLINK("CSG17.html#group40AP17", "40AP¹⁷"), =HYPERLINK("CSG15.html#group48U15", "48U¹⁵"), =HYPERLINK("CSG23.html#group32B23", "32B²³"), =HYPERLINK("CSG13.html#group24V13", "24V¹³"), =HYPERLINK("CSG19.html#group48BG19", "48BG¹⁹"), =HYPERLINK("CSG7.html#group16B7", "16B⁷"), =HYPERLINK("CSG10.html#group16A10", "16A¹⁰"), =HYPERLINK("CSG21.html#group96AE21", "96AE²¹"), =HYPERLINK("CSG21.html#group48AF21", "48AF²¹"), =HYPERLINK("CSG21.html#group160G21", "160G²¹"), =HYPERLINK("CSG9.html#group96I9", "96I⁹"), =HYPERLINK("CSG21.html#group96AY21", "96AY²¹"), =HYPERLINK("CSG10.html#group16B10", "16B¹⁰"), =HYPERLINK("CSG17.html#group48BR17", "48BR¹⁷"), =HYPERLINK("CSG19.html#group80V19", "80V¹⁹"), =HYPERLINK("CSG17.html#group24D17", "24D¹⁷"), =HYPERLINK("CSG13.html#group24X13", "24X¹³"), =HYPERLINK("CSG15.html#group48X15", "48X¹⁵"), =HYPERLINK("CSG9.html#group32L9", "32L⁹"), =HYPERLINK("CSG21.html#group160L21", "160L²¹"), =HYPERLINK("CSG21.html#group48BR21", "48BR²¹"), =HYPERLINK("CSG17.html#group48BO17", "48BO¹⁷"), =HYPERLINK("CSG17.html#group48CC17", "48CC¹⁷"), =HYPERLINK("CSG5.html#group32F5", "32F⁵"), =HYPERLINK("CSG19.html#group48AD19", "48AD¹⁹"), =HYPERLINK("CSG21.html#group48BU21", "48BU²¹"), =HYPERLINK("CSG16.html#group40C16", "40C¹⁶"), =HYPERLINK("CSG17.html#group24U17", "24U¹⁷"), =HYPERLINK("CSG21.html#group160O21", "160O²¹"), =HYPERLINK("CSG19.html#group16A19", "16A¹⁹"), =HYPERLINK("CSG24.html#group112P24", "112P²⁴"), =HYPERLINK("CSG7.html#group24O7", "24O⁷"), =HYPERLINK("CSG24.html#group112S24", "112S²⁴"), =HYPERLINK("CSG9.html#group64I9", "64I⁹"), =HYPERLINK("CSG21.html#group80P21", "80P²¹"), =HYPERLINK("CSG17.html#group40O17", "40O¹⁷"), =HYPERLINK("CSG23.html#group168A23", "168A²³"), =HYPERLINK("CSG21.html#group80K21", "80K²¹"), =HYPERLINK("CSG10.html#group16C10", "16C¹⁰"), =HYPERLINK("CSG22.html#group64B22", "64B²²"), =HYPERLINK("CSG17.html#group96Q17", "96Q¹⁷"), =HYPERLINK("CSG9.html#group48Y9", "48Y⁹"), =HYPERLINK("CSG21.html#group48N21", "48N²¹"), =HYPERLINK("CSG15.html#group40AI15", "40AI¹⁵"), =HYPERLINK("CSG9.html#group48L9", "48L⁹"), =HYPERLINK("CSG17.html#group48BZ17", "48BZ¹⁷"), =HYPERLINK("CSG19.html#group96AD19", "96AD¹⁹"), =HYPERLINK("CSG19.html#group96AL19", "96AL¹⁹"), =HYPERLINK("CSG12.html#group72F12", "72F¹²"), =HYPERLINK("CSG7.html#group64J7", "64J⁷"), =HYPERLINK("CSG13.html#group64O13", "64O¹³"), =HYPERLINK("CSG13.html#group48AF13", "48AF¹³"), =HYPERLINK("CSG21.html#group192F21", "192F²¹"), =HYPERLINK("CSG13.html#group48A13", "48A¹³"), =HYPERLINK("CSG17.html#group48AZ17", "48AZ¹⁷"), =HYPERLINK("CSG5.html#group24J5", "24J⁵"), =HYPERLINK("CSG21.html#group64P21", "64P²¹"), =HYPERLINK("CSG21.html#group64H21", "64H²¹"), =HYPERLINK("CSG13.html#group40F13", "40F¹³"), =HYPERLINK("CSG20.html#group96AF20", "96AF²⁰"), =HYPERLINK("CSG9.html#group24AF9", "24AF⁹"), =HYPERLINK("CSG5.html#group24X5", "24X⁵"), =HYPERLINK("CSG23.html#group32C23", "32C²³"), =HYPERLINK("CSG11.html#group48M11", "48M¹¹"), =HYPERLINK("CSG9.html#group32F9", "32F⁹"), =HYPERLINK("CSG8.html#group48R8", "48R⁸"), =HYPERLINK("CSG12.html#group72K12", "72K¹²"), =HYPERLINK("CSG21.html#group96AI21", "96AI²¹"), =HYPERLINK("CSG21.html#group80AA21", "80AA²¹"), =HYPERLINK("CSG17.html#group96AA17", "96AA¹⁷"), =HYPERLINK("CSG9.html#group24AH9", "24AH⁹"), =HYPERLINK("CSG11.html#group120B11", "120B¹¹"), =HYPERLINK("CSG9.html#group56B9", "56B⁹"), =HYPERLINK("CSG19.html#group48S19", "48S¹⁹"), =HYPERLINK("CSG20.html#group96AC20", "96AC²⁰"), =HYPERLINK("CSG21.html#group96AO21", "96AO²¹"), =HYPERLINK("CSG5.html#group24W5", "24W⁵"), =HYPERLINK("CSG3.html#group32N3", "32N³"), =HYPERLINK("CSG18.html#group48M18", "48M¹⁸"), =HYPERLINK("CSG13.html#group32R13", "32R¹³"), =HYPERLINK("CSG17.html#group96X17", "96X¹⁷"), =HYPERLINK("CSG20.html#group96R20", "96R²⁰"), =HYPERLINK("CSG17.html#group24AP17", "24AP¹⁷"), =HYPERLINK("CSG13.html#group32E13", "32E¹³"), =HYPERLINK("CSG10.html#group32A10", "32A¹⁰"), =HYPERLINK("CSG7.html#group96A7", "96A⁷"), =HYPERLINK("CSG23.html#group184A23", "184A²³"), =HYPERLINK("CSG20.html#group96AA20", "96AA²⁰"), =HYPERLINK("CSG17.html#group48AE17", "48AE¹⁷"), =HYPERLINK("CSG7.html#group24L7", "24L⁷"), =HYPERLINK("CSG1.html#group32B1", "32B¹"), =HYPERLINK("CSG8.html#group48AC8", "48AC⁸"), =HYPERLINK("CSG11.html#group96J11", "96J¹¹"), =HYPERLINK("CSG6.html#group16C6", "16C⁶"), =HYPERLINK("CSG17.html#group96N17", "96N¹⁷"), =HYPERLINK("CSG23.html#group32H23", "32H²³"), =HYPERLINK("CSG11.html#group72N11", "72N¹¹"), =HYPERLINK("CSG9.html#group16C9", "16C⁹"), =HYPERLINK("CSG21.html#group48AC21", "48AC²¹"), =HYPERLINK("CSG13.html#group24Y13", "24Y¹³"), =HYPERLINK("CSG20.html#group96I20", "96I²⁰"), =HYPERLINK("CSG12.html#group144B12", "144B¹²"), =HYPERLINK("CSG13.html#group96H13", "96H¹³"), =HYPERLINK("CSG21.html#group104A21", "104A²¹"), =HYPERLINK("CSG21.html#group112D21", "112D²¹"), =HYPERLINK("CSG23.html#group144Y23", "144Y²³"), =HYPERLINK("CSG17.html#group80AT17", "80AT¹⁷"), =HYPERLINK("CSG5.html#group48H5", "48H⁵"), =HYPERLINK("CSG4.html#group48C4", "48C⁴"), =HYPERLINK("CSG21.html#group72AA21", "72AA²¹"), =HYPERLINK("CSG15.html#group64B15", "64B¹⁵"), =HYPERLINK("CSG21.html#group112C21", "112C²¹"), =HYPERLINK("CSG15.html#group48T15", "48T¹⁵"), =HYPERLINK("CSG13.html#group32H13", "32H¹³"), =HYPERLINK("CSG23.html#group32E23", "32E²³"), =HYPERLINK("CSG3.html#group48E3", "48E³"), =HYPERLINK("CSG21.html#group48AJ21", "48AJ²¹"), =HYPERLINK("CSG21.html#group32E21", "32E²¹"), =HYPERLINK("CSG12.html#group72O12", "72O¹²"), =HYPERLINK("CSG4.html#group16C4", "16C⁴"), =HYPERLINK("CSG18.html#group48N18", "48N¹⁸"), =HYPERLINK("CSG15.html#group64J15", "64J¹⁵"), =HYPERLINK("CSG19.html#group160M19", "160M¹⁹"), =HYPERLINK("CSG17.html#group48AS17", "48AS¹⁷"), =HYPERLINK("CSG23.html#group104R23", "104R²³"), =HYPERLINK("CSG7.html#group48O7", "48O⁷"), =HYPERLINK("CSG8.html#group48AA8", "48AA⁸"), =HYPERLINK("CSG9.html#group80G9", "80G⁹"), =HYPERLINK("CSG8.html#group40B8", "40B⁸"), =HYPERLINK("CSG5.html#group32L5", "32L⁵"), =HYPERLINK("CSG23.html#group96I23", "96I²³"), =HYPERLINK("CSG13.html#group144C13", "144C¹³"), =HYPERLINK("CSG19.html#group32D19", "32D¹⁹"), =HYPERLINK("CSG9.html#group96F9", "96F⁹"), =HYPERLINK("CSG14.html#group64E14", "64E¹⁴"), =HYPERLINK("CSG12.html#group112A12", "112A¹²"), =HYPERLINK("CSG0.html#group8L0", "8L⁰"), =HYPERLINK("CSG17.html#group72Q17", "72Q¹⁷"), =HYPERLINK("CSG13.html#group32J13", "32J¹³"), =HYPERLINK("CSG17.html#group96D17", "96D¹⁷"), =HYPERLINK("CSG21.html#group96AT21", "96AT²¹"), =HYPERLINK("CSG15.html#group96C15", "96C¹⁵"), =HYPERLINK("CSG21.html#group96AJ21", "96AJ²¹"), =HYPERLINK("CSG21.html#group80W21", "80W²¹"), =HYPERLINK("CSG21.html#group96AX21", "96AX²¹"), =HYPERLINK("CSG23.html#group96N23", "96N²³"), =HYPERLINK("CSG17.html#group96P17", "96P¹⁷"), =HYPERLINK("CSG17.html#group96C17", "96C¹⁷"), =HYPERLINK("CSG15.html#group48AB15", "48AB¹⁵"), =HYPERLINK("CSG19.html#group80H19", "80H¹⁹"), =HYPERLINK("CSG19.html#group160F19", "160F¹⁹"), =HYPERLINK("CSG18.html#group32A18", "32A¹⁸"), =HYPERLINK("CSG13.html#group144D13", "144D¹³"), =HYPERLINK("CSG17.html#group96AF17", "96AF¹⁷"), =HYPERLINK("CSG15.html#group64G15", "64G¹⁵"), =HYPERLINK("CSG17.html#group24V17", "24V¹⁷"), =HYPERLINK("CSG13.html#group48B13", "48B¹³"), =HYPERLINK("CSG19.html#group152A19", "152A¹⁹"), =HYPERLINK("CSG3.html#group16C3", "16C³"), =HYPERLINK("CSG21.html#group48AS21", "48AS²¹"), =HYPERLINK("CSG24.html#group112L24", "112L²⁴"), =HYPERLINK("CSG3.html#group16M3", "16M³"), =HYPERLINK("CSG7.html#group24Z7", "24Z⁷"), =HYPERLINK("CSG17.html#group48AL17", "48AL¹⁷"), =HYPERLINK("CSG23.html#group56I23", "56I²³"), =HYPERLINK("CSG17.html#group80B17", "80B¹⁷"), =HYPERLINK("CSG2.html#group24L2", "24L²"), =HYPERLINK("CSG17.html#group96G17", "96G¹⁷"), =HYPERLINK("CSG23.html#group96F23", "96F²³"), =HYPERLINK("CSG24.html#group112O24", "112O²⁴"), =HYPERLINK("CSG21.html#group16C21", "16C²¹"), =HYPERLINK("CSG5.html#group24I5", "24I⁵"), =HYPERLINK("CSG17.html#group96Y17", "96Y¹⁷"), =HYPERLINK("CSG5.html#group16A5", "16A⁵"), =HYPERLINK("CSG13.html#group48AB13", "48AB¹³"), =HYPERLINK("CSG21.html#group48CQ21", "48CQ²¹"), =HYPERLINK("CSG7.html#group48AE7", "48AE⁷"), =HYPERLINK("CSG19.html#group48BI19", "48BI¹⁹"), =HYPERLINK("CSG19.html#group48AM19", "48AM¹⁹"), =HYPERLINK("CSG19.html#group80D19", "80D¹⁹"), =HYPERLINK("CSG12.html#group72J12", "72J¹²"), =HYPERLINK("CSG4.html#group56B4", "56B⁴"), =HYPERLINK("CSG17.html#group80AA17", "80AA¹⁷"), =HYPERLINK("CSG23.html#group96AI23", "96AI²³"), =HYPERLINK("CSG17.html#group80AR17", "80AR¹⁷"), =HYPERLINK("CSG17.html#group80AX17", "80AX¹⁷"), =HYPERLINK("CSG23.html#group96O23", "96O²³"), =HYPERLINK("CSG19.html#group96AJ19", "96AJ¹⁹"), =HYPERLINK("CSG5.html#group96A5", "96A⁵"), =HYPERLINK("CSG13.html#group144B13", "144B¹³"), =HYPERLINK("CSG21.html#group32S21", "32S²¹"), =HYPERLINK("CSG21.html#group96AG21", "96AG²¹"), =HYPERLINK("CSG21.html#group88A21", "88A²¹"), =HYPERLINK("CSG21.html#group48H21", "48H²¹"), =HYPERLINK("CSG23.html#group176G23", "176G²³"), =HYPERLINK("CSG9.html#group16K9", "16K⁹"), =HYPERLINK("CSG21.html#group160I21", "160I²¹"), =HYPERLINK("CSG8.html#group48S8", "48S⁸"), =HYPERLINK("CSG11.html#group24F11", "24F¹¹"), =HYPERLINK("CSG17.html#group16B17", "16B¹⁷"), =HYPERLINK("CSG15.html#group48V15", "48V¹⁵"), =HYPERLINK("CSG17.html#group80H17", "80H¹⁷"), =HYPERLINK("CSG9.html#group16F9", "16F⁹"), =HYPERLINK("CSG15.html#group96T15", "96T¹⁵"), =HYPERLINK("CSG21.html#group160N21", "160N²¹"), =HYPERLINK("CSG21.html#group48O21", "48O²¹"), =HYPERLINK("CSG23.html#group144W23", "144W²³"), =HYPERLINK("CSG21.html#group288A21", "288A²¹"), =HYPERLINK("CSG15.html#group96O15", "96O¹⁵"), =HYPERLINK("CSG14.html#group64D14", "64D¹⁴"), =HYPERLINK("CSG21.html#group48AN21", "48AN²¹"), =HYPERLINK("CSG21.html#group48CO21", "48CO²¹"), =HYPERLINK("CSG21.html#group48J21", "48J²¹"), =HYPERLINK("CSG6.html#group24K6", "24K⁶"), =HYPERLINK("CSG8.html#group112B8", "112B⁸"), =HYPERLINK("CSG21.html#group48V21", "48V²¹"), =HYPERLINK("CSG21.html#group32P21", "32P²¹"), =HYPERLINK("CSG15.html#group64H15", "64H¹⁵"), =HYPERLINK("CSG9.html#group16I9", "16I⁹"), =HYPERLINK("CSG7.html#group48AG7", "48AG⁷"), =HYPERLINK("CSG21.html#group56J21", "56J²¹"), =HYPERLINK("CSG21.html#group48AA21", "48AA²¹"), =HYPERLINK("CSG9.html#group32H9", "32H⁹"), =HYPERLINK("CSG17.html#group96R17", "96R¹⁷"), =HYPERLINK("CSG11.html#group32C11", "32C¹¹"), =HYPERLINK("CSG17.html#group48R17", "48R¹⁷"), =HYPERLINK("CSG21.html#group48AK21", "48AK²¹"), =HYPERLINK("CSG9.html#group48K9", "48K⁹"), =HYPERLINK("CSG23.html#group96E23", "96E²³"), =HYPERLINK("CSG3.html#group16B3", "16B³"), =HYPERLINK("CSG5.html#group32H5", "32H⁵"), =HYPERLINK("CSG17.html#group24J17", "24J¹⁷"), =HYPERLINK("CSG15.html#group48Y15", "48Y¹⁵"), =HYPERLINK("CSG9.html#group32G9", "32G⁹"), =HYPERLINK("CSG2.html#group16L2", "16L²"), =HYPERLINK("CSG20.html#group96Z20", "96Z²⁰"), =HYPERLINK("CSG23.html#group144M23", "144M²³"), =HYPERLINK("CSG7.html#group64G7", "64G⁷"), =HYPERLINK("CSG15.html#group24O15", "24O¹⁵"), =HYPERLINK("CSG7.html#group48AD7", "48AD⁷"), =HYPERLINK("CSG15.html#group112G15", "112G¹⁵"), =HYPERLINK("CSG24.html#group32A24", "32A²⁴"), =HYPERLINK("CSG21.html#group48AX21", "48AX²¹"), =HYPERLINK("CSG17.html#group48BC17", "48BC¹⁷"), =HYPERLINK("CSG19.html#group48BD19", "48BD¹⁹"), =HYPERLINK("CSG18.html#group72E18", "72E¹⁸"), =HYPERLINK("CSG9.html#group80H9", "80H⁹"), =HYPERLINK("CSG21.html#group80E21", "80E²¹"), =HYPERLINK("CSG9.html#group16H9", "16H⁹"), =HYPERLINK("CSG19.html#group48BH19", "48BH¹⁹"), =HYPERLINK("CSG23.html#group112M23", "112M²³"), =HYPERLINK("CSG10.html#group144E10", "144E¹⁰"), =HYPERLINK("CSG17.html#group48BG17", "48BG¹⁷"), =HYPERLINK("CSG15.html#group64C15", "64C¹⁵"), =HYPERLINK("CSG20.html#group96V20", "96V²⁰"), =HYPERLINK("CSG19.html#group80B19", "80B¹⁹"), =HYPERLINK("CSG13.html#group32A13", "32A¹³"), =HYPERLINK("CSG9.html#group24C9", "24C⁹"), =HYPERLINK("CSG21.html#group56K21", "56K²¹"), =HYPERLINK("CSG17.html#group48CB17", "48CB¹⁷"), =HYPERLINK("CSG9.html#group32B9", "32B⁹"), =HYPERLINK("CSG15.html#group48W15", "48W¹⁵"), =HYPERLINK("CSG13.html#group64M13", "64M¹³"), =HYPERLINK("CSG13.html#group32K13", "32K¹³"), =HYPERLINK("CSG15.html#group96U15", "96U¹⁵"), =HYPERLINK("CSG7.html#group32A7", "32A⁷"), =HYPERLINK("CSG17.html#group48BF17", "48BF¹⁷"), =HYPERLINK("CSG4.html#group40A4", "40A⁴"), =HYPERLINK("CSG5.html#group32E5", "32E⁵"), =HYPERLINK("CSG17.html#group96B17", "96B¹⁷"), =HYPERLINK("CSG13.html#group48J13", "48J¹³"), =HYPERLINK("CSG16.html#group24B16", "24B¹⁶"), =HYPERLINK("CSG21.html#group72D21", "72D²¹"), =HYPERLINK("CSG3.html#group16A3", "16A³"), =HYPERLINK("CSG21.html#group32A21", "32A²¹"), =HYPERLINK("CSG24.html#group80A24", "80A²⁴"), =HYPERLINK("CSG23.html#group176C23", "176C²³"), =HYPERLINK("CSG13.html#group48T13", "48T¹³"), =HYPERLINK("CSG7.html#group16E7", "16E⁷"), =HYPERLINK("CSG21.html#group48S21", "48S²¹"), =HYPERLINK("CSG3.html#group32G3", "32G³"), =HYPERLINK("CSG8.html#group48AE8", "48AE⁸"), =HYPERLINK("CSG15.html#group96Q15", "96Q¹⁵"), =HYPERLINK("CSG21.html#group48CB21", "48CB²¹"), =HYPERLINK("CSG17.html#group16A17", "16A¹⁷"), =HYPERLINK("CSG3.html#group32Q3", "32Q³"), =HYPERLINK("CSG21.html#group192J21", "192J²¹"), =HYPERLINK("CSG21.html#group224A21", "224A²¹"), =HYPERLINK("CSG7.html#group32I7", "32I⁷"), =HYPERLINK("CSG13.html#group56L13", "56L¹³"), =HYPERLINK("CSG21.html#group96AP21", "96AP²¹"), =HYPERLINK("CSG23.html#group96D23", "96D²³"), =HYPERLINK("CSG19.html#group80AB19", "80AB¹⁹"), =HYPERLINK("CSG21.html#group16B21", "16B²¹"), =HYPERLINK("CSG23.html#group96G23", "96G²³"), =HYPERLINK("CSG17.html#group24AH17", "24AH¹⁷"), =HYPERLINK("CSG9.html#group48W9", "48W⁹"), =HYPERLINK("CSG23.html#group96C23", "96C²³"), =HYPERLINK("CSG1.html#group16H1", "16H¹"), =HYPERLINK("CSG17.html#group40G17", "40G¹⁷"), =HYPERLINK("CSG17.html#group48AV17", "48AV¹⁷"), =HYPERLINK("CSG15.html#group24S15", "24S¹⁵"), =HYPERLINK("CSG9.html#group24AB9", "24AB⁹"), =HYPERLINK("CSG21.html#group80N21", "80N²¹"), =HYPERLINK("CSG23.html#group96J23", "96J²³"), =HYPERLINK("CSG19.html#group48G19", "48G¹⁹"), =HYPERLINK("CSG17.html#group48BD17", "48BD¹⁷"), =HYPERLINK("CSG15.html#group40AE15", "40AE¹⁵"), =HYPERLINK("CSG11.html#group56A11", "56A¹¹"), =HYPERLINK("CSG3.html#group8A3", "8A³"), =HYPERLINK("CSG24.html#group32C24", "32C²⁴"), =HYPERLINK("CSG4.html#group72E4", "72E⁴"), =HYPERLINK("CSG9.html#group48J9", "48J⁹"), =HYPERLINK("CSG17.html#group24AS17", "24AS¹⁷"), =HYPERLINK("CSG20.html#group96Y20", "96Y²⁰"), =HYPERLINK("CSG20.html#group96W20", "96W²⁰"), =HYPERLINK("CSG15.html#group48AE15", "48AE¹⁵"), =HYPERLINK("CSG17.html#group24AN17", "24AN¹⁷"), =HYPERLINK("CSG12.html#group120C12", "120C¹²"), =HYPERLINK("CSG6.html#group24G6", "24G⁶"), =HYPERLINK("CSG5.html#group16B5", "16B⁵"), =HYPERLINK("CSG3.html#group16L3", "16L³"), =HYPERLINK("CSG19.html#group48B19", "48B¹⁹"), =HYPERLINK("CSG9.html#group96D9", "96D⁹"), =HYPERLINK("CSG19.html#group224A19", "224A¹⁹"), =HYPERLINK("CSG17.html#group48BE17", "48BE¹⁷"), =HYPERLINK("CSG5.html#group16I5", "16I⁵"), =HYPERLINK("CSG11.html#group72A11", "72A¹¹"), =HYPERLINK("CSG10.html#group112A10", "112A¹⁰"), =HYPERLINK("CSG9.html#group96H9", "96H⁹"), =HYPERLINK("CSG19.html#group48AE19", "48AE¹⁹"), =HYPERLINK("CSG13.html#group16C13", "16C¹³"), =HYPERLINK("CSG21.html#group48AP21", "48AP²¹"), =HYPERLINK("CSG15.html#group48AF15", "48AF¹⁵"), =HYPERLINK("CSG17.html#group24C17", "24C¹⁷"), =HYPERLINK("CSG12.html#group120B12", "120B¹²"), =HYPERLINK("CSG15.html#group24T15", "24T¹⁵"), =HYPERLINK("CSG21.html#group72F21", "72F²¹"), =HYPERLINK("CSG13.html#group40M13", "40M¹³"), =HYPERLINK("CSG7.html#group32F7", "32F⁷"), =HYPERLINK("CSG5.html#group16M5", "16M⁵"), =HYPERLINK("CSG19.html#group48BJ19", "48BJ¹⁹"), =HYPERLINK("CSG19.html#group80AA19", "80AA¹⁹"), =HYPERLINK("CSG7.html#group48P7", "48P⁷"), =HYPERLINK("CSG23.html#group56D23", "56D²³"), =HYPERLINK("CSG9.html#group24AD9", "24AD⁹"), =HYPERLINK("CSG7.html#group64H7", "64H⁷"), =HYPERLINK("CSG1.html#group8H1", "8H¹"), =HYPERLINK("CSG17.html#group24L17", "24L¹⁷"), =HYPERLINK("CSG19.html#group48AN19", "48AN¹⁹"), =HYPERLINK("CSG7.html#group48S7", "48S⁷"), =HYPERLINK("CSG21.html#group24D21", "24D²¹"), =HYPERLINK("CSG19.html#group96BA19", "96BA¹⁹"), =HYPERLINK("CSG13.html#group72I13", "72I¹³"), =HYPERLINK("CSG21.html#group160M21", "160M²¹"), =HYPERLINK("CSG13.html#group16B13", "16B¹³"), =HYPERLINK("CSG21.html#group80I21", "80I²¹"), =HYPERLINK("CSG20.html#group96AB20", "96AB²⁰"), =HYPERLINK("CSG9.html#group48X9", "48X⁹"), =HYPERLINK("CSG9.html#group32Q9", "32Q⁹"), =HYPERLINK("CSG8.html#group144A8", "144A⁸"), =HYPERLINK("CSG17.html#group80AU17", "80AU¹⁷"), =HYPERLINK("CSG13.html#group64L13", "64L¹³"), =HYPERLINK("CSG15.html#group40AF15", "40AF¹⁵"), =HYPERLINK("CSG21.html#group48F21", "48F²¹"), =HYPERLINK("CSG3.html#group96A3", "96A³"), =HYPERLINK("CSG9.html#group32N9", "32N⁹"), =HYPERLINK("CSG21.html#group160P21", "160P²¹"), =HYPERLINK("CSG21.html#group80X21", "80X²¹"), =HYPERLINK("CSG21.html#group80L21", "80L²¹"), =HYPERLINK("CSG7.html#group24K7", "24K⁷"), =HYPERLINK("CSG19.html#group160D19", "160D¹⁹"), =HYPERLINK("CSG11.html#group32I11", "32I¹¹"), =HYPERLINK("CSG6.html#group24I6", "24I⁶"), =HYPERLINK("CSG17.html#group48BN17", "48BN¹⁷"), =HYPERLINK("CSG19.html#group24A19", "24A¹⁹"), =HYPERLINK("CSG20.html#group96Q20", "96Q²⁰"), =HYPERLINK("CSG21.html#group48CE21", "48CE²¹"), =HYPERLINK("CSG9.html#group32A9", "32A⁹"), =HYPERLINK("CSG23.html#group112I23", "112I²³"), =HYPERLINK("CSG5.html#group24Y5", "24Y⁵"), =HYPERLINK("CSG19.html#group80F19", "80F¹⁹"), =HYPERLINK("CSG11.html#group112E11", "112E¹¹"), =HYPERLINK("CSG21.html#group48BD21", "48BD²¹"), =HYPERLINK("CSG7.html#group48D7", "48D⁷"), =HYPERLINK("CSG13.html#group48I13", "48I¹³"), =HYPERLINK("CSG19.html#group96X19", "96X¹⁹"), =HYPERLINK("CSG7.html#group48V7", "48V⁷"), =HYPERLINK("CSG23.html#group208A23", "208A²³"), =HYPERLINK("CSG21.html#group16F21", "16F²¹"), =HYPERLINK("CSG10.html#group32C10", "32C¹⁰"), =HYPERLINK("CSG22.html#group56E22", "56E²²"), =HYPERLINK("CSG9.html#group16A9", "16A⁹"), =HYPERLINK("CSG2.html#group16F2", "16F²"), =HYPERLINK("CSG13.html#group32M13", "32M¹³"), =HYPERLINK("CSG9.html#group96K9", "96K⁹"), =HYPERLINK("CSG19.html#group48BA19", "48BA¹⁹"), =HYPERLINK("CSG21.html#group48D21", "48D²¹"), =HYPERLINK("CSG17.html#group24T17", "24T¹⁷"), =HYPERLINK("CSG13.html#group32D13", "32D¹³"), =HYPERLINK("CSG15.html#group48AC15", "48AC¹⁵"), =HYPERLINK("CSG19.html#group96W19", "96W¹⁹"), =HYPERLINK("CSG23.html#group96B23", "96B²³"), =HYPERLINK("CSG6.html#group48A6", "48A⁶"), =HYPERLINK("CSG24.html#group240C24", "240C²⁴"), =HYPERLINK("CSG19.html#group96AO19", "96AO¹⁹"), =HYPERLINK("CSG19.html#group96AR19", "96AR¹⁹"), =HYPERLINK("CSG11.html#group48G11", "48G¹¹"), =HYPERLINK("CSG21.html#group64I21", "64I²¹"), =HYPERLINK("CSG11.html#group24I11", "24I¹¹"), =HYPERLINK("CSG6.html#group32F6", "32F⁶"), =HYPERLINK("CSG8.html#group48F8", "48F⁸"), =HYPERLINK("CSG21.html#group24F21", "24F²¹"), =HYPERLINK("CSG3.html#group8B3", "8B³"), =HYPERLINK("CSG9.html#group96B9", "96B⁹"), =HYPERLINK("CSG9.html#group32M9", "32M⁹"), =HYPERLINK("CSG21.html#group16A21", "16A²¹"), =HYPERLINK("CSG11.html#group88B11", "88B¹¹"), =HYPERLINK("CSG19.html#group96AI19", "96AI¹⁹"), =HYPERLINK("CSG9.html#group24AG9", "24AG⁹"), =HYPERLINK("CSG16.html#group24A16", "24A¹⁶"), =HYPERLINK("CSG2.html#group8C2", "8C²"), =HYPERLINK("CSG3.html#group24I3", "24I³"), =HYPERLINK("CSG7.html#group32J7", "32J⁷"), =HYPERLINK("CSG23.html#group112K23", "112K²³"), =HYPERLINK("CSG19.html#group24F19", "24F¹⁹"), =HYPERLINK("CSG21.html#group96AM21", "96AM²¹"), =HYPERLINK("CSG22.html#group40B22", "40B²²"), =HYPERLINK("CSG10.html#group56C10", "56C¹⁰"), =HYPERLINK("CSG23.html#group56N23", "56N²³"), =HYPERLINK("CSG21.html#group48C21", "48C²¹"), =HYPERLINK("CSG20.html#group96U20", "96U²⁰"), =HYPERLINK("CSG23.html#group200B23", "200B²³"), =HYPERLINK("CSG15.html#group96D15", "96D¹⁵"), =HYPERLINK("CSG21.html#group48AI21", "48AI²¹"), =HYPERLINK("CSG5.html#group24S5", "24S⁵"), =HYPERLINK("CSG21.html#group144K21", "144K²¹"), =HYPERLINK("CSG7.html#group32H7", "32H⁷"), =HYPERLINK("CSG9.html#group24J9", "24J⁹"), =HYPERLINK("CSG7.html#group24AB7", "24AB⁷"), =HYPERLINK("CSG15.html#group24U15", "24U¹⁵"), =HYPERLINK("CSG9.html#group64H9", "64H⁹"), =HYPERLINK("CSG17.html#group48AY17", "48AY¹⁷"), =HYPERLINK("CSG5.html#group32I5", "32I⁵"), =HYPERLINK("CSG13.html#group80C13", "80C¹³"), =HYPERLINK("CSG18.html#group48P18", "48P¹⁸"), =HYPERLINK("CSG5.html#group48F5", "48F⁵"), =HYPERLINK("CSG23.html#group120N23", "120N²³"), =HYPERLINK("CSG13.html#group40N13", "40N¹³"), =HYPERLINK("CSG21.html#group192K21", "192K²¹"), =HYPERLINK("CSG17.html#group24B17", "24B¹⁷"), =HYPERLINK("CSG19.html#group48BC19", "48BC¹⁹"), =HYPERLINK("CSG17.html#group40AA17", "40AA¹⁷"), =HYPERLINK("CSG15.html#group48AA15", "48AA¹⁵"), =HYPERLINK("CSG17.html#group40V17", "40V¹⁷"), =HYPERLINK("CSG12.html#group32A12", "32A¹²"), =HYPERLINK("CSG19.html#group48BB19", "48BB¹⁹"), =HYPERLINK("CSG15.html#group64D15", "64D¹⁵"), =HYPERLINK("CSG15.html#group48S15", "48S¹⁵"), =HYPERLINK("CSG19.html#group96AN19", "96AN¹⁹"), =HYPERLINK("CSG21.html#group80H21", "80H²¹"), =HYPERLINK("CSG19.html#group160G19", "160G¹⁹"), =HYPERLINK("CSG19.html#group96AV19", "96AV¹⁹"), =HYPERLINK("CSG23.html#group104Q23", "104Q²³"), =HYPERLINK("CSG9.html#group32P9", "32P⁹"), =HYPERLINK("CSG7.html#group40E7", "40E⁷"), =HYPERLINK("CSG21.html#group48BB21", "48BB²¹"), =HYPERLINK("CSG7.html#group48N7", "48N⁷"), =HYPERLINK("CSG15.html#group96H15", "96H¹⁵"), =HYPERLINK("CSG23.html#group56M23", "56M²³"), =HYPERLINK("CSG13.html#group48X13", "48X¹³"), =HYPERLINK("CSG21.html#group48E21", "48E²¹"), =HYPERLINK("CSG20.html#group96AE20", "96AE²⁰"), =HYPERLINK("CSG13.html#group48C13", "48C¹³"), =HYPERLINK("CSG23.html#group144G23", "144G²³"), =HYPERLINK("CSG17.html#group40N17", "40N¹⁷"), =HYPERLINK("CSG11.html#group48Q11", "48Q¹¹"), =HYPERLINK("CSG9.html#group96C9", "96C⁹"), =HYPERLINK("CSG19.html#group48AB19", "48AB¹⁹"), =HYPERLINK("CSG21.html#group32D21", "32D²¹"), =HYPERLINK("CSG3.html#group40D3", "40D³"), =HYPERLINK("CSG23.html#group32D23", "32D²³"), =HYPERLINK("CSG3.html#group48F3", "48F³"), =HYPERLINK("CSG3.html#group32H3", "32H³"), =HYPERLINK("CSG15.html#group24M15", "24M¹⁵"), =HYPERLINK("CSG19.html#group32A19", "32A¹⁹"), =HYPERLINK("CSG17.html#group80AK17", "80AK¹⁷"), =HYPERLINK("CSG21.html#group96Y21", "96Y²¹"), =HYPERLINK("CSG15.html#group96R15", "96R¹⁵"), =HYPERLINK("CSG24.html#group336I24", "336I²⁴"), =HYPERLINK("CSG19.html#group96AH19", "96AH¹⁹"), =HYPERLINK("CSG13.html#group72K13", "72K¹³"), =HYPERLINK("CSG13.html#group48P13", "48P¹³"), =HYPERLINK("CSG19.html#group80AC19", "80AC¹⁹"), =HYPERLINK("CSG19.html#group48BE19", "48BE¹⁹"), =HYPERLINK("CSG21.html#group48I21", "48I²¹"), =HYPERLINK("CSG15.html#group64A15", "64A¹⁵"), =HYPERLINK("CSG24.html#group112V24", "112V²⁴"), =HYPERLINK("CSG14.html#group56G14", "56G¹⁴"), =HYPERLINK("CSG17.html#group48AK17", "48AK¹⁷"), =HYPERLINK("CSG15.html#group96A15", "96A¹⁵"), =HYPERLINK("CSG21.html#group48AH21", "48AH²¹"), =HYPERLINK("CSG13.html#group64U13", "64U¹³"), =HYPERLINK("CSG23.html#group224A23", "224A²³"), =HYPERLINK("CSG9.html#group40A9", "40A⁹"), =HYPERLINK("CSG4.html#group16B4", "16B⁴"), =HYPERLINK("CSG15.html#group48M15", "48M¹⁵"), =HYPERLINK("CSG17.html#group80F17", "80F¹⁷"), =HYPERLINK("CSG9.html#group24AJ9", "24AJ⁹"), =HYPERLINK("CSG9.html#group80L9", "80L⁹"), =HYPERLINK("CSG19.html#group96AK19", "96AK¹⁹"), =HYPERLINK("CSG13.html#group24Q13", "24Q¹³"), =HYPERLINK("CSG20.html#group96S20", "96S²⁰"), =HYPERLINK("CSG0.html#group8P0", "8P⁰"), =HYPERLINK("CSG21.html#group80Q21", "80Q²¹"), =HYPERLINK("CSG11.html#group32A11", "32A¹¹"), =HYPERLINK("CSG7.html#group64I7", "64I⁷"), =HYPERLINK("CSG23.html#group144N23", "144N²³"), =HYPERLINK("CSG17.html#group80AE17", "80AE¹⁷"), =HYPERLINK("CSG19.html#group96L19", "96L¹⁹"), =HYPERLINK("CSG11.html#group32K11", "32K¹¹"), =HYPERLINK("CSG10.html#group56B10", "56B¹⁰"), =HYPERLINK("CSG17.html#group48CD17", "48CD¹⁷"), =HYPERLINK("CSG19.html#group48AL19", "48AL¹⁹"), =HYPERLINK("CSG11.html#group104B11", "104B¹¹"), =HYPERLINK("CSG9.html#group24S9", "24S⁹"), =HYPERLINK("CSG21.html#group120C21", "120C²¹"), =HYPERLINK("CSG13.html#group144A13", "144A¹³"), =HYPERLINK("CSG17.html#group48P17", "48P¹⁷"), =HYPERLINK("CSG10.html#group56D10", "56D¹⁰"), =HYPERLINK("CSG21.html#group48AB21", "48AB²¹"), =HYPERLINK("CSG21.html#group48BC21", "48BC²¹"), =HYPERLINK("CSG23.html#group112L23", "112L²³"), =HYPERLINK("CSG23.html#group112E23", "112E²³"), =HYPERLINK("CSG13.html#group32G13", "32G¹³"), =HYPERLINK("CSG23.html#group48B23", "48B²³"), =HYPERLINK("CSG17.html#group48S17", "48S¹⁷"), =HYPERLINK("CSG6.html#group32E6", "32E⁶"), =HYPERLINK("CSG19.html#group96AY19", "96AY¹⁹"), =HYPERLINK("CSG6.html#group32C6", "32C⁶"), =HYPERLINK("CSG21.html#group88E21", "88E²¹"), =HYPERLINK("CSG1.html#group8I1", "8I¹"), =HYPERLINK("CSG7.html#group32D7", "32D⁷"), =HYPERLINK("CSG9.html#group48AE9", "48AE⁹"), =HYPERLINK("CSG21.html#group48Q21", "48Q²¹"), =HYPERLINK("CSG15.html#group96S15", "96S¹⁵"), =HYPERLINK("CSG21.html#group48BQ21", "48BQ²¹"), =HYPERLINK("CSG13.html#group56H13", "56H¹³"), =HYPERLINK("CSG7.html#group48U7", "48U⁷"), =HYPERLINK("CSG23.html#group96AL23", "96AL²³"), =HYPERLINK("CSG13.html#group32B13", "32B¹³"), =HYPERLINK("CSG7.html#group32G7", "32G⁷"), =HYPERLINK("CSG17.html#group80AV17", "80AV¹⁷"), =HYPERLINK("CSG23.html#group144H23", "144H²³"), =HYPERLINK("CSG6.html#group24D6", "24D⁶"), =HYPERLINK("CSG17.html#group40E17", "40E¹⁷"), =HYPERLINK("CSG17.html#group48AU17", "48AU¹⁷"), =HYPERLINK("CSG16.html#group24E16", "24E¹⁶"), =HYPERLINK("CSG19.html#group80AE19", "80AE¹⁹"), =HYPERLINK("CSG17.html#group48CF17", "48CF¹⁷"), =HYPERLINK("CSG18.html#group32B18", "32B¹⁸"), =HYPERLINK("CSG21.html#group64F21", "64F²¹"), =HYPERLINK("CSG9.html#group64F9", "64F⁹"), =HYPERLINK("CSG16.html#group48A16", "48A¹⁶"), =HYPERLINK("CSG11.html#group48E11", "48E¹¹"), =HYPERLINK("CSG17.html#group24F17", "24F¹⁷"), =HYPERLINK("CSG21.html#group32I21", "32I²¹"), =HYPERLINK("CSG19.html#group56B19", "56B¹⁹"), =HYPERLINK("CSG19.html#group48A19", "48A¹⁹"), =HYPERLINK("CSG13.html#group40V13", "40V¹³"), =HYPERLINK("CSG17.html#group48BB17", "48BB¹⁷"), =HYPERLINK("CSG17.html#group72U17", "72U¹⁷"), =HYPERLINK("CSG18.html#group48T18", "48T¹⁸"), =HYPERLINK("CSG11.html#group48B11", "48B¹¹"), =HYPERLINK("CSG11.html#group32E11", "32E¹¹"), =HYPERLINK("CSG17.html#group72N17", "72N¹⁷"), =HYPERLINK("CSG21.html#group160H21", "160H²¹"), =HYPERLINK("CSG14.html#group64C14", "64C¹⁴"), =HYPERLINK("CSG7.html#group16D7", "16D⁷"), =HYPERLINK("CSG21.html#group32R21", "32R²¹"), =HYPERLINK("CSG18.html#group48Q18", "48Q¹⁸"), =HYPERLINK("CSG7.html#group48F7", "48F⁷"), =HYPERLINK("CSG11.html#group96I11", "96I¹¹"), =HYPERLINK("CSG19.html#group176C19", "176C¹⁹"), =HYPERLINK("CSG17.html#group80BC17", "80BC¹⁷"), =HYPERLINK("CSG8.html#group80A8", "80A⁸"), =HYPERLINK("CSG22.html#group56F22", "56F²²"), =HYPERLINK("CSG21.html#group48M21", "48M²¹"), =HYPERLINK("CSG14.html#group144A14", "144A¹⁴"), =HYPERLINK("CSG19.html#group80U19", "80U¹⁹"), =HYPERLINK("CSG13.html#group48D13", "48D¹³"), =HYPERLINK("CSG17.html#group80AD17", "80AD¹⁷"), =HYPERLINK("CSG21.html#group112A21", "112A²¹"), =HYPERLINK("CSG19.html#group96AM19", "96AM¹⁹"), =HYPERLINK("CSG9.html#group40J9", "40J⁹"), =HYPERLINK("CSG1.html#group8B1", "8B¹"), =HYPERLINK("CSG8.html#group48AD8", "48AD⁸"), =HYPERLINK("CSG21.html#group24J21", "24J²¹"), =HYPERLINK("CSG23.html#group144F23", "144F²³"), =HYPERLINK("CSG17.html#group48AX17", "48AX¹⁷"), =HYPERLINK("CSG0.html#group8H0", "8H⁰"), =HYPERLINK("CSG3.html#group48C3", "48C³"), =HYPERLINK("CSG17.html#group40AD17", "40AD¹⁷"), =HYPERLINK("CSG7.html#group48AB7", "48AB⁷"), =HYPERLINK("CSG19.html#group96AQ19", "96AQ¹⁹"), =HYPERLINK("CSG17.html#group48BA17", "48BA¹⁷"), =HYPERLINK("CSG15.html#group112D15", "112D¹⁵"), =HYPERLINK("CSG21.html#group144J21", "144J²¹"), =HYPERLINK("CSG22.html#group32B22", "32B²²"), =HYPERLINK("CSG17.html#group80AQ17", "80AQ¹⁷"), =HYPERLINK("CSG15.html#group40S15", "40S¹⁵"), =HYPERLINK("CSG17.html#group160H17", "160H¹⁷"), =HYPERLINK("CSG11.html#group48L11", "48L¹¹"), =HYPERLINK("CSG2.html#group24M2", "24M²"), =HYPERLINK("CSG20.html#group96G20", "96G²⁰"), =HYPERLINK("CSG10.html#group32B10", "32B¹⁰"), =HYPERLINK("CSG21.html#group48K21", "48K²¹"), =HYPERLINK("CSG21.html#group72L21", "72L²¹"), =HYPERLINK("CSG3.html#group32E3", "32E³"), =HYPERLINK("CSG17.html#group48T17", "48T¹⁷"), =HYPERLINK("CSG17.html#group96AE17", "96AE¹⁷"), =HYPERLINK("CSG20.html#group96O20", "96O²⁰"), =HYPERLINK("CSG6.html#group32H6", "32H⁶"), =HYPERLINK("CSG21.html#group32T21", "32T²¹"), =HYPERLINK("CSG5.html#group16J5", "16J⁵"), =HYPERLINK("CSG22.html#group72E22", "72E²²"), =HYPERLINK("CSG15.html#group112C15", "112C¹⁵"), =HYPERLINK("CSG17.html#group48AR17", "48AR¹⁷"), =HYPERLINK("CSG21.html#group144D21", "144D²¹"), =HYPERLINK("CSG19.html#group48AU19", "48AU¹⁹"), =HYPERLINK("CSG19.html#group64A19", "64A¹⁹"), =HYPERLINK("CSG17.html#group40D17", "40D¹⁷"), =HYPERLINK("CSG19.html#group96AU19", "96AU¹⁹"), =HYPERLINK("CSG13.html#group48AA13", "48AA¹³"), =HYPERLINK("CSG7.html#group40Q7", "40Q⁷"), =HYPERLINK("CSG5.html#group32K5", "32K⁵"), =HYPERLINK("CSG21.html#group32M21", "32M²¹"), =HYPERLINK("CSG21.html#group80F21", "80F²¹"), =HYPERLINK("CSG21.html#group72E21", "72E²¹"), =HYPERLINK("CSG20.html#group96AG20", "96AG²⁰"), =HYPERLINK("CSG21.html#group56C21", "56C²¹"), =HYPERLINK("CSG21.html#group96Z21", "96</f>
        <v/>
      </c>
    </row>
    <row r="46">
      <c r="A46" t="inlineStr">
        <is>
          <t>8C⁰</t>
        </is>
      </c>
      <c r="B46" t="inlineStr">
        <is>
          <t>Γ₀(8)</t>
        </is>
      </c>
      <c r="C46" t="inlineStr">
        <is>
          <t>12</t>
        </is>
      </c>
      <c r="D46" t="inlineStr">
        <is>
          <t>1</t>
        </is>
      </c>
      <c r="E46" t="inlineStr">
        <is>
          <t>6</t>
        </is>
      </c>
      <c r="F46" t="inlineStr">
        <is>
          <t>0</t>
        </is>
      </c>
      <c r="G46" t="inlineStr">
        <is>
          <t>0</t>
        </is>
      </c>
      <c r="H46" t="inlineStr">
        <is>
          <t>1², 2¹, 8¹</t>
        </is>
      </c>
      <c r="I46" t="n">
        <v>4</v>
      </c>
      <c r="J46" t="inlineStr">
        <is>
          <t>1⁴, 2¹</t>
        </is>
      </c>
      <c r="K46">
        <f>HYPERLINK("CSG0.html#group4B0", "4B⁰")</f>
        <v/>
      </c>
      <c r="L46">
        <f>HYPERLINK("CSG0.html#group8G0", "8G⁰"), =HYPERLINK("CSG0.html#group8I0", "8I⁰"), =HYPERLINK("CSG0.html#group16C0", "16C⁰"), =HYPERLINK("CSG0.html#group16D0", "16D⁰"), =HYPERLINK("CSG1.html#group16A1", "16A¹"), =HYPERLINK("CSG1.html#group24G1", "24G¹"), =HYPERLINK("CSG2.html#group24B2", "24B²"), =HYPERLINK("CSG3.html#group40F3", "40F³"), =HYPERLINK("CSG4.html#group40B4", "40B⁴"), =HYPERLINK("CSG5.html#group56D5", "56D⁵"), =HYPERLINK("CSG6.html#group56C6", "56C⁶"), =HYPERLINK("CSG7.html#group40G7", "40G⁷"), =HYPERLINK("CSG9.html#group88B9", "88B⁹"), =HYPERLINK("CSG10.html#group88A10", "88A¹⁰"), =HYPERLINK("CSG11.html#group104D11", "104D¹¹"), =HYPERLINK("CSG15.html#group136D15", "136D¹⁵"), =HYPERLINK("CSG17.html#group152A17", "152A¹⁷"), =HYPERLINK("CSG21.html#group184A21", "184A²¹"), =HYPERLINK("CSG22.html#group72F22", "72F²²")</f>
        <v/>
      </c>
      <c r="M46">
        <f>HYPERLINK("CSG0.html#group4B0", "4B⁰"), =HYPERLINK("CSG0.html#group1A0", "1A⁰"), =HYPERLINK("CSG0.html#group2B0", "2B⁰")</f>
        <v/>
      </c>
      <c r="N46">
        <f>HYPERLINK("CSG13.html#group80G13", "80G¹³"), =HYPERLINK("CSG6.html#group56C6", "56C⁶"), =HYPERLINK("CSG23.html#group192E23", "192E²³"), =HYPERLINK("CSG11.html#group16A11", "16A¹¹"), =HYPERLINK("CSG18.html#group96A18", "96A¹⁸"), =HYPERLINK("CSG17.html#group40X17", "40X¹⁷"), =HYPERLINK("CSG13.html#group64H13", "64H¹³"), =HYPERLINK("CSG9.html#group48AC9", "48AC⁹"), =HYPERLINK("CSG21.html#group48CF21", "48CF²¹"), =HYPERLINK("CSG19.html#group176F19", "176F¹⁹"), =HYPERLINK("CSG19.html#group96S19", "96S¹⁹"), =HYPERLINK("CSG7.html#group64A7", "64A⁷"), =HYPERLINK("CSG13.html#group32U13", "32U¹³"), =HYPERLINK("CSG17.html#group24AO17", "24AO¹⁷"), =HYPERLINK("CSG13.html#group144H13", "144H¹³"), =HYPERLINK("CSG21.html#group32G21", "32G²¹"), =HYPERLINK("CSG21.html#group96E21", "96E²¹"), =HYPERLINK("CSG21.html#group32C21", "32C²¹"), =HYPERLINK("CSG19.html#group48I19", "48I¹⁹"), =HYPERLINK("CSG23.html#group104E23", "104E²³"), =HYPERLINK("CSG21.html#group168D21", "168D²¹"), =HYPERLINK("CSG5.html#group32O5", "32O⁵"), =HYPERLINK("CSG3.html#group16I3", "16I³"), =HYPERLINK("CSG13.html#group144I13", "144I¹³"), =HYPERLINK("CSG21.html#group56F21", "56F²¹"), =HYPERLINK("CSG21.html#group48CD21", "48CD²¹"), =HYPERLINK("CSG3.html#group24X3", "24X³"), =HYPERLINK("CSG7.html#group40M7", "40M⁷"), =HYPERLINK("CSG15.html#group80G15", "80G¹⁵"), =HYPERLINK("CSG13.html#group40O13", "40O¹³"), =HYPERLINK("CSG17.html#group88A17", "88A¹⁷"), =HYPERLINK("CSG21.html#group184A21", "184A²¹"), =HYPERLINK("CSG24.html#group112B24", "112B²⁴"), =HYPERLINK("CSG19.html#group24G19", "24G¹⁹"), =HYPERLINK("CSG17.html#group32C17", "32C¹⁷"), =HYPERLINK("CSG9.html#group16E9", "16E⁹"), =HYPERLINK("CSG17.html#group72P17", "72P¹⁷"), =HYPERLINK("CSG9.html#group16D9", "16D⁹"), =HYPERLINK("CSG11.html#group104D11", "104D¹¹"), =HYPERLINK("CSG24.html#group56D24", "56D²⁴"), =HYPERLINK("CSG3.html#group32M3", "32M³"), =HYPERLINK("CSG7.html#group16B7", "16B⁷"), =HYPERLINK("CSG9.html#group32D9", "32D⁹"), =HYPERLINK("CSG16.html#group72F16", "72F¹⁶"), =HYPERLINK("CSG17.html#group80C17", "80C¹⁷"), =HYPERLINK("CSG19.html#group48P19", "48P¹⁹"), =HYPERLINK("CSG15.html#group128B15", "128B¹⁵"), =HYPERLINK("CSG19.html#group48AW19", "48AW¹⁹"), =HYPERLINK("CSG22.html#group40K22", "40K²²"), =HYPERLINK("CSG9.html#group80A9", "80A⁹"), =HYPERLINK("CSG23.html#group112U23", "112U²³"), =HYPERLINK("CSG18.html#group160A18", "160A¹⁸"), =HYPERLINK("CSG12.html#group56C12", "56C¹²"), =HYPERLINK("CSG15.html#group24D15", "24D¹⁵"), =HYPERLINK("CSG17.html#group80AG17", "80AG¹⁷"), =HYPERLINK("CSG1.html#group32E1", "32E¹"), =HYPERLINK("CSG7.html#group48X7", "48X⁷"), =HYPERLINK("CSG19.html#group88F19", "88F¹⁹"), =HYPERLINK("CSG13.html#group72S13", "72S¹³"), =HYPERLINK("CSG18.html#group96C18", "96C¹⁸"), =HYPERLINK("CSG7.html#group40U7", "40U⁷"), =HYPERLINK("CSG7.html#group24N7", "24N⁷"), =HYPERLINK("CSG21.html#group64A21", "64A²¹"), =HYPERLINK("CSG21.html#group64E21", "64E²¹"), =HYPERLINK("CSG8.html#group48Y8", "48Y⁸"), =HYPERLINK("CSG17.html#group160M17", "160M¹⁷"), =HYPERLINK("CSG23.html#group208D23", "208D²³"), =HYPERLINK("CSG15.html#group40C15", "40C¹⁵"), =HYPERLINK("CSG21.html#group96BD21", "96BD²¹"), =HYPERLINK("CSG19.html#group40M19", "40M¹⁹"), =HYPERLINK("CSG21.html#group96AR21", "96AR²¹"), =HYPERLINK("CSG17.html#group80BE17", "80BE¹⁷"), =HYPERLINK("CSG15.html#group48N15", "48N¹⁵"), =HYPERLINK("CSG17.html#group64A17", "64A¹⁷"), =HYPERLINK("CSG12.html#group112B12", "112B¹²"), =HYPERLINK("CSG19.html#group144F19", "144F¹⁹"), =HYPERLINK("CSG21.html#group160C21", "160C²¹"), =HYPERLINK("CSG8.html#group24F8", "24F⁸"), =HYPERLINK("CSG15.html#group96N15", "96N¹⁵"), =HYPERLINK("CSG17.html#group160F17", "160F¹⁷"), =HYPERLINK("CSG15.html#group24E15", "24E¹⁵"), =HYPERLINK("CSG19.html#group32B19", "32B¹⁹"), =HYPERLINK("CSG13.html#group24AC13", "24AC¹³"), =HYPERLINK("CSG11.html#group64A11", "64A¹¹"), =HYPERLINK("CSG19.html#group192B19", "192B¹⁹"), =HYPERLINK("CSG19.html#group48H19", "48H¹⁹"), =HYPERLINK("CSG9.html#group24AF9", "24AF⁹"), =HYPERLINK("CSG16.html#group160A16", "160A¹⁶"), =HYPERLINK("CSG0.html#group16G0", "16G⁰"), =HYPERLINK("CSG9.html#group96M9", "96M⁹"), =HYPERLINK("CSG7.html#group24T7", "24T⁷"), =HYPERLINK("CSG11.html#group72Q11", "72Q¹¹"), =HYPERLINK("CSG5.html#group32N5", "32N⁵"), =HYPERLINK("CSG21.html#group192D21", "192D²¹"), =HYPERLINK("CSG4.html#group48F4", "48F⁴"), =HYPERLINK("CSG16.html#group144D16", "144D¹⁶"), =HYPERLINK("CSG5.html#group64D5", "64D⁵"), =HYPERLINK("CSG17.html#group48Y17", "48Y¹⁷"), =HYPERLINK("CSG2.html#group16J2", "16J²"), =HYPERLINK("CSG19.html#group96BE19", "96BE¹⁹"), =HYPERLINK("CSG17.html#group48AC17", "48AC¹⁷"), =HYPERLINK("CSG9.html#group48AH9", "48AH⁹"), =HYPERLINK("CSG17.html#group24AP17", "24AP¹⁷"), =HYPERLINK("CSG8.html#group80B8", "80B⁸"), =HYPERLINK("CSG5.html#group40M5", "40M⁵"), =HYPERLINK("CSG23.html#group112Q23", "112Q²³"), =HYPERLINK("CSG17.html#group24P17", "24P¹⁷"), =HYPERLINK("CSG21.html#group48CK21", "48CK²¹"), =HYPERLINK("CSG9.html#group48AK9", "48AK⁹"), =HYPERLINK("CSG19.html#group96A19", "96A¹⁹"), =HYPERLINK("CSG4.html#group48D4", "48D⁴"), =HYPERLINK("CSG3.html#group48L3", "48L³"), =HYPERLINK("CSG13.html#group64J13", "64J¹³"), =HYPERLINK("CSG9.html#group16C9", "16C⁹"), =HYPERLINK("CSG13.html#group64V13", "64V¹³"), =HYPERLINK("CSG17.html#group48CO17", "48CO¹⁷"), =HYPERLINK("CSG15.html#group160A15", "160A¹⁵"), =HYPERLINK("CSG13.html#group24N13", "24N¹³"), =HYPERLINK("CSG19.html#group48BT19", "48BT¹⁹"), =HYPERLINK("CSG21.html#group32H21", "32H²¹"), =HYPERLINK("CSG15.html#group40L15", "40L¹⁵"), =HYPERLINK("CSG21.html#group96F21", "96F²¹"), =HYPERLINK("CSG21.html#group168B21", "168B²¹"), =HYPERLINK("CSG3.html#group16N3", "16N³"), =HYPERLINK("CSG15.html#group160B15", "160B¹⁵"), =HYPERLINK("CSG9.html#group32J9", "32J⁹"), =HYPERLINK("CSG21.html#group32E21", "32E²¹"), =HYPERLINK("CSG21.html#group192O21", "192O²¹"), =HYPERLINK("CSG21.html#group64N21", "64N²¹"), =HYPERLINK("CSG2.html#group32A2", "32A²"), =HYPERLINK("CSG21.html#group32N21", "32N²¹"), =HYPERLINK("CSG15.html#group48P15", "48P¹⁵"), =HYPERLINK("CSG19.html#group96B19", "96B¹⁹"), =HYPERLINK("CSG3.html#group24L3", "24L³"), =HYPERLINK("CSG17.html#group80U17", "80U¹⁷"), =HYPERLINK("CSG11.html#group112H11", "112H¹¹"), =HYPERLINK("CSG16.html#group144E16", "144E¹⁶"), =HYPERLINK("CSG13.html#group128D13", "128D¹³"), =HYPERLINK("CSG7.html#group96C7", "96C⁷"), =HYPERLINK("CSG1.html#group24G1", "24G¹"), =HYPERLINK("CSG21.html#group48CC21", "48CC²¹"), =HYPERLINK("CSG15.html#group80T15", "80T¹⁵"), =HYPERLINK("CSG17.html#group48D17", "48D¹⁷"), =HYPERLINK("CSG17.html#group40AS17", "40AS¹⁷"), =HYPERLINK("CSG7.html#group24AH7", "24AH⁷"), =HYPERLINK("CSG21.html#group104B21", "104B²¹"), =HYPERLINK("CSG19.html#group192E19", "192E¹⁹"), =HYPERLINK("CSG11.html#group32B11", "32B¹¹"), =HYPERLINK("CSG10.html#group96A10", "96A¹⁰"), =HYPERLINK("CSG3.html#group64B3", "64B³"), =HYPERLINK("CSG16.html#group80B16", "80B¹⁶"), =HYPERLINK("CSG0.html#group16H0", "16H⁰"), =HYPERLINK("CSG19.html#group96Z19", "96Z¹⁹"), =HYPERLINK("CSG13.html#group144G13", "144G¹³"), =HYPERLINK("CSG11.html#group96B11", "96B¹¹"), =HYPERLINK("CSG1.html#group16M1", "16M¹"), =HYPERLINK("CSG19.html#group192A19", "192A¹⁹"), =HYPERLINK("CSG21.html#group96AB21", "96AB²¹"), =HYPERLINK("CSG12.html#group56B12", "56B¹²"), =HYPERLINK("CSG17.html#group80D17", "80D¹⁷"), =HYPERLINK("CSG17.html#group48CP17", "48CP¹⁷"), =HYPERLINK("CSG19.html#group72D19", "72D¹⁹"), =HYPERLINK("CSG7.html#group96B7", "96B⁷"), =HYPERLINK("CSG17.html#group48F17", "48F¹⁷"), =HYPERLINK("CSG23.html#group56A23", "56A²³"), =HYPERLINK("CSG18.html#group96D18", "96D¹⁸"), =HYPERLINK("CSG21.html#group192C21", "192C²¹"), =HYPERLINK("CSG6.html#group64A6", "64A⁶"), =HYPERLINK("CSG21.html#group16C21", "16C²¹"), =HYPERLINK("CSG23.html#group104C23", "104C²³"), =HYPERLINK("CSG13.html#group80F13", "80F¹³"), =HYPERLINK("CSG19.html#group96O19", "96O¹⁹"), =HYPERLINK("CSG22.html#group96C22", "96C²²"), =HYPERLINK("CSG17.html#group48C17", "48C¹⁷"), =HYPERLINK("CSG5.html#group16A5", "16A⁵"), =HYPERLINK("CSG10.html#group96B10", "96B¹⁰"), =HYPERLINK("CSG15.html#group128D15", "128D¹⁵"), =HYPERLINK("CSG17.html#group144E17", "144E¹⁷"), =HYPERLINK("CSG21.html#group96P21", "96P²¹"), =HYPERLINK("CSG20.html#group168B20", "168B²⁰"), =HYPERLINK("CSG9.html#group32C9", "32C⁹"), =HYPERLINK("CSG17.html#group96AI17", "96AI¹⁷"), =HYPERLINK("CSG23.html#group56U23", "56U²³"), =HYPERLINK("CSG21.html#group72AB21", "72AB²¹"), =HYPERLINK("CSG18.html#group48C18", "48C¹⁸"), =HYPERLINK("CSG21.html#group96U21", "96U²¹"), =HYPERLINK("CSG13.html#group128C13", "128C¹³"), =HYPERLINK("CSG19.html#group96BC19", "96BC¹⁹"), =HYPERLINK("CSG9.html#group128B9", "128B⁹"), =HYPERLINK("CSG3.html#group32C3", "32C³"), =HYPERLINK("CSG19.html#group48Q19", "48Q¹⁹"), =HYPERLINK("CSG17.html#group16B17", "16B¹⁷"), =HYPERLINK("CSG18.html#group80A18", "80A¹⁸"), =HYPERLINK("CSG7.html#group48AN7", "48AN⁷"), =HYPERLINK("CSG18.html#group48H18", "48H¹⁸"), =HYPERLINK("CSG13.html#group144J13", "144J¹³"), =HYPERLINK("CSG17.html#group96L17", "96L¹⁷"), =HYPERLINK("CSG13.html#group112C13", "112C¹³"), =HYPERLINK("CSG24.html#group56E24", "56E²⁴"), =HYPERLINK("CSG24.html#group112D24", "112D²⁴"), =HYPERLINK("CSG7.html#group48AM7", "48AM⁷"), =HYPERLINK("CSG7.html#group64C7", "64C⁷"), =HYPERLINK("CSG5.html#group32D5", "32D⁵"), =HYPERLINK("CSG5.html#group24R5", "24R⁵"), =HYPERLINK("CSG22.html#group96A22", "96A²²"), =HYPERLINK("CSG15.html#group80Q15", "80Q¹⁵"), =HYPERLINK("CSG19.html#group192F19", "192F¹⁹"), =HYPERLINK("CSG21.html#group64K21", "64K²¹"), =HYPERLINK("CSG21.html#group176B21", "176B²¹"), =HYPERLINK("CSG7.html#group64E7", "64E⁷"), =HYPERLINK("CSG19.html#group144A19", "144A¹⁹"), =HYPERLINK("CSG11.html#group96C11", "96C¹¹"), =HYPERLINK("CSG17.html#group96I17", "96I¹⁷"), =HYPERLINK("CSG15.html#group48F15", "48F¹⁵"), =HYPERLINK("CSG19.html#group88C19", "88C¹⁹"), =HYPERLINK("CSG21.html#group96BF21", "96BF²¹"), =HYPERLINK("CSG13.html#group48AH13", "48AH¹³"), =HYPERLINK("CSG7.html#group80H7", "80H⁷"), =HYPERLINK("CSG13.html#group64G13", "64G¹³"), =HYPERLINK("CSG7.html#group48AO7", "48AO⁷"), =HYPERLINK("CSG17.html#group24J17", "24J¹⁷"), =HYPERLINK("CSG0.html#group8I0", "8I⁰"), =HYPERLINK("CSG15.html#group40W15", "40W¹⁵"), =HYPERLINK("CSG19.html#group96N19", "96N¹⁹"), =HYPERLINK("CSG16.html#group144H16", "144H¹⁶"), =HYPERLINK("CSG19.html#group48O19", "48O¹⁹"), =HYPERLINK("CSG21.html#group48CH21", "48CH²¹"), =HYPERLINK("CSG14.html#group120A14", "120A¹⁴"), =HYPERLINK("CSG8.html#group48C8", "48C⁸"), =HYPERLINK("CSG9.html#group32B9", "32B⁹"), =HYPERLINK("CSG9.html#group24C9", "24C⁹"), =HYPERLINK("CSG13.html#group32A13", "32A¹³"), =HYPERLINK("CSG21.html#group48CJ21", "48CJ²¹"), =HYPERLINK("CSG8.html#group80C8", "80C⁸"), =HYPERLINK("CSG21.html#group96K21", "96K²¹"), =HYPERLINK("CSG21.html#group96X21", "96X²¹"), =HYPERLINK("CSG23.html#group208C23", "208C²³"), =HYPERLINK("CSG13.html#group96C13", "96C¹³"), =HYPERLINK("CSG17.html#group96AJ17", "96AJ¹⁷"), =HYPERLINK("CSG13.html#group48AG13", "48AG¹³"), =HYPERLINK("CSG9.html#group96L9", "96L⁹"), =HYPERLINK("CSG19.html#group48AP19", "48AP¹⁹"), =HYPERLINK("CSG21.html#group32A21", "32A²¹"), =HYPERLINK("CSG5.html#group64C5", "64C⁵"), =HYPERLINK("CSG9.html#group48AG9", "48AG⁹"), =HYPERLINK("CSG21.html#group48CB21", "48CB²¹"), =HYPERLINK("CSG9.html#group48AM9", "48AM⁹"), =HYPERLINK("CSG21.html#group96I21", "96I²¹"), =HYPERLINK("CSG23.html#group224C23", "224C²³"), =HYPERLINK("CSG11.html#group112G11", "112G¹¹"), =HYPERLINK("CSG17.html#group16A17", "16A¹⁷"), =HYPERLINK("CSG13.html#group72T13", "72T¹³"), =HYPERLINK("CSG15.html#group96P15", "96P¹⁵"), =HYPERLINK("CSG21.html#group160E21", "160E²¹"), =HYPERLINK("CSG21.html#group176C21", "176C²¹"), =HYPERLINK("CSG8.html#group48L8", "48L⁸"), =HYPERLINK("CSG23.html#group112S23", "112S²³"), =HYPERLINK("CSG1.html#group32A1", "32A¹"), =HYPERLINK("CSG21.html#group256A21", "256A²¹"), =HYPERLINK("CSG22.html#group72F22", "72F²²"), =HYPERLINK("CSG5.html#group72B5", "72B⁵"), =HYPERLINK("CSG19.html#group96P19", "96P¹⁹"), =HYPERLINK("CSG17.html#group24AR17", "24AR¹⁷"), =HYPERLINK("CSG21.html#group16B21", "16B²¹"), =HYPERLINK("CSG23.html#group192A23", "192A²³"), =HYPERLINK("CSG21.html#group160F21", "160F²¹"), =HYPERLINK("CSG19.html#group48G19", "48G¹⁹"), =HYPERLINK("CSG2.html#group16C2", "16C²"), =HYPERLINK("CSG21.html#group192N21", "192N²¹"), =HYPERLINK("CSG17.html#group72O17", "72O¹⁷"), =HYPERLINK("CSG20.html#group88A20", "88A²⁰"), =HYPERLINK("CSG17.html#group160E17", "160E¹⁷"), =HYPERLINK("CSG3.html#group8A3", "8A³"), =HYPERLINK("CSG7.html#group128A7", "128A⁷"), =HYPERLINK("CSG11.html#group64B11", "64B¹¹"), =HYPERLINK("CSG19.html#group96D19", "96D¹⁹"), =HYPERLINK("CSG17.html#group24AN17", "24AN¹⁷"), =HYPERLINK("CSG17.html#group48B17", "48B¹⁷"), =HYPERLINK("CSG21.html#group144E21", "144E²¹"), =HYPERLINK("CSG5.html#group16B5", "16B⁵"), =HYPERLINK("CSG19.html#group48B19", "48B¹⁹"), =HYPERLINK("CSG9.html#group48AI9", "48AI⁹"), =HYPERLINK("CSG15.html#group48R15", "48R¹⁵"), =HYPERLINK("CSG11.html#group48X11", "48X¹¹"), =HYPERLINK("CSG13.html#group16C13", "16C¹³"), =HYPERLINK("CSG17.html#group160A17", "160A¹⁷"), =HYPERLINK("CSG5.html#group48D5", "48D⁵"), =HYPERLINK("CSG7.html#group24AI7", "24AI⁷"), =HYPERLINK("CSG19.html#group96H19", "96H¹⁹"), =HYPERLINK("CSG21.html#group96H21", "96H²¹"), =HYPERLINK("CSG9.html#group64C9", "64C⁹"), =HYPERLINK("CSG11.html#group112I11", "112I¹¹"), =HYPERLINK("CSG20.html#group176B20", "176B²⁰"), =HYPERLINK("CSG10.html#group48A10", "48A¹⁰"), =HYPERLINK("CSG21.html#group192P21", "192P²¹"), =HYPERLINK("CSG19.html#group96Q19", "96Q¹⁹"), =HYPERLINK("CSG21.html#group96A21", "96A²¹"), =HYPERLINK("CSG5.html#group16M5", "16M⁵"), =HYPERLINK("CSG15.html#group40E15", "40E¹⁵"), =HYPERLINK("CSG13.html#group40K13", "40K¹³"), =HYPERLINK("CSG13.html#group72U13", "72U¹³"), =HYPERLINK("CSG7.html#group32M7", "32M⁷"), =HYPERLINK("CSG17.html#group48BT17", "48BT¹⁷"), =HYPERLINK("CSG21.html#group24D21", "24D²¹"), =HYPERLINK("CSG2.html#group24B2", "24B²"), =HYPERLINK("CSG21.html#group96G21", "96G²¹"), =HYPERLINK("CSG7.html#group48AL7", "48AL⁷"), =HYPERLINK("CSG15.html#group40Z15", "40Z¹⁵"), =HYPERLINK("CSG17.html#group48J17", "48J¹⁷"), =HYPERLINK("CSG21.html#group96AQ21", "96AQ²¹"), =HYPERLINK("CSG13.html#group16B13", "16B¹³"), =HYPERLINK("CSG21.html#group128C21", "128C²¹"), =HYPERLINK("CSG19.html#group72F19", "72F¹⁹"), =HYPERLINK("CSG17.html#group96M17", "96M¹⁷"), =HYPERLINK("CSG23.html#group192I23", "192I²³"), =HYPERLINK("CSG3.html#group48I3", "48I³"), =HYPERLINK("CSG9.html#group48F9", "48F⁹"), =HYPERLINK("CSG8.html#group96A8", "96A⁸"), =HYPERLINK("CSG11.html#group56N11", "56N¹¹"), =HYPERLINK("CSG21.html#group48F21", "48F²¹"), =HYPERLINK("CSG21.html#group160A21", "160A²¹"), =HYPERLINK("CSG3.html#group32B3", "32B³"), =HYPERLINK("CSG21.html#group48CE21", "48CE²¹"), =HYPERLINK("CSG5.html#group48B5", "48B⁵"), =HYPERLINK("CSG5.html#group48A5", "48A⁵"), =HYPERLINK("CSG13.html#group128A13", "128A¹³"), =HYPERLINK("CSG9.html#group48E9", "48E⁹"), =HYPERLINK("CSG19.html#group24A19", "24A¹⁹"), =HYPERLINK("CSG22.html#group80C22", "80C²²"), =HYPERLINK("CSG15.html#group128A15", "128A¹⁵"), =HYPERLINK("CSG21.html#group96BI21", "96BI²¹"), =HYPERLINK("CSG17.html#group48K17", "48K¹⁷"), =HYPERLINK("CSG1.html#group16E1", "16E¹"), =HYPERLINK("CSG9.html#group32A9", "32A⁹"), =HYPERLINK("CSG3.html#group32A3", "32A³"), =HYPERLINK("CSG19.html#group96AX19", "96AX¹⁹"), =HYPERLINK("CSG18.html#group48I18", "48I¹⁸"), =HYPERLINK("CSG19.html#group96BF19", "96BF¹⁹"), =HYPERLINK("CSG19.html#group48BQ19", "48BQ¹⁹"), =HYPERLINK("CSG23.html#group192D23", "192D²³"), =HYPERLINK("CSG17.html#group48CQ17", "48CQ¹⁷"), =HYPERLINK("CSG2.html#group32B2", "32B²"), =HYPERLINK("CSG9.html#group48C9", "48C⁹"), =HYPERLINK("CSG9.html#group16A9", "16A⁹"), =HYPERLINK("CSG15.html#group48O15", "48O¹⁵"), =HYPERLINK("CSG17.html#group48I17", "48I¹⁷"), =HYPERLINK("CSG3.html#group8B3", "8B³"), =HYPERLINK("CSG3.html#group24V3", "24V³"), =HYPERLINK("CSG21.html#group24F21", "24F²¹"), =HYPERLINK("CSG15.html#group80S15", "80S¹⁵"), =HYPERLINK("CSG9.html#group48Q9", "48Q⁹"), =HYPERLINK("CSG21.html#group16A21", "16A²¹"), =HYPERLINK("CSG8.html#group72B8", "72B⁸"), =HYPERLINK("CSG22.html#group40A22", "40A²²"), =HYPERLINK("CSG15.html#group24H15", "24H¹⁵"), =HYPERLINK("CSG19.html#group160K19", "160K¹⁹"), =HYPERLINK("CSG19.html#group24F19", "24F¹⁹"), =HYPERLINK("CSG11.html#group56M11", "56M¹¹"), =HYPERLINK("CSG23.html#group192G23", "192G²³"), =HYPERLINK("CSG7.html#group48AQ7", "48AQ⁷"), =HYPERLINK("CSG0.html#group8G0", "8G⁰"), =HYPERLINK("CSG15.html#group40X15", "40X¹⁵"), =HYPERLINK("CSG13.html#group128E13", "128E¹³"), =HYPERLINK("CSG5.html#group32A5", "32A⁵"), =HYPERLINK("CSG13.html#group96F13", "96F¹³"), =HYPERLINK("CSG15.html#group72S15", "72S¹⁵"), =HYPERLINK("CSG16.html#group144G16", "144G¹⁶"), =HYPERLINK("CSG17.html#group24B17", "24B¹⁷"), =HYPERLINK("CSG5.html#group48I5", "48I⁵"), =HYPERLINK("CSG19.html#group176G19", "176G¹⁹"), =HYPERLINK("CSG7.html#group40O7", "40O⁷"), =HYPERLINK("CSG13.html#group112D13", "112D¹³"), =HYPERLINK("CSG17.html#group80AI17", "80AI¹⁷"), =HYPERLINK("CSG8.html#group24B8", "24B⁸"), =HYPERLINK("CSG12.html#group56G12", "56G¹²"), =HYPERLINK("CSG19.html#group48L19", "48L¹⁹"), =HYPERLINK("CSG7.html#group16C7", "16C⁷"), =HYPERLINK("CSG10.html#group48B10", "48B¹⁰"), =HYPERLINK("CSG23.html#group208F23", "208F²³"), =HYPERLINK("CSG4.html#group48G4", "48G⁴"), =HYPERLINK("CSG17.html#group80AH17", "80AH¹⁷"), =HYPERLINK("CSG13.html#group24L13", "24L¹³"), =HYPERLINK("CSG5.html#group32C5", "32C⁵"), =HYPERLINK("CSG17.html#group48BS17", "48BS¹⁷"), =HYPERLINK("CSG19.html#group80L19", "80L¹⁹"), =HYPERLINK("CSG9.html#group64E9", "64E⁹"), =HYPERLINK("CSG13.html#group80D13", "80D¹³"), =HYPERLINK("CSG23.html#group192L23", "192L²³"), =HYPERLINK("CSG21.html#group48E21", "48E²¹"), =HYPERLINK("CSG21.html#group96BB21", "96BB²¹"), =HYPERLINK("CSG24.html#group224A24", "224A²⁴"), =HYPERLINK("CSG19.html#group32A19", "32A¹⁹"), =HYPERLINK("CSG21.html#group32D21", "32D²¹"), =HYPERLINK("CSG9.html#group64B9", "64B⁹"), =HYPERLINK("CSG19.html#group72H19", "72H¹⁹"), =HYPERLINK("CSG7.html#group40G7", "40G⁷"), =HYPERLINK("CSG21.html#group256B21", "256B²¹"), =HYPERLINK("CSG9.html#group48AJ9", "48AJ⁹"), =HYPERLINK("CSG8.html#group40A8", "40A⁸"), =HYPERLINK("CSG16.html#group72E16", "72E¹⁶"), =HYPERLINK("CSG11.html#group96G11", "96G¹¹"), =HYPERLINK("CSG17.html#group48CK17", "48CK¹⁷"), =HYPERLINK("CSG13.html#group48W13", "48W¹³"), =HYPERLINK("CSG11.html#group96H11", "96H¹¹"), =HYPERLINK("CSG21.html#group48CG21", "48CG²¹"), =HYPERLINK("CSG13.html#group96E13", "96E¹³"), =HYPERLINK("CSG21.html#group96W21", "96W²¹"), =HYPERLINK("CSG21.html#group96L21", "96L²¹"), =HYPERLINK("CSG14.html#group120D14", "120D¹⁴"), =HYPERLINK("CSG19.html#group160J19", "160J¹⁹"), =HYPERLINK("CSG20.html#group88B20", "88B²⁰"), =HYPERLINK("CSG17.html#group128B17", "128B¹⁷"), =HYPERLINK("CSG19.html#group176D19", "176D¹⁹"), =HYPERLINK("CSG8.html#group48J8", "48J⁸"), =HYPERLINK("CSG15.html#group136D15", "136D¹⁵"), =HYPERLINK("CSG11.html#group32A11", "32A¹¹"), =HYPERLINK("CSG21.html#group128B21", "128B²¹"), =HYPERLINK("CSG23.html#group56E23", "56E²³"), =HYPERLINK("CSG15.html#group128H15", "128H¹⁵"), =HYPERLINK("CSG21.html#group96BJ21", "96BJ²¹"), =HYPERLINK("CSG21.html#group96C21", "96C²¹"), =HYPERLINK("CSG21.html#group112E21", "112E²¹"), =HYPERLINK("CSG19.html#group48BR19", "48BR¹⁹"), =HYPERLINK("CSG21.html#group48CM21", "48CM²¹"), =HYPERLINK("CSG19.html#group160L19", "160L¹⁹"), =HYPERLINK("CSG21.html#group96Q21", "96Q²¹"), =HYPERLINK("CSG19.html#group96AW19", "96AW¹⁹"), =HYPERLINK("CSG21.html#group96M21", "96M²¹"), =HYPERLINK("CSG3.html#group32J3", "32J³"), =HYPERLINK("CSG23.html#group192H23", "192H²³"), =HYPERLINK("CSG21.html#group56L21", "56L²¹"), =HYPERLINK("CSG9.html#group80E9", "80E⁹"), =HYPERLINK("CSG11.html#group48W11", "48W¹¹"), =HYPERLINK("CSG13.html#group48Y13", "48Y¹³"), =HYPERLINK("CSG19.html#group48E19", "48E¹⁹"), =HYPERLINK("CSG9.html#group24I9", "24I⁹"), =HYPERLINK("CSG19.html#group96E19", "96E¹⁹"), =HYPERLINK("CSG13.html#group96A13", "96A¹³"), =HYPERLINK("CSG21.html#group128A21", "128A²¹"), =HYPERLINK("CSG21.html#group48Q21", "48Q²¹"), =HYPERLINK("CSG13.html#group96D13", "96D¹³"), =HYPERLINK("CSG17.html#group64D17", "64D¹⁷"), =HYPERLINK("CSG13.html#group32B13", "32B¹³"), =HYPERLINK("CSG15.html#group160C15", "160C¹⁵"), =HYPERLINK("CSG17.html#group48AD17", "48AD¹⁷"), =HYPERLINK("CSG19.html#group144H19", "144H¹⁹"), =HYPERLINK("CSG21.html#group64F21", "64F²¹"), =HYPERLINK("CSG21.html#group64C21", "64C²¹"), =HYPERLINK("CSG21.html#group96N21", "96N²¹"), =HYPERLINK("CSG13.html#group40P13", "40P¹³"), =HYPERLINK("CSG23.html#group192J23", "192J²³"), =HYPERLINK("CSG19.html#group64B19", "64B¹⁹"), =HYPERLINK("CSG17.html#group48AA17", "48AA¹⁷"), =HYPERLINK("CSG17.html#group24F17", "24F¹⁷"), =HYPERLINK("CSG19.html#group48A19", "48A¹⁹"), =HYPERLINK("CSG1.html#group24J1", "24J¹"), =HYPERLINK("CSG21.html#group160S21", "160S²¹"), =HYPERLINK("CSG3.html#group40F3", "40F³"), =HYPERLINK("CSG4.html#group24M4", "24M⁴"), =HYPERLINK("CSG15.html#group80O15", "80O¹⁵"), =HYPERLINK("CSG24.html#group112A24", "112A²⁴"), =HYPERLINK("CSG12.html#group112D12", "112D¹²"), =HYPERLINK("CSG17.html#group40W17", "40W¹⁷"), =HYPERLINK("CSG17.html#group144C17", "144C¹⁷"), =HYPERLINK("CSG4.html#group24F4", "24F⁴"), =HYPERLINK("CSG22.html#group40I22", "40I²²"), =HYPERLINK("CSG21.html#group96BC21", "96BC²¹"), =HYPERLINK("CSG2.html#group32C2", "32C²"), =HYPERLINK("CSG9.html#group96A9", "96A⁹"), =HYPERLINK("CSG15.html#group80J15", "80J¹⁵"), =HYPERLINK("CSG21.html#group96BA21", "96BA²¹"), =HYPERLINK("CSG19.html#group96K19", "96K¹⁹"), =HYPERLINK("CSG17.html#group96AK17", "96AK¹⁷"), =HYPERLINK("CSG21.html#group192B21", "192B²¹"), =HYPERLINK("CSG15.html#group96M15", "96M¹⁵"), =HYPERLINK("CSG4.html#group48B4", "48B⁴"), =HYPERLINK("CSG7.html#group48AK7", "48AK⁷"), =HYPERLINK("CSG17.html#group48CM17", "48CM¹⁷"), =HYPERLINK("CSG9.html#group48AA9", "48AA⁹"), =HYPERLINK("CSG21.html#group216B21", "216B²¹"), =HYPERLINK("CSG9.html#group48P9", "48P⁹"), =HYPERLINK("CSG11.html#group96F11", "96F¹¹"), =HYPERLINK("CSG19.html#group80T19", "80T¹⁹"), =HYPERLINK("CSG8.html#group48D8", "48D⁸"), =HYPERLINK("CSG21.html#group48CL21", "48CL²¹"), =HYPERLINK("CSG17.html#group152A17", "152A¹⁷"), =HYPERLINK("CSG19.html#group144B19", "144B¹⁹"), =HYPERLINK("CSG23.html#group112B23", "112B²³"), =HYPERLINK("CSG19.html#group88E19", "88E¹⁹"), =HYPERLINK("CSG7.html#group24AJ7", "24AJ⁷"), =HYPERLINK("CSG21.html#group160D21", "160D²¹"), =HYPERLINK("CSG24.html#group112C24", "112C²⁴"), =HYPERLINK("CSG9.html#group32I9", "32I⁹"), =HYPERLINK("CSG18.html#group48D18", "48D¹⁸"), =HYPERLINK("CSG19.html#group64A19", "64A¹⁹"), =HYPERLINK("CSG5.html#group64A5", "64A⁵"), =HYPERLINK("CSG21.html#group96D21", "96D²¹"), =HYPERLINK("CSG17.html#group48W17", "48W¹⁷"), =HYPERLINK("CSG17.html#group128A17", "128A¹⁷"), =HYPERLINK("CSG21.html#group96BH21", "96BH²¹"), =HYPERLINK("CSG19.html#group48BS19", "48BS¹⁹"), =HYPERLINK("CSG19.html#group72C19", "72C¹⁹"), =HYPERLINK("CSG21.html#group48L21", "48L²¹"), =HYPERLINK("CSG13.html#group64I13", "64I¹³"), =HYPERLINK("CSG19.html#group48AA19", "48AA¹⁹"), =HYPERLINK("CSG19.html#group144D19", "144D¹⁹"), =HYPERLINK("CSG13.html#group32C13", "32C¹³"), =HYPERLINK("CSG3.html#group32O3", "32O³"), =HYPERLINK("CSG15.html#group48E15", "48E¹⁵"), =HYPERLINK("CSG0.html#group16C0", "16C⁰"), =HYPERLINK("CSG19.html#group176E19", "176E¹⁹"), =HYPERLINK("CSG19.html#group88D19", "88D¹⁹"), =HYPERLINK("CSG13.html#group48V13", "48V¹³"), =HYPERLINK("CSG19.html#group200J19", "200J¹⁹"), =HYPERLINK("CSG13.html#group32F13", "32F¹³"), =HYPERLINK("CSG9.html#group32E9", "32E⁹"), =HYPERLINK("CSG21.html#group48CA21", "48CA²¹"), =HYPERLINK("CSG13.html#group64B13", "64B¹³"), =HYPERLINK("CSG21.html#group144F21", "144F²¹"), =HYPERLINK("CSG19.html#group96C19", "96C¹⁹"), =HYPERLINK("CSG11.html#group112J11", "112J¹¹"), =HYPERLINK("CSG9.html#group40W9", "40W⁹"), =HYPERLINK("CSG15.html#group40AA15", "40AA¹⁵"), =HYPERLINK("CSG4.html#group24J4", "24J⁴"), =HYPERLINK("CSG17.html#group48CJ17", "48CJ¹⁷"), =HYPERLINK("CSG21.html#group64J21", "64J²¹"), =HYPERLINK("CSG15.html#group120F15", "120F¹⁵"), =HYPERLINK("CSG5.html#group8A5", "8A⁵"), =HYPERLINK("CSG21.html#group32F21", "32F²¹"), =HYPERLINK("CSG17.html#group48AB17", "48AB¹⁷"), =HYPERLINK("CSG19.html#group192D19", "192D¹⁹"), =HYPERLINK("CSG24.html#group56C24", "56C²⁴"), =HYPERLINK("CSG13.html#group24M13", "24M¹³"), =HYPERLINK("CSG19.html#group160A19", "160A¹⁹"), =HYPERLINK("CSG19.html#group72I19", "72I¹⁹"), =HYPERLINK("CSG3.html#group24Y3", "24Y³"), =HYPERLINK("CSG9.html#group64A9", "64A⁹"), =HYPERLINK("CSG17.html#group80Z17", "80Z¹⁷"), =HYPERLINK("CSG23.html#group56Q23", "56Q²³"), =HYPERLINK("CSG23.html#group192C23", "192C²³"), =HYPERLINK("CSG15.html#group72G15", "72G¹⁵"), =HYPERLINK("CSG0.html#group8O0", "8O⁰"), =HYPERLINK("CSG17.html#group64C17", "64C¹⁷"), =HYPERLINK("CSG21.html#group96B21", "96B²¹"), =HYPERLINK("CSG22.html#group192A22", "192A²²"), =HYPERLINK("CSG19.html#group96BD19", "96BD¹⁹"), =HYPERLINK("CSG22.html#group72G22", "72G²²"), =HYPERLINK("CSG16.html#group72A16", "72A¹⁶"), =HYPERLINK("CSG21.html#group32B21", "32B²¹"), =HYPERLINK("CSG21.html#group64B21", "64B²¹"), =HYPERLINK("CSG16.html#group80A16", "80A¹⁶"), =HYPERLINK("CSG19.html#group256B19", "256B¹⁹"), =HYPERLINK("CSG17.html#group32D17", "32D¹⁷"), =HYPERLINK("CSG22.html#group40D22", "40D²²"), =HYPERLINK("CSG17.html#group80AJ17", "80AJ¹⁷"), =HYPERLINK("CSG13.html#group32T13", "32T¹³"), =HYPERLINK("CSG17.html#group120O17", "120O¹⁷"), =HYPERLINK("CSG18.html#group96B18", "96B¹⁸"), =HYPERLINK("CSG12.html#group56F12", "56F¹²"), =HYPERLINK("CSG8.html#group48E8", "48E⁸"), =HYPERLINK("CSG7.html#group80E7", "80E⁷"), =HYPERLINK("CSG19.html#group160C19", "160C¹⁹"), =HYPERLINK("CSG21.html#group64D21", "64D²¹"), =HYPERLINK("CSG17.html#group144B17", "144B¹⁷"), =HYPERLINK("CSG19.html#group160B19", "160B¹⁹"), =HYPERLINK("CSG13.html#group96B13", "96B¹³"), =HYPERLINK("CSG19.html#group96F19", "96F¹⁹"), =HYPERLINK("CSG7.html#group24U7", "24U⁷"), =HYPERLINK("CSG13.html#group96I13", "96I¹³"), =HYPERLINK("CSG15.html#group40M15", "40M¹⁵"), =HYPERLINK("CSG21.html#group96BK21", "96BK²¹"), =HYPERLINK("CSG23.html#group112O23", "112O²³"), =HYPERLINK("CSG8.html#group24D8", "24D⁸"), =HYPERLINK("CSG19.html#group192C19", "192C¹⁹"), =HYPERLINK("CSG1.html#group8K1", "8K¹"), =HYPERLINK("CSG23.html#group192F23", "192F²³"), =HYPERLINK("CSG3.html#group32K3", "32K³"), =HYPERLINK("CSG7.html#group80G7", "80G⁷"), =HYPERLINK("CSG17.html#group24S17", "24S¹⁷"), =HYPERLINK("CSG23.html#group104L23", "104L²³"), =HYPERLINK("CSG7.html#group40V7", "40V⁷"), =HYPERLINK("CSG2.html#group16K2", "16K²"), =HYPERLINK("CSG21.html#group128E21", "128E²¹"), =HYPERLINK("CSG7.html#group48Q7", "48Q⁷"), =HYPERLINK("CSG17.html#group32E17", "32E¹⁷"), =HYPERLINK("CSG13.html#group64A13", "64A¹³"), =HYPERLINK("CSG21.html#group144G21", "144G²¹"), =HYPERLINK("CSG17.html#group48X17", "48X¹⁷"), =HYPERLINK("CSG13.html#group40G13", "40G¹³"), =HYPERLINK("CSG19.html#group48D19", "48D¹⁹"), =HYPERLINK("CSG17.html#group96AC17", "96AC¹⁷"), =HYPERLINK("CSG5.html#group48J5", "48J⁵"), =HYPERLINK("CSG7.html#group48AP7", "48AP⁷"), =HYPERLINK("CSG19.html#group24D19", "24D¹⁹"), =HYPERLINK("CSG21.html#group16E21", "16E²¹"), =HYPERLINK("CSG17.html#group48E17", "48E¹⁷"), =HYPERLINK("CSG15.html#group80N15", "80N¹⁵"), =HYPERLINK("CSG9.html#group24AE9", "24AE⁹"), =HYPERLINK("CSG21.html#group56M21", "56M²¹"), =HYPERLINK("CSG7.html#group80F7", "80F⁷"), =HYPERLINK("CSG21.html#group160R21", "160R²¹"), =HYPERLINK("CSG19.html#group144E19", "144E¹⁹"), =HYPERLINK("CSG17.html#group48G17", "48G¹⁷"), =HYPERLINK("CSG16.html#group56B16", "56B¹⁶"), =HYPERLINK("CSG17.html#group80X17", "80X¹⁷"), =HYPERLINK("CSG18.html#group192B18", "192B¹⁸"), =HYPERLINK("CSG19.html#group48AX19", "48AX¹⁹"), =HYPERLINK("CSG19.html#group72E19", "72E¹⁹"), =HYPERLINK("CSG21.html#group112F21", "112F²¹"), =HYPERLINK("CSG5.html#group16O5", "16O⁵"), =HYPERLINK("CSG9.html#group128A9", "128A⁹"), =HYPERLINK("CSG7.html#group64D7", "64D⁷"), =HYPERLINK("CSG22.html#group80G22", "80G²²"), =HYPERLINK("CSG13.html#group72R13", "72R¹³"), =HYPERLINK("CSG21.html#group192A21", "192A²¹"), =HYPERLINK("CSG7.html#group64B7", "64B⁷"), =HYPERLINK("CSG11.html#group56P11", "56P¹¹"), =HYPERLINK("CSG19.html#group72G19", "72G¹⁹"), =HYPERLINK("CSG19.html#group80M19", "80M¹⁹"), =HYPERLINK("CSG9.html#group24AP9", "24AP⁹"), =HYPERLINK("CSG5.html#group48C5", "48C⁵"), =HYPERLINK("CSG23.html#group112F23", "112F²³"), =HYPERLINK("CSG21.html#group176A21", "176A²¹"), =HYPERLINK("CSG17.html#group32B17", "32B¹⁷"), =HYPERLINK("CSG23.html#group192K23", "192K²³"), =HYPERLINK("CSG21.html#group96BL21", "96BL²¹"), =HYPERLINK("CSG3.html#group48K3", "48K³"), =HYPERLINK("CSG11.html#group56O11", "56O¹¹"), =HYPERLINK("CSG17.html#group96AL17", "96AL¹⁷"), =HYPERLINK("CSG13.html#group24K13", "24K¹³"), =HYPERLINK("CSG21.html#group48CI21", "48CI²¹"), =HYPERLINK("CSG21.html#group160B21", "160B²¹"), =HYPERLINK("CSG12.html#group112E12", "112E¹²"), =HYPERLINK("CSG19.html#group48M19", "48M¹⁹"), =HYPERLINK("CSG16.html#group144C16", "144C¹⁶"), =HYPERLINK("CSG17.html#group144D17", "144D¹⁷"), =HYPERLINK("CSG19.html#group48F19", "48F¹⁹"), =HYPERLINK("CSG19.html#group256A19", "256A¹⁹"), =HYPERLINK("CSG0.html#group16D0", "16D⁰"), =HYPERLINK("CSG9.html#group48O9", "48O⁹"), =HYPERLINK("CSG9.html#group48AN9", "48AN⁹"), =HYPERLINK("CSG7.html#group64K7", "64K⁷"), =HYPERLINK("CSG13.html#group80E13", "80E¹³"), =HYPERLINK("CSG17.html#group40A17", "40A¹⁷"), =HYPERLINK("CSG16.html#group72D16", "72D¹⁶"), =HYPERLINK("CSG23.html#group208E23", "208E²³"), =HYPERLINK("CSG9.html#group72D9", "72D⁹"), =HYPERLINK("CSG15.html#group128C15", "128C¹⁵"), =HYPERLINK("CSG11.html#group96D11", "96D¹¹"), =HYPERLINK("CSG21.html#group64O21", "64O²¹"), =HYPERLINK("CSG23.html#group112P23", "112P²³"), =HYPERLINK("CSG21.html#group72AC21", "72AC²¹"), =HYPERLINK("CSG15.html#group128F15", "128F¹⁵"), =HYPERLINK("CSG9.html#group64D9", "64D⁹"), =HYPERLINK("CSG5.html#group24AA5", "24AA⁵"), =HYPERLINK("CSG17.html#group24X17", "24X¹⁷"), =HYPERLINK("CSG16.html#group40B16", "40B¹⁶"), =HYPERLINK("CSG21.html#group24A21", "24A²¹"), =HYPERLINK("CSG22.html#group80F22", "80F²²"), =HYPERLINK("CSG3.html#group16J3", "16J³"), =HYPERLINK("CSG19.html#group96I19", "96I¹⁹"), =HYPERLINK("CSG1.html#group8F1", "8F¹"), =HYPERLINK("CSG9.html#group96G9", "96G⁹"), =HYPERLINK("CSG13.html#group40L13", "40L¹³"), =HYPERLINK("CSG13.html#group112A13", "112A¹³"), =HYPERLINK("CSG7.html#group48R7", "48R⁷"), =HYPERLINK("CSG21.html#group48BZ21", "48BZ²¹"), =HYPERLINK("CSG16.html#group72K16", "72K¹⁶"), =HYPERLINK("CSG21.html#group96AZ21", "96AZ²¹"), =HYPERLINK("CSG13.html#group48Z13", "48Z¹³"), =HYPERLINK("CSG17.html#group48CL17", "48CL¹⁷"), =HYPERLINK("CSG12.html#group112C12", "112C¹²"), =HYPERLINK("CSG17.html#group48H17", "48H¹⁷"), =HYPERLINK("CSG15.html#group80H15", "80H¹⁵"), =HYPERLINK("CSG11.html#group96A11", "96A¹¹"), =HYPERLINK("CSG13.html#group128B13", "128B¹³"), =HYPERLINK("CSG17.html#group24H17", "24H¹⁷"), =HYPERLINK("CSG9.html#group88B9", "88B⁹"), =HYPERLINK("CSG10.html#group88A10", "88A¹⁰"), =HYPERLINK("CSG9.html#group48D9", "48D⁹"), =HYPERLINK("CSG6.html#group32A6", "32A⁶"), =HYPERLINK("CSG3.html#group16H3", "16H³"), =HYPERLINK("CSG21.html#group96V21", "96V²¹"), =HYPERLINK("CSG21.html#group32O21", "32O²¹"), =HYPERLINK("CSG9.html#group48A9", "48A⁹"), =HYPERLINK("CSG20.html#group176A20", "176A²⁰"), =HYPERLINK("CSG9.html#group16B9", "16B⁹"), =HYPERLINK("CSG13.html#group64W13", "64W¹³"), =HYPERLINK("CSG15.html#group128G15", "128G¹⁵"), =HYPERLINK("CSG22.html#group192B22", "192B²²"), =HYPERLINK("CSG3.html#group24W3", "24W³"), =HYPERLINK("CSG19.html#group48N19", "48N¹⁹"), =HYPERLINK("CSG17.html#group80A17", "80A¹⁷"), =HYPERLINK("CSG9.html#group72E9", "72E⁹"), =HYPERLINK("CSG8.html#group48I8", "48I⁸"), =HYPERLINK("CSG16.html#group72P16", "72P¹⁶"), =HYPERLINK("CSG9.html#group48B9", "48B⁹"), =HYPERLINK("CSG15.html#group48Q15", "48Q¹⁵"), =HYPERLINK("CSG19.html#group96G19", "96G¹⁹"), =HYPERLINK("CSG13.html#group56O13", "56O¹³"), =HYPERLINK("CSG21.html#group96S21", "96S²¹"), =HYPERLINK("CSG23.html#group112R23", "112R²³"), =HYPERLINK("CSG19.html#group72J19", "72J¹⁹"), =HYPERLINK("CSG7.html#group24J7", "24J⁷"), =HYPERLINK("CSG11.html#group128A11", "128A¹¹"), =HYPERLINK("CSG5.html#group32M5", "32M⁵"), =HYPERLINK("CSG15.html#group24G15", "24G¹⁵"), =HYPERLINK("CSG18.html#group192A18", "192A¹⁸"), =HYPERLINK("CSG8.html#group48M8", "48M⁸"), =HYPERLINK("CSG8.html#group24E8", "24E⁸"), =HYPERLINK("CSG9.html#group48G9", "48G⁹"), =HYPERLINK("CSG8.html#group40C8", "40C⁸"), =HYPERLINK("CSG9.html#group72I9", "72I⁹"), =HYPERLINK("CSG17.html#group120D17", "120D</f>
        <v/>
      </c>
    </row>
    <row r="47">
      <c r="A47" t="inlineStr">
        <is>
          <t>8D⁰</t>
        </is>
      </c>
      <c r="B47" t="inlineStr"/>
      <c r="C47" t="inlineStr">
        <is>
          <t>12</t>
        </is>
      </c>
      <c r="D47" t="inlineStr">
        <is>
          <t>1</t>
        </is>
      </c>
      <c r="E47" t="inlineStr">
        <is>
          <t>6</t>
        </is>
      </c>
      <c r="F47" t="inlineStr">
        <is>
          <t>2</t>
        </is>
      </c>
      <c r="G47" t="inlineStr">
        <is>
          <t>0</t>
        </is>
      </c>
      <c r="H47" t="inlineStr">
        <is>
          <t>2², 8¹</t>
        </is>
      </c>
      <c r="I47" t="n">
        <v>3</v>
      </c>
      <c r="J47" t="inlineStr">
        <is>
          <t>1², 2²</t>
        </is>
      </c>
      <c r="K47">
        <f>HYPERLINK("CSG0.html#group4C0", "4C⁰")</f>
        <v/>
      </c>
      <c r="L47">
        <f>HYPERLINK("CSG0.html#group8G0", "8G⁰"), =HYPERLINK("CSG0.html#group8H0", "8H⁰"), =HYPERLINK("CSG0.html#group16E0", "16E⁰"), =HYPERLINK("CSG1.html#group8C1", "8C¹"), =HYPERLINK("CSG1.html#group16C1", "16C¹"), =HYPERLINK("CSG1.html#group24C1", "24C¹"), =HYPERLINK("CSG2.html#group24I2", "24I²"), =HYPERLINK("CSG3.html#group40H3", "40H³"), =HYPERLINK("CSG4.html#group40C4", "40C⁴"), =HYPERLINK("CSG5.html#group56C5", "56C⁵"), =HYPERLINK("CSG6.html#group56E6", "56E⁶"), =HYPERLINK("CSG7.html#group40I7", "40I⁷"), =HYPERLINK("CSG9.html#group88A9", "88A⁹"), =HYPERLINK("CSG10.html#group88C10", "88C¹⁰"), =HYPERLINK("CSG11.html#group104F11", "104F¹¹"), =HYPERLINK("CSG15.html#group136F15", "136F¹⁵"), =HYPERLINK("CSG18.html#group152B18", "152B¹⁸"), =HYPERLINK("CSG22.html#group72I22", "72I²²"), =HYPERLINK("CSG22.html#group184B22", "184B²²")</f>
        <v/>
      </c>
      <c r="M47">
        <f>HYPERLINK("CSG0.html#group1A0", "1A⁰"), =HYPERLINK("CSG0.html#group2B0", "2B⁰"), =HYPERLINK("CSG0.html#group4C0", "4C⁰")</f>
        <v/>
      </c>
      <c r="N47">
        <f>HYPERLINK("CSG10.html#group24C10", "24C¹⁰"), =HYPERLINK("CSG5.html#group16F5", "16F⁵"), =HYPERLINK("CSG21.html#group56H21", "56H²¹"), =HYPERLINK("CSG22.html#group72I22", "72I²²"), =HYPERLINK("CSG19.html#group16B19", "16B¹⁹"), =HYPERLINK("CSG11.html#group16A11", "16A¹¹"), =HYPERLINK("CSG21.html#group80M21", "80M²¹"), =HYPERLINK("CSG17.html#group80G17", "80G¹⁷"), =HYPERLINK("CSG21.html#group64Q21", "64Q²¹"), =HYPERLINK("CSG18.html#group96A18", "96A¹⁸"), =HYPERLINK("CSG8.html#group48O8", "48O⁸"), =HYPERLINK("CSG17.html#group40X17", "40X¹⁷"), =HYPERLINK("CSG3.html#group16P3", "16P³"), =HYPERLINK("CSG19.html#group24M19", "24M¹⁹"), =HYPERLINK("CSG21.html#group96AU21", "96AU²¹"), =HYPERLINK("CSG20.html#group96D20", "96D²⁰"), =HYPERLINK("CSG9.html#group88A9", "88A⁹"), =HYPERLINK("CSG9.html#group24O9", "24O⁹"), =HYPERLINK("CSG20.html#group96B20", "96B²⁰"), =HYPERLINK("CSG10.html#group40E10", "40E¹⁰"), =HYPERLINK("CSG21.html#group48AE21", "48AE²¹"), =HYPERLINK("CSG7.html#group24R7", "24R⁷"), =HYPERLINK("CSG19.html#group48Z19", "48Z¹⁹"), =HYPERLINK("CSG13.html#group64K13", "64K¹³"), =HYPERLINK("CSG15.html#group24K15", "24K¹⁵"), =HYPERLINK("CSG17.html#group48AG17", "48AG¹⁷"), =HYPERLINK("CSG21.html#group48CF21", "48CF²¹"), =HYPERLINK("CSG23.html#group96AJ23", "96AJ²³"), =HYPERLINK("CSG13.html#group48L13", "48L¹³"), =HYPERLINK("CSG17.html#group24AD17", "24AD¹⁷"), =HYPERLINK("CSG13.html#group32U13", "32U¹³"), =HYPERLINK("CSG17.html#group24AO17", "24AO¹⁷"), =HYPERLINK("CSG18.html#group48O18", "48O¹⁸"), =HYPERLINK("CSG5.html#group48E5", "48E⁵"), =HYPERLINK("CSG21.html#group48AD21", "48AD²¹"), =HYPERLINK("CSG17.html#group48BW17", "48BW¹⁷"), =HYPERLINK("CSG17.html#group48AM17", "48AM¹⁷"), =HYPERLINK("CSG18.html#group64B18", "64B¹⁸"), =HYPERLINK("CSG21.html#group32G21", "32G²¹"), =HYPERLINK("CSG21.html#group96E21", "96E²¹"), =HYPERLINK("CSG21.html#group32C21", "32C²¹"), =HYPERLINK("CSG11.html#group32H11", "32H¹¹"), =HYPERLINK("CSG17.html#group96W17", "96W¹⁷"), =HYPERLINK("CSG19.html#group48I19", "48I¹⁹"), =HYPERLINK("CSG17.html#group48AH17", "48AH¹⁷"), =HYPERLINK("CSG3.html#group16I3", "16I³"), =HYPERLINK("CSG19.html#group96M19", "96M¹⁹"), =HYPERLINK("CSG19.html#group48AZ19", "48AZ¹⁹"), =HYPERLINK("CSG21.html#group48CD21", "48CD²¹"), =HYPERLINK("CSG9.html#group32K9", "32K⁹"), =HYPERLINK("CSG23.html#group112H23", "112H²³"), =HYPERLINK("CSG7.html#group40M7", "40M⁷"), =HYPERLINK("CSG21.html#group64G21", "64G²¹"), =HYPERLINK("CSG19.html#group80P19", "80P¹⁹"), =HYPERLINK("CSG17.html#group48AQ17", "48AQ¹⁷"), =HYPERLINK("CSG1.html#group16C1", "16C¹"), =HYPERLINK("CSG16.html#group48H16", "48H¹⁶"), =HYPERLINK("CSG19.html#group48AY19", "48AY¹⁹"), =HYPERLINK("CSG9.html#group24AI9", "24AI⁹"), =HYPERLINK("CSG24.html#group32B24", "32B²⁴"), =HYPERLINK("CSG13.html#group48AC13", "48AC¹³"), =HYPERLINK("CSG24.html#group112B24", "112B²⁴"), =HYPERLINK("CSG17.html#group80N17", "80N¹⁷"), =HYPERLINK("CSG19.html#group24G19", "24G¹⁹"), =HYPERLINK("CSG9.html#group16E9", "16E⁹"), =HYPERLINK("CSG15.html#group72V15", "72V¹⁵"), =HYPERLINK("CSG9.html#group16D9", "16D⁹"), =HYPERLINK("CSG17.html#group40AP17", "40AP¹⁷"), =HYPERLINK("CSG9.html#group40N9", "40N⁹"), =HYPERLINK("CSG15.html#group48U15", "48U¹⁵"), =HYPERLINK("CSG24.html#group56D24", "56D²⁴"), =HYPERLINK("CSG23.html#group32B23", "32B²³"), =HYPERLINK("CSG7.html#group16B7", "16B⁷"), =HYPERLINK("CSG9.html#group32D9", "32D⁹"), =HYPERLINK("CSG13.html#group24V13", "24V¹³"), =HYPERLINK("CSG10.html#group56A10", "56A¹⁰"), =HYPERLINK("CSG9.html#group40P9", "40P⁹"), =HYPERLINK("CSG10.html#group16A10", "16A¹⁰"), =HYPERLINK("CSG19.html#group48P19", "48P¹⁹"), =HYPERLINK("CSG21.html#group48AF21", "48AF²¹"), =HYPERLINK("CSG19.html#group48AW19", "48AW¹⁹"), =HYPERLINK("CSG10.html#group16B10", "16B¹⁰"), =HYPERLINK("CSG17.html#group48BR17", "48BR¹⁷"), =HYPERLINK("CSG19.html#group80V19", "80V¹⁹"), =HYPERLINK("CSG15.html#group24D15", "24D¹⁵"), =HYPERLINK("CSG17.html#group24D17", "24D¹⁷"), =HYPERLINK("CSG13.html#group24X13", "24X¹³"), =HYPERLINK("CSG15.html#group48X15", "48X¹⁵"), =HYPERLINK("CSG9.html#group32L9", "32L⁹"), =HYPERLINK("CSG21.html#group48BV21", "48BV²¹"), =HYPERLINK("CSG17.html#group48BO17", "48BO¹⁷"), =HYPERLINK("CSG3.html#group16E3", "16E³"), =HYPERLINK("CSG19.html#group40E19", "40E¹⁹"), =HYPERLINK("CSG5.html#group32F5", "32F⁵"), =HYPERLINK("CSG19.html#group48AD19", "48AD¹⁹"), =HYPERLINK("CSG9.html#group48T9", "48T⁹"), =HYPERLINK("CSG16.html#group40C16", "40C¹⁶"), =HYPERLINK("CSG24.html#group224E24", "224E²⁴"), =HYPERLINK("CSG18.html#group96C18", "96C¹⁸"), =HYPERLINK("CSG19.html#group16A19", "16A¹⁹"), =HYPERLINK("CSG17.html#group40O17", "40O¹⁷"), =HYPERLINK("CSG19.html#group40G19", "40G¹⁹"), =HYPERLINK("CSG21.html#group64A21", "64A²¹"), =HYPERLINK("CSG21.html#group64E21", "64E²¹"), =HYPERLINK("CSG10.html#group16C10", "16C¹⁰"), =HYPERLINK("CSG15.html#group40C15", "40C¹⁵"), =HYPERLINK("CSG21.html#group96BD21", "96BD²¹"), =HYPERLINK("CSG18.html#group96E18", "96E¹⁸"), =HYPERLINK("CSG19.html#group96AD19", "96AD¹⁹"), =HYPERLINK("CSG17.html#group48BZ17", "48BZ¹⁷"), =HYPERLINK("CSG16.html#group96A16", "96A¹⁶"), =HYPERLINK("CSG10.html#group72C10", "72C¹⁰"), =HYPERLINK("CSG17.html#group64A17", "64A¹⁷"), =HYPERLINK("CSG12.html#group72F12", "72F¹²"), =HYPERLINK("CSG19.html#group96AA19", "96AA¹⁹"), =HYPERLINK("CSG5.html#group24J5", "24J⁵"), =HYPERLINK("CSG15.html#group24E15", "24E¹⁵"), =HYPERLINK("CSG13.html#group24AC13", "24AC¹³"), =HYPERLINK("CSG6.html#group56E6", "56E⁶"), =HYPERLINK("CSG21.html#group64P21", "64P²¹"), =HYPERLINK("CSG21.html#group64H21", "64H²¹"), =HYPERLINK("CSG19.html#group48H19", "48H¹⁹"), =HYPERLINK("CSG11.html#group64A11", "64A¹¹"), =HYPERLINK("CSG9.html#group24AF9", "24AF⁹"), =HYPERLINK("CSG17.html#group160I17", "160I¹⁷"), =HYPERLINK("CSG0.html#group16G0", "16G⁰"), =HYPERLINK("CSG23.html#group32C23", "32C²³"), =HYPERLINK("CSG23.html#group96AD23", "96AD²³"), =HYPERLINK("CSG9.html#group32F9", "32F⁹"), =HYPERLINK("CSG8.html#group48R8", "48R⁸"), =HYPERLINK("CSG5.html#group32N5", "32N⁵"), =HYPERLINK("CSG19.html#group48S19", "48S¹⁹"), =HYPERLINK("CSG5.html#group24W5", "24W⁵"), =HYPERLINK("CSG18.html#group48M18", "48M¹⁸"), =HYPERLINK("CSG13.html#group32R13", "32R¹³"), =HYPERLINK("CSG15.html#group72K15", "72K¹⁵"), =HYPERLINK("CSG17.html#group96X17", "96X¹⁷"), =HYPERLINK("CSG9.html#group48AH9", "48AH⁹"), =HYPERLINK("CSG17.html#group24AP17", "24AP¹⁷"), =HYPERLINK("CSG10.html#group32A10", "32A¹⁰"), =HYPERLINK("CSG17.html#group48AE17", "48AE¹⁷"), =HYPERLINK("CSG17.html#group24P17", "24P¹⁷"), =HYPERLINK("CSG13.html#group120F13", "120F¹³"), =HYPERLINK("CSG23.html#group48A23", "48A²³"), =HYPERLINK("CSG21.html#group48CK21", "48CK²¹"), =HYPERLINK("CSG7.html#group24L7", "24L⁷"), =HYPERLINK("CSG9.html#group48AK9", "48AK⁹"), =HYPERLINK("CSG19.html#group96A19", "96A¹⁹"), =HYPERLINK("CSG14.html#group72C14", "72C¹⁴"), =HYPERLINK("CSG22.html#group168B22", "168B²²"), =HYPERLINK("CSG6.html#group16C6", "16C⁶"), =HYPERLINK("CSG17.html#group96N17", "96N¹⁷"), =HYPERLINK("CSG23.html#group32H23", "32H²³"), =HYPERLINK("CSG15.html#group64L15", "64L¹⁵"), =HYPERLINK("CSG9.html#group16C9", "16C⁹"), =HYPERLINK("CSG13.html#group64V13", "64V¹³"), =HYPERLINK("CSG11.html#group48J11", "48J¹¹"), =HYPERLINK("CSG20.html#group96K20", "96K²⁰"), =HYPERLINK("CSG2.html#group8B2", "8B²"), =HYPERLINK("CSG19.html#group48BT19", "48BT¹⁹"), =HYPERLINK("CSG21.html#group32H21", "32H²¹"), =HYPERLINK("CSG9.html#group24R9", "24R⁹"), =HYPERLINK("CSG16.html#group56F16", "56F¹⁶"), =HYPERLINK("CSG15.html#group48T15", "48T¹⁵"), =HYPERLINK("CSG23.html#group32E23", "32E²³"), =HYPERLINK("CSG21.html#group32E21", "32E²¹"), =HYPERLINK("CSG4.html#group16C4", "16C⁴"), =HYPERLINK("CSG18.html#group48N18", "48N¹⁸"), =HYPERLINK("CSG24.html#group224D24", "224D²⁴"), =HYPERLINK("CSG21.html#group80T21", "80T²¹"), =HYPERLINK("CSG17.html#group48AS17", "48AS¹⁷"), =HYPERLINK("CSG19.html#group96B19", "96B¹⁹"), =HYPERLINK("CSG15.html#group40AH15", "40AH¹⁵"), =HYPERLINK("CSG7.html#group48O7", "48O⁷"), =HYPERLINK("CSG8.html#group40B8", "40B⁸"), =HYPERLINK("CSG3.html#group24Q3", "24Q³"), =HYPERLINK("CSG19.html#group32D19", "32D¹⁹"), =HYPERLINK("CSG19.html#group80S19", "80S¹⁹"), =HYPERLINK("CSG21.html#group48AQ21", "48AQ²¹"), =HYPERLINK("CSG21.html#group48CC21", "48CC²¹"), =HYPERLINK("CSG17.html#group48D17", "48D¹⁷"), =HYPERLINK("CSG7.html#group24AH7", "24AH⁷"), =HYPERLINK("CSG17.html#group72Q17", "72Q¹⁷"), =HYPERLINK("CSG11.html#group32B11", "32B¹¹"), =HYPERLINK("CSG13.html#group32J13", "32J¹³"), =HYPERLINK("CSG17.html#group96D17", "96D¹⁷"), =HYPERLINK("CSG10.html#group96F10", "96F¹⁰"), =HYPERLINK("CSG9.html#group24Q9", "24Q⁹"), =HYPERLINK("CSG17.html#group96C17", "96C¹⁷"), =HYPERLINK("CSG17.html#group80M17", "80M¹⁷"), =HYPERLINK("CSG22.html#group168F22", "168F²²"), =HYPERLINK("CSG21.html#group48BN21", "48BN²¹"), =HYPERLINK("CSG14.html#group144C14", "144C¹⁴"), =HYPERLINK("CSG8.html#group80D8", "80D⁸"), =HYPERLINK("CSG1.html#group16M1", "16M¹"), =HYPERLINK("CSG18.html#group32A18", "32A¹⁸"), =HYPERLINK("CSG22.html#group80E22", "80E²²"), =HYPERLINK("CSG18.html#group96G18", "96G¹⁸"), =HYPERLINK("CSG24.html#group112L24", "112L²⁴"), =HYPERLINK("CSG3.html#group16C3", "16C³"), =HYPERLINK("CSG21.html#group48AS21", "48AS²¹"), =HYPERLINK("CSG24.html#group112J24", "112J²⁴"), =HYPERLINK("CSG6.html#group48I6", "48I⁶"), =HYPERLINK("CSG3.html#group16M3", "16M³"), =HYPERLINK("CSG12.html#group56B12", "56B¹²"), =HYPERLINK("CSG14.html#group144D14", "144D¹⁴"), =HYPERLINK("CSG23.html#group56I23", "56I²³"), =HYPERLINK("CSG17.html#group48AL17", "48AL¹⁷"), =HYPERLINK("CSG17.html#group80B17", "80B¹⁷"), =HYPERLINK("CSG2.html#group24L2", "24L²"), =HYPERLINK("CSG19.html#group72D19", "72D¹⁹"), =HYPERLINK("CSG3.html#group32I3", "32I³"), =HYPERLINK("CSG23.html#group56A23", "56A²³"), =HYPERLINK("CSG21.html#group16C21", "16C²¹"), =HYPERLINK("CSG23.html#group104C23", "104C²³"), =HYPERLINK("CSG22.html#group96C22", "96C²²"), =HYPERLINK("CSG17.html#group96Y17", "96Y¹⁷"), =HYPERLINK("CSG16.html#group96D16", "96D¹⁶"), =HYPERLINK("CSG5.html#group16A5", "16A⁵"), =HYPERLINK("CSG13.html#group48AB13", "48AB¹³"), =HYPERLINK("CSG7.html#group48AA7", "48AA⁷"), =HYPERLINK("CSG7.html#group24H7", "24H⁷"), =HYPERLINK("CSG19.html#group48AM19", "48AM¹⁹"), =HYPERLINK("CSG21.html#group80S21", "80S²¹"), =HYPERLINK("CSG17.html#group80AR17", "80AR¹⁷"), =HYPERLINK("CSG23.html#group96AI23", "96AI²³"), =HYPERLINK("CSG9.html#group32C9", "32C⁹"), =HYPERLINK("CSG11.html#group112D11", "112D¹¹"), =HYPERLINK("CSG9.html#group16K9", "16K⁹"), =HYPERLINK("CSG19.html#group96BC19", "96BC¹⁹"), =HYPERLINK("CSG13.html#group72H13", "72H¹³"), =HYPERLINK("CSG21.html#group72H21", "72H²¹"), =HYPERLINK("CSG22.html#group80H22", "80H²²"), =HYPERLINK("CSG11.html#group24F11", "24F¹¹"), =HYPERLINK("CSG15.html#group48V15", "48V¹⁵"), =HYPERLINK("CSG17.html#group16B17", "16B¹⁷"), =HYPERLINK("CSG18.html#group80A18", "80A¹⁸"), =HYPERLINK("CSG15.html#group56G15", "56G¹⁵"), =HYPERLINK("CSG15.html#group96O15", "96O¹⁵"), =HYPERLINK("CSG14.html#group64D14", "64D¹⁴"), =HYPERLINK("CSG21.html#group48CO21", "48CO²¹"), =HYPERLINK("CSG22.html#group96A22", "96A²²"), =HYPERLINK("CSG21.html#group48V21", "48V²¹"), =HYPERLINK("CSG21.html#group32P21", "32P²¹"), =HYPERLINK("CSG9.html#group16I9", "16I⁹"), =HYPERLINK("CSG10.html#group96C10", "96C¹⁰"), =HYPERLINK("CSG21.html#group56J21", "56J²¹"), =HYPERLINK("CSG17.html#group160C17", "160C¹⁷"), =HYPERLINK("CSG9.html#group32H9", "32H⁹"), =HYPERLINK("CSG11.html#group32C11", "32C¹¹"), =HYPERLINK("CSG15.html#group48F15", "48F¹⁵"), =HYPERLINK("CSG17.html#group96R17", "96R¹⁷"), =HYPERLINK("CSG21.html#group72G21", "72G²¹"), =HYPERLINK("CSG19.html#group88C19", "88C¹⁹"), =HYPERLINK("CSG20.html#group176C20", "176C²⁰"), =HYPERLINK("CSG21.html#group96BF21", "96BF²¹"), =HYPERLINK("CSG17.html#group40Z17", "40Z¹⁷"), =HYPERLINK("CSG9.html#group48K9", "48K⁹"), =HYPERLINK("CSG5.html#group32H5", "32H⁵"), =HYPERLINK("CSG17.html#group24J17", "24J¹⁷"), =HYPERLINK("CSG15.html#group40W15", "40W¹⁵"), =HYPERLINK("CSG15.html#group48Y15", "48Y¹⁵"), =HYPERLINK("CSG9.html#group32G9", "32G⁹"), =HYPERLINK("CSG2.html#group16L2", "16L²"), =HYPERLINK("CSG15.html#group24O15", "24O¹⁵"), =HYPERLINK("CSG19.html#group48O19", "48O¹⁹"), =HYPERLINK("CSG21.html#group48CH21", "48CH²¹"), =HYPERLINK("CSG24.html#group32A24", "32A²⁴"), =HYPERLINK("CSG21.html#group48AX21", "48AX²¹"), =HYPERLINK("CSG9.html#group16H9", "16H⁹"), =HYPERLINK("CSG12.html#group56D12", "56D¹²"), =HYPERLINK("CSG8.html#group48C8", "48C⁸"), =HYPERLINK("CSG9.html#group32B9", "32B⁹"), =HYPERLINK("CSG9.html#group24C9", "24C⁹"), =HYPERLINK("CSG13.html#group32A13", "32A¹³"), =HYPERLINK("CSG21.html#group48CJ21", "48CJ²¹"), =HYPERLINK("CSG15.html#group48W15", "48W¹⁵"), =HYPERLINK("CSG13.html#group32K13", "32K¹³"), =HYPERLINK("CSG22.html#group112A22", "112A²²"), =HYPERLINK("CSG7.html#group32A7", "32A⁷"), =HYPERLINK("CSG4.html#group16A4", "16A⁴"), =HYPERLINK("CSG5.html#group32E5", "32E⁵"), =HYPERLINK("CSG14.html#group112D14", "112D¹⁴"), =HYPERLINK("CSG13.html#group48AG13", "48AG¹³"), =HYPERLINK("CSG17.html#group96B17", "96B¹⁷"), =HYPERLINK("CSG16.html#group24B16", "24B¹⁶"), =HYPERLINK("CSG21.html#group32A21", "32A²¹"), =HYPERLINK("CSG11.html#group24N11", "24N¹¹"), =HYPERLINK("CSG7.html#group16E7", "16E⁷"), =HYPERLINK("CSG21.html#group48CB21", "48CB²¹"), =HYPERLINK("CSG17.html#group80AO17", "80AO¹⁷"), =HYPERLINK("CSG3.html#group32Q3", "32Q³"), =HYPERLINK("CSG19.html#group96AB19", "96AB¹⁹"), =HYPERLINK("CSG17.html#group16A17", "16A¹⁷"), =HYPERLINK("CSG17.html#group160L17", "160L¹⁷"), =HYPERLINK("CSG4.html#group40C4", "40C⁴"), =HYPERLINK("CSG13.html#group80H13", "80H¹³"), =HYPERLINK("CSG7.html#group80I7", "80I⁷"), =HYPERLINK("CSG11.html#group24G11", "24G¹¹"), =HYPERLINK("CSG13.html#group56F13", "56F¹³"), =HYPERLINK("CSG17.html#group24AR17", "24AR¹⁷"), =HYPERLINK("CSG7.html#group72D7", "72D⁷"), =HYPERLINK("CSG21.html#group16B21", "16B²¹"), =HYPERLINK("CSG17.html#group24AH17", "24AH¹⁷"), =HYPERLINK("CSG3.html#group48D3", "48D³"), =HYPERLINK("CSG1.html#group16H1", "16H¹"), =HYPERLINK("CSG18.html#group96F18", "96F¹⁸"), =HYPERLINK("CSG19.html#group120L19", "120L¹⁹"), =HYPERLINK("CSG13.html#group72N13", "72N¹³"), =HYPERLINK("CSG7.html#group24P7", "24P⁷"), =HYPERLINK("CSG19.html#group48G19", "48G¹⁹"), =HYPERLINK("CSG15.html#group40AE15", "40AE¹⁵"), =HYPERLINK("CSG4.html#group32C4", "32C⁴"), =HYPERLINK("CSG20.html#group88A20", "88A²⁰"), =HYPERLINK("CSG2.html#group16C2", "16C²"), =HYPERLINK("CSG24.html#group32C24", "32C²⁴"), =HYPERLINK("CSG3.html#group8A3", "8A³"), =HYPERLINK("CSG14.html#group96A14", "96A¹⁴"), =HYPERLINK("CSG8.html#group48Q8", "48Q⁸"), =HYPERLINK("CSG17.html#group24N17", "24N¹⁷"), =HYPERLINK("CSG17.html#group24AN17", "24AN¹⁷"), =HYPERLINK("CSG6.html#group24G6", "24G⁶"), =HYPERLINK("CSG15.html#group80L15", "80L¹⁵"), =HYPERLINK("CSG5.html#group16B5", "16B⁵"), =HYPERLINK("CSG3.html#group16L3", "16L³"), =HYPERLINK("CSG21.html#group104C21", "104C²¹"), =HYPERLINK("CSG19.html#group48B19", "48B¹⁹"), =HYPERLINK("CSG5.html#group16I5", "16I⁵"), =HYPERLINK("CSG17.html#group72F17", "72F¹⁷"), =HYPERLINK("CSG19.html#group48AE19", "48AE¹⁹"), =HYPERLINK("CSG15.html#group80U15", "80U¹⁵"), =HYPERLINK("CSG13.html#group16C13", "16C¹³"), =HYPERLINK("CSG11.html#group48X11", "48X¹¹"), =HYPERLINK("CSG17.html#group48BU17", "48BU¹⁷"), =HYPERLINK("CSG7.html#group24AI7", "24AI⁷"), =HYPERLINK("CSG19.html#group96H19", "96H¹⁹"), =HYPERLINK("CSG21.html#group96H21", "96H²¹"), =HYPERLINK("CSG9.html#group64C9", "64C⁹"), =HYPERLINK("CSG13.html#group40M13", "40M¹³"), =HYPERLINK("CSG21.html#group72F21", "72F²¹"), =HYPERLINK("CSG10.html#group48A10", "48A¹⁰"), =HYPERLINK("CSG2.html#group24O2", "24O²"), =HYPERLINK("CSG24.html#group112H24", "112H²⁴"), =HYPERLINK("CSG21.html#group96A21", "96A²¹"), =HYPERLINK("CSG5.html#group16M5", "16M⁵"), =HYPERLINK("CSG7.html#group48P7", "48P⁷"), =HYPERLINK("CSG13.html#group40K13", "40K¹³"), =HYPERLINK("CSG23.html#group56D23", "56D²³"), =HYPERLINK("CSG20.html#group48B20", "48B²⁰"), =HYPERLINK("CSG1.html#group8H1", "8H¹"), =HYPERLINK("CSG21.html#group24D21", "24D²¹"), =HYPERLINK("CSG17.html#group24AI17", "24AI¹⁷"), =HYPERLINK("CSG7.html#group48AL7", "48AL⁷"), =HYPERLINK("CSG21.html#group48AZ21", "48AZ²¹"), =HYPERLINK("CSG17.html#group48J17", "48J¹⁷"), =HYPERLINK("CSG13.html#group16B13", "16B¹³"), =HYPERLINK("CSG9.html#group32Q9", "32Q⁹"), =HYPERLINK("CSG8.html#group48N8", "48N⁸"), =HYPERLINK("CSG15.html#group40AF15", "40AF¹⁵"), =HYPERLINK("CSG9.html#group32N9", "32N⁹"), =HYPERLINK("CSG21.html#group48F21", "48F²¹"), =HYPERLINK("CSG21.html#group48CE21", "48CE²¹"), =HYPERLINK("CSG7.html#group24K7", "24K⁷"), =HYPERLINK("CSG9.html#group48E9", "48E⁹"), =HYPERLINK("CSG20.html#group96A20", "96A²⁰"), =HYPERLINK("CSG19.html#group24A19", "24A¹⁹"), =HYPERLINK("CSG17.html#group48BN17", "48BN¹⁷"), =HYPERLINK("CSG16.html#group96E16", "96E¹⁶"), =HYPERLINK("CSG17.html#group48K17", "48K¹⁷"), =HYPERLINK("CSG1.html#group16E1", "16E¹"), =HYPERLINK("CSG9.html#group32A9", "32A⁹"), =HYPERLINK("CSG21.html#group200B21", "200B²¹"), =HYPERLINK("CSG23.html#group112I23", "112I²³"), =HYPERLINK("CSG11.html#group48Y11", "48Y¹¹"), =HYPERLINK("CSG18.html#group48I18", "48I¹⁸"), =HYPERLINK("CSG19.html#group144I19", "144I¹⁹"), =HYPERLINK("CSG13.html#group40H13", "40H¹³"), =HYPERLINK("CSG23.html#group96AC23", "96AC²³"), =HYPERLINK("CSG2.html#group32B2", "32B²"), =HYPERLINK("CSG10.html#group32C10", "32C¹⁰"), =HYPERLINK("CSG22.html#group56E22", "56E²²"), =HYPERLINK("CSG16.html#group168D16", "168D¹⁶"), =HYPERLINK("CSG21.html#group16F21", "16F²¹"), =HYPERLINK("CSG9.html#group16A9", "16A⁹"), =HYPERLINK("CSG19.html#group48BA19", "48BA¹⁹"), =HYPERLINK("CSG1.html#group24C1", "24C¹"), =HYPERLINK("CSG5.html#group40N5", "40N⁵"), =HYPERLINK("CSG21.html#group48CN21", "48CN²¹"), =HYPERLINK("CSG13.html#group48E13", "48E¹³"), =HYPERLINK("CSG17.html#group48I17", "48I¹⁷"), =HYPERLINK("CSG21.html#group64I21", "64I²¹"), =HYPERLINK("CSG3.html#group8B3", "8B³"), =HYPERLINK("CSG11.html#group24I11", "24I¹¹"), =HYPERLINK("CSG3.html#group24V3", "24V³"), =HYPERLINK("CSG21.html#group24F21", "24F²¹"), =HYPERLINK("CSG8.html#group48F8", "48F⁸"), =HYPERLINK("CSG11.html#group48O11", "48O¹¹"), =HYPERLINK("CSG9.html#group32M9", "32M⁹"), =HYPERLINK("CSG21.html#group16A21", "16A²¹"), =HYPERLINK("CSG23.html#group112K23", "112K²³"), =HYPERLINK("CSG22.html#group40A22", "40A²²"), =HYPERLINK("CSG2.html#group8C2", "8C²"), =HYPERLINK("CSG7.html#group80J7", "80J⁷"), =HYPERLINK("CSG8.html#group96D8", "96D⁸"), =HYPERLINK("CSG16.html#group24A16", "24A¹⁶"), =HYPERLINK("CSG13.html#group120A13", "120A¹³"), =HYPERLINK("CSG19.html#group24F19", "24F¹⁹"), =HYPERLINK("CSG11.html#group56M11", "56M¹¹"), =HYPERLINK("CSG22.html#group40B22", "40B²²"), =HYPERLINK("CSG10.html#group56C10", "56C¹⁰"), =HYPERLINK("CSG23.html#group56N23", "56N²³"), =HYPERLINK("CSG0.html#group8G0", "8G⁰"), =HYPERLINK("CSG15.html#group40X15", "40X¹⁵"), =HYPERLINK("CSG5.html#group24U5", "24U⁵"), =HYPERLINK("CSG5.html#group32A5", "32A⁵"), =HYPERLINK("CSG7.html#group24AB7", "24AB⁷"), =HYPERLINK("CSG19.html#group48U19", "48U¹⁹"), =HYPERLINK("CSG9.html#group64H9", "64H⁹"), =HYPERLINK("CSG5.html#group32I5", "32I⁵"), =HYPERLINK("CSG22.html#group96D22", "96D²²"), =HYPERLINK("CSG9.html#group48R9", "48R⁹"), =HYPERLINK("CSG18.html#group48P18", "48P¹⁸"), =HYPERLINK("CSG15.html#group48G15", "48G¹⁵"), =HYPERLINK("CSG24.html#group40B24", "40B²⁴"), =HYPERLINK("CSG17.html#group24B17", "24B¹⁷"), =HYPERLINK("CSG17.html#group40AA17", "40AA¹⁷"), =HYPERLINK("CSG4.html#group48H4", "48H⁴"), =HYPERLINK("CSG8.html#group24B8", "24B⁸"), =HYPERLINK("CSG15.html#group40F15", "40F¹⁵"), =HYPERLINK("CSG12.html#group32A12", "32A¹²"), =HYPERLINK("CSG19.html#group48L19", "48L¹⁹"), =HYPERLINK("CSG7.html#group16C7", "16C⁷"), =HYPERLINK("CSG8.html#group48P8", "48P⁸"), =HYPERLINK("CSG10.html#group48B10", "48B¹⁰"), =HYPERLINK("CSG15.html#group48S15", "48S¹⁵"), =HYPERLINK("CSG23.html#group112G23", "112G²³"), =HYPERLINK("CSG19.html#group80L19", "80L¹⁹"), =HYPERLINK("CSG23.html#group56M23", "56M²³"), =HYPERLINK("CSG21.html#group48E21", "48E²¹"), =HYPERLINK("CSG17.html#group160J17", "160J¹⁷"), =HYPERLINK("CSG19.html#group48AB19", "48AB¹⁹"), =HYPERLINK("CSG17.html#group40K17", "40K¹⁷"), =HYPERLINK("CSG6.html#group32B6", "32B⁶"), =HYPERLINK("CSG19.html#group32A19", "32A¹⁹"), =HYPERLINK("CSG10.html#group48C10", "48C¹⁰"), =HYPERLINK("CSG21.html#group32D21", "32D²¹"), =HYPERLINK("CSG17.html#group40N17", "40N¹⁷"), =HYPERLINK("CSG23.html#group32D23", "32D²³"), =HYPERLINK("CSG17.html#group80AK17", "80AK¹⁷"), =HYPERLINK("CSG15.html#group64K15", "64K¹⁵"), =HYPERLINK("CSG9.html#group64B9", "64B⁹"), =HYPERLINK("CSG15.html#group24M15", "24M¹⁵"), =HYPERLINK("CSG24.html#group224C24", "224C²⁴"), =HYPERLINK("CSG9.html#group80I9", "80I⁹"), =HYPERLINK("CSG16.html#group96B16", "96B¹⁶"), =HYPERLINK("CSG21.html#group48AY21", "48AY²¹"), =HYPERLINK("CSG17.html#group48AI17", "48AI¹⁷"), =HYPERLINK("CSG10.html#group48D10", "48D¹⁰"), =HYPERLINK("CSG8.html#group40A8", "40A⁸"), =HYPERLINK("CSG17.html#group48AK17", "48AK¹⁷"), =HYPERLINK("CSG17.html#group48CK17", "48CK¹⁷"), =HYPERLINK("CSG21.html#group48CG21", "48CG²¹"), =HYPERLINK("CSG23.html#group104F23", "104F²³"), =HYPERLINK("CSG13.html#group64U13", "64U¹³"), =HYPERLINK("CSG4.html#group16B4", "16B⁴"), =HYPERLINK("CSG17.html#group80F17", "80F¹⁷"), =HYPERLINK("CSG9.html#group24AJ9", "24AJ⁹"), =HYPERLINK("CSG13.html#group80I13", "80I¹³"), =HYPERLINK("CSG15.html#group144B15", "144B¹⁵"), =HYPERLINK("CSG20.html#group96F20", "96F²⁰"), =HYPERLINK("CSG17.html#group40M17", "40M¹⁷"), =HYPERLINK("CSG0.html#group8P0", "8P⁰"), =HYPERLINK("CSG13.html#group56J13", "56J¹³"), =HYPERLINK("CSG11.html#group32A11", "32A¹¹"), =HYPERLINK("CSG20.html#group96C20", "96C²⁰"), =HYPERLINK("CSG22.html#group96B22", "96B²²"), =HYPERLINK("CSG7.html#group24AD7", "24AD⁷"), =HYPERLINK("CSG17.html#group80AE17", "80AE¹⁷"), =HYPERLINK("CSG19.html#group96L19", "96L¹⁹"), =HYPERLINK("CSG10.html#group24E10", "24E¹⁰"), =HYPERLINK("CSG11.html#group32K11", "32K¹¹"), =HYPERLINK("CSG11.html#group40K11", "40K¹¹"), =HYPERLINK("CSG18.html#group152B18", "152B¹⁸"), =HYPERLINK("CSG19.html#group48AL19", "48AL¹⁹"), =HYPERLINK("CSG17.html#group48P17", "48P¹⁷"), =HYPERLINK("CSG21.html#group48AT21", "48AT²¹"), =HYPERLINK("CSG23.html#group112E23", "112E²³"), =HYPERLINK("CSG3.html#group32J3", "32J³"), =HYPERLINK("CSG23.html#group48B23", "48B²³"), =HYPERLINK("CSG21.html#group56L21", "56L²¹"), =HYPERLINK("CSG17.html#group48S17", "48S¹⁷"), =HYPERLINK("CSG2.html#group24I2", "24I²"), =HYPERLINK("CSG11.html#group48W11", "48W¹¹"), =HYPERLINK("CSG6.html#group32C6", "32C⁶"), =HYPERLINK("CSG21.html#group88E21", "88E²¹"), =HYPERLINK("CSG9.html#group24I9", "24I⁹"), =HYPERLINK("CSG19.html#group48E19", "48E¹⁹"), =HYPERLINK("CSG1.html#group8I1", "8I¹"), =HYPERLINK("CSG19.html#group96E19", "96E¹⁹"), =HYPERLINK("CSG21.html#group48Q21", "48Q²¹"), =HYPERLINK("CSG17.html#group64D17", "64D¹⁷"), =HYPERLINK("CSG23.html#group96AL23", "96AL²³"), =HYPERLINK("CSG12.html#group112H12", "112H¹²"), =HYPERLINK("CSG13.html#group32B13", "32B¹³"), =HYPERLINK("CSG7.html#group48U7", "48U⁷"), =HYPERLINK("CSG10.html#group96D10", "96D¹⁰"), =HYPERLINK("CSG6.html#group24D6", "24D⁶"), =HYPERLINK("CSG16.html#group24E16", "24E¹⁶"), =HYPERLINK("CSG17.html#group48AU17", "48AU¹⁷"), =HYPERLINK("CSG20.html#group176D20", "176D²⁰"), =HYPERLINK("CSG18.html#group32B18", "32B¹⁸"), =HYPERLINK("CSG21.html#group64F21", "64F²¹"), =HYPERLINK("CSG7.html#group32K7", "32K⁷"), =HYPERLINK("CSG21.html#group64C21", "64C²¹"), =HYPERLINK("CSG9.html#group64F9", "64F⁹"), =HYPERLINK("CSG16.html#group48A16", "48A¹⁶"), =HYPERLINK("CSG17.html#group24F17", "24F¹⁷"), =HYPERLINK("CSG21.html#group32I21", "32I²¹"), =HYPERLINK("CSG19.html#group48A19", "48A¹⁹"), =HYPERLINK("CSG7.html#group40N7", "40N⁷"), =HYPERLINK("CSG18.html#group48T18", "48T¹⁸"), =HYPERLINK("CSG21.html#group96AV21", "96AV²¹"), =HYPERLINK("CSG11.html#group32E11", "32E¹¹"), =HYPERLINK("CSG14.html#group64C14", "64C¹⁴"), =HYPERLINK("CSG13.html#group32P13", "32P¹³"), =HYPERLINK("CSG7.html#group16D7", "16D⁷"), =HYPERLINK("CSG18.html#group48Q18", "48Q¹⁸"), =HYPERLINK("CSG11.html#group112C11", "112C¹¹"), =HYPERLINK("CSG15.html#group80O15", "80O¹⁵"), =HYPERLINK("CSG24.html#group112A24", "112A²⁴"), =HYPERLINK("CSG11.html#group96I11", "96I¹¹"), =HYPERLINK("CSG17.html#group40W17", "40W¹⁷"), =HYPERLINK("CSG2.html#group16D2", "16D²"), =HYPERLINK("CSG19.html#group176B19", "176B¹⁹"), =HYPERLINK("CSG19.html#group80U19", "80U¹⁹"), =HYPERLINK("CSG9.html#group40B9", "40B⁹"), =HYPERLINK("CSG21.html#group96BA21", "96BA²¹"), =HYPERLINK("CSG17.html#group80AD17", "80AD¹⁷"), =HYPERLINK("CSG9.html#group48U9", "48U⁹"), =HYPERLINK("CSG19.html#group48AF19", "48AF¹⁹"), =HYPERLINK("CSG21.html#group24J21", "24J²¹"), =HYPERLINK("CSG0.html#group8H0", "8H⁰"), =HYPERLINK("CSG7.html#group48AK7", "48AK⁷"), =HYPERLINK("CSG17.html#group48CM17", "48CM¹⁷"), =HYPERLINK("CSG7.html#group48AB7", "48AB⁷"), =HYPERLINK("CSG23.html#group104D23", "104D²³"), =HYPERLINK("CSG17.html#group80AQ17", "80AQ¹⁷"), =HYPERLINK("CSG22.html#group32B22", "32B²²"), =HYPERLINK("CSG20.html#group96G20", "96G²⁰"), =HYPERLINK("CSG23.html#group32F23", "32F²³"), =HYPERLINK("CSG8.html#group96C8", "96C⁸"), =HYPERLINK("CSG12.html#group112F12", "112F¹²"), =HYPERLINK("CSG10.html#group32B10", "32B¹⁰"), =HYPERLINK("CSG8.html#group48D8", "48D⁸"), =HYPERLINK("CSG22.html#group176C22", "176C²²"), =HYPERLINK("CSG17.html#group48T17", "48T¹⁷"), =HYPERLINK("CSG20.html#group96O20", "96O²⁰"), =HYPERLINK("CSG6.html#group32H6", "32H⁶"), =HYPERLINK("CSG5.html#group16J5", "16J⁵"), =HYPERLINK("CSG4.html#group24L4", "24L⁴"), =HYPERLINK("CSG19.html#group64A19", "64A¹⁹"), =HYPERLINK("CSG18.html#group48D18", "48D¹⁸"), =HYPERLINK("CSG10.html#group88C10", "88C¹⁰"), =HYPERLINK("CSG19.html#group48AU19", "48AU¹⁹"), =HYPERLINK("CSG19.html#group24P19", "24P¹⁹"), =HYPERLINK("CSG22.html#group144B22", "144B²²"), =HYPERLINK("CSG21.html#group32M21", "32M²¹"), =HYPERLINK("CSG19.html#group48BS19", "48BS¹⁹"), =HYPERLINK("CSG17.html#group80AM17", "80AM¹⁷"), =HYPERLINK("CSG21.html#group72E21", "72E²¹"), =HYPERLINK("CSG19.html#group72C19", "72C¹⁹"), =HYPERLINK("CSG21.html#group96AD21", "96AD²¹"), =HYPERLINK("CSG21.html#group48L21", "48L²¹"), =HYPERLINK("CSG21.html#group48BL21", "48BL²¹"), =HYPERLINK("CSG22.html#group48D22", "48D²²"), =HYPERLINK("CSG3.html#group24O3", "24O³"), =HYPERLINK("CSG13.html#group32C13", "32C¹³"), =HYPERLINK("CSG20.html#group144B20", "144B²⁰"), =HYPERLINK("CSG15.html#group48E15", "48E¹⁵"), =HYPERLINK("CSG11.html#group48Z11", "48Z¹¹"), =HYPERLINK("CSG11.html#group56D11", "56D¹¹"), =HYPERLINK("CSG20.html#group48A20", "48A²⁰"), =HYPERLINK("CSG17.html#group48BX17", "48BX¹⁷"), =HYPERLINK("CSG13.html#group56I13", "56I¹³"), =HYPERLINK("CSG3.html#group16Q3", "16Q³"), =HYPERLINK("CSG13.html#group32F13", "32F¹³"), =HYPERLINK("CSG9.html#group32E9", "32E⁹"), =HYPERLINK("CSG21.html#group48CA21", "48CA²¹"), =HYPERLINK("CSG13.html#group64B13", "64B¹³"), =HYPERLINK("CSG19.html#group80O19", "80O¹⁹"), =HYPERLINK("CSG11.html#group16B11", "16B¹¹"), =HYPERLINK("CSG17.html#group24AG17", "24AG¹⁷"), =HYPERLINK("CSG17.html#group48AT17", "48AT¹⁷"), =HYPERLINK("CSG5.html#group16H5", "16H⁵"), =HYPERLINK("CSG18.html#group88A18", "88A¹⁸"), =HYPERLINK("CSG6.html#group32D6", "32D⁶"), =HYPERLINK("CSG17.html#group24AM17", "24AM¹⁷"), =HYPERLINK("CSG17.html#group48CJ17", "48CJ¹⁷"), =HYPERLINK("CSG19.html#group96J19", "96J¹⁹"), =HYPERLINK("CSG22.html#group64A22", "64A²²"), =HYPERLINK("CSG23.html#group208H23", "208H²³"), =HYPERLINK("CSG5.html#group8A5", "8A⁵"), =HYPERLINK("CSG9.html#group16J9", "16J⁹"), =HYPERLINK("CSG21.html#group32F21", "32F²¹"), =HYPERLINK("CSG17.html#group48AF17", "48AF¹⁷"), =HYPERLINK("CSG22.html#group144A22", "144A²²"), =HYPERLINK("CSG18.html#group64A18", "64A¹⁸"), =HYPERLINK("CSG21.html#group96AW21", "96AW²¹"), =HYPERLINK("CSG17.html#group96V17", "96V¹⁷"), =HYPERLINK("CSG24.html#group56C24", "56C²⁴"), =HYPERLINK("CSG10.html#group72D10", "72D¹⁰"), =HYPERLINK("CSG15.html#group24R15", "24R¹⁵"), =HYPERLINK("CSG19.html#group24Q19", "24Q¹⁹"), =HYPERLINK("CSG18.html#group80C18", "80C¹⁸"), =HYPERLINK("CSG17.html#group80Z17", "80Z¹⁷"), =HYPERLINK("CSG23.html#group56Q23", "56Q²³"), =HYPERLINK("CSG9.html#group80C9", "80C⁹"), =HYPERLINK("CSG17.html#group96T17", "96T¹⁷"), =HYPERLINK("CSG0.html#group8O0", "8O⁰"), =HYPERLINK("CSG21.html#group112B21", "112B²¹"), =HYPERLINK("CSG16.html#group72M16", "72M¹⁶"), =HYPERLINK("CSG21.html#group96B21", "96B²¹"), =HYPERLINK("CSG21.html#group80O21", "80O²¹"), =HYPERLINK("CSG19.html#group96BD19", "96BD¹⁹"), =HYPERLINK("CSG16.html#group72A16", "72A¹⁶"), =HYPERLINK("CSG21.html#group32B21", "32B²¹"), =HYPERLINK("CSG15.html#group144E15", "144E¹⁵"), =HYPERLINK("CSG17.html#group40AM17", "40AM¹⁷"), =HYPERLINK("CSG21.html#group64B21", "64B²¹"), =HYPERLINK("CSG16.html#group80A16", "80A¹⁶"), =HYPERLINK("CSG17.html#group32D17", "32D¹⁷"), =HYPERLINK("CSG15.html#group136F15", "136F¹⁵"), =HYPERLINK("CSG13.html#group32T13", "32T¹³"), =HYPERLINK("CSG14.html#group64A14", "64A¹⁴"), =HYPERLINK("CSG19.html#group32E19", "32E¹⁹"), =HYPERLINK("CSG10.html#group96E10", "96E¹⁰"), =HYPERLINK("CSG21.html#group64D21", "64D²¹"), =HYPERLINK("CSG13.html#group48G13", "48G¹³"), =HYPERLINK("CSG11.html#group16D11", "16D¹¹"), =HYPERLINK("CSG14.html#group64B14", "64B¹⁴"), =HYPERLINK("CSG13.html#group120D13", "120D¹³"), =HYPERLINK("CSG11.html#group56C11", "56C¹¹"), =HYPERLINK("CSG15.html#group144D15", "144D¹⁵"), =HYPERLINK("CSG8.html#group24D8", "24D⁸"), =HYPERLINK("CSG19.html#group48X19", "48X¹⁹"), =HYPERLINK("CSG23.html#group112O23", "112O²³"), =HYPERLINK("CSG1.html#group8K1", "8K¹"), =HYPERLINK("CSG13.html#group48K13", "48K¹³"), =HYPERLINK("CSG19.html#group80Q19", "80Q¹⁹"), =HYPERLINK("CSG5.html#group16G5", "16G⁵"), =HYPERLINK("CSG24.html#group32D24", "32D²⁴"), =HYPERLINK("CSG3.html#group32K3", "32K³"), =HYPERLINK("CSG21.html#group48T21", "48T²¹"), =HYPERLINK("CSG7.html#group48Z7", "48Z⁷"), =HYPERLINK("CSG17.html#group24S17", "24S¹⁷"), =HYPERLINK("CSG2.html#group16K2", "16K²"), =HYPERLINK("CSG17.html#group32E17", "32E¹⁷"), =HYPERLINK("CSG13.html#group64A13", "64A¹³"), =HYPERLINK("CSG8.html#group96F8", "96F⁸"), =HYPERLINK("CSG17.html#group160K17", "160K¹⁷"), =HYPERLINK("CSG19.html#group48AJ19", "48AJ¹⁹"), =HYPERLINK("CSG19.html#group48D19", "48D¹⁹"), =HYPERLINK("CSG21.html#group48AR21", "48AR²¹"), =HYPERLINK("CSG3.html#group32L3", "32L³"), =HYPERLINK("CSG17.html#group80AP17", "80AP¹⁷"), =HYPERLINK("CSG19.html#group160I19", "160I¹⁹"), =HYPERLINK("CSG19.html#group24D19", "24D¹⁹"), =HYPERLINK("CSG17.html#group48E17", "48E¹⁷"), =HYPERLINK("CSG9.html#group24AE9", "24AE⁹"), =HYPERLINK("CSG15.html#group80N15", "80N¹⁵"), =HYPERLINK("CSG21.html#group16E21", "16E²¹"), =HYPERLINK("CSG21.html#group24I21", "24I²¹"), =HYPERLINK("CSG20.html#group96L20", "96L²⁰"), =HYPERLINK("CSG7.html#group24AC7", "24AC⁷"), =HYPERLINK("CSG23.html#group56J23", "56J²³"), =HYPERLINK("CSG6.html#group48D6", "48D⁶"), =HYPERLINK("CSG20.html#group96N20", "96N²⁰"), =HYPERLINK("CSG21.html#group88B21", "88B²¹"), =HYPERLINK("CSG13.html#group24R13", "24R¹³"), =HYPERLINK("CSG24.html#group224F24", "224F²⁴"), =HYPERLINK("CSG2.html#group16E2", "16E²"), =HYPERLINK("CSG7.html#group40P7", "40P⁷"), =HYPERLINK("CSG21.html#group32Y21", "32Y²¹"), =HYPERLINK("CSG18.html#group48L18", "48L¹⁸"), =HYPERLINK("CSG19.html#group48AX19", "48AX¹⁹"), =HYPERLINK("CSG4.html#group48E4", "48E⁴"), =HYPERLINK("CSG19.html#group80W19", "80W¹⁹"), =HYPERLINK("CSG9.html#group48S9", "48S⁹"), =HYPERLINK("CSG5.html#group16O5", "16O⁵"), =HYPERLINK("CSG22.html#group56D22", "56D²²"), =HYPERLINK("CSG14.html#group72E14", "72E¹⁴"), =HYPERLINK("CSG13.html#group72R13", "72R¹³"), =HYPERLINK("CSG19.html#group80M19", "80M¹⁹"), =HYPERLINK("CSG17.html#group48Q17", "48Q¹⁷"), =HYPERLINK("CSG18.html#group48E18", "48E¹⁸"), =HYPERLINK("CSG17.html#group32B17", "32B¹⁷"), =HYPERLINK("CSG20.html#group96H20", "96H²⁰"), =HYPERLINK("CSG20.html#group72D20", "72D²⁰"), =HYPERLINK("CSG15.html#group24N15", "24N¹⁵"), =HYPERLINK("CSG13.html#group24K13", "24K¹³"), =HYPERLINK("CSG21.html#group48CI21", "48CI²¹"), =HYPERLINK("CSG19.html#group48AV19", "48AV¹⁹"), =HYPERLINK("CSG21.html#group32K21", "32K²¹"), =HYPERLINK("CSG17.html#group96E17", "96E¹⁷"), =HYPERLINK("CSG19.html#group48M19", "48M¹⁹"), =HYPERLINK("CSG3.html#group16K3", "16K³"), =HYPERLINK("CSG1.html#group8C1", "8C¹"), =HYPERLINK("CSG23.html#group32G23", "32G²³"), =HYPERLINK("CSG19.html#group48F19", "48F¹⁹"), =HYPERLINK("CSG16.html#group24C16", "24C¹⁶"), =HYPERLINK("CSG18.html#group48F18", "48F¹⁸"), =HYPERLINK("CSG12.html#group32B12", "32B¹²"), =HYPERLINK("CSG15.html#group80K15", "80K¹⁵"), =HYPERLINK("CSG12.html#group72M12", "72M¹²"), =HYPERLINK("CSG17.html#group40A17", "40A¹⁷"), =HYPERLINK("CSG21.html#group160U21", "160U²¹"), =HYPERLINK("CSG7.html#group6</f>
        <v/>
      </c>
    </row>
    <row r="48">
      <c r="A48" t="inlineStr">
        <is>
          <t>8E⁰</t>
        </is>
      </c>
      <c r="B48" t="inlineStr"/>
      <c r="C48" t="inlineStr">
        <is>
          <t>16</t>
        </is>
      </c>
      <c r="D48" t="inlineStr">
        <is>
          <t>1</t>
        </is>
      </c>
      <c r="E48" t="inlineStr">
        <is>
          <t>4</t>
        </is>
      </c>
      <c r="F48" t="inlineStr">
        <is>
          <t>0</t>
        </is>
      </c>
      <c r="G48" t="inlineStr">
        <is>
          <t>4</t>
        </is>
      </c>
      <c r="H48" t="inlineStr">
        <is>
          <t>8²</t>
        </is>
      </c>
      <c r="I48" t="n">
        <v>2</v>
      </c>
      <c r="J48" t="inlineStr">
        <is>
          <t>2²</t>
        </is>
      </c>
      <c r="K48">
        <f>HYPERLINK("CSG0.html#group4D0", "4D⁰"), =HYPERLINK("CSG0.html#group8A0", "8A⁰")</f>
        <v/>
      </c>
      <c r="L48">
        <f>HYPERLINK("CSG0.html#group16F0", "16F⁰"), =HYPERLINK("CSG1.html#group8J1", "8J¹"), =HYPERLINK("CSG2.html#group8A2", "8A²"), =HYPERLINK("CSG2.html#group24E2", "24E²"), =HYPERLINK("CSG3.html#group24G3", "24G³"), =HYPERLINK("CSG4.html#group24A4", "24A⁴"), =HYPERLINK("CSG4.html#group40D4", "40D⁴"), =HYPERLINK("CSG7.html#group40B7", "40B⁷"), =HYPERLINK("CSG7.html#group56G7", "56G⁷"), =HYPERLINK("CSG8.html#group56B8", "56B⁸"), =HYPERLINK("CSG11.html#group40B11", "40B¹¹"), =HYPERLINK("CSG12.html#group88A12", "88A¹²"), =HYPERLINK("CSG15.html#group88B15", "88B¹⁵"), =HYPERLINK("CSG15.html#group104B15", "104B¹⁵"), =HYPERLINK("CSG23.html#group136B23", "136B²³"), =HYPERLINK("CSG23.html#group152B23", "152B²³")</f>
        <v/>
      </c>
      <c r="M48">
        <f>HYPERLINK("CSG0.html#group8A0", "8A⁰"), =HYPERLINK("CSG0.html#group2A0", "2A⁰"), =HYPERLINK("CSG0.html#group1A0", "1A⁰"), =HYPERLINK("CSG0.html#group4A0", "4A⁰"), =HYPERLINK("CSG0.html#group4D0", "4D⁰")</f>
        <v/>
      </c>
      <c r="N48">
        <f>HYPERLINK("CSG11.html#group16A11", "16A¹¹"), =HYPERLINK("CSG15.html#group88B15", "88B¹⁵"), =HYPERLINK("CSG11.html#group72J11", "72J¹¹"), =HYPERLINK("CSG7.html#group24B7", "24B⁷"), =HYPERLINK("CSG21.html#group40C21", "40C²¹"), =HYPERLINK("CSG16.html#group112A16", "112A¹⁶"), =HYPERLINK("CSG1.html#group8J1", "8J¹"), =HYPERLINK("CSG24.html#group176A24", "176A²⁴"), =HYPERLINK("CSG23.html#group120B23", "120B²³"), =HYPERLINK("CSG22.html#group48A22", "48A²²"), =HYPERLINK("CSG15.html#group48A15", "48A¹⁵"), =HYPERLINK("CSG23.html#group56T23", "56T²³"), =HYPERLINK("CSG15.html#group72B15", "72B¹⁵"), =HYPERLINK("CSG13.html#group16B13", "16B¹³"), =HYPERLINK("CSG11.html#group24B11", "24B¹¹"), =HYPERLINK("CSG15.html#group80A15", "80A¹⁵"), =HYPERLINK("CSG23.html#group72C23", "72C²³"), =HYPERLINK("CSG19.html#group24I19", "24I¹⁹"), =HYPERLINK("CSG24.html#group144B24", "144B²⁴"), =HYPERLINK("CSG4.html#group48I4", "48I⁴"), =HYPERLINK("CSG5.html#group16K5", "16K⁵"), =HYPERLINK("CSG16.html#group112B16", "112B¹⁶"), =HYPERLINK("CSG13.html#group24I13", "24I¹³"), =HYPERLINK("CSG11.html#group40B11", "40B¹¹"), =HYPERLINK("CSG13.html#group56N13", "56N¹³"), =HYPERLINK("CSG9.html#group16C9", "16C⁹"), =HYPERLINK("CSG20.html#group120A20", "120A²⁰"), =HYPERLINK("CSG7.html#group48K7", "48K⁷"), =HYPERLINK("CSG23.html#group144V23", "144V²³"), =HYPERLINK("CSG2.html#group24E2", "24E²"), =HYPERLINK("CSG15.html#group112L15", "112L¹⁵"), =HYPERLINK("CSG15.html#group112K15", "112K¹⁵"), =HYPERLINK("CSG21.html#group16D21", "16D²¹"), =HYPERLINK("CSG21.html#group72Y21", "72Y²¹"), =HYPERLINK("CSG13.html#group16A13", "16A¹³"), =HYPERLINK("CSG22.html#group48B22", "48B²²"), =HYPERLINK("CSG11.html#group24D11", "24D¹¹"), =HYPERLINK("CSG23.html#group136B23", "136B²³"), =HYPERLINK("CSG8.html#group48B8", "48B⁸"), =HYPERLINK("CSG5.html#group8A5", "8A⁵"), =HYPERLINK("CSG15.html#group80B15", "80B¹⁵"), =HYPERLINK("CSG13.html#group48U13", "48U¹³"), =HYPERLINK("CSG21.html#group24H21", "24H²¹"), =HYPERLINK("CSG23.html#group80A23", "80A²³"), =HYPERLINK("CSG11.html#group24C11", "24C¹¹"), =HYPERLINK("CSG0.html#group16F0", "16F⁰"), =HYPERLINK("CSG12.html#group72A12", "72A¹²"), =HYPERLINK("CSG15.html#group72D15", "72D¹⁵"), =HYPERLINK("CSG13.html#group72B13", "72B¹³"), =HYPERLINK("CSG21.html#group24C21", "24C²¹"), =HYPERLINK("CSG11.html#group24J11", "24J¹¹"), =HYPERLINK("CSG21.html#group24G21", "24G²¹"), =HYPERLINK("CSG18.html#group40A18", "40A¹⁸"), =HYPERLINK("CSG10.html#group24A10", "24A¹⁰"), =HYPERLINK("CSG9.html#group16D9", "16D⁹"), =HYPERLINK("CSG8.html#group48A8", "48A⁸"), =HYPERLINK("CSG4.html#group40D4", "40D⁴"), =HYPERLINK("CSG3.html#group8B3", "8B³"), =HYPERLINK("CSG21.html#group72Z21", "72Z²¹"), =HYPERLINK("CSG15.html#group104B15", "104B¹⁵"), =HYPERLINK("CSG21.html#group24B21", "24B²¹"), =HYPERLINK("CSG7.html#group16B7", "16B⁷"), =HYPERLINK("CSG21.html#group32A21", "32A²¹"), =HYPERLINK("CSG11.html#group72L11", "72L¹¹"), =HYPERLINK("CSG13.html#group24D13", "24D¹³"), =HYPERLINK("CSG21.html#group32B21", "32B²¹"), =HYPERLINK("CSG24.html#group144A24", "144A²⁴"), =HYPERLINK("CSG17.html#group16A17", "16A¹⁷"), =HYPERLINK("CSG23.html#group72H23", "72H²³"), =HYPERLINK("CSG7.html#group48L7", "48L⁷"), =HYPERLINK("CSG15.html#group48B15", "48B¹⁵"), =HYPERLINK("CSG18.html#group40B18", "40B¹⁸"), =HYPERLINK("CSG21.html#group16B21", "16B²¹"), =HYPERLINK("CSG13.html#group72D13", "72D¹³"), =HYPERLINK("CSG21.html#group40B21", "40B²¹"), =HYPERLINK("CSG23.html#group120D23", "120D²³"), =HYPERLINK("CSG23.html#group120L23", "120L²³"), =HYPERLINK("CSG13.html#group24B13", "24B¹³"), =HYPERLINK("CSG21.html#group72N21", "72N²¹"), =HYPERLINK("CSG8.html#group80E8", "80E⁸"), =HYPERLINK("CSG4.html#group24A4", "24A⁴"), =HYPERLINK("CSG3.html#group24G3", "24G³"), =HYPERLINK("CSG23.html#group72B23", "72B²³"), =HYPERLINK("CSG6.html#group16A6", "16A⁶"), =HYPERLINK("CSG18.html#group120E18", "120E¹⁸"), =HYPERLINK("CSG16.html#group120A16", "120A¹⁶"), =HYPERLINK("CSG15.html#group56A15", "56A¹⁵"), =HYPERLINK("CSG7.html#group56G7", "56G⁷"), =HYPERLINK("CSG2.html#group8A2", "8A²"), =HYPERLINK("CSG23.html#group152B23", "152B²³"), =HYPERLINK("CSG23.html#group80B23", "80B²³"), =HYPERLINK("CSG24.html#group144C24", "144C²⁴"), =HYPERLINK("CSG7.html#group40B7", "40B⁷"), =HYPERLINK("CSG8.html#group56B8", "56B⁸"), =HYPERLINK("CSG12.html#group88A12", "88A¹²"), =HYPERLINK("CSG19.html#group24C19", "24C¹⁹"), =HYPERLINK("CSG16.html#group120D16", "120D¹⁶"), =HYPERLINK("CSG23.html#group144U23", "144U²³"), =HYPERLINK("CSG13.html#group40C13", "40C¹³"), =HYPERLINK("CSG13.html#group32S13", "32S¹³"), =HYPERLINK("CSG19.html#group32A19", "32A¹⁹"), =HYPERLINK("CSG5.html#group24Q5", "24Q⁵"), =HYPERLINK("CSG21.html#group32D21", "32D²¹"), =HYPERLINK("CSG14.html#group40A14", "40A¹⁴"), =HYPERLINK("CSG19.html#group40B19", "40B¹⁹"), =HYPERLINK("CSG19.html#group24D19", "24D¹⁹"), =HYPERLINK("CSG21.html#group16E21", "16E²¹")</f>
        <v/>
      </c>
    </row>
    <row r="49">
      <c r="A49" t="inlineStr">
        <is>
          <t>8F⁰</t>
        </is>
      </c>
      <c r="B49" t="inlineStr"/>
      <c r="C49" t="inlineStr">
        <is>
          <t>16</t>
        </is>
      </c>
      <c r="D49" t="inlineStr">
        <is>
          <t>1</t>
        </is>
      </c>
      <c r="E49" t="inlineStr">
        <is>
          <t>16</t>
        </is>
      </c>
      <c r="F49" t="inlineStr">
        <is>
          <t>4</t>
        </is>
      </c>
      <c r="G49" t="inlineStr">
        <is>
          <t>1</t>
        </is>
      </c>
      <c r="H49" t="inlineStr">
        <is>
          <t>8²</t>
        </is>
      </c>
      <c r="I49" t="n">
        <v>2</v>
      </c>
      <c r="J49" t="inlineStr">
        <is>
          <t>4⁴</t>
        </is>
      </c>
      <c r="K49">
        <f>HYPERLINK("CSG0.html#group4A0", "4A⁰")</f>
        <v/>
      </c>
      <c r="L49">
        <f>HYPERLINK("CSG0.html#group8M0", "8M⁰"), =HYPERLINK("CSG1.html#group8E1", "8E¹"), =HYPERLINK("CSG1.html#group8I1", "8I¹"), =HYPERLINK("CSG1.html#group24F1", "24F¹"), =HYPERLINK("CSG2.html#group16G2", "16G²"), =HYPERLINK("CSG4.html#group24C4", "24C⁴"), =HYPERLINK("CSG5.html#group40D5", "40D⁵"), =HYPERLINK("CSG5.html#group40I5", "40I⁵"), =HYPERLINK("CSG6.html#group56H6", "56H⁶"), =HYPERLINK("CSG9.html#group56A9", "56A⁹"), =HYPERLINK("CSG10.html#group40A10", "40A¹⁰"), =HYPERLINK("CSG11.html#group88D11", "88D¹¹"), =HYPERLINK("CSG15.html#group88C15", "88C¹⁵"), =HYPERLINK("CSG15.html#group104C15", "104C¹⁵"), =HYPERLINK("CSG21.html#group136A21", "136A²¹")</f>
        <v/>
      </c>
      <c r="M49">
        <f>HYPERLINK("CSG0.html#group1A0", "1A⁰"), =HYPERLINK("CSG0.html#group4A0", "4A⁰")</f>
        <v/>
      </c>
      <c r="N49">
        <f>HYPERLINK("CSG11.html#group24L11", "24L¹¹"), =HYPERLINK("CSG5.html#group16F5", "16F⁵"), =HYPERLINK("CSG19.html#group16B19", "16B¹⁹"), =HYPERLINK("CSG18.html#group48A18", "48A¹⁸"), =HYPERLINK("CSG21.html#group64Q21", "64Q²¹"), =HYPERLINK("CSG6.html#group24A6", "24A⁶"), =HYPERLINK("CSG14.html#group56D14", "56D¹⁴"), =HYPERLINK("CSG13.html#group24E13", "24E¹³"), =HYPERLINK("CSG9.html#group16K9", "16K⁹"), =HYPERLINK("CSG21.html#group40C21", "40C²¹"), =HYPERLINK("CSG24.html#group88A24", "88A²⁴"), =HYPERLINK("CSG21.html#group24L21", "24L²¹"), =HYPERLINK("CSG7.html#group72E7", "72E⁷"), =HYPERLINK("CSG12.html#group48B12", "48B¹²"), =HYPERLINK("CSG2.html#group16H2", "16H²"), =HYPERLINK("CSG9.html#group48AP9", "48AP⁹"), =HYPERLINK("CSG5.html#group16L5", "16L⁵"), =HYPERLINK("CSG5.html#group16K5", "16K⁵"), =HYPERLINK("CSG15.html#group104C15", "104C¹⁵"), =HYPERLINK("CSG24.html#group72B24", "72B²⁴"), =HYPERLINK("CSG13.html#group24F13", "24F¹³"), =HYPERLINK("CSG21.html#group32P21", "32P²¹"), =HYPERLINK("CSG11.html#group16E11", "16E¹¹"), =HYPERLINK("CSG22.html#group80A22", "80A²²"), =HYPERLINK("CSG11.html#group32C11", "32C¹¹"), =HYPERLINK("CSG7.html#group16A7", "16A⁷"), =HYPERLINK("CSG6.html#group56H6", "56H⁶"), =HYPERLINK("CSG11.html#group24M11", "24M¹¹"), =HYPERLINK("CSG9.html#group56A9", "56A⁹"), =HYPERLINK("CSG10.html#group40A10", "40A¹⁰"), =HYPERLINK("CSG9.html#group32G9", "32G⁹"), =HYPERLINK("CSG21.html#group40L21", "40L²¹"), =HYPERLINK("CSG10.html#group40B10", "40B¹⁰"), =HYPERLINK("CSG17.html#group120C17", "120C¹⁷"), =HYPERLINK("CSG21.html#group32K21", "32K²¹"), =HYPERLINK("CSG18.html#group48F18", "48F¹⁸"), =HYPERLINK("CSG11.html#group40I11", "40I¹¹"), =HYPERLINK("CSG1.html#group8I1", "8I¹"), =HYPERLINK("CSG9.html#group16H9", "16H⁹"), =HYPERLINK("CSG17.html#group56C17", "56C¹⁷"), =HYPERLINK("CSG21.html#group48CR21", "48CR²¹"), =HYPERLINK("CSG17.html#group40AP17", "40AP¹⁷"), =HYPERLINK("CSG9.html#group24AO9", "24AO⁹"), =HYPERLINK("CSG4.html#group24S4", "24S⁴"), =HYPERLINK("CSG21.html#group40E21", "40E²¹"), =HYPERLINK("CSG18.html#group32B18", "32B¹⁸"), =HYPERLINK("CSG13.html#group24H13", "24H¹³"), =HYPERLINK("CSG19.html#group168C19", "168C¹⁹"), =HYPERLINK("CSG21.html#group24A21", "24A²¹"), =HYPERLINK("CSG14.html#group72A14", "72A¹⁴"), =HYPERLINK("CSG11.html#group32D11", "32D¹¹"), =HYPERLINK("CSG13.html#group56M13", "56M¹³"), =HYPERLINK("CSG18.html#group72B18", "72B¹⁸"), =HYPERLINK("CSG17.html#group16A17", "16A¹⁷"), =HYPERLINK("CSG21.html#group40K21", "40K²¹"), =HYPERLINK("CSG21.html#group48U21", "48U²¹"), =HYPERLINK("CSG23.html#group64B23", "64B²³"), =HYPERLINK("CSG16.html#group24D16", "24D¹⁶"), =HYPERLINK("CSG7.html#group16D7", "16D⁷"), =HYPERLINK("CSG17.html#group24AH17", "24AH¹⁷"), =HYPERLINK("CSG21.html#group16B21", "16B²¹"), =HYPERLINK("CSG13.html#group24C13", "24C¹³"), =HYPERLINK("CSG19.html#group48AD19", "48AD¹⁹"), =HYPERLINK("CSG5.html#group40I5", "40I⁵"), =HYPERLINK("CSG9.html#group24AM9", "24AM⁹"), =HYPERLINK("CSG19.html#group16A19", "16A¹⁹"), =HYPERLINK("CSG3.html#group8A3", "8A³"), =HYPERLINK("CSG17.html#group40O17", "40O¹⁷"), =HYPERLINK("CSG10.html#group16C10", "16C¹⁰"), =HYPERLINK("CSG23.html#group40B23", "40B²³"), =HYPERLINK("CSG24.html#group24A24", "24A²⁴"), =HYPERLINK("CSG21.html#group24J21", "24J²¹"), =HYPERLINK("CSG9.html#group40V9", "40V⁹"), =HYPERLINK("CSG21.html#group32L21", "32L²¹"), =HYPERLINK("CSG3.html#group16L3", "16L³"), =HYPERLINK("CSG9.html#group16B9", "16B⁹"), =HYPERLINK("CSG14.html#group56C14", "56C¹⁴"), =HYPERLINK("CSG16.html#group120E16", "120E¹⁶"), =HYPERLINK("CSG24.html#group88B24", "88B²⁴"), =HYPERLINK("CSG3.html#group24AB3", "24AB³"), =HYPERLINK("CSG21.html#group56I21", "56I²¹"), =HYPERLINK("CSG21.html#group64P21", "64P²¹"), =HYPERLINK("CSG21.html#group64H21", "64H²¹"), =HYPERLINK("CSG19.html#group72Q19", "72Q¹⁹"), =HYPERLINK("CSG23.html#group32C23", "32C²³"), =HYPERLINK("CSG21.html#group32M21", "32M²¹"), =HYPERLINK("CSG23.html#group80D23", "80D²³"), =HYPERLINK("CSG23.html#group40A23", "40A²³"), =HYPERLINK("CSG15.html#group40K15", "40K¹⁵"), =HYPERLINK("CSG21.html#group40D21", "40D²¹"), =HYPERLINK("CSG1.html#group8E1", "8E¹"), =HYPERLINK("CSG15.html#group56D15", "56D¹⁵"), =HYPERLINK("CSG1.html#group8J1", "8J¹"), =HYPERLINK("CSG11.html#group32F11", "32F¹¹"), =HYPERLINK("CSG14.html#group56F14", "56F¹⁴"), =HYPERLINK("CSG17.html#group56A17", "56A¹⁷"), =HYPERLINK("CSG6.html#group32G6", "32G⁶"), =HYPERLINK("CSG18.html#group48M18", "48M¹⁸"), =HYPERLINK("CSG19.html#group40I19", "40I¹⁹"), =HYPERLINK("CSG14.html#group32A14", "32A¹⁴"), =HYPERLINK("CSG13.html#group16B13", "16B¹³"), =HYPERLINK("CSG7.html#group24L7", "24L⁷"), =HYPERLINK("CSG13.html#group24G13", "24G¹³"), =HYPERLINK("CSG0.html#group8M0", "8M⁰"), =HYPERLINK("CSG6.html#group16C6", "16C⁶"), =HYPERLINK("CSG9.html#group32N9", "32N⁹"), =HYPERLINK("CSG13.html#group40E13", "40E¹³"), =HYPERLINK("CSG23.html#group48E23", "48E²³"), =HYPERLINK("CSG11.html#group40H11", "40H¹¹"), =HYPERLINK("CSG19.html#group24A19", "24A¹⁹"), =HYPERLINK("CSG12.html#group48A12", "48A¹²"), =HYPERLINK("CSG17.html#group120M17", "120M¹⁷"), =HYPERLINK("CSG13.html#group16A13", "16A¹³"), =HYPERLINK("CSG21.html#group24K21", "24K²¹"), =HYPERLINK("CSG9.html#group24AN9", "24AN⁹"), =HYPERLINK("CSG14.html#group64I14", "64I¹⁴"), =HYPERLINK("CSG11.html#group40C11", "40C¹¹"), =HYPERLINK("CSG5.html#group40D5", "40D⁵"), =HYPERLINK("CSG5.html#group8A5", "8A⁵"), =HYPERLINK("CSG15.html#group48I15", "48I¹⁵"), =HYPERLINK("CSG1.html#group24F1", "24F¹"), =HYPERLINK("CSG21.html#group32F21", "32F²¹"), =HYPERLINK("CSG21.html#group16F21", "16F²¹"), =HYPERLINK("CSG23.html#group32E23", "32E²³"), =HYPERLINK("CSG18.html#group72A18", "72A¹⁸"), =HYPERLINK("CSG9.html#group16A9", "16A⁹"), =HYPERLINK("CSG15.html#group16A15", "16A¹⁵"), =HYPERLINK("CSG21.html#group32E21", "32E²¹"), =HYPERLINK("CSG11.html#group24C11", "24C¹¹"), =HYPERLINK("CSG23.html#group72E23", "72E²³"), =HYPERLINK("CSG21.html#group136A21", "136A²¹"), =HYPERLINK("CSG19.html#group72P19", "72P¹⁹"), =HYPERLINK("CSG4.html#group16C4", "16C⁴"), =HYPERLINK("CSG15.html#group24R15", "24R¹⁵"), =HYPERLINK("CSG2.html#group16G2", "16G²"), =HYPERLINK("CSG11.html#group24I11", "24I¹¹"), =HYPERLINK("CSG17.html#group72V17", "72V¹⁷"), =HYPERLINK("CSG19.html#group32D19", "32D¹⁹"), =HYPERLINK("CSG9.html#group32M9", "32M⁹"), =HYPERLINK("CSG21.html#group16A21", "16A²¹"), =HYPERLINK("CSG16.html#group24A16", "24A¹⁶"), =HYPERLINK("CSG2.html#group8C2", "8C²"), =HYPERLINK("CSG13.html#group24D13", "24D¹³"), =HYPERLINK("CSG17.html#group48AO17", "48AO¹⁷"), =HYPERLINK("CSG13.html#group32J13", "32J¹³"), =HYPERLINK("CSG15.html#group72Z15", "72Z¹⁵"), =HYPERLINK("CSG9.html#group16L9", "16L⁹"), =HYPERLINK("CSG23.html#group56N23", "56N²³"), =HYPERLINK("CSG14.html#group56E14", "56E¹⁴"), =HYPERLINK("CSG7.html#group24C7", "24C⁷"), =HYPERLINK("CSG18.html#group72D18", "72D¹⁸"), =HYPERLINK("CSG12.html#group32C12", "32C¹²"), =HYPERLINK("CSG15.html#group72E15", "72E¹⁵"), =HYPERLINK("CSG19.html#group72R19", "72R¹⁹"), =HYPERLINK("CSG19.html#group32E19", "32E¹⁹"), =HYPERLINK("CSG18.html#group32A18", "32A¹⁸"), =HYPERLINK("CSG21.html#group72W21", "72W²¹"), =HYPERLINK("CSG23.html#group48F23", "48F²³"), =HYPERLINK("CSG4.html#group24T4", "24T⁴"), =HYPERLINK("CSG4.html#group24C4", "24C⁴"), =HYPERLINK("CSG9.html#group24AL9", "24AL⁹"), =HYPERLINK("CSG13.html#group72E13", "72E¹³"), =HYPERLINK("CSG21.html#group40J21", "40J²¹"), =HYPERLINK("CSG15.html#group88C15", "88C¹⁵"), =HYPERLINK("CSG18.html#group72C18", "72C¹⁸"), =HYPERLINK("CSG5.html#group24O5", "24O⁵"), =HYPERLINK("CSG13.html#group40D13", "40D¹³"), =HYPERLINK("CSG11.html#group88D11", "88D¹¹"), =HYPERLINK("CSG21.html#group40M21", "40M²¹"), =HYPERLINK("CSG7.html#group24E7", "24E⁷"), =HYPERLINK("CSG21.html#group16C21", "16C²¹"), =HYPERLINK("CSG17.html#group48A17", "48A¹⁷"), =HYPERLINK("CSG21.html#group24M21", "24M²¹"), =HYPERLINK("CSG7.html#group24F7", "24F⁷"), =HYPERLINK("CSG17.html#group56D17", "56D¹⁷"), =HYPERLINK("CSG13.html#group32S13", "32S¹³"), =HYPERLINK("CSG23.html#group32D23", "32D²³"), =HYPERLINK("CSG13.html#group24I13", "24I¹³")</f>
        <v/>
      </c>
    </row>
    <row r="50">
      <c r="A50" t="inlineStr">
        <is>
          <t>8G⁰</t>
        </is>
      </c>
      <c r="B50" t="inlineStr">
        <is>
          <t>Γ₀(8)∩Γ(2)</t>
        </is>
      </c>
      <c r="C50" t="inlineStr">
        <is>
          <t>24</t>
        </is>
      </c>
      <c r="D50" t="inlineStr">
        <is>
          <t>1</t>
        </is>
      </c>
      <c r="E50" t="inlineStr">
        <is>
          <t>3</t>
        </is>
      </c>
      <c r="F50" t="inlineStr">
        <is>
          <t>0</t>
        </is>
      </c>
      <c r="G50" t="inlineStr">
        <is>
          <t>0</t>
        </is>
      </c>
      <c r="H50" t="inlineStr">
        <is>
          <t>2⁴, 8²</t>
        </is>
      </c>
      <c r="I50" t="n">
        <v>6</v>
      </c>
      <c r="J50" t="inlineStr">
        <is>
          <t>1³</t>
        </is>
      </c>
      <c r="K50">
        <f>HYPERLINK("CSG0.html#group4E0", "4E⁰"), =HYPERLINK("CSG0.html#group8C0", "8C⁰"), =HYPERLINK("CSG0.html#group8D0", "8D⁰")</f>
        <v/>
      </c>
      <c r="L50">
        <f>HYPERLINK("CSG0.html#group8O0", "8O⁰"), =HYPERLINK("CSG0.html#group16G0", "16G⁰"), =HYPERLINK("CSG1.html#group8F1", "8F¹"), =HYPERLINK("CSG1.html#group16E1", "16E¹"), =HYPERLINK("CSG2.html#group16C2", "16C²"), =HYPERLINK("CSG3.html#group24V3", "24V³"), =HYPERLINK("CSG4.html#group24D4", "24D⁴"), =HYPERLINK("CSG7.html#group40M7", "40M⁷"), =HYPERLINK("CSG8.html#group40A8", "40A⁸"), =HYPERLINK("CSG11.html#group56M11", "56M¹¹"), =HYPERLINK("CSG12.html#group56B12", "56B¹²"), =HYPERLINK("CSG15.html#group40C15", "40C¹⁵"), =HYPERLINK("CSG19.html#group88C19", "88C¹⁹"), =HYPERLINK("CSG20.html#group88A20", "88A²⁰"), =HYPERLINK("CSG23.html#group104C23", "104C²³")</f>
        <v/>
      </c>
      <c r="M50">
        <f>HYPERLINK("CSG0.html#group2A0", "2A⁰"), =HYPERLINK("CSG0.html#group8D0", "8D⁰"), =HYPERLINK("CSG0.html#group4C0", "4C⁰"), =HYPERLINK("CSG0.html#group8C0", "8C⁰"), =HYPERLINK("CSG0.html#group4E0", "4E⁰"), =HYPERLINK("CSG0.html#group2B0", "2B⁰"), =HYPERLINK("CSG0.html#group4B0", "4B⁰"), =HYPERLINK("CSG0.html#group1A0", "1A⁰"), =HYPERLINK("CSG0.html#group2C0", "2C⁰")</f>
        <v/>
      </c>
      <c r="N50">
        <f>HYPERLINK("CSG9.html#group24AE9", "24AE⁹"), =HYPERLINK("CSG9.html#group32C9", "32C⁹"), =HYPERLINK("CSG11.html#group16A11", "16A¹¹"), =HYPERLINK("CSG18.html#group96A18", "96A¹⁸"), =HYPERLINK("CSG17.html#group40X17", "40X¹⁷"), =HYPERLINK("CSG8.html#group40A8", "40A⁸"), =HYPERLINK("CSG19.html#group96BC19", "96BC¹⁹"), =HYPERLINK("CSG17.html#group48CK17", "48CK¹⁷"), =HYPERLINK("CSG21.html#group48CG21", "48CG²¹"), =HYPERLINK("CSG17.html#group16B17", "16B¹⁷"), =HYPERLINK("CSG18.html#group80A18", "80A¹⁸"), =HYPERLINK("CSG19.html#group48AX19", "48AX¹⁹"), =HYPERLINK("CSG5.html#group16O5", "16O⁵"), =HYPERLINK("CSG21.html#group48CF21", "48CF²¹"), =HYPERLINK("CSG22.html#group96A22", "96A²²"), =HYPERLINK("CSG13.html#group72R13", "72R¹³"), =HYPERLINK("CSG19.html#group80M19", "80M¹⁹"), =HYPERLINK("CSG11.html#group32A11", "32A¹¹"), =HYPERLINK("CSG13.html#group32U13", "32U¹³"), =HYPERLINK("CSG17.html#group24AO17", "24AO¹⁷"), =HYPERLINK("CSG17.html#group32B17", "32B¹⁷"), =HYPERLINK("CSG15.html#group48F15", "48F¹⁵"), =HYPERLINK("CSG19.html#group88C19", "88C¹⁹"), =HYPERLINK("CSG21.html#group32G21", "32G²¹"), =HYPERLINK("CSG21.html#group96BF21", "96BF²¹"), =HYPERLINK("CSG21.html#group96E21", "96E²¹"), =HYPERLINK("CSG21.html#group32C21", "32C²¹"), =HYPERLINK("CSG19.html#group48I19", "48I¹⁹"), =HYPERLINK("CSG17.html#group24J17", "24J¹⁷"), =HYPERLINK("CSG15.html#group40W15", "40W¹⁵"), =HYPERLINK("CSG13.html#group24K13", "24K¹³"), =HYPERLINK("CSG3.html#group16I3", "16I³"), =HYPERLINK("CSG21.html#group48CI21", "48CI²¹"), =HYPERLINK("CSG3.html#group32J3", "32J³"), =HYPERLINK("CSG21.html#group48CD21", "48CD²¹"), =HYPERLINK("CSG19.html#group48O19", "48O¹⁹"), =HYPERLINK("CSG19.html#group48M19", "48M¹⁹"), =HYPERLINK("CSG21.html#group56L21", "56L²¹"), =HYPERLINK("CSG21.html#group48CH21", "48CH²¹"), =HYPERLINK("CSG11.html#group48W11", "48W¹¹"), =HYPERLINK("CSG19.html#group48F19", "48F¹⁹"), =HYPERLINK("CSG7.html#group40M7", "40M⁷"), =HYPERLINK("CSG9.html#group24I9", "24I⁹"), =HYPERLINK("CSG19.html#group48E19", "48E¹⁹"), =HYPERLINK("CSG19.html#group96E19", "96E¹⁹"), =HYPERLINK("CSG8.html#group48C8", "48C⁸"), =HYPERLINK("CSG17.html#group40A17", "40A¹⁷"), =HYPERLINK("CSG24.html#group112B24", "112B²⁴"), =HYPERLINK("CSG9.html#group32B9", "32B⁹"), =HYPERLINK("CSG7.html#group64K7", "64K⁷"), =HYPERLINK("CSG19.html#group24G19", "24G¹⁹"), =HYPERLINK("CSG9.html#group24C9", "24C⁹"), =HYPERLINK("CSG13.html#group32A13", "32A¹³"), =HYPERLINK("CSG21.html#group48Q21", "48Q²¹"), =HYPERLINK("CSG21.html#group48CJ21", "48CJ²¹"), =HYPERLINK("CSG17.html#group64D17", "64D¹⁷"), =HYPERLINK("CSG9.html#group16E9", "16E⁹"), =HYPERLINK("CSG13.html#group32B13", "32B¹³"), =HYPERLINK("CSG9.html#group16D9", "16D⁹"), =HYPERLINK("CSG23.html#group112P23", "112P²³"), =HYPERLINK("CSG13.html#group48AG13", "48AG¹³"), =HYPERLINK("CSG24.html#group56D24", "56D²⁴"), =HYPERLINK("CSG21.html#group64F21", "64F²¹"), =HYPERLINK("CSG21.html#group64C21", "64C²¹"), =HYPERLINK("CSG21.html#group32A21", "32A²¹"), =HYPERLINK("CSG9.html#group32D9", "32D⁹"), =HYPERLINK("CSG21.html#group24A21", "24A²¹"), =HYPERLINK("CSG16.html#group40B16", "40B¹⁶"), =HYPERLINK("CSG7.html#group16B7", "16B⁷"), =HYPERLINK("CSG21.html#group48CB21", "48CB²¹"), =HYPERLINK("CSG3.html#group16J3", "16J³"), =HYPERLINK("CSG1.html#group8F1", "8F¹"), =HYPERLINK("CSG17.html#group24F17", "24F¹⁷"), =HYPERLINK("CSG17.html#group16A17", "16A¹⁷"), =HYPERLINK("CSG19.html#group48A19", "48A¹⁹"), =HYPERLINK("CSG19.html#group48P19", "48P¹⁹"), =HYPERLINK("CSG19.html#group48AW19", "48AW¹⁹"), =HYPERLINK("CSG21.html#group48BZ21", "48BZ²¹"), =HYPERLINK("CSG21.html#group96AZ21", "96AZ²¹"), =HYPERLINK("CSG15.html#group24D15", "24D¹⁵"), =HYPERLINK("CSG17.html#group24AR17", "24AR¹⁷"), =HYPERLINK("CSG17.html#group48CL17", "48CL¹⁷"), =HYPERLINK("CSG21.html#group16B21", "16B²¹"), =HYPERLINK("CSG15.html#group80O15", "80O¹⁵"), =HYPERLINK("CSG24.html#group112A24", "112A²⁴"), =HYPERLINK("CSG17.html#group40W17", "40W¹⁷"), =HYPERLINK("CSG17.html#group48H17", "48H¹⁷"), =HYPERLINK("CSG19.html#group48G19", "48G¹⁹"), =HYPERLINK("CSG18.html#group96C18", "96C¹⁸"), =HYPERLINK("CSG2.html#group16C2", "16C²"), =HYPERLINK("CSG20.html#group88A20", "88A²⁰"), =HYPERLINK("CSG3.html#group8A3", "8A³"), =HYPERLINK("CSG21.html#group96BA21", "96BA²¹"), =HYPERLINK("CSG21.html#group64A21", "64A²¹"), =HYPERLINK("CSG17.html#group24H17", "24H¹⁷"), =HYPERLINK("CSG21.html#group64E21", "64E²¹"), =HYPERLINK("CSG6.html#group32A6", "32A⁶"), =HYPERLINK("CSG15.html#group40C15", "40C¹⁵"), =HYPERLINK("CSG17.html#group24AN17", "24AN¹⁷"), =HYPERLINK("CSG21.html#group96BD21", "96BD²¹"), =HYPERLINK("CSG3.html#group16H3", "16H³"), =HYPERLINK("CSG7.html#group48AK7", "48AK⁷"), =HYPERLINK("CSG17.html#group48CM17", "48CM¹⁷"), =HYPERLINK("CSG9.html#group48A9", "48A⁹"), =HYPERLINK("CSG5.html#group16B5", "16B⁵"), =HYPERLINK("CSG9.html#group16B9", "16B⁹"), =HYPERLINK("CSG19.html#group48B19", "48B¹⁹"), =HYPERLINK("CSG17.html#group64A17", "64A¹⁷"), =HYPERLINK("CSG8.html#group48D8", "48D⁸"), =HYPERLINK("CSG11.html#group48X11", "48X¹¹"), =HYPERLINK("CSG13.html#group16C13", "16C¹³"), =HYPERLINK("CSG15.html#group24E15", "24E¹⁵"), =HYPERLINK("CSG13.html#group24AC13", "24AC¹³"), =HYPERLINK("CSG11.html#group64A11", "64A¹¹"), =HYPERLINK("CSG19.html#group48N19", "48N¹⁹"), =HYPERLINK("CSG17.html#group80A17", "80A¹⁷"), =HYPERLINK("CSG19.html#group48H19", "48H¹⁹"), =HYPERLINK("CSG7.html#group24AI7", "24AI⁷"), =HYPERLINK("CSG19.html#group64A19", "64A¹⁹"), =HYPERLINK("CSG9.html#group24AF9", "24AF⁹"), =HYPERLINK("CSG0.html#group16G0", "16G⁰"), =HYPERLINK("CSG9.html#group64C9", "64C⁹"), =HYPERLINK("CSG10.html#group48A10", "48A¹⁰"), =HYPERLINK("CSG19.html#group96H19", "96H¹⁹"), =HYPERLINK("CSG21.html#group96H21", "96H²¹"), =HYPERLINK("CSG18.html#group48D18", "48D¹⁸"), =HYPERLINK("CSG21.html#group96A21", "96A²¹"), =HYPERLINK("CSG19.html#group48BS19", "48BS¹⁹"), =HYPERLINK("CSG5.html#group32N5", "32N⁵"), =HYPERLINK("CSG5.html#group16M5", "16M⁵"), =HYPERLINK("CSG13.html#group40K13", "40K¹³"), =HYPERLINK("CSG19.html#group72C19", "72C¹⁹"), =HYPERLINK("CSG7.html#group24J7", "24J⁷"), =HYPERLINK("CSG21.html#group48L21", "48L²¹"), =HYPERLINK("CSG5.html#group32M5", "32M⁵"), =HYPERLINK("CSG13.html#group32C13", "32C¹³"), =HYPERLINK("CSG21.html#group24D21", "24D²¹"), =HYPERLINK("CSG19.html#group24D19", "24D¹⁹"), =HYPERLINK("CSG17.html#group48E17", "48E¹⁷"), =HYPERLINK("CSG7.html#group48AL7", "48AL⁷"), =HYPERLINK("CSG9.html#group48AH9", "48AH⁹"), =HYPERLINK("CSG17.html#group24AP17", "24AP¹⁷"), =HYPERLINK("CSG17.html#group48J17", "48J¹⁷"), =HYPERLINK("CSG13.html#group16B13", "16B¹³"), =HYPERLINK("CSG15.html#group48E15", "48E¹⁵"), =HYPERLINK("CSG17.html#group24P17", "24P¹⁷"), =HYPERLINK("CSG21.html#group48CK21", "48CK²¹"), =HYPERLINK("CSG9.html#group48AK9", "48AK⁹"), =HYPERLINK("CSG19.html#group96A19", "96A¹⁹"), =HYPERLINK("CSG21.html#group48F21", "48F²¹"), =HYPERLINK("CSG13.html#group32F13", "32F¹³"), =HYPERLINK("CSG9.html#group32E9", "32E⁹"), =HYPERLINK("CSG21.html#group48CA21", "48CA²¹"), =HYPERLINK("CSG13.html#group64B13", "64B¹³"), =HYPERLINK("CSG21.html#group48CE21", "48CE²¹"), =HYPERLINK("CSG13.html#group64D13", "64D¹³"), =HYPERLINK("CSG9.html#group16C9", "16C⁹"), =HYPERLINK("CSG19.html#group24A19", "24A¹⁹"), =HYPERLINK("CSG13.html#group64V13", "64V¹³"), =HYPERLINK("CSG9.html#group48E9", "48E⁹"), =HYPERLINK("CSG17.html#group48K17", "48K¹⁷"), =HYPERLINK("CSG1.html#group16E1", "16E¹"), =HYPERLINK("CSG21.html#group16D21", "16D²¹"), =HYPERLINK("CSG9.html#group32A9", "32A⁹"), =HYPERLINK("CSG17.html#group48CJ17", "48CJ¹⁷"), =HYPERLINK("CSG21.html#group128D21", "128D²¹"), =HYPERLINK("CSG19.html#group48BT19", "48BT¹⁹"), =HYPERLINK("CSG18.html#group48I18", "48I¹⁸"), =HYPERLINK("CSG21.html#group32H21", "32H²¹"), =HYPERLINK("CSG9.html#group64B9", "64B⁹"), =HYPERLINK("CSG19.html#group128A19", "128A¹⁹"), =HYPERLINK("CSG5.html#group8A5", "8A⁵"), =HYPERLINK("CSG4.html#group24D4", "24D⁴"), =HYPERLINK("CSG21.html#group32F21", "32F²¹"), =HYPERLINK("CSG2.html#group32B2", "32B²"), =HYPERLINK("CSG9.html#group16A9", "16A⁹"), =HYPERLINK("CSG21.html#group32E21", "32E²¹"), =HYPERLINK("CSG24.html#group56C24", "56C²⁴"), =HYPERLINK("CSG19.html#group48C19", "48C¹⁹"), =HYPERLINK("CSG17.html#group80Z17", "80Z¹⁷"), =HYPERLINK("CSG19.html#group96B19", "96B¹⁹"), =HYPERLINK("CSG23.html#group56Q23", "56Q²³"), =HYPERLINK("CSG17.html#group48I17", "48I¹⁷"), =HYPERLINK("CSG21.html#group24G21", "24G²¹"), =HYPERLINK("CSG0.html#group8O0", "8O⁰"), =HYPERLINK("CSG3.html#group8B3", "8B³"), =HYPERLINK("CSG3.html#group24V3", "24V³"), =HYPERLINK("CSG21.html#group24F21", "24F²¹"), =HYPERLINK("CSG21.html#group16A21", "16A²¹"), =HYPERLINK("CSG21.html#group96B21", "96B²¹"), =HYPERLINK("CSG21.html#group48CC21", "48CC²¹"), =HYPERLINK("CSG22.html#group40A22", "40A²²"), =HYPERLINK("CSG17.html#group48D17", "48D¹⁷"), =HYPERLINK("CSG19.html#group96BD19", "96BD¹⁹"), =HYPERLINK("CSG7.html#group24AH7", "24AH⁷"), =HYPERLINK("CSG16.html#group72A16", "72A¹⁶"), =HYPERLINK("CSG11.html#group32B11", "32B¹¹"), =HYPERLINK("CSG17.html#group32A17", "32A¹⁷"), =HYPERLINK("CSG21.html#group32B21", "32B²¹"), =HYPERLINK("CSG19.html#group24F19", "24F¹⁹"), =HYPERLINK("CSG11.html#group56M11", "56M¹¹"), =HYPERLINK("CSG21.html#group64B21", "64B²¹"), =HYPERLINK("CSG16.html#group80A16", "80A¹⁶"), =HYPERLINK("CSG13.html#group64C13", "64C¹³"), =HYPERLINK("CSG17.html#group32D17", "32D¹⁷"), =HYPERLINK("CSG5.html#group24Z5", "24Z⁵"), =HYPERLINK("CSG13.html#group32T13", "32T¹³"), =HYPERLINK("CSG17.html#group48BP17", "48BP¹⁷"), =HYPERLINK("CSG5.html#group32B5", "32B⁵"), =HYPERLINK("CSG15.html#group40X15", "40X¹⁵"), =HYPERLINK("CSG17.html#group80W17", "80W¹⁷"), =HYPERLINK("CSG21.html#group128F21", "128F²¹"), =HYPERLINK("CSG5.html#group32A5", "32A⁵"), =HYPERLINK("CSG1.html#group16M1", "16M¹"), =HYPERLINK("CSG21.html#group64D21", "64D²¹"), =HYPERLINK("CSG7.html#group32L7", "32L⁷"), =HYPERLINK("CSG5.html#group16N5", "16N⁵"), =HYPERLINK("CSG17.html#group24B17", "24B¹⁷"), =HYPERLINK("CSG8.html#group24D8", "24D⁸"), =HYPERLINK("CSG23.html#group112O23", "112O²³"), =HYPERLINK("CSG1.html#group8K1", "8K¹"), =HYPERLINK("CSG8.html#group24B8", "24B⁸"), =HYPERLINK("CSG12.html#group56B12", "56B¹²"), =HYPERLINK("CSG19.html#group48L19", "48L¹⁹"), =HYPERLINK("CSG7.html#group16C7", "16C⁷"), =HYPERLINK("CSG3.html#group32K3", "32K³"), =HYPERLINK("CSG19.html#group72D19", "72D¹⁹"), =HYPERLINK("CSG10.html#group48B10", "48B¹⁰"), =HYPERLINK("CSG17.html#group24S17", "24S¹⁷"), =HYPERLINK("CSG23.html#group56A23", "56A²³"), =HYPERLINK("CSG2.html#group16K2", "16K²"), =HYPERLINK("CSG21.html#group16C21", "16C²¹"), =HYPERLINK("CSG23.html#group104C23", "104C²³"), =HYPERLINK("CSG17.html#group32E17", "32E¹⁷"), =HYPERLINK("CSG13.html#group64A13", "64A¹³"), =HYPERLINK("CSG22.html#group96C22", "96C²²"), =HYPERLINK("CSG19.html#group80L19", "80L¹⁹"), =HYPERLINK("CSG19.html#group32C19", "32C¹⁹"), =HYPERLINK("CSG5.html#group16A5", "16A⁵"), =HYPERLINK("CSG21.html#group48E21", "48E²¹"), =HYPERLINK("CSG19.html#group48D19", "48D¹⁹"), =HYPERLINK("CSG23.html#group56R23", "56R²³"), =HYPERLINK("CSG17.html#group48CN17", "48CN¹⁷"), =HYPERLINK("CSG19.html#group32A19", "32A¹⁹"), =HYPERLINK("CSG21.html#group32D21", "32D²¹"), =HYPERLINK("CSG15.html#group80N15", "80N¹⁵"), =HYPERLINK("CSG21.html#group16E21", "16E²¹")</f>
        <v/>
      </c>
    </row>
    <row r="51">
      <c r="A51" t="inlineStr">
        <is>
          <t>8H⁰</t>
        </is>
      </c>
      <c r="B51" t="inlineStr"/>
      <c r="C51" t="inlineStr">
        <is>
          <t>24</t>
        </is>
      </c>
      <c r="D51" t="inlineStr">
        <is>
          <t>1</t>
        </is>
      </c>
      <c r="E51" t="inlineStr">
        <is>
          <t>6</t>
        </is>
      </c>
      <c r="F51" t="inlineStr">
        <is>
          <t>4</t>
        </is>
      </c>
      <c r="G51" t="inlineStr">
        <is>
          <t>0</t>
        </is>
      </c>
      <c r="H51" t="inlineStr">
        <is>
          <t>4², 8²</t>
        </is>
      </c>
      <c r="I51" t="n">
        <v>4</v>
      </c>
      <c r="J51" t="inlineStr">
        <is>
          <t>1², 2²</t>
        </is>
      </c>
      <c r="K51">
        <f>HYPERLINK("CSG0.html#group4F0", "4F⁰"), =HYPERLINK("CSG0.html#group8B0", "8B⁰"), =HYPERLINK("CSG0.html#group8D0", "8D⁰")</f>
        <v/>
      </c>
      <c r="L51">
        <f>HYPERLINK("CSG0.html#group8P0", "8P⁰"), =HYPERLINK("CSG1.html#group8F1", "8F¹"), =HYPERLINK("CSG1.html#group8H1", "8H¹"), =HYPERLINK("CSG1.html#group8I1", "8I¹"), =HYPERLINK("CSG1.html#group16F1", "16F¹"), =HYPERLINK("CSG1.html#group16H1", "16H¹"), =HYPERLINK("CSG1.html#group16I1", "16I¹"), =HYPERLINK("CSG2.html#group16E2", "16E²"), =HYPERLINK("CSG2.html#group24L2", "24L²"), =HYPERLINK("CSG3.html#group16C3", "16C³"), =HYPERLINK("CSG5.html#group24J5", "24J⁵"), =HYPERLINK("CSG7.html#group40S7", "40S⁷"), =HYPERLINK("CSG8.html#group40B8", "40B⁸"), =HYPERLINK("CSG10.html#group56C10", "56C¹⁰"), =HYPERLINK("CSG13.html#group56I13", "56I¹³"), =HYPERLINK("CSG15.html#group40I15", "40I¹⁵"), =HYPERLINK("CSG18.html#group88A18", "88A¹⁸"), =HYPERLINK("CSG21.html#group88E21", "88E²¹"), =HYPERLINK("CSG23.html#group104I23", "104I²³")</f>
        <v/>
      </c>
      <c r="M51">
        <f>HYPERLINK("CSG0.html#group8D0", "8D⁰"), =HYPERLINK("CSG0.html#group4A0", "4A⁰"), =HYPERLINK("CSG0.html#group4C0", "4C⁰"), =HYPERLINK("CSG0.html#group8B0", "8B⁰"), =HYPERLINK("CSG0.html#group2B0", "2B⁰"), =HYPERLINK("CSG0.html#group4F0", "4F⁰"), =HYPERLINK("CSG0.html#group1A0", "1A⁰")</f>
        <v/>
      </c>
      <c r="N51">
        <f>HYPERLINK("CSG5.html#group16F5", "16F⁵"), =HYPERLINK("CSG11.html#group16A11", "16A¹¹"), =HYPERLINK("CSG19.html#group16B19", "16B¹⁹"), =HYPERLINK("CSG21.html#group80M21", "80M²¹"), =HYPERLINK("CSG23.html#group32D23", "32D²³"), =HYPERLINK("CSG17.html#group80G17", "80G¹⁷"), =HYPERLINK("CSG21.html#group64Q21", "64Q²¹"), =HYPERLINK("CSG17.html#group40X17", "40X¹⁷"), =HYPERLINK("CSG3.html#group16P3", "16P³"), =HYPERLINK("CSG17.html#group48AK17", "48AK¹⁷"), =HYPERLINK("CSG13.html#group64U13", "64U¹³"), =HYPERLINK("CSG4.html#group16B4", "16B⁴"), =HYPERLINK("CSG21.html#group48AE21", "48AE²¹"), =HYPERLINK("CSG17.html#group80F17", "80F¹⁷"), =HYPERLINK("CSG13.html#group64K13", "64K¹³"), =HYPERLINK("CSG9.html#group24AJ9", "24AJ⁹"), =HYPERLINK("CSG7.html#group24R7", "24R⁷"), =HYPERLINK("CSG21.html#group48CF21", "48CF²¹"), =HYPERLINK("CSG0.html#group8P0", "8P⁰"), =HYPERLINK("CSG11.html#group32A11", "32A¹¹"), =HYPERLINK("CSG17.html#group24AD17", "24AD¹⁷"), =HYPERLINK("CSG17.html#group24AO17", "24AO¹⁷"), =HYPERLINK("CSG18.html#group48O18", "48O¹⁸"), =HYPERLINK("CSG17.html#group80AE17", "80AE¹⁷"), =HYPERLINK("CSG19.html#group96L19", "96L¹⁹"), =HYPERLINK("CSG5.html#group48E5", "48E⁵"), =HYPERLINK("CSG21.html#group48AD21", "48AD²¹"), =HYPERLINK("CSG11.html#group32K11", "32K¹¹"), =HYPERLINK("CSG17.html#group48AM17", "48AM¹⁷"), =HYPERLINK("CSG17.html#group48BW17", "48BW¹⁷"), =HYPERLINK("CSG18.html#group64B18", "64B¹⁸"), =HYPERLINK("CSG21.html#group32C21", "32C²¹"), =HYPERLINK("CSG19.html#group48AL19", "48AL¹⁹"), =HYPERLINK("CSG17.html#group48P17", "48P¹⁷"), =HYPERLINK("CSG3.html#group16I3", "16I³"), =HYPERLINK("CSG19.html#group96M19", "96M¹⁹"), =HYPERLINK("CSG23.html#group112E23", "112E²³"), =HYPERLINK("CSG19.html#group48AZ19", "48AZ¹⁹"), =HYPERLINK("CSG23.html#group48B23", "48B²³"), =HYPERLINK("CSG21.html#group48CD21", "48CD²¹"), =HYPERLINK("CSG9.html#group32K9", "32K⁹"), =HYPERLINK("CSG17.html#group48S17", "48S¹⁷"), =HYPERLINK("CSG23.html#group112H23", "112H²³"), =HYPERLINK("CSG6.html#group32C6", "32C⁶"), =HYPERLINK("CSG21.html#group64G21", "64G²¹"), =HYPERLINK("CSG21.html#group88E21", "88E²¹"), =HYPERLINK("CSG1.html#group8I1", "8I¹"), =HYPERLINK("CSG17.html#group48AQ17", "48AQ¹⁷"), =HYPERLINK("CSG16.html#group48H16", "48H¹⁶"), =HYPERLINK("CSG19.html#group48AY19", "48AY¹⁹"), =HYPERLINK("CSG24.html#group32B24", "32B²⁴"), =HYPERLINK("CSG19.html#group24G19", "24G¹⁹"), =HYPERLINK("CSG21.html#group48Q21", "48Q²¹"), =HYPERLINK("CSG23.html#group96AL23", "96AL²³"), =HYPERLINK("CSG9.html#group16E9", "16E⁹"), =HYPERLINK("CSG7.html#group48U7", "48U⁷"), =HYPERLINK("CSG13.html#group32B13", "32B¹³"), =HYPERLINK("CSG9.html#group16D9", "16D⁹"), =HYPERLINK("CSG17.html#group40AP17", "40AP¹⁷"), =HYPERLINK("CSG6.html#group24D6", "24D⁶"), =HYPERLINK("CSG16.html#group24E16", "24E¹⁶"), =HYPERLINK("CSG17.html#group48AU17", "48AU¹⁷"), =HYPERLINK("CSG15.html#group48U15", "48U¹⁵"), =HYPERLINK("CSG18.html#group32B18", "32B¹⁸"), =HYPERLINK("CSG21.html#group64F21", "64F²¹"), =HYPERLINK("CSG23.html#group32B23", "32B²³"), =HYPERLINK("CSG7.html#group16B7", "16B⁷"), =HYPERLINK("CSG9.html#group64F9", "64F⁹"), =HYPERLINK("CSG13.html#group24V13", "24V¹³"), =HYPERLINK("CSG16.html#group48A16", "48A¹⁶"), =HYPERLINK("CSG17.html#group24F17", "24F¹⁷"), =HYPERLINK("CSG21.html#group32I21", "32I²¹"), =HYPERLINK("CSG19.html#group48A19", "48A¹⁹"), =HYPERLINK("CSG10.html#group16A10", "16A¹⁰"), =HYPERLINK("CSG18.html#group48T18", "48T¹⁸"), =HYPERLINK("CSG21.html#group48AF21", "48AF²¹"), =HYPERLINK("CSG11.html#group32E11", "32E¹¹"), =HYPERLINK("CSG10.html#group16B10", "16B¹⁰"), =HYPERLINK("CSG17.html#group48BR17", "48BR¹⁷"), =HYPERLINK("CSG14.html#group64C14", "64C¹⁴"), =HYPERLINK("CSG19.html#group80V19", "80V¹⁹"), =HYPERLINK("CSG17.html#group24D17", "24D¹⁷"), =HYPERLINK("CSG7.html#group16D7", "16D⁷"), =HYPERLINK("CSG13.html#group24X13", "24X¹³"), =HYPERLINK("CSG18.html#group48Q18", "48Q¹⁸"), =HYPERLINK("CSG15.html#group48X15", "48X¹⁵"), =HYPERLINK("CSG9.html#group32L9", "32L⁹"), =HYPERLINK("CSG11.html#group96I11", "96I¹¹"), =HYPERLINK("CSG17.html#group48BO17", "48BO¹⁷"), =HYPERLINK("CSG5.html#group32F5", "32F⁵"), =HYPERLINK("CSG19.html#group48AD19", "48AD¹⁹"), =HYPERLINK("CSG16.html#group40C16", "40C¹⁶"), =HYPERLINK("CSG19.html#group16A19", "16A¹⁹"), =HYPERLINK("CSG19.html#group80U19", "80U¹⁹"), =HYPERLINK("CSG17.html#group40O17", "40O¹⁷"), =HYPERLINK("CSG17.html#group80AD17", "80AD¹⁷"), =HYPERLINK("CSG10.html#group16C10", "16C¹⁰"), =HYPERLINK("CSG21.html#group24J21", "24J²¹"), =HYPERLINK("CSG7.html#group48AB7", "48AB⁷"), =HYPERLINK("CSG19.html#group96AD19", "96AD¹⁹"), =HYPERLINK("CSG17.html#group80AQ17", "80AQ¹⁷"), =HYPERLINK("CSG22.html#group32B22", "32B²²"), =HYPERLINK("CSG17.html#group48BZ17", "48BZ¹⁷"), =HYPERLINK("CSG20.html#group96G20", "96G²⁰"), =HYPERLINK("CSG12.html#group72F12", "72F¹²"), =HYPERLINK("CSG10.html#group32B10", "32B¹⁰"), =HYPERLINK("CSG17.html#group48T17", "48T¹⁷"), =HYPERLINK("CSG5.html#group24J5", "24J⁵"), =HYPERLINK("CSG20.html#group96O20", "96O²⁰"), =HYPERLINK("CSG6.html#group32H6", "32H⁶"), =HYPERLINK("CSG21.html#group64P21", "64P²¹"), =HYPERLINK("CSG21.html#group64H21", "64H²¹"), =HYPERLINK("CSG19.html#group64A19", "64A¹⁹"), =HYPERLINK("CSG9.html#group24AF9", "24AF⁹"), =HYPERLINK("CSG5.html#group16J5", "16J⁵"), =HYPERLINK("CSG19.html#group48AU19", "48AU¹⁹"), =HYPERLINK("CSG23.html#group32C23", "32C²³"), =HYPERLINK("CSG9.html#group32F9", "32F⁹"), =HYPERLINK("CSG21.html#group32M21", "32M²¹"), =HYPERLINK("CSG8.html#group48R8", "48R⁸"), =HYPERLINK("CSG21.html#group72E21", "72E²¹"), =HYPERLINK("CSG21.html#group48L21", "48L²¹"), =HYPERLINK("CSG19.html#group48S19", "48S¹⁹"), =HYPERLINK("CSG5.html#group24W5", "24W⁵"), =HYPERLINK("CSG13.html#group32C13", "32C¹³"), =HYPERLINK("CSG18.html#group48M18", "48M¹⁸"), =HYPERLINK("CSG13.html#group32R13", "32R¹³"), =HYPERLINK("CSG17.html#group96X17", "96X¹⁷"), =HYPERLINK("CSG17.html#group24AP17", "24AP¹⁷"), =HYPERLINK("CSG11.html#group48Z11", "48Z¹¹"), =HYPERLINK("CSG10.html#group32A10", "32A¹⁰"), =HYPERLINK("CSG17.html#group48AE17", "48AE¹⁷"), =HYPERLINK("CSG7.html#group24L7", "24L⁷"), =HYPERLINK("CSG17.html#group48BX17", "48BX¹⁷"), =HYPERLINK("CSG13.html#group56I13", "56I¹³"), =HYPERLINK("CSG3.html#group16Q3", "16Q³"), =HYPERLINK("CSG6.html#group16C6", "16C⁶"), =HYPERLINK("CSG13.html#group32F13", "32F¹³"), =HYPERLINK("CSG11.html#group16B11", "16B¹¹"), =HYPERLINK("CSG17.html#group96N17", "96N¹⁷"), =HYPERLINK("CSG23.html#group32H23", "32H²³"), =HYPERLINK("CSG17.html#group24AG17", "24AG¹⁷"), =HYPERLINK("CSG9.html#group16C9", "16C⁹"), =HYPERLINK("CSG17.html#group48AT17", "48AT¹⁷"), =HYPERLINK("CSG18.html#group88A18", "88A¹⁸"), =HYPERLINK("CSG6.html#group32D6", "32D⁶"), =HYPERLINK("CSG19.html#group96J19", "96J¹⁹"), =HYPERLINK("CSG22.html#group64A22", "64A²²"), =HYPERLINK("CSG5.html#group8A5", "8A⁵"), =HYPERLINK("CSG9.html#group16J9", "16J⁹"), =HYPERLINK("CSG21.html#group32F21", "32F²¹"), =HYPERLINK("CSG15.html#group48T15", "48T¹⁵"), =HYPERLINK("CSG23.html#group32E23", "32E²³"), =HYPERLINK("CSG17.html#group48AF17", "48AF¹⁷"), =HYPERLINK("CSG18.html#group64A18", "64A¹⁸"), =HYPERLINK("CSG21.html#group32E21", "32E²¹"), =HYPERLINK("CSG4.html#group16C4", "16C⁴"), =HYPERLINK("CSG18.html#group48N18", "48N¹⁸"), =HYPERLINK("CSG15.html#group24R15", "24R¹⁵"), =HYPERLINK("CSG18.html#group80C18", "80C¹⁸"), =HYPERLINK("CSG17.html#group48AS17", "48AS¹⁷"), =HYPERLINK("CSG7.html#group48O7", "48O⁷"), =HYPERLINK("CSG8.html#group40B8", "40B⁸"), =HYPERLINK("CSG21.html#group112B21", "112B²¹"), =HYPERLINK("CSG19.html#group32D19", "32D¹⁹"), =HYPERLINK("CSG21.html#group80O21", "80O²¹"), =HYPERLINK("CSG17.html#group72Q17", "72Q¹⁷"), =HYPERLINK("CSG13.html#group32J13", "32J¹³"), =HYPERLINK("CSG21.html#group32B21", "32B²¹"), =HYPERLINK("CSG17.html#group96D17", "96D¹⁷"), =HYPERLINK("CSG17.html#group40AM17", "40AM¹⁷"), =HYPERLINK("CSG13.html#group32T13", "32T¹³"), =HYPERLINK("CSG17.html#group96C17", "96C¹⁷"), =HYPERLINK("CSG14.html#group64A14", "64A¹⁴"), =HYPERLINK("CSG19.html#group32E19", "32E¹⁹"), =HYPERLINK("CSG18.html#group32A18", "32A¹⁸"), =HYPERLINK("CSG21.html#group64D21", "64D²¹"), =HYPERLINK("CSG13.html#group48G13", "48G¹³"), =HYPERLINK("CSG14.html#group64B14", "64B¹⁴"), =HYPERLINK("CSG3.html#group16C3", "16C³"), =HYPERLINK("CSG1.html#group8K1", "8K¹"), =HYPERLINK("CSG24.html#group112L24", "112L²⁴"), =HYPERLINK("CSG21.html#group48AS21", "48AS²¹"), =HYPERLINK("CSG3.html#group16M3", "16M³"), =HYPERLINK("CSG13.html#group48K13", "48K¹³"), =HYPERLINK("CSG5.html#group16G5", "16G⁵"), =HYPERLINK("CSG17.html#group48AL17", "48AL¹⁷"), =HYPERLINK("CSG23.html#group56I23", "56I²³"), =HYPERLINK("CSG17.html#group80B17", "80B¹⁷"), =HYPERLINK("CSG2.html#group24L2", "24L²"), =HYPERLINK("CSG24.html#group32D24", "32D²⁴"), =HYPERLINK("CSG21.html#group48T21", "48T²¹"), =HYPERLINK("CSG21.html#group16C21", "16C²¹"), =HYPERLINK("CSG17.html#group32E17", "32E¹⁷"), =HYPERLINK("CSG17.html#group96Y17", "96Y¹⁷"), =HYPERLINK("CSG19.html#group48AJ19", "48AJ¹⁹"), =HYPERLINK("CSG5.html#group16A5", "16A⁵"), =HYPERLINK("CSG19.html#group48D19", "48D¹⁹"), =HYPERLINK("CSG13.html#group48AB13", "48AB¹³"), =HYPERLINK("CSG21.html#group48AR21", "48AR²¹"), =HYPERLINK("CSG3.html#group32L3", "32L³"), =HYPERLINK("CSG19.html#group48AM19", "48AM¹⁹"), =HYPERLINK("CSG19.html#group24D19", "24D¹⁹"), =HYPERLINK("CSG21.html#group16E21", "16E²¹"), =HYPERLINK("CSG17.html#group80AR17", "80AR¹⁷"), =HYPERLINK("CSG23.html#group96AI23", "96AI²³"), =HYPERLINK("CSG7.html#group24AC7", "24AC⁷"), =HYPERLINK("CSG23.html#group56J23", "56J²³"), =HYPERLINK("CSG20.html#group96N20", "96N²⁰"), =HYPERLINK("CSG13.html#group24R13", "24R¹³"), =HYPERLINK("CSG9.html#group16K9", "16K⁹"), =HYPERLINK("CSG2.html#group16E2", "16E²"), =HYPERLINK("CSG21.html#group32Y21", "32Y²¹"), =HYPERLINK("CSG11.html#group24F11", "24F¹¹"), =HYPERLINK("CSG15.html#group48V15", "48V¹⁵"), =HYPERLINK("CSG17.html#group16B17", "16B¹⁷"), =HYPERLINK("CSG18.html#group48L18", "48L¹⁸"), =HYPERLINK("CSG5.html#group16O5", "16O⁵"), =HYPERLINK("CSG15.html#group96O15", "96O¹⁵"), =HYPERLINK("CSG14.html#group64D14", "64D¹⁴"), =HYPERLINK("CSG21.html#group48CO21", "48CO²¹"), =HYPERLINK("CSG22.html#group56D22", "56D²²"), =HYPERLINK("CSG17.html#group48Q17", "48Q¹⁷"), =HYPERLINK("CSG21.html#group48V21", "48V²¹"), =HYPERLINK("CSG21.html#group32P21", "32P²¹"), =HYPERLINK("CSG9.html#group16I9", "16I⁹"), =HYPERLINK("CSG18.html#group48E18", "48E¹⁸"), =HYPERLINK("CSG21.html#group56J21", "56J²¹"), =HYPERLINK("CSG20.html#group96H20", "96H²⁰"), =HYPERLINK("CSG11.html#group32C11", "32C¹¹"), =HYPERLINK("CSG9.html#group32H9", "32H⁹"), =HYPERLINK("CSG17.html#group96R17", "96R¹⁷"), =HYPERLINK("CSG9.html#group48K9", "48K⁹"), =HYPERLINK("CSG5.html#group32H5", "32H⁵"), =HYPERLINK("CSG15.html#group24N15", "24N¹⁵"), =HYPERLINK("CSG17.html#group24J17", "24J¹⁷"), =HYPERLINK("CSG15.html#group48Y15", "48Y¹⁵"), =HYPERLINK("CSG9.html#group32G9", "32G⁹"), =HYPERLINK("CSG2.html#group16L2", "16L²"), =HYPERLINK("CSG19.html#group48AV19", "48AV¹⁹"), =HYPERLINK("CSG15.html#group24O15", "24O¹⁵"), =HYPERLINK("CSG21.html#group32K21", "32K²¹"), =HYPERLINK("CSG17.html#group96E17", "96E¹⁷"), =HYPERLINK("CSG3.html#group16K3", "16K³"), =HYPERLINK("CSG24.html#group32A24", "32A²⁴"), =HYPERLINK("CSG23.html#group32G23", "32G²³"), =HYPERLINK("CSG16.html#group24C16", "24C¹⁶"), =HYPERLINK("CSG18.html#group48F18", "48F¹⁸"), =HYPERLINK("CSG21.html#group48AX21", "48AX²¹"), =HYPERLINK("CSG12.html#group32B12", "32B¹²"), =HYPERLINK("CSG9.html#group16H9", "16H⁹"), =HYPERLINK("CSG17.html#group40A17", "40A¹⁷"), =HYPERLINK("CSG9.html#group32B9", "32B⁹"), =HYPERLINK("CSG9.html#group24C9", "24C⁹"), =HYPERLINK("CSG13.html#group32A13", "32A¹³"), =HYPERLINK("CSG3.html#group32P3", "32P³"), =HYPERLINK("CSG11.html#group48C11", "48C¹¹"), =HYPERLINK("CSG15.html#group48W15", "48W¹⁵"), =HYPERLINK("CSG9.html#group64G9", "64G⁹"), =HYPERLINK("CSG13.html#group32K13", "32K¹³"), =HYPERLINK("CSG7.html#group32A7", "32A⁷"), =HYPERLINK("CSG5.html#group32E5", "32E⁵"), =HYPERLINK("CSG17.html#group96B17", "96B¹⁷"), =HYPERLINK("CSG16.html#group24B16", "24B¹⁶"), =HYPERLINK("CSG21.html#group32A21", "32A²¹"), =HYPERLINK("CSG9.html#group32R9", "32R⁹"), =HYPERLINK("CSG21.html#group24A21", "24A²¹"), =HYPERLINK("CSG11.html#group32D11", "32D¹¹"), =HYPERLINK("CSG17.html#group96F17", "96F¹⁷"), =HYPERLINK("CSG7.html#group16E7", "16E⁷"), =HYPERLINK("CSG21.html#group48CB21", "48CB²¹"), =HYPERLINK("CSG5.html#group32G5", "32G⁵"), =HYPERLINK("CSG1.html#group8F1", "8F¹"), =HYPERLINK("CSG3.html#group32Q3", "32Q³"), =HYPERLINK("CSG17.html#group16A17", "16A¹⁷"), =HYPERLINK("CSG18.html#group48S18", "48S¹⁸"), =HYPERLINK("CSG21.html#group48U21", "48U²¹"), =HYPERLINK("CSG23.html#group64B23", "64B²³"), =HYPERLINK("CSG17.html#group48AP17", "48AP¹⁷"), =HYPERLINK("CSG23.html#group32A23", "32A²³"), =HYPERLINK("CSG23.html#group112J23", "112J²³"), =HYPERLINK("CSG16.html#group24D16", "24D¹⁶"), =HYPERLINK("CSG21.html#group32W21", "32W²¹"), =HYPERLINK("CSG21.html#group16B21", "16B²¹"), =HYPERLINK("CSG17.html#group24AH17", "24AH¹⁷"), =HYPERLINK("CSG1.html#group16H1", "16H¹"), =HYPERLINK("CSG19.html#group48G19", "48G¹⁹"), =HYPERLINK("CSG15.html#group40AE15", "40AE¹⁵"), =HYPERLINK("CSG3.html#group8A3", "8A³"), =HYPERLINK("CSG24.html#group32C24", "32C²⁴"), =HYPERLINK("CSG15.html#group48J15", "48J¹⁵"), =HYPERLINK("CSG17.html#group96O17", "96O¹⁷"), =HYPERLINK("CSG17.html#group24AN17", "24AN¹⁷"), =HYPERLINK("CSG3.html#group16H3", "16H³"), =HYPERLINK("CSG6.html#group24G6", "24G⁶"), =HYPERLINK("CSG21.html#group32L21", "32L²¹"), =HYPERLINK("CSG5.html#group16B5", "16B⁵"), =HYPERLINK("CSG17.html#group24AF17", "24AF¹⁷"), =HYPERLINK("CSG16.html#group48I16", "48I¹⁶"), =HYPERLINK("CSG3.html#group16L3", "16L³"), =HYPERLINK("CSG9.html#group16B9", "16B⁹"), =HYPERLINK("CSG19.html#group48B19", "48B¹⁹"), =HYPERLINK("CSG5.html#group16I5", "16I⁵"), =HYPERLINK("CSG19.html#group48AE19", "48AE¹⁹"), =HYPERLINK("CSG13.html#group16C13", "16C¹³"), =HYPERLINK("CSG11.html#group16C11", "16C¹¹"), =HYPERLINK("CSG13.html#group40M13", "40M¹³"), =HYPERLINK("CSG21.html#group72F21", "72F²¹"), =HYPERLINK("CSG19.html#group96AC19", "96AC¹⁹"), =HYPERLINK("CSG23.html#group104I23", "104I²³"), =HYPERLINK("CSG7.html#group48AC7", "48AC⁷"), =HYPERLINK("CSG5.html#group16M5", "16M⁵"), =HYPERLINK("CSG7.html#group48P7", "48P⁷"), =HYPERLINK("CSG17.html#group40AL17", "40AL¹⁷"), =HYPERLINK("CSG23.html#group56D23", "56D²³"), =HYPERLINK("CSG11.html#group32F11", "32F¹¹"), =HYPERLINK("CSG1.html#group8H1", "8H¹"), =HYPERLINK("CSG21.html#group24D21", "24D²¹"), =HYPERLINK("CSG15.html#group24Q15", "24Q¹⁵"), =HYPERLINK("CSG15.html#group40I15", "40I¹⁵"), =HYPERLINK("CSG13.html#group16B13", "16B¹³"), =HYPERLINK("CSG13.html#group32Q13", "32Q¹³"), =HYPERLINK("CSG15.html#group24P15", "24P¹⁵"), =HYPERLINK("CSG9.html#group32Q9", "32Q⁹"), =HYPERLINK("CSG15.html#group40AF15", "40AF¹⁵"), =HYPERLINK("CSG9.html#group32N9", "32N⁹"), =HYPERLINK("CSG21.html#group48F21", "48F²¹"), =HYPERLINK("CSG23.html#group96A23", "96A²³"), =HYPERLINK("CSG21.html#group48CE21", "48CE²¹"), =HYPERLINK("CSG7.html#group24K7", "24K⁷"), =HYPERLINK("CSG17.html#group48BN17", "48BN¹⁷"), =HYPERLINK("CSG19.html#group24A19", "24A¹⁹"), =HYPERLINK("CSG21.html#group16D21", "16D²¹"), =HYPERLINK("CSG9.html#group32A9", "32A⁹"), =HYPERLINK("CSG23.html#group112I23", "112I²³"), =HYPERLINK("CSG19.html#group80C19", "80C¹⁹"), =HYPERLINK("CSG15.html#group48I15", "48I¹⁵"), =HYPERLINK("CSG10.html#group32C10", "32C¹⁰"), =HYPERLINK("CSG21.html#group16F21", "16F²¹"), =HYPERLINK("CSG22.html#group56E22", "56E²²"), =HYPERLINK("CSG9.html#group16A9", "16A⁹"), =HYPERLINK("CSG19.html#group48BA19", "48BA¹⁹"), =HYPERLINK("CSG15.html#group16A15", "16A¹⁵"), =HYPERLINK("CSG16.html#group48G16", "48G¹⁶"), =HYPERLINK("CSG17.html#group48AN17", "48AN¹⁷"), =HYPERLINK("CSG21.html#group24G21", "24G²¹"), =HYPERLINK("CSG17.html#group40AO17", "40AO¹⁷"), =HYPERLINK("CSG3.html#group8B3", "8B³"), =HYPERLINK("CSG22.html#group32A22", "32A²²"), =HYPERLINK("CSG21.html#group24F21", "24F²¹"), =HYPERLINK("CSG21.html#group64I21", "64I²¹"), =HYPERLINK("CSG19.html#group48AK19", "48AK¹⁹"), =HYPERLINK("CSG1.html#group16I1", "16I¹"), =HYPERLINK("CSG8.html#group48F8", "48F⁸"), =HYPERLINK("CSG9.html#group32M9", "32M⁹"), =HYPERLINK("CSG21.html#group16A21", "16A²¹"), =HYPERLINK("CSG11.html#group24I11", "24I¹¹"), =HYPERLINK("CSG23.html#group112K23", "112K²³"), =HYPERLINK("CSG2.html#group8C2", "8C²"), =HYPERLINK("CSG16.html#group24A16", "24A¹⁶"), =HYPERLINK("CSG21.html#group32X21", "32X²¹"), =HYPERLINK("CSG17.html#group80AL17", "80AL¹⁷"), =HYPERLINK("CSG17.html#group48AO17", "48AO¹⁷"), =HYPERLINK("CSG17.html#group32A17", "32A¹⁷"), =HYPERLINK("CSG19.html#group24F19", "24F¹⁹"), =HYPERLINK("CSG9.html#group16L9", "16L⁹"), =HYPERLINK("CSG23.html#group48C23", "48C²³"), =HYPERLINK("CSG7.html#group40S7", "40S⁷"), =HYPERLINK("CSG13.html#group48H13", "48H¹³"), =HYPERLINK("CSG22.html#group40B22", "40B²²"), =HYPERLINK("CSG10.html#group56C10", "56C¹⁰"), =HYPERLINK("CSG23.html#group56N23", "56N²³"), =HYPERLINK("CSG12.html#group32C12", "32C¹²"), =HYPERLINK("CSG7.html#group24AB7", "24AB⁷"), =HYPERLINK("CSG1.html#group16F1", "16F¹"), =HYPERLINK("CSG9.html#group64H9", "64H⁹"), =HYPERLINK("CSG24.html#group112K24", "112K²⁴"), =HYPERLINK("CSG5.html#group32I5", "32I⁵"), =HYPERLINK("CSG7.html#group32L7", "32L⁷"), =HYPERLINK("CSG19.html#group48AC19", "48AC¹⁹"), =HYPERLINK("CSG21.html#group32J21", "32J²¹"), =HYPERLINK("CSG18.html#group48P18", "48P¹⁸"), =HYPERLINK("CSG19.html#group48T19", "48T¹⁹"), =HYPERLINK("CSG17.html#group24B17", "24B¹⁷"), =HYPERLINK("CSG11.html#group48AA11", "48AA¹¹"), =HYPERLINK("CSG17.html#group40AA17", "40AA¹⁷"), =HYPERLINK("CSG15.html#group48H15", "48H¹⁵"), =HYPERLINK("CSG12.html#group32A12", "32A¹²"), =HYPERLINK("CSG15.html#group48S15", "48S¹⁵"), =HYPERLINK("CSG16.html#group48F16", "48F¹⁶"), =HYPERLINK("CSG13.html#group32I13", "32I¹³"), =HYPERLINK("CSG23.html#group56M23", "56M²³"), =HYPERLINK("CSG21.html#group48E21", "48E²¹"), =HYPERLINK("CSG11.html#group32G11", "32G¹¹"), =HYPERLINK("CSG19.html#group48AB19", "48AB¹⁹"), =HYPERLINK("CSG17.html#group40N17", "40N¹⁷"), =HYPERLINK("CSG19.html#group32A19", "32A¹⁹"), =HYPERLINK("CSG22.html#group64B22", "64B²²"), =HYPERLINK("CSG21.html#group32D21", "32D²¹"), =HYPERLINK("CSG5.html#group16E5", "16E⁵"), =HYPERLINK("CSG17.html#group80AK17", "80AK¹⁷"), =HYPERLINK("CSG15.html#group24M15", "24M¹⁵")</f>
        <v/>
      </c>
    </row>
    <row r="52">
      <c r="A52" t="inlineStr">
        <is>
          <t>8I⁰</t>
        </is>
      </c>
      <c r="B52" t="inlineStr">
        <is>
          <t>Γ₁(8)</t>
        </is>
      </c>
      <c r="C52" t="inlineStr">
        <is>
          <t>24</t>
        </is>
      </c>
      <c r="D52" t="inlineStr">
        <is>
          <t>1</t>
        </is>
      </c>
      <c r="E52" t="inlineStr">
        <is>
          <t>12</t>
        </is>
      </c>
      <c r="F52" t="inlineStr">
        <is>
          <t>0</t>
        </is>
      </c>
      <c r="G52" t="inlineStr">
        <is>
          <t>0</t>
        </is>
      </c>
      <c r="H52" t="inlineStr">
        <is>
          <t>1², 2¹, 4¹, 8²</t>
        </is>
      </c>
      <c r="I52" t="n">
        <v>6</v>
      </c>
      <c r="J52" t="inlineStr">
        <is>
          <t>1⁴, 2², 4¹</t>
        </is>
      </c>
      <c r="K52">
        <f>HYPERLINK("CSG0.html#group8C0", "8C⁰")</f>
        <v/>
      </c>
      <c r="L52">
        <f>HYPERLINK("CSG0.html#group8O0", "8O⁰"), =HYPERLINK("CSG0.html#group16H0", "16H⁰"), =HYPERLINK("CSG1.html#group16G1", "16G¹"), =HYPERLINK("CSG3.html#group24Y3", "24Y³"), =HYPERLINK("CSG4.html#group24F4", "24F⁴"), =HYPERLINK("CSG7.html#group40V7", "40V⁷"), =HYPERLINK("CSG8.html#group40C8", "40C⁸"), =HYPERLINK("CSG11.html#group56P11", "56P¹¹"), =HYPERLINK("CSG12.html#group56G12", "56G¹²"), =HYPERLINK("CSG15.html#group40M15", "40M¹⁵"), =HYPERLINK("CSG19.html#group88F19", "88F¹⁹"), =HYPERLINK("CSG20.html#group88B20", "88B²⁰"), =HYPERLINK("CSG23.html#group104L23", "104L²³")</f>
        <v/>
      </c>
      <c r="M52">
        <f>HYPERLINK("CSG0.html#group4B0", "4B⁰"), =HYPERLINK("CSG0.html#group1A0", "1A⁰"), =HYPERLINK("CSG0.html#group8C0", "8C⁰"), =HYPERLINK("CSG0.html#group2B0", "2B⁰")</f>
        <v/>
      </c>
      <c r="N52">
        <f>HYPERLINK("CSG9.html#group32C9", "32C⁹"), =HYPERLINK("CSG21.html#group56M21", "56M²¹"), =HYPERLINK("CSG23.html#group56U23", "56U²³"), =HYPERLINK("CSG18.html#group48C18", "48C¹⁸"), =HYPERLINK("CSG16.html#group72E16", "72E¹⁶"), =HYPERLINK("CSG13.html#group64H13", "64H¹³"), =HYPERLINK("CSG19.html#group48Q19", "48Q¹⁹"), =HYPERLINK("CSG17.html#group16B17", "16B¹⁷"), =HYPERLINK("CSG18.html#group48H18", "48H¹⁸"), =HYPERLINK("CSG24.html#group56E24", "56E²⁴"), =HYPERLINK("CSG5.html#group16O5", "16O⁵"), =HYPERLINK("CSG20.html#group88B20", "88B²⁰"), =HYPERLINK("CSG5.html#group32D5", "32D⁵"), =HYPERLINK("CSG17.html#group128B17", "128B¹⁷"), =HYPERLINK("CSG11.html#group56P11", "56P¹¹"), =HYPERLINK("CSG21.html#group64K21", "64K²¹"), =HYPERLINK("CSG13.html#group32U13", "32U¹³"), =HYPERLINK("CSG17.html#group24AO17", "24AO¹⁷"), =HYPERLINK("CSG21.html#group128B21", "128B²¹"), =HYPERLINK("CSG23.html#group56E23", "56E²³"), =HYPERLINK("CSG17.html#group32B17", "32B¹⁷"), =HYPERLINK("CSG21.html#group96BL21", "96BL²¹"), =HYPERLINK("CSG21.html#group32G21", "32G²¹"), =HYPERLINK("CSG21.html#group96C21", "96C²¹"), =HYPERLINK("CSG13.html#group48AH13", "48AH¹³"), =HYPERLINK("CSG21.html#group32C21", "32C²¹"), =HYPERLINK("CSG19.html#group48BR19", "48BR¹⁹"), =HYPERLINK("CSG21.html#group48CM21", "48CM²¹"), =HYPERLINK("CSG13.html#group64G13", "64G¹³"), =HYPERLINK("CSG7.html#group48AO7", "48AO⁷"), =HYPERLINK("CSG17.html#group96AL17", "96AL¹⁷"), =HYPERLINK("CSG5.html#group32O5", "32O⁵"), =HYPERLINK("CSG21.html#group96Q21", "96Q²¹"), =HYPERLINK("CSG21.html#group48CI21", "48CI²¹"), =HYPERLINK("CSG19.html#group48M19", "48M¹⁹"), =HYPERLINK("CSG9.html#group48O9", "48O⁹"), =HYPERLINK("CSG9.html#group48AN9", "48AN⁹"), =HYPERLINK("CSG21.html#group128A21", "128A²¹"), =HYPERLINK("CSG17.html#group32C17", "32C¹⁷"), =HYPERLINK("CSG17.html#group64D17", "64D¹⁷"), =HYPERLINK("CSG9.html#group16E9", "16E⁹"), =HYPERLINK("CSG21.html#group64O21", "64O²¹"), =HYPERLINK("CSG17.html#group48AD17", "48AD¹⁷"), =HYPERLINK("CSG9.html#group64D9", "64D⁹"), =HYPERLINK("CSG24.html#group56D24", "56D²⁴"), =HYPERLINK("CSG19.html#group48AP19", "48AP¹⁹"), =HYPERLINK("CSG5.html#group24AA5", "24AA⁵"), =HYPERLINK("CSG3.html#group32M3", "32M³"), =HYPERLINK("CSG16.html#group40B16", "40B¹⁶"), =HYPERLINK("CSG21.html#group64C21", "64C²¹"), =HYPERLINK("CSG9.html#group32D9", "32D⁹"), =HYPERLINK("CSG13.html#group40P13", "40P¹³"), =HYPERLINK("CSG5.html#group64C5", "64C⁵"), =HYPERLINK("CSG19.html#group64B19", "64B¹⁹"), =HYPERLINK("CSG3.html#group16J3", "16J³"), =HYPERLINK("CSG17.html#group48AA17", "48AA¹⁷"), =HYPERLINK("CSG17.html#group16A17", "16A¹⁷"), =HYPERLINK("CSG17.html#group80C17", "80C¹⁷"), =HYPERLINK("CSG23.html#group112S23", "112S²³"), =HYPERLINK("CSG19.html#group96P19", "96P¹⁹"), =HYPERLINK("CSG17.html#group24AR17", "24AR¹⁷"), =HYPERLINK("CSG17.html#group48CL17", "48CL¹⁷"), =HYPERLINK("CSG21.html#group16B21", "16B²¹"), =HYPERLINK("CSG1.html#group32E1", "32E¹"), =HYPERLINK("CSG19.html#group88F19", "88F¹⁹"), =HYPERLINK("CSG17.html#group48H17", "48H¹⁷"), =HYPERLINK("CSG4.html#group24F4", "24F⁴"), =HYPERLINK("CSG2.html#group32C2", "32C²"), =HYPERLINK("CSG19.html#group96K19", "96K¹⁹"), =HYPERLINK("CSG21.html#group64A21", "64A²¹"), =HYPERLINK("CSG11.html#group64B11", "64B¹¹"), =HYPERLINK("CSG21.html#group64E21", "64E²¹"), =HYPERLINK("CSG17.html#group96AK17", "96AK¹⁷"), =HYPERLINK("CSG21.html#group32O21", "32O²¹"), =HYPERLINK("CSG17.html#group48CM17", "48CM¹⁷"), =HYPERLINK("CSG17.html#group64A17", "64A¹⁷"), =HYPERLINK("CSG13.html#group64W13", "64W¹³"), =HYPERLINK("CSG8.html#group24F8", "24F⁸"), =HYPERLINK("CSG21.html#group48CL21", "48CL²¹"), =HYPERLINK("CSG13.html#group16C13", "16C¹³"), =HYPERLINK("CSG15.html#group24E15", "24E¹⁵"), =HYPERLINK("CSG7.html#group24AJ7", "24AJ⁷"), =HYPERLINK("CSG13.html#group24AC13", "24AC¹³"), =HYPERLINK("CSG9.html#group32I9", "32I⁹"), =HYPERLINK("CSG19.html#group32B19", "32B¹⁹"), =HYPERLINK("CSG7.html#group24AI7", "24AI⁷"), =HYPERLINK("CSG18.html#group48D18", "48D¹⁸"), =HYPERLINK("CSG21.html#group96D21", "96D²¹"), =HYPERLINK("CSG8.html#group48I8", "48I⁸"), =HYPERLINK("CSG9.html#group48B9", "48B⁹"), =HYPERLINK("CSG15.html#group48Q15", "48Q¹⁵"), =HYPERLINK("CSG19.html#group48BS19", "48BS¹⁹"), =HYPERLINK("CSG5.html#group16M5", "16M⁵"), =HYPERLINK("CSG5.html#group32N5", "32N⁵"), =HYPERLINK("CSG17.html#group128A17", "128A¹⁷"), =HYPERLINK("CSG13.html#group72U13", "72U¹³"), =HYPERLINK("CSG19.html#group72J19", "72J¹⁹"), =HYPERLINK("CSG7.html#group32M7", "32M⁷"), =HYPERLINK("CSG5.html#group64D5", "64D⁵"), =HYPERLINK("CSG17.html#group48BT17", "48BT¹⁷"), =HYPERLINK("CSG13.html#group64I13", "64I¹³"), =HYPERLINK("CSG5.html#group32M5", "32M⁵"), =HYPERLINK("CSG2.html#group16J2", "16J²"), =HYPERLINK("CSG17.html#group48AC17", "48AC¹⁷"), =HYPERLINK("CSG19.html#group96BE19", "96BE¹⁹"), =HYPERLINK("CSG3.html#group32O3", "32O³"), =HYPERLINK("CSG13.html#group16B13", "16B¹³"), =HYPERLINK("CSG21.html#group128C21", "128C²¹"), =HYPERLINK("CSG21.html#group48CK21", "48CK²¹"), =HYPERLINK("CSG8.html#group40C8", "40C⁸"), =HYPERLINK("CSG9.html#group32E9", "32E⁹"), =HYPERLINK("CSG19.html#group96C19", "96C¹⁹"), =HYPERLINK("CSG13.html#group64J13", "64J¹³"), =HYPERLINK("CSG13.html#group64V13", "64V¹³"), =HYPERLINK("CSG17.html#group48CO17", "48CO¹⁷"), =HYPERLINK("CSG13.html#group24N13", "24N¹³"), =HYPERLINK("CSG21.html#group96BI21", "96BI²¹"), =HYPERLINK("CSG15.html#group40AA15", "40AA¹⁵"), =HYPERLINK("CSG18.html#group48I18", "48I¹⁸"), =HYPERLINK("CSG19.html#group48BT19", "48BT¹⁹"), =HYPERLINK("CSG21.html#group32H21", "32H²¹"), =HYPERLINK("CSG19.html#group96BF19", "96BF¹⁹"), =HYPERLINK("CSG21.html#group64J21", "64J²¹"), =HYPERLINK("CSG5.html#group8A5", "8A⁵"), =HYPERLINK("CSG3.html#group16N3", "16N³"), =HYPERLINK("CSG19.html#group48BQ19", "48BQ¹⁹"), =HYPERLINK("CSG17.html#group48AB17", "48AB¹⁷"), =HYPERLINK("CSG17.html#group48CQ17", "48CQ¹⁷"), =HYPERLINK("CSG9.html#group32J9", "32J⁹"), =HYPERLINK("CSG24.html#group112F24", "112F²⁴"), =HYPERLINK("CSG21.html#group64N21", "64N²¹"), =HYPERLINK("CSG19.html#group48C19", "48C¹⁹"), =HYPERLINK("CSG21.html#group32N21", "32N²¹"), =HYPERLINK("CSG3.html#group24Y3", "24Y³"), =HYPERLINK("CSG19.html#group72I19", "72I¹⁹"), =HYPERLINK("CSG15.html#group48P15", "48P¹⁵"), =HYPERLINK("CSG17.html#group64B17", "64B¹⁷"), =HYPERLINK("CSG9.html#group64A9", "64A⁹"), =HYPERLINK("CSG0.html#group8O0", "8O⁰"), =HYPERLINK("CSG17.html#group64C17", "64C¹⁷"), =HYPERLINK("CSG15.html#group80S15", "80S¹⁵"), =HYPERLINK("CSG15.html#group80T15", "80T¹⁵"), =HYPERLINK("CSG17.html#group48D17", "48D¹⁷"), =HYPERLINK("CSG15.html#group24H15", "24H¹⁵"), =HYPERLINK("CSG21.html#group96R21", "96R²¹"), =HYPERLINK("CSG17.html#group32A17", "32A¹⁷"), =HYPERLINK("CSG11.html#group32B11", "32B¹¹"), =HYPERLINK("CSG16.html#group80B16", "80B¹⁶"), =HYPERLINK("CSG21.html#group64B21", "64B²¹"), =HYPERLINK("CSG0.html#group16H0", "16H⁰"), =HYPERLINK("CSG17.html#group96A17", "96A¹⁷"), =HYPERLINK("CSG17.html#group32D17", "32D¹⁷"), =HYPERLINK("CSG19.html#group96Z19", "96Z¹⁹"), =HYPERLINK("CSG22.html#group40D22", "40D²²"), =HYPERLINK("CSG13.html#group32T13", "32T¹³"), =HYPERLINK("CSG17.html#group80AJ17", "80AJ¹⁷"), =HYPERLINK("CSG13.html#group64E13", "64E¹³"), =HYPERLINK("CSG18.html#group96B18", "96B¹⁸"), =HYPERLINK("CSG8.html#group48E8", "48E⁸"), =HYPERLINK("CSG15.html#group40X15", "40X¹⁵"), =HYPERLINK("CSG13.html#group64F13", "64F¹³"), =HYPERLINK("CSG24.html#group112E24", "112E²⁴"), =HYPERLINK("CSG13.html#group128E13", "128E¹³"), =HYPERLINK("CSG1.html#group16M1", "16M¹"), =HYPERLINK("CSG9.html#group48AO9", "48AO⁹"), =HYPERLINK("CSG7.html#group24U7", "24U⁷"), =HYPERLINK("CSG5.html#group16N5", "16N⁵"), =HYPERLINK("CSG15.html#group40M15", "40M¹⁵"), =HYPERLINK("CSG17.html#group24B17", "24B¹⁷"), =HYPERLINK("CSG21.html#group96BK21", "96BK²¹"), =HYPERLINK("CSG1.html#group8K1", "8K¹"), =HYPERLINK("CSG17.html#group80AI17", "80AI¹⁷"), =HYPERLINK("CSG8.html#group24B8", "24B⁸"), =HYPERLINK("CSG17.html#group96K17", "96K¹⁷"), =HYPERLINK("CSG12.html#group56G12", "56G¹²"), =HYPERLINK("CSG7.html#group16C7", "16C⁷"), =HYPERLINK("CSG18.html#group96D18", "96D¹⁸"), =HYPERLINK("CSG17.html#group48CP17", "48CP¹⁷"), =HYPERLINK("CSG21.html#group96BM21", "96BM²¹"), =HYPERLINK("CSG17.html#group24S17", "24S¹⁷"), =HYPERLINK("CSG23.html#group104L23", "104L²³"), =HYPERLINK("CSG7.html#group40V7", "40V⁷"), =HYPERLINK("CSG2.html#group16K2", "16K²"), =HYPERLINK("CSG21.html#group128E21", "128E²¹"), =HYPERLINK("CSG23.html#group112T23", "112T²³"), =HYPERLINK("CSG17.html#group32E17", "32E¹⁷"), =HYPERLINK("CSG5.html#group32C5", "32C⁵"), =HYPERLINK("CSG9.html#group64E9", "64E⁹"), =HYPERLINK("CSG1.html#group16G1", "16G¹"), =HYPERLINK("CSG19.html#group32C19", "32C¹⁹"), =HYPERLINK("CSG23.html#group56R23", "56R²³"), =HYPERLINK("CSG7.html#group48AP7", "48AP⁷")</f>
        <v/>
      </c>
    </row>
    <row r="53">
      <c r="A53" t="inlineStr">
        <is>
          <t>8J⁰</t>
        </is>
      </c>
      <c r="B53" t="inlineStr"/>
      <c r="C53" t="inlineStr">
        <is>
          <t>24</t>
        </is>
      </c>
      <c r="D53" t="inlineStr">
        <is>
          <t>1</t>
        </is>
      </c>
      <c r="E53" t="inlineStr">
        <is>
          <t>12</t>
        </is>
      </c>
      <c r="F53" t="inlineStr">
        <is>
          <t>0</t>
        </is>
      </c>
      <c r="G53" t="inlineStr">
        <is>
          <t>0</t>
        </is>
      </c>
      <c r="H53" t="inlineStr">
        <is>
          <t>2², 4³, 8¹</t>
        </is>
      </c>
      <c r="I53" t="n">
        <v>6</v>
      </c>
      <c r="J53" t="inlineStr">
        <is>
          <t>1⁸, 2²</t>
        </is>
      </c>
      <c r="K53">
        <f>HYPERLINK("CSG0.html#group4E0", "4E⁰")</f>
        <v/>
      </c>
      <c r="L53">
        <f>HYPERLINK("CSG0.html#group8N0", "8N⁰"), =HYPERLINK("CSG0.html#group8O0", "8O⁰"), =HYPERLINK("CSG1.html#group8G1", "8G¹"), =HYPERLINK("CSG3.html#group24AA3", "24AA³"), =HYPERLINK("CSG4.html#group24G4", "24G⁴"), =HYPERLINK("CSG7.html#group40X7", "40X⁷"), =HYPERLINK("CSG8.html#group40D8", "40D⁸"), =HYPERLINK("CSG11.html#group56R11", "56R¹¹"), =HYPERLINK("CSG12.html#group56I12", "56I¹²"), =HYPERLINK("CSG15.html#group40O15", "40O¹⁵"), =HYPERLINK("CSG19.html#group88H19", "88H¹⁹"), =HYPERLINK("CSG20.html#group88C20", "88C²⁰"), =HYPERLINK("CSG23.html#group104N23", "104N²³")</f>
        <v/>
      </c>
      <c r="M53">
        <f>HYPERLINK("CSG0.html#group2A0", "2A⁰"), =HYPERLINK("CSG0.html#group2B0", "2B⁰"), =HYPERLINK("CSG0.html#group4E0", "4E⁰"), =HYPERLINK("CSG0.html#group4B0", "4B⁰"), =HYPERLINK("CSG0.html#group1A0", "1A⁰"), =HYPERLINK("CSG0.html#group2C0", "2C⁰"), =HYPERLINK("CSG0.html#group4C0", "4C⁰")</f>
        <v/>
      </c>
      <c r="N53">
        <f>HYPERLINK("CSG9.html#group32C9", "32C⁹"), =HYPERLINK("CSG11.html#group16A11", "16A¹¹"), =HYPERLINK("CSG13.html#group40R13", "40R¹³"), =HYPERLINK("CSG21.html#group48I21", "48I²¹"), =HYPERLINK("CSG24.html#group56G24", "56G²⁴"), =HYPERLINK("CSG17.html#group16B17", "16B¹⁷"), =HYPERLINK("CSG21.html#group48AH21", "48AH²¹"), =HYPERLINK("CSG9.html#group16F9", "16F⁹"), =HYPERLINK("CSG21.html#group56N21", "56N²¹"), =HYPERLINK("CSG8.html#group24H8", "24H⁸"), =HYPERLINK("CSG5.html#group16O5", "16O⁵"), =HYPERLINK("CSG8.html#group24J8", "24J⁸"), =HYPERLINK("CSG21.html#group48J21", "48J²¹"), =HYPERLINK("CSG13.html#group32U13", "32U¹³"), =HYPERLINK("CSG17.html#group24AO17", "24AO¹⁷"), =HYPERLINK("CSG17.html#group24W17", "24W¹⁷"), =HYPERLINK("CSG0.html#group8N0", "8N⁰"), =HYPERLINK("CSG17.html#group32B17", "32B¹⁷"), =HYPERLINK("CSG8.html#group24A8", "24A⁸"), =HYPERLINK("CSG19.html#group48BO19", "48BO¹⁹"), =HYPERLINK("CSG21.html#group32G21", "32G²¹"), =HYPERLINK("CSG21.html#group32C21", "32C²¹"), =HYPERLINK("CSG18.html#group48B18", "48B¹⁸"), =HYPERLINK("CSG7.html#group24AG7", "24AG⁷"), =HYPERLINK("CSG21.html#group48CI21", "48CI²¹"), =HYPERLINK("CSG13.html#group32G13", "32G¹³"), =HYPERLINK("CSG9.html#group16G9", "16G⁹"), =HYPERLINK("CSG19.html#group48M19", "48M¹⁹"), =HYPERLINK("CSG15.html#group24I15", "24I¹⁵"), =HYPERLINK("CSG16.html#group40A16", "40A¹⁶"), =HYPERLINK("CSG18.html#group48G18", "48G¹⁸"), =HYPERLINK("CSG9.html#group16E9", "16E⁹"), =HYPERLINK("CSG17.html#group64D17", "64D¹⁷"), =HYPERLINK("CSG9.html#group16D9", "16D⁹"), =HYPERLINK("CSG12.html#group56I12", "56I¹²"), =HYPERLINK("CSG24.html#group56D24", "56D²⁴"), =HYPERLINK("CSG23.html#group56F23", "56F²³"), =HYPERLINK("CSG16.html#group40B16", "40B¹⁶"), =HYPERLINK("CSG21.html#group24E21", "24E²¹"), =HYPERLINK("CSG7.html#group16B7", "16B⁷"), =HYPERLINK("CSG23.html#group56P23", "56P²³"), =HYPERLINK("CSG21.html#group32A21", "32A²¹"), =HYPERLINK("CSG17.html#group24AQ17", "24AQ¹⁷"), =HYPERLINK("CSG19.html#group48R19", "48R¹⁹"), =HYPERLINK("CSG21.html#group64C21", "64C²¹"), =HYPERLINK("CSG9.html#group32D9", "32D⁹"), =HYPERLINK("CSG3.html#group16J3", "16J³"), =HYPERLINK("CSG17.html#group16A17", "16A¹⁷"), =HYPERLINK("CSG24.html#group56B24", "56B²⁴"), =HYPERLINK("CSG17.html#group24AR17", "24AR¹⁷"), =HYPERLINK("CSG21.html#group32R21", "32R²¹"), =HYPERLINK("CSG17.html#group48CL17", "48CL¹⁷"), =HYPERLINK("CSG21.html#group16B21", "16B²¹"), =HYPERLINK("CSG23.html#group104N23", "104N²³"), =HYPERLINK("CSG17.html#group40G17", "40G¹⁷"), =HYPERLINK("CSG24.html#group56F24", "56F²⁴"), =HYPERLINK("CSG17.html#group48H17", "48H¹⁷"), =HYPERLINK("CSG17.html#group40AH17", "40AH¹⁷"), =HYPERLINK("CSG17.html#group24U17", "24U¹⁷"), =HYPERLINK("CSG19.html#group88H19", "88H¹⁹"), =HYPERLINK("CSG21.html#group64A21", "64A²¹"), =HYPERLINK("CSG15.html#group40AB15", "40AB¹⁵"), =HYPERLINK("CSG21.html#group64E21", "64E²¹"), =HYPERLINK("CSG23.html#group56W23", "56W²³"), =HYPERLINK("CSG17.html#group24AS17", "24AS¹⁷"), =HYPERLINK("CSG7.html#group24W7", "24W⁷"), =HYPERLINK("CSG17.html#group48CM17", "48CM¹⁷"), =HYPERLINK("CSG7.html#group24AL7", "24AL⁷"), =HYPERLINK("CSG9.html#group24U9", "24U⁹"), =HYPERLINK("CSG17.html#group64A17", "64A¹⁷"), =HYPERLINK("CSG19.html#group32A19", "32A¹⁹"), =HYPERLINK("CSG13.html#group16C13", "16C¹³"), =HYPERLINK("CSG15.html#group24E15", "24E¹⁵"), =HYPERLINK("CSG13.html#group24AC13", "24AC¹³"), =HYPERLINK("CSG7.html#group24AI7", "24AI⁷"), =HYPERLINK("CSG18.html#group48D18", "48D¹⁸"), =HYPERLINK("CSG4.html#group24G4", "24G⁴"), =HYPERLINK("CSG20.html#group88C20", "88C²⁰"), =HYPERLINK("CSG7.html#group24AK7", "24AK⁷"), =HYPERLINK("CSG16.html#group72G16", "72G¹⁶"), =HYPERLINK("CSG5.html#group16D5", "16D⁵"), =HYPERLINK("CSG3.html#group24AA3", "24AA³"), =HYPERLINK("CSG19.html#group48BS19", "48BS¹⁹"), =HYPERLINK("CSG5.html#group16M5", "16M⁵"), =HYPERLINK("CSG5.html#group32N5", "32N⁵"), =HYPERLINK("CSG9.html#group24AH9", "24AH⁹"), =HYPERLINK("CSG15.html#group40V15", "40V¹⁵"), =HYPERLINK("CSG13.html#group32L13", "32L¹³"), =HYPERLINK("CSG17.html#group24AJ17", "24AJ¹⁷"), =HYPERLINK("CSG5.html#group32M5", "32M⁵"), =HYPERLINK("CSG17.html#group24Z17", "24Z¹⁷"), =HYPERLINK("CSG13.html#group32E13", "32E¹³"), =HYPERLINK("CSG13.html#group16B13", "16B¹³"), =HYPERLINK("CSG19.html#group48BP19", "48BP¹⁹"), =HYPERLINK("CSG21.html#group48CK21", "48CK²¹"), =HYPERLINK("CSG9.html#group32E9", "32E⁹"), =HYPERLINK("CSG19.html#group48AR19", "48AR¹⁹"), =HYPERLINK("CSG9.html#group16C9", "16C⁹"), =HYPERLINK("CSG13.html#group64V13", "64V¹³"), =HYPERLINK("CSG15.html#group40AD15", "40AD¹⁵"), =HYPERLINK("CSG21.html#group16D21", "16D²¹"), =HYPERLINK("CSG3.html#group16O3", "16O³"), =HYPERLINK("CSG8.html#group40D8", "40D⁸"), =HYPERLINK("CSG19.html#group72M19", "72M¹⁹"), =HYPERLINK("CSG19.html#group48BT19", "48BT¹⁹"), =HYPERLINK("CSG19.html#group24H19", "24H¹⁹"), =HYPERLINK("CSG18.html#group48I18", "48I¹⁸"), =HYPERLINK("CSG21.html#group32H21", "32H²¹"), =HYPERLINK("CSG5.html#group8A5", "8A⁵"), =HYPERLINK("CSG21.html#group48AL21", "48AL²¹"), =HYPERLINK("CSG9.html#group24D9", "24D⁹"), =HYPERLINK("CSG15.html#group24J15", "24J¹⁵"), =HYPERLINK("CSG13.html#group32H13", "32H¹³"), =HYPERLINK("CSG13.html#group32M13", "32M¹³"), =HYPERLINK("CSG13.html#group32D13", "32D¹³"), =HYPERLINK("CSG19.html#group48C19", "48C¹⁹"), =HYPERLINK("CSG23.html#group56V23", "56V²³"), =HYPERLINK("CSG21.html#group24G21", "24G²¹"), =HYPERLINK("CSG21.html#group32Q21", "32Q²¹"), =HYPERLINK("CSG0.html#group8O0", "8O⁰"), =HYPERLINK("CSG3.html#group8B3", "8B³"), =HYPERLINK("CSG17.html#group24AT17", "24AT¹⁷"), =HYPERLINK("CSG5.html#group16C5", "16C⁵"), =HYPERLINK("CSG17.html#group48D17", "48D¹⁷"), =HYPERLINK("CSG7.html#group40X7", "40X⁷"), =HYPERLINK("CSG21.html#group48CP21", "48CP²¹"), =HYPERLINK("CSG13.html#group24AB13", "24AB¹³"), =HYPERLINK("CSG17.html#group32A17", "32A¹⁷"), =HYPERLINK("CSG17.html#group40AE17", "40AE¹⁷"), =HYPERLINK("CSG21.html#group32B21", "32B²¹"), =HYPERLINK("CSG11.html#group32B11", "32B¹¹"), =HYPERLINK("CSG21.html#group64B21", "64B²¹"), =HYPERLINK("CSG13.html#group72W13", "72W¹³"), =HYPERLINK("CSG17.html#group32D17", "32D¹⁷"), =HYPERLINK("CSG19.html#group72N19", "72N¹⁹"), =HYPERLINK("CSG13.html#group32T13", "32T¹³"), =HYPERLINK("CSG1.html#group8G1", "8G¹"), =HYPERLINK("CSG15.html#group24B15", "24B¹⁵"), =HYPERLINK("CSG15.html#group40X15", "40X¹⁵"), =HYPERLINK("CSG11.html#group56R11", "56R¹¹"), =HYPERLINK("CSG1.html#group16M1", "16M¹"), =HYPERLINK("CSG22.html#group40E22", "40E²²"), =HYPERLINK("CSG5.html#group16N5", "16N⁵"), =HYPERLINK("CSG17.html#group24V17", "24V¹⁷"), =HYPERLINK("CSG17.html#group24B17", "24B¹⁷"), =HYPERLINK("CSG1.html#group8K1", "8K¹"), =HYPERLINK("CSG2.html#group16I2", "16I²"), =HYPERLINK("CSG8.html#group24B8", "24B⁸"), =HYPERLINK("CSG5.html#group24AB5", "24AB⁵"), =HYPERLINK("CSG7.html#group16C7", "16C⁷"), =HYPERLINK("CSG17.html#group24S17", "24S¹⁷"), =HYPERLINK("CSG2.html#group16K2", "16K²"), =HYPERLINK("CSG17.html#group32E17", "32E¹⁷"), =HYPERLINK("CSG15.html#group40O15", "40O¹⁵"), =HYPERLINK("CSG19.html#group32C19", "32C¹⁹"), =HYPERLINK("CSG23.html#group56R23", "56R²³"), =HYPERLINK("CSG21.html#group48CQ21", "48CQ²¹"), =HYPERLINK("CSG13.html#group24P13", "24P¹³"), =HYPERLINK("CSG21.html#group32D21", "32D²¹"), =HYPERLINK("CSG9.html#group24AK9", "24AK⁹"), =HYPERLINK("CSG19.html#group24D19", "24D¹⁹"), =HYPERLINK("CSG21.html#group16E21", "16E²¹")</f>
        <v/>
      </c>
    </row>
    <row r="54">
      <c r="A54" t="inlineStr">
        <is>
          <t>8K⁰</t>
        </is>
      </c>
      <c r="B54" t="inlineStr"/>
      <c r="C54" t="inlineStr">
        <is>
          <t>24</t>
        </is>
      </c>
      <c r="D54" t="inlineStr">
        <is>
          <t>1</t>
        </is>
      </c>
      <c r="E54" t="inlineStr">
        <is>
          <t>12</t>
        </is>
      </c>
      <c r="F54" t="inlineStr">
        <is>
          <t>2</t>
        </is>
      </c>
      <c r="G54" t="inlineStr">
        <is>
          <t>0</t>
        </is>
      </c>
      <c r="H54" t="inlineStr">
        <is>
          <t>4⁴, 8¹</t>
        </is>
      </c>
      <c r="I54" t="n">
        <v>5</v>
      </c>
      <c r="J54" t="inlineStr">
        <is>
          <t>2², 4²</t>
        </is>
      </c>
      <c r="K54">
        <f>HYPERLINK("CSG0.html#group4F0", "4F⁰")</f>
        <v/>
      </c>
      <c r="L54">
        <f>HYPERLINK("CSG0.html#group8N0", "8N⁰"), =HYPERLINK("CSG1.html#group8H1", "8H¹"), =HYPERLINK("CSG1.html#group16K1", "16K¹"), =HYPERLINK("CSG1.html#group16L1", "16L¹"), =HYPERLINK("CSG2.html#group8B2", "8B²"), =HYPERLINK("CSG3.html#group24J3", "24J³"), =HYPERLINK("CSG4.html#group24R4", "24R⁴"), =HYPERLINK("CSG7.html#group40Z7", "40Z⁷"), =HYPERLINK("CSG8.html#group40E8", "40E⁸"), =HYPERLINK("CSG11.html#group56G11", "56G¹¹"), =HYPERLINK("CSG12.html#group56L12", "56L¹²"), =HYPERLINK("CSG15.html#group40Q15", "40Q¹⁵"), =HYPERLINK("CSG19.html#group88A19", "88A¹⁹"), =HYPERLINK("CSG20.html#group88E20", "88E²⁰"), =HYPERLINK("CSG23.html#group104P23", "104P²³")</f>
        <v/>
      </c>
      <c r="M54">
        <f>HYPERLINK("CSG0.html#group2B0", "2B⁰"), =HYPERLINK("CSG0.html#group4F0", "4F⁰"), =HYPERLINK("CSG0.html#group1A0", "1A⁰"), =HYPERLINK("CSG0.html#group4A0", "4A⁰"), =HYPERLINK("CSG0.html#group4C0", "4C⁰")</f>
        <v/>
      </c>
      <c r="N54">
        <f>HYPERLINK("CSG10.html#group24C10", "24C¹⁰"), =HYPERLINK("CSG11.html#group16A11", "16A¹¹"), =HYPERLINK("CSG19.html#group16B19", "16B¹⁹"), =HYPERLINK("CSG23.html#group56J23", "56J²³"), =HYPERLINK("CSG16.html#group48C16", "48C¹⁶"), =HYPERLINK("CSG3.html#group16P3", "16P³"), =HYPERLINK("CSG14.html#group72F14", "72F¹⁴"), =HYPERLINK("CSG11.html#group24F11", "24F¹¹"), =HYPERLINK("CSG17.html#group16B17", "16B¹⁷"), =HYPERLINK("CSG8.html#group40E8", "40E⁸"), =HYPERLINK("CSG24.html#group112W24", "112W²⁴"), =HYPERLINK("CSG18.html#group48L18", "48L¹⁸"), =HYPERLINK("CSG4.html#group16B4", "16B⁴"), =HYPERLINK("CSG16.html#group48D16", "48D¹⁶"), =HYPERLINK("CSG19.html#group48AT19", "48AT¹⁹"), =HYPERLINK("CSG5.html#group16O5", "16O⁵"), =HYPERLINK("CSG24.html#group56I24", "56I²⁴"), =HYPERLINK("CSG9.html#group16I9", "16I⁹"), =HYPERLINK("CSG21.html#group32P21", "32P²¹"), =HYPERLINK("CSG17.html#group24AO17", "24AO¹⁷"), =HYPERLINK("CSG18.html#group48E18", "48E¹⁸"), =HYPERLINK("CSG17.html#group24W17", "24W¹⁷"), =HYPERLINK("CSG0.html#group8N0", "8N⁰"), =HYPERLINK("CSG17.html#group80L17", "80L¹⁷"), =HYPERLINK("CSG17.html#group48AM17", "48AM¹⁷"), =HYPERLINK("CSG8.html#group24A8", "24A⁸"), =HYPERLINK("CSG19.html#group48BO19", "48BO¹⁹"), =HYPERLINK("CSG21.html#group32C21", "32C²¹"), =HYPERLINK("CSG18.html#group48B18", "48B¹⁸"), =HYPERLINK("CSG17.html#group48BL17", "48BL¹⁷"), =HYPERLINK("CSG7.html#group24AG7", "24AG⁷"), =HYPERLINK("CSG11.html#group32H11", "32H¹¹"), =HYPERLINK("CSG13.html#group24U13", "24U¹³"), =HYPERLINK("CSG8.html#group48H8", "48H⁸"), =HYPERLINK("CSG8.html#group48V8", "48V⁸"), =HYPERLINK("CSG17.html#group80BB17", "80BB¹⁷"), =HYPERLINK("CSG19.html#group48AV19", "48AV¹⁹"), =HYPERLINK("CSG20.html#group72B20", "72B²⁰"), =HYPERLINK("CSG15.html#group72Y15", "72Y¹⁵"), =HYPERLINK("CSG23.html#group48B23", "48B²³"), =HYPERLINK("CSG9.html#group32K9", "32K⁹"), =HYPERLINK("CSG3.html#group16K3", "16K³"), =HYPERLINK("CSG15.html#group40Q15", "40Q¹⁵"), =HYPERLINK("CSG17.html#group48S17", "48S¹⁷"), =HYPERLINK("CSG24.html#group32A24", "32A²⁴"), =HYPERLINK("CSG19.html#group88A19", "88A¹⁹"), =HYPERLINK("CSG16.html#group40A16", "40A¹⁶"), =HYPERLINK("CSG16.html#group24C16", "24C¹⁶"), =HYPERLINK("CSG21.html#group64G21", "64G²¹"), =HYPERLINK("CSG12.html#group32B12", "32B¹²"), =HYPERLINK("CSG23.html#group32G23", "32G²³"), =HYPERLINK("CSG4.html#group24R4", "24R⁴"), =HYPERLINK("CSG17.html#group48BJ17", "48BJ¹⁷"), =HYPERLINK("CSG9.html#group16H9", "16H⁹"), =HYPERLINK("CSG24.html#group32B24", "32B²⁴"), =HYPERLINK("CSG17.html#group48BI17", "48BI¹⁷"), =HYPERLINK("CSG18.html#group48G18", "48G¹⁸"), =HYPERLINK("CSG23.html#group104P23", "104P²³"), =HYPERLINK("CSG9.html#group16E9", "16E⁹"), =HYPERLINK("CSG20.html#group88E20", "88E²⁰"), =HYPERLINK("CSG9.html#group16D9", "16D⁹"), =HYPERLINK("CSG11.html#group56G11", "56G¹¹"), =HYPERLINK("CSG18.html#group48K18", "48K¹⁸"), =HYPERLINK("CSG4.html#group16A4", "16A⁴"), =HYPERLINK("CSG6.html#group16B6", "16B⁶"), =HYPERLINK("CSG19.html#group40F19", "40F¹⁹"), =HYPERLINK("CSG20.html#group72A20", "72A²⁰"), =HYPERLINK("CSG17.html#group40AK17", "40AK¹⁷"), =HYPERLINK("CSG18.html#group32B18", "32B¹⁸"), =HYPERLINK("CSG23.html#group32B23", "32B²³"), =HYPERLINK("CSG21.html#group24E21", "24E²¹"), =HYPERLINK("CSG7.html#group16B7", "16B⁷"), =HYPERLINK("CSG21.html#group32A21", "32A²¹"), =HYPERLINK("CSG23.html#group56P23", "56P²³"), =HYPERLINK("CSG9.html#group32R9", "32R⁹"), =HYPERLINK("CSG21.html#group32I21", "32I²¹"), =HYPERLINK("CSG17.html#group16A17", "16A¹⁷"), =HYPERLINK("CSG10.html#group16A10", "16A¹⁰"), =HYPERLINK("CSG11.html#group32E11", "32E¹¹"), =HYPERLINK("CSG24.html#group112Z24", "112Z²⁴"), =HYPERLINK("CSG10.html#group16B10", "16B¹⁰"), =HYPERLINK("CSG24.html#group56B24", "56B²⁴"), =HYPERLINK("CSG11.html#group24G11", "24G¹¹"), =HYPERLINK("CSG23.html#group32A23", "32A²³"), =HYPERLINK("CSG7.html#group16D7", "16D⁷"), =HYPERLINK("CSG22.html#group48C22", "48C²²"), =HYPERLINK("CSG13.html#group32P13", "32P¹³"), =HYPERLINK("CSG21.html#group32W21", "32W²¹"), =HYPERLINK("CSG21.html#group16B21", "16B²¹"), =HYPERLINK("CSG19.html#group24O19", "24O¹⁹"), =HYPERLINK("CSG9.html#group32L9", "32L⁹"), =HYPERLINK("CSG7.html#group40Z7", "40Z⁷"), =HYPERLINK("CSG17.html#group48BO17", "48BO¹⁷"), =HYPERLINK("CSG1.html#group16K1", "16K¹"), =HYPERLINK("CSG13.html#group40T13", "40T¹³"), =HYPERLINK("CSG22.html#group40F22", "40F²²"), =HYPERLINK("CSG19.html#group16A19", "16A¹⁹"), =HYPERLINK("CSG24.html#group32C24", "32C²⁴"), =HYPERLINK("CSG19.html#group40G19", "40G¹⁹"), =HYPERLINK("CSG10.html#group16C10", "16C¹⁰"), =HYPERLINK("CSG21.html#group24J21", "24J²¹"), =HYPERLINK("CSG17.html#group80AY17", "80AY¹⁷"), =HYPERLINK("CSG17.html#group24AF17", "24AF¹⁷"), =HYPERLINK("CSG22.html#group32B22", "32B²²"), =HYPERLINK("CSG23.html#group32F23", "32F²³"), =HYPERLINK("CSG5.html#group16I5", "16I⁵"), =HYPERLINK("CSG10.html#group32B10", "32B¹⁰"), =HYPERLINK("CSG17.html#group48T17", "48T¹⁷"), =HYPERLINK("CSG13.html#group16C13", "16C¹³"), =HYPERLINK("CSG11.html#group16C11", "16C¹¹"), =HYPERLINK("CSG5.html#group16J5", "16J⁵"), =HYPERLINK("CSG19.html#group48AU19", "48AU¹⁹"), =HYPERLINK("CSG19.html#group24P19", "24P¹⁹"), =HYPERLINK("CSG9.html#group32F9", "32F⁹"), =HYPERLINK("CSG21.html#group32M21", "32M²¹"), =HYPERLINK("CSG24.html#group112X24", "112X²⁴"), =HYPERLINK("CSG5.html#group16M5", "16M⁵"), =HYPERLINK("CSG6.html#group24F6", "24F⁶"), =HYPERLINK("CSG15.html#group40V15", "40V¹⁵"), =HYPERLINK("CSG17.html#group80K17", "80K¹⁷"), =HYPERLINK("CSG20.html#group48B20", "48B²⁰"), =HYPERLINK("CSG21.html#group48BL21", "48BL²¹"), =HYPERLINK("CSG19.html#group48S19", "48S¹⁹"), =HYPERLINK("CSG15.html#group24C15", "24C¹⁵"), =HYPERLINK("CSG1.html#group8H1", "8H¹"), =HYPERLINK("CSG22.html#group48D22", "48D²²"), =HYPERLINK("CSG13.html#group32R13", "32R¹³"), =HYPERLINK("CSG18.html#group40C18", "40C¹⁸"), =HYPERLINK("CSG10.html#group48I10", "48I¹⁰"), =HYPERLINK("CSG23.html#group64A23", "64A²³"), =HYPERLINK("CSG13.html#group16B13", "16B¹³"), =HYPERLINK("CSG19.html#group48BP19", "48BP¹⁹"), =HYPERLINK("CSG10.html#group48H10", "48H¹⁰"), =HYPERLINK("CSG15.html#group24P15", "24P¹⁵"), =HYPERLINK("CSG9.html#group32Q9", "32Q⁹"), =HYPERLINK("CSG23.html#group48A23", "48A²³"), =HYPERLINK("CSG19.html#group48AS19", "48AS¹⁹"), =HYPERLINK("CSG20.html#group48A20", "48A²⁰"), =HYPERLINK("CSG3.html#group16Q3", "16Q³"), =HYPERLINK("CSG6.html#group16C6", "16C⁶"), =HYPERLINK("CSG17.html#group24AC17", "24AC¹⁷"), =HYPERLINK("CSG11.html#group16B11", "16B¹¹"), =HYPERLINK("CSG7.html#group24K7", "24K⁷"), =HYPERLINK("CSG9.html#group16C9", "16C⁹"), =HYPERLINK("CSG24.html#group112Y24", "112Y²⁴"), =HYPERLINK("CSG17.html#group48BN17", "48BN¹⁷"), =HYPERLINK("CSG5.html#group16H5", "16H⁵"), =HYPERLINK("CSG16.html#group48E16", "48E¹⁶"), =HYPERLINK("CSG21.html#group16D21", "16D²¹"), =HYPERLINK("CSG2.html#group8B2", "8B²"), =HYPERLINK("CSG22.html#group64A22", "64A²²"), =HYPERLINK("CSG19.html#group24H19", "24H¹⁹"), =HYPERLINK("CSG9.html#group24W9", "24W⁹"), =HYPERLINK("CSG9.html#group16J9", "16J⁹"), =HYPERLINK("CSG5.html#group8A5", "8A⁵"), =HYPERLINK("CSG3.html#group24J3", "24J³"), =HYPERLINK("CSG21.html#group16F21", "16F²¹"), =HYPERLINK("CSG10.html#group32C10", "32C¹⁰"), =HYPERLINK("CSG23.html#group32E23", "32E²³"), =HYPERLINK("CSG15.html#group16A15", "16A¹⁵"), =HYPERLINK("CSG8.html#group24K8", "24K⁸"), =HYPERLINK("CSG18.html#group48J18", "48J¹⁸"), =HYPERLINK("CSG19.html#group24Q19", "24Q¹⁹"), =HYPERLINK("CSG18.html#group48R18", "48R¹⁸"), =HYPERLINK("CSG21.html#group24G21", "24G²¹"), =HYPERLINK("CSG17.html#group80BA17", "80BA¹⁷"), =HYPERLINK("CSG3.html#group8B3", "8B³"), =HYPERLINK("CSG17.html#group24AT17", "24AT¹⁷"), =HYPERLINK("CSG22.html#group32A22", "32A²²"), =HYPERLINK("CSG19.html#group32D19", "32D¹⁹"), =HYPERLINK("CSG21.html#group48AQ21", "48AQ²¹"), =HYPERLINK("CSG12.html#group56L12", "56L¹²"), =HYPERLINK("CSG2.html#group8C2", "8C²"), =HYPERLINK("CSG16.html#group24A16", "24A¹⁶"), =HYPERLINK("CSG21.html#group32X21", "32X²¹"), =HYPERLINK("CSG16.html#group48B16", "48B¹⁶"), =HYPERLINK("CSG13.html#group24AB13", "24AB¹³"), =HYPERLINK("CSG17.html#group32A17", "32A¹⁷"), =HYPERLINK("CSG17.html#group80AZ17", "80AZ¹⁷"), =HYPERLINK("CSG21.html#group32B21", "32B²¹"), =HYPERLINK("CSG7.html#group24Y7", "24Y⁷"), =HYPERLINK("CSG23.html#group48C23", "48C²³"), =HYPERLINK("CSG23.html#group56G23", "56G²³"), =HYPERLINK("CSG17.html#group40AM17", "40AM¹⁷"), =HYPERLINK("CSG13.html#group32T13", "32T¹³"), =HYPERLINK("CSG15.html#group24B15", "24B¹⁵"), =HYPERLINK("CSG15.html#group40AC15", "40AC¹⁵"), =HYPERLINK("CSG19.html#group32E19", "32E¹⁹"), =HYPERLINK("CSG18.html#group32A18", "32A¹⁸"), =HYPERLINK("CSG21.html#group32J21", "32J²¹"), =HYPERLINK("CSG11.html#group16D11", "16D¹¹"), =HYPERLINK("CSG19.html#group48BL19", "48BL¹⁹"), =HYPERLINK("CSG19.html#group48T19", "48T¹⁹"), =HYPERLINK("CSG17.html#group24B17", "24B¹⁷"), =HYPERLINK("CSG22.html#group56C22", "56C²²"), =HYPERLINK("CSG1.html#group8K1", "8K¹"), =HYPERLINK("CSG2.html#group16I2", "16I²"), =HYPERLINK("CSG15.html#group48H15", "48H¹⁵"), =HYPERLINK("CSG23.html#group48D23", "48D²³"), =HYPERLINK("CSG12.html#group32A12", "32A¹²"), =HYPERLINK("CSG8.html#group48U8", "48U⁸"), =HYPERLINK("CSG24.html#group32D24", "32D²⁴"), =HYPERLINK("CSG21.html#group48T21", "48T²¹"), =HYPERLINK("CSG1.html#group16L1", "16L¹"), =HYPERLINK("CSG17.html#group32E17", "32E¹⁷"), =HYPERLINK("CSG13.html#group32I13", "32I¹³"), =HYPERLINK("CSG17.html#group48BK17", "48BK¹⁷"), =HYPERLINK("CSG17.html#group24AL17", "24AL¹⁷"), =HYPERLINK("CSG19.html#group48AB19", "48AB¹⁹"), =HYPERLINK("CSG17.html#group40N17", "40N¹⁷"), =HYPERLINK("CSG8.html#group48G8", "48G⁸"), =HYPERLINK("CSG19.html#group32A19", "32A¹⁹"), =HYPERLINK("CSG22.html#group64B22", "64B²²"), =HYPERLINK("CSG21.html#group32D21", "32D²¹"), =HYPERLINK("CSG5.html#group16E5", "16E⁵"), =HYPERLINK("CSG19.html#group24D19", "24D¹⁹"), =HYPERLINK("CSG21.html#group16E21", "16E²¹"), =HYPERLINK("CSG21.html#group24I21", "24I²¹")</f>
        <v/>
      </c>
    </row>
    <row r="55">
      <c r="A55" t="inlineStr">
        <is>
          <t>8L⁰</t>
        </is>
      </c>
      <c r="B55" t="inlineStr"/>
      <c r="C55" t="inlineStr">
        <is>
          <t>24</t>
        </is>
      </c>
      <c r="D55" t="inlineStr">
        <is>
          <t>1</t>
        </is>
      </c>
      <c r="E55" t="inlineStr">
        <is>
          <t>12</t>
        </is>
      </c>
      <c r="F55" t="inlineStr">
        <is>
          <t>4</t>
        </is>
      </c>
      <c r="G55" t="inlineStr">
        <is>
          <t>0</t>
        </is>
      </c>
      <c r="H55" t="inlineStr">
        <is>
          <t>4², 8²</t>
        </is>
      </c>
      <c r="I55" t="n">
        <v>4</v>
      </c>
      <c r="J55" t="inlineStr">
        <is>
          <t>1⁴, 2², 4¹</t>
        </is>
      </c>
      <c r="K55">
        <f>HYPERLINK("CSG0.html#group8B0", "8B⁰")</f>
        <v/>
      </c>
      <c r="L55">
        <f>HYPERLINK("CSG0.html#group8P0", "8P⁰"), =HYPERLINK("CSG1.html#group8G1", "8G¹"), =HYPERLINK("CSG1.html#group16J1", "16J¹"), =HYPERLINK("CSG2.html#group16F2", "16F²"), =HYPERLINK("CSG2.html#group24M2", "24M²"), =HYPERLINK("CSG3.html#group16F3", "16F³"), =HYPERLINK("CSG5.html#group24N5", "24N⁵"), =HYPERLINK("CSG7.html#group40AB7", "40AB⁷"), =HYPERLINK("CSG8.html#group40F8", "40F⁸"), =HYPERLINK("CSG10.html#group56E10", "56E¹⁰"), =HYPERLINK("CSG13.html#group56L13", "56L¹³"), =HYPERLINK("CSG15.html#group40S15", "40S¹⁵"), =HYPERLINK("CSG18.html#group88B18", "88B¹⁸"), =HYPERLINK("CSG21.html#group88H21", "88H²¹"), =HYPERLINK("CSG23.html#group104R23", "104R²³")</f>
        <v/>
      </c>
      <c r="M55">
        <f>HYPERLINK("CSG0.html#group8B0", "8B⁰"), =HYPERLINK("CSG0.html#group1A0", "1A⁰"), =HYPERLINK("CSG0.html#group2B0", "2B⁰"), =HYPERLINK("CSG0.html#group4C0", "4C⁰")</f>
        <v/>
      </c>
      <c r="N55">
        <f>HYPERLINK("CSG17.html#group80AX17", "80AX¹⁷"), =HYPERLINK("CSG13.html#group48P13", "48P¹³"), =HYPERLINK("CSG19.html#group16B19", "16B¹⁹"), =HYPERLINK("CSG19.html#group48BE19", "48BE¹⁹"), =HYPERLINK("CSG21.html#group48I21", "48I²¹"), =HYPERLINK("CSG5.html#group32J5", "32J⁵"), =HYPERLINK("CSG21.html#group32S21", "32S²¹"), =HYPERLINK("CSG24.html#group112V24", "112V²⁴"), =HYPERLINK("CSG19.html#group48BK19", "48BK¹⁹"), =HYPERLINK("CSG21.html#group32Y21", "32Y²¹"), =HYPERLINK("CSG17.html#group16B17", "16B¹⁷"), =HYPERLINK("CSG21.html#group48AH21", "48AH²¹"), =HYPERLINK("CSG9.html#group16F9", "16F⁹"), =HYPERLINK("CSG17.html#group48CA17", "48CA¹⁷"), =HYPERLINK("CSG15.html#group48M15", "48M¹⁵"), =HYPERLINK("CSG9.html#group24AJ9", "24AJ⁹"), =HYPERLINK("CSG21.html#group48BF21", "48BF²¹"), =HYPERLINK("CSG5.html#group16O5", "16O⁵"), =HYPERLINK("CSG21.html#group48CO21", "48CO²¹"), =HYPERLINK("CSG21.html#group48J21", "48J²¹"), =HYPERLINK("CSG6.html#group24K6", "24K⁶"), =HYPERLINK("CSG3.html#group16R3", "16R³"), =HYPERLINK("CSG0.html#group8P0", "8P⁰"), =HYPERLINK("CSG21.html#group48V21", "48V²¹"), =HYPERLINK("CSG21.html#group32P21", "32P²¹"), =HYPERLINK("CSG17.html#group48CH17", "48CH¹⁷"), =HYPERLINK("CSG17.html#group24AO17", "24AO¹⁷"), =HYPERLINK("CSG15.html#group64H15", "64H¹⁵"), =HYPERLINK("CSG9.html#group32H9", "32H⁹"), =HYPERLINK("CSG11.html#group32K11", "32K¹¹"), =HYPERLINK("CSG13.html#group32N13", "32N¹³"), =HYPERLINK("CSG17.html#group48CD17", "48CD¹⁷"), =HYPERLINK("CSG18.html#group64B18", "64B¹⁸"), =HYPERLINK("CSG11.html#group48K11", "48K¹¹"), =HYPERLINK("CSG21.html#group32C21", "32C²¹"), =HYPERLINK("CSG21.html#group32U21", "32U²¹"), =HYPERLINK("CSG15.html#group48L15", "48L¹⁵"), =HYPERLINK("CSG2.html#group16L2", "16L²"), =HYPERLINK("CSG17.html#group96Z17", "96Z¹⁷"), =HYPERLINK("CSG13.html#group32G13", "32G¹³"), =HYPERLINK("CSG18.html#group88B18", "88B¹⁸"), =HYPERLINK("CSG9.html#group16G9", "16G⁹"), =HYPERLINK("CSG17.html#group80AW17", "80AW¹⁷"), =HYPERLINK("CSG6.html#group32E6", "32E⁶"), =HYPERLINK("CSG24.html#group112U24", "112U²⁴"), =HYPERLINK("CSG9.html#group16H9", "16H⁹"), =HYPERLINK("CSG17.html#group48BG17", "48BG¹⁷"), =HYPERLINK("CSG15.html#group96S15", "96S¹⁵"), =HYPERLINK("CSG21.html#group56K21", "56K²¹"), =HYPERLINK("CSG17.html#group48CB17", "48CB¹⁷"), =HYPERLINK("CSG9.html#group16E9", "16E⁹"), =HYPERLINK("CSG17.html#group48BH17", "48BH¹⁷"), =HYPERLINK("CSG21.html#group88H21", "88H²¹"), =HYPERLINK("CSG13.html#group24Z13", "24Z¹³"), =HYPERLINK("CSG13.html#group32K13", "32K¹³"), =HYPERLINK("CSG13.html#group64M13", "64M¹³"), =HYPERLINK("CSG6.html#group24D6", "24D⁶"), =HYPERLINK("CSG19.html#group80AE19", "80AE¹⁹"), =HYPERLINK("CSG18.html#group32B18", "32B¹⁸"), =HYPERLINK("CSG16.html#group24B16", "24B¹⁶"), =HYPERLINK("CSG17.html#group24AQ17", "24AQ¹⁷"), =HYPERLINK("CSG22.html#group56G22", "56G²²"), =HYPERLINK("CSG19.html#group48BG19", "48BG¹⁹"), =HYPERLINK("CSG19.html#group48R19", "48R¹⁹"), =HYPERLINK("CSG16.html#group48A16", "48A¹⁶"), =HYPERLINK("CSG13.html#group48T13", "48T¹³"), =HYPERLINK("CSG7.html#group16E7", "16E⁷"), =HYPERLINK("CSG13.html#group24AA13", "24AA¹³"), =HYPERLINK("CSG17.html#group16A17", "16A¹⁷"), =HYPERLINK("CSG11.html#group32J11", "32J¹¹"), =HYPERLINK("CSG13.html#group40V13", "40V¹³"), =HYPERLINK("CSG17.html#group72U17", "72U¹⁷"), =HYPERLINK("CSG7.html#group32I7", "32I⁷"), =HYPERLINK("CSG13.html#group56L13", "56L¹³"), =HYPERLINK("CSG7.html#group16D7", "16D⁷"), =HYPERLINK("CSG13.html#group24X13", "24X¹³"), =HYPERLINK("CSG21.html#group32R21", "32R²¹"), =HYPERLINK("CSG13.html#group64S13", "64S¹³"), =HYPERLINK("CSG21.html#group16B21", "16B²¹"), =HYPERLINK("CSG17.html#group40G17", "40G¹⁷"), =HYPERLINK("CSG22.html#group56F22", "56F²²"), =HYPERLINK("CSG21.html#group48BU21", "48BU²¹"), =HYPERLINK("CSG17.html#group24U17", "24U¹⁷"), =HYPERLINK("CSG16.html#group40C16", "40C¹⁶"), =HYPERLINK("CSG19.html#group16A19", "16A¹⁹"), =HYPERLINK("CSG24.html#group112S24", "112S²⁴"), =HYPERLINK("CSG9.html#group64I9", "64I⁹"), =HYPERLINK("CSG14.html#group64F14", "64F¹⁴"), =HYPERLINK("CSG15.html#group48J15", "48J¹⁵"), =HYPERLINK("CSG17.html#group24AS17", "24AS¹⁷"), =HYPERLINK("CSG10.html#group16C10", "16C¹⁰"), =HYPERLINK("CSG1.html#group16J1", "16J¹"), =HYPERLINK("CSG21.html#group72K21", "72K²¹"), =HYPERLINK("CSG15.html#group48AE15", "48AE¹⁵"), =HYPERLINK("CSG21.html#group24J21", "24J²¹"), =HYPERLINK("CSG8.html#group40F8", "40F⁸"), =HYPERLINK("CSG15.html#group64I15", "64I¹⁵"), =HYPERLINK("CSG15.html#group40AI15", "40AI¹⁵"), =HYPERLINK("CSG15.html#group40S15", "40S¹⁵"), =HYPERLINK("CSG2.html#group24M2", "24M²"), =HYPERLINK("CSG13.html#group64O13", "64O¹³"), =HYPERLINK("CSG13.html#group48AF13", "48AF¹³"), =HYPERLINK("CSG21.html#group72L21", "72L²¹"), =HYPERLINK("CSG13.html#group16C13", "16C¹³"), =HYPERLINK("CSG17.html#group48AZ17", "48AZ¹⁷"), =HYPERLINK("CSG17.html#group96AE17", "96AE¹⁷"), =HYPERLINK("CSG19.html#group48BF19", "48BF¹⁹"), =HYPERLINK("CSG17.html#group80J17", "80J¹⁷"), =HYPERLINK("CSG15.html#group48AF15", "48AF¹⁵"), =HYPERLINK("CSG7.html#group48AF7", "48AF⁷"), =HYPERLINK("CSG21.html#group32T21", "32T²¹"), =HYPERLINK("CSG6.html#group32H6", "32H⁶"), =HYPERLINK("CSG17.html#group96AB17", "96AB¹⁷"), =HYPERLINK("CSG13.html#group64N13", "64N¹³"), =HYPERLINK("CSG5.html#group16D5", "16D⁵"), =HYPERLINK("CSG7.html#group24AA7", "24AA⁷"), =HYPERLINK("CSG5.html#group24N5", "24N⁵"), =HYPERLINK("CSG5.html#group32K5", "32K⁵"), =HYPERLINK("CSG21.html#group32M21", "32M²¹"), =HYPERLINK("CSG5.html#group16M5", "16M⁵"), =HYPERLINK("CSG19.html#group48BJ19", "48BJ¹⁹"), =HYPERLINK("CSG17.html#group96AA17", "96AA¹⁷"), =HYPERLINK("CSG9.html#group24AH9", "24AH⁹"), =HYPERLINK("CSG14.html#group64G14", "64G¹⁴"), =HYPERLINK("CSG13.html#group32L13", "32L¹³"), =HYPERLINK("CSG21.html#group80AB21", "80AB²¹"), =HYPERLINK("CSG17.html#group24L17", "24L¹⁷"), =HYPERLINK("CSG23.html#group96H23", "96H²³"), =HYPERLINK("CSG3.html#group32N3", "32N³"), =HYPERLINK("CSG13.html#group64T13", "64T¹³"), =HYPERLINK("CSG13.html#group32E13", "32E¹³"), =HYPERLINK("CSG18.html#group80E18", "80E¹⁸"), =HYPERLINK("CSG13.html#group32Q13", "32Q¹³"), =HYPERLINK("CSG13.html#group16B13", "16B¹³"), =HYPERLINK("CSG10.html#group32A10", "32A¹⁰"), =HYPERLINK("CSG9.html#group48X9", "48X⁹"), =HYPERLINK("CSG23.html#group96V23", "96V²³"), =HYPERLINK("CSG13.html#group64R13", "64R¹³"), =HYPERLINK("CSG11.html#group96J11", "96J¹¹"), =HYPERLINK("CSG13.html#group64L13", "64L¹³"), =HYPERLINK("CSG13.html#group48O13", "48O¹³"), =HYPERLINK("CSG6.html#group16C6", "16C⁶"), =HYPERLINK("CSG15.html#group40AF15", "40AF¹⁵"), =HYPERLINK("CSG21.html#group80X21", "80X²¹"), =HYPERLINK("CSG19.html#group48AR19", "48AR¹⁹"), =HYPERLINK("CSG23.html#group32H23", "32H²³"), =HYPERLINK("CSG11.html#group32I11", "32I¹¹"), =HYPERLINK("CSG17.html#group48AT17", "48AT¹⁷"), =HYPERLINK("CSG13.html#group24Y13", "24Y¹³"), =HYPERLINK("CSG20.html#group96I20", "96I²⁰"), =HYPERLINK("CSG20.html#group96Q20", "96Q²⁰"), =HYPERLINK("CSG10.html#group56E10", "56E¹⁰"), =HYPERLINK("CSG17.html#group48CG17", "48CG¹⁷"), =HYPERLINK("CSG21.html#group112D21", "112D²¹"), =HYPERLINK("CSG3.html#group16O3", "16O³"), =HYPERLINK("CSG24.html#group112T24", "112T²⁴"), =HYPERLINK("CSG5.html#group24Y5", "24Y⁵"), =HYPERLINK("CSG9.html#group32O9", "32O⁹"), =HYPERLINK("CSG22.html#group40G22", "40G²²"), =HYPERLINK("CSG5.html#group8A5", "8A⁵"), =HYPERLINK("CSG21.html#group48BD21", "48BD²¹"), =HYPERLINK("CSG21.html#group48AL21", "48AL²¹"), =HYPERLINK("CSG15.html#group48AD15", "48AD¹⁵"), =HYPERLINK("CSG9.html#group24D9", "24D⁹"), =HYPERLINK("CSG23.html#group56H23", "56H²³"), =HYPERLINK("CSG13.html#group32H13", "32H¹³"), =HYPERLINK("CSG21.html#group16F21", "16F²¹"), =HYPERLINK("CSG23.html#group32E23", "32E²³"), =HYPERLINK("CSG22.html#group56E22", "56E²²"), =HYPERLINK("CSG21.html#group48BG21", "48BG²¹"), =HYPERLINK("CSG2.html#group16F2", "16F²"), =HYPERLINK("CSG15.html#group16A15", "16A¹⁵"), =HYPERLINK("CSG13.html#group32M13", "32M¹³"), =HYPERLINK("CSG3.html#group16F3", "16F³"), =HYPERLINK("CSG18.html#group64A18", "64A¹⁸"), =HYPERLINK("CSG13.html#group32D13", "32D¹³"), =HYPERLINK("CSG19.html#group96W19", "96W¹⁹"), =HYPERLINK("CSG15.html#group64J15", "64J¹⁵"), =HYPERLINK("CSG23.html#group104R23", "104R²³"), =HYPERLINK("CSG20.html#group96J20", "96J²⁰"), =HYPERLINK("CSG21.html#group32Q21", "32Q²¹"), =HYPERLINK("CSG8.html#group48AA8", "48AA⁸"), =HYPERLINK("CSG5.html#group32L5", "32L⁵"), =HYPERLINK("CSG21.html#group64I21", "64I²¹"), =HYPERLINK("CSG6.html#group32F6", "32F⁶"), =HYPERLINK("CSG5.html#group16C5", "16C⁵"), =HYPERLINK("CSG8.html#group48X8", "48X⁸"), =HYPERLINK("CSG19.html#group32D19", "32D¹⁹"), =HYPERLINK("CSG19.html#group80AD19", "80AD¹⁹"), =HYPERLINK("CSG14.html#group64E14", "64E¹⁴"), =HYPERLINK("CSG16.html#group24A16", "24A¹⁶"), =HYPERLINK("CSG17.html#group96H17", "96H¹⁷"), =HYPERLINK("CSG21.html#group48CP21", "48CP²¹"), =HYPERLINK("CSG7.html#group32J7", "32J⁷"), =HYPERLINK("CSG3.html#group16S3", "16S³"), =HYPERLINK("CSG2.html#group8C2", "8C²"), =HYPERLINK("CSG17.html#group40AE17", "40AE¹⁷"), =HYPERLINK("CSG17.html#group32A17", "32A¹⁷"), =HYPERLINK("CSG13.html#group64P13", "64P¹³"), =HYPERLINK("CSG23.html#group96N23", "96N²³"), =HYPERLINK("CSG13.html#group32T13", "32T¹³"), =HYPERLINK("CSG23.html#group112N23", "112N²³"), =HYPERLINK("CSG1.html#group8G1", "8G¹"), =HYPERLINK("CSG14.html#group64H14", "64H¹⁴"), =HYPERLINK("CSG19.html#group32E19", "32E¹⁹"), =HYPERLINK("CSG21.html#group64M21", "64M²¹"), =HYPERLINK("CSG19.html#group80H19", "80H¹⁹"), =HYPERLINK("CSG7.html#group32H7", "32H⁷"), =HYPERLINK("CSG21.html#group64L21", "64L²¹"), =HYPERLINK("CSG18.html#group32A18", "32A¹⁸"), =HYPERLINK("CSG15.html#group24U15", "24U¹⁵"), =HYPERLINK("CSG17.html#group48AY17", "48AY¹⁷"), =HYPERLINK("CSG15.html#group64G15", "64G¹⁵"), =HYPERLINK("CSG5.html#group48F5", "48F⁵"), =HYPERLINK("CSG17.html#group24V17", "24V¹⁷"), =HYPERLINK("CSG17.html#group24B17", "24B¹⁷"), =HYPERLINK("CSG12.html#group72J12", "72J¹²"), =HYPERLINK("CSG1.html#group8K1", "8K¹"), =HYPERLINK("CSG3.html#group16M3", "16M³"), =HYPERLINK("CSG23.html#group96M23", "96M²³"), =HYPERLINK("CSG5.html#group16G5", "16G⁵"), =HYPERLINK("CSG13.html#group32O13", "32O¹³"), =HYPERLINK("CSG20.html#group96P20", "96P²⁰"), =HYPERLINK("CSG17.html#group96G17", "96G¹⁷"), =HYPERLINK("CSG9.html#group32P9", "32P⁹"), =HYPERLINK("CSG16.html#group48F16", "48F¹⁶"), =HYPERLINK("CSG17.html#group32E17", "32E¹⁷"), =HYPERLINK("CSG19.html#group48AJ19", "48AJ¹⁹"), =HYPERLINK("CSG17.html#group40AG17", "40AG¹⁷"), =HYPERLINK("CSG21.html#group48CQ21", "48CQ²¹"), =HYPERLINK("CSG11.html#group32G11", "32G¹¹"), =HYPERLINK("CSG23.html#group96U23", "96U²³"), =HYPERLINK("CSG21.html#group32V21", "32V²¹"), =HYPERLINK("CSG7.html#group40AB7", "40AB⁷"), =HYPERLINK("CSG13.html#group64Q13", "64Q¹³"), =HYPERLINK("CSG15.html#group24M15", "24M¹⁵")</f>
        <v/>
      </c>
    </row>
    <row r="56">
      <c r="A56" t="inlineStr">
        <is>
          <t>8M⁰</t>
        </is>
      </c>
      <c r="B56" t="inlineStr"/>
      <c r="C56" t="inlineStr">
        <is>
          <t>32</t>
        </is>
      </c>
      <c r="D56" t="inlineStr">
        <is>
          <t>2</t>
        </is>
      </c>
      <c r="E56" t="inlineStr">
        <is>
          <t>16</t>
        </is>
      </c>
      <c r="F56" t="inlineStr">
        <is>
          <t>4</t>
        </is>
      </c>
      <c r="G56" t="inlineStr">
        <is>
          <t>2</t>
        </is>
      </c>
      <c r="H56" t="inlineStr">
        <is>
          <t>8⁴</t>
        </is>
      </c>
      <c r="I56" t="n">
        <v>4</v>
      </c>
      <c r="J56" t="inlineStr">
        <is>
          <t>4⁸</t>
        </is>
      </c>
      <c r="K56">
        <f>HYPERLINK("CSG0.html#group8A0", "8A⁰"), =HYPERLINK("CSG0.html#group8F0", "8F⁰")</f>
        <v/>
      </c>
      <c r="L56">
        <f>HYPERLINK("CSG1.html#group8J1", "8J¹"), =HYPERLINK("CSG2.html#group8C2", "8C²"), =HYPERLINK("CSG2.html#group16H2", "16H²"), =HYPERLINK("CSG4.html#group24S4", "24S⁴"), =HYPERLINK("CSG5.html#group16L5", "16L⁵"), =HYPERLINK("CSG7.html#group24F7", "24F⁷"), =HYPERLINK("CSG10.html#group40B10", "40B¹⁰"), =HYPERLINK("CSG11.html#group40I11", "40I¹¹"), =HYPERLINK("CSG14.html#group56E14", "56E¹⁴"), =HYPERLINK("CSG14.html#group56F14", "56F¹⁴"), =HYPERLINK("CSG17.html#group56D17", "56D¹⁷"), =HYPERLINK("CSG21.html#group40E21", "40E²¹"), =HYPERLINK("CSG24.html#group88A24", "88A²⁴"), =HYPERLINK("CSG24.html#group88B24", "88B²⁴")</f>
        <v/>
      </c>
      <c r="M56">
        <f>HYPERLINK("CSG0.html#group8A0", "8A⁰"), =HYPERLINK("CSG0.html#group8F0", "8F⁰"), =HYPERLINK("CSG0.html#group1A0", "1A⁰"), =HYPERLINK("CSG0.html#group4A0", "4A⁰")</f>
        <v/>
      </c>
      <c r="N56">
        <f>HYPERLINK("CSG9.html#group24AO9", "24AO⁹"), =HYPERLINK("CSG4.html#group24S4", "24S⁴"), =HYPERLINK("CSG19.html#group16B19", "16B¹⁹"), =HYPERLINK("CSG21.html#group40E21", "40E²¹"), =HYPERLINK("CSG19.html#group32D19", "32D¹⁹"), =HYPERLINK("CSG21.html#group32M21", "32M²¹"), =HYPERLINK("CSG18.html#group32B18", "32B¹⁸"), =HYPERLINK("CSG2.html#group8C2", "8C²"), =HYPERLINK("CSG16.html#group24A16", "24A¹⁶"), =HYPERLINK("CSG13.html#group24D13", "24D¹³"), =HYPERLINK("CSG21.html#group40C21", "40C²¹"), =HYPERLINK("CSG1.html#group8J1", "8J¹"), =HYPERLINK("CSG24.html#group88A24", "88A²⁴"), =HYPERLINK("CSG6.html#group32G6", "32G⁶"), =HYPERLINK("CSG14.html#group56F14", "56F¹⁴"), =HYPERLINK("CSG17.html#group16A17", "16A¹⁷"), =HYPERLINK("CSG12.html#group48B12", "48B¹²"), =HYPERLINK("CSG14.html#group56E14", "56E¹⁴"), =HYPERLINK("CSG2.html#group16H2", "16H²"), =HYPERLINK("CSG13.html#group16B13", "16B¹³"), =HYPERLINK("CSG5.html#group16L5", "16L⁵"), =HYPERLINK("CSG19.html#group32E19", "32E¹⁹"), =HYPERLINK("CSG7.html#group16D7", "16D⁷"), =HYPERLINK("CSG21.html#group16B21", "16B²¹"), =HYPERLINK("CSG18.html#group32A18", "32A¹⁸"), =HYPERLINK("CSG6.html#group16C6", "16C⁶"), =HYPERLINK("CSG5.html#group16K5", "16K⁵"), =HYPERLINK("CSG21.html#group32P21", "32P²¹"), =HYPERLINK("CSG22.html#group80A22", "80A²²"), =HYPERLINK("CSG11.html#group16E11", "16E¹¹"), =HYPERLINK("CSG23.html#group48E23", "48E²³"), =HYPERLINK("CSG19.html#group16A19", "16A¹⁹"), =HYPERLINK("CSG12.html#group48A12", "48A¹²"), =HYPERLINK("CSG13.html#group16A13", "16A¹³"), =HYPERLINK("CSG14.html#group64I14", "64I¹⁴"), =HYPERLINK("CSG10.html#group16C10", "16C¹⁰"), =HYPERLINK("CSG11.html#group24M11", "24M¹¹"), =HYPERLINK("CSG10.html#group40B10", "40B¹⁰"), =HYPERLINK("CSG21.html#group40M21", "40M²¹"), =HYPERLINK("CSG5.html#group8A5", "8A⁵"), =HYPERLINK("CSG21.html#group24J21", "24J²¹"), =HYPERLINK("CSG21.html#group16F21", "16F²¹"), =HYPERLINK("CSG23.html#group32E23", "32E²³"), =HYPERLINK("CSG18.html#group72A18", "72A¹⁸"), =HYPERLINK("CSG17.html#group48A17", "48A¹⁷"), =HYPERLINK("CSG11.html#group40I11", "40I¹¹"), =HYPERLINK("CSG21.html#group24M21", "24M²¹"), =HYPERLINK("CSG15.html#group16A15", "16A¹⁵"), =HYPERLINK("CSG7.html#group24F7", "24F⁷"), =HYPERLINK("CSG11.html#group24C11", "24C¹¹"), =HYPERLINK("CSG9.html#group16H9", "16H⁹"), =HYPERLINK("CSG24.html#group88B24", "88B²⁴"), =HYPERLINK("CSG17.html#group56D17", "56D¹⁷"), =HYPERLINK("CSG13.html#group32S13", "32S¹³"), =HYPERLINK("CSG13.html#group24I13", "24I¹³")</f>
        <v/>
      </c>
    </row>
    <row r="57">
      <c r="A57" t="inlineStr">
        <is>
          <t>8N⁰</t>
        </is>
      </c>
      <c r="B57" t="inlineStr"/>
      <c r="C57" t="inlineStr">
        <is>
          <t>48</t>
        </is>
      </c>
      <c r="D57" t="inlineStr">
        <is>
          <t>1</t>
        </is>
      </c>
      <c r="E57" t="inlineStr">
        <is>
          <t>3</t>
        </is>
      </c>
      <c r="F57" t="inlineStr">
        <is>
          <t>0</t>
        </is>
      </c>
      <c r="G57" t="inlineStr">
        <is>
          <t>0</t>
        </is>
      </c>
      <c r="H57" t="inlineStr">
        <is>
          <t>4⁸, 8²</t>
        </is>
      </c>
      <c r="I57" t="n">
        <v>10</v>
      </c>
      <c r="J57" t="inlineStr">
        <is>
          <t>1³</t>
        </is>
      </c>
      <c r="K57">
        <f>HYPERLINK("CSG0.html#group4G0", "4G⁰"), =HYPERLINK("CSG0.html#group8J0", "8J⁰"), =HYPERLINK("CSG0.html#group8K0", "8K⁰")</f>
        <v/>
      </c>
      <c r="L57">
        <f>HYPERLINK("CSG1.html#group8K1", "8K¹"), =HYPERLINK("CSG2.html#group16I2", "16I²"), =HYPERLINK("CSG3.html#group8B3", "8B³"), =HYPERLINK("CSG7.html#group24AG7", "24AG⁷"), =HYPERLINK("CSG8.html#group24A8", "24A⁸"), =HYPERLINK("CSG15.html#group40V15", "40V¹⁵"), =HYPERLINK("CSG16.html#group40A16", "40A¹⁶"), =HYPERLINK("CSG23.html#group56P23", "56P²³"), =HYPERLINK("CSG24.html#group56B24", "56B²⁴")</f>
        <v/>
      </c>
      <c r="M57">
        <f>HYPERLINK("CSG0.html#group2A0", "2A⁰"), =HYPERLINK("CSG0.html#group8K0", "8K⁰"), =HYPERLINK("CSG0.html#group4A0", "4A⁰"), =HYPERLINK("CSG0.html#group4D0", "4D⁰"), =HYPERLINK("CSG0.html#group4C0", "4C⁰"), =HYPERLINK("CSG0.html#group4G0", "4G⁰"), =HYPERLINK("CSG0.html#group2B0", "2B⁰"), =HYPERLINK("CSG0.html#group4E0", "4E⁰"), =HYPERLINK("CSG0.html#group1A0", "1A⁰"), =HYPERLINK("CSG0.html#group4F0", "4F⁰"), =HYPERLINK("CSG0.html#group4B0", "4B⁰"), =HYPERLINK("CSG0.html#group8J0", "8J⁰"), =HYPERLINK("CSG0.html#group2C0", "2C⁰")</f>
        <v/>
      </c>
      <c r="N57">
        <f>HYPERLINK("CSG9.html#group16D9", "16D⁹"), =HYPERLINK("CSG3.html#group8B3", "8B³"), =HYPERLINK("CSG17.html#group24AT17", "24AT¹⁷"), =HYPERLINK("CSG11.html#group16A11", "16A¹¹"), =HYPERLINK("CSG5.html#group16M5", "16M⁵"), =HYPERLINK("CSG21.html#group24E21", "24E²¹"), =HYPERLINK("CSG7.html#group16B7", "16B⁷"), =HYPERLINK("CSG15.html#group40V15", "40V¹⁵"), =HYPERLINK("CSG23.html#group56P23", "56P²³"), =HYPERLINK("CSG21.html#group32A21", "32A²¹"), =HYPERLINK("CSG13.html#group24AB13", "24AB¹³"), =HYPERLINK("CSG17.html#group32A17", "32A¹⁷"), =HYPERLINK("CSG21.html#group32B21", "32B²¹"), =HYPERLINK("CSG17.html#group16A17", "16A¹⁷"), =HYPERLINK("CSG17.html#group16B17", "16B¹⁷"), =HYPERLINK("CSG19.html#group24D19", "24D¹⁹"), =HYPERLINK("CSG13.html#group32T13", "32T¹³"), =HYPERLINK("CSG13.html#group16B13", "16B¹³"), =HYPERLINK("CSG15.html#group24B15", "24B¹⁵"), =HYPERLINK("CSG24.html#group56B24", "56B²⁴"), =HYPERLINK("CSG5.html#group16O5", "16O⁵"), =HYPERLINK("CSG19.html#group48BP19", "48BP¹⁹"), =HYPERLINK("CSG21.html#group16B21", "16B²¹"), =HYPERLINK("CSG9.html#group16E9", "16E⁹"), =HYPERLINK("CSG17.html#group24AO17", "24AO¹⁷"), =HYPERLINK("CSG17.html#group24W17", "24W¹⁷"), =HYPERLINK("CSG9.html#group16C9", "16C⁹"), =HYPERLINK("CSG17.html#group24B17", "24B¹⁷"), =HYPERLINK("CSG8.html#group24A8", "24A⁸"), =HYPERLINK("CSG1.html#group8K1", "8K¹"), =HYPERLINK("CSG21.html#group16D21", "16D²¹"), =HYPERLINK("CSG2.html#group16I2", "16I²"), =HYPERLINK("CSG19.html#group48BO19", "48BO¹⁹"), =HYPERLINK("CSG21.html#group32C21", "32C²¹"), =HYPERLINK("CSG18.html#group48B18", "48B¹⁸"), =HYPERLINK("CSG7.html#group24AG7", "24AG⁷"), =HYPERLINK("CSG19.html#group24H19", "24H¹⁹"), =HYPERLINK("CSG5.html#group8A5", "8A⁵"), =HYPERLINK("CSG17.html#group32E17", "32E¹⁷"), =HYPERLINK("CSG16.html#group40A16", "40A¹⁶"), =HYPERLINK("CSG13.html#group16C13", "16C¹³"), =HYPERLINK("CSG19.html#group32A19", "32A¹⁹"), =HYPERLINK("CSG18.html#group48G18", "48G¹⁸"), =HYPERLINK("CSG21.html#group32D21", "32D²¹"), =HYPERLINK("CSG21.html#group24G21", "24G²¹"), =HYPERLINK("CSG21.html#group16E21", "16E²¹")</f>
        <v/>
      </c>
    </row>
    <row r="58">
      <c r="A58" t="inlineStr">
        <is>
          <t>8O⁰</t>
        </is>
      </c>
      <c r="B58" t="inlineStr">
        <is>
          <t>Γ₁(8)∩Γ(2)</t>
        </is>
      </c>
      <c r="C58" t="inlineStr">
        <is>
          <t>48</t>
        </is>
      </c>
      <c r="D58" t="inlineStr">
        <is>
          <t>1</t>
        </is>
      </c>
      <c r="E58" t="inlineStr">
        <is>
          <t>6</t>
        </is>
      </c>
      <c r="F58" t="inlineStr">
        <is>
          <t>0</t>
        </is>
      </c>
      <c r="G58" t="inlineStr">
        <is>
          <t>0</t>
        </is>
      </c>
      <c r="H58" t="inlineStr">
        <is>
          <t>2⁴, 4², 8⁴</t>
        </is>
      </c>
      <c r="I58" t="n">
        <v>10</v>
      </c>
      <c r="J58" t="inlineStr">
        <is>
          <t>1⁴, 2¹</t>
        </is>
      </c>
      <c r="K58">
        <f>HYPERLINK("CSG0.html#group8G0", "8G⁰"), =HYPERLINK("CSG0.html#group8I0", "8I⁰"), =HYPERLINK("CSG0.html#group8J0", "8J⁰")</f>
        <v/>
      </c>
      <c r="L58">
        <f>HYPERLINK("CSG1.html#group8K1", "8K¹"), =HYPERLINK("CSG1.html#group16M1", "16M¹"), =HYPERLINK("CSG2.html#group16K2", "16K²"), =HYPERLINK("CSG3.html#group16J3", "16J³"), =HYPERLINK("CSG7.html#group24AI7", "24AI⁷"), =HYPERLINK("CSG8.html#group24B8", "24B⁸"), =HYPERLINK("CSG15.html#group40X15", "40X¹⁵"), =HYPERLINK("CSG16.html#group40B16", "40B¹⁶"), =HYPERLINK("CSG23.html#group56R23", "56R²³"), =HYPERLINK("CSG24.html#group56D24", "56D²⁴")</f>
        <v/>
      </c>
      <c r="M58">
        <f>HYPERLINK("CSG0.html#group2A0", "2A⁰"), =HYPERLINK("CSG0.html#group8G0", "8G⁰"), =HYPERLINK("CSG0.html#group8D0", "8D⁰"), =HYPERLINK("CSG0.html#group4C0", "4C⁰"), =HYPERLINK("CSG0.html#group1A0", "1A⁰"), =HYPERLINK("CSG0.html#group2B0", "2B⁰"), =HYPERLINK("CSG0.html#group4E0", "4E⁰"), =HYPERLINK("CSG0.html#group8I0", "8I⁰"), =HYPERLINK("CSG0.html#group8C0", "8C⁰"), =HYPERLINK("CSG0.html#group4B0", "4B⁰"), =HYPERLINK("CSG0.html#group8J0", "8J⁰"), =HYPERLINK("CSG0.html#group2C0", "2C⁰")</f>
        <v/>
      </c>
      <c r="N58">
        <f>HYPERLINK("CSG9.html#group32C9", "32C⁹"), =HYPERLINK("CSG7.html#group24AI7", "24AI⁷"), =HYPERLINK("CSG19.html#group48BS19", "48BS¹⁹"), =HYPERLINK("CSG24.html#group56D24", "56D²⁴"), =HYPERLINK("CSG5.html#group16M5", "16M⁵"), =HYPERLINK("CSG5.html#group32N5", "32N⁵"), =HYPERLINK("CSG16.html#group40B16", "40B¹⁶"), =HYPERLINK("CSG17.html#group48D17", "48D¹⁷"), =HYPERLINK("CSG21.html#group64C21", "64C²¹"), =HYPERLINK("CSG9.html#group32D9", "32D⁹"), =HYPERLINK("CSG17.html#group64D17", "64D¹⁷"), =HYPERLINK("CSG17.html#group32A17", "32A¹⁷"), =HYPERLINK("CSG11.html#group32B11", "32B¹¹"), =HYPERLINK("CSG3.html#group16J3", "16J³"), =HYPERLINK("CSG5.html#group32M5", "32M⁵"), =HYPERLINK("CSG17.html#group16A17", "16A¹⁷"), =HYPERLINK("CSG17.html#group16B17", "16B¹⁷"), =HYPERLINK("CSG21.html#group64B21", "64B²¹"), =HYPERLINK("CSG17.html#group32D17", "32D¹⁷"), =HYPERLINK("CSG13.html#group32T13", "32T¹³"), =HYPERLINK("CSG13.html#group16B13", "16B¹³"), =HYPERLINK("CSG15.html#group40X15", "40X¹⁵"), =HYPERLINK("CSG5.html#group16O5", "16O⁵"), =HYPERLINK("CSG17.html#group24AR17", "24AR¹⁷"), =HYPERLINK("CSG21.html#group48CK21", "48CK²¹"), =HYPERLINK("CSG21.html#group16B21", "16B²¹"), =HYPERLINK("CSG1.html#group16M1", "16M¹"), =HYPERLINK("CSG9.html#group16E9", "16E⁹"), =HYPERLINK("CSG17.html#group48CL17", "48CL¹⁷"), =HYPERLINK("CSG9.html#group32E9", "32E⁹"), =HYPERLINK("CSG13.html#group32U13", "32U¹³"), =HYPERLINK("CSG17.html#group24AO17", "24AO¹⁷"), =HYPERLINK("CSG17.html#group48H17", "48H¹⁷"), =HYPERLINK("CSG17.html#group32B17", "32B¹⁷"), =HYPERLINK("CSG5.html#group16N5", "16N⁵"), =HYPERLINK("CSG13.html#group64V13", "64V¹³"), =HYPERLINK("CSG17.html#group24B17", "24B¹⁷"), =HYPERLINK("CSG1.html#group8K1", "8K¹"), =HYPERLINK("CSG21.html#group32G21", "32G²¹"), =HYPERLINK("CSG8.html#group24B8", "24B⁸"), =HYPERLINK("CSG21.html#group32C21", "32C²¹"), =HYPERLINK("CSG21.html#group64A21", "64A²¹"), =HYPERLINK("CSG18.html#group48I18", "48I¹⁸"), =HYPERLINK("CSG21.html#group64E21", "64E²¹"), =HYPERLINK("CSG21.html#group32H21", "32H²¹"), =HYPERLINK("CSG7.html#group16C7", "16C⁷"), =HYPERLINK("CSG19.html#group48BT19", "48BT¹⁹"), =HYPERLINK("CSG2.html#group16K2", "16K²"), =HYPERLINK("CSG5.html#group8A5", "8A⁵"), =HYPERLINK("CSG17.html#group24S17", "24S¹⁷"), =HYPERLINK("CSG21.html#group48CI21", "48CI²¹"), =HYPERLINK("CSG19.html#group48M19", "48M¹⁹"), =HYPERLINK("CSG17.html#group32E17", "32E¹⁷"), =HYPERLINK("CSG17.html#group48CM17", "48CM¹⁷"), =HYPERLINK("CSG19.html#group32C19", "32C¹⁹"), =HYPERLINK("CSG17.html#group64A17", "64A¹⁷"), =HYPERLINK("CSG23.html#group56R23", "56R²³"), =HYPERLINK("CSG19.html#group48C19", "48C¹⁹"), =HYPERLINK("CSG13.html#group16C13", "16C¹³"), =HYPERLINK("CSG15.html#group24E15", "24E¹⁵"), =HYPERLINK("CSG13.html#group24AC13", "24AC¹³"), =HYPERLINK("CSG18.html#group48D18", "48D¹⁸")</f>
        <v/>
      </c>
    </row>
    <row r="59">
      <c r="A59" t="inlineStr">
        <is>
          <t>8P⁰</t>
        </is>
      </c>
      <c r="B59" t="inlineStr"/>
      <c r="C59" t="inlineStr">
        <is>
          <t>48</t>
        </is>
      </c>
      <c r="D59" t="inlineStr">
        <is>
          <t>1</t>
        </is>
      </c>
      <c r="E59" t="inlineStr">
        <is>
          <t>12</t>
        </is>
      </c>
      <c r="F59" t="inlineStr">
        <is>
          <t>4</t>
        </is>
      </c>
      <c r="G59" t="inlineStr">
        <is>
          <t>0</t>
        </is>
      </c>
      <c r="H59" t="inlineStr">
        <is>
          <t>4⁴, 8⁴</t>
        </is>
      </c>
      <c r="I59" t="n">
        <v>8</v>
      </c>
      <c r="J59" t="inlineStr">
        <is>
          <t>2⁶</t>
        </is>
      </c>
      <c r="K59">
        <f>HYPERLINK("CSG0.html#group8H0", "8H⁰"), =HYPERLINK("CSG0.html#group8L0", "8L⁰")</f>
        <v/>
      </c>
      <c r="L59">
        <f>HYPERLINK("CSG1.html#group8K1", "8K¹"), =HYPERLINK("CSG2.html#group8C2", "8C²"), =HYPERLINK("CSG2.html#group16L2", "16L²"), =HYPERLINK("CSG3.html#group16M3", "16M³"), =HYPERLINK("CSG5.html#group16G5", "16G⁵"), =HYPERLINK("CSG6.html#group24D6", "24D⁶"), =HYPERLINK("CSG9.html#group24AJ9", "24AJ⁹"), =HYPERLINK("CSG15.html#group40AF15", "40AF¹⁵"), =HYPERLINK("CSG16.html#group40C16", "40C¹⁶"), =HYPERLINK("CSG22.html#group56E22", "56E²²")</f>
        <v/>
      </c>
      <c r="M59">
        <f>HYPERLINK("CSG0.html#group8H0", "8H⁰"), =HYPERLINK("CSG0.html#group8D0", "8D⁰"), =HYPERLINK("CSG0.html#group4A0", "4A⁰"), =HYPERLINK("CSG0.html#group4C0", "4C⁰"), =HYPERLINK("CSG0.html#group8B0", "8B⁰"), =HYPERLINK("CSG0.html#group8L0", "8L⁰"), =HYPERLINK("CSG0.html#group2B0", "2B⁰"), =HYPERLINK("CSG0.html#group4F0", "4F⁰"), =HYPERLINK("CSG0.html#group1A0", "1A⁰")</f>
        <v/>
      </c>
      <c r="N59">
        <f>HYPERLINK("CSG13.html#group32K13", "32K¹³"), =HYPERLINK("CSG21.html#group64I21", "64I²¹"), =HYPERLINK("CSG6.html#group24D6", "24D⁶"), =HYPERLINK("CSG19.html#group16B19", "16B¹⁹"), =HYPERLINK("CSG19.html#group32D19", "32D¹⁹"), =HYPERLINK("CSG21.html#group32M21", "32M²¹"), =HYPERLINK("CSG5.html#group16M5", "16M⁵"), =HYPERLINK("CSG18.html#group32B18", "32B¹⁸"), =HYPERLINK("CSG16.html#group24B16", "24B¹⁶"), =HYPERLINK("CSG2.html#group8C2", "8C²"), =HYPERLINK("CSG16.html#group24A16", "24A¹⁶"), =HYPERLINK("CSG16.html#group48A16", "48A¹⁶"), =HYPERLINK("CSG17.html#group32A17", "32A¹⁷"), =HYPERLINK("CSG7.html#group16E7", "16E⁷"), =HYPERLINK("CSG21.html#group32Y21", "32Y²¹"), =HYPERLINK("CSG17.html#group16A17", "16A¹⁷"), =HYPERLINK("CSG17.html#group16B17", "16B¹⁷"), =HYPERLINK("CSG13.html#group32T13", "32T¹³"), =HYPERLINK("CSG9.html#group24AJ9", "24AJ⁹"), =HYPERLINK("CSG13.html#group16B13", "16B¹³"), =HYPERLINK("CSG13.html#group32Q13", "32Q¹³"), =HYPERLINK("CSG5.html#group16O5", "16O⁵"), =HYPERLINK("CSG19.html#group32E19", "32E¹⁹"), =HYPERLINK("CSG10.html#group32A10", "32A¹⁰"), =HYPERLINK("CSG13.html#group24X13", "24X¹³"), =HYPERLINK("CSG21.html#group48CO21", "48CO²¹"), =HYPERLINK("CSG7.html#group16D7", "16D⁷"), =HYPERLINK("CSG21.html#group16B21", "16B²¹"), =HYPERLINK("CSG18.html#group32A18", "32A¹⁸"), =HYPERLINK("CSG15.html#group40AF15", "40AF¹⁵"), =HYPERLINK("CSG6.html#group16C6", "16C⁶"), =HYPERLINK("CSG21.html#group48V21", "48V²¹"), =HYPERLINK("CSG21.html#group32P21", "32P²¹"), =HYPERLINK("CSG17.html#group24AO17", "24AO¹⁷"), =HYPERLINK("CSG23.html#group32H23", "32H²³"), =HYPERLINK("CSG16.html#group40C16", "40C¹⁶"), =HYPERLINK("CSG17.html#group48AT17", "48AT¹⁷"), =HYPERLINK("CSG9.html#group32H9", "32H⁹"), =HYPERLINK("CSG17.html#group24B17", "24B¹⁷"), =HYPERLINK("CSG11.html#group32K11", "32K¹¹"), =HYPERLINK("CSG19.html#group16A19", "16A¹⁹"), =HYPERLINK("CSG1.html#group8K1", "8K¹"), =HYPERLINK("CSG18.html#group64B18", "64B¹⁸"), =HYPERLINK("CSG3.html#group16M3", "16M³"), =HYPERLINK("CSG15.html#group48J15", "48J¹⁵"), =HYPERLINK("CSG21.html#group32C21", "32C²¹"), =HYPERLINK("CSG5.html#group16G5", "16G⁵"), =HYPERLINK("CSG10.html#group16C10", "16C¹⁰"), =HYPERLINK("CSG2.html#group16L2", "16L²"), =HYPERLINK("CSG5.html#group8A5", "8A⁵"), =HYPERLINK("CSG21.html#group24J21", "24J²¹"), =HYPERLINK("CSG16.html#group48F16", "48F¹⁶"), =HYPERLINK("CSG17.html#group32E17", "32E¹⁷"), =HYPERLINK("CSG21.html#group16F21", "16F²¹"), =HYPERLINK("CSG23.html#group32E23", "32E²³"), =HYPERLINK("CSG22.html#group56E22", "56E²²"), =HYPERLINK("CSG18.html#group64A18", "64A¹⁸"), =HYPERLINK("CSG15.html#group16A15", "16A¹⁵"), =HYPERLINK("CSG19.html#group48AJ19", "48AJ¹⁹"), =HYPERLINK("CSG9.html#group16H9", "16H⁹"), =HYPERLINK("CSG11.html#group32G11", "32G¹¹"), =HYPERLINK("CSG13.html#group16C13", "16C¹³"), =HYPERLINK("CSG6.html#group32H6", "32H⁶"), =HYPERLINK("CSG9.html#group16E9", "16E⁹"), =HYPERLINK("CSG15.html#group24M15", "24M¹⁵")</f>
        <v/>
      </c>
    </row>
    <row r="60">
      <c r="A60" t="inlineStr">
        <is>
          <t>9A⁰</t>
        </is>
      </c>
      <c r="B60" t="inlineStr"/>
      <c r="C60" t="inlineStr">
        <is>
          <t>9</t>
        </is>
      </c>
      <c r="D60" t="inlineStr">
        <is>
          <t>1</t>
        </is>
      </c>
      <c r="E60" t="inlineStr">
        <is>
          <t>9</t>
        </is>
      </c>
      <c r="F60" t="inlineStr">
        <is>
          <t>5</t>
        </is>
      </c>
      <c r="G60" t="inlineStr">
        <is>
          <t>0</t>
        </is>
      </c>
      <c r="H60" t="inlineStr">
        <is>
          <t>9¹</t>
        </is>
      </c>
      <c r="I60" t="n">
        <v>1</v>
      </c>
      <c r="J60" t="inlineStr">
        <is>
          <t>1¹, 2¹, 6¹</t>
        </is>
      </c>
      <c r="K60">
        <f>HYPERLINK("CSG0.html#group3A0", "3A⁰")</f>
        <v/>
      </c>
      <c r="L60">
        <f>HYPERLINK("CSG0.html#group9D0", "9D⁰"), =HYPERLINK("CSG0.html#group9G0", "9G⁰"), =HYPERLINK("CSG0.html#group18A0", "18A⁰"), =HYPERLINK("CSG1.html#group9B1", "9B¹"), =HYPERLINK("CSG1.html#group18A1", "18A¹"), =HYPERLINK("CSG1.html#group18E1", "18E¹"), =HYPERLINK("CSG1.html#group36A1", "36A¹"), =HYPERLINK("CSG2.html#group18A2", "18A²"), =HYPERLINK("CSG2.html#group45A2", "45A²"), =HYPERLINK("CSG2.html#group63A2", "63A²"), =HYPERLINK("CSG3.html#group45A3", "45A³"), =HYPERLINK("CSG5.html#group45E5", "45E⁵"), =HYPERLINK("CSG5.html#group99A5", "99A⁵"), =HYPERLINK("CSG6.html#group63A6", "63A⁶"), =HYPERLINK("CSG8.html#group117A8", "117A⁸"), =HYPERLINK("CSG9.html#group99A9", "99A⁹"), =HYPERLINK("CSG11.html#group153A11", "153A¹¹"), =HYPERLINK("CSG15.html#group171A15", "171A¹⁵"), =HYPERLINK("CSG18.html#group207A18", "207A¹⁸"), =HYPERLINK("CSG20.html#group261A20", "261A²⁰"), =HYPERLINK("CSG24.html#group279A24", "279A²⁴")</f>
        <v/>
      </c>
      <c r="M60">
        <f>HYPERLINK("CSG0.html#group3A0", "3A⁰"), =HYPERLINK("CSG0.html#group1A0", "1A⁰")</f>
        <v/>
      </c>
      <c r="N60">
        <f>HYPERLINK("CSG20.html#group225B20", "225B²⁰"), =HYPERLINK("CSG20.html#group45A20", "45A²⁰"), =HYPERLINK("CSG8.html#group36L8", "36L⁸"), =HYPERLINK("CSG20.html#group90D20", "90D²⁰"), =HYPERLINK("CSG10.html#group144B10", "144B¹⁰"), =HYPERLINK("CSG14.html#group72F14", "72F¹⁴"), =HYPERLINK("CSG8.html#group63A8", "63A⁸"), =HYPERLINK("CSG10.html#group36P10", "36P¹⁰"), =HYPERLINK("CSG6.html#group36I6", "36I⁶"), =HYPERLINK("CSG14.html#group72L14", "72L¹⁴"), =HYPERLINK("CSG8.html#group45D8", "45D⁸"), =HYPERLINK("CSG19.html#group36R19", "36R¹⁹"), =HYPERLINK("CSG13.html#group36C13", "36C¹³"), =HYPERLINK("CSG23.html#group288A23", "288A²³"), =HYPERLINK("CSG22.html#group54H22", "54H²²"), =HYPERLINK("CSG22.html#group126A22", "126A²²"), =HYPERLINK("CSG10.html#group90F10", "90F¹⁰"), =HYPERLINK("CSG19.html#group45F19", "45F¹⁹"), =HYPERLINK("CSG17.html#group126C17", "126C¹⁷"), =HYPERLINK("CSG15.html#group72P15", "72P¹⁵"), =HYPERLINK("CSG17.html#group72L17", "72L¹⁷"), =HYPERLINK("CSG6.html#group36E6", "36E⁶"), =HYPERLINK("CSG12.html#group126D12", "126D¹²"), =HYPERLINK("CSG5.html#group36K5", "36K⁵"), =HYPERLINK("CSG15.html#group36C15", "36C¹⁵"), =HYPERLINK("CSG16.html#group72L16", "72L¹⁶"), =HYPERLINK("CSG21.html#group45B21", "45B²¹"), =HYPERLINK("CSG16.html#group36H16", "36H¹⁶"), =HYPERLINK("CSG15.html#group72R15", "72R¹⁵"), =HYPERLINK("CSG17.html#group45D17", "45D¹⁷"), =HYPERLINK("CSG16.html#group27A16", "27A¹⁶"), =HYPERLINK("CSG21.html#group72P21", "72P²¹"), =HYPERLINK("CSG15.html#group45A15", "45A¹⁵"), =HYPERLINK("CSG12.html#group90D12", "90D¹²"), =HYPERLINK("CSG22.html#group90D22", "90D²²"), =HYPERLINK("CSG22.html#group18A22", "18A²²"), =HYPERLINK("CSG14.html#group90D14", "90D¹⁴"), =HYPERLINK("CSG21.html#group126E21", "126E²¹"), =HYPERLINK("CSG10.html#group18C10", "18C¹⁰"), =HYPERLINK("CSG15.html#group72V15", "72V¹⁵"), =HYPERLINK("CSG20.html#group144H20", "144H²⁰"), =HYPERLINK("CSG4.html#group18S4", "18S⁴"), =HYPERLINK("CSG15.html#group90M15", "90M¹⁵"), =HYPERLINK("CSG16.html#group72I16", "72I¹⁶"), =HYPERLINK("CSG19.html#group54A19", "54A¹⁹"), =HYPERLINK("CSG9.html#group90A9", "90A⁹"), =HYPERLINK("CSG9.html#group36K9", "36K⁹"), =HYPERLINK("CSG8.html#group27A8", "27A⁸"), =HYPERLINK("CSG16.html#group72F16", "72F¹⁶"), =HYPERLINK("CSG22.html#group54I22", "54I²²"), =HYPERLINK("CSG16.html#group45E16", "45E¹⁶"), =HYPERLINK("CSG10.html#group18B10", "18B¹⁰"), =HYPERLINK("CSG1.html#group9B1", "9B¹"), =HYPERLINK("CSG10.html#group72I10", "72I¹⁰"), =HYPERLINK("CSG23.html#group126A23", "126A²³"), =HYPERLINK("CSG22.html#group36A22", "36A²²"), =HYPERLINK("CSG23.html#group306A23", "306A²³"), =HYPERLINK("CSG23.html#group36A23", "36A²³"), =HYPERLINK("CSG16.html#group72H16", "72H¹⁶"), =HYPERLINK("CSG24.html#group63H24", "63H²⁴"), =HYPERLINK("CSG20.html#group234A20", "234A²⁰"), =HYPERLINK("CSG4.html#group36L4", "36L⁴"), =HYPERLINK("CSG12.html#group36F12", "36F¹²"), =HYPERLINK("CSG3.html#group36D3", "36D³"), =HYPERLINK("CSG11.html#group72G11", "72G¹¹"), =HYPERLINK("CSG16.html#group126A16", "126A¹⁶"), =HYPERLINK("CSG6.html#group18B6", "18B⁶"), =HYPERLINK("CSG16.html#group90B16", "90B¹⁶"), =HYPERLINK("CSG19.html#group126A19", "126A¹⁹"), =HYPERLINK("CSG14.html#group72N14", "72N¹⁴"), =HYPERLINK("CSG15.html#group90A15", "90A¹⁵"), =HYPERLINK("CSG24.html#group252A24", "252A²⁴"), =HYPERLINK("CSG2.html#group18A2", "18A²"), =HYPERLINK("CSG5.html#group36H5", "36H⁵"), =HYPERLINK("CSG18.html#group63C18", "63C¹⁸"), =HYPERLINK("CSG22.html#group180A22", "180A²²"), =HYPERLINK("CSG22.html#group144I22", "144I²²"), =HYPERLINK("CSG22.html#group36C22", "36C²²"), =HYPERLINK("CSG6.html#group18D6", "18D⁶"), =HYPERLINK("CSG5.html#group36C5", "36C⁵"), =HYPERLINK("CSG21.html#group72X21", "72X²¹"), =HYPERLINK("CSG12.html#group72F12", "72F¹²"), =HYPERLINK("CSG8.html#group72C8", "72C⁸"), =HYPERLINK("CSG22.html#group54J22", "54J²²"), =HYPERLINK("CSG17.html#group72G17", "72G¹⁷"), =HYPERLINK("CSG15.html#group45B15", "45B¹⁵"), =HYPERLINK("CSG20.html#group36B20", "36B²⁰"), =HYPERLINK("CSG23.html#group90C23", "90C²³"), =HYPERLINK("CSG9.html#group45B9", "45B⁹"), =HYPERLINK("CSG24.html#group72A24", "72A²⁴"), =HYPERLINK("CSG5.html#group45F5", "45F⁵"), =HYPERLINK("CSG22.html#group27B22", "27B²²"), =HYPERLINK("CSG18.html#group126E18", "126E¹⁸"), =HYPERLINK("CSG21.html#group90K21", "90K²¹"), =HYPERLINK("CSG8.html#group45A8", "45A⁸"), =HYPERLINK("CSG18.html#group90D18", "90D¹⁸"), =HYPERLINK("CSG20.html#group225D20", "225D²⁰"), =HYPERLINK("CSG2.html#group18K2", "18K²"), =HYPERLINK("CSG12.html#group72K12", "72K¹²"), =HYPERLINK("CSG16.html#group144D16", "144D¹⁶"), =HYPERLINK("CSG10.html#group36T10", "36T¹⁰"), =HYPERLINK("CSG21.html#group36D21", "36D²¹"), =HYPERLINK("CSG11.html#group72H11", "72H¹¹"), =HYPERLINK("CSG20.html#group180G20", "180G²⁰"), =HYPERLINK("CSG4.html#group72A4", "72A⁴"), =HYPERLINK("CSG15.html#group72K15", "72K¹⁵"), =HYPERLINK("CSG21.html#group90N21", "90N²¹"), =HYPERLINK("CSG6.html#group126A6", "126A⁶"), =HYPERLINK("CSG16.html#group72O16", "72O¹⁶"), =HYPERLINK("CSG22.html#group90C22", "90C²²"), =HYPERLINK("CSG22.html#group144F22", "144F²²"), =HYPERLINK("CSG14.html#group72C14", "72C¹⁴"), =HYPERLINK("CSG20.html#group225C20", "225C²⁰"), =HYPERLINK("CSG19.html#group90F19", "90F¹⁹"), =HYPERLINK("CSG16.html#group117A16", "117A¹⁶"), =HYPERLINK("CSG11.html#group72N11", "72N¹¹"), =HYPERLINK("CSG18.html#group126A18", "126A¹⁸"), =HYPERLINK("CSG12.html#group144B12", "144B¹²"), =HYPERLINK("CSG24.html#group252G24", "252G²⁴"), =HYPERLINK("CSG23.html#group126B23", "126B²³"), =HYPERLINK("CSG23.html#group72A23", "72A²³"), =HYPERLINK("CSG24.html#group90C24", "90C²⁴"), =HYPERLINK("CSG23.html#group144Y23", "144Y²³"), =HYPERLINK("CSG20.html#group36C20", "36C²⁰"), =HYPERLINK("CSG13.html#group180C13", "180C¹³"), =HYPERLINK("CSG14.html#group72M14", "72M¹⁴"), =HYPERLINK("CSG16.html#group72J16", "72J¹⁶"), =HYPERLINK("CSG21.html#group72AA21", "72AA²¹"), =HYPERLINK("CSG16.html#group36D16", "36D¹⁶"), =HYPERLINK("CSG16.html#group18D16", "18D¹⁶"), =HYPERLINK("CSG18.html#group72A18", "72A¹⁸"), =HYPERLINK("CSG12.html#group72O12", "72O¹²"), =HYPERLINK("CSG11.html#group36G11", "36G¹¹"), =HYPERLINK("CSG5.html#group36M5", "36M⁵"), =HYPERLINK("CSG12.html#group36G12", "36G¹²"), =HYPERLINK("CSG23.html#group72E23", "72E²³"), =HYPERLINK("CSG19.html#group72P19", "72P¹⁹"), =HYPERLINK("CSG19.html#group36K19", "36K¹⁹"), =HYPERLINK("CSG16.html#group144E16", "144E¹⁶"), =HYPERLINK("CSG11.html#group54A11", "54A¹¹"), =HYPERLINK("CSG19.html#group54B19", "54B¹⁹"), =HYPERLINK("CSG17.html#group117A17", "117A¹⁷"), =HYPERLINK("CSG2.html#group45A2", "45A²"), =HYPERLINK("CSG18.html#group63B18", "63B¹⁸"), =HYPERLINK("CSG13.html#group144C13", "144C¹³"), =HYPERLINK("CSG19.html#group72W19", "72W¹⁹"), =HYPERLINK("CSG3.html#group36E3", "36E³"), =HYPERLINK("CSG3.html#group27B3", "27B³"), =HYPERLINK("CSG4.html#group72C4", "72C⁴"), =HYPERLINK("CSG7.html#group18C7", "18C⁷"), =HYPERLINK("CSG23.html#group72F23", "72F²³"), =HYPERLINK("CSG19.html#group36N19", "36N¹⁹"), =HYPERLINK("CSG23.html#group144Q23", "144Q²³"), =HYPERLINK("CSG21.html#group126H21", "126H²¹"), =HYPERLINK("CSG23.html#group144R23", "144R²³"), =HYPERLINK("CSG20.html#group90C20", "90C²⁰"), =HYPERLINK("CSG24.html#group144A24", "144A²⁴"), =HYPERLINK("CSG8.html#group90B8", "90B⁸"), =HYPERLINK("CSG22.html#group90E22", "90E²²"), =HYPERLINK("CSG18.html#group72D18", "72D¹⁸"), =HYPERLINK("CSG13.html#group180E13", "180E¹³"), =HYPERLINK("CSG14.html#group144C14", "144C¹⁴"), =HYPERLINK("CSG13.html#group36Q13", "36Q¹³"), =HYPERLINK("CSG13.html#group144D13", "144D¹³"), =HYPERLINK("CSG23.html#group315A23", "315A²³"), =HYPERLINK("CSG16.html#group45B16", "45B¹⁶"), =HYPERLINK("CSG13.html#group45N13", "45N¹³"), =HYPERLINK("CSG7.html#group18K7", "18K⁷"), =HYPERLINK("CSG9.html#group72F9", "72F⁹"), =HYPERLINK("CSG14.html#group144D14", "144D¹⁴"), =HYPERLINK("CSG17.html#group126D17", "126D¹⁷"), =HYPERLINK("CSG16.html#group18A16", "18A¹⁶"), =HYPERLINK("CSG23.html#group144T23", "144T²³"), =HYPERLINK("CSG8.html#group36A8", "36A⁸"), =HYPERLINK("CSG19.html#group234A19", "234A¹⁹"), =HYPERLINK("CSG16.html#group72C16", "72C¹⁶"), =HYPERLINK("CSG11.html#group63A11", "63A¹¹"), =HYPERLINK("CSG4.html#group45C4", "45C⁴"), =HYPERLINK("CSG20.html#group108B20", "108B²⁰"), =HYPERLINK("CSG9.html#group45E9", "45E⁹"), =HYPERLINK("CSG23.html#group180M23", "180M²³"), =HYPERLINK("CSG7.html#group18F7", "18F⁷"), =HYPERLINK("CSG1.html#group18A1", "18A¹"), =HYPERLINK("CSG13.html#group36O13", "36O¹³"), =HYPERLINK("CSG12.html#group72J12", "72J¹²"), =HYPERLINK("CSG14.html#group45C14", "45C¹⁴"), =HYPERLINK("CSG5.html#group36J5", "36J⁵"), =HYPERLINK("CSG10.html#group72F10", "72F¹⁰"), =HYPERLINK("CSG8.html#group36C8", "36C⁸"), =HYPERLINK("CSG10.html#group36N10", "36N¹⁰"), =HYPERLINK("CSG7.html#group18E7", "18E⁷"), =HYPERLINK("CSG13.html#group144B13", "144B¹³"), =HYPERLINK("CSG5.html#group99A5", "99A⁵"), =HYPERLINK("CSG10.html#group90E10", "90E¹⁰"), =HYPERLINK("CSG13.html#group72P13", "72P¹³"), =HYPERLINK("CSG16.html#group234A16", "234A¹⁶"), =HYPERLINK("CSG4.html#group18R4", "18R⁴"), =HYPERLINK("CSG13.html#group180D13", "180D¹³"), =HYPERLINK("CSG14.html#group72H14", "72H¹⁴"), =HYPERLINK("CSG13.html#group72H13", "72H¹³"), =HYPERLINK("CSG6.html#group36A6", "36A⁶"), =HYPERLINK("CSG6.html#group36H6", "36H⁶"), =HYPERLINK("CSG24.html#group63I24", "63I²⁴"), =HYPERLINK("CSG19.html#group117A19", "117A¹⁹"), =HYPERLINK("CSG23.html#group144W23", "144W²³"), =HYPERLINK("CSG21.html#group288A21", "288A²¹"), =HYPERLINK("CSG13.html#group18A13", "18A¹³"), =HYPERLINK("CSG21.html#group126C21", "126C²¹"), =HYPERLINK("CSG20.html#group63A20", "63A²⁰"), =HYPERLINK("CSG1.html#group9F1", "9F¹"), =HYPERLINK("CSG10.html#group27A10", "27A¹⁰"), =HYPERLINK("CSG10.html#group63B10", "63B¹⁰"), =HYPERLINK("CSG21.html#group126F21", "126F²¹"), =HYPERLINK("CSG7.html#group18M7", "18M⁷"), =HYPERLINK("CSG9.html#group36O9", "36O⁹"), =HYPERLINK("CSG16.html#group63B16", "63B¹⁶"), =HYPERLINK("CSG21.html#group90L21", "90L²¹"), =HYPERLINK("CSG24.html#group198A24", "198A²⁴"), =HYPERLINK("CSG7.html#group36D7", "36D⁷"), =HYPERLINK("CSG7.html#group36F7", "36F⁷"), =HYPERLINK("CSG20.html#group90A20", "90A²⁰"), =HYPERLINK("CSG11.html#group36A11", "36A¹¹"), =HYPERLINK("CSG16.html#group144H16", "144H¹⁶"), =HYPERLINK("CSG11.html#group45A11", "45A¹¹"), =HYPERLINK("CSG19.html#group90D19", "90D¹⁹"), =HYPERLINK("CSG4.html#group9C4", "9C⁴"), =HYPERLINK("CSG7.html#group90C7", "90C⁷"), =HYPERLINK("CSG24.html#group63G24", "63G²⁴"), =HYPERLINK("CSG21.html#group54B21", "54B²¹"), =HYPERLINK("CSG18.html#group72E18", "72E¹⁸"), =HYPERLINK("CSG10.html#group144E10", "144E¹⁰"), =HYPERLINK("CSG4.html#group36D4", "36D⁴"), =HYPERLINK("CSG8.html#group36F8", "36F⁸"), =HYPERLINK("CSG23.html#group63A23", "63A²³"), =HYPERLINK("CSG17.html#group72W17", "72W¹⁷"), =HYPERLINK("CSG24.html#group54A24", "54A²⁴"), =HYPERLINK("CSG8.html#group36E8", "36E⁸"), =HYPERLINK("CSG15.html#group90N15", "90N¹⁵"), =HYPERLINK("CSG11.html#group36C11", "36C¹¹"), =HYPERLINK("CSG16.html#group18C16", "18C¹⁶"), =HYPERLINK("CSG18.html#group126C18", "126C¹⁸"), =HYPERLINK("CSG5.html#group18A5", "18A⁵"), =HYPERLINK("CSG18.html#group126B18", "126B¹⁸"), =HYPERLINK("CSG14.html#group45A14", "45A¹⁴"), =HYPERLINK("CSG4.html#group36R4", "36R⁴"), =HYPERLINK("CSG22.html#group45B22", "45B²²"), =HYPERLINK("CSG24.html#group180A24", "180A²⁴"), =HYPERLINK("CSG17.html#group72K17", "72K¹⁷"), =HYPERLINK("CSG18.html#group198D18", "198D¹⁸"), =HYPERLINK("CSG12.html#group27A12", "27A¹²"), =HYPERLINK("CSG4.html#group72D4", "72D⁴"), =HYPERLINK("CSG21.html#group153A21", "153A²¹"), =HYPERLINK("CSG17.html#group72D17", "72D¹⁷"), =HYPERLINK("CSG2.html#group9A2", "9A²"), =HYPERLINK("CSG13.html#group90B13", "90B¹³"), =HYPERLINK("CSG17.html#group72J17", "72J¹⁷"), =HYPERLINK("CSG7.html#group45B7", "45B⁷"), =HYPERLINK("CSG12.html#group72B12", "72B¹²"), =HYPERLINK("CSG18.html#group198B18", "198B¹⁸"), =HYPERLINK("CSG13.html#group72N13", "72N¹³"), =HYPERLINK("CSG22.html#group72J22", "72J²²"), =HYPERLINK("CSG8.html#group72J8", "72J⁸"), =HYPERLINK("CSG22.html#group90B22", "90B²²"), =HYPERLINK("CSG6.html#group90A6", "90A⁶"), =HYPERLINK("CSG12.html#group126A12", "126A¹²"), =HYPERLINK("CSG17.html#group90B17", "90B¹⁷"), =HYPERLINK("CSG21.html#group90A21", "90A²¹"), =HYPERLINK("CSG4.html#group72E4", "72E⁴"), =HYPERLINK("CSG19.html#group99A19", "99A¹⁹"), =HYPERLINK("CSG19.html#group45B19", "45B¹⁹"), =HYPERLINK("CSG13.html#group36L13", "36L¹³"), =HYPERLINK("CSG19.html#group18E19", "18E¹⁹"), =HYPERLINK("CSG5.html#group90A5", "90A⁵"), =HYPERLINK("CSG21.html#group180J21", "180J²¹"), =HYPERLINK("CSG23.html#group306B23", "306B²³"), =HYPERLINK("CSG20.html#group126B20", "126B²⁰"), =HYPERLINK("CSG18.html#group144D18", "144D¹⁸"), =HYPERLINK("CSG16.html#group36B16", "36B¹⁶"), =HYPERLINK("CSG19.html#group36Q19", "36Q¹⁹"), =HYPERLINK("CSG17.html#group72F17", "72F¹⁷"), =HYPERLINK("CSG22.html#group36I22", "36I²²"), =HYPERLINK("CSG15.html#group72M15", "72M¹⁵"), =HYPERLINK("CSG17.html#group99A17", "99A¹⁷"), =HYPERLINK("CSG19.html#group36M19", "36M¹⁹"), =HYPERLINK("CSG19.html#group18A19", "18A¹⁹"), =HYPERLINK("CSG15.html#group99A15", "99A¹⁵"), =HYPERLINK("CSG13.html#group36N13", "36N¹³"), =HYPERLINK("CSG11.html#group153A11", "153A¹¹"), =HYPERLINK("CSG6.html#group45D6", "45D⁶"), =HYPERLINK("CSG13.html#group72F13", "72F¹³"), =HYPERLINK("CSG24.html#group126D24", "126D²⁴"), =HYPERLINK("CSG15.html#group90L15", "90L¹⁵"), =HYPERLINK("CSG3.html#group18A3", "18A³"), =HYPERLINK("CSG15.html#group36M15", "36M¹⁵"), =HYPERLINK("CSG8.html#group90A8", "90A⁸"), =HYPERLINK("CSG18.html#group18A18", "18A¹⁸"), =HYPERLINK("CSG8.html#group36G8", "36G⁸"), =HYPERLINK("CSG20.html#group180H20", "180H²⁰"), =HYPERLINK("CSG2.html#group18L2", "18L²"), =HYPERLINK("CSG10.html#group45D10", "45D¹⁰"), =HYPERLINK("CSG19.html#group36P19", "36P¹⁹"), =HYPERLINK("CSG21.html#group144M21", "144M²¹"), =HYPERLINK("CSG13.html#group72I13", "72I¹³"), =HYPERLINK("CSG23.html#group72G23", "72G²³"), =HYPERLINK("CSG23.html#group126G23", "126G²³"), =HYPERLINK("CSG16.html#group54V16", "54V¹⁶"), =HYPERLINK("CSG17.html#group90F17", "90F¹⁷"), =HYPERLINK("CSG8.html#group144A8", "144A⁸"), =HYPERLINK("CSG11.html#group36D11", "36D¹¹"), =HYPERLINK("CSG15.html#group36J15", "36J¹⁵"), =HYPERLINK("CSG8.html#group72E8", "72E⁸"), =HYPERLINK("CSG21.html#group126G21", "126G²¹"), =HYPERLINK("CSG3.html#group36H3", "36H³"), =HYPERLINK("CSG24.html#group252B24", "252B²⁴"), =HYPERLINK("CSG6.html#group72B6", "72B⁶"), =HYPERLINK("CSG16.html#group45D16", "45D¹⁶"), =HYPERLINK("CSG8.html#group18A8", "18A⁸"), =HYPERLINK("CSG17.html#group72S17", "72S¹⁷"), =HYPERLINK("CSG10.html#group18L10", "18L¹⁰"), =HYPERLINK("CSG15.html#group72N15", "72N¹⁵"), =HYPERLINK("CSG22.html#group72K22", "72K²²"), =HYPERLINK("CSG6.html#group72D6", "72D⁶"), =HYPERLINK("CSG16.html#group36A16", "36A¹⁶"), =HYPERLINK("CSG11.html#group90I11", "90I¹¹"), =HYPERLINK("CSG7.html#group72B7", "72B⁷"), =HYPERLINK("CSG21.html#group180I21", "180I²¹"), =HYPERLINK("CSG4.html#group9A4", "9A⁴"), =HYPERLINK("CSG20.html#group144G20", "144G²⁰"), =HYPERLINK("CSG21.html#group36C21", "36C²¹"), =HYPERLINK("CSG2.html#group36C2", "36C²"), =HYPERLINK("CSG13.html#group126J13", "126J¹³"), =HYPERLINK("CSG14.html#group72B14", "72B¹⁴"), =HYPERLINK("CSG13.html#group36E13", "36E¹³"), =HYPERLINK("CSG12.html#group36H12", "36H¹²"), =HYPERLINK("CSG8.html#group72B8", "72B⁸"), =HYPERLINK("CSG21.html#group90I21", "90I²¹"), =HYPERLINK("CSG15.html#group72U15", "72U¹⁵"), =HYPERLINK("CSG15.html#group36D15", "36D¹⁵"), =HYPERLINK("CSG17.html#group72B17", "72B¹⁷"), =HYPERLINK("CSG11.html#group72M11", "72M¹¹"), =HYPERLINK("CSG12.html#group45F12", "45F¹²"), =HYPERLINK("CSG18.html#group198A18", "198A¹⁸"), =HYPERLINK("CSG23.html#group72H23", "72H²³"), =HYPERLINK("CSG21.html#group72Q21", "72Q²¹"), =HYPERLINK("CSG22.html#group27C22", "27C²²"), =HYPERLINK("CSG15.html#group72W15", "72W¹⁵"), =HYPERLINK("CSG4.html#group18T4", "18T⁴"), =HYPERLINK("CSG19.html#group18C19", "18C¹⁹"), =HYPERLINK("CSG1.html#group18E1", "18E¹"), =HYPERLINK("CSG15.html#group72S15", "72S¹⁵"), =HYPERLINK("CSG16.html#group144G16", "144G¹⁶"), =HYPERLINK("CSG18.html#group225A18", "225A¹⁸"), =HYPERLINK("CSG11.html#group54B11", "54B¹¹"), =HYPERLINK("CSG18.html#group45C18", "45C¹⁸"), =HYPERLINK("CSG15.html#group72Q15", "72Q¹⁵"), =HYPERLINK("CSG4.html#group90A4", "90A⁴"), =HYPERLINK("CSG11.html#group72O11", "72O¹¹"), =HYPERLINK("CSG11.html#group27A11", "27A¹¹"), =HYPERLINK("CSG12.html#group72L12", "72L¹²"), =HYPERLINK("CSG8.html#group72H8", "72H⁸"), =HYPERLINK("CSG13.html#group36I13", "36I¹³"), =HYPERLINK("CSG4.html#group72B4", "72B⁴"), =HYPERLINK("CSG11.html#group36J11", "36J¹¹"), =HYPERLINK("CSG21.html#group54A21", "54A²¹"), =HYPERLINK("CSG9.html#group63B9", "63B⁹"), =HYPERLINK("CSG13.html#group72M13", "72M¹³"), =HYPERLINK("CSG24.html#group126B24", "126B²⁴"), =HYPERLINK("CSG14.html#group126F14", "126F¹⁴"), =HYPERLINK("CSG15.html#group54A15", "54A¹⁵"), =HYPERLINK("CSG19.html#group45C19", "45C¹⁹"), =HYPERLINK("CSG7.html#group90A7", "90A⁷"), =HYPERLINK("CSG24.html#group54B24", "54B²⁴"), =HYPERLINK("CSG13.html#group126K13", "126K¹³"), =HYPERLINK("CSG18.html#group144C18", "144C¹⁸"), =HYPERLINK("CSG2.html#group18G2", "18G²"), =HYPERLINK("CSG17.html#group45C17", "45C¹⁷"), =HYPERLINK("CSG21.html#group90J21", "90J²¹"), =HYPERLINK("CSG20.html#group225A20", "225A²⁰"), =HYPERLINK("CSG21.html#group90B21", "90B²¹"), =HYPERLINK("CSG16.html#group72E16", "72E¹⁶"), =HYPERLINK("CSG15.html#group72T15", "72T¹⁵"), =HYPERLINK("CSG16.html#group18B16", "18B¹⁶"), =HYPERLINK("CSG16.html#group36E16", "36E¹⁶"), =HYPERLINK("CSG15.html#group36B15", "36B¹⁵"), =HYPERLINK("CSG7.html#group36E7", "36E⁷"), =HYPERLINK("CSG15.html#group144B15", "144B¹⁵"), =HYPERLINK("CSG14.html#group72O14", "72O¹⁴"), =HYPERLINK("CSG24.html#group63B24", "63B²⁴"), =HYPERLINK("CSG7.html#group27H7", "27H⁷"), =HYPERLINK("CSG7.html#group36G7", "36G⁷"), =HYPERLINK("CSG7.html#group63D7", "63D⁷"), =HYPERLINK("CSG15.html#group36N15", "36N¹⁵"), =HYPERLINK("CSG19.html#group45A19", "45A¹⁹"), =HYPERLINK("CSG1.html#group18H1", "18H¹"), =HYPERLINK("CSG16.html#group18H16", "18H¹⁶"), =HYPERLINK("CSG20.html#group90F20", "90F²⁰"), =HYPERLINK("CSG10.html#group144D10", "144D¹⁰"), =HYPERLINK("CSG4.html#group36P4", "36P⁴"), =HYPERLINK("CSG13.html#group144A13", "144A¹³"), =HYPERLINK("CSG23.html#group90A23", "90A²³"), =HYPERLINK("CSG8.html#group36D8", "36D⁸"), =HYPERLINK("CSG8.html#group126A8", "126A⁸"), =HYPERLINK("CSG17.html#group90P17", "90P¹⁷"), =HYPERLINK("CSG1.html#group36A1", "36A¹"), =HYPERLINK("CSG8.html#group126C8", "126C⁸"), =HYPERLINK("CSG22.html#group180B22", "180B²²"), =HYPERLINK("CSG14.html#group72G14", "72G¹⁴"), =HYPERLINK("CSG13.html#group27A13", "27A¹³"), =HYPERLINK("CSG7.html#group27F7", "27F⁷"), =HYPERLINK("CSG15.html#group36F15", "36F¹⁵"), =HYPERLINK("CSG19.html#group63E19", "63E¹⁹"), =HYPERLINK("CSG23.html#group144S23", "144S²³"), =HYPERLINK("CSG11.html#group198B11", "198B¹¹"), =HYPERLINK("CSG16.html#group36I16", "36I¹⁶"), =HYPERLINK("CSG14.html#group126E14", "126E¹⁴"), =HYPERLINK("CSG7.html#group126A7", "126A⁷"), =HYPERLINK("CSG21.html#group126D21", "126D²¹"), =HYPERLINK("CSG13.html#group36S13", "36S¹³"), =HYPERLINK("CSG16.html#group72B16", "72B¹⁶"), =HYPERLINK("CSG17.html#group63A17", "63A¹⁷"), =HYPERLINK("CSG2.html#group9B2", "9B²"), =HYPERLINK("CSG5.html#group126A5", "126A⁵"), =HYPERLINK("CSG21.html#group45A21", "45A²¹"), =HYPERLINK("CSG13.html#group36G13", "36G¹³"), =HYPERLINK("CSG21.html#group63D21", "63D²¹"), =HYPERLINK("CSG7.html#group18L7", "18L⁷"), =HYPERLINK("CSG18.html#group72B18", "72B¹⁸"), =HYPERLINK("CSG7.html#group45D7", "45D⁷"), =HYPERLINK("CSG20.html#group144D20", "144D²⁰"), =HYPERLINK("CSG6.html#group36F6", "36F⁶"), =HYPERLINK("CSG22.html#group63B22", "63B²²"), =HYPERLINK("CSG22.html#group27A22", "27A²²"), =HYPERLINK("CSG14.html#group72K14", "72K¹⁴"), =HYPERLINK("CSG16.html#group63A16", "63A¹⁶"), =HYPERLINK("CSG20.html#group144E20", "144E²⁰"), =HYPERLINK("CSG3.html#group36F3", "36F³"), =HYPERLINK("CSG12.html#group126J12", "126J¹²"), =HYPERLINK("CSG17.html#group144C17", "144C¹⁷"), =HYPERLINK("CSG14.html#group144A14", "144A¹⁴"), =HYPERLINK("CSG13.html#group180A13", "180A¹³"), =HYPERLINK("CSG24.html#group252C24", "252C²⁴"), =HYPERLINK("CSG16.html#group72N16", "72N¹⁶"), =HYPERLINK("CSG8.html#group36M8", "36M⁸"), =HYPERLINK("CSG23.html#group180N23", "180N²³"), =HYPERLINK("CSG8.html#group72I8", "72I⁸"), =HYPERLINK("CSG15.html#group72J15", "72J¹⁵"), =HYPERLINK("CSG12.html#group99A12", "99A¹²"), =HYPERLINK("CSG19.html#group36O19", "36O¹⁹"), =HYPERLINK("CSG15.html#group90F15", "90F¹⁵"), =HYPERLINK("CSG13.html#group36M13", "36M¹³"), =HYPERLINK("CSG22.html#group72H22", "72H²²"), =HYPERLINK("CSG19.html#group63D19", "63D¹⁹"), =HYPERLINK("CSG12.html#group36E12", "36E¹²"), =HYPERLINK("CSG2.html#group18I2", "18I²"), =HYPERLINK("CSG17.html#group90H17", "90H¹⁷"), =HYPERLINK("CSG22.html#group180C22", "180C²²"), =HYPERLINK("CSG13.html#group36R13", "36R¹³"), =HYPERLINK("CSG24.html#group180B24", "180B²⁴"), =HYPERLINK("CSG16.html#group72R16", "72R¹⁶"), =HYPERLINK("CSG17.html#group90K17", "90K¹⁷"), =HYPERLINK("CSG7.html#group18I7", "18I⁷"), =HYPERLINK("CSG9.html#group99A9", "99A⁹"), =HYPERLINK("CSG16.html#group144F16", "144F¹⁶"), =HYPERLINK("CSG0.html#group18A0", "18A⁰"), =HYPERLINK("CSG23.html#group90D23", "90D²³"), =HYPERLINK("CSG15.html#group45C15", "45C¹⁵"), =HYPERLINK("CSG22.html#group144J22", "144J²²"), =HYPERLINK("CSG8.html#group72K8", "72K⁸"), =HYPERLINK("CSG17.html#group72C17", "72C¹⁷"), =HYPERLINK("CSG3.html#group18D3", "18D³"), =HYPERLINK("CSG24.html#group279A24", "279A²⁴"), =HYPERLINK("CSG19.html#group36S19", "36S¹⁹"), =HYPERLINK("CSG21.html#group36A21", "36A²¹"), =HYPERLINK("CSG5.html#group36E5", "36E⁵"), =HYPERLINK("CSG8.html#group18B8", "18B⁸"), =HYPERLINK("CSG16.html#group54Q16", "54Q¹⁶"), =HYPERLINK("CSG24.html#group63E24", "63E²⁴"), =HYPERLINK("CSG24.html#group63D24", "63D²⁴"), =HYPERLINK("CSG21.html#group198E21", "198E²¹"), =HYPERLINK("CSG24.html#group144B24", "144B²⁴"), =HYPERLINK("CSG18.html#group144B18", "144B¹⁸"), =HYPERLINK("CSG18.html#group45A18", "45A¹⁸"), =HYPERLINK("CSG16.html#group72Q16", "72Q¹⁶"), =HYPERLINK("CSG6.html#group63F6", "63F⁶"), =HYPERLINK("CSG15.html#group72X15", "72X¹⁵"), =HYPERLINK("CSG5.html#group45E5", "45E⁵"), =HYPERLINK("CSG0.html#group9G0", "9G⁰"), =HYPERLINK("CSG11.html#group72R11", "72R¹¹"), =HYPERLINK("CSG8.html#group36B8", "36B⁸"), =HYPERLINK("CSG17.html#group90E17", "90E¹⁷"), =HYPERLINK("CSG17.html#group126A17", "126A¹⁷"), =HYPERLINK("CSG18.html#group36B18", "36B¹⁸"), =HYPERLINK("CSG23.html#group144X23", "144X²³"), =HYPERLINK("CSG6.html#group36C6", "36C⁶"), =HYPERLINK("CSG12.html#group72A12", "72A¹²"), =HYPERLINK("CSG19.html#group36T19", "36T¹⁹"), =HYPERLINK("CSG13.html#group144E13", "144E¹³"), =HYPERLINK("CSG8.html#group72D8", "72D⁸"), =HYPERLINK("CSG15.html#group72G15", "72G¹⁵"), =HYPERLINK("CSG16.html#group72M16", "72M¹⁶"), =HYPERLINK("CSG17.html#group72V17", "72V¹⁷"), =HYPERLINK("CSG17.html#group72I17", "72I¹⁷"), =HYPERLINK("CSG24.html#group252D24", "252D²⁴"), =HYPERLINK("CSG15.html#group36P15", "36P¹⁵"), =HYPERLINK("CSG6.html#group45A6", "45A⁶"), =HYPERLINK("CSG22.html#group72G22", "72G²²"), =HYPERLINK("CSG6.html#group63G6", "63G⁶"), =HYPERLINK("CSG16.html#group72A16", "72A¹⁶"), =HYPERLINK("CSG10.html#group72E10", "72E¹⁰"), =HYPERLINK("CSG20.html#group90E20", "90E²⁰"), =HYPERLINK("CSG9.html#group72H9", "72H⁹"), =HYPERLINK("CSG13.html#group180F13", "180F¹³"), =HYPERLINK("CSG14.html#group36A14", "36A¹⁴"), =HYPERLINK("CSG5.html#group126B5", "126B⁵"), =HYPERLINK("CSG19.html#group18D19", "18D¹⁹"), =HYPERLINK("CSG15.html#group36L15", "36L¹⁵"), =HYPERLINK("CSG19.html#group126C19", "126C¹⁹"), =HYPERLINK("CSG22.html#group63A22", "63A²²"), =HYPERLINK("CSG17.html#group144B17", "144B¹⁷"), =HYPERLINK("CSG21.html#group72W21", "72W²¹"), =HYPERLINK("CSG7.html#group18J7", "18J⁷"), =HYPERLINK("CSG23.html#group153A23", "153A²³"), =HYPERLINK("CSG18.html#group144A18", "144A¹⁸"), =HYPERLINK("CSG15.html#group144D15", "144D¹⁵"), =HYPERLINK("CSG11.html#group36F11", "36F¹¹"), =HYPERLINK("CSG4.html#group18B4", "18B⁴"), =HYPERLINK("CSG17.html#group126B17", "126B¹⁷"), =HYPERLINK("CSG15.html#group99B15", "99B¹⁵"), =HYPERLINK("CSG11.html#group90K11", "90K¹¹"), =HYPERLINK("CSG2.html#group18M2", "18M²"), =HYPERLINK("CSG20.html#group144C20", "144C²⁰"), =HYPERLINK("CSG17.html#group72A17", "72A¹⁷"), =HYPERLINK("CSG13.html#group180B13", "180B¹³"), =HYPERLINK("CSG15.html#group36O15", "36O¹⁵"), =HYPERLINK("CSG13.html#group72L13", "72L¹³"), =HYPERLINK("CSG10.html#group144A10", "144A¹⁰"), =HYPERLINK("CSG21.html#group126R21", "126R²¹"), =HYPERLINK("CSG21.html#group126Q21", "126Q²¹"), =HYPERLINK("CSG0.html#group18D0", "18D⁰"), =HYPERLINK("CSG21.html#group234A21", "234A²¹"), =HYPERLINK("CSG22.html#group144C22", "144C²²"), =HYPERLINK("CSG19.html#group126B19", "126B¹⁹"), =HYPERLINK("CSG23.html#group45D23", "45D²³"), =HYPERLINK("CSG8.html#group126B8", "126B⁸"), =HYPERLINK("CSG9.html#group72A9", "72A⁹"), =HYPERLINK("CSG2.html#group36B2", "36B²"), =HYPERLINK("CSG20.html#group180F20", "180F²⁰"), =HYPERLINK("CSG7.html#group72E7", "72E⁷"), =HYPERLINK("CSG16.html#group18F16", "18F¹⁶"), =HYPERLINK("CSG21.html#group180A21", "180A²¹"), =HYPERLINK("CSG15.html#group72L15", "72L¹⁵"), =HYPERLINK("CSG15.html#group126F15", "126F¹⁵"), =HYPERLINK("CSG14.html#group72J14", "72J¹⁴"), =HYPERLINK("CSG14.html#group72E14", "72E¹⁴"), =HYPERLINK("CSG23.html#group90F23", "90F²³"), =HYPERLINK("CSG4.html#group18O4", "18O⁴"), =HYPERLINK("CSG12.html#group72C12", "72C¹²"), =HYPERLINK("CSG6.html#group18E6", "18E⁶"), =HYPERLINK("CSG13.html#group54A13", "54A¹³"), =HYPERLINK("CSG17.html#group99B17", "99B¹⁷"), =HYPERLINK("CSG22.html#group36F22", "36F²²"), =HYPERLINK("CSG20.html#group72D20", "72D²⁰"), =HYPERLINK("CSG1.html#group9E1", "9E¹"), =HYPERLINK("CSG16.html#group126B16", "126B¹⁶"), =HYPERLINK("CSG22.html#group90H22", "90H²²"), =HYPERLINK("CSG13.html#group36P13", "36P¹³"), =HYPERLINK("CSG16.html#group18G16", "18G¹⁶"), =HYPERLINK("CSG14.html#group36B14", "36B¹⁴"), =HYPERLINK("CSG16.html#group144C16", "144C¹⁶"), =HYPERLINK("CSG7.html#group36C7", "36C⁷"), =HYPERLINK("CSG16.html#group36G16", "36G¹⁶"), =HYPERLINK("CSG9.html#group90G9", "90G⁹"), =HYPERLINK("CSG6.html#group18A6", "18A⁶"), =HYPERLINK("CSG21.html#group144N21", "144N²¹"), =HYPERLINK("CSG18.html#group126D18", "126D¹⁸"), =HYPERLINK("CSG12.html#group72M12", "72M¹²"), =HYPERLINK("CSG16.html#group36C16", "36C¹⁶"), =HYPERLINK("CSG13.html#group18B13", "18B¹³"), =HYPERLINK("CSG22.html#group36D22", "36D²²"), =HYPERLINK("CSG16.html#group72D16", "72D¹⁶"), =HYPERLINK("CSG7.html#group18A7", "18A⁷"), =HYPERLINK("CSG24.html#group315A24", "315A²⁴"), =HYPERLINK("CSG15.html#group90K15", "90K¹⁵"), =HYPERLINK("CSG11.html#group72E11", "72E¹¹"), =HYPERLINK("CSG20.html#group261A20", "261A²⁰"), =HYPERLINK("CSG11.html#group198A11", "198A¹¹"), =HYPERLINK("CSG15.html#group36A15", "36A¹⁵"), =HYPERLINK("CSG6.html#group63E6", "63E⁶"), =HYPERLINK("CSG12.html#group90A12", "90A¹²"), =HYPERLINK("CSG17.html#group90A17", "90A¹⁷"), =HYPERLINK("CSG14.html#group252A14", "252A¹⁴"), =HYPERLINK("CSG4.html#group36E4", "36E⁴"), =HYPERLINK("CSG14.html#group72D14", "72D¹⁴"), =HYPERLINK("CSG18.html#group207A18", "207A¹⁸"), =HYPERLINK("CSG19.html#group45G19", "45G¹⁹"), =HYPERLINK("CSG19.html#group45E19", "45E¹⁹"), =HYPERLINK("CSG14.html#group63B14", "63B¹⁴"), =HYPERLINK("CSG6.html#group72E6", "72E⁶"), =HYPERLINK("CSG23.html#group126H23", "126H²³"), =HYPERLINK("CSG16.html#group72K16", "72K¹⁶"), =HYPERLINK("CSG4.html#group18A4", "18A⁴"), =HYPERLINK("CSG1.html#group9G1", "9G¹"), =HYPERLINK("CSG21.html#group180B21", "180B²¹"), =HYPERLINK("CSG11.html#group126A11", "126A¹¹"), =HYPERLINK("CSG22.html#group90G22", "90G²²"), =HYPERLINK("CSG20.html#group72F20", "72F²⁰"), =HYPERLINK("CSG19.html#group90J19", "90J¹⁹"), =HYPERLINK("CSG20.html#group90G20", "90G²⁰"), =HYPERLINK("CSG22.html#group117A22", "117A²²"), =HYPERLINK("CSG7.html#group45A7", "45A⁷"), =HYPERLINK("CSG5.html#group72A5", "72A⁵"), =HYPERLINK("CSG7.html#group18B7", "18B⁷"), =HYPERLINK("CSG18.html#group117A18", "117A¹⁸"), =HYPERLINK("CSG23.html#group72B23", "72B²³"), =HYPERLINK("CSG8.html#group117A8", "117A⁸"), =HYPERLINK("CSG20.html#group36A20", "36A²⁰"), =HYPERLINK("CSG10.html#group9A10", "9A¹⁰"), =HYPERLINK("CSG15.html#group72O15", "72O¹⁵"), =HYPERLINK("CSG17.html#group90I17", "90I¹⁷"), =HYPERLINK("CSG9.html#group63D9", "63D⁹"), =HYPERLINK("CSG14.html#group198A14", "198A¹⁴"), =HYPERLINK("CSG3.html#group18C3", "18C³"), =HYPERLINK("CSG22.html#group36H22", "36H²²"), =HYPERLINK("CSG21.html#group63A21", "63A²¹"), =HYPERLINK("CSG17.html#group90J17", "90J¹⁷"), =HYPERLINK("CSG24.html#group90A24", "90A²⁴"), =HYPERLINK("CSG19.html#group144J19", "144J¹⁹"), =HYPERLINK("CSG13.html#group72G13", "72G¹³"), =HYPERLINK("CSG14.html#group90G14", "90G¹⁴"), =HYPERLINK("CSG20.html#group117A20", "117A²⁰"), =HYPERLINK("CSG12.html#group72G12", "72G¹²"), =HYPERLINK("CSG12.html#group126H12", "126H¹²"), =HYPERLINK("CSG3.html#group45A3", "45A³"), =HYPERLINK("CSG23.html#group153B23", "153B²³"), =HYPERLINK("CSG15.html#group36K15", "36K¹⁵"), =HYPERLINK("CSG16.html#group72G16", "72G¹⁶"), =HYPERLINK("CSG16.html#group72P16", "72P¹⁶"), =HYPERLINK("CSG15.html#group36I15", "36I¹⁵"), =HYPERLINK("CSG8.html#group54D8", "54D⁸"), =HYPERLINK("CSG17.html#group198A17", "198A¹⁷"), =HYPERLINK("CSG2.html#group63A2", "63A²"), =HYPERLINK("CSG19.html#group90I19", "90I¹⁹"), =HYPERLINK("CSG13.html#group45J13", "45J¹³"), =HYPERLINK("CSG17.html#group144A17", "144A¹⁷"), =HYPERLINK("CSG19.html#group90H19", "90H¹⁹"), =HYPERLINK("CSG21.html#group126A21", "126A²¹"), =HYPERLINK("CSG2.html#group36D2", "36D²"), =HYPERLINK("CSG13.html#group36F13", "36F¹³"), =HYPERLINK("CSG24.html#group126E24", "126E²⁴"), =HYPERLINK("CSG6.html#group63A6", "63A⁶"), =HYPERLINK("CSG4.html#group18L4", "18L⁴"), =HYPERLINK("CSG13.html#group18C13", "18C¹³"), =HYPERLINK("CSG7.html#group18G7", "18G⁷"), =HYPERLINK("CSG16.html#group72S16", "72S¹⁶"), =HYPERLINK("CSG22.html#group180D22", "180D²²"), =HYPERLINK("CSG19.html#group18B19", "18B¹⁹"), =HYPERLINK("CSG7.html#group54A7", "54A⁷"), =HYPERLINK("CSG14.html#group144B14", "144B¹⁴"), =HYPERLINK("CSG15.html#group144C15", "144C¹⁵"), =HYPERLINK("CSG13.html#group18H13", "18H¹³"), =HYPERLINK("CSG21.html#group90M21", "90M²¹"), =HYPERLINK("CSG20.html#group72E20", "72E²⁰"), =HYPERLINK("CSG7.html#group36L7", "36L⁷"), =HYPERLINK("CSG18.html#group90C18", "90C¹⁸"), =HYPERLINK("CSG16.html#group144B16", "144B¹⁶"), =HYPERLINK("CSG0.html#group9D0", "9D⁰"), =HYPERLINK("CSG15.html#group63A15", "63A¹⁵"), =HYPERLINK("CSG3.html#group18J3", "18J³"), =HYPERLINK("CSG22.html#group54K22", "54K²²"), =HYPERLINK("CSG24.html#group63F24", "63F²⁴"), =HYPERLINK("CSG13.html#group144F13", "144F¹³"), =HYPERLINK("CSG15.html#group90E15", "90E¹⁵"), =HYPERLINK("CSG23.html#group90B23", "90B²³"), =HYPERLINK("CSG23.html#group63B23", "63B²³"), =HYPERLINK("CSG17.html#group72H17", "72H¹⁷"), =HYPERLINK("CSG15.html#group171A15", "171A¹⁵"), =HYPERLINK("CSG6.html#group90B6", "90B⁶"), =HYPERLINK("CSG7.html#group27G7", "27G⁷"), =HYPERLINK("CSG19.html#group27E19", "27E¹⁹"), =HYPERLINK("CSG20.html#group144F20", "144F²⁰"), =HYPERLINK("CSG10.html#group90D10", "90D¹⁰"), =HYPERLINK("CSG13.html#group36H13", "36H¹³"), =HYPERLINK("CSG15.html#group72F15", "72F¹⁵"), =HYPERLINK("CSG18.html#group36A18", "36A¹⁸"), =HYPERLINK("CSG24.html#group90B24", "90B²⁴"), =HYPERLINK("CSG12.html#group72N12", "72N¹²"), =HYPERLINK("CSG15.html#group72Z15", "72Z¹⁵"), =HYPERLINK("CSG13.html#group72O13", "72O¹³"), =HYPERLINK("CSG17.html#group234A17", "234A¹⁷"), =HYPERLINK("CSG13.html#group90E13", "90E¹³"), =HYPERLINK("CSG15.html#group36E15", "36E¹⁵"), =HYPERLINK("CSG22.html#group36E22", "36E²²"), =HYPERLINK("CSG11.html#group90H11", "90H¹¹"), =HYPERLINK("CSG17.html#group90D17", "90D¹⁷"), =HYPERLINK("CSG11.html#group72F11", "72F¹¹"), =HYPERLINK("CSG9.html#group63A9", "63A⁹"), =HYPERLINK("CSG18.html#group234A18", "234A¹⁸"), =HYPERLINK("CSG22.html#group90A22", "90A²²"), =HYPERLINK("CSG10.html#group144C10", "144C¹⁰"), =HYPERLINK("CSG18.html#group72C18", "72C¹⁸"), =HYPERLINK("CSG21.html#group72S21", "72S²¹"), =HYPERLINK("CSG3.html#group18E3", "18E³"), =HYPERLINK("CSG17.html#group72E17", "72E¹⁷"), =HYPERLINK("CSG6.html#group72C6", "72C⁶"), =HYPERLINK("CSG12.html#group126B12", "126B¹²"), =HYPERLINK("CSG22.html#group36J22", "36J²²"), =HYPERLINK("CSG4.html#group9B4", "9B⁴"), =HYPERLINK("CSG13.html#group18F13", "18F¹³"), =HYPERLINK("CSG24.html#group126C24", "126C²⁴"), =HYPERLINK("CSG24.html#group144C24", "144C²⁴"), =HYPERLINK("CSG20.html#group126A20", "126A²⁰"), =HYPERLINK("CSG11.html#group63C11", "63C¹¹"), =HYPERLINK("CSG11.html#group90G11", "90G¹¹"), =HYPERLINK("CSG9.html#group72G9", "72G⁹"), =HYPERLINK("CSG16.html#group27B16", "27B¹⁶")</f>
        <v/>
      </c>
    </row>
    <row r="61">
      <c r="A61" t="inlineStr">
        <is>
          <t>9B⁰</t>
        </is>
      </c>
      <c r="B61" t="inlineStr">
        <is>
          <t>Γ₀(9)</t>
        </is>
      </c>
      <c r="C61" t="inlineStr">
        <is>
          <t>12</t>
        </is>
      </c>
      <c r="D61" t="inlineStr">
        <is>
          <t>1</t>
        </is>
      </c>
      <c r="E61" t="inlineStr">
        <is>
          <t>4</t>
        </is>
      </c>
      <c r="F61" t="inlineStr">
        <is>
          <t>0</t>
        </is>
      </c>
      <c r="G61" t="inlineStr">
        <is>
          <t>0</t>
        </is>
      </c>
      <c r="H61" t="inlineStr">
        <is>
          <t>1³, 9¹</t>
        </is>
      </c>
      <c r="I61" t="n">
        <v>4</v>
      </c>
      <c r="J61" t="inlineStr">
        <is>
          <t>1², 2¹</t>
        </is>
      </c>
      <c r="K61">
        <f>HYPERLINK("CSG0.html#group3B0", "3B⁰")</f>
        <v/>
      </c>
      <c r="L61">
        <f>HYPERLINK("CSG0.html#group9I0", "9I⁰"), =HYPERLINK("CSG0.html#group18E0", "18E⁰"), =HYPERLINK("CSG0.html#group27A0", "27A⁰"), =HYPERLINK("CSG1.html#group9C1", "9C¹"), =HYPERLINK("CSG1.html#group18C1", "18C¹"), =HYPERLINK("CSG1.html#group27A1", "27A¹"), =HYPERLINK("CSG2.html#group27A2", "27A²"), =HYPERLINK("CSG3.html#group36B3", "36B³"), =HYPERLINK("CSG3.html#group45D3", "45D³"), =HYPERLINK("CSG4.html#group45A4", "45A⁴"), =HYPERLINK("CSG5.html#group63A5", "63A⁵"), =HYPERLINK("CSG6.html#group63B6", "63B⁶"), =HYPERLINK("CSG7.html#group45C7", "45C⁷"), =HYPERLINK("CSG9.html#group99C9", "99C⁹"), =HYPERLINK("CSG10.html#group99A10", "99A¹⁰"), =HYPERLINK("CSG11.html#group117A11", "117A¹¹"), =HYPERLINK("CSG15.html#group153A15", "153A¹⁵"), =HYPERLINK("CSG17.html#group171A17", "171A¹⁷"), =HYPERLINK("CSG21.html#group207A21", "207A²¹")</f>
        <v/>
      </c>
      <c r="M61">
        <f>HYPERLINK("CSG0.html#group3B0", "3B⁰"), =HYPERLINK("CSG0.html#group1A0", "1A⁰")</f>
        <v/>
      </c>
      <c r="N61">
        <f>HYPERLINK("CSG10.html#group27B10", "27B¹⁰"), =HYPERLINK("CSG19.html#group27A19", "27A¹⁹"), =HYPERLINK("CSG9.html#group63E9", "63E⁹"), =HYPERLINK("CSG13.html#group135C13", "135C¹³"), =HYPERLINK("CSG10.html#group36H10", "36H¹⁰"), =HYPERLINK("CSG16.html#group18B16", "18B¹⁶"), =HYPERLINK("CSG19.html#group189A19", "189A¹⁹"), =HYPERLINK("CSG9.html#group108C9", "108C⁹"), =HYPERLINK("CSG7.html#group36I7", "36I⁷"), =HYPERLINK("CSG13.html#group126B13", "126B¹³"), =HYPERLINK("CSG22.html#group36L22", "36L²²"), =HYPERLINK("CSG7.html#group72A7", "72A⁷"), =HYPERLINK("CSG15.html#group135B15", "135B¹⁵"), =HYPERLINK("CSG1.html#group27A1", "27A¹"), =HYPERLINK("CSG1.html#group18C1", "18C¹"), =HYPERLINK("CSG20.html#group189A20", "189A²⁰"), =HYPERLINK("CSG13.html#group45C13", "45C¹³"), =HYPERLINK("CSG7.html#group81A7", "81A⁷"), =HYPERLINK("CSG4.html#group45A4", "45A⁴"), =HYPERLINK("CSG3.html#group36B3", "36B³"), =HYPERLINK("CSG21.html#group198C21", "198C²¹"), =HYPERLINK("CSG13.html#group45O13", "45O¹³"), =HYPERLINK("CSG3.html#group18I3", "18I³"), =HYPERLINK("CSG10.html#group54D10", "54D¹⁰"), =HYPERLINK("CSG4.html#group54E4", "54E⁴"), =HYPERLINK("CSG9.html#group90B9", "90B⁹"), =HYPERLINK("CSG21.html#group90O21", "90O²¹"), =HYPERLINK("CSG22.html#group216C22", "216C²²"), =HYPERLINK("CSG13.html#group144H13", "144H¹³"), =HYPERLINK("CSG4.html#group27C4", "27C⁴"), =HYPERLINK("CSG14.html#group135B14", "135B¹⁴"), =HYPERLINK("CSG21.html#group189B21", "189B²¹"), =HYPERLINK("CSG10.html#group18E10", "18E¹⁰"), =HYPERLINK("CSG19.html#group108A19", "108A¹⁹"), =HYPERLINK("CSG1.html#group18J1", "18J¹"), =HYPERLINK("CSG13.html#group126E13", "126E¹³"), =HYPERLINK("CSG17.html#group63G17", "63G¹⁷"), =HYPERLINK("CSG13.html#group144I13", "144I¹³"), =HYPERLINK("CSG13.html#group126A13", "126A¹³"), =HYPERLINK("CSG0.html#group18E0", "18E⁰"), =HYPERLINK("CSG19.html#group81A19", "81A¹⁹"), =HYPERLINK("CSG3.html#group54B3", "54B³"), =HYPERLINK("CSG15.html#group153A15", "153A¹⁵"), =HYPERLINK("CSG9.html#group36Q9", "36Q⁹"), =HYPERLINK("CSG1.html#group9C1", "9C¹"), =HYPERLINK("CSG10.html#group54A10", "54A¹⁰"), =HYPERLINK("CSG7.html#group54B7", "54B⁷"), =HYPERLINK("CSG11.html#group108C11", "108C¹¹"), =HYPERLINK("CSG13.html#group162A13", "162A¹³"), =HYPERLINK("CSG7.html#group27A7", "27A⁷"), =HYPERLINK("CSG10.html#group54E10", "54E¹⁰"), =HYPERLINK("CSG19.html#group180A19", "180A¹⁹"), =HYPERLINK("CSG22.html#group72C22", "72C²²"), =HYPERLINK("CSG21.html#group180D21", "180D²¹"), =HYPERLINK("CSG11.html#group90J11", "90J¹¹"), =HYPERLINK("CSG17.html#group72U17", "72U¹⁷"), =HYPERLINK("CSG22.html#group216A22", "216A²²"), =HYPERLINK("CSG22.html#group36K22", "36K²²"), =HYPERLINK("CSG13.html#group135E13", "135E¹³"), =HYPERLINK("CSG10.html#group81A10", "81A¹⁰"), =HYPERLINK("CSG17.html#group72N17", "72N¹⁷"), =HYPERLINK("CSG22.html#group27A22", "27A²²"), =HYPERLINK("CSG19.html#group108C19", "108C¹⁹"), =HYPERLINK("CSG0.html#group9I0", "9I⁰"), =HYPERLINK("CSG16.html#group162A16", "162A¹⁶"), =HYPERLINK("CSG9.html#group72C9", "72C⁹"), =HYPERLINK("CSG16.html#group243A16", "243A¹⁶"), =HYPERLINK("CSG17.html#group108D17", "108D¹⁷"), =HYPERLINK("CSG21.html#group63C21", "63C²¹"), =HYPERLINK("CSG13.html#group72S13", "72S¹³"), =HYPERLINK("CSG10.html#group108D10", "108D¹⁰"), =HYPERLINK("CSG13.html#group45H13", "45H¹³"), =HYPERLINK("CSG16.html#group27C16", "27C¹⁶"), =HYPERLINK("CSG17.html#group36G17", "36G¹⁷"), =HYPERLINK("CSG18.html#group63D18", "63D¹⁸"), =HYPERLINK("CSG5.html#group63A5", "63A⁵"), =HYPERLINK("CSG17.html#group189B17", "189B¹⁷"), =HYPERLINK("CSG21.html#group144J21", "144J²¹"), =HYPERLINK("CSG21.html#group216B21", "216B²¹"), =HYPERLINK("CSG16.html#group162B16", "162B¹⁶"), =HYPERLINK("CSG16.html#group162D16", "162D¹⁶"), =HYPERLINK("CSG13.html#group36T13", "36T¹³"), =HYPERLINK("CSG22.html#group81B22", "81B²²"), =HYPERLINK("CSG21.html#group180G21", "180G²¹"), =HYPERLINK("CSG21.html#group144D21", "144D²¹"), =HYPERLINK("CSG17.html#group108G17", "108G¹⁷"), =HYPERLINK("CSG21.html#group117A21", "117A²¹"), =HYPERLINK("CSG6.html#group63B6", "63B⁶"), =HYPERLINK("CSG13.html#group18G13", "18G¹³"), =HYPERLINK("CSG12.html#group45B12", "45B¹²"), =HYPERLINK("CSG21.html#group144C21", "144C²¹"), =HYPERLINK("CSG9.html#group72B9", "72B⁹"), =HYPERLINK("CSG12.html#group45C12", "45C¹²"), =HYPERLINK("CSG23.html#group135A23", "135A²³"), =HYPERLINK("CSG22.html#group81D22", "81D²²"), =HYPERLINK("CSG7.html#group72C7", "72C⁷"), =HYPERLINK("CSG13.html#group54H13", "54H¹³"), =HYPERLINK("CSG9.html#group90D9", "90D⁹"), =HYPERLINK("CSG17.html#group36D17", "36D¹⁷"), =HYPERLINK("CSG22.html#group108F22", "108F²²"), =HYPERLINK("CSG21.html#group180H21", "180H²¹"), =HYPERLINK("CSG9.html#group36M9", "36M⁹"), =HYPERLINK("CSG13.html#group54Q13", "54Q¹³"), =HYPERLINK("CSG17.html#group108E17", "108E¹⁷"), =HYPERLINK("CSG17.html#group90L17", "90L¹⁷"), =HYPERLINK("CSG6.html#group54B6", "54B⁶"), =HYPERLINK("CSG16.html#group54T16", "54T¹⁶"), =HYPERLINK("CSG3.html#group45D3", "45D³"), =HYPERLINK("CSG16.html#group54A16", "54A¹⁶"), =HYPERLINK("CSG13.html#group36D13", "36D¹³"), =HYPERLINK("CSG13.html#group54K13", "54K¹³"), =HYPERLINK("CSG17.html#group72Y17", "72Y¹⁷"), =HYPERLINK("CSG21.html#group108C21", "108C²¹"), =HYPERLINK("CSG23.html#group90E23", "90E²³"), =HYPERLINK("CSG16.html#group162E16", "162E¹⁶"), =HYPERLINK("CSG16.html#group81A16", "81A¹⁶"), =HYPERLINK("CSG21.html#group144A21", "144A²¹"), =HYPERLINK("CSG13.html#group54C13", "54C¹³"), =HYPERLINK("CSG10.html#group45B10", "45B¹⁰"), =HYPERLINK("CSG22.html#group162A22", "162A²²"), =HYPERLINK("CSG17.html#group72Q17", "72Q¹⁷"), =HYPERLINK("CSG21.html#group108E21", "108E²¹"), =HYPERLINK("CSG15.html#group144E15", "144E¹⁵"), =HYPERLINK("CSG9.html#group45G9", "45G⁹"), =HYPERLINK("CSG4.html#group18G4", "18G⁴"), =HYPERLINK("CSG10.html#group54B10", "54B¹⁰"), =HYPERLINK("CSG16.html#group81B16", "81B¹⁶"), =HYPERLINK("CSG13.html#group72W13", "72W¹³"), =HYPERLINK("CSG11.html#group135B11", "135B¹¹"), =HYPERLINK("CSG13.html#group144G13", "144G¹³"), =HYPERLINK("CSG17.html#group171A17", "171A¹⁷"), =HYPERLINK("CSG10.html#group36C10", "36C¹⁰"), =HYPERLINK("CSG10.html#group36Q10", "36Q¹⁰"), =HYPERLINK("CSG12.html#group45D12", "45D¹²"), =HYPERLINK("CSG13.html#group126D13", "126D¹³"), =HYPERLINK("CSG17.html#group108F17", "108F¹⁷"), =HYPERLINK("CSG4.html#group27A4", "27A⁴"), =HYPERLINK("CSG19.html#group225A19", "225A¹⁹"), =HYPERLINK("CSG19.html#group189E19", "189E¹⁹"), =HYPERLINK("CSG21.html#group144L21", "144L²¹"), =HYPERLINK("CSG19.html#group36E19", "36E¹⁹"), =HYPERLINK("CSG11.html#group36K11", "36K¹¹"), =HYPERLINK("CSG19.html#group63N19", "63N¹⁹"), =HYPERLINK("CSG18.html#group126F18", "126F¹⁸"), =HYPERLINK("CSG22.html#group54E22", "54E²²"), =HYPERLINK("CSG13.html#group72A13", "72A¹³"), =HYPERLINK("CSG17.html#group144E17", "144E¹⁷"), =HYPERLINK("CSG10.html#group18F10", "18F¹⁰"), =HYPERLINK("CSG16.html#group54R16", "54R¹⁶"), =HYPERLINK("CSG17.html#group126J17", "126J¹⁷"), =HYPERLINK("CSG2.html#group27A2", "27A²"), =HYPERLINK("CSG1.html#group27C1", "27C¹"), =HYPERLINK("CSG10.html#group18M10", "18M¹⁰"), =HYPERLINK("CSG17.html#group63E17", "63E¹⁷"), =HYPERLINK("CSG21.html#group207A21", "207A²¹"), =HYPERLINK("CSG9.html#group108A9", "108A⁹"), =HYPERLINK("CSG1.html#group9H1", "9H¹"), =HYPERLINK("CSG16.html#group54K16", "54K¹⁶"), =HYPERLINK("CSG16.html#group162C16", "162C¹⁶"), =HYPERLINK("CSG13.html#group45K13", "45K¹³"), =HYPERLINK("CSG7.html#group108A7", "108A⁷"), =HYPERLINK("CSG13.html#group144J13", "144J¹³"), =HYPERLINK("CSG9.html#group36B9", "36B⁹"), =HYPERLINK("CSG4.html#group18E4", "18E⁴"), =HYPERLINK("CSG13.html#group72R13", "72R¹³"), =HYPERLINK("CSG5.html#group36F5", "36F⁵"), =HYPERLINK("CSG16.html#group63C16", "63C¹⁶"), =HYPERLINK("CSG13.html#group54I13", "54I¹³"), =HYPERLINK("CSG21.html#group216A21", "216A²¹"), =HYPERLINK("CSG17.html#group72M17", "72M¹⁷"), =HYPERLINK("CSG15.html#group72Y15", "72Y¹⁵"), =HYPERLINK("CSG19.html#group45H19", "45H¹⁹"), =HYPERLINK("CSG21.html#group108A21", "108A²¹"), =HYPERLINK("CSG23.html#group216A23", "216A²³"), =HYPERLINK("CSG10.html#group108A10", "108A¹⁰"), =HYPERLINK("CSG7.html#group18O7", "18O⁷"), =HYPERLINK("CSG21.html#group72R21", "72R²¹"), =HYPERLINK("CSG17.html#group144D17", "144D¹⁷"), =HYPERLINK("CSG10.html#group108F10", "108F¹⁰"), =HYPERLINK("CSG13.html#group54B13", "54B¹³"), =HYPERLINK("CSG19.html#group72O19", "72O¹⁹"), =HYPERLINK("CSG3.html#group36K3", "36K³"), =HYPERLINK("CSG9.html#group99C9", "99C⁹"), =HYPERLINK("CSG4.html#group54A4", "54A⁴"), =HYPERLINK("CSG13.html#group162B13", "162B¹³"), =HYPERLINK("CSG21.html#group189D21", "189D²¹"), =HYPERLINK("CSG13.html#group72Q13", "72Q¹³"), =HYPERLINK("CSG5.html#group54B5", "54B⁵"), =HYPERLINK("CSG21.html#group72AC21", "72AC²¹"), =HYPERLINK("CSG22.html#group54A22", "54A²²"), =HYPERLINK("CSG2.html#group54B2", "54B²"), =HYPERLINK("CSG21.html#group144I21", "144I²¹"), =HYPERLINK("CSG11.html#group108E11", "108E¹¹"), =HYPERLINK("CSG13.html#group135A13", "135A¹³"), =HYPERLINK("CSG13.html#group72T13", "72T¹³"), =HYPERLINK("CSG3.html#group72A3", "72A³"), =HYPERLINK("CSG13.html#group36U13", "36U¹³"), =HYPERLINK("CSG11.html#group108A11", "108A¹¹"), =HYPERLINK("CSG17.html#group189A17", "189A¹⁷"), =HYPERLINK("CSG5.html#group72B5", "72B⁵"), =HYPERLINK("CSG13.html#group54M13", "54M¹³"), =HYPERLINK("CSG7.html#group72D7", "72D⁷"), =HYPERLINK("CSG21.html#group180C21", "180C²¹"), =HYPERLINK("CSG3.html#group36G3", "36G³"), =HYPERLINK("CSG13.html#group108B13", "108B¹³"), =HYPERLINK("CSG5.html#group36L5", "36L⁵"), =HYPERLINK("CSG17.html#group90Q17", "90Q¹⁷"), =HYPERLINK("CSG9.html#group90E9", "90E⁹"), =HYPERLINK("CSG13.html#group72V13", "72V¹³"), =HYPERLINK("CSG9.html#group108B9", "108B⁹"), =HYPERLINK("CSG10.html#group9A10", "9A¹⁰"), =HYPERLINK("CSG16.html#group27D16", "27D¹⁶"), =HYPERLINK("CSG13.html#group54D13", "54D¹³"), =HYPERLINK("CSG17.html#group36J17", "36J¹⁷"), =HYPERLINK("CSG7.html#group81B7", "81B⁷"), =HYPERLINK("CSG19.html#group27B19", "27B¹⁹"), =HYPERLINK("CSG17.html#group72R17", "72R¹⁷"), =HYPERLINK("CSG13.html#group81A13", "81A¹³"), =HYPERLINK("CSG4.html#group54C4", "54C⁴"), =HYPERLINK("CSG1.html#group36C1", "36C¹"), =HYPERLINK("CSG4.html#group18M4", "18M⁴"), =HYPERLINK("CSG22.html#group162B22", "162B²²"), =HYPERLINK("CSG3.html#group36J3", "36J³"), =HYPERLINK("CSG19.html#group189C19", "189C¹⁹"), =HYPERLINK("CSG15.html#group108A15", "108A¹⁵"), =HYPERLINK("CSG17.html#group99C17", "99C¹⁷"), =HYPERLINK("CSG13.html#group63E13", "63E¹³"), =HYPERLINK("CSG9.html#group36F9", "36F⁹"), =HYPERLINK("CSG19.html#group63C19", "63C¹⁹"), =HYPERLINK("CSG12.html#group135A12", "135A¹²"), =HYPERLINK("CSG13.html#group27B13", "27B¹³"), =HYPERLINK("CSG13.html#group72U13", "72U¹³"), =HYPERLINK("CSG7.html#group45C7", "45C⁷"), =HYPERLINK("CSG7.html#group36H7", "36H⁷"), =HYPERLINK("CSG3.html#group36A3", "36A³"), =HYPERLINK("CSG10.html#group18I10", "18I¹⁰"), =HYPERLINK("CSG22.html#group243A22", "243A²²"), =HYPERLINK("CSG15.html#group144A15", "144A¹⁵"), =HYPERLINK("CSG10.html#group99A10", "99A¹⁰"), =HYPERLINK("CSG0.html#group27A0", "27A⁰"), =HYPERLINK("CSG11.html#group45G11", "45G¹¹"), =HYPERLINK("CSG12.html#group90C12", "90C¹²"), =HYPERLINK("CSG9.html#group72I9", "72I⁹"), =HYPERLINK("CSG11.html#group63D11", "63D¹¹"), =HYPERLINK("CSG21.html#group198B21", "198B²¹"), =HYPERLINK("CSG19.html#group63I19", "63I¹⁹"), =HYPERLINK("CSG16.html#group54S16", "54S¹⁶"), =HYPERLINK("CSG13.html#group18C13", "18C¹³"), =HYPERLINK("CSG10.html#group18D10", "18D¹⁰"), =HYPERLINK("CSG19.html#group36G19", "36G¹⁹"), =HYPERLINK("CSG19.html#group144I19", "144I¹⁹"), =HYPERLINK("CSG19.html#group81B19", "81B¹⁹"), =HYPERLINK("CSG13.html#group27C13", "27C¹³"), =HYPERLINK("CSG3.html#group18G3", "18G³"), =HYPERLINK("CSG22.html#group81A22", "81A²²"), =HYPERLINK("CSG3.html#group54A3", "54A³"), =HYPERLINK("CSG22.html#group72L22", "72L²²"), =HYPERLINK("CSG13.html#group54F13", "54F¹³"), =HYPERLINK("CSG13.html#group72B13", "72B¹³"), =HYPERLINK("CSG14.html#group135A14", "135A¹⁴"), =HYPERLINK("CSG4.html#group27B4", "27B⁴"), =HYPERLINK("CSG11.html#group117A11", "117A¹¹"), =HYPERLINK("CSG13.html#group54G13", "54G¹³"), =HYPERLINK("CSG19.html#group27E19", "27E¹⁹"), =HYPERLINK("CSG23.html#group45B23", "45B²³"), =HYPERLINK("CSG17.html#group36L17", "36L¹⁷"), =HYPERLINK("CSG21.html#group45F21", "45F²¹"), =HYPERLINK("CSG4.html#group81A4", "81A⁴"), =HYPERLINK("CSG21.html#group36F21", "36F²¹"), =HYPERLINK("CSG21.html#group198A21", "198A²¹"), =HYPERLINK("CSG17.html#group90R17", "90R¹⁷"), =HYPERLINK("CSG13.html#group54J13", "54J¹³"), =HYPERLINK("CSG17.html#group90M17", "90M¹⁷"), =HYPERLINK("CSG19.html#group81E19", "81E¹⁹"), =HYPERLINK("CSG19.html#group81C19", "81C¹⁹"), =HYPERLINK("CSG10.html#group54H10", "54H¹⁰"), =HYPERLINK("CSG10.html#group108B10", "108B¹⁰"), =HYPERLINK("CSG17.html#group216A17", "216A¹⁷"), =HYPERLINK("CSG18.html#group189A18", "189A¹⁸"), =HYPERLINK("CSG2.html#group18Q2", "18Q²"), =HYPERLINK("CSG16.html#group54H16", "54H¹⁶"), =HYPERLINK("CSG13.html#group54L13", "54L¹³"), =HYPERLINK("CSG12.html#group135B12", "135B¹²"), =HYPERLINK("CSG7.html#group27D7", "27D⁷"), =HYPERLINK("CSG21.html#group144K21", "144K²¹"), =HYPERLINK("CSG10.html#group54I10", "54I¹⁰"), =HYPERLINK("CSG17.html#group72T17", "72T¹⁷"), =HYPERLINK("CSG7.html#group36O7", "36O⁷"), =HYPERLINK("CSG9.html#group36H9", "36H⁹"), =HYPERLINK("CSG13.html#group72E13", "72E¹³"), =HYPERLINK("CSG21.html#group135A21", "135A²¹"), =HYPERLINK("CSG10.html#group36E10", "36E¹⁰"), =HYPERLINK("CSG16.html#group54G16", "54G¹⁶"), =HYPERLINK("CSG13.html#group54R13", "54R¹³"), =HYPERLINK("CSG5.html#group54A5", "54A⁵"), =HYPERLINK("CSG13.html#group108A13", "108A¹³"), =HYPERLINK("CSG19.html#group180B19", "180B¹⁹"), =HYPERLINK("CSG19.html#group243A19", "243A¹⁹"), =HYPERLINK("CSG17.html#group63F17", "63F¹⁷"), =HYPERLINK("CSG4.html#group9B4", "9B⁴"), =HYPERLINK("CSG22.html#group108E22", "108E²²"), =HYPERLINK("CSG5.html#group45H5", "45H⁵"), =HYPERLINK("CSG21.html#group144B21", "144B²¹"), =HYPERLINK("CSG11.html#group108B11", "108B¹¹"), =HYPERLINK("CSG16.html#group27B16", "27B¹⁶"), =HYPERLINK("CSG13.html#group54E13", "54E¹³")</f>
        <v/>
      </c>
    </row>
    <row r="62">
      <c r="A62" t="inlineStr">
        <is>
          <t>9C⁰</t>
        </is>
      </c>
      <c r="B62" t="inlineStr"/>
      <c r="C62" t="inlineStr">
        <is>
          <t>12</t>
        </is>
      </c>
      <c r="D62" t="inlineStr">
        <is>
          <t>1</t>
        </is>
      </c>
      <c r="E62" t="inlineStr">
        <is>
          <t>4</t>
        </is>
      </c>
      <c r="F62" t="inlineStr">
        <is>
          <t>0</t>
        </is>
      </c>
      <c r="G62" t="inlineStr">
        <is>
          <t>3</t>
        </is>
      </c>
      <c r="H62" t="inlineStr">
        <is>
          <t>3¹, 9¹</t>
        </is>
      </c>
      <c r="I62" t="n">
        <v>2</v>
      </c>
      <c r="J62" t="inlineStr">
        <is>
          <t>1², 2¹</t>
        </is>
      </c>
      <c r="K62">
        <f>HYPERLINK("CSG0.html#group3B0", "3B⁰")</f>
        <v/>
      </c>
      <c r="L62">
        <f>HYPERLINK("CSG0.html#group9J0", "9J⁰"), =HYPERLINK("CSG0.html#group18B0", "18B⁰"), =HYPERLINK("CSG1.html#group9C1", "9C¹"), =HYPERLINK("CSG1.html#group27B1", "27B¹"), =HYPERLINK("CSG2.html#group18D2", "18D²"), =HYPERLINK("CSG2.html#group27B2", "27B²"), =HYPERLINK("CSG3.html#group27A3", "27A³"), =HYPERLINK("CSG3.html#group36C3", "36C³"), =HYPERLINK("CSG3.html#group45B3", "45B³"), =HYPERLINK("CSG5.html#group45C5", "45C⁵"), =HYPERLINK("CSG5.html#group63B5", "63B⁵"), =HYPERLINK("CSG6.html#group63C6", "63C⁶"), =HYPERLINK("CSG8.html#group45B8", "45B⁸"), =HYPERLINK("CSG9.html#group99B9", "99B⁹"), =HYPERLINK("CSG11.html#group99B11", "99B¹¹"), =HYPERLINK("CSG11.html#group117B11", "117B¹¹"), =HYPERLINK("CSG17.html#group153A17", "153A¹⁷"), =HYPERLINK("CSG17.html#group171B17", "171B¹⁷"), =HYPERLINK("CSG23.html#group207A23", "207A²³")</f>
        <v/>
      </c>
      <c r="M62">
        <f>HYPERLINK("CSG0.html#group3B0", "3B⁰"), =HYPERLINK("CSG0.html#group1A0", "1A⁰")</f>
        <v/>
      </c>
      <c r="N62">
        <f>HYPERLINK("CSG10.html#group27B10", "27B¹⁰"), =HYPERLINK("CSG19.html#group27A19", "27A¹⁹"), =HYPERLINK("CSG22.html#group90K22", "90K²²"), =HYPERLINK("CSG22.html#group54B22", "54B²²"), =HYPERLINK("CSG10.html#group36J10", "36J¹⁰"), =HYPERLINK("CSG10.html#group36H10", "36H¹⁰"), =HYPERLINK("CSG20.html#group189B20", "189B²⁰"), =HYPERLINK("CSG3.html#group9A3", "9A³"), =HYPERLINK("CSG2.html#group18D2", "18D²"), =HYPERLINK("CSG13.html#group54P13", "54P¹³"), =HYPERLINK("CSG16.html#group18B16", "18B¹⁶"), =HYPERLINK("CSG12.html#group108B12", "108B¹²"), =HYPERLINK("CSG22.html#group36L22", "36L²²"), =HYPERLINK("CSG6.html#group63C6", "63C⁶"), =HYPERLINK("CSG19.html#group63A19", "63A¹⁹"), =HYPERLINK("CSG2.html#group18N2", "18N²"), =HYPERLINK("CSG16.html#group36F16", "36F¹⁶"), =HYPERLINK("CSG22.html#group54D22", "54D²²"), =HYPERLINK("CSG13.html#group45C13", "45C¹³"), =HYPERLINK("CSG21.html#group90E21", "90E²¹"), =HYPERLINK("CSG6.html#group72A6", "72A⁶"), =HYPERLINK("CSG16.html#group108C16", "108C¹⁶"), =HYPERLINK("CSG4.html#group27C4", "27C⁴"), =HYPERLINK("CSG23.html#group144V23", "144V²³"), =HYPERLINK("CSG0.html#group18B0", "18B⁰"), =HYPERLINK("CSG10.html#group18E10", "18E¹⁰"), =HYPERLINK("CSG13.html#group135D13", "135D¹³"), =HYPERLINK("CSG10.html#group54C10", "54C¹⁰"), =HYPERLINK("CSG13.html#group36J13", "36J¹³"), =HYPERLINK("CSG18.html#group27A18", "27A¹⁸"), =HYPERLINK("CSG1.html#group9C1", "9C¹"), =HYPERLINK("CSG19.html#group63G19", "63G¹⁹"), =HYPERLINK("CSG10.html#group108C10", "108C¹⁰"), =HYPERLINK("CSG7.html#group27A7", "27A⁷"), =HYPERLINK("CSG15.html#group90G15", "90G¹⁵"), =HYPERLINK("CSG23.html#group126J23", "126J²³"), =HYPERLINK("CSG20.html#group72A20", "72A²⁰"), =HYPERLINK("CSG18.html#group180A18", "180A¹⁸"), =HYPERLINK("CSG21.html#group117B21", "117B²¹"), =HYPERLINK("CSG5.html#group36A5", "36A⁵"), =HYPERLINK("CSG16.html#group63F16", "63F¹⁶"), =HYPERLINK("CSG22.html#group72C22", "72C²²"), =HYPERLINK("CSG21.html#group126S21", "126S²¹"), =HYPERLINK("CSG21.html#group189A21", "189A²¹"), =HYPERLINK("CSG22.html#group36K22", "36K²²"), =HYPERLINK("CSG22.html#group27A22", "27A²²"), =HYPERLINK("CSG19.html#group36A19", "36A¹⁹"), =HYPERLINK("CSG17.html#group171B17", "171B¹⁷"), =HYPERLINK("CSG16.html#group108B16", "108B¹⁶"), =HYPERLINK("CSG22.html#group90J22", "90J²²"), =HYPERLINK("CSG20.html#group72C20", "72C²⁰"), =HYPERLINK("CSG10.html#group18G10", "18G¹⁰"), =HYPERLINK("CSG24.html#group270B24", "270B²⁴"), =HYPERLINK("CSG21.html#group72A21", "72A²¹"), =HYPERLINK("CSG24.html#group252F24", "252F²⁴"), =HYPERLINK("CSG23.html#group252A23", "252A²³"), =HYPERLINK("CSG17.html#group135C17", "135C¹⁷"), =HYPERLINK("CSG8.html#group36H8", "36H⁸"), =HYPERLINK("CSG10.html#group72C10", "72C¹⁰"), =HYPERLINK("CSG6.html#group90C6", "90C⁶"), =HYPERLINK("CSG10.html#group36R10", "36R¹⁰"), =HYPERLINK("CSG11.html#group126B11", "126B¹¹"), =HYPERLINK("CSG7.html#group18P7", "18P⁷"), =HYPERLINK("CSG8.html#group54A8", "54A⁸"), =HYPERLINK("CSG4.html#group18C4", "18C⁴"), =HYPERLINK("CSG23.html#group252B23", "252B²³"), =HYPERLINK("CSG11.html#group45B11", "45B¹¹"), =HYPERLINK("CSG11.html#group72J11", "72J¹¹"), =HYPERLINK("CSG17.html#group153A17", "153A¹⁷"), =HYPERLINK("CSG21.html#group72E21", "72E²¹"), =HYPERLINK("CSG1.html#group27B1", "27B¹"), =HYPERLINK("CSG5.html#group63B5", "63B⁵"), =HYPERLINK("CSG19.html#group72C19", "72C¹⁹"), =HYPERLINK("CSG22.html#group108C22", "108C²²"), =HYPERLINK("CSG23.html#group180K23", "180K²³"), =HYPERLINK("CSG13.html#group18G13", "18G¹³"), =HYPERLINK("CSG16.html#group54D16", "54D¹⁶"), =HYPERLINK("CSG24.html#group90I24", "90I²⁴"), =HYPERLINK("CSG16.html#group108A16", "108A¹⁶"), =HYPERLINK("CSG2.html#group27B2", "27B²"), =HYPERLINK("CSG22.html#group36M22", "36M²²"), =HYPERLINK("CSG22.html#group72M22", "72M²²"), =HYPERLINK("CSG23.html#group234B23", "234B²³"), =HYPERLINK("CSG9.html#group45C9", "45C⁹"), =HYPERLINK("CSG23.html#group144A23", "144A²³"), =HYPERLINK("CSG11.html#group72C11", "72C¹¹"), =HYPERLINK("CSG21.html#group90C21", "90C²¹"), =HYPERLINK("CSG16.html#group54T16", "54T¹⁶"), =HYPERLINK("CSG19.html#group72M19", "72M¹⁹"), =HYPERLINK("CSG16.html#group54A16", "54A¹⁶"), =HYPERLINK("CSG13.html#group36D13", "36D¹³"), =HYPERLINK("CSG19.html#group189B19", "189B¹⁹"), =HYPERLINK("CSG11.html#group72I11", "72I¹¹"), =HYPERLINK("CSG20.html#group189C20", "189C²⁰"), =HYPERLINK("CSG3.html#group36C3", "36C³"), =HYPERLINK("CSG4.html#group18P4", "18P⁴"), =HYPERLINK("CSG19.html#group27C19", "27C¹⁹"), =HYPERLINK("CSG14.html#group90A14", "90A¹⁴"), =HYPERLINK("CSG22.html#group144A22", "144A²²"), =HYPERLINK("CSG16.html#group54B16", "54B¹⁶"), =HYPERLINK("CSG8.html#group108B8", "108B⁸"), =HYPERLINK("CSG19.html#group72I19", "72I¹⁹"), =HYPERLINK("CSG16.html#group81A16", "81A¹⁶"), =HYPERLINK("CSG12.html#group135C12", "135C¹²"), =HYPERLINK("CSG17.html#group45E17", "45E¹⁷"), =HYPERLINK("CSG24.html#group90H24", "90H²⁴"), =HYPERLINK("CSG23.html#group144E23", "144E²³"), =HYPERLINK("CSG21.html#group72I21", "72I²¹"), =HYPERLINK("CSG10.html#group108E10", "108E¹⁰"), =HYPERLINK("CSG11.html#group90A11", "90A¹¹"), =HYPERLINK("CSG17.html#group90N17", "90N¹⁷"), =HYPERLINK("CSG17.html#group135A17", "135A¹⁷"), =HYPERLINK("CSG11.html#group18B11", "18B¹¹"), =HYPERLINK("CSG11.html#group63E11", "63E¹¹"), =HYPERLINK("CSG23.html#group180C23", "180C²³"), =HYPERLINK("CSG23.html#group234A23", "234A²³"), =HYPERLINK("CSG15.html#group135A15", "135A¹⁵"), =HYPERLINK("CSG11.html#group117B11", "117B¹¹"), =HYPERLINK("CSG23.html#group189A23", "189A²³"), =HYPERLINK("CSG22.html#group216B22", "216B²²"), =HYPERLINK("CSG17.html#group63K17", "63K¹⁷"), =HYPERLINK("CSG12.html#group126F12", "126F¹²"), =HYPERLINK("CSG9.html#group36I9", "36I⁹"), =HYPERLINK("CSG0.html#group36A0", "36A⁰"), =HYPERLINK("CSG10.html#group36C10", "36C¹⁰"), =HYPERLINK("CSG22.html#group108B22", "108B²²"), =HYPERLINK("CSG10.html#group36Q10", "36Q¹⁰"), =HYPERLINK("CSG11.html#group135A11", "135A¹¹"), =HYPERLINK("CSG23.html#group198C23", "198C²³"), =HYPERLINK("CSG1.html#group18K1", "18K¹"), =HYPERLINK("CSG9.html#group99B9", "99B⁹"), =HYPERLINK("CSG21.html#group189C21", "189C²¹"), =HYPERLINK("CSG16.html#group54I16", "54I¹⁶"), =HYPERLINK("CSG4.html#group36F4", "36F⁴"), =HYPERLINK("CSG4.html#group108A4", "108A⁴"), =HYPERLINK("CSG11.html#group108D11", "108D¹¹"), =HYPERLINK("CSG16.html#group54J16", "54J¹⁶"), =HYPERLINK("CSG17.html#group36F17", "36F¹⁷"), =HYPERLINK("CSG21.html#group99A21", "99A²¹"), =HYPERLINK("CSG21.html#group144G21", "144G²¹"), =HYPERLINK("CSG24.html#group90G24", "90G²⁴"), =HYPERLINK("CSG16.html#group18E16", "18E¹⁶"), =HYPERLINK("CSG19.html#group36E19", "36E¹⁹"), =HYPERLINK("CSG23.html#group180I23", "180I²³"), =HYPERLINK("CSG19.html#group108B19", "108B¹⁹"), =HYPERLINK("CSG12.html#group180A12", "180A¹²"), =HYPERLINK("CSG22.html#group54E22", "54E²²"), =HYPERLINK("CSG11.html#group18A11", "18A¹¹"), =HYPERLINK("CSG10.html#group18F10", "18F¹⁰"), =HYPERLINK("CSG7.html#group27B7", "27B⁷"), =HYPERLINK("CSG18.html#group63E18", "63E¹⁸"), =HYPERLINK("CSG10.html#group18M10", "18M¹⁰"), =HYPERLINK("CSG10.html#group54G10", "54G¹⁰"), =HYPERLINK("CSG6.html#group54A6", "54A⁶"), =HYPERLINK("CSG1.html#group9H1", "9H¹"), =HYPERLINK("CSG19.html#group144E19", "144E¹⁹"), =HYPERLINK("CSG16.html#group54K16", "54K¹⁶"), =HYPERLINK("CSG13.html#group45K13", "45K¹³"), =HYPERLINK("CSG24.html#group270A24", "270A²⁴"), =HYPERLINK("CSG23.html#group144O23", "144O²³"), =HYPERLINK("CSG16.html#group27E16", "27E¹⁶"), =HYPERLINK("CSG19.html#group72E19", "72E¹⁹"), =HYPERLINK("CSG11.html#group45D11", "45D¹¹"), =HYPERLINK("CSG8.html#group54B8", "54B⁸"), =HYPERLINK("CSG4.html#group18E4", "18E⁴"), =HYPERLINK("CSG21.html#group72C21", "72C²¹"), =HYPERLINK("CSG18.html#group27B18", "27B¹⁸"), =HYPERLINK("CSG19.html#group72G19", "72G¹⁹"), =HYPERLINK("CSG17.html#group36A17", "36A¹⁷"), =HYPERLINK("CSG19.html#group72K19", "72K¹⁹"), =HYPERLINK("CSG19.html#group144A19", "144A¹⁹"), =HYPERLINK("CSG0.html#group9J0", "9J⁰"), =HYPERLINK("CSG19.html#group72A19", "72A¹⁹"), =HYPERLINK("CSG21.html#group72G21", "72G²¹"), =HYPERLINK("CSG10.html#group72A10", "72A¹⁰"), =HYPERLINK("CSG21.html#group126J21", "126J²¹"), =HYPERLINK("CSG13.html#group54I13", "54I¹³"), =HYPERLINK("CSG21.html#group72Y21", "72Y²¹"), =HYPERLINK("CSG6.html#group27A6", "27A⁶"), =HYPERLINK("CSG11.html#group99B11", "99B¹¹"), =HYPERLINK("CSG21.html#group189E21", "189E²¹"), =HYPERLINK("CSG13.html#group54N13", "54N¹³"), =HYPERLINK("CSG23.html#group144I23", "144I²³"), =HYPERLINK("CSG22.html#group108A22", "108A²²"), =HYPERLINK("CSG23.html#group144M23", "144M²³"), =HYPERLINK("CSG22.html#group36P22", "36P²²"), =HYPERLINK("CSG10.html#group54F10", "54F¹⁰"), =HYPERLINK("CSG23.html#group207A23", "207A²³"), =HYPERLINK("CSG10.html#group36A10", "36A¹⁰"), =HYPERLINK("CSG22.html#group54F22", "54F²²"), =HYPERLINK("CSG24.html#group63A24", "63A²⁴"), =HYPERLINK("CSG9.html#group72D9", "72D⁹"), =HYPERLINK("CSG22.html#group54A22", "54A²²"), =HYPERLINK("CSG24.html#group252E24", "252E²⁴"), =HYPERLINK("CSG7.html#group27C7", "27C⁷"), =HYPERLINK("CSG14.html#group72A14", "72A¹⁴"), =HYPERLINK("CSG2.html#group54A2", "54A²"), =HYPERLINK("CSG22.html#group270A22", "270A²²"), =HYPERLINK("CSG5.html#group45C5", "45C⁵"), =HYPERLINK("CSG19.html#group27D19", "27D¹⁹"), =HYPERLINK("CSG22.html#group90I22", "90I²²"), =HYPERLINK("CSG23.html#group144K23", "144K²³"), =HYPERLINK("CSG8.html#group54C8", "54C⁸"), =HYPERLINK("CSG6.html#group36K6", "36K⁶"), =HYPERLINK("CSG17.html#group108C17", "108C¹⁷"), =HYPERLINK("CSG17.html#group72O17", "72O¹⁷"), =HYPERLINK("CSG4.html#group54B4", "54B⁴"), =HYPERLINK("CSG24.html#group90F24", "90F²⁴"), =HYPERLINK("CSG22.html#group72A22", "72A²²"), =HYPERLINK("CSG24.html#group90D24", "90D²⁴"), =HYPERLINK("CSG13.html#group54O13", "54O¹³"), =HYPERLINK("CSG21.html#group72K21", "72K²¹"), =HYPERLINK("CSG6.html#group36J6", "36J⁶"), =HYPERLINK("CSG9.html#group36C9", "36C⁹"), =HYPERLINK("CSG10.html#group9A10", "9A¹⁰"), =HYPERLINK("CSG4.html#group36S4", "36S⁴"), =HYPERLINK("CSG21.html#group144E21", "144E²¹"), =HYPERLINK("CSG11.html#group45C11", "45C¹¹"), =HYPERLINK("CSG20.html#group216A20", "216A²⁰"), =HYPERLINK("CSG11.html#group72A11", "72A¹¹"), =HYPERLINK("CSG19.html#group27B19", "27B¹⁹"), =HYPERLINK("CSG14.html#group135C14", "135C¹⁴"), =HYPERLINK("CSG9.html#group36N9", "36N⁹"), =HYPERLINK("CSG10.html#group45C10", "45C¹⁰"), =HYPERLINK("CSG4.html#group18M4", "18M⁴"), =HYPERLINK("CSG11.html#group126C11", "126C¹¹"), =HYPERLINK("CSG3.html#group27A3", "27A³"), =HYPERLINK("CSG22.html#group108D22", "108D²²"), =HYPERLINK("CSG19.html#group63C19", "63C¹⁹"), =HYPERLINK("CSG19.html#group81D19", "81D¹⁹"), =HYPERLINK("CSG17.html#group36H17", "36H¹⁷"), =HYPERLINK("CSG8.html#group45B8", "45B⁸"), =HYPERLINK("CSG17.html#group135B17", "135B¹⁷"), =HYPERLINK("CSG23.html#group180A23", "180A²³"), =HYPERLINK("CSG14.html#group54B14", "54B¹⁴"), =HYPERLINK("CSG2.html#group18O2", "18O²"), =HYPERLINK("CSG17.html#group108B17", "108B¹⁷"), =HYPERLINK("CSG17.html#group108A17", "108A¹⁷"), =HYPERLINK("CSG5.html#group36G5", "36G⁵"), =HYPERLINK("CSG13.html#group45A13", "45A¹³"), =HYPERLINK("CSG16.html#group54U16", "54U¹⁶"), =HYPERLINK("CSG4.html#group27D4", "27D⁴"), =HYPERLINK("CSG13.html#group54S13", "54S¹³"), =HYPERLINK("CSG22.html#group36N22", "36N²²"), =HYPERLINK("CSG19.html#group63I19", "63I¹⁹"), =HYPERLINK("CSG17.html#group90O17", "90O¹⁷"), =HYPERLINK("CSG13.html#group18C13", "18C¹³"), =HYPERLINK("CSG11.html#group54D11", "54D¹¹"), =HYPERLINK("CSG11.html#group90C11", "90C¹¹"), =HYPERLINK("CSG10.html#group18D10", "18D¹⁰"), =HYPERLINK("CSG24.html#group216A24", "216A²⁴"), =HYPERLINK("CSG13.html#group135B13", "135B¹³"), =HYPERLINK("CSG16.html#group54C16", "54C¹⁶"), =HYPERLINK("CSG15.html#group45D15", "45D¹⁵"), =HYPERLINK("CSG8.html#group108A8", "108A⁸"), =HYPERLINK("CSG19.html#group36C19", "36C¹⁹"), =HYPERLINK("CSG13.html#group45L13", "45L¹³"), =HYPERLINK("CSG13.html#group27C13", "27C¹³"), =HYPERLINK("CSG22.html#group54C22", "54C²²"), =HYPERLINK("CSG3.html#group27C3", "27C³"), =HYPERLINK("CSG19.html#group144C19", "144C¹⁹"), =HYPERLINK("CSG22.html#group81A22", "81A²²"), =HYPERLINK("CSG24.html#group90E24", "90E²⁴"), =HYPERLINK("CSG23.html#group144C23", "144C²³"), =HYPERLINK("CSG21.html#group108D21", "108D²¹"), =HYPERLINK("CSG22.html#group72L22", "72L²²"), =HYPERLINK("CSG12.html#group126E12", "126E¹²"), =HYPERLINK("CSG11.html#group54C11", "54C¹¹"), =HYPERLINK("CSG9.html#group63F9", "63F⁹"), =HYPERLINK("CSG6.html#group108A6", "108A⁶"), =HYPERLINK("CSG16.html#group54E16", "54E¹⁶"), =HYPERLINK("CSG22.html#group81C22", "81C²²"), =HYPERLINK("CSG19.html#group27E19", "27E¹⁹"), =HYPERLINK("CSG17.html#group63I17", "63I¹⁷"), =HYPERLINK("CSG4.html#group54D4", "54D⁴"), =HYPERLINK("CSG16.html#group54P16", "54P¹⁶"), =HYPERLINK("CSG19.html#group81C19", "81C¹⁹"), =HYPERLINK("CSG13.html#group54T13", "54T¹³"), =HYPERLINK("CSG17.html#group63J17", "63J¹⁷"), =HYPERLINK("CSG16.html#group54H16", "54H¹⁶"), =HYPERLINK("CSG16.html#group54F16", "54F¹⁶"), =HYPERLINK("CSG22.html#group189A22", "189A²²"), =HYPERLINK("CSG7.html#group27D7", "27D⁷"), =HYPERLINK("CSG16.html#group54L16", "54L¹⁶"), =HYPERLINK("CSG5.html#group54C5", "54C⁵"), =HYPERLINK("CSG21.html#group108B21", "108B²¹"), =HYPERLINK("CSG16.html#group54M16", "54M¹⁶"), =HYPERLINK("CSG8.html#group36J8", "36J⁸"), =HYPERLINK("CSG23.html#group108A23", "108A²³"), =HYPERLINK("CSG24.html#group45A24", "45A²⁴"), =HYPERLINK("CSG16.html#group54G16", "54G¹⁶"), =HYPERLINK("CSG14.html#group54A14", "54A¹⁴"), =HYPERLINK("CSG3.html#group54C3", "54C³"), =HYPERLINK("CSG3.html#group45B3", "45B³"), =HYPERLINK("CSG19.html#group189D19", "189D¹⁹"), =HYPERLINK("CSG4.html#group9B4", "9B⁴"), =HYPERLINK("CSG20.html#group108A20", "108A²⁰"), =HYPERLINK("CSG19.html#group144G19", "144G¹⁹"), =HYPERLINK("CSG12.html#group144A12", "144A¹²"), =HYPERLINK("CSG20.html#group126C20", "126C²⁰"), =HYPERLINK("CSG23.html#group144U23", "144U²³"), =HYPERLINK("CSG20.html#group144A20", "144A²⁰"), =HYPERLINK("CSG18.html#group198E18", "198E¹⁸"), =HYPERLINK("CSG23.html#group144G23", "144G²³"), =HYPERLINK("CSG12.html#group108A12", "108A¹²"), =HYPERLINK("CSG23.html#group198A23", "198A²³"), =HYPERLINK("CSG8.html#group72F8", "72F⁸"), =HYPERLINK("CSG16.html#group27B16", "27B¹⁶"), =HYPERLINK("CSG13.html#group54E13", "54E¹³")</f>
        <v/>
      </c>
    </row>
    <row r="63">
      <c r="A63" t="inlineStr">
        <is>
          <t>9D⁰</t>
        </is>
      </c>
      <c r="B63" t="inlineStr"/>
      <c r="C63" t="inlineStr">
        <is>
          <t>18</t>
        </is>
      </c>
      <c r="D63" t="inlineStr">
        <is>
          <t>1</t>
        </is>
      </c>
      <c r="E63" t="inlineStr">
        <is>
          <t>3</t>
        </is>
      </c>
      <c r="F63" t="inlineStr">
        <is>
          <t>6</t>
        </is>
      </c>
      <c r="G63" t="inlineStr">
        <is>
          <t>0</t>
        </is>
      </c>
      <c r="H63" t="inlineStr">
        <is>
          <t>9²</t>
        </is>
      </c>
      <c r="I63" t="n">
        <v>2</v>
      </c>
      <c r="J63" t="inlineStr">
        <is>
          <t>1¹, 2¹</t>
        </is>
      </c>
      <c r="K63">
        <f>HYPERLINK("CSG0.html#group3C0", "3C⁰"), =HYPERLINK("CSG0.html#group9A0", "9A⁰")</f>
        <v/>
      </c>
      <c r="L63">
        <f>HYPERLINK("CSG0.html#group18D0", "18D⁰"), =HYPERLINK("CSG1.html#group9E1", "9E¹"), =HYPERLINK("CSG1.html#group9F1", "9F¹"), =HYPERLINK("CSG2.html#group9A2", "9A²"), =HYPERLINK("CSG2.html#group18I2", "18I²"), =HYPERLINK("CSG3.html#group18A3", "18A³"), =HYPERLINK("CSG3.html#group36H3", "36H³"), =HYPERLINK("CSG5.html#group45F5", "45F⁵"), =HYPERLINK("CSG6.html#group45A6", "45A⁶"), =HYPERLINK("CSG6.html#group63E6", "63E⁶"), =HYPERLINK("CSG11.html#group45A11", "45A¹¹"), =HYPERLINK("CSG11.html#group63A11", "63A¹¹"), =HYPERLINK("CSG12.html#group99A12", "99A¹²"), =HYPERLINK("CSG17.html#group99A17", "99A¹⁷"), =HYPERLINK("CSG17.html#group117A17", "117A¹⁷"), =HYPERLINK("CSG23.html#group153A23", "153A²³")</f>
        <v/>
      </c>
      <c r="M63">
        <f>HYPERLINK("CSG0.html#group3C0", "3C⁰"), =HYPERLINK("CSG0.html#group3A0", "3A⁰"), =HYPERLINK("CSG0.html#group1A0", "1A⁰"), =HYPERLINK("CSG0.html#group9A0", "9A⁰")</f>
        <v/>
      </c>
      <c r="N63">
        <f>HYPERLINK("CSG4.html#group18R4", "18R⁴"), =HYPERLINK("CSG13.html#group72H13", "72H¹³"), =HYPERLINK("CSG16.html#group18B16", "18B¹⁶"), =HYPERLINK("CSG16.html#group18F16", "18F¹⁶"), =HYPERLINK("CSG15.html#group36B15", "36B¹⁵"), =HYPERLINK("CSG23.html#group144W23", "144W²³"), =HYPERLINK("CSG19.html#group36R19", "36R¹⁹"), =HYPERLINK("CSG13.html#group36C13", "36C¹³"), =HYPERLINK("CSG15.html#group126F15", "126F¹⁵"), =HYPERLINK("CSG13.html#group18A13", "18A¹³"), =HYPERLINK("CSG4.html#group18O4", "18O⁴"), =HYPERLINK("CSG7.html#group27H7", "27H⁷"), =HYPERLINK("CSG19.html#group45F19", "45F¹⁹"), =HYPERLINK("CSG20.html#group63A20", "63A²⁰"), =HYPERLINK("CSG1.html#group9F1", "9F¹"), =HYPERLINK("CSG10.html#group27A10", "27A¹⁰"), =HYPERLINK("CSG19.html#group45A19", "45A¹⁹"), =HYPERLINK("CSG16.html#group18H16", "18H¹⁶"), =HYPERLINK("CSG15.html#group36C15", "36C¹⁵"), =HYPERLINK("CSG4.html#group36P4", "36P⁴"), =HYPERLINK("CSG7.html#group18M7", "18M⁷"), =HYPERLINK("CSG1.html#group9E1", "9E¹"), =HYPERLINK("CSG9.html#group36O9", "36O⁹"), =HYPERLINK("CSG21.html#group45B21", "45B²¹"), =HYPERLINK("CSG24.html#group198A24", "198A²⁴"), =HYPERLINK("CSG20.html#group90A20", "90A²⁰"), =HYPERLINK("CSG11.html#group36A11", "36A¹¹"), =HYPERLINK("CSG11.html#group45A11", "45A¹¹"), =HYPERLINK("CSG16.html#group18G16", "18G¹⁶"), =HYPERLINK("CSG7.html#group36C7", "36C⁷"), =HYPERLINK("CSG16.html#group36G16", "36G¹⁶"), =HYPERLINK("CSG4.html#group9C4", "9C⁴"), =HYPERLINK("CSG21.html#group144N21", "144N²¹"), =HYPERLINK("CSG6.html#group18A6", "18A⁶"), =HYPERLINK("CSG16.html#group27A16", "27A¹⁶"), =HYPERLINK("CSG7.html#group27F7", "27F⁷"), =HYPERLINK("CSG15.html#group45A15", "45A¹⁵"), =HYPERLINK("CSG13.html#group18B13", "18B¹³"), =HYPERLINK("CSG16.html#group36I16", "36I¹⁶"), =HYPERLINK("CSG22.html#group18A22", "18A²²"), =HYPERLINK("CSG17.html#group72W17", "72W¹⁷"), =HYPERLINK("CSG4.html#group18S4", "18S⁴"), =HYPERLINK("CSG11.html#group36C11", "36C¹¹"), =HYPERLINK("CSG16.html#group18C16", "18C¹⁶"), =HYPERLINK("CSG7.html#group18A7", "18A⁷"), =HYPERLINK("CSG19.html#group54A19", "54A¹⁹"), =HYPERLINK("CSG5.html#group18A5", "18A⁵"), =HYPERLINK("CSG14.html#group45A14", "45A¹⁴"), =HYPERLINK("CSG6.html#group63E6", "63E⁶"), =HYPERLINK("CSG15.html#group36A15", "36A¹⁵"), =HYPERLINK("CSG12.html#group90A12", "90A¹²"), =HYPERLINK("CSG17.html#group90A17", "90A¹⁷"), =HYPERLINK("CSG17.html#group63A17", "63A¹⁷"), =HYPERLINK("CSG13.html#group36G13", "36G¹³"), =HYPERLINK("CSG22.html#group54I22", "54I²²"), =HYPERLINK("CSG19.html#group45G19", "45G¹⁹"), =HYPERLINK("CSG23.html#group126A23", "126A²³"), =HYPERLINK("CSG14.html#group63B14", "63B¹⁴"), =HYPERLINK("CSG22.html#group36A22", "36A²²"), =HYPERLINK("CSG2.html#group9A2", "9A²"), =HYPERLINK("CSG22.html#group27A22", "27A²²"), =HYPERLINK("CSG23.html#group36A23", "36A²³"), =HYPERLINK("CSG3.html#group36F3", "36F³"), =HYPERLINK("CSG12.html#group126J12", "126J¹²"), =HYPERLINK("CSG17.html#group90B17", "90B¹⁷"), =HYPERLINK("CSG13.html#group36L13", "36L¹³"), =HYPERLINK("CSG19.html#group18E19", "18E¹⁹"), =HYPERLINK("CSG15.html#group90A15", "90A¹⁵"), =HYPERLINK("CSG7.html#group18B7", "18B⁷"), =HYPERLINK("CSG5.html#group36H5", "36H⁵"), =HYPERLINK("CSG23.html#group72B23", "72B²³"), =HYPERLINK("CSG10.html#group9A10", "9A¹⁰"), =HYPERLINK("CSG12.html#group99A12", "99A¹²"), =HYPERLINK("CSG19.html#group36Q19", "36Q¹⁹"), =HYPERLINK("CSG13.html#group36M13", "36M¹³"), =HYPERLINK("CSG22.html#group54J22", "54J²²"), =HYPERLINK("CSG22.html#group36H22", "36H²²"), =HYPERLINK("CSG21.html#group63A21", "63A²¹"), =HYPERLINK("CSG15.html#group45B15", "45B¹⁵"), =HYPERLINK("CSG13.html#group72G13", "72G¹³"), =HYPERLINK("CSG17.html#group99A17", "99A¹⁷"), =HYPERLINK("CSG23.html#group90C23", "90C²³"), =HYPERLINK("CSG19.html#group18A19", "18A¹⁹"), =HYPERLINK("CSG19.html#group36M19", "36M¹⁹"), =HYPERLINK("CSG13.html#group36N13", "36N¹³"), =HYPERLINK("CSG2.html#group18I2", "18I²"), =HYPERLINK("CSG13.html#group36R13", "36R¹³"), =HYPERLINK("CSG5.html#group45F5", "45F⁵"), =HYPERLINK("CSG13.html#group72F13", "72F¹³"), =HYPERLINK("CSG22.html#group27B22", "27B²²"), =HYPERLINK("CSG3.html#group18A3", "18A³"), =HYPERLINK("CSG7.html#group18I7", "18I⁷"), =HYPERLINK("CSG23.html#group90D23", "90D²³"), =HYPERLINK("CSG21.html#group144M21", "144M²¹"), =HYPERLINK("CSG21.html#group90N21", "90N²¹"), =HYPERLINK("CSG16.html#group54V16", "54V¹⁶"), =HYPERLINK("CSG21.html#group36A21", "36A²¹"), =HYPERLINK("CSG11.html#group36D11", "36D¹¹"), =HYPERLINK("CSG16.html#group54Q16", "54Q¹⁶"), =HYPERLINK("CSG11.html#group72N11", "72N¹¹"), =HYPERLINK("CSG18.html#group126A18", "126A¹⁸"), =HYPERLINK("CSG21.html#group126A21", "126A²¹"), =HYPERLINK("CSG13.html#group36F13", "36F¹³"), =HYPERLINK("CSG4.html#group18L4", "18L⁴"), =HYPERLINK("CSG13.html#group18C13", "18C¹³"), =HYPERLINK("CSG23.html#group126B23", "126B²³"), =HYPERLINK("CSG23.html#group72A23", "72A²³"), =HYPERLINK("CSG3.html#group36H3", "36H³"), =HYPERLINK("CSG19.html#group18B19", "18B¹⁹"), =HYPERLINK("CSG13.html#group18H13", "18H¹³"), =HYPERLINK("CSG17.html#group72S17", "72S¹⁷"), =HYPERLINK("CSG21.html#group72AA21", "72AA²¹"), =HYPERLINK("CSG16.html#group18D16", "18D¹⁶"), =HYPERLINK("CSG23.html#group144X23", "144X²³"), =HYPERLINK("CSG22.html#group54K22", "54K²²"), =HYPERLINK("CSG11.html#group90I11", "90I¹¹"), =HYPERLINK("CSG5.html#group36M5", "36M⁵"), =HYPERLINK("CSG4.html#group9A4", "9A⁴"), =HYPERLINK("CSG19.html#group54B19", "54B¹⁹"), =HYPERLINK("CSG17.html#group117A17", "117A¹⁷"), =HYPERLINK("CSG15.html#group72G15", "72G¹⁵"), =HYPERLINK("CSG7.html#group27G7", "27G⁷"), =HYPERLINK("CSG13.html#group36E13", "36E¹³"), =HYPERLINK("CSG17.html#group72V17", "72V¹⁷"), =HYPERLINK("CSG6.html#group45A6", "45A⁶"), =HYPERLINK("CSG15.html#group36P15", "36P¹⁵"), =HYPERLINK("CSG19.html#group27E19", "27E¹⁹"), =HYPERLINK("CSG13.html#group36H13", "36H¹³"), =HYPERLINK("CSG21.html#group90I21", "90I²¹"), =HYPERLINK("CSG15.html#group72F15", "72F¹⁵"), =HYPERLINK("CSG15.html#group36D15", "36D¹⁵"), =HYPERLINK("CSG17.html#group72B17", "72B¹⁷"), =HYPERLINK("CSG11.html#group72M11", "72M¹¹"), =HYPERLINK("CSG23.html#group72F23", "72F²³"), =HYPERLINK("CSG19.html#group36N19", "36N¹⁹"), =HYPERLINK("CSG22.html#group27C22", "27C²²"), =HYPERLINK("CSG11.html#group90H11", "90H¹¹"), =HYPERLINK("CSG13.html#group36Q13", "36Q¹³"), =HYPERLINK("CSG4.html#group18T4", "18T⁴"), =HYPERLINK("CSG22.html#group63A22", "63A²²"), =HYPERLINK("CSG23.html#group153A23", "153A²³"), =HYPERLINK("CSG16.html#group45B16", "45B¹⁶"), =HYPERLINK("CSG11.html#group72O11", "72O¹¹"), =HYPERLINK("CSG13.html#group36I13", "36I¹³"), =HYPERLINK("CSG9.html#group72F9", "72F⁹"), =HYPERLINK("CSG11.html#group36J11", "36J¹¹"), =HYPERLINK("CSG16.html#group18A16", "18A¹⁶"), =HYPERLINK("CSG17.html#group72A17", "72A¹⁷"), =HYPERLINK("CSG8.html#group36A8", "36A⁸"), =HYPERLINK("CSG0.html#group18D0", "18D⁰"), =HYPERLINK("CSG4.html#group9B4", "9B⁴"), =HYPERLINK("CSG19.html#group45C19", "45C¹⁹"), =HYPERLINK("CSG13.html#group18F13", "18F¹³"), =HYPERLINK("CSG11.html#group63A11", "63A¹¹"), =HYPERLINK("CSG9.html#group45E9", "45E⁹"), =HYPERLINK("CSG23.html#group45D23", "45D²³"), =HYPERLINK("CSG7.html#group18F7", "18F⁷"), =HYPERLINK("CSG9.html#group72G9", "72G⁹"), =HYPERLINK("CSG13.html#group36O13", "36O¹³"), =HYPERLINK("CSG16.html#group27B16", "27B¹⁶")</f>
        <v/>
      </c>
    </row>
    <row r="64">
      <c r="A64" t="inlineStr">
        <is>
          <t>9E⁰</t>
        </is>
      </c>
      <c r="B64" t="inlineStr"/>
      <c r="C64" t="inlineStr">
        <is>
          <t>18</t>
        </is>
      </c>
      <c r="D64" t="inlineStr">
        <is>
          <t>1</t>
        </is>
      </c>
      <c r="E64" t="inlineStr">
        <is>
          <t>18</t>
        </is>
      </c>
      <c r="F64" t="inlineStr">
        <is>
          <t>2</t>
        </is>
      </c>
      <c r="G64" t="inlineStr">
        <is>
          <t>0</t>
        </is>
      </c>
      <c r="H64" t="inlineStr">
        <is>
          <t>3³, 9¹</t>
        </is>
      </c>
      <c r="I64" t="n">
        <v>4</v>
      </c>
      <c r="J64" t="inlineStr">
        <is>
          <t>1¹, 2¹, 3¹, 6²</t>
        </is>
      </c>
      <c r="K64">
        <f>HYPERLINK("CSG0.html#group3C0", "3C⁰")</f>
        <v/>
      </c>
      <c r="L64">
        <f>HYPERLINK("CSG0.html#group9H0", "9H⁰"), =HYPERLINK("CSG1.html#group9E1", "9E¹"), =HYPERLINK("CSG1.html#group18F1", "18F¹"), =HYPERLINK("CSG1.html#group18I1", "18I¹"), =HYPERLINK("CSG2.html#group9B2", "9B²"), =HYPERLINK("CSG2.html#group18F2", "18F²"), =HYPERLINK("CSG4.html#group36M4", "36M⁴"), =HYPERLINK("CSG5.html#group45G5", "45G⁵"), =HYPERLINK("CSG6.html#group45C6", "45C⁶"), =HYPERLINK("CSG8.html#group63B8", "63B⁸"), =HYPERLINK("CSG9.html#group63C9", "63C⁹"), =HYPERLINK("CSG11.html#group45E11", "45E¹¹"), =HYPERLINK("CSG14.html#group99A14", "99A¹⁴"), =HYPERLINK("CSG15.html#group99C15", "99C¹⁵"), =HYPERLINK("CSG17.html#group117C17", "117C¹⁷"), =HYPERLINK("CSG23.html#group153C23", "153C²³")</f>
        <v/>
      </c>
      <c r="M64">
        <f>HYPERLINK("CSG0.html#group3A0", "3A⁰"), =HYPERLINK("CSG0.html#group3C0", "3C⁰"), =HYPERLINK("CSG0.html#group1A0", "1A⁰")</f>
        <v/>
      </c>
      <c r="N64">
        <f>HYPERLINK("CSG5.html#group36I5", "36I⁵"), =HYPERLINK("CSG10.html#group27B10", "27B¹⁰"), =HYPERLINK("CSG6.html#group45C6", "45C⁶"), =HYPERLINK("CSG15.html#group90J15", "90J¹⁵"), =HYPERLINK("CSG20.html#group45A20", "45A²⁰"), =HYPERLINK("CSG13.html#group72K13", "72K¹³"), =HYPERLINK("CSG10.html#group18M10", "18M¹⁰"), =HYPERLINK("CSG19.html#group27A19", "27A¹⁹"), =HYPERLINK("CSG21.html#group72AB21", "72AB²¹"), =HYPERLINK("CSG12.html#group36D12", "36D¹²"), =HYPERLINK("CSG1.html#group9H1", "9H¹"), =HYPERLINK("CSG9.html#group63C9", "63C⁹"), =HYPERLINK("CSG15.html#group36G15", "36G¹⁵"), =HYPERLINK("CSG16.html#group18B16", "18B¹⁶"), =HYPERLINK("CSG11.html#group45E11", "45E¹¹"), =HYPERLINK("CSG16.html#group63D16", "63D¹⁶"), =HYPERLINK("CSG16.html#group18F16", "18F¹⁶"), =HYPERLINK("CSG4.html#group18N4", "18N⁴"), =HYPERLINK("CSG11.html#group45H11", "45H¹¹"), =HYPERLINK("CSG13.html#group18A13", "18A¹³"), =HYPERLINK("CSG22.html#group54H22", "54H²²"), =HYPERLINK("CSG13.html#group18E13", "18E¹³"), =HYPERLINK("CSG3.html#group18K3", "18K³"), =HYPERLINK("CSG19.html#group36U19", "36U¹⁹"), =HYPERLINK("CSG4.html#group18O4", "18O⁴"), =HYPERLINK("CSG19.html#group45F19", "45F¹⁹"), =HYPERLINK("CSG19.html#group45A19", "45A¹⁹"), =HYPERLINK("CSG19.html#group72T19", "72T¹⁹"), =HYPERLINK("CSG5.html#group45G5", "45G⁵"), =HYPERLINK("CSG15.html#group99C15", "99C¹⁵"), =HYPERLINK("CSG17.html#group36I17", "36I¹⁷"), =HYPERLINK("CSG1.html#group9E1", "9E¹"), =HYPERLINK("CSG24.html#group63C24", "63C²⁴"), =HYPERLINK("CSG13.html#group72J13", "72J¹³"), =HYPERLINK("CSG9.html#group36P9", "36P⁹"), =HYPERLINK("CSG13.html#group90G13", "90G¹³"), =HYPERLINK("CSG16.html#group36G16", "36G¹⁶"), =HYPERLINK("CSG4.html#group9C4", "9C⁴"), =HYPERLINK("CSG7.html#group27F7", "27F⁷"), =HYPERLINK("CSG15.html#group36F15", "36F¹⁵"), =HYPERLINK("CSG16.html#group27A16", "27A¹⁶"), =HYPERLINK("CSG21.html#group54B21", "54B²¹"), =HYPERLINK("CSG19.html#group90K19", "90K¹⁹"), =HYPERLINK("CSG2.html#group18P2", "18P²"), =HYPERLINK("CSG1.html#group18F1", "18F¹"), =HYPERLINK("CSG22.html#group18A22", "18A²²"), =HYPERLINK("CSG20.html#group126E20", "126E²⁰"), =HYPERLINK("CSG24.html#group54A24", "54A²⁴"), =HYPERLINK("CSG23.html#group45C23", "45C²³"), =HYPERLINK("CSG16.html#group18C16", "18C¹⁶"), =HYPERLINK("CSG19.html#group54A19", "54A¹⁹"), =HYPERLINK("CSG11.html#group45F11", "45F¹¹"), =HYPERLINK("CSG8.html#group27A8", "27A⁸"), =HYPERLINK("CSG2.html#group9B2", "9B²"), =HYPERLINK("CSG22.html#group144K22", "144K²²"), =HYPERLINK("CSG22.html#group54I22", "54I²²"), =HYPERLINK("CSG21.html#group45A21", "45A²¹"), =HYPERLINK("CSG21.html#group126L21", "126L²¹"), =HYPERLINK("CSG22.html#group36A22", "36A²²"), =HYPERLINK("CSG3.html#group18F3", "18F³"), =HYPERLINK("CSG10.html#group18K10", "18K¹⁰"), =HYPERLINK("CSG8.html#group36N8", "36N⁸"), =HYPERLINK("CSG22.html#group27A22", "27A²²"), =HYPERLINK("CSG19.html#group126D19", "126D¹⁹"), =HYPERLINK("CSG12.html#group36C12", "36C¹²"), =HYPERLINK("CSG17.html#group117C17", "117C¹⁷"), =HYPERLINK("CSG12.html#group72H12", "72H¹²"), =HYPERLINK("CSG13.html#group90A13", "90A¹³"), =HYPERLINK("CSG2.html#group18F2", "18F²"), =HYPERLINK("CSG21.html#group36E21", "36E²¹"), =HYPERLINK("CSG11.html#group36L11", "36L¹¹"), =HYPERLINK("CSG21.html#group45E21", "45E²¹"), =HYPERLINK("CSG9.html#group45F9", "45F⁹"), =HYPERLINK("CSG15.html#group36H15", "36H¹⁵"), =HYPERLINK("CSG7.html#group36N7", "36N⁷"), =HYPERLINK("CSG1.html#group18I1", "18I¹"), =HYPERLINK("CSG14.html#group90C14", "90C¹⁴"), =HYPERLINK("CSG17.html#group72X17", "72X¹⁷"), =HYPERLINK("CSG6.html#group18B6", "18B⁶"), =HYPERLINK("CSG12.html#group72D12", "72D¹²"), =HYPERLINK("CSG7.html#group18B7", "18B⁷"), =HYPERLINK("CSG17.html#group36K17", "36K¹⁷"), =HYPERLINK("CSG22.html#group36C22", "36C²²"), =HYPERLINK("CSG21.html#group45C21", "45C²¹"), =HYPERLINK("CSG6.html#group18C6", "18C⁶"), =HYPERLINK("CSG12.html#group36B12", "36B¹²"), =HYPERLINK("CSG10.html#group9A10", "9A¹⁰"), =HYPERLINK("CSG18.html#group63A18", "63A¹⁸"), =HYPERLINK("CSG19.html#group36O19", "36O¹⁹"), =HYPERLINK("CSG15.html#group72I15", "72I¹⁵"), =HYPERLINK("CSG22.html#group144L22", "144L²²"), =HYPERLINK("CSG19.html#group27B19", "27B¹⁹"), =HYPERLINK("CSG0.html#group9H0", "9H⁰"), =HYPERLINK("CSG19.html#group36M19", "36M¹⁹"), =HYPERLINK("CSG19.html#group18A19", "18A¹⁹"), =HYPERLINK("CSG13.html#group36N13", "36N¹³"), =HYPERLINK("CSG13.html#group18D13", "18D¹³"), =HYPERLINK("CSG19.html#group72Q19", "72Q¹⁹"), =HYPERLINK("CSG9.html#group36A9", "36A⁹"), =HYPERLINK("CSG21.html#group72O21", "72O²¹"), =HYPERLINK("CSG11.html#group72Q11", "72Q¹¹"), =HYPERLINK("CSG22.html#group27B22", "27B²²"), =HYPERLINK("CSG7.html#group18I7", "18I⁷"), =HYPERLINK("CSG19.html#group72S19", "72S¹⁹"), =HYPERLINK("CSG18.html#group18A18", "18A¹⁸"), =HYPERLINK("CSG11.html#group36I11", "36I¹¹"), =HYPERLINK("CSG23.html#group36B23", "36B²³"), =HYPERLINK("CSG8.html#group72L8", "72L⁸"), =HYPERLINK("CSG19.html#group90G19", "90G¹⁹"), =HYPERLINK("CSG10.html#group72J10", "72J¹⁰"), =HYPERLINK("CSG23.html#group72J23", "72J²³"), =HYPERLINK("CSG21.html#group72M21", "72M²¹"), =HYPERLINK("CSG11.html#group72P11", "72P¹¹"), =HYPERLINK("CSG16.html#group54Q16", "54Q¹⁶"), =HYPERLINK("CSG12.html#group45A12", "45A¹²"), =HYPERLINK("CSG17.html#group36C17", "36C¹⁷"), =HYPERLINK("CSG23.html#group153C23", "153C²³"), =HYPERLINK("CSG13.html#group36F13", "36F¹³"), =HYPERLINK("CSG4.html#group36I4", "36I⁴"), =HYPERLINK("CSG13.html#group18C13", "18C¹³"), =HYPERLINK("CSG8.html#group72M8", "72M⁸"), =HYPERLINK("CSG19.html#group18B19", "18B¹⁹"), =HYPERLINK("CSG10.html#group18D10", "18D¹⁰"), =HYPERLINK("CSG15.html#group72H15", "72H¹⁵"), =HYPERLINK("CSG8.html#group18A8", "18A⁸"), =HYPERLINK("CSG12.html#group72I12", "72I¹²"), =HYPERLINK("CSG13.html#group27C13", "27C¹³"), =HYPERLINK("CSG23.html#group36D23", "36D²³"), =HYPERLINK("CSG12.html#group36A12", "36A¹²"), =HYPERLINK("CSG7.html#group18D7", "18D⁷"), =HYPERLINK("CSG16.html#group18D16", "18D¹⁶"), =HYPERLINK("CSG4.html#group36Q4", "36Q⁴"), =HYPERLINK("CSG4.html#group9A4", "9A⁴"), =HYPERLINK("CSG21.html#group126M21", "126M²¹"), =HYPERLINK("CSG15.html#group36R15", "36R¹⁵"), =HYPERLINK("CSG19.html#group54B19", "54B¹⁹"), =HYPERLINK("CSG21.html#group36C21", "36C²¹"), =HYPERLINK("CSG7.html#group27G7", "27G⁷"), =HYPERLINK("CSG23.html#group45A23", "45A²³"), =HYPERLINK("CSG13.html#group36E13", "36E¹³"), =HYPERLINK("CSG19.html#group27E19", "27E¹⁹"), =HYPERLINK("CSG13.html#group90F13", "90F¹³"), =HYPERLINK("CSG19.html#group45I19", "45I¹⁹"), =HYPERLINK("CSG18.html#group36A18", "36A¹⁸"), =HYPERLINK("CSG7.html#group18C7", "18C⁷"), =HYPERLINK("CSG19.html#group36N19", "36N¹⁹"), =HYPERLINK("CSG12.html#group72E12", "72E¹²"), =HYPERLINK("CSG15.html#group90I15", "90I¹⁵"), =HYPERLINK("CSG22.html#group27C22", "27C²²"), =HYPERLINK("CSG11.html#group36M11", "36M¹¹"), =HYPERLINK("CSG15.html#group36E15", "36E¹⁵"), =HYPERLINK("CSG8.html#group36O8", "36O⁸"), =HYPERLINK("CSG17.html#group63C17", "63C¹⁷"), =HYPERLINK("CSG4.html#group36M4", "36M⁴"), =HYPERLINK("CSG19.html#group18D19", "18D¹⁹"), =HYPERLINK("CSG11.html#group36N11", "36N¹¹"), =HYPERLINK("CSG19.html#group18C19", "18C¹⁹"), =HYPERLINK("CSG3.html#group36I3", "36I³"), =HYPERLINK("CSG9.html#group36J9", "36J⁹"), =HYPERLINK("CSG8.html#group63B8", "63B⁸"), =HYPERLINK("CSG9.html#group36G9", "36G⁹"), =HYPERLINK("CSG7.html#group18N7", "18N⁷"), =HYPERLINK("CSG7.html#group36J7", "36J⁷"), =HYPERLINK("CSG14.html#group99A14", "99A¹⁴"), =HYPERLINK("CSG19.html#group45D19", "45D¹⁹"), =HYPERLINK("CSG11.html#group27A11", "27A¹¹"), =HYPERLINK("CSG18.html#group126G18", "126G¹⁸"), =HYPERLINK("CSG21.html#group72N21", "72N²¹"), =HYPERLINK("CSG16.html#group18A16", "18A¹⁶"), =HYPERLINK("CSG4.html#group36H4", "36H⁴"), =HYPERLINK("CSG21.html#group54A21", "54A²¹"), =HYPERLINK("CSG6.html#group36D6", "36D⁶"), =HYPERLINK("CSG16.html#group45C16", "45C¹⁶"), =HYPERLINK("CSG17.html#group126E17", "126E¹⁷"), =HYPERLINK("CSG10.html#group72K10", "72K¹⁰"), =HYPERLINK("CSG23.html#group72K23", "72K²³"), =HYPERLINK("CSG4.html#group9B4", "9B⁴"), =HYPERLINK("CSG23.html#group72I23", "72I²³"), =HYPERLINK("CSG24.html#group54B24", "54B²⁴"), =HYPERLINK("CSG17.html#group63D17", "63D¹⁷"), =HYPERLINK("CSG15.html#group36Q15", "36Q¹⁵"), =HYPERLINK("CSG23.html#group36C23", "36C²³"), =HYPERLINK("CSG16.html#group27B16", "27B¹⁶")</f>
        <v/>
      </c>
    </row>
    <row r="65">
      <c r="A65" t="inlineStr">
        <is>
          <t>9F⁰</t>
        </is>
      </c>
      <c r="B65" t="inlineStr"/>
      <c r="C65" t="inlineStr">
        <is>
          <t>27</t>
        </is>
      </c>
      <c r="D65" t="inlineStr">
        <is>
          <t>1</t>
        </is>
      </c>
      <c r="E65" t="inlineStr">
        <is>
          <t>27</t>
        </is>
      </c>
      <c r="F65" t="inlineStr">
        <is>
          <t>3</t>
        </is>
      </c>
      <c r="G65" t="inlineStr">
        <is>
          <t>3</t>
        </is>
      </c>
      <c r="H65" t="inlineStr">
        <is>
          <t>9³</t>
        </is>
      </c>
      <c r="I65" t="n">
        <v>3</v>
      </c>
      <c r="J65" t="inlineStr">
        <is>
          <t>3¹, 6⁴</t>
        </is>
      </c>
      <c r="K65">
        <f>HYPERLINK("CSG0.html#group1A0", "1A⁰")</f>
        <v/>
      </c>
      <c r="L65">
        <f>HYPERLINK("CSG1.html#group9G1", "9G¹"), =HYPERLINK("CSG2.html#group18J2", "18J²"), =HYPERLINK("CSG3.html#group9A3", "9A³"), =HYPERLINK("CSG4.html#group18K4", "18K⁴"), =HYPERLINK("CSG6.html#group36G6", "36G⁶"), =HYPERLINK("CSG8.html#group45C8", "45C⁸"), =HYPERLINK("CSG10.html#group45A10", "45A¹⁰"), =HYPERLINK("CSG12.html#group63B12", "63B¹²"), =HYPERLINK("CSG14.html#group63A14", "63A¹⁴"), =HYPERLINK("CSG18.html#group45B18", "45B¹⁸"), =HYPERLINK("CSG20.html#group99A20", "99A²⁰")</f>
        <v/>
      </c>
      <c r="M65">
        <f>HYPERLINK("CSG0.html#group1A0", "1A⁰")</f>
        <v/>
      </c>
      <c r="N65">
        <f>HYPERLINK("CSG16.html#group18C16", "18C¹⁶"), =HYPERLINK("CSG22.html#group72I22", "72I²²"), =HYPERLINK("CSG3.html#group9A3", "9A³"), =HYPERLINK("CSG2.html#group18J2", "18J²"), =HYPERLINK("CSG8.html#group45C8", "45C⁸"), =HYPERLINK("CSG10.html#group18B10", "18B¹⁰"), =HYPERLINK("CSG10.html#group36M10", "36M¹⁰"), =HYPERLINK("CSG19.html#group36P19", "36P¹⁹"), =HYPERLINK("CSG16.html#group27E16", "27E¹⁶"), =HYPERLINK("CSG19.html#group27D19", "27D¹⁹"), =HYPERLINK("CSG6.html#group36G6", "36G⁶"), =HYPERLINK("CSG22.html#group27C22", "27C²²"), =HYPERLINK("CSG22.html#group36B22", "36B²²"), =HYPERLINK("CSG22.html#group36G22", "36G²²"), =HYPERLINK("CSG18.html#group90B18", "90B¹⁸"), =HYPERLINK("CSG10.html#group45A10", "45A¹⁰"), =HYPERLINK("CSG10.html#group36O10", "36O¹⁰"), =HYPERLINK("CSG22.html#group72F22", "72F²²"), =HYPERLINK("CSG22.html#group45A22", "45A²²"), =HYPERLINK("CSG1.html#group9G1", "9G¹"), =HYPERLINK("CSG7.html#group18J7", "18J⁷"), =HYPERLINK("CSG14.html#group36C14", "36C¹⁴"), =HYPERLINK("CSG12.html#group63B12", "63B¹²"), =HYPERLINK("CSG7.html#group18H7", "18H⁷"), =HYPERLINK("CSG10.html#group18A10", "18A¹⁰"), =HYPERLINK("CSG18.html#group45B18", "45B¹⁸"), =HYPERLINK("CSG19.html#group18B19", "18B¹⁹"), =HYPERLINK("CSG14.html#group63A14", "63A¹⁴"), =HYPERLINK("CSG4.html#group18K4", "18K⁴"), =HYPERLINK("CSG22.html#group90F22", "90F²²"), =HYPERLINK("CSG10.html#group9A10", "9A¹⁰"), =HYPERLINK("CSG10.html#group18L10", "18L¹⁰"), =HYPERLINK("CSG19.html#group27C19", "27C¹⁹"), =HYPERLINK("CSG4.html#group9C4", "9C⁴"), =HYPERLINK("CSG13.html#group27A13", "27A¹³"), =HYPERLINK("CSG16.html#group18E16", "18E¹⁶"), =HYPERLINK("CSG14.html#group72I14", "72I¹⁴"), =HYPERLINK("CSG22.html#group18A22", "18A²²"), =HYPERLINK("CSG22.html#group72E22", "72E²²"), =HYPERLINK("CSG11.html#group18A11", "18A¹¹"), =HYPERLINK("CSG20.html#group99A20", "99A²⁰")</f>
        <v/>
      </c>
    </row>
    <row r="66">
      <c r="A66" t="inlineStr">
        <is>
          <t>9G⁰</t>
        </is>
      </c>
      <c r="B66" t="inlineStr"/>
      <c r="C66" t="inlineStr">
        <is>
          <t>27</t>
        </is>
      </c>
      <c r="D66" t="inlineStr">
        <is>
          <t>1</t>
        </is>
      </c>
      <c r="E66" t="inlineStr">
        <is>
          <t>27</t>
        </is>
      </c>
      <c r="F66" t="inlineStr">
        <is>
          <t>7</t>
        </is>
      </c>
      <c r="G66" t="inlineStr">
        <is>
          <t>0</t>
        </is>
      </c>
      <c r="H66" t="inlineStr">
        <is>
          <t>9³</t>
        </is>
      </c>
      <c r="I66" t="n">
        <v>3</v>
      </c>
      <c r="J66" t="inlineStr">
        <is>
          <t>3¹, 6⁴</t>
        </is>
      </c>
      <c r="K66">
        <f>HYPERLINK("CSG0.html#group9A0", "9A⁰")</f>
        <v/>
      </c>
      <c r="L66">
        <f>HYPERLINK("CSG1.html#group9F1", "9F¹"), =HYPERLINK("CSG1.html#group9G1", "9G¹"), =HYPERLINK("CSG1.html#group18H1", "18H¹"), =HYPERLINK("CSG2.html#group9B2", "9B²"), =HYPERLINK("CSG2.html#group18K2", "18K²"), =HYPERLINK("CSG3.html#group18J3", "18J³"), =HYPERLINK("CSG3.html#group27B3", "27B³"), =HYPERLINK("CSG4.html#group18B4", "18B⁴"), =HYPERLINK("CSG5.html#group36J5", "36J⁵"), =HYPERLINK("CSG8.html#group45D8", "45D⁸"), =HYPERLINK("CSG9.html#group45B9", "45B⁹"), =HYPERLINK("CSG10.html#group63B10", "63B¹⁰"), =HYPERLINK("CSG16.html#group63B16", "63B¹⁶"), =HYPERLINK("CSG17.html#group45D17", "45D¹⁷"), =HYPERLINK("CSG19.html#group99A19", "99A¹⁹")</f>
        <v/>
      </c>
      <c r="M66">
        <f>HYPERLINK("CSG0.html#group3A0", "3A⁰"), =HYPERLINK("CSG0.html#group1A0", "1A⁰"), =HYPERLINK("CSG0.html#group9A0", "9A⁰")</f>
        <v/>
      </c>
      <c r="N66">
        <f>HYPERLINK("CSG5.html#group36J5", "36J⁵"), =HYPERLINK("CSG21.html#group90J21", "90J²¹"), =HYPERLINK("CSG20.html#group45A20", "45A²⁰"), =HYPERLINK("CSG10.html#group36N10", "36N¹⁰"), =HYPERLINK("CSG8.html#group36L8", "36L⁸"), =HYPERLINK("CSG22.html#group27B22", "27B²²"), =HYPERLINK("CSG2.html#group18K2", "18K²"), =HYPERLINK("CSG8.html#group54D8", "54D⁸"), =HYPERLINK("CSG18.html#group90D18", "90D¹⁸"), =HYPERLINK("CSG10.html#group36T10", "36T¹⁰"), =HYPERLINK("CSG21.html#group36D21", "36D²¹"), =HYPERLINK("CSG18.html#group18A18", "18A¹⁸"), =HYPERLINK("CSG19.html#group36P19", "36P¹⁹"), =HYPERLINK("CSG10.html#group36P10", "36P¹⁰"), =HYPERLINK("CSG19.html#group36S19", "36S¹⁹"), =HYPERLINK("CSG14.html#group72L14", "72L¹⁴"), =HYPERLINK("CSG16.html#group54V16", "54V¹⁶"), =HYPERLINK("CSG8.html#group45D8", "45D⁸"), =HYPERLINK("CSG19.html#group36R19", "36R¹⁹"), =HYPERLINK("CSG13.html#group18A13", "18A¹³"), =HYPERLINK("CSG14.html#group72O14", "72O¹⁴"), =HYPERLINK("CSG22.html#group54H22", "54H²²"), =HYPERLINK("CSG22.html#group126A22", "126A²²"), =HYPERLINK("CSG19.html#group90F19", "90F¹⁹"), =HYPERLINK("CSG24.html#group63E24", "63E²⁴"), =HYPERLINK("CSG24.html#group63D24", "63D²⁴"), =HYPERLINK("CSG8.html#group18B8", "18B⁸"), =HYPERLINK("CSG7.html#group27H7", "27H⁷"), =HYPERLINK("CSG1.html#group9F1", "9F¹"), =HYPERLINK("CSG10.html#group27A10", "27A¹⁰"), =HYPERLINK("CSG10.html#group63B10", "63B¹⁰"), =HYPERLINK("CSG13.html#group54A13", "54A¹³"), =HYPERLINK("CSG1.html#group18H1", "18H¹"), =HYPERLINK("CSG16.html#group18H16", "18H¹⁶"), =HYPERLINK("CSG22.html#group36F22", "36F²²"), =HYPERLINK("CSG20.html#group72D20", "72D²⁰"), =HYPERLINK("CSG7.html#group18M7", "18M⁷"), =HYPERLINK("CSG19.html#group18B19", "18B¹⁹"), =HYPERLINK("CSG7.html#group54A7", "54A⁷"), =HYPERLINK("CSG16.html#group63B16", "63B¹⁶"), =HYPERLINK("CSG20.html#group36C20", "36C²⁰"), =HYPERLINK("CSG14.html#group72M14", "72M¹⁴"), =HYPERLINK("CSG22.html#group90H22", "90H²²"), =HYPERLINK("CSG16.html#group36H16", "36H¹⁶"), =HYPERLINK("CSG18.html#group36B18", "36B¹⁸"), =HYPERLINK("CSG20.html#group72E20", "72E²⁰"), =HYPERLINK("CSG7.html#group36L7", "36L⁷"), =HYPERLINK("CSG8.html#group18A8", "18A⁸"), =HYPERLINK("CSG16.html#group36D16", "36D¹⁶"), =HYPERLINK("CSG17.html#group45D17", "45D¹⁷"), =HYPERLINK("CSG16.html#group18G16", "18G¹⁶"), =HYPERLINK("CSG10.html#group18L10", "18L¹⁰"), =HYPERLINK("CSG4.html#group9C4", "9C⁴"), =HYPERLINK("CSG13.html#group27A13", "27A¹³"), =HYPERLINK("CSG22.html#group72K22", "72K²²"), =HYPERLINK("CSG15.html#group36F15", "36F¹⁵"), =HYPERLINK("CSG3.html#group18J3", "18J³"), =HYPERLINK("CSG22.html#group54K22", "54K²²"), =HYPERLINK("CSG18.html#group72E18", "72E¹⁸"), =HYPERLINK("CSG11.html#group36G11", "36G¹¹"), =HYPERLINK("CSG21.html#group54B21", "54B²¹"), =HYPERLINK("CSG12.html#group36G12", "36G¹²"), =HYPERLINK("CSG19.html#group36T19", "36T¹⁹"), =HYPERLINK("CSG16.html#group27A16", "27A¹⁶"), =HYPERLINK("CSG22.html#group90D22", "90D²²"), =HYPERLINK("CSG22.html#group36D22", "36D²²"), =HYPERLINK("CSG23.html#group63A23", "63A²³"), =HYPERLINK("CSG16.html#group36I16", "36I¹⁶"), =HYPERLINK("CSG22.html#group18A22", "18A²²"), =HYPERLINK("CSG4.html#group9A4", "9A⁴"), =HYPERLINK("CSG11.html#group54A11", "54A¹¹"), =HYPERLINK("CSG10.html#group18C10", "18C¹⁰"), =HYPERLINK("CSG21.html#group36C21", "36C²¹"), =HYPERLINK("CSG24.html#group54A24", "54A²⁴"), =HYPERLINK("CSG4.html#group18S4", "18S⁴"), =HYPERLINK("CSG16.html#group18C16", "18C¹⁶"), =HYPERLINK("CSG19.html#group72W19", "72W¹⁹"), =HYPERLINK("CSG3.html#group27B3", "27B³"), =HYPERLINK("CSG22.html#group72G22", "72G²²"), =HYPERLINK("CSG18.html#group36A18", "36A¹⁸"), =HYPERLINK("CSG22.html#group45B22", "45B²²"), =HYPERLINK("CSG24.html#group90B24", "90B²⁴"), =HYPERLINK("CSG2.html#group9B2", "9B²"), =HYPERLINK("CSG8.html#group27A8", "27A⁸"), =HYPERLINK("CSG7.html#group18C7", "18C⁷"), =HYPERLINK("CSG10.html#group18B10", "18B¹⁰"), =HYPERLINK("CSG21.html#group45A21", "45A²¹"), =HYPERLINK("CSG7.html#group18L7", "18L⁷"), =HYPERLINK("CSG16.html#group45E16", "45E¹⁶"), =HYPERLINK("CSG19.html#group45G19", "45G¹⁹"), =HYPERLINK("CSG20.html#group90C20", "90C²⁰"), =HYPERLINK("CSG12.html#group27A12", "27A¹²"), =HYPERLINK("CSG22.html#group27C22", "27C²²"), =HYPERLINK("CSG15.html#group36E15", "36E¹⁵"), =HYPERLINK("CSG22.html#group36E22", "36E²²"), =HYPERLINK("CSG19.html#group18D19", "18D¹⁹"), =HYPERLINK("CSG1.html#group9G1", "9G¹"), =HYPERLINK("CSG19.html#group18C19", "18C¹⁹"), =HYPERLINK("CSG24.html#group72A24", "72A²⁴"), =HYPERLINK("CSG20.html#group72F20", "72F²⁰"), =HYPERLINK("CSG7.html#group18J7", "18J⁷"), =HYPERLINK("CSG11.html#group54B11", "54B¹¹"), =HYPERLINK("CSG18.html#group45C18", "45C¹⁸"), =HYPERLINK("CSG22.html#group72J22", "72J²²"), =HYPERLINK("CSG19.html#group90J19", "90J¹⁹"), =HYPERLINK("CSG4.html#group18B4", "18B⁴"), =HYPERLINK("CSG7.html#group18K7", "18K⁷"), =HYPERLINK("CSG11.html#group27A11", "27A¹¹"), =HYPERLINK("CSG6.html#group18B6", "18B⁶"), =HYPERLINK("CSG19.html#group99A19", "99A¹⁹"), =HYPERLINK("CSG14.html#group72N14", "72N¹⁴"), =HYPERLINK("CSG19.html#group18E19", "18E¹⁹"), =HYPERLINK("CSG16.html#group18A16", "18A¹⁶"), =HYPERLINK("CSG21.html#group54A21", "54A²¹"), =HYPERLINK("CSG22.html#group36C22", "36C²²"), =HYPERLINK("CSG8.html#group36M8", "36M⁸"), =HYPERLINK("CSG20.html#group36A20", "36A²⁰"), =HYPERLINK("CSG10.html#group9A10", "9A¹⁰"), =HYPERLINK("CSG22.html#group36J22", "36J²²"), =HYPERLINK("CSG15.html#group54A15", "54A¹⁵"), =HYPERLINK("CSG19.html#group36O19", "36O¹⁹"), =HYPERLINK("CSG19.html#group36Q19", "36Q¹⁹"), =HYPERLINK("CSG21.html#group72X21", "72X²¹"), =HYPERLINK("CSG24.html#group54B24", "54B²⁴"), =HYPERLINK("CSG24.html#group126C24", "126C²⁴"), =HYPERLINK("CSG19.html#group45C19", "45C¹⁹"), =HYPERLINK("CSG22.html#group54J22", "54J²²"), =HYPERLINK("CSG22.html#group36I22", "36I²²"), =HYPERLINK("CSG22.html#group36H22", "36H²²"), =HYPERLINK("CSG20.html#group108B20", "108B²⁰"), =HYPERLINK("CSG22.html#group72H22", "72H²²"), =HYPERLINK("CSG7.html#group18F7", "18F⁷"), =HYPERLINK("CSG20.html#group36B20", "36B²⁰"), =HYPERLINK("CSG9.html#group45B9", "45B⁹"), =HYPERLINK("CSG13.html#group36O13", "36O¹³"), =HYPERLINK("CSG13.html#group36R13", "36R¹³")</f>
        <v/>
      </c>
    </row>
    <row r="67">
      <c r="A67" t="inlineStr">
        <is>
          <t>9H⁰</t>
        </is>
      </c>
      <c r="B67" t="inlineStr"/>
      <c r="C67" t="inlineStr">
        <is>
          <t>36</t>
        </is>
      </c>
      <c r="D67" t="inlineStr">
        <is>
          <t>1</t>
        </is>
      </c>
      <c r="E67" t="inlineStr">
        <is>
          <t>6</t>
        </is>
      </c>
      <c r="F67" t="inlineStr">
        <is>
          <t>0</t>
        </is>
      </c>
      <c r="G67" t="inlineStr">
        <is>
          <t>0</t>
        </is>
      </c>
      <c r="H67" t="inlineStr">
        <is>
          <t>3⁶, 9²</t>
        </is>
      </c>
      <c r="I67" t="n">
        <v>8</v>
      </c>
      <c r="J67" t="inlineStr">
        <is>
          <t>1², 2²</t>
        </is>
      </c>
      <c r="K67">
        <f>HYPERLINK("CSG0.html#group3D0", "3D⁰"), =HYPERLINK("CSG0.html#group9E0", "9E⁰")</f>
        <v/>
      </c>
      <c r="L67">
        <f>HYPERLINK("CSG1.html#group9H1", "9H¹"), =HYPERLINK("CSG2.html#group18P2", "18P²"), =HYPERLINK("CSG3.html#group18F3", "18F³"), =HYPERLINK("CSG4.html#group9A4", "9A⁴"), =HYPERLINK("CSG4.html#group9B4", "9B⁴"), =HYPERLINK("CSG9.html#group36G9", "36G⁹"), =HYPERLINK("CSG11.html#group45F11", "45F¹¹"), =HYPERLINK("CSG12.html#group45A12", "45A¹²"), =HYPERLINK("CSG17.html#group63D17", "63D¹⁷"), =HYPERLINK("CSG18.html#group63A18", "63A¹⁸"), =HYPERLINK("CSG23.html#group45A23", "45A²³")</f>
        <v/>
      </c>
      <c r="M67">
        <f>HYPERLINK("CSG0.html#group3B0", "3B⁰"), =HYPERLINK("CSG0.html#group3C0", "3C⁰"), =HYPERLINK("CSG0.html#group1A0", "1A⁰"), =HYPERLINK("CSG0.html#group9E0", "9E⁰"), =HYPERLINK("CSG0.html#group3A0", "3A⁰"), =HYPERLINK("CSG0.html#group3D0", "3D⁰")</f>
        <v/>
      </c>
      <c r="N67">
        <f>HYPERLINK("CSG10.html#group27B10", "27B¹⁰"), =HYPERLINK("CSG19.html#group27A19", "27A¹⁹"), =HYPERLINK("CSG9.html#group36A9", "36A⁹"), =HYPERLINK("CSG23.html#group45A23", "45A²³"), =HYPERLINK("CSG21.html#group72O21", "72O²¹"), =HYPERLINK("CSG10.html#group18M10", "18M¹⁰"), =HYPERLINK("CSG21.html#group72AB21", "72AB²¹"), =HYPERLINK("CSG19.html#group27E19", "27E¹⁹"), =HYPERLINK("CSG11.html#group45F11", "45F¹¹"), =HYPERLINK("CSG22.html#group27B22", "27B²²"), =HYPERLINK("CSG1.html#group9H1", "9H¹"), =HYPERLINK("CSG16.html#group18B16", "18B¹⁶"), =HYPERLINK("CSG11.html#group36I11", "36I¹¹"), =HYPERLINK("CSG3.html#group18F3", "18F³"), =HYPERLINK("CSG10.html#group18K10", "18K¹⁰"), =HYPERLINK("CSG22.html#group27A22", "27A²²"), =HYPERLINK("CSG13.html#group18A13", "18A¹³"), =HYPERLINK("CSG13.html#group18E13", "18E¹³"), =HYPERLINK("CSG12.html#group45A12", "45A¹²"), =HYPERLINK("CSG17.html#group36C17", "36C¹⁷"), =HYPERLINK("CSG9.html#group36G9", "36G⁹"), =HYPERLINK("CSG7.html#group18N7", "18N⁷"), =HYPERLINK("CSG21.html#group36E21", "36E²¹"), =HYPERLINK("CSG21.html#group45E21", "45E²¹"), =HYPERLINK("CSG13.html#group18C13", "18C¹³"), =HYPERLINK("CSG7.html#group36N7", "36N⁷"), =HYPERLINK("CSG17.html#group72X17", "72X¹⁷"), =HYPERLINK("CSG17.html#group36I17", "36I¹⁷"), =HYPERLINK("CSG10.html#group18D10", "18D¹⁰"), =HYPERLINK("CSG16.html#group18A16", "18A¹⁶"), =HYPERLINK("CSG17.html#group36K17", "36K¹⁷"), =HYPERLINK("CSG13.html#group27C13", "27C¹³"), =HYPERLINK("CSG10.html#group9A10", "9A¹⁰"), =HYPERLINK("CSG18.html#group63A18", "63A¹⁸"), =HYPERLINK("CSG4.html#group9B4", "9B⁴"), =HYPERLINK("CSG17.html#group63D17", "63D¹⁷"), =HYPERLINK("CSG16.html#group27A16", "27A¹⁶"), =HYPERLINK("CSG19.html#group27B19", "27B¹⁹"), =HYPERLINK("CSG2.html#group18P2", "18P²"), =HYPERLINK("CSG4.html#group9A4", "9A⁴"), =HYPERLINK("CSG13.html#group18D13", "18D¹³"), =HYPERLINK("CSG16.html#group27B16", "27B¹⁶")</f>
        <v/>
      </c>
    </row>
    <row r="68">
      <c r="A68" t="inlineStr">
        <is>
          <t>9I⁰</t>
        </is>
      </c>
      <c r="B68" t="inlineStr">
        <is>
          <t>Γ₁(9)</t>
        </is>
      </c>
      <c r="C68" t="inlineStr">
        <is>
          <t>36</t>
        </is>
      </c>
      <c r="D68" t="inlineStr">
        <is>
          <t>1</t>
        </is>
      </c>
      <c r="E68" t="inlineStr">
        <is>
          <t>12</t>
        </is>
      </c>
      <c r="F68" t="inlineStr">
        <is>
          <t>0</t>
        </is>
      </c>
      <c r="G68" t="inlineStr">
        <is>
          <t>0</t>
        </is>
      </c>
      <c r="H68" t="inlineStr">
        <is>
          <t>1³, 3², 9³</t>
        </is>
      </c>
      <c r="I68" t="n">
        <v>8</v>
      </c>
      <c r="J68" t="inlineStr">
        <is>
          <t>1², 2², 6¹</t>
        </is>
      </c>
      <c r="K68">
        <f>HYPERLINK("CSG0.html#group9B0", "9B⁰")</f>
        <v/>
      </c>
      <c r="L68">
        <f>HYPERLINK("CSG1.html#group9H1", "9H¹"), =HYPERLINK("CSG1.html#group27C1", "27C¹"), =HYPERLINK("CSG2.html#group18Q2", "18Q²"), =HYPERLINK("CSG3.html#group18G3", "18G³"), =HYPERLINK("CSG4.html#group27A4", "27A⁴"), =HYPERLINK("CSG4.html#group27B4", "27B⁴"), =HYPERLINK("CSG9.html#group36H9", "36H⁹"), =HYPERLINK("CSG11.html#group45G11", "45G¹¹"), =HYPERLINK("CSG12.html#group45B12", "45B¹²"), =HYPERLINK("CSG17.html#group63G17", "63G¹⁷"), =HYPERLINK("CSG18.html#group63D18", "63D¹⁸"), =HYPERLINK("CSG23.html#group45B23", "45B²³")</f>
        <v/>
      </c>
      <c r="M68">
        <f>HYPERLINK("CSG0.html#group3B0", "3B⁰"), =HYPERLINK("CSG0.html#group9B0", "9B⁰"), =HYPERLINK("CSG0.html#group1A0", "1A⁰")</f>
        <v/>
      </c>
      <c r="N68">
        <f>HYPERLINK("CSG4.html#group27B4", "27B⁴"), =HYPERLINK("CSG10.html#group27B10", "27B¹⁰"), =HYPERLINK("CSG21.html#group72AC21", "72AC²¹"), =HYPERLINK("CSG19.html#group27A19", "27A¹⁹"), =HYPERLINK("CSG1.html#group27C1", "27C¹"), =HYPERLINK("CSG10.html#group18M10", "18M¹⁰"), =HYPERLINK("CSG13.html#group54C13", "54C¹³"), =HYPERLINK("CSG13.html#group54G13", "54G¹³"), =HYPERLINK("CSG23.html#group45B23", "45B²³"), =HYPERLINK("CSG17.html#group36L17", "36L¹⁷"), =HYPERLINK("CSG13.html#group27B13", "27B¹³"), =HYPERLINK("CSG21.html#group45F21", "45F²¹"), =HYPERLINK("CSG1.html#group9H1", "9H¹"), =HYPERLINK("CSG21.html#group36F21", "36F²¹"), =HYPERLINK("CSG12.html#group45B12", "45B¹²"), =HYPERLINK("CSG19.html#group81E19", "81E¹⁹"), =HYPERLINK("CSG10.html#group54B10", "54B¹⁰"), =HYPERLINK("CSG16.html#group81B16", "81B¹⁶"), =HYPERLINK("CSG10.html#group18I10", "18I¹⁰"), =HYPERLINK("CSG2.html#group18Q2", "18Q²"), =HYPERLINK("CSG22.html#group81D22", "81D²²"), =HYPERLINK("CSG10.html#group81A10", "81A¹⁰"), =HYPERLINK("CSG11.html#group45G11", "45G¹¹"), =HYPERLINK("CSG17.html#group36D17", "36D¹⁷"), =HYPERLINK("CSG9.html#group36B9", "36B⁹"), =HYPERLINK("CSG10.html#group54I10", "54I¹⁰"), =HYPERLINK("CSG10.html#group54D10", "54D¹⁰"), =HYPERLINK("CSG7.html#group36O7", "36O⁷"), =HYPERLINK("CSG9.html#group36H9", "36H⁹"), =HYPERLINK("CSG16.html#group54S16", "54S¹⁶"), =HYPERLINK("CSG16.html#group27C16", "27C¹⁶"), =HYPERLINK("CSG10.html#group18D10", "18D¹⁰"), =HYPERLINK("CSG18.html#group63D18", "63D¹⁸"), =HYPERLINK("CSG17.html#group63G17", "63G¹⁷"), =HYPERLINK("CSG4.html#group27A4", "27A⁴"), =HYPERLINK("CSG19.html#group81B19", "81B¹⁹"), =HYPERLINK("CSG13.html#group27C13", "27C¹³"), =HYPERLINK("CSG10.html#group9A10", "9A¹⁰"), =HYPERLINK("CSG16.html#group27D16", "27D¹⁶"), =HYPERLINK("CSG13.html#group54D13", "54D¹³"), =HYPERLINK("CSG17.html#group72Y17", "72Y¹⁷"), =HYPERLINK("CSG7.html#group18O7", "18O⁷"), =HYPERLINK("CSG21.html#group72R21", "72R²¹"), =HYPERLINK("CSG3.html#group18G3", "18G³"), =HYPERLINK("CSG19.html#group81A19", "81A¹⁹"), =HYPERLINK("CSG17.html#group36J17", "36J¹⁷"), =HYPERLINK("CSG19.html#group27B19", "27B¹⁹"), =HYPERLINK("CSG11.html#group36K11", "36K¹¹"), =HYPERLINK("CSG22.html#group81B22", "81B²²"), =HYPERLINK("CSG13.html#group81A13", "81A¹³"), =HYPERLINK("CSG13.html#group54F13", "54F¹³"), =HYPERLINK("CSG16.html#group54R16", "54R¹⁶")</f>
        <v/>
      </c>
    </row>
    <row r="69">
      <c r="A69" t="inlineStr">
        <is>
          <t>9J⁰</t>
        </is>
      </c>
      <c r="B69" t="inlineStr"/>
      <c r="C69" t="inlineStr">
        <is>
          <t>36</t>
        </is>
      </c>
      <c r="D69" t="inlineStr">
        <is>
          <t>1</t>
        </is>
      </c>
      <c r="E69" t="inlineStr">
        <is>
          <t>12</t>
        </is>
      </c>
      <c r="F69" t="inlineStr">
        <is>
          <t>0</t>
        </is>
      </c>
      <c r="G69" t="inlineStr">
        <is>
          <t>3</t>
        </is>
      </c>
      <c r="H69" t="inlineStr">
        <is>
          <t>3³, 9³</t>
        </is>
      </c>
      <c r="I69" t="n">
        <v>6</v>
      </c>
      <c r="J69" t="inlineStr">
        <is>
          <t>1², 2², 6¹</t>
        </is>
      </c>
      <c r="K69">
        <f>HYPERLINK("CSG0.html#group9C0", "9C⁰")</f>
        <v/>
      </c>
      <c r="L69">
        <f>HYPERLINK("CSG1.html#group9H1", "9H¹"), =HYPERLINK("CSG2.html#group18N2", "18N²"), =HYPERLINK("CSG3.html#group9A3", "9A³"), =HYPERLINK("CSG3.html#group27C3", "27C³"), =HYPERLINK("CSG4.html#group18P4", "18P⁴"), =HYPERLINK("CSG4.html#group27D4", "27D⁴"), =HYPERLINK("CSG6.html#group27A6", "27A⁶"), =HYPERLINK("CSG7.html#group27B7", "27B⁷"), =HYPERLINK("CSG7.html#group27C7", "27C⁷"), =HYPERLINK("CSG9.html#group36I9", "36I⁹"), =HYPERLINK("CSG11.html#group45B11", "45B¹¹"), =HYPERLINK("CSG13.html#group45L13", "45L¹³"), =HYPERLINK("CSG17.html#group63K17", "63K¹⁷"), =HYPERLINK("CSG18.html#group63E18", "63E¹⁸"), =HYPERLINK("CSG24.html#group45A24", "45A²⁴")</f>
        <v/>
      </c>
      <c r="M69">
        <f>HYPERLINK("CSG0.html#group3B0", "3B⁰"), =HYPERLINK("CSG0.html#group1A0", "1A⁰"), =HYPERLINK("CSG0.html#group9C0", "9C⁰")</f>
        <v/>
      </c>
      <c r="N69">
        <f>HYPERLINK("CSG11.html#group54C11", "54C¹¹"), =HYPERLINK("CSG10.html#group27B10", "27B¹⁰"), =HYPERLINK("CSG7.html#group27B7", "27B⁷"), =HYPERLINK("CSG18.html#group63E18", "63E¹⁸"), =HYPERLINK("CSG19.html#group27A19", "27A¹⁹"), =HYPERLINK("CSG22.html#group54B22", "54B²²"), =HYPERLINK("CSG10.html#group18M10", "18M¹⁰"), =HYPERLINK("CSG22.html#group81C22", "81C²²"), =HYPERLINK("CSG19.html#group81D19", "81D¹⁹"), =HYPERLINK("CSG11.html#group45B11", "45B¹¹"), =HYPERLINK("CSG1.html#group9H1", "9H¹"), =HYPERLINK("CSG3.html#group9A3", "9A³"), =HYPERLINK("CSG7.html#group27C7", "27C⁷"), =HYPERLINK("CSG14.html#group54B14", "54B¹⁴"), =HYPERLINK("CSG11.html#group18B11", "18B¹¹"), =HYPERLINK("CSG16.html#group27E16", "27E¹⁶"), =HYPERLINK("CSG19.html#group27D19", "27D¹⁹"), =HYPERLINK("CSG16.html#group54U16", "54U¹⁶"), =HYPERLINK("CSG4.html#group27D4", "27D⁴"), =HYPERLINK("CSG2.html#group18N2", "18N²"), =HYPERLINK("CSG17.html#group63K17", "63K¹⁷"), =HYPERLINK("CSG22.html#group36M22", "36M²²"), =HYPERLINK("CSG9.html#group36I9", "36I⁹"), =HYPERLINK("CSG22.html#group54D22", "54D²²"), =HYPERLINK("CSG22.html#group72M22", "72M²²"), =HYPERLINK("CSG18.html#group27B18", "27B¹⁸"), =HYPERLINK("CSG22.html#group36N22", "36N²²"), =HYPERLINK("CSG22.html#group108B22", "108B²²"), =HYPERLINK("CSG20.html#group72C20", "72C²⁰"), =HYPERLINK("CSG6.html#group27A6", "27A⁶"), =HYPERLINK("CSG10.html#group18G10", "18G¹⁰"), =HYPERLINK("CSG11.html#group54D11", "54D¹¹"), =HYPERLINK("CSG16.html#group54I16", "54I¹⁶"), =HYPERLINK("CSG13.html#group27C13", "27C¹³"), =HYPERLINK("CSG24.html#group45A24", "45A²⁴"), =HYPERLINK("CSG10.html#group18D10", "18D¹⁰"), =HYPERLINK("CSG13.html#group54N13", "54N¹³"), =HYPERLINK("CSG24.html#group90D24", "90D²⁴"), =HYPERLINK("CSG16.html#group54C16", "54C¹⁶"), =HYPERLINK("CSG14.html#group54A14", "54A¹⁴"), =HYPERLINK("CSG10.html#group54C10", "54C¹⁰"), =HYPERLINK("CSG13.html#group54O13", "54O¹³"), =HYPERLINK("CSG17.html#group36F17", "36F¹⁷"), =HYPERLINK("CSG13.html#group45L13", "45L¹³"), =HYPERLINK("CSG6.html#group36J6", "36J⁶"), =HYPERLINK("CSG13.html#group36J13", "36J¹³"), =HYPERLINK("CSG4.html#group18P4", "18P⁴"), =HYPERLINK("CSG3.html#group27C3", "27C³"), =HYPERLINK("CSG22.html#group54C22", "54C²²"), =HYPERLINK("CSG22.html#group36P22", "36P²²"), =HYPERLINK("CSG19.html#group27C19", "27C¹⁹"), =HYPERLINK("CSG10.html#group9A10", "9A¹⁰"), =HYPERLINK("CSG18.html#group27A18", "27A¹⁸"), =HYPERLINK("CSG16.html#group18E16", "18E¹⁶"), =HYPERLINK("CSG16.html#group54B16", "54B¹⁶"), =HYPERLINK("CSG22.html#group54F22", "54F²²"), =HYPERLINK("CSG10.html#group36R10", "36R¹⁰"), =HYPERLINK("CSG19.html#group27B19", "27B¹⁹"), =HYPERLINK("CSG7.html#group18P7", "18P⁷"), =HYPERLINK("CSG11.html#group18A11", "18A¹¹")</f>
        <v/>
      </c>
    </row>
    <row r="70">
      <c r="A70" t="inlineStr">
        <is>
          <t>10A⁰</t>
        </is>
      </c>
      <c r="B70" t="inlineStr"/>
      <c r="C70" t="inlineStr">
        <is>
          <t>10</t>
        </is>
      </c>
      <c r="D70" t="inlineStr">
        <is>
          <t>1</t>
        </is>
      </c>
      <c r="E70" t="inlineStr">
        <is>
          <t>5</t>
        </is>
      </c>
      <c r="F70" t="inlineStr">
        <is>
          <t>0</t>
        </is>
      </c>
      <c r="G70" t="inlineStr">
        <is>
          <t>4</t>
        </is>
      </c>
      <c r="H70" t="inlineStr">
        <is>
          <t>10¹</t>
        </is>
      </c>
      <c r="I70" t="n">
        <v>1</v>
      </c>
      <c r="J70" t="inlineStr">
        <is>
          <t>1¹, 4¹</t>
        </is>
      </c>
      <c r="K70">
        <f>HYPERLINK("CSG0.html#group2A0", "2A⁰"), =HYPERLINK("CSG0.html#group5A0", "5A⁰")</f>
        <v/>
      </c>
      <c r="L70">
        <f>HYPERLINK("CSG0.html#group10E0", "10E⁰"), =HYPERLINK("CSG1.html#group10H1", "10H¹"), =HYPERLINK("CSG1.html#group30A1", "30A¹"), =HYPERLINK("CSG1.html#group30B1", "30B¹"), =HYPERLINK("CSG2.html#group10A2", "10A²"), =HYPERLINK("CSG2.html#group10B2", "10B²"), =HYPERLINK("CSG2.html#group20D2", "20D²"), =HYPERLINK("CSG2.html#group30B2", "30B²"), =HYPERLINK("CSG2.html#group30D2", "30D²"), =HYPERLINK("CSG3.html#group30A3", "30A³"), =HYPERLINK("CSG4.html#group70B4", "70B⁴"), =HYPERLINK("CSG5.html#group70A5", "70A⁵"), =HYPERLINK("CSG7.html#group110A7", "110A⁷"), =HYPERLINK("CSG9.html#group130A9", "130A⁹"), =HYPERLINK("CSG10.html#group110A10", "110A¹⁰"), =HYPERLINK("CSG14.html#group190A14", "190A¹⁴"), =HYPERLINK("CSG15.html#group170B15", "170B¹⁵"), =HYPERLINK("CSG18.html#group90B18", "90B¹⁸"), =HYPERLINK("CSG20.html#group230A20", "230A²⁰"), =HYPERLINK("CSG24.html#group310A24", "310A²⁴")</f>
        <v/>
      </c>
      <c r="M70">
        <f>HYPERLINK("CSG0.html#group2A0", "2A⁰"), =HYPERLINK("CSG0.html#group1A0", "1A⁰"), =HYPERLINK("CSG0.html#group5A0", "5A⁰")</f>
        <v/>
      </c>
      <c r="N70">
        <f>HYPERLINK("CSG22.html#group90K22", "90K²²"), =HYPERLINK("CSG17.html#group30K17", "30K¹⁷"), =HYPERLINK("CSG14.html#group60A14", "60A¹⁴"), =HYPERLINK("CSG19.html#group50C19", "50C¹⁹"), =HYPERLINK("CSG11.html#group20B11", "20B¹¹"), =HYPERLINK("CSG23.html#group140C23", "140C²³"), =HYPERLINK("CSG13.html#group30F13", "30F¹³"), =HYPERLINK("CSG4.html#group60B4", "60B⁴"), =HYPERLINK("CSG8.html#group90D8", "90D⁸"), =HYPERLINK("CSG8.html#group40A8", "40A⁸"), =HYPERLINK("CSG16.html#group60A16", "60A¹⁶"), =HYPERLINK("CSG21.html#group40C21", "40C²¹"), =HYPERLINK("CSG24.html#group270A24", "270A²⁴"), =HYPERLINK("CSG23.html#group50B23", "50B²³"), =HYPERLINK("CSG14.html#group190A14", "190A¹⁴"), =HYPERLINK("CSG17.html#group30E17", "30E¹⁷"), =HYPERLINK("CSG23.html#group210J23", "210J²³"), =HYPERLINK("CSG9.html#group40A9", "40A⁹"), =HYPERLINK("CSG18.html#group80A18", "80A¹⁸"), =HYPERLINK("CSG18.html#group90B18", "90B¹⁸"), =HYPERLINK("CSG17.html#group70A17", "70A¹⁷"), =HYPERLINK("CSG22.html#group90L22", "90L²²"), =HYPERLINK("CSG17.html#group60B17", "60B¹⁷"), =HYPERLINK("CSG9.html#group50F9", "50F⁹"), =HYPERLINK("CSG17.html#group130B17", "130B¹⁷"), =HYPERLINK("CSG14.html#group70G14", "70G¹⁴"), =HYPERLINK("CSG13.html#group30O13", "30O¹³"), =HYPERLINK("CSG19.html#group50D19", "50D¹⁹"), =HYPERLINK("CSG9.html#group90B9", "90B⁹"), =HYPERLINK("CSG20.html#group180B20", "180B²⁰"), =HYPERLINK("CSG20.html#group120A20", "120A²⁰"), =HYPERLINK("CSG16.html#group210E16", "210E¹⁶"), =HYPERLINK("CSG24.html#group330C24", "330C²⁴"), =HYPERLINK("CSG18.html#group60B18", "60B¹⁸"), =HYPERLINK("CSG16.html#group120C16", "120C¹⁶"), =HYPERLINK("CSG3.html#group10D3", "10D³"), =HYPERLINK("CSG15.html#group60Q15", "60Q¹⁵"), =HYPERLINK("CSG15.html#group30C15", "30C¹⁵"), =HYPERLINK("CSG21.html#group60S21", "60S²¹"), =HYPERLINK("CSG18.html#group40D18", "40D¹⁸"), =HYPERLINK("CSG16.html#group210C16", "210C¹⁶"), =HYPERLINK("CSG16.html#group40A16", "40A¹⁶"), =HYPERLINK("CSG1.html#group30B1", "30B¹"), =HYPERLINK("CSG9.html#group90C9", "90C⁹"), =HYPERLINK("CSG22.html#group40L22", "40L²²"), =HYPERLINK("CSG16.html#group180A16", "180A¹⁶"), =HYPERLINK("CSG19.html#group100R19", "100R¹⁹"), =HYPERLINK("CSG17.html#group40A17", "40A¹⁷"), =HYPERLINK("CSG4.html#group30G4", "30G⁴"), =HYPERLINK("CSG22.html#group90D22", "90D²²"), =HYPERLINK("CSG19.html#group80B19", "80B¹⁹"), =HYPERLINK("CSG8.html#group90F8", "90F⁸"), =HYPERLINK("CSG3.html#group30A3", "30A³"), =HYPERLINK("CSG15.html#group20F15", "20F¹⁵"), =HYPERLINK("CSG22.html#group30D22", "30D²²"), =HYPERLINK("CSG17.html#group60L17", "60L¹⁷"), =HYPERLINK("CSG21.html#group60R21", "60R²¹"), =HYPERLINK("CSG7.html#group30K7", "30K⁷"), =HYPERLINK("CSG16.html#group40B16", "40B¹⁶"), =HYPERLINK("CSG7.html#group30B7", "30B⁷"), =HYPERLINK("CSG13.html#group30D13", "30D¹³"), =HYPERLINK("CSG19.html#group180A19", "180A¹⁹"), =HYPERLINK("CSG22.html#group270A22", "270A²²"), =HYPERLINK("CSG8.html#group140A8", "140A⁸"), =HYPERLINK("CSG18.html#group210D18", "210D¹⁸"), =HYPERLINK("CSG7.html#group90F7", "90F⁷"), =HYPERLINK("CSG13.html#group30C13", "30C¹³"), =HYPERLINK("CSG19.html#group60D19", "60D¹⁹"), =HYPERLINK("CSG13.html#group20A13", "20A¹³"), =HYPERLINK("CSG10.html#group60A10", "60A¹⁰"), =HYPERLINK("CSG15.html#group60T15", "60T¹⁵"), =HYPERLINK("CSG2.html#group20D2", "20D²"), =HYPERLINK("CSG7.html#group30H7", "30H⁷"), =HYPERLINK("CSG22.html#group90I22", "90I²²"), =HYPERLINK("CSG18.html#group210A18", "210A¹⁸"), =HYPERLINK("CSG5.html#group70A5", "70A⁵"), =HYPERLINK("CSG18.html#group70C18", "70C¹⁸"), =HYPERLINK("CSG6.html#group20C6", "20C⁶"), =HYPERLINK("CSG23.html#group110A23", "110A²³"), =HYPERLINK("CSG23.html#group120K23", "120K²³"), =HYPERLINK("CSG9.html#group30A9", "30A⁹"), =HYPERLINK("CSG22.html#group90J22", "90J²²"), =HYPERLINK("CSG19.html#group50A19", "50A¹⁹"), =HYPERLINK("CSG17.html#group40G17", "40G¹⁷"), =HYPERLINK("CSG22.html#group90B22", "90B²²"), =HYPERLINK("CSG14.html#group70D14", "70D¹⁴"), =HYPERLINK("CSG4.html#group10A4", "10A⁴"), =HYPERLINK("CSG23.html#group120L23", "120L²³"), =HYPERLINK("CSG15.html#group70B15", "70B¹⁵"), =HYPERLINK("CSG20.html#group180A20", "180A²⁰"), =HYPERLINK("CSG19.html#group30A19", "30A¹⁹"), =HYPERLINK("CSG9.html#group30B9", "30B⁹"), =HYPERLINK("CSG14.html#group90C14", "90C¹⁴"), =HYPERLINK("CSG19.html#group20C19", "20C¹⁹"), =HYPERLINK("CSG22.html#group140A22", "140A²²"), =HYPERLINK("CSG18.html#group210B18", "210B¹⁸"), =HYPERLINK("CSG8.html#group80E8", "80E⁸"), =HYPERLINK("CSG24.html#group90F24", "90F²⁴"), =HYPERLINK("CSG24.html#group270B24", "270B²⁴"), =HYPERLINK("CSG3.html#group20N3", "20N³"), =HYPERLINK("CSG19.html#group60B19", "60B¹⁹"), =HYPERLINK("CSG15.html#group90A15", "90A¹⁵"), =HYPERLINK("CSG17.html#group70C17", "70C¹⁷"), =HYPERLINK("CSG9.html#group70B9", "70B⁹"), =HYPERLINK("CSG24.html#group90D24", "90D²⁴"), =HYPERLINK("CSG18.html#group180B18", "180B¹⁸"), =HYPERLINK("CSG18.html#group120E18", "120E¹⁸"), =HYPERLINK("CSG21.html#group40A21", "40A²¹"), =HYPERLINK("CSG16.html#group120A16", "120A¹⁶"), =HYPERLINK("CSG8.html#group30C8", "30C⁸"), =HYPERLINK("CSG16.html#group180C16", "180C¹⁶"), =HYPERLINK("CSG21.html#group70A21", "70A²¹"), =HYPERLINK("CSG16.html#group210G16", "210G¹⁶"), =HYPERLINK("CSG15.html#group90F15", "90F¹⁵"), =HYPERLINK("CSG24.html#group330B24", "330B²⁴"), =HYPERLINK("CSG6.html#group90C6", "90C⁶"), =HYPERLINK("CSG15.html#group60Y15", "60Y¹⁵"), =HYPERLINK("CSG4.html#group20A4", "20A⁴"), =HYPERLINK("CSG16.html#group120D16", "120D¹⁶"), =HYPERLINK("CSG7.html#group30M7", "30M⁷"), =HYPERLINK("CSG14.html#group40A14", "40A¹⁴"), =HYPERLINK("CSG21.html#group70E21", "70E²¹"), =HYPERLINK("CSG17.html#group80A17", "80A¹⁷"), =HYPERLINK("CSG22.html#group30A22", "30A²²"), =HYPERLINK("CSG1.html#group10H1", "10H¹"), =HYPERLINK("CSG17.html#group60A17", "60A¹⁷"), =HYPERLINK("CSG2.html#group10A2", "10A²"), =HYPERLINK("CSG5.html#group10A5", "10A⁵"), =HYPERLINK("CSG22.html#group20C22", "20C²²"), =HYPERLINK("CSG8.html#group90E8", "90E⁸"), =HYPERLINK("CSG15.html#group90B15", "90B¹⁵"), =HYPERLINK("CSG8.html#group90A8", "90A⁸"), =HYPERLINK("CSG7.html#group30O7", "30O⁷"), =HYPERLINK("CSG10.html#group50A10", "50A¹⁰"), =HYPERLINK("CSG5.html#group10B5", "10B⁵"), =HYPERLINK("CSG8.html#group60E8", "60E⁸"), =HYPERLINK("CSG24.html#group90I24", "90I²⁴"), =HYPERLINK("CSG16.html#group70E16", "70E¹⁶"), =HYPERLINK("CSG1.html#group30A1", "30A¹"), =HYPERLINK("CSG22.html#group30B22", "30B²²"), =HYPERLINK("CSG8.html#group30A8", "30A⁸"), =HYPERLINK("CSG21.html#group60T21", "60T²¹"), =HYPERLINK("CSG9.html#group20A9", "20A⁹"), =HYPERLINK("CSG20.html#group220A20", "220A²⁰"), =HYPERLINK("CSG18.html#group60A18", "60A¹⁸"), =HYPERLINK("CSG13.html#group30E13", "30E¹³"), =HYPERLINK("CSG20.html#group230A20", "230A²⁰"), =HYPERLINK("CSG16.html#group210F16", "210F¹⁶"), =HYPERLINK("CSG22.html#group90C22", "90C²²"), =HYPERLINK("CSG11.html#group20A11", "20A¹¹"), =HYPERLINK("CSG18.html#group60C18", "60C¹⁸"), =HYPERLINK("CSG8.html#group90C8", "90C⁸"), =HYPERLINK("CSG19.html#group60G19", "60G¹⁹"), =HYPERLINK("CSG9.html#group30N9", "30N⁹"), =HYPERLINK("CSG6.html#group20A6", "20A⁶"), =HYPERLINK("CSG13.html#group30B13", "30B¹³"), =HYPERLINK("CSG17.html#group20A17", "20A¹⁷"), =HYPERLINK("CSG22.html#group40C22", "40C²²"), =HYPERLINK("CSG22.html#group210B22", "210B²²"), =HYPERLINK("CSG20.html#group210A20", "210A²⁰"), =HYPERLINK("CSG8.html#group40D8", "40D⁸"), =HYPERLINK("CSG17.html#group210A17", "210A¹⁷"), =HYPERLINK("CSG21.html#group70G21", "70G²¹"), =HYPERLINK("CSG11.html#group40C11", "40C¹¹"), =HYPERLINK("CSG18.html#group70B18", "70B¹⁸"), =HYPERLINK("CSG19.html#group80F19", "80F¹⁹"), =HYPERLINK("CSG2.html#group10B2", "10B²"), =HYPERLINK("CSG8.html#group60B8", "60B⁸"), =HYPERLINK("CSG15.html#group180A15", "180A¹⁵"), =HYPERLINK("CSG14.html#group70F14", "70F¹⁴"), =HYPERLINK("CSG17.html#group210B17", "210B¹⁷"), =HYPERLINK("CSG22.html#group20A22", "20A²²"), =HYPERLINK("CSG10.html#group90C10", "90C¹⁰"), =HYPERLINK("CSG21.html#group50E21", "50E²¹"), =HYPERLINK("CSG13.html#group30G13", "30G¹³"), =HYPERLINK("CSG15.html#group90C15", "90C¹⁵"), =HYPERLINK("CSG3.html#group10B3", "10B³"), =HYPERLINK("CSG24.html#group90E24", "90E²⁴"), =HYPERLINK("CSG14.html#group40B14", "40B¹⁴"), =HYPERLINK("CSG14.html#group60F14", "60F¹⁴"), =HYPERLINK("CSG9.html#group60D9", "60D⁹"), =HYPERLINK("CSG14.html#group60G14", "60G¹⁴"), =HYPERLINK("CSG17.html#group70B17", "70B¹⁷"), =HYPERLINK("CSG18.html#group40A18", "40A¹⁸"), =HYPERLINK("CSG9.html#group130A9", "130A⁹"), =HYPERLINK("CSG13.html#group10A13", "10A¹³"), =HYPERLINK("CSG7.html#group30G7", "30G⁷"), =HYPERLINK("CSG14.html#group60E14", "60E¹⁴"), =HYPERLINK("CSG4.html#group40D4", "40D⁴"), =HYPERLINK("CSG6.html#group30E6", "30E⁶"), =HYPERLINK("CSG24.html#group90H24", "90H²⁴"), =HYPERLINK("CSG16.html#group210A16", "210A¹⁶"), =HYPERLINK("CSG22.html#group30F22", "30F²²"), =HYPERLINK("CSG22.html#group40A22", "40A²²"), =HYPERLINK("CSG16.html#group180B16", "180B¹⁶"), =HYPERLINK("CSG17.html#group210D17", "210D¹⁷"), =HYPERLINK("CSG5.html#group30B5", "30B⁵"), =HYPERLINK("CSG7.html#group30C7", "30C⁷"), =HYPERLINK("CSG15.html#group90D15", "90D¹⁵"), =HYPERLINK("CSG16.html#group80A16", "80A¹⁶"), =HYPERLINK("CSG2.html#group30B2", "30B²"), =HYPERLINK("CSG10.html#group20A10", "20A¹⁰"), =HYPERLINK("CSG19.html#group20D19", "20D¹⁹"), =HYPERLINK("CSG4.html#group70B4", "70B⁴"), =HYPERLINK("CSG15.html#group20A15", "20A¹⁵"), =HYPERLINK("CSG18.html#group40B18", "40B¹⁸"), =HYPERLINK("CSG15.html#group60P15", "60P¹⁵"), =HYPERLINK("CSG10.html#group20D10", "20D¹⁰"), =HYPERLINK("CSG10.html#group90B10", "90B¹⁰"), =HYPERLINK("CSG17.html#group180A17", "180A¹⁷"), =HYPERLINK("CSG22.html#group40E22", "40E²²"), =HYPERLINK("CSG21.html#group40B21", "40B²¹"), =HYPERLINK("CSG22.html#group20B22", "20B²²"), =HYPERLINK("CSG8.html#group30E8", "30E⁸"), =HYPERLINK("CSG10.html#group110A10", "110A¹⁰"), =HYPERLINK("CSG20.html#group120B20", "120B²⁰"), =HYPERLINK("CSG7.html#group30A7", "30A⁷"), =HYPERLINK("CSG22.html#group90A22", "90A²²"), =HYPERLINK("CSG7.html#group10A7", "10A⁷"), =HYPERLINK("CSG20.html#group180D20", "180D²⁰"), =HYPERLINK("CSG19.html#group80A19", "80A¹⁹"), =HYPERLINK("CSG2.html#group30D2", "30D²"), =HYPERLINK("CSG18.html#group210C18", "210C¹⁸"), =HYPERLINK("CSG18.html#group70A18", "70A¹⁸"), =HYPERLINK("CSG16.html#group70D16", "70D¹⁶"), =HYPERLINK("CSG7.html#group110A7", "110A⁷"), =HYPERLINK("CSG24.html#group310A24", "310A²⁴"), =HYPERLINK("CSG16.html#group210B16", "210B¹⁶"), =HYPERLINK("CSG8.html#group20B8", "20B⁸"), =HYPERLINK("CSG24.html#group330A24", "330A²⁴"), =HYPERLINK("CSG17.html#group210C17", "210C¹⁷"), =HYPERLINK("CSG7.html#group90E7", "90E⁷"), =HYPERLINK("CSG8.html#group30B8", "30B⁸"), =HYPERLINK("CSG15.html#group180B15", "180B¹⁵"), =HYPERLINK("CSG10.html#group90A10", "90A¹⁰"), =HYPERLINK("CSG7.html#group30E7", "30E⁷"), =HYPERLINK("CSG8.html#group60F8", "60F⁸"), =HYPERLINK("CSG0.html#group10E0", "10E⁰"), =HYPERLINK("CSG24.html#group90G24", "90G²⁴"), =HYPERLINK("CSG19.html#group60A19", "60A¹⁹"), =HYPERLINK("CSG7.html#group30D7", "30D⁷"), =HYPERLINK("CSG14.html#group70E14", "70E¹⁴"), =HYPERLINK("CSG8.html#group20A8", "20A⁸"), =HYPERLINK("CSG15.html#group20C15", "20C¹⁵"), =HYPERLINK("CSG12.html#group180A12", "180A¹²"), =HYPERLINK("CSG11.html#group60J11", "60J¹¹"), =HYPERLINK("CSG18.html#group210E18", "210E¹⁸"), =HYPERLINK("CSG15.html#group170B15", "170B¹⁵")</f>
        <v/>
      </c>
    </row>
    <row r="71">
      <c r="A71" t="inlineStr">
        <is>
          <t>10B⁰</t>
        </is>
      </c>
      <c r="B71" t="inlineStr"/>
      <c r="C71" t="inlineStr">
        <is>
          <t>12</t>
        </is>
      </c>
      <c r="D71" t="inlineStr">
        <is>
          <t>1</t>
        </is>
      </c>
      <c r="E71" t="inlineStr">
        <is>
          <t>6</t>
        </is>
      </c>
      <c r="F71" t="inlineStr">
        <is>
          <t>4</t>
        </is>
      </c>
      <c r="G71" t="inlineStr">
        <is>
          <t>0</t>
        </is>
      </c>
      <c r="H71" t="inlineStr">
        <is>
          <t>2¹, 10¹</t>
        </is>
      </c>
      <c r="I71" t="n">
        <v>2</v>
      </c>
      <c r="J71" t="inlineStr">
        <is>
          <t>1², 4¹</t>
        </is>
      </c>
      <c r="K71">
        <f>HYPERLINK("CSG0.html#group5B0", "5B⁰")</f>
        <v/>
      </c>
      <c r="L71">
        <f>HYPERLINK("CSG0.html#group10G0", "10G⁰"), =HYPERLINK("CSG0.html#group30A0", "30A⁰"), =HYPERLINK("CSG1.html#group10D1", "10D¹"), =HYPERLINK("CSG1.html#group20C1", "20C¹"), =HYPERLINK("CSG1.html#group20G1", "20G¹"), =HYPERLINK("CSG2.html#group10C2", "10C²"), =HYPERLINK("CSG2.html#group50A2", "50A²"), =HYPERLINK("CSG3.html#group30F3", "30F³"), =HYPERLINK("CSG4.html#group50C4", "50C⁴"), =HYPERLINK("CSG4.html#group50B4", "50B⁴"), =HYPERLINK("CSG4.html#group50D4", "50D⁴"), =HYPERLINK("CSG4.html#group50A4", "50A⁴"), =HYPERLINK("CSG4.html#group70C4", "70C⁴"), =HYPERLINK("CSG7.html#group70B7", "70B⁷"), =HYPERLINK("CSG8.html#group110A8", "110A⁸"), =HYPERLINK("CSG11.html#group110B11", "110B¹¹"), =HYPERLINK("CSG11.html#group130A11", "130A¹¹"), =HYPERLINK("CSG15.html#group170D15", "170D¹⁵"), =HYPERLINK("CSG19.html#group190A19", "190A¹⁹"), =HYPERLINK("CSG22.html#group90F22", "90F²²"), =HYPERLINK("CSG23.html#group230A23", "230A²³")</f>
        <v/>
      </c>
      <c r="M71">
        <f>HYPERLINK("CSG0.html#group5B0", "5B⁰"), =HYPERLINK("CSG0.html#group1A0", "1A⁰")</f>
        <v/>
      </c>
      <c r="N71">
        <f>HYPERLINK("CSG1.html#group20C1", "20C¹"), =HYPERLINK("CSG13.html#group40R13", "40R¹³"), =HYPERLINK("CSG11.html#group60B11", "60B¹¹"), =HYPERLINK("CSG15.html#group60AE15", "60AE¹⁵"), =HYPERLINK("CSG21.html#group120O21", "120O²¹"), =HYPERLINK("CSG7.html#group20E7", "20E⁷"), =HYPERLINK("CSG17.html#group100C17", "100C¹⁷"), =HYPERLINK("CSG4.html#group70C4", "70C⁴"), =HYPERLINK("CSG2.html#group50A2", "50A²"), =HYPERLINK("CSG13.html#group60J13", "60J¹³"), =HYPERLINK("CSG13.html#group80I13", "80I¹³"), =HYPERLINK("CSG19.html#group150D19", "150D¹⁹"), =HYPERLINK("CSG13.html#group60AG13", "60AG¹³"), =HYPERLINK("CSG13.html#group40S13", "40S¹³"), =HYPERLINK("CSG6.html#group10A6", "10A⁶"), =HYPERLINK("CSG14.html#group50B14", "50B¹⁴"), =HYPERLINK("CSG21.html#group90E21", "90E²¹"), =HYPERLINK("CSG17.html#group100D17", "100D¹⁷"), =HYPERLINK("CSG4.html#group50B4", "50B⁴"), =HYPERLINK("CSG3.html#group20M3", "20M³"), =HYPERLINK("CSG11.html#group40K11", "40K¹¹"), =HYPERLINK("CSG20.html#group90F20", "90F²⁰"), =HYPERLINK("CSG13.html#group30P13", "30P¹³"), =HYPERLINK("CSG11.html#group70D11", "70D¹¹"), =HYPERLINK("CSG21.html#group20A21", "20A²¹"), =HYPERLINK("CSG13.html#group60L13", "60L¹³"), =HYPERLINK("CSG13.html#group100I13", "100I¹³"), =HYPERLINK("CSG7.html#group60G7", "60G⁷"), =HYPERLINK("CSG11.html#group90B11", "90B¹¹"), =HYPERLINK("CSG23.html#group180L23", "180L²³"), =HYPERLINK("CSG1.html#group20G1", "20G¹"), =HYPERLINK("CSG13.html#group60I13", "60I¹³"), =HYPERLINK("CSG3.html#group20Q3", "20Q³"), =HYPERLINK("CSG5.html#group20D5", "20D⁵"), =HYPERLINK("CSG21.html#group90H21", "90H²¹"), =HYPERLINK("CSG15.html#group60AF15", "60AF¹⁵"), =HYPERLINK("CSG11.html#group60C11", "60C¹¹"), =HYPERLINK("CSG19.html#group100B19", "100B¹⁹"), =HYPERLINK("CSG10.html#group30B10", "30B¹⁰"), =HYPERLINK("CSG14.html#group50A14", "50A¹⁴"), =HYPERLINK("CSG17.html#group120K17", "120K¹⁷"), =HYPERLINK("CSG3.html#group20A3", "20A³"), =HYPERLINK("CSG13.html#group40V13", "40V¹³"), =HYPERLINK("CSG21.html#group40K21", "40K²¹"), =HYPERLINK("CSG17.html#group40T17", "40T¹⁷"), =HYPERLINK("CSG16.html#group50C16", "50C¹⁶"), =HYPERLINK("CSG3.html#group60C3", "60C³"), =HYPERLINK("CSG17.html#group60W17", "60W¹⁷"), =HYPERLINK("CSG2.html#group10C2", "10C²"), =HYPERLINK("CSG17.html#group100E17", "100E¹⁷"), =HYPERLINK("CSG19.html#group190A19", "190A¹⁹"), =HYPERLINK("CSG13.html#group40Q13", "40Q¹³"), =HYPERLINK("CSG13.html#group30H13", "30H¹³"), =HYPERLINK("CSG13.html#group40T13", "40T¹³"), =HYPERLINK("CSG17.html#group80BC17", "80BC¹⁷"), =HYPERLINK("CSG17.html#group120Q17", "120Q¹⁷"), =HYPERLINK("CSG15.html#group100A15", "100A¹⁵"), =HYPERLINK("CSG23.html#group60R23", "60R²³"), =HYPERLINK("CSG7.html#group100B7", "100B⁷"), =HYPERLINK("CSG9.html#group40F9", "40F⁹"), =HYPERLINK("CSG13.html#group40J13", "40J¹³"), =HYPERLINK("CSG17.html#group80BE17", "80BE¹⁷"), =HYPERLINK("CSG5.html#group40H5", "40H⁵"), =HYPERLINK("CSG23.html#group60P23", "60P²³"), =HYPERLINK("CSG17.html#group30H17", "30H¹⁷"), =HYPERLINK("CSG19.html#group80T19", "80T¹⁹"), =HYPERLINK("CSG23.html#group150C23", "150C²³"), =HYPERLINK("CSG4.html#group50D4", "50D⁴"), =HYPERLINK("CSG19.html#group220B19", "220B¹⁹"), =HYPERLINK("CSG12.html#group150A12", "150A¹²"), =HYPERLINK("CSG5.html#group10A5", "10A⁵"), =HYPERLINK("CSG11.html#group60A11", "60A¹¹"), =HYPERLINK("CSG3.html#group30J3", "30J³"), =HYPERLINK("CSG17.html#group80AM17", "80AM¹⁷"), =HYPERLINK("CSG18.html#group90D18", "90D¹⁸"), =HYPERLINK("CSG23.html#group180K23", "180K²³"), =HYPERLINK("CSG1.html#group10D1", "10D¹"), =HYPERLINK("CSG11.html#group140A11", "140A¹¹"), =HYPERLINK("CSG3.html#group20T3", "20T³"), =HYPERLINK("CSG13.html#group20B13", "20B¹³"), =HYPERLINK("CSG11.html#group130A11", "130A¹¹"), =HYPERLINK("CSG21.html#group90N21", "90N²¹"), =HYPERLINK("CSG6.html#group50E6", "50E⁶"), =HYPERLINK("CSG18.html#group250B18", "250B¹⁸"), =HYPERLINK("CSG9.html#group90D9", "90D⁹"), =HYPERLINK("CSG21.html#group60Q21", "60Q²¹"), =HYPERLINK("CSG5.html#group40L5", "40L⁵"), =HYPERLINK("CSG21.html#group180H21", "180H²¹"), =HYPERLINK("CSG21.html#group60X21", "60X²¹"), =HYPERLINK("CSG12.html#group50E12", "50E¹²"), =HYPERLINK("CSG13.html#group40U13", "40U¹³"), =HYPERLINK("CSG22.html#group250B22", "250B²²"), =HYPERLINK("CSG15.html#group40AA15", "40AA¹⁵"), =HYPERLINK("CSG17.html#group80AT17", "80AT¹⁷"), =HYPERLINK("CSG12.html#group210A12", "210A¹²"), =HYPERLINK("CSG13.html#group180C13", "180C¹³"), =HYPERLINK("CSG4.html#group50C4", "50C⁴"), =HYPERLINK("CSG21.html#group130C21", "130C²¹"), =HYPERLINK("CSG21.html#group90F21", "90F²¹"), =HYPERLINK("CSG5.html#group30R5", "30R⁵"), =HYPERLINK("CSG12.html#group50G12", "50G¹²"), =HYPERLINK("CSG20.html#group50A20", "50A²⁰"), =HYPERLINK("CSG20.html#group250A20", "250A²⁰"), =HYPERLINK("CSG19.html#group150B19", "150B¹⁹"), =HYPERLINK("CSG4.html#group30H4", "30H⁴"), =HYPERLINK("CSG1.html#group10K1", "10K¹"), =HYPERLINK("CSG11.html#group140D11", "140D¹¹"), =HYPERLINK("CSG15.html#group40AH15", "40AH¹⁵"), =HYPERLINK("CSG17.html#group40AI17", "40AI¹⁷"), =HYPERLINK("CSG19.html#group150A19", "150A¹⁹"), =HYPERLINK("CSG13.html#group10A13", "10A¹³"), =HYPERLINK("CSG16.html#group50B16", "50B¹⁶"), =HYPERLINK("CSG9.html#group60L9", "60L⁹"), =HYPERLINK("CSG13.html#group20E13", "20E¹³"), =HYPERLINK("CSG9.html#group30R9", "30R⁹"), =HYPERLINK("CSG17.html#group40AS17", "40AS¹⁷"), =HYPERLINK("CSG11.html#group90A11", "90A¹¹"), =HYPERLINK("CSG11.html#group140B11", "140B¹¹"), =HYPERLINK("CSG17.html#group40Y17", "40Y¹⁷"), =HYPERLINK("CSG23.html#group60O23", "60O²³"), =HYPERLINK("CSG13.html#group180F13", "180F¹³"), =HYPERLINK("CSG23.html#group210A23", "210A²³"), =HYPERLINK("CSG13.html#group180E13", "180E¹³"), =HYPERLINK("CSG15.html#group60AG15", "60AG¹⁵"), =HYPERLINK("CSG23.html#group210F23", "210F²³"), =HYPERLINK("CSG15.html#group20A15", "20A¹⁵"), =HYPERLINK("CSG17.html#group60N17", "60N¹⁷"), =HYPERLINK("CSG21.html#group60F21", "60F²¹"), =HYPERLINK("CSG11.html#group60P11", "60P¹¹"), =HYPERLINK("CSG16.html#group50A16", "50A¹⁶"), =HYPERLINK("CSG13.html#group60AB13", "60AB¹³"), =HYPERLINK("CSG17.html#group40AQ17", "40AQ¹⁷"), =HYPERLINK("CSG13.html#group70F13", "70F¹³"), =HYPERLINK("CSG17.html#group100B17", "100B¹⁷"), =HYPERLINK("CSG21.html#group30H21", "30H²¹"), =HYPERLINK("CSG8.html#group110A8", "110A⁸"), =HYPERLINK("CSG17.html#group30J17", "30J¹⁷"), =HYPERLINK("CSG9.html#group100H9", "100H⁹"), =HYPERLINK("CSG5.html#group30N5", "30N⁵"), =HYPERLINK("CSG13.html#group80A13", "80A¹³"), =HYPERLINK("CSG9.html#group30G9", "30G⁹"), =HYPERLINK("CSG21.html#group60D21", "60D²¹"), =HYPERLINK("CSG23.html#group230A23", "230A²³"), =HYPERLINK("CSG21.html#group40M21", "40M²¹"), =HYPERLINK("CSG23.html#group220D23", "220D²³"), =HYPERLINK("CSG3.html#group30F3", "30F³"), =HYPERLINK("CSG1.html#group20I1", "20I¹"), =HYPERLINK("CSG12.html#group50H12", "50H¹²"), =HYPERLINK("CSG13.html#group70C13", "70C¹³"), =HYPERLINK("CSG11.html#group40F11", "40F¹¹"), =HYPERLINK("CSG21.html#group60C21", "60C²¹"), =HYPERLINK("CSG17.html#group80AA17", "80AA¹⁷"), =HYPERLINK("CSG5.html#group40G5", "40G⁵"), =HYPERLINK("CSG17.html#group120J17", "120J¹⁷"), =HYPERLINK("CSG5.html#group20I5", "20I⁵"), =HYPERLINK("CSG11.html#group20E11", "20E¹¹"), =HYPERLINK("CSG21.html#group60P21", "60P²¹"), =HYPERLINK("CSG13.html#group180D13", "180D¹³"), =HYPERLINK("CSG3.html#group60D3", "60D³"), =HYPERLINK("CSG7.html#group30S7", "30S⁷"), =HYPERLINK("CSG11.html#group60T11", "60T¹¹"), =HYPERLINK("CSG17.html#group80X17", "80X¹⁷"), =HYPERLINK("CSG15.html#group100D15", "100D¹⁵"), =HYPERLINK("CSG9.html#group50B9", "50B⁹"), =HYPERLINK("CSG5.html#group20K5", "20K⁵"), =HYPERLINK("CSG9.html#group60K9", "60K⁹"), =HYPERLINK("CSG7.html#group20N7", "20N⁷"), =HYPERLINK("CSG5.html#group40J5", "40J⁵"), =HYPERLINK("CSG9.html#group50C9", "50C⁹"), =HYPERLINK("CSG23.html#group60S23", "60S²³"), =HYPERLINK("CSG11.html#group110B11", "110B¹¹"), =HYPERLINK("CSG12.html#group150C12", "150C¹²"), =HYPERLINK("CSG5.html#group60C5", "60C⁵"), =HYPERLINK("CSG17.html#group40Z17", "40Z¹⁷"), =HYPERLINK("CSG7.html#group60N7", "60N⁷"), =HYPERLINK("CSG21.html#group40L21", "40L²¹"), =HYPERLINK("CSG7.html#group60S7", "60S⁷"), =HYPERLINK("CSG17.html#group40AC17", "40AC¹⁷"), =HYPERLINK("CSG17.html#group120L17", "120L¹⁷"), =HYPERLINK("CSG21.html#group80U21", "80U²¹"), =HYPERLINK("CSG9.html#group90G9", "90G⁹"), =HYPERLINK("CSG13.html#group40W13", "40W¹³"), =HYPERLINK("CSG15.html#group30B15", "30B¹⁵"), =HYPERLINK("CSG21.html#group80E21", "80E²¹"), =HYPERLINK("CSG21.html#group80Y21", "80Y²¹"), =HYPERLINK("CSG5.html#group30D5", "30D⁵"), =HYPERLINK("CSG17.html#group40AN17", "40AN¹⁷"), =HYPERLINK("CSG12.html#group150B12", "150B¹²"), =HYPERLINK("CSG11.html#group30J11", "30J¹¹"), =HYPERLINK("CSG19.html#group60O19", "60O¹⁹"), =HYPERLINK("CSG11.html#group40G11", "40G¹¹"), =HYPERLINK("CSG10.html#group150A10", "150A¹⁰"), =HYPERLINK("CSG15.html#group90K15", "90K¹⁵"), =HYPERLINK("CSG7.html#group40T7", "40T⁷"), =HYPERLINK("CSG21.html#group140D21", "140D²¹"), =HYPERLINK("CSG19.html#group70E19", "70E¹⁹"), =HYPERLINK("CSG15.html#group150I15", "150I¹⁵"), =HYPERLINK("CSG1.html#group20J1", "20J¹"), =HYPERLINK("CSG9.html#group20E9", "20E⁹"), =HYPERLINK("CSG17.html#group120P17", "120P¹⁷"), =HYPERLINK("CSG13.html#group80H13", "80H¹³"), =HYPERLINK("CSG9.html#group30K9", "30K⁹"), =HYPERLINK("CSG19.html#group70I19", "70I¹⁹"), =HYPERLINK("CSG13.html#group80B13", "80B¹³"), =HYPERLINK("CSG15.html#group40AG15", "40AG¹⁵"), =HYPERLINK("CSG22.html#group50B22", "50B²²"), =HYPERLINK("CSG19.html#group100D19", "100D¹⁹"), =HYPERLINK("CSG5.html#group50F5", "50F⁵"), =HYPERLINK("CSG16.html#group50D16", "50D¹⁶"), =HYPERLINK("CSG24.html#group330D24", "330D²⁴"), =HYPERLINK("CSG5.html#group40O5", "40O⁵"), =HYPERLINK("CSG21.html#group30B21", "30B²¹"), =HYPERLINK("CSG16.html#group70H16", "70H¹⁶"), =HYPERLINK("CSG13.html#group60AK13", "60AK¹³"), =HYPERLINK("CSG13.html#group30Q13", "30Q¹³"), =HYPERLINK("CSG7.html#group60M7", "60M⁷"), =HYPERLINK("CSG11.html#group140C11", "140C¹¹"), =HYPERLINK("CSG9.html#group40L9", "40L⁹"), =HYPERLINK("CSG18.html#group50B18", "50B¹⁸"), =HYPERLINK("CSG9.html#group40V9", "40V⁹"), =HYPERLINK("CSG19.html#group150C19", "150C¹⁹"), =HYPERLINK("CSG9.html#group100E9", "100E⁹"), =HYPERLINK("CSG11.html#group60V11", "60V¹¹"), =HYPERLINK("CSG21.html#group90G21", "90G²¹"), =HYPERLINK("CSG19.html#group100A19", "100A¹⁹"), =HYPERLINK("CSG9.html#group100G9", "100G⁹"), =HYPERLINK("CSG23.html#group30C23", "30C²³"), =HYPERLINK("CSG9.html#group20F9", "20F⁹"), =HYPERLINK("CSG13.html#group40C13", "40C¹³"), =HYPERLINK("CSG17.html#group90S17", "90S¹⁷"), =HYPERLINK("CSG13.html#group40B13", "40B¹³"), =HYPERLINK("CSG17.html#group20B17", "20B¹⁷"), =HYPERLINK("CSG13.html#group40M13", "40M¹³"), =HYPERLINK("CSG17.html#group80AN17", "80AN¹⁷"), =HYPERLINK("CSG19.html#group100O19", "100O¹⁹"), =HYPERLINK("CSG0.html#group10G0", "10G⁰"), =HYPERLINK("CSG5.html#group20J5", "20J⁵"), =HYPERLINK("CSG13.html#group40K13", "40K¹³"), =HYPERLINK("CSG17.html#group100A17", "100A¹⁷"), =HYPERLINK("CSG3.html#group20H3", "20H³"), =HYPERLINK("CSG13.html#group20F13", "20F¹³"), =HYPERLINK("CSG1.html#group30D1", "30D¹"), =HYPERLINK("CSG15.html#group170D15", "170D¹⁵"), =HYPERLINK("CSG15.html#group40Z15", "40Z¹⁵"), =HYPERLINK("CSG3.html#group20R3", "20R³"), =HYPERLINK("CSG9.html#group60M9", "60M⁹"), =HYPERLINK("CSG13.html#group50E13", "50E¹³"), =HYPERLINK("CSG14.html#group70H14", "70H¹⁴"), =HYPERLINK("CSG19.html#group100C19", "100C¹⁹"), =HYPERLINK("CSG9.html#group70E9", "70E⁹"), =HYPERLINK("CSG22.html#group90F22", "90F²²"), =HYPERLINK("CSG17.html#group80Y17", "80Y¹⁷"), =HYPERLINK("CSG21.html#group70H21", "70H²¹"), =HYPERLINK("CSG18.html#group50A18", "50A¹⁸"), =HYPERLINK("CSG19.html#group220A19", "220A¹⁹"), =HYPERLINK("CSG11.html#group90I11", "90I¹¹"), =HYPERLINK("CSG7.html#group20J7", "20J⁷"), =HYPERLINK("CSG17.html#group120I17", "120I¹⁷"), =HYPERLINK("CSG17.html#group80AF17", "80AF¹⁷"), =HYPERLINK("CSG5.html#group40N5", "40N⁵"), =HYPERLINK("CSG4.html#group50A4", "50A⁴"), =HYPERLINK("CSG9.html#group30P9", "30P⁹"), =HYPERLINK("CSG0.html#group30A0", "30A⁰"), =HYPERLINK("CSG5.html#group30C5", "30C⁵"), =HYPERLINK("CSG21.html#group150A21", "150A²¹"), =HYPERLINK("CSG23.html#group140E23", "140E²³"), =HYPERLINK("CSG21.html#group110A21", "110A²¹"), =HYPERLINK("CSG13.html#group90F13", "90F¹³"), =HYPERLINK("CSG22.html#group250A22", "250A²²"), =HYPERLINK("CSG9.html#group50D9", "50D⁹"), =HYPERLINK("CSG17.html#group90R17", "90R¹⁷"), =HYPERLINK("CSG18.html#group250A18", "250A¹⁸"), =HYPERLINK("CSG23.html#group60N23", "60N²³"), =HYPERLINK("CSG21.html#group60H21", "60H²¹"), =HYPERLINK("CSG9.html#group50A9", "50A⁹"), =HYPERLINK("CSG13.html#group90E13", "90E¹³"), =HYPERLINK("CSG15.html#group60B15", "60B¹⁵"), =HYPERLINK("CSG17.html#group60R17", "60R¹⁷"), =HYPERLINK("CSG7.html#group70B7", "70B⁷"), =HYPERLINK("CSG23.html#group140F23", "140F²³"), =HYPERLINK("CSG17.html#group80AS17", "80AS¹⁷"), =HYPERLINK("CSG17.html#group90D17", "90D¹⁷"), =HYPERLINK("CSG13.html#group40N13", "40N¹³"), =HYPERLINK("CSG13.html#group80C13", "80C¹³"), =HYPERLINK("CSG21.html#group110C21", "110C²¹"), =HYPERLINK("CSG4.html#group90A4", "90A⁴"), =HYPERLINK("CSG21.html#group40J21", "40J²¹"), =HYPERLINK("CSG7.html#group40O7", "40O⁷"), =HYPERLINK("CSG15.html#group140D15", "140D¹⁵"), =HYPERLINK("CSG13.html#group90H13", "90H¹³"), =HYPERLINK("CSG15.html#group20I15", "20I¹⁵"), =HYPERLINK("CSG12.html#group150D12", "150D¹²"), =HYPERLINK("CSG9.html#group100F9", "100F⁹"), =HYPERLINK("CSG19.html#group20B19", "20B¹⁹"), =HYPERLINK("CSG12.html#group50F12", "50F¹²"), =HYPERLINK("CSG21.html#group100C21", "100C²¹"), =HYPERLINK("CSG17.html#group60P17", "60P¹⁷"), =HYPERLINK("CSG15.html#group80V15", "80V¹⁵"), =HYPERLINK("CSG17.html#group60X17", "60X¹⁷"), =HYPERLINK("CSG13.html#group60V13", "60V¹³")</f>
        <v/>
      </c>
    </row>
    <row r="72">
      <c r="A72" t="inlineStr">
        <is>
          <t>10C⁰</t>
        </is>
      </c>
      <c r="B72" t="inlineStr">
        <is>
          <t>Γ₀(10)</t>
        </is>
      </c>
      <c r="C72" t="inlineStr">
        <is>
          <t>18</t>
        </is>
      </c>
      <c r="D72" t="inlineStr">
        <is>
          <t>1</t>
        </is>
      </c>
      <c r="E72" t="inlineStr">
        <is>
          <t>18</t>
        </is>
      </c>
      <c r="F72" t="inlineStr">
        <is>
          <t>2</t>
        </is>
      </c>
      <c r="G72" t="inlineStr">
        <is>
          <t>0</t>
        </is>
      </c>
      <c r="H72" t="inlineStr">
        <is>
          <t>1¹, 2¹, 5¹, 10¹</t>
        </is>
      </c>
      <c r="I72" t="n">
        <v>4</v>
      </c>
      <c r="J72" t="inlineStr">
        <is>
          <t>1⁶, 4³</t>
        </is>
      </c>
      <c r="K72">
        <f>HYPERLINK("CSG0.html#group2B0", "2B⁰"), =HYPERLINK("CSG0.html#group5B0", "5B⁰")</f>
        <v/>
      </c>
      <c r="L72">
        <f>HYPERLINK("CSG0.html#group10F0", "10F⁰"), =HYPERLINK("CSG0.html#group10G0", "10G⁰"), =HYPERLINK("CSG0.html#group20A0", "20A⁰"), =HYPERLINK("CSG1.html#group10G1", "10G¹"), =HYPERLINK("CSG1.html#group20D1", "20D¹"), =HYPERLINK("CSG1.html#group20E1", "20E¹"), =HYPERLINK("CSG2.html#group10F2", "10F²"), =HYPERLINK("CSG2.html#group20C2", "20C²"), =HYPERLINK("CSG2.html#group30E2", "30E²"), =HYPERLINK("CSG2.html#group50B2", "50B²"), =HYPERLINK("CSG3.html#group30K3", "30K³"), =HYPERLINK("CSG6.html#group50C6", "50C⁶"), =HYPERLINK("CSG6.html#group50B6", "50B⁶"), =HYPERLINK("CSG6.html#group50D6", "50D⁶"), =HYPERLINK("CSG6.html#group50A6", "50A⁶"), =HYPERLINK("CSG8.html#group70B8", "70B⁸"), =HYPERLINK("CSG9.html#group70D9", "70D⁹"), =HYPERLINK("CSG14.html#group110B14", "110B¹⁴"), =HYPERLINK("CSG15.html#group110A15", "110A¹⁵"), =HYPERLINK("CSG17.html#group130A17", "130A¹⁷"), =HYPERLINK("CSG23.html#group170A23", "170A²³")</f>
        <v/>
      </c>
      <c r="M72">
        <f>HYPERLINK("CSG0.html#group5B0", "5B⁰"), =HYPERLINK("CSG0.html#group1A0", "1A⁰"), =HYPERLINK("CSG0.html#group2B0", "2B⁰")</f>
        <v/>
      </c>
      <c r="N72">
        <f>HYPERLINK("CSG13.html#group80G13", "80G¹³"), =HYPERLINK("CSG13.html#group40R13", "40R¹³"), =HYPERLINK("CSG21.html#group80M21", "80M²¹"), =HYPERLINK("CSG16.html#group140C16", "140C¹⁶"), =HYPERLINK("CSG17.html#group40X17", "40X¹⁷"), =HYPERLINK("CSG14.html#group110B14", "110B¹⁴"), =HYPERLINK("CSG21.html#group120O21", "120O²¹"), =HYPERLINK("CSG6.html#group50A6", "50A⁶"), =HYPERLINK("CSG15.html#group120G15", "120G¹⁵"), =HYPERLINK("CSG13.html#group120K13", "120K¹³"), =HYPERLINK("CSG5.html#group60A5", "60A⁵"), =HYPERLINK("CSG21.html#group40G21", "40G²¹"), =HYPERLINK("CSG21.html#group80C21", "80C²¹"), =HYPERLINK("CSG13.html#group60AG13", "60AG¹³"), =HYPERLINK("CSG3.html#group20J3", "20J³"), =HYPERLINK("CSG18.html#group70F18", "70F¹⁸"), =HYPERLINK("CSG13.html#group60AE13", "60AE¹³"), =HYPERLINK("CSG21.html#group90O21", "90O²¹"), =HYPERLINK("CSG21.html#group20B21", "20B²¹"), =HYPERLINK("CSG11.html#group60U11", "60U¹¹"), =HYPERLINK("CSG13.html#group30P13", "30P¹³"), =HYPERLINK("CSG19.html#group160N19", "160N¹⁹"), =HYPERLINK("CSG22.html#group50E22", "50E²²"), =HYPERLINK("CSG15.html#group40AJ15", "40AJ¹⁵"), =HYPERLINK("CSG15.html#group40U15", "40U¹⁵"), =HYPERLINK("CSG7.html#group40M7", "40M⁷"), =HYPERLINK("CSG13.html#group40O13", "40O¹³"), =HYPERLINK("CSG19.html#group80P19", "80P¹⁹"), =HYPERLINK("CSG7.html#group30F7", "30F⁷"), =HYPERLINK("CSG17.html#group130A17", "130A¹⁷"), =HYPERLINK("CSG19.html#group90K19", "90K¹⁹"), =HYPERLINK("CSG3.html#group30K3", "30K³"), =HYPERLINK("CSG3.html#group20I3", "20I³"), =HYPERLINK("CSG9.html#group60H9", "60H⁹"), =HYPERLINK("CSG19.html#group40F19", "40F¹⁹"), =HYPERLINK("CSG17.html#group40AP17", "40AP¹⁷"), =HYPERLINK("CSG15.html#group60AF15", "60AF¹⁵"), =HYPERLINK("CSG9.html#group40N9", "40N⁹"), =HYPERLINK("CSG15.html#group90G15", "90G¹⁵"), =HYPERLINK("CSG23.html#group120R23", "120R²³"), =HYPERLINK("CSG19.html#group40A19", "40A¹⁹"), =HYPERLINK("CSG9.html#group40P9", "40P⁹"), =HYPERLINK("CSG21.html#group160G21", "160G²¹"), =HYPERLINK("CSG7.html#group60I7", "60I⁷"), =HYPERLINK("CSG19.html#group80V19", "80V¹⁹"), =HYPERLINK("CSG4.html#group10B4", "10B⁴"), =HYPERLINK("CSG17.html#group80AG17", "80AG¹⁷"), =HYPERLINK("CSG13.html#group40Q13", "40Q¹³"), =HYPERLINK("CSG21.html#group160L21", "160L²¹"), =HYPERLINK("CSG13.html#group30H13", "30H¹³"), =HYPERLINK("CSG13.html#group40T13", "40T¹³"), =HYPERLINK("CSG19.html#group100N19", "100N¹⁹"), =HYPERLINK("CSG24.html#group250B24", "250B²⁴"), =HYPERLINK("CSG19.html#group40E19", "40E¹⁹"), =HYPERLINK("CSG11.html#group120A11", "120A¹¹"), =HYPERLINK("CSG21.html#group80P21", "80P²¹"), =HYPERLINK("CSG23.html#group60R23", "60R²³"), =HYPERLINK("CSG21.html#group160O21", "160O²¹"), =HYPERLINK("CSG21.html#group120E21", "120E²¹"), =HYPERLINK("CSG7.html#group40U7", "40U⁷"), =HYPERLINK("CSG11.html#group60R11", "60R¹¹"), =HYPERLINK("CSG9.html#group40F9", "40F⁹"), =HYPERLINK("CSG19.html#group40G19", "40G¹⁹"), =HYPERLINK("CSG15.html#group40AB15", "40AB¹⁵"), =HYPERLINK("CSG17.html#group160M17", "160M¹⁷"), =HYPERLINK("CSG21.html#group80K21", "80K²¹"), =HYPERLINK("CSG0.html#group10F0", "10F⁰"), =HYPERLINK("CSG13.html#group40J13", "40J¹³"), =HYPERLINK("CSG19.html#group40M19", "40M¹⁹"), =HYPERLINK("CSG17.html#group80BE17", "80BE¹⁷"), =HYPERLINK("CSG15.html#group40AI15", "40AI¹⁵"), =HYPERLINK("CSG23.html#group60P23", "60P²³"), =HYPERLINK("CSG21.html#group160C21", "160C²¹"), =HYPERLINK("CSG17.html#group160F17", "160F¹⁷"), =HYPERLINK("CSG5.html#group60B5", "60B⁵"), =HYPERLINK("CSG17.html#group160I17", "160I¹⁷"), =HYPERLINK("CSG15.html#group120I15", "120I¹⁵"), =HYPERLINK("CSG7.html#group30Q7", "30Q⁷"), =HYPERLINK("CSG11.html#group80D11", "80D¹¹"), =HYPERLINK("CSG21.html#group60W21", "60W²¹"), =HYPERLINK("CSG21.html#group80AA21", "80AA²¹"), =HYPERLINK("CSG21.html#group90K21", "90K²¹"), =HYPERLINK("CSG15.html#group40V15", "40V¹⁵"), =HYPERLINK("CSG20.html#group150C20", "150C²⁰"), =HYPERLINK("CSG11.html#group120B11", "120B¹¹"), =HYPERLINK("CSG19.html#group70B19", "70B¹⁹"), =HYPERLINK("CSG20.html#group140A20", "140A²⁰"), =HYPERLINK("CSG11.html#group30H11", "30H¹¹"), =HYPERLINK("CSG23.html#group160C23", "160C²³"), =HYPERLINK("CSG3.html#group20T3", "20T³"), =HYPERLINK("CSG13.html#group60W13", "60W¹³"), =HYPERLINK("CSG15.html#group60G15", "60G¹⁵"), =HYPERLINK("CSG12.html#group100A12", "100A¹²"), =HYPERLINK("CSG6.html#group50E6", "50E⁶"), =HYPERLINK("CSG5.html#group40M5", "40M⁵"), =HYPERLINK("CSG13.html#group120F13", "120F¹³"), =HYPERLINK("CSG15.html#group160A15", "160A¹⁵"), =HYPERLINK("CSG12.html#group50E12", "50E¹²"), =HYPERLINK("CSG24.html#group50B24", "50B²⁴"), =HYPERLINK("CSG21.html#group80AG21", "80AG²¹"), =HYPERLINK("CSG24.html#group90C24", "90C²⁴"), =HYPERLINK("CSG17.html#group80AT17", "80AT¹⁷"), =HYPERLINK("CSG13.html#group60N13", "60N¹³"), =HYPERLINK("CSG19.html#group120M19", "120M¹⁹"), =HYPERLINK("CSG3.html#group20S3", "20S³"), =HYPERLINK("CSG19.html#group30B19", "30B¹⁹"), =HYPERLINK("CSG15.html#group160B15", "160B¹⁵"), =HYPERLINK("CSG23.html#group120Q23", "120Q²³"), =HYPERLINK("CSG12.html#group50G12", "50G¹²"), =HYPERLINK("CSG15.html#group120K15", "120K¹⁵"), =HYPERLINK("CSG21.html#group80T21", "80T²¹"), =HYPERLINK("CSG4.html#group30H4", "30H⁴"), =HYPERLINK("CSG19.html#group100Q19", "100Q¹⁹"), =HYPERLINK("CSG19.html#group160M19", "160M¹⁹"), =HYPERLINK("CSG1.html#group10K1", "10K¹"), =HYPERLINK("CSG19.html#group140B19", "140B¹⁹"), =HYPERLINK("CSG9.html#group40R9", "40R⁹"), =HYPERLINK("CSG15.html#group40AH15", "40AH¹⁵"), =HYPERLINK("CSG17.html#group80U17", "80U¹⁷"), =HYPERLINK("CSG9.html#group80G9", "80G⁹"), =HYPERLINK("CSG17.html#group40AI17", "40AI¹⁷"), =HYPERLINK("CSG21.html#group20C21", "20C²¹"), =HYPERLINK("CSG19.html#group80S19", "80S¹⁹"), =HYPERLINK("CSG11.html#group60N11", "60N¹¹"), =HYPERLINK("CSG13.html#group20E13", "20E¹³"), =HYPERLINK("CSG17.html#group40AS17", "40AS¹⁷"), =HYPERLINK("CSG15.html#group80T15", "80T¹⁵"), =HYPERLINK("CSG7.html#group40X7", "40X⁷"), =HYPERLINK("CSG7.html#group60O7", "60O⁷"), =HYPERLINK("CSG13.html#group30K13", "30K¹³"), =HYPERLINK("CSG17.html#group40AJ17", "40AJ¹⁷"), =HYPERLINK("CSG21.html#group80W21", "80W²¹"), =HYPERLINK("CSG7.html#group20K7", "20K⁷"), =HYPERLINK("CSG22.html#group90E22", "90E²²"), =HYPERLINK("CSG21.html#group100A21", "100A²¹"), =HYPERLINK("CSG11.html#group60P11", "60P¹¹"), =HYPERLINK("CSG13.html#group60T13", "60T¹³"), =HYPERLINK("CSG11.html#group30I11", "30I¹¹"), =HYPERLINK("CSG13.html#group60AB13", "60AB¹³"), =HYPERLINK("CSG17.html#group40AQ17", "40AQ¹⁷"), =HYPERLINK("CSG7.html#group20M7", "20M⁷"), =HYPERLINK("CSG21.html#group30H21", "30H²¹"), =HYPERLINK("CSG7.html#group10A7", "10A⁷"), =HYPERLINK("CSG17.html#group40U17", "40U¹⁷"), =HYPERLINK("CSG1.html#group20D1", "20D¹"), =HYPERLINK("CSG5.html#group40B5", "40B⁵"), =HYPERLINK("CSG12.html#group50C12", "50C¹²"), =HYPERLINK("CSG13.html#group60Z13", "60Z¹³"), =HYPERLINK("CSG13.html#group80F13", "80F¹³"), =HYPERLINK("CSG13.html#group60Y13", "60Y¹³"), =HYPERLINK("CSG1.html#group20I1", "20I¹"), =HYPERLINK("CSG12.html#group50H12", "50H¹²"), =HYPERLINK("CSG19.html#group120E19", "120E¹⁹"), =HYPERLINK("CSG19.html#group60N19", "60N¹⁹"), =HYPERLINK("CSG18.html#group70G18", "70G¹⁸"), =HYPERLINK("CSG7.html#group60P7", "60P⁷"), =HYPERLINK("CSG23.html#group180M23", "180M²³"), =HYPERLINK("CSG21.html#group80S21", "80S²¹"), =HYPERLINK("CSG17.html#group80AR17", "80AR¹⁷"), =HYPERLINK("CSG17.html#group80AA17", "80AA¹⁷"), =HYPERLINK("CSG17.html#group60T17", "60T¹⁷"), =HYPERLINK("CSG17.html#group80AX17", "80AX¹⁷"), =HYPERLINK("CSG10.html#group90E10", "90E¹⁰"), =HYPERLINK("CSG15.html#group60AC15", "60AC¹⁵"), =HYPERLINK("CSG7.html#group30S7", "30S⁷"), =HYPERLINK("CSG21.html#group160I21", "160I²¹"), =HYPERLINK("CSG5.html#group30P5", "30P⁵"), =HYPERLINK("CSG11.html#group60T11", "60T¹¹"), =HYPERLINK("CSG15.html#group90H15", "90H¹⁵"), =HYPERLINK("CSG15.html#group60A15", "60A¹⁵"), =HYPERLINK("CSG17.html#group140D17", "140D¹⁷"), =HYPERLINK("CSG5.html#group20K5", "20K⁵"), =HYPERLINK("CSG21.html#group160N21", "160N²¹"), =HYPERLINK("CSG6.html#group30D6", "30D⁶"), =HYPERLINK("CSG11.html#group30K11", "30K¹¹"), =HYPERLINK("CSG15.html#group80Q15", "80Q¹⁵"), =HYPERLINK("CSG13.html#group120H13", "120H¹³"), =HYPERLINK("CSG21.html#group140C21", "140C²¹"), =HYPERLINK("CSG13.html#group100G13", "100G¹³"), =HYPERLINK("CSG9.html#group80P9", "80P⁹"), =HYPERLINK("CSG9.html#group40K9", "40K⁹"), =HYPERLINK("CSG3.html#group20G3", "20G³"), =HYPERLINK("CSG17.html#group40Z17", "40Z¹⁷"), =HYPERLINK("CSG7.html#group80H7", "80H⁷"), =HYPERLINK("CSG21.html#group80AE21", "80AE²¹"), =HYPERLINK("CSG15.html#group40W15", "40W¹⁵"), =HYPERLINK("CSG15.html#group60H15", "60H¹⁵"), =HYPERLINK("CSG17.html#group80BB17", "80BB¹⁷"), =HYPERLINK("CSG9.html#group40M9", "40M⁹"), =HYPERLINK("CSG13.html#group120E13", "120E¹³"), =HYPERLINK("CSG3.html#group40I3", "40I³"), =HYPERLINK("CSG9.html#group80H9", "80H⁹"), =HYPERLINK("CSG21.html#group80E21", "80E²¹"), =HYPERLINK("CSG15.html#group60E15", "60E¹⁵"), =HYPERLINK("CSG13.html#group60AF13", "60AF¹³"), =HYPERLINK("CSG17.html#group120N17", "120N¹⁷"), =HYPERLINK("CSG19.html#group70G19", "70G¹⁹"), =HYPERLINK("CSG19.html#group60O19", "60O¹⁹"), =HYPERLINK("CSG9.html#group30S9", "30S⁹"), =HYPERLINK("CSG17.html#group40AK17", "40AK¹⁷"), =HYPERLINK("CSG1.html#group40A1", "40A¹"), =HYPERLINK("CSG11.html#group120C11", "120C¹¹"), =HYPERLINK("CSG7.html#group40T7", "40T⁷"), =HYPERLINK("CSG21.html#group140B21", "140B²¹"), =HYPERLINK("CSG24.html#group180A24", "180A²⁴"), =HYPERLINK("CSG17.html#group80AO17", "80AO¹⁷"), =HYPERLINK("CSG17.html#group160L17", "160L¹⁷"), =HYPERLINK("CSG24.html#group70A24", "70A²⁴"), =HYPERLINK("CSG21.html#group160E21", "160E²¹"), =HYPERLINK("CSG15.html#group60AA15", "60AA¹⁵"), =HYPERLINK("CSG13.html#group80H13", "80H¹³"), =HYPERLINK("CSG19.html#group140C19", "140C¹⁹"), =HYPERLINK("CSG13.html#group60S13", "60S¹³"), =HYPERLINK("CSG7.html#group80I7", "80I⁷"), =HYPERLINK("CSG11.html#group60S11", "60S¹¹"), =HYPERLINK("CSG9.html#group100I9", "100I⁹"), =HYPERLINK("CSG9.html#group80O9", "80O⁹"), =HYPERLINK("CSG13.html#group60O13", "60O¹³"), =HYPERLINK("CSG19.html#group80AB19", "80AB¹⁹"), =HYPERLINK("CSG12.html#group50D12", "50D¹²"), =HYPERLINK("CSG21.html#group160F21", "160F²¹"), =HYPERLINK("CSG19.html#group140I19", "140I¹⁹"), =HYPERLINK("CSG19.html#group120L19", "120L¹⁹"), =HYPERLINK("CSG21.html#group80N21", "80N²¹"), =HYPERLINK("CSG15.html#group40AE15", "40AE¹⁵"), =HYPERLINK("CSG13.html#group60AD13", "60AD¹³"), =HYPERLINK("CSG5.html#group40O5", "40O⁵"), =HYPERLINK("CSG17.html#group160E17", "160E¹⁷"), =HYPERLINK("CSG16.html#group70H16", "70H¹⁶"), =HYPERLINK("CSG21.html#group180J21", "180J²¹"), =HYPERLINK("CSG9.html#group40L9", "40L⁹"), =HYPERLINK("CSG13.html#group20G13", "20G¹³"), =HYPERLINK("CSG15.html#group80U15", "80U¹⁵"), =HYPERLINK("CSG9.html#group20F9", "20F⁹"), =HYPERLINK("CSG13.html#group40M13", "40M¹³"), =HYPERLINK("CSG19.html#group100O19", "100O¹⁹"), =HYPERLINK("CSG16.html#group30C16", "30C¹⁶"), =HYPERLINK("CSG15.html#group200A15", "200A¹⁵"), =HYPERLINK("CSG19.html#group80AA19", "80AA¹⁹"), =HYPERLINK("CSG13.html#group40K13", "40K¹³"), =HYPERLINK("CSG21.html#group80AF21", "80AF²¹"), =HYPERLINK("CSG14.html#group100D14", "100D¹⁴"), =HYPERLINK("CSG11.html#group120D11", "120D¹¹"), =HYPERLINK("CSG13.html#group100C13", "100C¹³"), =HYPERLINK("CSG20.html#group180H20", "180H²⁰"), =HYPERLINK("CSG21.html#group120B21", "120B²¹"), =HYPERLINK("CSG15.html#group40Z15", "40Z¹⁵"), =HYPERLINK("CSG2.html#group10F2", "10F²"), =HYPERLINK("CSG21.html#group160M21", "160M²¹"), =HYPERLINK("CSG21.html#group80I21", "80I²¹"), =HYPERLINK("CSG3.html#group20R3", "20R³"), =HYPERLINK("CSG9.html#group60M9", "60M⁹"), =HYPERLINK("CSG15.html#group60K15", "60K¹⁵"), =HYPERLINK("CSG17.html#group80AU17", "80AU¹⁷"), =HYPERLINK("CSG15.html#group40AF15", "40AF¹⁵"), =HYPERLINK("CSG21.html#group160P21", "160P²¹"), =HYPERLINK("CSG21.html#group80L21", "80L²¹"), =HYPERLINK("CSG21.html#group160A21", "160A²¹"), =HYPERLINK("CSG21.html#group80X21", "80X²¹"), =HYPERLINK("CSG21.html#group200B21", "200B²¹"), =HYPERLINK("CSG9.html#group80M9", "80M⁹"), =HYPERLINK("CSG9.html#group40Q9", "40Q⁹"), =HYPERLINK("CSG21.html#group180I21", "180I²¹"), =HYPERLINK("CSG5.html#group40N5", "40N⁵"), =HYPERLINK("CSG3.html#group20L3", "20L³"), =HYPERLINK("CSG20.html#group150B20", "150B²⁰"), =HYPERLINK("CSG11.html#group80C11", "80C¹¹"), =HYPERLINK("CSG15.html#group80S15", "80S¹⁵"), =HYPERLINK("CSG19.html#group40D19", "40D¹⁹"), =HYPERLINK("CSG19.html#group60M19", "60M¹⁹"), =HYPERLINK("CSG21.html#group90I21", "90I²¹"), =HYPERLINK("CSG7.html#group80J7", "80J⁷"), =HYPERLINK("CSG15.html#group60N15", "60N¹⁵"), =HYPERLINK("CSG19.html#group160K19", "160K¹⁹"), =HYPERLINK("CSG23.html#group60N23", "60N²³"), =HYPERLINK("CSG19.html#group120F19", "120F¹⁹"), =HYPERLINK("CSG13.html#group60R13", "60R¹³"), =HYPERLINK("CSG19.html#group60K19", "60K¹⁹"), =HYPERLINK("CSG15.html#group60B15", "60B¹⁵"), =HYPERLINK("CSG19.html#group20D19", "20D¹⁹"), =HYPERLINK("CSG23.html#group200B23", "200B²³"), =HYPERLINK("CSG15.html#group40X15", "40X¹⁵"), =HYPERLINK("CSG15.html#group40AC15", "40AC¹⁵"), =HYPERLINK("CSG21.html#group120D21", "120D²¹"), =HYPERLINK("CSG17.html#group60S17", "60S¹⁷"), =HYPERLINK("CSG13.html#group40N13", "40N¹³"), =HYPERLINK("CSG13.html#group80C13", "80C¹³"), =HYPERLINK("CSG13.html#group60X13", "60X¹³"), =HYPERLINK("CSG17.html#group40AA17", "40AA¹⁷"), =HYPERLINK("CSG7.html#group40O7", "40O⁷"), =HYPERLINK("CSG17.html#group80AI17", "80AI¹⁷"), =HYPERLINK("CSG17.html#group40V17", "40V¹⁷"), =HYPERLINK("CSG15.html#group20I15", "20I¹⁵"), =HYPERLINK("CSG12.html#group100D12", "100D¹²"), =HYPERLINK("CSG6.html#group50B6", "50B⁶"), =HYPERLINK("CSG21.html#group80H21", "80H²¹"), =HYPERLINK("CSG17.html#group80AH17", "80AH¹⁷"), =HYPERLINK("CSG19.html#group20B19", "20B¹⁹"), =HYPERLINK("CSG16.html#group150A16", "150A¹⁶"), =HYPERLINK("CSG12.html#group50F12", "50F¹²"), =HYPERLINK("CSG2.html#group30E2", "30E²"), =HYPERLINK("CSG19.html#group80L19", "80L¹⁹"), =HYPERLINK("CSG13.html#group80D13", "80D¹³"), =HYPERLINK("CSG15.html#group60D15", "60D¹⁵"), =HYPERLINK("CSG17.html#group160J17", "160J¹⁷"), =HYPERLINK("CSG7.html#group40Y7", "40Y⁷"), =HYPERLINK("CSG17.html#group60P17", "60P¹⁷"), =HYPERLINK("CSG13.html#group60V13", "60V¹³"), =HYPERLINK("CSG3.html#group40D3", "40D³"), =HYPERLINK("CSG17.html#group80AK17", "80AK¹⁷"), =HYPERLINK("CSG15.html#group60O15", "60O¹⁵"), =HYPERLINK("CSG9.html#group80I9", "80I⁹"), =HYPERLINK("CSG19.html#group80AC19", "80AC¹⁹"), =HYPERLINK("CSG13.html#group50B13", "50B¹³"), =HYPERLINK("CSG7.html#group60H7", "60H⁷"), =HYPERLINK("CSG17.html#group70J17", "70J¹⁷"), =HYPERLINK("CSG23.html#group120S23", "120S²³"), =HYPERLINK("CSG6.html#group30C6", "30C⁶"), =HYPERLINK("CSG13.html#group100A13", "100A¹³"), =HYPERLINK("CSG21.html#group100B21", "100B²¹"), =HYPERLINK("CSG14.html#group100A14", "100A¹⁴"), =HYPERLINK("CSG9.html#group80L9", "80L⁹"), =HYPERLINK("CSG24.html#group250A24", "250A²⁴"), =HYPERLINK("CSG19.html#group160J19", "160J¹⁹"), =HYPERLINK("CSG15.html#group60I15", "60I¹⁵"), =HYPERLINK("CSG13.html#group80I13", "80I¹³"), =HYPERLINK("CSG21.html#group80Q21", "80Q²¹"), =HYPERLINK("CSG13.html#group40S13", "40S¹³"), =HYPERLINK("CSG13.html#group60AJ13", "60AJ¹³"), =HYPERLINK("CSG6.html#group10A6", "10A⁶"), =HYPERLINK("CSG17.html#group80AE17", "80AE¹⁷"), =HYPERLINK("CSG15.html#group60AB15", "60AB¹⁵"), =HYPERLINK("CSG3.html#group20M3", "20M³"), =HYPERLINK("CSG11.html#group40K11", "40K¹¹"), =HYPERLINK("CSG20.html#group90F20", "90F²⁰"), =HYPERLINK("CSG13.html#group120L13", "120L¹³"), =HYPERLINK("CSG21.html#group120C21", "120C²¹"), =HYPERLINK("CSG19.html#group160L19", "160L¹⁹"), =HYPERLINK("CSG23.html#group90A23", "90A²³"), =HYPERLINK("CSG21.html#group20A21", "20A²¹"), =HYPERLINK("CSG15.html#group60L15", "60L¹⁵"), =HYPERLINK("CSG9.html#group80E9", "80E⁹"), =HYPERLINK("CSG13.html#group120I13", "120I¹³"), =HYPERLINK("CSG6.html#group50D6", "50D⁶"), =HYPERLINK("CSG13.html#group60AA13", "60AA¹³"), =HYPERLINK("CSG15.html#group60M15", "60M¹⁵"), =HYPERLINK("CSG7.html#group40K7", "40K⁷"), =HYPERLINK("CSG1.html#group20E1", "20E¹"), =HYPERLINK("CSG17.html#group80AV17", "80AV¹⁷"), =HYPERLINK("CSG15.html#group160C15", "160C¹⁵"), =HYPERLINK("CSG24.html#group50A24", "50A²⁴"), =HYPERLINK("CSG19.html#group80AE19", "80AE¹⁹"), =HYPERLINK("CSG21.html#group80Z21", "80Z²¹"), =HYPERLINK("CSG8.html#group70B8", "70B⁸"), =HYPERLINK("CSG13.html#group40P13", "40P¹³"), =HYPERLINK("CSG4.html#group60C4", "60C⁴"), =HYPERLINK("CSG9.html#group40I9", "40I⁹"), =HYPERLINK("CSG9.html#group80N9", "80N⁹"), =HYPERLINK("CSG2.html#group50B2", "50B²"), =HYPERLINK("CSG11.html#group90J11", "90J¹¹"), =HYPERLINK("CSG13.html#group40V13", "40V¹³"), =HYPERLINK("CSG7.html#group40N7", "40N⁷"), =HYPERLINK("CSG17.html#group40T17", "40T¹⁷"), =HYPERLINK("CSG14.html#group100C14", "100C¹⁴"), =HYPERLINK("CSG21.html#group160S21", "160S²¹"), =HYPERLINK("CSG3.html#group40F3", "40F³"), =HYPERLINK("CSG19.html#group40C19", "40C¹⁹"), =HYPERLINK("CSG21.html#group160H21", "160H²¹"), =HYPERLINK("CSG17.html#group100E17", "100E¹⁷"), =HYPERLINK("CSG15.html#group80O15", "80O¹⁵"), =HYPERLINK("CSG17.html#group80BC17", "80BC¹⁷"), =HYPERLINK("CSG17.html#group40W17", "40W¹⁷"), =HYPERLINK("CSG20.html#group150D20", "150D²⁰"), =HYPERLINK("CSG13.html#group120G13", "120G¹³"), =HYPERLINK("CSG21.html#group80B21", "80B²¹"), =HYPERLINK("CSG6.html#group60E6", "60E⁶"), =HYPERLINK("CSG9.html#group40O9", "40O⁹"), =HYPERLINK("CSG19.html#group80U19", "80U¹⁹"), =HYPERLINK("CSG17.html#group80AD17", "80AD¹⁷"), =HYPERLINK("CSG15.html#group60F15", "60F¹⁵"), =HYPERLINK("CSG19.html#group100P19", "100P¹⁹"), =HYPERLINK("CSG9.html#group40J9", "40J⁹"), =HYPERLINK("CSG10.html#group100A10", "100A¹⁰"), =HYPERLINK("CSG21.html#group40H21", "40H²¹"), =HYPERLINK("CSG13.html#group60P13", "60P¹³"), =HYPERLINK("CSG3.html#group40J3", "40J³"), =HYPERLINK("CSG13.html#group30I13", "30I¹³"), =HYPERLINK("CSG23.html#group180N23", "180N²³"), =HYPERLINK("CSG13.html#group30R13", "30R¹³"), =HYPERLINK("CSG17.html#group40AD17", "40AD¹⁷"), =HYPERLINK("CSG17.html#group80AQ17", "80AQ¹⁷"), =HYPERLINK("CSG19.html#group140H19", "140H¹⁹"), =HYPERLINK("CSG17.html#group160H17", "160H¹⁷"), =HYPERLINK("CSG9.html#group30Q9", "30Q⁹"), =HYPERLINK("CSG19.html#group80T19", "80T¹⁹"), =HYPERLINK("CSG16.html#group70F16", "70F¹⁶"), =HYPERLINK("CSG21.html#group200C21", "200C²¹"), =HYPERLINK("CSG21.html#group160D21", "160D²¹"), =HYPERLINK("CSG9.html#group40G9", "40G⁹"), =HYPERLINK("CSG22.html#group180C22", "180C²²"), =HYPERLINK("CSG7.html#group20L7", "20L⁷"), =HYPERLINK("CSG6.html#group100A6", "100A⁶"), =HYPERLINK("CSG7.html#group40Q7", "40Q⁷"), =HYPERLINK("CSG24.html#group180B24", "180B²⁴"), =HYPERLINK("CSG21.html#group80F21", "80F²¹"), =HYPERLINK("CSG17.html#group80AM17", "80AM¹⁷"), =HYPERLINK("CSG7.html#group40AC7", "40AC⁷"), =HYPERLINK("CSG7.html#group50C7", "50C⁷"), =HYPERLINK("CSG15.html#group60C15", "60C¹⁵"), =HYPERLINK("CSG1.html#group20H1", "20H¹"), =HYPERLINK("CSG21.html#group80AB21", "80AB²¹"), =HYPERLINK("CSG5.html#group30O5", "30O⁵"), =HYPERLINK("CSG13.html#group100F13", "100F¹³"), =HYPERLINK("CSG21.html#group80AD21", "80AD²¹"), =HYPERLINK("CSG21.html#group160J21", "160J²¹"), =HYPERLINK("CSG17.html#group80AB17", "80AB¹⁷"), =HYPERLINK("CSG21.html#group80A21", "80A²¹"), =HYPERLINK("CSG17.html#group120A17", "120A¹⁷"), =HYPERLINK("CSG13.html#group60Q13", "60Q¹³"), =HYPERLINK("CSG11.html#group60Q11", "60Q¹¹"), =HYPERLINK("CSG19.html#group200J19", "200J¹⁹"), =HYPERLINK("CSG5.html#group40L5", "40L⁵"), =HYPERLINK("CSG19.html#group80O19", "80O¹⁹"), =HYPERLINK("CSG21.html#group60X21", "60X²¹"), =HYPERLINK("CSG13.html#group40U13", "40U¹³"), =HYPERLINK("CSG9.html#group40W9", "40W⁹"), =HYPERLINK("CSG15.html#group40AA15", "40AA¹⁵"), =HYPERLINK("CSG18.html#group140B18", "140B¹⁸"), =HYPERLINK("CSG15.html#group120F15", "120F¹⁵"), =HYPERLINK("CSG14.html#group100B14", "100B¹⁴"), =HYPERLINK("CSG17.html#group80Z17", "80Z¹⁷"), =HYPERLINK("CSG13.html#group50C13", "50C¹³"), =HYPERLINK("CSG23.html#group40D23", "40D²³"), =HYPERLINK("CSG17.html#group80BA17", "80BA¹⁷"), =HYPERLINK("CSG13.html#group10A13", "10A¹³"), =HYPERLINK("CSG6.html#group60F6", "60F⁶"), =HYPERLINK("CSG19.html#group80AD19", "80AD¹⁹"), =HYPERLINK("CSG21.html#group80O21", "80O²¹"), =HYPERLINK("CSG17.html#group140C17", "140C¹⁷"), =HYPERLINK("CSG9.html#group30R9", "30R⁹"), =HYPERLINK("CSG7.html#group80C7", "80C⁷"), =HYPERLINK("CSG19.html#group200I19", "200I¹⁹"), =HYPERLINK("CSG17.html#group40Y17", "40Y¹⁷"), =HYPERLINK("CSG17.html#group80AZ17", "80AZ¹⁷"), =HYPERLINK("CSG3.html#group20K3", "20K³"), =HYPERLINK("CSG17.html#group40AM17", "40AM¹⁷"), =HYPERLINK("CSG9.html#group70D9", "70D⁹"), =HYPERLINK("CSG23.html#group60O23", "60O²³"), =HYPERLINK("CSG23.html#group200A23", "200A²³"), =HYPERLINK("CSG17.html#group80AJ17", "80AJ¹⁷"), =HYPERLINK("CSG12.html#group100C12", "100C¹²"), =HYPERLINK("CSG17.html#group120O17", "120O¹⁷"), =HYPERLINK("CSG7.html#group80E7", "80E⁷"), =HYPERLINK("CSG5.html#group30S5", "30S⁵"), =HYPERLINK("CSG2.html#group20C2", "20C²"), =HYPERLINK("CSG11.html#group30G11", "30G¹¹"), =HYPERLINK("CSG21.html#group80R21", "80R²¹"), =HYPERLINK("CSG19.html#group120K19", "120K¹⁹"), =HYPERLINK("CSG9.html#group60G9", "60G⁹"), =HYPERLINK("CSG19.html#group80Q19", "80Q¹⁹"), =HYPERLINK("CSG21.html#group80V21", "80V²¹"), =HYPERLINK("CSG19.html#group80Y19", "80Y¹⁹"), =HYPERLINK("CSG7.html#group80G7", "80G⁷"), =HYPERLINK("CSG7.html#group40V7", "40V⁷"), =HYPERLINK("CSG13.html#group100B13", "100B¹³"), =HYPERLINK("CSG17.html#group160K17", "160K¹⁷"), =HYPERLINK("CSG21.html#group120F21", "120F²¹"), =HYPERLINK("CSG23.html#group40C23", "40C²³"), =HYPERLINK("CSG19.html#group40B19", "40B¹⁹"), =HYPERLINK("CSG23.html#group160B23", "160B²³"), =HYPERLINK("CSG1.html#group10G1", "10G¹"), =HYPERLINK("CSG15.html#group80N15", "80N¹⁵"), =HYPERLINK("CSG17.html#group80AP17", "80AP¹⁷"), =HYPERLINK("CSG19.html#group20A19", "20A¹⁹"), =HYPERLINK("CSG21.html#group120A21", "120A²¹"), =HYPERLINK("CSG7.html#group40AB7", "40AB⁷"), =HYPERLINK("CSG7.html#group80F7", "80F⁷"), =HYPERLINK("CSG21.html#group160R21", "160R²¹"), =HYPERLINK("CSG5.html#group20I5", "20I⁵"), =HYPERLINK("CSG5.html#group40C5", "40C⁵"), =HYPERLINK("CSG11.html#group20E11", "20E¹¹"), =HYPERLINK("CSG23.html#group60Q23", "60Q²³"), =HYPERLINK("CSG17.html#group120B17", "120B¹⁷"), =HYPERLINK("CSG7.html#group40P7", "40P⁷"), =HYPERLINK("CSG17.html#group80X17", "80X¹⁷"), =HYPERLINK("CSG15.html#group100D15", "100D¹⁵"), =HYPERLINK("CSG18.html#group140C18", "140C¹⁸"), =HYPERLINK("CSG19.html#group80W19", "80W¹⁹"), =HYPERLINK("CSG7.html#group20N7", "20N⁷"), =HYPERLINK("CSG12.html#group50B12", "50B¹²"), =HYPERLINK("CSG21.html#group80AC21", "80AC²¹"), =HYPERLINK("CSG23.html#group60S23", "60S²³"), =HYPERLINK("CSG11.html#group80A11", "80A¹¹"), =HYPERLINK("CSG7.html#group20P7", "20P⁷"), =HYPERLINK("CSG19.html#group80M19", "80M¹⁹"), =HYPERLINK("CSG21.html#group80G21", "80G²¹"), =HYPERLINK("CSG17.html#group160G17", "160G¹⁷"), =HYPERLINK("CSG7.html#group40W7", "40W⁷"), =HYPERLINK("CSG21.html#group160K21", "160K²¹"), =HYPERLINK("CSG19.html#group30C19", "30C¹⁹"), =HYPERLINK("CSG23.html#group240A23", "240A²³"), =HYPERLINK("CSG21.html#group160B21", "160B²¹"), =HYPERLINK("CSG19.html#group150I19", "150I¹⁹"), =HYPERLINK("CSG17.html#group40AC17", "40AC¹⁷"), =HYPERLINK("CSG0.html#group20A0", "20A⁰"), =HYPERLINK("CSG17.html#group80AW17", "80AW¹⁷"), =HYPERLINK("CSG21.html#group80U21", "80U²¹"), =HYPERLINK("CSG13.html#group40W13", "40W¹³"), =HYPERLINK("CSG7.html#group80D7", "80D⁷"), =HYPERLINK("CSG15.html#group120L15", "120L¹⁵"), =HYPERLINK("CSG17.html#group70G17", "70G¹⁷"), =HYPERLINK("CSG21.html#group80Y21", "80Y²¹"), =HYPERLINK("CSG21.html#group160U21", "160U²¹"), =HYPERLINK("CSG13.html#group80E13", "80E¹³"), =HYPERLINK("CSG23.html#group160D23", "160D²³"), =HYPERLINK("CSG17.html#group40AN17", "40AN¹⁷"), =HYPERLINK("CSG11.html#group30J11", "30J¹¹"), =HYPERLINK("CSG17.html#group40AB17", "40AB¹⁷"), =HYPERLINK("CSG17.html#group80BF17", "80BF¹⁷"), =HYPERLINK("CSG21.html#group80J21", "80J²¹"), =HYPERLINK("CSG21.html#group200A21", "200A²¹"), =HYPERLINK("CSG19.html#group80X19", "80X¹⁹"), =HYPERLINK("CSG21.html#group40I21", "40I²¹"), =HYPERLINK("CSG22.html#group50D22", "50D²²"), =HYPERLINK("CSG13.html#group100H13", "100H¹³"), =HYPERLINK("CSG1.html#group20J1", "20J¹"), =HYPERLINK("CSG13.html#group100D13", "100D¹³"), =HYPERLINK("CSG13.html#group40L13", "40L¹³"), =HYPERLINK("CSG13.html#group60AI13", "60AI¹³"), =HYPERLINK("CSG12.html#group100B12", "100B¹²"), =HYPERLINK("CSG19.html#group70I19", "70I¹⁹"), =HYPERLINK("CSG7.html#group40Z7", "40Z⁷"), =HYPERLINK("CSG7.html#group80K7", "80K⁷"), =HYPERLINK("CSG22.html#group90G22", "90G²²"), =HYPERLINK("CSG23.html#group240B23", "240B²³"), =HYPERLINK("CSG15.html#group40AG15", "40AG¹⁵"), =HYPERLINK("CSG17.html#group40AT17", "40AT¹⁷"), =HYPERLINK("CSG13.html#group50D13", "50D¹³"), =HYPERLINK("CSG17.html#group40AH17", "40AH¹⁷"), =HYPERLINK("CSG23.html#group170A23", "170A²³"), =HYPERLINK("CSG20.html#group90G20", "90G²⁰"), =HYPERLINK("CSG19.html#group20C19", "20C¹⁹"), =HYPERLINK("CSG19.html#group80Z19", "80Z¹⁹"), =HYPERLINK("CSG15.html#group110A15", "110A¹⁵"), =HYPERLINK("CSG7.html#group100C7", "100C⁷"), =HYPERLINK("CSG17.html#group80AY17", "80AY¹⁷"), =HYPERLINK("CSG13.html#group60AC13", "60AC¹³"), =HYPERLINK("CSG19.html#group40L19", "40L¹⁹"), =HYPERLINK("CSG11.html#group60V11", "60V¹¹"), =HYPERLINK("CSG13.html#group100E13", "100E¹³"), =HYPERLINK("CSG4.html#group30I4", "30I⁴"), =HYPERLINK("CSG7.html#group40R7", "40R⁷"), =HYPERLINK("CSG24.html#group90A24", "90A²⁴"), =HYPERLINK("CSG8.html#group60A8", "60A⁸"), =HYPERLINK("CSG17.html#group80AN17", "80AN¹⁷"), =HYPERLINK("CSG17.html#group20B17", "20B¹⁷"), =HYPERLINK("CSG23.html#group30L23", "30L²³"), =HYPERLINK("CSG0.html#group10G0", "10G⁰"), =HYPERLINK("CSG5.html#group20J5", "20J⁵"), =HYPERLINK("CSG10.html#group20E10", "20E¹⁰"), =HYPERLINK("CSG11.html#group60O11", "60O¹¹"), =HYPERLINK("CSG17.html#group40AL17", "40AL¹⁷"), =HYPERLINK("CSG15.html#group120H15", "120H¹⁵"), =HYPERLINK("CSG3.html#group20H3", "20H³"), =HYPERLINK("CSG13.html#group20F13", "20F¹³"), =HYPERLINK("CSG3.html#group40C3", "40C³"), =HYPERLINK("CSG11.html#group80B11", "80B¹¹"), =HYPERLINK("CSG17.html#group80BD17", "80BD¹⁷"), =HYPERLINK("CSG3.html#group40E3", "40E³"), =HYPERLINK("CSG13.html#group50E13", "50E¹³"), =HYPERLINK("CSG17.html#group40AR17", "40AR¹⁷"), =HYPERLINK("CSG13.html#group30J13", "30J¹³"), =HYPERLINK("CSG4.html#group50F4", "50F⁴"), =HYPERLINK("CSG3.html#group40H3", "40H³"), =HYPERLINK("CSG13.html#group100J13", "100J¹³"), =HYPERLINK("CSG15.html#group40AD15", "40AD¹⁵"), =HYPERLINK("CSG9.html#group40H9", "40H⁹"), =HYPERLINK("CSG9.html#group80K9", "80K⁹"), =HYPERLINK("CSG17.html#group60O17", "60O¹⁷"), =HYPERLINK("CSG9.html#group20B9", "20B⁹"), =HYPERLINK("CSG22.html#group180D22", "180D²²"), =HYPERLINK("CSG19.html#group80R19", "80R¹⁹"), =HYPERLINK("CSG20.html#group150A20", "150A²⁰"), =HYPERLINK("CSG17.html#group80Y17", "80Y¹⁷"), =HYPERLINK("CSG15.html#group80P15", "80P¹⁵"), =HYPERLINK("CSG19.html#group80N19", "80N¹⁹"), =HYPERLINK("CSG6.html#group50C6", "50C⁶"), =HYPERLINK("CSG7.html#group20J7", "20J⁷"), =HYPERLINK("CSG17.html#group60Q17", "60Q¹⁷"), =HYPERLINK("CSG17.html#group80AF17", "80AF¹⁷"), =HYPERLINK("CSG23.html#group90B23", "90B²³"), =HYPERLINK("CSG13.html#group60U13", "60U¹³"), =HYPERLINK("CSG17.html#group40AO17", "40AO¹⁷"), =HYPERLINK("CSG15.html#group40Y15", "40Y¹⁵"), =HYPERLINK("CSG7.html#group40L7", "40L⁷"), =HYPERLINK("CSG19.html#group60L19", "60L¹⁹"), =HYPERLINK("CSG15.html#group120J15", "120J¹⁵"), =HYPERLINK("CSG17.html#group80AL17", "80AL¹⁷"), =HYPERLINK("CSG17.html#group40AE17", "40AE¹⁷"), =HYPERLINK("CSG9.html#group60N9", "60N⁹"), =HYPERLINK("CSG13.html#group30L13", "30L¹³"), =HYPERLINK("CSG21.html#group160Q21", "160Q²¹"), =HYPERLINK("CSG7.html#group40S7", "40S⁷"), =HYPERLINK("CSG21.html#group160T21", "160T²¹"), =HYPERLINK("CSG17.html#group70E17", "70E¹⁷"), =HYPERLINK("CSG6.html#group20D6", "20D⁶"), =HYPERLINK("CSG15.html#group60J15", "60J¹⁵"), =HYPERLINK("CSG15.html#group60AD15", "60AD¹⁵"), =HYPERLINK("CSG15.html#group120M15", "120M¹⁵"), =HYPERLINK("CSG17.html#group80V17", "80V¹⁷"), =HYPERLINK("CSG17.html#group80W17", "80W¹⁷"), =HYPERLINK("CSG17.html#group60R17", "60R¹⁷"), =HYPERLINK("CSG21.html#group30G21", "30G²¹"), =HYPERLINK("CSG17.html#group80AS17", "80AS¹⁷"), =HYPERLINK("CSG15.html#group120E15", "120E¹⁵"), =HYPERLINK("CSG9.html#group80J9", "80J⁹"), =HYPERLINK("CSG9.html#group80F9", "80F⁹"), =HYPERLINK("CSG17.html#group40AF17", "40AF¹⁷"), =HYPERLINK("CSG13.html#group120J13", "120J¹³"), =HYPERLINK("CSG13.html#group50A13", "50A¹³"), =HYPERLINK("CSG19.html#group40H19", "40H¹⁹"), =HYPERLINK("CSG23.html#group160A23", "160A²³"), =HYPERLINK("CSG7.html#group40AA7", "40AA⁷"), =HYPERLINK("CSG12.html#group50A12", "50A¹²"), =HYPERLINK("CSG17.html#group80AC17", "80AC¹⁷"), =HYPERLINK("CSG21.html#group100C21", "100C²¹"), =HYPERLINK("CSG21.html#group80D21", "80D²¹"), =HYPERLINK("CSG17.html#group40AG17", "40AG¹⁷"), =HYPERLINK("CSG15.html#group80V15", "80V¹⁵"), =HYPERLINK("CSG15.html#group80R15", "80R¹⁵"), =HYPERLINK("CSG3.html#group40G3", "40G³")</f>
        <v/>
      </c>
    </row>
    <row r="73">
      <c r="A73" t="inlineStr">
        <is>
          <t>10D⁰</t>
        </is>
      </c>
      <c r="B73" t="inlineStr"/>
      <c r="C73" t="inlineStr">
        <is>
          <t>20</t>
        </is>
      </c>
      <c r="D73" t="inlineStr">
        <is>
          <t>1</t>
        </is>
      </c>
      <c r="E73" t="inlineStr">
        <is>
          <t>10</t>
        </is>
      </c>
      <c r="F73" t="inlineStr">
        <is>
          <t>4</t>
        </is>
      </c>
      <c r="G73" t="inlineStr">
        <is>
          <t>2</t>
        </is>
      </c>
      <c r="H73" t="inlineStr">
        <is>
          <t>10²</t>
        </is>
      </c>
      <c r="I73" t="n">
        <v>2</v>
      </c>
      <c r="J73" t="inlineStr">
        <is>
          <t>2¹, 4²</t>
        </is>
      </c>
      <c r="K73">
        <f>HYPERLINK("CSG0.html#group5C0", "5C⁰")</f>
        <v/>
      </c>
      <c r="L73">
        <f>HYPERLINK("CSG1.html#group10H1", "10H¹"), =HYPERLINK("CSG1.html#group10J1", "10J¹"), =HYPERLINK("CSG1.html#group20F1", "20F¹"), =HYPERLINK("CSG2.html#group10C2", "10C²"), =HYPERLINK("CSG2.html#group10E2", "10E²"), =HYPERLINK("CSG2.html#group30F2", "30F²"), =HYPERLINK("CSG3.html#group20O3", "20O³"), =HYPERLINK("CSG4.html#group50E4", "50E⁴"), =HYPERLINK("CSG5.html#group30I5", "30I⁵"), =HYPERLINK("CSG8.html#group70C8", "70C⁸"), =HYPERLINK("CSG11.html#group70B11", "70B¹¹"), =HYPERLINK("CSG14.html#group110C14", "110C¹⁴"), =HYPERLINK("CSG19.html#group110A19", "110A¹⁹"), =HYPERLINK("CSG19.html#group130A19", "130A¹⁹")</f>
        <v/>
      </c>
      <c r="M73">
        <f>HYPERLINK("CSG0.html#group5C0", "5C⁰"), =HYPERLINK("CSG0.html#group1A0", "1A⁰")</f>
        <v/>
      </c>
      <c r="N73">
        <f>HYPERLINK("CSG17.html#group20B17", "20B¹⁷"), =HYPERLINK("CSG1.html#group10H1", "10H¹"), =HYPERLINK("CSG17.html#group60A17", "60A¹⁷"), =HYPERLINK("CSG17.html#group30K17", "30K¹⁷"), =HYPERLINK("CSG17.html#group30A17", "30A¹⁷"), =HYPERLINK("CSG5.html#group10A5", "10A⁵"), =HYPERLINK("CSG19.html#group130A19", "130A¹⁹"), =HYPERLINK("CSG11.html#group20B11", "20B¹¹"), =HYPERLINK("CSG15.html#group40E15", "40E¹⁵"), =HYPERLINK("CSG15.html#group60S15", "60S¹⁵"), =HYPERLINK("CSG5.html#group30I5", "30I⁵"), =HYPERLINK("CSG19.html#group70D19", "70D¹⁹"), =HYPERLINK("CSG19.html#group40I19", "40I¹⁹"), =HYPERLINK("CSG17.html#group30E17", "30E¹⁷"), =HYPERLINK("CSG5.html#group10B5", "10B⁵"), =HYPERLINK("CSG23.html#group90D23", "90D²³"), =HYPERLINK("CSG1.html#group10J1", "10J¹"), =HYPERLINK("CSG22.html#group30B22", "30B²²"), =HYPERLINK("CSG21.html#group30E21", "30E²¹"), =HYPERLINK("CSG13.html#group20B13", "20B¹³"), =HYPERLINK("CSG9.html#group20A9", "20A⁹"), =HYPERLINK("CSG7.html#group20E7", "20E⁷"), =HYPERLINK("CSG5.html#group20F5", "20F⁵"), =HYPERLINK("CSG17.html#group60J17", "60J¹⁷"), =HYPERLINK("CSG17.html#group70I17", "70I¹⁷"), =HYPERLINK("CSG11.html#group20A11", "20A¹¹"), =HYPERLINK("CSG11.html#group20D11", "20D¹¹"), =HYPERLINK("CSG9.html#group50F9", "50F⁹"), =HYPERLINK("CSG10.html#group30G10", "30G¹⁰"), =HYPERLINK("CSG10.html#group90F10", "90F¹⁰"), =HYPERLINK("CSG9.html#group40T9", "40T⁹"), =HYPERLINK("CSG6.html#group10A6", "10A⁶"), =HYPERLINK("CSG9.html#group30N9", "30N⁹"), =HYPERLINK("CSG17.html#group20A17", "20A¹⁷"), =HYPERLINK("CSG14.html#group110C14", "110C¹⁴"), =HYPERLINK("CSG17.html#group90L17", "90L¹⁷"), =HYPERLINK("CSG13.html#group60AH13", "60AH¹³"), =HYPERLINK("CSG3.html#group10D3", "10D³"), =HYPERLINK("CSG15.html#group60Q15", "60Q¹⁵"), =HYPERLINK("CSG23.html#group60A23", "60A²³"), =HYPERLINK("CSG23.html#group30I23", "30I²³"), =HYPERLINK("CSG21.html#group70G21", "70G²¹"), =HYPERLINK("CSG23.html#group140D23", "140D²³"), =HYPERLINK("CSG13.html#group40H13", "40H¹³"), =HYPERLINK("CSG21.html#group20A21", "20A²¹"), =HYPERLINK("CSG21.html#group30D21", "30D²¹"), =HYPERLINK("CSG15.html#group60Z15", "60Z¹⁵"), =HYPERLINK("CSG2.html#group30F2", "30F²"), =HYPERLINK("CSG8.html#group70C8", "70C⁸"), =HYPERLINK("CSG7.html#group60L7", "60L⁷"), =HYPERLINK("CSG21.html#group90M21", "90M²¹"), =HYPERLINK("CSG19.html#group140F19", "140F¹⁹"), =HYPERLINK("CSG21.html#group60S21", "60S²¹"), =HYPERLINK("CSG19.html#group40K19", "40K¹⁹"), =HYPERLINK("CSG18.html#group50A18", "50A¹⁸"), =HYPERLINK("CSG21.html#group80AH21", "80AH²¹"), =HYPERLINK("CSG19.html#group140E19", "140E¹⁹"), =HYPERLINK("CSG20.html#group50A20", "50A²⁰"), =HYPERLINK("CSG13.html#group20D13", "20D¹³"), =HYPERLINK("CSG15.html#group30B15", "30B¹⁵"), =HYPERLINK("CSG19.html#group110A19", "110A¹⁹"), =HYPERLINK("CSG19.html#group100R19", "100R¹⁹"), =HYPERLINK("CSG14.html#group30A14", "30A¹⁴"), =HYPERLINK("CSG23.html#group60F23", "60F²³"), =HYPERLINK("CSG13.html#group10A13", "10A¹³"), =HYPERLINK("CSG7.html#group30G7", "30G⁷"), =HYPERLINK("CSG15.html#group20H15", "20H¹⁵"), =HYPERLINK("CSG9.html#group40S9", "40S⁹"), =HYPERLINK("CSG22.html#group150A22", "150A²²"), =HYPERLINK("CSG10.html#group30B10", "30B¹⁰"), =HYPERLINK("CSG21.html#group60R21", "60R²¹"), =HYPERLINK("CSG12.html#group20A12", "20A¹²"), =HYPERLINK("CSG17.html#group40I17", "40I¹⁷"), =HYPERLINK("CSG9.html#group40U9", "40U⁹"), =HYPERLINK("CSG14.html#group50A14", "50A¹⁴"), =HYPERLINK("CSG17.html#group90N17", "90N¹⁷"), =HYPERLINK("CSG19.html#group90A19", "90A¹⁹"), =HYPERLINK("CSG17.html#group60K17", "60K¹⁷"), =HYPERLINK("CSG10.html#group30C10", "30C¹⁰"), =HYPERLINK("CSG7.html#group30J7", "30J⁷"), =HYPERLINK("CSG19.html#group60D19", "60D¹⁹"), =HYPERLINK("CSG13.html#group20A13", "20A¹³"), =HYPERLINK("CSG19.html#group40J19", "40J¹⁹"), =HYPERLINK("CSG7.html#group30H7", "30H⁷"), =HYPERLINK("CSG5.html#group20G5", "20G⁵"), =HYPERLINK("CSG15.html#group20A15", "20A¹⁵"), =HYPERLINK("CSG11.html#group70B11", "70B¹¹"), =HYPERLINK("CSG15.html#group60P15", "60P¹⁵"), =HYPERLINK("CSG2.html#group10C2", "10C²"), =HYPERLINK("CSG7.html#group60K7", "60K⁷"), =HYPERLINK("CSG23.html#group60M23", "60M²³"), =HYPERLINK("CSG13.html#group40I13", "40I¹³"), =HYPERLINK("CSG23.html#group60K23", "60K²³"), =HYPERLINK("CSG22.html#group50B22", "50B²²"), =HYPERLINK("CSG21.html#group40B21", "40B²¹"), =HYPERLINK("CSG5.html#group20H5", "20H⁵"), =HYPERLINK("CSG13.html#group20C13", "20C¹³"), =HYPERLINK("CSG21.html#group80AI21", "80AI²¹"), =HYPERLINK("CSG3.html#group20O3", "20O³"), =HYPERLINK("CSG15.html#group60R15", "60R¹⁵"), =HYPERLINK("CSG9.html#group30B9", "30B⁹"), =HYPERLINK("CSG21.html#group30B21", "30B²¹"), =HYPERLINK("CSG15.html#group20I15", "20I¹⁵"), =HYPERLINK("CSG3.html#group20N3", "20N³"), =HYPERLINK("CSG19.html#group60B19", "60B¹⁹"), =HYPERLINK("CSG7.html#group20I7", "20I⁷"), =HYPERLINK("CSG17.html#group40B17", "40B¹⁷"), =HYPERLINK("CSG17.html#group50A17", "50A¹⁷"), =HYPERLINK("CSG22.html#group50C22", "50C²²"), =HYPERLINK("CSG18.html#group50B18", "50B¹⁸"), =HYPERLINK("CSG21.html#group40A21", "40A²¹"), =HYPERLINK("CSG19.html#group140G19", "140G¹⁹"), =HYPERLINK("CSG1.html#group20F1", "20F¹"), =HYPERLINK("CSG23.html#group30H23", "30H²³"), =HYPERLINK("CSG8.html#group30C8", "30C⁸"), =HYPERLINK("CSG19.html#group20B19", "20B¹⁹"), =HYPERLINK("CSG5.html#group30Q5", "30Q⁵"), =HYPERLINK("CSG13.html#group30M13", "30M¹³"), =HYPERLINK("CSG2.html#group10E2", "10E²"), =HYPERLINK("CSG9.html#group100J9", "100J⁹"), =HYPERLINK("CSG19.html#group140D19", "140D¹⁹"), =HYPERLINK("CSG11.html#group60K11", "60K¹¹"), =HYPERLINK("CSG7.html#group20A7", "20A⁷"), =HYPERLINK("CSG4.html#group50E4", "50E⁴"), =HYPERLINK("CSG7.html#group20O7", "20O⁷"), =HYPERLINK("CSG15.html#group20C15", "20C¹⁵"), =HYPERLINK("CSG23.html#group30C23", "30C²³"), =HYPERLINK("CSG15.html#group40J15", "40J¹⁵"), =HYPERLINK("CSG21.html#group70E21", "70E²¹"), =HYPERLINK("CSG13.html#group40F13", "40F¹³"), =HYPERLINK("CSG15.html#group30E15", "30E¹⁵"), =HYPERLINK("CSG21.html#group60U21", "60U²¹")</f>
        <v/>
      </c>
    </row>
    <row r="74">
      <c r="A74" t="inlineStr">
        <is>
          <t>10E⁰</t>
        </is>
      </c>
      <c r="B74" t="inlineStr"/>
      <c r="C74" t="inlineStr">
        <is>
          <t>30</t>
        </is>
      </c>
      <c r="D74" t="inlineStr">
        <is>
          <t>1</t>
        </is>
      </c>
      <c r="E74" t="inlineStr">
        <is>
          <t>10</t>
        </is>
      </c>
      <c r="F74" t="inlineStr">
        <is>
          <t>0</t>
        </is>
      </c>
      <c r="G74" t="inlineStr">
        <is>
          <t>6</t>
        </is>
      </c>
      <c r="H74" t="inlineStr">
        <is>
          <t>10³</t>
        </is>
      </c>
      <c r="I74" t="n">
        <v>3</v>
      </c>
      <c r="J74" t="inlineStr">
        <is>
          <t>2¹, 4²</t>
        </is>
      </c>
      <c r="K74">
        <f>HYPERLINK("CSG0.html#group10A0", "10A⁰")</f>
        <v/>
      </c>
      <c r="L74">
        <f>HYPERLINK("CSG3.html#group10D3", "10D³"), =HYPERLINK("CSG4.html#group10A4", "10A⁴"), =HYPERLINK("CSG4.html#group30G4", "30G⁴"), =HYPERLINK("CSG6.html#group20A6", "20A⁶"), =HYPERLINK("CSG6.html#group20C6", "20C⁶"), =HYPERLINK("CSG6.html#group30E6", "30E⁶"), =HYPERLINK("CSG7.html#group30D7", "30D⁷"), =HYPERLINK("CSG14.html#group70F14", "70F¹⁴"), =HYPERLINK("CSG15.html#group70B15", "70B¹⁵"), =HYPERLINK("CSG23.html#group110A23", "110A²³")</f>
        <v/>
      </c>
      <c r="M74">
        <f>HYPERLINK("CSG0.html#group2A0", "2A⁰"), =HYPERLINK("CSG0.html#group1A0", "1A⁰"), =HYPERLINK("CSG0.html#group5A0", "5A⁰"), =HYPERLINK("CSG0.html#group10A0", "10A⁰")</f>
        <v/>
      </c>
      <c r="N74">
        <f>HYPERLINK("CSG22.html#group30A22", "30A²²"), =HYPERLINK("CSG13.html#group10A13", "10A¹³"), =HYPERLINK("CSG22.html#group30D22", "30D²²"), =HYPERLINK("CSG6.html#group30E6", "30E⁶"), =HYPERLINK("CSG22.html#group20C22", "20C²²"), =HYPERLINK("CSG22.html#group30F22", "30F²²"), =HYPERLINK("CSG22.html#group40A22", "40A²²"), =HYPERLINK("CSG13.html#group30F13", "30F¹³"), =HYPERLINK("CSG10.html#group20A10", "20A¹⁰"), =HYPERLINK("CSG22.html#group30B22", "30B²²"), =HYPERLINK("CSG19.html#group20D19", "20D¹⁹"), =HYPERLINK("CSG22.html#group90L22", "90L²²"), =HYPERLINK("CSG22.html#group90C22", "90C²²"), =HYPERLINK("CSG10.html#group20D10", "20D¹⁰"), =HYPERLINK("CSG6.html#group20C6", "20C⁶"), =HYPERLINK("CSG11.html#group20A11", "20A¹¹"), =HYPERLINK("CSG23.html#group110A23", "110A²³"), =HYPERLINK("CSG22.html#group40E22", "40E²²"), =HYPERLINK("CSG22.html#group90J22", "90J²²"), =HYPERLINK("CSG6.html#group20A6", "20A⁶"), =HYPERLINK("CSG22.html#group20B22", "20B²²"), =HYPERLINK("CSG22.html#group40C22", "40C²²"), =HYPERLINK("CSG4.html#group10A4", "10A⁴"), =HYPERLINK("CSG15.html#group70B15", "70B¹⁵"), =HYPERLINK("CSG3.html#group10D3", "10D³"), =HYPERLINK("CSG7.html#group10A7", "10A⁷"), =HYPERLINK("CSG19.html#group30A19", "30A¹⁹"), =HYPERLINK("CSG19.html#group20C19", "20C¹⁹"), =HYPERLINK("CSG14.html#group70F14", "70F¹⁴"), =HYPERLINK("CSG22.html#group20A22", "20A²²"), =HYPERLINK("CSG22.html#group40L22", "40L²²"), =HYPERLINK("CSG7.html#group30D7", "30D⁷"), =HYPERLINK("CSG14.html#group40B14", "40B¹⁴"), =HYPERLINK("CSG4.html#group30G4", "30G⁴"), =HYPERLINK("CSG14.html#group60G14", "60G¹⁴"), =HYPERLINK("CSG14.html#group40A14", "40A¹⁴")</f>
        <v/>
      </c>
    </row>
    <row r="75">
      <c r="A75" t="inlineStr">
        <is>
          <t>10F⁰</t>
        </is>
      </c>
      <c r="B75" t="inlineStr">
        <is>
          <t>Γ₁(10)</t>
        </is>
      </c>
      <c r="C75" t="inlineStr">
        <is>
          <t>36</t>
        </is>
      </c>
      <c r="D75" t="inlineStr">
        <is>
          <t>1</t>
        </is>
      </c>
      <c r="E75" t="inlineStr">
        <is>
          <t>18</t>
        </is>
      </c>
      <c r="F75" t="inlineStr">
        <is>
          <t>0</t>
        </is>
      </c>
      <c r="G75" t="inlineStr">
        <is>
          <t>0</t>
        </is>
      </c>
      <c r="H75" t="inlineStr">
        <is>
          <t>1², 2², 5², 10²</t>
        </is>
      </c>
      <c r="I75" t="n">
        <v>8</v>
      </c>
      <c r="J75" t="inlineStr">
        <is>
          <t>1⁶, 4³</t>
        </is>
      </c>
      <c r="K75">
        <f>HYPERLINK("CSG0.html#group5D0", "5D⁰"), =HYPERLINK("CSG0.html#group10C0", "10C⁰")</f>
        <v/>
      </c>
      <c r="L75">
        <f>HYPERLINK("CSG1.html#group10K1", "10K¹"), =HYPERLINK("CSG1.html#group20H1", "20H¹"), =HYPERLINK("CSG3.html#group20G3", "20G³"), =HYPERLINK("CSG4.html#group10B4", "10B⁴"), =HYPERLINK("CSG4.html#group50F4", "50F⁴"), =HYPERLINK("CSG5.html#group30S5", "30S⁵"), =HYPERLINK("CSG6.html#group30C6", "30C⁶"), =HYPERLINK("CSG12.html#group50A12", "50A¹²"), =HYPERLINK("CSG12.html#group50B12", "50B¹²"), =HYPERLINK("CSG12.html#group50C12", "50C¹²"), =HYPERLINK("CSG12.html#group50D12", "50D¹²"), =HYPERLINK("CSG17.html#group70J17", "70J¹⁷"), =HYPERLINK("CSG18.html#group70F18", "70F¹⁸")</f>
        <v/>
      </c>
      <c r="M75">
        <f>HYPERLINK("CSG0.html#group5B0", "5B⁰"), =HYPERLINK("CSG0.html#group10C0", "10C⁰"), =HYPERLINK("CSG0.html#group5D0", "5D⁰"), =HYPERLINK("CSG0.html#group2B0", "2B⁰"), =HYPERLINK("CSG0.html#group1A0", "1A⁰")</f>
        <v/>
      </c>
      <c r="N75">
        <f>HYPERLINK("CSG13.html#group80G13", "80G¹³"), =HYPERLINK("CSG19.html#group20A19", "20A¹⁹"), =HYPERLINK("CSG13.html#group40R13", "40R¹³"), =HYPERLINK("CSG21.html#group80F21", "80F²¹"), =HYPERLINK("CSG17.html#group70J17", "70J¹⁷"), =HYPERLINK("CSG5.html#group20I5", "20I⁵"), =HYPERLINK("CSG13.html#group40K13", "40K¹³"), =HYPERLINK("CSG6.html#group30C6", "30C⁶"), =HYPERLINK("CSG21.html#group80AA21", "80AA²¹"), =HYPERLINK("CSG1.html#group20H1", "20H¹"), =HYPERLINK("CSG11.html#group30H11", "30H¹¹"), =HYPERLINK("CSG13.html#group20F13", "20F¹³"), =HYPERLINK("CSG15.html#group60A15", "60A¹⁵"), =HYPERLINK("CSG21.html#group80A21", "80A²¹"), =HYPERLINK("CSG5.html#group40M5", "40M⁵"), =HYPERLINK("CSG3.html#group20R3", "20R³"), =HYPERLINK("CSG12.html#group50B12", "50B¹²"), =HYPERLINK("CSG13.html#group50E13", "50E¹³"), =HYPERLINK("CSG18.html#group70F18", "70F¹⁸"), =HYPERLINK("CSG13.html#group60AJ13", "60AJ¹³"), =HYPERLINK("CSG19.html#group80O19", "80O¹⁹"), =HYPERLINK("CSG21.html#group90O21", "90O²¹"), =HYPERLINK("CSG4.html#group50F4", "50F⁴"), =HYPERLINK("CSG13.html#group100J13", "100J¹³"), =HYPERLINK("CSG9.html#group40H9", "40H⁹"), =HYPERLINK("CSG9.html#group40W9", "40W⁹"), =HYPERLINK("CSG3.html#group20G3", "20G³"), =HYPERLINK("CSG13.html#group30P13", "30P¹³"), =HYPERLINK("CSG17.html#group60O17", "60O¹⁷"), =HYPERLINK("CSG13.html#group60N13", "60N¹³"), =HYPERLINK("CSG3.html#group20S3", "20S³"), =HYPERLINK("CSG13.html#group40O13", "40O¹³"), =HYPERLINK("CSG7.html#group40K7", "40K⁷"), =HYPERLINK("CSG7.html#group20J7", "20J⁷"), =HYPERLINK("CSG17.html#group60Q17", "60Q¹⁷"), =HYPERLINK("CSG13.html#group80E13", "80E¹³"), =HYPERLINK("CSG1.html#group10K1", "10K¹"), =HYPERLINK("CSG17.html#group80U17", "80U¹⁷"), =HYPERLINK("CSG9.html#group30S9", "30S⁹"), =HYPERLINK("CSG13.html#group10A13", "10A¹³"), =HYPERLINK("CSG17.html#group40AB17", "40AB¹⁷"), =HYPERLINK("CSG21.html#group80J21", "80J²¹"), =HYPERLINK("CSG13.html#group20E13", "20E¹³"), =HYPERLINK("CSG21.html#group80Z21", "80Z²¹"), =HYPERLINK("CSG13.html#group40P13", "40P¹³"), =HYPERLINK("CSG17.html#group40Y17", "40Y¹⁷"), =HYPERLINK("CSG13.html#group30L13", "30L¹³"), =HYPERLINK("CSG13.html#group40L13", "40L¹³"), =HYPERLINK("CSG7.html#group40N7", "40N⁷"), =HYPERLINK("CSG13.html#group60AI13", "60AI¹³"), =HYPERLINK("CSG17.html#group40T17", "40T¹⁷"), =HYPERLINK("CSG15.html#group60J15", "60J¹⁵"), =HYPERLINK("CSG13.html#group60S13", "60S¹³"), =HYPERLINK("CSG17.html#group80V17", "80V¹⁷"), =HYPERLINK("CSG15.html#group40AC15", "40AC¹⁵"), =HYPERLINK("CSG5.html#group30S5", "30S⁵"), =HYPERLINK("CSG4.html#group10B4", "10B⁴"), =HYPERLINK("CSG21.html#group30G21", "30G²¹"), =HYPERLINK("CSG12.html#group50D12", "50D¹²"), =HYPERLINK("CSG13.html#group40Q13", "40Q¹³"), =HYPERLINK("CSG13.html#group30H13", "30H¹³"), =HYPERLINK("CSG19.html#group100N19", "100N¹⁹"), =HYPERLINK("CSG21.html#group80N21", "80N²¹"), =HYPERLINK("CSG7.html#group20M7", "20M⁷"), =HYPERLINK("CSG21.html#group80B21", "80B²¹"), =HYPERLINK("CSG17.html#group40AA17", "40AA¹⁷"), =HYPERLINK("CSG17.html#group40AF17", "40AF¹⁷"), =HYPERLINK("CSG12.html#group50C12", "50C¹²"), =HYPERLINK("CSG3.html#group40J3", "40J³"), =HYPERLINK("CSG19.html#group40H19", "40H¹⁹"), =HYPERLINK("CSG21.html#group80H21", "80H²¹"), =HYPERLINK("CSG13.html#group40J13", "40J¹³"), =HYPERLINK("CSG13.html#group30R13", "30R¹³"), =HYPERLINK("CSG13.html#group20G13", "20G¹³"), =HYPERLINK("CSG12.html#group50A12", "50A¹²"), =HYPERLINK("CSG13.html#group80F13", "80F¹³"), =HYPERLINK("CSG13.html#group80D13", "80D¹³"), =HYPERLINK("CSG17.html#group40AG17", "40AG¹⁷"), =HYPERLINK("CSG15.html#group80U15", "80U¹⁵"), =HYPERLINK("CSG9.html#group20F9", "20F⁹"), =HYPERLINK("CSG24.html#group90A24", "90A²⁴"), =HYPERLINK("CSG9.html#group40G9", "40G⁹")</f>
        <v/>
      </c>
    </row>
    <row r="76">
      <c r="A76" t="inlineStr">
        <is>
          <t>10G⁰</t>
        </is>
      </c>
      <c r="B76" t="inlineStr"/>
      <c r="C76" t="inlineStr">
        <is>
          <t>36</t>
        </is>
      </c>
      <c r="D76" t="inlineStr">
        <is>
          <t>1</t>
        </is>
      </c>
      <c r="E76" t="inlineStr">
        <is>
          <t>18</t>
        </is>
      </c>
      <c r="F76" t="inlineStr">
        <is>
          <t>4</t>
        </is>
      </c>
      <c r="G76" t="inlineStr">
        <is>
          <t>0</t>
        </is>
      </c>
      <c r="H76" t="inlineStr">
        <is>
          <t>2³, 10³</t>
        </is>
      </c>
      <c r="I76" t="n">
        <v>6</v>
      </c>
      <c r="J76" t="inlineStr">
        <is>
          <t>1⁶, 4³</t>
        </is>
      </c>
      <c r="K76">
        <f>HYPERLINK("CSG0.html#group10B0", "10B⁰"), =HYPERLINK("CSG0.html#group10C0", "10C⁰")</f>
        <v/>
      </c>
      <c r="L76">
        <f>HYPERLINK("CSG1.html#group10K1", "10K¹"), =HYPERLINK("CSG1.html#group20I1", "20I¹"), =HYPERLINK("CSG1.html#group20J1", "20J¹"), =HYPERLINK("CSG3.html#group20H3", "20H³"), =HYPERLINK("CSG3.html#group20M3", "20M³"), =HYPERLINK("CSG4.html#group30H4", "30H⁴"), =HYPERLINK("CSG6.html#group10A6", "10A⁶"), =HYPERLINK("CSG6.html#group50E6", "50E⁶"), =HYPERLINK("CSG7.html#group30S7", "30S⁷"), =HYPERLINK("CSG12.html#group50G12", "50G¹²"), =HYPERLINK("CSG12.html#group50F12", "50F¹²"), =HYPERLINK("CSG12.html#group50H12", "50H¹²"), =HYPERLINK("CSG12.html#group50E12", "50E¹²"), =HYPERLINK("CSG16.html#group70H16", "70H¹⁶"), =HYPERLINK("CSG19.html#group70I19", "70I¹⁹")</f>
        <v/>
      </c>
      <c r="M76">
        <f>HYPERLINK("CSG0.html#group5B0", "5B⁰"), =HYPERLINK("CSG0.html#group10C0", "10C⁰"), =HYPERLINK("CSG0.html#group2B0", "2B⁰"), =HYPERLINK("CSG0.html#group1A0", "1A⁰"), =HYPERLINK("CSG0.html#group10B0", "10B⁰")</f>
        <v/>
      </c>
      <c r="N76">
        <f>HYPERLINK("CSG17.html#group20B17", "20B¹⁷"), =HYPERLINK("CSG13.html#group40M13", "40M¹³"), =HYPERLINK("CSG17.html#group80AN17", "80AN¹⁷"), =HYPERLINK("CSG17.html#group80AA17", "80AA¹⁷"), =HYPERLINK("CSG19.html#group100O19", "100O¹⁹"), =HYPERLINK("CSG13.html#group40R13", "40R¹³"), =HYPERLINK("CSG5.html#group20J5", "20J⁵"), =HYPERLINK("CSG5.html#group20I5", "20I⁵"), =HYPERLINK("CSG17.html#group80AM17", "80AM¹⁷"), =HYPERLINK("CSG13.html#group40K13", "40K¹³"), =HYPERLINK("CSG11.html#group20E11", "20E¹¹"), =HYPERLINK("CSG7.html#group30S7", "30S⁷"), =HYPERLINK("CSG3.html#group20H3", "20H³"), =HYPERLINK("CSG21.html#group120O21", "120O²¹"), =HYPERLINK("CSG13.html#group20F13", "20F¹³"), =HYPERLINK("CSG3.html#group20T3", "20T³"), =HYPERLINK("CSG15.html#group100D15", "100D¹⁵"), =HYPERLINK("CSG11.html#group60T11", "60T¹¹"), =HYPERLINK("CSG17.html#group80X17", "80X¹⁷"), =HYPERLINK("CSG15.html#group40Z15", "40Z¹⁵"), =HYPERLINK("CSG5.html#group20K5", "20K⁵"), =HYPERLINK("CSG7.html#group20N7", "20N⁷"), =HYPERLINK("CSG6.html#group50E6", "50E⁶"), =HYPERLINK("CSG3.html#group20R3", "20R³"), =HYPERLINK("CSG9.html#group60M9", "60M⁹"), =HYPERLINK("CSG13.html#group80I13", "80I¹³"), =HYPERLINK("CSG13.html#group50E13", "50E¹³"), =HYPERLINK("CSG13.html#group60AG13", "60AG¹³"), =HYPERLINK("CSG23.html#group60S23", "60S²³"), =HYPERLINK("CSG5.html#group40L5", "40L⁵"), =HYPERLINK("CSG13.html#group40S13", "40S¹³"), =HYPERLINK("CSG6.html#group10A6", "10A⁶"), =HYPERLINK("CSG21.html#group60X21", "60X²¹"), =HYPERLINK("CSG3.html#group20M3", "20M³"), =HYPERLINK("CSG12.html#group50E12", "50E¹²"), =HYPERLINK("CSG13.html#group40U13", "40U¹³"), =HYPERLINK("CSG11.html#group40K11", "40K¹¹"), =HYPERLINK("CSG20.html#group90F20", "90F²⁰"), =HYPERLINK("CSG17.html#group40Z17", "40Z¹⁷"), =HYPERLINK("CSG13.html#group30P13", "30P¹³"), =HYPERLINK("CSG15.html#group40AA15", "40AA¹⁵"), =HYPERLINK("CSG17.html#group80AT17", "80AT¹⁷"), =HYPERLINK("CSG21.html#group20A21", "20A²¹"), =HYPERLINK("CSG17.html#group80Y17", "80Y¹⁷"), =HYPERLINK("CSG17.html#group40AC17", "40AC¹⁷"), =HYPERLINK("CSG21.html#group80U21", "80U²¹"), =HYPERLINK("CSG13.html#group40W13", "40W¹³"), =HYPERLINK("CSG12.html#group50G12", "50G¹²"), =HYPERLINK("CSG21.html#group80E21", "80E²¹"), =HYPERLINK("CSG7.html#group20J7", "20J⁷"), =HYPERLINK("CSG21.html#group80Y21", "80Y²¹"), =HYPERLINK("CSG17.html#group80AF17", "80AF¹⁷"), =HYPERLINK("CSG4.html#group30H4", "30H⁴"), =HYPERLINK("CSG1.html#group10K1", "10K¹"), =HYPERLINK("CSG5.html#group40N5", "40N⁵"), =HYPERLINK("CSG15.html#group40AH15", "40AH¹⁵"), =HYPERLINK("CSG17.html#group40AN17", "40AN¹⁷"), =HYPERLINK("CSG17.html#group40AI17", "40AI¹⁷"), =HYPERLINK("CSG19.html#group60O19", "60O¹⁹"), =HYPERLINK("CSG11.html#group30J11", "30J¹¹"), =HYPERLINK("CSG13.html#group10A13", "10A¹³"), =HYPERLINK("CSG15.html#group60AF15", "60AF¹⁵"), =HYPERLINK("CSG7.html#group40T7", "40T⁷"), =HYPERLINK("CSG13.html#group20E13", "20E¹³"), =HYPERLINK("CSG17.html#group40AS17", "40AS¹⁷"), =HYPERLINK("CSG9.html#group30R9", "30R⁹"), =HYPERLINK("CSG17.html#group40Y17", "40Y¹⁷"), =HYPERLINK("CSG1.html#group20J1", "20J¹"), =HYPERLINK("CSG23.html#group60N23", "60N²³"), =HYPERLINK("CSG13.html#group40V13", "40V¹³"), =HYPERLINK("CSG17.html#group40T17", "40T¹⁷"), =HYPERLINK("CSG23.html#group60O23", "60O²³"), =HYPERLINK("CSG15.html#group60B15", "60B¹⁵"), =HYPERLINK("CSG13.html#group80H13", "80H¹³"), =HYPERLINK("CSG11.html#group60P11", "60P¹¹"), =HYPERLINK("CSG17.html#group100E17", "100E¹⁷"), =HYPERLINK("CSG19.html#group70I19", "70I¹⁹"), =HYPERLINK("CSG17.html#group60R17", "60R¹⁷"), =HYPERLINK("CSG13.html#group40Q13", "40Q¹³"), =HYPERLINK("CSG13.html#group30H13", "30H¹³"), =HYPERLINK("CSG13.html#group40T13", "40T¹³"), =HYPERLINK("CSG15.html#group40AG15", "40AG¹⁵"), =HYPERLINK("CSG17.html#group80BC17", "80BC¹⁷"), =HYPERLINK("CSG13.html#group40N13", "40N¹³"), =HYPERLINK("CSG13.html#group80C13", "80C¹³"), =HYPERLINK("CSG13.html#group60AB13", "60AB¹³"), =HYPERLINK("CSG17.html#group40AQ17", "40AQ¹⁷"), =HYPERLINK("CSG17.html#group80AS17", "80AS¹⁷"), =HYPERLINK("CSG23.html#group60R23", "60R²³"), =HYPERLINK("CSG21.html#group30H21", "30H²¹"), =HYPERLINK("CSG7.html#group40O7", "40O⁷"), =HYPERLINK("CSG5.html#group40O5", "40O⁵"), =HYPERLINK("CSG9.html#group40F9", "40F⁹"), =HYPERLINK("CSG16.html#group70H16", "70H¹⁶"), =HYPERLINK("CSG15.html#group20I15", "20I¹⁵"), =HYPERLINK("CSG9.html#group40L9", "40L⁹"), =HYPERLINK("CSG13.html#group40J13", "40J¹³"), =HYPERLINK("CSG19.html#group20B19", "20B¹⁹"), =HYPERLINK("CSG17.html#group80BE17", "80BE¹⁷"), =HYPERLINK("CSG12.html#group50F12", "50F¹²"), =HYPERLINK("CSG1.html#group20I1", "20I¹"), =HYPERLINK("CSG23.html#group60P23", "60P²³"), =HYPERLINK("CSG12.html#group50H12", "50H¹²"), =HYPERLINK("CSG11.html#group60V11", "60V¹¹"), =HYPERLINK("CSG19.html#group80T19", "80T¹⁹"), =HYPERLINK("CSG21.html#group100C21", "100C²¹"), =HYPERLINK("CSG17.html#group60P17", "60P¹⁷"), =HYPERLINK("CSG9.html#group20F9", "20F⁹"), =HYPERLINK("CSG15.html#group80V15", "80V¹⁵"), =HYPERLINK("CSG13.html#group60V13", "60V¹³")</f>
        <v/>
      </c>
    </row>
    <row r="77">
      <c r="A77" t="inlineStr">
        <is>
          <t>11A⁰</t>
        </is>
      </c>
      <c r="B77" t="inlineStr"/>
      <c r="C77" t="inlineStr">
        <is>
          <t>11</t>
        </is>
      </c>
      <c r="D77" t="inlineStr">
        <is>
          <t>2</t>
        </is>
      </c>
      <c r="E77" t="inlineStr">
        <is>
          <t>11</t>
        </is>
      </c>
      <c r="F77" t="inlineStr">
        <is>
          <t>3</t>
        </is>
      </c>
      <c r="G77" t="inlineStr">
        <is>
          <t>2</t>
        </is>
      </c>
      <c r="H77" t="inlineStr">
        <is>
          <t>11¹</t>
        </is>
      </c>
      <c r="I77" t="n">
        <v>1</v>
      </c>
      <c r="J77" t="inlineStr">
        <is>
          <t>2¹, 10²</t>
        </is>
      </c>
      <c r="K77">
        <f>HYPERLINK("CSG0.html#group1A0", "1A⁰")</f>
        <v/>
      </c>
      <c r="L77">
        <f>HYPERLINK("CSG1.html#group11B1", "11B¹"), =HYPERLINK("CSG1.html#group22A1", "22A¹"), =HYPERLINK("CSG1.html#group33A1", "33A¹"), =HYPERLINK("CSG2.html#group11A2", "11A²"), =HYPERLINK("CSG2.html#group22B2", "22B²"), =HYPERLINK("CSG2.html#group44A2", "44A²"), =HYPERLINK("CSG3.html#group11A3", "11A³"), =HYPERLINK("CSG3.html#group33B3", "33B³"), =HYPERLINK("CSG3.html#group55A3", "55A³"), =HYPERLINK("CSG4.html#group55A4", "55A⁴"), =HYPERLINK("CSG4.html#group77A4", "77A⁴"), =HYPERLINK("CSG4.html#group77B4", "77B⁴"), =HYPERLINK("CSG6.html#group77A6", "77A⁶"), =HYPERLINK("CSG7.html#group55A7", "55A⁷"), =HYPERLINK("CSG10.html#group143A10", "143A¹⁰"), =HYPERLINK("CSG15.html#group187A15", "187A¹⁵"), =HYPERLINK("CSG17.html#group209A17", "209A¹⁷"), =HYPERLINK("CSG20.html#group99A20", "99A²⁰"), =HYPERLINK("CSG22.html#group253A22", "253A²²")</f>
        <v/>
      </c>
      <c r="M77">
        <f>HYPERLINK("CSG0.html#group1A0", "1A⁰")</f>
        <v/>
      </c>
      <c r="N77">
        <f>HYPERLINK("CSG10.html#group33C10", "33C¹⁰"), =HYPERLINK("CSG20.html#group132A20", "132A²⁰"), =HYPERLINK("CSG20.html#group66A20", "66A²⁰"), =HYPERLINK("CSG22.html#group198B22", "198B²²"), =HYPERLINK("CSG2.html#group44A2", "44A²"), =HYPERLINK("CSG18.html#group264A18", "264A¹⁸"), =HYPERLINK("CSG21.html#group154A21", "154A²¹"), =HYPERLINK("CSG21.html#group308B21", "308B²¹"), =HYPERLINK("CSG16.html#group176B16", "176B¹⁶"), =HYPERLINK("CSG21.html#group88B21", "88B²¹"), =HYPERLINK("CSG5.html#group99A5", "99A⁵"), =HYPERLINK("CSG21.html#group88A21", "88A²¹"), =HYPERLINK("CSG11.html#group176A11", "176A¹¹"), =HYPERLINK("CSG15.html#group187A15", "187A¹⁵"), =HYPERLINK("CSG4.html#group77B4", "77B⁴"), =HYPERLINK("CSG24.html#group88A24", "88A²⁴"), =HYPERLINK("CSG24.html#group176A24", "176A²⁴"), =HYPERLINK("CSG14.html#group110B14", "110B¹⁴"), =HYPERLINK("CSG2.html#group11A2", "11A²"), =HYPERLINK("CSG9.html#group88A9", "88A⁹"), =HYPERLINK("CSG23.html#group165A23", "165A²³"), =HYPERLINK("CSG6.html#group44A6", "44A⁶"), =HYPERLINK("CSG17.html#group44A17", "44A¹⁷"), =HYPERLINK("CSG20.html#group88B20", "88B²⁰"), =HYPERLINK("CSG24.html#group66B24", "66B²⁴"), =HYPERLINK("CSG12.html#group154B12", "154B¹²"), =HYPERLINK("CSG23.html#group66A23", "66A²³"), =HYPERLINK("CSG21.html#group176A21", "176A²¹"), =HYPERLINK("CSG24.html#group330C24", "330C²⁴"), =HYPERLINK("CSG24.html#group264C24", "264C²⁴"), =HYPERLINK("CSG20.html#group176C20", "176C²⁰"), =HYPERLINK("CSG1.html#group33A1", "33A¹"), =HYPERLINK("CSG22.html#group253A22", "253A²²"), =HYPERLINK("CSG8.html#group33B8", "33B⁸"), =HYPERLINK("CSG21.html#group44B21", "44B²¹"), =HYPERLINK("CSG24.html#group66A24", "66A²⁴"), =HYPERLINK("CSG24.html#group198A24", "198A²⁴"), =HYPERLINK("CSG10.html#group143A10", "143A¹⁰"), =HYPERLINK("CSG14.html#group132A14", "132A¹⁴"), =HYPERLINK("CSG4.html#group55A4", "55A⁴"), =HYPERLINK("CSG18.html#group88B18", "88B¹⁸"), =HYPERLINK("CSG17.html#group44C17", "44C¹⁷"), =HYPERLINK("CSG19.html#group88A19", "88A¹⁹"), =HYPERLINK("CSG17.html#group154B17", "154B¹⁷"), =HYPERLINK("CSG20.html#group44A20", "44A²⁰"), =HYPERLINK("CSG17.html#group22A17", "22A¹⁷"), =HYPERLINK("CSG21.html#group132A21", "132A²¹"), =HYPERLINK("CSG15.html#group77A15", "77A¹⁵"), =HYPERLINK("CSG12.html#group165B12", "165B¹²"), =HYPERLINK("CSG11.html#group198B11", "198B¹¹"), =HYPERLINK("CSG6.html#group66A6", "66A⁶"), =HYPERLINK("CSG13.html#group231B13", "231B¹³"), =HYPERLINK("CSG7.html#group55A7", "55A⁷"), =HYPERLINK("CSG22.html#group66A22", "66A²²"), =HYPERLINK("CSG16.html#group132D16", "132D¹⁶"), =HYPERLINK("CSG16.html#group132A16", "132A¹⁶"), =HYPERLINK("CSG3.html#group33B3", "33B³"), =HYPERLINK("CSG8.html#group66B8", "66B⁸"), =HYPERLINK("CSG11.html#group198A11", "198A¹¹"), =HYPERLINK("CSG6.html#group66E6", "66E⁶"), =HYPERLINK("CSG12.html#group132F12", "132F¹²"), =HYPERLINK("CSG22.html#group22B22", "22B²²"), =HYPERLINK("CSG22.html#group66C22", "66C²²"), =HYPERLINK("CSG4.html#group33A4", "33A⁴"), =HYPERLINK("CSG19.html#group132B19", "132B¹⁹"), =HYPERLINK("CSG3.html#group11A3", "11A³"), =HYPERLINK("CSG23.html#group154A23", "154A²³"), =HYPERLINK("CSG11.html#group66A11", "66A¹¹"), =HYPERLINK("CSG5.html#group11A5", "11A⁵"), =HYPERLINK("CSG20.html#group231B20", "231B²⁰"), =HYPERLINK("CSG23.html#group110A23", "110A²³"), =HYPERLINK("CSG5.html#group88B5", "88B⁵"), =HYPERLINK("CSG22.html#group55A22", "55A²²"), =HYPERLINK("CSG8.html#group33A8", "33A⁸"), =HYPERLINK("CSG19.html#group176C19", "176C¹⁹"), =HYPERLINK("CSG22.html#group66E22", "66E²²"), =HYPERLINK("CSG19.html#group176B19", "176B¹⁹"), =HYPERLINK("CSG20.html#group88A20", "88A²⁰"), =HYPERLINK("CSG22.html#group44C22", "44C²²"), =HYPERLINK("CSG4.html#group44C4", "44C⁴"), =HYPERLINK("CSG18.html#group264D18", "264D¹⁸"), =HYPERLINK("CSG24.html#group330D24", "330D²⁴"), =HYPERLINK("CSG19.html#group99A19", "99A¹⁹"), =HYPERLINK("CSG16.html#group55A16", "55A¹⁶"), =HYPERLINK("CSG10.html#group88A10", "88A¹⁰"), =HYPERLINK("CSG10.html#group33B10", "33B¹⁰"), =HYPERLINK("CSG14.html#group44A14", "44A¹⁴"), =HYPERLINK("CSG17.html#group209A17", "209A¹⁷"), =HYPERLINK("CSG22.html#group66B22", "66B²²"), =HYPERLINK("CSG20.html#group198A20", "198A²⁰"), =HYPERLINK("CSG23.html#group286A23", "286A²³"), =HYPERLINK("CSG20.html#group176A20", "176A²⁰"), =HYPERLINK("CSG12.html#group99A12", "99A¹²"), =HYPERLINK("CSG24.html#group330B24", "330B²⁴"), =HYPERLINK("CSG13.html#group231A13", "231A¹³"), =HYPERLINK("CSG15.html#group132D15", "132D¹⁵"), =HYPERLINK("CSG12.html#group88A12", "88A¹²"), =HYPERLINK("CSG14.html#group198A14", "198A¹⁴"), =HYPERLINK("CSG24.html#group88B24", "88B²⁴"), =HYPERLINK("CSG22.html#group132A22", "132A²²"), =HYPERLINK("CSG6.html#group22B6", "22B⁶"), =HYPERLINK("CSG15.html#group99A15", "99A¹⁵"), =HYPERLINK("CSG19.html#group220B19", "220B¹⁹"), =HYPERLINK("CSG6.html#group77A6", "77A⁶"), =HYPERLINK("CSG18.html#group264C18", "264C¹⁸"), =HYPERLINK("CSG20.html#group88C20", "88C²⁰"), =HYPERLINK("CSG3.html#group55A3", "55A³"), =HYPERLINK("CSG20.html#group176B20", "176B²⁰"), =HYPERLINK("CSG19.html#group33A19", "33A¹⁹"), =HYPERLINK("CSG5.html#group22B5", "22B⁵"), =HYPERLINK("CSG11.html#group110A11", "110A¹¹"), =HYPERLINK("CSG4.html#group77A4", "77A⁴"), =HYPERLINK("CSG18.html#group55A18", "55A¹⁸"), =HYPERLINK("CSG9.html#group154A9", "154A⁹"), =HYPERLINK("CSG17.html#group198A17", "198A¹⁷"), =HYPERLINK("CSG17.html#group44B17", "44B¹⁷"), =HYPERLINK("CSG10.html#group165A10", "165A¹⁰"), =HYPERLINK("CSG21.html#group77A21", "77A²¹"), =HYPERLINK("CSG8.html#group88B8", "88B⁸"), =HYPERLINK("CSG22.html#group33B22", "33B²²"), =HYPERLINK("CSG7.html#group132A7", "132A⁷"), =HYPERLINK("CSG6.html#group11A6", "11A⁶"), =HYPERLINK("CSG13.html#group66B13", "66B¹³"), =HYPERLINK("CSG3.html#group66A3", "66A³"), =HYPERLINK("CSG5.html#group22A5", "22A⁵"), =HYPERLINK("CSG22.html#group44A22", "44A²²"), =HYPERLINK("CSG10.html#group99A10", "99A¹⁰"), =HYPERLINK("CSG21.html#group165A21", "165A²¹"), =HYPERLINK("CSG10.html#group33A10", "33A¹⁰"), =HYPERLINK("CSG20.html#group231A20", "231A²⁰"), =HYPERLINK("CSG5.html#group88A5", "88A⁵"), =HYPERLINK("CSG21.html#group22C21", "22C²¹"), =HYPERLINK("CSG21.html#group66A21", "66A²¹"), =HYPERLINK("CSG16.html#group220A16", "220A¹⁶"), =HYPERLINK("CSG21.html#group198E21", "198E²¹"), =HYPERLINK("CSG24.html#group275A24", "275A²⁴"), =HYPERLINK("CSG13.html#group110A13", "110A¹³"), =HYPERLINK("CSG11.html#group55A11", "55A¹¹"), =HYPERLINK("CSG24.html#group55B24", "55B²⁴"), =HYPERLINK("CSG14.html#group110C14", "110C¹⁴"), =HYPERLINK("CSG19.html#group66A19", "66A¹⁹"), =HYPERLINK("CSG23.html#group154B23", "154B²³"), =HYPERLINK("CSG18.html#group88A18", "88A¹⁸"), =HYPERLINK("CSG22.html#group176B22", "176B²²"), =HYPERLINK("CSG22.html#group231A22", "231A²²"), =HYPERLINK("CSG19.html#group176A19", "176A¹⁹"), =HYPERLINK("CSG11.html#group99A11", "99A¹¹"), =HYPERLINK("CSG22.html#group176A22", "176A²²"), =HYPERLINK("CSG12.html#group165A12", "165A¹²"), =HYPERLINK("CSG22.html#group33C22", "33C²²"), =HYPERLINK("CSG17.html#group154A17", "154A¹⁷"), =HYPERLINK("CSG22.html#group143A22", "143A²²"), =HYPERLINK("CSG11.html#group88A11", "88A¹¹"), =HYPERLINK("CSG19.html#group220A19", "220A¹⁹"), =HYPERLINK("CSG17.html#group110A17", "110A¹⁷"), =HYPERLINK("CSG14.html#group66A14", "66A¹⁴"), =HYPERLINK("CSG13.html#group22B13", "22B¹³"), =HYPERLINK("CSG19.html#group220C19", "220C¹⁹"), =HYPERLINK("CSG20.html#group132B20", "132B²⁰"), =HYPERLINK("CSG21.html#group22B21", "22B²¹"), =HYPERLINK("CSG17.html#group22D17", "22D¹⁷"), =HYPERLINK("CSG10.html#group44A10", "44A¹⁰"), =HYPERLINK("CSG17.html#group22B17", "22B¹⁷"), =HYPERLINK("CSG12.html#group154A12", "154A¹²"), =HYPERLINK("CSG1.html#group22A1", "22A¹"), =HYPERLINK("CSG10.html#group77A10", "77A¹⁰"), =HYPERLINK("CSG10.html#group165B10", "165B¹⁰"), =HYPERLINK("CSG10.html#group77B10", "77B¹⁰"), =HYPERLINK("CSG21.html#group110A21", "110A²¹"), =HYPERLINK("CSG8.html#group11A8", "11A⁸"), =HYPERLINK("CSG21.html#group198A21", "198A²¹"), =HYPERLINK("CSG9.html#group154B9", "154B⁹"), =HYPERLINK("CSG2.html#group22B2", "22B²"), =HYPERLINK("CSG10.html#group55A10", "55A¹⁰"), =HYPERLINK("CSG4.html#group66A4", "66A⁴"), =HYPERLINK("CSG10.html#group66A10", "66A¹⁰"), =HYPERLINK("CSG12.html#group154C12", "154C¹²"), =HYPERLINK("CSG20.html#group88D20", "88D²⁰"), =HYPERLINK("CSG13.html#group132A13", "132A¹³"), =HYPERLINK("CSG12.html#group11A12", "11A¹²"), =HYPERLINK("CSG1.html#group11B1", "11B¹"), =HYPERLINK("CSG22.html#group198A22", "198A²²"), =HYPERLINK("CSG9.html#group44A9", "44A⁹"), =HYPERLINK("CSG13.html#group33A13", "33A¹³"), =HYPERLINK("CSG18.html#group22B18", "22B¹⁸"), =HYPERLINK("CSG20.html#group286A20", "286A²⁰"), =HYPERLINK("CSG10.html#group22A10", "22A¹⁰"), =HYPERLINK("CSG16.html#group66A16", "66A¹⁶"), =HYPERLINK("CSG18.html#group264B18", "264B¹⁸"), =HYPERLINK("CSG14.html#group99A14", "99A¹⁴"), =HYPERLINK("CSG14.html#group198B14", "198B¹⁴"), =HYPERLINK("CSG8.html#group110A8", "110A⁸"), =HYPERLINK("CSG11.html#group176B11", "176B¹¹"), =HYPERLINK("CSG10.html#group22B10", "22B¹⁰"), =HYPERLINK("CSG24.html#group308A24", "308A²⁴"), =HYPERLINK("CSG9.html#group99B9", "99B⁹"), =HYPERLINK("CSG20.html#group77A20", "77A²⁰"), =HYPERLINK("CSG11.html#group88D11", "88D¹¹"), =HYPERLINK("CSG15.html#group99B15", "99B¹⁵"), =HYPERLINK("CSG7.html#group110A7", "110A⁷"), =HYPERLINK("CSG19.html#group198A19", "198A¹⁹"), =HYPERLINK("CSG24.html#group55A24", "55A²⁴"), =HYPERLINK("CSG5.html#group44A5", "44A⁵"), =HYPERLINK("CSG24.html#group330A24", "330A²⁴"), =HYPERLINK("CSG9.html#group22B9", "22B⁹"), =HYPERLINK("CSG20.html#group132C20", "132C²⁰"), =HYPERLINK("CSG22.html#group22A22", "22A²²"), =HYPERLINK("CSG24.html#group110A24", "110A²⁴"), =HYPERLINK("CSG12.html#group132E12", "132E¹²"), =HYPERLINK("CSG9.html#group22A9", "22A⁹"), =HYPERLINK("CSG19.html#group132A19", "132A¹⁹"), =HYPERLINK("CSG17.html#group33A17", "33A¹⁷"), =HYPERLINK("CSG17.html#group165B17", "165B¹⁷"), =HYPERLINK("CSG18.html#group198E18", "198E¹⁸"), =HYPERLINK("CSG6.html#group66F6", "66F⁶"), =HYPERLINK("CSG21.html#group308A21", "308A²¹"), =HYPERLINK("CSG20.html#group99A20", "99A²⁰")</f>
        <v/>
      </c>
    </row>
    <row r="78">
      <c r="A78" t="inlineStr">
        <is>
          <t>12A⁰</t>
        </is>
      </c>
      <c r="B78" t="inlineStr"/>
      <c r="C78" t="inlineStr">
        <is>
          <t>12</t>
        </is>
      </c>
      <c r="D78" t="inlineStr">
        <is>
          <t>1</t>
        </is>
      </c>
      <c r="E78" t="inlineStr">
        <is>
          <t>4</t>
        </is>
      </c>
      <c r="F78" t="inlineStr">
        <is>
          <t>6</t>
        </is>
      </c>
      <c r="G78" t="inlineStr">
        <is>
          <t>0</t>
        </is>
      </c>
      <c r="H78" t="inlineStr">
        <is>
          <t>12¹</t>
        </is>
      </c>
      <c r="I78" t="n">
        <v>1</v>
      </c>
      <c r="J78" t="inlineStr">
        <is>
          <t>2²</t>
        </is>
      </c>
      <c r="K78">
        <f>HYPERLINK("CSG0.html#group3A0", "3A⁰"), =HYPERLINK("CSG0.html#group4A0", "4A⁰")</f>
        <v/>
      </c>
      <c r="L78">
        <f>HYPERLINK("CSG0.html#group12F0", "12F⁰"), =HYPERLINK("CSG1.html#group12G1", "12G¹"), =HYPERLINK("CSG1.html#group12J1", "12J¹"), =HYPERLINK("CSG1.html#group24A1", "24A¹"), =HYPERLINK("CSG1.html#group24B1", "24B¹"), =HYPERLINK("CSG1.html#group24F1", "24F¹"), =HYPERLINK("CSG1.html#group36A1", "36A¹"), =HYPERLINK("CSG2.html#group12A2", "12A²"), =HYPERLINK("CSG3.html#group60B3", "60B³"), =HYPERLINK("CSG3.html#group84A3", "84A³"), =HYPERLINK("CSG4.html#group60A4", "60A⁴"), =HYPERLINK("CSG7.html#group60J7", "60J⁷"), =HYPERLINK("CSG7.html#group132A7", "132A⁷"), =HYPERLINK("CSG8.html#group84C8", "84C⁸"), =HYPERLINK("CSG11.html#group156A11", "156A¹¹"), =HYPERLINK("CSG12.html#group132D12", "132D¹²"), =HYPERLINK("CSG15.html#group204A15", "204A¹⁵"), =HYPERLINK("CSG20.html#group228C20", "228C²⁰"), =HYPERLINK("CSG24.html#group276D24", "276D²⁴")</f>
        <v/>
      </c>
      <c r="M78">
        <f>HYPERLINK("CSG0.html#group3A0", "3A⁰"), =HYPERLINK("CSG0.html#group1A0", "1A⁰"), =HYPERLINK("CSG0.html#group4A0", "4A⁰")</f>
        <v/>
      </c>
      <c r="N78">
        <f>HYPERLINK("CSG10.html#group24C10", "24C¹⁰"), =HYPERLINK("CSG11.html#group24L11", "24L¹¹"), =HYPERLINK("CSG10.html#group36H10", "36H¹⁰"), =HYPERLINK("CSG10.html#group144B10", "144B¹⁰"), =HYPERLINK("CSG19.html#group24M19", "24M¹⁹"), =HYPERLINK("CSG14.html#group72F14", "72F¹⁴"), =HYPERLINK("CSG15.html#group60AE15", "60AE¹⁵"), =HYPERLINK("CSG24.html#group264A24", "264A²⁴"), =HYPERLINK("CSG14.html#group84A14", "84A¹⁴"), =HYPERLINK("CSG15.html#group24L15", "24L¹⁵"), =HYPERLINK("CSG23.html#group168M23", "168M²³"), =HYPERLINK("CSG15.html#group48A15", "48A¹⁵"), =HYPERLINK("CSG20.html#group96B20", "96B²⁰"), =HYPERLINK("CSG16.html#group48D16", "48D¹⁶"), =HYPERLINK("CSG7.html#group24R7", "24R⁷"), =HYPERLINK("CSG21.html#group48AE21", "48AE²¹"), =HYPERLINK("CSG19.html#group48Z19", "48Z¹⁹"), =HYPERLINK("CSG19.html#group48AT19", "48AT¹⁹"), =HYPERLINK("CSG14.html#group72L14", "72L¹⁴"), =HYPERLINK("CSG21.html#group156A21", "156A²¹"), =HYPERLINK("CSG3.html#group12M3", "12M³"), =HYPERLINK("CSG23.html#group84E23", "84E²³"), =HYPERLINK("CSG17.html#group24AD17", "24AD¹⁷"), =HYPERLINK("CSG3.html#group48B3", "48B³"), =HYPERLINK("CSG18.html#group48O18", "48O¹⁸"), =HYPERLINK("CSG20.html#group120A20", "120A²⁰"), =HYPERLINK("CSG5.html#group48E5", "48E⁵"), =HYPERLINK("CSG21.html#group48AD21", "48AD²¹"), =HYPERLINK("CSG17.html#group48BW17", "48BW¹⁷"), =HYPERLINK("CSG17.html#group48AM17", "48AM¹⁷"), =HYPERLINK("CSG6.html#group48E6", "48E⁶"), =HYPERLINK("CSG16.html#group72L16", "72L¹⁶"), =HYPERLINK("CSG21.html#group48BW21", "48BW²¹"), =HYPERLINK("CSG19.html#group96M19", "96M¹⁹"), =HYPERLINK("CSG19.html#group48AZ19", "48AZ¹⁹"), =HYPERLINK("CSG23.html#group120E23", "120E²³"), =HYPERLINK("CSG7.html#group48J7", "48J⁷"), =HYPERLINK("CSG17.html#group48AQ17", "48AQ¹⁷"), =HYPERLINK("CSG21.html#group72P21", "72P²¹"), =HYPERLINK("CSG15.html#group36T15", "36T¹⁵"), =HYPERLINK("CSG19.html#group48AY19", "48AY¹⁹"), =HYPERLINK("CSG16.html#group48H16", "48H¹⁶"), =HYPERLINK("CSG23.html#group132G23", "132G²³"), =HYPERLINK("CSG18.html#group120F18", "120F¹⁸"), =HYPERLINK("CSG19.html#group24G19", "24G¹⁹"), =HYPERLINK("CSG18.html#group120B18", "120B¹⁸"), =HYPERLINK("CSG24.html#group168G24", "168G²⁴"), =HYPERLINK("CSG10.html#group24A10", "24A¹⁰"), =HYPERLINK("CSG20.html#group144H20", "144H²⁰"), =HYPERLINK("CSG21.html#group48CR21", "48CR²¹"), =HYPERLINK("CSG16.html#group132D16", "132D¹⁶"), =HYPERLINK("CSG15.html#group48U15", "48U¹⁵"), =HYPERLINK("CSG17.html#group24AA17", "24AA¹⁷"), =HYPERLINK("CSG13.html#group24V13", "24V¹³"), =HYPERLINK("CSG9.html#group36K9", "36K⁹"), =HYPERLINK("CSG21.html#group240A21", "240A²¹"), =HYPERLINK("CSG10.html#group72I10", "72I¹⁰"), =HYPERLINK("CSG19.html#group24B19", "24B¹⁹"), =HYPERLINK("CSG21.html#group48AF21", "48AF²¹"), =HYPERLINK("CSG13.html#group12A13", "12A¹³"), =HYPERLINK("CSG17.html#group48BR17", "48BR¹⁷"), =HYPERLINK("CSG19.html#group120N19", "120N¹⁹"), =HYPERLINK("CSG17.html#group24D17", "24D¹⁷"), =HYPERLINK("CSG13.html#group24X13", "24X¹³"), =HYPERLINK("CSG21.html#group48BV21", "48BV²¹"), =HYPERLINK("CSG12.html#group36F12", "36F¹²"), =HYPERLINK("CSG15.html#group48X15", "48X¹⁵"), =HYPERLINK("CSG17.html#group48BO17", "48BO¹⁷"), =HYPERLINK("CSG21.html#group120G21", "120G²¹"), =HYPERLINK("CSG9.html#group24AM9", "24AM⁹"), =HYPERLINK("CSG19.html#group48AD19", "48AD¹⁹"), =HYPERLINK("CSG11.html#group72G11", "72G¹¹"), =HYPERLINK("CSG18.html#group264D18", "264D¹⁸"), =HYPERLINK("CSG23.html#group120J23", "120J²³"), =HYPERLINK("CSG14.html#group72N14", "72N¹⁴"), =HYPERLINK("CSG1.html#group24B1", "24B¹"), =HYPERLINK("CSG13.html#group24A13", "24A¹³"), =HYPERLINK("CSG17.html#group24AK17", "24AK¹⁷"), =HYPERLINK("CSG23.html#group84C23", "84C²³"), =HYPERLINK("CSG22.html#group144I22", "144I²²"), =HYPERLINK("CSG17.html#group48BZ17", "48BZ¹⁷"), =HYPERLINK("CSG19.html#group96AD19", "96AD¹⁹"), =HYPERLINK("CSG12.html#group72F12", "72F¹²"), =HYPERLINK("CSG4.html#group60A4", "60A⁴"), =HYPERLINK("CSG22.html#group132A22", "132A²²"), =HYPERLINK("CSG20.html#group36B20", "36B²⁰"), =HYPERLINK("CSG19.html#group24L19", "24L¹⁹"), =HYPERLINK("CSG23.html#group96AD23", "96AD²³"), =HYPERLINK("CSG19.html#group72Q19", "72Q¹⁹"), =HYPERLINK("CSG21.html#group72O21", "72O²¹"), =HYPERLINK("CSG8.html#group48R8", "48R⁸"), =HYPERLINK("CSG20.html#group48G20", "48G²⁰"), =HYPERLINK("CSG22.html#group144E22", "144E²²"), =HYPERLINK("CSG10.html#group36T10", "36T¹⁰"), =HYPERLINK("CSG19.html#group72S19", "72S¹⁹"), =HYPERLINK("CSG19.html#group48S19", "48S¹⁹"), =HYPERLINK("CSG5.html#group24W5", "24W⁵"), =HYPERLINK("CSG9.html#group60I9", "60I⁹"), =HYPERLINK("CSG11.html#group72H11", "72H¹¹"), =HYPERLINK("CSG4.html#group72A4", "72A⁴"), =HYPERLINK("CSG6.html#group48F6", "48F⁶"), =HYPERLINK("CSG18.html#group48M18", "48M¹⁸"), =HYPERLINK("CSG7.html#group132A7", "132A⁷"), =HYPERLINK("CSG17.html#group96X17", "96X¹⁷"), =HYPERLINK("CSG21.html#group72M21", "72M²¹"), =HYPERLINK("CSG17.html#group48AE17", "48AE¹⁷"), =HYPERLINK("CSG21.html#group120H21", "120H²¹"), =HYPERLINK("CSG22.html#group144F22", "144F²²"), =HYPERLINK("CSG7.html#group24L7", "24L⁷"), =HYPERLINK("CSG10.html#group168D10", "168D¹⁰"), =HYPERLINK("CSG17.html#group96N17", "96N¹⁷"), =HYPERLINK("CSG17.html#group36C17", "36C¹⁷"), =HYPERLINK("CSG22.html#group168K22", "168K²²"), =HYPERLINK("CSG11.html#group48J11", "48J¹¹"), =HYPERLINK("CSG13.html#group60AH13", "60AH¹³"), =HYPERLINK("CSG23.html#group72A23", "72A²³"), =HYPERLINK("CSG21.html#group24K21", "24K²¹"), =HYPERLINK("CSG9.html#group24AN9", "24AN⁹"), =HYPERLINK("CSG20.html#group48E20", "48E²⁰"), =HYPERLINK("CSG9.html#group120B9", "120B⁹"), =HYPERLINK("CSG19.html#group24H19", "24H¹⁹"), =HYPERLINK("CSG14.html#group72M14", "72M¹⁴"), =HYPERLINK("CSG12.html#group132D12", "132D¹²"), =HYPERLINK("CSG9.html#group24R9", "24R⁹"), =HYPERLINK("CSG3.html#group24J3", "24J³"), =HYPERLINK("CSG16.html#group36D16", "36D¹⁶"), =HYPERLINK("CSG24.html#group336C24", "336C²⁴"), =HYPERLINK("CSG23.html#group36D23", "36D²³"), =HYPERLINK("CSG21.html#group84N21", "84N²¹"), =HYPERLINK("CSG22.html#group168M22", "168M²²"), =HYPERLINK("CSG15.html#group48T15", "48T¹⁵"), =HYPERLINK("CSG8.html#group24C8", "24C⁸"), =HYPERLINK("CSG18.html#group72A18", "72A¹⁸"), =HYPERLINK("CSG8.html#group84C8", "84C⁸"), =HYPERLINK("CSG17.html#group24R17", "24R¹⁷"), =HYPERLINK("CSG19.html#group120C19", "120C¹⁹"), =HYPERLINK("CSG23.html#group72E23", "72E²³"), =HYPERLINK("CSG5.html#group36M5", "36M⁵"), =HYPERLINK("CSG12.html#group36G12", "36G¹²"), =HYPERLINK("CSG19.html#group72P19", "72P¹⁹"), =HYPERLINK("CSG1.html#group12J1", "12J¹"), =HYPERLINK("CSG18.html#group48N18", "48N¹⁸"), =HYPERLINK("CSG17.html#group48AS17", "48AS¹⁷"), =HYPERLINK("CSG19.html#group36K19", "36K¹⁹"), =HYPERLINK("CSG7.html#group48O7", "48O⁷"), =HYPERLINK("CSG2.html#group24H2", "24H²"), =HYPERLINK("CSG4.html#group24O4", "24O⁴"), =HYPERLINK("CSG19.html#group60E19", "60E¹⁹"), =HYPERLINK("CSG17.html#group120E17", "120E¹⁷"), =HYPERLINK("CSG24.html#group336A24", "336A²⁴"), =HYPERLINK("CSG21.html#group48AQ21", "48AQ²¹"), =HYPERLINK("CSG4.html#group72C4", "72C⁴"), =HYPERLINK("CSG13.html#group24D13", "24D¹³"), =HYPERLINK("CSG17.html#group96D17", "96D¹⁷"), =HYPERLINK("CSG23.html#group72F23", "72F²³"), =HYPERLINK("CSG24.html#group144A24", "144A²⁴"), =HYPERLINK("CSG23.html#group144Q23", "144Q²³"), =HYPERLINK("CSG23.html#group144R23", "144R²³"), =HYPERLINK("CSG11.html#group12A11", "12A¹¹"), =HYPERLINK("CSG9.html#group24Q9", "24Q⁹"), =HYPERLINK("CSG18.html#group72D18", "72D¹⁸"), =HYPERLINK("CSG17.html#group96C17", "96C¹⁷"), =HYPERLINK("CSG21.html#group48BN21", "48BN²¹"), =HYPERLINK("CSG21.html#group60F21", "60F²¹"), =HYPERLINK("CSG21.html#group120N21", "120N²¹"), =HYPERLINK("CSG22.html#group168R22", "168R²²"), =HYPERLINK("CSG21.html#group120K21", "120K²¹"), =HYPERLINK("CSG23.html#group48F23", "48F²³"), =HYPERLINK("CSG9.html#group36G9", "36G⁹"), =HYPERLINK("CSG19.html#group48BL19", "48BL¹⁹"), =HYPERLINK("CSG7.html#group36J7", "36J⁷"), =HYPERLINK("CSG17.html#group60E17", "60E¹⁷"), =HYPERLINK("CSG21.html#group48AS21", "48AS²¹"), =HYPERLINK("CSG9.html#group72F9", "72F⁹"), =HYPERLINK("CSG13.html#group24B13", "24B¹³"), =HYPERLINK("CSG21.html#group72N21", "72N²¹"), =HYPERLINK("CSG19.html#group240B19", "240B¹⁹"), =HYPERLINK("CSG9.html#group120E9", "120E⁹"), =HYPERLINK("CSG5.html#group12D5", "12D⁵"), =HYPERLINK("CSG17.html#group48AL17", "48AL¹⁷"), =HYPERLINK("CSG8.html#group48U8", "48U⁸"), =HYPERLINK("CSG2.html#group24L2", "24L²"), =HYPERLINK("CSG23.html#group144T23", "144T²³"), =HYPERLINK("CSG21.html#group24M21", "24M²¹"), =HYPERLINK("CSG17.html#group96Y17", "96Y¹⁷"), =HYPERLINK("CSG17.html#group60U17", "60U¹⁷"), =HYPERLINK("CSG13.html#group48AB13", "48AB¹³"), =HYPERLINK("CSG20.html#group108B20", "108B²⁰"), =HYPERLINK("CSG19.html#group48AM19", "48AM¹⁹"), =HYPERLINK("CSG5.html#group36J5", "36J⁵"), =HYPERLINK("CSG21.html#group36B21", "36B²¹"), =HYPERLINK("CSG10.html#group72F10", "72F¹⁰"), =HYPERLINK("CSG17.html#group120J17", "120J¹⁷"), =HYPERLINK("CSG16.html#group48C16", "48C¹⁶"), =HYPERLINK("CSG6.html#group36A6", "36A⁶"), =HYPERLINK("CSG8.html#group24M8", "24M⁸"), =HYPERLINK("CSG21.html#group24L21", "24L²¹"), =HYPERLINK("CSG15.html#group48V15", "48V¹⁵"), =HYPERLINK("CSG4.html#group12A4", "12A⁴"), =HYPERLINK("CSG22.html#group144G22", "144G²²"), =HYPERLINK("CSG15.html#group96O15", "96O¹⁵"), =HYPERLINK("CSG7.html#group36K7", "36K⁷"), =HYPERLINK("CSG19.html#group240A19", "240A¹⁹"), =HYPERLINK("CSG17.html#group60V17", "60V¹⁷"), =HYPERLINK("CSG19.html#group120G19", "120G¹⁹"), =HYPERLINK("CSG11.html#group36E11", "36E¹¹"), =HYPERLINK("CSG21.html#group48V21", "48V²¹"), =HYPERLINK("CSG11.html#group60D11", "60D¹¹"), =HYPERLINK("CSG17.html#group96R17", "96R¹⁷"), =HYPERLINK("CSG24.html#group264B24", "264B²⁴"), =HYPERLINK("CSG9.html#group48K9", "48K⁹"), =HYPERLINK("CSG22.html#group144H22", "144H²²"), =HYPERLINK("CSG22.html#group84I22", "84I²²"), =HYPERLINK("CSG17.html#group48BL17", "48BL¹⁷"), =HYPERLINK("CSG19.html#group120Q19", "120Q¹⁹"), =HYPERLINK("CSG17.html#group24J17", "24J¹⁷"), =HYPERLINK("CSG8.html#group48H8", "48H⁸"), =HYPERLINK("CSG15.html#group48Y15", "48Y¹⁵"), =HYPERLINK("CSG24.html#group168D24", "168D²⁴"), =HYPERLINK("CSG9.html#group120D9", "120D⁹"), =HYPERLINK("CSG21.html#group72T21", "72T²¹"), =HYPERLINK("CSG16.html#group84B16", "84B¹⁶"), =HYPERLINK("CSG8.html#group48V8", "48V⁸"), =HYPERLINK("CSG15.html#group24O15", "24O¹⁵"), =HYPERLINK("CSG3.html#group84A3", "84A³"), =HYPERLINK("CSG17.html#group120L17", "120L¹⁷"), =HYPERLINK("CSG21.html#group48AX21", "48AX²¹"), =HYPERLINK("CSG9.html#group24C9", "24C⁹"), =HYPERLINK("CSG18.html#group48G18", "48G¹⁸"), =HYPERLINK("CSG21.html#group120J21", "120J²¹"), =HYPERLINK("CSG23.html#group132C23", "132C²³"), =HYPERLINK("CSG17.html#group72W17", "72W¹⁷"), =HYPERLINK("CSG15.html#group48W15", "48W¹⁵"), =HYPERLINK("CSG22.html#group144N22", "144N²²"), =HYPERLINK("CSG11.html#group36C11", "36C¹¹"), =HYPERLINK("CSG4.html#group24S4", "24S⁴"), =HYPERLINK("CSG17.html#group96B17", "96B¹⁷"), =HYPERLINK("CSG16.html#group24B16", "24B¹⁶"), =HYPERLINK("CSG7.html#group24X7", "24X⁷"), =HYPERLINK("CSG24.html#group168C24", "168C²⁴"), =HYPERLINK("CSG17.html#group120G17", "120G¹⁷"), =HYPERLINK("CSG18.html#group120C18", "120C¹⁸"), =HYPERLINK("CSG4.html#group72D4", "72D⁴"), =HYPERLINK("CSG20.html#group48F20", "48F²⁰"), =HYPERLINK("CSG2.html#group12A2", "12A²"), =HYPERLINK("CSG17.html#group24AH17", "24AH¹⁷"), =HYPERLINK("CSG12.html#group72B12", "72B¹²"), =HYPERLINK("CSG9.html#group84E9", "84E⁹"), =HYPERLINK("CSG13.html#group24C13", "24C¹³"), =HYPERLINK("CSG8.html#group72J8", "72J⁸"), =HYPERLINK("CSG19.html#group48G19", "48G¹⁹"), =HYPERLINK("CSG3.html#group12B3", "12B³"), =HYPERLINK("CSG4.html#group24A4", "24A⁴"), =HYPERLINK("CSG13.html#group60AK13", "60AK¹³"), =HYPERLINK("CSG17.html#group24N17", "24N¹⁷"), =HYPERLINK("CSG23.html#group168L23", "168L²³"), =HYPERLINK("CSG6.html#group24G6", "24G⁶"), =HYPERLINK("CSG10.html#group168E10", "168E¹⁰"), =HYPERLINK("CSG19.html#group48B19", "48B¹⁹"), =HYPERLINK("CSG19.html#group60C19", "60C¹⁹"), =HYPERLINK("CSG22.html#group144L22", "144L²²"), =HYPERLINK("CSG17.html#group72F17", "72F¹⁷"), =HYPERLINK("CSG15.html#group72M15", "72M¹⁵"), =HYPERLINK("CSG19.html#group48AE19", "48AE¹⁹"), =HYPERLINK("CSG7.html#group12C7", "12C⁷"), =HYPERLINK("CSG13.html#group36N13", "36N¹³"), =HYPERLINK("CSG11.html#group60E11", "60E¹¹"), =HYPERLINK("CSG17.html#group48BM17", "48BM¹⁷"), =HYPERLINK("CSG7.html#group48P7", "48P⁷"), =HYPERLINK("CSG6.html#group24F6", "24F⁶"), =HYPERLINK("CSG20.html#group48B20", "48B²⁰"), =HYPERLINK("CSG10.html#group72J10", "72J¹⁰"), =HYPERLINK("CSG19.html#group36P19", "36P¹⁹"), =HYPERLINK("CSG21.html#group144M21", "144M²¹"), =HYPERLINK("CSG24.html#group168F24", "168F²⁴"), =HYPERLINK("CSG23.html#group72G23", "72G²³"), =HYPERLINK("CSG21.html#group48AZ21", "48AZ²¹"), =HYPERLINK("CSG7.html#group24AE7", "24AE⁷"), =HYPERLINK("CSG9.html#group24Y9", "24Y⁹"), =HYPERLINK("CSG11.html#group36D11", "36D¹¹"), =HYPERLINK("CSG3.html#group24R3", "24R³"), =HYPERLINK("CSG21.html#group48F21", "48F²¹"), =HYPERLINK("CSG5.html#group24L5", "24L⁵"), =HYPERLINK("CSG7.html#group24K7", "24K⁷"), =HYPERLINK("CSG23.html#group48E23", "48E²³"), =HYPERLINK("CSG17.html#group48BN17", "48BN¹⁷"), =HYPERLINK("CSG19.html#group24A19", "24A¹⁹"), =HYPERLINK("CSG3.html#group24D3", "24D³"), =HYPERLINK("CSG20.html#group96A20", "96A²⁰"), =HYPERLINK("CSG17.html#group120M17", "120M¹⁷"), =HYPERLINK("CSG3.html#group36H3", "36H³"), =HYPERLINK("CSG11.html#group84D11", "84D¹¹"), =HYPERLINK("CSG6.html#group48G6", "48G⁶"), =HYPERLINK("CSG3.html#group12J3", "12J³"), =HYPERLINK("CSG17.html#group72S17", "72S¹⁷"), =HYPERLINK("CSG23.html#group96AC23", "96AC²³"), =HYPERLINK("CSG4.html#group24H4", "24H⁴"), =HYPERLINK("CSG2.html#group24K2", "24K²"), =HYPERLINK("CSG19.html#group48BA19", "48BA¹⁹"), =HYPERLINK("CSG16.html#group36A16", "36A¹⁶"), =HYPERLINK("CSG8.html#group24K8", "24K⁸"), =HYPERLINK("CSG18.html#group48J18", "48J¹⁸"), =HYPERLINK("CSG23.html#group72D23", "72D²³"), =HYPERLINK("CSG17.html#group120I17", "120I¹⁷"), =HYPERLINK("CSG20.html#group48D20", "48D²⁰"), =HYPERLINK("CSG22.html#group168Q22", "168Q²²"), =HYPERLINK("CSG19.html#group72V19", "72V¹⁹"), =HYPERLINK("CSG20.html#group144G20", "144G²⁰"), =HYPERLINK("CSG8.html#group48F8", "48F⁸"), =HYPERLINK("CSG11.html#group48O11", "48O¹¹"), =HYPERLINK("CSG12.html#group36H12", "36H¹²"), =HYPERLINK("CSG16.html#group24A16", "24A¹⁶"), =HYPERLINK("CSG10.html#group168B10", "168B¹⁰"), =HYPERLINK("CSG16.html#group48B16", "48B¹⁶"), =HYPERLINK("CSG19.html#group24F19", "24F¹⁹"), =HYPERLINK("CSG9.html#group12A9", "12A⁹"), =HYPERLINK("CSG23.html#group72H23", "72H²³"), =HYPERLINK("CSG21.html#group72Q21", "72Q²¹"), =HYPERLINK("CSG17.html#group36E17", "36E¹⁷"), =HYPERLINK("CSG15.html#group24B15", "24B¹⁵"), =HYPERLINK("CSG7.html#group12B7", "12B⁷"), =HYPERLINK("CSG21.html#group84O21", "84O²¹"), =HYPERLINK("CSG7.html#group24AB7", "24AB⁷"), =HYPERLINK("CSG19.html#group120R19", "120R¹⁹"), =HYPERLINK("CSG19.html#group48U19", "48U¹⁹"), =HYPERLINK("CSG4.html#group24T4", "24T⁴"), =HYPERLINK("CSG22.html#group96D22", "96D²²"), =HYPERLINK("CSG18.html#group48P18", "48P¹⁸"), =HYPERLINK("CSG23.html#group156E23", "156E²³"), =HYPERLINK("CSG9.html#group24H9", "24H⁹"), =HYPERLINK("CSG17.html#group24B17", "24B¹⁷"), =HYPERLINK("CSG13.html#group36I13", "36I¹³"), =HYPERLINK("CSG4.html#group72B4", "72B⁴"), =HYPERLINK("CSG8.html#group72H8", "72H⁸"), =HYPERLINK("CSG7.html#group24A7", "24A⁷"), =HYPERLINK("CSG15.html#group48S15", "48S¹⁵"), =HYPERLINK("CSG13.html#group72M13", "72M¹³"), =HYPERLINK("CSG10.html#group168H10", "168H¹⁰"), =HYPERLINK("CSG10.html#group84F10", "84F¹⁰"), =HYPERLINK("CSG17.html#group48BK17", "48BK¹⁷"), =HYPERLINK("CSG21.html#group48E21", "48E²¹"), =HYPERLINK("CSG17.html#group24AE17", "24AE¹⁷"), =HYPERLINK("CSG19.html#group48AB19", "48AB¹⁹"), =HYPERLINK("CSG19.html#group84L19", "84L¹⁹"), =HYPERLINK("CSG8.html#group48G8", "48G⁸"), =HYPERLINK("CSG15.html#group36Q15", "36Q¹⁵"), =HYPERLINK("CSG10.html#group48C10", "48C¹⁰"), =HYPERLINK("CSG15.html#group24M15", "24M¹⁵"), =HYPERLINK("CSG7.html#group24B7", "24B⁷"), =HYPERLINK("CSG9.html#group120A9", "120A⁹"), =HYPERLINK("CSG18.html#group264A18", "264A¹⁸"), =HYPERLINK("CSG24.html#group168H24", "168H²⁴"), =HYPERLINK("CSG21.html#group60N21", "60N²¹"), =HYPERLINK("CSG21.html#group48AY21", "48AY²¹"), =HYPERLINK("CSG21.html#group240C21", "240C²¹"), =HYPERLINK("CSG13.html#group24E13", "24E¹³"), =HYPERLINK("CSG12.html#group36D12", "36D¹²"), =HYPERLINK("CSG10.html#group48D10", "48D¹⁰"), =HYPERLINK("CSG17.html#group48AK17", "48AK¹⁷"), =HYPERLINK("CSG5.html#group12A5", "12A⁵"), =HYPERLINK("CSG21.html#group84M21", "84M²¹"), =HYPERLINK("CSG17.html#group24AB17", "24AB¹⁷"), =HYPERLINK("CSG22.html#group168L22", "168L²²"), =HYPERLINK("CSG23.html#group72C23", "72C²³"), =HYPERLINK("CSG9.html#group48AP9", "48AP⁹"), =HYPERLINK("CSG1.html#group12Q1", "12Q¹"), =HYPERLINK("CSG9.html#group24AA9", "24AA⁹"), =HYPERLINK("CSG14.html#group72O14", "72O¹⁴"), =HYPERLINK("CSG22.html#group96B22", "96B²²"), =HYPERLINK("CSG13.html#group24F13", "24F¹³"), =HYPERLINK("CSG15.html#group36N15", "36N¹⁵"), =HYPERLINK("CSG10.html#group24E10", "24E¹⁰"), =HYPERLINK("CSG19.html#group96L19", "96L¹⁹"), =HYPERLINK("CSG24.html#group168E24", "168E²⁴"), =HYPERLINK("CSG8.html#group24A8", "24A⁸"), =HYPERLINK("CSG19.html#group72T19", "72T¹⁹"), =HYPERLINK("CSG8.html#group84I8", "84I⁸"), =HYPERLINK("CSG10.html#group144D10", "144D¹⁰"), =HYPERLINK("CSG20.html#group48H20", "48H²⁰"), =HYPERLINK("CSG19.html#group48AL19", "48AL¹⁹"), =HYPERLINK("CSG18.html#group48B18", "48B¹⁸"), =HYPERLINK("CSG13.html#group24U13", "24U¹³"), =HYPERLINK("CSG17.html#group48P17", "48P¹⁷"), =HYPERLINK("CSG11.html#group24M11", "24M¹¹"), =HYPERLINK("CSG21.html#group48AT21", "48AT²¹"), =HYPERLINK("CSG10.html#group48G10", "48G¹⁰"), =HYPERLINK("CSG17.html#group120C17", "120C¹⁷"), =HYPERLINK("CSG1.html#group36A1", "36A¹"), =HYPERLINK("CSG13.html#group48R13", "48R¹³"), =HYPERLINK("CSG3.html#group24E3", "24E³"), =HYPERLINK("CSG17.html#group48S17", "48S¹⁷"), =HYPERLINK("CSG21.html#group72V21", "72V²¹"), =HYPERLINK("CSG14.html#group72G14", "72G¹⁴"), =HYPERLINK("CSG15.html#group36F15", "36F¹⁵"), =HYPERLINK("CSG8.html#group24L8", "24L⁸"), =HYPERLINK("CSG17.html#group48BJ17", "48BJ¹⁷"), =HYPERLINK("CSG4.html#group24K4", "24K⁴"), =HYPERLINK("CSG17.html#group48BI17", "48BI¹⁷"), =HYPERLINK("CSG23.html#group144S23", "144S²³"), =HYPERLINK("CSG19.html#group120J19", "120J¹⁹"), =HYPERLINK("CSG21.html#group48Q21", "48Q²¹"), =HYPERLINK("CSG19.html#group36L19", "36L¹⁹"), =HYPERLINK("CSG24.html#group336G24", "336G²⁴"), =HYPERLINK("CSG7.html#group48U7", "48U⁷"), =HYPERLINK("CSG6.html#group24D6", "24D⁶"), =HYPERLINK("CSG9.html#group24AO9", "24AO⁹"), =HYPERLINK("CSG16.html#group24E16", "24E¹⁶"), =HYPERLINK("CSG17.html#group48AU17", "48AU¹⁷"), =HYPERLINK("CSG7.html#group60R7", "60R⁷"), =HYPERLINK("CSG21.html#group48BO21", "48BO²¹"), =HYPERLINK("CSG19.html#group168C19", "168C¹⁹"), =HYPERLINK("CSG16.html#group48A16", "48A¹⁶"), =HYPERLINK("CSG10.html#group48F10", "48F¹⁰"), =HYPERLINK("CSG22.html#group144K22", "144K²²"), =HYPERLINK("CSG19.html#group72U19", "72U¹⁹"), =HYPERLINK("CSG17.html#group120K17", "120K¹⁷"), =HYPERLINK("CSG17.html#group24F17", "24F¹⁷"), =HYPERLINK("CSG22.html#group72C22", "72C²²"), =HYPERLINK("CSG18.html#group72B18", "72B¹⁸"), =HYPERLINK("CSG19.html#group48A19", "48A¹⁹"), =HYPERLINK("CSG22.html#group84G22", "84G²²"), =HYPERLINK("CSG20.html#group144D20", "144D²⁰"), =HYPERLINK("CSG18.html#group48T18", "48T¹⁸"), =HYPERLINK("CSG6.html#group36F6", "36F⁶"), =HYPERLINK("CSG21.html#group48BP21", "48BP²¹"), =HYPERLINK("CSG17.html#group60W17", "60W¹⁷"), =HYPERLINK("CSG3.html#group48A3", "48A³"), =HYPERLINK("CSG19.html#group48BM19", "48BM¹⁹"), =HYPERLINK("CSG21.html#group240B21", "240B²¹"), =HYPERLINK("CSG15.html#group48C15", "48C¹⁵"), =HYPERLINK("CSG17.html#group60H17", "60H¹⁷"), =HYPERLINK("CSG20.html#group144E20", "144E²⁰"), =HYPERLINK("CSG19.html#group24O19", "24O¹⁹"), =HYPERLINK("CSG4.html#group24B4", "24B⁴"), =HYPERLINK("CSG18.html#group48Q18", "48Q¹⁸"), =HYPERLINK("CSG11.html#group96I11", "96I¹¹"), =HYPERLINK("CSG21.html#group120L21", "120L²¹"), =HYPERLINK("CSG16.html#group168A16", "168A¹⁶"), =HYPERLINK("CSG17.html#group120Q17", "120Q¹⁷"), =HYPERLINK("CSG19.html#group120I19", "120I¹⁹"), =HYPERLINK("CSG13.html#group180A13", "180A¹³"), =HYPERLINK("CSG6.html#group48H6", "48H⁶"), =HYPERLINK("CSG13.html#group60P13", "60P¹³"), =HYPERLINK("CSG24.html#group252C24", "252C²⁴"), =HYPERLINK("CSG23.html#group60J23", "60J²³"), =HYPERLINK("CSG8.html#group72I8", "72I⁸"), =HYPERLINK("CSG15.html#group72J15", "72J¹⁵"), =HYPERLINK("CSG7.html#group48AB7", "48AB⁷"), =HYPERLINK("CSG22.html#group168J22", "168J²²"), =HYPERLINK("CSG20.html#group96G20", "96G²⁰"), =HYPERLINK("CSG23.html#group156F23", "156F²³"), =HYPERLINK("CSG19.html#group24C19", "24C¹⁹"), =HYPERLINK("CSG17.html#group48T17", "48T¹⁷"), =HYPERLINK("CSG10.html#group72L10", "72L¹⁰"), =HYPERLINK("CSG3.html#group24AB3", "24AB³"), =HYPERLINK("CSG20.html#group96O20", "96O²⁰"), =HYPERLINK("CSG8.html#group48B8", "48B⁸"), =HYPERLINK("CSG13.html#group36R13", "36R¹³"), =HYPERLINK("CSG19.html#group48AU19", "48AU¹⁹"), =HYPERLINK("CSG19.html#group24P19", "24P¹⁹"), =HYPERLINK("CSG22.html#group168N22", "168N²²"), =HYPERLINK("CSG9.html#group60J9", "60J⁹"), =HYPERLINK("CSG17.html#group60Y17", "60Y¹⁷"), =HYPERLINK("CSG21.html#group60L21", "60L²¹"), =HYPERLINK("CSG21.html#group48L21", "48L²¹"), =HYPERLINK("CSG21.html#group48BL21", "48BL²¹"), =HYPERLINK("CSG22.html#group48D22", "48D²²"), =HYPERLINK("CSG15.html#group24C15", "24C¹⁵"), =HYPERLINK("CSG22.html#group144J22", "144J²²"), =HYPERLINK("CSG8.html#group72K8", "72K⁸"), =HYPERLINK("CSG19.html#group60F19", "60F¹⁹"), =HYPERLINK("CSG21.html#group36A21", "36A²¹"), =HYPERLINK("CSG23.html#group120F23", "120F²³"), =HYPERLINK("CSG5.html#group36E5", "36E⁵"), =HYPERLINK("CSG19.html#group48AS19", "48AS¹⁹"), =HYPERLINK("CSG20.html#group48A20", "48A²⁰"), =HYPERLINK("CSG3.html#group60B3", "60B³"), =HYPERLINK("CSG17.html#group48BX17", "48BX¹⁷"), =HYPERLINK("CSG24.html#group144B24", "144B²⁴"), =HYPERLINK("CSG17.html#group24AC17", "24AC¹⁷"), =HYPERLINK("CSG19.html#group60G19", "60G¹⁹"), =HYPERLINK("CSG15.html#group24A15", "24A¹⁵"), =HYPERLINK("CSG9.html#group36L9", "36L⁹"), =HYPERLINK("CSG1.html#group12G1", "12G¹"), =HYPERLINK("CSG17.html#group24AG17", "24AG¹⁷"), =HYPERLINK("CSG13.html#group84J13", "84J¹³"), =HYPERLINK("CSG17.html#group48AT17", "48AT¹⁷"), =HYPERLINK("CSG24.html#group276D24", "276D²⁴"), =HYPERLINK("CSG15.html#group72X15", "72X¹⁵"), =HYPERLINK("CSG6.html#group24E6", "24E⁶"), =HYPERLINK("CSG16.html#group48E16", "48E¹⁶"), =HYPERLINK("CSG17.html#group24G17", "24G¹⁷"), =HYPERLINK("CSG3.html#group12C3", "12C³"), =HYPERLINK("CSG19.html#group96J19", "96J¹⁹"), =HYPERLINK("CSG23.html#group84D23", "84D²³"), =HYPERLINK("CSG19.html#group48AH19", "48AH¹⁹"), =HYPERLINK("CSG17.html#group48CI17", "48CI¹⁷"), =HYPERLINK("CSG10.html#group168G10", "168G¹⁰"), =HYPERLINK("CSG24.html#group60A24", "60A²⁴"), =HYPERLINK("CSG17.html#group48AF17", "48AF¹⁷"), =HYPERLINK("CSG9.html#group24V9", "24V⁹"), =HYPERLINK("CSG12.html#group72A12", "72A¹²"), =HYPERLINK("CSG19.html#group24Q19", "24Q¹⁹"), =HYPERLINK("CSG15.html#group24R15", "24R¹⁵"), =HYPERLINK("CSG20.html#group48I20", "48I²⁰"), =HYPERLINK("CSG21.html#group48BX21", "48BX²¹"), =HYPERLINK("CSG17.html#group72V17", "72V¹⁷"), =HYPERLINK("CSG15.html#group36P15", "36P¹⁵"), =HYPERLINK("CSG10.html#group72E10", "72E¹⁰"), =HYPERLINK("CSG15.html#group48B15", "48B¹⁵"), =HYPERLINK("CSG15.html#group60AG15", "60AG¹⁵"), =HYPERLINK("CSG22.html#group144M22", "144M²²"), =HYPERLINK("CSG21.html#group72W21", "72W²¹"), =HYPERLINK("CSG9.html#group36J9", "36J⁹"), =HYPERLINK("CSG5.html#group24P5", "24P⁵"), =HYPERLINK("CSG9.html#group24AL9", "24AL⁹"), =HYPERLINK("CSG18.html#group264B18", "264B¹⁸"), =HYPERLINK("CSG21.html#group240D21", "240D²¹"), =HYPERLINK("CSG11.html#group36F11", "36F¹¹"), =HYPERLINK("CSG19.html#group120H19", "120H¹⁹"), =HYPERLINK("CSG5.html#group24O5", "24O⁵"), =HYPERLINK("CSG22.html#group168I22", "168I²²"), =HYPERLINK("CSG22.html#group168O22", "168O²²"), =HYPERLINK("CSG19.html#group24N19", "24N¹⁹"), =HYPERLINK("CSG21.html#group48T21", "48T²¹"), =HYPERLINK("CSG23.html#group168P23", "168P²³"), =HYPERLINK("CSG20.html#group144C20", "144C²⁰"), =HYPERLINK("CSG13.html#group180B13", "180B¹³"), =HYPERLINK("CSG22.html#group144D22", "144D²²"), =HYPERLINK("CSG10.html#group144A10", "144A¹⁰"), =HYPERLINK("CSG21.html#group120M21", "120M²¹"), =HYPERLINK("CSG19.html#group36H19", "36H¹⁹"), =HYPERLINK("CSG17.html#group120H17", "120H¹⁷"), =HYPERLINK("CSG22.html#group144C22", "144C²²"), =HYPERLINK("CSG19.html#group36E19", "36E¹⁹"), =HYPERLINK("CSG19.html#group48AJ19", "48AJ¹⁹"), =HYPERLINK("CSG9.html#group24X9", "24X⁹"), =HYPERLINK("CSG19.html#group48D19", "48D¹⁹"), =HYPERLINK("CSG7.html#group60Q7", "60Q⁷"), =HYPERLINK("CSG21.html#group48AR21", "48AR²¹"), =HYPERLINK("CSG7.html#group24Y7", "24Y⁷"), =HYPERLINK("CSG7.html#group24Q7", "24Q⁷"), =HYPERLINK("CSG19.html#group24D19", "24D¹⁹"), =HYPERLINK("CSG7.html#group60J7", "60J⁷"), =HYPERLINK("CSG7.html#group24AC7", "24AC⁷"), =HYPERLINK("CSG20.html#group96N20", "96N²⁰"), =HYPERLINK("CSG13.html#group24R13", "24R¹³"), =HYPERLINK("CSG7.html#group24D7", "24D⁷"), =HYPERLINK("CSG11.html#group84G11", "84G¹¹"), =HYPERLINK("CSG18.html#group48L18", "48L¹⁸"), =HYPERLINK("CSG23.html#group120B23", "120B²³"), =HYPERLINK("CSG7.html#group72E7", "72E⁷"), =HYPERLINK("CSG12.html#group48B12", "48B¹²"), =HYPERLINK("CSG15.html#group72L15", "72L¹⁵"), =HYPERLINK("CSG24.html#group168I24", "168I²⁴"), =HYPERLINK("CSG24.html#group336F24", "336F²⁴"), =HYPERLINK("CSG19.html#group120S19", "120S¹⁹"), =HYPERLINK("CSG23.html#group120I23", "120I²³"), =HYPERLINK("CSG14.html#group72J14", "72J¹⁴"), =HYPERLINK("CSG15.html#group204A15", "204A¹⁵"), =HYPERLINK("CSG17.html#group48Q17", "48Q¹⁷"), =HYPERLINK("CSG12.html#group72C12", "72C¹²"), =HYPERLINK("CSG22.html#group168H22", "168H²²"), =HYPERLINK("CSG21.html#group120I21", "120I²¹"), =HYPERLINK("CSG9.html#group24P9", "24P⁹"), =HYPERLINK("CSG18.html#group48E18", "48E¹⁸"), =HYPERLINK("CSG17.html#group24W17", "24W¹⁷"), =HYPERLINK("CSG20.html#group96H20", "96H²⁰"), =HYPERLINK("CSG5.html#group60C5", "60C⁵"), =HYPERLINK("CSG8.html#group60D8", "60D⁸"), =HYPERLINK("CSG0.html#group12F0", "12F⁰"), =HYPERLINK("CSG15.html#group24N15", "24N¹⁵"), =HYPERLINK("CSG22.html#group48B22", "48B²²"), =HYPERLINK("CSG24.html#group168J24", "168J²⁴"), =HYPERLINK("CSG20.html#group48C20", "48C²⁰"), =HYPERLINK("CSG19.html#group48AV19", "48AV¹⁹"), =HYPERLINK("CSG10.html#group168F10", "168F¹⁰"), =HYPERLINK("CSG14.html#group36B14", "36B¹⁴"), =HYPERLINK("CSG4.html#group36N4", "36N⁴"), =HYPERLINK("CSG17.html#group96E17", "96E¹⁷"), =HYPERLINK("CSG18.html#group48F18", "48F¹⁸"), =HYPERLINK("CSG21.html#group144N21", "144N²¹"), =HYPERLINK("CSG16.html#group24C16", "24C¹⁶"), =HYPERLINK("CSG21.html#group72U21", "72U²¹"), =HYPERLINK("CSG11.html#group48C11", "48C¹¹"), =HYPERLINK("CSG13.html#group60B13", "60B¹³"), =HYPERLINK("CSG2.html#group12I2", "12I²"), =HYPERLINK("CSG8.html#group48A8", "48A⁸"), =HYPERLINK("CSG18.html#group48K18", "48K¹⁸"), =HYPERLINK("CSG23.html#group168O23", "168O²³"), =HYPERLINK("CSG11.html#group72E11", "72E¹¹"), =HYPERLINK("CSG19.html#group48Y19", "48Y¹⁹"), =HYPERLINK("CSG17.html#group96F17", "96F¹⁷"), =HYPERLINK("CSG16.html#group48J16", "48J¹⁶"), =HYPERLINK("CSG14.html#group252A14", "252A¹⁴"), =HYPERLINK("CSG14.html#group72D14", "72D¹⁴"), =HYPERLINK("CSG24.html#group336H24", "336H²⁴"), =HYPERLINK("CSG19.html#group120O19", "120O¹⁹"), =HYPERLINK("CSG18.html#group48S18", "48S¹⁸"), =HYPERLINK("CSG21.html#group48U21", "48U²¹"), =HYPERLINK("CSG10.html#group60A10", "60A¹⁰"), =HYPERLINK("CSG17.html#group120P17", "120P¹⁷"), =HYPERLINK("CSG17.html#group48AP17", "48AP¹⁷"), =HYPERLINK("CSG19.html#group132B19", "132B¹⁹"), =HYPERLINK("CSG23.html#group168I23", "168I²³"), =HYPERLINK("CSG8.html#group24N8", "24N⁸"), =HYPERLINK("CSG22.html#group48C22", "48C²²"), =HYPERLINK("CSG19.html#group120D19", "120D¹⁹"), =HYPERLINK("CSG16.html#group24D16", "24D¹⁶"), =HYPERLINK("CSG10.html#group24B10", "24B¹⁰"), =HYPERLINK("CSG22.html#group60C22", "60C²²"), =HYPERLINK("CSG9.html#group60C9", "60C⁹"), =HYPERLINK("CSG2.html#group24G2", "24G²"), =HYPERLINK("CSG15.html#group36S15", "36S¹⁵"), =HYPERLINK("CSG15.html#group48J15", "48J¹⁵"), =HYPERLINK("CSG23.html#group132F23", "132F²³"), =HYPERLINK("CSG13.html#group48Q13", "48Q¹³"), =HYPERLINK("CSG19.html#group24S19", "24S¹⁹"), =HYPERLINK("CSG23.html#group168N23", "168N²³"), =HYPERLINK("CSG17.html#group96O17", "96O¹⁷"), =HYPERLINK("CSG19.html#group24J19", "24J¹⁹"), =HYPERLINK("CSG23.html#group72B23", "72B²³"), =HYPERLINK("CSG23.html#group168J23", "168J²³"), =HYPERLINK("CSG16.html#group48I16", "48I¹⁶"), =HYPERLINK("CSG15.html#group60X15", "60X¹⁵"), =HYPERLINK("CSG17.html#group24AF17", "24AF¹⁷"), =HYPERLINK("CSG10.html#group60B10", "60B¹⁰"), =HYPERLINK("CSG15.html#group84E15", "84E¹⁵"), =HYPERLINK("CSG10.html#group168A10", "168A¹⁰"), =HYPERLINK("CSG21.html#group60O21", "60O²¹"), =HYPERLINK("CSG5.html#group24B5", "24B⁵"), =HYPERLINK("CSG18.html#group264C18", "264C¹⁸"), =HYPERLINK("CSG7.html#group48I7", "48I⁷"), =HYPERLINK("CSG19.html#group96AC19", "96AC¹⁹"), =HYPERLINK("CSG7.html#group48AC7", "48AC⁷"), =HYPERLINK("CSG19.html#group48AI19", "48AI¹⁹"), =HYPERLINK("CSG10.html#group72G10", "72G¹⁰"), =HYPERLINK("CSG22.html#group48A22", "48A²²"), =HYPERLINK("CSG15.html#group24Q15", "24Q¹⁵"), =HYPERLINK("CSG1.html#group24A1", "24A¹"), =HYPERLINK("CSG15.html#group24P15", "24P¹⁵"), =HYPERLINK("CSG19.html#group24I19", "24I¹⁹"), =HYPERLINK("CSG22.html#group168G22", "168G²²"), =HYPERLINK("CSG21.html#group60M21", "60M²¹"), =HYPERLINK("CSG23.html#group96A23", "96A²³"), =HYPERLINK("CSG15.html#group84F15", "84F¹⁵"), =HYPERLINK("CSG13.html#group24T13", "24T¹³"), =HYPERLINK("CSG2.html#group36D2", "36D²"), =HYPERLINK("CSG10.html#group72H10", "72H¹⁰"), =HYPERLINK("CSG12.html#group48A12", "48A¹²"), =HYPERLINK("CSG21.html#group60K21", "60K²¹"), =HYPERLINK("CSG23.html#group120A23", "120A²³"), =HYPERLINK("CSG9.html#group24W9", "24W⁹"), =HYPERLINK("CSG24.html#group336D24", "336D²⁴"), =HYPERLINK("CSG15.html#group48I15", "48I¹⁵"), =HYPERLINK("CSG1.html#group24F1", "24F¹"), =HYPERLINK("CSG19.html#group48V19", "48V¹⁹"), =HYPERLINK("CSG21.html#group48BA21", "48BA²¹"), =HYPERLINK("CSG21.html#group60E21", "60E²¹"), =HYPERLINK("CSG16.html#group168B16", "168B¹⁶"), =HYPERLINK("CSG16.html#group48G16", "48G¹⁶"), =HYPERLINK("CSG17.html#group48AN17", "48AN¹⁷"), =HYPERLINK("CSG18.html#group48R18", "48R¹⁸"), =HYPERLINK("CSG15.html#group36R15", "36R¹⁵"), =HYPERLINK("CSG19.html#group48AK19", "48AK¹⁹"), =HYPERLINK("CSG15.html#group60W15", "60W¹⁵"), =HYPERLINK("CSG15.html#group48D15", "48D¹⁵"), =HYPERLINK("CSG24.html#group336E24", "336E²⁴"), =HYPERLINK("CSG20.html#group144F20", "144F²⁰"), =HYPERLINK("CSG22.html#group60B22", "60B²²"), =HYPERLINK("CSG17.html#group48AO17", "48AO¹⁷"), =HYPERLINK("CSG3.html#group24P3", "24P³"), =HYPERLINK("CSG15.html#group72Z15", "72Z¹⁵"), =HYPERLINK("CSG17.html#group60I17", "60I¹⁷"), =HYPERLINK("CSG20.html#group228C20", "228C²⁰"), =HYPERLINK("CSG15.html#group84C15", "84C¹⁵"), =HYPERLINK("CSG7.html#group24C7", "24C⁷"), =HYPERLINK("CSG21.html#group84P21", "84P²¹"), =HYPERLINK("CSG10.html#group168C10", "168C¹⁰"), =HYPERLINK("CSG8.html#group84H8", "84H⁸"), =HYPERLINK("CSG19.html#group72R19", "72R¹⁹"), =HYPERLINK("CSG19.html#group24E19", "24E¹⁹"), =HYPERLINK("CSG4.html#group36M4", "36M⁴"), =HYPERLINK("CSG17.html#group24E17", "24E¹⁷"), =HYPERLINK("CSG19.html#group48AC19", "48AC¹⁹"), =HYPERLINK("CSG11.html#group72F11", "72F¹¹"), =HYPERLINK("CSG19.html#group48T19", "48T¹⁹"), =HYPERLINK("CSG20.html#group120B20", "120B²⁰"), =HYPERLINK("CSG22.html#group168P22", "168P²²"), =HYPERLINK("CSG10.html#group144C10", "144C¹⁰"), =HYPERLINK("CSG18.html#group72C18", "72C¹⁸"), =HYPERLINK("CSG24.html#group336B24", "336B²⁴"), =HYPERLINK("CSG15.html#group48H15", "48H¹⁵"), =HYPERLINK("CSG17.html#group120F17", "120F¹⁷"), =HYPERLINK("CSG21.html#group72S21", "72S²¹"), =HYPERLINK("CSG8.html#group24P8", "24P⁸"), =HYPERLINK("CSG9.html#group120C9", "120C⁹"), =HYPERLINK("CSG11.html#group156A11", "156A¹¹"), =HYPERLINK("CSG11.html#group24K11", "24K¹¹"), =HYPERLINK("CSG16.html#group48F16", "48F¹⁶"), =HYPERLINK("CSG10.html#group72K10", "72K¹⁰"), =HYPERLINK("CSG9.html#group120F9", "120F⁹"), =HYPERLINK("CSG24.html#group144C24", "144C²⁴"), =HYPERLINK("CSG17.html#group24AL17", "24AL¹⁷"), =HYPERLINK("CSG21.html#group48BY21", "48BY²¹"), =HYPERLINK("CSG19.html#group120P19", "120P¹⁹"), =HYPERLINK("CSG21.html#group48BM21", "48BM²¹"), =HYPERLINK("CSG9.html#group72G9", "72G⁹"), =HYPERLINK("CSG4.html#group36L4", "36L⁴"), =HYPERLINK("CSG23.html#group168K23", "168K²³")</f>
        <v/>
      </c>
    </row>
    <row r="79">
      <c r="A79" t="inlineStr">
        <is>
          <t>12B⁰</t>
        </is>
      </c>
      <c r="B79" t="inlineStr"/>
      <c r="C79" t="inlineStr">
        <is>
          <t>16</t>
        </is>
      </c>
      <c r="D79" t="inlineStr">
        <is>
          <t>1</t>
        </is>
      </c>
      <c r="E79" t="inlineStr">
        <is>
          <t>4</t>
        </is>
      </c>
      <c r="F79" t="inlineStr">
        <is>
          <t>0</t>
        </is>
      </c>
      <c r="G79" t="inlineStr">
        <is>
          <t>4</t>
        </is>
      </c>
      <c r="H79" t="inlineStr">
        <is>
          <t>4¹, 12¹</t>
        </is>
      </c>
      <c r="I79" t="n">
        <v>2</v>
      </c>
      <c r="J79" t="inlineStr">
        <is>
          <t>1², 2¹</t>
        </is>
      </c>
      <c r="K79">
        <f>HYPERLINK("CSG0.html#group6C0", "6C⁰")</f>
        <v/>
      </c>
      <c r="L79">
        <f>HYPERLINK("CSG0.html#group36A0", "36A⁰"), =HYPERLINK("CSG1.html#group12O1", "12O¹"), =HYPERLINK("CSG1.html#group12R1", "12R¹"), =HYPERLINK("CSG1.html#group36B1", "36B¹"), =HYPERLINK("CSG2.html#group12F2", "12F²"), =HYPERLINK("CSG2.html#group36A2", "36A²"), =HYPERLINK("CSG3.html#group12A3", "12A³"), =HYPERLINK("CSG3.html#group36A3", "36A³"), =HYPERLINK("CSG4.html#group36A4", "36A⁴"), =HYPERLINK("CSG4.html#group36B4", "36B⁴"), =HYPERLINK("CSG4.html#group60B4", "60B⁴"), =HYPERLINK("CSG7.html#group60E7", "60E⁷"), =HYPERLINK("CSG7.html#group84D7", "84D⁷"), =HYPERLINK("CSG8.html#group84E8", "84E⁸"), =HYPERLINK("CSG11.html#group60I11", "60I¹¹"), =HYPERLINK("CSG12.html#group132E12", "132E¹²"), =HYPERLINK("CSG15.html#group132A15", "132A¹⁵"), =HYPERLINK("CSG15.html#group156B15", "156B¹⁵"), =HYPERLINK("CSG23.html#group204B23", "204B²³"), =HYPERLINK("CSG23.html#group228A23", "228A²³")</f>
        <v/>
      </c>
      <c r="M79">
        <f>HYPERLINK("CSG0.html#group3B0", "3B⁰"), =HYPERLINK("CSG0.html#group2A0", "2A⁰"), =HYPERLINK("CSG0.html#group1A0", "1A⁰"), =HYPERLINK("CSG0.html#group6C0", "6C⁰")</f>
        <v/>
      </c>
      <c r="N79">
        <f>HYPERLINK("CSG22.html#group108D22", "108D²²"), =HYPERLINK("CSG23.html#group252B23", "252B²³"), =HYPERLINK("CSG9.html#group24AE9", "24AE⁹"), =HYPERLINK("CSG9.html#group36F9", "36F⁹"), =HYPERLINK("CSG9.html#group36A9", "36A⁹"), =HYPERLINK("CSG9.html#group108A9", "108A⁹"), =HYPERLINK("CSG4.html#group60B4", "60B⁴"), =HYPERLINK("CSG7.html#group36H7", "36H⁷"), =HYPERLINK("CSG9.html#group24AD9", "24AD⁹"), =HYPERLINK("CSG22.html#group108C22", "108C²²"), =HYPERLINK("CSG15.html#group132A15", "132A¹⁵"), =HYPERLINK("CSG5.html#group12E5", "12E⁵"), =HYPERLINK("CSG3.html#group36A3", "36A³"), =HYPERLINK("CSG21.html#group60T21", "60T²¹"), =HYPERLINK("CSG17.html#group24AP17", "24AP¹⁷"), =HYPERLINK("CSG18.html#group60A18", "60A¹⁸"), =HYPERLINK("CSG3.html#group12L3", "12L³"), =HYPERLINK("CSG22.html#group36M22", "36M²²"), =HYPERLINK("CSG13.html#group60J13", "60J¹³"), =HYPERLINK("CSG9.html#group36B9", "36B⁹"), =HYPERLINK("CSG1.html#group12R1", "12R¹"), =HYPERLINK("CSG15.html#group84G15", "84G¹⁵"), =HYPERLINK("CSG23.html#group204B23", "204B²³"), =HYPERLINK("CSG1.html#group12O1", "12O¹"), =HYPERLINK("CSG13.html#group24G13", "24G¹³"), =HYPERLINK("CSG9.html#group36M9", "36M⁹"), =HYPERLINK("CSG21.html#group48CA21", "48CA²¹"), =HYPERLINK("CSG20.html#group180B20", "180B²⁰"), =HYPERLINK("CSG18.html#group60B18", "60B¹⁸"), =HYPERLINK("CSG11.html#group36H11", "36H¹¹"), =HYPERLINK("CSG3.html#group12A3", "12A³"), =HYPERLINK("CSG21.html#group72Y21", "72Y²¹"), =HYPERLINK("CSG9.html#group36E9", "36E⁹"), =HYPERLINK("CSG8.html#group108A8", "108A⁸"), =HYPERLINK("CSG15.html#group180A15", "180A¹⁵"), =HYPERLINK("CSG19.html#group36C19", "36C¹⁹"), =HYPERLINK("CSG21.html#group60S21", "60S²¹"), =HYPERLINK("CSG23.html#group180G23", "180G²³"), =HYPERLINK("CSG10.html#group108A10", "108A¹⁰"), =HYPERLINK("CSG7.html#group12A7", "12A⁷"), =HYPERLINK("CSG13.html#group48U13", "48U¹³"), =HYPERLINK("CSG11.html#group36A11", "36A¹¹"), =HYPERLINK("CSG21.html#group24H21", "24H²¹"), =HYPERLINK("CSG12.html#group180A12", "180A¹²"), =HYPERLINK("CSG10.html#group36A10", "36A¹⁰"), =HYPERLINK("CSG10.html#group36F10", "36F¹⁰"), =HYPERLINK("CSG11.html#group60I11", "60I¹¹"), =HYPERLINK("CSG4.html#group36A4", "36A⁴"), =HYPERLINK("CSG16.html#group180A16", "180A¹⁶"), =HYPERLINK("CSG8.html#group108B8", "108B⁸"), =HYPERLINK("CSG19.html#group36D19", "36D¹⁹"), =HYPERLINK("CSG4.html#group36B4", "36B⁴"), =HYPERLINK("CSG14.html#group60G14", "60G¹⁴"), =HYPERLINK("CSG2.html#group36A2", "36A²"), =HYPERLINK("CSG21.html#group48CJ21", "48CJ²¹"), =HYPERLINK("CSG10.html#group108C10", "108C¹⁰"), =HYPERLINK("CSG21.html#group72Z21", "72Z²¹"), =HYPERLINK("CSG10.html#group36I10", "36I¹⁰"), =HYPERLINK("CSG21.html#group180F21", "180F²¹"), =HYPERLINK("CSG6.html#group108A6", "108A⁶"), =HYPERLINK("CSG17.html#group60L17", "60L¹⁷"), =HYPERLINK("CSG19.html#group60L19", "60L¹⁹"), =HYPERLINK("CSG7.html#group12F7", "12F⁷"), =HYPERLINK("CSG16.html#group180B16", "180B¹⁶"), =HYPERLINK("CSG21.html#group48CC21", "48CC²¹"), =HYPERLINK("CSG21.html#group24B21", "24B²¹"), =HYPERLINK("CSG8.html#group84E8", "84E⁸"), =HYPERLINK("CSG13.html#group84K13", "84K¹³"), =HYPERLINK("CSG13.html#group24AB13", "24AB¹³"), =HYPERLINK("CSG13.html#group36B13", "36B¹³"), =HYPERLINK("CSG19.html#group180A19", "180A¹⁹"), =HYPERLINK("CSG10.html#group36G10", "36G¹⁰"), =HYPERLINK("CSG7.html#group84D7", "84D⁷"), =HYPERLINK("CSG21.html#group180D21", "180D²¹"), =HYPERLINK("CSG9.html#group12A9", "12A⁹"), =HYPERLINK("CSG2.html#group12F2", "12F²"), =HYPERLINK("CSG10.html#group36B10", "36B¹⁰"), =HYPERLINK("CSG10.html#group108B10", "108B¹⁰"), =HYPERLINK("CSG23.html#group180C23", "180C²³"), =HYPERLINK("CSG15.html#group60T15", "60T¹⁵"), =HYPERLINK("CSG13.html#group36U13", "36U¹³"), =HYPERLINK("CSG7.html#group60E7", "60E⁷"), =HYPERLINK("CSG11.html#group108A11", "108A¹¹"), =HYPERLINK("CSG1.html#group36B1", "36B¹"), =HYPERLINK("CSG17.html#group24AR17", "24AR¹⁷"), =HYPERLINK("CSG6.html#group36K6", "36K⁶"), =HYPERLINK("CSG17.html#group180A17", "180A¹⁷"), =HYPERLINK("CSG15.html#group156B15", "156B¹⁵"), =HYPERLINK("CSG0.html#group36A0", "36A⁰"), =HYPERLINK("CSG10.html#group36C10", "36C¹⁰"), =HYPERLINK("CSG22.html#group108B22", "108B²²"), =HYPERLINK("CSG21.html#group60B21", "60B²¹"), =HYPERLINK("CSG13.html#group36A13", "36A¹³"), =HYPERLINK("CSG20.html#group180A20", "180A²⁰"), =HYPERLINK("CSG23.html#group84G23", "84G²³"), =HYPERLINK("CSG20.html#group180D20", "180D²⁰"), =HYPERLINK("CSG10.html#group36E10", "36E¹⁰"), =HYPERLINK("CSG23.html#group180D23", "180D²³"), =HYPERLINK("CSG4.html#group108A4", "108A⁴"), =HYPERLINK("CSG13.html#group12B13", "12B¹³"), =HYPERLINK("CSG17.html#group24AS17", "24AS¹⁷"), =HYPERLINK("CSG23.html#group180H23", "180H²³"), =HYPERLINK("CSG18.html#group180B18", "180B¹⁸"), =HYPERLINK("CSG24.html#group252F24", "252F²⁴"), =HYPERLINK("CSG21.html#group60J21", "60J²¹"), =HYPERLINK("CSG6.html#group36J6", "36J⁶"), =HYPERLINK("CSG9.html#group108B9", "108B⁹"), =HYPERLINK("CSG16.html#group180C16", "180C¹⁶"), =HYPERLINK("CSG4.html#group36S4", "36S⁴"), =HYPERLINK("CSG12.html#group132E12", "132E¹²"), =HYPERLINK("CSG10.html#group36D10", "36D¹⁰"), =HYPERLINK("CSG15.html#group180B15", "180B¹⁵"), =HYPERLINK("CSG7.html#group24AL7", "24AL⁷"), =HYPERLINK("CSG15.html#group60Y15", "60Y¹⁵"), =HYPERLINK("CSG19.html#group60A19", "60A¹⁹"), =HYPERLINK("CSG23.html#group228A23", "228A²³"), =HYPERLINK("CSG7.html#group36M7", "36M⁷"), =HYPERLINK("CSG9.html#group36N9", "36N⁹"), =HYPERLINK("CSG5.html#group24Q5", "24Q⁵"), =HYPERLINK("CSG12.html#group108A12", "108A¹²"), =HYPERLINK("CSG11.html#group108B11", "108B¹¹"), =HYPERLINK("CSG11.html#group36B11", "36B¹¹")</f>
        <v/>
      </c>
    </row>
    <row r="80">
      <c r="A80" t="inlineStr">
        <is>
          <t>12C⁰</t>
        </is>
      </c>
      <c r="B80" t="inlineStr"/>
      <c r="C80" t="inlineStr">
        <is>
          <t>18</t>
        </is>
      </c>
      <c r="D80" t="inlineStr">
        <is>
          <t>1</t>
        </is>
      </c>
      <c r="E80" t="inlineStr">
        <is>
          <t>3</t>
        </is>
      </c>
      <c r="F80" t="inlineStr">
        <is>
          <t>6</t>
        </is>
      </c>
      <c r="G80" t="inlineStr">
        <is>
          <t>0</t>
        </is>
      </c>
      <c r="H80" t="inlineStr">
        <is>
          <t>6¹, 12¹</t>
        </is>
      </c>
      <c r="I80" t="n">
        <v>2</v>
      </c>
      <c r="J80" t="inlineStr">
        <is>
          <t>1³</t>
        </is>
      </c>
      <c r="K80">
        <f>HYPERLINK("CSG0.html#group4C0", "4C⁰"), =HYPERLINK("CSG0.html#group6D0", "6D⁰")</f>
        <v/>
      </c>
      <c r="L80">
        <f>HYPERLINK("CSG0.html#group12H0", "12H⁰"), =HYPERLINK("CSG0.html#group24A0", "24A⁰"), =HYPERLINK("CSG1.html#group12J1", "12J¹"), =HYPERLINK("CSG1.html#group12L1", "12L¹"), =HYPERLINK("CSG1.html#group12M1", "12M¹"), =HYPERLINK("CSG1.html#group24C1", "24C¹"), =HYPERLINK("CSG1.html#group24D1", "24D¹"), =HYPERLINK("CSG1.html#group24E1", "24E¹"), =HYPERLINK("CSG2.html#group12B2", "12B²"), =HYPERLINK("CSG2.html#group24C2", "24C²"), =HYPERLINK("CSG2.html#group36B2", "36B²"), =HYPERLINK("CSG3.html#group24A3", "24A³"), =HYPERLINK("CSG5.html#group60A5", "60A⁵"), =HYPERLINK("CSG6.html#group60B6", "60B⁶"), =HYPERLINK("CSG6.html#group84B6", "84B⁶"), =HYPERLINK("CSG11.html#group60L11", "60L¹¹"), =HYPERLINK("CSG11.html#group84A11", "84A¹¹"), =HYPERLINK("CSG12.html#group132F12", "132F¹²"), =HYPERLINK("CSG17.html#group132A17", "132A¹⁷"), =HYPERLINK("CSG17.html#group156B17", "156B¹⁷"), =HYPERLINK("CSG23.html#group204F23", "204F²³")</f>
        <v/>
      </c>
      <c r="M80">
        <f>HYPERLINK("CSG0.html#group2B0", "2B⁰"), =HYPERLINK("CSG0.html#group3A0", "3A⁰"), =HYPERLINK("CSG0.html#group1A0", "1A⁰"), =HYPERLINK("CSG0.html#group6D0", "6D⁰"), =HYPERLINK("CSG0.html#group4C0", "4C⁰")</f>
        <v/>
      </c>
      <c r="N80">
        <f>HYPERLINK("CSG10.html#group24C10", "24C¹⁰"), =HYPERLINK("CSG1.html#group24E1", "24E¹"), =HYPERLINK("CSG16.html#group84F16", "84F¹⁶"), =HYPERLINK("CSG16.html#group168E16", "168E¹⁶"), =HYPERLINK("CSG17.html#group48O17", "48O¹⁷"), =HYPERLINK("CSG8.html#group36L8", "36L⁸"), =HYPERLINK("CSG9.html#group48M9", "48M⁹"), =HYPERLINK("CSG11.html#group48T11", "48T¹¹"), =HYPERLINK("CSG8.html#group48O8", "48O⁸"), =HYPERLINK("CSG18.html#group96A18", "96A¹⁸"), =HYPERLINK("CSG19.html#group24M19", "24M¹⁹"), =HYPERLINK("CSG14.html#group72F14", "72F¹⁴"), =HYPERLINK("CSG15.html#group24L15", "24L¹⁵"), =HYPERLINK("CSG19.html#group48BK19", "48BK¹⁹"), =HYPERLINK("CSG3.html#group12G3", "12G³"), =HYPERLINK("CSG21.html#group120O21", "120O²¹"), =HYPERLINK("CSG9.html#group24O9", "24O⁹"), =HYPERLINK("CSG21.html#group96AU21", "96AU²¹"), =HYPERLINK("CSG17.html#group48CE17", "48CE¹⁷"), =HYPERLINK("CSG20.html#group96D20", "96D²⁰"), =HYPERLINK("CSG20.html#group96B20", "96B²⁰"), =HYPERLINK("CSG21.html#group48AE21", "48AE²¹"), =HYPERLINK("CSG7.html#group24R7", "24R⁷"), =HYPERLINK("CSG6.html#group36I6", "36I⁶"), =HYPERLINK("CSG19.html#group48Z19", "48Z¹⁹"), =HYPERLINK("CSG5.html#group60A5", "60A⁵"), =HYPERLINK("CSG19.html#group48AT19", "48AT¹⁹"), =HYPERLINK("CSG16.html#group48D16", "48D¹⁶"), =HYPERLINK("CSG15.html#group120G15", "120G¹⁵"), =HYPERLINK("CSG15.html#group24K15", "24K¹⁵"), =HYPERLINK("CSG17.html#group48AG17", "48AG¹⁷"), =HYPERLINK("CSG19.html#group36R19", "36R¹⁹"), =HYPERLINK("CSG23.html#group288A23", "288A²³"), =HYPERLINK("CSG19.html#group36U19", "36U¹⁹"), =HYPERLINK("CSG15.html#group96W15", "96W¹⁵"), =HYPERLINK("CSG17.html#group24AD17", "24AD¹⁷"), =HYPERLINK("CSG17.html#group48CH17", "48CH¹⁷"), =HYPERLINK("CSG21.html#group48BS21", "48BS²¹"), =HYPERLINK("CSG7.html#group48AH7", "48AH⁷"), =HYPERLINK("CSG18.html#group48O18", "48O¹⁸"), =HYPERLINK("CSG11.html#group48I11", "48I¹¹"), =HYPERLINK("CSG21.html#group48AD21", "48AD²¹"), =HYPERLINK("CSG17.html#group72L17", "72L¹⁷"), =HYPERLINK("CSG15.html#group72P15", "72P¹⁵"), =HYPERLINK("CSG6.html#group36E6", "36E⁶"), =HYPERLINK("CSG24.html#group264C24", "264C²⁴"), =HYPERLINK("CSG5.html#group48E5", "48E⁵"), =HYPERLINK("CSG17.html#group48M17", "48M¹⁷"), =HYPERLINK("CSG17.html#group48BW17", "48BW¹⁷"), =HYPERLINK("CSG17.html#group48AM17", "48AM¹⁷"), =HYPERLINK("CSG21.html#group96E21", "96E²¹"), =HYPERLINK("CSG11.html#group48K11", "48K¹¹"), =HYPERLINK("CSG6.html#group60B6", "60B⁶"), =HYPERLINK("CSG17.html#group48AH17", "48AH¹⁷"), =HYPERLINK("CSG17.html#group96W17", "96W¹⁷"), =HYPERLINK("CSG19.html#group48I19", "48I¹⁹"), =HYPERLINK("CSG0.html#group48A0", "48A⁰"), =HYPERLINK("CSG7.html#group48AJ7", "48AJ⁷"), =HYPERLINK("CSG16.html#group72L16", "72L¹⁶"), =HYPERLINK("CSG19.html#group96Y19", "96Y¹⁹"), =HYPERLINK("CSG15.html#group48L15", "48L¹⁵"), =HYPERLINK("CSG21.html#group48BW21", "48BW²¹"), =HYPERLINK("CSG16.html#group36H16", "36H¹⁶"), =HYPERLINK("CSG19.html#group96M19", "96M¹⁹"), =HYPERLINK("CSG19.html#group48AZ19", "48AZ¹⁹"), =HYPERLINK("CSG17.html#group168A17", "168A¹⁷"), =HYPERLINK("CSG15.html#group24I15", "24I¹⁵"), =HYPERLINK("CSG11.html#group48A11", "48A¹¹"), =HYPERLINK("CSG19.html#group96AS19", "96AS¹⁹"), =HYPERLINK("CSG13.html#group48AC13", "48AC¹³"), =HYPERLINK("CSG17.html#group48AQ17", "48AQ¹⁷"), =HYPERLINK("CSG21.html#group48BH21", "48BH²¹"), =HYPERLINK("CSG16.html#group48H16", "48H¹⁶"), =HYPERLINK("CSG19.html#group48AY19", "48AY¹⁹"), =HYPERLINK("CSG19.html#group24G19", "24G¹⁹"), =HYPERLINK("CSG17.html#group48BH17", "48BH¹⁷"), =HYPERLINK("CSG15.html#group72V15", "72V¹⁵"), =HYPERLINK("CSG10.html#group24A10", "24A¹⁰"), =HYPERLINK("CSG16.html#group72I16", "72I¹⁶"), =HYPERLINK("CSG15.html#group48U15", "48U¹⁵"), =HYPERLINK("CSG21.html#group48BE21", "48BE²¹"), =HYPERLINK("CSG17.html#group24AA17", "24AA¹⁷"), =HYPERLINK("CSG13.html#group24V13", "24V¹³"), =HYPERLINK("CSG19.html#group48BG19", "48BG¹⁹"), =HYPERLINK("CSG19.html#group24B19", "24B¹⁹"), =HYPERLINK("CSG21.html#group96AE21", "96AE²¹"), =HYPERLINK("CSG19.html#group48P19", "48P¹⁹"), =HYPERLINK("CSG2.html#group12H2", "12H²"), =HYPERLINK("CSG21.html#group48AF21", "48AF²¹"), =HYPERLINK("CSG11.html#group48P11", "48P¹¹"), =HYPERLINK("CSG19.html#group48AW19", "48AW¹⁹"), =HYPERLINK("CSG22.html#group84J22", "84J²²"), =HYPERLINK("CSG17.html#group48BR17", "48BR¹⁷"), =HYPERLINK("CSG13.html#group12A13", "12A¹³"), =HYPERLINK("CSG9.html#group96I9", "96I⁹"), =HYPERLINK("CSG4.html#group24N4", "24N⁴"), =HYPERLINK("CSG21.html#group96AY21", "96AY²¹"), =HYPERLINK("CSG23.html#group36A23", "36A²³"), =HYPERLINK("CSG16.html#group72H16", "72H¹⁶"), =HYPERLINK("CSG15.html#group24D15", "24D¹⁵"), =HYPERLINK("CSG13.html#group24X13", "24X¹³"), =HYPERLINK("CSG17.html#group24D17", "24D¹⁷"), =HYPERLINK("CSG21.html#group84D21", "84D²¹"), =HYPERLINK("CSG21.html#group48BV21", "48BV²¹"), =HYPERLINK("CSG12.html#group36F12", "36F¹²"), =HYPERLINK("CSG15.html#group48X15", "48X¹⁵"), =HYPERLINK("CSG21.html#group48BR21", "48BR²¹"), =HYPERLINK("CSG17.html#group48BO17", "48BO¹⁷"), =HYPERLINK("CSG17.html#group48CC17", "48CC¹⁷"), =HYPERLINK("CSG15.html#group168B15", "168B¹⁵"), =HYPERLINK("CSG19.html#group48AD19", "48AD¹⁹"), =HYPERLINK("CSG17.html#group132A17", "132A¹⁷"), =HYPERLINK("CSG11.html#group120A11", "120A¹¹"), =HYPERLINK("CSG21.html#group48BU21", "48BU²¹"), =HYPERLINK("CSG17.html#group24U17", "24U¹⁷"), =HYPERLINK("CSG21.html#group36E21", "36E²¹"), =HYPERLINK("CSG18.html#group96C18", "96C¹⁸"), =HYPERLINK("CSG9.html#group48T9", "48T⁹"), =HYPERLINK("CSG23.html#group60R23", "60R²³"), =HYPERLINK("CSG7.html#group24O7", "24O⁷"), =HYPERLINK("CSG23.html#group168A23", "168A²³"), =HYPERLINK("CSG5.html#group36H5", "36H⁵"), =HYPERLINK("CSG17.html#group24AK17", "24AK¹⁷"), =HYPERLINK("CSG17.html#group96Q17", "96Q¹⁷"), =HYPERLINK("CSG23.html#group96Y23", "96Y²³"), =HYPERLINK("CSG18.html#group96E18", "96E¹⁸"), =HYPERLINK("CSG21.html#group48N21", "48N²¹"), =HYPERLINK("CSG9.html#group48L9", "48L⁹"), =HYPERLINK("CSG21.html#group72X21", "72X²¹"), =HYPERLINK("CSG9.html#group48Y9", "48Y⁹"), =HYPERLINK("CSG17.html#group48BZ17", "48BZ¹⁷"), =HYPERLINK("CSG16.html#group96A16", "96A¹⁶"), =HYPERLINK("CSG19.html#group96AD19", "96AD¹⁹"), =HYPERLINK("CSG12.html#group72F12", "72F¹²"), =HYPERLINK("CSG19.html#group96AL19", "96AL¹⁹"), =HYPERLINK("CSG17.html#group72G17", "72G¹⁷"), =HYPERLINK("CSG13.html#group48AF13", "48AF¹³"), =HYPERLINK("CSG19.html#group96AA19", "96AA¹⁹"), =HYPERLINK("CSG11.html#group60L11", "60L¹¹"), =HYPERLINK("CSG21.html#group192F21", "192F²¹"), =HYPERLINK("CSG22.html#group84N22", "84N²²"), =HYPERLINK("CSG20.html#group36B20", "36B²⁰"), =HYPERLINK("CSG15.html#group24E15", "24E¹⁵"), =HYPERLINK("CSG23.html#group96AH23", "96AH²³"), =HYPERLINK("CSG17.html#group48AZ17", "48AZ¹⁷"), =HYPERLINK("CSG19.html#group24L19", "24L¹⁹"), =HYPERLINK("CSG23.html#group96AD23", "96AD²³"), =HYPERLINK("CSG24.html#group72A24", "72A²⁴"), =HYPERLINK("CSG19.html#group48H19", "48H¹⁹"), =HYPERLINK("CSG20.html#group96AF20", "96AF²⁰"), =HYPERLINK("CSG5.html#group24X5", "24X⁵"), =HYPERLINK("CSG21.html#group60U21", "60U²¹"), =HYPERLINK("CSG11.html#group48M11", "48M¹¹"), =HYPERLINK("CSG4.html#group24P4", "24P⁴"), =HYPERLINK("CSG8.html#group48R8", "48R⁸"), =HYPERLINK("CSG9.html#group48AF9", "48AF⁹"), =HYPERLINK("CSG12.html#group72K12", "72K¹²"), =HYPERLINK("CSG21.html#group96AI21", "96AI²¹"), =HYPERLINK("CSG2.html#group12B2", "12B²"), =HYPERLINK("CSG20.html#group48G20", "48G²⁰"), =HYPERLINK("CSG17.html#group96AA17", "96AA¹⁷"), =HYPERLINK("CSG11.html#group120B11", "120B¹¹"), =HYPERLINK("CSG19.html#group48S19", "48S¹⁹"), =HYPERLINK("CSG5.html#group24W5", "24W⁵"), =HYPERLINK("CSG20.html#group96AC20", "96AC²⁰"), =HYPERLINK("CSG21.html#group96AO21", "96AO²¹"), =HYPERLINK("CSG18.html#group48M18", "48M¹⁸"), =HYPERLINK("CSG15.html#group72K15", "72K¹⁵"), =HYPERLINK("CSG17.html#group24Z17", "24Z¹⁷"), =HYPERLINK("CSG17.html#group96X17", "96X¹⁷"), =HYPERLINK("CSG20.html#group96R20", "96R²⁰"), =HYPERLINK("CSG21.html#group48Y21", "48Y²¹"), =HYPERLINK("CSG16.html#group72O16", "72O¹⁶"), =HYPERLINK("CSG17.html#group48AE17", "48AE¹⁷"), =HYPERLINK("CSG20.html#group96AA20", "96AA²⁰"), =HYPERLINK("CSG7.html#group96A7", "96A⁷"), =HYPERLINK("CSG17.html#group24P17", "24P¹⁷"), =HYPERLINK("CSG19.html#group24K19", "24K¹⁹"), =HYPERLINK("CSG13.html#group120F13", "120F¹³"), =HYPERLINK("CSG14.html#group72C14", "72C¹⁴"), =HYPERLINK("CSG7.html#group24L7", "24L⁷"), =HYPERLINK("CSG19.html#group96A19", "96A¹⁹"), =HYPERLINK("CSG8.html#group48AC8", "48AC⁸"), =HYPERLINK("CSG11.html#group96J11", "96J¹¹"), =HYPERLINK("CSG22.html#group168B22", "168B²²"), =HYPERLINK("CSG11.html#group72N11", "72N¹¹"), =HYPERLINK("CSG17.html#group96N17", "96N¹⁷"), =HYPERLINK("CSG15.html#group48K15", "48K¹⁵"), =HYPERLINK("CSG21.html#group48AC21", "48AC²¹"), =HYPERLINK("CSG13.html#group24Y13", "24Y¹³"), =HYPERLINK("CSG20.html#group96I20", "96I²⁰"), =HYPERLINK("CSG11.html#group48J11", "48J¹¹"), =HYPERLINK("CSG12.html#group144B12", "144B¹²"), =HYPERLINK("CSG24.html#group252G24", "252G²⁴"), =HYPERLINK("CSG13.html#group96H13", "96H¹³"), =HYPERLINK("CSG20.html#group96K20", "96K²⁰"), =HYPERLINK("CSG20.html#group36C20", "36C²⁰"), =HYPERLINK("CSG23.html#group144Y23", "144Y²³"), =HYPERLINK("CSG20.html#group48E20", "48E²⁰"), =HYPERLINK("CSG19.html#group24H19", "24H¹⁹"), =HYPERLINK("CSG5.html#group48H5", "48H⁵"), =HYPERLINK("CSG13.html#group36D13", "36D¹³"), =HYPERLINK("CSG15.html#group72H15", "72H¹⁵"), =HYPERLINK("CSG1.html#group12L1", "12L¹"), =HYPERLINK("CSG9.html#group24R9", "24R⁹"), =HYPERLINK("CSG4.html#group48C4", "48C⁴"), =HYPERLINK("CSG21.html#group72AA21", "72AA²¹"), =HYPERLINK("CSG15.html#group24J15", "24J¹⁵"), =HYPERLINK("CSG23.html#group36D23", "36D²³"), =HYPERLINK("CSG3.html#group24J3", "24J³"), =HYPERLINK("CSG15.html#group48T15", "48T¹⁵"), =HYPERLINK("CSG8.html#group24C8", "24C⁸"), =HYPERLINK("CSG21.html#group48AJ21", "48AJ²¹"), =HYPERLINK("CSG3.html#group48E3", "48E³"), =HYPERLINK("CSG17.html#group24R17", "24R¹⁷"), =HYPERLINK("CSG12.html#group72O12", "72O¹²"), =HYPERLINK("CSG17.html#group24Y17", "24Y¹⁷"), =HYPERLINK("CSG18.html#group48N18", "48N¹⁸"), =HYPERLINK("CSG1.html#group12J1", "12J¹"), =HYPERLINK("CSG17.html#group48AS17", "48AS¹⁷"), =HYPERLINK("CSG19.html#group96B19", "96B¹⁹"), =HYPERLINK("CSG7.html#group48O7", "48O⁷"), =HYPERLINK("CSG9.html#group24E9", "24E⁹"), =HYPERLINK("CSG8.html#group48AA8", "48AA⁸"), =HYPERLINK("CSG4.html#group24O4", "24O⁴"), =HYPERLINK("CSG3.html#group24Q3", "24Q³"), =HYPERLINK("CSG23.html#group96I23", "96I²³"), =HYPERLINK("CSG14.html#group84D14", "84D¹⁴"), =HYPERLINK("CSG13.html#group144C13", "144C¹³"), =HYPERLINK("CSG19.html#group72W19", "72W¹⁹"), =HYPERLINK("CSG9.html#group96F9", "96F⁹"), =HYPERLINK("CSG21.html#group48AQ21", "48AQ²¹"), =HYPERLINK("CSG17.html#group48D17", "48D¹⁷"), =HYPERLINK("CSG21.html#group96AT21", "96AT²¹"), =HYPERLINK("CSG17.html#group96D17", "96D¹⁷"), =HYPERLINK("CSG21.html#group96AJ21", "96AJ²¹"), =HYPERLINK("CSG19.html#group36N19", "36N¹⁹"), =HYPERLINK("CSG11.html#group12A11", "12A¹¹"), =HYPERLINK("CSG9.html#group24Q9", "24Q⁹"), =HYPERLINK("CSG21.html#group96AX21", "96AX²¹"), =HYPERLINK("CSG23.html#group96N23", "96N²³"), =HYPERLINK("CSG17.html#group96P17", "96P¹⁷"), =HYPERLINK("CSG19.html#group24R19", "24R¹⁹"), =HYPERLINK("CSG17.html#group96C17", "96C¹⁷"), =HYPERLINK("CSG21.html#group48BN21", "48BN²¹"), =HYPERLINK("CSG14.html#group144C14", "144C¹⁴"), =HYPERLINK("CSG3.html#group24T3", "24T³"), =HYPERLINK("CSG15.html#group48AB15", "48AB¹⁵"), =HYPERLINK("CSG11.html#group36N11", "36N¹¹"), =HYPERLINK("CSG13.html#group144D13", "144D¹³"), =HYPERLINK("CSG17.html#group96AF17", "96AF¹⁷"), =HYPERLINK("CSG19.html#group48BL19", "48BL¹⁹"), =HYPERLINK("CSG18.html#group96G18", "96G¹⁸"), =HYPERLINK("CSG17.html#group24V17", "24V¹⁷"), =HYPERLINK("CSG2.html#group24N2", "24N²"), =HYPERLINK("CSG6.html#group48I6", "48I⁶"), =HYPERLINK("CSG21.html#group84A21", "84A²¹"), =HYPERLINK("CSG21.html#group48AS21", "48AS²¹"), =HYPERLINK("CSG7.html#group24Z7", "24Z⁷"), =HYPERLINK("CSG5.html#group12D5", "12D⁵"), =HYPERLINK("CSG14.html#group144D14", "144D¹⁴"), =HYPERLINK("CSG8.html#group48U8", "48U⁸"), =HYPERLINK("CSG17.html#group48AL17", "48AL¹⁷"), =HYPERLINK("CSG2.html#group24L2", "24L²"), =HYPERLINK("CSG13.html#group60Z13", "60Z¹³"), =HYPERLINK("CSG23.html#group96F23", "96F²³"), =HYPERLINK("CSG17.html#group96G17", "96G¹⁷"), =HYPERLINK("CSG13.html#group60Y13", "60Y¹³"), =HYPERLINK("CSG22.html#group96C22", "96C²²"), =HYPERLINK("CSG20.html#group84C20", "84C²⁰"), =HYPERLINK("CSG16.html#group96D16", "96D¹⁶"), =HYPERLINK("CSG17.html#group96Y17", "96Y¹⁷"), =HYPERLINK("CSG13.html#group48AB13", "48AB¹³"), =HYPERLINK("CSG23.html#group60G23", "60G²³"), =HYPERLINK("CSG7.html#group48AE7", "48AE⁷"), =HYPERLINK("CSG7.html#group48AA7", "48AA⁷"), =HYPERLINK("CSG7.html#group24H7", "24H⁷"), =HYPERLINK("CSG19.html#group48AM19", "48AM¹⁹"), =HYPERLINK("CSG19.html#group48BI19", "48BI¹⁹"), =HYPERLINK("CSG23.html#group36C23", "36C²³"), =HYPERLINK("CSG12.html#group72J12", "72J¹²"), =HYPERLINK("CSG5.html#group36I5", "36I⁵"), =HYPERLINK("CSG23.html#group96O23", "96O²³"), =HYPERLINK("CSG19.html#group96AJ19", "96AJ¹⁹"), =HYPERLINK("CSG5.html#group96A5", "96A⁵"), =HYPERLINK("CSG13.html#group144B13", "144B¹³"), =HYPERLINK("CSG23.html#group96AG23", "96AG²³"), =HYPERLINK("CSG13.html#group72P13", "72P¹³"), =HYPERLINK("CSG16.html#group48C16", "48C¹⁶"), =HYPERLINK("CSG21.html#group96AG21", "96AG²¹"), =HYPERLINK("CSG21.html#group48H21", "48H²¹"), =HYPERLINK("CSG14.html#group72H14", "72H¹⁴"), =HYPERLINK("CSG13.html#group72H13", "72H¹³"), =HYPERLINK("CSG8.html#group24M8", "24M⁸"), =HYPERLINK("CSG8.html#group48S8", "48S⁸"), =HYPERLINK("CSG15.html#group48V15", "48V¹⁵"), =HYPERLINK("CSG4.html#group12A4", "12A⁴"), =HYPERLINK("CSG15.html#group96T15", "96T¹⁵"), =HYPERLINK("CSG15.html#group60A15", "60A¹⁵"), =HYPERLINK("CSG21.html#group48O21", "48O²¹"), =HYPERLINK("CSG21.html#group48A21", "48A²¹"), =HYPERLINK("CSG23.html#group144W23", "144W²³"), =HYPERLINK("CSG21.html#group288A21", "288A²¹"), =HYPERLINK("CSG3.html#group24S3", "24S³"), =HYPERLINK("CSG23.html#group96S23", "96S²³"), =HYPERLINK("CSG21.html#group48AN21", "48AN²¹"), =HYPERLINK("CSG15.html#group96O15", "96O¹⁵"), =HYPERLINK("CSG17.html#group96AB17", "96AB¹⁷"), =HYPERLINK("CSG22.html#group96A22", "96A²²"), =HYPERLINK("CSG6.html#group24K6", "24K⁶"), =HYPERLINK("CSG21.html#group48J21", "48J²¹"), =HYPERLINK("CSG13.html#group24O13", "24O¹³"), =HYPERLINK("CSG13.html#group120H13", "120H¹³"), =HYPERLINK("CSG17.html#group24K17", "24K¹⁷"), =HYPERLINK("CSG18.html#group168E18", "168E¹⁸"), =HYPERLINK("CSG21.html#group48V21", "48V²¹"), =HYPERLINK("CSG10.html#group96C10", "96C¹⁰"), =HYPERLINK("CSG7.html#group48AG7", "48AG⁷"), =HYPERLINK("CSG21.html#group48AA21", "48AA²¹"), =HYPERLINK("CSG17.html#group96R17", "96R¹⁷"), =HYPERLINK("CSG15.html#group48F15", "48F¹⁵"), =HYPERLINK("CSG17.html#group48R17", "48R¹⁷"), =HYPERLINK("CSG21.html#group48AK21", "48AK²¹"), =HYPERLINK("CSG9.html#group48K9", "48K⁹"), =HYPERLINK("CSG23.html#group96E23", "96E²³"), =HYPERLINK("CSG17.html#group48BL17", "48BL¹⁷"), =HYPERLINK("CSG22.html#group84I22", "84I²²"), =HYPERLINK("CSG14.html#group84C14", "84C¹⁴"), =HYPERLINK("CSG9.html#group36O9", "36O⁹"), =HYPERLINK("CSG17.html#group24J17", "24J¹⁷"), =HYPERLINK("CSG8.html#group48H8", "48H⁸"), =HYPERLINK("CSG15.html#group48Y15", "48Y¹⁵"), =HYPERLINK("CSG20.html#group96Z20", "96Z²⁰"), =HYPERLINK("CSG8.html#group48V8", "48V⁸"), =HYPERLINK("CSG16.html#group84B16", "84B¹⁶"), =HYPERLINK("CSG15.html#group24O15", "24O¹⁵"), =HYPERLINK("CSG7.html#group48AD7", "48AD⁷"), =HYPERLINK("CSG13.html#group120E13", "120E¹³"), =HYPERLINK("CSG19.html#group48O19", "48O¹⁹"), =HYPERLINK("CSG17.html#group48BC17", "48BC¹⁷"), =HYPERLINK("CSG19.html#group48BD19", "48BD¹⁹"), =HYPERLINK("CSG21.html#group48AX21", "48AX²¹"), =HYPERLINK("CSG18.html#group72E18", "72E¹⁸"), =HYPERLINK("CSG10.html#group144E10", "144E¹⁰"), =HYPERLINK("CSG19.html#group48BH19", "48BH¹⁹"), =HYPERLINK("CSG8.html#group48C8", "48C⁸"), =HYPERLINK("CSG17.html#group48BG17", "48BG¹⁷"), =HYPERLINK("CSG20.html#group96V20", "96V²⁰"), =HYPERLINK("CSG9.html#group24C9", "24C⁹"), =HYPERLINK("CSG18.html#group48G18", "48G¹⁸"), =HYPERLINK("CSG17.html#group48CB17", "48CB¹⁷"), =HYPERLINK("CSG15.html#group48W15", "48W¹⁵"), =HYPERLINK("CSG15.html#group96U15", "96U¹⁵"), =HYPERLINK("CSG17.html#group48BF17", "48BF¹⁷"), =HYPERLINK("CSG17.html#group96B17", "96B¹⁷"), =HYPERLINK("CSG16.html#group24B16", "24B¹⁶"), =HYPERLINK("CSG7.html#group24X7", "24X⁷"), =HYPERLINK("CSG4.html#group36R4", "36R⁴"), =HYPERLINK("CSG11.html#group24N11", "24N¹¹"), =HYPERLINK("CSG9.html#group24M9", "24M⁹"), =HYPERLINK("CSG12.html#group132F12", "132F¹²"), =HYPERLINK("CSG21.html#group48S21", "48S²¹"), =HYPERLINK("CSG17.html#group72K17", "72K¹⁷"), =HYPERLINK("CSG8.html#group48AE8", "48AE⁸"), =HYPERLINK("CSG15.html#group96Q15", "96Q¹⁵"), =HYPERLINK("CSG19.html#group96AB19", "96AB¹⁹"), =HYPERLINK("CSG21.html#group192J21", "192J²¹"), =HYPERLINK("CSG17.html#group72D17", "72D¹⁷"), =HYPERLINK("CSG11.html#group60S11", "60S¹¹"), =HYPERLINK("CSG3.html#group24N3", "24N³"), =HYPERLINK("CSG17.html#group72J17", "72J¹⁷"), =HYPERLINK("CSG20.html#group48F20", "48F²⁰"), =HYPERLINK("CSG21.html#group96AP21", "96AP²¹"), =HYPERLINK("CSG23.html#group96D23", "96D²³"), =HYPERLINK("CSG21.html#group48BT21", "48BT²¹"), =HYPERLINK("CSG13.html#group60O13", "60O¹³"), =HYPERLINK("CSG17.html#group24AH17", "24AH¹⁷"), =HYPERLINK("CSG23.html#group96G23", "96G²³"), =HYPERLINK("CSG3.html#group48D3", "48D³"), =HYPERLINK("CSG9.html#group48W9", "48W⁹"), =HYPERLINK("CSG23.html#group96C23", "96C²³"), =HYPERLINK("CSG17.html#group48AV17", "48AV¹⁷"), =HYPERLINK("CSG15.html#group24S15", "24S¹⁵"), =HYPERLINK("CSG13.html#group72N13", "72N¹³"), =HYPERLINK("CSG18.html#group96F18", "96F¹⁸"), =HYPERLINK("CSG22.html#group72J22", "72J²²"), =HYPERLINK("CSG17.html#group84H17", "84H¹⁷"), =HYPERLINK("CSG7.html#group24P7", "24P⁷"), =HYPERLINK("CSG23.html#group96J23", "96J²³"), =HYPERLINK("CSG17.html#group48BD17", "48BD¹⁷"), =HYPERLINK("CSG19.html#group48G19", "48G¹⁹"), =HYPERLINK("CSG16.html#group168G16", "168G¹⁶"), =HYPERLINK("CSG4.html#group72E4", "72E⁴"), =HYPERLINK("CSG9.html#group48J9", "48J⁹"), =HYPERLINK("CSG9.html#group48I9", "48I⁹"), =HYPERLINK("CSG8.html#group48Q8", "48Q⁸"), =HYPERLINK("CSG17.html#group24N17", "24N¹⁷"), =HYPERLINK("CSG17.html#group24O17", "24O¹⁷"), =HYPERLINK("CSG20.html#group96W20", "96W²⁰"), =HYPERLINK("CSG20.html#group96Y20", "96Y²⁰"), =HYPERLINK("CSG18.html#group144D18", "144D¹⁸"), =HYPERLINK("CSG15.html#group48AE15", "48AE¹⁵"), =HYPERLINK("CSG6.html#group24G6", "24G⁶"), =HYPERLINK("CSG16.html#group36B16", "36B¹⁶"), =HYPERLINK("CSG9.html#group24U9", "24U⁹"), =HYPERLINK("CSG19.html#group48B19", "48B¹⁹"), =HYPERLINK("CSG17.html#group48BE17", "48BE¹⁷"), =HYPERLINK("CSG17.html#group72F17", "72F¹⁷"), =HYPERLINK("CSG9.html#group96D9", "96D⁹"), =HYPERLINK("CSG15.html#group72M15", "72M¹⁵"), =HYPERLINK("CSG9.html#group96H9", "96H⁹"), =HYPERLINK("CSG19.html#group48AE19", "48AE¹⁹"), =HYPERLINK("CSG7.html#group12C7", "12C⁷"), =HYPERLINK("CSG17.html#group48BU17", "48BU¹⁷"), =HYPERLINK("CSG4.html#group12C4", "12C⁴"), =HYPERLINK("CSG21.html#group48AP21", "48AP²¹"), =HYPERLINK("CSG15.html#group48AF15", "48AF¹⁵"), =HYPERLINK("CSG12.html#group60C12", "60C¹²"), =HYPERLINK("CSG17.html#group24C17", "24C¹⁷"), =HYPERLINK("CSG19.html#group96H19", "96H¹⁹"), =HYPERLINK("CSG21.html#group96H21", "96H²¹"), =HYPERLINK("CSG12.html#group120B12", "120B¹²"), =HYPERLINK("CSG15.html#group24T15", "24T¹⁵"), =HYPERLINK("CSG2.html#group24O2", "24O²"), =HYPERLINK("CSG1.html#group12T1", "12T¹"), =HYPERLINK("CSG10.html#group48A10", "48A¹⁰"), =HYPERLINK("CSG17.html#group48BM17", "48BM¹⁷"), =HYPERLINK("CSG21.html#group96A21", "96A²¹"), =HYPERLINK("CSG19.html#group48BJ19", "48BJ¹⁹"), =HYPERLINK("CSG7.html#group48P7", "48P⁷"), =HYPERLINK("CSG6.html#group24F6", "24F⁶"), =HYPERLINK("CSG15.html#group36M15", "36M¹⁵"), =HYPERLINK("CSG20.html#group48B20", "48B²⁰"), =HYPERLINK("CSG19.html#group48AN19", "48AN¹⁹"), =HYPERLINK("CSG5.html#group24F5", "24F⁵"), =HYPERLINK("CSG17.html#group24AI17", "24AI¹⁷"), =HYPERLINK("CSG17.html#group24L17", "24L¹⁷"), =HYPERLINK("CSG7.html#group48S7", "48S⁷"), =HYPERLINK("CSG13.html#group72I13", "72I¹³"), =HYPERLINK("CSG19.html#group96BA19", "96BA¹⁹"), =HYPERLINK("CSG21.html#group48AZ21", "48AZ²¹"), =HYPERLINK("CSG17.html#group48J17", "48J¹⁷"), =HYPERLINK("CSG7.html#group24AE7", "24AE⁷"), =HYPERLINK("CSG20.html#group96AB20", "96AB²⁰"), =HYPERLINK("CSG9.html#group48X9", "48X⁹"), =HYPERLINK("CSG9.html#group24Y9", "24Y⁹"), =HYPERLINK("CSG9.html#group60M9", "60M⁹"), =HYPERLINK("CSG8.html#group144A8", "144A⁸"), =HYPERLINK("CSG3.html#group24R3", "24R³"), =HYPERLINK("CSG8.html#group48N8", "48N⁸"), =HYPERLINK("CSG21.html#group48F21", "48F²¹"), =HYPERLINK("CSG3.html#group96A3", "96A³"), =HYPERLINK("CSG7.html#group24K7", "24K⁷"), =HYPERLINK("CSG6.html#group24I6", "24I⁶"), =HYPERLINK("CSG16.html#group96E16", "96E¹⁶"), =HYPERLINK("CSG19.html#group24A19", "24A¹⁹"), =HYPERLINK("CSG20.html#group96A20", "96A²⁰"), =HYPERLINK("CSG21.html#group48Z21", "48Z²¹"), =HYPERLINK("CSG9.html#group48E9", "48E⁹"), =HYPERLINK("CSG17.html#group48BN17", "48BN¹⁷"), =HYPERLINK("CSG20.html#group96Q20", "96Q²⁰"), =HYPERLINK("CSG17.html#group48K17", "48K¹⁷"), =HYPERLINK("CSG8.html#group48W8", "48W⁸"), =HYPERLINK("CSG9.html#group24B9", "24B⁹"), =HYPERLINK("CSG18.html#group48I18", "48I¹⁸"), =HYPERLINK("CSG23.html#group204F23", "204F²³"), =HYPERLINK("CSG5.html#group24Y5", "24Y⁵"), =HYPERLINK("CSG6.html#group72B6", "72B⁶"), =HYPERLINK("CSG21.html#group48BD21", "48BD²¹"), =HYPERLINK("CSG3.html#group12J3", "12J³"), =HYPERLINK("CSG23.html#group96AC23", "96AC²³"), =HYPERLINK("CSG7.html#group48V7", "48V⁷"), =HYPERLINK("CSG19.html#group96X19", "96X¹⁹"), =HYPERLINK("CSG4.html#group24H4", "24H⁴"), =HYPERLINK("CSG15.html#group72N15", "72N¹⁵"), =HYPERLINK("CSG19.html#group48BA19", "48BA¹⁹"), =HYPERLINK("CSG6.html#group72D6", "72D⁶"), =HYPERLINK("CSG17.html#group24T17", "24T¹⁷"), =HYPERLINK("CSG8.html#group24K8", "24K⁸"), =HYPERLINK("CSG18.html#group48J18", "48J¹⁸"), =HYPERLINK("CSG15.html#group48AC15", "48AC¹⁵"), =HYPERLINK("CSG16.html#group36A16", "36A¹⁶"), =HYPERLINK("CSG7.html#group72B7", "72B⁷"), =HYPERLINK("CSG1.html#group24C1", "24C¹"), =HYPERLINK("CSG21.html#group48D21", "48D²¹"), =HYPERLINK("CSG9.html#group96K9", "96K⁹"), =HYPERLINK("CSG19.html#group96W19", "96W¹⁹"), =HYPERLINK("CSG21.html#group180I21", "180I²¹"), =HYPERLINK("CSG23.html#group96B23", "96B²³"), =HYPERLINK("CSG6.html#group48A6", "48A⁶"), =HYPERLINK("CSG20.html#group48D20", "48D²⁰"), =HYPERLINK("CSG17.html#group48I17", "48I¹⁷"), =HYPERLINK("CSG19.html#group96AO19", "96AO¹⁹"), =HYPERLINK("CSG21.html#group36C21", "36C²¹"), =HYPERLINK("CSG19.html#group96AR19", "96AR¹⁹"), =HYPERLINK("CSG11.html#group48G11", "48G¹¹"), =HYPERLINK("CSG16.html#group168C16", "168C¹⁶"), =HYPERLINK("CSG14.html#group72B14", "72B¹⁴"), =HYPERLINK("CSG8.html#group48F8", "48F⁸"), =HYPERLINK("CSG11.html#group48O11", "48O¹¹"), =HYPERLINK("CSG19.html#group96AI19", "96AI¹⁹"), =HYPERLINK("CSG9.html#group96B9", "96B⁹"), =HYPERLINK("CSG16.html#group24A16", "24A¹⁶"), =HYPERLINK("CSG3.html#group24I3", "24I³"), =HYPERLINK("CSG8.html#group96D8", "96D⁸"), =HYPERLINK("CSG15.html#group72U15", "72U¹⁵"), =HYPERLINK("CSG17.html#group72B17", "72B¹⁷"), =HYPERLINK("CSG15.html#group36D15", "36D¹⁵"), =HYPERLINK("CSG16.html#group48B16", "48B¹⁶"), =HYPERLINK("CSG13.html#group120A13", "120A¹³"), =HYPERLINK("CSG19.html#group24F19", "24F¹⁹"), =HYPERLINK("CSG11.html#group72M11", "72M¹¹"), =HYPERLINK("CSG21.html#group96AM21", "96AM²¹"), =HYPERLINK("CSG23.html#group60N23", "60N²³"), =HYPERLINK("CSG23.html#group120M23", "120M²³"), =HYPERLINK("CSG21.html#group48C21", "48C²¹"), =HYPERLINK("CSG20.html#group96U20", "96U²⁰"), =HYPERLINK("CSG3.html#group24H3", "24H³"), =HYPERLINK("CSG17.html#group24M17", "24M¹⁷"), =HYPERLINK("CSG15.html#group24B15", "24B¹⁵"), =HYPERLINK("CSG5.html#group24U5", "24U⁵"), =HYPERLINK("CSG15.html#group72W15", "72W¹⁵"), =HYPERLINK("CSG21.html#group48AI21", "48AI²¹"), =HYPERLINK("CSG7.html#group12B7", "12B⁷"), =HYPERLINK("CSG5.html#group24S5", "24S⁵"), =HYPERLINK("CSG9.html#group24J9", "24J⁹"), =HYPERLINK("CSG7.html#group24AB7", "24AB⁷"), =HYPERLINK("CSG19.html#group48U19", "48U¹⁹"), =HYPERLINK("CSG15.html#group24U15", "24U¹⁵"), =HYPERLINK("CSG17.html#group48AY17", "48AY¹⁷"), =HYPERLINK("CSG6.html#group84B6", "84B⁶"), =HYPERLINK("CSG9.html#group48R9", "48R⁹"), =HYPERLINK("CSG22.html#group96D22", "96D²²"), =HYPERLINK("CSG15.html#group72Q15", "72Q¹⁵"), =HYPERLINK("CSG18.html#group48P18", "48P¹⁸"), =HYPERLINK("CSG23.html#group120N23", "120N²³"), =HYPERLINK("CSG5.html#group48F5", "48F⁵"), =HYPERLINK("CSG15.html#group48G15", "48G¹⁵"), =HYPERLINK("CSG9.html#group24H9", "24H⁹"), =HYPERLINK("CSG21.html#group192K21", "192K²¹"), =HYPERLINK("CSG17.html#group24B17", "24B¹⁷"), =HYPERLINK("CSG13.html#group60X13", "60X¹³"), =HYPERLINK("CSG13.html#group36I13", "36I¹³"), =HYPERLINK("CSG12.html#group72L12", "72L¹²"), =HYPERLINK("CSG19.html#group48BC19", "48BC¹⁹"), =HYPERLINK("CSG9.html#group12B9", "12B⁹"), =HYPERLINK("CSG4.html#group48H4", "48H⁴"), =HYPERLINK("CSG15.html#group48AA15", "48AA¹⁵"), =HYPERLINK("CSG8.html#group24B8", "24B⁸"), =HYPERLINK("CSG19.html#group48BB19", "48BB¹⁹"), =HYPERLINK("CSG19.html#group48L19", "48L¹⁹"), =HYPERLINK("CSG8.html#group48P8", "48P⁸"), =HYPERLINK("CSG15.html#group48S15", "48S¹⁵"), =HYPERLINK("CSG13.html#group72M13", "72M¹³"), =HYPERLINK("CSG12.html#group96A12", "96A¹²"), =HYPERLINK("CSG10.html#group48B10", "48B¹⁰"), =HYPERLINK("CSG19.html#group96AN19", "96AN¹⁹"), =HYPERLINK("CSG19.html#group96AV19", "96AV¹⁹"), =HYPERLINK("CSG15.html#group84I15", "84I¹⁵"), =HYPERLINK("CSG21.html#group48BB21", "48BB²¹"), =HYPERLINK("CSG7.html#group48N7", "48N⁷"), =HYPERLINK("CSG15.html#group60D15", "60D¹⁵"), =HYPERLINK("CSG17.html#group48BK17", "48BK¹⁷"), =HYPERLINK("CSG18.html#group144C18", "144C¹⁸"), =HYPERLINK("CSG21.html#group48E21", "48E²¹"), =HYPERLINK("CSG17.html#group24AE17", "24AE¹⁷"), =HYPERLINK("CSG13.html#group48X13", "48X¹³"), =HYPERLINK("CSG4.html#group24E4", "24E⁴"), =HYPERLINK("CSG20.html#group96AE20", "96AE²⁰"), =HYPERLINK("CSG11.html#group48Q11", "48Q¹¹"), =HYPERLINK("CSG19.html#group48AB19", "48AB¹⁹"), =HYPERLINK("CSG9.html#group96C9", "96C⁹"), =HYPERLINK("CSG10.html#group48C10", "48C¹⁰"), =HYPERLINK("CSG3.html#group48F3", "48F³"), =HYPERLINK("CSG8.html#group48G8", "48G⁸"), =HYPERLINK("CSG15.html#group24M15", "24M¹⁵"), =HYPERLINK("CSG23.html#group168D23", "168D²³"), =HYPERLINK("CSG15.html#group96R15", "96R¹⁵"), =HYPERLINK("CSG21.html#group96Y21", "96Y²¹"), =HYPERLINK("CSG24.html#group336I24", "336I²⁴"), =HYPERLINK("CSG19.html#group96AH19", "96AH¹⁹"), =HYPERLINK("CSG16.html#group96B16", "96B¹⁶"), =HYPERLINK("CSG13.html#group72K13", "72K¹³"), =HYPERLINK("CSG19.html#group48BE19", "48BE¹⁹"), =HYPERLINK("CSG21.html#group48I21", "48I²¹"), =HYPERLINK("CSG21.html#group48AY21", "48AY²¹"), =HYPERLINK("CSG11.html#group48R11", "48R¹¹"), =HYPERLINK("CSG17.html#group48AI17", "48AI¹⁷"), =HYPERLINK("CSG10.html#group48D10", "48D¹⁰"), =HYPERLINK("CSG12.html#group36D12", "36D¹²"), =HYPERLINK("CSG17.html#group48AK17", "48AK¹⁷"), =HYPERLINK("CSG12.html#group96B12", "96B¹²"), =HYPERLINK("CSG17.html#group24AB17", "24AB¹⁷"), =HYPERLINK("CSG16.html#group36E16", "36E¹⁶"), =HYPERLINK("CSG21.html#group48AH21", "48AH²¹"), =HYPERLINK("CSG17.html#group48U17", "48U¹⁷"), =HYPERLINK("CSG15.html#group48M15", "48M¹⁵"), =HYPERLINK("CSG7.html#group36E7", "36E⁷"), =HYPERLINK("CSG15.html#group144B15", "144B¹⁵"), =HYPERLINK("CSG9.html#group24AA9", "24AA⁹"), =HYPERLINK("CSG20.html#group96F20", "96F²⁰"), =HYPERLINK("CSG13.html#group24Q13", "24Q¹³"), =HYPERLINK("CSG20.html#group96S20", "96S²⁰"), =HYPERLINK("CSG19.html#group96AK19", "96AK¹⁹"), =HYPERLINK("CSG20.html#group96C20", "96C²⁰"), =HYPERLINK("CSG22.html#group96B22", "96B²²"), =HYPERLINK("CSG11.html#group48N11", "48N¹¹"), =HYPERLINK("CSG7.html#group24AD7", "24AD⁷"), =HYPERLINK("CSG9.html#group48V9", "48V⁹"), =HYPERLINK("CSG15.html#group36N15", "36N¹⁵"), =HYPERLINK("CSG10.html#group24E10", "24E¹⁰"), =HYPERLINK("CSG19.html#group96L19", "96L¹⁹"), =HYPERLINK("CSG8.html#group24A8", "24A⁸"), =HYPERLINK("CSG7.html#group24V7", "24V⁷"), =HYPERLINK("CSG17.html#group48CD17", "48CD¹⁷"), =HYPERLINK("CSG20.html#group48H20", "48H²⁰"), =HYPERLINK("CSG19.html#group48AL19", "48AL¹⁹"), =HYPERLINK("CSG9.html#group24S9", "24S⁹"), =HYPERLINK("CSG18.html#group48B18", "48B¹⁸"), =HYPERLINK("CSG21.html#group48BK21", "48BK²¹"), =HYPERLINK("CSG13.html#group24U13", "24U¹³"), =HYPERLINK("CSG13.html#group144A13", "144A¹³"), =HYPERLINK("CSG17.html#group48P17", "48P¹⁷"), =HYPERLINK("CSG21.html#group48AT21", "48AT²¹"), =HYPERLINK("CSG21.html#group48AB21", "48AB²¹"), =HYPERLINK("CSG21.html#group48BC21", "48BC²¹"), =HYPERLINK("CSG13.html#group72J13", "72J¹³"), =HYPERLINK("CSG10.html#group48G10", "48G¹⁰"), =HYPERLINK("CSG23.html#group96AA23", "96AA²³"), =HYPERLINK("CSG21.html#group48B21", "48B²¹"), =HYPERLINK("CSG8.html#group24G8", "24G⁸"), =HYPERLINK("CSG17.html#group48S17", "48S¹⁷"), =HYPERLINK("CSG14.html#group72G14", "72G¹⁴"), =HYPERLINK("CSG19.html#group96AY19", "96AY¹⁹"), =HYPERLINK("CSG13.html#group120I13", "120I¹³"), =HYPERLINK("CSG19.html#group48E19", "48E¹⁹"), =HYPERLINK("CSG9.html#group24I9", "24I⁹"), =HYPERLINK("CSG8.html#group24L8", "24L⁸"), =HYPERLINK("CSG19.html#group96E19", "96E¹⁹"), =HYPERLINK("CSG4.html#group24K4", "24K⁴"), =HYPERLINK("CSG9.html#group24Z9", "24Z⁹"), =HYPERLINK("CSG13.html#group60AA13", "60AA¹³"), =HYPERLINK("CSG17.html#group48BJ17", "48BJ¹⁷"), =HYPERLINK("CSG17.html#group48BI17", "48BI¹⁷"), =HYPERLINK("CSG9.html#group48AE9", "48AE⁹"), =HYPERLINK("CSG21.html#group48Q21", "48Q²¹"), =HYPERLINK("CSG21.html#group48BQ21", "48BQ²¹"), =HYPERLINK("CSG15.html#group96S15", "96S¹⁵"), =HYPERLINK("CSG13.html#group60F13", "60F¹³"), =HYPERLINK("CSG7.html#group48U7", "48U⁷"), =HYPERLINK("CSG10.html#group96D10", "96D¹⁰"), =HYPERLINK("CSG3.html#group24A3", "24A³"), =HYPERLINK("CSG6.html#group24D6", "24D⁶"), =HYPERLINK("CSG16.html#group24E16", "24E¹⁶"), =HYPERLINK("CSG23.html#group96Z23", "96Z²³"), =HYPERLINK("CSG17.html#group48AU17", "48AU¹⁷"), =HYPERLINK("CSG17.html#group48CF17", "48CF¹⁷"), =HYPERLINK("CSG21.html#group48AV21", "48AV²¹"), =HYPERLINK("CSG5.html#group12C5", "12C⁵"), =HYPERLINK("CSG21.html#group48BO21", "48BO²¹"), =HYPERLINK("CSG16.html#group72B16", "72B¹⁶"), =HYPERLINK("CSG16.html#group48A16", "48A¹⁶"), =HYPERLINK("CSG10.html#group48F10", "48F¹⁰"), =HYPERLINK("CSG6.html#group48K6", "48K⁶"), =HYPERLINK("CSG11.html#group48E11", "48E¹¹"), =HYPERLINK("CSG17.html#group24F17", "24F¹⁷"), =HYPERLINK("CSG19.html#group48A19", "48A¹⁹"), =HYPERLINK("CSG17.html#group48BB17", "48BB¹⁷"), =HYPERLINK("CSG21.html#group96AV21", "96AV²¹"), =HYPERLINK("CSG18.html#group48T18", "48T¹⁸"), =HYPERLINK("CSG6.html#group36F6", "36F⁶"), =HYPERLINK("CSG21.html#group48BP21", "48BP²¹"), =HYPERLINK("CSG19.html#group48BM19", "48BM¹⁹"), =HYPERLINK("CSG11.html#group48B11", "48B¹¹"), =HYPERLINK("CSG6.html#group48C6", "48C⁶"), =HYPERLINK("CSG23.html#group96T23", "96T²³"), =HYPERLINK("CSG19.html#group24O19", "24O¹⁹"), =HYPERLINK("CSG21.html#group48G21", "48G²¹"), =HYPERLINK("CSG12.html#group72H12", "72H¹²"), =HYPERLINK("CSG18.html#group48Q18", "48Q¹⁸"), =HYPERLINK("CSG11.html#group96I11", "96I¹¹"), =HYPERLINK("CSG13.html#group120B13", "120B¹³"), =HYPERLINK("CSG13.html#group120C13", "120C¹³"), =HYPERLINK("CSG21.html#group48M21", "48M²¹"), =HYPERLINK("CSG13.html#group120G13", "120G¹³"), =HYPERLINK("CSG14.html#group144A14", "144A¹⁴"), =HYPERLINK("CSG1.html#group24D1", "24D¹"), =HYPERLINK("CSG23.html#group168B23", "168B²³"), =HYPERLINK("CSG9.html#group48U9", "48U⁹"), =HYPERLINK("CSG19.html#group96AM19", "96AM¹⁹"), =HYPERLINK("CSG19.html#group48AF19", "48AF¹⁹"), =HYPERLINK("CSG6.html#group24J6", "24J⁶"), =HYPERLINK("CSG13.html#group60P13", "60P¹³"), =HYPERLINK("CSG16.html#group72N16", "72N¹⁶"), =HYPERLINK("CSG8.html#group48AD8", "48AD⁸"), =HYPERLINK("CSG17.html#group48AX17", "48AX¹⁷"), =HYPERLINK("CSG22.html#group168D22", "168D²²"), =HYPERLINK("CSG3.html#group48C3", "48C³"), =HYPERLINK("CSG15.html#group72J15", "72J¹⁵"), =HYPERLINK("CSG19.html#group96AQ19", "96AQ¹⁹"), =HYPERLINK("CSG17.html#group48BA17", "48BA¹⁷"), =HYPERLINK("CSG7.html#group48AB7", "48AB⁷"), =HYPERLINK("CSG11.html#group48L11", "48L¹¹"), =HYPERLINK("CSG12.html#group96D12", "96D¹²"), =HYPERLINK("CSG15.html#group72I15", "72I¹⁵"), =HYPERLINK("CSG21.html#group48K21", "48K²¹"), =HYPERLINK("CSG19.html#group24C19", "24C¹⁹"), =HYPERLINK("CSG8.html#group48D8", "48D⁸"), =HYPERLINK("CSG12.html#group36E12", "36E¹²"), =HYPERLINK("CSG20.html#group96G20", "96G²⁰"), =HYPERLINK("CSG2.html#group24M2", "24M²"), =HYPERLINK("CSG5.html#group24T5", "24T⁵"), =HYPERLINK("CSG17.html#group48T17", "48T¹⁷"), =HYPERLINK("CSG8.html#group96C8",</f>
        <v/>
      </c>
    </row>
    <row r="81">
      <c r="A81" t="inlineStr">
        <is>
          <t>12D⁰</t>
        </is>
      </c>
      <c r="B81" t="inlineStr"/>
      <c r="C81" t="inlineStr">
        <is>
          <t>18</t>
        </is>
      </c>
      <c r="D81" t="inlineStr">
        <is>
          <t>1</t>
        </is>
      </c>
      <c r="E81" t="inlineStr">
        <is>
          <t>9</t>
        </is>
      </c>
      <c r="F81" t="inlineStr">
        <is>
          <t>4</t>
        </is>
      </c>
      <c r="G81" t="inlineStr">
        <is>
          <t>0</t>
        </is>
      </c>
      <c r="H81" t="inlineStr">
        <is>
          <t>3², 12¹</t>
        </is>
      </c>
      <c r="I81" t="n">
        <v>3</v>
      </c>
      <c r="J81" t="inlineStr">
        <is>
          <t>1³, 2³</t>
        </is>
      </c>
      <c r="K81">
        <f>HYPERLINK("CSG0.html#group6D0", "6D⁰")</f>
        <v/>
      </c>
      <c r="L81">
        <f>HYPERLINK("CSG0.html#group12G0", "12G⁰"), =HYPERLINK("CSG0.html#group12H0", "12H⁰"), =HYPERLINK("CSG1.html#group12K1", "12K¹"), =HYPERLINK("CSG1.html#group12N1", "12N¹"), =HYPERLINK("CSG2.html#group12E2", "12E²"), =HYPERLINK("CSG2.html#group36C2", "36C²"), =HYPERLINK("CSG3.html#group36D3", "36D³"), =HYPERLINK("CSG5.html#group60B5", "60B⁵"), =HYPERLINK("CSG6.html#group60C6", "60C⁶"), =HYPERLINK("CSG7.html#group84C7", "84C⁷"), =HYPERLINK("CSG10.html#group84C10", "84C¹⁰"), =HYPERLINK("CSG11.html#group60M11", "60M¹¹"), =HYPERLINK("CSG13.html#group132A13", "132A¹³"), =HYPERLINK("CSG16.html#group132C16", "132C¹⁶"), =HYPERLINK("CSG17.html#group156C17", "156C¹⁷"), =HYPERLINK("CSG23.html#group204H23", "204H²³")</f>
        <v/>
      </c>
      <c r="M81">
        <f>HYPERLINK("CSG0.html#group3A0", "3A⁰"), =HYPERLINK("CSG0.html#group1A0", "1A⁰"), =HYPERLINK("CSG0.html#group2B0", "2B⁰"), =HYPERLINK("CSG0.html#group6D0", "6D⁰")</f>
        <v/>
      </c>
      <c r="N81">
        <f>HYPERLINK("CSG4.html#group24Q4", "24Q⁴"), =HYPERLINK("CSG19.html#group96AH19", "96AH¹⁹"), =HYPERLINK("CSG16.html#group96B16", "96B¹⁶"), =HYPERLINK("CSG23.html#group120S23", "120S²³"), =HYPERLINK("CSG21.html#group48AY21", "48AY²¹"), =HYPERLINK("CSG8.html#group48O8", "48O⁸"), =HYPERLINK("CSG9.html#group48N9", "48N⁹"), =HYPERLINK("CSG11.html#group48R11", "48R¹¹"), =HYPERLINK("CSG15.html#group24L15", "24L¹⁵"), =HYPERLINK("CSG3.html#group12G3", "12G³"), =HYPERLINK("CSG15.html#group72T15", "72T¹⁵"), =HYPERLINK("CSG13.html#group48W13", "48W¹³"), =HYPERLINK("CSG16.html#group84D16", "84D¹⁶"), =HYPERLINK("CSG16.html#group36E16", "36E¹⁶"), =HYPERLINK("CSG22.html#group36L22", "36L²²"), =HYPERLINK("CSG17.html#group48U17", "48U¹⁷"), =HYPERLINK("CSG15.html#group36B15", "36B¹⁵"), =HYPERLINK("CSG16.html#group48D16", "48D¹⁶"), =HYPERLINK("CSG21.html#group48AE21", "48AE²¹"), =HYPERLINK("CSG15.html#group24K15", "24K¹⁵"), =HYPERLINK("CSG17.html#group48AG17", "48AG¹⁷"), =HYPERLINK("CSG13.html#group36C13", "36C¹³"), =HYPERLINK("CSG15.html#group60I15", "60I¹⁵"), =HYPERLINK("CSG19.html#group96AK19", "96AK¹⁹"), =HYPERLINK("CSG7.html#group24G7", "24G⁷"), =HYPERLINK("CSG19.html#group36U19", "36U¹⁹"), =HYPERLINK("CSG13.html#group24Q13", "24Q¹³"), =HYPERLINK("CSG3.html#group24K3", "24K³"), =HYPERLINK("CSG20.html#group96F20", "96F²⁰"), =HYPERLINK("CSG7.html#group36G7", "36G⁷"), =HYPERLINK("CSG13.html#group60AE13", "60AE¹³"), =HYPERLINK("CSG11.html#group48N11", "48N¹¹"), =HYPERLINK("CSG7.html#group24AD7", "24AD⁷"), =HYPERLINK("CSG7.html#group48AH7", "48AH⁷"), =HYPERLINK("CSG11.html#group60U11", "60U¹¹"), =HYPERLINK("CSG15.html#group72P15", "72P¹⁵"), =HYPERLINK("CSG17.html#group48CD17", "48CD¹⁷"), =HYPERLINK("CSG17.html#group48M17", "48M¹⁷"), =HYPERLINK("CSG7.html#group24V7", "24V⁷"), =HYPERLINK("CSG10.html#group84C10", "84C¹⁰"), =HYPERLINK("CSG5.html#group36K5", "36K⁵"), =HYPERLINK("CSG4.html#group36P4", "36P⁴"), =HYPERLINK("CSG13.html#group24U13", "24U¹³"), =HYPERLINK("CSG17.html#group48AH17", "48AH¹⁷"), =HYPERLINK("CSG15.html#group36C15", "36C¹⁵"), =HYPERLINK("CSG19.html#group48I19", "48I¹⁹"), =HYPERLINK("CSG21.html#group48BK21", "48BK²¹"), =HYPERLINK("CSG21.html#group48AT21", "48AT²¹"), =HYPERLINK("CSG21.html#group96M21", "96M²¹"), =HYPERLINK("CSG16.html#group36H16", "36H¹⁶"), =HYPERLINK("CSG8.html#group36D8", "36D⁸"), =HYPERLINK("CSG23.html#group96AA23", "96AA²³"), =HYPERLINK("CSG15.html#group72R15", "72R¹⁵"), =HYPERLINK("CSG15.html#group24I15", "24I¹⁵"), =HYPERLINK("CSG19.html#group96AS19", "96AS¹⁹"), =HYPERLINK("CSG13.html#group48Y13", "48Y¹³"), =HYPERLINK("CSG13.html#group48AC13", "48AC¹³"), =HYPERLINK("CSG19.html#group48E19", "48E¹⁹"), =HYPERLINK("CSG9.html#group24I9", "24I⁹"), =HYPERLINK("CSG17.html#group48AQ17", "48AQ¹⁷"), =HYPERLINK("CSG9.html#group24Z9", "24Z⁹"), =HYPERLINK("CSG16.html#group36I16", "36I¹⁶"), =HYPERLINK("CSG21.html#group48BQ21", "48BQ²¹"), =HYPERLINK("CSG17.html#group48BH17", "48BH¹⁷"), =HYPERLINK("CSG20.html#group84H20", "84H²⁰"), =HYPERLINK("CSG21.html#group48AV21", "48AV²¹"), =HYPERLINK("CSG21.html#group48BE21", "48BE²¹"), =HYPERLINK("CSG15.html#group48U15", "48U¹⁵"), =HYPERLINK("CSG17.html#group24AA17", "24AA¹⁷"), =HYPERLINK("CSG7.html#group12E7", "12E⁷"), =HYPERLINK("CSG21.html#group96N21", "96N²¹"), =HYPERLINK("CSG23.html#group120R23", "120R²³"), =HYPERLINK("CSG3.html#group24M3", "24M³"), =HYPERLINK("CSG13.html#group24V13", "24V¹³"), =HYPERLINK("CSG6.html#group48K6", "48K⁶"), =HYPERLINK("CSG17.html#group48AA17", "48AA¹⁷"), =HYPERLINK("CSG19.html#group24B19", "24B¹⁹"), =HYPERLINK("CSG19.html#group48P19", "48P¹⁹"), =HYPERLINK("CSG2.html#group12H2", "12H²"), =HYPERLINK("CSG19.html#group48AW19", "48AW¹⁹"), =HYPERLINK("CSG19.html#group48BM19", "48BM¹⁹"), =HYPERLINK("CSG5.html#group12C5", "12C⁵"), =HYPERLINK("CSG13.html#group12A13", "12A¹³"), =HYPERLINK("CSG14.html#group72K14", "72K¹⁴"), =HYPERLINK("CSG17.html#group48BR17", "48BR¹⁷"), =HYPERLINK("CSG23.html#group36A23", "36A²³"), =HYPERLINK("CSG15.html#group24D15", "24D¹⁵"), =HYPERLINK("CSG13.html#group24X13", "24X¹³"), =HYPERLINK("CSG12.html#group36F12", "36F¹²"), =HYPERLINK("CSG3.html#group36D3", "36D³"), =HYPERLINK("CSG19.html#group84D19", "84D¹⁹"), =HYPERLINK("CSG7.html#group48X7", "48X⁷"), =HYPERLINK("CSG17.html#group48CC17", "48CC¹⁷"), =HYPERLINK("CSG21.html#group48M21", "48M²¹"), =HYPERLINK("CSG21.html#group36E21", "36E²¹"), =HYPERLINK("CSG11.html#group36L11", "36L¹¹"), =HYPERLINK("CSG17.html#group24U17", "24U¹⁷"), =HYPERLINK("CSG7.html#group36N7", "36N⁷"), =HYPERLINK("CSG7.html#group24N7", "24N⁷"), =HYPERLINK("CSG19.html#group96AM19", "96AM¹⁹"), =HYPERLINK("CSG15.html#group84H15", "84H¹⁵"), =HYPERLINK("CSG6.html#group24J6", "24J⁶"), =HYPERLINK("CSG17.html#group24AK17", "24AK¹⁷"), =HYPERLINK("CSG15.html#group96M15", "96M¹⁵"), =HYPERLINK("CSG8.html#group36M8", "36M⁸"), =HYPERLINK("CSG21.html#group48N21", "48N²¹"), =HYPERLINK("CSG19.html#group36O19", "36O¹⁹"), =HYPERLINK("CSG21.html#group84F21", "84F²¹"), =HYPERLINK("CSG15.html#group48N15", "48N¹⁵"), =HYPERLINK("CSG5.html#group24T5", "24T⁵"), =HYPERLINK("CSG21.html#group84H21", "84H²¹"), =HYPERLINK("CSG21.html#group48K21", "48K²¹"), =HYPERLINK("CSG15.html#group96N15", "96N¹⁵"), =HYPERLINK("CSG19.html#group24C19", "24C¹⁹"), =HYPERLINK("CSG16.html#group96A16", "96A¹⁶"), =HYPERLINK("CSG19.html#group96AL19", "96AL¹⁹"), =HYPERLINK("CSG12.html#group36E12", "36E¹²"), =HYPERLINK("CSG13.html#group48AF13", "48AF¹³"), =HYPERLINK("CSG15.html#group24E15", "24E¹⁵"), =HYPERLINK("CSG19.html#group24L19", "24L¹⁹"), =HYPERLINK("CSG19.html#group48H19", "48H¹⁹"), =HYPERLINK("CSG5.html#group60B5", "60B⁵"), =HYPERLINK("CSG17.html#group48AR17", "48AR¹⁷"), =HYPERLINK("CSG5.html#group24X5", "24X⁵"), =HYPERLINK("CSG19.html#group24P19", "24P¹⁹"), =HYPERLINK("CSG19.html#group96AU19", "96AU¹⁹"), =HYPERLINK("CSG13.html#group48AA13", "48AA¹³"), =HYPERLINK("CSG17.html#group84K17", "84K¹⁷"), =HYPERLINK("CSG11.html#group72Q11", "72Q¹¹"), =HYPERLINK("CSG7.html#group24T7", "24T⁷"), =HYPERLINK("CSG16.html#group72R16", "72R¹⁶"), =HYPERLINK("CSG9.html#group48AF9", "48AF⁹"), =HYPERLINK("CSG21.html#group60W21", "60W²¹"), =HYPERLINK("CSG20.html#group48G20", "48G²⁰"), =HYPERLINK("CSG17.html#group84G17", "84G¹⁷"), =HYPERLINK("CSG17.html#group48Y17", "48Y¹⁷"), =HYPERLINK("CSG21.html#group48R21", "48R²¹"), =HYPERLINK("CSG17.html#group24AJ17", "24AJ¹⁷"), =HYPERLINK("CSG21.html#group36D21", "36D²¹"), =HYPERLINK("CSG5.html#group24W5", "24W⁵"), =HYPERLINK("CSG19.html#group48AA19", "48AA¹⁹"), =HYPERLINK("CSG23.html#group36B23", "36B²³"), =HYPERLINK("CSG20.html#group180G20", "180G²⁰"), =HYPERLINK("CSG8.html#group72L8", "72L⁸"), =HYPERLINK("CSG7.html#group48T7", "48T⁷"), =HYPERLINK("CSG17.html#group24Z17", "24Z¹⁷"), =HYPERLINK("CSG19.html#group36S19", "36S¹⁹"), =HYPERLINK("CSG21.html#group48Y21", "48Y²¹"), =HYPERLINK("CSG15.html#group48E15", "48E¹⁵"), =HYPERLINK("CSG17.html#group24P17", "24P¹⁷"), =HYPERLINK("CSG19.html#group24K19", "24K¹⁹"), =HYPERLINK("CSG13.html#group48V13", "48V¹³"), =HYPERLINK("CSG14.html#group72C14", "72C¹⁴"), =HYPERLINK("CSG12.html#group60B12", "60B¹²"), =HYPERLINK("CSG23.html#group96AB23", "96AB²³"), =HYPERLINK("CSG15.html#group24A15", "24A¹⁵"), =HYPERLINK("CSG3.html#group12O3", "12O³"), =HYPERLINK("CSG15.html#group48K15", "48K¹⁵"), =HYPERLINK("CSG21.html#group60X21", "60X²¹"), =HYPERLINK("CSG15.html#group96V15", "96V¹⁵"), =HYPERLINK("CSG13.html#group24Y13", "24Y¹³"), =HYPERLINK("CSG6.html#group24E6", "24E⁶"), =HYPERLINK("CSG13.html#group24N13", "24N¹³"), =HYPERLINK("CSG19.html#group48K19", "48K¹⁹"), =HYPERLINK("CSG16.html#group48E16", "48E¹⁶"), =HYPERLINK("CSG17.html#group48BY17", "48BY¹⁷"), =HYPERLINK("CSG20.html#group96K20", "96K²⁰"), =HYPERLINK("CSG17.html#group24G17", "24G¹⁷"), =HYPERLINK("CSG17.html#group24AM17", "24AM¹⁷"), =HYPERLINK("CSG17.html#group24Q17", "24Q¹⁷"), =HYPERLINK("CSG20.html#group48E20", "48E²⁰"), =HYPERLINK("CSG11.html#group72R11", "72R¹¹"), =HYPERLINK("CSG23.html#group144Y23", "144Y²³"), =HYPERLINK("CSG21.html#group96F21", "96F²¹"), =HYPERLINK("CSG18.html#group36B18", "36B¹⁸"), =HYPERLINK("CSG16.html#group84C16", "84C¹⁶"), =HYPERLINK("CSG21.html#group72AA21", "72AA²¹"), =HYPERLINK("CSG15.html#group24J15", "24J¹⁵"), =HYPERLINK("CSG23.html#group36D23", "36D²³"), =HYPERLINK("CSG17.html#group48CI17", "48CI¹⁷"), =HYPERLINK("CSG17.html#group48AB17", "48AB¹⁷"), =HYPERLINK("CSG15.html#group48T15", "48T¹⁵"), =HYPERLINK("CSG23.html#group120Q23", "120Q²³"), =HYPERLINK("CSG6.html#group36C6", "36C⁶"), =HYPERLINK("CSG8.html#group24O8", "24O⁸"), =HYPERLINK("CSG13.html#group24M13", "24M¹³"), =HYPERLINK("CSG17.html#group24Y17", "24Y¹⁷"), =HYPERLINK("CSG19.html#group36T19", "36T¹⁹"), =HYPERLINK("CSG23.html#group96R23", "96R²³"), =HYPERLINK("CSG15.html#group24R15", "24R¹⁵"), =HYPERLINK("CSG15.html#group48P15", "48P¹⁵"), =HYPERLINK("CSG3.html#group24L3", "24L³"), =HYPERLINK("CSG17.html#group48AS17", "48AS¹⁷"), =HYPERLINK("CSG23.html#group60F23", "60F²³"), =HYPERLINK("CSG9.html#group24E9", "24E⁹"), =HYPERLINK("CSG15.html#group72G15", "72G¹⁵"), =HYPERLINK("CSG20.html#group48I20", "48I²⁰"), =HYPERLINK("CSG14.html#group84D14", "84D¹⁴"), =HYPERLINK("CSG14.html#group60E14", "60E¹⁴"), =HYPERLINK("CSG18.html#group84F18", "84F¹⁸"), =HYPERLINK("CSG1.html#group12K1", "12K¹"), =HYPERLINK("CSG5.html#group12B5", "12B⁵"), =HYPERLINK("CSG11.html#group60M11", "60M¹¹"), =HYPERLINK("CSG11.html#group60N11", "60N¹¹"), =HYPERLINK("CSG9.html#group24G9", "24G⁹"), =HYPERLINK("CSG11.html#group12A11", "12A¹¹"), =HYPERLINK("CSG9.html#group24Q9", "24Q⁹"), =HYPERLINK("CSG9.html#group72H9", "72H⁹"), =HYPERLINK("CSG5.html#group24V5", "24V⁵"), =HYPERLINK("CSG23.html#group96W23", "96W²³"), =HYPERLINK("CSG11.html#group36M11", "36M¹¹"), =HYPERLINK("CSG21.html#group48P21", "48P²¹"), =HYPERLINK("CSG19.html#group24R19", "24R¹⁹"), =HYPERLINK("CSG14.html#group36A14", "36A¹⁴"), =HYPERLINK("CSG11.html#group60P11", "60P¹¹"), =HYPERLINK("CSG7.html#group24I7", "24I⁷"), =HYPERLINK("CSG15.html#group48AB15", "48AB¹⁵"), =HYPERLINK("CSG11.html#group36N11", "36N¹¹"), =HYPERLINK("CSG13.html#group60T13", "60T¹³"), =HYPERLINK("CSG19.html#group96F19", "96F¹⁹"), =HYPERLINK("CSG7.html#group24U7", "24U⁷"), =HYPERLINK("CSG10.html#group36Q10", "36Q¹⁰"), =HYPERLINK("CSG17.html#group24V17", "24V¹⁷"), =HYPERLINK("CSG2.html#group24N2", "24N²"), =HYPERLINK("CSG6.html#group48I6", "48I⁶"), =HYPERLINK("CSG21.html#group96AB21", "96AB²¹"), =HYPERLINK("CSG5.html#group12D5", "12D⁵"), =HYPERLINK("CSG23.html#group60D23", "60D²³"), =HYPERLINK("CSG19.html#group96AT19", "96AT¹⁹"), =HYPERLINK("CSG17.html#group48F17", "48F¹⁷"), =HYPERLINK("CSG17.html#group24S17", "24S¹⁷"), =HYPERLINK("CSG13.html#group72L13", "72L¹³"), =HYPERLINK("CSG7.html#group48Q7", "48Q⁷"), =HYPERLINK("CSG5.html#group24D5", "24D⁵"), =HYPERLINK("CSG17.html#group48C17", "48C¹⁷"), =HYPERLINK("CSG23.html#group72I23", "72I²³"), =HYPERLINK("CSG3.html#group48M3", "48M³"), =HYPERLINK("CSG16.html#group96D16", "96D¹⁶"), =HYPERLINK("CSG13.html#group48AB13", "48AB¹³"), =HYPERLINK("CSG23.html#group180M23", "180M²³"), =HYPERLINK("CSG16.html#group60E16", "60E¹⁶"), =HYPERLINK("CSG7.html#group48AE7", "48AE⁷"), =HYPERLINK("CSG23.html#group36C23", "36C²³"), =HYPERLINK("CSG21.html#group48BJ21", "48BJ²¹"), =HYPERLINK("CSG21.html#group96P21", "96P²¹"), =HYPERLINK("CSG17.html#group48E17", "48E¹⁷"), =HYPERLINK("CSG7.html#group24M7", "24M⁷"), =HYPERLINK("CSG21.html#group84C21", "84C²¹"), =HYPERLINK("CSG20.html#group96L20", "96L²⁰"), =HYPERLINK("CSG21.html#group72AB21", "72AB²¹"), =HYPERLINK("CSG19.html#group96AE19", "96AE¹⁹"), =HYPERLINK("CSG3.html#group12F3", "12F³"), =HYPERLINK("CSG13.html#group24R13", "24R¹³"), =HYPERLINK("CSG16.html#group48C16", "48C¹⁶"), =HYPERLINK("CSG2.html#group12E2", "12E²"), =HYPERLINK("CSG17.html#group84M17", "84M¹⁷"), =HYPERLINK("CSG17.html#group24I17", "24I¹⁷"), =HYPERLINK("CSG17.html#group48G17", "48G¹⁷"), =HYPERLINK("CSG8.html#group24M8", "24M⁸"), =HYPERLINK("CSG6.html#group36H6", "36H⁶"), =HYPERLINK("CSG15.html#group48V15", "48V¹⁵"), =HYPERLINK("CSG21.html#group180A21", "180A²¹"), =HYPERLINK("CSG17.html#group48CA17", "48CA¹⁷"), =HYPERLINK("CSG21.html#group48O21", "48O²¹"), =HYPERLINK("CSG3.html#group24S3", "24S³"), =HYPERLINK("CSG21.html#group48BF21", "48BF²¹"), =HYPERLINK("CSG8.html#group24J8", "24J⁸"), =HYPERLINK("CSG21.html#group48AN21", "48AN²¹"), =HYPERLINK("CSG5.html#group24R5", "24R⁵"), =HYPERLINK("CSG9.html#group24L9", "24L⁹"), =HYPERLINK("CSG13.html#group24O13", "24O¹³"), =HYPERLINK("CSG1.html#group24H1", "24H¹"), =HYPERLINK("CSG9.html#group24AP9", "24AP⁹"), =HYPERLINK("CSG17.html#group96I17", "96I¹⁷"), =HYPERLINK("CSG21.html#group48AA21", "48AA²¹"), =HYPERLINK("CSG17.html#group48R17", "48R¹⁷"), =HYPERLINK("CSG15.html#group48F15", "48F¹⁵"), =HYPERLINK("CSG9.html#group36O9", "36O⁹"), =HYPERLINK("CSG17.html#group24J17", "24J¹⁷"), =HYPERLINK("CSG3.html#group24AC3", "24AC³"), =HYPERLINK("CSG13.html#group24K13", "24K¹³"), =HYPERLINK("CSG7.html#group36D7", "36D⁷"), =HYPERLINK("CSG19.html#group96N19", "96N¹⁹"), =HYPERLINK("CSG7.html#group36F7", "36F⁷"), =HYPERLINK("CSG9.html#group36P9", "36P⁹"), =HYPERLINK("CSG13.html#group36P13", "36P¹³"), =HYPERLINK("CSG15.html#group24O15", "24O¹⁵"), =HYPERLINK("CSG7.html#group48AD7", "48AD⁷"), =HYPERLINK("CSG17.html#group84L17", "84L¹⁷"), =HYPERLINK("CSG14.html#group36B14", "36B¹⁴"), =HYPERLINK("CSG7.html#group36C7", "36C⁷"), =HYPERLINK("CSG16.html#group36G16", "36G¹⁶"), =HYPERLINK("CSG19.html#group48F19", "48F¹⁹"), =HYPERLINK("CSG16.html#group84E16", "84E¹⁶"), =HYPERLINK("CSG23.html#group84F23", "84F²³"), =HYPERLINK("CSG17.html#group48BC17", "48BC¹⁷"), =HYPERLINK("CSG12.html#group72M12", "72M¹²"), =HYPERLINK("CSG16.html#group36C16", "36C¹⁶"), =HYPERLINK("CSG17.html#group48BG17", "48BG¹⁷"), =HYPERLINK("CSG13.html#group60AF13", "60AF¹³"), =HYPERLINK("CSG16.html#group132C16", "132C¹⁶"), =HYPERLINK("CSG13.html#group24Z13", "24Z¹³"), =HYPERLINK("CSG2.html#group12I2", "12I²"), =HYPERLINK("CSG17.html#group48BF17", "48BF¹⁷"), =HYPERLINK("CSG17.html#group156C17", "156C¹⁷"), =HYPERLINK("CSG13.html#group24S13", "24S¹³"), =HYPERLINK("CSG21.html#group48AW21", "48AW²¹"), =HYPERLINK("CSG19.html#group48Y19", "48Y¹⁹"), =HYPERLINK("CSG17.html#group24X17", "24X¹⁷"), =HYPERLINK("CSG4.html#group36R4", "36R⁴"), =HYPERLINK("CSG11.html#group24N11", "24N¹¹"), =HYPERLINK("CSG1.html#group12S1", "12S¹"), =HYPERLINK("CSG4.html#group12B4", "12B⁴"), =HYPERLINK("CSG9.html#group24M9", "24M⁹"), =HYPERLINK("CSG16.html#group48J16", "48J¹⁶"), =HYPERLINK("CSG1.html#group12N1", "12N¹"), =HYPERLINK("CSG21.html#group48S21", "48S²¹"), =HYPERLINK("CSG21.html#group96I21", "96I²¹"), =HYPERLINK("CSG13.html#group24AA13", "24AA¹³"), =HYPERLINK("CSG15.html#group24F15", "24F¹⁵"), =HYPERLINK("CSG15.html#group96P15", "96P¹⁵"), =HYPERLINK("CSG23.html#group96X23", "96X²³"), =HYPERLINK("CSG21.html#group48AU21", "48AU²¹"), =HYPERLINK("CSG7.html#group48R7", "48R⁷"), =HYPERLINK("CSG13.html#group60S13", "60S¹³"), =HYPERLINK("CSG17.html#group72D17", "72D¹⁷"), =HYPERLINK("CSG11.html#group60S11", "60S¹¹"), =HYPERLINK("CSG13.html#group60C13", "60C¹³"), =HYPERLINK("CSG8.html#group24N8", "24N⁸"), =HYPERLINK("CSG20.html#group48F20", "48F²⁰"), =HYPERLINK("CSG13.html#group48Z13", "48Z¹³"), =HYPERLINK("CSG17.html#group48AV17", "48AV¹⁷"), =HYPERLINK("CSG15.html#group24S15", "24S¹⁵"), =HYPERLINK("CSG7.html#group24S7", "24S⁷"), =HYPERLINK("CSG1.html#group24I1", "24I¹"), =HYPERLINK("CSG17.html#group48BD17", "48BD¹⁷"), =HYPERLINK("CSG17.html#group72X17", "72X¹⁷"), =HYPERLINK("CSG16.html#group84G16", "84G¹⁶"), =HYPERLINK("CSG17.html#group24H17", "24H¹⁷"), =HYPERLINK("CSG12.html#group72D12", "72D¹²"), =HYPERLINK("CSG19.html#group96D19", "96D¹⁹"), =HYPERLINK("CSG21.html#group180J21", "180J²¹"), =HYPERLINK("CSG9.html#group48D9", "48D⁹"), =HYPERLINK("CSG17.html#group24N17", "24N¹⁷"), =HYPERLINK("CSG17.html#group24O17", "24O¹⁷"), =HYPERLINK("CSG17.html#group36K17", "36K¹⁷"), =HYPERLINK("CSG7.html#group24W7", "24W⁷"), =HYPERLINK("CSG17.html#group48B17", "48B¹⁷"), =HYPERLINK("CSG7.html#group12D7", "12D⁷"), =HYPERLINK("CSG16.html#group36B16", "36B¹⁶"), =HYPERLINK("CSG11.html#group96K11", "96K¹¹"), =HYPERLINK("CSG19.html#group36Q19", "36Q¹⁹"), =HYPERLINK("CSG17.html#group48BE17", "48BE¹⁷"), =HYPERLINK("CSG15.html#group48R15", "48R¹⁵"), =HYPERLINK("CSG19.html#group96AF19", "96AF¹⁹"), =HYPERLINK("CSG19.html#group144J19", "144J¹⁹"), =HYPERLINK("CSG19.html#group36M19", "36M¹⁹"), =HYPERLINK("CSG12.html#group60C12", "60C¹²"), =HYPERLINK("CSG4.html#group12C4", "12C⁴"), =HYPERLINK("CSG21.html#group48AP21", "48AP²¹"), =HYPERLINK("CSG21.html#group48AG21", "48AG²¹"), =HYPERLINK("CSG17.html#group48BU17", "48BU¹⁷"), =HYPERLINK("CSG17.html#group24C17", "24C¹⁷"), =HYPERLINK("CSG1.html#group12T1", "12T¹"), =HYPERLINK("CSG21.html#group48AO21", "48AO²¹"), =HYPERLINK("CSG13.html#group60H13", "60H¹³"), =HYPERLINK("CSG15.html#group36K15", "36K¹⁵"), =HYPERLINK("CSG9.html#group24F9", "24F⁹"), =HYPERLINK("CSG2.html#group24O2", "24O²"), =HYPERLINK("CSG15.html#group24T15", "24T¹⁵"), =HYPERLINK("CSG13.html#group72F13", "72F¹³"), =HYPERLINK("CSG15.html#group48Q15", "48Q¹⁵"), =HYPERLINK("CSG15.html#group36I15", "36I¹⁵"), =HYPERLINK("CSG16.html#group96C16", "96C¹⁶"), =HYPERLINK("CSG6.html#group24F6", "24F⁶"), =HYPERLINK("CSG21.html#group96S21", "96S²¹"), =HYPERLINK("CSG7.html#group24J7", "24J⁷"), =HYPERLINK("CSG17.html#group84N17", "84N¹⁷"), =HYPERLINK("CSG8.html#group36G8", "36G⁸"), =HYPERLINK("CSG19.html#group48AQ19", "48AQ¹⁹"), =HYPERLINK("CSG8.html#group24I8", "24I⁸"), =HYPERLINK("CSG7.html#group48S7", "48S⁷"), =HYPERLINK("CSG23.html#group72J23", "72J²³"), =HYPERLINK("CSG15.html#group24G15", "24G¹⁵"), =HYPERLINK("CSG21.html#group96G21", "96G²¹"), =HYPERLINK("CSG15.html#group24Q15", "24Q¹⁵"), =HYPERLINK("CSG13.html#group72I13", "72I¹³"), =HYPERLINK("CSG7.html#group24AE7", "24AE⁷"), =HYPERLINK("CSG15.html#group24P15", "24P¹⁵"), =HYPERLINK("CSG13.html#group24J13", "24J¹³"), =HYPERLINK("CSG11.html#group72P11", "72P¹¹"), =HYPERLINK("CSG8.html#group48N8", "48N⁸"), =HYPERLINK("CSG15.html#group36J15", "36J¹⁵"), =HYPERLINK("CSG13.html#group24T13", "24T¹³"), =HYPERLINK("CSG7.html#group48W7", "48W⁷"), =HYPERLINK("CSG21.html#group48Z21", "48Z²¹"), =HYPERLINK("CSG16.html#group96E16", "96E¹⁶"), =HYPERLINK("CSG6.html#group60C6", "60C⁶"), =HYPERLINK("CSG16.html#group72S16", "72S¹⁶"), =HYPERLINK("CSG17.html#group48K17", "48K¹⁷"), =HYPERLINK("CSG8.html#group72M8", "72M⁸"), =HYPERLINK("CSG20.html#group96E20", "96E²⁰"), =HYPERLINK("CSG8.html#group48W8", "48W⁸"), =HYPERLINK("CSG23.html#group96Q23", "96Q²³"), =HYPERLINK("CSG19.html#group84K19", "84K¹⁹"), =HYPERLINK("CSG5.html#group24Y5", "24Y⁵"), =HYPERLINK("CSG19.html#group84J19", "84J¹⁹"), =HYPERLINK("CSG7.html#group36L7", "36L⁷"), =HYPERLINK("CSG13.html#group48AE13", "48AE¹³"), =HYPERLINK("CSG0.html#group12G0", "12G⁰"), =HYPERLINK("CSG21.html#group96J21", "96J²¹"), =HYPERLINK("CSG19.html#group96U19", "96U¹⁹"), =HYPERLINK("CSG9.html#group48C9", "48C⁹"), =HYPERLINK("CSG19.html#group96AG19", "96AG¹⁹"), =HYPERLINK("CSG17.html#group24T17", "24T¹⁷"), =HYPERLINK("CSG3.html#group12P3", "12P³"), =HYPERLINK("CSG15.html#group48AC15", "48AC¹⁵"), =HYPERLINK("CSG4.html#group36Q4", "36Q⁴"), =HYPERLINK("CSG3.html#group12E3", "12E³"), =HYPERLINK("CSG17.html#group48L17", "48L¹⁷"), =HYPERLINK("CSG15.html#group48O15", "48O¹⁵"), =HYPERLINK("CSG22.html#group72L22", "72L²²"), =HYPERLINK("CSG2.html#group36C2", "36C²"), =HYPERLINK("CSG17.html#group72H17", "72H¹⁷"), =HYPERLINK("CSG17.html#group48V17", "48V¹⁷"), =HYPERLINK("CSG11.html#group48G11", "48G¹¹"), =HYPERLINK("CSG23.html#group204H23", "204H²³"), =HYPERLINK("CSG14.html#group72B14", "72B¹⁴"), =HYPERLINK("CSG10.html#group24D10", "24D¹⁰"), =HYPERLINK("CSG17.html#group48Z17", "48Z¹⁷"), =HYPERLINK("CSG15.html#group72F15", "72F¹⁵"), =HYPERLINK("CSG18.html#group36A18", "36A¹⁸"), =HYPERLINK("CSG15.html#group24H15", "24H¹⁵"), =HYPERLINK("CSG15.html#group36D15", "36D¹⁵"), =HYPERLINK("CSG15.html#group60N15", "60N¹⁵"), =HYPERLINK("CSG9.html#group60N9", "60N⁹"), =HYPERLINK("CSG16.html#group48B16", "48B¹⁶"), =HYPERLINK("CSG17.html#group96S17", "96S¹⁷"), =HYPERLINK("CSG12.html#group72E12", "72E¹²"), =HYPERLINK("CSG7.html#group48Y7", "48Y⁷"), =HYPERLINK("CSG23.html#group60L23", "60L²³"), =HYPERLINK("CSG17.html#group24M17", "24M¹⁷"), =HYPERLINK("CSG7.html#group84C7", "84C⁷"), =HYPERLINK("CSG15.html#group24B15", "24B¹⁵"), =HYPERLINK("CSG23.html#group60I23", "60I²³"), =HYPERLINK("CSG5.html#group24U5", "24U⁵"), =HYPERLINK("CSG13.html#group132A13", "132A¹³"), =HYPERLINK("CSG5.html#group24S5", "24S⁵"), =HYPERLINK("CSG7.html#group12B7", "12B⁷"), =HYPERLINK("CSG22.html#group36E22", "36E²²"), =HYPERLINK("CSG9.html#group24J9", "24J⁹"), =HYPERLINK("CSG3.html#group36I3", "36I³"), =HYPERLINK("CSG19.html#group48U19", "48U¹⁹"), =HYPERLINK("CSG17.html#group24A17", "24A¹⁷"), =HYPERLINK("CSG15.html#group72S15", "72S¹⁵"), =HYPERLINK("CSG17.html#group96J17", "96J¹⁷"), =HYPERLINK("CSG15.html#group72Q15", "72Q¹⁵"), =HYPERLINK("CSG11.html#group72O11", "72O¹¹"), =HYPERLINK("CSG12.html#group72L12", "72L¹²"), =HYPERLINK("CSG9.html#group12B9", "12B⁹"), =HYPERLINK("CSG13.html#group24P13", "24P¹³"), =HYPERLINK("CSG13.html#group12B13", "12B¹³"), =HYPERLINK("CSG19.html#group48L19", "48L¹⁹"), =HYPERLINK("CSG13.html#group48AD13", "48AD¹³"), =HYPERLINK("CSG15.html#group48S15", "48S¹⁵"), =HYPERLINK("CSG19.html#group96AN19", "96AN¹⁹"), =HYPERLINK("CSG19.html#group96AV19", "96AV¹⁹"), =HYPERLINK("CSG13.html#group24L13", "24L¹³"), =HYPERLINK("CSG17.html#group48BQ17", "48BQ¹⁷"), =HYPERLINK("CSG22.html#group36J22", "36J²²"), =HYPERLINK("CSG23.html#group72K23", "72K²³"), =HYPERLINK("CSG17.html#group48BV17", "48BV¹⁷"), =HYPERLINK("CSG19.html#group48BN19", "48BN¹⁹"), =HYPERLINK("CSG6.html#group48J6", "48J⁶"), =HYPERLINK("CSG13.html#group24W13", "24W¹³"), =HYPERLINK("CSG17.html#group24AL17", "24AL¹⁷"), =HYPERLINK("CSG13.html#group48X13", "48X¹³"), =HYPERLINK("CSG17.html#group24AE17", "24AE¹⁷"), =HYPERLINK("CSG9.html#group24K9", "24K⁹"), =HYPERLINK("CSG21.html#group60V21", "60V²¹"), =HYPERLINK("CSG0.html#group12H0", "12H⁰")</f>
        <v/>
      </c>
    </row>
    <row r="82">
      <c r="A82" t="inlineStr">
        <is>
          <t>12E⁰</t>
        </is>
      </c>
      <c r="B82" t="inlineStr">
        <is>
          <t>Γ₀(12)</t>
        </is>
      </c>
      <c r="C82" t="inlineStr">
        <is>
          <t>24</t>
        </is>
      </c>
      <c r="D82" t="inlineStr">
        <is>
          <t>1</t>
        </is>
      </c>
      <c r="E82" t="inlineStr">
        <is>
          <t>12</t>
        </is>
      </c>
      <c r="F82" t="inlineStr">
        <is>
          <t>0</t>
        </is>
      </c>
      <c r="G82" t="inlineStr">
        <is>
          <t>0</t>
        </is>
      </c>
      <c r="H82" t="inlineStr">
        <is>
          <t>1², 3², 4¹, 12¹</t>
        </is>
      </c>
      <c r="I82" t="n">
        <v>6</v>
      </c>
      <c r="J82" t="inlineStr">
        <is>
          <t>1⁶, 2³</t>
        </is>
      </c>
      <c r="K82">
        <f>HYPERLINK("CSG0.html#group4B0", "4B⁰"), =HYPERLINK("CSG0.html#group6F0", "6F⁰")</f>
        <v/>
      </c>
      <c r="L82">
        <f>HYPERLINK("CSG0.html#group12J0", "12J⁰"), =HYPERLINK("CSG0.html#group24B0", "24B⁰"), =HYPERLINK("CSG1.html#group12P1", "12P¹"), =HYPERLINK("CSG1.html#group12S1", "12S¹"), =HYPERLINK("CSG1.html#group24G1", "24G¹"), =HYPERLINK("CSG1.html#group36C1", "36C¹"), =HYPERLINK("CSG2.html#group24F2", "24F²"), =HYPERLINK("CSG4.html#group36F4", "36F⁴"), =HYPERLINK("CSG4.html#group36G4", "36G⁴"), =HYPERLINK("CSG7.html#group60P7", "60P⁷"), =HYPERLINK("CSG8.html#group60C8", "60C⁸"), =HYPERLINK("CSG11.html#group84I11", "84I¹¹"), =HYPERLINK("CSG12.html#group84B12", "84B¹²"), =HYPERLINK("CSG15.html#group60V15", "60V¹⁵"), =HYPERLINK("CSG19.html#group132D19", "132D¹⁹"), =HYPERLINK("CSG20.html#group132B20", "132B²⁰"), =HYPERLINK("CSG23.html#group156D23", "156D²³")</f>
        <v/>
      </c>
      <c r="M82">
        <f>HYPERLINK("CSG0.html#group3B0", "3B⁰"), =HYPERLINK("CSG0.html#group1A0", "1A⁰"), =HYPERLINK("CSG0.html#group2B0", "2B⁰"), =HYPERLINK("CSG0.html#group4B0", "4B⁰"), =HYPERLINK("CSG0.html#group6F0", "6F⁰")</f>
        <v/>
      </c>
      <c r="N82">
        <f>HYPERLINK("CSG19.html#group72H19", "72H¹⁹"), =HYPERLINK("CSG9.html#group48AJ9", "48AJ⁹"), =HYPERLINK("CSG11.html#group96G11", "96G¹¹"), =HYPERLINK("CSG17.html#group48CK17", "48CK¹⁷"), =HYPERLINK("CSG13.html#group48W13", "48W¹³"), =HYPERLINK("CSG11.html#group96H11", "96H¹¹"), =HYPERLINK("CSG21.html#group48CG21", "48CG²¹"), =HYPERLINK("CSG22.html#group36L22", "36L²²"), =HYPERLINK("CSG13.html#group96E13", "96E¹³"), =HYPERLINK("CSG3.html#group12L3", "12L³"), =HYPERLINK("CSG13.html#group36C13", "36C¹³"), =HYPERLINK("CSG21.html#group48CF21", "48CF²¹"), =HYPERLINK("CSG7.html#group24G7", "24G⁷"), =HYPERLINK("CSG9.html#group24AC9", "24AC⁹"), =HYPERLINK("CSG13.html#group60AJ13", "60AJ¹³"), =HYPERLINK("CSG17.html#group24AO17", "24AO¹⁷"), =HYPERLINK("CSG22.html#group216C22", "216C²²"), =HYPERLINK("CSG13.html#group144H13", "144H¹³"), =HYPERLINK("CSG7.html#group24AF7", "24AF⁷"), =HYPERLINK("CSG16.html#group108C16", "108C¹⁶"), =HYPERLINK("CSG16.html#group60B16", "60B¹⁶"), =HYPERLINK("CSG21.html#group96BJ21", "96BJ²¹"), =HYPERLINK("CSG19.html#group48BR19", "48BR¹⁹"), =HYPERLINK("CSG21.html#group48CM21", "48CM²¹"), =HYPERLINK("CSG7.html#group24AG7", "24AG⁷"), =HYPERLINK("CSG21.html#group72B21", "72B²¹"), =HYPERLINK("CSG13.html#group144I13", "144I¹³"), =HYPERLINK("CSG21.html#group48CD21", "48CD²¹"), =HYPERLINK("CSG3.html#group24X3", "24X³"), =HYPERLINK("CSG11.html#group48W11", "48W¹¹"), =HYPERLINK("CSG13.html#group48Y13", "48Y¹³"), =HYPERLINK("CSG9.html#group36Q9", "36Q⁹"), =HYPERLINK("CSG13.html#group96A13", "96A¹³"), =HYPERLINK("CSG19.html#group36D19", "36D¹⁹"), =HYPERLINK("CSG3.html#group12K3", "12K³"), =HYPERLINK("CSG24.html#group84D24", "84D²⁴"), =HYPERLINK("CSG13.html#group96D13", "96D¹³"), =HYPERLINK("CSG9.html#group36D9", "36D⁹"), =HYPERLINK("CSG17.html#group72P17", "72P¹⁷"), =HYPERLINK("CSG19.html#group144H19", "144H¹⁹"), =HYPERLINK("CSG22.html#group36Q22", "36Q²²"), =HYPERLINK("CSG10.html#group36S10", "36S¹⁰"), =HYPERLINK("CSG10.html#group72B10", "72B¹⁰"), =HYPERLINK("CSG24.html#group84C24", "84C²⁴"), =HYPERLINK("CSG1.html#group24J1", "24J¹"), =HYPERLINK("CSG13.html#group12A13", "12A¹³"), =HYPERLINK("CSG17.html#group72N17", "72N¹⁷"), =HYPERLINK("CSG19.html#group36A19", "36A¹⁹"), =HYPERLINK("CSG16.html#group108B16", "108B¹⁶"), =HYPERLINK("CSG22.html#group60A22", "60A²²"), =HYPERLINK("CSG13.html#group72S13", "72S¹³"), =HYPERLINK("CSG21.html#group36E21", "36E²¹"), =HYPERLINK("CSG21.html#group96BC21", "96BC²¹"), =HYPERLINK("CSG7.html#group36N7", "36N⁷"), =HYPERLINK("CSG21.html#group96BA21", "96BA²¹"), =HYPERLINK("CSG13.html#group48D13", "48D¹³"), =HYPERLINK("CSG17.html#group96AK17", "96AK¹⁷"), =HYPERLINK("CSG21.html#group72A21", "72A²¹"), =HYPERLINK("CSG21.html#group96BD21", "96BD²¹"), =HYPERLINK("CSG7.html#group48AK7", "48AK⁷"), =HYPERLINK("CSG17.html#group48CM17", "48CM¹⁷"), =HYPERLINK("CSG21.html#group216B21", "216B²¹"), =HYPERLINK("CSG7.html#group24AL7", "24AL⁷"), =HYPERLINK("CSG19.html#group144F19", "144F¹⁹"), =HYPERLINK("CSG10.html#group36R10", "36R¹⁰"), =HYPERLINK("CSG21.html#group48CL21", "48CL²¹"), =HYPERLINK("CSG13.html#group36T13", "36T¹³"), =HYPERLINK("CSG13.html#group48A13", "48A¹³"), =HYPERLINK("CSG19.html#group144B19", "144B¹⁹"), =HYPERLINK("CSG2.html#group24F2", "24F²"), =HYPERLINK("CSG13.html#group24AC13", "24AC¹³"), =HYPERLINK("CSG7.html#group24AJ7", "24AJ⁷"), =HYPERLINK("CSG9.html#group24AF9", "24AF⁹"), =HYPERLINK("CSG17.html#group108G17", "108G¹⁷"), =HYPERLINK("CSG9.html#group96M9", "96M⁹"), =HYPERLINK("CSG21.html#group96BH21", "96BH²¹"), =HYPERLINK("CSG19.html#group48BS19", "48BS¹⁹"), =HYPERLINK("CSG0.html#group12J0", "12J⁰"), =HYPERLINK("CSG19.html#group72C19", "72C¹⁹"), =HYPERLINK("CSG9.html#group24AH9", "24AH⁹"), =HYPERLINK("CSG17.html#group36B17", "36B¹⁷"), =HYPERLINK("CSG5.html#group12E5", "12E⁵"), =HYPERLINK("CSG19.html#group144D19", "144D¹⁹"), =HYPERLINK("CSG19.html#group96BE19", "96BE¹⁹"), =HYPERLINK("CSG16.html#group108A16", "108A¹⁶"), =HYPERLINK("CSG9.html#group48AH9", "48AH⁹"), =HYPERLINK("CSG17.html#group24AP17", "24AP¹⁷"), =HYPERLINK("CSG7.html#group72C7", "72C⁷"), =HYPERLINK("CSG13.html#group48V13", "48V¹³"), =HYPERLINK("CSG21.html#group48CK21", "48CK²¹"), =HYPERLINK("CSG9.html#group48AK9", "48AK⁹"), =HYPERLINK("CSG22.html#group72M22", "72M²²"), =HYPERLINK("CSG22.html#group108F22", "108F²²"), =HYPERLINK("CSG21.html#group48CA21", "48CA²¹"), =HYPERLINK("CSG3.html#group48L3", "48L³"), =HYPERLINK("CSG21.html#group144F21", "144F²¹"), =HYPERLINK("CSG3.html#group12O3", "12O³"), =HYPERLINK("CSG17.html#group48CO17", "48CO¹⁷"), =HYPERLINK("CSG13.html#group24N13", "24N¹³"), =HYPERLINK("CSG17.html#group48CJ17", "48CJ¹⁷"), =HYPERLINK("CSG19.html#group72M19", "72M¹⁹"), =HYPERLINK("CSG19.html#group48BT19", "48BT¹⁹"), =HYPERLINK("CSG1.html#group12P1", "12P¹"), =HYPERLINK("CSG23.html#group84L23", "84L²³"), =HYPERLINK("CSG23.html#group168Q23", "168Q²³"), =HYPERLINK("CSG17.html#group72Y17", "72Y¹⁷"), =HYPERLINK("CSG0.html#group24B0", "24B⁰"), =HYPERLINK("CSG15.html#group120K15", "120K¹⁵"), =HYPERLINK("CSG21.html#group192O21", "192O²¹"), =HYPERLINK("CSG13.html#group24M13", "24M¹³"), =HYPERLINK("CSG19.html#group72I19", "72I¹⁹"), =HYPERLINK("CSG3.html#group24Y3", "24Y³"), =HYPERLINK("CSG7.html#group96C7", "96C⁷"), =HYPERLINK("CSG17.html#group24AT17", "24AT¹⁷"), =HYPERLINK("CSG5.html#group12B5", "12B⁵"), =HYPERLINK("CSG1.html#group24G1", "24G¹"), =HYPERLINK("CSG21.html#group48CC21", "48CC²¹"), =HYPERLINK("CSG21.html#group24B21", "24B²¹"), =HYPERLINK("CSG7.html#group24AH7", "24AH⁷"), =HYPERLINK("CSG19.html#group96BD19", "96BD¹⁹"), =HYPERLINK("CSG19.html#group192E19", "192E¹⁹"), =HYPERLINK("CSG21.html#group108E21", "108E²¹"), =HYPERLINK("CSG19.html#group36B19", "36B¹⁹"), =HYPERLINK("CSG13.html#group72W13", "72W¹³"), =HYPERLINK("CSG17.html#group120O17", "120O¹⁷"), =HYPERLINK("CSG16.html#group120B16", "120B¹⁶"), =HYPERLINK("CSG13.html#group144G13", "144G¹³"), =HYPERLINK("CSG13.html#group96B13", "96B¹³"), =HYPERLINK("CSG10.html#group36Q10", "36Q¹⁰"), =HYPERLINK("CSG13.html#group96I13", "96I¹³"), =HYPERLINK("CSG3.html#group24Z3", "24Z³"), =HYPERLINK("CSG21.html#group96BK21", "96BK²¹"), =HYPERLINK("CSG13.html#group48B13", "48B¹³"), =HYPERLINK("CSG4.html#group36F4", "36F⁴"), =HYPERLINK("CSG17.html#group48CP17", "48CP¹⁷"), =HYPERLINK("CSG19.html#group72D19", "72D¹⁹"), =HYPERLINK("CSG7.html#group96B7", "96B⁷"), =HYPERLINK("CSG5.html#group24I5", "24I⁵"), =HYPERLINK("CSG21.html#group144G21", "144G²¹"), =HYPERLINK("CSG23.html#group168R23", "168R²³"), =HYPERLINK("CSG17.html#group48C17", "48C¹⁷"), =HYPERLINK("CSG19.html#group120E19", "120E¹⁹"), =HYPERLINK("CSG21.html#group48CQ21", "48CQ²¹"), =HYPERLINK("CSG23.html#group84K23", "84K²³"), =HYPERLINK("CSG7.html#group60P7", "60P⁷"), =HYPERLINK("CSG5.html#group48J5", "48J⁵"), =HYPERLINK("CSG7.html#group48AP7", "48AP⁷"), =HYPERLINK("CSG17.html#group144E17", "144E¹⁷"), =HYPERLINK("CSG17.html#group60T17", "60T¹⁷"), =HYPERLINK("CSG9.html#group24AE9", "24AE⁹"), =HYPERLINK("CSG15.html#group60V15", "60V¹⁵"), =HYPERLINK("CSG17.html#group96AI17", "96AI¹⁷"), =HYPERLINK("CSG21.html#group72AB21", "72AB²¹"), =HYPERLINK("CSG15.html#group60AC15", "60AC¹⁵"), =HYPERLINK("CSG19.html#group144E19", "144E¹⁹"), =HYPERLINK("CSG19.html#group96BC19", "96BC¹⁹"), =HYPERLINK("CSG7.html#group48AN7", "48AN⁷"), =HYPERLINK("CSG8.html#group36K8", "36K⁸"), =HYPERLINK("CSG7.html#group108A7", "108A⁷"), =HYPERLINK("CSG17.html#group60B17", "60B¹⁷"), =HYPERLINK("CSG13.html#group144J13", "144J¹³"), =HYPERLINK("CSG19.html#group72E19", "72E¹⁹"), =HYPERLINK("CSG11.html#group24B11", "24B¹¹"), =HYPERLINK("CSG7.html#group48AM7", "48AM⁷"), =HYPERLINK("CSG5.html#group24R5", "24R⁵"), =HYPERLINK("CSG13.html#group72R13", "72R¹³"), =HYPERLINK("CSG13.html#group24O13", "24O¹³"), =HYPERLINK("CSG19.html#group192F19", "192F¹⁹"), =HYPERLINK("CSG21.html#group72C21", "72C²¹"), =HYPERLINK("CSG19.html#group72G19", "72G¹⁹"), =HYPERLINK("CSG18.html#group120A18", "120A¹⁸"), =HYPERLINK("CSG17.html#group36A17", "36A¹⁷"), =HYPERLINK("CSG19.html#group72K19", "72K¹⁹"), =HYPERLINK("CSG9.html#group24AP9", "24AP⁹"), =HYPERLINK("CSG5.html#group48C5", "48C⁵"), =HYPERLINK("CSG19.html#group144A19", "144A¹⁹"), =HYPERLINK("CSG19.html#group72A19", "72A¹⁹"), =HYPERLINK("CSG10.html#group72A10", "72A¹⁰"), =HYPERLINK("CSG21.html#group96BL21", "96BL²¹"), =HYPERLINK("CSG19.html#group48BO19", "48BO¹⁹"), =HYPERLINK("CSG3.html#group48K3", "48K³"), =HYPERLINK("CSG13.html#group48AH13", "48AH¹³"), =HYPERLINK("CSG21.html#group96BF21", "96BF²¹"), =HYPERLINK("CSG17.html#group72M17", "72M¹⁷"), =HYPERLINK("CSG7.html#group48AO7", "48AO⁷"), =HYPERLINK("CSG3.html#group24AC3", "24AC³"), =HYPERLINK("CSG17.html#group96AL17", "96AL¹⁷"), =HYPERLINK("CSG13.html#group24K13", "24K¹³"), =HYPERLINK("CSG21.html#group48CI21", "48CI²¹"), =HYPERLINK("CSG22.html#group36P22", "36P²²"), =HYPERLINK("CSG21.html#group48CH21", "48CH²¹"), =HYPERLINK("CSG17.html#group144D17", "144D¹⁷"), =HYPERLINK("CSG10.html#group108F10", "108F¹⁰"), =HYPERLINK("CSG15.html#group120L15", "120L¹⁵"), =HYPERLINK("CSG9.html#group48AN9", "48AN⁹"), =HYPERLINK("CSG3.html#group36K3", "36K³"), =HYPERLINK("CSG13.html#group72Q13", "72Q¹³"), =HYPERLINK("CSG21.html#group48CJ21", "48CJ²¹"), =HYPERLINK("CSG9.html#group72D9", "72D⁹"), =HYPERLINK("CSG17.html#group120N17", "120N¹⁷"), =HYPERLINK("CSG21.html#group72AC21", "72AC²¹"), =HYPERLINK("CSG13.html#group96C13", "96C¹³"), =HYPERLINK("CSG12.html#group84B12", "84B¹²"), =HYPERLINK("CSG17.html#group96AJ17", "96AJ¹⁷"), =HYPERLINK("CSG13.html#group48AG13", "48AG¹³"), =HYPERLINK("CSG5.html#group24AA5", "24AA⁵"), =HYPERLINK("CSG9.html#group96L9", "96L⁹"), =HYPERLINK("CSG13.html#group48J13", "48J¹³"), =HYPERLINK("CSG21.html#group72D21", "72D²¹"), =HYPERLINK("CSG21.html#group24E21", "24E²¹"), =HYPERLINK("CSG17.html#group24AQ17", "24AQ¹⁷"), =HYPERLINK("CSG1.html#group12S1", "12S¹"), =HYPERLINK("CSG21.html#group24A21", "24A²¹"), =HYPERLINK("CSG9.html#group48AG9", "48AG⁹"), =HYPERLINK("CSG21.html#group48CB21", "48CB²¹"), =HYPERLINK("CSG9.html#group48AM9", "48AM⁹"), =HYPERLINK("CSG13.html#group72T13", "72T¹³"), =HYPERLINK("CSG3.html#group72A3", "72A³"), =HYPERLINK("CSG13.html#group36U13", "36U¹³"), =HYPERLINK("CSG21.html#group48BZ21", "48BZ²¹"), =HYPERLINK("CSG24.html#group168B24", "168B²⁴"), =HYPERLINK("CSG8.html#group60C8", "60C⁸"), =HYPERLINK("CSG5.html#group72B5", "72B⁵"), =HYPERLINK("CSG21.html#group96AZ21", "96AZ²¹"), =HYPERLINK("CSG13.html#group48Z13", "48Z¹³"), =HYPERLINK("CSG17.html#group24AR17", "24AR¹⁷"), =HYPERLINK("CSG17.html#group48CL17", "48CL¹⁷"), =HYPERLINK("CSG9.html#group24AB9", "24AB⁹"), =HYPERLINK("CSG13.html#group108B13", "108B¹³"), =HYPERLINK("CSG5.html#group36L5", "36L⁵"), =HYPERLINK("CSG21.html#group84Q21", "84Q²¹"), =HYPERLINK("CSG21.html#group192N21", "192N²¹"), =HYPERLINK("CSG17.html#group72O17", "72O¹⁷"), =HYPERLINK("CSG1.html#group12V1", "12V¹"), =HYPERLINK("CSG17.html#group72X17", "72X¹⁷"), =HYPERLINK("CSG17.html#group24AS17", "24AS¹⁷"), =HYPERLINK("CSG17.html#group36K17", "36K¹⁷"), =HYPERLINK("CSG13.html#group72V13", "72V¹³"), =HYPERLINK("CSG17.html#group24AN17", "24AN¹⁷"), =HYPERLINK("CSG9.html#group36C9", "36C⁹"), =HYPERLINK("CSG17.html#group48B17", "48B¹⁷"), =HYPERLINK("CSG21.html#group144E21", "144E²¹"), =HYPERLINK("CSG24.html#group168A24", "168A²⁴"), =HYPERLINK("CSG9.html#group48AI9", "48AI⁹"), =HYPERLINK("CSG3.html#group24W3", "24W³"), =HYPERLINK("CSG22.html#group72N22", "72N²²"), =HYPERLINK("CSG11.html#group48X11", "48X¹¹"), =HYPERLINK("CSG1.html#group36C1", "36C¹"), =HYPERLINK("CSG5.html#group48D5", "48D⁵"), =HYPERLINK("CSG23.html#group84B23", "84B²³"), =HYPERLINK("CSG17.html#group24C17", "24C¹⁷"), =HYPERLINK("CSG7.html#group24AI7", "24AI⁷"), =HYPERLINK("CSG9.html#group72E9", "72E⁹"), =HYPERLINK("CSG7.html#group24AK7", "24AK⁷"), =HYPERLINK("CSG21.html#group192P21", "192P²¹"), =HYPERLINK("CSG3.html#group24AA3", "24AA³"), =HYPERLINK("CSG13.html#group72U13", "72U¹³"), =HYPERLINK("CSG19.html#group72J19", "72J¹⁹"), =HYPERLINK("CSG9.html#group24AD9", "24AD⁹"), =HYPERLINK("CSG21.html#group24D21", "24D²¹"), =HYPERLINK("CSG3.html#group24U3", "24U³"), =HYPERLINK("CSG7.html#group48AL7", "48AL⁷"), =HYPERLINK("CSG19.html#group48BP19", "48BP¹⁹"), =HYPERLINK("CSG19.html#group72F19", "72F¹⁹"), =HYPERLINK("CSG19.html#group132D19", "132D¹⁹"), =HYPERLINK("CSG13.html#group24J13", "24J¹³"), =HYPERLINK("CSG5.html#group24H5", "24H⁵"), =HYPERLINK("CSG3.html#group48I3", "48I³"), =HYPERLINK("CSG9.html#group72I9", "72I⁹"), =HYPERLINK("CSG17.html#group120D17", "120D¹⁷"), =HYPERLINK("CSG21.html#group48CE21", "48CE²¹"), =HYPERLINK("CSG21.html#group96BI21", "96BI²¹"), =HYPERLINK("CSG19.html#group96BF19", "96BF¹⁹"), =HYPERLINK("CSG11.html#group24A11", "24A¹¹"), =HYPERLINK("CSG11.html#group84I11", "84I¹¹"), =HYPERLINK("CSG19.html#group36C19", "36C¹⁹"), =HYPERLINK("CSG13.html#group48I13", "48I¹³"), =HYPERLINK("CSG19.html#group48BQ19", "48BQ¹⁹"), =HYPERLINK("CSG17.html#group48CQ17", "48CQ¹⁷"), =HYPERLINK("CSG19.html#group144C19", "144C¹⁹"), =HYPERLINK("CSG19.html#group72L19", "72L¹⁹"), =HYPERLINK("CSG22.html#group72L22", "72L²²"), =HYPERLINK("CSG21.html#group24C21", "24C²¹"), =HYPERLINK("CSG20.html#group132B20", "132B²⁰"), =HYPERLINK("CSG21.html#group24G21", "24G²¹"), =HYPERLINK("CSG21.html#group24F21", "24F²¹"), =HYPERLINK("CSG3.html#group24V3", "24V³"), =HYPERLINK("CSG9.html#group48AL9", "48AL⁹"), =HYPERLINK("CSG9.html#group24AG9", "24AG⁹"), =HYPERLINK("CSG17.html#group36L17", "36L¹⁷"), =HYPERLINK("CSG9.html#group24AK9", "24AK⁹"), =HYPERLINK("CSG19.html#group72B19", "72B¹⁹"), =HYPERLINK("CSG21.html#group36F21", "36F²¹"), =HYPERLINK("CSG21.html#group48CP21", "48CP²¹"), =HYPERLINK("CSG13.html#group24AB13", "24AB¹³"), =HYPERLINK("CSG17.html#group96AH17", "96AH¹⁷"), =HYPERLINK("CSG19.html#group120F19", "120F¹⁹"), =HYPERLINK("CSG5.html#group24Z5", "24Z⁵"), =HYPERLINK("CSG19.html#group72N19", "72N¹⁹"), =HYPERLINK("CSG17.html#group216A17", "216A¹⁷"), =HYPERLINK("CSG15.html#group60AD15", "60AD¹⁵"), =HYPERLINK("CSG7.html#group48AQ7", "48AQ⁷"), =HYPERLINK("CSG3.html#group48J3", "48J³"), =HYPERLINK("CSG21.html#group192M21", "192M²¹"), =HYPERLINK("CSG17.html#group60R17", "60R¹⁷"), =HYPERLINK("CSG13.html#group96F13", "96F¹³"), =HYPERLINK("CSG9.html#group48AO9", "48AO⁹"), =HYPERLINK("CSG17.html#group24A17", "24A¹⁷"), =HYPERLINK("CSG21.html#group96BG21", "96BG²¹"), =HYPERLINK("CSG8.html#group72G8", "72G⁸"), =HYPERLINK("CSG8.html#group36J8", "36J⁸"), =HYPERLINK("CSG7.html#group36O7", "36O⁷"), =HYPERLINK("CSG23.html#group156D23", "156D²³"), =HYPERLINK("CSG5.html#group48I5", "48I⁵"), =HYPERLINK("CSG9.html#group12B9", "12B⁹"), =HYPERLINK("CSG4.html#group36G4", "36G⁴"), =HYPERLINK("CSG13.html#group12B13", "12B¹³"), =HYPERLINK("CSG5.html#group24AB5", "24AB⁵"), =HYPERLINK("CSG21.html#group96BM21", "96BM²¹"), =HYPERLINK("CSG13.html#group24L13", "24L¹³"), =HYPERLINK("CSG21.html#group144H21", "144H²¹"), =HYPERLINK("CSG19.html#group144G19", "144G¹⁹"), =HYPERLINK("CSG21.html#group96BE21", "96BE²¹"), =HYPERLINK("CSG13.html#group48C13", "48C¹³"), =HYPERLINK("CSG21.html#group96BB21", "96BB²¹"), =HYPERLINK("CSG17.html#group48CN17", "48CN¹⁷"), =HYPERLINK("CSG13.html#group24P13", "24P¹³"), =HYPERLINK("CSG8.html#group72F8", "72F⁸")</f>
        <v/>
      </c>
    </row>
    <row r="83">
      <c r="A83" t="inlineStr">
        <is>
          <t>12F⁰</t>
        </is>
      </c>
      <c r="B83" t="inlineStr"/>
      <c r="C83" t="inlineStr">
        <is>
          <t>24</t>
        </is>
      </c>
      <c r="D83" t="inlineStr">
        <is>
          <t>1</t>
        </is>
      </c>
      <c r="E83" t="inlineStr">
        <is>
          <t>12</t>
        </is>
      </c>
      <c r="F83" t="inlineStr">
        <is>
          <t>8</t>
        </is>
      </c>
      <c r="G83" t="inlineStr">
        <is>
          <t>0</t>
        </is>
      </c>
      <c r="H83" t="inlineStr">
        <is>
          <t>12²</t>
        </is>
      </c>
      <c r="I83" t="n">
        <v>2</v>
      </c>
      <c r="J83" t="inlineStr">
        <is>
          <t>2², 4²</t>
        </is>
      </c>
      <c r="K83">
        <f>HYPERLINK("CSG0.html#group6B0", "6B⁰"), =HYPERLINK("CSG0.html#group12A0", "12A⁰")</f>
        <v/>
      </c>
      <c r="L83">
        <f>HYPERLINK("CSG1.html#group12Q1", "12Q¹"), =HYPERLINK("CSG2.html#group12I2", "12I²"), =HYPERLINK("CSG2.html#group24G2", "24G²"), =HYPERLINK("CSG2.html#group24H2", "24H²"), =HYPERLINK("CSG2.html#group24K2", "24K²"), =HYPERLINK("CSG2.html#group36D2", "36D²"), =HYPERLINK("CSG3.html#group12C3", "12C³"), =HYPERLINK("CSG3.html#group24AB3", "24AB³"), =HYPERLINK("CSG4.html#group36L4", "36L⁴"), =HYPERLINK("CSG4.html#group36N4", "36N⁴"), =HYPERLINK("CSG7.html#group60R7", "60R⁷"), =HYPERLINK("CSG8.html#group60D8", "60D⁸"), =HYPERLINK("CSG8.html#group84I8", "84I⁸"), =HYPERLINK("CSG15.html#group60X15", "60X¹⁵"), =HYPERLINK("CSG15.html#group84E15", "84E¹⁵"), =HYPERLINK("CSG16.html#group132D16", "132D¹⁶"), =HYPERLINK("CSG23.html#group132F23", "132F²³"), =HYPERLINK("CSG23.html#group156F23", "156F²³")</f>
        <v/>
      </c>
      <c r="M83">
        <f>HYPERLINK("CSG0.html#group12A0", "12A⁰"), =HYPERLINK("CSG0.html#group6B0", "6B⁰"), =HYPERLINK("CSG0.html#group3A0", "3A⁰"), =HYPERLINK("CSG0.html#group1A0", "1A⁰"), =HYPERLINK("CSG0.html#group4A0", "4A⁰")</f>
        <v/>
      </c>
      <c r="N83">
        <f>HYPERLINK("CSG21.html#group36B21", "36B²¹"), =HYPERLINK("CSG10.html#group72F10", "72F¹⁰"), =HYPERLINK("CSG21.html#group48AY21", "48AY²¹"), =HYPERLINK("CSG21.html#group60N21", "60N²¹"), =HYPERLINK("CSG13.html#group24R13", "24R¹³"), =HYPERLINK("CSG16.html#group48C16", "48C¹⁶"), =HYPERLINK("CSG7.html#group24B7", "24B⁷"), =HYPERLINK("CSG15.html#group24L15", "24L¹⁵"), =HYPERLINK("CSG5.html#group12A5", "12A⁵"), =HYPERLINK("CSG8.html#group24M8", "24M⁸"), =HYPERLINK("CSG21.html#group24L21", "24L²¹"), =HYPERLINK("CSG15.html#group48V15", "48V¹⁵"), =HYPERLINK("CSG15.html#group48A15", "48A¹⁵"), =HYPERLINK("CSG22.html#group144G22", "144G²²"), =HYPERLINK("CSG16.html#group48D16", "48D¹⁶"), =HYPERLINK("CSG21.html#group48AE21", "48AE²¹"), =HYPERLINK("CSG22.html#group168L22", "168L²²"), =HYPERLINK("CSG23.html#group72C23", "72C²³"), =HYPERLINK("CSG23.html#group84E23", "84E²³"), =HYPERLINK("CSG3.html#group12M3", "12M³"), =HYPERLINK("CSG1.html#group12Q1", "12Q¹"), =HYPERLINK("CSG7.html#group36K7", "36K⁷"), =HYPERLINK("CSG17.html#group60V17", "60V¹⁷"), =HYPERLINK("CSG19.html#group120G19", "120G¹⁹"), =HYPERLINK("CSG11.html#group36E11", "36E¹¹"), =HYPERLINK("CSG13.html#group24F13", "24F¹³"), =HYPERLINK("CSG8.html#group60D8", "60D⁸"), =HYPERLINK("CSG19.html#group72T19", "72T¹⁹"), =HYPERLINK("CSG8.html#group84I8", "84I⁸"), =HYPERLINK("CSG22.html#group144H22", "144H²²"), =HYPERLINK("CSG13.html#group24U13", "24U¹³"), =HYPERLINK("CSG19.html#group120Q19", "120Q¹⁹"), =HYPERLINK("CSG17.html#group24J17", "24J¹⁷"), =HYPERLINK("CSG6.html#group48E6", "48E⁶"), =HYPERLINK("CSG21.html#group48AT21", "48AT²¹"), =HYPERLINK("CSG21.html#group72T21", "72T²¹"), =HYPERLINK("CSG15.html#group24O15", "24O¹⁵"), =HYPERLINK("CSG21.html#group72V21", "72V²¹"), =HYPERLINK("CSG13.html#group48R13", "48R¹³"), =HYPERLINK("CSG14.html#group36B14", "36B¹⁴"), =HYPERLINK("CSG4.html#group36N4", "36N⁴"), =HYPERLINK("CSG17.html#group48AQ17", "48AQ¹⁷"), =HYPERLINK("CSG21.html#group72P21", "72P²¹"), =HYPERLINK("CSG15.html#group36T15", "36T¹⁵"), =HYPERLINK("CSG18.html#group120F18", "120F¹⁸"), =HYPERLINK("CSG18.html#group120B18", "120B¹⁸"), =HYPERLINK("CSG19.html#group120J19", "120J¹⁹"), =HYPERLINK("CSG19.html#group36L19", "36L¹⁹"), =HYPERLINK("CSG17.html#group72W17", "72W¹⁷"), =HYPERLINK("CSG21.html#group72U21", "72U²¹"), =HYPERLINK("CSG20.html#group144H20", "144H²⁰"), =HYPERLINK("CSG2.html#group12I2", "12I²"), =HYPERLINK("CSG21.html#group48CR21", "48CR²¹"), =HYPERLINK("CSG22.html#group144N22", "144N²²"), =HYPERLINK("CSG16.html#group132D16", "132D¹⁶"), =HYPERLINK("CSG9.html#group24AO9", "24AO⁹"), =HYPERLINK("CSG15.html#group48U15", "48U¹⁵"), =HYPERLINK("CSG19.html#group48Y19", "48Y¹⁹"), =HYPERLINK("CSG7.html#group60R7", "60R⁷"), =HYPERLINK("CSG17.html#group24AA17", "24AA¹⁷"), =HYPERLINK("CSG13.html#group24V13", "24V¹³"), =HYPERLINK("CSG9.html#group36K9", "36K⁹"), =HYPERLINK("CSG19.html#group72U19", "72U¹⁹"), =HYPERLINK("CSG16.html#group48J16", "48J¹⁶"), =HYPERLINK("CSG18.html#group120C18", "120C¹⁸"), =HYPERLINK("CSG10.html#group72I10", "72I¹⁰"), =HYPERLINK("CSG19.html#group24B19", "24B¹⁹"), =HYPERLINK("CSG20.html#group144D20", "144D²⁰"), =HYPERLINK("CSG19.html#group48BM19", "48BM¹⁹"), =HYPERLINK("CSG13.html#group12A13", "12A¹³"), =HYPERLINK("CSG17.html#group48BR17", "48BR¹⁷"), =HYPERLINK("CSG15.html#group48C15", "48C¹⁵"), =HYPERLINK("CSG20.html#group144E20", "144E²⁰"), =HYPERLINK("CSG8.html#group24N8", "24N⁸"), =HYPERLINK("CSG20.html#group48F20", "48F²⁰"), =HYPERLINK("CSG13.html#group24X13", "24X¹³"), =HYPERLINK("CSG12.html#group36F12", "36F¹²"), =HYPERLINK("CSG2.html#group24G2", "24G²"), =HYPERLINK("CSG19.html#group120I19", "120I¹⁹"), =HYPERLINK("CSG9.html#group24AM9", "24AM⁹"), =HYPERLINK("CSG8.html#group72J8", "72J⁸"), =HYPERLINK("CSG15.html#group36S15", "36S¹⁵"), =HYPERLINK("CSG6.html#group48H6", "48H⁶"), =HYPERLINK("CSG23.html#group132F23", "132F²³"), =HYPERLINK("CSG13.html#group60AK13", "60AK¹³"), =HYPERLINK("CSG13.html#group48Q13", "48Q¹³"), =HYPERLINK("CSG13.html#group24A13", "24A¹³"), =HYPERLINK("CSG17.html#group24AK17", "24AK¹⁷"), =HYPERLINK("CSG17.html#group24N17", "24N¹⁷"), =HYPERLINK("CSG22.html#group144I22", "144I²²"), =HYPERLINK("CSG23.html#group72B23", "72B²³"), =HYPERLINK("CSG8.html#group72I8", "72I⁸"), =HYPERLINK("CSG15.html#group60X15", "60X¹⁵"), =HYPERLINK("CSG23.html#group156F23", "156F²³"), =HYPERLINK("CSG15.html#group84E15", "84E¹⁵"), =HYPERLINK("CSG19.html#group24C19", "24C¹⁹"), =HYPERLINK("CSG10.html#group72L10", "72L¹⁰"), =HYPERLINK("CSG3.html#group24AB3", "24AB³"), =HYPERLINK("CSG19.html#group24L19", "24L¹⁹"), =HYPERLINK("CSG21.html#group60O21", "60O²¹"), =HYPERLINK("CSG19.html#group24P19", "24P¹⁹"), =HYPERLINK("CSG22.html#group168N22", "168N²²"), =HYPERLINK("CSG20.html#group48G20", "48G²⁰"), =HYPERLINK("CSG6.html#group24F6", "24F⁶"), =HYPERLINK("CSG22.html#group144E22", "144E²²"), =HYPERLINK("CSG17.html#group60Y17", "60Y¹⁷"), =HYPERLINK("CSG10.html#group36T10", "36T¹⁰"), =HYPERLINK("CSG19.html#group72S19", "72S¹⁹"), =HYPERLINK("CSG5.html#group24W5", "24W⁵"), =HYPERLINK("CSG10.html#group72G10", "72G¹⁰"), =HYPERLINK("CSG22.html#group144J22", "144J²²"), =HYPERLINK("CSG8.html#group72K8", "72K⁸"), =HYPERLINK("CSG6.html#group48F6", "48F⁶"), =HYPERLINK("CSG15.html#group24Q15", "24Q¹⁵"), =HYPERLINK("CSG23.html#group72G23", "72G²³"), =HYPERLINK("CSG21.html#group72M21", "72M²¹"), =HYPERLINK("CSG7.html#group24AE7", "24AE⁷"), =HYPERLINK("CSG21.html#group36A21", "36A²¹"), =HYPERLINK("CSG15.html#group24P15", "24P¹⁵"), =HYPERLINK("CSG22.html#group144F22", "144F²²"), =HYPERLINK("CSG11.html#group36D11", "36D¹¹"), =HYPERLINK("CSG9.html#group36L9", "36L⁹"), =HYPERLINK("CSG15.html#group24A15", "24A¹⁵"), =HYPERLINK("CSG19.html#group60G19", "60G¹⁹"), =HYPERLINK("CSG5.html#group24L5", "24L⁵"), =HYPERLINK("CSG17.html#group36C17", "36C¹⁷"), =HYPERLINK("CSG13.html#group24T13", "24T¹³"), =HYPERLINK("CSG2.html#group36D2", "36D²"), =HYPERLINK("CSG10.html#group72H10", "72H¹⁰"), =HYPERLINK("CSG22.html#group168K22", "168K²²"), =HYPERLINK("CSG6.html#group24E6", "24E⁶"), =HYPERLINK("CSG16.html#group48E16", "48E¹⁶"), =HYPERLINK("CSG23.html#group72A23", "72A²³"), =HYPERLINK("CSG21.html#group24K21", "24K²¹"), =HYPERLINK("CSG17.html#group24G17", "24G¹⁷"), =HYPERLINK("CSG9.html#group24AN9", "24AN⁹"), =HYPERLINK("CSG3.html#group12C3", "12C³"), =HYPERLINK("CSG20.html#group48E20", "48E²⁰"), =HYPERLINK("CSG6.html#group48G6", "48G⁶"), =HYPERLINK("CSG17.html#group72S17", "72S¹⁷"), =HYPERLINK("CSG17.html#group48CI17", "48CI¹⁷"), =HYPERLINK("CSG22.html#group168M22", "168M²²"), =HYPERLINK("CSG23.html#group36D23", "36D²³"), =HYPERLINK("CSG21.html#group84N21", "84N²¹"), =HYPERLINK("CSG15.html#group48T15", "48T¹⁵"), =HYPERLINK("CSG2.html#group24K2", "24K²"), =HYPERLINK("CSG5.html#group36M5", "36M⁵"), =HYPERLINK("CSG12.html#group36G12", "36G¹²"), =HYPERLINK("CSG23.html#group72D23", "72D²³"), =HYPERLINK("CSG19.html#group72P19", "72P¹⁹"), =HYPERLINK("CSG15.html#group24R15", "24R¹⁵"), =HYPERLINK("CSG17.html#group48AS17", "48AS¹⁷"), =HYPERLINK("CSG19.html#group36K19", "36K¹⁹"), =HYPERLINK("CSG22.html#group168Q22", "168Q²²"), =HYPERLINK("CSG19.html#group72V19", "72V¹⁹"), =HYPERLINK("CSG2.html#group24H2", "24H²"), =HYPERLINK("CSG20.html#group144G20", "144G²⁰"), =HYPERLINK("CSG15.html#group36R15", "36R¹⁵"), =HYPERLINK("CSG20.html#group48I20", "48I²⁰"), =HYPERLINK("CSG15.html#group36P15", "36P¹⁵"), =HYPERLINK("CSG20.html#group144F20", "144F²⁰"), =HYPERLINK("CSG12.html#group36H12", "36H¹²"), =HYPERLINK("CSG22.html#group60B22", "60B²²"), =HYPERLINK("CSG16.html#group48B16", "48B¹⁶"), =HYPERLINK("CSG10.html#group72E10", "72E¹⁰"), =HYPERLINK("CSG15.html#group72Z15", "72Z¹⁵"), =HYPERLINK("CSG11.html#group12A11", "12A¹¹"), =HYPERLINK("CSG9.html#group12A9", "12A⁹"), =HYPERLINK("CSG9.html#group24Q9", "24Q⁹"), =HYPERLINK("CSG23.html#group72H23", "72H²³"), =HYPERLINK("CSG21.html#group72Q21", "72Q²¹"), =HYPERLINK("CSG21.html#group84P21", "84P²¹"), =HYPERLINK("CSG17.html#group36E17", "36E¹⁷"), =HYPERLINK("CSG19.html#group72R19", "72R¹⁹"), =HYPERLINK("CSG15.html#group48B15", "48B¹⁵"), =HYPERLINK("CSG15.html#group24B15", "24B¹⁵"), =HYPERLINK("CSG7.html#group12B7", "12B⁷"), =HYPERLINK("CSG21.html#group84O21", "84O²¹"), =HYPERLINK("CSG22.html#group144M22", "144M²²"), =HYPERLINK("CSG19.html#group48U19", "48U¹⁹"), =HYPERLINK("CSG22.html#group168R22", "168R²²"), =HYPERLINK("CSG9.html#group36J9", "36J⁹"), =HYPERLINK("CSG5.html#group24P5", "24P⁵"), =HYPERLINK("CSG9.html#group24AL9", "24AL⁹"), =HYPERLINK("CSG7.html#group36J7", "36J⁷"), =HYPERLINK("CSG11.html#group36F11", "36F¹¹"), =HYPERLINK("CSG17.html#group60E17", "60E¹⁷"), =HYPERLINK("CSG22.html#group168P22", "168P²²"), =HYPERLINK("CSG8.html#group72H8", "72H⁸"), =HYPERLINK("CSG13.html#group24B13", "24B¹³"), =HYPERLINK("CSG19.html#group120H19", "120H¹⁹"), =HYPERLINK("CSG21.html#group72N21", "72N²¹"), =HYPERLINK("CSG5.html#group12D5", "12D⁵"), =HYPERLINK("CSG22.html#group168O22", "168O²²"), =HYPERLINK("CSG21.html#group72S21", "72S²¹"), =HYPERLINK("CSG7.html#group24A7", "24A⁷"), =HYPERLINK("CSG15.html#group48S15", "48S¹⁵"), =HYPERLINK("CSG20.html#group144C20", "144C²⁰"), =HYPERLINK("CSG22.html#group144D22", "144D²²"), =HYPERLINK("CSG11.html#group24K11", "24K¹¹"), =HYPERLINK("CSG19.html#group36H19", "36H¹⁹"), =HYPERLINK("CSG21.html#group24M21", "24M²¹"), =HYPERLINK("CSG19.html#group36E19", "36E¹⁹"), =HYPERLINK("CSG17.html#group24AL17", "24AL¹⁷"), =HYPERLINK("CSG22.html#group144C22", "144C²²"), =HYPERLINK("CSG17.html#group24AE17", "24AE¹⁷"), =HYPERLINK("CSG13.html#group48AB13", "48AB¹³"), =HYPERLINK("CSG19.html#group84L19", "84L¹⁹"), =HYPERLINK("CSG15.html#group36Q15", "36Q¹⁵"), =HYPERLINK("CSG19.html#group120P19", "120P¹⁹"), =HYPERLINK("CSG4.html#group36L4", "36L⁴")</f>
        <v/>
      </c>
    </row>
    <row r="84">
      <c r="A84" t="inlineStr">
        <is>
          <t>12G⁰</t>
        </is>
      </c>
      <c r="B84" t="inlineStr"/>
      <c r="C84" t="inlineStr">
        <is>
          <t>36</t>
        </is>
      </c>
      <c r="D84" t="inlineStr">
        <is>
          <t>1</t>
        </is>
      </c>
      <c r="E84" t="inlineStr">
        <is>
          <t>9</t>
        </is>
      </c>
      <c r="F84" t="inlineStr">
        <is>
          <t>4</t>
        </is>
      </c>
      <c r="G84" t="inlineStr">
        <is>
          <t>0</t>
        </is>
      </c>
      <c r="H84" t="inlineStr">
        <is>
          <t>3⁴, 12²</t>
        </is>
      </c>
      <c r="I84" t="n">
        <v>6</v>
      </c>
      <c r="J84" t="inlineStr">
        <is>
          <t>1³, 2³</t>
        </is>
      </c>
      <c r="K84">
        <f>HYPERLINK("CSG0.html#group6G0", "6G⁰"), =HYPERLINK("CSG0.html#group12D0", "12D⁰")</f>
        <v/>
      </c>
      <c r="L84">
        <f>HYPERLINK("CSG1.html#group12S1", "12S¹"), =HYPERLINK("CSG1.html#group12T1", "12T¹"), =HYPERLINK("CSG1.html#group24I1", "24I¹"), =HYPERLINK("CSG3.html#group12F3", "12F³"), =HYPERLINK("CSG3.html#group24M3", "24M³"), =HYPERLINK("CSG3.html#group36I3", "36I³"), =HYPERLINK("CSG4.html#group36P4", "36P⁴"), =HYPERLINK("CSG6.html#group36H6", "36H⁶"), =HYPERLINK("CSG11.html#group60N11", "60N¹¹"), =HYPERLINK("CSG12.html#group60B12", "60B¹²"), =HYPERLINK("CSG16.html#group84C16", "84C¹⁶"), =HYPERLINK("CSG19.html#group84J19", "84J¹⁹"), =HYPERLINK("CSG23.html#group60D23", "60D²³")</f>
        <v/>
      </c>
      <c r="M84">
        <f>HYPERLINK("CSG0.html#group6G0", "6G⁰"), =HYPERLINK("CSG0.html#group3C0", "3C⁰"), =HYPERLINK("CSG0.html#group2B0", "2B⁰"), =HYPERLINK("CSG0.html#group12D0", "12D⁰"), =HYPERLINK("CSG0.html#group3A0", "3A⁰"), =HYPERLINK("CSG0.html#group1A0", "1A⁰"), =HYPERLINK("CSG0.html#group6D0", "6D⁰")</f>
        <v/>
      </c>
      <c r="N84">
        <f>HYPERLINK("CSG1.html#group12T1", "12T¹"), =HYPERLINK("CSG7.html#group24M7", "24M⁷"), =HYPERLINK("CSG13.html#group72F13", "72F¹³"), =HYPERLINK("CSG21.html#group72AB21", "72AB²¹"), =HYPERLINK("CSG3.html#group12F3", "12F³"), =HYPERLINK("CSG13.html#group24R13", "24R¹³"), =HYPERLINK("CSG21.html#group60W21", "60W²¹"), =HYPERLINK("CSG17.html#group24I17", "24I¹⁷"), =HYPERLINK("CSG15.html#group24L15", "24L¹⁵"), =HYPERLINK("CSG15.html#group72T15", "72T¹⁵"), =HYPERLINK("CSG13.html#group48W13", "48W¹³"), =HYPERLINK("CSG23.html#group36B23", "36B²³"), =HYPERLINK("CSG6.html#group36H6", "36H⁶"), =HYPERLINK("CSG8.html#group72L8", "72L⁸"), =HYPERLINK("CSG22.html#group36L22", "36L²²"), =HYPERLINK("CSG23.html#group72J23", "72J²³"), =HYPERLINK("CSG15.html#group24K15", "24K¹⁵"), =HYPERLINK("CSG17.html#group48AG17", "48AG¹⁷"), =HYPERLINK("CSG13.html#group24J13", "24J¹³"), =HYPERLINK("CSG19.html#group24K19", "24K¹⁹"), =HYPERLINK("CSG13.html#group36C13", "36C¹³"), =HYPERLINK("CSG13.html#group48V13", "48V¹³"), =HYPERLINK("CSG5.html#group24R5", "24R⁵"), =HYPERLINK("CSG7.html#group24G7", "24G⁷"), =HYPERLINK("CSG12.html#group60B12", "60B¹²"), =HYPERLINK("CSG19.html#group36U19", "36U¹⁹"), =HYPERLINK("CSG13.html#group24O13", "24O¹³"), =HYPERLINK("CSG13.html#group24Q13", "24Q¹³"), =HYPERLINK("CSG15.html#group36J15", "36J¹⁵"), =HYPERLINK("CSG9.html#group24AP9", "24AP⁹"), =HYPERLINK("CSG3.html#group12O3", "12O³"), =HYPERLINK("CSG13.html#group24T13", "24T¹³"), =HYPERLINK("CSG13.html#group24Y13", "24Y¹³"), =HYPERLINK("CSG17.html#group48R17", "48R¹⁷"), =HYPERLINK("CSG13.html#group24N13", "24N¹³"), =HYPERLINK("CSG17.html#group48M17", "48M¹⁷"), =HYPERLINK("CSG8.html#group72M8", "72M⁸"), =HYPERLINK("CSG4.html#group36P4", "36P⁴"), =HYPERLINK("CSG13.html#group24U13", "24U¹³"), =HYPERLINK("CSG17.html#group48AH17", "48AH¹⁷"), =HYPERLINK("CSG9.html#group36O9", "36O⁹"), =HYPERLINK("CSG15.html#group36C15", "36C¹⁵"), =HYPERLINK("CSG3.html#group24AC3", "24AC³"), =HYPERLINK("CSG13.html#group24K13", "24K¹³"), =HYPERLINK("CSG19.html#group84J19", "84J¹⁹"), =HYPERLINK("CSG9.html#group36P9", "36P⁹"), =HYPERLINK("CSG16.html#group84C16", "84C¹⁶"), =HYPERLINK("CSG13.html#group36P13", "36P¹³"), =HYPERLINK("CSG21.html#group72AA21", "72AA²¹"), =HYPERLINK("CSG15.html#group24J15", "24J¹⁵"), =HYPERLINK("CSG23.html#group36D23", "36D²³"), =HYPERLINK("CSG16.html#group36G16", "36G¹⁶"), =HYPERLINK("CSG13.html#group48Y13", "48Y¹³"), =HYPERLINK("CSG13.html#group48AC13", "48AC¹³"), =HYPERLINK("CSG3.html#group12P3", "12P³"), =HYPERLINK("CSG13.html#group24M13", "24M¹³"), =HYPERLINK("CSG17.html#group24Y17", "24Y¹⁷"), =HYPERLINK("CSG17.html#group48L17", "48L¹⁷"), =HYPERLINK("CSG22.html#group72L22", "72L²²"), =HYPERLINK("CSG16.html#group36I16", "36I¹⁶"), =HYPERLINK("CSG9.html#group24E9", "24E⁹"), =HYPERLINK("CSG13.html#group24S13", "24S¹³"), =HYPERLINK("CSG5.html#group12B5", "12B⁵"), =HYPERLINK("CSG21.html#group48AV21", "48AV²¹"), =HYPERLINK("CSG11.html#group60N11", "60N¹¹"), =HYPERLINK("CSG21.html#group48BE21", "48BE²¹"), =HYPERLINK("CSG17.html#group24AA17", "24AA¹⁷"), =HYPERLINK("CSG11.html#group24N11", "24N¹¹"), =HYPERLINK("CSG1.html#group12S1", "12S¹"), =HYPERLINK("CSG3.html#group24M3", "24M³"), =HYPERLINK("CSG18.html#group36A18", "36A¹⁸"), =HYPERLINK("CSG11.html#group12A11", "12A¹¹"), =HYPERLINK("CSG15.html#group24F15", "24F¹⁵"), =HYPERLINK("CSG12.html#group72E12", "72E¹²"), =HYPERLINK("CSG11.html#group36M11", "36M¹¹"), =HYPERLINK("CSG5.html#group12C5", "12C⁵"), =HYPERLINK("CSG13.html#group12A13", "12A¹³"), =HYPERLINK("CSG17.html#group24M17", "24M¹⁷"), =HYPERLINK("CSG23.html#group36A23", "36A²³"), =HYPERLINK("CSG5.html#group24U5", "24U⁵"), =HYPERLINK("CSG13.html#group48Z13", "48Z¹³"), =HYPERLINK("CSG5.html#group24S5", "24S⁵"), =HYPERLINK("CSG3.html#group36I3", "36I³"), =HYPERLINK("CSG17.html#group24A17", "24A¹⁷"), =HYPERLINK("CSG17.html#group48AV17", "48AV¹⁷"), =HYPERLINK("CSG7.html#group24S7", "24S⁷"), =HYPERLINK("CSG21.html#group48M21", "48M²¹"), =HYPERLINK("CSG21.html#group36E21", "36E²¹"), =HYPERLINK("CSG10.html#group36Q10", "36Q¹⁰"), =HYPERLINK("CSG1.html#group24I1", "24I¹"), =HYPERLINK("CSG11.html#group72O11", "72O¹¹"), =HYPERLINK("CSG7.html#group36N7", "36N⁷"), =HYPERLINK("CSG17.html#group72X17", "72X¹⁷"), =HYPERLINK("CSG9.html#group12B9", "12B⁹"), =HYPERLINK("CSG5.html#group12D5", "12D⁵"), =HYPERLINK("CSG23.html#group60D23", "60D²³"), =HYPERLINK("CSG17.html#group24H17", "24H¹⁷"), =HYPERLINK("CSG13.html#group12B13", "12B¹³"), =HYPERLINK("CSG12.html#group72D12", "72D¹²"), =HYPERLINK("CSG13.html#group48AD13", "48AD¹³"), =HYPERLINK("CSG17.html#group24N17", "24N¹⁷"), =HYPERLINK("CSG17.html#group24O17", "24O¹⁷"), =HYPERLINK("CSG17.html#group36K17", "36K¹⁷"), =HYPERLINK("CSG13.html#group72L13", "72L¹³"), =HYPERLINK("CSG13.html#group24L13", "24L¹³"), =HYPERLINK("CSG17.html#group48B17", "48B¹⁷"), =HYPERLINK("CSG7.html#group12D7", "12D⁷"), =HYPERLINK("CSG23.html#group72K23", "72K²³"), =HYPERLINK("CSG17.html#group48C17", "48C¹⁷"), =HYPERLINK("CSG23.html#group72I23", "72I²³"), =HYPERLINK("CSG5.html#group24T5", "24T⁵"), =HYPERLINK("CSG13.html#group24W13", "24W¹³"), =HYPERLINK("CSG13.html#group48X13", "48X¹³"), =HYPERLINK("CSG17.html#group24AE17", "24AE¹⁷"), =HYPERLINK("CSG9.html#group24K9", "24K⁹"), =HYPERLINK("CSG13.html#group24P13", "24P¹³"), =HYPERLINK("CSG23.html#group36C23", "36C²³"), =HYPERLINK("CSG17.html#group24C17", "24C¹⁷"), =HYPERLINK("CSG17.html#group48AR17", "48AR¹⁷")</f>
        <v/>
      </c>
    </row>
    <row r="85">
      <c r="A85" t="inlineStr">
        <is>
          <t>12H⁰</t>
        </is>
      </c>
      <c r="B85" t="inlineStr"/>
      <c r="C85" t="inlineStr">
        <is>
          <t>36</t>
        </is>
      </c>
      <c r="D85" t="inlineStr">
        <is>
          <t>1</t>
        </is>
      </c>
      <c r="E85" t="inlineStr">
        <is>
          <t>9</t>
        </is>
      </c>
      <c r="F85" t="inlineStr">
        <is>
          <t>8</t>
        </is>
      </c>
      <c r="G85" t="inlineStr">
        <is>
          <t>0</t>
        </is>
      </c>
      <c r="H85" t="inlineStr">
        <is>
          <t>6², 12²</t>
        </is>
      </c>
      <c r="I85" t="n">
        <v>4</v>
      </c>
      <c r="J85" t="inlineStr">
        <is>
          <t>1³, 2³</t>
        </is>
      </c>
      <c r="K85">
        <f>HYPERLINK("CSG0.html#group6H0", "6H⁰"), =HYPERLINK("CSG0.html#group12C0", "12C⁰"), =HYPERLINK("CSG0.html#group12D0", "12D⁰")</f>
        <v/>
      </c>
      <c r="L85">
        <f>HYPERLINK("CSG1.html#group12T1", "12T¹"), =HYPERLINK("CSG1.html#group24H1", "24H¹"), =HYPERLINK("CSG2.html#group12H2", "12H²"), =HYPERLINK("CSG2.html#group12I2", "12I²"), =HYPERLINK("CSG2.html#group24N2", "24N²"), =HYPERLINK("CSG2.html#group24O2", "24O²"), =HYPERLINK("CSG3.html#group12G3", "12G³"), =HYPERLINK("CSG3.html#group24S3", "24S³"), =HYPERLINK("CSG4.html#group36R4", "36R⁴"), =HYPERLINK("CSG5.html#group24D5", "24D⁵"), =HYPERLINK("CSG6.html#group36C6", "36C⁶"), =HYPERLINK("CSG11.html#group60S11", "60S¹¹"), =HYPERLINK("CSG12.html#group60C12", "60C¹²"), =HYPERLINK("CSG14.html#group84D14", "84D¹⁴"), =HYPERLINK("CSG21.html#group84C21", "84C²¹"), =HYPERLINK("CSG23.html#group60I23", "60I²³")</f>
        <v/>
      </c>
      <c r="M85">
        <f>HYPERLINK("CSG0.html#group6B0", "6B⁰"), =HYPERLINK("CSG0.html#group12C0", "12C⁰"), =HYPERLINK("CSG0.html#group4C0", "4C⁰"), =HYPERLINK("CSG0.html#group2B0", "2B⁰"), =HYPERLINK("CSG0.html#group12D0", "12D⁰"), =HYPERLINK("CSG0.html#group6H0", "6H⁰"), =HYPERLINK("CSG0.html#group3A0", "3A⁰"), =HYPERLINK("CSG0.html#group1A0", "1A⁰"), =HYPERLINK("CSG0.html#group6D0", "6D⁰")</f>
        <v/>
      </c>
      <c r="N85">
        <f>HYPERLINK("CSG21.html#group84C21", "84C²¹"), =HYPERLINK("CSG19.html#group96AH19", "96AH¹⁹"), =HYPERLINK("CSG16.html#group96B16", "96B¹⁶"), =HYPERLINK("CSG20.html#group96L20", "96L²⁰"), =HYPERLINK("CSG21.html#group48AY21", "48AY²¹"), =HYPERLINK("CSG19.html#group96AE19", "96AE¹⁹"), =HYPERLINK("CSG8.html#group48O8", "48O⁸"), =HYPERLINK("CSG13.html#group24R13", "24R¹³"), =HYPERLINK("CSG16.html#group48C16", "48C¹⁶"), =HYPERLINK("CSG11.html#group48R11", "48R¹¹"), =HYPERLINK("CSG17.html#group24I17", "24I¹⁷"), =HYPERLINK("CSG15.html#group24L15", "24L¹⁵"), =HYPERLINK("CSG3.html#group12G3", "12G³"), =HYPERLINK("CSG8.html#group24M8", "24M⁸"), =HYPERLINK("CSG15.html#group48V15", "48V¹⁵"), =HYPERLINK("CSG17.html#group48U17", "48U¹⁷"), =HYPERLINK("CSG17.html#group48CA17", "48CA¹⁷"), =HYPERLINK("CSG16.html#group48D16", "48D¹⁶"), =HYPERLINK("CSG21.html#group48AE21", "48AE²¹"), =HYPERLINK("CSG7.html#group48AE7", "48AE⁷"), =HYPERLINK("CSG21.html#group48O21", "48O²¹"), =HYPERLINK("CSG3.html#group24S3", "24S³"), =HYPERLINK("CSG21.html#group48BF21", "48BF²¹"), =HYPERLINK("CSG15.html#group24K15", "24K¹⁵"), =HYPERLINK("CSG17.html#group48AG17", "48AG¹⁷"), =HYPERLINK("CSG19.html#group96AK19", "96AK¹⁹"), =HYPERLINK("CSG20.html#group96F20", "96F²⁰"), =HYPERLINK("CSG19.html#group36U19", "36U¹⁹"), =HYPERLINK("CSG13.html#group24O13", "24O¹³"), =HYPERLINK("CSG13.html#group24Q13", "24Q¹³"), =HYPERLINK("CSG1.html#group24H1", "24H¹"), =HYPERLINK("CSG11.html#group48N11", "48N¹¹"), =HYPERLINK("CSG7.html#group24AD7", "24AD⁷"), =HYPERLINK("CSG7.html#group48AH7", "48AH⁷"), =HYPERLINK("CSG21.html#group48AA21", "48AA²¹"), =HYPERLINK("CSG15.html#group72P15", "72P¹⁵"), =HYPERLINK("CSG17.html#group48R17", "48R¹⁷"), =HYPERLINK("CSG15.html#group48F15", "48F¹⁵"), =HYPERLINK("CSG17.html#group48CD17", "48CD¹⁷"), =HYPERLINK("CSG17.html#group48M17", "48M¹⁷"), =HYPERLINK("CSG7.html#group24V7", "24V⁷"), =HYPERLINK("CSG13.html#group24U13", "24U¹³"), =HYPERLINK("CSG17.html#group48AH17", "48AH¹⁷"), =HYPERLINK("CSG21.html#group48BK21", "48BK²¹"), =HYPERLINK("CSG9.html#group36O9", "36O⁹"), =HYPERLINK("CSG17.html#group24J17", "24J¹⁷"), =HYPERLINK("CSG13.html#group24K13", "24K¹³"), =HYPERLINK("CSG21.html#group48AT21", "48AT²¹"), =HYPERLINK("CSG16.html#group36H16", "36H¹⁶"), =HYPERLINK("CSG9.html#group36P9", "36P⁹"), =HYPERLINK("CSG13.html#group36P13", "36P¹³"), =HYPERLINK("CSG15.html#group24O15", "24O¹⁵"), =HYPERLINK("CSG23.html#group96AA23", "96AA²³"), =HYPERLINK("CSG7.html#group48AD7", "48AD⁷"), =HYPERLINK("CSG14.html#group36B14", "36B¹⁴"), =HYPERLINK("CSG15.html#group24I15", "24I¹⁵"), =HYPERLINK("CSG19.html#group96AS19", "96AS¹⁹"), =HYPERLINK("CSG19.html#group48F19", "48F¹⁹"), =HYPERLINK("CSG17.html#group48BC17", "48BC¹⁷"), =HYPERLINK("CSG13.html#group48AC13", "48AC¹³"), =HYPERLINK("CSG17.html#group48AQ17", "48AQ¹⁷"), =HYPERLINK("CSG19.html#group48E19", "48E¹⁹"), =HYPERLINK("CSG12.html#group72M12", "72M¹²"), =HYPERLINK("CSG17.html#group48BG17", "48BG¹⁷"), =HYPERLINK("CSG17.html#group48BH17", "48BH¹⁷"), =HYPERLINK("CSG13.html#group24Z13", "24Z¹³"), =HYPERLINK("CSG2.html#group12I2", "12I²"), =HYPERLINK("CSG17.html#group48BF17", "48BF¹⁷"), =HYPERLINK("CSG21.html#group48AW21", "48AW²¹"), =HYPERLINK("CSG13.html#group24S13", "24S¹³"), =HYPERLINK("CSG21.html#group48AV21", "48AV²¹"), =HYPERLINK("CSG21.html#group48BE21", "48BE²¹"), =HYPERLINK("CSG15.html#group48U15", "48U¹⁵"), =HYPERLINK("CSG19.html#group48Y19", "48Y¹⁹"), =HYPERLINK("CSG17.html#group24AA17", "24AA¹⁷"), =HYPERLINK("CSG4.html#group36R4", "36R⁴"), =HYPERLINK("CSG11.html#group24N11", "24N¹¹"), =HYPERLINK("CSG13.html#group24V13", "24V¹³"), =HYPERLINK("CSG9.html#group24M9", "24M⁹"), =HYPERLINK("CSG16.html#group48J16", "48J¹⁶"), =HYPERLINK("CSG21.html#group48S21", "48S²¹"), =HYPERLINK("CSG6.html#group48K6", "48K⁶"), =HYPERLINK("CSG19.html#group24B19", "24B¹⁹"), =HYPERLINK("CSG13.html#group24AA13", "24AA¹³"), =HYPERLINK("CSG15.html#group24F15", "24F¹⁵"), =HYPERLINK("CSG2.html#group12H2", "12H²"), =HYPERLINK("CSG23.html#group96X23", "96X²³"), =HYPERLINK("CSG19.html#group48BM19", "48BM¹⁹"), =HYPERLINK("CSG17.html#group72D17", "72D¹⁷"), =HYPERLINK("CSG21.html#group48AU21", "48AU²¹"), =HYPERLINK("CSG5.html#group12C5", "12C⁵"), =HYPERLINK("CSG13.html#group12A13", "12A¹³"), =HYPERLINK("CSG11.html#group60S11", "60S¹¹"), =HYPERLINK("CSG17.html#group48BR17", "48BR¹⁷"), =HYPERLINK("CSG23.html#group36A23", "36A²³"), =HYPERLINK("CSG8.html#group24N8", "24N⁸"), =HYPERLINK("CSG20.html#group48F20", "48F²⁰"), =HYPERLINK("CSG13.html#group24X13", "24X¹³"), =HYPERLINK("CSG15.html#group24D15", "24D¹⁵"), =HYPERLINK("CSG12.html#group36F12", "36F¹²"), =HYPERLINK("CSG15.html#group96V15", "96V¹⁵"), =HYPERLINK("CSG17.html#group48AV17", "48AV¹⁷"), =HYPERLINK("CSG17.html#group48CC17", "48CC¹⁷"), =HYPERLINK("CSG15.html#group24S15", "24S¹⁵"), =HYPERLINK("CSG7.html#group24S7", "24S⁷"), =HYPERLINK("CSG21.html#group48M21", "48M²¹"), =HYPERLINK("CSG21.html#group36E21", "36E²¹"), =HYPERLINK("CSG17.html#group48BD17", "48BD¹⁷"), =HYPERLINK("CSG17.html#group24H17", "24H¹⁷"), =HYPERLINK("CSG19.html#group96AM19", "96AM¹⁹"), =HYPERLINK("CSG6.html#group24J6", "24J⁶"), =HYPERLINK("CSG17.html#group24AK17", "24AK¹⁷"), =HYPERLINK("CSG17.html#group24N17", "24N¹⁷"), =HYPERLINK("CSG17.html#group24O17", "24O¹⁷"), =HYPERLINK("CSG7.html#group24W7", "24W⁷"), =HYPERLINK("CSG7.html#group12D7", "12D⁷"), =HYPERLINK("CSG11.html#group96K11", "96K¹¹"), =HYPERLINK("CSG16.html#group96A16", "96A¹⁶"), =HYPERLINK("CSG19.html#group96AL19", "96AL¹⁹"), =HYPERLINK("CSG5.html#group24T5", "24T⁵"), =HYPERLINK("CSG17.html#group48BE17", "48BE¹⁷"), =HYPERLINK("CSG21.html#group48K21", "48K²¹"), =HYPERLINK("CSG19.html#group24C19", "24C¹⁹"), =HYPERLINK("CSG12.html#group36E12", "36E¹²"), =HYPERLINK("CSG13.html#group48AF13", "48AF¹³"), =HYPERLINK("CSG19.html#group96AF19", "96AF¹⁹"), =HYPERLINK("CSG19.html#group144J19", "144J¹⁹"), =HYPERLINK("CSG12.html#group60C12", "60C¹²"), =HYPERLINK("CSG15.html#group24E15", "24E¹⁵"), =HYPERLINK("CSG17.html#group48BU17", "48BU¹⁷"), =HYPERLINK("CSG19.html#group24L19", "24L¹⁹"), =HYPERLINK("CSG21.html#group48AP21", "48AP²¹"), =HYPERLINK("CSG17.html#group24C17", "24C¹⁷"), =HYPERLINK("CSG17.html#group48AR17", "48AR¹⁷"), =HYPERLINK("CSG1.html#group12T1", "12T¹"), =HYPERLINK("CSG2.html#group24O2", "24O²"), =HYPERLINK("CSG15.html#group24T15", "24T¹⁵"), =HYPERLINK("CSG19.html#group24P19", "24P¹⁹"), =HYPERLINK("CSG21.html#group48AO21", "48AO²¹"), =HYPERLINK("CSG13.html#group48AA13", "48AA¹³"), =HYPERLINK("CSG15.html#group36K15", "36K¹⁵"), =HYPERLINK("CSG5.html#group24X5", "24X⁵"), =HYPERLINK("CSG19.html#group96AU19", "96AU¹⁹"), =HYPERLINK("CSG9.html#group48AF9", "48AF⁹"), =HYPERLINK("CSG16.html#group96C16", "96C¹⁶"), =HYPERLINK("CSG20.html#group48G20", "48G²⁰"), =HYPERLINK("CSG6.html#group24F6", "24F⁶"), =HYPERLINK("CSG7.html#group24J7", "24J⁷"), =HYPERLINK("CSG19.html#group48AQ19", "48AQ¹⁹"), =HYPERLINK("CSG5.html#group24W5", "24W⁵"), =HYPERLINK("CSG23.html#group36B23", "36B²³"), =HYPERLINK("CSG7.html#group48S7", "48S⁷"), =HYPERLINK("CSG7.html#group48T7", "48T⁷"), =HYPERLINK("CSG17.html#group24Z17", "24Z¹⁷"), =HYPERLINK("CSG23.html#group72J23", "72J²³"), =HYPERLINK("CSG15.html#group24Q15", "24Q¹⁵"), =HYPERLINK("CSG13.html#group72I13", "72I¹³"), =HYPERLINK("CSG21.html#group48Y21", "48Y²¹"), =HYPERLINK("CSG7.html#group24AE7", "24AE⁷"), =HYPERLINK("CSG15.html#group48E15", "48E¹⁵"), =HYPERLINK("CSG15.html#group24P15", "24P¹⁵"), =HYPERLINK("CSG13.html#group24J13", "24J¹³"), =HYPERLINK("CSG19.html#group24K19", "24K¹⁹"), =HYPERLINK("CSG14.html#group72C14", "72C¹⁴"), =HYPERLINK("CSG8.html#group48N8", "48N⁸"), =HYPERLINK("CSG23.html#group96AB23", "96AB²³"), =HYPERLINK("CSG15.html#group24A15", "24A¹⁵"), =HYPERLINK("CSG15.html#group48K15", "48K¹⁵"), =HYPERLINK("CSG13.html#group24T13", "24T¹³"), =HYPERLINK("CSG16.html#group96E16", "96E¹⁶"), =HYPERLINK("CSG13.html#group24Y13", "24Y¹³"), =HYPERLINK("CSG21.html#group60X21", "60X²¹"), =HYPERLINK("CSG21.html#group48Z21", "48Z²¹"), =HYPERLINK("CSG6.html#group24E6", "24E⁶"), =HYPERLINK("CSG16.html#group48E16", "48E¹⁶"), =HYPERLINK("CSG19.html#group48K19", "48K¹⁹"), =HYPERLINK("CSG17.html#group48K17", "48K¹⁷"), =HYPERLINK("CSG20.html#group96E20", "96E²⁰"), =HYPERLINK("CSG20.html#group96K20", "96K²⁰"), =HYPERLINK("CSG17.html#group24G17", "24G¹⁷"), =HYPERLINK("CSG17.html#group24AM17", "24AM¹⁷"), =HYPERLINK("CSG23.html#group96Q23", "96Q²³"), =HYPERLINK("CSG20.html#group48E20", "48E²⁰"), =HYPERLINK("CSG8.html#group48W8", "48W⁸"), =HYPERLINK("CSG11.html#group72R11", "72R¹¹"), =HYPERLINK("CSG23.html#group144Y23", "144Y²³"), =HYPERLINK("CSG5.html#group24Y5", "24Y⁵"), =HYPERLINK("CSG18.html#group36B18", "36B¹⁸"), =HYPERLINK("CSG21.html#group72AA21", "72AA²¹"), =HYPERLINK("CSG17.html#group48CI17", "48CI¹⁷"), =HYPERLINK("CSG23.html#group36D23", "36D²³"), =HYPERLINK("CSG15.html#group24J15", "24J¹⁵"), =HYPERLINK("CSG15.html#group48T15", "48T¹⁵"), =HYPERLINK("CSG13.html#group48AE13", "48AE¹³"), =HYPERLINK("CSG19.html#group96U19", "96U¹⁹"), =HYPERLINK("CSG19.html#group96AG19", "96AG¹⁹"), =HYPERLINK("CSG17.html#group24T17", "24T¹⁷"), =HYPERLINK("CSG3.html#group12P3", "12P³"), =HYPERLINK("CSG6.html#group36C6", "36C⁶"), =HYPERLINK("CSG8.html#group24O8", "24O⁸"), =HYPERLINK("CSG15.html#group48AC15", "48AC¹⁵"), =HYPERLINK("CSG23.html#group96R23", "96R²³"), =HYPERLINK("CSG17.html#group24Y17", "24Y¹⁷"), =HYPERLINK("CSG17.html#group48L17", "48L¹⁷"), =HYPERLINK("CSG15.html#group24R15", "24R¹⁵"), =HYPERLINK("CSG17.html#group48AS17", "48AS¹⁷"), =HYPERLINK("CSG9.html#group24E9", "24E⁹"), =HYPERLINK("CSG17.html#group72H17", "72H¹⁷"), =HYPERLINK("CSG20.html#group48I20", "48I²⁰"), =HYPERLINK("CSG11.html#group48G11", "48G¹¹"), =HYPERLINK("CSG14.html#group84D14", "84D¹⁴"), =HYPERLINK("CSG14.html#group72B14", "72B¹⁴"), =HYPERLINK("CSG5.html#group12B5", "12B⁵"), =HYPERLINK("CSG16.html#group48B16", "48B¹⁶"), =HYPERLINK("CSG9.html#group24G9", "24G⁹"), =HYPERLINK("CSG15.html#group36D15", "36D¹⁵"), =HYPERLINK("CSG17.html#group48BY17", "48BY¹⁷"), =HYPERLINK("CSG11.html#group12A11", "12A¹¹"), =HYPERLINK("CSG9.html#group24Q9", "24Q⁹"), =HYPERLINK("CSG9.html#group72H9", "72H⁹"), =HYPERLINK("CSG5.html#group24V5", "24V⁵"), =HYPERLINK("CSG23.html#group96W23", "96W²³"), =HYPERLINK("CSG21.html#group48P21", "48P²¹"), =HYPERLINK("CSG19.html#group24R19", "24R¹⁹"), =HYPERLINK("CSG14.html#group36A14", "36A¹⁴"), =HYPERLINK("CSG17.html#group24M17", "24M¹⁷"), =HYPERLINK("CSG15.html#group24B15", "24B¹⁵"), =HYPERLINK("CSG23.html#group60I23", "60I²³"), =HYPERLINK("CSG5.html#group24U5", "24U⁵"), =HYPERLINK("CSG7.html#group12B7", "12B⁷"), =HYPERLINK("CSG5.html#group24S5", "24S⁵"), =HYPERLINK("CSG15.html#group48AB15", "48AB¹⁵"), =HYPERLINK("CSG7.html#group24I7", "24I⁷"), =HYPERLINK("CSG9.html#group24J9", "24J⁹"), =HYPERLINK("CSG11.html#group36N11", "36N¹¹"), =HYPERLINK("CSG19.html#group48U19", "48U¹⁹"), =HYPERLINK("CSG17.html#group24A17", "24A¹⁷"), =HYPERLINK("CSG15.html#group72Q15", "72Q¹⁵"), =HYPERLINK("CSG17.html#group24V17", "24V¹⁷"), =HYPERLINK("CSG2.html#group24N2", "24N²"), =HYPERLINK("CSG6.html#group48I6", "48I⁶"), =HYPERLINK("CSG12.html#group72L12", "72L¹²"), =HYPERLINK("CSG9.html#group12B9", "12B⁹"), =HYPERLINK("CSG5.html#group12D5", "12D⁵"), =HYPERLINK("CSG19.html#group96AT19", "96AT¹⁹"), =HYPERLINK("CSG13.html#group12B13", "12B¹³"), =HYPERLINK("CSG13.html#group48AD13", "48AD¹³"), =HYPERLINK("CSG15.html#group48S15", "48S¹⁵"), =HYPERLINK("CSG19.html#group96AN19", "96AN¹⁹"), =HYPERLINK("CSG19.html#group96AV19", "96AV¹⁹"), =HYPERLINK("CSG5.html#group24D5", "24D⁵"), =HYPERLINK("CSG17.html#group48BQ17", "48BQ¹⁷"), =HYPERLINK("CSG17.html#group48BV17", "48BV¹⁷"), =HYPERLINK("CSG23.html#group72K23", "72K²³"), =HYPERLINK("CSG3.html#group48M3", "48M³"), =HYPERLINK("CSG23.html#group72I23", "72I²³"), =HYPERLINK("CSG19.html#group48BN19", "48BN¹⁹"), =HYPERLINK("CSG6.html#group48J6", "48J⁶"), =HYPERLINK("CSG13.html#group24W13", "24W¹³"), =HYPERLINK("CSG17.html#group24AL17", "24AL¹⁷"), =HYPERLINK("CSG13.html#group48X13", "48X¹³"), =HYPERLINK("CSG17.html#group24AE17", "24AE¹⁷"), =HYPERLINK("CSG13.html#group48AB13", "48AB¹³"), =HYPERLINK("CSG16.html#group96D16", "96D¹⁶"), =HYPERLINK("CSG13.html#group24P13", "24P¹³"), =HYPERLINK("CSG23.html#group36C23", "36C²³"), =HYPERLINK("CSG21.html#group48BJ21", "48BJ²¹"), =HYPERLINK("CSG17.html#group48E17", "48E¹⁷")</f>
        <v/>
      </c>
    </row>
    <row r="86">
      <c r="A86" t="inlineStr">
        <is>
          <t>12I⁰</t>
        </is>
      </c>
      <c r="B86" t="inlineStr"/>
      <c r="C86" t="inlineStr">
        <is>
          <t>48</t>
        </is>
      </c>
      <c r="D86" t="inlineStr">
        <is>
          <t>1</t>
        </is>
      </c>
      <c r="E86" t="inlineStr">
        <is>
          <t>12</t>
        </is>
      </c>
      <c r="F86" t="inlineStr">
        <is>
          <t>0</t>
        </is>
      </c>
      <c r="G86" t="inlineStr">
        <is>
          <t>0</t>
        </is>
      </c>
      <c r="H86" t="inlineStr">
        <is>
          <t>2⁴, 4¹, 6⁴, 12¹</t>
        </is>
      </c>
      <c r="I86" t="n">
        <v>10</v>
      </c>
      <c r="J86" t="inlineStr">
        <is>
          <t>1⁶, 2³</t>
        </is>
      </c>
      <c r="K86">
        <f>HYPERLINK("CSG0.html#group6I0", "6I⁰")</f>
        <v/>
      </c>
      <c r="L86">
        <f>HYPERLINK("CSG1.html#group12V1", "12V¹"), =HYPERLINK("CSG3.html#group12L3", "12L³"), =HYPERLINK("CSG3.html#group12N3", "12N³"), =HYPERLINK("CSG3.html#group36J3", "36J³"), =HYPERLINK("CSG8.html#group36I8", "36I⁸"), =HYPERLINK("CSG8.html#group36H8", "36H⁸"), =HYPERLINK("CSG15.html#group60AB15", "60AB¹⁵"), =HYPERLINK("CSG16.html#group60A16", "60A¹⁶"), =HYPERLINK("CSG23.html#group84I23", "84I²³"), =HYPERLINK("CSG24.html#group84B24", "84B²⁴")</f>
        <v/>
      </c>
      <c r="M86">
        <f>HYPERLINK("CSG0.html#group3B0", "3B⁰"), =HYPERLINK("CSG0.html#group2A0", "2A⁰"), =HYPERLINK("CSG0.html#group6I0", "6I⁰"), =HYPERLINK("CSG0.html#group6C0", "6C⁰"), =HYPERLINK("CSG0.html#group1A0", "1A⁰"), =HYPERLINK("CSG0.html#group2B0", "2B⁰"), =HYPERLINK("CSG0.html#group6F0", "6F⁰"), =HYPERLINK("CSG0.html#group2C0", "2C⁰")</f>
        <v/>
      </c>
      <c r="N86">
        <f>HYPERLINK("CSG9.html#group24AE9", "24AE⁹"), =HYPERLINK("CSG13.html#group48AG13", "48AG¹³"), =HYPERLINK("CSG21.html#group48CC21", "48CC²¹"), =HYPERLINK("CSG24.html#group84B24", "84B²⁴"), =HYPERLINK("CSG21.html#group24B21", "24B²¹"), =HYPERLINK("CSG17.html#group24AQ17", "24AQ¹⁷"), =HYPERLINK("CSG8.html#group36I8", "36I⁸"), =HYPERLINK("CSG16.html#group60A16", "60A¹⁶"), =HYPERLINK("CSG3.html#group12N3", "12N³"), =HYPERLINK("CSG17.html#group36B17", "36B¹⁷"), =HYPERLINK("CSG13.html#group24AB13", "24AB¹³"), =HYPERLINK("CSG9.html#group24AD9", "24AD⁹"), =HYPERLINK("CSG5.html#group12E5", "12E⁵"), =HYPERLINK("CSG5.html#group24Z5", "24Z⁵"), =HYPERLINK("CSG13.html#group36U13", "36U¹³"), =HYPERLINK("CSG22.html#group36K22", "36K²²"), =HYPERLINK("CSG17.html#group24AP17", "24AP¹⁷"), =HYPERLINK("CSG21.html#group48BZ21", "48BZ²¹"), =HYPERLINK("CSG3.html#group12L3", "12L³"), =HYPERLINK("CSG17.html#group24AR17", "24AR¹⁷"), =HYPERLINK("CSG9.html#group24AB9", "24AB⁹"), =HYPERLINK("CSG22.html#group36N22", "36N²²"), =HYPERLINK("CSG17.html#group36A17", "36A¹⁷"), =HYPERLINK("CSG21.html#group48CA21", "48CA²¹"), =HYPERLINK("CSG22.html#group36O22", "36O²²"), =HYPERLINK("CSG15.html#group60AB15", "60AB¹⁵"), =HYPERLINK("CSG1.html#group12V1", "12V¹"), =HYPERLINK("CSG9.html#group12B9", "12B⁹"), =HYPERLINK("CSG17.html#group36I17", "36I¹⁷"), =HYPERLINK("CSG13.html#group12B13", "12B¹³"), =HYPERLINK("CSG5.html#group24AB5", "24AB⁵"), =HYPERLINK("CSG17.html#group24AS17", "24AS¹⁷"), =HYPERLINK("CSG17.html#group108F17", "108F¹⁷"), =HYPERLINK("CSG19.html#group36C19", "36C¹⁹"), =HYPERLINK("CSG23.html#group84I23", "84I²³"), =HYPERLINK("CSG7.html#group24AL7", "24AL⁷"), =HYPERLINK("CSG8.html#group36H8", "36H⁸"), =HYPERLINK("CSG9.html#group36Q9", "36Q⁹"), =HYPERLINK("CSG17.html#group36J17", "36J¹⁷"), =HYPERLINK("CSG22.html#group108E22", "108E²²"), =HYPERLINK("CSG19.html#group36D19", "36D¹⁹"), =HYPERLINK("CSG17.html#group48CN17", "48CN¹⁷"), =HYPERLINK("CSG3.html#group36J3", "36J³"), =HYPERLINK("CSG13.html#group24AC13", "24AC¹³"), =HYPERLINK("CSG21.html#group48CJ21", "48CJ²¹")</f>
        <v/>
      </c>
    </row>
    <row r="87">
      <c r="A87" t="inlineStr">
        <is>
          <t>12J⁰</t>
        </is>
      </c>
      <c r="B87" t="inlineStr">
        <is>
          <t>Γ₁(12)</t>
        </is>
      </c>
      <c r="C87" t="inlineStr">
        <is>
          <t>48</t>
        </is>
      </c>
      <c r="D87" t="inlineStr">
        <is>
          <t>1</t>
        </is>
      </c>
      <c r="E87" t="inlineStr">
        <is>
          <t>24</t>
        </is>
      </c>
      <c r="F87" t="inlineStr">
        <is>
          <t>0</t>
        </is>
      </c>
      <c r="G87" t="inlineStr">
        <is>
          <t>0</t>
        </is>
      </c>
      <c r="H87" t="inlineStr">
        <is>
          <t>1², 2¹, 3², 4², 6¹, 12²</t>
        </is>
      </c>
      <c r="I87" t="n">
        <v>10</v>
      </c>
      <c r="J87" t="inlineStr">
        <is>
          <t>1⁸, 2⁶, 4¹</t>
        </is>
      </c>
      <c r="K87">
        <f>HYPERLINK("CSG0.html#group12E0", "12E⁰")</f>
        <v/>
      </c>
      <c r="L87">
        <f>HYPERLINK("CSG1.html#group12V1", "12V¹"), =HYPERLINK("CSG1.html#group24J1", "24J¹"), =HYPERLINK("CSG3.html#group12O3", "12O³"), =HYPERLINK("CSG3.html#group24W3", "24W³"), =HYPERLINK("CSG3.html#group36K3", "36K³"), =HYPERLINK("CSG8.html#group36J8", "36J⁸"), =HYPERLINK("CSG8.html#group36K8", "36K⁸"), =HYPERLINK("CSG15.html#group60AD15", "60AD¹⁵"), =HYPERLINK("CSG16.html#group60B16", "60B¹⁶"), =HYPERLINK("CSG23.html#group84K23", "84K²³"), =HYPERLINK("CSG24.html#group84D24", "84D²⁴")</f>
        <v/>
      </c>
      <c r="M87">
        <f>HYPERLINK("CSG0.html#group6F0", "6F⁰"), =HYPERLINK("CSG0.html#group3B0", "3B⁰"), =HYPERLINK("CSG0.html#group2B0", "2B⁰"), =HYPERLINK("CSG0.html#group4B0", "4B⁰"), =HYPERLINK("CSG0.html#group1A0", "1A⁰"), =HYPERLINK("CSG0.html#group12E0", "12E⁰")</f>
        <v/>
      </c>
      <c r="N87">
        <f>HYPERLINK("CSG7.html#group24AJ7", "24AJ⁷"), =HYPERLINK("CSG17.html#group72P17", "72P¹⁷"), =HYPERLINK("CSG17.html#group108G17", "108G¹⁷"), =HYPERLINK("CSG13.html#group48AG13", "48AG¹³"), =HYPERLINK("CSG5.html#group24AA5", "24AA⁵"), =HYPERLINK("CSG9.html#group48AJ9", "48AJ⁹"), =HYPERLINK("CSG17.html#group36L17", "36L¹⁷"), =HYPERLINK("CSG22.html#group36Q22", "36Q²²"), =HYPERLINK("CSG21.html#group24B21", "24B²¹"), =HYPERLINK("CSG17.html#group24AQ17", "24AQ¹⁷"), =HYPERLINK("CSG17.html#group36B17", "36B¹⁷"), =HYPERLINK("CSG9.html#group48AG9", "48AG⁹"), =HYPERLINK("CSG17.html#group96AH17", "96AH¹⁷"), =HYPERLINK("CSG13.html#group24AB13", "24AB¹³"), =HYPERLINK("CSG5.html#group12E5", "12E⁵"), =HYPERLINK("CSG1.html#group24J1", "24J¹"), =HYPERLINK("CSG5.html#group24Z5", "24Z⁵"), =HYPERLINK("CSG22.html#group36L22", "36L²²"), =HYPERLINK("CSG8.html#group36K8", "36K⁸"), =HYPERLINK("CSG15.html#group60AD15", "60AD¹⁵"), =HYPERLINK("CSG17.html#group24AP17", "24AP¹⁷"), =HYPERLINK("CSG21.html#group48BZ21", "48BZ²¹"), =HYPERLINK("CSG7.html#group48AQ7", "48AQ⁷"), =HYPERLINK("CSG19.html#group72E19", "72E¹⁹"), =HYPERLINK("CSG19.html#group72F19", "72F¹⁹"), =HYPERLINK("CSG22.html#group108F22", "108F²²"), =HYPERLINK("CSG9.html#group24AB9", "24AB⁹"), =HYPERLINK("CSG9.html#group72I9", "72I⁹"), =HYPERLINK("CSG17.html#group36A17", "36A¹⁷"), =HYPERLINK("CSG8.html#group36J8", "36J⁸"), =HYPERLINK("CSG9.html#group24AP9", "24AP⁹"), =HYPERLINK("CSG3.html#group12O3", "12O³"), =HYPERLINK("CSG13.html#group72S13", "72S¹³"), =HYPERLINK("CSG13.html#group96I13", "96I¹³"), =HYPERLINK("CSG17.html#group48CO17", "48CO¹⁷"), =HYPERLINK("CSG1.html#group12V1", "12V¹"), =HYPERLINK("CSG16.html#group60B16", "60B¹⁶"), =HYPERLINK("CSG5.html#group48I5", "48I⁵"), =HYPERLINK("CSG17.html#group72O17", "72O¹⁷"), =HYPERLINK("CSG9.html#group12B9", "12B⁹"), =HYPERLINK("CSG13.html#group48AH13", "48AH¹³"), =HYPERLINK("CSG21.html#group96BC21", "96BC²¹"), =HYPERLINK("CSG21.html#group96BJ21", "96BJ²¹"), =HYPERLINK("CSG5.html#group24AB5", "24AB⁵"), =HYPERLINK("CSG17.html#group48CP17", "48CP¹⁷"), =HYPERLINK("CSG17.html#group36K17", "36K¹⁷"), =HYPERLINK("CSG22.html#group36P22", "36P²²"), =HYPERLINK("CSG13.html#group24L13", "24L¹³"), =HYPERLINK("CSG17.html#group48CQ17", "48CQ¹⁷"), =HYPERLINK("CSG9.html#group36Q9", "36Q⁹"), =HYPERLINK("CSG9.html#group48AI9", "48AI⁹"), =HYPERLINK("CSG21.html#group96BE21", "96BE²¹"), =HYPERLINK("CSG3.html#group24W3", "24W³"), =HYPERLINK("CSG3.html#group36K3", "36K³"), =HYPERLINK("CSG23.html#group84K23", "84K²³"), =HYPERLINK("CSG21.html#group96BB21", "96BB²¹"), =HYPERLINK("CSG5.html#group48J5", "48J⁵"), =HYPERLINK("CSG17.html#group48CN17", "48CN¹⁷"), =HYPERLINK("CSG13.html#group24AC13", "24AC¹³"), =HYPERLINK("CSG24.html#group84D24", "84D²⁴")</f>
        <v/>
      </c>
    </row>
    <row r="88">
      <c r="A88" t="inlineStr">
        <is>
          <t>13A⁰</t>
        </is>
      </c>
      <c r="B88" t="inlineStr">
        <is>
          <t>Γ₀(13)</t>
        </is>
      </c>
      <c r="C88" t="inlineStr">
        <is>
          <t>14</t>
        </is>
      </c>
      <c r="D88" t="inlineStr">
        <is>
          <t>1</t>
        </is>
      </c>
      <c r="E88" t="inlineStr">
        <is>
          <t>14</t>
        </is>
      </c>
      <c r="F88" t="inlineStr">
        <is>
          <t>2</t>
        </is>
      </c>
      <c r="G88" t="inlineStr">
        <is>
          <t>2</t>
        </is>
      </c>
      <c r="H88" t="inlineStr">
        <is>
          <t>1¹, 13¹</t>
        </is>
      </c>
      <c r="I88" t="n">
        <v>2</v>
      </c>
      <c r="J88" t="inlineStr">
        <is>
          <t>1², 12¹</t>
        </is>
      </c>
      <c r="K88">
        <f>HYPERLINK("CSG0.html#group1A0", "1A⁰")</f>
        <v/>
      </c>
      <c r="L88">
        <f>HYPERLINK("CSG0.html#group13B0", "13B⁰"), =HYPERLINK("CSG0.html#group13C0", "13C⁰"), =HYPERLINK("CSG0.html#group26A0", "26A⁰"), =HYPERLINK("CSG1.html#group26A1", "26A¹"), =HYPERLINK("CSG1.html#group39A1", "39A¹"), =HYPERLINK("CSG2.html#group26A2", "26A²"), =HYPERLINK("CSG2.html#group39A2", "39A²"), =HYPERLINK("CSG3.html#group39A3", "39A³"), =HYPERLINK("CSG3.html#group52A3", "52A³"), =HYPERLINK("CSG4.html#group65A4", "65A⁴"), =HYPERLINK("CSG5.html#group65A5", "65A⁵"), =HYPERLINK("CSG6.html#group91A6", "91A⁶"), =HYPERLINK("CSG7.html#group91A7", "91A⁷"), =HYPERLINK("CSG8.html#group13B8", "13B⁸"), =HYPERLINK("CSG8.html#group169A8", "169A⁸"), =HYPERLINK("CSG9.html#group65A9", "65A⁹"), =HYPERLINK("CSG10.html#group143A10", "143A¹⁰"), =HYPERLINK("CSG13.html#group143A13", "143A¹³"), =HYPERLINK("CSG19.html#group221A19", "221A¹⁹"), =HYPERLINK("CSG21.html#group247A21", "247A²¹")</f>
        <v/>
      </c>
      <c r="M88">
        <f>HYPERLINK("CSG0.html#group1A0", "1A⁰")</f>
        <v/>
      </c>
      <c r="N88">
        <f>HYPERLINK("CSG12.html#group91A12", "91A¹²"), =HYPERLINK("CSG15.html#group156A15", "156A¹⁵"), =HYPERLINK("CSG23.html#group104M23", "104M²³"), =HYPERLINK("CSG8.html#group65A8", "65A⁸"), =HYPERLINK("CSG17.html#group39A17", "39A¹⁷"), =HYPERLINK("CSG9.html#group39B9", "39B⁹"), =HYPERLINK("CSG18.html#group156B18", "156B¹⁸"), =HYPERLINK("CSG23.html#group91B23", "91B²³"), =HYPERLINK("CSG11.html#group52A11", "52A¹¹"), =HYPERLINK("CSG23.html#group78F23", "78F²³"), =HYPERLINK("CSG23.html#group104F23", "104F²³"), =HYPERLINK("CSG16.html#group78D16", "78D¹⁶"), =HYPERLINK("CSG11.html#group65A11", "65A¹¹"), =HYPERLINK("CSG21.html#group156A21", "156A²¹"), =HYPERLINK("CSG23.html#group234E23", "234E²³"), =HYPERLINK("CSG13.html#group104B13", "104B¹³"), =HYPERLINK("CSG13.html#group52A13", "52A¹³"), =HYPERLINK("CSG9.html#group78A9", "78A⁹"), =HYPERLINK("CSG15.html#group104C15", "104C¹⁵"), =HYPERLINK("CSG15.html#group195B15", "195B¹⁵"), =HYPERLINK("CSG23.html#group104T23", "104T²³"), =HYPERLINK("CSG5.html#group26A5", "26A⁵"), =HYPERLINK("CSG22.html#group182A22", "182A²²"), =HYPERLINK("CSG11.html#group104B11", "104B¹¹"), =HYPERLINK("CSG23.html#group104E23", "104E²³"), =HYPERLINK("CSG9.html#group65A9", "65A⁹"), =HYPERLINK("CSG9.html#group52E9", "52E⁹"), =HYPERLINK("CSG23.html#group104G23", "104G²³"), =HYPERLINK("CSG19.html#group78B19", "78B¹⁹"), =HYPERLINK("CSG10.html#group143A10", "143A¹⁰"), =HYPERLINK("CSG11.html#group52F11", "52F¹¹"), =HYPERLINK("CSG3.html#group52A3", "52A³"), =HYPERLINK("CSG17.html#group130A17", "130A¹⁷"), =HYPERLINK("CSG23.html#group312C23", "312C²³"), =HYPERLINK("CSG1.html#group39A1", "39A¹"), =HYPERLINK("CSG23.html#group104S23", "104S²³"), =HYPERLINK("CSG11.html#group156C11", "156C¹¹"), =HYPERLINK("CSG23.html#group104P23", "104P²³"), =HYPERLINK("CSG6.html#group78B6", "78B⁶"), =HYPERLINK("CSG23.html#group234D23", "234D²³"), =HYPERLINK("CSG16.html#group78B16", "78B¹⁶"), =HYPERLINK("CSG13.html#group91A13", "91A¹³"), =HYPERLINK("CSG3.html#group39A3", "39A³"), =HYPERLINK("CSG4.html#group78A4", "78A⁴"), =HYPERLINK("CSG5.html#group26C5", "26C⁵"), =HYPERLINK("CSG15.html#group182A15", "182A¹⁵"), =HYPERLINK("CSG11.html#group104D11", "104D¹¹"), =HYPERLINK("CSG5.html#group78B5", "78B⁵"), =HYPERLINK("CSG14.html#group195A14", "195A¹⁴"), =HYPERLINK("CSG21.html#group117B21", "117B²¹"), =HYPERLINK("CSG23.html#group130B23", "130B²³"), =HYPERLINK("CSG13.html#group130B13", "130B¹³"), =HYPERLINK("CSG8.html#group78A8", "78A⁸"), =HYPERLINK("CSG11.html#group78D11", "78D¹¹"), =HYPERLINK("CSG11.html#group78A11", "78A¹¹"), =HYPERLINK("CSG23.html#group52C23", "52C²³"), =HYPERLINK("CSG20.html#group156B20", "156B²⁰"), =HYPERLINK("CSG16.html#group169A16", "169A¹⁶"), =HYPERLINK("CSG23.html#group78B23", "78B²³"), =HYPERLINK("CSG9.html#group52A9", "52A⁹"), =HYPERLINK("CSG13.html#group130A13", "130A¹³"), =HYPERLINK("CSG20.html#group234A20", "234A²⁰"), =HYPERLINK("CSG0.html#group13B0", "13B⁰"), =HYPERLINK("CSG19.html#group117B19", "117B¹⁹"), =HYPERLINK("CSG16.html#group78E16", "78E¹⁶"), =HYPERLINK("CSG16.html#group195A16", "195A¹⁶"), =HYPERLINK("CSG2.html#group78A2", "78A²"), =HYPERLINK("CSG19.html#group234B19", "234B¹⁹"), =HYPERLINK("CSG23.html#group78C23", "78C²³"), =HYPERLINK("CSG23.html#group208D23", "208D²³"), =HYPERLINK("CSG23.html#group286A23", "286A²³"), =HYPERLINK("CSG23.html#group104D23", "104D²³"), =HYPERLINK("CSG17.html#group156D17", "156D¹⁷"), =HYPERLINK("CSG23.html#group156F23", "156F²³"), =HYPERLINK("CSG15.html#group104D15", "104D¹⁵"), =HYPERLINK("CSG23.html#group52G23", "52G²³"), =HYPERLINK("CSG13.html#group117B13", "117B¹³"), =HYPERLINK("CSG23.html#group312D23", "312D²³"), =HYPERLINK("CSG24.html#group234A24", "234A²⁴"), =HYPERLINK("CSG4.html#group52A4", "52A⁴"), =HYPERLINK("CSG19.html#group221A19", "221A¹⁹"), =HYPERLINK("CSG16.html#group156B16", "156B¹⁶"), =HYPERLINK("CSG19.html#group78E19", "78E¹⁹"), =HYPERLINK("CSG13.html#group78D13", "78D¹³"), =HYPERLINK("CSG21.html#group117A21", "117A²¹"), =HYPERLINK("CSG23.html#group104O23", "104O²³"), =HYPERLINK("CSG17.html#group78B17", "78B¹⁷"), =HYPERLINK("CSG14.html#group182A14", "182A¹⁴"), =HYPERLINK("CSG20.html#group273A20", "273A²⁰"), =HYPERLINK("CSG11.html#group130A11", "130A¹¹"), =HYPERLINK("CSG14.html#group65A14", "65A¹⁴"), =HYPERLINK("CSG10.html#group39A10", "39A¹⁰"), =HYPERLINK("CSG13.html#group182A13", "182A¹³"), =HYPERLINK("CSG18.html#group78B18", "78B¹⁸"), =HYPERLINK("CSG4.html#group26B4", "26B⁴"), =HYPERLINK("CSG16.html#group117A16", "117A¹⁶"), =HYPERLINK("CSG0.html#group13C0", "13C⁰"), =HYPERLINK("CSG18.html#group78C18", "78C¹⁸"), =HYPERLINK("CSG5.html#group65A5", "65A⁵"), =HYPERLINK("CSG23.html#group208B23", "208B²³"), =HYPERLINK("CSG7.html#group156A7", "156A⁷"), =HYPERLINK("CSG11.html#group78C11", "78C¹¹"), =HYPERLINK("CSG13.html#group78G13", "78G¹³"), =HYPERLINK("CSG23.html#group234B23", "234B²³"), =HYPERLINK("CSG11.html#group52H11", "52H¹¹"), =HYPERLINK("CSG21.html#group78B21", "78B²¹"), =HYPERLINK("CSG23.html#group52A23", "52A²³"), =HYPERLINK("CSG24.html#group169A24", "169A²⁴"), =HYPERLINK("CSG21.html#group104A21", "104A²¹"), =HYPERLINK("CSG23.html#group104J23", "104J²³"), =HYPERLINK("CSG11.html#group104E11", "104E¹¹"), =HYPERLINK("CSG16.html#group13A16", "13A¹⁶"), =HYPERLINK("CSG7.html#group104B7", "104B⁷"), =HYPERLINK("CSG16.html#group78A16", "78A¹⁶"), =HYPERLINK("CSG23.html#group156H23", "156H²³"), =HYPERLINK("CSG23.html#group208H23", "208H²³"), =HYPERLINK("CSG13.html#group78E13", "78E¹³"), =HYPERLINK("CSG8.html#group169A8", "169A⁸"), =HYPERLINK("CSG21.html#group130C21", "130C²¹"), =HYPERLINK("CSG21.html#group195A21", "195A²¹"), =HYPERLINK("CSG20.html#group91A20", "91A²⁰"), =HYPERLINK("CSG7.html#group78A7", "78A⁷"), =HYPERLINK("CSG13.html#group39B13", "39B¹³"), =HYPERLINK("CSG11.html#group52G11", "52G¹¹"), =HYPERLINK("CSG21.html#group52C21", "52C²¹"), =HYPERLINK("CSG13.html#group91B13", "91B¹³"), =HYPERLINK("CSG17.html#group78A17", "78A¹⁷"), =HYPERLINK("CSG23.html#group104R23", "104R²³"), =HYPERLINK("CSG17.html#group117A17", "117A¹⁷"), =HYPERLINK("CSG23.html#group26A23", "26A²³"), =HYPERLINK("CSG19.html#group156E19", "156E¹⁹"), =HYPERLINK("CSG14.html#group65B14", "65B¹⁴"), =HYPERLINK("CSG9.html#group26A9", "26A⁹"), =HYPERLINK("CSG11.html#group156B11", "156B¹¹"), =HYPERLINK("CSG21.html#group104B21", "104B²¹"), =HYPERLINK("CSG21.html#group130B21", "130B²¹"), =HYPERLINK("CSG19.html#group52C19", "52C¹⁹"), =HYPERLINK("CSG9.html#group52D9", "52D⁹"), =HYPERLINK("CSG6.html#group39A6", "39A⁶"), =HYPERLINK("CSG3.html#group26A3", "26A³"), =HYPERLINK("CSG7.html#group52B7", "52B⁷"), =HYPERLINK("CSG13.html#group104E13", "104E¹³"), =HYPERLINK("CSG23.html#group52D23", "52D²³"), =HYPERLINK("CSG4.html#group26A4", "26A⁴"), =HYPERLINK("CSG23.html#group234A23", "234A²³"), =HYPERLINK("CSG21.html#group52D21", "52D²¹"), =HYPERLINK("CSG19.html#group39B19", "39B¹⁹"), =HYPERLINK("CSG17.html#group195B17", "195B¹⁷"), =HYPERLINK("CSG11.html#group117B11", "117B¹¹"), =HYPERLINK("CSG23.html#group78D23", "78D²³"), =HYPERLINK("CSG5.html#group39A5", "39A⁵"), =HYPERLINK("CSG10.html#group78A10", "78A¹⁰"), =HYPERLINK("CSG16.html#group39A16", "39A¹⁶"), =HYPERLINK("CSG11.html#group52D11", "52D¹¹"), =HYPERLINK("CSG13.html#group117A13", "117A¹³"), =HYPERLINK("CSG5.html#group52C5", "52C⁵"), =HYPERLINK("CSG15.html#group156B15", "156B¹⁵"), =HYPERLINK("CSG21.html#group52E21", "52E²¹"), =HYPERLINK("CSG11.html#group104G11", "104G¹¹"), =HYPERLINK("CSG19.html#group156A19", "156A¹⁹"), =HYPERLINK("CSG17.html#group260A17", "260A¹⁷"), =HYPERLINK("CSG21.html#group65A21", "65A²¹"), =HYPERLINK("CSG23.html#group104B23", "104B²³"), =HYPERLINK("CSG13.html#group104D13", "104D¹³"), =HYPERLINK("CSG15.html#group208A15", "208A¹⁵"), =HYPERLINK("CSG2.html#group26B2", "26B²"), =HYPERLINK("CSG10.html#group156A10", "156A¹⁰"), =HYPERLINK("CSG21.html#group52F21", "52F²¹"), =HYPERLINK("CSG23.html#group104L23", "104L²³"), =HYPERLINK("CSG24.html#group78A24", "78A²⁴"), =HYPERLINK("CSG23.html#group104C23", "104C²³"), =HYPERLINK("CSG9.html#group52B9", "52B⁹"), =HYPERLINK("CSG16.html#group130A16", "130A¹⁶"), =HYPERLINK("CSG19.html#group78C19", "78C¹⁹"), =HYPERLINK("CSG19.html#group78A19", "78A¹⁹"), =HYPERLINK("CSG23.html#group52E23", "52E²³"), =HYPERLINK("CSG19.html#group234A19", "234A¹⁹"), =HYPERLINK("CSG21.html#group234A21", "234A²¹"), =HYPERLINK("CSG11.html#group78B11", "78B¹¹"), =HYPERLINK("CSG13.html#group78H13", "78H¹³"), =HYPERLINK("CSG23.html#group156A23", "156A²³"), =HYPERLINK("CSG15.html#group52A15", "52A¹⁵"), =HYPERLINK("CSG23.html#group156G23", "156G²³"), =HYPERLINK("CSG6.html#group78A6", "78A⁶"), =HYPERLINK("CSG12.html#group65A12", "65A¹²"), =HYPERLINK("CSG11.html#group52B11", "52B¹¹"), =HYPERLINK("CSG19.html#group130A19", "130A¹⁹"), =HYPERLINK("CSG21.html#group91B21", "91B²¹"), =HYPERLINK("CSG18.html#group91A18", "91A¹⁸"), =HYPERLINK("CSG7.html#group78C7", "78C⁷"), =HYPERLINK("CSG16.html#group234A16", "234A¹⁶"), =HYPERLINK("CSG23.html#group234C23", "234C²³"), =HYPERLINK("CSG13.html#group52B13", "52B¹³"), =HYPERLINK("CSG11.html#group130B11", "130B¹¹"), =HYPERLINK("CSG19.html#group117A19", "117A¹⁹"), =HYPERLINK("CSG17.html#group117B17", "117B¹⁷"), =HYPERLINK("CSG23.html#group156B23", "156B²³"), =HYPERLINK("CSG9.html#group104A9", "104A⁹"), =HYPERLINK("CSG13.html#group52C13", "52C¹³"), =HYPERLINK("CSG8.html#group130A8", "130A⁸"), =HYPERLINK("CSG9.html#group65B9", "65B⁹"), =HYPERLINK("CSG23.html#group78G23", "78G²³"), =HYPERLINK("CSG22.html#group26A22", "26A²²"), =HYPERLINK("CSG19.html#group65C19", "65C¹⁹"), =HYPERLINK("CSG17.html#group130B17", "130B¹⁷"), =HYPERLINK("CSG19.html#group65D19", "65D¹⁹"), =HYPERLINK("CSG5.html#group39B5", "39B⁵"), =HYPERLINK("CSG5.html#group52A5", "52A⁵"), =HYPERLINK("CSG23.html#group104U23", "104U²³"), =HYPERLINK("CSG7.html#group156B7", "156B⁷"), =HYPERLINK("CSG21.html#group104D21", "104D²¹"), =HYPERLINK("CSG17.html#group156A17", "156A¹⁷"), =HYPERLINK("CSG9.html#group78B9", "78B⁹"), =HYPERLINK("CSG12.html#group182A12", "182A¹²"), =HYPERLINK("CSG19.html#group65A19", "65A¹⁹"), =HYPERLINK("CSG15.html#group195A15", "195A¹⁵"), =HYPERLINK("CSG23.html#group208E23", "208E²³"), =HYPERLINK("CSG10.html#group117A10", "117A¹⁰"), =HYPERLINK("CSG17.html#group156C17", "156C¹⁷"), =HYPERLINK("CSG23.html#group208C23", "208C²³"), =HYPERLINK("CSG21.html#group39B21", "39B²¹"), =HYPERLINK("CSG23.html#group156C23", "156C²³"), =HYPERLINK("CSG11.html#group65B11", "65B¹¹"), =HYPERLINK("CSG20.html#group156A20", "156A²⁰"), =HYPERLINK("CSG7.html#group78B7", "78B⁷"), =HYPERLINK("CSG19.html#group52A19", "52A¹⁹"), =HYPERLINK("CSG15.html#group208B15", "208B¹⁵"), =HYPERLINK("CSG21.html#group91A21", "91A²¹"), =HYPERLINK("CSG21.html#group78C21", "78C²¹"), =HYPERLINK("CSG2.html#group26A2", "26A²"), =HYPERLINK("CSG19.html#group39A19", "39A¹⁹"), =HYPERLINK("CSG5.html#group26B5", "26B⁵"), =HYPERLINK("CSG16.html#group78C16", "78C¹⁶"), =HYPERLINK("CSG6.html#group52A6", "52A⁶"), =HYPERLINK("CSG10.html#group26D10", "26D¹⁰"), =HYPERLINK("CSG12.html#group65B12", "65B¹²"), =HYPERLINK("CSG17.html#group117C17", "117C¹⁷"), =HYPERLINK("CSG23.html#group104N23", "104N²³"), =HYPERLINK("CSG19.html#group156F19", "156F¹⁹"), =HYPERLINK("CSG23.html#group52H23", "52H²³"), =HYPERLINK("CSG11.html#group52C11", "52C¹¹"), =HYPERLINK("CSG10.html#group26E10", "26E¹⁰"), =HYPERLINK("CSG23.html#group208G23", "208G²³"), =HYPERLINK("CSG13.html#group78A13", "78A¹³"), =HYPERLINK("CSG22.html#group117A22", "117A²²"), =HYPERLINK("CSG23.html#group338A23", "338A²³"), =HYPERLINK("CSG19.html#group104A19", "104A¹⁹"), =HYPERLINK("CSG19.html#group130B19", "130B¹⁹"), =HYPERLINK("CSG4.html#group26C4", "26C⁴"), =HYPERLINK("CSG17.html#group195A17", "195A¹⁷"), =HYPERLINK("CSG23.html#group78E23", "78E²³"), =HYPERLINK("CSG18.html#group117A18", "117A¹⁸"), =HYPERLINK("CSG8.html#group78B8", "78B⁸"), =HYPERLINK("CSG11.html#group104C11", "104C¹¹"), =HYPERLINK("CSG8.html#group117A8", "117A⁸"), =HYPERLINK("CSG21.html#group104C21", "104C²¹"), =HYPERLINK("CSG23.html#group208I23", "208I²³"), =HYPERLINK("CSG11.html#group39B11", "39B¹¹"), =HYPERLINK("CSG20.html#group117A20", "117A²⁰"), =HYPERLINK("CSG4.html#group39A4", "39A⁴"), =HYPERLINK("CSG23.html#group91A23", "91A²³"), =HYPERLINK("CSG4.html#group65A4", "65A⁴"), =HYPERLINK("CSG21.html#group247A21", "247A²¹"), =HYPERLINK("CSG13.html#group78B13", "78B¹³"), =HYPERLINK("CSG23.html#group104I23", "104I²³"), =HYPERLINK("CSG18.html#group78A18", "78A¹⁸"), =HYPERLINK("CSG9.html#group39A9", "39A⁹"), =HYPERLINK("CSG14.html#group195B14", "195B¹⁴"), =HYPERLINK("CSG15.html#group182C15", "182C¹⁵"), =HYPERLINK("CSG9.html#group52C9", "52C⁹"), =HYPERLINK("CSG9.html#group78C9", "78C⁹"), =HYPERLINK("CSG17.html#group65A17", "65A¹⁷"), =HYPERLINK("CSG1.html#group26B1", "26B¹"), =HYPERLINK("CSG8.html#group13B8", "13B⁸"), =HYPERLINK("CSG13.html#group65A13", "65A¹³"), =HYPERLINK("CSG13.html#group104C13", "104C¹³"), =HYPERLINK("CSG4.html#group39C4", "39C⁴"), =HYPERLINK("CSG3.html#group52B3", "52B³"), =HYPERLINK("CSG2.html#group39A2", "39A²"), =HYPERLINK("CSG21.html#group260A21", "260A²¹"), =HYPERLINK("CSG10.html#group52A10", "52A¹⁰"), =HYPERLINK("CSG13.html#group26B13", "26B¹³"), =HYPERLINK("CSG21.html#group130A21", "130A²¹"), =HYPERLINK("CSG0.html#group26A0", "26A⁰"), =HYPERLINK("CSG11.html#group39A11", "39A¹¹"), =HYPERLINK("CSG23.html#group312B23", "312B²³"), =HYPERLINK("CSG5.html#group78C5", "78C⁵"), =HYPERLINK("CSG23.html#group208A23", "208A²³"), =HYPERLINK("CSG22.html#group78A22", "78A²²"), =HYPERLINK("CSG4.html#group39B4", "39B⁴"), =HYPERLINK("CSG23.html#group130A23", "130A²³"), =HYPERLINK("CSG23.html#group104H23", "104H²³"), =HYPERLINK("CSG22.html#group143A22", "143A²²"), =HYPERLINK("CSG9.html#group26B9", "26B⁹"), =HYPERLINK("CSG5.html#group52B5", "52B⁵"), =HYPERLINK("CSG23.html#group104A23", "104A²³"), =HYPERLINK("CSG23.html#group104K23", "104K²³"), =HYPERLINK("CSG5.html#group78A5", "78A⁵"), =HYPERLINK("CSG19.html#group52B19", "52B¹⁹"), =HYPERLINK("CSG10.html#group39B10", "39B¹⁰"), =HYPERLINK("CSG7.html#group52A7", "52A⁷"), =HYPERLINK("CSG9.html#group130A9", "130A⁹"), =HYPERLINK("CSG11.html#group117A11", "117A¹¹"), =HYPERLINK("CSG19.html#group156C19", "156C¹⁹"), =HYPERLINK("CSG11.html#group52E11", "52E¹¹"), =HYPERLINK("CSG22.html#group338A22", "338A²²"), =HYPERLINK("CSG14.html#group91A14", "91A¹⁴"), =HYPERLINK("CSG16.html#group52A16", "52A¹⁶"), =HYPERLINK("CSG19.html#group273A19", "273A¹⁹"), =HYPERLINK("CSG15.html#group104B15", "104B¹⁵"), =HYPERLINK("CSG19.html#group78D19", "78D¹⁹"), =HYPERLINK("CSG23.html#group78H23", "78H²³"), =HYPERLINK("CSG17.html#group234A17", "234A¹⁷"), =HYPERLINK("CSG23.html#group78A23", "78A²³"), =HYPERLINK("CSG23.html#group52B23", "52B²³"), =HYPERLINK("CSG2.html#group13A2", "13A²"), =HYPERLINK("CSG23.html#group117A23", "117A²³"), =HYPERLINK("CSG23.html#group312A23", "312A²³"), =HYPERLINK("CSG7.html#group91A7", "91A⁷"), =HYPERLINK("CSG19.html#group156D19", "156D¹⁹"), =HYPERLINK("CSG1.html#group52A1", "52A¹"), =HYPERLINK("CSG9.html#group39C9", "39C⁹"), =HYPERLINK("CSG20.html#group286A20", "286A²⁰"), =HYPERLINK("CSG19.html#group273B19", "273B¹⁹"), =HYPERLINK("CSG24.html#group13A24", "13A²⁴"), =HYPERLINK("CSG19.html#group156B19", "156B¹⁹"), =HYPERLINK("CSG23.html#group156D23", "156D²³"), =HYPERLINK("CSG23.html#group156E23", "156E²³"), =HYPERLINK("CSG1.html#group26A1", "26A¹"), =HYPERLINK("CSG18.html#group234A18", "234A¹⁸"), =HYPERLINK("CSG17.html#group52A17", "52A¹⁷"), =HYPERLINK("CSG17.html#group156B17", "156B¹⁷"), =HYPERLINK("CSG13.html#group78F13", "78F¹³"), =HYPERLINK("CSG11.html#group104A11", "104A¹¹"), =HYPERLINK("CSG13.html#group78C13", "78C¹³"), =HYPERLINK("CSG15.html#group156C15", "156C¹⁵"), =HYPERLINK("CSG15.html#group182B15", "182B¹⁵"), =HYPERLINK("CSG11.html#group78E11", "78E¹¹"), =HYPERLINK("CSG19.html#group65B19", "65B¹⁹"), =HYPERLINK("CSG7.html#group104A7", "104A⁷"), =HYPERLINK("CSG23.html#group208F23", "208F²³"), =HYPERLINK("CSG12.html#group117A12", "117A¹²"), =HYPERLINK("CSG23.html#group104Q23", "104Q²³"), =HYPERLINK("CSG15.html#group104A15", "104A¹⁵"), =HYPERLINK("CSG11.html#group156A11", "156A¹¹"), =HYPERLINK("CSG11.html#group104F11", "104F¹¹"), =HYPERLINK("CSG13.html#group143A13", "143A¹³"), =HYPERLINK("CSG16.html#group156A16", "156A¹⁶"), =HYPERLINK("CSG21.html#group78A21", "78A²¹"), =HYPERLINK("CSG18.html#group156A18", "156A¹⁸"), =HYPERLINK("CSG23.html#group52F23", "52F²³"), =HYPERLINK("CSG6.html#group91A6", "91A⁶"), =HYPERLINK("CSG13.html#group104A13", "104A¹³")</f>
        <v/>
      </c>
    </row>
    <row r="89">
      <c r="A89" t="inlineStr">
        <is>
          <t>13B⁰</t>
        </is>
      </c>
      <c r="B89" t="inlineStr"/>
      <c r="C89" t="inlineStr">
        <is>
          <t>28</t>
        </is>
      </c>
      <c r="D89" t="inlineStr">
        <is>
          <t>1</t>
        </is>
      </c>
      <c r="E89" t="inlineStr">
        <is>
          <t>14</t>
        </is>
      </c>
      <c r="F89" t="inlineStr">
        <is>
          <t>0</t>
        </is>
      </c>
      <c r="G89" t="inlineStr">
        <is>
          <t>4</t>
        </is>
      </c>
      <c r="H89" t="inlineStr">
        <is>
          <t>1², 13²</t>
        </is>
      </c>
      <c r="I89" t="n">
        <v>4</v>
      </c>
      <c r="J89" t="inlineStr">
        <is>
          <t>1², 12¹</t>
        </is>
      </c>
      <c r="K89">
        <f>HYPERLINK("CSG0.html#group13A0", "13A⁰")</f>
        <v/>
      </c>
      <c r="L89">
        <f>HYPERLINK("CSG1.html#group26B1", "26B¹"), =HYPERLINK("CSG2.html#group13A2", "13A²"), =HYPERLINK("CSG4.html#group26A4", "26A⁴"), =HYPERLINK("CSG4.html#group39B4", "39B⁴"), =HYPERLINK("CSG5.html#group39B5", "39B⁵"), =HYPERLINK("CSG6.html#group39A6", "39A⁶"), =HYPERLINK("CSG7.html#group52A7", "52A⁷"), =HYPERLINK("CSG8.html#group65A8", "65A⁸"), =HYPERLINK("CSG11.html#group65B11", "65B¹¹"), =HYPERLINK("CSG13.html#group91B13", "91B¹³"), =HYPERLINK("CSG14.html#group91A14", "91A¹⁴"), =HYPERLINK("CSG16.html#group13A16", "13A¹⁶"), =HYPERLINK("CSG16.html#group169A16", "169A¹⁶"), =HYPERLINK("CSG19.html#group65A19", "65A¹⁹"), =HYPERLINK("CSG22.html#group143A22", "143A²²")</f>
        <v/>
      </c>
      <c r="M89">
        <f>HYPERLINK("CSG0.html#group13A0", "13A⁰"), =HYPERLINK("CSG0.html#group1A0", "1A⁰")</f>
        <v/>
      </c>
      <c r="N89">
        <f>HYPERLINK("CSG7.html#group52A7", "52A⁷"), =HYPERLINK("CSG11.html#group65B11", "65B¹¹"), =HYPERLINK("CSG21.html#group39B21", "39B²¹"), =HYPERLINK("CSG5.html#group26C5", "26C⁵"), =HYPERLINK("CSG14.html#group91A14", "91A¹⁴"), =HYPERLINK("CSG19.html#group156E19", "156E¹⁹"), =HYPERLINK("CSG18.html#group78A18", "78A¹⁸"), =HYPERLINK("CSG8.html#group65A8", "65A⁸"), =HYPERLINK("CSG17.html#group39A17", "39A¹⁷"), =HYPERLINK("CSG13.html#group78D13", "78D¹³"), =HYPERLINK("CSG21.html#group117A21", "117A²¹"), =HYPERLINK("CSG9.html#group26A9", "26A⁹"), =HYPERLINK("CSG21.html#group117B21", "117B²¹"), =HYPERLINK("CSG19.html#group52A19", "52A¹⁹"), =HYPERLINK("CSG21.html#group104B21", "104B²¹"), =HYPERLINK("CSG6.html#group39A6", "39A⁶"), =HYPERLINK("CSG21.html#group78C21", "78C²¹"), =HYPERLINK("CSG11.html#group52A11", "52A¹¹"), =HYPERLINK("CSG4.html#group26A4", "26A⁴"), =HYPERLINK("CSG9.html#group78C9", "78C⁹"), =HYPERLINK("CSG11.html#group78D11", "78D¹¹"), =HYPERLINK("CSG1.html#group26B1", "26B¹"), =HYPERLINK("CSG19.html#group39B19", "39B¹⁹"), =HYPERLINK("CSG23.html#group52B23", "52B²³"), =HYPERLINK("CSG16.html#group169A16", "169A¹⁶"), =HYPERLINK("CSG10.html#group26D10", "26D¹⁰"), =HYPERLINK("CSG2.html#group13A2", "13A²"), =HYPERLINK("CSG23.html#group117A23", "117A²³"), =HYPERLINK("CSG9.html#group52A9", "52A⁹"), =HYPERLINK("CSG13.html#group52A13", "52A¹³"), =HYPERLINK("CSG18.html#group78C18", "78C¹⁸"), =HYPERLINK("CSG17.html#group130B17", "130B¹⁷"), =HYPERLINK("CSG16.html#group39A16", "39A¹⁶"), =HYPERLINK("CSG19.html#group156D19", "156D¹⁹"), =HYPERLINK("CSG19.html#group117B19", "117B¹⁹"), =HYPERLINK("CSG9.html#group39C9", "39C⁹"), =HYPERLINK("CSG5.html#group39B5", "39B⁵"), =HYPERLINK("CSG9.html#group78A9", "78A⁹"), =HYPERLINK("CSG13.html#group78G13", "78G¹³"), =HYPERLINK("CSG3.html#group52B3", "52B³"), =HYPERLINK("CSG13.html#group78A13", "78A¹³"), =HYPERLINK("CSG23.html#group52A23", "52A²³"), =HYPERLINK("CSG16.html#group13A16", "13A¹⁶"), =HYPERLINK("CSG13.html#group78F13", "78F¹³"), =HYPERLINK("CSG21.html#group65A21", "65A²¹"), =HYPERLINK("CSG19.html#group104A19", "104A¹⁹"), =HYPERLINK("CSG4.html#group39B4", "39B⁴"), =HYPERLINK("CSG23.html#group104D23", "104D²³"), =HYPERLINK("CSG22.html#group143A22", "143A²²"), =HYPERLINK("CSG23.html#group52E23", "52E²³"), =HYPERLINK("CSG9.html#group26B9", "26B⁹"), =HYPERLINK("CSG15.html#group104D15", "104D¹⁵"), =HYPERLINK("CSG23.html#group52G23", "52G²³"), =HYPERLINK("CSG21.html#group52C21", "52C²¹"), =HYPERLINK("CSG19.html#group65A19", "65A¹⁹"), =HYPERLINK("CSG23.html#group104A23", "104A²³"), =HYPERLINK("CSG15.html#group52A15", "52A¹⁵"), =HYPERLINK("CSG11.html#group39B11", "39B¹¹"), =HYPERLINK("CSG23.html#group156G23", "156G²³"), =HYPERLINK("CSG13.html#group91B13", "91B¹³"), =HYPERLINK("CSG20.html#group117A20", "117A²⁰"), =HYPERLINK("CSG19.html#group52B19", "52B¹⁹")</f>
        <v/>
      </c>
    </row>
    <row r="90">
      <c r="A90" t="inlineStr">
        <is>
          <t>13C⁰</t>
        </is>
      </c>
      <c r="B90" t="inlineStr"/>
      <c r="C90" t="inlineStr">
        <is>
          <t>42</t>
        </is>
      </c>
      <c r="D90" t="inlineStr">
        <is>
          <t>1</t>
        </is>
      </c>
      <c r="E90" t="inlineStr">
        <is>
          <t>14</t>
        </is>
      </c>
      <c r="F90" t="inlineStr">
        <is>
          <t>6</t>
        </is>
      </c>
      <c r="G90" t="inlineStr">
        <is>
          <t>0</t>
        </is>
      </c>
      <c r="H90" t="inlineStr">
        <is>
          <t>1³, 13³</t>
        </is>
      </c>
      <c r="I90" t="n">
        <v>6</v>
      </c>
      <c r="J90" t="inlineStr">
        <is>
          <t>1², 12¹</t>
        </is>
      </c>
      <c r="K90">
        <f>HYPERLINK("CSG0.html#group13A0", "13A⁰")</f>
        <v/>
      </c>
      <c r="L90">
        <f>HYPERLINK("CSG2.html#group13A2", "13A²"), =HYPERLINK("CSG2.html#group26B2", "26B²"), =HYPERLINK("CSG4.html#group26C4", "26C⁴"), =HYPERLINK("CSG4.html#group39C4", "39C⁴"), =HYPERLINK("CSG5.html#group26A5", "26A⁵"), =HYPERLINK("CSG9.html#group39B9", "39B⁹"), =HYPERLINK("CSG9.html#group52C9", "52C⁹"), =HYPERLINK("CSG13.html#group65A13", "65A¹³"), =HYPERLINK("CSG14.html#group65B14", "65B¹⁴"), =HYPERLINK("CSG18.html#group91A18", "91A¹⁸"), =HYPERLINK("CSG23.html#group91B23", "91B²³"), =HYPERLINK("CSG24.html#group13A24", "13A²⁴"), =HYPERLINK("CSG24.html#group169A24", "169A²⁴")</f>
        <v/>
      </c>
      <c r="M90">
        <f>HYPERLINK("CSG0.html#group13A0", "13A⁰"), =HYPERLINK("CSG0.html#group1A0", "1A⁰")</f>
        <v/>
      </c>
      <c r="N90">
        <f>HYPERLINK("CSG10.html#group39B10", "39B¹⁰"), =HYPERLINK("CSG16.html#group52A16", "52A¹⁶"), =HYPERLINK("CSG18.html#group91A18", "91A¹⁸"), =HYPERLINK("CSG17.html#group39A17", "39A¹⁷"), =HYPERLINK("CSG9.html#group39B9", "39B⁹"), =HYPERLINK("CSG14.html#group65B14", "65B¹⁴"), =HYPERLINK("CSG23.html#group91B23", "91B²³"), =HYPERLINK("CSG9.html#group26A9", "26A⁹"), =HYPERLINK("CSG9.html#group52D9", "52D⁹"), =HYPERLINK("CSG9.html#group52C9", "52C⁹"), =HYPERLINK("CSG13.html#group52B13", "52B¹³"), =HYPERLINK("CSG23.html#group78A23", "78A²³"), =HYPERLINK("CSG10.html#group26D10", "26D¹⁰"), =HYPERLINK("CSG13.html#group65A13", "65A¹³"), =HYPERLINK("CSG13.html#group52C13", "52C¹³"), =HYPERLINK("CSG2.html#group13A2", "13A²"), =HYPERLINK("CSG23.html#group78B23", "78B²³"), =HYPERLINK("CSG4.html#group39C4", "39C⁴"), =HYPERLINK("CSG10.html#group78A10", "78A¹⁰"), =HYPERLINK("CSG16.html#group39A16", "39A¹⁶"), =HYPERLINK("CSG24.html#group13A24", "13A²⁴"), =HYPERLINK("CSG10.html#group26E10", "26E¹⁰"), =HYPERLINK("CSG23.html#group104T23", "104T²³"), =HYPERLINK("CSG5.html#group26A5", "26A⁵"), =HYPERLINK("CSG23.html#group52A23", "52A²³"), =HYPERLINK("CSG24.html#group169A24", "169A²⁴"), =HYPERLINK("CSG10.html#group52A10", "52A¹⁰"), =HYPERLINK("CSG13.html#group26B13", "26B¹³"), =HYPERLINK("CSG22.html#group117A22", "117A²²"), =HYPERLINK("CSG17.html#group52A17", "52A¹⁷"), =HYPERLINK("CSG16.html#group78A16", "78A¹⁶"), =HYPERLINK("CSG4.html#group26C4", "26C⁴"), =HYPERLINK("CSG23.html#group104U23", "104U²³"), =HYPERLINK("CSG2.html#group26B2", "26B²"), =HYPERLINK("CSG22.html#group78A22", "78A²²"), =HYPERLINK("CSG19.html#group78C19", "78C¹⁹"), =HYPERLINK("CSG19.html#group78A19", "78A¹⁹"), =HYPERLINK("CSG23.html#group52E23", "52E²³"), =HYPERLINK("CSG13.html#group39B13", "39B¹³"), =HYPERLINK("CSG13.html#group78H13", "78H¹³"), =HYPERLINK("CSG23.html#group52F23", "52F²³")</f>
        <v/>
      </c>
    </row>
    <row r="91">
      <c r="A91" t="inlineStr">
        <is>
          <t>14A⁰</t>
        </is>
      </c>
      <c r="B91" t="inlineStr"/>
      <c r="C91" t="inlineStr">
        <is>
          <t>14</t>
        </is>
      </c>
      <c r="D91" t="inlineStr">
        <is>
          <t>2</t>
        </is>
      </c>
      <c r="E91" t="inlineStr">
        <is>
          <t>7</t>
        </is>
      </c>
      <c r="F91" t="inlineStr">
        <is>
          <t>4</t>
        </is>
      </c>
      <c r="G91" t="inlineStr">
        <is>
          <t>2</t>
        </is>
      </c>
      <c r="H91" t="inlineStr">
        <is>
          <t>14¹</t>
        </is>
      </c>
      <c r="I91" t="n">
        <v>1</v>
      </c>
      <c r="J91" t="inlineStr">
        <is>
          <t>2¹, 6²</t>
        </is>
      </c>
      <c r="K91">
        <f>HYPERLINK("CSG0.html#group7A0", "7A⁰")</f>
        <v/>
      </c>
      <c r="L91">
        <f>HYPERLINK("CSG1.html#group14D1", "14D¹"), =HYPERLINK("CSG1.html#group14F1", "14F¹"), =HYPERLINK("CSG1.html#group14G1", "14G¹"), =HYPERLINK("CSG1.html#group42A1", "42A¹"), =HYPERLINK("CSG2.html#group14B2", "14B²"), =HYPERLINK("CSG2.html#group14C2", "14C²"), =HYPERLINK("CSG2.html#group28E2", "28E²"), =HYPERLINK("CSG4.html#group42D4", "42D⁴"), =HYPERLINK("CSG4.html#group70A4", "70A⁴"), =HYPERLINK("CSG5.html#group70B5", "70B⁵"), =HYPERLINK("CSG9.html#group70C9", "70C⁹"), =HYPERLINK("CSG13.html#group182A13", "182A¹³"), =HYPERLINK("CSG19.html#group238B19", "238B¹⁹"), =HYPERLINK("CSG22.html#group266A22", "266A²²")</f>
        <v/>
      </c>
      <c r="M91">
        <f>HYPERLINK("CSG0.html#group1A0", "1A⁰"), =HYPERLINK("CSG0.html#group7A0", "7A⁰")</f>
        <v/>
      </c>
      <c r="N91">
        <f>HYPERLINK("CSG4.html#group70A4", "70A⁴"), =HYPERLINK("CSG4.html#group28C4", "28C⁴"), =HYPERLINK("CSG7.html#group42F7", "42F⁷"), =HYPERLINK("CSG5.html#group14C5", "14C⁵"), =HYPERLINK("CSG1.html#group14D1", "14D¹"), =HYPERLINK("CSG15.html#group42H15", "42H¹⁵"), =HYPERLINK("CSG21.html#group84K21", "84K²¹"), =HYPERLINK("CSG19.html#group70C19", "70C¹⁹"), =HYPERLINK("CSG14.html#group70C14", "70C¹⁴"), =HYPERLINK("CSG22.html#group210A22", "210A²²"), =HYPERLINK("CSG21.html#group28L21", "28L²¹"), =HYPERLINK("CSG24.html#group56E24", "56E²⁴"), =HYPERLINK("CSG15.html#group126F15", "126F¹⁵"), =HYPERLINK("CSG19.html#group42F19", "42F¹⁹"), =HYPERLINK("CSG15.html#group84G15", "84G¹⁵"), =HYPERLINK("CSG22.html#group168H22", "168H²²"), =HYPERLINK("CSG21.html#group126C21", "126C²¹"), =HYPERLINK("CSG24.html#group56L24", "56L²⁴"), =HYPERLINK("CSG17.html#group42H17", "42H¹⁷"), =HYPERLINK("CSG22.html#group266A22", "266A²²"), =HYPERLINK("CSG21.html#group56J21", "56J²¹"), =HYPERLINK("CSG9.html#group28E9", "28E⁹"), =HYPERLINK("CSG2.html#group14B2", "14B²"), =HYPERLINK("CSG7.html#group14B7", "14B⁷"), =HYPERLINK("CSG20.html#group84A20", "84A²⁰"), =HYPERLINK("CSG14.html#group112F14", "112F¹⁴"), =HYPERLINK("CSG19.html#group28A19", "28A¹⁹"), =HYPERLINK("CSG19.html#group112A19", "112A¹⁹"), =HYPERLINK("CSG14.html#group84C14", "84C¹⁴"), =HYPERLINK("CSG18.html#group84C18", "84C¹⁸"), =HYPERLINK("CSG6.html#group14B6", "14B⁶"), =HYPERLINK("CSG16.html#group70B16", "70B¹⁶"), =HYPERLINK("CSG6.html#group56G6", "56G⁶"), =HYPERLINK("CSG17.html#group42E17", "42E¹⁷"), =HYPERLINK("CSG10.html#group28A10", "28A¹⁰"), =HYPERLINK("CSG13.html#group210B13", "210B¹³"), =HYPERLINK("CSG21.html#group84J21", "84J²¹"), =HYPERLINK("CSG23.html#group112L23", "112L²³"), =HYPERLINK("CSG13.html#group126A13", "126A¹³"), =HYPERLINK("CSG15.html#group42E15", "42E¹⁵"), =HYPERLINK("CSG17.html#group70G17", "70G¹⁷"), =HYPERLINK("CSG7.html#group42A7", "42A⁷"), =HYPERLINK("CSG19.html#group28B19", "28B¹⁹"), =HYPERLINK("CSG7.html#group28A7", "28A⁷"), =HYPERLINK("CSG20.html#group140B20", "140B²⁰"), =HYPERLINK("CSG5.html#group42D5", "42D⁵"), =HYPERLINK("CSG21.html#group56K21", "56K²¹"), =HYPERLINK("CSG13.html#group28A13", "28A¹³"), =HYPERLINK("CSG21.html#group84L21", "84L²¹"), =HYPERLINK("CSG16.html#group28E16", "28E¹⁶"), =HYPERLINK("CSG23.html#group126J23", "126J²³"), =HYPERLINK("CSG22.html#group112A22", "112A²²"), =HYPERLINK("CSG22.html#group56I22", "56I²²"), =HYPERLINK("CSG5.html#group28G5", "28G⁵"), =HYPERLINK("CSG15.html#group42G15", "42G¹⁵"), =HYPERLINK("CSG15.html#group42A15", "42A¹⁵"), =HYPERLINK("CSG24.html#group42B24", "42B²⁴"), =HYPERLINK("CSG23.html#group140H23", "140H²³"), =HYPERLINK("CSG24.html#group56J24", "56J²⁴"), =HYPERLINK("CSG23.html#group56F23", "56F²³"), =HYPERLINK("CSG13.html#group56M13", "56M¹³"), =HYPERLINK("CSG5.html#group70B5", "70B⁵"), =HYPERLINK("CSG17.html#group28B17", "28B¹⁷"), =HYPERLINK("CSG10.html#group56A10", "56A¹⁰"), =HYPERLINK("CSG23.html#group42A23", "42A²³"), =HYPERLINK("CSG5.html#group42C5", "42C⁵"), =HYPERLINK("CSG23.html#group98A23", "98A²³"), =HYPERLINK("CSG22.html#group98B22", "98B²²"), =HYPERLINK("CSG19.html#group28C19", "28C¹⁹"), =HYPERLINK("CSG24.html#group56N24", "56N²⁴"), =HYPERLINK("CSG6.html#group42B6", "42B⁶"), =HYPERLINK("CSG12.html#group56C12", "56C¹²"), =HYPERLINK("CSG19.html#group238B19", "238B¹⁹"), =HYPERLINK("CSG22.html#group56L22", "56L²²"), =HYPERLINK("CSG23.html#group126L23", "126L²³"), =HYPERLINK("CSG23.html#group42E23", "42E²³"), =HYPERLINK("CSG10.html#group28B10", "28B¹⁰"), =HYPERLINK("CSG23.html#group42C23", "42C²³"), =HYPERLINK("CSG17.html#group14A17", "14A¹⁷"), =HYPERLINK("CSG5.html#group14D5", "14D⁵"), =HYPERLINK("CSG16.html#group84G16", "84G¹⁶"), =HYPERLINK("CSG22.html#group56J22", "56J²²"), =HYPERLINK("CSG13.html#group14B13", "14B¹³"), =HYPERLINK("CSG16.html#group28D16", "28D¹⁶"), =HYPERLINK("CSG14.html#group28C14", "28C¹⁴"), =HYPERLINK("CSG9.html#group70B9", "70B⁹"), =HYPERLINK("CSG21.html#group28H21", "28H²¹"), =HYPERLINK("CSG16.html#group42B16", "42B¹⁶"), =HYPERLINK("CSG23.html#group42I23", "42I²³"), =HYPERLINK("CSG15.html#group56A15", "56A¹⁵"), =HYPERLINK("CSG19.html#group42H19", "42H¹⁹"), =HYPERLINK("CSG19.html#group42I19", "42I¹⁹"), =HYPERLINK("CSG17.html#group28C17", "28C¹⁷"), =HYPERLINK("CSG22.html#group168J22", "168J²²"), =HYPERLINK("CSG5.html#group14A5", "14A⁵"), =HYPERLINK("CSG9.html#group42C9", "42C⁹"), =HYPERLINK("CSG13.html#group56A13", "56A¹³"), =HYPERLINK("CSG21.html#group70D21", "70D²¹"), =HYPERLINK("CSG14.html#group112E14", "112E¹⁴"), =HYPERLINK("CSG17.html#group70H17", "70H¹⁷"), =HYPERLINK("CSG21.html#group28G21", "28G²¹"), =HYPERLINK("CSG19.html#group42J19", "42J¹⁹"), =HYPERLINK("CSG21.html#group28K21", "28K²¹"), =HYPERLINK("CSG24.html#group56M24", "56M²⁴"), =HYPERLINK("CSG13.html#group70D13", "70D¹³"), =HYPERLINK("CSG24.html#group126A24", "126A²⁴"), =HYPERLINK("CSG24.html#group112H24", "112H²⁴"), =HYPERLINK("CSG21.html#group70I21", "70I²¹"), =HYPERLINK("CSG17.html#group42F17", "42F¹⁷"), =HYPERLINK("CSG2.html#group14C2", "14C²"), =HYPERLINK("CSG23.html#group42J23", "42J²³"), =HYPERLINK("CSG17.html#group126G17", "126G¹⁷"), =HYPERLINK("CSG9.html#group56B9", "56B⁹"), =HYPERLINK("CSG7.html#group42I7", "42I⁷"), =HYPERLINK("CSG21.html#group28B21", "28B²¹"), =HYPERLINK("CSG11.html#group14A11", "14A¹¹"), =HYPERLINK("CSG23.html#group42H23", "42H²³"), =HYPERLINK("CSG23.html#group42B23", "42B²³"), =HYPERLINK("CSG21.html#group84I21", "84I²¹"), =HYPERLINK("CSG14.html#group70A14", "70A¹⁴"), =HYPERLINK("CSG6.html#group126A6", "126A⁶"), =HYPERLINK("CSG17.html#group70I17", "70I¹⁷"), =HYPERLINK("CSG13.html#group182A13", "182A¹³"), =HYPERLINK("CSG3.html#group14F3", "14F³"), =HYPERLINK("CSG22.html#group168G22", "168G²²"), =HYPERLINK("CSG23.html#group28C23", "28C²³"), =HYPERLINK("CSG14.html#group126A14", "126A¹⁴"), =HYPERLINK("CSG3.html#group42F3", "42F³"), =HYPERLINK("CSG17.html#group14B17", "14B¹⁷"), =HYPERLINK("CSG11.html#group42D11", "42D¹¹"), =HYPERLINK("CSG23.html#group84D23", "84D²³"), =HYPERLINK("CSG11.html#group28C11", "28C¹¹"), =HYPERLINK("CSG1.html#group14G1", "14G¹"), =HYPERLINK("CSG9.html#group70E9", "70E⁹"), =HYPERLINK("CSG21.html#group42D21", "42D²¹"), =HYPERLINK("CSG12.html#group42G12", "42G¹²"), =HYPERLINK("CSG21.html#group70C21", "70C²¹"), =HYPERLINK("CSG24.html#group56K24", "56K²⁴"), =HYPERLINK("CSG17.html#group126I17", "126I¹⁷"), =HYPERLINK("CSG3.html#group14E3", "14E³"), =HYPERLINK("CSG9.html#group70C9", "70C⁹"), =HYPERLINK("CSG6.html#group28A6", "28A⁶"), =HYPERLINK("CSG16.html#group70C16", "70C¹⁶"), =HYPERLINK("CSG17.html#group42K17", "42K¹⁷"), =HYPERLINK("CSG7.html#group42N7", "42N⁷"), =HYPERLINK("CSG23.html#group126K23", "126K²³"), =HYPERLINK("CSG24.html#group112G24", "112G²⁴"), =HYPERLINK("CSG23.html#group42G23", "42G²³"), =HYPERLINK("CSG12.html#group126E12", "126E¹²"), =HYPERLINK("CSG5.html#group28F5", "28F⁵"), =HYPERLINK("CSG2.html#group28E2", "28E²"), =HYPERLINK("CSG13.html#group126J13", "126J¹³"), =HYPERLINK("CSG7.html#group42J7", "42J⁷"), =HYPERLINK("CSG9.html#group28D9", "28D⁹"), =HYPERLINK("CSG13.html#group42B13", "42B¹³"), =HYPERLINK("CSG7.html#group42H7", "42H⁷"), =HYPERLINK("CSG17.html#group42D17", "42D¹⁷"), =HYPERLINK("CSG15.html#group210A15", "210A¹⁵"), =HYPERLINK("CSG23.html#group140E23", "140E²³"), =HYPERLINK("CSG17.html#group126F17", "126F¹⁷"), =HYPERLINK("CSG7.html#group14D7", "14D⁷"), =HYPERLINK("CSG9.html#group14A9", "14A⁹"), =HYPERLINK("CSG14.html#group28B14", "28B¹⁴"), =HYPERLINK("CSG15.html#group210C15", "210C¹⁵"), =HYPERLINK("CSG6.html#group14A6", "14A⁶"), =HYPERLINK("CSG13.html#group42J13", "42J¹³"), =HYPERLINK("CSG23.html#group14A23", "14A²³"), =HYPERLINK("CSG1.html#group14F1", "14F¹"), =HYPERLINK("CSG8.html#group84H8", "84H⁸"), =HYPERLINK("CSG5.html#group42E5", "42E⁵"), =HYPERLINK("CSG23.html#group112C23", "112C²³"), =HYPERLINK("CSG4.html#group42D4", "42D⁴"), =HYPERLINK("CSG19.html#group126C19", "126C¹⁹"), =HYPERLINK("CSG12.html#group42F12", "42F¹²"), =HYPERLINK("CSG19.html#group42A19", "42A¹⁹"), =HYPERLINK("CSG17.html#group84A17", "84A¹⁷"), =HYPERLINK("CSG23.html#group140F23", "140F²³"), =HYPERLINK("CSG19.html#group42G19", "42G¹⁹"), =HYPERLINK("CSG6.html#group56F6", "56F⁶"), =HYPERLINK("CSG13.html#group210A13", "210A¹³"), =HYPERLINK("CSG13.html#group70B13", "70B¹³"), =HYPERLINK("CSG1.html#group42A1", "42A¹"), =HYPERLINK("CSG22.html#group56C22", "56C²²"), =HYPERLINK("CSG18.html#group126G18", "126G¹⁸"), =HYPERLINK("CSG23.html#group42F23", "42F²³"), =HYPERLINK("CSG24.html#group42A24", "42A²⁴"), =HYPERLINK("CSG22.html#group168I22", "168I²²"), =HYPERLINK("CSG17.html#group126B17", "126B¹⁷"), =HYPERLINK("CSG17.html#group70F17", "70F¹⁷"), =HYPERLINK("CSG13.html#group14C13", "14C¹³"), =HYPERLINK("CSG22.html#group56K22", "56K²²"), =HYPERLINK("CSG11.html#group28H11", "28H¹¹"), =HYPERLINK("CSG21.html#group42B21", "42B²¹"), =HYPERLINK("CSG23.html#group28D23", "28D²³"), =HYPERLINK("CSG13.html#group42E13", "42E¹³"), =HYPERLINK("CSG23.html#group56A23", "56A²³"), =HYPERLINK("CSG5.html#group14E5", "14E⁵"), =HYPERLINK("CSG23.html#group84A23", "84A²³"), =HYPERLINK("CSG15.html#group42I15", "42I¹⁵"), =HYPERLINK("CSG13.html#group126K13", "126K¹³"), =HYPERLINK("CSG24.html#group126C24", "126C²⁴"), =HYPERLINK("CSG21.html#group28A21", "28A²¹"), =HYPERLINK("CSG19.html#group126B19", "126B¹⁹"), =HYPERLINK("CSG19.html#group84L19", "84L¹⁹"), =HYPERLINK("CSG15.html#group14A15", "14A¹⁵"), =HYPERLINK("CSG23.html#group28A23", "28A²³"), =HYPERLINK("CSG17.html#group28D17", "28D¹⁷")</f>
        <v/>
      </c>
    </row>
    <row r="92">
      <c r="A92" t="inlineStr">
        <is>
          <t>14B⁰</t>
        </is>
      </c>
      <c r="B92" t="inlineStr"/>
      <c r="C92" t="inlineStr">
        <is>
          <t>16</t>
        </is>
      </c>
      <c r="D92" t="inlineStr">
        <is>
          <t>1</t>
        </is>
      </c>
      <c r="E92" t="inlineStr">
        <is>
          <t>8</t>
        </is>
      </c>
      <c r="F92" t="inlineStr">
        <is>
          <t>0</t>
        </is>
      </c>
      <c r="G92" t="inlineStr">
        <is>
          <t>4</t>
        </is>
      </c>
      <c r="H92" t="inlineStr">
        <is>
          <t>2¹, 14¹</t>
        </is>
      </c>
      <c r="I92" t="n">
        <v>2</v>
      </c>
      <c r="J92" t="inlineStr">
        <is>
          <t>1², 6¹</t>
        </is>
      </c>
      <c r="K92">
        <f>HYPERLINK("CSG0.html#group2A0", "2A⁰"), =HYPERLINK("CSG0.html#group7B0", "7B⁰")</f>
        <v/>
      </c>
      <c r="L92">
        <f>HYPERLINK("CSG0.html#group14C0", "14C⁰"), =HYPERLINK("CSG0.html#group28A0", "28A⁰"), =HYPERLINK("CSG2.html#group14D2", "14D²"), =HYPERLINK("CSG2.html#group14E2", "14E²"), =HYPERLINK("CSG2.html#group42B2", "42B²"), =HYPERLINK("CSG2.html#group42C2", "42C²"), =HYPERLINK("CSG3.html#group28E3", "28E³"), =HYPERLINK("CSG3.html#group42B3", "42B³"), =HYPERLINK("CSG3.html#group42E3", "42E³"), =HYPERLINK("CSG4.html#group42B4", "42B⁴"), =HYPERLINK("CSG4.html#group70B4", "70B⁴"), =HYPERLINK("CSG5.html#group14E5", "14E⁵"), =HYPERLINK("CSG5.html#group98A5", "98A⁵"), =HYPERLINK("CSG7.html#group70C7", "70C⁷"), =HYPERLINK("CSG11.html#group70C11", "70C¹¹"), =HYPERLINK("CSG15.html#group182C15", "182C¹⁵"), =HYPERLINK("CSG23.html#group238B23", "238B²³"), =HYPERLINK("CSG23.html#group266B23", "266B²³")</f>
        <v/>
      </c>
      <c r="M92">
        <f>HYPERLINK("CSG0.html#group2A0", "2A⁰"), =HYPERLINK("CSG0.html#group1A0", "1A⁰"), =HYPERLINK("CSG0.html#group7B0", "7B⁰")</f>
        <v/>
      </c>
      <c r="N92">
        <f>HYPERLINK("CSG14.html#group84B14", "84B¹⁴"), =HYPERLINK("CSG2.html#group14D2", "14D²"), =HYPERLINK("CSG23.html#group140C23", "140C²³"), =HYPERLINK("CSG22.html#group84K22", "84K²²"), =HYPERLINK("CSG14.html#group126D14", "126D¹⁴"), =HYPERLINK("CSG23.html#group210J23", "210J²³"), =HYPERLINK("CSG8.html#group84A8", "84A⁸"), =HYPERLINK("CSG13.html#group126F13", "126F¹³"), =HYPERLINK("CSG23.html#group56T23", "56T²³"), =HYPERLINK("CSG21.html#group56N21", "56N²¹"), =HYPERLINK("CSG3.html#group42E3", "42E³"), =HYPERLINK("CSG15.html#group84B15", "84B¹⁵"), =HYPERLINK("CSG23.html#group126M23", "126M²³"), =HYPERLINK("CSG8.html#group84B8", "84B⁸"), =HYPERLINK("CSG14.html#group70G14", "70G¹⁴"), =HYPERLINK("CSG11.html#group28G11", "28G¹¹"), =HYPERLINK("CSG7.html#group42E7", "42E⁷"), =HYPERLINK("CSG23.html#group126F23", "126F²³"), =HYPERLINK("CSG16.html#group210E16", "210E¹⁶"), =HYPERLINK("CSG22.html#group84A22", "84A²²"), =HYPERLINK("CSG23.html#group84J23", "84J²³"), =HYPERLINK("CSG11.html#group28F11", "28F¹¹"), =HYPERLINK("CSG21.html#group42J21", "42J²¹"), =HYPERLINK("CSG13.html#group126H13", "126H¹³"), =HYPERLINK("CSG10.html#group42E10", "42E¹⁰"), =HYPERLINK("CSG6.html#group28E6", "28E⁶"), =HYPERLINK("CSG15.html#group112K15", "112K¹⁵"), =HYPERLINK("CSG13.html#group126E13", "126E¹³"), =HYPERLINK("CSG21.html#group56L21", "56L²¹"), =HYPERLINK("CSG11.html#group126D11", "126D¹¹"), =HYPERLINK("CSG13.html#group196A13", "196A¹³"), =HYPERLINK("CSG10.html#group42D10", "42D¹⁰"), =HYPERLINK("CSG12.html#group42H12", "42H¹²"), =HYPERLINK("CSG13.html#group84E13", "84E¹³"), =HYPERLINK("CSG13.html#group28A13", "28A¹³"), =HYPERLINK("CSG19.html#group70G19", "70G¹⁹"), =HYPERLINK("CSG13.html#group56H13", "56H¹³"), =HYPERLINK("CSG17.html#group56C17", "56C¹⁷"), =HYPERLINK("CSG23.html#group210B23", "210B²³"), =HYPERLINK("CSG23.html#group112P23", "112P²³"), =HYPERLINK("CSG11.html#group42H11", "42H¹¹"), =HYPERLINK("CSG23.html#group210C23", "210C²³"), =HYPERLINK("CSG19.html#group42O19", "42O¹⁹"), =HYPERLINK("CSG4.html#group14B4", "14B⁴"), =HYPERLINK("CSG21.html#group42I21", "42I²¹"), =HYPERLINK("CSG13.html#group84K13", "84K¹³"), =HYPERLINK("CSG5.html#group28I5", "28I⁵"), =HYPERLINK("CSG23.html#group56P23", "56P²³"), =HYPERLINK("CSG23.html#group42A23", "42A²³"), =HYPERLINK("CSG8.html#group140A8", "140A⁸"), =HYPERLINK("CSG18.html#group210D18", "210D¹⁸"), =HYPERLINK("CSG21.html#group126S21", "126S²¹"), =HYPERLINK("CSG20.html#group84K20", "84K²⁰"), =HYPERLINK("CSG4.html#group28D4", "28D⁴"), =HYPERLINK("CSG9.html#group28G9", "28G⁹"), =HYPERLINK("CSG23.html#group126D23", "126D²³"), =HYPERLINK("CSG23.html#group84H23", "84H²³"), =HYPERLINK("CSG23.html#group126H23", "126H²³"), =HYPERLINK("CSG15.html#group84A15", "84A¹⁵"), =HYPERLINK("CSG18.html#group70C18", "70C¹⁸"), =HYPERLINK("CSG22.html#group84F22", "84F²²"), =HYPERLINK("CSG5.html#group42I5", "42I⁵"), =HYPERLINK("CSG14.html#group70D14", "70D¹⁴"), =HYPERLINK("CSG0.html#group28A0", "28A⁰"), =HYPERLINK("CSG17.html#group14A17", "14A¹⁷"), =HYPERLINK("CSG23.html#group84G23", "84G²³"), =HYPERLINK("CSG18.html#group210B18", "210B¹⁸"), =HYPERLINK("CSG13.html#group84I13", "84I¹³"), =HYPERLINK("CSG11.html#group42K11", "42K¹¹"), =HYPERLINK("CSG23.html#group56W23", "56W²³"), =HYPERLINK("CSG6.html#group84A6", "84A⁶"), =HYPERLINK("CSG24.html#group252A24", "252A²⁴"), =HYPERLINK("CSG7.html#group84E7", "84E⁷"), =HYPERLINK("CSG23.html#group252A23", "252A²³"), =HYPERLINK("CSG4.html#group84B4", "84B⁴"), =HYPERLINK("CSG7.html#group56G7", "56G⁷"), =HYPERLINK("CSG23.html#group84I23", "84I²³"), =HYPERLINK("CSG11.html#group28E11", "28E¹¹"), =HYPERLINK("CSG16.html#group210G16", "210G¹⁶"), =HYPERLINK("CSG21.html#group84F21", "84F²¹"), =HYPERLINK("CSG20.html#group84M20", "84M²⁰"), =HYPERLINK("CSG24.html#group294A24", "294A²⁴"), =HYPERLINK("CSG17.html#group84Q17", "84Q¹⁷"), =HYPERLINK("CSG10.html#group42F10", "42F¹⁰"), =HYPERLINK("CSG0.html#group14C0", "14C⁰"), =HYPERLINK("CSG11.html#group126C11", "126C¹¹"), =HYPERLINK("CSG19.html#group70H19", "70H¹⁹"), =HYPERLINK("CSG3.html#group42B3", "42B³"), =HYPERLINK("CSG23.html#group252B23", "252B²³"), =HYPERLINK("CSG19.html#group42Q19", "42Q¹⁹"), =HYPERLINK("CSG10.html#group42G10", "42G¹⁰"), =HYPERLINK("CSG5.html#group98A5", "98A⁵"), =HYPERLINK("CSG16.html#group84K16", "84K¹⁶"), =HYPERLINK("CSG15.html#group140B15", "140B¹⁵"), =HYPERLINK("CSG23.html#group294B23", "294B²³"), =HYPERLINK("CSG23.html#group238B23", "238B²³"), =HYPERLINK("CSG13.html#group126I13", "126I¹³"), =HYPERLINK("CSG19.html#group42P19", "42P¹⁹"), =HYPERLINK("CSG3.html#group28E3", "28E³"), =HYPERLINK("CSG15.html#group182C15", "182C¹⁵"), =HYPERLINK("CSG20.html#group84I20", "84I²⁰"), =HYPERLINK("CSG21.html#group28M21", "28M²¹"), =HYPERLINK("CSG11.html#group56Q11", "56Q¹¹"), =HYPERLINK("CSG16.html#group28G16", "28G¹⁶"), =HYPERLINK("CSG22.html#group84E22", "84E²²"), =HYPERLINK("CSG16.html#group70E16", "70E¹⁶"), =HYPERLINK("CSG19.html#group70F19", "70F¹⁹"), =HYPERLINK("CSG23.html#group42B23", "42B²³"), =HYPERLINK("CSG9.html#group42D9", "42D⁹"), =HYPERLINK("CSG16.html#group210F16", "210F¹⁶"), =HYPERLINK("CSG23.html#group56S23", "56S²³"), =HYPERLINK("CSG15.html#group140A15", "140A¹⁵"), =HYPERLINK("CSG10.html#group28C10", "28C¹⁰"), =HYPERLINK("CSG15.html#group126E15", "126E¹⁵"), =HYPERLINK("CSG13.html#group56N13", "56N¹³"), =HYPERLINK("CSG17.html#group14B17", "14B¹⁷"), =HYPERLINK("CSG15.html#group112L15", "112L¹⁵"), =HYPERLINK("CSG11.html#group70C11", "70C¹¹"), =HYPERLINK("CSG23.html#group126B23", "126B²³"), =HYPERLINK("CSG17.html#group98A17", "98A¹⁷"), =HYPERLINK("CSG13.html#group42G13", "42G¹³"), =HYPERLINK("CSG23.html#group140A23", "140A²³"), =HYPERLINK("CSG6.html#group28D6", "28D⁶"), =HYPERLINK("CSG20.html#group210A20", "210A²⁰"), =HYPERLINK("CSG21.html#group126T21", "126T²¹"), =HYPERLINK("CSG21.html#group70G21", "70G²¹"), =HYPERLINK("CSG15.html#group126B15", "126B¹⁵"), =HYPERLINK("CSG23.html#group210G23", "210G²³"), =HYPERLINK("CSG24.html#group252B24", "252B²⁴"), =HYPERLINK("CSG18.html#group70B18", "70B¹⁸"), =HYPERLINK("CSG22.html#group84D22", "84D²²"), =HYPERLINK("CSG14.html#group70F14", "70F¹⁴"), =HYPERLINK("CSG2.html#group42B2", "42B²"), =HYPERLINK("CSG17.html#group28E17", "28E¹⁷"), =HYPERLINK("CSG9.html#group28F9", "28F⁹"), =HYPERLINK("CSG23.html#group140B23", "140B²³"), =HYPERLINK("CSG22.html#group84B22", "84B²²"), =HYPERLINK("CSG21.html#group42G21", "42G²¹"), =HYPERLINK("CSG13.html#group56G13", "56G¹³"), =HYPERLINK("CSG13.html#group84H13", "84H¹³"), =HYPERLINK("CSG13.html#group28F13", "28F¹³"), =HYPERLINK("CSG23.html#group56V23", "56V²³"), =HYPERLINK("CSG12.html#group126I12", "126I¹²"), =HYPERLINK("CSG23.html#group56Q23", "56Q²³"), =HYPERLINK("CSG21.html#group126M21", "126M²¹"), =HYPERLINK("CSG17.html#group42L17", "42L¹⁷"), =HYPERLINK("CSG24.html#group252D24", "252D²⁴"), =HYPERLINK("CSG7.html#group42M7", "42M⁷"), =HYPERLINK("CSG21.html#group126U21", "126U²¹"), =HYPERLINK("CSG15.html#group98A15", "98A¹⁵"), =HYPERLINK("CSG11.html#group42F11", "42F¹¹"), =HYPERLINK("CSG17.html#group210D17", "210D¹⁷"), =HYPERLINK("CSG23.html#group56O23", "56O²³"), =HYPERLINK("CSG2.html#group14E2", "14E²"), =HYPERLINK("CSG7.html#group84D7", "84D⁷"), =HYPERLINK("CSG11.html#group56M11", "56M¹¹"), =HYPERLINK("CSG15.html#group84C15", "84C¹⁵"), =HYPERLINK("CSG5.html#group28E5", "28E⁵"), =HYPERLINK("CSG4.html#group70B4", "70B⁴"), =HYPERLINK("CSG23.html#group266B23", "266B²³"), =HYPERLINK("CSG15.html#group126C15", "126C¹⁵"), =HYPERLINK("CSG11.html#group56R11", "56R¹¹"), =HYPERLINK("CSG2.html#group28F2", "28F²"), =HYPERLINK("CSG11.html#group42G11", "42G¹¹"), =HYPERLINK("CSG21.html#group42H21", "42H²¹"), =HYPERLINK("CSG11.html#group126F11", "126F¹¹"), =HYPERLINK("CSG13.html#group70F13", "70F¹³"), =HYPERLINK("CSG10.html#group42J10", "42J¹⁰"), =HYPERLINK("CSG21.html#group28N21", "28N²¹"), =HYPERLINK("CSG7.html#group56F7", "56F⁷"), =HYPERLINK("CSG23.html#group112O23", "112O²³"), =HYPERLINK("CSG21.html#group84A21", "84A²¹"), =HYPERLINK("CSG24.html#group42A24", "42A²⁴"), =HYPERLINK("CSG23.html#group294A23", "294A²³"), =HYPERLINK("CSG23.html#group126E23", "126E²³"), =HYPERLINK("CSG18.html#group210C18", "210C¹⁸"), =HYPERLINK("CSG17.html#group98B17", "98B¹⁷"), =HYPERLINK("CSG11.html#group56L11", "56L¹¹"), =HYPERLINK("CSG4.html#group84A4", "84A⁴"), =HYPERLINK("CSG18.html#group70A18", "70A¹⁸"), =HYPERLINK("CSG16.html#group70D16", "70D¹⁶"), =HYPERLINK("CSG17.html#group210C17", "210C¹⁷"), =HYPERLINK("CSG5.html#group14E5", "14E⁵"), =HYPERLINK("CSG12.html#group126B12", "126B¹²"), =HYPERLINK("CSG4.html#group42B4", "42B⁴"), =HYPERLINK("CSG23.html#group42M23", "42M²³"), =HYPERLINK("CSG22.html#group84H22", "84H²²"), =HYPERLINK("CSG14.html#group70E14", "70E¹⁴"), =HYPERLINK("CSG2.html#group42C2", "42C²"), =HYPERLINK("CSG21.html#group84G21", "84G²¹"), =HYPERLINK("CSG7.html#group70C7", "70C⁷"), =HYPERLINK("CSG23.html#group56R23", "56R²³"), =HYPERLINK("CSG15.html#group14A15", "14A¹⁵"), =HYPERLINK("CSG22.html#group84C22", "84C²²"), =HYPERLINK("CSG23.html#group210H23", "210H²³"), =HYPERLINK("CSG18.html#group210E18", "210E¹⁸")</f>
        <v/>
      </c>
    </row>
    <row r="93">
      <c r="A93" t="inlineStr">
        <is>
          <t>14C⁰</t>
        </is>
      </c>
      <c r="B93" t="inlineStr"/>
      <c r="C93" t="inlineStr">
        <is>
          <t>48</t>
        </is>
      </c>
      <c r="D93" t="inlineStr">
        <is>
          <t>1</t>
        </is>
      </c>
      <c r="E93" t="inlineStr">
        <is>
          <t>16</t>
        </is>
      </c>
      <c r="F93" t="inlineStr">
        <is>
          <t>0</t>
        </is>
      </c>
      <c r="G93" t="inlineStr">
        <is>
          <t>6</t>
        </is>
      </c>
      <c r="H93" t="inlineStr">
        <is>
          <t>2³, 14³</t>
        </is>
      </c>
      <c r="I93" t="n">
        <v>6</v>
      </c>
      <c r="J93" t="inlineStr">
        <is>
          <t>1⁴, 6²</t>
        </is>
      </c>
      <c r="K93">
        <f>HYPERLINK("CSG0.html#group14B0", "14B⁰")</f>
        <v/>
      </c>
      <c r="L93">
        <f>HYPERLINK("CSG2.html#group28F2", "28F²"), =HYPERLINK("CSG4.html#group14B4", "14B⁴"), =HYPERLINK("CSG7.html#group42M7", "42M⁷"), =HYPERLINK("CSG9.html#group28G9", "28G⁹"), =HYPERLINK("CSG9.html#group42D9", "42D⁹"), =HYPERLINK("CSG10.html#group42G10", "42G¹⁰"), =HYPERLINK("CSG14.html#group70G14", "70G¹⁴"), =HYPERLINK("CSG15.html#group14A15", "14A¹⁵"), =HYPERLINK("CSG15.html#group98A15", "98A¹⁵"), =HYPERLINK("CSG19.html#group70H19", "70H¹⁹")</f>
        <v/>
      </c>
      <c r="M93">
        <f>HYPERLINK("CSG0.html#group2A0", "2A⁰"), =HYPERLINK("CSG0.html#group1A0", "1A⁰"), =HYPERLINK("CSG0.html#group7B0", "7B⁰"), =HYPERLINK("CSG0.html#group14B0", "14B⁰")</f>
        <v/>
      </c>
      <c r="N93">
        <f>HYPERLINK("CSG19.html#group42Q19", "42Q¹⁹"), =HYPERLINK("CSG10.html#group42G10", "42G¹⁰"), =HYPERLINK("CSG17.html#group42L17", "42L¹⁷"), =HYPERLINK("CSG23.html#group84G23", "84G²³"), =HYPERLINK("CSG16.html#group84K16", "84K¹⁶"), =HYPERLINK("CSG7.html#group42M7", "42M⁷"), =HYPERLINK("CSG14.html#group70G14", "70G¹⁴"), =HYPERLINK("CSG15.html#group98A15", "98A¹⁵"), =HYPERLINK("CSG4.html#group14B4", "14B⁴"), =HYPERLINK("CSG22.html#group84D22", "84D²²"), =HYPERLINK("CSG9.html#group28G9", "28G⁹"), =HYPERLINK("CSG16.html#group28G16", "28G¹⁶"), =HYPERLINK("CSG17.html#group28E17", "28E¹⁷"), =HYPERLINK("CSG9.html#group42D9", "42D⁹"), =HYPERLINK("CSG23.html#group56T23", "56T²³"), =HYPERLINK("CSG23.html#group84H23", "84H²³"), =HYPERLINK("CSG23.html#group56S23", "56S²³"), =HYPERLINK("CSG22.html#group84H22", "84H²²"), =HYPERLINK("CSG13.html#group28F13", "28F¹³"), =HYPERLINK("CSG15.html#group14A15", "14A¹⁵"), =HYPERLINK("CSG19.html#group70H19", "70H¹⁹"), =HYPERLINK("CSG2.html#group28F2", "28F²"), =HYPERLINK("CSG10.html#group28C10", "28C¹⁰")</f>
        <v/>
      </c>
    </row>
    <row r="94">
      <c r="A94" t="inlineStr">
        <is>
          <t>15A⁰</t>
        </is>
      </c>
      <c r="B94" t="inlineStr"/>
      <c r="C94" t="inlineStr">
        <is>
          <t>15</t>
        </is>
      </c>
      <c r="D94" t="inlineStr">
        <is>
          <t>2</t>
        </is>
      </c>
      <c r="E94" t="inlineStr">
        <is>
          <t>5</t>
        </is>
      </c>
      <c r="F94" t="inlineStr">
        <is>
          <t>3</t>
        </is>
      </c>
      <c r="G94" t="inlineStr">
        <is>
          <t>3</t>
        </is>
      </c>
      <c r="H94" t="inlineStr">
        <is>
          <t>15¹</t>
        </is>
      </c>
      <c r="I94" t="n">
        <v>1</v>
      </c>
      <c r="J94" t="inlineStr">
        <is>
          <t>2¹, 8¹</t>
        </is>
      </c>
      <c r="K94">
        <f>HYPERLINK("CSG0.html#group5A0", "5A⁰")</f>
        <v/>
      </c>
      <c r="L94">
        <f>HYPERLINK("CSG1.html#group15F1", "15F¹"), =HYPERLINK("CSG1.html#group30B1", "30B¹"), =HYPERLINK("CSG2.html#group15E2", "15E²"), =HYPERLINK("CSG3.html#group15B3", "15B³"), =HYPERLINK("CSG3.html#group15D3", "15D³"), =HYPERLINK("CSG3.html#group30E3", "30E³"), =HYPERLINK("CSG3.html#group60A3", "60A³"), =HYPERLINK("CSG6.html#group105A6", "105A⁶"), =HYPERLINK("CSG6.html#group105B6", "105B⁶"), =HYPERLINK("CSG8.html#group105A8", "105A⁸"), =HYPERLINK("CSG10.html#group165A10", "165A¹⁰"), =HYPERLINK("CSG10.html#group165B10", "165B¹⁰"), =HYPERLINK("CSG14.html#group195A14", "195A¹⁴"), =HYPERLINK("CSG15.html#group165B15", "165B¹⁵"), =HYPERLINK("CSG21.html#group255B21", "255B²¹"), =HYPERLINK("CSG23.html#group285A23", "285A²³")</f>
        <v/>
      </c>
      <c r="M94">
        <f>HYPERLINK("CSG0.html#group1A0", "1A⁰"), =HYPERLINK("CSG0.html#group5A0", "5A⁰")</f>
        <v/>
      </c>
      <c r="N94">
        <f>HYPERLINK("CSG22.html#group90K22", "90K²²"), =HYPERLINK("CSG10.html#group30I10", "30I¹⁰"), =HYPERLINK("CSG19.html#group15A19", "15A¹⁹"), =HYPERLINK("CSG19.html#group60J19", "60J¹⁹"), =HYPERLINK("CSG10.html#group30D10", "30D¹⁰"), =HYPERLINK("CSG23.html#group285A23", "285A²³"), =HYPERLINK("CSG9.html#group15A9", "15A⁹"), =HYPERLINK("CSG7.html#group30P7", "30P⁷"), =HYPERLINK("CSG10.html#group15A10", "15A¹⁰"), =HYPERLINK("CSG5.html#group30L5", "30L⁵"), =HYPERLINK("CSG12.html#group30D12", "30D¹²"), =HYPERLINK("CSG14.html#group120D14", "120D¹⁴"), =HYPERLINK("CSG13.html#group60G13", "60G¹³"), =HYPERLINK("CSG11.html#group75B11", "75B¹¹"), =HYPERLINK("CSG11.html#group30B11", "30B¹¹"), =HYPERLINK("CSG13.html#group30O13", "30O¹³"), =HYPERLINK("CSG16.html#group30D16", "30D¹⁶"), =HYPERLINK("CSG8.html#group15A8", "15A⁸"), =HYPERLINK("CSG4.html#group15D4", "15D⁴"), =HYPERLINK("CSG15.html#group60Q15", "60Q¹⁵"), =HYPERLINK("CSG13.html#group210B13", "210B¹³"), =HYPERLINK("CSG17.html#group90P17", "90P¹⁷"), =HYPERLINK("CSG11.html#group30F11", "30F¹¹"), =HYPERLINK("CSG19.html#group90D19", "90D¹⁹"), =HYPERLINK("CSG19.html#group105C19", "105C¹⁹"), =HYPERLINK("CSG1.html#group30B1", "30B¹"), =HYPERLINK("CSG15.html#group240A15", "240A¹⁵"), =HYPERLINK("CSG4.html#group30G4", "30G⁴"), =HYPERLINK("CSG19.html#group75A19", "75A¹⁹"), =HYPERLINK("CSG14.html#group105A14", "105A¹⁴"), =HYPERLINK("CSG11.html#group30A11", "30A¹¹"), =HYPERLINK("CSG22.html#group30D22", "30D²²"), =HYPERLINK("CSG6.html#group60D6", "60D⁶"), =HYPERLINK("CSG10.html#group30B10", "30B¹⁰"), =HYPERLINK("CSG17.html#group30F17", "30F¹⁷"), =HYPERLINK("CSG14.html#group195A14", "195A¹⁴"), =HYPERLINK("CSG23.html#group30E23", "30E²³"), =HYPERLINK("CSG13.html#group30D13", "30D¹³"), =HYPERLINK("CSG9.html#group30O9", "30O⁹"), =HYPERLINK("CSG18.html#group60J18", "60J¹⁸"), =HYPERLINK("CSG7.html#group45D7", "45D⁷"), =HYPERLINK("CSG4.html#group30F4", "30F⁴"), =HYPERLINK("CSG7.html#group30H7", "30H⁷"), =HYPERLINK("CSG12.html#group30H12", "30H¹²"), =HYPERLINK("CSG19.html#group60H19", "60H¹⁹"), =HYPERLINK("CSG24.html#group75B24", "75B²⁴"), =HYPERLINK("CSG22.html#group60C22", "60C²²"), =HYPERLINK("CSG3.html#group15H3", "15H³"), =HYPERLINK("CSG4.html#group15E4", "15E⁴"), =HYPERLINK("CSG12.html#group30F12", "30F¹²"), =HYPERLINK("CSG19.html#group30A19", "30A¹⁹"), =HYPERLINK("CSG13.html#group45H13", "45H¹³"), =HYPERLINK("CSG21.html#group30B21", "30B²¹"), =HYPERLINK("CSG10.html#group30E10", "30E¹⁰"), =HYPERLINK("CSG16.html#group90B16", "90B¹⁶"), =HYPERLINK("CSG19.html#group45B19", "45B¹⁹"), =HYPERLINK("CSG23.html#group15A23", "15A²³"), =HYPERLINK("CSG23.html#group60J23", "60J²³"), =HYPERLINK("CSG12.html#group120C12", "120C¹²"), =HYPERLINK("CSG21.html#group30F21", "30F²¹"), =HYPERLINK("CSG10.html#group60B10", "60B¹⁰"), =HYPERLINK("CSG24.html#group330B24", "330B²⁴"), =HYPERLINK("CSG7.html#group120B7", "120B⁷"), =HYPERLINK("CSG15.html#group60Y15", "60Y¹⁵"), =HYPERLINK("CSG16.html#group120E16", "120E¹⁶"), =HYPERLINK("CSG16.html#group120D16", "120D¹⁶"), =HYPERLINK("CSG7.html#group30M7", "30M⁷"), =HYPERLINK("CSG10.html#group45C10", "45C¹⁰"), =HYPERLINK("CSG12.html#group30C12", "30C¹²"), =HYPERLINK("CSG23.html#group30C23", "30C²³"), =HYPERLINK("CSG8.html#group15B8", "15B⁸"), =HYPERLINK("CSG22.html#group105C22", "105C²²"), =HYPERLINK("CSG15.html#group30F15", "30F¹⁵"), =HYPERLINK("CSG24.html#group60B24", "60B²⁴"), =HYPERLINK("CSG6.html#group105A6", "105A⁶"), =HYPERLINK("CSG16.html#group30C16", "30C¹⁶"), =HYPERLINK("CSG10.html#group165A10", "165A¹⁰"), =HYPERLINK("CSG7.html#group30O7", "30O⁷"), =HYPERLINK("CSG3.html#group60A3", "60A³"), =HYPERLINK("CSG22.html#group30B22", "30B²²"), =HYPERLINK("CSG19.html#group90I19", "90I¹⁹"), =HYPERLINK("CSG4.html#group30E4", "30E⁴"), =HYPERLINK("CSG17.html#group15A17", "15A¹⁷"), =HYPERLINK("CSG16.html#group210F16", "210F¹⁶"), =HYPERLINK("CSG16.html#group30B16", "30B¹⁶"), =HYPERLINK("CSG23.html#group30B23", "30B²³"), =HYPERLINK("CSG24.html#group210C24", "210C²⁴"), =HYPERLINK("CSG22.html#group30E22", "30E²²"), =HYPERLINK("CSG13.html#group30B13", "30B¹³"), =HYPERLINK("CSG18.html#group45A18", "45A¹⁸"), =HYPERLINK("CSG7.html#group120A7", "120A⁷"), =HYPERLINK("CSG24.html#group30A24", "30A²⁴"), =HYPERLINK("CSG3.html#group15D3", "15D³"), =HYPERLINK("CSG16.html#group60C16", "60C¹⁶"), =HYPERLINK("CSG8.html#group105A8", "105A⁸"), =HYPERLINK("CSG10.html#group15B10", "15B¹⁰"), =HYPERLINK("CSG16.html#group45D16", "45D¹⁶"), =HYPERLINK("CSG18.html#group90C18", "90C¹⁸"), =HYPERLINK("CSG14.html#group105B14", "105B¹⁴"), =HYPERLINK("CSG24.html#group60A24", "60A²⁴"), =HYPERLINK("CSG13.html#group30G13", "30G¹³"), =HYPERLINK("CSG3.html#group30E3", "30E³"), =HYPERLINK("CSG19.html#group15B19", "15B¹⁹"), =HYPERLINK("CSG14.html#group60F14", "60F¹⁴"), =HYPERLINK("CSG23.html#group30J23", "30J²³"), =HYPERLINK("CSG24.html#group240C24", "240C²⁴"), =HYPERLINK("CSG7.html#group15C7", "15C⁷"), =HYPERLINK("CSG2.html#group15E2", "15E²"), =HYPERLINK("CSG17.html#group45C17", "45C¹⁷"), =HYPERLINK("CSG10.html#group165B10", "165B¹⁰"), =HYPERLINK("CSG16.html#group210A16", "210A¹⁶"), =HYPERLINK("CSG22.html#group30F22", "30F²²"), =HYPERLINK("CSG19.html#group60I19", "60I¹⁹"), =HYPERLINK("CSG1.html#group15F1", "15F¹"), =HYPERLINK("CSG15.html#group120B15", "120B¹⁵"), =HYPERLINK("CSG22.html#group60B22", "60B²²"), =HYPERLINK("CSG18.html#group60F18", "60F¹⁸"), =HYPERLINK("CSG23.html#group30D23", "30D²³"), =HYPERLINK("CSG18.html#group60I18", "60I¹⁸"), =HYPERLINK("CSG12.html#group15A12", "15A¹²"), =HYPERLINK("CSG3.html#group15B3", "15B³"), =HYPERLINK("CSG21.html#group30A21", "30A²¹"), =HYPERLINK("CSG7.html#group60C7", "60C⁷"), =HYPERLINK("CSG6.html#group30F6", "30F⁶"), =HYPERLINK("CSG22.html#group30G22", "30G²²"), =HYPERLINK("CSG13.html#group120D13", "120D¹³"), =HYPERLINK("CSG13.html#group210A13", "210A¹³"), =HYPERLINK("CSG17.html#group60M17", "60M¹⁷"), =HYPERLINK("CSG6.html#group105B6", "105B⁶"), =HYPERLINK("CSG16.html#group45B16", "45B¹⁶"), =HYPERLINK("CSG10.html#group30A10", "30A¹⁰"), =HYPERLINK("CSG7.html#group30A7", "30A⁷"), =HYPERLINK("CSG22.html#group90A22", "90A²²"), =HYPERLINK("CSG16.html#group60D16", "60D¹⁶"), =HYPERLINK("CSG16.html#group15A16", "15A¹⁶"), =HYPERLINK("CSG16.html#group60F16", "60F¹⁶"), =HYPERLINK("CSG11.html#group30E11", "30E¹¹"), =HYPERLINK("CSG24.html#group210B24", "210B²⁴"), =HYPERLINK("CSG16.html#group210B16", "210B¹⁶"), =HYPERLINK("CSG24.html#group330A24", "330A²⁴"), =HYPERLINK("CSG16.html#group45C16", "45C¹⁶"), =HYPERLINK("CSG13.html#group45G13", "45G¹³"), =HYPERLINK("CSG4.html#group15C4", "15C⁴"), =HYPERLINK("CSG15.html#group240B15", "240B¹⁵"), =HYPERLINK("CSG21.html#group255B21", "255B²¹"), =HYPERLINK("CSG7.html#group30E7", "30E⁷"), =HYPERLINK("CSG8.html#group60F8", "60F⁸"), =HYPERLINK("CSG16.html#group60E16", "60E¹⁶"), =HYPERLINK("CSG15.html#group165B15", "165B¹⁵"), =HYPERLINK("CSG16.html#group30E16", "30E¹⁶"), =HYPERLINK("CSG19.html#group90E19", "90E¹⁹")</f>
        <v/>
      </c>
    </row>
    <row r="95">
      <c r="A95" t="inlineStr">
        <is>
          <t>15B⁰</t>
        </is>
      </c>
      <c r="B95" t="inlineStr"/>
      <c r="C95" t="inlineStr">
        <is>
          <t>18</t>
        </is>
      </c>
      <c r="D95" t="inlineStr">
        <is>
          <t>1</t>
        </is>
      </c>
      <c r="E95" t="inlineStr">
        <is>
          <t>6</t>
        </is>
      </c>
      <c r="F95" t="inlineStr">
        <is>
          <t>6</t>
        </is>
      </c>
      <c r="G95" t="inlineStr">
        <is>
          <t>0</t>
        </is>
      </c>
      <c r="H95" t="inlineStr">
        <is>
          <t>3¹, 15¹</t>
        </is>
      </c>
      <c r="I95" t="n">
        <v>2</v>
      </c>
      <c r="J95" t="inlineStr">
        <is>
          <t>1², 4¹</t>
        </is>
      </c>
      <c r="K95">
        <f>HYPERLINK("CSG0.html#group3A0", "3A⁰"), =HYPERLINK("CSG0.html#group5B0", "5B⁰")</f>
        <v/>
      </c>
      <c r="L95">
        <f>HYPERLINK("CSG0.html#group15C0", "15C⁰"), =HYPERLINK("CSG0.html#group30A0", "30A⁰"), =HYPERLINK("CSG1.html#group15E1", "15E¹"), =HYPERLINK("CSG1.html#group30C1", "30C¹"), =HYPERLINK("CSG2.html#group15B2", "15B²"), =HYPERLINK("CSG2.html#group30C2", "30C²"), =HYPERLINK("CSG2.html#group30E2", "30E²"), =HYPERLINK("CSG2.html#group45A2", "45A²"), =HYPERLINK("CSG3.html#group30B3", "30B³"), =HYPERLINK("CSG3.html#group60B3", "60B³"), =HYPERLINK("CSG4.html#group15D4", "15D⁴"), =HYPERLINK("CSG4.html#group75A4", "75A⁴"), =HYPERLINK("CSG6.html#group75C6", "75C⁶"), =HYPERLINK("CSG6.html#group75B6", "75B⁶"), =HYPERLINK("CSG6.html#group75D6", "75D⁶"), =HYPERLINK("CSG6.html#group75A6", "75A⁶"), =HYPERLINK("CSG6.html#group105C6", "105C⁶"), =HYPERLINK("CSG11.html#group105B11", "105B¹¹"), =HYPERLINK("CSG12.html#group165B12", "165B¹²"), =HYPERLINK("CSG17.html#group165A17", "165A¹⁷"), =HYPERLINK("CSG17.html#group195A17", "195A¹⁷"), =HYPERLINK("CSG23.html#group255A23", "255A²³")</f>
        <v/>
      </c>
      <c r="M95">
        <f>HYPERLINK("CSG0.html#group3A0", "3A⁰"), =HYPERLINK("CSG0.html#group5B0", "5B⁰"), =HYPERLINK("CSG0.html#group1A0", "1A⁰")</f>
        <v/>
      </c>
      <c r="N95">
        <f>HYPERLINK("CSG20.html#group225B20", "225B²⁰"), =HYPERLINK("CSG21.html#group90J21", "90J²¹"), =HYPERLINK("CSG12.html#group75A12", "75A¹²"), =HYPERLINK("CSG20.html#group225A20", "225A²⁰"), =HYPERLINK("CSG7.html#group60H7", "60H⁷"), =HYPERLINK("CSG21.html#group60N21", "60N²¹"), =HYPERLINK("CSG19.html#group15A19", "15A¹⁹"), =HYPERLINK("CSG23.html#group120S23", "120S²³"), =HYPERLINK("CSG14.html#group105E14", "105E¹⁴"), =HYPERLINK("CSG15.html#group90P15", "90P¹⁵"), =HYPERLINK("CSG6.html#group30C6", "30C⁶"), =HYPERLINK("CSG21.html#group240C21", "240C²¹"), =HYPERLINK("CSG13.html#group150A13", "150A¹³"), =HYPERLINK("CSG15.html#group60AE15", "60AE¹⁵"), =HYPERLINK("CSG21.html#group120O21", "120O²¹"), =HYPERLINK("CSG9.html#group15A9", "15A⁹"), =HYPERLINK("CSG10.html#group15A10", "15A¹⁰"), =HYPERLINK("CSG13.html#group120K13", "120K¹³"), =HYPERLINK("CSG15.html#group120G15", "120G¹⁵"), =HYPERLINK("CSG12.html#group30D12", "30D¹²"), =HYPERLINK("CSG24.html#group75C24", "75C²⁴"), =HYPERLINK("CSG5.html#group60A5", "60A⁵"), =HYPERLINK("CSG8.html#group45D8", "45D⁸"), =HYPERLINK("CSG15.html#group60I15", "60I¹⁵"), =HYPERLINK("CSG13.html#group60AG13", "60AG¹³"), =HYPERLINK("CSG19.html#group45F19", "45F¹⁹"), =HYPERLINK("CSG13.html#group60AE13", "60AE¹³"), =HYPERLINK("CSG11.html#group60U11", "60U¹¹"), =HYPERLINK("CSG4.html#group15D4", "15D⁴"), =HYPERLINK("CSG5.html#group45G5", "45G⁵"), =HYPERLINK("CSG20.html#group90F20", "90F²⁰"), =HYPERLINK("CSG13.html#group120L13", "120L¹³"), =HYPERLINK("CSG23.html#group90A23", "90A²³"), =HYPERLINK("CSG6.html#group75B6", "75B⁶"), =HYPERLINK("CSG15.html#group60L15", "60L¹⁵"), =HYPERLINK("CSG3.html#group15I3", "15I³"), =HYPERLINK("CSG23.html#group120E23", "120E²³"), =HYPERLINK("CSG13.html#group120I13", "120I¹³"), =HYPERLINK("CSG7.html#group30F7", "30F⁷"), =HYPERLINK("CSG12.html#group75D12", "75D¹²"), =HYPERLINK("CSG15.html#group45A15", "45A¹⁵"), =HYPERLINK("CSG15.html#group60M15", "60M¹⁵"), =HYPERLINK("CSG13.html#group60AA13", "60AA¹³"), =HYPERLINK("CSG19.html#group90K19", "90K¹⁹"), =HYPERLINK("CSG14.html#group75C14", "75C¹⁴"), =HYPERLINK("CSG12.html#group165B12", "165B¹²"), =HYPERLINK("CSG19.html#group120J19", "120J¹⁹"), =HYPERLINK("CSG23.html#group210B23", "210B²³"), =HYPERLINK("CSG11.html#group60C11", "60C¹¹"), =HYPERLINK("CSG15.html#group90M15", "90M¹⁵"), =HYPERLINK("CSG14.html#group75B14", "75B¹⁴"), =HYPERLINK("CSG10.html#group30B10", "30B¹⁰"), =HYPERLINK("CSG7.html#group60R7", "60R⁷"), =HYPERLINK("CSG11.html#group45F11", "45F¹¹"), =HYPERLINK("CSG9.html#group90A9", "90A⁹"), =HYPERLINK("CSG23.html#group120R23", "120R²³"), =HYPERLINK("CSG21.html#group240A21", "240A²¹"), =HYPERLINK("CSG4.html#group60C4", "60C⁴"), =HYPERLINK("CSG17.html#group120K17", "120K¹⁷"), =HYPERLINK("CSG21.html#group45A21", "45A²¹"), =HYPERLINK("CSG16.html#group45E16", "45E¹⁶"), =HYPERLINK("CSG3.html#group30B3", "30B³"), =HYPERLINK("CSG3.html#group60C3", "60C³"), =HYPERLINK("CSG17.html#group60W17", "60W¹⁷"), =HYPERLINK("CSG15.html#group150A15", "150A¹⁵"), =HYPERLINK("CSG17.html#group165A17", "165A¹⁷"), =HYPERLINK("CSG21.html#group240B21", "240B²¹"), =HYPERLINK("CSG19.html#group120N19", "120N¹⁹"), =HYPERLINK("CSG7.html#group60I7", "60I⁷"), =HYPERLINK("CSG9.html#group30H9", "30H⁹"), =HYPERLINK("CSG13.html#group30H13", "30H¹³"), =HYPERLINK("CSG21.html#group120L21", "120L²¹"), =HYPERLINK("CSG13.html#group150E13", "150E¹³"), =HYPERLINK("CSG21.html#group120G21", "120G²¹"), =HYPERLINK("CSG17.html#group120Q17", "120Q¹⁷"), =HYPERLINK("CSG19.html#group120I19", "120I¹⁹"), =HYPERLINK("CSG20.html#group150D20", "150D²⁰"), =HYPERLINK("CSG11.html#group150A11", "150A¹¹"), =HYPERLINK("CSG11.html#group120A11", "120A¹¹"), =HYPERLINK("CSG21.html#group60B21", "60B²¹"), =HYPERLINK("CSG23.html#group60R23", "60R²³"), =HYPERLINK("CSG21.html#group45E21", "45E²¹"), =HYPERLINK("CSG15.html#group105D15", "105D¹⁵"), =HYPERLINK("CSG9.html#group45F9", "45F⁹"), =HYPERLINK("CSG6.html#group60E6", "60E⁶"), =HYPERLINK("CSG11.html#group60R11", "60R¹¹"), =HYPERLINK("CSG23.html#group120J23", "120J²³"), =HYPERLINK("CSG17.html#group75E17", "75E¹⁷"), =HYPERLINK("CSG15.html#group60F15", "60F¹⁵"), =HYPERLINK("CSG13.html#group60P13", "60P¹³"), =HYPERLINK("CSG13.html#group30I13", "30I¹³"), =HYPERLINK("CSG17.html#group210E17", "210E¹⁷"), =HYPERLINK("CSG23.html#group180N23", "180N²³"), =HYPERLINK("CSG23.html#group60P23", "60P²³"), =HYPERLINK("CSG9.html#group30Q9", "30Q⁹"), =HYPERLINK("CSG6.html#group75C6", "75C⁶"), =HYPERLINK("CSG17.html#group30H17", "30H¹⁷"), =HYPERLINK("CSG23.html#group150C23", "150C²³"), =HYPERLINK("CSG13.html#group120G13", "120G¹³"), =HYPERLINK("CSG15.html#group45B15", "45B¹⁵"), =HYPERLINK("CSG9.html#group75E9", "75E⁹"), =HYPERLINK("CSG6.html#group75A6", "75A⁶"), =HYPERLINK("CSG8.html#group15B8", "15B⁸"), =HYPERLINK("CSG13.html#group150C13", "150C¹³"), =HYPERLINK("CSG22.html#group180C22", "180C²²"), =HYPERLINK("CSG17.html#group90H17", "90H¹⁷"), =HYPERLINK("CSG15.html#group120I15", "120I¹⁵"), =HYPERLINK("CSG5.html#group60B5", "60B⁵"), =HYPERLINK("CSG13.html#group75A13", "75A¹³"), =HYPERLINK("CSG12.html#group150A12", "150A¹²"), =HYPERLINK("CSG5.html#group45F5", "45F⁵"), =HYPERLINK("CSG11.html#group60A11", "60A¹¹"), =HYPERLINK("CSG24.html#group180B24", "180B²⁴"), =HYPERLINK("CSG9.html#group60J9", "60J⁹"), =HYPERLINK("CSG3.html#group30J3", "30J³"), =HYPERLINK("CSG17.html#group90K17", "90K¹⁷"), =HYPERLINK("CSG21.html#group90K21", "90K²¹"), =HYPERLINK("CSG8.html#group45A8", "45A⁸"), =HYPERLINK("CSG18.html#group90D18", "90D¹⁸"), =HYPERLINK("CSG20.html#group225D20", "225D²⁰"), =HYPERLINK("CSG15.html#group60C15", "60C¹⁵"), =HYPERLINK("CSG21.html#group60A21", "60A²¹"), =HYPERLINK("CSG5.html#group30G5", "30G⁵"), =HYPERLINK("CSG21.html#group60L21", "60L²¹"), =HYPERLINK("CSG17.html#group60Y17", "60Y¹⁷"), =HYPERLINK("CSG11.html#group30H11", "30H¹¹"), =HYPERLINK("CSG20.html#group150C20", "150C²⁰"), =HYPERLINK("CSG11.html#group120B11", "120B¹¹"), =HYPERLINK("CSG5.html#group30O5", "30O⁵"), =HYPERLINK("CSG9.html#group60I9", "60I⁹"), =HYPERLINK("CSG15.html#group45C15", "45C¹⁵"), =HYPERLINK("CSG9.html#group60E9", "60E⁹"), =HYPERLINK("CSG14.html#group105D14", "105D¹⁴"), =HYPERLINK("CSG13.html#group60W13", "60W¹³"), =HYPERLINK("CSG15.html#group60G15", "60G¹⁵"), =HYPERLINK("CSG21.html#group90N21", "90N²¹"), =HYPERLINK("CSG17.html#group15A17", "15A¹⁷"), =HYPERLINK("CSG21.html#group105D21", "105D²¹"), =HYPERLINK("CSG23.html#group120F23", "120F²³"), =HYPERLINK("CSG21.html#group120H21", "120H²¹"), =HYPERLINK("CSG23.html#group150B23", "150B²³"), =HYPERLINK("CSG13.html#group120F13", "120F¹³"), =HYPERLINK("CSG17.html#group120A17", "120A¹⁷"), =HYPERLINK("CSG9.html#group30I9", "30I⁹"), =HYPERLINK("CSG11.html#group60Q11", "60Q¹¹"), =HYPERLINK("CSG13.html#group60Q13", "60Q¹³"), =HYPERLINK("CSG3.html#group60B3", "60B³"), =HYPERLINK("CSG20.html#group225C20", "225C²⁰"), =HYPERLINK("CSG21.html#group60Q21", "60Q²¹"), =HYPERLINK("CSG23.html#group30B23", "30B²³"), =HYPERLINK("CSG18.html#group45A18", "45A¹⁸"), =HYPERLINK("CSG21.html#group60X21", "60X²¹"), =HYPERLINK("CSG14.html#group150A14", "150A¹⁴"), =HYPERLINK("CSG24.html#group90C24", "90C²⁴"), =HYPERLINK("CSG13.html#group60N13", "60N¹³"), =HYPERLINK("CSG12.html#group210A12", "210A¹²"), =HYPERLINK("CSG13.html#group180C13", "180C¹³"), =HYPERLINK("CSG17.html#group90E17", "90E¹⁷"), =HYPERLINK("CSG23.html#group210D23", "210D²³"), =HYPERLINK("CSG7.html#group30R7", "30R⁷"), =HYPERLINK("CSG15.html#group120F15", "120F¹⁵"), =HYPERLINK("CSG5.html#group30H5", "30H⁵"), =HYPERLINK("CSG5.html#group30R5", "30R⁵"), =HYPERLINK("CSG23.html#group120Q23", "120Q²³"), =HYPERLINK("CSG3.html#group15E3", "15E³"), =HYPERLINK("CSG19.html#group15B19", "15B¹⁹"), =HYPERLINK("CSG4.html#group30H4", "30H⁴"), =HYPERLINK("CSG2.html#group45A2", "45A²"), =HYPERLINK("CSG6.html#group60F6", "60F⁶"), =HYPERLINK("CSG9.html#group60L9", "60L⁹"), =HYPERLINK("CSG11.html#group60N11", "60N¹¹"), =HYPERLINK("CSG9.html#group30R9", "30R⁹"), =HYPERLINK("CSG23.html#group255A23", "255A²³"), =HYPERLINK("CSG19.html#group45I19", "45I¹⁹"), =HYPERLINK("CSG13.html#group30K13", "30K¹³"), =HYPERLINK("CSG15.html#group210C15", "210C¹⁵"), =HYPERLINK("CSG8.html#group75A8", "75A⁸"), =HYPERLINK("CSG5.html#group30F5", "30F⁵"), =HYPERLINK("CSG23.html#group60O23", "60O²³"), =HYPERLINK("CSG15.html#group90I15", "90I¹⁵"), =HYPERLINK("CSG8.html#group90B8", "90B⁸"), =HYPERLINK("CSG22.html#group90E22", "90E²²"), =HYPERLINK("CSG13.html#group180F13", "180F¹³"), =HYPERLINK("CSG23.html#group210A23", "210A²³"), =HYPERLINK("CSG13.html#group180E13", "180E¹³"), =HYPERLINK("CSG15.html#group60AG15", "60AG¹⁵"), =HYPERLINK("CSG17.html#group60N17", "60N¹⁷"), =HYPERLINK("CSG2.html#group15B2", "15B²"), =HYPERLINK("CSG21.html#group60F21", "60F²¹"), =HYPERLINK("CSG11.html#group60P11", "60P¹¹"), =HYPERLINK("CSG21.html#group120N21", "120N²¹"), =HYPERLINK("CSG21.html#group210A21", "210A²¹"), =HYPERLINK("CSG13.html#group60T13", "60T¹³"), =HYPERLINK("CSG11.html#group30I11", "30I¹¹"), =HYPERLINK("CSG21.html#group120K21", "120K²¹"), =HYPERLINK("CSG13.html#group60AB13", "60AB¹³"), =HYPERLINK("CSG11.html#group30G11", "30G¹¹"), =HYPERLINK("CSG13.html#group45N13", "45N¹³"), =HYPERLINK("CSG21.html#group30H21", "30H²¹"), =HYPERLINK("CSG18.html#group210F18", "210F¹⁸"), =HYPERLINK("CSG21.html#group240D21", "240D²¹"), =HYPERLINK("CSG19.html#group120H19", "120H¹⁹"), =HYPERLINK("CSG10.html#group75A10", "75A¹⁰"), =HYPERLINK("CSG12.html#group75C12", "75C¹²"), =HYPERLINK("CSG3.html#group30I3", "30I³"), =HYPERLINK("CSG9.html#group60F9", "60F⁹"), =HYPERLINK("CSG9.html#group120E9", "120E⁹"), =HYPERLINK("CSG14.html#group75A14", "75A¹⁴"), =HYPERLINK("CSG14.html#group150C14", "150C¹⁴"), =HYPERLINK("CSG11.html#group90K11", "90K¹¹"), =HYPERLINK("CSG4.html#group75A4", "75A⁴"), =HYPERLINK("CSG9.html#group30G9", "30G⁹"), =HYPERLINK("CSG19.html#group75C19", "75C¹⁹"), =HYPERLINK("CSG21.html#group60D21", "60D²¹"), =HYPERLINK("CSG13.html#group60Z13", "60Z¹³"), =HYPERLINK("CSG13.html#group180B13", "180B¹³"), =HYPERLINK("CSG21.html#group60G21", "60G²¹"), =HYPERLINK("CSG21.html#group120M21", "120M²¹"), =HYPERLINK("CSG13.html#group60Y13", "60Y¹³"), =HYPERLINK("CSG13.html#group90I13", "90I¹³"), =HYPERLINK("CSG17.html#group60U17", "60U¹⁷"), =HYPERLINK("CSG4.html#group45C4", "45C⁴"), =HYPERLINK("CSG9.html#group45E9", "45E⁹"), =HYPERLINK("CSG23.html#group45D23", "45D²³"), =HYPERLINK("CSG15.html#group150D15", "150D¹⁵"), =HYPERLINK("CSG23.html#group180M23", "180M²³"), =HYPERLINK("CSG7.html#group60Q7", "60Q⁷"), =HYPERLINK("CSG21.html#group60C21", "60C²¹"), =HYPERLINK("CSG15.html#group90J15", "90J¹⁵"), =HYPERLINK("CSG17.html#group120J17", "120J¹⁷"), =HYPERLINK("CSG10.html#group90E10", "90E¹⁰"), =HYPERLINK("CSG13.html#group75B13", "75B¹³"), =HYPERLINK("CSG13.html#group180D13", "180D¹³"), =HYPERLINK("CSG3.html#group60D3", "60D³"), =HYPERLINK("CSG23.html#group60Q23", "60Q²³"), =HYPERLINK("CSG13.html#group45K13", "45K¹³"), =HYPERLINK("CSG5.html#group30P5", "30P⁵"), =HYPERLINK("CSG11.html#group60T11", "60T¹¹"), =HYPERLINK("CSG12.html#group150E12", "150E¹²"), =HYPERLINK("CSG17.html#group120B17", "120B¹⁷"), =HYPERLINK("CSG23.html#group120B23", "120B²³"), =HYPERLINK("CSG12.html#group75B12", "75B¹²"), =HYPERLINK("CSG7.html#group90D7", "90D⁷"), =HYPERLINK("CSG15.html#group60A15", "60A¹⁵"), =HYPERLINK("CSG6.html#group30D6", "30D⁶"), =HYPERLINK("CSG9.html#group60K9", "60K⁹"), =HYPERLINK("CSG9.html#group30J9", "30J⁹"), =HYPERLINK("CSG11.html#group45H11", "45H¹¹"), =HYPERLINK("CSG19.html#group120S19", "120S¹⁹"), =HYPERLINK("CSG23.html#group120I23", "120I²³"), =HYPERLINK("CSG11.html#group30K11", "30K¹¹"), =HYPERLINK("CSG23.html#group60S23", "60S²³"), =HYPERLINK("CSG13.html#group120H13", "120H¹³"), =HYPERLINK("CSG17.html#group60V17", "60V¹⁷"), =HYPERLINK("CSG19.html#group120G19", "120G¹⁹"), =HYPERLINK("CSG11.html#group30B11", "30B¹¹"), =HYPERLINK("CSG12.html#group150C12", "150C¹²"), =HYPERLINK("CSG16.html#group105C16", "105C¹⁶"), =HYPERLINK("CSG21.html#group120I21", "120I²¹"), =HYPERLINK("CSG11.html#group60D11", "60D¹¹"), =HYPERLINK("CSG5.html#group60C5", "60C⁵"), =HYPERLINK("CSG19.html#group30C19", "30C¹⁹"), =HYPERLINK("CSG21.html#group60W21", "60W²¹"), =HYPERLINK("CSG19.html#group120Q19", "120Q¹⁹"), =HYPERLINK("CSG7.html#group60N7", "60N⁷"), =HYPERLINK("CSG21.html#group90L21", "90L²¹"), =HYPERLINK("CSG15.html#group60H15", "60H¹⁵"), =HYPERLINK("CSG22.html#group90H22", "90H²²"), =HYPERLINK("CSG9.html#group120D9", "120D⁹"), =HYPERLINK("CSG23.html#group240A23", "240A²³"), =HYPERLINK("CSG7.html#group60S7", "60S⁷"), =HYPERLINK("CSG19.html#group75D19", "75D¹⁹"), =HYPERLINK("CSG13.html#group120E13", "120E¹³"), =HYPERLINK("CSG13.html#group90G13", "90G¹³"), =HYPERLINK("CSG17.html#group120L17", "120L¹⁷"), =HYPERLINK("CSG9.html#group90G9", "90G⁹"), =HYPERLINK("CSG7.html#group90C7", "90C⁷"), =HYPERLINK("CSG21.html#group105B21", "105B²¹"), =HYPERLINK("CSG5.html#group30E5", "30E⁵"), =HYPERLINK("CSG14.html#group150B14", "150B¹⁴"), =HYPERLINK("CSG23.html#group150D23", "150D²³"), =HYPERLINK("CSG15.html#group60E15", "60E¹⁵"), =HYPERLINK("CSG15.html#group150C15", "150C¹⁵"), =HYPERLINK("CSG13.html#group60AF13", "60AF¹³"), =HYPERLINK("CSG21.html#group120J21", "120J²¹"), =HYPERLINK("CSG1.html#group30C1", "30C¹"), =HYPERLINK("CSG1.html#group15E1", "15E¹"), =HYPERLINK("CSG12.html#group150B12", "150B¹²"), =HYPERLINK("CSG11.html#group30J11", "30J¹¹"), =HYPERLINK("CSG15.html#group90N15", "90N¹⁵"), =HYPERLINK("CSG24.html#group315A24", "315A²⁴"), =HYPERLINK("CSG17.html#group90G17", "90G¹⁷"), =HYPERLINK("CSG10.html#group150A10", "150A¹⁰"), =HYPERLINK("CSG15.html#group90K15", "90K¹⁵"), =HYPERLINK("CSG11.html#group120C11", "120C¹¹"), =HYPERLINK("CSG22.html#group45B22", "45B²²"), =HYPERLINK("CSG13.html#group30D13", "30D¹³"), =HYPERLINK("CSG17.html#group90A17", "90A¹⁷"), =HYPERLINK("CSG24.html#group180A24", "180A²⁴"), =HYPERLINK("CSG17.html#group105C17", "105C¹⁷"), =HYPERLINK("CSG17.html#group90C17", "90C¹⁷"), =HYPERLINK("CSG19.html#group45G19", "45G¹⁹"), =HYPERLINK("CSG19.html#group120O19", "120O¹⁹"), =HYPERLINK("CSG17.html#group120P17", "120P¹⁷"), =HYPERLINK("CSG13.html#group60S13", "60S¹³"), =HYPERLINK("CSG6.html#group105C6", "105C⁶"), =HYPERLINK("CSG11.html#group60S11", "60S¹¹"), =HYPERLINK("CSG24.html#group75B24", "75B²⁴"), =HYPERLINK("CSG9.html#group30K9", "30K⁹"), =HYPERLINK("CSG7.html#group45B7", "45B⁷"), =HYPERLINK("CSG13.html#group60O13", "60O¹³"), =HYPERLINK("CSG6.html#group75D6", "75D⁶"), =HYPERLINK("CSG11.html#group105B11", "105B¹¹"), =HYPERLINK("CSG22.html#group90G22", "90G²²"), =HYPERLINK("CSG23.html#group240B23", "240B²³"), =HYPERLINK("CSG17.html#group105A17", "105A¹⁷"), =HYPERLINK("CSG19.html#group90J19", "90J¹⁹"), =HYPERLINK("CSG17.html#group90B17", "90B¹⁷"), =HYPERLINK("CSG24.html#group330D24", "330D²⁴"), =HYPERLINK("CSG20.html#group90G20", "90G²⁰"), =HYPERLINK("CSG13.html#group60AD13", "60AD¹³"), =HYPERLINK("CSG14.html#group75D14", "75D¹⁴"), =HYPERLINK("CSG21.html#group30B21", "30B²¹"), =HYPERLINK("CSG13.html#group60AK13", "60AK¹³"), =HYPERLINK("CSG17.html#group195A17", "195A¹⁷"), =HYPERLINK("CSG5.html#group90A5", "90A⁵"), =HYPERLINK("CSG13.html#group30Q13", "30Q¹³"), =HYPERLINK("CSG21.html#group180J21", "180J²¹"), =HYPERLINK("CSG7.html#group60M7", "60M⁷"), =HYPERLINK("CSG17.html#group90I17", "90I¹⁷"), =HYPERLINK("CSG13.html#group60AC13", "60AC¹³"), =HYPERLINK("CSG11.html#group60V11", "60V¹¹"), =HYPERLINK("CSG13.html#group150F13", "150F¹³"), =HYPERLINK("CSG4.html#group30I4", "30I⁴"), =HYPERLINK("CSG23.html#group30C23", "30C²³"), =HYPERLINK("CSG17.html#group90J17", "90J¹⁷"), =HYPERLINK("CSG24.html#group90A24", "90A²⁴"), =HYPERLINK("CSG13.html#group75D13", "75D¹³"), =HYPERLINK("CSG21.html#group60O21", "60O²¹"), =HYPERLINK("CSG8.html#group60A8", "60A⁸"), =HYPERLINK("CSG2.html#group30C2", "30C²"), =HYPERLINK("CSG11.html#group60E11", "60E¹¹"), =HYPERLINK("CSG16.html#group30C16", "30C¹⁶"), =HYPERLINK("CSG23.html#group30L23", "30L²³"), =HYPERLINK("CSG15.html#group210D15", "210D¹⁵"), =HYPERLINK("CSG6.html#group45D6", "45D⁶"), =HYPERLINK("CSG15.html#group90L15", "90L¹⁵"), =HYPERLINK("CSG11.html#group60O11", "60O¹¹"), =HYPERLINK("CSG15.html#group120H15", "120H¹⁵"), =HYPERLINK("CSG11.html#group120D11", "120D¹¹"), =HYPERLINK("CSG1.html#group15H1", "15H¹"), =HYPERLINK("CSG20.html#group180H20", "180H²⁰"), =HYPERLINK("CSG1.html#group30D1", "30D¹"), =HYPERLINK("CSG17.html#group90F17", "90F¹⁷"), =HYPERLINK("CSG9.html#group60M9", "60M⁹"), =HYPERLINK("CSG15.html#group60K15", "60K¹⁵"), =HYPERLINK("CSG15.html#group150B15", "150B¹⁵"), =HYPERLINK("CSG21.html#group60M21", "60M²¹"), =HYPERLINK("CSG17.html#group60X17", "60X¹⁷"), =HYPERLINK("CSG17.html#group30I17", "30I¹⁷"), =HYPERLINK("CSG13.html#group30J13", "30J¹³"), =HYPERLINK("CSG21.html#group105C21", "105C²¹"), =HYPERLINK("CSG3.html#group30L3", "30L³"), =HYPERLINK("CSG15.html#group90O15", "90O¹⁵"), =HYPERLINK("CSG17.html#group120M17", "120M¹⁷"), =HYPERLINK("CSG21.html#group60K21", "60K²¹"), =HYPERLINK("CSG23.html#group120A23", "120A²³"), =HYPERLINK("CSG22.html#group180D22", "180D²²"), =HYPERLINK("CSG23.html#group210E23", "210E²³"), =HYPERLINK("CSG20.html#group150A20", "150A²⁰"), =HYPERLINK("CSG11.html#group90I11", "90I¹¹"), =HYPERLINK("CSG13.html#group75C13", "75C¹³"), =HYPERLINK("CSG21.html#group60E21", "60E²¹"), =HYPERLINK("CSG17.html#group120I17", "120I¹⁷"), =HYPERLINK("CSG17.html#group30G17", "30G¹⁷"), =HYPERLINK("CSG21.html#group180I21", "180I²¹"), =HYPERLINK("CSG23.html#group90B23", "90B²³"), =HYPERLINK("CSG23.html#group30J23", "30J²³"), =HYPERLINK("CSG13.html#group60U13", "60U¹³"), =HYPERLINK("CSG20.html#group150B20", "150B²⁰"), =HYPERLINK("CSG0.html#group30A0", "30A⁰"), =HYPERLINK("CSG5.html#group30C5", "30C⁵"), =HYPERLINK("CSG6.html#group90B6", "90B⁶"), =HYPERLINK("CSG16.html#group210H16", "210H¹⁶"), =HYPERLINK("CSG21.html#group150A21", "150A²¹"), =HYPERLINK("CSG13.html#group90F13", "90F¹³"), =HYPERLINK("CSG21.html#group90I21", "90I²¹"), =HYPERLINK("CSG15.html#group60N15", "60N¹⁵"), =HYPERLINK("CSG24.html#group90B24", "90B²⁴"), =HYPERLINK("CSG9.html#group60N9", "60N⁹"), =HYPERLINK("CSG15.html#group120J15", "120J¹⁵"), =HYPERLINK("CSG13.html#group30L13", "30L¹³"), =HYPERLINK("CSG23.html#group60N23", "60N²³"), =HYPERLINK("CSG13.html#group60R13", "60R¹³"), =HYPERLINK("CSG13.html#group90E13", "90E¹³"), =HYPERLINK("CSG15.html#group60J15", "60J¹⁵"), =HYPERLINK("CSG15.html#group60B15", "60B¹⁵"), =HYPERLINK("CSG22.html#group105D22", "105D²²"), =HYPERLINK("CSG11.html#group90H11", "90H¹¹"), =HYPERLINK("CSG21.html#group30G21", "30G²¹"), =HYPERLINK("CSG19.html#group120R19", "120R¹⁹"), =HYPERLINK("CSG18.html#group225A18", "225A¹⁸"), =HYPERLINK("CSG0.html#group15C0", "15C⁰"), =HYPERLINK("CSG17.html#group90D17", "90D¹⁷"), =HYPERLINK("CSG18.html#group45C18", "45C¹⁸"), =HYPERLINK("CSG9.html#group15C9", "15C⁹"), =HYPERLINK("CSG15.html#group120E15", "120E¹⁵"), =HYPERLINK("CSG4.html#group90A4", "90A⁴"), =HYPERLINK("CSG13.html#group60X13", "60X¹³"), =HYPERLINK("CSG14.html#group150D14", "150D¹⁴"), =HYPERLINK("CSG13.html#group150D13", "150D¹³"), =HYPERLINK("CSG13.html#group90H13", "90H¹³"), =HYPERLINK("CSG3.html#group15F3", "15F³"), =HYPERLINK("CSG13.html#group120J13", "120J¹³"), =HYPERLINK("CSG12.html#group150D12", "150D¹²"), =HYPERLINK("CSG9.html#group120C9", "120C⁹"), =HYPERLINK("CSG20.html#group105A20", "105A²⁰"), =HYPERLINK("CSG16.html#group150A16", "150A¹⁶"), =HYPERLINK("CSG2.html#group30E2", "30E²"), =HYPERLINK("CSG5.html#group15C5", "15C⁵"), =HYPERLINK("CSG9.html#group120F9", "120F⁹"), =HYPERLINK("CSG15.html#group60D15", "60D¹⁵"), =HYPERLINK("CSG18.html#group210G18", "210G¹⁸"), =HYPERLINK("CSG19.html#group120P19", "120P¹⁹"), =HYPERLINK("CSG13.html#group60V13", "60V¹³"), =HYPERLINK("CSG15.html#group60O15", "60O¹⁵")</f>
        <v/>
      </c>
    </row>
    <row r="96">
      <c r="A96" t="inlineStr">
        <is>
          <t>15C⁰</t>
        </is>
      </c>
      <c r="B96" t="inlineStr"/>
      <c r="C96" t="inlineStr">
        <is>
          <t>36</t>
        </is>
      </c>
      <c r="D96" t="inlineStr">
        <is>
          <t>1</t>
        </is>
      </c>
      <c r="E96" t="inlineStr">
        <is>
          <t>18</t>
        </is>
      </c>
      <c r="F96" t="inlineStr">
        <is>
          <t>8</t>
        </is>
      </c>
      <c r="G96" t="inlineStr">
        <is>
          <t>0</t>
        </is>
      </c>
      <c r="H96" t="inlineStr">
        <is>
          <t>3², 15²</t>
        </is>
      </c>
      <c r="I96" t="n">
        <v>4</v>
      </c>
      <c r="J96" t="inlineStr">
        <is>
          <t>1², 2², 4¹, 8¹</t>
        </is>
      </c>
      <c r="K96">
        <f>HYPERLINK("CSG0.html#group15B0", "15B⁰")</f>
        <v/>
      </c>
      <c r="L96">
        <f>HYPERLINK("CSG1.html#group15H1", "15H¹"), =HYPERLINK("CSG1.html#group30D1", "30D¹"), =HYPERLINK("CSG3.html#group15F3", "15F³"), =HYPERLINK("CSG3.html#group30L3", "30L³"), =HYPERLINK("CSG4.html#group30I4", "30I⁴"), =HYPERLINK("CSG4.html#group45C4", "45C⁴"), =HYPERLINK("CSG5.html#group30F5", "30F⁵"), =HYPERLINK("CSG6.html#group45D6", "45D⁶"), =HYPERLINK("CSG7.html#group60Q7", "60Q⁷"), =HYPERLINK("CSG8.html#group15B8", "15B⁸"), =HYPERLINK("CSG8.html#group75A8", "75A⁸"), =HYPERLINK("CSG12.html#group75C12", "75C¹²"), =HYPERLINK("CSG12.html#group75B12", "75B¹²"), =HYPERLINK("CSG12.html#group75D12", "75D¹²"), =HYPERLINK("CSG12.html#group75A12", "75A¹²"), =HYPERLINK("CSG14.html#group105E14", "105E¹⁴"), =HYPERLINK("CSG21.html#group105C21", "105C²¹")</f>
        <v/>
      </c>
      <c r="M96">
        <f>HYPERLINK("CSG0.html#group3A0", "3A⁰"), =HYPERLINK("CSG0.html#group5B0", "5B⁰"), =HYPERLINK("CSG0.html#group1A0", "1A⁰"), =HYPERLINK("CSG0.html#group15B0", "15B⁰")</f>
        <v/>
      </c>
      <c r="N96">
        <f>HYPERLINK("CSG23.html#group30L23", "30L²³"), =HYPERLINK("CSG12.html#group75A12", "75A¹²"), =HYPERLINK("CSG6.html#group45D6", "45D⁶"), =HYPERLINK("CSG23.html#group120S23", "120S²³"), =HYPERLINK("CSG19.html#group15A19", "15A¹⁹"), =HYPERLINK("CSG14.html#group105E14", "105E¹⁴"), =HYPERLINK("CSG15.html#group90L15", "90L¹⁵"), =HYPERLINK("CSG21.html#group60W21", "60W²¹"), =HYPERLINK("CSG17.html#group60Y17", "60Y¹⁷"), =HYPERLINK("CSG21.html#group60L21", "60L²¹"), =HYPERLINK("CSG23.html#group60Q23", "60Q²³"), =HYPERLINK("CSG11.html#group30H11", "30H¹¹"), =HYPERLINK("CSG1.html#group15H1", "15H¹"), =HYPERLINK("CSG15.html#group45C15", "45C¹⁵"), =HYPERLINK("CSG1.html#group30D1", "30D¹"), =HYPERLINK("CSG12.html#group75B12", "75B¹²"), =HYPERLINK("CSG21.html#group90N21", "90N²¹"), =HYPERLINK("CSG17.html#group15A17", "15A¹⁷"), =HYPERLINK("CSG9.html#group30J9", "30J⁹"), =HYPERLINK("CSG19.html#group120S19", "120S¹⁹"), =HYPERLINK("CSG11.html#group45H11", "45H¹¹"), =HYPERLINK("CSG9.html#group30I9", "30I⁹"), =HYPERLINK("CSG11.html#group30K11", "30K¹¹"), =HYPERLINK("CSG11.html#group60Q11", "60Q¹¹"), =HYPERLINK("CSG23.html#group60S23", "60S²³"), =HYPERLINK("CSG21.html#group60M21", "60M²¹"), =HYPERLINK("CSG17.html#group60X17", "60X¹⁷"), =HYPERLINK("CSG17.html#group30I17", "30I¹⁷"), =HYPERLINK("CSG21.html#group105C21", "105C²¹"), =HYPERLINK("CSG11.html#group60U11", "60U¹¹"), =HYPERLINK("CSG3.html#group30L3", "30L³"), =HYPERLINK("CSG21.html#group60X21", "60X²¹"), =HYPERLINK("CSG15.html#group90O15", "90O¹⁵"), =HYPERLINK("CSG19.html#group30C19", "30C¹⁹"), =HYPERLINK("CSG17.html#group90E17", "90E¹⁷"), =HYPERLINK("CSG7.html#group60N7", "60N⁷"), =HYPERLINK("CSG3.html#group15I3", "15I³"), =HYPERLINK("CSG7.html#group30R7", "30R⁷"), =HYPERLINK("CSG7.html#group60S7", "60S⁷"), =HYPERLINK("CSG5.html#group30R5", "30R⁵"), =HYPERLINK("CSG9.html#group90G9", "90G⁹"), =HYPERLINK("CSG23.html#group120Q23", "120Q²³"), =HYPERLINK("CSG12.html#group75D12", "75D¹²"), =HYPERLINK("CSG23.html#group150D23", "150D²³"), =HYPERLINK("CSG17.html#group30G17", "30G¹⁷"), =HYPERLINK("CSG23.html#group30J23", "30J²³"), =HYPERLINK("CSG15.html#group90M15", "90M¹⁵"), =HYPERLINK("CSG21.html#group150A21", "150A²¹"), =HYPERLINK("CSG9.html#group30R9", "30R⁹"), =HYPERLINK("CSG19.html#group45I19", "45I¹⁹"), =HYPERLINK("CSG23.html#group120R23", "120R²³"), =HYPERLINK("CSG9.html#group60N9", "60N⁹"), =HYPERLINK("CSG16.html#group45E16", "45E¹⁶"), =HYPERLINK("CSG8.html#group75A8", "75A⁸"), =HYPERLINK("CSG5.html#group30F5", "30F⁵"), =HYPERLINK("CSG19.html#group120O19", "120O¹⁹"), =HYPERLINK("CSG13.html#group60R13", "60R¹³"), =HYPERLINK("CSG13.html#group90E13", "90E¹³"), =HYPERLINK("CSG23.html#group60O23", "60O²³"), =HYPERLINK("CSG22.html#group90E22", "90E²²"), =HYPERLINK("CSG19.html#group120N19", "120N¹⁹"), =HYPERLINK("CSG17.html#group60N17", "60N¹⁷"), =HYPERLINK("CSG9.html#group30K9", "30K⁹"), =HYPERLINK("CSG21.html#group30G21", "30G²¹"), =HYPERLINK("CSG19.html#group120R19", "120R¹⁹"), =HYPERLINK("CSG9.html#group15C9", "15C⁹"), =HYPERLINK("CSG18.html#group45C18", "45C¹⁸"), =HYPERLINK("CSG21.html#group45E21", "45E²¹"), =HYPERLINK("CSG12.html#group75C12", "75C¹²"), =HYPERLINK("CSG21.html#group30H21", "30H²¹"), =HYPERLINK("CSG13.html#group45N13", "45N¹³"), =HYPERLINK("CSG20.html#group90G20", "90G²⁰"), =HYPERLINK("CSG9.html#group45F9", "45F⁹"), =HYPERLINK("CSG17.html#group75E17", "75E¹⁷"), =HYPERLINK("CSG21.html#group30B21", "30B²¹"), =HYPERLINK("CSG15.html#group60F15", "60F¹⁵"), =HYPERLINK("CSG13.html#group60AK13", "60AK¹³"), =HYPERLINK("CSG13.html#group90H13", "90H¹³"), =HYPERLINK("CSG3.html#group15F3", "15F³"), =HYPERLINK("CSG13.html#group30Q13", "30Q¹³"), =HYPERLINK("CSG11.html#group90K11", "90K¹¹"), =HYPERLINK("CSG19.html#group75C19", "75C¹⁹"), =HYPERLINK("CSG7.html#group60M7", "60M⁷"), =HYPERLINK("CSG21.html#group60D21", "60D²¹"), =HYPERLINK("CSG13.html#group30I13", "30I¹³"), =HYPERLINK("CSG21.html#group60G21", "60G²¹"), =HYPERLINK("CSG13.html#group60AC13", "60AC¹³"), =HYPERLINK("CSG5.html#group15C5", "15C⁵"), =HYPERLINK("CSG23.html#group60P23", "60P²³"), =HYPERLINK("CSG9.html#group30Q9", "30Q⁹"), =HYPERLINK("CSG17.html#group30H17", "30H¹⁷"), =HYPERLINK("CSG4.html#group30I4", "30I⁴"), =HYPERLINK("CSG17.html#group60U17", "60U¹⁷"), =HYPERLINK("CSG4.html#group45C4", "45C⁴"), =HYPERLINK("CSG7.html#group60Q7", "60Q⁷"), =HYPERLINK("CSG15.html#group45B15", "45B¹⁵"), =HYPERLINK("CSG9.html#group45E9", "45E⁹"), =HYPERLINK("CSG23.html#group45D23", "45D²³"), =HYPERLINK("CSG8.html#group15B8", "15B⁸"), =HYPERLINK("CSG21.html#group60C21", "60C²¹"), =HYPERLINK("CSG17.html#group90H17", "90H¹⁷")</f>
        <v/>
      </c>
    </row>
    <row r="97">
      <c r="A97" t="inlineStr">
        <is>
          <t>16A⁰</t>
        </is>
      </c>
      <c r="B97" t="inlineStr"/>
      <c r="C97" t="inlineStr">
        <is>
          <t>16</t>
        </is>
      </c>
      <c r="D97" t="inlineStr">
        <is>
          <t>2</t>
        </is>
      </c>
      <c r="E97" t="inlineStr">
        <is>
          <t>8</t>
        </is>
      </c>
      <c r="F97" t="inlineStr">
        <is>
          <t>2</t>
        </is>
      </c>
      <c r="G97" t="inlineStr">
        <is>
          <t>4</t>
        </is>
      </c>
      <c r="H97" t="inlineStr">
        <is>
          <t>16¹</t>
        </is>
      </c>
      <c r="I97" t="n">
        <v>1</v>
      </c>
      <c r="J97" t="inlineStr">
        <is>
          <t>8²</t>
        </is>
      </c>
      <c r="K97">
        <f>HYPERLINK("CSG0.html#group8A0", "8A⁰")</f>
        <v/>
      </c>
      <c r="L97">
        <f>HYPERLINK("CSG0.html#group16F0", "16F⁰"), =HYPERLINK("CSG2.html#group16H2", "16H²"), =HYPERLINK("CSG3.html#group16G3", "16G³"), =HYPERLINK("CSG3.html#group48A3", "48A³"), =HYPERLINK("CSG4.html#group48A4", "48A⁴"), =HYPERLINK("CSG4.html#group80A4", "80A⁴"), =HYPERLINK("CSG7.html#group80B7", "80B⁷"), =HYPERLINK("CSG7.html#group112C7", "112C⁷"), =HYPERLINK("CSG7.html#group112D7", "112D⁷"), =HYPERLINK("CSG8.html#group112A8", "112A⁸"), =HYPERLINK("CSG11.html#group80F11", "80F¹¹"), =HYPERLINK("CSG11.html#group176A11", "176A¹¹"), =HYPERLINK("CSG11.html#group176B11", "176B¹¹"), =HYPERLINK("CSG15.html#group208B15", "208B¹⁵"), =HYPERLINK("CSG16.html#group176A16", "176A¹⁶"), =HYPERLINK("CSG23.html#group272B23", "272B²³"), =HYPERLINK("CSG24.html#group304A24", "304A²⁴")</f>
        <v/>
      </c>
      <c r="M97">
        <f>HYPERLINK("CSG0.html#group8A0", "8A⁰"), =HYPERLINK("CSG0.html#group1A0", "1A⁰"), =HYPERLINK("CSG0.html#group4A0", "4A⁰")</f>
        <v/>
      </c>
      <c r="N97">
        <f>HYPERLINK("CSG7.html#group112C7", "112C⁷"), =HYPERLINK("CSG11.html#group16A11", "16A¹¹"), =HYPERLINK("CSG7.html#group80B7", "80B⁷"), =HYPERLINK("CSG11.html#group176A11", "176A¹¹"), =HYPERLINK("CSG23.html#group272B23", "272B²³"), =HYPERLINK("CSG19.html#group80K19", "80K¹⁹"), =HYPERLINK("CSG14.html#group48A14", "48A¹⁴"), =HYPERLINK("CSG23.html#group80E23", "80E²³"), =HYPERLINK("CSG6.html#group32G6", "32G⁶"), =HYPERLINK("CSG24.html#group176A24", "176A²⁴"), =HYPERLINK("CSG22.html#group144J22", "144J²²"), =HYPERLINK("CSG22.html#group48A22", "48A²²"), =HYPERLINK("CSG18.html#group80D18", "80D¹⁸"), =HYPERLINK("CSG2.html#group16H2", "16H²"), =HYPERLINK("CSG15.html#group144A15", "144A¹⁵"), =HYPERLINK("CSG19.html#group240A19", "240A¹⁹"), =HYPERLINK("CSG4.html#group48I4", "48I⁴"), =HYPERLINK("CSG5.html#group16K5", "16K⁵"), =HYPERLINK("CSG16.html#group112B16", "112B¹⁶"), =HYPERLINK("CSG9.html#group16I9", "16I⁹"), =HYPERLINK("CSG11.html#group16B11", "16B¹¹"), =HYPERLINK("CSG22.html#group80A22", "80A²²"), =HYPERLINK("CSG11.html#group16E11", "16E¹¹"), =HYPERLINK("CSG8.html#group112A8", "112A⁸"), =HYPERLINK("CSG12.html#group48A12", "48A¹²"), =HYPERLINK("CSG23.html#group144V23", "144V²³"), =HYPERLINK("CSG15.html#group112L15", "112L¹⁵"), =HYPERLINK("CSG21.html#group16D21", "16D²¹"), =HYPERLINK("CSG14.html#group112F14", "112F¹⁴"), =HYPERLINK("CSG20.html#group48H20", "48H²⁰"), =HYPERLINK("CSG21.html#group80AG21", "80AG²¹"), =HYPERLINK("CSG14.html#group64I14", "64I¹⁴"), =HYPERLINK("CSG3.html#group16G3", "16G³"), =HYPERLINK("CSG24.html#group336D24", "336D²⁴"), =HYPERLINK("CSG15.html#group80B15", "80B¹⁵"), =HYPERLINK("CSG24.html#group240A24", "240A²⁴"), =HYPERLINK("CSG24.html#group336C24", "336C²⁴"), =HYPERLINK("CSG13.html#group48R13", "48R¹³"), =HYPERLINK("CSG13.html#group48U13", "48U¹³"), =HYPERLINK("CSG21.html#group16F21", "16F²¹"), =HYPERLINK("CSG23.html#group32G23", "32G²³"), =HYPERLINK("CSG21.html#group144N21", "144N²¹"), =HYPERLINK("CSG7.html#group48J7", "48J⁷"), =HYPERLINK("CSG15.html#group240A15", "240A¹⁵"), =HYPERLINK("CSG0.html#group16F0", "16F⁰"), =HYPERLINK("CSG23.html#group144S23", "144S²³"), =HYPERLINK("CSG4.html#group48A4", "48A⁴"), =HYPERLINK("CSG15.html#group80D15", "80D¹⁵"), =HYPERLINK("CSG11.html#group80F11", "80F¹¹"), =HYPERLINK("CSG16.html#group176A16", "176A¹⁶"), =HYPERLINK("CSG15.html#group112J15", "112J¹⁵"), =HYPERLINK("CSG20.html#group48I20", "48I²⁰"), =HYPERLINK("CSG8.html#group48A8", "48A⁸"), =HYPERLINK("CSG21.html#group48BX21", "48BX²¹"), =HYPERLINK("CSG4.html#group80A4", "80A⁴"), =HYPERLINK("CSG22.html#group144N22", "144N²²"), =HYPERLINK("CSG6.html#group16B6", "16B⁶"), =HYPERLINK("CSG15.html#group48D15", "48D¹⁵"), =HYPERLINK("CSG20.html#group144F20", "144F²⁰"), =HYPERLINK("CSG21.html#group32X21", "32X²¹"), =HYPERLINK("CSG15.html#group208B15", "208B¹⁵"), =HYPERLINK("CSG10.html#group48F10", "48F¹⁰"), =HYPERLINK("CSG21.html#group32I21", "32I²¹"), =HYPERLINK("CSG24.html#group144A24", "144A²⁴"), =HYPERLINK("CSG7.html#group48L7", "48L⁷"), =HYPERLINK("CSG3.html#group48A3", "48A³"), =HYPERLINK("CSG10.html#group16B10", "16B¹⁰"), =HYPERLINK("CSG21.html#group240B21", "240B²¹"), =HYPERLINK("CSG15.html#group48B15", "48B¹⁵"), =HYPERLINK("CSG20.html#group144E20", "144E²⁰"), =HYPERLINK("CSG22.html#group48C22", "48C²²"), =HYPERLINK("CSG23.html#group32A23", "32A²³"), =HYPERLINK("CSG21.html#group16B21", "16B²¹"), =HYPERLINK("CSG13.html#group80B13", "80B¹³"), =HYPERLINK("CSG24.html#group304A24", "304A²⁴"), =HYPERLINK("CSG15.html#group112I15", "112I¹⁵"), =HYPERLINK("CSG11.html#group16D11", "16D¹¹"), =HYPERLINK("CSG19.html#group48T19", "48T¹⁹"), =HYPERLINK("CSG19.html#group16A19", "16A¹⁹"), =HYPERLINK("CSG21.html#group80AI21", "80AI²¹"), =HYPERLINK("CSG24.html#group32C24", "32C²⁴"), =HYPERLINK("CSG11.html#group176B11", "176B¹¹"), =HYPERLINK("CSG6.html#group48H6", "48H⁶"), =HYPERLINK("CSG8.html#group80E8", "80E⁸"), =HYPERLINK("CSG16.html#group144A16", "144A¹⁶"), =HYPERLINK("CSG10.html#group16C10", "16C¹⁰"), =HYPERLINK("CSG24.html#group32D24", "32D²⁴"), =HYPERLINK("CSG6.html#group16A6", "16A⁶"), =HYPERLINK("CSG23.html#group144T23", "144T²³"), =HYPERLINK("CSG15.html#group240B15", "240B¹⁵"), =HYPERLINK("CSG10.html#group144A10", "144A¹⁰"), =HYPERLINK("CSG23.html#group80B23", "80B²³"), =HYPERLINK("CSG17.html#group48A17", "48A¹⁷"), =HYPERLINK("CSG12.html#group144A12", "144A¹²"), =HYPERLINK("CSG22.html#group144L22", "144L²²"), =HYPERLINK("CSG23.html#group32F23", "32F²³"), =HYPERLINK("CSG14.html#group112E14", "112E¹⁴"), =HYPERLINK("CSG7.html#group112D7", "112D⁷"), =HYPERLINK("CSG21.html#group48BY21", "48BY²¹"), =HYPERLINK("CSG13.html#group32S13", "32S¹³"), =HYPERLINK("CSG5.html#group16J5", "16J⁵"), =HYPERLINK("CSG21.html#group16E21", "16E²¹")</f>
        <v/>
      </c>
    </row>
    <row r="98">
      <c r="A98" t="inlineStr">
        <is>
          <t>16B⁰</t>
        </is>
      </c>
      <c r="B98" t="inlineStr"/>
      <c r="C98" t="inlineStr">
        <is>
          <t>24</t>
        </is>
      </c>
      <c r="D98" t="inlineStr">
        <is>
          <t>1</t>
        </is>
      </c>
      <c r="E98" t="inlineStr">
        <is>
          <t>3</t>
        </is>
      </c>
      <c r="F98" t="inlineStr">
        <is>
          <t>8</t>
        </is>
      </c>
      <c r="G98" t="inlineStr">
        <is>
          <t>0</t>
        </is>
      </c>
      <c r="H98" t="inlineStr">
        <is>
          <t>8¹, 16¹</t>
        </is>
      </c>
      <c r="I98" t="n">
        <v>2</v>
      </c>
      <c r="J98" t="inlineStr">
        <is>
          <t>1³</t>
        </is>
      </c>
      <c r="K98">
        <f>HYPERLINK("CSG0.html#group8B0", "8B⁰")</f>
        <v/>
      </c>
      <c r="L98">
        <f>HYPERLINK("CSG0.html#group48A0", "48A⁰"), =HYPERLINK("CSG1.html#group16F1", "16F¹"), =HYPERLINK("CSG1.html#group16J1", "16J¹"), =HYPERLINK("CSG1.html#group32B1", "32B¹"), =HYPERLINK("CSG3.html#group16B3", "16B³"), =HYPERLINK("CSG3.html#group32D3", "32D³"), =HYPERLINK("CSG7.html#group48C7", "48C⁷"), =HYPERLINK("CSG7.html#group80D7", "80D⁷"), =HYPERLINK("CSG8.html#group80A8", "80A⁸"), =HYPERLINK("CSG8.html#group112B8", "112B⁸"), =HYPERLINK("CSG15.html#group80F15", "80F¹⁵"), =HYPERLINK("CSG15.html#group112C15", "112C¹⁵"), =HYPERLINK("CSG16.html#group176B16", "176B¹⁶"), =HYPERLINK("CSG23.html#group176C23", "176C²³"), =HYPERLINK("CSG23.html#group208B23", "208B²³")</f>
        <v/>
      </c>
      <c r="M98">
        <f>HYPERLINK("CSG0.html#group8B0", "8B⁰"), =HYPERLINK("CSG0.html#group1A0", "1A⁰"), =HYPERLINK("CSG0.html#group2B0", "2B⁰"), =HYPERLINK("CSG0.html#group4C0", "4C⁰")</f>
        <v/>
      </c>
      <c r="N98">
        <f>HYPERLINK("CSG21.html#group96Y21", "96Y²¹"), =HYPERLINK("CSG15.html#group96R15", "96R¹⁵"), =HYPERLINK("CSG24.html#group336I24", "336I²⁴"), =HYPERLINK("CSG17.html#group80AX17", "80AX¹⁷"), =HYPERLINK("CSG19.html#group16B19", "16B¹⁹"), =HYPERLINK("CSG5.html#group32J5", "32J⁵"), =HYPERLINK("CSG16.html#group176B16", "176B¹⁶"), =HYPERLINK("CSG5.html#group96A5", "96A⁵"), =HYPERLINK("CSG21.html#group64Q21", "64Q²¹"), =HYPERLINK("CSG21.html#group32S21", "32S²¹"), =HYPERLINK("CSG9.html#group16K9", "16K⁹"), =HYPERLINK("CSG21.html#group32Y21", "32Y²¹"), =HYPERLINK("CSG17.html#group16B17", "16B¹⁷"), =HYPERLINK("CSG23.html#group224A23", "224A²³"), =HYPERLINK("CSG13.html#group96G13", "96G¹³"), =HYPERLINK("CSG15.html#group96T15", "96T¹⁵"), =HYPERLINK("CSG15.html#group48M15", "48M¹⁵"), =HYPERLINK("CSG13.html#group64K13", "64K¹³"), =HYPERLINK("CSG21.html#group288A21", "288A²¹"), =HYPERLINK("CSG15.html#group96O15", "96O¹⁵"), =HYPERLINK("CSG23.html#group288A23", "288A²³"), =HYPERLINK("CSG21.html#group48J21", "48J²¹"), =HYPERLINK("CSG8.html#group112B8", "112B⁸"), =HYPERLINK("CSG17.html#group48Q17", "48Q¹⁷"), =HYPERLINK("CSG3.html#group16R3", "16R³"), =HYPERLINK("CSG15.html#group96W15", "96W¹⁵"), =HYPERLINK("CSG9.html#group16I9", "16I⁹"), =HYPERLINK("CSG17.html#group80AE17", "80AE¹⁷"), =HYPERLINK("CSG5.html#group48E5", "48E⁵"), =HYPERLINK("CSG17.html#group160G17", "160G¹⁷"), =HYPERLINK("CSG17.html#group96R17", "96R¹⁷"), =HYPERLINK("CSG9.html#group32H9", "32H⁹"), =HYPERLINK("CSG21.html#group48AK21", "48AK²¹"), =HYPERLINK("CSG13.html#group32N13", "32N¹³"), =HYPERLINK("CSG11.html#group32K11", "32K¹¹"), =HYPERLINK("CSG3.html#group16B3", "16B³"), =HYPERLINK("CSG19.html#group112A19", "112A¹⁹"), =HYPERLINK("CSG21.html#group32U21", "32U²¹"), =HYPERLINK("CSG0.html#group48A0", "48A⁰"), =HYPERLINK("CSG15.html#group48L15", "48L¹⁵"), =HYPERLINK("CSG19.html#group96Y19", "96Y¹⁹"), =HYPERLINK("CSG15.html#group48Y15", "48Y¹⁵"), =HYPERLINK("CSG9.html#group32G9", "32G⁹"), =HYPERLINK("CSG17.html#group96Z17", "96Z¹⁷"), =HYPERLINK("CSG13.html#group32G13", "32G¹³"), =HYPERLINK("CSG9.html#group16G9", "16G⁹"), =HYPERLINK("CSG21.html#group32K21", "32K²¹"), =HYPERLINK("CSG9.html#group32K9", "32K⁹"), =HYPERLINK("CSG3.html#group16K3", "16K³"), =HYPERLINK("CSG23.html#group96P23", "96P²³"), =HYPERLINK("CSG19.html#group96AY19", "96AY¹⁹"), =HYPERLINK("CSG7.html#group80D7", "80D⁷"), =HYPERLINK("CSG21.html#group64G21", "64G²¹"), =HYPERLINK("CSG13.html#group32A13", "32A¹³"), =HYPERLINK("CSG19.html#group80B19", "80B¹⁹"), =HYPERLINK("CSG15.html#group96S15", "96S¹⁵"), =HYPERLINK("CSG9.html#group16E9", "16E⁹"), =HYPERLINK("CSG15.html#group48W15", "48W¹⁵"), =HYPERLINK("CSG13.html#group32B13", "32B¹³"), =HYPERLINK("CSG7.html#group32G7", "32G⁷"), =HYPERLINK("CSG17.html#group80AV17", "80AV¹⁷"), =HYPERLINK("CSG15.html#group96U15", "96U¹⁵"), =HYPERLINK("CSG13.html#group32K13", "32K¹³"), =HYPERLINK("CSG7.html#group32A7", "32A⁷"), =HYPERLINK("CSG13.html#group64M13", "64M¹³"), =HYPERLINK("CSG5.html#group32E5", "32E⁵"), =HYPERLINK("CSG17.html#group96B17", "96B¹⁷"), =HYPERLINK("CSG23.html#group32B23", "32B²³"), =HYPERLINK("CSG21.html#group32A21", "32A²¹"), =HYPERLINK("CSG9.html#group64F9", "64F⁹"), =HYPERLINK("CSG23.html#group176C23", "176C²³"), =HYPERLINK("CSG21.html#group48S21", "48S²¹"), =HYPERLINK("CSG5.html#group32G5", "32G⁵"), =HYPERLINK("CSG7.html#group16E7", "16E⁷"), =HYPERLINK("CSG21.html#group32I21", "32I²¹"), =HYPERLINK("CSG15.html#group96Q15", "96Q¹⁵"), =HYPERLINK("CSG11.html#group32J11", "32J¹¹"), =HYPERLINK("CSG17.html#group16A17", "16A¹⁷"), =HYPERLINK("CSG21.html#group224A21", "224A²¹"), =HYPERLINK("CSG21.html#group160G21", "160G²¹"), =HYPERLINK("CSG11.html#group48B11", "48B¹¹"), =HYPERLINK("CSG11.html#group32E11", "32E¹¹"), =HYPERLINK("CSG21.html#group160H21", "160H²¹"), =HYPERLINK("CSG23.html#group32A23", "32A²³"), =HYPERLINK("CSG7.html#group16D7", "16D⁷"), =HYPERLINK("CSG13.html#group64S13", "64S¹³"), =HYPERLINK("CSG21.html#group32R21", "32R²¹"), =HYPERLINK("CSG21.html#group32W21", "32W²¹"), =HYPERLINK("CSG23.html#group96G23", "96G²³"), =HYPERLINK("CSG15.html#group48X15", "48X¹⁵"), =HYPERLINK("CSG11.html#group96I11", "96I¹¹"), =HYPERLINK("CSG19.html#group96V19", "96V¹⁹"), =HYPERLINK("CSG9.html#group32L9", "32L⁹"), =HYPERLINK("CSG23.html#group240B23", "240B²³"), =HYPERLINK("CSG8.html#group80A8", "80A⁸"), =HYPERLINK("CSG5.html#group32F5", "32F⁵"), =HYPERLINK("CSG17.html#group48AW17", "48AW¹⁷"), =HYPERLINK("CSG19.html#group16A19", "16A¹⁹"), =HYPERLINK("CSG9.html#group64I9", "64I⁹"), =HYPERLINK("CSG13.html#group48D13", "48D¹³"), =HYPERLINK("CSG15.html#group48J15", "48J¹⁵"), =HYPERLINK("CSG21.html#group112A21", "112A²¹"), =HYPERLINK("CSG1.html#group16J1", "16J¹"), =HYPERLINK("CSG17.html#group96O17", "96O¹⁷"), =HYPERLINK("CSG15.html#group48AE15", "48AE¹⁵"), =HYPERLINK("CSG17.html#group96Q17", "96Q¹⁷"), =HYPERLINK("CSG23.html#group144F23", "144F²³"), =HYPERLINK("CSG21.html#group32L21", "32L²¹"), =HYPERLINK("CSG5.html#group16B5", "16B⁵"), =HYPERLINK("CSG21.html#group48N21", "48N²¹"), =HYPERLINK("CSG3.html#group16L3", "16L³"), =HYPERLINK("CSG9.html#group16B9", "16B⁹"), =HYPERLINK("CSG11.html#group96K11", "96K¹¹"), =HYPERLINK("CSG17.html#group160H17", "160H¹⁷"), =HYPERLINK("CSG17.html#group160B17", "160B¹⁷"), =HYPERLINK("CSG19.html#group224A19", "224A¹⁹"), =HYPERLINK("CSG13.html#group64O13", "64O¹³"), =HYPERLINK("CSG13.html#group48AF13", "48AF¹³"), =HYPERLINK("CSG17.html#group96AD17", "96AD¹⁷"), =HYPERLINK("CSG19.html#group144J19", "144J¹⁹"), =HYPERLINK("CSG17.html#group48AZ17", "48AZ¹⁷"), =HYPERLINK("CSG17.html#group96AE17", "96AE¹⁷"), =HYPERLINK("CSG17.html#group80J17", "80J¹⁷"), =HYPERLINK("CSG15.html#group48AF15", "48AF¹⁵"), =HYPERLINK("CSG21.html#group32T21", "32T²¹"), =HYPERLINK("CSG21.html#group64H21", "64H²¹"), =HYPERLINK("CSG15.html#group112C15", "112C¹⁵"), =HYPERLINK("CSG17.html#group96AB17", "96AB¹⁷"), =HYPERLINK("CSG21.html#group64P21", "64P²¹"), =HYPERLINK("CSG13.html#group64N13", "64N¹³"), =HYPERLINK("CSG23.html#group32C23", "32C²³"), =HYPERLINK("CSG13.html#group48AA13", "48AA¹³"), =HYPERLINK("CSG5.html#group16D5", "16D⁵"), =HYPERLINK("CSG9.html#group32F9", "32F⁹"), =HYPERLINK("CSG21.html#group32M21", "32M²¹"), =HYPERLINK("CSG5.html#group32K5", "32K⁵"), =HYPERLINK("CSG17.html#group96AA17", "96AA¹⁷"), =HYPERLINK("CSG21.html#group96Z21", "96Z²¹"), =HYPERLINK("CSG21.html#group144C21", "144C²¹"), =HYPERLINK("CSG11.html#group32F11", "32F¹¹"), =HYPERLINK("CSG13.html#group64T13", "64T¹³"), =HYPERLINK("CSG23.html#group96H23", "96H²³"), =HYPERLINK("CSG3.html#group32N3", "32N³"), =HYPERLINK("CSG15.html#group48Z15", "48Z¹⁵"), =HYPERLINK("CSG21.html#group80I21", "80I²¹"), =HYPERLINK("CSG7.html#group96A7", "96A⁷"), =HYPERLINK("CSG3.html#group32D3", "32D³"), =HYPERLINK("CSG1.html#group32B1", "32B¹"), =HYPERLINK("CSG8.html#group144A8", "144A⁸"), =HYPERLINK("CSG13.html#group64R13", "64R¹³"), =HYPERLINK("CSG23.html#group208B23", "208B²³"), =HYPERLINK("CSG11.html#group96J11", "96J¹¹"), =HYPERLINK("CSG23.html#group96A23", "96A²³"), =HYPERLINK("CSG21.html#group48F21", "48F²¹"), =HYPERLINK("CSG3.html#group96A3", "96A³"), =HYPERLINK("CSG9.html#group32N9", "32N⁹"), =HYPERLINK("CSG13.html#group64L13", "64L¹³"), =HYPERLINK("CSG13.html#group48O13", "48O¹³"), =HYPERLINK("CSG17.html#group96N17", "96N¹⁷"), =HYPERLINK("CSG23.html#group32H23", "32H²³"), =HYPERLINK("CSG19.html#group160D19", "160D¹⁹"), =HYPERLINK("CSG11.html#group32I11", "32I¹¹"), =HYPERLINK("CSG9.html#group16C9", "16C⁹"), =HYPERLINK("CSG15.html#group96V15", "96V¹⁵"), =HYPERLINK("CSG22.html#group80B22", "80B²²"), =HYPERLINK("CSG13.html#group96H13", "96H¹³"), =HYPERLINK("CSG21.html#group112D21", "112D²¹"), =HYPERLINK("CSG19.html#group96J19", "96J¹⁹"), =HYPERLINK("CSG5.html#group48H5", "48H⁵"), =HYPERLINK("CSG9.html#group32O9", "32O⁹"), =HYPERLINK("CSG9.html#group16J9", "16J⁹"), =HYPERLINK("CSG24.html#group240B24", "240B²⁴"), =HYPERLINK("CSG15.html#group48AD15", "48AD¹⁵"), =HYPERLINK("CSG15.html#group48I15", "48I¹⁵"), =HYPERLINK("CSG13.html#group48AE13", "48AE¹³"), =HYPERLINK("CSG21.html#group112C21", "112C²¹"), =HYPERLINK("CSG19.html#group96X19", "96X¹⁹"), =HYPERLINK("CSG13.html#group32H13", "32H¹³"), =HYPERLINK("CSG19.html#group96U19", "96U¹⁹"), =HYPERLINK("CSG21.html#group96AA21", "96AA²¹"), =HYPERLINK("CSG23.html#group144X23", "144X²³"), =HYPERLINK("CSG23.html#group32E23", "32E²³"), =HYPERLINK("CSG13.html#group32M13", "32M¹³"), =HYPERLINK("CSG21.html#group32E21", "32E²¹"), =HYPERLINK("CSG15.html#group16A15", "16A¹⁵"), =HYPERLINK("CSG19.html#group96W19", "96W¹⁹"), =HYPERLINK("CSG24.html#group240C24", "240C²⁴"), =HYPERLINK("CSG5.html#group32L5", "32L⁵"), =HYPERLINK("CSG21.html#group64I21", "64I²¹"), =HYPERLINK("CSG21.html#group112B21", "112B²¹"), =HYPERLINK("CSG23.html#group144E23", "144E²³"), =HYPERLINK("CSG9.html#group96B9", "96B⁹"), =HYPERLINK("CSG19.html#group32D19", "32D¹⁹"), =HYPERLINK("CSG21.html#group16A21", "16A²¹"), =HYPERLINK("CSG15.html#group80F15", "80F¹⁵"), =HYPERLINK("CSG17.html#group48N17", "48N¹⁷"), =HYPERLINK("CSG9.html#group32M9", "32M⁹"), =HYPERLINK("CSG17.html#group96H17", "96H¹⁷"), =HYPERLINK("CSG21.html#group32X21", "32X²¹"), =HYPERLINK("CSG3.html#group16S3", "16S³"), =HYPERLINK("CSG13.html#group32J13", "32J¹³"), =HYPERLINK("CSG21.html#group32B21", "32B²¹"), =HYPERLINK("CSG17.html#group96D17", "96D¹⁷"), =HYPERLINK("CSG21.html#group96AT21", "96AT²¹"), =HYPERLINK("CSG15.html#group96C15", "96C¹⁵"), =HYPERLINK("CSG9.html#group16L9", "16L⁹"), =HYPERLINK("CSG13.html#group64P13", "64P¹³"), =HYPERLINK("CSG21.html#group48C21", "48C²¹"), =HYPERLINK("CSG17.html#group96AG17", "96AG¹⁷"), =HYPERLINK("CSG17.html#group96P17", "96P¹⁷"), =HYPERLINK("CSG17.html#group96C17", "96C¹⁷"), =HYPERLINK("CSG15.html#group96D15", "96D¹⁵"), =HYPERLINK("CSG19.html#group32E19", "32E¹⁹"), =HYPERLINK("CSG21.html#group64M21", "64M²¹"), =HYPERLINK("CSG7.html#group32H7", "32H⁷"), =HYPERLINK("CSG21.html#group64L21", "64L²¹"), =HYPERLINK("CSG1.html#group16F1", "16F¹"), =HYPERLINK("CSG13.html#group48G13", "48G¹³"), =HYPERLINK("CSG7.html#group48C7", "48C⁷"), =HYPERLINK("CSG23.html#group112A23", "112A²³"), =HYPERLINK("CSG17.html#group96AF17", "96AF¹⁷"), =HYPERLINK("CSG21.html#group32J21", "32J²¹"), =HYPERLINK("CSG13.html#group80C13", "80C¹³"), =HYPERLINK("CSG5.html#group48F5", "48F⁵"), =HYPERLINK("CSG15.html#group48AA15", "48AA¹⁵"), =HYPERLINK("CSG15.html#group48H15", "48H¹⁵"), =HYPERLINK("CSG3.html#group16M3", "16M³"), =HYPERLINK("CSG13.html#group32O13", "32O¹³"), =HYPERLINK("CSG17.html#group80B17", "80B¹⁷"), =HYPERLINK("CSG5.html#group48G5", "48G⁵"), =HYPERLINK("CSG17.html#group96G17", "96G¹⁷"), =HYPERLINK("CSG21.html#group80H21", "80H²¹"), =HYPERLINK("CSG21.html#group16C21", "16C²¹"), =HYPERLINK("CSG9.html#group32P9", "32P⁹"), =HYPERLINK("CSG13.html#group32I13", "32I¹³"), =HYPERLINK("CSG3.html#group48M3", "48M³"), =HYPERLINK("CSG17.html#group80AC17", "80AC¹⁷"), =HYPERLINK("CSG7.html#group48N7", "48N⁷"), =HYPERLINK("CSG19.html#group96T19", "96T¹⁹"), =HYPERLINK("CSG13.html#group48X13", "48X¹³"), =HYPERLINK("CSG13.html#group48AB13", "48AB¹³"), =HYPERLINK("CSG11.html#group32G11", "32G¹¹"), =HYPERLINK("CSG21.html#group32V21", "32V²¹"), =HYPERLINK("CSG3.html#group32L3", "32L³"), =HYPERLINK("CSG23.html#group32D23", "32D²³"), =HYPERLINK("CSG13.html#group64Q13", "64Q¹³"), =HYPERLINK("CSG21.html#group16E21", "16E²¹")</f>
        <v/>
      </c>
    </row>
    <row r="99">
      <c r="A99" t="inlineStr">
        <is>
          <t>16C⁰</t>
        </is>
      </c>
      <c r="B99" t="inlineStr">
        <is>
          <t>Γ₀(16)</t>
        </is>
      </c>
      <c r="C99" t="inlineStr">
        <is>
          <t>24</t>
        </is>
      </c>
      <c r="D99" t="inlineStr">
        <is>
          <t>1</t>
        </is>
      </c>
      <c r="E99" t="inlineStr">
        <is>
          <t>6</t>
        </is>
      </c>
      <c r="F99" t="inlineStr">
        <is>
          <t>0</t>
        </is>
      </c>
      <c r="G99" t="inlineStr">
        <is>
          <t>0</t>
        </is>
      </c>
      <c r="H99" t="inlineStr">
        <is>
          <t>1⁴, 4¹, 16¹</t>
        </is>
      </c>
      <c r="I99" t="n">
        <v>6</v>
      </c>
      <c r="J99" t="inlineStr">
        <is>
          <t>1⁴, 2¹</t>
        </is>
      </c>
      <c r="K99">
        <f>HYPERLINK("CSG0.html#group8C0", "8C⁰")</f>
        <v/>
      </c>
      <c r="L99">
        <f>HYPERLINK("CSG0.html#group16H0", "16H⁰"), =HYPERLINK("CSG0.html#group32A0", "32A⁰"), =HYPERLINK("CSG1.html#group16E1", "16E¹"), =HYPERLINK("CSG1.html#group32A1", "32A¹"), =HYPERLINK("CSG2.html#group32A2", "32A²"), =HYPERLINK("CSG3.html#group48J3", "48J³"), =HYPERLINK("CSG4.html#group48B4", "48B⁴"), =HYPERLINK("CSG7.html#group80F7", "80F⁷"), =HYPERLINK("CSG8.html#group80B8", "80B⁸"), =HYPERLINK("CSG11.html#group112H11", "112H¹¹"), =HYPERLINK("CSG12.html#group112C12", "112C¹²"), =HYPERLINK("CSG15.html#group80H15", "80H¹⁵"), =HYPERLINK("CSG19.html#group176E19", "176E¹⁹"), =HYPERLINK("CSG20.html#group176A20", "176A²⁰"), =HYPERLINK("CSG23.html#group208D23", "208D²³")</f>
        <v/>
      </c>
      <c r="M99">
        <f>HYPERLINK("CSG0.html#group4B0", "4B⁰"), =HYPERLINK("CSG0.html#group1A0", "1A⁰"), =HYPERLINK("CSG0.html#group8C0", "8C⁰"), =HYPERLINK("CSG0.html#group2B0", "2B⁰")</f>
        <v/>
      </c>
      <c r="N99">
        <f>HYPERLINK("CSG21.html#group256B21", "256B²¹"), =HYPERLINK("CSG9.html#group32C9", "32C⁹"), =HYPERLINK("CSG7.html#group80F7", "80F⁷"), =HYPERLINK("CSG17.html#group96AI17", "96AI¹⁷"), =HYPERLINK("CSG9.html#group48AJ9", "48AJ⁹"), =HYPERLINK("CSG18.html#group48C18", "48C¹⁸"), =HYPERLINK("CSG13.html#group128C13", "128C¹³"), =HYPERLINK("CSG17.html#group48G17", "48G¹⁷"), =HYPERLINK("CSG9.html#group128B9", "128B⁹"), =HYPERLINK("CSG11.html#group96G11", "96G¹¹"), =HYPERLINK("CSG13.html#group48W13", "48W¹³"), =HYPERLINK("CSG11.html#group96H11", "96H¹¹"), =HYPERLINK("CSG18.html#group192B18", "192B¹⁸"), =HYPERLINK("CSG7.html#group48AN7", "48AN⁷"), =HYPERLINK("CSG18.html#group48H18", "48H¹⁸"), =HYPERLINK("CSG17.html#group96L17", "96L¹⁷"), =HYPERLINK("CSG19.html#group160J19", "160J¹⁹"), =HYPERLINK("CSG24.html#group112D24", "112D²⁴"), =HYPERLINK("CSG17.html#group128B17", "128B¹⁷"), =HYPERLINK("CSG9.html#group128A9", "128A⁹"), =HYPERLINK("CSG8.html#group48J8", "48J⁸"), =HYPERLINK("CSG21.html#group192A21", "192A²¹"), =HYPERLINK("CSG19.html#group96S19", "96S¹⁹"), =HYPERLINK("CSG21.html#group64K21", "64K²¹"), =HYPERLINK("CSG19.html#group192F19", "192F¹⁹"), =HYPERLINK("CSG13.html#group32U13", "32U¹³"), =HYPERLINK("CSG21.html#group128B21", "128B²¹"), =HYPERLINK("CSG13.html#group144H13", "144H¹³"), =HYPERLINK("CSG17.html#group32B17", "32B¹⁷"), =HYPERLINK("CSG17.html#group96I17", "96I¹⁷"), =HYPERLINK("CSG21.html#group96BJ21", "96BJ²¹"), =HYPERLINK("CSG21.html#group32G21", "32G²¹"), =HYPERLINK("CSG21.html#group96BF21", "96BF²¹"), =HYPERLINK("CSG13.html#group48AH13", "48AH¹³"), =HYPERLINK("CSG21.html#group96E21", "96E²¹"), =HYPERLINK("CSG21.html#group32C21", "32C²¹"), =HYPERLINK("CSG19.html#group48BR19", "48BR¹⁹"), =HYPERLINK("CSG21.html#group112E21", "112E²¹"), =HYPERLINK("CSG5.html#group32O5", "32O⁵"), =HYPERLINK("CSG17.html#group96AL17", "96AL¹⁷"), =HYPERLINK("CSG19.html#group96AW19", "96AW¹⁹"), =HYPERLINK("CSG3.html#group32J3", "32J³"), =HYPERLINK("CSG21.html#group48CH21", "48CH²¹"), =HYPERLINK("CSG19.html#group256A19", "256A¹⁹"), =HYPERLINK("CSG19.html#group96E19", "96E¹⁹"), =HYPERLINK("CSG13.html#group80E13", "80E¹³"), =HYPERLINK("CSG21.html#group128A21", "128A²¹"), =HYPERLINK("CSG9.html#group32B9", "32B⁹"), =HYPERLINK("CSG7.html#group64K7", "64K⁷"), =HYPERLINK("CSG17.html#group32C17", "32C¹⁷"), =HYPERLINK("CSG21.html#group48CJ21", "48CJ²¹"), =HYPERLINK("CSG17.html#group64D17", "64D¹⁷"), =HYPERLINK("CSG17.html#group96AJ17", "96AJ¹⁷"), =HYPERLINK("CSG9.html#group64D9", "64D⁹"), =HYPERLINK("CSG9.html#group96L9", "96L⁹"), =HYPERLINK("CSG21.html#group64F21", "64F²¹"), =HYPERLINK("CSG3.html#group32M3", "32M³"), =HYPERLINK("CSG21.html#group64C21", "64C²¹"), =HYPERLINK("CSG5.html#group64C5", "64C⁵"), =HYPERLINK("CSG21.html#group32A21", "32A²¹"), =HYPERLINK("CSG9.html#group32D9", "32D⁹"), =HYPERLINK("CSG19.html#group64B19", "64B¹⁹"), =HYPERLINK("CSG3.html#group16J3", "16J³"), =HYPERLINK("CSG23.html#group224C23", "224C²³"), =HYPERLINK("CSG19.html#group96I19", "96I¹⁹"), =HYPERLINK("CSG9.html#group96G9", "96G⁹"), =HYPERLINK("CSG19.html#group48A19", "48A¹⁹"), =HYPERLINK("CSG17.html#group16A17", "16A¹⁷"), =HYPERLINK("CSG19.html#group48P19", "48P¹⁹"), =HYPERLINK("CSG7.html#group48R7", "48R⁷"), =HYPERLINK("CSG1.html#group32A1", "32A¹"), =HYPERLINK("CSG21.html#group256A21", "256A²¹"), =HYPERLINK("CSG18.html#group160A18", "160A¹⁸"), =HYPERLINK("CSG21.html#group96AZ21", "96AZ²¹"), =HYPERLINK("CSG19.html#group96P19", "96P¹⁹"), =HYPERLINK("CSG12.html#group112C12", "112C¹²"), =HYPERLINK("CSG1.html#group32E1", "32E¹"), =HYPERLINK("CSG21.html#group192N21", "192N²¹"), =HYPERLINK("CSG21.html#group96BC21", "96BC²¹"), =HYPERLINK("CSG15.html#group80H15", "80H¹⁵"), =HYPERLINK("CSG9.html#group96A9", "96A⁹"), =HYPERLINK("CSG21.html#group96BA21", "96BA²¹"), =HYPERLINK("CSG17.html#group160E17", "160E¹⁷"), =HYPERLINK("CSG2.html#group32C2", "32C²"), =HYPERLINK("CSG21.html#group64A21", "64A²¹"), =HYPERLINK("CSG13.html#group128B13", "128B¹³"), =HYPERLINK("CSG7.html#group128A7", "128A⁷"), =HYPERLINK("CSG11.html#group64B11", "64B¹¹"), =HYPERLINK("CSG21.html#group64E21", "64E²¹"), =HYPERLINK("CSG17.html#group96AK17", "96AK¹⁷"), =HYPERLINK("CSG21.html#group192B21", "192B²¹"), =HYPERLINK("CSG19.html#group96D19", "96D¹⁹"), =HYPERLINK("CSG23.html#group208D23", "208D²³"), =HYPERLINK("CSG15.html#group96M15", "96M¹⁵"), =HYPERLINK("CSG21.html#group96BD21", "96BD²¹"), =HYPERLINK("CSG4.html#group48B4", "48B⁴"), =HYPERLINK("CSG3.html#group16H3", "16H³"), =HYPERLINK("CSG9.html#group48A9", "48A⁹"), =HYPERLINK("CSG17.html#group48CM17", "48CM¹⁷"), =HYPERLINK("CSG20.html#group176A20", "176A²⁰"), =HYPERLINK("CSG17.html#group64A17", "64A¹⁷"), =HYPERLINK("CSG13.html#group64W13", "64W¹³"), =HYPERLINK("CSG15.html#group96N15", "96N¹⁵"), =HYPERLINK("CSG22.html#group192B22", "192B²²"), =HYPERLINK("CSG17.html#group160F17", "160F¹⁷"), =HYPERLINK("CSG23.html#group112B23", "112B²³"), =HYPERLINK("CSG13.html#group16C13", "16C¹³"), =HYPERLINK("CSG17.html#group160A17", "160A¹⁷"), =HYPERLINK("CSG19.html#group32B19", "32B¹⁹"), =HYPERLINK("CSG19.html#group192B19", "192B¹⁹"), =HYPERLINK("CSG19.html#group48N19", "48N¹⁹"), =HYPERLINK("CSG17.html#group80A17", "80A¹⁷"), =HYPERLINK("CSG11.html#group64A11", "64A¹¹"), =HYPERLINK("CSG19.html#group96H19", "96H¹⁹"), =HYPERLINK("CSG16.html#group160A16", "160A¹⁶"), =HYPERLINK("CSG9.html#group64C9", "64C⁹"), =HYPERLINK("CSG5.html#group64A5", "64A⁵"), =HYPERLINK("CSG21.html#group96H21", "96H²¹"), =HYPERLINK("CSG17.html#group48W17", "48W¹⁷"), =HYPERLINK("CSG21.html#group192P21", "192P²¹"), =HYPERLINK("CSG9.html#group96M9", "96M⁹"), =HYPERLINK("CSG19.html#group96Q19", "96Q¹⁹"), =HYPERLINK("CSG17.html#group128A17", "128A¹⁷"), =HYPERLINK("CSG21.html#group96BH21", "96BH²¹"), =HYPERLINK("CSG21.html#group96A21", "96A²¹"), =HYPERLINK("CSG5.html#group32N5", "32N⁵"), =HYPERLINK("CSG5.html#group16M5", "16M⁵"), =HYPERLINK("CSG19.html#group96G19", "96G¹⁹"), =HYPERLINK("CSG21.html#group192D21", "192D²¹"), =HYPERLINK("CSG15.html#group48Q15", "48Q¹⁵"), =HYPERLINK("CSG23.html#group112R23", "112R²³"), =HYPERLINK("CSG7.html#group32M7", "32M⁷"), =HYPERLINK("CSG5.html#group64D5", "64D⁵"), =HYPERLINK("CSG11.html#group128A11", "128A¹¹"), =HYPERLINK("CSG2.html#group16J2", "16J²"), =HYPERLINK("CSG5.html#group32M5", "32M⁵"), =HYPERLINK("CSG19.html#group144D19", "144D¹⁹"), =HYPERLINK("CSG19.html#group96BE19", "96BE¹⁹"), =HYPERLINK("CSG17.html#group48AC17", "48AC¹⁷"), =HYPERLINK("CSG21.html#group16E21", "16E²¹"), =HYPERLINK("CSG17.html#group48J17", "48J¹⁷"), =HYPERLINK("CSG8.html#group80B8", "80B⁸"), =HYPERLINK("CSG18.html#group192A18", "192A¹⁸"), =HYPERLINK("CSG19.html#group176E19", "176E¹⁹"), =HYPERLINK("CSG21.html#group128C21", "128C²¹"), =HYPERLINK("CSG17.html#group96M17", "96M¹⁷"), =HYPERLINK("CSG21.html#group48CK21", "48CK²¹"), =HYPERLINK("CSG9.html#group48AK9", "48AK⁹"), =HYPERLINK("CSG19.html#group96A19", "96A¹⁹"), =HYPERLINK("CSG8.html#group96A8", "96A⁸"), =HYPERLINK("CSG9.html#group48F9", "48F⁹"), =HYPERLINK("CSG9.html#group32E9", "32E⁹"), =HYPERLINK("CSG13.html#group64B13", "64B¹³"), =HYPERLINK("CSG13.html#group128A13", "128A¹³"), =HYPERLINK("CSG21.html#group48CE21", "48CE²¹"), =HYPERLINK("CSG22.html#group80C22", "80C²²"), =HYPERLINK("CSG19.html#group96C19", "96C¹⁹"), =HYPERLINK("CSG13.html#group64D13", "64D¹³"), =HYPERLINK("CSG9.html#group16C9", "16C⁹"), =HYPERLINK("CSG24.html#group224B24", "224B²⁴"), =HYPERLINK("CSG13.html#group64V13", "64V¹³"), =HYPERLINK("CSG15.html#group160A15", "160A¹⁵"), =HYPERLINK("CSG21.html#group96BI21", "96BI²¹"), =HYPERLINK("CSG1.html#group16E1", "16E¹"), =HYPERLINK("CSG17.html#group48K17", "48K¹⁷"), =HYPERLINK("CSG9.html#group32A9", "32A⁹"), =HYPERLINK("CSG19.html#group96AX19", "96AX¹⁹"), =HYPERLINK("CSG17.html#group48CJ17", "48CJ¹⁷"), =HYPERLINK("CSG21.html#group128D21", "128D²¹"), =HYPERLINK("CSG21.html#group64J21", "64J²¹"), =HYPERLINK("CSG19.html#group96BF19", "96BF¹⁹"), =HYPERLINK("CSG21.html#group32H21", "32H²¹"), =HYPERLINK("CSG19.html#group128A19", "128A¹⁹"), =HYPERLINK("CSG17.html#group80Y17", "80Y¹⁷"), =HYPERLINK("CSG19.html#group96R19", "96R¹⁹"), =HYPERLINK("CSG21.html#group32F21", "32F²¹"), =HYPERLINK("CSG19.html#group48BQ19", "48BQ¹⁹"), =HYPERLINK("CSG19.html#group144C19", "144C¹⁹"), =HYPERLINK("CSG15.html#group160B15", "160B¹⁵"), =HYPERLINK("CSG16.html#group144B16", "144B¹⁶"), =HYPERLINK("CSG19.html#group192D19", "192D¹⁹"), =HYPERLINK("CSG9.html#group16A9", "16A⁹"), =HYPERLINK("CSG21.html#group192O21", "192O²¹"), =HYPERLINK("CSG24.html#group112F24", "112F²⁴"), =HYPERLINK("CSG19.html#group48C19", "48C¹⁹"), =HYPERLINK("CSG2.html#group32A2", "32A²"), =HYPERLINK("CSG9.html#group64A9", "64A⁹"), =HYPERLINK("CSG17.html#group64B17", "64B¹⁷"), =HYPERLINK("CSG15.html#group48O15", "48O¹⁵"), =HYPERLINK("CSG17.html#group80Z17", "80Z¹⁷"), =HYPERLINK("CSG19.html#group96B19", "96B¹⁹"), =HYPERLINK("CSG11.html#group112H11", "112H¹¹"), =HYPERLINK("CSG13.html#group128D13", "128D¹³"), =HYPERLINK("CSG7.html#group96C7", "96C⁷"), =HYPERLINK("CSG17.html#group64C17", "64C¹⁷"), =HYPERLINK("CSG21.html#group96B21", "96B²¹"), =HYPERLINK("CSG22.html#group192A22", "192A²²"), =HYPERLINK("CSG15.html#group80T15", "80T¹⁵"), =HYPERLINK("CSG17.html#group48D17", "48D¹⁷"), =HYPERLINK("CSG3.html#group64B3", "64B³"), =HYPERLINK("CSG19.html#group192E19", "192E¹⁹"), =HYPERLINK("CSG10.html#group96A10", "96A¹⁰"), =HYPERLINK("CSG11.html#group32B11", "32B¹¹"), =HYPERLINK("CSG17.html#group96AH17", "96AH¹⁷"), =HYPERLINK("CSG17.html#group32A17", "32A¹⁷"), =HYPERLINK("CSG19.html#group160K19", "160K¹⁹"), =HYPERLINK("CSG16.html#group80B16", "80B¹⁶"), =HYPERLINK("CSG21.html#group32B21", "32B²¹"), =HYPERLINK("CSG21.html#group64B21", "64B²¹"), =HYPERLINK("CSG0.html#group16H0", "16H⁰"), =HYPERLINK("CSG17.html#group96A17", "96A¹⁷"), =HYPERLINK("CSG19.html#group256B19", "256B¹⁹"), =HYPERLINK("CSG13.html#group64C13", "64C¹³"), =HYPERLINK("CSG17.html#group32D17", "32D¹⁷"), =HYPERLINK("CSG13.html#group32T13", "32T¹³"), =HYPERLINK("CSG18.html#group96B18", "96B¹⁸"), =HYPERLINK("CSG5.html#group32B5", "32B⁵"), =HYPERLINK("CSG3.html#group48J3", "48J³"), =HYPERLINK("CSG8.html#group48E8", "48E⁸"), =HYPERLINK("CSG0.html#group32A0", "32A⁰"), =HYPERLINK("CSG13.html#group128E13", "128E¹³"), =HYPERLINK("CSG21.html#group192M21", "192M²¹"), =HYPERLINK("CSG21.html#group128F21", "128F²¹"), =HYPERLINK("CSG5.html#group32A5", "32A⁵"), =HYPERLINK("CSG1.html#group16M1", "16M¹"), =HYPERLINK("CSG21.html#group64D21", "64D²¹"), =HYPERLINK("CSG2.html#group64A2", "64A²"), =HYPERLINK("CSG17.html#group96J17", "96J¹⁷"), =HYPERLINK("CSG21.html#group96BG21", "96BG²¹"), =HYPERLINK("CSG19.html#group96F19", "96F¹⁹"), =HYPERLINK("CSG19.html#group192A19", "192A¹⁹"), =HYPERLINK("CSG5.html#group16N5", "16N⁵"), =HYPERLINK("CSG13.html#group96I13", "96I¹³"), =HYPERLINK("CSG21.html#group96BK21", "96BK²¹"), =HYPERLINK("CSG5.html#group48I5", "48I⁵"), =HYPERLINK("CSG19.html#group192C19", "192C¹⁹"), =HYPERLINK("CSG17.html#group96K17", "96K¹⁷"), =HYPERLINK("CSG7.html#group16C7", "16C⁷"), =HYPERLINK("CSG21.html#group192C21", "192C²¹"), =HYPERLINK("CSG17.html#group48CP17", "48CP¹⁷"), =HYPERLINK("CSG7.html#group96B7", "96B⁷"), =HYPERLINK("CSG3.html#group32K3", "32K³"), =HYPERLINK("CSG6.html#group64A6", "64A⁶"), =HYPERLINK("CSG18.html#group96D18", "96D¹⁸"), =HYPERLINK("CSG5.html#group64B5", "64B⁵"), =HYPERLINK("CSG21.html#group128E21", "128E²¹"), =HYPERLINK("CSG21.html#group16C21", "16C²¹"), =HYPERLINK("CSG23.html#group112T23", "112T²³"), =HYPERLINK("CSG13.html#group64A13", "64A¹³"), =HYPERLINK("CSG19.html#group96O19", "96O¹⁹"), =HYPERLINK("CSG9.html#group64E9", "64E⁹"), =HYPERLINK("CSG19.html#group32C19", "32C¹⁹"), =HYPERLINK("CSG23.html#group224B23", "224B²³"), =HYPERLINK("CSG8.html#group96B8", "96B⁸"), =HYPERLINK("CSG21.html#group96BE21", "96BE²¹"), =HYPERLINK("CSG17.html#group96AC17", "96AC¹⁷"), =HYPERLINK("CSG21.html#group96BB21", "96BB²¹"), =HYPERLINK("CSG15.html#group80R15", "80R¹⁵"), =HYPERLINK("CSG17.html#group48CN17", "48CN¹⁷"), =HYPERLINK("CSG24.html#group224A24", "224A²⁴"), =HYPERLINK("CSG3.html#group64A3", "64A³"), =HYPERLINK("CSG10.html#group96B10", "96B¹⁰"), =HYPERLINK("CSG7.html#group48AP7", "48AP⁷"), =HYPERLINK("CSG9.html#group64B9", "64B⁹")</f>
        <v/>
      </c>
    </row>
    <row r="100">
      <c r="A100" t="inlineStr">
        <is>
          <t>16D⁰</t>
        </is>
      </c>
      <c r="B100" t="inlineStr"/>
      <c r="C100" t="inlineStr">
        <is>
          <t>24</t>
        </is>
      </c>
      <c r="D100" t="inlineStr">
        <is>
          <t>1</t>
        </is>
      </c>
      <c r="E100" t="inlineStr">
        <is>
          <t>12</t>
        </is>
      </c>
      <c r="F100" t="inlineStr">
        <is>
          <t>0</t>
        </is>
      </c>
      <c r="G100" t="inlineStr">
        <is>
          <t>0</t>
        </is>
      </c>
      <c r="H100" t="inlineStr">
        <is>
          <t>1², 2³, 16¹</t>
        </is>
      </c>
      <c r="I100" t="n">
        <v>6</v>
      </c>
      <c r="J100" t="inlineStr">
        <is>
          <t>1⁴, 2², 4¹</t>
        </is>
      </c>
      <c r="K100">
        <f>HYPERLINK("CSG0.html#group8C0", "8C⁰")</f>
        <v/>
      </c>
      <c r="L100">
        <f>HYPERLINK("CSG0.html#group16G0", "16G⁰"), =HYPERLINK("CSG0.html#group16H0", "16H⁰"), =HYPERLINK("CSG1.html#group16G1", "16G¹"), =HYPERLINK("CSG3.html#group48L3", "48L³"), =HYPERLINK("CSG4.html#group48D4", "48D⁴"), =HYPERLINK("CSG7.html#group80H7", "80H⁷"), =HYPERLINK("CSG8.html#group80C8", "80C⁸"), =HYPERLINK("CSG11.html#group112J11", "112J¹¹"), =HYPERLINK("CSG12.html#group112E12", "112E¹²"), =HYPERLINK("CSG15.html#group80J15", "80J¹⁵"), =HYPERLINK("CSG19.html#group176G19", "176G¹⁹"), =HYPERLINK("CSG20.html#group176B20", "176B²⁰"), =HYPERLINK("CSG23.html#group208F23", "208F²³")</f>
        <v/>
      </c>
      <c r="M100">
        <f>HYPERLINK("CSG0.html#group4B0", "4B⁰"), =HYPERLINK("CSG0.html#group1A0", "1A⁰"), =HYPERLINK("CSG0.html#group8C0", "8C⁰"), =HYPERLINK("CSG0.html#group2B0", "2B⁰")</f>
        <v/>
      </c>
      <c r="N100">
        <f>HYPERLINK("CSG13.html#group80G13", "80G¹³"), =HYPERLINK("CSG18.html#group96A18", "96A¹⁸"), =HYPERLINK("CSG18.html#group48C18", "48C¹⁸"), =HYPERLINK("CSG19.html#group96BC19", "96BC¹⁹"), =HYPERLINK("CSG17.html#group48CK17", "48CK¹⁷"), =HYPERLINK("CSG13.html#group64H13", "64H¹³"), =HYPERLINK("CSG19.html#group48Q19", "48Q¹⁹"), =HYPERLINK("CSG18.html#group48H18", "48H¹⁸"), =HYPERLINK("CSG13.html#group144J13", "144J¹³"), =HYPERLINK("CSG21.html#group112F21", "112F²¹"), =HYPERLINK("CSG7.html#group48AM7", "48AM⁷"), =HYPERLINK("CSG21.html#group48CF21", "48CF²¹"), =HYPERLINK("CSG17.html#group128B17", "128B¹⁷"), =HYPERLINK("CSG5.html#group32D5", "32D⁵"), =HYPERLINK("CSG15.html#group80Q15", "80Q¹⁵"), =HYPERLINK("CSG21.html#group64K21", "64K²¹"), =HYPERLINK("CSG11.html#group32A11", "32A¹¹"), =HYPERLINK("CSG13.html#group32U13", "32U¹³"), =HYPERLINK("CSG21.html#group128B21", "128B²¹"), =HYPERLINK("CSG23.html#group112F23", "112F²³"), =HYPERLINK("CSG17.html#group32B17", "32B¹⁷"), =HYPERLINK("CSG15.html#group48F15", "48F¹⁵"), =HYPERLINK("CSG21.html#group96BL21", "96BL²¹"), =HYPERLINK("CSG13.html#group48AH13", "48AH¹³"), =HYPERLINK("CSG21.html#group96C21", "96C²¹"), =HYPERLINK("CSG7.html#group80H7", "80H⁷"), =HYPERLINK("CSG21.html#group32C21", "32C²¹"), =HYPERLINK("CSG19.html#group48BR19", "48BR¹⁹"), =HYPERLINK("CSG21.html#group48CM21", "48CM²¹"), =HYPERLINK("CSG13.html#group64G13", "64G¹³"), =HYPERLINK("CSG5.html#group32O5", "32O⁵"), =HYPERLINK("CSG17.html#group96AL17", "96AL¹⁷"), =HYPERLINK("CSG21.html#group96Q21", "96Q²¹"), =HYPERLINK("CSG3.html#group16I3", "16I³"), =HYPERLINK("CSG12.html#group112E12", "112E¹²"), =HYPERLINK("CSG8.html#group48C8", "48C⁸"), =HYPERLINK("CSG24.html#group112B24", "112B²⁴"), =HYPERLINK("CSG21.html#group128A21", "128A²¹"), =HYPERLINK("CSG17.html#group32C17", "32C¹⁷"), =HYPERLINK("CSG17.html#group64D17", "64D¹⁷"), =HYPERLINK("CSG21.html#group64O21", "64O²¹"), =HYPERLINK("CSG8.html#group80C8", "80C⁸"), =HYPERLINK("CSG9.html#group16D9", "16D⁹"), =HYPERLINK("CSG23.html#group112P23", "112P²³"), =HYPERLINK("CSG17.html#group48AD17", "48AD¹⁷"), =HYPERLINK("CSG9.html#group64D9", "64D⁹"), =HYPERLINK("CSG13.html#group48AG13", "48AG¹³"), =HYPERLINK("CSG19.html#group144H19", "144H¹⁹"), =HYPERLINK("CSG19.html#group48AP19", "48AP¹⁹"), =HYPERLINK("CSG3.html#group32M3", "32M³"), =HYPERLINK("CSG21.html#group64C21", "64C²¹"), =HYPERLINK("CSG5.html#group64C5", "64C⁵"), =HYPERLINK("CSG19.html#group64B19", "64B¹⁹"), =HYPERLINK("CSG9.html#group48AM9", "48AM⁹"), =HYPERLINK("CSG17.html#group16A17", "16A¹⁷"), =HYPERLINK("CSG17.html#group80C17", "80C¹⁷"), =HYPERLINK("CSG23.html#group112U23", "112U²³"), =HYPERLINK("CSG19.html#group96P19", "96P¹⁹"), =HYPERLINK("CSG13.html#group48Z13", "48Z¹³"), =HYPERLINK("CSG15.html#group80O15", "80O¹⁵"), =HYPERLINK("CSG1.html#group32E1", "32E¹"), =HYPERLINK("CSG18.html#group96C18", "96C¹⁸"), =HYPERLINK("CSG2.html#group32C2", "32C²"), =HYPERLINK("CSG15.html#group80J15", "80J¹⁵"), =HYPERLINK("CSG19.html#group96K19", "96K¹⁹"), =HYPERLINK("CSG11.html#group64B11", "64B¹¹"), =HYPERLINK("CSG17.html#group96AK17", "96AK¹⁷"), =HYPERLINK("CSG21.html#group32O21", "32O²¹"), =HYPERLINK("CSG17.html#group48CM17", "48CM¹⁷"), =HYPERLINK("CSG9.html#group48P9", "48P⁹"), =HYPERLINK("CSG9.html#group16B9", "16B⁹"), =HYPERLINK("CSG19.html#group48B19", "48B¹⁹"), =HYPERLINK("CSG15.html#group48N15", "48N¹⁵"), =HYPERLINK("CSG17.html#group64A17", "64A¹⁷"), =HYPERLINK("CSG13.html#group64W13", "64W¹³"), =HYPERLINK("CSG15.html#group48R15", "48R¹⁵"), =HYPERLINK("CSG21.html#group48CL21", "48CL²¹"), =HYPERLINK("CSG13.html#group16C13", "16C¹³"), =HYPERLINK("CSG19.html#group32B19", "32B¹⁹"), =HYPERLINK("CSG24.html#group112C24", "112C²⁴"), =HYPERLINK("CSG9.html#group32I9", "32I⁹"), =HYPERLINK("CSG19.html#group48H19", "48H¹⁹"), =HYPERLINK("CSG19.html#group64A19", "64A¹⁹"), =HYPERLINK("CSG0.html#group16G0", "16G⁰"), =HYPERLINK("CSG20.html#group176B20", "176B²⁰"), =HYPERLINK("CSG21.html#group96D21", "96D²¹"), =HYPERLINK("CSG15.html#group48Q15", "48Q¹⁵"), =HYPERLINK("CSG17.html#group128A17", "128A¹⁷"), =HYPERLINK("CSG9.html#group48B9", "48B⁹"), =HYPERLINK("CSG5.html#group32N5", "32N⁵"), =HYPERLINK("CSG5.html#group16M5", "16M⁵"), =HYPERLINK("CSG16.html#group144D16", "144D¹⁶"), =HYPERLINK("CSG7.html#group32M7", "32M⁷"), =HYPERLINK("CSG5.html#group64D5", "64D⁵"), =HYPERLINK("CSG2.html#group16J2", "16J²"), =HYPERLINK("CSG5.html#group32M5", "32M⁵"), =HYPERLINK("CSG13.html#group64I13", "64I¹³"), =HYPERLINK("CSG17.html#group48AC17", "48AC¹⁷"), =HYPERLINK("CSG19.html#group96BE19", "96BE¹⁹"), =HYPERLINK("CSG7.html#group48AL7", "48AL⁷"), =HYPERLINK("CSG3.html#group32O3", "32O³"), =HYPERLINK("CSG23.html#group112Q23", "112Q²³"), =HYPERLINK("CSG21.html#group128C21", "128C²¹"), =HYPERLINK("CSG8.html#group48M8", "48M⁸"), =HYPERLINK("CSG9.html#group32E9", "32E⁹"), =HYPERLINK("CSG4.html#group48D4", "48D⁴"), =HYPERLINK("CSG3.html#group48L3", "48L³"), =HYPERLINK("CSG19.html#group96C19", "96C¹⁹"), =HYPERLINK("CSG13.html#group64J13", "64J¹³"), =HYPERLINK("CSG11.html#group112J11", "112J¹¹"), =HYPERLINK("CSG13.html#group64V13", "64V¹³"), =HYPERLINK("CSG17.html#group48CO17", "48CO¹⁷"), =HYPERLINK("CSG21.html#group96BI21", "96BI²¹"), =HYPERLINK("CSG21.html#group16D21", "16D²¹"), =HYPERLINK("CSG8.html#group48K8", "48K⁸"), =HYPERLINK("CSG19.html#group96BF19", "96BF¹⁹"), =HYPERLINK("CSG21.html#group64J21", "64J²¹"), =HYPERLINK("CSG3.html#group16N3", "16N³"), =HYPERLINK("CSG19.html#group48BQ19", "48BQ¹⁹"), =HYPERLINK("CSG17.html#group48AB17", "48AB¹⁷"), =HYPERLINK("CSG17.html#group48CQ17", "48CQ¹⁷"), =HYPERLINK("CSG2.html#group32B2", "32B²"), =HYPERLINK("CSG22.html#group80D22", "80D²²"), =HYPERLINK("CSG21.html#group32E21", "32E²¹"), =HYPERLINK("CSG9.html#group32J9", "32J⁹"), =HYPERLINK("CSG24.html#group112F24", "112F²⁴"), =HYPERLINK("CSG21.html#group64N21", "64N²¹"), =HYPERLINK("CSG21.html#group32N21", "32N²¹"), =HYPERLINK("CSG17.html#group64B17", "64B¹⁷"), =HYPERLINK("CSG9.html#group64A9", "64A⁹"), =HYPERLINK("CSG24.html#group112G24", "112G²⁴"), =HYPERLINK("CSG17.html#group48I17", "48I¹⁷"), =HYPERLINK("CSG17.html#group64C17", "64C¹⁷"), =HYPERLINK("CSG17.html#group48Z17", "48Z¹⁷"), =HYPERLINK("CSG21.html#group16A21", "16A²¹"), =HYPERLINK("CSG21.html#group48CC21", "48CC²¹"), =HYPERLINK("CSG15.html#group80T15", "80T¹⁵"), =HYPERLINK("CSG17.html#group48D17", "48D¹⁷"), =HYPERLINK("CSG19.html#group96BD19", "96BD¹⁹"), =HYPERLINK("CSG21.html#group96R21", "96R²¹"), =HYPERLINK("CSG17.html#group32A17", "32A¹⁷"), =HYPERLINK("CSG16.html#group80B16", "80B¹⁶"), =HYPERLINK("CSG0.html#group16H0", "16H⁰"), =HYPERLINK("CSG16.html#group80A16", "80A¹⁶"), =HYPERLINK("CSG17.html#group32D17", "32D¹⁷"), =HYPERLINK("CSG17.html#group96A17", "96A¹⁷"), =HYPERLINK("CSG19.html#group96Z19", "96Z¹⁹"), =HYPERLINK("CSG7.html#group48Y7", "48Y⁷"), =HYPERLINK("CSG13.html#group32T13", "32T¹³"), =HYPERLINK("CSG17.html#group80AJ17", "80AJ¹⁷"), =HYPERLINK("CSG13.html#group64E13", "64E¹³"), =HYPERLINK("CSG18.html#group96B18", "96B¹⁸"), =HYPERLINK("CSG7.html#group48AQ7", "48AQ⁷"), =HYPERLINK("CSG8.html#group48E8", "48E⁸"), =HYPERLINK("CSG13.html#group128E13", "128E¹³"), =HYPERLINK("CSG13.html#group64F13", "64F¹³"), =HYPERLINK("CSG1.html#group16M1", "16M¹"), =HYPERLINK("CSG9.html#group48AO9", "48AO⁹"), =HYPERLINK("CSG7.html#group32L7", "32L⁷"), =HYPERLINK("CSG5.html#group16N5", "16N⁵"), =HYPERLINK("CSG19.html#group176G19", "176G¹⁹"), =HYPERLINK("CSG21.html#group96BK21", "96BK²¹"), =HYPERLINK("CSG17.html#group96K17", "96K¹⁷"), =HYPERLINK("CSG18.html#group96D18", "96D¹⁸"), =HYPERLINK("CSG17.html#group48CP17", "48CP¹⁷"), =HYPERLINK("CSG21.html#group96BM21", "96BM²¹"), =HYPERLINK("CSG23.html#group208F23", "208F²³"), =HYPERLINK("CSG21.html#group128E21", "128E²¹"), =HYPERLINK("CSG21.html#group16C21", "16C²¹"), =HYPERLINK("CSG23.html#group112T23", "112T²³"), =HYPERLINK("CSG17.html#group80AH17", "80AH¹⁷"), =HYPERLINK("CSG5.html#group32C5", "32C⁵"), =HYPERLINK("CSG17.html#group48BS17", "48BS¹⁷"), =HYPERLINK("CSG9.html#group64E9", "64E⁹"), =HYPERLINK("CSG1.html#group16G1", "16G¹"), =HYPERLINK("CSG19.html#group144G19", "144G¹⁹"), =HYPERLINK("CSG15.html#group80V15", "80V¹⁵"), =HYPERLINK("CSG5.html#group48J5", "48J⁵"), =HYPERLINK("CSG21.html#group32D21", "32D²¹"), =HYPERLINK("CSG7.html#group48AP7", "48AP⁷")</f>
        <v/>
      </c>
    </row>
    <row r="101">
      <c r="A101" t="inlineStr">
        <is>
          <t>16E⁰</t>
        </is>
      </c>
      <c r="B101" t="inlineStr"/>
      <c r="C101" t="inlineStr">
        <is>
          <t>24</t>
        </is>
      </c>
      <c r="D101" t="inlineStr">
        <is>
          <t>1</t>
        </is>
      </c>
      <c r="E101" t="inlineStr">
        <is>
          <t>12</t>
        </is>
      </c>
      <c r="F101" t="inlineStr">
        <is>
          <t>2</t>
        </is>
      </c>
      <c r="G101" t="inlineStr">
        <is>
          <t>0</t>
        </is>
      </c>
      <c r="H101" t="inlineStr">
        <is>
          <t>2⁴, 16¹</t>
        </is>
      </c>
      <c r="I101" t="n">
        <v>5</v>
      </c>
      <c r="J101" t="inlineStr">
        <is>
          <t>1², 2¹, 4²</t>
        </is>
      </c>
      <c r="K101">
        <f>HYPERLINK("CSG0.html#group8D0", "8D⁰")</f>
        <v/>
      </c>
      <c r="L101">
        <f>HYPERLINK("CSG0.html#group16G0", "16G⁰"), =HYPERLINK("CSG1.html#group16I1", "16I¹"), =HYPERLINK("CSG1.html#group32C1", "32C¹"), =HYPERLINK("CSG1.html#group32D1", "32D¹"), =HYPERLINK("CSG2.html#group16D2", "16D²"), =HYPERLINK("CSG3.html#group48D3", "48D³"), =HYPERLINK("CSG4.html#group48J4", "48J⁴"), =HYPERLINK("CSG7.html#group80J7", "80J⁷"), =HYPERLINK("CSG8.html#group80D8", "80D⁸"), =HYPERLINK("CSG11.html#group112D11", "112D¹¹"), =HYPERLINK("CSG12.html#group112H12", "112H¹²"), =HYPERLINK("CSG15.html#group80L15", "80L¹⁵"), =HYPERLINK("CSG19.html#group176B19", "176B¹⁹"), =HYPERLINK("CSG20.html#group176D20", "176D²⁰"), =HYPERLINK("CSG23.html#group208H23", "208H²³")</f>
        <v/>
      </c>
      <c r="M101">
        <f>HYPERLINK("CSG0.html#group8D0", "8D⁰"), =HYPERLINK("CSG0.html#group1A0", "1A⁰"), =HYPERLINK("CSG0.html#group2B0", "2B⁰"), =HYPERLINK("CSG0.html#group4C0", "4C⁰")</f>
        <v/>
      </c>
      <c r="N101">
        <f>HYPERLINK("CSG24.html#group224C24", "224C²⁴"), =HYPERLINK("CSG23.html#group96AI23", "96AI²³"), =HYPERLINK("CSG5.html#group16F5", "16F⁵"), =HYPERLINK("CSG16.html#group96B16", "96B¹⁶"), =HYPERLINK("CSG19.html#group16B19", "16B¹⁹"), =HYPERLINK("CSG11.html#group112D11", "112D¹¹"), =HYPERLINK("CSG17.html#group80G17", "80G¹⁷"), =HYPERLINK("CSG21.html#group64Q21", "64Q²¹"), =HYPERLINK("CSG18.html#group96A18", "96A¹⁸"), =HYPERLINK("CSG9.html#group16K9", "16K⁹"), =HYPERLINK("CSG19.html#group96BC19", "96BC¹⁹"), =HYPERLINK("CSG24.html#group224F24", "224F²⁴"), =HYPERLINK("CSG17.html#group48CK17", "48CK¹⁷"), =HYPERLINK("CSG15.html#group48V15", "48V¹⁵"), =HYPERLINK("CSG13.html#group64U13", "64U¹³"), =HYPERLINK("CSG20.html#group96B20", "96B²⁰"), =HYPERLINK("CSG4.html#group16B4", "16B⁴"), =HYPERLINK("CSG19.html#group48Z19", "48Z¹⁹"), =HYPERLINK("CSG7.html#group48AA7", "48AA⁷"), =HYPERLINK("CSG21.html#group48CF21", "48CF²¹"), =HYPERLINK("CSG21.html#group48CO21", "48CO²¹"), =HYPERLINK("CSG13.html#group80I13", "80I¹³"), =HYPERLINK("CSG23.html#group96AJ23", "96AJ²³"), =HYPERLINK("CSG11.html#group32A11", "32A¹¹"), =HYPERLINK("CSG21.html#group32P21", "32P²¹"), =HYPERLINK("CSG22.html#group96B22", "96B²²"), =HYPERLINK("CSG13.html#group32U13", "32U¹³"), =HYPERLINK("CSG18.html#group48E18", "48E¹⁸"), =HYPERLINK("CSG17.html#group160C17", "160C¹⁷"), =HYPERLINK("CSG19.html#group96L19", "96L¹⁹"), =HYPERLINK("CSG17.html#group32B17", "32B¹⁷"), =HYPERLINK("CSG11.html#group32C11", "32C¹¹"), =HYPERLINK("CSG15.html#group48F15", "48F¹⁵"), =HYPERLINK("CSG18.html#group64B18", "64B¹⁸"), =HYPERLINK("CSG21.html#group32C21", "32C²¹"), =HYPERLINK("CSG5.html#group32H5", "32H⁵"), =HYPERLINK("CSG11.html#group32H11", "32H¹¹"), =HYPERLINK("CSG17.html#group96W17", "96W¹⁷"), =HYPERLINK("CSG9.html#group32G9", "32G⁹"), =HYPERLINK("CSG2.html#group16L2", "16L²"), =HYPERLINK("CSG3.html#group16I3", "16I³"), =HYPERLINK("CSG19.html#group96M19", "96M¹⁹"), =HYPERLINK("CSG21.html#group32K21", "32K²¹"), =HYPERLINK("CSG17.html#group96E17", "96E¹⁷"), =HYPERLINK("CSG24.html#group32A24", "32A²⁴"), =HYPERLINK("CSG12.html#group32B12", "32B¹²"), =HYPERLINK("CSG16.html#group48H16", "48H¹⁶"), =HYPERLINK("CSG9.html#group16H9", "16H⁹"), =HYPERLINK("CSG8.html#group48C8", "48C⁸"), =HYPERLINK("CSG24.html#group32B24", "32B²⁴"), =HYPERLINK("CSG24.html#group112B24", "112B²⁴"), =HYPERLINK("CSG19.html#group96AZ19", "96AZ¹⁹"), =HYPERLINK("CSG3.html#group32P3", "32P³"), =HYPERLINK("CSG17.html#group160D17", "160D¹⁷"), =HYPERLINK("CSG17.html#group64D17", "64D¹⁷"), =HYPERLINK("CSG23.html#group96AL23", "96AL²³"), =HYPERLINK("CSG12.html#group112H12", "112H¹²"), =HYPERLINK("CSG9.html#group16D9", "16D⁹"), =HYPERLINK("CSG23.html#group112P23", "112P²³"), =HYPERLINK("CSG9.html#group64G9", "64G⁹"), =HYPERLINK("CSG22.html#group112A22", "112A²²"), =HYPERLINK("CSG17.html#group96U17", "96U¹⁷"), =HYPERLINK("CSG20.html#group176D20", "176D²⁰"), =HYPERLINK("CSG13.html#group48AG13", "48AG¹³"), =HYPERLINK("CSG19.html#group48Y19", "48Y¹⁹"), =HYPERLINK("CSG21.html#group64C21", "64C²¹"), =HYPERLINK("CSG17.html#group96F17", "96F¹⁷"), =HYPERLINK("CSG11.html#group32D11", "32D¹¹"), =HYPERLINK("CSG16.html#group48A16", "48A¹⁶"), =HYPERLINK("CSG3.html#group32Q3", "32Q³"), =HYPERLINK("CSG19.html#group96AB19", "96AB¹⁹"), =HYPERLINK("CSG17.html#group16A17", "16A¹⁷"), =HYPERLINK("CSG10.html#group16A10", "16A¹⁰"), =HYPERLINK("CSG17.html#group160L17", "160L¹⁷"), =HYPERLINK("CSG17.html#group48AJ17", "48AJ¹⁷"), =HYPERLINK("CSG21.html#group48U21", "48U²¹"), =HYPERLINK("CSG23.html#group64B23", "64B²³"), =HYPERLINK("CSG10.html#group16B10", "16B¹⁰"), =HYPERLINK("CSG17.html#group48AP17", "48AP¹⁷"), =HYPERLINK("CSG13.html#group32P13", "32P¹³"), =HYPERLINK("CSG7.html#group16D7", "16D⁷"), =HYPERLINK("CSG15.html#group80O15", "80O¹⁵"), =HYPERLINK("CSG3.html#group48D3", "48D³"), =HYPERLINK("CSG11.html#group48AB11", "48AB¹¹"), =HYPERLINK("CSG18.html#group96F18", "96F¹⁸"), =HYPERLINK("CSG2.html#group16D2", "16D²"), =HYPERLINK("CSG9.html#group48T9", "48T⁹"), =HYPERLINK("CSG18.html#group96C18", "96C¹⁸"), =HYPERLINK("CSG19.html#group176B19", "176B¹⁹"), =HYPERLINK("CSG4.html#group32C4", "32C⁴"), =HYPERLINK("CSG24.html#group224E24", "224E²⁴"), =HYPERLINK("CSG19.html#group16A19", "16A¹⁹"), =HYPERLINK("CSG24.html#group32C24", "32C²⁴"), =HYPERLINK("CSG18.html#group96E18", "96E¹⁸"), =HYPERLINK("CSG15.html#group80L15", "80L¹⁵"), =HYPERLINK("CSG17.html#group48CM17", "48CM¹⁷"), =HYPERLINK("CSG21.html#group32L21", "32L²¹"), =HYPERLINK("CSG1.html#group32C1", "32C¹"), =HYPERLINK("CSG9.html#group16B9", "16B⁹"), =HYPERLINK("CSG19.html#group48B19", "48B¹⁹"), =HYPERLINK("CSG19.html#group96AD19", "96AD¹⁹"), =HYPERLINK("CSG17.html#group64A17", "64A¹⁷"), =HYPERLINK("CSG23.html#group32F23", "32F²³"), =HYPERLINK("CSG8.html#group96C8", "96C⁸"), =HYPERLINK("CSG3.html#group16L3", "16L³"), =HYPERLINK("CSG22.html#group32B22", "32B²²"), =HYPERLINK("CSG10.html#group32B10", "32B¹⁰"), =HYPERLINK("CSG16.html#group96A16", "96A¹⁶"), =HYPERLINK("CSG19.html#group96AA19", "96AA¹⁹"), =HYPERLINK("CSG19.html#group48AE19", "48AE¹⁹"), =HYPERLINK("CSG15.html#group80U15", "80U¹⁵"), =HYPERLINK("CSG13.html#group16C13", "16C¹³"), =HYPERLINK("CSG6.html#group32H6", "32H⁶"), =HYPERLINK("CSG21.html#group64P21", "64P²¹"), =HYPERLINK("CSG21.html#group64H21", "64H²¹"), =HYPERLINK("CSG19.html#group48H19", "48H¹⁹"), =HYPERLINK("CSG19.html#group64A19", "64A¹⁹"), =HYPERLINK("CSG17.html#group160I17", "160I¹⁷"), =HYPERLINK("CSG0.html#group16G0", "16G⁰"), =HYPERLINK("CSG23.html#group32C23", "32C²³"), =HYPERLINK("CSG19.html#group96AC19", "96AC¹⁹"), =HYPERLINK("CSG21.html#group32M21", "32M²¹"), =HYPERLINK("CSG5.html#group16M5", "16M⁵"), =HYPERLINK("CSG5.html#group32N5", "32N⁵"), =HYPERLINK("CSG16.html#group96C16", "96C¹⁶"), =HYPERLINK("CSG7.html#group48P7", "48P⁷"), =HYPERLINK("CSG1.html#group32D1", "32D¹"), =HYPERLINK("CSG11.html#group32F11", "32F¹¹"), =HYPERLINK("CSG5.html#group32M5", "32M⁵"), =HYPERLINK("CSG20.html#group144B20", "144B²⁰"), =HYPERLINK("CSG17.html#group96X17", "96X¹⁷"), =HYPERLINK("CSG7.html#group48AL7", "48AL⁷"), =HYPERLINK("CSG23.html#group64A23", "64A²³"), =HYPERLINK("CSG10.html#group32A10", "32A¹⁰"), =HYPERLINK("CSG9.html#group32N9", "32N⁹"), =HYPERLINK("CSG9.html#group32E9", "32E⁹"), =HYPERLINK("CSG21.html#group32D21", "32D²¹"), =HYPERLINK("CSG20.html#group96A20", "96A²⁰"), =HYPERLINK("CSG13.html#group64V13", "64V¹³"), =HYPERLINK("CSG5.html#group16H5", "16H⁵"), =HYPERLINK("CSG21.html#group16D21", "16D²¹"), =HYPERLINK("CSG14.html#group144B14", "144B¹⁴"), =HYPERLINK("CSG22.html#group64A22", "64A²²"), =HYPERLINK("CSG23.html#group96AK23", "96AK²³"), =HYPERLINK("CSG19.html#group80R19", "80R¹⁹"), =HYPERLINK("CSG23.html#group208H23", "208H²³"), =HYPERLINK("CSG15.html#group48I15", "48I¹⁵"), =HYPERLINK("CSG2.html#group32B2", "32B²"), =HYPERLINK("CSG10.html#group32C10", "32C¹⁰"), =HYPERLINK("CSG21.html#group16F21", "16F²¹"), =HYPERLINK("CSG18.html#group64A18", "64A¹⁸"), =HYPERLINK("CSG23.html#group32E23", "32E²³"), =HYPERLINK("CSG15.html#group16A15", "16A¹⁵"), =HYPERLINK("CSG21.html#group32E21", "32E²¹"), =HYPERLINK("CSG4.html#group48J4", "48J⁴"), =HYPERLINK("CSG17.html#group96V17", "96V¹⁷"), =HYPERLINK("CSG18.html#group48N18", "48N¹⁸"), =HYPERLINK("CSG24.html#group224D24", "224D²⁴"), =HYPERLINK("CSG21.html#group48CN21", "48CN²¹"), =HYPERLINK("CSG17.html#group48I17", "48I¹⁷"), =HYPERLINK("CSG17.html#group96T17", "96T¹⁷"), =HYPERLINK("CSG22.html#group32A22", "32A²²"), =HYPERLINK("CSG1.html#group16I1", "16I¹"), =HYPERLINK("CSG19.html#group32D19", "32D¹⁹"), =HYPERLINK("CSG9.html#group32M9", "32M⁹"), =HYPERLINK("CSG19.html#group80S19", "80S¹⁹"), =HYPERLINK("CSG21.html#group48AQ21", "48AQ²¹"), =HYPERLINK("CSG21.html#group16A21", "16A²¹"), =HYPERLINK("CSG21.html#group48CC21", "48CC²¹"), =HYPERLINK("CSG23.html#group112K23", "112K²³"), =HYPERLINK("CSG17.html#group48D17", "48D¹⁷"), =HYPERLINK("CSG7.html#group80J7", "80J⁷"), =HYPERLINK("CSG19.html#group96BD19", "96BD¹⁹"), =HYPERLINK("CSG8.html#group96D8", "96D⁸"), =HYPERLINK("CSG17.html#group32A17", "32A¹⁷"), =HYPERLINK("CSG13.html#group32J13", "32J¹³"), =HYPERLINK("CSG15.html#group144E15", "144E¹⁵"), =HYPERLINK("CSG9.html#group16L9", "16L⁹"), =HYPERLINK("CSG10.html#group96F10", "96F¹⁰"), =HYPERLINK("CSG16.html#group80A16", "80A¹⁶"), =HYPERLINK("CSG17.html#group32D17", "32D¹⁷"), =HYPERLINK("CSG13.html#group32T13", "32T¹³"), =HYPERLINK("CSG19.html#group32E19", "32E¹⁹"), =HYPERLINK("CSG8.html#group80D8", "80D⁸"), =HYPERLINK("CSG1.html#group16M1", "16M¹"), =HYPERLINK("CSG10.html#group96E10", "96E¹⁰"), =HYPERLINK("CSG9.html#group64H9", "64H⁹"), =HYPERLINK("CSG5.html#group32I5", "32I⁵"), =HYPERLINK("CSG7.html#group32L7", "32L⁷"), =HYPERLINK("CSG22.html#group96D22", "96D²²"), =HYPERLINK("CSG11.html#group16D11", "16D¹¹"), =HYPERLINK("CSG22.html#group80E22", "80E²²"), =HYPERLINK("CSG18.html#group96G18", "96G¹⁸"), =HYPERLINK("CSG15.html#group48G15", "48G¹⁵"), =HYPERLINK("CSG5.html#group16N5", "16N⁵"), =HYPERLINK("CSG19.html#group48X19", "48X¹⁹"), =HYPERLINK("CSG11.html#group48AA11", "48AA¹¹"), =HYPERLINK("CSG24.html#group112J24", "112J²⁴"), =HYPERLINK("CSG12.html#group32A12", "32A¹²"), =HYPERLINK("CSG17.html#group48AL17", "48AL¹⁷"), =HYPERLINK("CSG24.html#group32D24", "32D²⁴"), =HYPERLINK("CSG8.html#group48P8", "48P⁸"), =HYPERLINK("CSG8.html#group96E8", "96E⁸"), =HYPERLINK("CSG13.html#group48AD13", "48AD¹³"), =HYPERLINK("CSG23.html#group112G23", "112G²³"), =HYPERLINK("CSG21.html#group16C21", "16C²¹"), =HYPERLINK("CSG18.html#group80B18", "80B¹⁸"), =HYPERLINK("CSG8.html#group96F8", "96F⁸"), =HYPERLINK("CSG17.html#group48BV17", "48BV¹⁷"), =HYPERLINK("CSG17.html#group160K17", "160K¹⁷"), =HYPERLINK("CSG17.html#group96Y17", "96Y¹⁷"), =HYPERLINK("CSG16.html#group96D16", "96D¹⁶"), =HYPERLINK("CSG20.html#group144A20", "144A²⁰"), =HYPERLINK("CSG17.html#group160J17", "160J¹⁷"), =HYPERLINK("CSG6.html#group48J6", "48J⁶"), =HYPERLINK("CSG6.html#group32B6", "32B⁶"), =HYPERLINK("CSG10.html#group48C10", "48C¹⁰"), =HYPERLINK("CSG22.html#group64B22", "64B²²"), =HYPERLINK("CSG21.html#group48BM21", "48BM²¹"), =HYPERLINK("CSG23.html#group32D23", "32D²³"), =HYPERLINK("CSG17.html#group80AP17", "80AP¹⁷"), =HYPERLINK("CSG17.html#group80AR17", "80AR¹⁷")</f>
        <v/>
      </c>
    </row>
    <row r="102">
      <c r="A102" t="inlineStr">
        <is>
          <t>16F⁰</t>
        </is>
      </c>
      <c r="B102" t="inlineStr"/>
      <c r="C102" t="inlineStr">
        <is>
          <t>32</t>
        </is>
      </c>
      <c r="D102" t="inlineStr">
        <is>
          <t>1</t>
        </is>
      </c>
      <c r="E102" t="inlineStr">
        <is>
          <t>4</t>
        </is>
      </c>
      <c r="F102" t="inlineStr">
        <is>
          <t>0</t>
        </is>
      </c>
      <c r="G102" t="inlineStr">
        <is>
          <t>8</t>
        </is>
      </c>
      <c r="H102" t="inlineStr">
        <is>
          <t>16²</t>
        </is>
      </c>
      <c r="I102" t="n">
        <v>2</v>
      </c>
      <c r="J102" t="inlineStr">
        <is>
          <t>2²</t>
        </is>
      </c>
      <c r="K102">
        <f>HYPERLINK("CSG0.html#group8E0", "8E⁰"), =HYPERLINK("CSG0.html#group16A0", "16A⁰")</f>
        <v/>
      </c>
      <c r="L102">
        <f>HYPERLINK("CSG4.html#group48I4", "48I⁴"), =HYPERLINK("CSG5.html#group16K5", "16K⁵"), =HYPERLINK("CSG6.html#group16A6", "16A⁶"), =HYPERLINK("CSG7.html#group48L7", "48L⁷"), =HYPERLINK("CSG8.html#group48A8", "48A⁸"), =HYPERLINK("CSG8.html#group80E8", "80E⁸"), =HYPERLINK("CSG15.html#group80B15", "80B¹⁵"), =HYPERLINK("CSG15.html#group112L15", "112L¹⁵"), =HYPERLINK("CSG16.html#group112B16", "112B¹⁶"), =HYPERLINK("CSG23.html#group80B23", "80B²³"), =HYPERLINK("CSG24.html#group176A24", "176A²⁴")</f>
        <v/>
      </c>
      <c r="M102">
        <f>HYPERLINK("CSG0.html#group8A0", "8A⁰"), =HYPERLINK("CSG0.html#group2A0", "2A⁰"), =HYPERLINK("CSG0.html#group8E0", "8E⁰"), =HYPERLINK("CSG0.html#group16A0", "16A⁰"), =HYPERLINK("CSG0.html#group1A0", "1A⁰"), =HYPERLINK("CSG0.html#group4A0", "4A⁰"), =HYPERLINK("CSG0.html#group4D0", "4D⁰")</f>
        <v/>
      </c>
      <c r="N102">
        <f>HYPERLINK("CSG8.html#group48A8", "48A⁸"), =HYPERLINK("CSG11.html#group16A11", "16A¹¹"), =HYPERLINK("CSG23.html#group144V23", "144V²³"), =HYPERLINK("CSG15.html#group112L15", "112L¹⁵"), =HYPERLINK("CSG21.html#group16D21", "16D²¹"), =HYPERLINK("CSG8.html#group80E8", "80E⁸"), =HYPERLINK("CSG15.html#group80B15", "80B¹⁵"), =HYPERLINK("CSG24.html#group176A24", "176A²⁴"), =HYPERLINK("CSG6.html#group16A6", "16A⁶"), =HYPERLINK("CSG24.html#group144A24", "144A²⁴"), =HYPERLINK("CSG22.html#group48A22", "48A²²"), =HYPERLINK("CSG7.html#group48L7", "48L⁷"), =HYPERLINK("CSG23.html#group80B23", "80B²³"), =HYPERLINK("CSG13.html#group48U13", "48U¹³"), =HYPERLINK("CSG15.html#group48B15", "48B¹⁵"), =HYPERLINK("CSG21.html#group16B21", "16B²¹"), =HYPERLINK("CSG13.html#group32S13", "32S¹³"), =HYPERLINK("CSG4.html#group48I4", "48I⁴"), =HYPERLINK("CSG5.html#group16K5", "16K⁵"), =HYPERLINK("CSG16.html#group112B16", "112B¹⁶"), =HYPERLINK("CSG21.html#group16E21", "16E²¹")</f>
        <v/>
      </c>
    </row>
    <row r="103">
      <c r="A103" t="inlineStr">
        <is>
          <t>16G⁰</t>
        </is>
      </c>
      <c r="B103" t="inlineStr"/>
      <c r="C103" t="inlineStr">
        <is>
          <t>48</t>
        </is>
      </c>
      <c r="D103" t="inlineStr">
        <is>
          <t>1</t>
        </is>
      </c>
      <c r="E103" t="inlineStr">
        <is>
          <t>3</t>
        </is>
      </c>
      <c r="F103" t="inlineStr">
        <is>
          <t>0</t>
        </is>
      </c>
      <c r="G103" t="inlineStr">
        <is>
          <t>0</t>
        </is>
      </c>
      <c r="H103" t="inlineStr">
        <is>
          <t>2⁸, 16²</t>
        </is>
      </c>
      <c r="I103" t="n">
        <v>10</v>
      </c>
      <c r="J103" t="inlineStr">
        <is>
          <t>1³</t>
        </is>
      </c>
      <c r="K103">
        <f>HYPERLINK("CSG0.html#group8G0", "8G⁰"), =HYPERLINK("CSG0.html#group16D0", "16D⁰"), =HYPERLINK("CSG0.html#group16E0", "16E⁰")</f>
        <v/>
      </c>
      <c r="L103">
        <f>HYPERLINK("CSG1.html#group16M1", "16M¹"), =HYPERLINK("CSG2.html#group32B2", "32B²"), =HYPERLINK("CSG3.html#group16I3", "16I³"), =HYPERLINK("CSG7.html#group48AL7", "48AL⁷"), =HYPERLINK("CSG8.html#group48C8", "48C⁸"), =HYPERLINK("CSG15.html#group80O15", "80O¹⁵"), =HYPERLINK("CSG16.html#group80A16", "80A¹⁶"), =HYPERLINK("CSG23.html#group112P23", "112P²³"), =HYPERLINK("CSG24.html#group112B24", "112B²⁴")</f>
        <v/>
      </c>
      <c r="M103">
        <f>HYPERLINK("CSG0.html#group2A0", "2A⁰"), =HYPERLINK("CSG0.html#group16E0", "16E⁰"), =HYPERLINK("CSG0.html#group8G0", "8G⁰"), =HYPERLINK("CSG0.html#group8D0", "8D⁰"), =HYPERLINK("CSG0.html#group16D0", "16D⁰"), =HYPERLINK("CSG0.html#group4C0", "4C⁰"), =HYPERLINK("CSG0.html#group8C0", "8C⁰"), =HYPERLINK("CSG0.html#group4E0", "4E⁰"), =HYPERLINK("CSG0.html#group2B0", "2B⁰"), =HYPERLINK("CSG0.html#group4B0", "4B⁰"), =HYPERLINK("CSG0.html#group1A0", "1A⁰"), =HYPERLINK("CSG0.html#group2C0", "2C⁰")</f>
        <v/>
      </c>
      <c r="N103">
        <f>HYPERLINK("CSG9.html#group16D9", "16D⁹"), =HYPERLINK("CSG23.html#group112P23", "112P²³"), =HYPERLINK("CSG13.html#group48AG13", "48AG¹³"), =HYPERLINK("CSG21.html#group16A21", "16A²¹"), =HYPERLINK("CSG5.html#group32N5", "32N⁵"), =HYPERLINK("CSG5.html#group16M5", "16M⁵"), =HYPERLINK("CSG21.html#group48CC21", "48CC²¹"), =HYPERLINK("CSG18.html#group96A18", "96A¹⁸"), =HYPERLINK("CSG17.html#group48D17", "48D¹⁷"), =HYPERLINK("CSG21.html#group64C21", "64C²¹"), =HYPERLINK("CSG19.html#group96BD19", "96BD¹⁹"), =HYPERLINK("CSG17.html#group64D17", "64D¹⁷"), =HYPERLINK("CSG19.html#group96BC19", "96BC¹⁹"), =HYPERLINK("CSG17.html#group32A17", "32A¹⁷"), =HYPERLINK("CSG17.html#group48CK17", "48CK¹⁷"), =HYPERLINK("CSG5.html#group32M5", "32M⁵"), =HYPERLINK("CSG17.html#group16A17", "16A¹⁷"), =HYPERLINK("CSG16.html#group80A16", "80A¹⁶"), =HYPERLINK("CSG17.html#group32D17", "32D¹⁷"), =HYPERLINK("CSG7.html#group48AL7", "48AL⁷"), =HYPERLINK("CSG13.html#group32T13", "32T¹³"), =HYPERLINK("CSG21.html#group48CF21", "48CF²¹"), =HYPERLINK("CSG1.html#group16M1", "16M¹"), =HYPERLINK("CSG15.html#group80O15", "80O¹⁵"), =HYPERLINK("CSG11.html#group32A11", "32A¹¹"), =HYPERLINK("CSG7.html#group32L7", "32L⁷"), =HYPERLINK("CSG9.html#group32E9", "32E⁹"), =HYPERLINK("CSG13.html#group32U13", "32U¹³"), =HYPERLINK("CSG17.html#group32B17", "32B¹⁷"), =HYPERLINK("CSG5.html#group16N5", "16N⁵"), =HYPERLINK("CSG18.html#group96C18", "96C¹⁸"), =HYPERLINK("CSG15.html#group48F15", "48F¹⁵"), =HYPERLINK("CSG13.html#group64V13", "64V¹³"), =HYPERLINK("CSG21.html#group16D21", "16D²¹"), =HYPERLINK("CSG21.html#group32C21", "32C²¹"), =HYPERLINK("CSG19.html#group64A19", "64A¹⁹"), =HYPERLINK("CSG3.html#group16I3", "16I³"), =HYPERLINK("CSG21.html#group16C21", "16C²¹"), =HYPERLINK("CSG17.html#group48CM17", "48CM¹⁷"), =HYPERLINK("CSG2.html#group32B2", "32B²"), =HYPERLINK("CSG9.html#group16B9", "16B⁹"), =HYPERLINK("CSG19.html#group48B19", "48B¹⁹"), =HYPERLINK("CSG17.html#group64A17", "64A¹⁷"), =HYPERLINK("CSG21.html#group32E21", "32E²¹"), =HYPERLINK("CSG8.html#group48C8", "48C⁸"), =HYPERLINK("CSG24.html#group112B24", "112B²⁴"), =HYPERLINK("CSG13.html#group16C13", "16C¹³"), =HYPERLINK("CSG21.html#group32D21", "32D²¹"), =HYPERLINK("CSG17.html#group48I17", "48I¹⁷"), =HYPERLINK("CSG19.html#group48H19", "48H¹⁹")</f>
        <v/>
      </c>
    </row>
    <row r="104">
      <c r="A104" t="inlineStr">
        <is>
          <t>16H⁰</t>
        </is>
      </c>
      <c r="B104" t="inlineStr">
        <is>
          <t>Γ₀(16)∩Γ₁(8)</t>
        </is>
      </c>
      <c r="C104" t="inlineStr">
        <is>
          <t>48</t>
        </is>
      </c>
      <c r="D104" t="inlineStr">
        <is>
          <t>1</t>
        </is>
      </c>
      <c r="E104" t="inlineStr">
        <is>
          <t>12</t>
        </is>
      </c>
      <c r="F104" t="inlineStr">
        <is>
          <t>0</t>
        </is>
      </c>
      <c r="G104" t="inlineStr">
        <is>
          <t>0</t>
        </is>
      </c>
      <c r="H104" t="inlineStr">
        <is>
          <t>1⁴, 2², 4², 16²</t>
        </is>
      </c>
      <c r="I104" t="n">
        <v>10</v>
      </c>
      <c r="J104" t="inlineStr">
        <is>
          <t>1⁴, 2², 4¹</t>
        </is>
      </c>
      <c r="K104">
        <f>HYPERLINK("CSG0.html#group8I0", "8I⁰"), =HYPERLINK("CSG0.html#group16C0", "16C⁰"), =HYPERLINK("CSG0.html#group16D0", "16D⁰")</f>
        <v/>
      </c>
      <c r="L104">
        <f>HYPERLINK("CSG1.html#group16M1", "16M¹"), =HYPERLINK("CSG1.html#group32E1", "32E¹"), =HYPERLINK("CSG2.html#group16J2", "16J²"), =HYPERLINK("CSG2.html#group32C2", "32C²"), =HYPERLINK("CSG3.html#group32M3", "32M³"), =HYPERLINK("CSG7.html#group48AP7", "48AP⁷"), =HYPERLINK("CSG8.html#group48E8", "48E⁸"), =HYPERLINK("CSG15.html#group80T15", "80T¹⁵"), =HYPERLINK("CSG16.html#group80B16", "80B¹⁶"), =HYPERLINK("CSG23.html#group112T23", "112T²³"), =HYPERLINK("CSG24.html#group112F24", "112F²⁴")</f>
        <v/>
      </c>
      <c r="M104">
        <f>HYPERLINK("CSG0.html#group8C0", "8C⁰"), =HYPERLINK("CSG0.html#group2B0", "2B⁰"), =HYPERLINK("CSG0.html#group8I0", "8I⁰"), =HYPERLINK("CSG0.html#group4B0", "4B⁰"), =HYPERLINK("CSG0.html#group1A0", "1A⁰"), =HYPERLINK("CSG0.html#group16C0", "16C⁰"), =HYPERLINK("CSG0.html#group16D0", "16D⁰")</f>
        <v/>
      </c>
      <c r="N104">
        <f>HYPERLINK("CSG15.html#group48Q15", "48Q¹⁵"), =HYPERLINK("CSG17.html#group128A17", "128A¹⁷"), =HYPERLINK("CSG5.html#group32N5", "32N⁵"), =HYPERLINK("CSG5.html#group16M5", "16M⁵"), =HYPERLINK("CSG18.html#group48C18", "48C¹⁸"), =HYPERLINK("CSG7.html#group32M7", "32M⁷"), =HYPERLINK("CSG5.html#group64D5", "64D⁵"), =HYPERLINK("CSG2.html#group16J2", "16J²"), =HYPERLINK("CSG5.html#group32M5", "32M⁵"), =HYPERLINK("CSG17.html#group48AC17", "48AC¹⁷"), =HYPERLINK("CSG19.html#group96BE19", "96BE¹⁹"), =HYPERLINK("CSG18.html#group48H18", "48H¹⁸"), =HYPERLINK("CSG21.html#group128C21", "128C²¹"), =HYPERLINK("CSG17.html#group128B17", "128B¹⁷"), =HYPERLINK("CSG21.html#group64K21", "64K²¹"), =HYPERLINK("CSG9.html#group32E9", "32E⁹"), =HYPERLINK("CSG13.html#group32U13", "32U¹³"), =HYPERLINK("CSG21.html#group128B21", "128B²¹"), =HYPERLINK("CSG19.html#group96C19", "96C¹⁹"), =HYPERLINK("CSG17.html#group32B17", "32B¹⁷"), =HYPERLINK("CSG13.html#group64V13", "64V¹³"), =HYPERLINK("CSG21.html#group96BI21", "96BI²¹"), =HYPERLINK("CSG13.html#group48AH13", "48AH¹³"), =HYPERLINK("CSG21.html#group32C21", "32C²¹"), =HYPERLINK("CSG19.html#group48BR19", "48BR¹⁹"), =HYPERLINK("CSG5.html#group32O5", "32O⁵"), =HYPERLINK("CSG19.html#group96BF19", "96BF¹⁹"), =HYPERLINK("CSG21.html#group64J21", "64J²¹"), =HYPERLINK("CSG17.html#group96AL17", "96AL¹⁷"), =HYPERLINK("CSG19.html#group48BQ19", "48BQ¹⁹"), =HYPERLINK("CSG24.html#group112F24", "112F²⁴"), =HYPERLINK("CSG21.html#group128A21", "128A²¹"), =HYPERLINK("CSG17.html#group64B17", "64B¹⁷"), =HYPERLINK("CSG9.html#group64A9", "64A⁹"), =HYPERLINK("CSG17.html#group32C17", "32C¹⁷"), =HYPERLINK("CSG17.html#group64D17", "64D¹⁷"), =HYPERLINK("CSG17.html#group64C17", "64C¹⁷"), =HYPERLINK("CSG9.html#group64D9", "64D⁹"), =HYPERLINK("CSG3.html#group32M3", "32M³"), =HYPERLINK("CSG15.html#group80T15", "80T¹⁵"), =HYPERLINK("CSG17.html#group48D17", "48D¹⁷"), =HYPERLINK("CSG21.html#group64C21", "64C²¹"), =HYPERLINK("CSG5.html#group64C5", "64C⁵"), =HYPERLINK("CSG19.html#group64B19", "64B¹⁹"), =HYPERLINK("CSG16.html#group80B16", "80B¹⁶"), =HYPERLINK("CSG17.html#group32A17", "32A¹⁷"), =HYPERLINK("CSG17.html#group16A17", "16A¹⁷"), =HYPERLINK("CSG17.html#group96A17", "96A¹⁷"), =HYPERLINK("CSG17.html#group32D17", "32D¹⁷"), =HYPERLINK("CSG13.html#group32T13", "32T¹³"), =HYPERLINK("CSG18.html#group96B18", "96B¹⁸"), =HYPERLINK("CSG8.html#group48E8", "48E⁸"), =HYPERLINK("CSG19.html#group96P19", "96P¹⁹"), =HYPERLINK("CSG13.html#group128E13", "128E¹³"), =HYPERLINK("CSG1.html#group16M1", "16M¹"), =HYPERLINK("CSG1.html#group32E1", "32E¹"), =HYPERLINK("CSG5.html#group16N5", "16N⁵"), =HYPERLINK("CSG2.html#group32C2", "32C²"), =HYPERLINK("CSG21.html#group96BK21", "96BK²¹"), =HYPERLINK("CSG17.html#group96K17", "96K¹⁷"), =HYPERLINK("CSG11.html#group64B11", "64B¹¹"), =HYPERLINK("CSG17.html#group96AK17", "96AK¹⁷"), =HYPERLINK("CSG18.html#group96D18", "96D¹⁸"), =HYPERLINK("CSG17.html#group48CP17", "48CP¹⁷"), =HYPERLINK("CSG21.html#group128E21", "128E²¹"), =HYPERLINK("CSG23.html#group112T23", "112T²³"), =HYPERLINK("CSG17.html#group48CM17", "48CM¹⁷"), =HYPERLINK("CSG9.html#group64E9", "64E⁹"), =HYPERLINK("CSG13.html#group64W13", "64W¹³"), =HYPERLINK("CSG17.html#group64A17", "64A¹⁷"), =HYPERLINK("CSG13.html#group16C13", "16C¹³"), =HYPERLINK("CSG19.html#group32B19", "32B¹⁹"), =HYPERLINK("CSG7.html#group48AP7", "48AP⁷")</f>
        <v/>
      </c>
    </row>
    <row r="105">
      <c r="A105" t="inlineStr">
        <is>
          <t>18A⁰</t>
        </is>
      </c>
      <c r="B105" t="inlineStr"/>
      <c r="C105" t="inlineStr">
        <is>
          <t>18</t>
        </is>
      </c>
      <c r="D105" t="inlineStr">
        <is>
          <t>2</t>
        </is>
      </c>
      <c r="E105" t="inlineStr">
        <is>
          <t>9</t>
        </is>
      </c>
      <c r="F105" t="inlineStr">
        <is>
          <t>8</t>
        </is>
      </c>
      <c r="G105" t="inlineStr">
        <is>
          <t>0</t>
        </is>
      </c>
      <c r="H105" t="inlineStr">
        <is>
          <t>18¹</t>
        </is>
      </c>
      <c r="I105" t="n">
        <v>1</v>
      </c>
      <c r="J105" t="inlineStr">
        <is>
          <t>2³, 6²</t>
        </is>
      </c>
      <c r="K105">
        <f>HYPERLINK("CSG0.html#group6B0", "6B⁰"), =HYPERLINK("CSG0.html#group9A0", "9A⁰")</f>
        <v/>
      </c>
      <c r="L105">
        <f>HYPERLINK("CSG0.html#group18D0", "18D⁰"), =HYPERLINK("CSG1.html#group18H1", "18H¹"), =HYPERLINK("CSG2.html#group18G2", "18G²"), =HYPERLINK("CSG2.html#group18K2", "18K²"), =HYPERLINK("CSG2.html#group18L2", "18L²"), =HYPERLINK("CSG2.html#group18M2", "18M²"), =HYPERLINK("CSG2.html#group36D2", "36D²"), =HYPERLINK("CSG3.html#group18C3", "18C³"), =HYPERLINK("CSG5.html#group90A5", "90A⁵"), =HYPERLINK("CSG5.html#group126A5", "126A⁵"), =HYPERLINK("CSG5.html#group126B5", "126B⁵"), =HYPERLINK("CSG6.html#group90A6", "90A⁶"), =HYPERLINK("CSG11.html#group90G11", "90G¹¹"), =HYPERLINK("CSG11.html#group198A11", "198A¹¹"), =HYPERLINK("CSG11.html#group198B11", "198B¹¹"), =HYPERLINK("CSG12.html#group126D12", "126D¹²"), =HYPERLINK("CSG17.html#group234A17", "234A¹⁷"), =HYPERLINK("CSG18.html#group198D18", "198D¹⁸"), =HYPERLINK("CSG23.html#group306B23", "306B²³")</f>
        <v/>
      </c>
      <c r="M105">
        <f>HYPERLINK("CSG0.html#group6B0", "6B⁰"), =HYPERLINK("CSG0.html#group3A0", "3A⁰"), =HYPERLINK("CSG0.html#group1A0", "1A⁰"), =HYPERLINK("CSG0.html#group9A0", "9A⁰")</f>
        <v/>
      </c>
      <c r="N105">
        <f>HYPERLINK("CSG21.html#group90J21", "90J²¹"), =HYPERLINK("CSG7.html#group18E7", "18E⁷"), =HYPERLINK("CSG20.html#group90D20", "90D²⁰"), =HYPERLINK("CSG4.html#group18R4", "18R⁴"), =HYPERLINK("CSG16.html#group18F16", "18F¹⁶"), =HYPERLINK("CSG15.html#group36B15", "36B¹⁵"), =HYPERLINK("CSG13.html#group18A13", "18A¹³"), =HYPERLINK("CSG22.html#group126A22", "126A²²"), =HYPERLINK("CSG22.html#group54H22", "54H²²"), =HYPERLINK("CSG23.html#group90F23", "90F²³"), =HYPERLINK("CSG4.html#group18O4", "18O⁴"), =HYPERLINK("CSG17.html#group126C17", "126C¹⁷"), =HYPERLINK("CSG15.html#group72P15", "72P¹⁵"), =HYPERLINK("CSG6.html#group18E6", "18E⁶"), =HYPERLINK("CSG12.html#group126D12", "126D¹²"), =HYPERLINK("CSG1.html#group18H1", "18H¹"), =HYPERLINK("CSG16.html#group18H16", "18H¹⁶"), =HYPERLINK("CSG5.html#group36K5", "36K⁵"), =HYPERLINK("CSG9.html#group36O9", "36O⁹"), =HYPERLINK("CSG16.html#group126B16", "126B¹⁶"), =HYPERLINK("CSG21.html#group90L21", "90L²¹"), =HYPERLINK("CSG24.html#group198A24", "198A²⁴"), =HYPERLINK("CSG16.html#group36H16", "36H¹⁶"), =HYPERLINK("CSG7.html#group36F7", "36F⁷"), =HYPERLINK("CSG13.html#group36P13", "36P¹³"), =HYPERLINK("CSG11.html#group36A11", "36A¹¹"), =HYPERLINK("CSG16.html#group18G16", "18G¹⁶"), =HYPERLINK("CSG9.html#group90G9", "90G⁹"), =HYPERLINK("CSG21.html#group54B21", "54B²¹"), =HYPERLINK("CSG21.html#group72P21", "72P²¹"), =HYPERLINK("CSG18.html#group126D18", "126D¹⁸"), =HYPERLINK("CSG12.html#group72M12", "72M¹²"), =HYPERLINK("CSG8.html#group36F8", "36F⁸"), =HYPERLINK("CSG13.html#group18B13", "18B¹³"), =HYPERLINK("CSG22.html#group36D22", "36D²²"), =HYPERLINK("CSG11.html#group198B11", "198B¹¹"), =HYPERLINK("CSG17.html#group72W17", "72W¹⁷"), =HYPERLINK("CSG14.html#group90D14", "90D¹⁴"), =HYPERLINK("CSG24.html#group54A24", "54A²⁴"), =HYPERLINK("CSG20.html#group144H20", "144H²⁰"), =HYPERLINK("CSG4.html#group18S4", "18S⁴"), =HYPERLINK("CSG14.html#group126E14", "126E¹⁴"), =HYPERLINK("CSG16.html#group18C16", "18C¹⁶"), =HYPERLINK("CSG15.html#group90N15", "90N¹⁵"), =HYPERLINK("CSG15.html#group90M15", "90M¹⁵"), =HYPERLINK("CSG13.html#group36S13", "36S¹³"), =HYPERLINK("CSG19.html#group54A19", "54A¹⁹"), =HYPERLINK("CSG5.html#group18A5", "18A⁵"), =HYPERLINK("CSG11.html#group198A11", "198A¹¹"), =HYPERLINK("CSG4.html#group36R4", "36R⁴"), =HYPERLINK("CSG9.html#group36K9", "36K⁹"), =HYPERLINK("CSG12.html#group90A12", "90A¹²"), =HYPERLINK("CSG5.html#group126A5", "126A⁵"), =HYPERLINK("CSG18.html#group198D18", "198D¹⁸"), =HYPERLINK("CSG13.html#group36G13", "36G¹³"), =HYPERLINK("CSG7.html#group18L7", "18L⁷"), =HYPERLINK("CSG23.html#group126A23", "126A²³"), =HYPERLINK("CSG20.html#group144D20", "144D²⁰"), =HYPERLINK("CSG14.html#group72K14", "72K¹⁴"), =HYPERLINK("CSG16.html#group72K16", "72K¹⁶"), =HYPERLINK("CSG20.html#group144E20", "144E²⁰"), =HYPERLINK("CSG23.html#group36A23", "36A²³"), =HYPERLINK("CSG23.html#group126H23", "126H²³"), =HYPERLINK("CSG3.html#group36F3", "36F³"), =HYPERLINK("CSG12.html#group36F12", "36F¹²"), =HYPERLINK("CSG12.html#group126J12", "126J¹²"), =HYPERLINK("CSG8.html#group72J8", "72J⁸"), =HYPERLINK("CSG6.html#group90A6", "90A⁶"), =HYPERLINK("CSG19.html#group90J19", "90J¹⁹"), =HYPERLINK("CSG16.html#group126A16", "126A¹⁶"), =HYPERLINK("CSG6.html#group18B6", "18B⁶"), =HYPERLINK("CSG16.html#group90B16", "90B¹⁶"), =HYPERLINK("CSG13.html#group36L13", "36L¹³"), =HYPERLINK("CSG19.html#group18E19", "18E¹⁹"), =HYPERLINK("CSG5.html#group90A5", "90A⁵"), =HYPERLINK("CSG23.html#group306B23", "306B²³"), =HYPERLINK("CSG6.html#group18D6", "18D⁶"), =HYPERLINK("CSG8.html#group72I8", "72I⁸"), =HYPERLINK("CSG5.html#group36C5", "36C⁵"), =HYPERLINK("CSG15.html#group90F15", "90F¹⁵"), =HYPERLINK("CSG13.html#group36M13", "36M¹³"), =HYPERLINK("CSG22.html#group54J22", "54J²²"), =HYPERLINK("CSG22.html#group36I22", "36I²²"), =HYPERLINK("CSG3.html#group18C3", "18C³"), =HYPERLINK("CSG12.html#group36E12", "36E¹²"), =HYPERLINK("CSG17.html#group90J17", "90J¹⁷"), =HYPERLINK("CSG19.html#group144J19", "144J¹⁹"), =HYPERLINK("CSG23.html#group90C23", "90C²³"), =HYPERLINK("CSG15.html#group36K15", "36K¹⁵"), =HYPERLINK("CSG16.html#group72R16", "72R¹⁶"), =HYPERLINK("CSG17.html#group90K17", "90K¹⁷"), =HYPERLINK("CSG15.html#group36I15", "36I¹⁵"), =HYPERLINK("CSG2.html#group18K2", "18K²"), =HYPERLINK("CSG8.html#group54D8", "54D⁸"), =HYPERLINK("CSG21.html#group90K21", "90K²¹"), =HYPERLINK("CSG18.html#group126E18", "126E¹⁸"), =HYPERLINK("CSG10.html#group36T10", "36T¹⁰"), =HYPERLINK("CSG18.html#group18A18", "18A¹⁸"), =HYPERLINK("CSG21.html#group36D21", "36D²¹"), =HYPERLINK("CSG2.html#group18L2", "18L²"), =HYPERLINK("CSG8.html#group72K8", "72K⁸"), =HYPERLINK("CSG19.html#group36S19", "36S¹⁹"), =HYPERLINK("CSG23.html#group72G23", "72G²³"), =HYPERLINK("CSG23.html#group126G23", "126G²³"), =HYPERLINK("CSG21.html#group90N21", "90N²¹"), =HYPERLINK("CSG16.html#group54V16", "54V¹⁶"), =HYPERLINK("CSG21.html#group36A21", "36A²¹"), =HYPERLINK("CSG8.html#group18B8", "18B⁸"), =HYPERLINK("CSG19.html#group90F19", "90F¹⁹"), =HYPERLINK("CSG16.html#group54Q16", "54Q¹⁶"), =HYPERLINK("CSG15.html#group36J15", "36J¹⁵"), =HYPERLINK("CSG2.html#group36D2", "36D²"), =HYPERLINK("CSG13.html#group36F13", "36F¹³"), =HYPERLINK("CSG21.html#group126G21", "126G²¹"), =HYPERLINK("CSG4.html#group18L4", "18L⁴"), =HYPERLINK("CSG7.html#group18G7", "18G⁷"), =HYPERLINK("CSG13.html#group18C13", "18C¹³"), =HYPERLINK("CSG11.html#group72R11", "72R¹¹"), =HYPERLINK("CSG19.html#group18B19", "18B¹⁹"), =HYPERLINK("CSG23.html#group144Y23", "144Y²³"), =HYPERLINK("CSG7.html#group54A7", "54A⁷"), =HYPERLINK("CSG16.html#group72J16", "72J¹⁶"), =HYPERLINK("CSG13.html#group18H13", "18H¹³"), =HYPERLINK("CSG18.html#group36B18", "36B¹⁸"), =HYPERLINK("CSG21.html#group90M21", "90M²¹"), =HYPERLINK("CSG17.html#group72S17", "72S¹⁷"), =HYPERLINK("CSG21.html#group72AA21", "72AA²¹"), =HYPERLINK("CSG16.html#group18D16", "18D¹⁶"), =HYPERLINK("CSG22.html#group54K22", "54K²²"), =HYPERLINK("CSG5.html#group36M5", "36M⁵"), =HYPERLINK("CSG12.html#group36G12", "36G¹²"), =HYPERLINK("CSG19.html#group36T19", "36T¹⁹"), =HYPERLINK("CSG19.html#group36K19", "36K¹⁹"), =HYPERLINK("CSG11.html#group54A11", "54A¹¹"), =HYPERLINK("CSG20.html#group144G20", "144G²⁰"), =HYPERLINK("CSG17.html#group72H17", "72H¹⁷"), =HYPERLINK("CSG19.html#group54B19", "54B¹⁹"), =HYPERLINK("CSG13.html#group126J13", "126J¹³"), =HYPERLINK("CSG13.html#group36E13", "36E¹³"), =HYPERLINK("CSG15.html#group36P15", "36P¹⁵"), =HYPERLINK("CSG20.html#group144F20", "144F²⁰"), =HYPERLINK("CSG12.html#group36H12", "36H¹²"), =HYPERLINK("CSG15.html#group72Z15", "72Z¹⁵"), =HYPERLINK("CSG7.html#group18C7", "18C⁷"), =HYPERLINK("CSG17.html#group234A17", "234A¹⁷"), =HYPERLINK("CSG20.html#group90C20", "90C²⁰"), =HYPERLINK("CSG21.html#group126H21", "126H²¹"), =HYPERLINK("CSG9.html#group72H9", "72H⁹"), =HYPERLINK("CSG23.html#group72H23", "72H²³"), =HYPERLINK("CSG21.html#group72Q21", "72Q²¹"), =HYPERLINK("CSG20.html#group90E20", "90E²⁰"), =HYPERLINK("CSG15.html#group36E15", "36E¹⁵"), =HYPERLINK("CSG11.html#group90H11", "90H¹¹"), =HYPERLINK("CSG5.html#group126B5", "126B⁵"), =HYPERLINK("CSG19.html#group18D19", "18D¹⁹"), =HYPERLINK("CSG15.html#group36L15", "36L¹⁵"), =HYPERLINK("CSG13.html#group36Q13", "36Q¹³"), =HYPERLINK("CSG19.html#group18C19", "18C¹⁹"), =HYPERLINK("CSG4.html#group18T4", "18T⁴"), =HYPERLINK("CSG7.html#group18J7", "18J⁷"), =HYPERLINK("CSG11.html#group54B11", "54B¹¹"), =HYPERLINK("CSG11.html#group36F11", "36F¹¹"), =HYPERLINK("CSG7.html#group18K7", "18K⁷"), =HYPERLINK("CSG12.html#group72L12", "72L¹²"), =HYPERLINK("CSG8.html#group72H8", "72H⁸"), =HYPERLINK("CSG17.html#group126D17", "126D¹⁷"), =HYPERLINK("CSG11.html#group36J11", "36J¹¹"), =HYPERLINK("CSG21.html#group72S21", "72S²¹"), =HYPERLINK("CSG21.html#group54A21", "54A²¹"), =HYPERLINK("CSG2.html#group18M2", "18M²"), =HYPERLINK("CSG11.html#group90K11", "90K¹¹"), =HYPERLINK("CSG20.html#group144C20", "144C²⁰"), =HYPERLINK("CSG15.html#group36O15", "36O¹⁵"), =HYPERLINK("CSG21.html#group126R21", "126R²¹"), =HYPERLINK("CSG14.html#group126F14", "126F¹⁴"), =HYPERLINK("CSG0.html#group18D0", "18D⁰"), =HYPERLINK("CSG24.html#group54B24", "54B²⁴"), =HYPERLINK("CSG13.html#group18F13", "18F¹³"), =HYPERLINK("CSG13.html#group126K13", "126K¹³"), =HYPERLINK("CSG7.html#group18F7", "18F⁷"), =HYPERLINK("CSG2.html#group18G2", "18G²"), =HYPERLINK("CSG11.html#group90G11", "90G¹¹"), =HYPERLINK("CSG13.html#group36O13", "36O¹³")</f>
        <v/>
      </c>
    </row>
    <row r="106">
      <c r="A106" t="inlineStr">
        <is>
          <t>18B⁰</t>
        </is>
      </c>
      <c r="B106" t="inlineStr"/>
      <c r="C106" t="inlineStr">
        <is>
          <t>24</t>
        </is>
      </c>
      <c r="D106" t="inlineStr">
        <is>
          <t>1</t>
        </is>
      </c>
      <c r="E106" t="inlineStr">
        <is>
          <t>4</t>
        </is>
      </c>
      <c r="F106" t="inlineStr">
        <is>
          <t>0</t>
        </is>
      </c>
      <c r="G106" t="inlineStr">
        <is>
          <t>6</t>
        </is>
      </c>
      <c r="H106" t="inlineStr">
        <is>
          <t>6¹, 18¹</t>
        </is>
      </c>
      <c r="I106" t="n">
        <v>2</v>
      </c>
      <c r="J106" t="inlineStr">
        <is>
          <t>1², 2¹</t>
        </is>
      </c>
      <c r="K106">
        <f>HYPERLINK("CSG0.html#group6C0", "6C⁰"), =HYPERLINK("CSG0.html#group9C0", "9C⁰")</f>
        <v/>
      </c>
      <c r="L106">
        <f>HYPERLINK("CSG0.html#group36A0", "36A⁰"), =HYPERLINK("CSG1.html#group18K1", "18K¹"), =HYPERLINK("CSG2.html#group18N2", "18N²"), =HYPERLINK("CSG2.html#group18O2", "18O²"), =HYPERLINK("CSG2.html#group54A2", "54A²"), =HYPERLINK("CSG3.html#group54C3", "54C³"), =HYPERLINK("CSG4.html#group18C4", "18C⁴"), =HYPERLINK("CSG4.html#group18E4", "18E⁴"), =HYPERLINK("CSG4.html#group54B4", "54B⁴"), =HYPERLINK("CSG4.html#group54D4", "54D⁴"), =HYPERLINK("CSG5.html#group36G5", "36G⁵"), =HYPERLINK("CSG5.html#group54C5", "54C⁵"), =HYPERLINK("CSG6.html#group54A6", "54A⁶"), =HYPERLINK("CSG6.html#group90C6", "90C⁶"), =HYPERLINK("CSG11.html#group90C11", "90C¹¹"), =HYPERLINK("CSG11.html#group126C11", "126C¹¹"), =HYPERLINK("CSG12.html#group126F12", "126F¹²"), =HYPERLINK("CSG17.html#group90O17", "90O¹⁷"), =HYPERLINK("CSG18.html#group198E18", "198E¹⁸"), =HYPERLINK("CSG23.html#group198C23", "198C²³"), =HYPERLINK("CSG23.html#group234B23", "234B²³")</f>
        <v/>
      </c>
      <c r="M106">
        <f>HYPERLINK("CSG0.html#group3B0", "3B⁰"), =HYPERLINK("CSG0.html#group2A0", "2A⁰"), =HYPERLINK("CSG0.html#group9C0", "9C⁰"), =HYPERLINK("CSG0.html#group1A0", "1A⁰"), =HYPERLINK("CSG0.html#group6C0", "6C⁰")</f>
        <v/>
      </c>
      <c r="N106">
        <f>HYPERLINK("CSG22.html#group108D22", "108D²²"), =HYPERLINK("CSG23.html#group252B23", "252B²³"), =HYPERLINK("CSG4.html#group18C4", "18C⁴"), =HYPERLINK("CSG22.html#group90K22", "90K²²"), =HYPERLINK("CSG10.html#group54G10", "54G¹⁰"), =HYPERLINK("CSG6.html#group54A6", "54A⁶"), =HYPERLINK("CSG17.html#group36H17", "36H¹⁷"), =HYPERLINK("CSG11.html#group72J11", "72J¹¹"), =HYPERLINK("CSG19.html#group72C19", "72C¹⁹"), =HYPERLINK("CSG13.html#group18G13", "18G¹³"), =HYPERLINK("CSG16.html#group54K16", "54K¹⁶"), =HYPERLINK("CSG2.html#group18O2", "18O²"), =HYPERLINK("CSG22.html#group108C22", "108C²²"), =HYPERLINK("CSG14.html#group54B14", "54B¹⁴"), =HYPERLINK("CSG13.html#group54P13", "54P¹³"), =HYPERLINK("CSG23.html#group180A23", "180A²³"), =HYPERLINK("CSG5.html#group36G5", "36G⁵"), =HYPERLINK("CSG16.html#group54D16", "54D¹⁶"), =HYPERLINK("CSG24.html#group270A24", "270A²⁴"), =HYPERLINK("CSG24.html#group90I24", "90I²⁴"), =HYPERLINK("CSG2.html#group18N2", "18N²"), =HYPERLINK("CSG22.html#group36M22", "36M²²"), =HYPERLINK("CSG13.html#group54S13", "54S¹³"), =HYPERLINK("CSG16.html#group36F16", "36F¹⁶"), =HYPERLINK("CSG4.html#group18E4", "18E⁴"), =HYPERLINK("CSG21.html#group72C21", "72C²¹"), =HYPERLINK("CSG22.html#group36N22", "36N²²"), =HYPERLINK("CSG17.html#group36A17", "36A¹⁷"), =HYPERLINK("CSG19.html#group72K19", "72K¹⁹"), =HYPERLINK("CSG21.html#group90E21", "90E²¹"), =HYPERLINK("CSG23.html#group234B23", "234B²³"), =HYPERLINK("CSG19.html#group72A19", "72A¹⁹"), =HYPERLINK("CSG13.html#group54I13", "54I¹³"), =HYPERLINK("CSG17.html#group90O17", "90O¹⁷"), =HYPERLINK("CSG21.html#group72Y21", "72Y²¹"), =HYPERLINK("CSG23.html#group144V23", "144V²³"), =HYPERLINK("CSG13.html#group18C13", "18C¹³"), =HYPERLINK("CSG10.html#group18E10", "18E¹⁰"), =HYPERLINK("CSG11.html#group54D11", "54D¹¹"), =HYPERLINK("CSG11.html#group90C11", "90C¹¹"), =HYPERLINK("CSG19.html#group72M19", "72M¹⁹"), =HYPERLINK("CSG10.html#group18D10", "18D¹⁰"), =HYPERLINK("CSG16.html#group54A16", "54A¹⁶"), =HYPERLINK("CSG13.html#group54N13", "54N¹³"), =HYPERLINK("CSG16.html#group54C16", "54C¹⁶"), =HYPERLINK("CSG11.html#group72I11", "72I¹¹"), =HYPERLINK("CSG10.html#group54C10", "54C¹⁰"), =HYPERLINK("CSG22.html#group108A22", "108A²²"), =HYPERLINK("CSG8.html#group108A8", "108A⁸"), =HYPERLINK("CSG19.html#group36C19", "36C¹⁹"), =HYPERLINK("CSG10.html#group54F10", "54F¹⁰"), =HYPERLINK("CSG12.html#group180A12", "180A¹²"), =HYPERLINK("CSG10.html#group36A10", "36A¹⁰"), =HYPERLINK("CSG16.html#group54B16", "54B¹⁶"), =HYPERLINK("CSG24.html#group90E24", "90E²⁴"), =HYPERLINK("CSG8.html#group108B8", "108B⁸"), =HYPERLINK("CSG21.html#group108D21", "108D²¹"), =HYPERLINK("CSG10.html#group108C10", "108C¹⁰"), =HYPERLINK("CSG11.html#group54C11", "54C¹¹"), =HYPERLINK("CSG23.html#group126J23", "126J²³"), =HYPERLINK("CSG24.html#group90H24", "90H²⁴"), =HYPERLINK("CSG6.html#group108A6", "108A⁶"), =HYPERLINK("CSG16.html#group54E16", "54E¹⁶"), =HYPERLINK("CSG24.html#group252E24", "252E²⁴"), =HYPERLINK("CSG4.html#group54D4", "54D⁴"), =HYPERLINK("CSG2.html#group54A2", "54A²"), =HYPERLINK("CSG22.html#group270A22", "270A²²"), =HYPERLINK("CSG11.html#group18B11", "18B¹¹"), =HYPERLINK("CSG13.html#group54E13", "54E¹³"), =HYPERLINK("CSG21.html#group126S21", "126S²¹"), =HYPERLINK("CSG16.html#group54P16", "54P¹⁶"), =HYPERLINK("CSG23.html#group180C23", "180C²³"), =HYPERLINK("CSG22.html#group36K22", "36K²²"), =HYPERLINK("CSG13.html#group54T13", "54T¹³"), =HYPERLINK("CSG22.html#group90I22", "90I²²"), =HYPERLINK("CSG12.html#group126F12", "126F¹²"), =HYPERLINK("CSG16.html#group54F16", "54F¹⁶"), =HYPERLINK("CSG6.html#group36K6", "36K⁶"), =HYPERLINK("CSG19.html#group36A19", "36A¹⁹"), =HYPERLINK("CSG16.html#group54L16", "54L¹⁶"), =HYPERLINK("CSG16.html#group54H16", "54H¹⁶"), =HYPERLINK("CSG5.html#group54C5", "54C⁵"), =HYPERLINK("CSG16.html#group54M16", "54M¹⁶"), =HYPERLINK("CSG21.html#group108B21", "108B²¹"), =HYPERLINK("CSG22.html#group90J22", "90J²²"), =HYPERLINK("CSG0.html#group36A0", "36A⁰"), =HYPERLINK("CSG10.html#group36C10", "36C¹⁰"), =HYPERLINK("CSG22.html#group108B22", "108B²²"), =HYPERLINK("CSG23.html#group198C23", "198C²³"), =HYPERLINK("CSG1.html#group18K1", "18K¹"), =HYPERLINK("CSG10.html#group18G10", "18G¹⁰"), =HYPERLINK("CSG4.html#group54B4", "54B⁴"), =HYPERLINK("CSG24.html#group90F24", "90F²⁴"), =HYPERLINK("CSG16.html#group54I16", "54I¹⁶"), =HYPERLINK("CSG24.html#group270B24", "270B²⁴"), =HYPERLINK("CSG23.html#group108A23", "108A²³"), =HYPERLINK("CSG16.html#group54G16", "54G¹⁶"), =HYPERLINK("CSG4.html#group108A4", "108A⁴"), =HYPERLINK("CSG21.html#group72A21", "72A²¹"), =HYPERLINK("CSG24.html#group90D24", "90D²⁴"), =HYPERLINK("CSG16.html#group54J16", "54J¹⁶"), =HYPERLINK("CSG14.html#group54A14", "54A¹⁴"), =HYPERLINK("CSG13.html#group54O13", "54O¹³"), =HYPERLINK("CSG3.html#group54C3", "54C³"), =HYPERLINK("CSG24.html#group252F24", "252F²⁴"), =HYPERLINK("CSG17.html#group36F17", "36F¹⁷"), =HYPERLINK("CSG6.html#group36J6", "36J⁶"), =HYPERLINK("CSG23.html#group252A23", "252A²³"), =HYPERLINK("CSG9.html#group36C9", "36C⁹"), =HYPERLINK("CSG4.html#group36S4", "36S⁴"), =HYPERLINK("CSG24.html#group90G24", "90G²⁴"), =HYPERLINK("CSG8.html#group36H8", "36H⁸"), =HYPERLINK("CSG20.html#group108A20", "108A²⁰"), =HYPERLINK("CSG6.html#group90C6", "90C⁶"), =HYPERLINK("CSG19.html#group36E19", "36E¹⁹"), =HYPERLINK("CSG23.html#group144U23", "144U²³"), =HYPERLINK("CSG18.html#group198E18", "198E¹⁸"), =HYPERLINK("CSG9.html#group36N9", "36N⁹"), =HYPERLINK("CSG7.html#group18P7", "18P⁷"), =HYPERLINK("CSG12.html#group108A12", "108A¹²"), =HYPERLINK("CSG19.html#group108B19", "108B¹⁹"), =HYPERLINK("CSG11.html#group126C11", "126C¹¹"), =HYPERLINK("CSG11.html#group18A11", "18A¹¹"), =HYPERLINK("CSG10.html#group18F10", "18F¹⁰")</f>
        <v/>
      </c>
    </row>
    <row r="107">
      <c r="A107" t="inlineStr">
        <is>
          <t>18C⁰</t>
        </is>
      </c>
      <c r="B107" t="inlineStr"/>
      <c r="C107" t="inlineStr">
        <is>
          <t>24</t>
        </is>
      </c>
      <c r="D107" t="inlineStr">
        <is>
          <t>1</t>
        </is>
      </c>
      <c r="E107" t="inlineStr">
        <is>
          <t>8</t>
        </is>
      </c>
      <c r="F107" t="inlineStr">
        <is>
          <t>0</t>
        </is>
      </c>
      <c r="G107" t="inlineStr">
        <is>
          <t>3</t>
        </is>
      </c>
      <c r="H107" t="inlineStr">
        <is>
          <t>2³, 18¹</t>
        </is>
      </c>
      <c r="I107" t="n">
        <v>4</v>
      </c>
      <c r="J107" t="inlineStr">
        <is>
          <t>2⁴</t>
        </is>
      </c>
      <c r="K107">
        <f>HYPERLINK("CSG0.html#group6C0", "6C⁰")</f>
        <v/>
      </c>
      <c r="L107">
        <f>HYPERLINK("CSG1.html#group18J1", "18J¹"), =HYPERLINK("CSG1.html#group18K1", "18K¹"), =HYPERLINK("CSG1.html#group36B1", "36B¹"), =HYPERLINK("CSG4.html#group18F4", "18F⁴"), =HYPERLINK("CSG4.html#group18H4", "18H⁴"), =HYPERLINK("CSG4.html#group36O4", "36O⁴"), =HYPERLINK("CSG7.html#group90E7", "90E⁷"), =HYPERLINK("CSG9.html#group90F9", "90F⁹"), =HYPERLINK("CSG11.html#group126D11", "126D¹¹"), =HYPERLINK("CSG12.html#group126G12", "126G¹²"), =HYPERLINK("CSG16.html#group90A16", "90A¹⁶"), =HYPERLINK("CSG19.html#group198A19", "198A¹⁹"), =HYPERLINK("CSG21.html#group198D21", "198D²¹"), =HYPERLINK("CSG23.html#group234C23", "234C²³")</f>
        <v/>
      </c>
      <c r="M107">
        <f>HYPERLINK("CSG0.html#group3B0", "3B⁰"), =HYPERLINK("CSG0.html#group2A0", "2A⁰"), =HYPERLINK("CSG0.html#group1A0", "1A⁰"), =HYPERLINK("CSG0.html#group6C0", "6C⁰")</f>
        <v/>
      </c>
      <c r="N107">
        <f>HYPERLINK("CSG21.html#group72Z21", "72Z²¹"), =HYPERLINK("CSG21.html#group180F21", "180F²¹"), =HYPERLINK("CSG23.html#group234C23", "234C²³"), =HYPERLINK("CSG4.html#group18F4", "18F⁴"), =HYPERLINK("CSG21.html#group36F21", "36F²¹"), =HYPERLINK("CSG11.html#group72L11", "72L¹¹"), =HYPERLINK("CSG22.html#group108C22", "108C²²"), =HYPERLINK("CSG7.html#group36H7", "36H⁷"), =HYPERLINK("CSG13.html#group54P13", "54P¹³"), =HYPERLINK("CSG4.html#group36O4", "36O⁴"), =HYPERLINK("CSG21.html#group108E21", "108E²¹"), =HYPERLINK("CSG11.html#group72K11", "72K¹¹"), =HYPERLINK("CSG13.html#group18G13", "18G¹³"), =HYPERLINK("CSG16.html#group90A16", "90A¹⁶"), =HYPERLINK("CSG10.html#group18J10", "18J¹⁰"), =HYPERLINK("CSG13.html#group72W13", "72W¹³"), =HYPERLINK("CSG13.html#group36U13", "36U¹³"), =HYPERLINK("CSG22.html#group36K22", "36K²²"), =HYPERLINK("CSG10.html#group18K10", "18K¹⁰"), =HYPERLINK("CSG22.html#group90I22", "90I²²"), =HYPERLINK("CSG22.html#group90L22", "90L²²"), =HYPERLINK("CSG17.html#group72N17", "72N¹⁷"), =HYPERLINK("CSG22.html#group36M22", "36M²²"), =HYPERLINK("CSG1.html#group36B1", "36B¹"), =HYPERLINK("CSG16.html#group36F16", "36F¹⁶"), =HYPERLINK("CSG19.html#group36F19", "36F¹⁹"), =HYPERLINK("CSG13.html#group72R13", "72R¹³"), =HYPERLINK("CSG23.html#group126L23", "126L²³"), =HYPERLINK("CSG24.html#group72B24", "72B²⁴"), =HYPERLINK("CSG12.html#group126G12", "126G¹²"), =HYPERLINK("CSG5.html#group36L5", "36L⁵"), =HYPERLINK("CSG9.html#group90F9", "90F⁹"), =HYPERLINK("CSG1.html#group18K1", "18K¹"), =HYPERLINK("CSG21.html#group198D21", "198D²¹"), =HYPERLINK("CSG21.html#group126T21", "126T²¹"), =HYPERLINK("CSG10.html#group18E10", "18E¹⁰"), =HYPERLINK("CSG17.html#group72M17", "72M¹⁷"), =HYPERLINK("CSG19.html#group198A19", "198A¹⁹"), =HYPERLINK("CSG1.html#group18J1", "18J¹"), =HYPERLINK("CSG16.html#group54J16", "54J¹⁶"), =HYPERLINK("CSG13.html#group72V13", "72V¹³"), =HYPERLINK("CSG15.html#group180A15", "180A¹⁵"), =HYPERLINK("CSG4.html#group18H4", "18H⁴"), =HYPERLINK("CSG17.html#group108F17", "108F¹⁷"), =HYPERLINK("CSG7.html#group90E7", "90E⁷"), =HYPERLINK("CSG11.html#group126D11", "126D¹¹"), =HYPERLINK("CSG4.html#group36S4", "36S⁴"), =HYPERLINK("CSG10.html#group54F10", "54F¹⁰"), =HYPERLINK("CSG10.html#group36D10", "36D¹⁰"), =HYPERLINK("CSG7.html#group18O7", "18O⁷"), =HYPERLINK("CSG19.html#group36H19", "36H¹⁹"), =HYPERLINK("CSG10.html#group36F10", "36F¹⁰"), =HYPERLINK("CSG13.html#group54B13", "54B¹³"), =HYPERLINK("CSG9.html#group36Q9", "36Q⁹"), =HYPERLINK("CSG17.html#group36J17", "36J¹⁷"), =HYPERLINK("CSG13.html#group18D13", "18D¹³"), =HYPERLINK("CSG7.html#group36M7", "36M⁷"), =HYPERLINK("CSG22.html#group108E22", "108E²²"), =HYPERLINK("CSG13.html#group36T13", "36T¹³"), =HYPERLINK("CSG13.html#group18F13", "18F¹³"), =HYPERLINK("CSG7.html#group18P7", "18P⁷"), =HYPERLINK("CSG10.html#group54A10", "54A¹⁰"), =HYPERLINK("CSG7.html#group54B7", "54B⁷"), =HYPERLINK("CSG17.html#group90S17", "90S¹⁷"), =HYPERLINK("CSG3.html#group36J3", "36J³"), =HYPERLINK("CSG13.html#group72Q13", "72Q¹³"), =HYPERLINK("CSG21.html#group180E21", "180E²¹")</f>
        <v/>
      </c>
    </row>
    <row r="108">
      <c r="A108" t="inlineStr">
        <is>
          <t>18D⁰</t>
        </is>
      </c>
      <c r="B108" t="inlineStr"/>
      <c r="C108" t="inlineStr">
        <is>
          <t>36</t>
        </is>
      </c>
      <c r="D108" t="inlineStr">
        <is>
          <t>1</t>
        </is>
      </c>
      <c r="E108" t="inlineStr">
        <is>
          <t>3</t>
        </is>
      </c>
      <c r="F108" t="inlineStr">
        <is>
          <t>12</t>
        </is>
      </c>
      <c r="G108" t="inlineStr">
        <is>
          <t>0</t>
        </is>
      </c>
      <c r="H108" t="inlineStr">
        <is>
          <t>18²</t>
        </is>
      </c>
      <c r="I108" t="n">
        <v>2</v>
      </c>
      <c r="J108" t="inlineStr">
        <is>
          <t>1¹, 2¹</t>
        </is>
      </c>
      <c r="K108">
        <f>HYPERLINK("CSG0.html#group6E0", "6E⁰"), =HYPERLINK("CSG0.html#group9D0", "9D⁰"), =HYPERLINK("CSG0.html#group18A0", "18A⁰")</f>
        <v/>
      </c>
      <c r="L108">
        <f>HYPERLINK("CSG3.html#group36F3", "36F³"), =HYPERLINK("CSG4.html#group18L4", "18L⁴"), =HYPERLINK("CSG4.html#group18O4", "18O⁴"), =HYPERLINK("CSG4.html#group18R4", "18R⁴"), =HYPERLINK("CSG4.html#group18S4", "18S⁴"), =HYPERLINK("CSG4.html#group18T4", "18T⁴"), =HYPERLINK("CSG5.html#group18A5", "18A⁵"), =HYPERLINK("CSG5.html#group36M5", "36M⁵"), =HYPERLINK("CSG11.html#group90H11", "90H¹¹"), =HYPERLINK("CSG12.html#group90A12", "90A¹²"), =HYPERLINK("CSG12.html#group126J12", "126J¹²"), =HYPERLINK("CSG23.html#group90C23", "90C²³"), =HYPERLINK("CSG23.html#group126A23", "126A²³"), =HYPERLINK("CSG24.html#group198A24", "198A²⁴")</f>
        <v/>
      </c>
      <c r="M108">
        <f>HYPERLINK("CSG0.html#group6B0", "6B⁰"), =HYPERLINK("CSG0.html#group9D0", "9D⁰"), =HYPERLINK("CSG0.html#group6E0", "6E⁰"), =HYPERLINK("CSG0.html#group9A0", "9A⁰"), =HYPERLINK("CSG0.html#group3C0", "3C⁰"), =HYPERLINK("CSG0.html#group3A0", "3A⁰"), =HYPERLINK("CSG0.html#group1A0", "1A⁰"), =HYPERLINK("CSG0.html#group18A0", "18A⁰")</f>
        <v/>
      </c>
      <c r="N108">
        <f>HYPERLINK("CSG4.html#group18S4", "18S⁴"), =HYPERLINK("CSG16.html#group18C16", "18C¹⁶"), =HYPERLINK("CSG13.html#group36E13", "36E¹³"), =HYPERLINK("CSG15.html#group36P15", "36P¹⁵"), =HYPERLINK("CSG19.html#group54A19", "54A¹⁹"), =HYPERLINK("CSG5.html#group18A5", "18A⁵"), =HYPERLINK("CSG4.html#group18R4", "18R⁴"), =HYPERLINK("CSG12.html#group90A12", "90A¹²"), =HYPERLINK("CSG13.html#group36G13", "36G¹³"), =HYPERLINK("CSG23.html#group126A23", "126A²³"), =HYPERLINK("CSG16.html#group18F16", "18F¹⁶"), =HYPERLINK("CSG15.html#group36B15", "36B¹⁵"), =HYPERLINK("CSG21.html#group90N21", "90N²¹"), =HYPERLINK("CSG16.html#group54V16", "54V¹⁶"), =HYPERLINK("CSG21.html#group36A21", "36A²¹"), =HYPERLINK("CSG23.html#group36A23", "36A²³"), =HYPERLINK("CSG11.html#group90H11", "90H¹¹"), =HYPERLINK("CSG3.html#group36F3", "36F³"), =HYPERLINK("CSG4.html#group18T4", "18T⁴"), =HYPERLINK("CSG13.html#group18A13", "18A¹³"), =HYPERLINK("CSG13.html#group36Q13", "36Q¹³"), =HYPERLINK("CSG16.html#group54Q16", "54Q¹⁶"), =HYPERLINK("CSG4.html#group18O4", "18O⁴"), =HYPERLINK("CSG12.html#group126J12", "126J¹²"), =HYPERLINK("CSG13.html#group36F13", "36F¹³"), =HYPERLINK("CSG17.html#group72W17", "72W¹⁷"), =HYPERLINK("CSG4.html#group18L4", "18L⁴"), =HYPERLINK("CSG13.html#group18C13", "18C¹³"), =HYPERLINK("CSG16.html#group18H16", "18H¹⁶"), =HYPERLINK("CSG13.html#group36L13", "36L¹³"), =HYPERLINK("CSG9.html#group36O9", "36O⁹"), =HYPERLINK("CSG11.html#group36J11", "36J¹¹"), =HYPERLINK("CSG24.html#group198A24", "198A²⁴"), =HYPERLINK("CSG13.html#group18H13", "18H¹³"), =HYPERLINK("CSG11.html#group36A11", "36A¹¹"), =HYPERLINK("CSG17.html#group72S17", "72S¹⁷"), =HYPERLINK("CSG21.html#group72AA21", "72AA²¹"), =HYPERLINK("CSG16.html#group18G16", "18G¹⁶"), =HYPERLINK("CSG16.html#group18D16", "18D¹⁶"), =HYPERLINK("CSG13.html#group18F13", "18F¹³"), =HYPERLINK("CSG13.html#group36M13", "36M¹³"), =HYPERLINK("CSG22.html#group54K22", "54K²²"), =HYPERLINK("CSG22.html#group54J22", "54J²²"), =HYPERLINK("CSG5.html#group36M5", "36M⁵"), =HYPERLINK("CSG13.html#group18B13", "18B¹³"), =HYPERLINK("CSG23.html#group90C23", "90C²³"), =HYPERLINK("CSG13.html#group36O13", "36O¹³"), =HYPERLINK("CSG19.html#group54B19", "54B¹⁹")</f>
        <v/>
      </c>
    </row>
    <row r="109">
      <c r="A109" t="inlineStr">
        <is>
          <t>18E⁰</t>
        </is>
      </c>
      <c r="B109" t="inlineStr">
        <is>
          <t>Γ₀(18)</t>
        </is>
      </c>
      <c r="C109" t="inlineStr">
        <is>
          <t>36</t>
        </is>
      </c>
      <c r="D109" t="inlineStr">
        <is>
          <t>1</t>
        </is>
      </c>
      <c r="E109" t="inlineStr">
        <is>
          <t>12</t>
        </is>
      </c>
      <c r="F109" t="inlineStr">
        <is>
          <t>0</t>
        </is>
      </c>
      <c r="G109" t="inlineStr">
        <is>
          <t>0</t>
        </is>
      </c>
      <c r="H109" t="inlineStr">
        <is>
          <t>1³, 2³, 9¹, 18¹</t>
        </is>
      </c>
      <c r="I109" t="n">
        <v>8</v>
      </c>
      <c r="J109" t="inlineStr">
        <is>
          <t>1⁶, 2³</t>
        </is>
      </c>
      <c r="K109">
        <f>HYPERLINK("CSG0.html#group6F0", "6F⁰"), =HYPERLINK("CSG0.html#group9B0", "9B⁰")</f>
        <v/>
      </c>
      <c r="L109">
        <f>HYPERLINK("CSG1.html#group18J1", "18J¹"), =HYPERLINK("CSG1.html#group36C1", "36C¹"), =HYPERLINK("CSG2.html#group18Q2", "18Q²"), =HYPERLINK("CSG2.html#group54B2", "54B²"), =HYPERLINK("CSG3.html#group36G3", "36G³"), =HYPERLINK("CSG4.html#group18M4", "18M⁴"), =HYPERLINK("CSG4.html#group54E4", "54E⁴"), =HYPERLINK("CSG6.html#group54B6", "54B⁶"), =HYPERLINK("CSG11.html#group90J11", "90J¹¹"), =HYPERLINK("CSG12.html#group90C12", "90C¹²"), =HYPERLINK("CSG17.html#group126J17", "126J¹⁷"), =HYPERLINK("CSG18.html#group126F18", "126F¹⁸"), =HYPERLINK("CSG23.html#group90E23", "90E²³")</f>
        <v/>
      </c>
      <c r="M109">
        <f>HYPERLINK("CSG0.html#group3B0", "3B⁰"), =HYPERLINK("CSG0.html#group9B0", "9B⁰"), =HYPERLINK("CSG0.html#group1A0", "1A⁰"), =HYPERLINK("CSG0.html#group2B0", "2B⁰"), =HYPERLINK("CSG0.html#group6F0", "6F⁰")</f>
        <v/>
      </c>
      <c r="N109">
        <f>HYPERLINK("CSG17.html#group108G17", "108G¹⁷"), =HYPERLINK("CSG17.html#group126J17", "126J¹⁷"), =HYPERLINK("CSG10.html#group18M10", "18M¹⁰"), =HYPERLINK("CSG13.html#group72U13", "72U¹³"), =HYPERLINK("CSG7.html#group36H7", "36H⁷"), =HYPERLINK("CSG21.html#group144C21", "144C²¹"), =HYPERLINK("CSG9.html#group72B9", "72B⁹"), =HYPERLINK("CSG16.html#group18B16", "18B¹⁶"), =HYPERLINK("CSG22.html#group36L22", "36L²²"), =HYPERLINK("CSG7.html#group36I7", "36I⁷"), =HYPERLINK("CSG7.html#group108A7", "108A⁷"), =HYPERLINK("CSG13.html#group144J13", "144J¹³"), =HYPERLINK("CSG7.html#group72C7", "72C⁷"), =HYPERLINK("CSG13.html#group72R13", "72R¹³"), =HYPERLINK("CSG22.html#group162B22", "162B²²"), =HYPERLINK("CSG12.html#group90C12", "90C¹²"), =HYPERLINK("CSG22.html#group108F22", "108F²²"), =HYPERLINK("CSG9.html#group72I9", "72I⁹"), =HYPERLINK("CSG4.html#group54E4", "54E⁴"), =HYPERLINK("CSG21.html#group90O21", "90O²¹"), =HYPERLINK("CSG22.html#group216C22", "216C²²"), =HYPERLINK("CSG13.html#group144H13", "144H¹³"), =HYPERLINK("CSG16.html#group54S16", "54S¹⁶"), =HYPERLINK("CSG6.html#group54B6", "54B⁶"), =HYPERLINK("CSG10.html#group18E10", "18E¹⁰"), =HYPERLINK("CSG16.html#group54T16", "54T¹⁶"), =HYPERLINK("CSG17.html#group72M17", "72M¹⁷"), =HYPERLINK("CSG19.html#group144I19", "144I¹⁹"), =HYPERLINK("CSG13.html#group36D13", "36D¹³"), =HYPERLINK("CSG1.html#group18J1", "18J¹"), =HYPERLINK("CSG15.html#group72Y15", "72Y¹⁵"), =HYPERLINK("CSG13.html#group144I13", "144I¹³"), =HYPERLINK("CSG17.html#group72Y17", "72Y¹⁷"), =HYPERLINK("CSG7.html#group18O7", "18O⁷"), =HYPERLINK("CSG23.html#group90E23", "90E²³"), =HYPERLINK("CSG17.html#group144D17", "144D¹⁷"), =HYPERLINK("CSG10.html#group108F10", "108F¹⁰"), =HYPERLINK("CSG13.html#group54B13", "54B¹³"), =HYPERLINK("CSG16.html#group162E16", "162E¹⁶"), =HYPERLINK("CSG9.html#group36Q9", "36Q⁹"), =HYPERLINK("CSG19.html#group72O19", "72O¹⁹"), =HYPERLINK("CSG3.html#group36K3", "36K³"), =HYPERLINK("CSG10.html#group54A10", "54A¹⁰"), =HYPERLINK("CSG7.html#group54B7", "54B⁷"), =HYPERLINK("CSG22.html#group72L22", "72L²²"), =HYPERLINK("CSG13.html#group72Q13", "72Q¹³"), =HYPERLINK("CSG21.html#group144A21", "144A²¹"), =HYPERLINK("CSG21.html#group72AC21", "72AC²¹"), =HYPERLINK("CSG22.html#group54A22", "54A²²"), =HYPERLINK("CSG2.html#group54B2", "54B²"), =HYPERLINK("CSG17.html#group36L17", "36L¹⁷"), =HYPERLINK("CSG22.html#group162A22", "162A²²"), =HYPERLINK("CSG21.html#group36F21", "36F²¹"), =HYPERLINK("CSG17.html#group72Q17", "72Q¹⁷"), =HYPERLINK("CSG21.html#group144I21", "144I²¹"), =HYPERLINK("CSG21.html#group108E21", "108E²¹"), =HYPERLINK("CSG11.html#group108E11", "108E¹¹"), =HYPERLINK("CSG15.html#group144E15", "144E¹⁵"), =HYPERLINK("CSG11.html#group90J11", "90J¹¹"), =HYPERLINK("CSG13.html#group72T13", "72T¹³"), =HYPERLINK("CSG3.html#group72A3", "72A³"), =HYPERLINK("CSG13.html#group72W13", "72W¹³"), =HYPERLINK("CSG17.html#group72U17", "72U¹⁷"), =HYPERLINK("CSG17.html#group216A17", "216A¹⁷"), =HYPERLINK("CSG13.html#group36U13", "36U¹³"), =HYPERLINK("CSG22.html#group36K22", "36K²²"), =HYPERLINK("CSG2.html#group18Q2", "18Q²"), =HYPERLINK("CSG17.html#group72N17", "72N¹⁷"), =HYPERLINK("CSG5.html#group72B5", "72B⁵"), =HYPERLINK("CSG13.html#group144G13", "144G¹³"), =HYPERLINK("CSG9.html#group72C9", "72C⁹"), =HYPERLINK("CSG7.html#group72D7", "72D⁷"), =HYPERLINK("CSG21.html#group144K21", "144K²¹"), =HYPERLINK("CSG10.html#group54I10", "54I¹⁰"), =HYPERLINK("CSG17.html#group72T17", "72T¹⁷"), =HYPERLINK("CSG3.html#group36G3", "36G³"), =HYPERLINK("CSG7.html#group36O7", "36O⁷"), =HYPERLINK("CSG13.html#group108B13", "108B¹³"), =HYPERLINK("CSG13.html#group72S13", "72S¹³"), =HYPERLINK("CSG10.html#group36Q10", "36Q¹⁰"), =HYPERLINK("CSG5.html#group36L5", "36L⁵"), =HYPERLINK("CSG13.html#group72V13", "72V¹³"), =HYPERLINK("CSG17.html#group108F17", "108F¹⁷"), =HYPERLINK("CSG13.html#group108A13", "108A¹³"), =HYPERLINK("CSG21.html#group144L21", "144L²¹"), =HYPERLINK("CSG21.html#group144J21", "144J²¹"), =HYPERLINK("CSG21.html#group144D21", "144D²¹"), =HYPERLINK("CSG21.html#group216B21", "216B²¹"), =HYPERLINK("CSG17.html#group36J17", "36J¹⁷"), =HYPERLINK("CSG22.html#group108E22", "108E²²"), =HYPERLINK("CSG17.html#group72R17", "72R¹⁷"), =HYPERLINK("CSG11.html#group36K11", "36K¹¹"), =HYPERLINK("CSG13.html#group36T13", "36T¹³"), =HYPERLINK("CSG21.html#group144B21", "144B²¹"), =HYPERLINK("CSG18.html#group126F18", "126F¹⁸"), =HYPERLINK("CSG1.html#group36C1", "36C¹"), =HYPERLINK("CSG4.html#group18M4", "18M⁴"), =HYPERLINK("CSG3.html#group36J3", "36J³"), =HYPERLINK("CSG22.html#group54E22", "54E²²"), =HYPERLINK("CSG15.html#group108A15", "108A¹⁵"), =HYPERLINK("CSG17.html#group144E17", "144E¹⁷"), =HYPERLINK("CSG16.html#group54R16", "54R¹⁶")</f>
        <v/>
      </c>
    </row>
    <row r="110">
      <c r="A110" t="inlineStr">
        <is>
          <t>20A⁰</t>
        </is>
      </c>
      <c r="B110" t="inlineStr"/>
      <c r="C110" t="inlineStr">
        <is>
          <t>36</t>
        </is>
      </c>
      <c r="D110" t="inlineStr">
        <is>
          <t>1</t>
        </is>
      </c>
      <c r="E110" t="inlineStr">
        <is>
          <t>18</t>
        </is>
      </c>
      <c r="F110" t="inlineStr">
        <is>
          <t>4</t>
        </is>
      </c>
      <c r="G110" t="inlineStr">
        <is>
          <t>0</t>
        </is>
      </c>
      <c r="H110" t="inlineStr">
        <is>
          <t>1², 4¹, 5², 20¹</t>
        </is>
      </c>
      <c r="I110" t="n">
        <v>6</v>
      </c>
      <c r="J110" t="inlineStr">
        <is>
          <t>1⁶, 4³</t>
        </is>
      </c>
      <c r="K110">
        <f>HYPERLINK("CSG0.html#group10C0", "10C⁰")</f>
        <v/>
      </c>
      <c r="L110">
        <f>HYPERLINK("CSG1.html#group20H1", "20H¹"), =HYPERLINK("CSG1.html#group20I1", "20I¹"), =HYPERLINK("CSG1.html#group40A1", "40A¹"), =HYPERLINK("CSG3.html#group20I3", "20I³"), =HYPERLINK("CSG3.html#group40I3", "40I³"), =HYPERLINK("CSG4.html#group60C4", "60C⁴"), =HYPERLINK("CSG6.html#group20D6", "20D⁶"), =HYPERLINK("CSG6.html#group100A6", "100A⁶"), =HYPERLINK("CSG7.html#group60O7", "60O⁷"), =HYPERLINK("CSG12.html#group100A12", "100A¹²"), =HYPERLINK("CSG12.html#group100D12", "100D¹²"), =HYPERLINK("CSG12.html#group100B12", "100B¹²"), =HYPERLINK("CSG12.html#group100C12", "100C¹²"), =HYPERLINK("CSG16.html#group140C16", "140C¹⁶"), =HYPERLINK("CSG19.html#group140H19", "140H¹⁹")</f>
        <v/>
      </c>
      <c r="M110">
        <f>HYPERLINK("CSG0.html#group5B0", "5B⁰"), =HYPERLINK("CSG0.html#group10C0", "10C⁰"), =HYPERLINK("CSG0.html#group1A0", "1A⁰"), =HYPERLINK("CSG0.html#group2B0", "2B⁰")</f>
        <v/>
      </c>
      <c r="N110">
        <f>HYPERLINK("CSG17.html#group20B17", "20B¹⁷"), =HYPERLINK("CSG13.html#group40M13", "40M¹³"), =HYPERLINK("CSG17.html#group80AN17", "80AN¹⁷"), =HYPERLINK("CSG17.html#group80AA17", "80AA¹⁷"), =HYPERLINK("CSG15.html#group200A15", "200A¹⁵"), =HYPERLINK("CSG6.html#group100A6", "100A⁶"), =HYPERLINK("CSG16.html#group140C16", "140C¹⁶"), =HYPERLINK("CSG13.html#group40R13", "40R¹³"), =HYPERLINK("CSG13.html#group80G13", "80G¹³"), =HYPERLINK("CSG5.html#group20J5", "20J⁵"), =HYPERLINK("CSG5.html#group20I5", "20I⁵"), =HYPERLINK("CSG23.html#group120S23", "120S²³"), =HYPERLINK("CSG7.html#group20L7", "20L⁷"), =HYPERLINK("CSG17.html#group80AM17", "80AM¹⁷"), =HYPERLINK("CSG7.html#group40AC7", "40AC⁷"), =HYPERLINK("CSG13.html#group40K13", "40K¹³"), =HYPERLINK("CSG11.html#group20E11", "20E¹¹"), =HYPERLINK("CSG21.html#group60W21", "60W²¹"), =HYPERLINK("CSG11.html#group60O11", "60O¹¹"), =HYPERLINK("CSG15.html#group60C15", "60C¹⁵"), =HYPERLINK("CSG1.html#group20H1", "20H¹"), =HYPERLINK("CSG11.html#group120D11", "120D¹¹"), =HYPERLINK("CSG21.html#group120O21", "120O²¹"), =HYPERLINK("CSG20.html#group180H20", "180H²⁰"), =HYPERLINK("CSG13.html#group20F13", "20F¹³"), =HYPERLINK("CSG3.html#group20T3", "20T³"), =HYPERLINK("CSG13.html#group60W13", "60W¹³"), =HYPERLINK("CSG12.html#group100A12", "100A¹²"), =HYPERLINK("CSG13.html#group120K13", "120K¹³"), =HYPERLINK("CSG5.html#group20K5", "20K⁵"), =HYPERLINK("CSG5.html#group40M5", "40M⁵"), =HYPERLINK("CSG21.html#group40G21", "40G²¹"), =HYPERLINK("CSG9.html#group60M9", "60M⁹"), =HYPERLINK("CSG13.html#group80I13", "80I¹³"), =HYPERLINK("CSG17.html#group40AR17", "40AR¹⁷"), =HYPERLINK("CSG5.html#group40L5", "40L⁵"), =HYPERLINK("CSG13.html#group40S13", "40S¹³"), =HYPERLINK("CSG13.html#group60AJ13", "60AJ¹³"), =HYPERLINK("CSG21.html#group60X21", "60X²¹"), =HYPERLINK("CSG9.html#group40K9", "40K⁹"), =HYPERLINK("CSG13.html#group100J13", "100J¹³"), =HYPERLINK("CSG13.html#group40U13", "40U¹³"), =HYPERLINK("CSG15.html#group40AD15", "40AD¹⁵"), =HYPERLINK("CSG11.html#group40K11", "40K¹¹"), =HYPERLINK("CSG9.html#group40W9", "40W⁹"), =HYPERLINK("CSG17.html#group40Z17", "40Z¹⁷"), =HYPERLINK("CSG13.html#group120L13", "120L¹³"), =HYPERLINK("CSG17.html#group80AT17", "80AT¹⁷"), =HYPERLINK("CSG13.html#group60N13", "60N¹³"), =HYPERLINK("CSG19.html#group120M19", "120M¹⁹"), =HYPERLINK("CSG15.html#group40AJ15", "40AJ¹⁵"), =HYPERLINK("CSG3.html#group20S3", "20S³"), =HYPERLINK("CSG17.html#group40AC17", "40AC¹⁷"), =HYPERLINK("CSG21.html#group80U21", "80U²¹"), =HYPERLINK("CSG3.html#group40I3", "40I³"), =HYPERLINK("CSG13.html#group40W13", "40W¹³"), =HYPERLINK("CSG23.html#group120Q23", "120Q²³"), =HYPERLINK("CSG13.html#group40O13", "40O¹³"), =HYPERLINK("CSG7.html#group40K7", "40K⁷"), =HYPERLINK("CSG21.html#group80E21", "80E²¹"), =HYPERLINK("CSG21.html#group80Y21", "80Y²¹"), =HYPERLINK("CSG17.html#group80AF17", "80AF¹⁷"), =HYPERLINK("CSG13.html#group80E13", "80E¹³"), =HYPERLINK("CSG5.html#group40N5", "40N⁵"), =HYPERLINK("CSG3.html#group20I3", "20I³"), =HYPERLINK("CSG15.html#group40AH15", "40AH¹⁵"), =HYPERLINK("CSG17.html#group80U17", "80U¹⁷"), =HYPERLINK("CSG17.html#group40AN17", "40AN¹⁷"), =HYPERLINK("CSG17.html#group40AI17", "40AI¹⁷"), =HYPERLINK("CSG15.html#group40Y15", "40Y¹⁵"), =HYPERLINK("CSG1.html#group40A1", "40A¹"), =HYPERLINK("CSG11.html#group120C11", "120C¹¹"), =HYPERLINK("CSG7.html#group40T7", "40T⁷"), =HYPERLINK("CSG13.html#group20E13", "20E¹³"), =HYPERLINK("CSG13.html#group40P13", "40P¹³"), =HYPERLINK("CSG4.html#group60C4", "60C⁴"), =HYPERLINK("CSG23.html#group120R23", "120R²³"), =HYPERLINK("CSG7.html#group60O7", "60O⁷"), =HYPERLINK("CSG17.html#group40Y17", "40Y¹⁷"), =HYPERLINK("CSG9.html#group60N9", "60N⁹"), =HYPERLINK("CSG23.html#group60N23", "60N²³"), =HYPERLINK("CSG13.html#group40L13", "40L¹³"), =HYPERLINK("CSG13.html#group40V13", "40V¹³"), =HYPERLINK("CSG6.html#group20D6", "20D⁶"), =HYPERLINK("CSG12.html#group100B12", "100B¹²"), =HYPERLINK("CSG17.html#group40T17", "40T¹⁷"), =HYPERLINK("CSG13.html#group80H13", "80H¹³"), =HYPERLINK("CSG12.html#group100C12", "100C¹²"), =HYPERLINK("CSG15.html#group120M15", "120M¹⁵"), =HYPERLINK("CSG17.html#group80V17", "80V¹⁷"), =HYPERLINK("CSG19.html#group40C19", "40C¹⁹"), =HYPERLINK("CSG17.html#group100E17", "100E¹⁷"), =HYPERLINK("CSG13.html#group40Q13", "40Q¹³"), =HYPERLINK("CSG17.html#group60S17", "60S¹⁷"), =HYPERLINK("CSG13.html#group40T13", "40T¹³"), =HYPERLINK("CSG15.html#group40AG15", "40AG¹⁵"), =HYPERLINK("CSG17.html#group80BC17", "80BC¹⁷"), =HYPERLINK("CSG13.html#group40N13", "40N¹³"), =HYPERLINK("CSG13.html#group80C13", "80C¹³"), =HYPERLINK("CSG17.html#group80AS17", "80AS¹⁷"), =HYPERLINK("CSG17.html#group40AQ17", "40AQ¹⁷"), =HYPERLINK("CSG17.html#group40W17", "40W¹⁷"), =HYPERLINK("CSG23.html#group60R23", "60R²³"), =HYPERLINK("CSG19.html#group20C19", "20C¹⁹"), =HYPERLINK("CSG5.html#group40O5", "40O⁵"), =HYPERLINK("CSG11.html#group60R11", "60R¹¹"), =HYPERLINK("CSG9.html#group40F9", "40F⁹"), =HYPERLINK("CSG17.html#group40V17", "40V¹⁷"), =HYPERLINK("CSG19.html#group100P19", "100P¹⁹"), =HYPERLINK("CSG12.html#group100D12", "100D¹²"), =HYPERLINK("CSG3.html#group40J3", "40J³"), =HYPERLINK("CSG13.html#group40J13", "40J¹³"), =HYPERLINK("CSG13.html#group20G13", "20G¹³"), =HYPERLINK("CSG13.html#group80F13", "80F¹³"), =HYPERLINK("CSG1.html#group20I1", "20I¹"), =HYPERLINK("CSG19.html#group140H19", "140H¹⁹"), =HYPERLINK("CSG13.html#group80D13", "80D¹³"), =HYPERLINK("CSG17.html#group60P17", "60P¹⁷"), =HYPERLINK("CSG9.html#group20F9", "20F⁹"), =HYPERLINK("CSG21.html#group200C21", "200C²¹")</f>
        <v/>
      </c>
    </row>
    <row r="111">
      <c r="A111" t="inlineStr">
        <is>
          <t>21A⁰</t>
        </is>
      </c>
      <c r="B111" t="inlineStr"/>
      <c r="C111" t="inlineStr">
        <is>
          <t>21</t>
        </is>
      </c>
      <c r="D111" t="inlineStr">
        <is>
          <t>2</t>
        </is>
      </c>
      <c r="E111" t="inlineStr">
        <is>
          <t>7</t>
        </is>
      </c>
      <c r="F111" t="inlineStr">
        <is>
          <t>9</t>
        </is>
      </c>
      <c r="G111" t="inlineStr">
        <is>
          <t>0</t>
        </is>
      </c>
      <c r="H111" t="inlineStr">
        <is>
          <t>21¹</t>
        </is>
      </c>
      <c r="I111" t="n">
        <v>1</v>
      </c>
      <c r="J111" t="inlineStr">
        <is>
          <t>2¹, 6²</t>
        </is>
      </c>
      <c r="K111">
        <f>HYPERLINK("CSG0.html#group3A0", "3A⁰"), =HYPERLINK("CSG0.html#group7A0", "7A⁰")</f>
        <v/>
      </c>
      <c r="L111">
        <f>HYPERLINK("CSG1.html#group21D1", "21D¹"), =HYPERLINK("CSG1.html#group21E1", "21E¹"), =HYPERLINK("CSG1.html#group42A1", "42A¹"), =HYPERLINK("CSG1.html#group42B1", "42B¹"), =HYPERLINK("CSG2.html#group21C2", "21C²"), =HYPERLINK("CSG2.html#group21D2", "21D²"), =HYPERLINK("CSG2.html#group42A2", "42A²"), =HYPERLINK("CSG2.html#group63A2", "63A²"), =HYPERLINK("CSG3.html#group21C3", "21C³"), =HYPERLINK("CSG3.html#group42C3", "42C³"), =HYPERLINK("CSG3.html#group84A3", "84A³"), =HYPERLINK("CSG4.html#group42A4", "42A⁴"), =HYPERLINK("CSG6.html#group105C6", "105C⁶"), =HYPERLINK("CSG7.html#group105A7", "105A⁷"), =HYPERLINK("CSG13.html#group105C13", "105C¹³"), =HYPERLINK("CSG13.html#group231A13", "231A¹³"), =HYPERLINK("CSG13.html#group231B13", "231B¹³"), =HYPERLINK("CSG20.html#group273A20", "273A²⁰"), =HYPERLINK("CSG21.html#group231A21", "231A²¹")</f>
        <v/>
      </c>
      <c r="M111">
        <f>HYPERLINK("CSG0.html#group3A0", "3A⁰"), =HYPERLINK("CSG0.html#group1A0", "1A⁰"), =HYPERLINK("CSG0.html#group7A0", "7A⁰")</f>
        <v/>
      </c>
      <c r="N111">
        <f>HYPERLINK("CSG24.html#group336I24", "336I²⁴"), =HYPERLINK("CSG16.html#group126D16", "126D¹⁶"), =HYPERLINK("CSG24.html#group168H24", "168H²⁴"), =HYPERLINK("CSG16.html#group84F16", "84F¹⁶"), =HYPERLINK("CSG17.html#group21B17", "21B¹⁷"), =HYPERLINK("CSG16.html#group168E16", "168E¹⁶"), =HYPERLINK("CSG15.html#group21B15", "21B¹⁵"), =HYPERLINK("CSG16.html#group105B16", "105B¹⁶"), =HYPERLINK("CSG16.html#group126C16", "126C¹⁶"), =HYPERLINK("CSG14.html#group105E14", "105E¹⁴"), =HYPERLINK("CSG24.html#group42D24", "42D²⁴"), =HYPERLINK("CSG14.html#group84A14", "84A¹⁴"), =HYPERLINK("CSG7.html#group21C7", "21C⁷"), =HYPERLINK("CSG21.html#group84M21", "84M²¹"), =HYPERLINK("CSG19.html#group84H19", "84H¹⁹"), =HYPERLINK("CSG14.html#group42F14", "42F¹⁴"), =HYPERLINK("CSG15.html#group42H15", "42H¹⁵"), =HYPERLINK("CSG16.html#group84D16", "84D¹⁶"), =HYPERLINK("CSG23.html#group168M23", "168M²³"), =HYPERLINK("CSG8.html#group63A8", "63A⁸"), =HYPERLINK("CSG19.html#group126E19", "126E¹⁹"), =HYPERLINK("CSG22.html#group168L22", "168L²²"), =HYPERLINK("CSG10.html#group42A10", "42A¹⁰"), =HYPERLINK("CSG23.html#group84E23", "84E²³"), =HYPERLINK("CSG22.html#group126A22", "126A²²"), =HYPERLINK("CSG13.html#group42A13", "42A¹³"), =HYPERLINK("CSG19.html#group42F19", "42F¹⁹"), =HYPERLINK("CSG13.html#group105C13", "105C¹³"), =HYPERLINK("CSG24.html#group63B24", "63B²⁴"), =HYPERLINK("CSG7.html#group63D7", "63D⁷"), =HYPERLINK("CSG8.html#group126D8", "126D⁸"), =HYPERLINK("CSG18.html#group63G18", "63G¹⁸"), =HYPERLINK("CSG17.html#group126C17", "126C¹⁷"), =HYPERLINK("CSG13.html#group42D13", "42D¹³"), =HYPERLINK("CSG13.html#group42C13", "42C¹³"), =HYPERLINK("CSG24.html#group168E24", "168E²⁴"), =HYPERLINK("CSG22.html#group105B22", "105B²²"), =HYPERLINK("CSG8.html#group84I8", "84I⁸"), =HYPERLINK("CSG8.html#group126A8", "126A⁸"), =HYPERLINK("CSG8.html#group126C8", "126C⁸"), =HYPERLINK("CSG17.html#group168A17", "168A¹⁷"), =HYPERLINK("CSG21.html#group42E21", "42E²¹"), =HYPERLINK("CSG20.html#group84D20", "84D²⁰"), =HYPERLINK("CSG19.html#group63E19", "63E¹⁹"), =HYPERLINK("CSG16.html#group42F16", "42F¹⁶"), =HYPERLINK("CSG7.html#group42A7", "42A⁷"), =HYPERLINK("CSG7.html#group21A7", "21A⁷"), =HYPERLINK("CSG24.html#group168G24", "168G²⁴"), =HYPERLINK("CSG20.html#group126E20", "126E²⁰"), =HYPERLINK("CSG21.html#group126E21", "126E²¹"), =HYPERLINK("CSG13.html#group231B13", "231B¹³"), =HYPERLINK("CSG18.html#group126K18", "126K¹⁸"), =HYPERLINK("CSG24.html#group336G24", "336G²⁴"), =HYPERLINK("CSG21.html#group84L21", "84L²¹"), =HYPERLINK("CSG2.html#group21D2", "21D²"), =HYPERLINK("CSG14.html#group126E14", "126E¹⁴"), =HYPERLINK("CSG21.html#group126D21", "126D²¹"), =HYPERLINK("CSG7.html#group126A7", "126A⁷"), =HYPERLINK("CSG20.html#group84H20", "84H²⁰"), =HYPERLINK("CSG2.html#group21C2", "21C²"), =HYPERLINK("CSG19.html#group168C19", "168C¹⁹"), =HYPERLINK("CSG20.html#group168D20", "168D²⁰"), =HYPERLINK("CSG17.html#group63A17", "63A¹⁷"), =HYPERLINK("CSG5.html#group126A5", "126A⁵"), =HYPERLINK("CSG21.html#group63D21", "63D²¹"), =HYPERLINK("CSG3.html#group21C3", "21C³"), =HYPERLINK("CSG19.html#group126D19", "126D¹⁹"), =HYPERLINK("CSG23.html#group42K23", "42K²³"), =HYPERLINK("CSG22.html#group63B22", "63B²²"), =HYPERLINK("CSG19.html#group42B19", "42B¹⁹"), =HYPERLINK("CSG13.html#group42I13", "42I¹³"), =HYPERLINK("CSG18.html#group210A18", "210A¹⁸"), =HYPERLINK("CSG24.html#group63H24", "63H²⁴"), =HYPERLINK("CSG15.html#group21A15", "21A¹⁵"), =HYPERLINK("CSG19.html#group84D19", "84D¹⁹"), =HYPERLINK("CSG15.html#group168B15", "168B¹⁵"), =HYPERLINK("CSG12.html#group126J12", "126J¹²"), =HYPERLINK("CSG18.html#group84H18", "84H¹⁸"), =HYPERLINK("CSG18.html#group63F18", "63F¹⁸"), =HYPERLINK("CSG11.html#group21B11", "21B¹¹"), =HYPERLINK("CSG15.html#group105D15", "105D¹⁵"), =HYPERLINK("CSG16.html#group126A16", "126A¹⁶"), =HYPERLINK("CSG19.html#group126A19", "126A¹⁹"), =HYPERLINK("CSG18.html#group84E18", "84E¹⁸"), =HYPERLINK("CSG15.html#group84H15", "84H¹⁵"), =HYPERLINK("CSG18.html#group63C18", "63C¹⁸"), =HYPERLINK("CSG23.html#group84C23", "84C²³"), =HYPERLINK("CSG14.html#group42C14", "42C¹⁴"), =HYPERLINK("CSG17.html#group210E17", "210E¹⁷"), =HYPERLINK("CSG18.html#group63A18", "63A¹⁸"), =HYPERLINK("CSG12.html#group21B12", "21B¹²"), =HYPERLINK("CSG22.html#group168J22", "168J²²"), =HYPERLINK("CSG13.html#group231A13", "231A¹³"), =HYPERLINK("CSG19.html#group63D19", "63D¹⁹"), =HYPERLINK("CSG21.html#group42A21", "42A²¹"), =HYPERLINK("CSG22.html#group84N22", "84N²²"), =HYPERLINK("CSG22.html#group168N22", "168N²²"), =HYPERLINK("CSG17.html#group84K17", "84K¹⁷"), =HYPERLINK("CSG18.html#group126E18", "126E¹⁸"), =HYPERLINK("CSG17.html#group84G17", "84G¹⁷"), =HYPERLINK("CSG13.html#group21B13", "21B¹³"), =HYPERLINK("CSG14.html#group105D14", "105D¹⁴"), =HYPERLINK("CSG20.html#group273A20", "273A²⁰"), =HYPERLINK("CSG18.html#group84G18", "84G¹⁸"), =HYPERLINK("CSG6.html#group126A6", "126A⁶"), =HYPERLINK("CSG16.html#group42I16", "42I¹⁶"), =HYPERLINK("CSG11.html#group21A11", "21A¹¹"), =HYPERLINK("CSG10.html#group168D10", "168D¹⁰"), =HYPERLINK("CSG24.html#group63E24", "63E²⁴"), =HYPERLINK("CSG24.html#group63D24", "63D²⁴"), =HYPERLINK("CSG18.html#group126A18", "126A¹⁸"), =HYPERLINK("CSG13.html#group84J13", "84J¹³"), =HYPERLINK("CSG19.html#group84A19", "84A¹⁹"), =HYPERLINK("CSG22.html#group168K22", "168K²²"), =HYPERLINK("CSG6.html#group63F6", "63F⁶"), =HYPERLINK("CSG24.html#group252G24", "252G²⁴"), =HYPERLINK("CSG5.html#group21B5", "21B⁵"), =HYPERLINK("CSG11.html#group21D11", "21D¹¹"), =HYPERLINK("CSG6.html#group42D6", "42D⁶"), =HYPERLINK("CSG12.html#group210A12", "210A¹²"), =HYPERLINK("CSG23.html#group84D23", "84D²³"), =HYPERLINK("CSG21.html#group231A21", "231A²¹"), =HYPERLINK("CSG16.html#group84C16", "84C¹⁶"), =HYPERLINK("CSG17.html#group42C17", "42C¹⁷"), =HYPERLINK("CSG17.html#group42G17", "42G¹⁷"), =HYPERLINK("CSG22.html#group168M22", "168M²²"), =HYPERLINK("CSG10.html#group168G10", "168G¹⁰"), =HYPERLINK("CSG21.html#group84N21", "84N²¹"), =HYPERLINK("CSG17.html#group126I17", "126I¹⁷"), =HYPERLINK("CSG24.html#group336C24", "336C²⁴"), =HYPERLINK("CSG4.html#group42G4", "42G⁴"), =HYPERLINK("CSG21.html#group126I21", "126I²¹"), =HYPERLINK("CSG16.html#group84H16", "84H¹⁶"), =HYPERLINK("CSG9.html#group21B9", "21B⁹"), =HYPERLINK("CSG7.html#group42N7", "42N⁷"), =HYPERLINK("CSG18.html#group63B18", "63B¹⁸"), =HYPERLINK("CSG18.html#group84F18", "84F¹⁸"), =HYPERLINK("CSG4.html#group21D4", "21D⁴"), =HYPERLINK("CSG14.html#group84D14", "84D¹⁴"), =HYPERLINK("CSG24.html#group336A24", "336A²⁴"), =HYPERLINK("CSG17.html#group42D17", "42D¹⁷"), =HYPERLINK("CSG7.html#group42H7", "42H⁷"), =HYPERLINK("CSG15.html#group210A15", "210A¹⁵"), =HYPERLINK("CSG19.html#group84E19", "84E¹⁹"), =HYPERLINK("CSG6.html#group63G6", "63G⁶"), =HYPERLINK("CSG17.html#group126F17", "126F¹⁷"), =HYPERLINK("CSG7.html#group42B7", "42B⁷"), =HYPERLINK("CSG8.html#group42A8", "42A⁸"), =HYPERLINK("CSG16.html#group210D16", "210D¹⁶"), =HYPERLINK("CSG17.html#group63B17", "63B¹⁷"), =HYPERLINK("CSG15.html#group210C15", "210C¹⁵"), =HYPERLINK("CSG8.html#group84F8", "84F⁸"), =HYPERLINK("CSG9.html#group84C9", "84C⁹"), =HYPERLINK("CSG10.html#group42C10", "42C¹⁰"), =HYPERLINK("CSG21.html#group126H21", "126H²¹"), =HYPERLINK("CSG5.html#group42E5", "42E⁵"), =HYPERLINK("CSG16.html#group42C16", "42C¹⁶"), =HYPERLINK("CSG5.html#group126B5", "126B⁵"), =HYPERLINK("CSG19.html#group126C19", "126C¹⁹"), =HYPERLINK("CSG9.html#group84B9", "84B⁹"), =HYPERLINK("CSG22.html#group63A22", "63A²²"), =HYPERLINK("CSG21.html#group210A21", "210A²¹"), =HYPERLINK("CSG22.html#group168R22", "168R²²"), =HYPERLINK("CSG19.html#group42G19", "42G¹⁹"), =HYPERLINK("CSG19.html#group42K19", "42K¹⁹"), =HYPERLINK("CSG14.html#group42B14", "42B¹⁴"), =HYPERLINK("CSG15.html#group105C15", "105C¹⁵"), =HYPERLINK("CSG8.html#group63B8", "63B⁸"), =HYPERLINK("CSG23.html#group315A23", "315A²³"), =HYPERLINK("CSG18.html#group210F18", "210F¹⁸"), =HYPERLINK("CSG1.html#group42A1", "42A¹"), =HYPERLINK("CSG8.html#group42D8", "42D⁸"), =HYPERLINK("CSG18.html#group84D18", "84D¹⁸"), =HYPERLINK("CSG22.html#group168I22", "168I²²"), =HYPERLINK("CSG17.html#group126B17", "126B¹⁷"), =HYPERLINK("CSG17.html#group126D17", "126D¹⁷"), =HYPERLINK("CSG22.html#group168O22", "168O²²"), =HYPERLINK("CSG23.html#group168P23", "168P²³"), =HYPERLINK("CSG13.html#group42E13", "42E¹³"), =HYPERLINK("CSG21.html#group126R21", "126R²¹"), =HYPERLINK("CSG12.html#group21C12", "21C¹²"), =HYPERLINK("CSG21.html#group126Q21", "126Q²¹"), =HYPERLINK("CSG11.html#group84F11", "84F¹¹"), =HYPERLINK("CSG18.html#group126I18", "126I¹⁸"), =HYPERLINK("CSG7.html#group84B7", "84B⁷"), =HYPERLINK("CSG20.html#group84C20", "84C²⁰"), =HYPERLINK("CSG15.html#group42I15", "42I¹⁵"), =HYPERLINK("CSG19.html#group126B19", "126B¹⁹"), =HYPERLINK("CSG7.html#group42C7", "42C⁷"), =HYPERLINK("CSG8.html#group126B8", "126B⁸"), =HYPERLINK("CSG20.html#group84G20", "84G²⁰"), =HYPERLINK("CSG22.html#group84M22", "84M²²"), =HYPERLINK("CSG20.html#group168B20", "168B²⁰"), =HYPERLINK("CSG5.html#group42F5", "42F⁵"), =HYPERLINK("CSG16.html#group105A16", "105A¹⁶"), =HYPERLINK("CSG1.html#group21D1", "21D¹"), =HYPERLINK("CSG17.html#group84M17", "84M¹⁷"), =HYPERLINK("CSG11.html#group84G11", "84G¹¹"), =HYPERLINK("CSG12.html#group21A12", "21A¹²"), =HYPERLINK("CSG21.html#group84K21", "84K²¹"), =HYPERLINK("CSG7.html#group63E7", "63E⁷"), =HYPERLINK("CSG16.html#group63D16", "63D¹⁶"), =HYPERLINK("CSG24.html#group63I24", "63I²⁴"), =HYPERLINK("CSG16.html#group42H16", "42H¹⁶"), =HYPERLINK("CSG24.html#group168I24", "168I²⁴"), =HYPERLINK("CSG24.html#group336F24", "336F²⁴"), =HYPERLINK("CSG15.html#group126F15", "126F¹⁵"), =HYPERLINK("CSG5.html#group42H5", "42H⁵"), =HYPERLINK("CSG16.html#group84A16", "84A¹⁶"), =HYPERLINK("CSG1.html#group42B1", "42B¹"), =HYPERLINK("CSG18.html#group168E18", "168E¹⁸"), =HYPERLINK("CSG21.html#group126C21", "126C²¹"), =HYPERLINK("CSG22.html#group168H22", "168H²²"), =HYPERLINK("CSG20.html#group63A20", "63A²⁰"), =HYPERLINK("CSG16.html#group105C16", "105C¹⁶"), =HYPERLINK("CSG17.html#group42H17", "42H¹⁷"), =HYPERLINK("CSG18.html#group168F18", "168F¹⁸"), =HYPERLINK("CSG17.html#group84J17", "84J¹⁷"), =HYPERLINK("CSG10.html#group63B10", "63B¹⁰"), =HYPERLINK("CSG20.html#group84A20", "84A²⁰"), =HYPERLINK("CSG21.html#group126F21", "126F²¹"), =HYPERLINK("CSG10.html#group84A10", "84A¹⁰"), =HYPERLINK("CSG15.html#group42C15", "42C¹⁵"), =HYPERLINK("CSG14.html#group84C14", "84C¹⁴"), =HYPERLINK("CSG17.html#group42A17", "42A¹⁷"), =HYPERLINK("CSG16.html#group126B16", "126B¹⁶"), =HYPERLINK("CSG19.html#group84F19", "84F¹⁹"), =HYPERLINK("CSG24.html#group168J24", "168J²⁴"), =HYPERLINK("CSG24.html#group168D24", "168D²⁴"), =HYPERLINK("CSG24.html#group63C24", "63C²⁴"), =HYPERLINK("CSG18.html#group84C18", "84C¹⁸"), =HYPERLINK("CSG16.html#group84B16", "84B¹⁶"), =HYPERLINK("CSG16.html#group84J16", "84J¹⁶"), =HYPERLINK("CSG17.html#group42E17", "42E¹⁷"), =HYPERLINK("CSG14.html#group42D14", "42D¹⁴"), =HYPERLINK("CSG11.html#group42A11", "42A¹¹"), =HYPERLINK("CSG11.html#group42B11", "42B¹¹"), =HYPERLINK("CSG21.html#group84J21", "84J²¹"), =HYPERLINK("CSG17.html#group84L17", "84L¹⁷"), =HYPERLINK("CSG10.html#group168F10", "168F¹⁰"), =HYPERLINK("CSG3.html#group84A3", "84A³"), =HYPERLINK("CSG19.html#group105C19", "105C¹⁹"), =HYPERLINK("CSG6.html#group21C6", "21C⁶"), =HYPERLINK("CSG14.html#group42A14", "42A¹⁴"), =HYPERLINK("CSG17.html#group84F17", "84F¹⁷"), =HYPERLINK("CSG16.html#group84E16", "84E¹⁶"), =HYPERLINK("CSG15.html#group42E15", "42E¹⁵"), =HYPERLINK("CSG17.html#group126H17", "126H¹⁷"), =HYPERLINK("CSG24.html#group63G24", "63G²⁴"), =HYPERLINK("CSG16.html#group21A16", "21A¹⁶"), =HYPERLINK("CSG18.html#group126H18", "126H¹⁸"), =HYPERLINK("CSG18.html#group126D18", "126D¹⁸"), =HYPERLINK("CSG23.html#group84F23", "84F²³"), =HYPERLINK("CSG23.html#group42L23", "42L²³"), =HYPERLINK("CSG23.html#group63A23", "63A²³"), =HYPERLINK("CSG23.html#group168O23", "168O²³"), =HYPERLINK("CSG16.html#group42G16", "42G¹⁶"), =HYPERLINK("CSG4.html#group42F4", "42F⁴"), =HYPERLINK("CSG18.html#group126C18", "126C¹⁸"), =HYPERLINK("CSG24.html#group315A24", "315A²⁴"), =HYPERLINK("CSG19.html#group42M19", "42M¹⁹"), =HYPERLINK("CSG15.html#group42G15", "42G¹⁵"), =HYPERLINK("CSG18.html#group126B18", "126B¹⁸"), =HYPERLINK("CSG7.html#group42G7", "42G⁷"), =HYPERLINK("CSG6.html#group63E6", "63E⁶"), =HYPERLINK("CSG24.html#group42C24", "42C²⁴"), =HYPERLINK("CSG24.html#group168C24", "168C²⁴"), =HYPERLINK("CSG14.html#group252A14", "252A¹⁴"), =HYPERLINK("CSG17.html#group105C17", "105C¹⁷"), =HYPERLINK("CSG24.html#group336H24", "336H²⁴"), =HYPERLINK("CSG24.html#group210A24", "210A²⁴"), =HYPERLINK("CSG14.html#group63B14", "63B¹⁴"), =HYPERLINK("CSG2.html#group42A2", "42A²"), =HYPERLINK("CSG6.html#group105C6", "105C⁶"), =HYPERLINK("CSG1.html#group21E1", "21E¹"), =HYPERLINK("CSG6.html#group42A6", "42A⁶"), =HYPERLINK("CSG23.html#group168I23", "168I²³"), =HYPERLINK("CSG9.html#group84E9", "84E⁹"), =HYPERLINK("CSG11.html#group126A11", "126A¹¹"), =HYPERLINK("CSG17.html#group84H17", "84H¹⁷"), =HYPERLINK("CSG13.html#group21A13", "21A¹³"), =HYPERLINK("CSG17.html#group105A17", "105A¹⁷"), =HYPERLINK("CSG16.html#group42E16", "42E¹⁶"), =HYPERLINK("CSG16.html#group168G16", "168G¹⁶"), =HYPERLINK("CSG8.html#group84G8", "84G⁸"), =HYPERLINK("CSG16.html#group84G16", "84G¹⁶"), =HYPERLINK("CSG16.html#group84I16", "84I¹⁶"), =HYPERLINK("CSG16.html#group63E16", "63E¹⁶"), =HYPERLINK("CSG20.html#group126B20", "126B²⁰"), =HYPERLINK("CSG16.html#group42D16", "42D¹⁶"), =HYPERLINK("CSG6.html#group21A6", "21A⁶"), =HYPERLINK("CSG23.html#group168J23", "168J²³"), =HYPERLINK("CSG23.html#group168L23", "168L²³"), =HYPERLINK("CSG14.html#group21A14", "21A¹⁴"), =HYPERLINK("CSG9.html#group63D9", "63D⁹"), =HYPERLINK("CSG13.html#group42K13", "42K¹³"), =HYPERLINK("CSG10.html#group168E10", "168E¹⁰"), =HYPERLINK("CSG9.html#group42C9", "42C⁹"), =HYPERLINK("CSG17.html#group42B17", "42B¹⁷"), =HYPERLINK("CSG7.html#group42L7", "42L⁷"), =HYPERLINK("CSG10.html#group168A10", "168A¹⁰"), =HYPERLINK("CSG8.html#group42C8", "42C⁸"), =HYPERLINK("CSG18.html#group84A18", "84A¹⁸"), =HYPERLINK("CSG3.html#group42C3", "42C³"), =HYPERLINK("CSG19.html#group42J19", "42J¹⁹"), =HYPERLINK("CSG12.html#group126H12", "126H¹²"), =HYPERLINK("CSG15.html#group210D15", "210D¹⁵"), =HYPERLINK("CSG19.html#group63C19", "63C¹⁹"), =HYPERLINK("CSG19.html#group84C19", "84C¹⁹"), =HYPERLINK("CSG24.html#group126D24", "126D²⁴"), =HYPERLINK("CSG17.html#group42F17", "42F¹⁷"), =HYPERLINK("CSG10.html#group42K10", "42K¹⁰"), =HYPERLINK("CSG14.html#group42E14", "42E¹⁴"), =HYPERLINK("CSG17.html#group126G17", "126G¹⁷"), =HYPERLINK("CSG19.html#group84I19", "84I¹⁹"), =HYPERLINK("CSG17.html#group84N17", "84N¹⁷"), =HYPERLINK("CSG2.html#group63A2", "63A²"), =HYPERLINK("CSG20.html#group84F20", "84F²⁰"), =HYPERLINK("CSG17.html#group84I17", "84I¹⁷"), =HYPERLINK("CSG24.html#group168F24", "168F²⁴"), =HYPERLINK("CSG7.html#group42I7", "42I⁷"), =HYPERLINK("CSG16.html#group168F16", "168F¹⁶"), =HYPERLINK("CSG21.html#group84I21", "84I²¹"), =HYPERLINK("CSG20.html#group168C20", "168C²⁰"), =HYPERLINK("CSG19.html#group42E19", "42E¹⁹"), =HYPERLINK("CSG11.html#group42L11", "42L¹¹"), =HYPERLINK("CSG18.html#group126J18", "126J¹⁸"), =HYPERLINK("CSG22.html#group168G22", "168G²²"), =HYPERLINK("CSG3.html#group42F3", "42F³"), =HYPERLINK("CSG22.html#group42B22", "42B²²"), =HYPERLINK("CSG21.html#group126A21", "126A²¹"), =HYPERLINK("CSG24.html#group126E24", "126E²⁴"), =HYPERLINK("CSG21.html#group21A21", "21A²¹"), =HYPERLINK("CSG21.html#group126G21", "126G²¹"), =HYPERLINK("CSG20.html#group84B20", "84B²⁰"), =HYPERLINK("CSG21.html#group126B21", "126B²¹"), =HYPERLINK("CSG7.html#group42K7", "42K⁷"), =HYPERLINK("CSG11.html#group84D11", "84D¹¹"), =HYPERLINK("CSG24.html#group336D24", "336D²⁴"), =HYPERLINK("CSG7.html#group105A7", "105A⁷"), =HYPERLINK("CSG5.html#group21D5", "21D⁵"), =HYPERLINK("CSG22.html#group42A22", "42A²²"), =HYPERLINK("CSG15.html#group63A15", "63A¹⁵"), =HYPERLINK("CSG16.html#group168D16", "168D¹⁶"), =HYPERLINK("CSG18.html#group42B18", "42B¹⁸"), =HYPERLINK("CSG24.html#group63F24", "63F²⁴"), =HYPERLINK("CSG18.html#group42A18", "42A¹⁸"), =HYPERLINK("CSG19.html#group84G19", "84G¹⁹"), =HYPERLINK("CSG17.html#group42K17", "42K¹⁷"), =HYPERLINK("CSG22.html#group168Q22", "168Q²²"), =HYPERLINK("CSG4.html#group21E4", "21E⁴"), =HYPERLINK("CSG23.html#group63B23", "63B²³"), =HYPERLINK("CSG16.html#group168C16", "168C¹⁶"), =HYPERLINK("CSG13.html#group126J13", "126J¹³"), =HYPERLINK("CSG4.html#group42I4", "42I⁴"), =HYPERLINK("CSG7.html#group42J7", "42J⁷"), =HYPERLINK("CSG21.html#group21B21", "21B²¹"), =HYPERLINK("CSG16.html#group210H16", "210H¹⁶"), =HYPERLINK("CSG13.html#group42B13", "42B¹³"), =HYPERLINK("CSG4.html#group42H4", "42H⁴"), =HYPERLINK("CSG24.html#group336E24", "336E²⁴"), =HYPERLINK("CSG15.html#group210B15", "210B¹⁵"), =HYPERLINK("CSG12.html#group168A12", "168A¹²"), =HYPERLINK("CSG20.html#group168A20", "168A²⁰"), =HYPERLINK("CSG10.html#group168B10", "168B¹⁰"), =HYPERLINK("CSG4.html#group42A4", "42A⁴"), =HYPERLINK("CSG15.html#group42D15", "42D¹⁵"), =HYPERLINK("CSG13.html#group42J13", "42J¹³"), =HYPERLINK("CSG18.html#group84B18", "84B¹⁸"), =HYPERLINK("CSG21.html#group84P21", "84P²¹"), =HYPERLINK("CSG10.html#group168C10", "168C¹⁰"), =HYPERLINK("CSG8.html#group84H8", "84H⁸"), =HYPERLINK("CSG24.html#group84E24", "84E²⁴"), =HYPERLINK("CSG22.html#group105D22", "105D²²"), =HYPERLINK("CSG7.html#group84C7", "84C⁷"), =HYPERLINK("CSG17.html#group63C17", "63C¹⁷"), =HYPERLINK("CSG21.html#group84O21", "84O²¹"), =HYPERLINK("CSG19.html#group42A19", "42A¹⁹"), =HYPERLINK("CSG17.html#group84D17", "84D¹⁷"), =HYPERLINK("CSG20.html#group84E20", "84E²⁰"), =HYPERLINK("CSG6.html#group84B6", "84B⁶"), =HYPERLINK("CSG4.html#group21B4", "21B⁴"), =HYPERLINK("CSG15.html#group168A15", "168A¹⁵"), =HYPERLINK("CSG9.html#group63A9", "63A⁹"), =HYPERLINK("CSG22.html#group42C22", "42C²²"), =HYPERLINK("CSG18.html#group126G18", "126G¹⁸"), =HYPERLINK("CSG19.html#group42D19", "42D¹⁹"), =HYPERLINK("CSG22.html#group168P22", "168P²²"), =HYPERLINK("CSG24.html#group336B24", "336B²⁴"), =HYPERLINK("CSG21.html#group168A21", "168A²¹"), =HYPERLINK("CSG9.html#group42B9", "42B⁹"), =HYPERLINK("CSG15.html#group42F15", "42F¹⁵"), =HYPERLINK("CSG9.html#group63B9", "63B⁹"), =HYPERLINK("CSG21.html#group42B21", "42B²¹"), =HYPERLINK("CSG19.html#group42L19", "42L¹⁹"), =HYPERLINK("CSG17.html#group126E17", "126E¹⁷"), =HYPERLINK("CSG18.html#group42C18", "42C¹⁸"), =HYPERLINK("CSG15.html#group84I15", "84I¹⁵"), =HYPERLINK("CSG24.html#group126B24", "126B²⁴"), =HYPERLINK("CSG20.html#group105A20", "105A²⁰"), =HYPERLINK("CSG14.html#group126F14", "126F¹⁴"), =HYPERLINK("CSG10.html#group168H10", "168H¹⁰"), =HYPERLINK("CSG10.html#group84F10", "84F¹⁰"), =HYPERLINK("CSG23.html#group84A23", "84A²³"), =HYPERLINK("CSG13.html#group126K13", "126K¹³"), =HYPERLINK("CSG24.html#group126C24", "126C²⁴"), =HYPERLINK("CSG18.html#group210G18", "210G¹⁸"), =HYPERLINK("CSG20.html#group126A20", "126A²⁰"), =HYPERLINK("CSG19.html#group84L19", "84L¹⁹"), =HYPERLINK("CSG23.html#group168N23", "168N²³"), =HYPERLINK("CSG11.html#group84E11", "84E¹¹"), =HYPERLINK("CSG23.html#group168K23", "168K²³")</f>
        <v/>
      </c>
    </row>
    <row r="112">
      <c r="A112" t="inlineStr">
        <is>
          <t>24A⁰</t>
        </is>
      </c>
      <c r="B112" t="inlineStr"/>
      <c r="C112" t="inlineStr">
        <is>
          <t>36</t>
        </is>
      </c>
      <c r="D112" t="inlineStr">
        <is>
          <t>1</t>
        </is>
      </c>
      <c r="E112" t="inlineStr">
        <is>
          <t>3</t>
        </is>
      </c>
      <c r="F112" t="inlineStr">
        <is>
          <t>12</t>
        </is>
      </c>
      <c r="G112" t="inlineStr">
        <is>
          <t>0</t>
        </is>
      </c>
      <c r="H112" t="inlineStr">
        <is>
          <t>12¹, 24¹</t>
        </is>
      </c>
      <c r="I112" t="n">
        <v>2</v>
      </c>
      <c r="J112" t="inlineStr">
        <is>
          <t>1³</t>
        </is>
      </c>
      <c r="K112">
        <f>HYPERLINK("CSG0.html#group8B0", "8B⁰"), =HYPERLINK("CSG0.html#group12C0", "12C⁰")</f>
        <v/>
      </c>
      <c r="L112">
        <f>HYPERLINK("CSG0.html#group48A0", "48A⁰"), =HYPERLINK("CSG1.html#group24H1", "24H¹"), =HYPERLINK("CSG2.html#group24L2", "24L²"), =HYPERLINK("CSG2.html#group24M2", "24M²"), =HYPERLINK("CSG2.html#group24P2", "24P²"), =HYPERLINK("CSG2.html#group24Q2", "24Q²"), =HYPERLINK("CSG2.html#group48A2", "48A²"), =HYPERLINK("CSG3.html#group24I3", "24I³"), =HYPERLINK("CSG3.html#group48C3", "48C³"), =HYPERLINK("CSG3.html#group48E3", "48E³"), =HYPERLINK("CSG3.html#group48F3", "48F³"), =HYPERLINK("CSG3.html#group48H3", "48H³"), =HYPERLINK("CSG4.html#group48C4", "48C⁴"), =HYPERLINK("CSG4.html#group72E4", "72E⁴"), =HYPERLINK("CSG5.html#group24A5", "24A⁵"), =HYPERLINK("CSG6.html#group48A6", "48A⁶"), =HYPERLINK("CSG11.html#group120B11", "120B¹¹"), =HYPERLINK("CSG12.html#group120B12", "120B¹²"), =HYPERLINK("CSG12.html#group168A12", "168A¹²"), =HYPERLINK("CSG23.html#group120N23", "120N²³"), =HYPERLINK("CSG23.html#group168A23", "168A²³"), =HYPERLINK("CSG24.html#group264C24", "264C²⁴")</f>
        <v/>
      </c>
      <c r="M112">
        <f>HYPERLINK("CSG0.html#group12C0", "12C⁰"), =HYPERLINK("CSG0.html#group4C0", "4C⁰"), =HYPERLINK("CSG0.html#group8B0", "8B⁰"), =HYPERLINK("CSG0.html#group2B0", "2B⁰"), =HYPERLINK("CSG0.html#group3A0", "3A⁰"), =HYPERLINK("CSG0.html#group1A0", "1A⁰"), =HYPERLINK("CSG0.html#group6D0", "6D⁰")</f>
        <v/>
      </c>
      <c r="N112">
        <f>HYPERLINK("CSG21.html#group96Y21", "96Y²¹"), =HYPERLINK("CSG15.html#group96R15", "96R¹⁵"), =HYPERLINK("CSG24.html#group336I24", "336I²⁴"), =HYPERLINK("CSG19.html#group96AH19", "96AH¹⁹"), =HYPERLINK("CSG13.html#group72K13", "72K¹³"), =HYPERLINK("CSG19.html#group48BE19", "48BE¹⁹"), =HYPERLINK("CSG21.html#group48I21", "48I²¹"), =HYPERLINK("CSG17.html#group48O17", "48O¹⁷"), =HYPERLINK("CSG9.html#group48M9", "48M⁹"), =HYPERLINK("CSG17.html#group48AK17", "48AK¹⁷"), =HYPERLINK("CSG19.html#group48BK19", "48BK¹⁹"), =HYPERLINK("CSG21.html#group120O21", "120O²¹"), =HYPERLINK("CSG17.html#group48CE17", "48CE¹⁷"), =HYPERLINK("CSG21.html#group48AH21", "48AH²¹"), =HYPERLINK("CSG21.html#group48AE21", "48AE²¹"), =HYPERLINK("CSG7.html#group24R7", "24R⁷"), =HYPERLINK("CSG15.html#group48M15", "48M¹⁵"), =HYPERLINK("CSG23.html#group288A23", "288A²³"), =HYPERLINK("CSG19.html#group96AK19", "96AK¹⁹"), =HYPERLINK("CSG13.html#group24Q13", "24Q¹³"), =HYPERLINK("CSG20.html#group96S20", "96S²⁰"), =HYPERLINK("CSG15.html#group96W15", "96W¹⁵"), =HYPERLINK("CSG17.html#group24AD17", "24AD¹⁷"), =HYPERLINK("CSG21.html#group48BS21", "48BS²¹"), =HYPERLINK("CSG17.html#group48CH17", "48CH¹⁷"), =HYPERLINK("CSG7.html#group48AH7", "48AH⁷"), =HYPERLINK("CSG18.html#group48O18", "48O¹⁸"), =HYPERLINK("CSG19.html#group96L19", "96L¹⁹"), =HYPERLINK("CSG11.html#group48I11", "48I¹¹"), =HYPERLINK("CSG21.html#group48AD21", "48AD²¹"), =HYPERLINK("CSG5.html#group48E5", "48E⁵"), =HYPERLINK("CSG17.html#group48BW17", "48BW¹⁷"), =HYPERLINK("CSG17.html#group48AM17", "48AM¹⁷"), =HYPERLINK("CSG24.html#group264C24", "264C²⁴"), =HYPERLINK("CSG17.html#group48CD17", "48CD¹⁷"), =HYPERLINK("CSG17.html#group48M17", "48M¹⁷"), =HYPERLINK("CSG11.html#group48K11", "48K¹¹"), =HYPERLINK("CSG9.html#group24S9", "24S⁹"), =HYPERLINK("CSG19.html#group48AL19", "48AL¹⁹"), =HYPERLINK("CSG0.html#group48A0", "48A⁰"), =HYPERLINK("CSG7.html#group48AJ7", "48AJ⁷"), =HYPERLINK("CSG17.html#group48P17", "48P¹⁷"), =HYPERLINK("CSG19.html#group96Y19", "96Y¹⁹"), =HYPERLINK("CSG13.html#group144A13", "144A¹³"), =HYPERLINK("CSG15.html#group48L15", "48L¹⁵"), =HYPERLINK("CSG21.html#group48AB21", "48AB²¹"), =HYPERLINK("CSG21.html#group48BC21", "48BC²¹"), =HYPERLINK("CSG19.html#group96M19", "96M¹⁹"), =HYPERLINK("CSG19.html#group48AZ19", "48AZ¹⁹"), =HYPERLINK("CSG17.html#group48S17", "48S¹⁷"), =HYPERLINK("CSG11.html#group48A11", "48A¹¹"), =HYPERLINK("CSG19.html#group96AS19", "96AS¹⁹"), =HYPERLINK("CSG19.html#group96AY19", "96AY¹⁹"), =HYPERLINK("CSG17.html#group48AQ17", "48AQ¹⁷"), =HYPERLINK("CSG21.html#group48BH21", "48BH²¹"), =HYPERLINK("CSG16.html#group48H16", "48H¹⁶"), =HYPERLINK("CSG19.html#group48AY19", "48AY¹⁹"), =HYPERLINK("CSG9.html#group48AE9", "48AE⁹"), =HYPERLINK("CSG19.html#group24G19", "24G¹⁹"), =HYPERLINK("CSG21.html#group48Q21", "48Q²¹"), =HYPERLINK("CSG21.html#group48BQ21", "48BQ²¹"), =HYPERLINK("CSG15.html#group96S15", "96S¹⁵"), =HYPERLINK("CSG17.html#group48BH17", "48BH¹⁷"), =HYPERLINK("CSG7.html#group48U7", "48U⁷"), =HYPERLINK("CSG6.html#group24D6", "24D⁶"), =HYPERLINK("CSG16.html#group24E16", "24E¹⁶"), =HYPERLINK("CSG17.html#group48AU17", "48AU¹⁷"), =HYPERLINK("CSG17.html#group48CF17", "48CF¹⁷"), =HYPERLINK("CSG15.html#group48U15", "48U¹⁵"), =HYPERLINK("CSG13.html#group24V13", "24V¹³"), =HYPERLINK("CSG19.html#group48BG19", "48BG¹⁹"), =HYPERLINK("CSG16.html#group48A16", "48A¹⁶"), =HYPERLINK("CSG11.html#group48E11", "48E¹¹"), =HYPERLINK("CSG17.html#group24F17", "24F¹⁷"), =HYPERLINK("CSG19.html#group48A19", "48A¹⁹"), =HYPERLINK("CSG21.html#group96AE21", "96AE²¹"), =HYPERLINK("CSG17.html#group48BB17", "48BB¹⁷"), =HYPERLINK("CSG18.html#group48T18", "48T¹⁸"), =HYPERLINK("CSG21.html#group48AF21", "48AF²¹"), =HYPERLINK("CSG11.html#group48B11", "48B¹¹"), =HYPERLINK("CSG9.html#group96I9", "96I⁹"), =HYPERLINK("CSG21.html#group96AY21", "96AY²¹"), =HYPERLINK("CSG17.html#group48BR17", "48BR¹⁷"), =HYPERLINK("CSG17.html#group24D17", "24D¹⁷"), =HYPERLINK("CSG13.html#group24X13", "24X¹³"), =HYPERLINK("CSG18.html#group48Q18", "48Q¹⁸"), =HYPERLINK("CSG15.html#group48X15", "48X¹⁵"), =HYPERLINK("CSG11.html#group96I11", "96I¹¹"), =HYPERLINK("CSG21.html#group48BR21", "48BR²¹"), =HYPERLINK("CSG17.html#group48BO17", "48BO¹⁷"), =HYPERLINK("CSG17.html#group48CC17", "48CC¹⁷"), =HYPERLINK("CSG19.html#group48AD19", "48AD¹⁹"), =HYPERLINK("CSG21.html#group48M21", "48M²¹"), =HYPERLINK("CSG21.html#group48BU21", "48BU²¹"), =HYPERLINK("CSG17.html#group24U17", "24U¹⁷"), =HYPERLINK("CSG7.html#group24O7", "24O⁷"), =HYPERLINK("CSG14.html#group144A14", "144A¹⁴"), =HYPERLINK("CSG23.html#group168A23", "168A²³"), =HYPERLINK("CSG19.html#group96AM19", "96AM¹⁹"), =HYPERLINK("CSG8.html#group48AD8", "48AD⁸"), =HYPERLINK("CSG17.html#group96Q17", "96Q¹⁷"), =HYPERLINK("CSG17.html#group48AX17", "48AX¹⁷"), =HYPERLINK("CSG3.html#group48C3", "48C³"), =HYPERLINK("CSG9.html#group48Y9", "48Y⁹"), =HYPERLINK("CSG21.html#group48N21", "48N²¹"), =HYPERLINK("CSG9.html#group48L9", "48L⁹"), =HYPERLINK("CSG17.html#group48BA17", "48BA¹⁷"), =HYPERLINK("CSG19.html#group96AQ19", "96AQ¹⁹"), =HYPERLINK("CSG17.html#group48BZ17", "48BZ¹⁷"), =HYPERLINK("CSG19.html#group96AL19", "96AL¹⁹"), =HYPERLINK("CSG11.html#group48L11", "48L¹¹"), =HYPERLINK("CSG12.html#group72F12", "72F¹²"), =HYPERLINK("CSG7.html#group48AB7", "48AB⁷"), =HYPERLINK("CSG2.html#group24M2", "24M²"), =HYPERLINK("CSG21.html#group48K21", "48K²¹"), =HYPERLINK("CSG19.html#group96AD19", "96AD¹⁹"), =HYPERLINK("CSG13.html#group48AF13", "48AF¹³"), =HYPERLINK("CSG20.html#group96G20", "96G²⁰"), =HYPERLINK("CSG21.html#group192F21", "192F²¹"), =HYPERLINK("CSG17.html#group48T17", "48T¹⁷"), =HYPERLINK("CSG17.html#group48AZ17", "48AZ¹⁷"), =HYPERLINK("CSG17.html#group96AE17", "96AE¹⁷"), =HYPERLINK("CSG20.html#group96O20", "96O²⁰"), =HYPERLINK("CSG17.html#group48AR17", "48AR¹⁷"), =HYPERLINK("CSG20.html#group96AF20", "96AF²⁰"), =HYPERLINK("CSG5.html#group24X5", "24X⁵"), =HYPERLINK("CSG19.html#group48AU19", "48AU¹⁹"), =HYPERLINK("CSG11.html#group48M11", "48M¹¹"), =HYPERLINK("CSG19.html#group96AU19", "96AU¹⁹"), =HYPERLINK("CSG13.html#group48AA13", "48AA¹³"), =HYPERLINK("CSG8.html#group48R8", "48R⁸"), =HYPERLINK("CSG12.html#group72K12", "72K¹²"), =HYPERLINK("CSG21.html#group96AI21", "96AI²¹"), =HYPERLINK("CSG17.html#group96AA17", "96AA¹⁷"), =HYPERLINK("CSG20.html#group96AG20", "96AG²⁰"), =HYPERLINK("CSG21.html#group96Z21", "96Z²¹"), =HYPERLINK("CSG11.html#group120B11", "120B¹¹"), =HYPERLINK("CSG21.html#group48R21", "48R²¹"), =HYPERLINK("CSG21.html#group48L21", "48L²¹"), =HYPERLINK("CSG21.html#group96AN21", "96AN²¹"), =HYPERLINK("CSG16.html#group144F16", "144F¹⁶"), =HYPERLINK("CSG19.html#group48S19", "48S¹⁹"), =HYPERLINK("CSG5.html#group24W5", "24W⁵"), =HYPERLINK("CSG21.html#group96AO21", "96AO²¹"), =HYPERLINK("CSG20.html#group96AC20", "96AC²⁰"), =HYPERLINK("CSG9.html#group96J9", "96J⁹"), =HYPERLINK("CSG18.html#group48M18", "48M¹⁸"), =HYPERLINK("CSG7.html#group48T7", "48T⁷"), =HYPERLINK("CSG17.html#group96X17", "96X¹⁷"), =HYPERLINK("CSG17.html#group72C17", "72C¹⁷"), =HYPERLINK("CSG20.html#group96R20", "96R²⁰"), =HYPERLINK("CSG9.html#group24A9", "24A⁹"), =HYPERLINK("CSG17.html#group48AE17", "48AE¹⁷"), =HYPERLINK("CSG20.html#group96AA20", "96AA²⁰"), =HYPERLINK("CSG7.html#group96A7", "96A⁷"), =HYPERLINK("CSG7.html#group24L7", "24L⁷"), =HYPERLINK("CSG17.html#group48BX17", "48BX¹⁷"), =HYPERLINK("CSG21.html#group192G21", "192G²¹"), =HYPERLINK("CSG8.html#group48AC8", "48AC⁸"), =HYPERLINK("CSG11.html#group96J11", "96J¹¹"), =HYPERLINK("CSG11.html#group72N11", "72N¹¹"), =HYPERLINK("CSG17.html#group24AG17", "24AG¹⁷"), =HYPERLINK("CSG17.html#group96N17", "96N¹⁷"), =HYPERLINK("CSG15.html#group96V15", "96V¹⁵"), =HYPERLINK("CSG21.html#group48AC21", "48AC²¹"), =HYPERLINK("CSG13.html#group24Y13", "24Y¹³"), =HYPERLINK("CSG17.html#group48AT17", "48AT¹⁷"), =HYPERLINK("CSG17.html#group48CG17", "48CG¹⁷"), =HYPERLINK("CSG13.html#group96H13", "96H¹³"), =HYPERLINK("CSG17.html#group48BY17", "48BY¹⁷"), =HYPERLINK("CSG12.html#group144B12", "144B¹²"), =HYPERLINK("CSG20.html#group96I20", "96I²⁰"), =HYPERLINK("CSG17.html#group24Q17", "24Q¹⁷"), =HYPERLINK("CSG23.html#group144Y23", "144Y²³"), =HYPERLINK("CSG19.html#group96J19", "96J¹⁹"), =HYPERLINK("CSG5.html#group48H5", "48H⁵"), =HYPERLINK("CSG21.html#group192E21", "192E²¹"), =HYPERLINK("CSG24.html#group240B24", "240B²⁴"), =HYPERLINK("CSG4.html#group48C4", "48C⁴"), =HYPERLINK("CSG21.html#group48AL21", "48AL²¹"), =HYPERLINK("CSG9.html#group24D9", "24D⁹"), =HYPERLINK("CSG21.html#group72AA21", "72AA²¹"), =HYPERLINK("CSG20.html#group96X20", "96X²⁰"), =HYPERLINK("CSG15.html#group48T15", "48T¹⁵"), =HYPERLINK("CSG21.html#group48BG21", "48BG²¹"), =HYPERLINK("CSG15.html#group48AD15", "48AD¹⁵"), =HYPERLINK("CSG17.html#group48AF17", "48AF¹⁷"), =HYPERLINK("CSG23.html#group144X23", "144X²³"), =HYPERLINK("CSG3.html#group48E3", "48E³"), =HYPERLINK("CSG21.html#group48AJ21", "48AJ²¹"), =HYPERLINK("CSG12.html#group72O12", "72O¹²"), =HYPERLINK("CSG18.html#group48N18", "48N¹⁸"), =HYPERLINK("CSG13.html#group144E13", "144E¹³"), =HYPERLINK("CSG15.html#group24R15", "24R¹⁵"), =HYPERLINK("CSG17.html#group48AS17", "48AS¹⁷"), =HYPERLINK("CSG7.html#group48O7", "48O⁷"), =HYPERLINK("CSG8.html#group48AA8", "48AA⁸"), =HYPERLINK("CSG23.html#group96I23", "96I²³"), =HYPERLINK("CSG13.html#group144C13", "144C¹³"), =HYPERLINK("CSG8.html#group48X8", "48X⁸"), =HYPERLINK("CSG9.html#group96F9", "96F⁹"), =HYPERLINK("CSG21.html#group96AT21", "96AT²¹"), =HYPERLINK("CSG17.html#group96D17", "96D¹⁷"), =HYPERLINK("CSG11.html#group48H11", "48H¹¹"), =HYPERLINK("CSG21.html#group96AJ21", "96AJ²¹"), =HYPERLINK("CSG21.html#group96AX21", "96AX²¹"), =HYPERLINK("CSG9.html#group72H9", "72H⁹"), =HYPERLINK("CSG5.html#group24V5", "24V⁵"), =HYPERLINK("CSG23.html#group96N23", "96N²³"), =HYPERLINK("CSG7.html#group48M7", "48M⁷"), =HYPERLINK("CSG21.html#group48P21", "48P²¹"), =HYPERLINK("CSG17.html#group96P17", "96P¹⁷"), =HYPERLINK("CSG17.html#group96AG17", "96AG¹⁷"), =HYPERLINK("CSG17.html#group96C17", "96C¹⁷"), =HYPERLINK("CSG6.html#group24H6", "24H⁶"), =HYPERLINK("CSG15.html#group48AB15", "48AB¹⁵"), =HYPERLINK("CSG13.html#group144D13", "144D¹³"), =HYPERLINK("CSG17.html#group96AF17", "96AF¹⁷"), =HYPERLINK("CSG11.html#group48F11", "48F¹¹"), =HYPERLINK("CSG18.html#group144A18", "144A¹⁸"), =HYPERLINK("CSG17.html#group24V17", "24V¹⁷"), =HYPERLINK("CSG21.html#group48AS21", "48AS²¹"), =HYPERLINK("CSG7.html#group24Z7", "24Z⁷"), =HYPERLINK("CSG19.html#group48AO19", "48AO¹⁹"), =HYPERLINK("CSG19.html#group96AT19", "96AT¹⁹"), =HYPERLINK("CSG17.html#group48AL17", "48AL¹⁷"), =HYPERLINK("CSG21.html#group48T21", "48T²¹"), =HYPERLINK("CSG2.html#group24L2", "24L²"), =HYPERLINK("CSG23.html#group96F23", "96F²³"), =HYPERLINK("CSG17.html#group96G17", "96G¹⁷"), =HYPERLINK("CSG20.html#group96P20", "96P²⁰"), =HYPERLINK("CSG21.html#group48W21", "48W²¹"), =HYPERLINK("CSG3.html#group48M3", "48M³"), =HYPERLINK("CSG19.html#group48AJ19", "48AJ¹⁹"), =HYPERLINK("CSG17.html#group96Y17", "96Y¹⁷"), =HYPERLINK("CSG19.html#group48D19", "48D¹⁹"), =HYPERLINK("CSG13.html#group48AB13", "48AB¹³"), =HYPERLINK("CSG21.html#group48AR21", "48AR²¹"), =HYPERLINK("CSG23.html#group96U23", "96U²³"), =HYPERLINK("CSG7.html#group48AE7", "48AE⁷"), =HYPERLINK("CSG19.html#group48BI19", "48BI¹⁹"), =HYPERLINK("CSG19.html#group48AM19", "48AM¹⁹"), =HYPERLINK("CSG23.html#group96L23", "96L²³"), =HYPERLINK("CSG19.html#group24D19", "24D¹⁹"), =HYPERLINK("CSG21.html#group96AA21", "96AA²¹"), =HYPERLINK("CSG12.html#group72J12", "72J¹²"), =HYPERLINK("CSG7.html#group24AC7", "24AC⁷"), =HYPERLINK("CSG23.html#group96O23", "96O²³"), =HYPERLINK("CSG19.html#group96AJ19", "96AJ¹⁹"), =HYPERLINK("CSG19.html#group96AE19", "96AE¹⁹"), =HYPERLINK("CSG5.html#group96A5", "96A⁵"), =HYPERLINK("CSG13.html#group144B13", "144B¹³"), =HYPERLINK("CSG5.html#group24A5", "24A⁵"), =HYPERLINK("CSG13.html#group24R13", "24R¹³"), =HYPERLINK("CSG20.html#group96N20", "96N²⁰"), =HYPERLINK("CSG21.html#group96AG21", "96AG²¹"), =HYPERLINK("CSG21.html#group48H21", "48H²¹"), =HYPERLINK("CSG17.html#group24I17", "24I¹⁷"), =HYPERLINK("CSG21.html#group192H21", "192H²¹"), =HYPERLINK("CSG8.html#group48S8", "48S⁸"), =HYPERLINK("CSG18.html#group48L18", "48L¹⁸"), =HYPERLINK("CSG15.html#group48V15", "48V¹⁵"), =HYPERLINK("CSG13.html#group96G13", "96G¹³"), =HYPERLINK("CSG15.html#group96T15", "96T¹⁵"), =HYPERLINK("CSG17.html#group48CA17", "48CA¹⁷"), =HYPERLINK("CSG21.html#group48O21", "48O²¹"), =HYPERLINK("CSG23.html#group144W23", "144W²³"), =HYPERLINK("CSG21.html#group48BF21", "48BF²¹"), =HYPERLINK("CSG21.html#group288A21", "288A²¹"), =HYPERLINK("CSG15.html#group96O15", "96O¹⁵"), =HYPERLINK("CSG21.html#group192I21", "192I²¹"), =HYPERLINK("CSG21.html#group48AN21", "48AN²¹"), =HYPERLINK("CSG21.html#group48J21", "48J²¹"), =HYPERLINK("CSG6.html#group24K6", "24K⁶"), =HYPERLINK("CSG17.html#group48Q17", "48Q¹⁷"), =HYPERLINK("CSG1.html#group24H1", "24H¹"), =HYPERLINK("CSG21.html#group48V21", "48V²¹"), =HYPERLINK("CSG18.html#group48E18", "48E¹⁸"), =HYPERLINK("CSG7.html#group48AG7", "48AG⁷"), =HYPERLINK("CSG7.html#group48AI7", "48AI⁷"), =HYPERLINK("CSG21.html#group48AA21", "48AA²¹"), =HYPERLINK("CSG17.html#group96R17", "96R¹⁷"), =HYPERLINK("CSG20.html#group96H20", "96H²⁰"), =HYPERLINK("CSG17.html#group48R17", "48R¹⁷"), =HYPERLINK("CSG21.html#group48AK21", "48AK²¹"), =HYPERLINK("CSG9.html#group48K9", "48K⁹"), =HYPERLINK("CSG23.html#group96E23", "96E²³"), =HYPERLINK("CSG15.html#group24N15", "24N¹⁵"), =HYPERLINK("CSG21.html#group96AF21", "96AF²¹"), =HYPERLINK("CSG17.html#group24J17", "24J¹⁷"), =HYPERLINK("CSG15.html#group48Y15", "48Y¹⁵"), =HYPERLINK("CSG20.html#group96Z20", "96Z²⁰"), =HYPERLINK("CSG23.html#group240A23", "240A²³"), =HYPERLINK("CSG19.html#group48AV19", "48AV¹⁹"), =HYPERLINK("CSG17.html#group96Z17", "96Z¹⁷"), =HYPERLINK("CSG15.html#group24O15", "24O¹⁵"), =HYPERLINK("CSG7.html#group48AD7", "48AD⁷"), =HYPERLINK("CSG17.html#group96E17", "96E¹⁷"), =HYPERLINK("CSG19.html#group96BB19", "96BB¹⁹"), =HYPERLINK("CSG23.html#group96P23", "96P²³"), =HYPERLINK("CSG18.html#group48F18", "48F¹⁸"), =HYPERLINK("CSG19.html#group48BD19", "48BD¹⁹"), =HYPERLINK("CSG17.html#group48BC17", "48BC¹⁷"), =HYPERLINK("CSG21.html#group48AX21", "48AX²¹"), =HYPERLINK("CSG16.html#group24C16", "24C¹⁶"), =HYPERLINK("CSG18.html#group72E18", "72E¹⁸"), =HYPERLINK("CSG10.html#group144E10", "144E¹⁰"), =HYPERLINK("CSG21.html#group48AM21", "48AM²¹"), =HYPERLINK("CSG19.html#group48BH19", "48BH¹⁹"), =HYPERLINK("CSG2.html#group48A2", "48A²"), =HYPERLINK("CSG17.html#group48BG17", "48BG¹⁷"), =HYPERLINK("CSG20.html#group96V20", "96V²⁰"), =HYPERLINK("CSG9.html#group24C9", "24C⁹"), =HYPERLINK("CSG17.html#group48CB17", "48CB¹⁷"), =HYPERLINK("CSG13.html#group24Z13", "24Z¹³"), =HYPERLINK("CSG15.html#group48W15", "48W¹⁵"), =HYPERLINK("CSG15.html#group96U15", "96U¹⁵"), =HYPERLINK("CSG11.html#group48C11", "48C¹¹"), =HYPERLINK("CSG17.html#group48BF17", "48BF¹⁷"), =HYPERLINK("CSG21.html#group48AW21", "48AW²¹"), =HYPERLINK("CSG13.html#group24S13", "24S¹³"), =HYPERLINK("CSG8.html#group48AF8", "48AF⁸"), =HYPERLINK("CSG17.html#group96B17", "96B¹⁷"), =HYPERLINK("CSG16.html#group24B16", "24B¹⁶"), =HYPERLINK("CSG19.html#group48R19", "48R¹⁹"), =HYPERLINK("CSG20.html#group96AD20", "96AD²⁰"), =HYPERLINK("CSG17.html#group96F17", "96F¹⁷"), =HYPERLINK("CSG21.html#group48S21", "48S²¹"), =HYPERLINK("CSG8.html#group48AE8", "48AE⁸"), =HYPERLINK("CSG15.html#group96Q15", "96Q¹⁵"), =HYPERLINK("CSG13.html#group24AA13", "24AA¹³"), =HYPERLINK("CSG18.html#group48S18", "48S¹⁸"), =HYPERLINK("CSG21.html#group48U21", "48U²¹"), =HYPERLINK("CSG21.html#group192J21", "192J²¹"), =HYPERLINK("CSG11.html#group48D11", "48D¹¹"), =HYPERLINK("CSG17.html#group48AP17", "48AP¹⁷"), =HYPERLINK("CSG21.html#group96AP21", "96AP²¹"), =HYPERLINK("CSG16.html#group24D16", "24D¹⁶"), =HYPERLINK("CSG23.html#group96D23", "96D²³"), =HYPERLINK("CSG17.html#group24AH17", "24AH¹⁷"), =HYPERLINK("CSG23.html#group96G23", "96G²³"), =HYPERLINK("CSG9.html#group48W9", "48W⁹"), =HYPERLINK("CSG19.html#group96V19", "96V¹⁹"), =HYPERLINK("CSG23.html#group96C23", "96C²³"), =HYPERLINK("CSG17.html#group48AV17", "48AV¹⁷"), =HYPERLINK("CSG23.html#group240B23", "240B²³"), =HYPERLINK("CSG20.html#group96T20", "96T²⁰"), =HYPERLINK("CSG15.html#group24S15", "24S¹⁵"), =HYPERLINK("CSG23.html#group96J23", "96J²³"), =HYPERLINK("CSG19.html#group48G19", "48G¹⁹"), =HYPERLINK("CSG17.html#group48AW17", "48AW¹⁷"), =HYPERLINK("CSG17.html#group48BD17", "48BD¹⁷"), =HYPERLINK("CSG4.html#group72E4", "72E⁴"), =HYPERLINK("CSG9.html#group48J9", "48J⁹"), =HYPERLINK("CSG15.html#group48J15", "48J¹⁵"), =HYPERLINK("CSG20.html#group96W20", "96W²⁰"), =HYPERLINK("CSG20.html#group96Y20", "96Y²⁰"), =HYPERLINK("CSG15.html#group48AE15", "48AE¹⁵"), =HYPERLINK("CSG17.html#group96O17", "96O¹⁷"), =HYPERLINK("CSG15.html#group72O15", "72O¹⁵"), =HYPERLINK("CSG6.html#group24G6", "24G⁶"), =HYPERLINK("CSG17.html#group24AF17", "24AF¹⁷"), =HYPERLINK("CSG16.html#group48I16", "48I¹⁶"), =HYPERLINK("CSG11.html#group96K11", "96K¹¹"), =HYPERLINK("CSG19.html#group48B19", "48B¹⁹"), =HYPERLINK("CSG17.html#group48BE17", "48BE¹⁷"), =HYPERLINK("CSG9.html#group96D9", "96D⁹"), =HYPERLINK("CSG9.html#group96H9", "96H⁹"), =HYPERLINK("CSG19.html#group96AF19", "96AF¹⁹"), =HYPERLINK("CSG17.html#group96AD17", "96AD¹⁷"), =HYPERLINK("CSG19.html#group144J19", "144J¹⁹"), =HYPERLINK("CSG19.html#group48AE19", "48AE¹⁹"), =HYPERLINK("CSG19.html#group48BF19", "48BF¹⁹"), =HYPERLINK("CSG21.html#group48AG21", "48AG²¹"), =HYPERLINK("CSG21.html#group48AP21", "48AP²¹"), =HYPERLINK("CSG12.html#group72G12", "72G¹²"), =HYPERLINK("CSG17.html#group24C17", "24C¹⁷"), =HYPERLINK("CSG15.html#group48AF15", "48AF¹⁵"), =HYPERLINK("CSG7.html#group48AF7", "48AF⁷"), =HYPERLINK("CSG12.html#group120B12", "120B¹²"), =HYPERLINK("CSG9.html#group24F9", "24F⁹"), =HYPERLINK("CSG21.html#group48AO21", "48AO²¹"), =HYPERLINK("CSG8.html#group48AB8", "48AB⁸"), =HYPERLINK("CSG15.html#group24T15", "24T¹⁵"), =HYPERLINK("CSG17.html#group96AB17", "96AB¹⁷"), =HYPERLINK("CSG19.html#group96AC19", "96AC¹⁹"), =HYPERLINK("CSG7.html#group24AA7", "24AA⁷"), =HYPERLINK("CSG7.html#group48AC7", "48AC⁷"), =HYPERLINK("CSG19.html#group48BJ19", "48BJ¹⁹"), =HYPERLINK("CSG7.html#group48P7", "48P⁷"), =HYPERLINK("CSG2.html#group24P2", "24P²"), =HYPERLINK("CSG23.html#group96K23", "96K²³"), =HYPERLINK("CSG3.html#group48H3", "48H³"), =HYPERLINK("CSG17.html#group24L17", "24L¹⁷"), =HYPERLINK("CSG19.html#group48AN19", "48AN¹⁹"), =HYPERLINK("CSG7.html#group48S7", "48S⁷"), =HYPERLINK("CSG23.html#group96H23", "96H²³"), =HYPERLINK("CSG15.html#group24Q15", "24Q¹⁵"), =HYPERLINK("CSG19.html#group96BA19", "96BA¹⁹"), =HYPERLINK("CSG13.html#group72I13", "72I¹³"), =HYPERLINK("CSG21.html#group48BI21", "48BI²¹"), =HYPERLINK("CSG15.html#group48Z15", "48Z¹⁵"), =HYPERLINK("CSG20.html#group96AB20", "96AB²⁰"), =HYPERLINK("CSG15.html#group24P15", "24P¹⁵"), =HYPERLINK("CSG9.html#group48X9", "48X⁹"), =HYPERLINK("CSG8.html#group144A8", "144A⁸"), =HYPERLINK("CSG23.html#group96V23", "96V²³"), =HYPERLINK("CSG23.html#group96A23", "96A²³"), =HYPERLINK("CSG21.html#group48F21", "48F²¹"), =HYPERLINK("CSG3.html#group96A3", "96A³"), =HYPERLINK("CSG19.html#group48AR19", "48AR¹⁹"), =HYPERLINK("CSG7.html#group24K7", "24K⁷"), =HYPERLINK("CSG6.html#group24I6", "24I⁶"), =HYPERLINK("CSG17.html#group48BN17", "48BN¹⁷"), =HYPERLINK("CSG19.html#group24A19", "24A¹⁹"), =HYPERLINK("CSG20.html#group96Q20", "96Q²⁰"), =HYPERLINK("CSG21.html#group96AH21", "96AH²¹"), =HYPERLINK("CSG8.html#group48T8", "48T⁸"), =HYPERLINK("CSG5.html#group24Y5", "24Y⁵"), =HYPERLINK("CSG21.html#group48BD21", "48BD²¹"), =HYPERLINK("CSG9.html#group96E9", "96E⁹"), =HYPERLINK("CSG15.html#group48I15", "48I¹⁵"), =HYPERLINK("CSG21.html#group96AL21", "96AL²¹"), =HYPERLINK("CSG13.html#group48AE13", "48AE¹³"), =HYPERLINK("CSG7.html#group48V7", "48V⁷"), =HYPERLINK("CSG19.html#group96X19", "96X¹⁹"), =HYPERLINK("CSG19.html#group96U19", "96U¹⁹"), =HYPERLINK("CSG19.html#group96AG19", "96AG¹⁹"), =HYPERLINK("CSG19.html#group48BA19", "48BA¹⁹"), =HYPERLINK("CSG17.html#group24T17", "24T¹⁷"), =HYPERLINK("CSG9.html#group96K9", "96K⁹"), =HYPERLINK("CSG21.html#group48D21", "48D²¹"), =HYPERLINK("CSG15.html#group48AC15", "48AC¹⁵"), =HYPERLINK("CSG13.html#group144F13", "144F¹³"), =HYPERLINK("CSG19.html#group96W19", "96W¹⁹"), =HYPERLINK("CSG17.html#group48L17", "48L¹⁷"), =HYPERLINK("CSG23.html#group96B23", "96B²³"), =HYPERLINK("CSG6.html#group48A6", "48A⁶"), =HYPERLINK("CSG16.html#group48G16", "48G¹⁶"), =HYPERLINK("CSG17.html#group48AN17", "48AN¹⁷"), =HYPERLINK("CSG19.html#group96AO19", "96AO¹⁹"), =HYPERLINK("CSG20.html#group96J20", "96J²⁰"), =HYPERLINK("CSG19.html#group96AR19", "96AR¹⁹"), =HYPERLINK("CSG11.html#group48G11", "48G¹¹"), =HYPERLINK("CSG19.html#group48AK19", "48AK¹⁹"), =HYPERLINK("CSG8.html#group48F8", "48F⁸"), =HYPERLINK("CSG9.html#group96B9", "96B⁹"), =HYPERLINK("CSG19.html#group96AI19", "96AI¹⁹"), =HYPERLINK("CSG9.html#group48Z9", "48Z⁹"), =HYPERLINK("CSG17.html#group48N17", "48N¹⁷"), =HYPERLINK("CSG16.html#group24A16", "24A¹⁶"), =HYPERLINK("CSG12.html#group168A12", "168A¹²"), =HYPERLINK("CSG3.html#group24I3", "24I³"), =HYPERLINK("CSG2.html#group24Q2", "24Q²"), =HYPERLINK("CSG17.html#group96H17", "96H¹⁷"), =HYPERLINK("CSG12.html#group72N12", "72N¹²"), =HYPERLINK("CSG17.html#group48AO17", "48AO¹⁷"), =HYPERLINK("CSG19.html#group24F19", "24F¹⁹"), =HYPERLINK("CSG21.html#group96AM21", "96AM²¹"), =HYPERLINK("CSG21.html#group48C21", "48C²¹"), =HYPERLINK("CSG20.html#group96U20", "96U²⁰"), =HYPERLINK("CSG9.html#group48AB9", "48AB⁹"), =HYPERLINK("CSG21.html#group96AK21", "96AK²¹"), =HYPERLINK("CSG21.html#group48AI21", "48AI²¹"), =HYPERLINK("CSG5.html#group24S5", "24S⁵"), =HYPERLINK("CSG9.html#group24J9", "24J⁹"), =HYPERLINK("CSG7.html#group24AB7", "24AB⁷"), =HYPERLINK("CSG15.html#group24U15", "24U¹⁵"), =HYPERLINK("CSG17.html#group48AY17", "48AY¹⁷"), =HYPERLINK("CSG19.html#group48AC19", "48AC¹⁹"), =HYPERLINK("CSG18.html#group48P18", "48P¹⁸"), =HYPERLINK("CSG23.html#group120N23", "120N²³"), =HYPERLINK("CSG5.html#group48F5", "48F⁵"), =HYPERLINK("CSG21.html#group192K21", "192K²¹"), =HYPERLINK("CSG19.html#group48T19", "48T¹⁹"), =HYPERLINK("CSG17.html#group24B17", "24B¹⁷"), =HYPERLINK("CSG19.html#group48BC19", "48BC¹⁹"), =HYPERLINK("CSG15.html#group48AA15", "48AA¹⁵"), =HYPERLINK("CSG15.html#group48H15", "48H¹⁵"), =HYPERLINK("CSG23.html#group96M23", "96M²³"), =HYPERLINK("CSG19.html#group48BB19", "48BB¹⁹"), =HYPERLINK("CSG21.html#group192L21", "192L²¹"), =HYPERLINK("CSG19.html#group96AP19", "96AP¹⁹"), =HYPERLINK("CSG5.html#group48G5", "48G⁵"), =HYPERLINK("CSG15.html#group48S15", "48S¹⁵"), =HYPERLINK("CSG19.html#group96AN19", "96AN¹⁹"), =HYPERLINK("CSG19.html#group96AV19", "96AV¹⁹"), =HYPERLINK("CSG16.html#group48F16", "48F¹⁶"), =HYPERLINK("CSG17.html#group48BQ17", "48BQ¹⁷"), =HYPERLINK("CSG21.html#group48BB21", "48BB²¹"), =HYPERLINK("CSG7.html#group48N7", "48N⁷"), =HYPERLINK("CSG19.html#group96T19", "96T¹⁹"), =HYPERLINK("CSG13.html#group24W13", "24W¹³"), =HYPERLINK("CSG21.html#group48E21", "48E²¹"), =HYPERLINK("CSG13.html#group48X13", "48X¹³"), =HYPERLINK("CSG20.html#group96AE20", "96AE²⁰"), =HYPERLINK("CSG11.html#group48Q11", "48Q¹¹"), =HYPERLINK("CSG19.html#group48AB19", "48AB¹⁹"), =HYPERLINK("CSG9.html#group96C9", "96C⁹"), =HYPERLINK("CSG3.html#group48F3", "48F³"), =HYPERLINK("CSG15.html#group24M15", "24M¹⁵")</f>
        <v/>
      </c>
    </row>
    <row r="113">
      <c r="A113" t="inlineStr">
        <is>
          <t>24B⁰</t>
        </is>
      </c>
      <c r="B113" t="inlineStr"/>
      <c r="C113" t="inlineStr">
        <is>
          <t>48</t>
        </is>
      </c>
      <c r="D113" t="inlineStr">
        <is>
          <t>1</t>
        </is>
      </c>
      <c r="E113" t="inlineStr">
        <is>
          <t>12</t>
        </is>
      </c>
      <c r="F113" t="inlineStr">
        <is>
          <t>0</t>
        </is>
      </c>
      <c r="G113" t="inlineStr">
        <is>
          <t>0</t>
        </is>
      </c>
      <c r="H113" t="inlineStr">
        <is>
          <t>1⁴, 3⁴, 8¹, 24¹</t>
        </is>
      </c>
      <c r="I113" t="n">
        <v>10</v>
      </c>
      <c r="J113" t="inlineStr">
        <is>
          <t>1⁶, 2³</t>
        </is>
      </c>
      <c r="K113">
        <f>HYPERLINK("CSG0.html#group12E0", "12E⁰")</f>
        <v/>
      </c>
      <c r="L113">
        <f>HYPERLINK("CSG1.html#group24J1", "24J¹"), =HYPERLINK("CSG3.html#group24U3", "24U³"), =HYPERLINK("CSG3.html#group24AC3", "24AC³"), =HYPERLINK("CSG3.html#group72A3", "72A³"), =HYPERLINK("CSG8.html#group72F8", "72F⁸"), =HYPERLINK("CSG8.html#group72G8", "72G⁸"), =HYPERLINK("CSG15.html#group120L15", "120L¹⁵"), =HYPERLINK("CSG16.html#group120B16", "120B¹⁶"), =HYPERLINK("CSG23.html#group168Q23", "168Q²³"), =HYPERLINK("CSG24.html#group168B24", "168B²⁴")</f>
        <v/>
      </c>
      <c r="M113">
        <f>HYPERLINK("CSG0.html#group6F0", "6F⁰"), =HYPERLINK("CSG0.html#group3B0", "3B⁰"), =HYPERLINK("CSG0.html#group2B0", "2B⁰"), =HYPERLINK("CSG0.html#group4B0", "4B⁰"), =HYPERLINK("CSG0.html#group1A0", "1A⁰"), =HYPERLINK("CSG0.html#group12E0", "12E⁰")</f>
        <v/>
      </c>
      <c r="N113">
        <f>HYPERLINK("CSG17.html#group72P17", "72P¹⁷"), =HYPERLINK("CSG5.html#group48J5", "48J⁵"), =HYPERLINK("CSG7.html#group24AK7", "24AK⁷"), =HYPERLINK("CSG17.html#group24AT17", "24AT¹⁷"), =HYPERLINK("CSG21.html#group24F21", "24F²¹"), =HYPERLINK("CSG13.html#group48AG13", "48AG¹³"), =HYPERLINK("CSG5.html#group24AA5", "24AA⁵"), =HYPERLINK("CSG21.html#group24E21", "24E²¹"), =HYPERLINK("CSG19.html#group72B19", "72B¹⁹"), =HYPERLINK("CSG9.html#group48AG9", "48AG⁹"), =HYPERLINK("CSG17.html#group96AH17", "96AH¹⁷"), =HYPERLINK("CSG9.html#group24AD9", "24AD⁹"), =HYPERLINK("CSG3.html#group72A3", "72A³"), =HYPERLINK("CSG1.html#group24J1", "24J¹"), =HYPERLINK("CSG5.html#group24Z5", "24Z⁵"), =HYPERLINK("CSG17.html#group216A17", "216A¹⁷"), =HYPERLINK("CSG3.html#group24U3", "24U³"), =HYPERLINK("CSG17.html#group24AP17", "24AP¹⁷"), =HYPERLINK("CSG21.html#group48BZ21", "48BZ²¹"), =HYPERLINK("CSG24.html#group168B24", "168B²⁴"), =HYPERLINK("CSG16.html#group120B16", "120B¹⁶"), =HYPERLINK("CSG13.html#group24J13", "24J¹³"), =HYPERLINK("CSG22.html#group72M22", "72M²²"), =HYPERLINK("CSG8.html#group72G8", "72G⁸"), =HYPERLINK("CSG9.html#group24AC9", "24AC⁹"), =HYPERLINK("CSG9.html#group72I9", "72I⁹"), =HYPERLINK("CSG9.html#group24AP9", "24AP⁹"), =HYPERLINK("CSG22.html#group216C22", "216C²²"), =HYPERLINK("CSG19.html#group72A19", "72A¹⁹"), =HYPERLINK("CSG13.html#group96I13", "96I¹³"), =HYPERLINK("CSG17.html#group48CO17", "48CO¹⁷"), =HYPERLINK("CSG5.html#group48I5", "48I⁵"), =HYPERLINK("CSG17.html#group72O17", "72O¹⁷"), =HYPERLINK("CSG17.html#group72X17", "72X¹⁷"), =HYPERLINK("CSG13.html#group48AH13", "48AH¹³"), =HYPERLINK("CSG3.html#group24AC3", "24AC³"), =HYPERLINK("CSG17.html#group24AS17", "24AS¹⁷"), =HYPERLINK("CSG23.html#group168Q23", "168Q²³"), =HYPERLINK("CSG17.html#group72Y17", "72Y¹⁷"), =HYPERLINK("CSG21.html#group24C21", "24C²¹"), =HYPERLINK("CSG15.html#group120L15", "120L¹⁵"), =HYPERLINK("CSG22.html#group72N22", "72N²²"), =HYPERLINK("CSG21.html#group96BB21", "96BB²¹"), =HYPERLINK("CSG17.html#group48CN17", "48CN¹⁷"), =HYPERLINK("CSG22.html#group72L22", "72L²²"), =HYPERLINK("CSG13.html#group24AC13", "24AC¹³"), =HYPERLINK("CSG13.html#group72Q13", "72Q¹³"), =HYPERLINK("CSG8.html#group72F8", "72F⁸")</f>
        <v/>
      </c>
    </row>
    <row r="114">
      <c r="A114" t="inlineStr">
        <is>
          <t>25A⁰</t>
        </is>
      </c>
      <c r="B114" t="inlineStr">
        <is>
          <t>Γ₀(25)</t>
        </is>
      </c>
      <c r="C114" t="inlineStr">
        <is>
          <t>30</t>
        </is>
      </c>
      <c r="D114" t="inlineStr">
        <is>
          <t>1</t>
        </is>
      </c>
      <c r="E114" t="inlineStr">
        <is>
          <t>30</t>
        </is>
      </c>
      <c r="F114" t="inlineStr">
        <is>
          <t>2</t>
        </is>
      </c>
      <c r="G114" t="inlineStr">
        <is>
          <t>0</t>
        </is>
      </c>
      <c r="H114" t="inlineStr">
        <is>
          <t>1⁵, 25¹</t>
        </is>
      </c>
      <c r="I114" t="n">
        <v>6</v>
      </c>
      <c r="J114" t="inlineStr">
        <is>
          <t>1², 4², 20¹</t>
        </is>
      </c>
      <c r="K114">
        <f>HYPERLINK("CSG0.html#group5B0", "5B⁰")</f>
        <v/>
      </c>
      <c r="L114">
        <f>HYPERLINK("CSG0.html#group25B0", "25B⁰"), =HYPERLINK("CSG2.html#group50A2", "50A²"), =HYPERLINK("CSG2.html#group50B2", "50B²"), =HYPERLINK("CSG3.html#group50A3", "50A³"), =HYPERLINK("CSG4.html#group25G4", "25G⁴"), =HYPERLINK("CSG4.html#group75A4", "75A⁴"), =HYPERLINK("CSG5.html#group75A5", "75A⁵"), =HYPERLINK("CSG6.html#group125A6", "125A⁶"), =HYPERLINK("CSG6.html#group125B6", "125B⁶"), =HYPERLINK("CSG7.html#group100A7", "100A⁷"), =HYPERLINK("CSG8.html#group25A8", "25A⁸"), =HYPERLINK("CSG8.html#group125A8", "125A⁸"), =HYPERLINK("CSG10.html#group125A10", "125A¹⁰"), =HYPERLINK("CSG10.html#group125B10", "125B¹⁰"), =HYPERLINK("CSG14.html#group175A14", "175A¹⁴"), =HYPERLINK("CSG15.html#group175A15", "175A¹⁵"), =HYPERLINK("CSG24.html#group275A24", "275A²⁴")</f>
        <v/>
      </c>
      <c r="M114">
        <f>HYPERLINK("CSG0.html#group5B0", "5B⁰"), =HYPERLINK("CSG0.html#group1A0", "1A⁰")</f>
        <v/>
      </c>
      <c r="N114">
        <f>HYPERLINK("CSG15.html#group175A15", "175A¹⁵"), =HYPERLINK("CSG19.html#group100O19", "100O¹⁹"), =HYPERLINK("CSG15.html#group200A15", "200A¹⁵"), =HYPERLINK("CSG6.html#group100A6", "100A⁶"), =HYPERLINK("CSG12.html#group25B12", "25B¹²"), =HYPERLINK("CSG6.html#group125A6", "125A⁶"), =HYPERLINK("CSG7.html#group50C7", "50C⁷"), =HYPERLINK("CSG23.html#group250A23", "250A²³"), =HYPERLINK("CSG13.html#group150A13", "150A¹³"), =HYPERLINK("CSG12.html#group150E12", "150E¹²"), =HYPERLINK("CSG16.html#group25A16", "25A¹⁶"), =HYPERLINK("CSG15.html#group100D15", "100D¹⁵"), =HYPERLINK("CSG21.html#group100B21", "100B²¹"), =HYPERLINK("CSG5.html#group75A5", "75A⁵"), =HYPERLINK("CSG8.html#group25A8", "25A⁸"), =HYPERLINK("CSG24.html#group75C24", "75C²⁴"), =HYPERLINK("CSG6.html#group50E6", "50E⁶"), =HYPERLINK("CSG24.html#group250A24", "250A²⁴"), =HYPERLINK("CSG18.html#group250B18", "250B¹⁸"), =HYPERLINK("CSG2.html#group50A2", "50A²"), =HYPERLINK("CSG23.html#group150B23", "150B²³"), =HYPERLINK("CSG13.html#group50E13", "50E¹³"), =HYPERLINK("CSG10.html#group125B10", "125B¹⁰"), =HYPERLINK("CSG19.html#group200J19", "200J¹⁹"), =HYPERLINK("CSG17.html#group200A17", "200A¹⁷"), =HYPERLINK("CSG12.html#group125A12", "125A¹²"), =HYPERLINK("CSG24.html#group275A24", "275A²⁴"), =HYPERLINK("CSG14.html#group50B14", "50B¹⁴"), =HYPERLINK("CSG9.html#group75F9", "75F⁹"), =HYPERLINK("CSG22.html#group250B22", "250B²²"), =HYPERLINK("CSG4.html#group50F4", "50F⁴"), =HYPERLINK("CSG21.html#group250A21", "250A²¹"), =HYPERLINK("CSG13.html#group100J13", "100J¹³"), =HYPERLINK("CSG3.html#group50A3", "50A³"), =HYPERLINK("CSG21.html#group200B21", "200B²¹"), =HYPERLINK("CSG22.html#group50E22", "50E²²"), =HYPERLINK("CSG6.html#group125B6", "125B⁶"), =HYPERLINK("CSG13.html#group100I13", "100I¹³"), =HYPERLINK("CSG16.html#group125A16", "125A¹⁶"), =HYPERLINK("CSG14.html#group175A14", "175A¹⁴"), =HYPERLINK("CSG19.html#group150I19", "150I¹⁹"), =HYPERLINK("CSG19.html#group75D19", "75D¹⁹"), =HYPERLINK("CSG8.html#group125A8", "125A⁸"), =HYPERLINK("CSG21.html#group50E21", "50E²¹"), =HYPERLINK("CSG15.html#group100C15", "100C¹⁵"), =HYPERLINK("CSG17.html#group200B17", "200B¹⁷"), =HYPERLINK("CSG20.html#group50A20", "50A²⁰"), =HYPERLINK("CSG20.html#group250A20", "250A²⁰"), =HYPERLINK("CSG23.html#group150D23", "150D²³"), =HYPERLINK("CSG19.html#group100Q19", "100Q¹⁹"), =HYPERLINK("CSG10.html#group150A10", "150A¹⁰"), =HYPERLINK("CSG22.html#group250A22", "250A²²"), =HYPERLINK("CSG17.html#group75F17", "75F¹⁷"), =HYPERLINK("CSG21.html#group150A21", "150A²¹"), =HYPERLINK("CSG21.html#group200A21", "200A²¹"), =HYPERLINK("CSG19.html#group200I19", "200I¹⁹"), =HYPERLINK("CSG18.html#group250A18", "250A¹⁸"), =HYPERLINK("CSG15.html#group150I15", "150I¹⁵"), =HYPERLINK("CSG2.html#group50B2", "50B²"), =HYPERLINK("CSG8.html#group75A8", "75A⁸"), =HYPERLINK("CSG12.html#group125B12", "125B¹²"), =HYPERLINK("CSG23.html#group200A23", "200A²³"), =HYPERLINK("CSG23.html#group200B23", "200B²³"), =HYPERLINK("CSG9.html#group100I9", "100I⁹"), =HYPERLINK("CSG21.html#group100A21", "100A²¹"), =HYPERLINK("CSG17.html#group100E17", "100E¹⁷"), =HYPERLINK("CSG15.html#group150J15", "150J¹⁵"), =HYPERLINK("CSG19.html#group100N19", "100N¹⁹"), =HYPERLINK("CSG18.html#group225A18", "225A¹⁸"), =HYPERLINK("CSG5.html#group50F5", "50F⁵"), =HYPERLINK("CSG15.html#group100A15", "100A¹⁵"), =HYPERLINK("CSG11.html#group150A11", "150A¹¹"), =HYPERLINK("CSG24.html#group250B24", "250B²⁴"), =HYPERLINK("CSG7.html#group100B7", "100B⁷"), =HYPERLINK("CSG10.html#group75A10", "75A¹⁰"), =HYPERLINK("CSG17.html#group75E17", "75E¹⁷"), =HYPERLINK("CSG19.html#group100P19", "100P¹⁹"), =HYPERLINK("CSG10.html#group100A10", "100A¹⁰"), =HYPERLINK("CSG4.html#group75A4", "75A⁴"), =HYPERLINK("CSG19.html#group75C19", "75C¹⁹"), =HYPERLINK("CSG10.html#group125A10", "125A¹⁰"), =HYPERLINK("CSG19.html#group250B19", "250B¹⁹"), =HYPERLINK("CSG19.html#group250A19", "250A¹⁹"), =HYPERLINK("CSG23.html#group250B23", "250B²³"), =HYPERLINK("CSG7.html#group100C7", "100C⁷"), =HYPERLINK("CSG19.html#group225A19", "225A¹⁹"), =HYPERLINK("CSG15.html#group100B15", "100B¹⁵"), =HYPERLINK("CSG7.html#group100A7", "100A⁷"), =HYPERLINK("CSG16.html#group150A16", "150A¹⁶"), =HYPERLINK("CSG20.html#group125A20", "125A²⁰"), =HYPERLINK("CSG20.html#group125B20", "125B²⁰"), =HYPERLINK("CSG19.html#group50B19", "50B¹⁹"), =HYPERLINK("CSG21.html#group100C21", "100C²¹"), =HYPERLINK("CSG23.html#group150C23", "150C²³"), =HYPERLINK("CSG9.html#group75E9", "75E⁹"), =HYPERLINK("CSG21.html#group200C21", "200C²¹"), =HYPERLINK("CSG0.html#group25B0", "25B⁰"), =HYPERLINK("CSG13.html#group150B13", "150B¹³"), =HYPERLINK("CSG4.html#group25G4", "25G⁴")</f>
        <v/>
      </c>
    </row>
    <row r="115">
      <c r="A115" t="inlineStr">
        <is>
          <t>25B⁰</t>
        </is>
      </c>
      <c r="B115" t="inlineStr">
        <is>
          <t>Γ₀(25)∩Γ₁(5)</t>
        </is>
      </c>
      <c r="C115" t="inlineStr">
        <is>
          <t>60</t>
        </is>
      </c>
      <c r="D115" t="inlineStr">
        <is>
          <t>1</t>
        </is>
      </c>
      <c r="E115" t="inlineStr">
        <is>
          <t>6</t>
        </is>
      </c>
      <c r="F115" t="inlineStr">
        <is>
          <t>0</t>
        </is>
      </c>
      <c r="G115" t="inlineStr">
        <is>
          <t>0</t>
        </is>
      </c>
      <c r="H115" t="inlineStr">
        <is>
          <t>1¹⁰, 25²</t>
        </is>
      </c>
      <c r="I115" t="n">
        <v>12</v>
      </c>
      <c r="J115" t="inlineStr">
        <is>
          <t>1², 4¹</t>
        </is>
      </c>
      <c r="K115">
        <f>HYPERLINK("CSG0.html#group5D0", "5D⁰"), =HYPERLINK("CSG0.html#group25A0", "25A⁰")</f>
        <v/>
      </c>
      <c r="L115">
        <f>HYPERLINK("CSG4.html#group50F4", "50F⁴"), =HYPERLINK("CSG5.html#group50F5", "50F⁵"), =HYPERLINK("CSG9.html#group75F9", "75F⁹"), =HYPERLINK("CSG10.html#group75A10", "75A¹⁰"), =HYPERLINK("CSG12.html#group25B12", "25B¹²"), =HYPERLINK("CSG12.html#group125A12", "125A¹²"), =HYPERLINK("CSG12.html#group125B12", "125B¹²"), =HYPERLINK("CSG15.html#group100B15", "100B¹⁵"), =HYPERLINK("CSG16.html#group25A16", "25A¹⁶"), =HYPERLINK("CSG16.html#group125A16", "125A¹⁶"), =HYPERLINK("CSG20.html#group125A20", "125A²⁰"), =HYPERLINK("CSG20.html#group125B20", "125B²⁰")</f>
        <v/>
      </c>
      <c r="M115">
        <f>HYPERLINK("CSG0.html#group25A0", "25A⁰"), =HYPERLINK("CSG0.html#group5B0", "5B⁰"), =HYPERLINK("CSG0.html#group5D0", "5D⁰"), =HYPERLINK("CSG0.html#group1A0", "1A⁰")</f>
        <v/>
      </c>
      <c r="N115">
        <f>HYPERLINK("CSG12.html#group25B12", "25B¹²"), =HYPERLINK("CSG4.html#group50F4", "50F⁴"), =HYPERLINK("CSG9.html#group75F9", "75F⁹"), =HYPERLINK("CSG13.html#group100J13", "100J¹³"), =HYPERLINK("CSG10.html#group75A10", "75A¹⁰"), =HYPERLINK("CSG17.html#group75F17", "75F¹⁷"), =HYPERLINK("CSG19.html#group75C19", "75C¹⁹"), =HYPERLINK("CSG16.html#group125A16", "125A¹⁶"), =HYPERLINK("CSG16.html#group25A16", "25A¹⁶"), =HYPERLINK("CSG15.html#group100B15", "100B¹⁵"), =HYPERLINK("CSG12.html#group125B12", "125B¹²"), =HYPERLINK("CSG15.html#group100A15", "100A¹⁵"), =HYPERLINK("CSG20.html#group125A20", "125A²⁰"), =HYPERLINK("CSG20.html#group125B20", "125B²⁰"), =HYPERLINK("CSG13.html#group50E13", "50E¹³"), =HYPERLINK("CSG12.html#group125A12", "125A¹²"), =HYPERLINK("CSG19.html#group100N19", "100N¹⁹"), =HYPERLINK("CSG5.html#group50F5", "50F⁵")</f>
        <v/>
      </c>
    </row>
    <row r="116">
      <c r="A116" t="inlineStr">
        <is>
          <t>26A⁰</t>
        </is>
      </c>
      <c r="B116" t="inlineStr"/>
      <c r="C116" t="inlineStr">
        <is>
          <t>28</t>
        </is>
      </c>
      <c r="D116" t="inlineStr">
        <is>
          <t>1</t>
        </is>
      </c>
      <c r="E116" t="inlineStr">
        <is>
          <t>14</t>
        </is>
      </c>
      <c r="F116" t="inlineStr">
        <is>
          <t>4</t>
        </is>
      </c>
      <c r="G116" t="inlineStr">
        <is>
          <t>4</t>
        </is>
      </c>
      <c r="H116" t="inlineStr">
        <is>
          <t>2¹, 26¹</t>
        </is>
      </c>
      <c r="I116" t="n">
        <v>2</v>
      </c>
      <c r="J116" t="inlineStr">
        <is>
          <t>1², 12¹</t>
        </is>
      </c>
      <c r="K116">
        <f>HYPERLINK("CSG0.html#group13A0", "13A⁰")</f>
        <v/>
      </c>
      <c r="L116">
        <f>HYPERLINK("CSG1.html#group26B1", "26B¹"), =HYPERLINK("CSG1.html#group52A1", "52A¹"), =HYPERLINK("CSG2.html#group26B2", "26B²"), =HYPERLINK("CSG2.html#group78A2", "78A²"), =HYPERLINK("CSG4.html#group26B4", "26B⁴"), =HYPERLINK("CSG4.html#group78A4", "78A⁴"), =HYPERLINK("CSG5.html#group52C5", "52C⁵"), =HYPERLINK("CSG7.html#group78B7", "78B⁷"), =HYPERLINK("CSG8.html#group130A8", "130A⁸"), =HYPERLINK("CSG11.html#group130B11", "130B¹¹"), =HYPERLINK("CSG12.html#group182A12", "182A¹²"), =HYPERLINK("CSG15.html#group182B15", "182B¹⁵"), =HYPERLINK("CSG19.html#group130B19", "130B¹⁹"), =HYPERLINK("CSG20.html#group286A20", "286A²⁰"), =HYPERLINK("CSG22.html#group26A22", "26A²²"), =HYPERLINK("CSG22.html#group338A22", "338A²²")</f>
        <v/>
      </c>
      <c r="M116">
        <f>HYPERLINK("CSG0.html#group13A0", "13A⁰"), =HYPERLINK("CSG0.html#group1A0", "1A⁰")</f>
        <v/>
      </c>
      <c r="N116">
        <f>HYPERLINK("CSG11.html#group52B11", "52B¹¹"), =HYPERLINK("CSG16.html#group234A16", "234A¹⁶"), =HYPERLINK("CSG23.html#group78F23", "78F²³"), =HYPERLINK("CSG11.html#group130B11", "130B¹¹"), =HYPERLINK("CSG9.html#group78C9", "78C⁹"), =HYPERLINK("CSG1.html#group26B1", "26B¹"), =HYPERLINK("CSG21.html#group156A21", "156A²¹"), =HYPERLINK("CSG23.html#group156B23", "156B²³"), =HYPERLINK("CSG8.html#group130A8", "130A⁸"), =HYPERLINK("CSG13.html#group104C13", "104C¹³"), =HYPERLINK("CSG22.html#group26A22", "26A²²"), =HYPERLINK("CSG4.html#group26B4", "26B⁴"), =HYPERLINK("CSG13.html#group52A13", "52A¹³"), =HYPERLINK("CSG23.html#group78G23", "78G²³"), =HYPERLINK("CSG17.html#group130B17", "130B¹⁷"), =HYPERLINK("CSG7.html#group156A7", "156A⁷"), =HYPERLINK("CSG9.html#group78A9", "78A⁹"), =HYPERLINK("CSG13.html#group78G13", "78G¹³"), =HYPERLINK("CSG3.html#group52B3", "52B³"), =HYPERLINK("CSG11.html#group52H11", "52H¹¹"), =HYPERLINK("CSG23.html#group52A23", "52A²³"), =HYPERLINK("CSG21.html#group104A21", "104A²¹"), =HYPERLINK("CSG23.html#group104J23", "104J²³"), =HYPERLINK("CSG23.html#group104E23", "104E²³"), =HYPERLINK("CSG7.html#group156B7", "156B⁷"), =HYPERLINK("CSG9.html#group52E9", "52E⁹"), =HYPERLINK("CSG23.html#group156H23", "156H²³"), =HYPERLINK("CSG21.html#group130C21", "130C²¹"), =HYPERLINK("CSG21.html#group104D21", "104D²¹"), =HYPERLINK("CSG9.html#group26B9", "26B⁹"), =HYPERLINK("CSG9.html#group78B9", "78B⁹"), =HYPERLINK("CSG11.html#group52G11", "52G¹¹"), =HYPERLINK("CSG12.html#group182A12", "182A¹²"), =HYPERLINK("CSG21.html#group52C21", "52C²¹"), =HYPERLINK("CSG11.html#group156C11", "156C¹¹"), =HYPERLINK("CSG23.html#group234D23", "234D²³"), =HYPERLINK("CSG16.html#group78B16", "78B¹⁶"), =HYPERLINK("CSG22.html#group338A22", "338A²²"), =HYPERLINK("CSG4.html#group78A4", "78A⁴"), =HYPERLINK("CSG5.html#group26C5", "26C⁵"), =HYPERLINK("CSG19.html#group156E19", "156E¹⁹"), =HYPERLINK("CSG7.html#group78B7", "78B⁷"), =HYPERLINK("CSG9.html#group26A9", "26A⁹"), =HYPERLINK("CSG19.html#group52A19", "52A¹⁹"), =HYPERLINK("CSG11.html#group156B11", "156B¹¹"), =HYPERLINK("CSG19.html#group52C19", "52C¹⁹"), =HYPERLINK("CSG9.html#group52D9", "52D⁹"), =HYPERLINK("CSG13.html#group104E13", "104E¹³"), =HYPERLINK("CSG11.html#group78D11", "78D¹¹"), =HYPERLINK("CSG23.html#group234A23", "234A²³"), =HYPERLINK("CSG21.html#group52D21", "52D²¹"), =HYPERLINK("CSG23.html#group78A23", "78A²³"), =HYPERLINK("CSG23.html#group52B23", "52B²³"), =HYPERLINK("CSG10.html#group78A10", "78A¹⁰"), =HYPERLINK("CSG19.html#group156D19", "156D¹⁹"), =HYPERLINK("CSG1.html#group52A1", "52A¹"), =HYPERLINK("CSG19.html#group156F19", "156F¹⁹"), =HYPERLINK("CSG20.html#group286A20", "286A²⁰"), =HYPERLINK("CSG5.html#group52C5", "52C⁵"), =HYPERLINK("CSG23.html#group52H23", "52H²³"), =HYPERLINK("CSG10.html#group26E10", "26E¹⁰"), =HYPERLINK("CSG16.html#group78E16", "78E¹⁶"), =HYPERLINK("CSG17.html#group260A17", "260A¹⁷"), =HYPERLINK("CSG13.html#group78A13", "78A¹³"), =HYPERLINK("CSG17.html#group52A17", "52A¹⁷"), =HYPERLINK("CSG13.html#group104D13", "104D¹³"), =HYPERLINK("CSG2.html#group78A2", "78A²"), =HYPERLINK("CSG15.html#group156C15", "156C¹⁵"), =HYPERLINK("CSG15.html#group182B15", "182B¹⁵"), =HYPERLINK("CSG19.html#group130B19", "130B¹⁹"), =HYPERLINK("CSG2.html#group26B2", "26B²"), =HYPERLINK("CSG21.html#group52F21", "52F²¹"), =HYPERLINK("CSG9.html#group52B9", "52B⁹"), =HYPERLINK("CSG21.html#group104C21", "104C²¹"), =HYPERLINK("CSG21.html#group78A21", "78A²¹"), =HYPERLINK("CSG11.html#group78B11", "78B¹¹"), =HYPERLINK("CSG23.html#group156A23", "156A²³"), =HYPERLINK("CSG15.html#group52A15", "52A¹⁵"), =HYPERLINK("CSG23.html#group156G23", "156G²³")</f>
        <v/>
      </c>
    </row>
    <row r="117">
      <c r="A117" t="inlineStr">
        <is>
          <t>27A⁰</t>
        </is>
      </c>
      <c r="B117" t="inlineStr"/>
      <c r="C117" t="inlineStr">
        <is>
          <t>36</t>
        </is>
      </c>
      <c r="D117" t="inlineStr">
        <is>
          <t>1</t>
        </is>
      </c>
      <c r="E117" t="inlineStr">
        <is>
          <t>12</t>
        </is>
      </c>
      <c r="F117" t="inlineStr">
        <is>
          <t>0</t>
        </is>
      </c>
      <c r="G117" t="inlineStr">
        <is>
          <t>0</t>
        </is>
      </c>
      <c r="H117" t="inlineStr">
        <is>
          <t>1⁶, 3¹, 27¹</t>
        </is>
      </c>
      <c r="I117" t="n">
        <v>8</v>
      </c>
      <c r="J117" t="inlineStr">
        <is>
          <t>1², 2², 6¹</t>
        </is>
      </c>
      <c r="K117">
        <f>HYPERLINK("CSG0.html#group9B0", "9B⁰")</f>
        <v/>
      </c>
      <c r="L117">
        <f>HYPERLINK("CSG1.html#group27C1", "27C¹"), =HYPERLINK("CSG2.html#group54B2", "54B²"), =HYPERLINK("CSG3.html#group54A3", "54A³"), =HYPERLINK("CSG4.html#group27A4", "27A⁴"), =HYPERLINK("CSG4.html#group27C4", "27C⁴"), =HYPERLINK("CSG9.html#group108C9", "108C⁹"), =HYPERLINK("CSG11.html#group135B11", "135B¹¹"), =HYPERLINK("CSG12.html#group135A12", "135A¹²"), =HYPERLINK("CSG17.html#group189A17", "189A¹⁷"), =HYPERLINK("CSG18.html#group189A18", "189A¹⁸"), =HYPERLINK("CSG23.html#group135A23", "135A²³")</f>
        <v/>
      </c>
      <c r="M117">
        <f>HYPERLINK("CSG0.html#group3B0", "3B⁰"), =HYPERLINK("CSG0.html#group9B0", "9B⁰"), =HYPERLINK("CSG0.html#group1A0", "1A⁰")</f>
        <v/>
      </c>
      <c r="N117">
        <f>HYPERLINK("CSG17.html#group108G17", "108G¹⁷"), =HYPERLINK("CSG10.html#group27B10", "27B¹⁰"), =HYPERLINK("CSG2.html#group54B2", "54B²"), =HYPERLINK("CSG1.html#group27C1", "27C¹"), =HYPERLINK("CSG13.html#group54C13", "54C¹³"), =HYPERLINK("CSG12.html#group135A12", "135A¹²"), =HYPERLINK("CSG19.html#group27E19", "27E¹⁹"), =HYPERLINK("CSG13.html#group27B13", "27B¹³"), =HYPERLINK("CSG9.html#group108A9", "108A⁹"), =HYPERLINK("CSG21.html#group108E21", "108E²¹"), =HYPERLINK("CSG11.html#group108E11", "108E¹¹"), =HYPERLINK("CSG9.html#group108C9", "108C⁹"), =HYPERLINK("CSG10.html#group54B10", "54B¹⁰"), =HYPERLINK("CSG16.html#group81B16", "81B¹⁶"), =HYPERLINK("CSG11.html#group135B11", "135B¹¹"), =HYPERLINK("CSG23.html#group135A23", "135A²³"), =HYPERLINK("CSG19.html#group81C19", "81C¹⁹"), =HYPERLINK("CSG10.html#group54H10", "54H¹⁰"), =HYPERLINK("CSG17.html#group216A17", "216A¹⁷"), =HYPERLINK("CSG18.html#group189A18", "189A¹⁸"), =HYPERLINK("CSG7.html#group108A7", "108A⁷"), =HYPERLINK("CSG22.html#group81D22", "81D²²"), =HYPERLINK("CSG17.html#group189A17", "189A¹⁷"), =HYPERLINK("CSG10.html#group81A10", "81A¹⁰"), =HYPERLINK("CSG13.html#group54H13", "54H¹³"), =HYPERLINK("CSG13.html#group54L13", "54L¹³"), =HYPERLINK("CSG10.html#group54I10", "54I¹⁰"), =HYPERLINK("CSG17.html#group108D17", "108D¹⁷"), =HYPERLINK("CSG4.html#group27C4", "27C⁴"), =HYPERLINK("CSG21.html#group216A21", "216A²¹"), =HYPERLINK("CSG16.html#group54R16", "54R¹⁶"), =HYPERLINK("CSG21.html#group135A21", "135A²¹"), =HYPERLINK("CSG16.html#group54T16", "54T¹⁶"), =HYPERLINK("CSG16.html#group27C16", "27C¹⁶"), =HYPERLINK("CSG17.html#group108F17", "108F¹⁷"), =HYPERLINK("CSG19.html#group81B19", "81B¹⁹"), =HYPERLINK("CSG4.html#group27A4", "27A⁴"), =HYPERLINK("CSG21.html#group216B21", "216B²¹"), =HYPERLINK("CSG19.html#group81A19", "81A¹⁹"), =HYPERLINK("CSG22.html#group81A22", "81A²²"), =HYPERLINK("CSG3.html#group54A3", "54A³"), =HYPERLINK("CSG13.html#group81A13", "81A¹³"), =HYPERLINK("CSG7.html#group54B7", "54B⁷"), =HYPERLINK("CSG16.html#group81A16", "81A¹⁶"), =HYPERLINK("CSG13.html#group54E13", "54E¹³")</f>
        <v/>
      </c>
    </row>
    <row r="118">
      <c r="A118" t="inlineStr">
        <is>
          <t>28A⁰</t>
        </is>
      </c>
      <c r="B118" t="inlineStr"/>
      <c r="C118" t="inlineStr">
        <is>
          <t>32</t>
        </is>
      </c>
      <c r="D118" t="inlineStr">
        <is>
          <t>1</t>
        </is>
      </c>
      <c r="E118" t="inlineStr">
        <is>
          <t>8</t>
        </is>
      </c>
      <c r="F118" t="inlineStr">
        <is>
          <t>0</t>
        </is>
      </c>
      <c r="G118" t="inlineStr">
        <is>
          <t>8</t>
        </is>
      </c>
      <c r="H118" t="inlineStr">
        <is>
          <t>4¹, 28¹</t>
        </is>
      </c>
      <c r="I118" t="n">
        <v>2</v>
      </c>
      <c r="J118" t="inlineStr">
        <is>
          <t>1², 6¹</t>
        </is>
      </c>
      <c r="K118">
        <f>HYPERLINK("CSG0.html#group14B0", "14B⁰")</f>
        <v/>
      </c>
      <c r="L118">
        <f>HYPERLINK("CSG2.html#group28F2", "28F²"), =HYPERLINK("CSG4.html#group84A4", "84A⁴"), =HYPERLINK("CSG4.html#group84B4", "84B⁴"), =HYPERLINK("CSG5.html#group28I5", "28I⁵"), =HYPERLINK("CSG6.html#group28E6", "28E⁶"), =HYPERLINK("CSG6.html#group28D6", "28D⁶"), =HYPERLINK("CSG6.html#group84A6", "84A⁶"), =HYPERLINK("CSG7.html#group84E7", "84E⁷"), =HYPERLINK("CSG8.html#group84A8", "84A⁸"), =HYPERLINK("CSG8.html#group140A8", "140A⁸"), =HYPERLINK("CSG13.html#group28A13", "28A¹³"), =HYPERLINK("CSG13.html#group196A13", "196A¹³"), =HYPERLINK("CSG15.html#group140B15", "140B¹⁵"), =HYPERLINK("CSG23.html#group140B23", "140B²³")</f>
        <v/>
      </c>
      <c r="M118">
        <f>HYPERLINK("CSG0.html#group2A0", "2A⁰"), =HYPERLINK("CSG0.html#group1A0", "1A⁰"), =HYPERLINK("CSG0.html#group7B0", "7B⁰"), =HYPERLINK("CSG0.html#group14B0", "14B⁰")</f>
        <v/>
      </c>
      <c r="N118">
        <f>HYPERLINK("CSG13.html#group56N13", "56N¹³"), =HYPERLINK("CSG21.html#group28N21", "28N²¹"), =HYPERLINK("CSG22.html#group84A22", "84A²²"), =HYPERLINK("CSG16.html#group84K16", "84K¹⁶"), =HYPERLINK("CSG23.html#group56W23", "56W²³"), =HYPERLINK("CSG15.html#group140B15", "140B¹⁵"), =HYPERLINK("CSG11.html#group28F11", "28F¹¹"), =HYPERLINK("CSG6.html#group28D6", "28D⁶"), =HYPERLINK("CSG13.html#group84K13", "84K¹³"), =HYPERLINK("CSG4.html#group84A4", "84A⁴"), =HYPERLINK("CSG6.html#group28E6", "28E⁶"), =HYPERLINK("CSG5.html#group28I5", "28I⁵"), =HYPERLINK("CSG7.html#group84E7", "84E⁷"), =HYPERLINK("CSG6.html#group84A6", "84A⁶"), =HYPERLINK("CSG22.html#group84D22", "84D²²"), =HYPERLINK("CSG24.html#group252A24", "252A²⁴"), =HYPERLINK("CSG8.html#group140A8", "140A⁸"), =HYPERLINK("CSG23.html#group252A23", "252A²³"), =HYPERLINK("CSG4.html#group84B4", "84B⁴"), =HYPERLINK("CSG22.html#group84K22", "84K²²"), =HYPERLINK("CSG21.html#group28M21", "28M²¹"), =HYPERLINK("CSG16.html#group28G16", "28G¹⁶"), =HYPERLINK("CSG17.html#group28E17", "28E¹⁷"), =HYPERLINK("CSG8.html#group84A8", "84A⁸"), =HYPERLINK("CSG13.html#group196A13", "196A¹³"), =HYPERLINK("CSG23.html#group84H23", "84H²³"), =HYPERLINK("CSG23.html#group140B23", "140B²³"), =HYPERLINK("CSG22.html#group84B22", "84B²²"), =HYPERLINK("CSG15.html#group84B15", "84B¹⁵"), =HYPERLINK("CSG22.html#group84C22", "84C²²"), =HYPERLINK("CSG2.html#group28F2", "28F²"), =HYPERLINK("CSG13.html#group28A13", "28A¹³")</f>
        <v/>
      </c>
    </row>
    <row r="119">
      <c r="A119" t="inlineStr">
        <is>
          <t>30A⁰</t>
        </is>
      </c>
      <c r="B119" t="inlineStr"/>
      <c r="C119" t="inlineStr">
        <is>
          <t>36</t>
        </is>
      </c>
      <c r="D119" t="inlineStr">
        <is>
          <t>1</t>
        </is>
      </c>
      <c r="E119" t="inlineStr">
        <is>
          <t>6</t>
        </is>
      </c>
      <c r="F119" t="inlineStr">
        <is>
          <t>12</t>
        </is>
      </c>
      <c r="G119" t="inlineStr">
        <is>
          <t>0</t>
        </is>
      </c>
      <c r="H119" t="inlineStr">
        <is>
          <t>6¹, 30¹</t>
        </is>
      </c>
      <c r="I119" t="n">
        <v>2</v>
      </c>
      <c r="J119" t="inlineStr">
        <is>
          <t>1², 4¹</t>
        </is>
      </c>
      <c r="K119">
        <f>HYPERLINK("CSG0.html#group10B0", "10B⁰"), =HYPERLINK("CSG0.html#group15B0", "15B⁰")</f>
        <v/>
      </c>
      <c r="L119">
        <f>HYPERLINK("CSG1.html#group30D1", "30D¹"), =HYPERLINK("CSG3.html#group30J3", "30J³"), =HYPERLINK("CSG3.html#group60C3", "60C³"), =HYPERLINK("CSG3.html#group60D3", "60D³"), =HYPERLINK("CSG4.html#group30H4", "30H⁴"), =HYPERLINK("CSG4.html#group90A4", "90A⁴"), =HYPERLINK("CSG5.html#group30C5", "30C⁵"), =HYPERLINK("CSG5.html#group60C5", "60C⁵"), =HYPERLINK("CSG10.html#group30B10", "30B¹⁰"), =HYPERLINK("CSG10.html#group150A10", "150A¹⁰"), =HYPERLINK("CSG12.html#group150C12", "150C¹²"), =HYPERLINK("CSG12.html#group150B12", "150B¹²"), =HYPERLINK("CSG12.html#group150D12", "150D¹²"), =HYPERLINK("CSG12.html#group150A12", "150A¹²"), =HYPERLINK("CSG12.html#group210A12", "210A¹²"), =HYPERLINK("CSG23.html#group210A23", "210A²³"), =HYPERLINK("CSG24.html#group330D24", "330D²⁴")</f>
        <v/>
      </c>
      <c r="M119">
        <f>HYPERLINK("CSG0.html#group5B0", "5B⁰"), =HYPERLINK("CSG0.html#group15B0", "15B⁰"), =HYPERLINK("CSG0.html#group3A0", "3A⁰"), =HYPERLINK("CSG0.html#group1A0", "1A⁰"), =HYPERLINK("CSG0.html#group10B0", "10B⁰")</f>
        <v/>
      </c>
      <c r="N119">
        <f>HYPERLINK("CSG12.html#group150A12", "150A¹²"), =HYPERLINK("CSG11.html#group60A11", "60A¹¹"), =HYPERLINK("CSG17.html#group120J17", "120J¹⁷"), =HYPERLINK("CSG3.html#group30J3", "30J³"), =HYPERLINK("CSG18.html#group90D18", "90D¹⁸"), =HYPERLINK("CSG15.html#group60AE15", "60AE¹⁵"), =HYPERLINK("CSG3.html#group60D3", "60D³"), =HYPERLINK("CSG13.html#group180D13", "180D¹³"), =HYPERLINK("CSG11.html#group60T11", "60T¹¹"), =HYPERLINK("CSG21.html#group120O21", "120O²¹"), =HYPERLINK("CSG1.html#group30D1", "30D¹"), =HYPERLINK("CSG21.html#group90N21", "90N²¹"), =HYPERLINK("CSG9.html#group60K9", "60K⁹"), =HYPERLINK("CSG9.html#group60M9", "60M⁹"), =HYPERLINK("CSG13.html#group60AG13", "60AG¹³"), =HYPERLINK("CSG21.html#group60Q21", "60Q²¹"), =HYPERLINK("CSG23.html#group60S23", "60S²³"), =HYPERLINK("CSG12.html#group150C12", "150C¹²"), =HYPERLINK("CSG21.html#group60X21", "60X²¹"), =HYPERLINK("CSG5.html#group60C5", "60C⁵"), =HYPERLINK("CSG20.html#group90F20", "90F²⁰"), =HYPERLINK("CSG12.html#group210A12", "210A¹²"), =HYPERLINK("CSG13.html#group180C13", "180C¹³"), =HYPERLINK("CSG7.html#group60N7", "60N⁷"), =HYPERLINK("CSG7.html#group60S7", "60S⁷"), =HYPERLINK("CSG5.html#group30R5", "30R⁵"), =HYPERLINK("CSG17.html#group120L17", "120L¹⁷"), =HYPERLINK("CSG9.html#group90G9", "90G⁹"), =HYPERLINK("CSG11.html#group90I11", "90I¹¹"), =HYPERLINK("CSG17.html#group120I17", "120I¹⁷"), =HYPERLINK("CSG4.html#group30H4", "30H⁴"), =HYPERLINK("CSG12.html#group150B12", "150B¹²"), =HYPERLINK("CSG11.html#group30J11", "30J¹¹"), =HYPERLINK("CSG5.html#group30C5", "30C⁵"), =HYPERLINK("CSG11.html#group60C11", "60C¹¹"), =HYPERLINK("CSG9.html#group60L9", "60L⁹"), =HYPERLINK("CSG10.html#group150A10", "150A¹⁰"), =HYPERLINK("CSG15.html#group90K15", "90K¹⁵"), =HYPERLINK("CSG21.html#group150A21", "150A²¹"), =HYPERLINK("CSG10.html#group30B10", "30B¹⁰"), =HYPERLINK("CSG9.html#group30R9", "30R⁹"), =HYPERLINK("CSG13.html#group90F13", "90F¹³"), =HYPERLINK("CSG17.html#group120K17", "120K¹⁷"), =HYPERLINK("CSG23.html#group60N23", "60N²³"), =HYPERLINK("CSG13.html#group90E13", "90E¹³"), =HYPERLINK("CSG23.html#group60O23", "60O²³"), =HYPERLINK("CSG15.html#group60B15", "60B¹⁵"), =HYPERLINK("CSG3.html#group60C3", "60C³"), =HYPERLINK("CSG17.html#group60W17", "60W¹⁷"), =HYPERLINK("CSG13.html#group180F13", "180F¹³"), =HYPERLINK("CSG23.html#group210A23", "210A²³"), =HYPERLINK("CSG13.html#group180E13", "180E¹³"), =HYPERLINK("CSG17.html#group120P17", "120P¹⁷"), =HYPERLINK("CSG15.html#group60AG15", "60AG¹⁵"), =HYPERLINK("CSG9.html#group30K9", "30K⁹"), =HYPERLINK("CSG21.html#group60F21", "60F²¹"), =HYPERLINK("CSG17.html#group60N17", "60N¹⁷"), =HYPERLINK("CSG11.html#group60P11", "60P¹¹"), =HYPERLINK("CSG13.html#group30H13", "30H¹³"), =HYPERLINK("CSG17.html#group90D17", "90D¹⁷"), =HYPERLINK("CSG17.html#group120Q17", "120Q¹⁷"), =HYPERLINK("CSG13.html#group60AB13", "60AB¹³"), =HYPERLINK("CSG4.html#group90A4", "90A⁴"), =HYPERLINK("CSG23.html#group60R23", "60R²³"), =HYPERLINK("CSG21.html#group30H21", "30H²¹"), =HYPERLINK("CSG24.html#group330D24", "330D²⁴"), =HYPERLINK("CSG21.html#group30B21", "30B²¹"), =HYPERLINK("CSG13.html#group60AK13", "60AK¹³"), =HYPERLINK("CSG13.html#group90H13", "90H¹³"), =HYPERLINK("CSG13.html#group30Q13", "30Q¹³"), =HYPERLINK("CSG9.html#group30G9", "30G⁹"), =HYPERLINK("CSG7.html#group60M7", "60M⁷"), =HYPERLINK("CSG12.html#group150D12", "150D¹²"), =HYPERLINK("CSG21.html#group60D21", "60D²¹"), =HYPERLINK("CSG23.html#group60P23", "60P²³"), =HYPERLINK("CSG11.html#group60V11", "60V¹¹"), =HYPERLINK("CSG17.html#group30H17", "30H¹⁷"), =HYPERLINK("CSG23.html#group150C23", "150C²³"), =HYPERLINK("CSG23.html#group30C23", "30C²³"), =HYPERLINK("CSG17.html#group60X17", "60X¹⁷"), =HYPERLINK("CSG13.html#group60V13", "60V¹³"), =HYPERLINK("CSG21.html#group60C21", "60C²¹")</f>
        <v/>
      </c>
    </row>
    <row r="120">
      <c r="A120" t="inlineStr">
        <is>
          <t>32A⁰</t>
        </is>
      </c>
      <c r="B120" t="inlineStr"/>
      <c r="C120" t="inlineStr">
        <is>
          <t>48</t>
        </is>
      </c>
      <c r="D120" t="inlineStr">
        <is>
          <t>1</t>
        </is>
      </c>
      <c r="E120" t="inlineStr">
        <is>
          <t>6</t>
        </is>
      </c>
      <c r="F120" t="inlineStr">
        <is>
          <t>0</t>
        </is>
      </c>
      <c r="G120" t="inlineStr">
        <is>
          <t>0</t>
        </is>
      </c>
      <c r="H120" t="inlineStr">
        <is>
          <t>1⁸, 8¹, 32¹</t>
        </is>
      </c>
      <c r="I120" t="n">
        <v>10</v>
      </c>
      <c r="J120" t="inlineStr">
        <is>
          <t>1⁴, 2¹</t>
        </is>
      </c>
      <c r="K120">
        <f>HYPERLINK("CSG0.html#group16C0", "16C⁰")</f>
        <v/>
      </c>
      <c r="L120">
        <f>HYPERLINK("CSG1.html#group32E1", "32E¹"), =HYPERLINK("CSG2.html#group64A2", "64A²"), =HYPERLINK("CSG3.html#group32K3", "32K³"), =HYPERLINK("CSG7.html#group96C7", "96C⁷"), =HYPERLINK("CSG8.html#group96A8", "96A⁸"), =HYPERLINK("CSG15.html#group160B15", "160B¹⁵"), =HYPERLINK("CSG16.html#group160A16", "160A¹⁶"), =HYPERLINK("CSG23.html#group224C23", "224C²³"), =HYPERLINK("CSG24.html#group224B24", "224B²⁴")</f>
        <v/>
      </c>
      <c r="M120">
        <f>HYPERLINK("CSG0.html#group8C0", "8C⁰"), =HYPERLINK("CSG0.html#group2B0", "2B⁰"), =HYPERLINK("CSG0.html#group4B0", "4B⁰"), =HYPERLINK("CSG0.html#group1A0", "1A⁰"), =HYPERLINK("CSG0.html#group16C0", "16C⁰")</f>
        <v/>
      </c>
      <c r="N120">
        <f>HYPERLINK("CSG7.html#group96C7", "96C⁷"), =HYPERLINK("CSG17.html#group64C17", "64C¹⁷"), =HYPERLINK("CSG17.html#group96AJ17", "96AJ¹⁷"), =HYPERLINK("CSG17.html#group128A17", "128A¹⁷"), =HYPERLINK("CSG19.html#group96G19", "96G¹⁹"), =HYPERLINK("CSG21.html#group64C21", "64C²¹"), =HYPERLINK("CSG5.html#group64C5", "64C⁵"), =HYPERLINK("CSG19.html#group192E19", "192E¹⁹"), =HYPERLINK("CSG9.html#group32D9", "32D⁹"), =HYPERLINK("CSG5.html#group64D5", "64D⁵"), =HYPERLINK("CSG17.html#group32A17", "32A¹⁷"), =HYPERLINK("CSG21.html#group32B21", "32B²¹"), =HYPERLINK("CSG23.html#group224C23", "224C²³"), =HYPERLINK("CSG5.html#group32M5", "32M⁵"), =HYPERLINK("CSG17.html#group96A17", "96A¹⁷"), =HYPERLINK("CSG18.html#group192B18", "192B¹⁸"), =HYPERLINK("CSG18.html#group192A18", "192A¹⁸"), =HYPERLINK("CSG17.html#group32C17", "32C¹⁷"), =HYPERLINK("CSG17.html#group96L17", "96L¹⁷"), =HYPERLINK("CSG13.html#group128E13", "128E¹³"), =HYPERLINK("CSG17.html#group128B17", "128B¹⁷"), =HYPERLINK("CSG21.html#group64D21", "64D²¹"), =HYPERLINK("CSG8.html#group96A8", "96A⁸"), =HYPERLINK("CSG2.html#group64A2", "64A²"), =HYPERLINK("CSG19.html#group192F19", "192F¹⁹"), =HYPERLINK("CSG1.html#group32E1", "32E¹"), =HYPERLINK("CSG13.html#group32U13", "32U¹³"), =HYPERLINK("CSG24.html#group224B24", "224B²⁴"), =HYPERLINK("CSG13.html#group96I13", "96I¹³"), =HYPERLINK("CSG13.html#group64V13", "64V¹³"), =HYPERLINK("CSG21.html#group96BF21", "96BF²¹"), =HYPERLINK("CSG21.html#group64E21", "64E²¹"), =HYPERLINK("CSG5.html#group32O5", "32O⁵"), =HYPERLINK("CSG17.html#group96AL17", "96AL¹⁷"), =HYPERLINK("CSG21.html#group32H21", "32H²¹"), =HYPERLINK("CSG3.html#group32K3", "32K³"), =HYPERLINK("CSG19.html#group128A19", "128A¹⁹"), =HYPERLINK("CSG21.html#group32F21", "32F²¹"), =HYPERLINK("CSG15.html#group160B15", "160B¹⁵"), =HYPERLINK("CSG13.html#group64W13", "64W¹³"), =HYPERLINK("CSG17.html#group64A17", "64A¹⁷"), =HYPERLINK("CSG15.html#group96N15", "96N¹⁵"), =HYPERLINK("CSG21.html#group96BE21", "96BE²¹"), =HYPERLINK("CSG7.html#group64K7", "64K⁷"), =HYPERLINK("CSG9.html#group32B9", "32B⁹"), =HYPERLINK("CSG17.html#group64B17", "64B¹⁷"), =HYPERLINK("CSG9.html#group64A9", "64A⁹"), =HYPERLINK("CSG21.html#group128A21", "128A²¹"), =HYPERLINK("CSG19.html#group96B19", "96B¹⁹"), =HYPERLINK("CSG11.html#group64A11", "64A¹¹"), =HYPERLINK("CSG16.html#group160A16", "160A¹⁶")</f>
        <v/>
      </c>
    </row>
    <row r="121">
      <c r="A121" t="inlineStr">
        <is>
          <t>36A⁰</t>
        </is>
      </c>
      <c r="B121" t="inlineStr"/>
      <c r="C121" t="inlineStr">
        <is>
          <t>48</t>
        </is>
      </c>
      <c r="D121" t="inlineStr">
        <is>
          <t>1</t>
        </is>
      </c>
      <c r="E121" t="inlineStr">
        <is>
          <t>4</t>
        </is>
      </c>
      <c r="F121" t="inlineStr">
        <is>
          <t>0</t>
        </is>
      </c>
      <c r="G121" t="inlineStr">
        <is>
          <t>12</t>
        </is>
      </c>
      <c r="H121" t="inlineStr">
        <is>
          <t>12¹, 36¹</t>
        </is>
      </c>
      <c r="I121" t="n">
        <v>2</v>
      </c>
      <c r="J121" t="inlineStr">
        <is>
          <t>1², 2¹</t>
        </is>
      </c>
      <c r="K121">
        <f>HYPERLINK("CSG0.html#group12B0", "12B⁰"), =HYPERLINK("CSG0.html#group18B0", "18B⁰")</f>
        <v/>
      </c>
      <c r="L121">
        <f>HYPERLINK("CSG4.html#group36S4", "36S⁴"), =HYPERLINK("CSG4.html#group108A4", "108A⁴"), =HYPERLINK("CSG6.html#group36J6", "36J⁶"), =HYPERLINK("CSG6.html#group36K6", "36K⁶"), =HYPERLINK("CSG6.html#group108A6", "108A⁶"), =HYPERLINK("CSG8.html#group108A8", "108A⁸"), =HYPERLINK("CSG8.html#group108B8", "108B⁸"), =HYPERLINK("CSG9.html#group36N9", "36N⁹"), =HYPERLINK("CSG10.html#group36A10", "36A¹⁰"), =HYPERLINK("CSG10.html#group36C10", "36C¹⁰"), =HYPERLINK("CSG10.html#group108C10", "108C¹⁰"), =HYPERLINK("CSG12.html#group108A12", "108A¹²"), =HYPERLINK("CSG12.html#group180A12", "180A¹²"), =HYPERLINK("CSG23.html#group180C23", "180C²³"), =HYPERLINK("CSG23.html#group252B23", "252B²³"), =HYPERLINK("CSG24.html#group252F24", "252F²⁴")</f>
        <v/>
      </c>
      <c r="M121">
        <f>HYPERLINK("CSG0.html#group3B0", "3B⁰"), =HYPERLINK("CSG0.html#group2A0", "2A⁰"), =HYPERLINK("CSG0.html#group9C0", "9C⁰"), =HYPERLINK("CSG0.html#group1A0", "1A⁰"), =HYPERLINK("CSG0.html#group18B0", "18B⁰"), =HYPERLINK("CSG0.html#group6C0", "6C⁰"), =HYPERLINK("CSG0.html#group12B0", "12B⁰")</f>
        <v/>
      </c>
      <c r="N121">
        <f>HYPERLINK("CSG22.html#group108D22", "108D²²"), =HYPERLINK("CSG23.html#group252B23", "252B²³"), =HYPERLINK("CSG22.html#group108B22", "108B²²"), =HYPERLINK("CSG6.html#group108A6", "108A⁶"), =HYPERLINK("CSG21.html#group72Y21", "72Y²¹"), =HYPERLINK("CSG4.html#group108A4", "108A⁴"), =HYPERLINK("CSG22.html#group108C22", "108C²²"), =HYPERLINK("CSG24.html#group252F24", "252F²⁴"), =HYPERLINK("CSG8.html#group108A8", "108A⁸"), =HYPERLINK("CSG19.html#group36C19", "36C¹⁹"), =HYPERLINK("CSG6.html#group36J6", "36J⁶"), =HYPERLINK("CSG23.html#group180C23", "180C²³"), =HYPERLINK("CSG4.html#group36S4", "36S⁴"), =HYPERLINK("CSG10.html#group36A10", "36A¹⁰"), =HYPERLINK("CSG22.html#group36M22", "36M²²"), =HYPERLINK("CSG6.html#group36K6", "36K⁶"), =HYPERLINK("CSG8.html#group108B8", "108B⁸"), =HYPERLINK("CSG9.html#group36N9", "36N⁹"), =HYPERLINK("CSG12.html#group108A12", "108A¹²"), =HYPERLINK("CSG12.html#group180A12", "180A¹²"), =HYPERLINK("CSG10.html#group108C10", "108C¹⁰"), =HYPERLINK("CSG10.html#group36C10", "36C¹⁰")</f>
        <v/>
      </c>
    </row>
    <row r="122">
      <c r="A122" t="inlineStr">
        <is>
          <t>48A⁰</t>
        </is>
      </c>
      <c r="B122" t="inlineStr"/>
      <c r="C122" t="inlineStr">
        <is>
          <t>72</t>
        </is>
      </c>
      <c r="D122" t="inlineStr">
        <is>
          <t>1</t>
        </is>
      </c>
      <c r="E122" t="inlineStr">
        <is>
          <t>3</t>
        </is>
      </c>
      <c r="F122" t="inlineStr">
        <is>
          <t>24</t>
        </is>
      </c>
      <c r="G122" t="inlineStr">
        <is>
          <t>0</t>
        </is>
      </c>
      <c r="H122" t="inlineStr">
        <is>
          <t>24¹, 48¹</t>
        </is>
      </c>
      <c r="I122" t="n">
        <v>2</v>
      </c>
      <c r="J122" t="inlineStr">
        <is>
          <t>1³</t>
        </is>
      </c>
      <c r="K122">
        <f>HYPERLINK("CSG0.html#group16B0", "16B⁰"), =HYPERLINK("CSG0.html#group24A0", "24A⁰")</f>
        <v/>
      </c>
      <c r="L122">
        <f>HYPERLINK("CSG3.html#group48M3", "48M³"), =HYPERLINK("CSG3.html#group96A3", "96A³"), =HYPERLINK("CSG5.html#group48E5", "48E⁵"), =HYPERLINK("CSG5.html#group48F5", "48F⁵"), =HYPERLINK("CSG5.html#group48G5", "48G⁵"), =HYPERLINK("CSG5.html#group48H5", "48H⁵"), =HYPERLINK("CSG5.html#group96A5", "96A⁵"), =HYPERLINK("CSG7.html#group48N7", "48N⁷"), =HYPERLINK("CSG7.html#group96A7", "96A⁷"), =HYPERLINK("CSG8.html#group144A8", "144A⁸"), =HYPERLINK("CSG9.html#group96B9", "96B⁹"), =HYPERLINK("CSG11.html#group48B11", "48B¹¹"), =HYPERLINK("CSG23.html#group240B23", "240B²³"), =HYPERLINK("CSG24.html#group240B24", "240B²⁴"), =HYPERLINK("CSG24.html#group336I24", "336I²⁴")</f>
        <v/>
      </c>
      <c r="M122">
        <f>HYPERLINK("CSG0.html#group16B0", "16B⁰"), =HYPERLINK("CSG0.html#group12C0", "12C⁰"), =HYPERLINK("CSG0.html#group24A0", "24A⁰"), =HYPERLINK("CSG0.html#group4C0", "4C⁰"), =HYPERLINK("CSG0.html#group8B0", "8B⁰"), =HYPERLINK("CSG0.html#group2B0", "2B⁰"), =HYPERLINK("CSG0.html#group3A0", "3A⁰"), =HYPERLINK("CSG0.html#group1A0", "1A⁰"), =HYPERLINK("CSG0.html#group6D0", "6D⁰")</f>
        <v/>
      </c>
      <c r="N122">
        <f>HYPERLINK("CSG21.html#group96Y21", "96Y²¹"), =HYPERLINK("CSG15.html#group96R15", "96R¹⁵"), =HYPERLINK("CSG24.html#group336I24", "336I²⁴"), =HYPERLINK("CSG13.html#group48AA13", "48AA¹³"), =HYPERLINK("CSG5.html#group96A5", "96A⁵"), =HYPERLINK("CSG17.html#group96AA17", "96AA¹⁷"), =HYPERLINK("CSG21.html#group96Z21", "96Z²¹"), =HYPERLINK("CSG23.html#group96H23", "96H²³"), =HYPERLINK("CSG13.html#group96G13", "96G¹³"), =HYPERLINK("CSG15.html#group96T15", "96T¹⁵"), =HYPERLINK("CSG15.html#group48M15", "48M¹⁵"), =HYPERLINK("CSG15.html#group48Z15", "48Z¹⁵"), =HYPERLINK("CSG21.html#group288A21", "288A²¹"), =HYPERLINK("CSG7.html#group96A7", "96A⁷"), =HYPERLINK("CSG15.html#group96O15", "96O¹⁵"), =HYPERLINK("CSG17.html#group96AB17", "96AB¹⁷"), =HYPERLINK("CSG23.html#group288A23", "288A²³"), =HYPERLINK("CSG8.html#group144A8", "144A⁸"), =HYPERLINK("CSG21.html#group48J21", "48J²¹"), =HYPERLINK("CSG11.html#group96J11", "96J¹¹"), =HYPERLINK("CSG17.html#group48Q17", "48Q¹⁷"), =HYPERLINK("CSG3.html#group96A3", "96A³"), =HYPERLINK("CSG23.html#group96A23", "96A²³"), =HYPERLINK("CSG21.html#group48F21", "48F²¹"), =HYPERLINK("CSG15.html#group96W15", "96W¹⁵"), =HYPERLINK("CSG17.html#group96N17", "96N¹⁷"), =HYPERLINK("CSG15.html#group96V15", "96V¹⁵"), =HYPERLINK("CSG5.html#group48E5", "48E⁵"), =HYPERLINK("CSG17.html#group96R17", "96R¹⁷"), =HYPERLINK("CSG21.html#group48AK21", "48AK²¹"), =HYPERLINK("CSG13.html#group96H13", "96H¹³"), =HYPERLINK("CSG19.html#group96J19", "96J¹⁹"), =HYPERLINK("CSG5.html#group48H5", "48H⁵"), =HYPERLINK("CSG15.html#group48L15", "48L¹⁵"), =HYPERLINK("CSG19.html#group96Y19", "96Y¹⁹"), =HYPERLINK("CSG15.html#group48Y15", "48Y¹⁵"), =HYPERLINK("CSG24.html#group240B24", "240B²⁴"), =HYPERLINK("CSG17.html#group96Z17", "96Z¹⁷"), =HYPERLINK("CSG15.html#group48AD15", "48AD¹⁵"), =HYPERLINK("CSG15.html#group48I15", "48I¹⁵"), =HYPERLINK("CSG13.html#group48AE13", "48AE¹³"), =HYPERLINK("CSG19.html#group96X19", "96X¹⁹"), =HYPERLINK("CSG23.html#group96P23", "96P²³"), =HYPERLINK("CSG19.html#group96U19", "96U¹⁹"), =HYPERLINK("CSG19.html#group96AY19", "96AY¹⁹"), =HYPERLINK("CSG23.html#group144X23", "144X²³"), =HYPERLINK("CSG19.html#group96W19", "96W¹⁹"), =HYPERLINK("CSG15.html#group96S15", "96S¹⁵"), =HYPERLINK("CSG15.html#group48W15", "48W¹⁵"), =HYPERLINK("CSG15.html#group96U15", "96U¹⁵"), =HYPERLINK("CSG9.html#group96B9", "96B⁹"), =HYPERLINK("CSG17.html#group96B17", "96B¹⁷"), =HYPERLINK("CSG17.html#group48N17", "48N¹⁷"), =HYPERLINK("CSG17.html#group96H17", "96H¹⁷"), =HYPERLINK("CSG21.html#group48S21", "48S²¹"), =HYPERLINK("CSG17.html#group96D17", "96D¹⁷"), =HYPERLINK("CSG21.html#group96AT21", "96AT²¹"), =HYPERLINK("CSG15.html#group96Q15", "96Q¹⁵"), =HYPERLINK("CSG11.html#group48B11", "48B¹¹"), =HYPERLINK("CSG21.html#group48C21", "48C²¹"), =HYPERLINK("CSG17.html#group96P17", "96P¹⁷"), =HYPERLINK("CSG17.html#group96AG17", "96AG¹⁷"), =HYPERLINK("CSG17.html#group96C17", "96C¹⁷"), =HYPERLINK("CSG23.html#group96G23", "96G²³"), =HYPERLINK("CSG15.html#group48X15", "48X¹⁵"), =HYPERLINK("CSG11.html#group96I11", "96I¹¹"), =HYPERLINK("CSG19.html#group96V19", "96V¹⁹"), =HYPERLINK("CSG23.html#group240B23", "240B²³"), =HYPERLINK("CSG17.html#group96AF17", "96AF¹⁷"), =HYPERLINK("CSG5.html#group48F5", "48F⁵"), =HYPERLINK("CSG17.html#group48AW17", "48AW¹⁷"), =HYPERLINK("CSG15.html#group48J15", "48J¹⁵"), =HYPERLINK("CSG15.html#group48H15", "48H¹⁵"), =HYPERLINK("CSG15.html#group48AA15", "48AA¹⁵"), =HYPERLINK("CSG5.html#group48G5", "48G⁵"), =HYPERLINK("CSG17.html#group96G17", "96G¹⁷"), =HYPERLINK("CSG15.html#group48AE15", "48AE¹⁵"), =HYPERLINK("CSG17.html#group96O17", "96O¹⁷"), =HYPERLINK("CSG17.html#group96Q17", "96Q¹⁷"), =HYPERLINK("CSG21.html#group48N21", "48N²¹"), =HYPERLINK("CSG11.html#group96K11", "96K¹¹"), =HYPERLINK("CSG3.html#group48M3", "48M³"), =HYPERLINK("CSG7.html#group48N7", "48N⁷"), =HYPERLINK("CSG19.html#group96T19", "96T¹⁹"), =HYPERLINK("CSG13.html#group48X13", "48X¹³"), =HYPERLINK("CSG13.html#group48AF13", "48AF¹³"), =HYPERLINK("CSG13.html#group48AB13", "48AB¹³"), =HYPERLINK("CSG17.html#group96AD17", "96AD¹⁷"), =HYPERLINK("CSG19.html#group144J19", "144J¹⁹"), =HYPERLINK("CSG17.html#group48AZ17", "48AZ¹⁷"), =HYPERLINK("CSG17.html#group96AE17", "96AE¹⁷"), =HYPERLINK("CSG15.html#group48AF15", "48AF¹⁵"), =HYPERLINK("CSG21.html#group96AA21", "96AA²¹")</f>
        <v/>
      </c>
    </row>
    <row r="123">
      <c r="A123" t="inlineStr">
        <is>
          <t>6A¹</t>
        </is>
      </c>
      <c r="B123" t="inlineStr">
        <is>
          <t>Γ'</t>
        </is>
      </c>
      <c r="C123" t="inlineStr">
        <is>
          <t>6</t>
        </is>
      </c>
      <c r="D123" t="inlineStr">
        <is>
          <t>1</t>
        </is>
      </c>
      <c r="E123" t="inlineStr">
        <is>
          <t>1</t>
        </is>
      </c>
      <c r="F123" t="inlineStr">
        <is>
          <t>0</t>
        </is>
      </c>
      <c r="G123" t="inlineStr">
        <is>
          <t>0</t>
        </is>
      </c>
      <c r="H123" t="inlineStr">
        <is>
          <t>6¹</t>
        </is>
      </c>
      <c r="I123" t="n">
        <v>1</v>
      </c>
      <c r="J123" t="inlineStr">
        <is>
          <t>1¹</t>
        </is>
      </c>
      <c r="K123">
        <f>HYPERLINK("CSG0.html#group2A0", "2A⁰"), =HYPERLINK("CSG0.html#group3A0", "3A⁰")</f>
        <v/>
      </c>
      <c r="L123">
        <f>HYPERLINK("CSG1.html#group6B1", "6B¹"), =HYPERLINK("CSG1.html#group6C1", "6C¹"), =HYPERLINK("CSG2.html#group12A2", "12A²"), =HYPERLINK("CSG2.html#group18A2", "18A²"), =HYPERLINK("CSG3.html#group30A3", "30A³"), =HYPERLINK("CSG3.html#group30B3", "30B³"), =HYPERLINK("CSG4.html#group42A4", "42A⁴"), =HYPERLINK("CSG4.html#group42B4", "42B⁴"), =HYPERLINK("CSG5.html#group30A5", "30A⁵"), =HYPERLINK("CSG6.html#group66A6", "66A⁶"), =HYPERLINK("CSG6.html#group66B6", "66B⁶"), =HYPERLINK("CSG7.html#group78A7", "78A⁷"), =HYPERLINK("CSG9.html#group102B9", "102B⁹"), =HYPERLINK("CSG10.html#group114A10", "114A¹⁰"), =HYPERLINK("CSG12.html#group138A12", "138A¹²"), =HYPERLINK("CSG15.html#group174A15", "174A¹⁵"), =HYPERLINK("CSG16.html#group186A16", "186A¹⁶"), =HYPERLINK("CSG19.html#group222A19", "222A¹⁹"), =HYPERLINK("CSG21.html#group246B21", "246B²¹"), =HYPERLINK("CSG22.html#group258A22", "258A²²"), =HYPERLINK("CSG24.html#group282A24", "282A²⁴")</f>
        <v/>
      </c>
      <c r="M123">
        <f>HYPERLINK("CSG0.html#group3A0", "3A⁰"), =HYPERLINK("CSG0.html#group2A0", "2A⁰"), =HYPERLINK("CSG0.html#group1A0", "1A⁰")</f>
        <v/>
      </c>
      <c r="N123">
        <f>HYPERLINK("CSG24.html#group282A24", "282A²⁴"), =HYPERLINK("CSG21.html#group48I21", "48I²¹"), =HYPERLINK("CSG18.html#group96A18", "96A¹⁸"), =HYPERLINK("CSG9.html#group102B9", "102B⁹"), =HYPERLINK("CSG13.html#group24E13", "24E¹³"), =HYPERLINK("CSG13.html#group150A13", "150A¹³"), =HYPERLINK("CSG14.html#group84A14", "84A¹⁴"), =HYPERLINK("CSG5.html#group12A5", "12A⁵"), =HYPERLINK("CSG3.html#group12G3", "12G³"), =HYPERLINK("CSG17.html#group30E17", "30E¹⁷"), =HYPERLINK("CSG16.html#group36E16", "36E¹⁶"), =HYPERLINK("CSG21.html#group48AH21", "48AH²¹"), =HYPERLINK("CSG15.html#group48A15", "48A¹⁵"), =HYPERLINK("CSG17.html#group48U17", "48U¹⁷"), =HYPERLINK("CSG8.html#group84A8", "84A⁸"), =HYPERLINK("CSG4.html#group18N4", "18N⁴"), =HYPERLINK("CSG10.html#group42A10", "42A¹⁰"), =HYPERLINK("CSG23.html#group72C23", "72C²³"), =HYPERLINK("CSG3.html#group18B3", "18B³"), =HYPERLINK("CSG15.html#group84B15", "84B¹⁵"), =HYPERLINK("CSG17.html#group102G17", "102G¹⁷"), =HYPERLINK("CSG6.html#group66B6", "66B⁶"), =HYPERLINK("CSG13.html#group42A13", "42A¹³"), =HYPERLINK("CSG19.html#group42F19", "42F¹⁹"), =HYPERLINK("CSG22.html#group54H22", "54H²²"), =HYPERLINK("CSG13.html#group18E13", "18E¹³"), =HYPERLINK("CSG21.html#group48BS21", "48BS²¹"), =HYPERLINK("CSG13.html#group24F13", "24F¹³"), =HYPERLINK("CSG20.html#group120A20", "120A²⁰"), =HYPERLINK("CSG13.html#group42D13", "42D¹³"), =HYPERLINK("CSG11.html#group48I11", "48I¹¹"), =HYPERLINK("CSG13.html#group42C13", "42C¹³"), =HYPERLINK("CSG23.html#group126F23", "126F²³"), =HYPERLINK("CSG8.html#group24A8", "24A⁸"), =HYPERLINK("CSG7.html#group24V7", "24V⁷"), =HYPERLINK("CSG10.html#group18E10", "18E¹⁰"), =HYPERLINK("CSG3.html#group12A3", "12A³"), =HYPERLINK("CSG21.html#group96E21", "96E²¹"), =HYPERLINK("CSG9.html#group24S9", "24S⁹"), =HYPERLINK("CSG15.html#group36C15", "36C¹⁵"), =HYPERLINK("CSG17.html#group36I17", "36I¹⁷"), =HYPERLINK("CSG18.html#group48B18", "48B¹⁸"), =HYPERLINK("CSG19.html#group48I19", "48I¹⁹"), =HYPERLINK("CSG15.html#group60L15", "60L¹⁵"), =HYPERLINK("CSG8.html#group36D8", "36D⁸"), =HYPERLINK("CSG23.html#group120E23", "120E²³"), =HYPERLINK("CSG19.html#group78B19", "78B¹⁹"), =HYPERLINK("CSG8.html#group24G8", "24G⁸"), =HYPERLINK("CSG15.html#group24I15", "24I¹⁵"), =HYPERLINK("CSG11.html#group48A11", "48A¹¹"), =HYPERLINK("CSG23.html#group132B23", "132B²³"), =HYPERLINK("CSG7.html#group30F7", "30F⁷"), =HYPERLINK("CSG19.html#group48E19", "48E¹⁹"), =HYPERLINK("CSG9.html#group24I9", "24I⁹"), =HYPERLINK("CSG7.html#group42A7", "42A⁷"), =HYPERLINK("CSG19.html#group96E19", "96E¹⁹"), =HYPERLINK("CSG9.html#group24Z9", "24Z⁹"), =HYPERLINK("CSG12.html#group132A12", "132A¹²"), =HYPERLINK("CSG10.html#group42D10", "42D¹⁰"), =HYPERLINK("CSG22.html#group90D22", "90D²²"), =HYPERLINK("CSG19.html#group24G19", "24G¹⁹"), =HYPERLINK("CSG21.html#group48Q21", "48Q²¹"), =HYPERLINK("CSG21.html#group48BQ21", "48BQ²¹"), =HYPERLINK("CSG20.html#group126E20", "126E²⁰"), =HYPERLINK("CSG21.html#group126E21", "126E²¹"), =HYPERLINK("CSG10.html#group18C10", "18C¹⁰"), =HYPERLINK("CSG10.html#group24A10", "24A¹⁰"), =HYPERLINK("CSG3.html#group30A3", "30A³"), =HYPERLINK("CSG23.html#group210B23", "210B²³"), =HYPERLINK("CSG11.html#group60C11", "60C¹¹"), =HYPERLINK("CSG21.html#group126D21", "126D²¹"), =HYPERLINK("CSG16.html#group72I16", "72I¹⁶"), =HYPERLINK("CSG20.html#group84H20", "84H²⁰"), =HYPERLINK("CSG19.html#group42O19", "42O¹⁹"), =HYPERLINK("CSG4.html#group18B4", "18B⁴"), =HYPERLINK("CSG17.html#group30B17", "30B¹⁷"), =HYPERLINK("CSG9.html#group90A9", "90A⁹"), =HYPERLINK("CSG16.html#group72B16", "72B¹⁶"), =HYPERLINK("CSG17.html#group102D17", "102D¹⁷"), =HYPERLINK("CSG22.html#group54I22", "54I²²"), =HYPERLINK("CSG17.html#group24F17", "24F¹⁷"), =HYPERLINK("CSG10.html#group18B10", "18B¹⁰"), =HYPERLINK("CSG19.html#group24B19", "24B¹⁹"), =HYPERLINK("CSG3.html#group30B3", "30B³"), =HYPERLINK("CSG19.html#group60D19", "60D¹⁹"), =HYPERLINK("CSG19.html#group48A19", "48A¹⁹"), =HYPERLINK("CSG19.html#group48P19", "48P¹⁹"), =HYPERLINK("CSG11.html#group48B11", "48B¹¹"), =HYPERLINK("CSG22.html#group36K22", "36K²²"), =HYPERLINK("CSG19.html#group48AW19", "48AW¹⁹"), =HYPERLINK("CSG13.html#group12A13", "12A¹³"), =HYPERLINK("CSG19.html#group42B19", "42B¹⁹"), =HYPERLINK("CSG18.html#group210A18", "210A¹⁸"), =HYPERLINK("CSG4.html#group24N4", "24N⁴"), =HYPERLINK("CSG15.html#group150A15", "150A¹⁵"), =HYPERLINK("CSG10.html#group18K10", "18K¹⁰"), =HYPERLINK("CSG16.html#group72H16", "72H¹⁶"), =HYPERLINK("CSG15.html#group24D15", "24D¹⁵"), =HYPERLINK("CSG15.html#group48C15", "48C¹⁵"), =HYPERLINK("CSG4.html#group24B4", "24B⁴"), =HYPERLINK("CSG9.html#group30H9", "30H⁹"), =HYPERLINK("CSG9.html#group30A9", "30A⁹"), =HYPERLINK("CSG21.html#group48BR21", "48BR²¹"), =HYPERLINK("CSG13.html#group30H13", "30H¹³"), =HYPERLINK("CSG2.html#group18F2", "18F²"), =HYPERLINK("CSG21.html#group36E21", "36E²¹"), =HYPERLINK("CSG17.html#group24U17", "24U¹⁷"), =HYPERLINK("CSG21.html#group60B21", "60B²¹"), =HYPERLINK("CSG18.html#group96C18", "96C¹⁸"), =HYPERLINK("CSG14.html#group90C14", "90C¹⁴"), =HYPERLINK("CSG15.html#group90A15", "90A¹⁵"), =HYPERLINK("CSG19.html#group60B19", "60B¹⁹"), =HYPERLINK("CSG2.html#group18A2", "18A²"), =HYPERLINK("CSG13.html#group24A13", "24A¹³"), =HYPERLINK("CSG24.html#group252A24", "252A²⁴"), =HYPERLINK("CSG12.html#group132C12", "132C¹²"), =HYPERLINK("CSG13.html#group30I13", "30I¹³"), =HYPERLINK("CSG24.html#group276C24", "276C²⁴"), =HYPERLINK("CSG21.html#group48N21", "48N²¹"), =HYPERLINK("CSG22.html#group258A22", "258A²²"), =HYPERLINK("CSG1.html#group6D1", "6D¹"), =HYPERLINK("CSG21.html#group84F21", "84F²¹"), =HYPERLINK("CSG15.html#group90F15", "90F¹⁵"), =HYPERLINK("CSG21.html#group48K21", "48K²¹"), =HYPERLINK("CSG19.html#group24C19", "24C¹⁹"), =HYPERLINK("CSG8.html#group48D8", "48D⁸"), =HYPERLINK("CSG17.html#group30H17", "30H¹⁷"), =HYPERLINK("CSG22.html#group132A22", "132A²²"), =HYPERLINK("CSG15.html#group24E15", "24E¹⁵"), =HYPERLINK("CSG13.html#group18D13", "18D¹³"), =HYPERLINK("CSG19.html#group48H19", "48H¹⁹"), =HYPERLINK("CSG18.html#group48D18", "48D¹⁸"), =HYPERLINK("CSG17.html#group90H17", "90H¹⁷"), =HYPERLINK("CSG8.html#group48B8", "48B⁸"), =HYPERLINK("CSG11.html#group48M11", "48M¹¹"), =HYPERLINK("CSG10.html#group42G10", "42G¹⁰"), =HYPERLINK("CSG11.html#group60A11", "60A¹¹"), =HYPERLINK("CSG17.html#group90K17", "90K¹⁷"), =HYPERLINK("CSG1.html#group6C1", "6C¹"), =HYPERLINK("CSG2.html#group12B2", "12B²"), =HYPERLINK("CSG15.html#group60C15", "60C¹⁵"), =HYPERLINK("CSG21.html#group60A21", "60A²¹"), =HYPERLINK("CSG13.html#group18G13", "18G¹³"), =HYPERLINK("CSG21.html#group48L21", "48L²¹"), =HYPERLINK("CSG17.html#group24AJ17", "24AJ¹⁷"), =HYPERLINK("CSG21.html#group48R21", "48R²¹"), =HYPERLINK("CSG17.html#group24Z17", "24Z¹⁷"), =HYPERLINK("CSG17.html#group72C17", "72C¹⁷"), =HYPERLINK("CSG24.html#group276A24", "276A²⁴"), =HYPERLINK("CSG21.html#group72M21", "72M²¹"), =HYPERLINK("CSG21.html#group48Y21", "48Y²¹"), =HYPERLINK("CSG21.html#group36A21", "36A²¹"), =HYPERLINK("CSG15.html#group48E15", "48E¹⁵"), =HYPERLINK("CSG23.html#group120F23", "120F²³"), =HYPERLINK("CSG22.html#group90C22", "90C²²"), =HYPERLINK("CSG17.html#group24P17", "24P¹⁷"), =HYPERLINK("CSG19.html#group24K19", "24K¹⁹"), =HYPERLINK("CSG9.html#group30I9", "30I⁹"), =HYPERLINK("CSG19.html#group96A19", "96A¹⁹"), =HYPERLINK("CSG24.html#group144B24", "144B²⁴"), =HYPERLINK("CSG19.html#group60G19", "60G¹⁹"), =HYPERLINK("CSG15.html#group24A15", "24A¹⁵"), =HYPERLINK("CSG13.html#group30B13", "30B¹³"), =HYPERLINK("CSG15.html#group48K15", "48K¹⁵"), =HYPERLINK("CSG17.html#group36C17", "36C¹⁷"), =HYPERLINK("CSG16.html#group72Q16", "72Q¹⁶"), =HYPERLINK("CSG19.html#group48K19", "48K¹⁹"), =HYPERLINK("CSG23.html#group126B23", "126B²³"), =HYPERLINK("CSG23.html#group72A23", "72A²³"), =HYPERLINK("CSG17.html#group24G17", "24G¹⁷"), =HYPERLINK("CSG17.html#group24Q17", "24Q¹⁷"), =HYPERLINK("CSG3.html#group12C3", "12C³"), =HYPERLINK("CSG8.html#group36B8", "36B⁸"), =HYPERLINK("CSG19.html#group24H19", "24H¹⁹"), =HYPERLINK("CSG17.html#group90E17", "90E¹⁷"), =HYPERLINK("CSG16.html#group54A16", "54A¹⁶"), =HYPERLINK("CSG22.html#group84D22", "84D²²"), =HYPERLINK("CSG13.html#group78E13", "78E¹³"), =HYPERLINK("CSG21.html#group48AL21", "48AL²¹"), =HYPERLINK("CSG5.html#group30H5", "30H⁵"), =HYPERLINK("CSG15.html#group24J15", "24J¹⁵"), =HYPERLINK("CSG7.html#group12A7", "12A⁷"), =HYPERLINK("CSG9.html#group24D9", "24D⁹"), =HYPERLINK("CSG7.html#group78A7", "78A⁷"), =HYPERLINK("CSG16.html#group36D16", "36D¹⁶"), =HYPERLINK("CSG8.html#group24C8", "24C⁸"), =HYPERLINK("CSG21.html#group48AJ21", "48AJ²¹"), =HYPERLINK("CSG17.html#group24R17", "24R¹⁷"), =HYPERLINK("CSG12.html#group72A12", "72A¹²"), =HYPERLINK("CSG21.html#group126I21", "126I²¹"), =HYPERLINK("CSG23.html#group72E23", "72E²³"), =HYPERLINK("CSG17.html#group24Y17", "24Y¹⁷"), =HYPERLINK("CSG11.html#group66C11", "66C¹¹"), =HYPERLINK("CSG19.html#group96B19", "96B¹⁹"), =HYPERLINK("CSG21.html#group126M21", "126M²¹"), =HYPERLINK("CSG19.html#group60E19", "60E¹⁹"), =HYPERLINK("CSG23.html#group96I23", "96I²³"), =HYPERLINK("CSG14.html#group60E14", "60E¹⁴"), =HYPERLINK("CSG5.html#group12B5", "12B⁵"), =HYPERLINK("CSG24.html#group252D24", "252D²⁴"), =HYPERLINK("CSG21.html#group96B21", "96B²¹"), =HYPERLINK("CSG17.html#group48D17", "48D¹⁷"), =HYPERLINK("CSG16.html#group72A16", "72A¹⁶"), =HYPERLINK("CSG13.html#group24D13", "24D¹³"), =HYPERLINK("CSG9.html#group24G9", "24G⁹"), =HYPERLINK("CSG7.html#group42B7", "42B⁷"), =HYPERLINK("CSG7.html#group18C7", "18C⁷"), =HYPERLINK("CSG5.html#group30F5", "30F⁵"), =HYPERLINK("CSG5.html#group30B5", "30B⁵"), =HYPERLINK("CSG10.html#group42C10", "42C¹⁰"), =HYPERLINK("CSG15.html#group90D15", "90D¹⁵"), =HYPERLINK("CSG21.html#group126H21", "126H²¹"), =HYPERLINK("CSG24.html#group144A24", "144A²⁴"), =HYPERLINK("CSG11.html#group36M11", "36M¹¹"), =HYPERLINK("CSG21.html#group48P21", "48P²¹"), =HYPERLINK("CSG15.html#group48B15", "48B¹⁵"), =HYPERLINK("CSG21.html#group60F21", "60F²¹"), =HYPERLINK("CSG7.html#group24I7", "24I⁷"), =HYPERLINK("CSG19.html#group18D19", "18D¹⁹"), =HYPERLINK("CSG11.html#group36N11", "36N¹¹"), =HYPERLINK("CSG21.html#group210A21", "210A²¹"), =HYPERLINK("CSG19.html#group42G19", "42G¹⁹"), =HYPERLINK("CSG19.html#group42K19", "42K¹⁹"), =HYPERLINK("CSG9.html#group36J9", "36J⁹"), =HYPERLINK("CSG10.html#group36C10", "36C¹⁰"), =HYPERLINK("CSG11.html#group48F11", "48F¹¹"), =HYPERLINK("CSG7.html#group18N7", "18N⁷"), =HYPERLINK("CSG16.html#group66A16", "66A¹⁶"), =HYPERLINK("CSG17.html#group24V17", "24V¹⁷"), =HYPERLINK("CSG7.html#group30A7", "30A⁷"), =HYPERLINK("CSG13.html#group30A13", "30A¹³"), =HYPERLINK("CSG8.html#group24D8", "24D⁸"), =HYPERLINK("CSG21.html#group84A21", "84A²¹"), =HYPERLINK("CSG11.html#group36F11", "36F¹¹"), =HYPERLINK("CSG1.html#group6F1", "6F¹"), =HYPERLINK("CSG13.html#group24B13", "24B¹³"), =HYPERLINK("CSG21.html#group72N21", "72N²¹"), =HYPERLINK("CSG23.html#group96F23", "96F²³"), =HYPERLINK("CSG21.html#group60D21", "60D²¹"), =HYPERLINK("CSG17.html#group24S17", "24S¹⁷"), =HYPERLINK("CSG13.html#group42E13", "42E¹³"), =HYPERLINK("CSG19.html#group42J19", "42J¹⁹"), =HYPERLINK("CSG19.html#group36H19", "36H¹⁹"), =HYPERLINK("CSG22.html#group96C22", "96C²²"), =HYPERLINK("CSG20.html#group84C20", "84C²⁰"), =HYPERLINK("CSG21.html#group234A21", "234A²¹"), =HYPERLINK("CSG19.html#group78A19", "78A¹⁹"), =HYPERLINK("CSG19.html#group36E19", "36E¹⁹"), =HYPERLINK("CSG19.html#group60A19", "60A¹⁹"), =HYPERLINK("CSG7.html#group30D7", "30D⁷"), =HYPERLINK("CSG22.html#group84H22", "84H²²"), =HYPERLINK("CSG19.html#group48D19", "48D¹⁹"), =HYPERLINK("CSG15.html#group150D15", "150D¹⁵"), =HYPERLINK("CSG7.html#group18F7", "18F⁷"), =HYPERLINK("CSG7.html#group42C7", "42C⁷"), =HYPERLINK("CSG23.html#group96L23", "96L²³"), =HYPERLINK("CSG11.html#group36B11", "36B¹¹"), =HYPERLINK("CSG21.html#group60C21", "60C²¹"), =HYPERLINK("CSG17.html#group48E17", "48E¹⁷"), =HYPERLINK("CSG19.html#group24D19", "24D¹⁹"), =HYPERLINK("CSG10.html#group18F10", "18F¹⁰"), =HYPERLINK("CSG7.html#group24M7", "24M⁷"), =HYPERLINK("CSG16.html#group186A16", "186A¹⁶"), =HYPERLINK("CSG14.html#group60A14", "60A¹⁴"), =HYPERLINK("CSG15.html#group90J15", "90J¹⁵"), =HYPERLINK("CSG21.html#group36B21", "36B²¹"), =HYPERLINK("CSG23.html#group96O23", "96O²³"), =HYPERLINK("CSG7.html#group18E7", "18E⁷"), =HYPERLINK("CSG3.html#group12F3", "12F³"), =HYPERLINK("CSG5.html#group24A5", "24A⁵"), =HYPERLINK("CSG13.html#group30F13", "30F¹³"), =HYPERLINK("CSG2.html#group12E2", "12E²"), =HYPERLINK("CSG17.html#group24I17", "24I¹⁷"), =HYPERLINK("CSG16.html#group54K16", "54K¹⁶"), =HYPERLINK("CSG6.html#group36A6", "36A⁶"), =HYPERLINK("CSG23.html#group120B23", "120B²³"), =HYPERLINK("CSG4.html#group12A4", "12A⁴"), =HYPERLINK("CSG19.html#group48AX19", "48AX¹⁹"), =HYPERLINK("CSG21.html#group48O21", "48O²¹"), =HYPERLINK("CSG20.html#group228B20", "228B²⁰"), =HYPERLINK("CSG8.html#group24H8", "24H⁸"), =HYPERLINK("CSG8.html#group24J8", "24J⁸"), =HYPERLINK("CSG21.html#group48AN21", "48AN²¹"), =HYPERLINK("CSG13.html#group18A13", "18A¹³"), =HYPERLINK("CSG22.html#group96A22", "96A²²"), =HYPERLINK("CSG21.html#group48J21", "48J²¹"), =HYPERLINK("CSG13.html#group24O13", "24O¹³"), =HYPERLINK("CSG4.html#group18E4", "18E⁴"), =HYPERLINK("CSG8.html#group84B8", "84B⁸"), =HYPERLINK("CSG12.html#group72C12", "72C¹²"), =HYPERLINK("CSG11.html#group36E11", "36E¹¹"), =HYPERLINK("CSG21.html#group126C21", "126C²¹"), =HYPERLINK("CSG7.html#group42E7", "42E⁷"), =HYPERLINK("CSG17.html#group24W17", "24W¹⁷"), =HYPERLINK("CSG13.html#group54I13", "54I¹³"), =HYPERLINK("CSG15.html#group48F15", "48F¹⁵"), =HYPERLINK("CSG13.html#group54A13", "54A¹³"), =HYPERLINK("CSG21.html#group48AK21", "48AK²¹"), =HYPERLINK("CSG22.html#group84A22", "84A²²"), =HYPERLINK("CSG21.html#group126F21", "126F²¹"), =HYPERLINK("CSG22.html#group36F22", "36F²²"), =HYPERLINK("CSG23.html#group96E23", "96E²³"), =HYPERLINK("CSG10.html#group42E10", "42E¹⁰"), =HYPERLINK("CSG17.html#group24J17", "24J¹⁷"), =HYPERLINK("CSG22.html#group48B22", "48B²²"), =HYPERLINK("CSG13.html#group24K13", "24K¹³"), =HYPERLINK("CSG4.html#group18H4", "18H⁴"), =HYPERLINK("CSG11.html#group36A11", "36A¹¹"), =HYPERLINK("CSG19.html#group48O19", "48O¹⁹"), =HYPERLINK("CSG19.html#group48M19", "48M¹⁹"), =HYPERLINK("CSG23.html#group96P23", "96P²³"), =HYPERLINK("CSG19.html#group48F19", "48F¹⁹"), =HYPERLINK("CSG21.html#group48AM21", "48AM²¹"), =HYPERLINK("CSG8.html#group48C8", "48C⁸"), =HYPERLINK("CSG16.html#group36C16", "36C¹⁶"), =HYPERLINK("CSG5.html#group18B5", "18B⁵"), =HYPERLINK("CSG13.html#group18B13", "18B¹³"), =HYPERLINK("CSG9.html#group24C9", "24C⁹"), =HYPERLINK("CSG18.html#group48G18", "48G¹⁸"), =HYPERLINK("CSG15.html#group150C15", "150C¹⁵"), =HYPERLINK("CSG23.html#group132C23", "132C²³"), =HYPERLINK("CSG6.html#group66A6", "66A⁶"), =HYPERLINK("CSG8.html#group48A8", "48A⁸"), =HYPERLINK("CSG7.html#group18A7", "18A⁷"), =HYPERLINK("CSG19.html#group222A19", "222A¹⁹"), =HYPERLINK("CSG19.html#group42M19", "42M¹⁹"), =HYPERLINK("CSG5.html#group18A5", "18A⁵"), =HYPERLINK("CSG19.html#group48R19", "48R¹⁹"), =HYPERLINK("CSG7.html#group30B7", "30B⁷"), =HYPERLINK("CSG13.html#group30D13", "30D¹³"), =HYPERLINK("CSG4.html#group12B4", "12B⁴"), =HYPERLINK("CSG21.html#group48S21", "48S²¹"), =HYPERLINK("CSG17.html#group72K17", "72K¹⁷"), =HYPERLINK("CSG17.html#group90C17", "90C¹⁷"), =HYPERLINK("CSG19.html#group114B19", "114B¹⁹"), =HYPERLINK("CSG23.html#group138B23", "138B²³"), =HYPERLINK("CSG13.html#group30C13", "30C¹³"), =HYPERLINK("CSG20.html#group84K20", "84K²⁰"), =HYPERLINK("CSG15.html#group24F15", "24F¹⁵"), =HYPERLINK("CSG23.html#group126D23", "126D²³"), =HYPERLINK("CSG20.html#group228A20", "228A²⁰"), =HYPERLINK("CSG10.html#group60A10", "60A¹⁰"), =HYPERLINK("CSG21.html#group48AU21", "48AU²¹"), =HYPERLINK("CSG3.html#group18F3", "18F³"), =HYPERLINK("CSG10.html#group114A10", "114A¹⁰"), =HYPERLINK("CSG11.html#group48D11", "48D¹¹"), =HYPERLINK("CSG23.html#group126H23", "126H²³"), =HYPERLINK("CSG4.html#group18A4", "18A⁴"), =HYPERLINK("CSG9.html#group30K9", "30K⁹"), =HYPERLINK("CSG2.html#group12A2", "12A²"), =HYPERLINK("CSG23.html#group96D23", "96D²³"), =HYPERLINK("CSG11.html#group66A11", "66A¹¹"), =HYPERLINK("CSG15.html#group84A15", "84A¹⁵"), =HYPERLINK("CSG10.html#group24B10", "24B¹⁰"), =HYPERLINK("CSG23.html#group96G23", "96G²³"), =HYPERLINK("CSG11.html#group126A11", "126A¹¹"), =HYPERLINK("CSG12.html#group72B12", "72B¹²"), =HYPERLINK("CSG23.html#group96C23", "96C²³"), =HYPERLINK("CSG18.html#group198B18", "198B¹⁸"), =HYPERLINK("CSG22.html#group84F22", "84F²²"), =HYPERLINK("CSG17.html#group48H17", "48H¹⁷"), =HYPERLINK("CSG12.html#group138A12", "138A¹²"), =HYPERLINK("CSG22.html#group90B22", "90B²²"), =HYPERLINK("CSG23.html#group96J23", "96J²³"), =HYPERLINK("CSG19.html#group48G19", "48G¹⁹"), =HYPERLINK("CSG17.html#group90B17", "90B¹⁷"), =HYPERLINK("CSG13.html#group78A13", "78A¹³"), =HYPERLINK("CSG19.html#group30A19", "30A¹⁹"), =HYPERLINK("CSG9.html#group30B9", "30B⁹"), =HYPERLINK("CSG17.html#group24H17", "24H¹⁷"), =HYPERLINK("CSG19.html#group18E19", "18E¹⁹"), =HYPERLINK("CSG7.html#group18B7", "18B⁷"), =HYPERLINK("CSG4.html#group24A4", "24A⁴"), =HYPERLINK("CSG19.html#group24S19", "24S¹⁹"), =HYPERLINK("CSG7.html#group24W7", "24W⁷"), =HYPERLINK("CSG23.html#group72B23", "72B²³"), =HYPERLINK("CSG9.html#group48A9", "48A⁹"), =HYPERLINK("CSG21.html#group60O21", "60O²¹"), =HYPERLINK("CSG7.html#group12D7", "12D⁷"), =HYPERLINK("CSG16.html#group36B16", "36B¹⁶"), =HYPERLINK("CSG9.html#group24U9", "24U⁹"), =HYPERLINK("CSG19.html#group48B19", "48B¹⁹"), =HYPERLINK("CSG3.html#group18C3", "18C³"), =HYPERLINK("CSG4.html#group12C4", "12C⁴"), =HYPERLINK("CSG19.html#group18A19", "18A¹⁹"), =HYPERLINK("CSG21.html#group48AP21", "48AP²¹"), =HYPERLINK("CSG21.html#group48AG21", "48AG²¹"), =HYPERLINK("CSG19.html#group48N19", "48N¹⁹"), =HYPERLINK("CSG17.html#group24C17", "24C¹⁷"), =HYPERLINK("CSG19.html#group96H19", "96H¹⁹"), =HYPERLINK("CSG4.html#group24G4", "24G⁴"), =HYPERLINK("CSG21.html#group96H21", "96H²¹"), =HYPERLINK("CSG21.html#group48AO21", "48AO²¹"), =HYPERLINK("CSG9.html#group24F9", "24F⁹"), =HYPERLINK("CSG16.html#group72G16", "72G¹⁶"), =HYPERLINK("CSG15.html#group36K15", "36K¹⁵"), =HYPERLINK("CSG10.html#group48A10", "48A¹⁰"), =HYPERLINK("CSG11.html#group60E11", "60E¹¹"), =HYPERLINK("CSG19.html#group42Q19", "42Q¹⁹"), =HYPERLINK("CSG9.html#group36A9", "36A⁹"), =HYPERLINK("CSG21.html#group96A21", "96A²¹"), =HYPERLINK("CSG15.html#group90B15", "90B¹⁵"), =HYPERLINK("CSG3.html#group18A3", "18A³"), =HYPERLINK("CSG19.html#group42P19", "42P¹⁹"), =HYPERLINK("CSG8.html#group90A8", "90A⁸"), =HYPERLINK("CSG7.html#group24J7", "24J⁷"), =HYPERLINK("CSG3.html#group12N3", "12N³"), =HYPERLINK("CSG23.html#group96K23", "96K²³"), =HYPERLINK("CSG8.html#group36G8", "36G⁸"), =HYPERLINK("CSG20.html#group84I20", "84I²⁰"), =HYPERLINK("CSG8.html#group24I8", "24I⁸"), =HYPERLINK("CSG17.html#group198A17", "198A¹⁷"), =HYPERLINK("CSG5.html#group24F5", "24F⁵"), =HYPERLINK("CSG20.html#group84F20", "84F²⁰"), =HYPERLINK("CSG22.html#group48A22", "48A²²"), =HYPERLINK("CSG22.html#group84E22", "84E²²"), =HYPERLINK("CSG23.html#group72G23", "72G²³"), =HYPERLINK("CSG15.html#group174A15", "174A¹⁵"), =HYPERLINK("CSG17.html#group48J17", "48J¹⁷"), =HYPERLINK("CSG3.html#group18H3", "18H³"), =HYPERLINK("CSG19.html#group42E19", "42E¹⁹"), =HYPERLINK("CSG13.html#group24J13", "24J¹³"), =HYPERLINK("CSG19.html#group24I19", "24I¹⁹"), =HYPERLINK("CSG11.html#group36D11", "36D¹¹"), =HYPERLINK("CSG15.html#group150B15", "150B¹⁵"), =HYPERLINK("CSG21.html#group60M21", "60M²¹"), =HYPERLINK("CSG13.html#group30J13", "30J¹³"), =HYPERLINK("CSG21.html#group48F21", "48F²¹"), =HYPERLINK("CSG15.html#group36J15", "36J¹⁵"), =HYPERLINK("CSG17.html#group30I17", "30I¹⁷"), =HYPERLINK("CSG21.html#group66A21", "66A²¹"), =HYPERLINK("CSG19.html#group48AR19", "48AR¹⁹"), =HYPERLINK("CSG1.html#group6E1", "6E¹"), =HYPERLINK("CSG21.html#group126A21", "126A²¹"), =HYPERLINK("CSG21.html#group48Z21", "48Z²¹"), =HYPERLINK("CSG9.html#group48E9", "48E⁹"), =HYPERLINK("CSG19.html#group24A19", "24A¹⁹"), =HYPERLINK("CSG21.html#group126G21", "126G²¹"), =HYPERLINK("CSG13.html#group18C13", "18C¹³"), =HYPERLINK("CSG17.html#group48K17", "48K¹⁷"), =HYPERLINK("CSG13.html#group42G13", "42G¹³"), =HYPERLINK("CSG20.html#group84B20", "84B²⁰"), =HYPERLINK("CSG20.html#group210A20", "210A²⁰"), =HYPERLINK("CSG23.html#group120A23", "120A²³"), =HYPERLINK("CSG7.html#group18G7", "18G⁷"), =HYPERLINK("CSG21.html#group126B21", "126B²¹"), =HYPERLINK("CSG19.html#group18B19", "18B¹⁹"), =HYPERLINK("CSG18.html#group48I18", "48I¹⁸"), =HYPERLINK("CSG10.html#group18D10", "18D¹⁰"), =HYPERLINK("CSG24.html#group252B24", "252B²⁴"), =HYPERLINK("CSG9.html#group36E9", "36E⁹"), =HYPERLINK("CSG13.html#group18H13", "18H¹³"), =HYPERLINK("CSG21.html#group66C21", "66C²¹"), =HYPERLINK("CSG4.html#group24D4", "24D⁴"), =HYPERLINK("CSG7.html#group18D7", "18D⁷"), =HYPERLINK("CSG13.html#group30G13", "30G¹³"), =HYPERLINK("CSG15.html#group90C15", "90C¹⁵"), =HYPERLINK("CSG10.html#group36F10", "36F¹⁰"), =HYPERLINK("CSG17.html#group24T17", "24T¹⁷"), =HYPERLINK("CSG16.html#group36A16", "36A¹⁶"), =HYPERLINK("CSG22.html#group84B22", "84B²²"), =HYPERLINK("CSG17.html#group102B17", "102B¹⁷"), =HYPERLINK("CSG21.html#group246B21", "246B²¹"), =HYPERLINK("CSG23.html#group72D23", "72D²³"), =HYPERLINK("CSG19.html#group48C19", "48C¹⁹"), =HYPERLINK("CSG9.html#group30D9", "30D⁹"), =HYPERLINK("CSG15.html#group90E15", "90E¹⁵"), =HYPERLINK("CSG23.html#group96B23", "96B²³"), =HYPERLINK("CSG17.html#group30C17", "30C¹⁷"), =HYPERLINK("CSG16.html#group66B16", "66B¹⁶"), =HYPERLINK("CSG17.html#group48I17", "48I¹⁷"), =HYPERLINK("CSG5.html#group30C5", "30C⁵"), =HYPERLINK("CSG10.html#group24D10", "24D¹⁰"), =HYPERLINK("CSG15.html#group60N15", "60N¹⁵"), =HYPERLINK("CSG4.html#group42A4", "42A⁴"), =HYPERLINK("CSG5.html#group30A5", "30A⁵"), =HYPERLINK("CSG15.html#group36D15", "36D¹⁵"), =HYPERLINK("CSG19.html#group24F19", "24F¹⁹"), =HYPERLINK("CSG19.html#group78D19", "78D¹⁹"), =HYPERLINK("CSG9.html#group12A9", "12A⁹"), =HYPERLINK("CSG23.html#group72H23", "72H²³"), =HYPERLINK("CSG15.html#group84C15", "84C¹⁵"), =HYPERLINK("CSG7.html#group24C7", "24C⁷"), =HYPERLINK("CSG17.html#group36E17", "36E¹⁷"), =HYPERLINK("CSG17.html#group48BP17", "48BP¹⁷"), =HYPERLINK("CSG1.html#group6B1", "6B¹"), =HYPERLINK("CSG15.html#group24B15", "24B¹⁵"), =HYPERLINK("CSG22.html#group36E22", "36E²²"), =HYPERLINK("CSG19.html#group24E19", "24E¹⁹"), =HYPERLINK("CSG16.html#group54H16", "54H¹⁶"), =HYPERLINK("CSG7.html#group12B7", "12B⁷"), =HYPERLINK("CSG21.html#group48AI21", "48AI²¹"), =HYPERLINK("CSG19.html#group18C19", "18C¹⁹"), =HYPERLINK("CSG9.html#group24J9", "24J⁹"), =HYPERLINK("CSG17.html#group24A17", "24A¹⁷"), =HYPERLINK("CSG17.html#group90D17", "90D¹⁷"), =HYPERLINK("CSG23.html#group132A23", "132A²³"), =HYPERLINK("CSG9.html#group30E9", "30E⁹"), =HYPERLINK("CSG9.html#group24H9", "24H⁹"), =HYPERLINK("CSG20.html#group120B20", "120B²⁰"), =HYPERLINK("CSG17.html#group24B17", "24B¹⁷"), =HYPERLINK("CSG22.html#group90A22", "90A²²"), =HYPERLINK("CSG19.html#group42D19", "42D¹⁹"), =HYPERLINK("CSG9.html#group12B9", "12B⁹"), =HYPERLINK("CSG8.html#group24B8", "24B⁸"), =HYPERLINK("CSG13.html#group78C13", "78C¹³"), =HYPERLINK("CSG23.html#group126E23", "126E²³"), =HYPERLINK("CSG13.html#group12B13", "12B¹³"), =HYPERLINK("CSG19.html#group48L19", "48L¹⁹"), =HYPERLINK("CSG16.html#group54G16", "54G¹⁶"), =HYPERLINK("CSG7.html#group24A7", "24A⁷"), =HYPERLINK("CSG19.html#group42L19", "42L¹⁹"), =HYPERLINK("CSG10.html#group48B10", "48B¹⁰"), =HYPERLINK("CSG17.html#group72E17", "72E¹⁷"), =HYPERLINK("CSG12.html#group126B12", "126B¹²"), =HYPERLINK("CSG22.html#group36J22", "36J²²"), =HYPERLINK("CSG4.html#group42B4", "42B⁴"), =HYPERLINK("CSG13.html#group18F13", "18F¹³"), =HYPERLINK("CSG15.html#group60D15", "60D¹⁵"), =HYPERLINK("CSG24.html#group144C24", "144C²⁴"), =HYPERLINK("CSG21.html#group48E21", "48E²¹"), =HYPERLINK("CSG9.html#group24T9", "24T⁹"), =HYPERLINK("CSG9.html#group24K9", "24K⁹"), =HYPERLINK("CSG4.html#group24E4", "24E⁴"), =HYPERLINK("CSG13.html#group24P13", "24P¹³"), =HYPERLINK("CSG7.html#group24B7", "24B⁷"), =HYPERLINK("CSG13.html#group54E13", "54E¹³")</f>
        <v/>
      </c>
    </row>
    <row r="124">
      <c r="A124" t="inlineStr">
        <is>
          <t>6B¹</t>
        </is>
      </c>
      <c r="B124" t="inlineStr"/>
      <c r="C124" t="inlineStr">
        <is>
          <t>12</t>
        </is>
      </c>
      <c r="D124" t="inlineStr">
        <is>
          <t>1</t>
        </is>
      </c>
      <c r="E124" t="inlineStr">
        <is>
          <t>3</t>
        </is>
      </c>
      <c r="F124" t="inlineStr">
        <is>
          <t>0</t>
        </is>
      </c>
      <c r="G124" t="inlineStr">
        <is>
          <t>0</t>
        </is>
      </c>
      <c r="H124" t="inlineStr">
        <is>
          <t>6²</t>
        </is>
      </c>
      <c r="I124" t="n">
        <v>2</v>
      </c>
      <c r="J124" t="inlineStr">
        <is>
          <t>1¹, 2¹</t>
        </is>
      </c>
      <c r="K124">
        <f>HYPERLINK("CSG0.html#group3C0", "3C⁰"), =HYPERLINK("CSG0.html#group6B0", "6B⁰"), =HYPERLINK("CSG1.html#group6A1", "6A¹")</f>
        <v/>
      </c>
      <c r="L124">
        <f>HYPERLINK("CSG1.html#group6D1", "6D¹"), =HYPERLINK("CSG1.html#group6E1", "6E¹"), =HYPERLINK("CSG2.html#group18F2", "18F²"), =HYPERLINK("CSG3.html#group12C3", "12C³"), =HYPERLINK("CSG3.html#group18A3", "18A³"), =HYPERLINK("CSG3.html#group18B3", "18B³"), =HYPERLINK("CSG3.html#group18C3", "18C³"), =HYPERLINK("CSG5.html#group30B5", "30B⁵"), =HYPERLINK("CSG5.html#group30H5", "30H⁵"), =HYPERLINK("CSG7.html#group42C7", "42C⁷"), =HYPERLINK("CSG7.html#group42E7", "42E⁷"), =HYPERLINK("CSG9.html#group30E9", "30E⁹"), =HYPERLINK("CSG11.html#group66A11", "66A¹¹"), =HYPERLINK("CSG11.html#group66C11", "66C¹¹"), =HYPERLINK("CSG13.html#group78E13", "78E¹³"), =HYPERLINK("CSG17.html#group102G17", "102G¹⁷"), =HYPERLINK("CSG19.html#group114B19", "114B¹⁹"), =HYPERLINK("CSG23.html#group138B23", "138B²³")</f>
        <v/>
      </c>
      <c r="M124">
        <f>HYPERLINK("CSG0.html#group2A0", "2A⁰"), =HYPERLINK("CSG0.html#group3C0", "3C⁰"), =HYPERLINK("CSG1.html#group6A1", "6A¹"), =HYPERLINK("CSG0.html#group6B0", "6B⁰"), =HYPERLINK("CSG0.html#group3A0", "3A⁰"), =HYPERLINK("CSG0.html#group1A0", "1A⁰")</f>
        <v/>
      </c>
      <c r="N124">
        <f>HYPERLINK("CSG7.html#group24M7", "24M⁷"), =HYPERLINK("CSG15.html#group90J15", "90J¹⁵"), =HYPERLINK("CSG21.html#group36B21", "36B²¹"), =HYPERLINK("CSG7.html#group18E7", "18E⁷"), =HYPERLINK("CSG3.html#group12F3", "12F³"), =HYPERLINK("CSG13.html#group30F13", "30F¹³"), =HYPERLINK("CSG17.html#group24I17", "24I¹⁷"), =HYPERLINK("CSG16.html#group54K16", "54K¹⁶"), =HYPERLINK("CSG5.html#group12A5", "12A⁵"), =HYPERLINK("CSG3.html#group12G3", "12G³"), =HYPERLINK("CSG17.html#group30E17", "30E¹⁷"), =HYPERLINK("CSG15.html#group48A15", "48A¹⁵"), =HYPERLINK("CSG17.html#group48U17", "48U¹⁷"), =HYPERLINK("CSG4.html#group18N4", "18N⁴"), =HYPERLINK("CSG21.html#group48O21", "48O²¹"), =HYPERLINK("CSG23.html#group72C23", "72C²³"), =HYPERLINK("CSG3.html#group18B3", "18B³"), =HYPERLINK("CSG15.html#group84B15", "84B¹⁵"), =HYPERLINK("CSG17.html#group102G17", "102G¹⁷"), =HYPERLINK("CSG13.html#group18A13", "18A¹³"), =HYPERLINK("CSG22.html#group54H22", "54H²²"), =HYPERLINK("CSG13.html#group18E13", "18E¹³"), =HYPERLINK("CSG13.html#group24O13", "24O¹³"), =HYPERLINK("CSG4.html#group18E4", "18E⁴"), =HYPERLINK("CSG11.html#group36E11", "36E¹¹"), =HYPERLINK("CSG13.html#group24F13", "24F¹³"), =HYPERLINK("CSG7.html#group42E7", "42E⁷"), =HYPERLINK("CSG23.html#group126F23", "126F²³"), =HYPERLINK("CSG13.html#group42D13", "42D¹³"), =HYPERLINK("CSG13.html#group42C13", "42C¹³"), =HYPERLINK("CSG13.html#group54I13", "54I¹³"), =HYPERLINK("CSG15.html#group48F15", "48F¹⁵"), =HYPERLINK("CSG3.html#group12A3", "12A³"), =HYPERLINK("CSG7.html#group24V7", "24V⁷"), =HYPERLINK("CSG10.html#group18E10", "18E¹⁰"), =HYPERLINK("CSG10.html#group18F10", "18F¹⁰"), =HYPERLINK("CSG15.html#group36C15", "36C¹⁵"), =HYPERLINK("CSG17.html#group36I17", "36I¹⁷"), =HYPERLINK("CSG17.html#group24J17", "24J¹⁷"), =HYPERLINK("CSG13.html#group24K13", "24K¹³"), =HYPERLINK("CSG4.html#group18H4", "18H⁴"), =HYPERLINK("CSG11.html#group36A11", "36A¹¹"), =HYPERLINK("CSG15.html#group24I15", "24I¹⁵"), =HYPERLINK("CSG19.html#group48F19", "48F¹⁹"), =HYPERLINK("CSG23.html#group132B23", "132B²³"), =HYPERLINK("CSG19.html#group48E19", "48E¹⁹"), =HYPERLINK("CSG5.html#group18B5", "18B⁵"), =HYPERLINK("CSG13.html#group18B13", "18B¹³"), =HYPERLINK("CSG20.html#group126E20", "126E²⁰"), =HYPERLINK("CSG7.html#group18A7", "18A⁷"), =HYPERLINK("CSG19.html#group42O19", "42O¹⁹"), =HYPERLINK("CSG5.html#group18A5", "18A⁵"), =HYPERLINK("CSG17.html#group30B17", "30B¹⁷"), =HYPERLINK("CSG19.html#group114B19", "114B¹⁹"), =HYPERLINK("CSG21.html#group48S21", "48S²¹"), =HYPERLINK("CSG22.html#group54I22", "54I²²"), =HYPERLINK("CSG23.html#group138B23", "138B²³"), =HYPERLINK("CSG17.html#group90C17", "90C¹⁷"), =HYPERLINK("CSG19.html#group24B19", "24B¹⁹"), =HYPERLINK("CSG13.html#group30C13", "30C¹³"), =HYPERLINK("CSG15.html#group24F15", "24F¹⁵"), =HYPERLINK("CSG23.html#group126D23", "126D²³"), =HYPERLINK("CSG21.html#group48AU21", "48AU²¹"), =HYPERLINK("CSG22.html#group36K22", "36K²²"), =HYPERLINK("CSG3.html#group18F3", "18F³"), =HYPERLINK("CSG13.html#group12A13", "12A¹³"), =HYPERLINK("CSG10.html#group18K10", "18K¹⁰"), =HYPERLINK("CSG23.html#group126H23", "126H²³"), =HYPERLINK("CSG15.html#group48C15", "48C¹⁵"), =HYPERLINK("CSG15.html#group84A15", "84A¹⁵"), =HYPERLINK("CSG11.html#group66A11", "66A¹¹"), =HYPERLINK("CSG15.html#group24D15", "24D¹⁵"), =HYPERLINK("CSG9.html#group30K9", "30K⁹"), =HYPERLINK("CSG9.html#group30H9", "30H⁹"), =HYPERLINK("CSG9.html#group30A9", "30A⁹"), =HYPERLINK("CSG2.html#group18F2", "18F²"), =HYPERLINK("CSG21.html#group36E21", "36E²¹"), =HYPERLINK("CSG21.html#group60B21", "60B²¹"), =HYPERLINK("CSG17.html#group90B17", "90B¹⁷"), =HYPERLINK("CSG14.html#group90C14", "90C¹⁴"), =HYPERLINK("CSG17.html#group24H17", "24H¹⁷"), =HYPERLINK("CSG19.html#group18E19", "18E¹⁹"), =HYPERLINK("CSG7.html#group18B7", "18B⁷"), =HYPERLINK("CSG15.html#group90A15", "90A¹⁵"), =HYPERLINK("CSG13.html#group24A13", "24A¹³"), =HYPERLINK("CSG7.html#group24W7", "24W⁷"), =HYPERLINK("CSG23.html#group72B23", "72B²³"), =HYPERLINK("CSG7.html#group12D7", "12D⁷"), =HYPERLINK("CSG1.html#group6D1", "6D¹"), =HYPERLINK("CSG15.html#group90F15", "90F¹⁵"), =HYPERLINK("CSG21.html#group48K21", "48K²¹"), =HYPERLINK("CSG19.html#group24C19", "24C¹⁹"), =HYPERLINK("CSG17.html#group30H17", "30H¹⁷"), =HYPERLINK("CSG3.html#group18C3", "18C³"), =HYPERLINK("CSG15.html#group24E15", "24E¹⁵"), =HYPERLINK("CSG19.html#group18A19", "18A¹⁹"), =HYPERLINK("CSG21.html#group48AP21", "48AP²¹"), =HYPERLINK("CSG13.html#group18D13", "18D¹³"), =HYPERLINK("CSG17.html#group24C17", "24C¹⁷"), =HYPERLINK("CSG21.html#group60O21", "60O²¹"), =HYPERLINK("CSG21.html#group48AO21", "48AO²¹"), =HYPERLINK("CSG15.html#group36K15", "36K¹⁵"), =HYPERLINK("CSG19.html#group42Q19", "42Q¹⁹"), =HYPERLINK("CSG9.html#group36A9", "36A⁹"), =HYPERLINK("CSG17.html#group90K17", "90K¹⁷"), =HYPERLINK("CSG15.html#group90B15", "90B¹⁵"), =HYPERLINK("CSG3.html#group18A3", "18A³"), =HYPERLINK("CSG19.html#group42P19", "42P¹⁹"), =HYPERLINK("CSG7.html#group24J7", "24J⁷"), =HYPERLINK("CSG21.html#group60A21", "60A²¹"), =HYPERLINK("CSG13.html#group18G13", "18G¹³"), =HYPERLINK("CSG3.html#group12N3", "12N³"), =HYPERLINK("CSG17.html#group24Z17", "24Z¹⁷"), =HYPERLINK("CSG23.html#group72G23", "72G²³"), =HYPERLINK("CSG21.html#group72M21", "72M²¹"), =HYPERLINK("CSG21.html#group48Y21", "48Y²¹"), =HYPERLINK("CSG21.html#group36A21", "36A²¹"), =HYPERLINK("CSG15.html#group48E15", "48E¹⁵"), =HYPERLINK("CSG3.html#group18H3", "18H³"), =HYPERLINK("CSG19.html#group42E19", "42E¹⁹"), =HYPERLINK("CSG13.html#group24J13", "24J¹³"), =HYPERLINK("CSG19.html#group24K19", "24K¹⁹"), =HYPERLINK("CSG9.html#group30I9", "30I⁹"), =HYPERLINK("CSG11.html#group36D11", "36D¹¹"), =HYPERLINK("CSG13.html#group30J13", "30J¹³"), =HYPERLINK("CSG21.html#group66A21", "66A²¹"), =HYPERLINK("CSG15.html#group36J15", "36J¹⁵"), =HYPERLINK("CSG15.html#group24A15", "24A¹⁵"), =HYPERLINK("CSG19.html#group60G19", "60G¹⁹"), =HYPERLINK("CSG17.html#group30I17", "30I¹⁷"), =HYPERLINK("CSG1.html#group6E1", "6E¹"), =HYPERLINK("CSG15.html#group48K15", "48K¹⁵"), =HYPERLINK("CSG17.html#group36C17", "36C¹⁷"), =HYPERLINK("CSG21.html#group126A21", "126A²¹"), =HYPERLINK("CSG21.html#group48Z21", "48Z²¹"), =HYPERLINK("CSG13.html#group30B13", "30B¹³"), =HYPERLINK("CSG21.html#group126G21", "126G²¹"), =HYPERLINK("CSG19.html#group48K19", "48K¹⁹"), =HYPERLINK("CSG13.html#group18C13", "18C¹³"), =HYPERLINK("CSG17.html#group48K17", "48K¹⁷"), =HYPERLINK("CSG13.html#group42G13", "42G¹³"), =HYPERLINK("CSG23.html#group126B23", "126B²³"), =HYPERLINK("CSG17.html#group24G17", "24G¹⁷"), =HYPERLINK("CSG7.html#group18G7", "18G⁷"), =HYPERLINK("CSG3.html#group12C3", "12C³"), =HYPERLINK("CSG19.html#group18B19", "18B¹⁹"), =HYPERLINK("CSG21.html#group126B21", "126B²¹"), =HYPERLINK("CSG23.html#group72A23", "72A²³"), =HYPERLINK("CSG10.html#group18D10", "18D¹⁰"), =HYPERLINK("CSG16.html#group54A16", "54A¹⁶"), =HYPERLINK("CSG9.html#group36E9", "36E⁹"), =HYPERLINK("CSG13.html#group18H13", "18H¹³"), =HYPERLINK("CSG13.html#group78E13", "78E¹³"), =HYPERLINK("CSG21.html#group66C21", "66C²¹"), =HYPERLINK("CSG5.html#group30H5", "30H⁵"), =HYPERLINK("CSG15.html#group24J15", "24J¹⁵"), =HYPERLINK("CSG7.html#group12A7", "12A⁷"), =HYPERLINK("CSG7.html#group18D7", "18D⁷"), =HYPERLINK("CSG15.html#group90C15", "90C¹⁵"), =HYPERLINK("CSG10.html#group36F10", "36F¹⁰"), =HYPERLINK("CSG17.html#group24T17", "24T¹⁷"), =HYPERLINK("CSG23.html#group72D23", "72D²³"), =HYPERLINK("CSG17.html#group24Y17", "24Y¹⁷"), =HYPERLINK("CSG11.html#group66C11", "66C¹¹"), =HYPERLINK("CSG17.html#group30C17", "30C¹⁷"), =HYPERLINK("CSG21.html#group126M21", "126M²¹"), =HYPERLINK("CSG5.html#group12B5", "12B⁵"), =HYPERLINK("CSG15.html#group36D15", "36D¹⁵"), =HYPERLINK("CSG9.html#group24G9", "24G⁹"), =HYPERLINK("CSG7.html#group18C7", "18C⁷"), =HYPERLINK("CSG5.html#group30B5", "30B⁵"), =HYPERLINK("CSG9.html#group12A9", "12A⁹"), =HYPERLINK("CSG21.html#group126H21", "126H²¹"), =HYPERLINK("CSG23.html#group72H23", "72H²³"), =HYPERLINK("CSG15.html#group90D15", "90D¹⁵"), =HYPERLINK("CSG11.html#group36M11", "36M¹¹"), =HYPERLINK("CSG21.html#group48P21", "48P²¹"), =HYPERLINK("CSG17.html#group36E17", "36E¹⁷"), =HYPERLINK("CSG15.html#group48B15", "48B¹⁵"), =HYPERLINK("CSG15.html#group24B15", "24B¹⁵"), =HYPERLINK("CSG16.html#group54H16", "54H¹⁶"), =HYPERLINK("CSG7.html#group12B7", "12B⁷"), =HYPERLINK("CSG7.html#group24I7", "24I⁷"), =HYPERLINK("CSG19.html#group18D19", "18D¹⁹"), =HYPERLINK("CSG11.html#group36N11", "36N¹¹"), =HYPERLINK("CSG19.html#group18C19", "18C¹⁹"), =HYPERLINK("CSG9.html#group24J9", "24J⁹"), =HYPERLINK("CSG17.html#group24A17", "24A¹⁷"), =HYPERLINK("CSG9.html#group36J9", "36J⁹"), =HYPERLINK("CSG10.html#group36C10", "36C¹⁰"), =HYPERLINK("CSG23.html#group132A23", "132A²³"), =HYPERLINK("CSG9.html#group30E9", "30E⁹"), =HYPERLINK("CSG7.html#group18N7", "18N⁷"), =HYPERLINK("CSG17.html#group24V17", "24V¹⁷"), =HYPERLINK("CSG11.html#group36F11", "36F¹¹"), =HYPERLINK("CSG9.html#group12B9", "12B⁹"), =HYPERLINK("CSG1.html#group6F1", "6F¹"), =HYPERLINK("CSG21.html#group72N21", "72N²¹"), =HYPERLINK("CSG13.html#group24B13", "24B¹³"), =HYPERLINK("CSG23.html#group126E23", "126E²³"), =HYPERLINK("CSG13.html#group12B13", "12B¹³"), =HYPERLINK("CSG16.html#group54G16", "54G¹⁶"), =HYPERLINK("CSG7.html#group24A7", "24A⁷"), =HYPERLINK("CSG19.html#group42L19", "42L¹⁹"), =HYPERLINK("CSG13.html#group42E13", "42E¹³"), =HYPERLINK("CSG21.html#group60D21", "60D²¹"), =HYPERLINK("CSG19.html#group36H19", "36H¹⁹"), =HYPERLINK("CSG13.html#group18F13", "18F¹³"), =HYPERLINK("CSG19.html#group36E19", "36E¹⁹"), =HYPERLINK("CSG19.html#group60A19", "60A¹⁹"), =HYPERLINK("CSG9.html#group24K9", "24K⁹"), =HYPERLINK("CSG7.html#group18F7", "18F⁷"), =HYPERLINK("CSG13.html#group24P13", "24P¹³"), =HYPERLINK("CSG7.html#group42C7", "42C⁷"), =HYPERLINK("CSG11.html#group36B11", "36B¹¹"), =HYPERLINK("CSG21.html#group60C21", "60C²¹"), =HYPERLINK("CSG17.html#group48E17", "48E¹⁷"), =HYPERLINK("CSG7.html#group24B7", "24B⁷"), =HYPERLINK("CSG13.html#group54E13", "54E¹³")</f>
        <v/>
      </c>
    </row>
    <row r="125">
      <c r="A125" t="inlineStr">
        <is>
          <t>6C¹</t>
        </is>
      </c>
      <c r="B125" t="inlineStr"/>
      <c r="C125" t="inlineStr">
        <is>
          <t>18</t>
        </is>
      </c>
      <c r="D125" t="inlineStr">
        <is>
          <t>1</t>
        </is>
      </c>
      <c r="E125" t="inlineStr">
        <is>
          <t>1</t>
        </is>
      </c>
      <c r="F125" t="inlineStr">
        <is>
          <t>0</t>
        </is>
      </c>
      <c r="G125" t="inlineStr">
        <is>
          <t>0</t>
        </is>
      </c>
      <c r="H125" t="inlineStr">
        <is>
          <t>6³</t>
        </is>
      </c>
      <c r="I125" t="n">
        <v>3</v>
      </c>
      <c r="J125" t="inlineStr">
        <is>
          <t>1¹</t>
        </is>
      </c>
      <c r="K125">
        <f>HYPERLINK("CSG0.html#group2C0", "2C⁰"), =HYPERLINK("CSG0.html#group6A0", "6A⁰"), =HYPERLINK("CSG0.html#group6D0", "6D⁰"), =HYPERLINK("CSG1.html#group6A1", "6A¹")</f>
        <v/>
      </c>
      <c r="L125">
        <f>HYPERLINK("CSG1.html#group6E1", "6E¹"), =HYPERLINK("CSG2.html#group12B2", "12B²"), =HYPERLINK("CSG2.html#group12E2", "12E²"), =HYPERLINK("CSG4.html#group18A4", "18A⁴"), =HYPERLINK("CSG7.html#group30B7", "30B⁷"), =HYPERLINK("CSG7.html#group30F7", "30F⁷"), =HYPERLINK("CSG10.html#group42C10", "42C¹⁰"), =HYPERLINK("CSG10.html#group42E10", "42E¹⁰"), =HYPERLINK("CSG13.html#group30A13", "30A¹³"), =HYPERLINK("CSG16.html#group66A16", "66A¹⁶"), =HYPERLINK("CSG16.html#group66B16", "66B¹⁶"), =HYPERLINK("CSG19.html#group78B19", "78B¹⁹")</f>
        <v/>
      </c>
      <c r="M125">
        <f>HYPERLINK("CSG0.html#group2A0", "2A⁰"), =HYPERLINK("CSG0.html#group6A0", "6A⁰"), =HYPERLINK("CSG1.html#group6A1", "6A¹"), =HYPERLINK("CSG0.html#group2B0", "2B⁰"), =HYPERLINK("CSG0.html#group3A0", "3A⁰"), =HYPERLINK("CSG0.html#group1A0", "1A⁰"), =HYPERLINK("CSG0.html#group2C0", "2C⁰"), =HYPERLINK("CSG0.html#group6D0", "6D⁰")</f>
        <v/>
      </c>
      <c r="N125">
        <f>HYPERLINK("CSG21.html#group48I21", "48I²¹"), =HYPERLINK("CSG18.html#group96A18", "96A¹⁸"), =HYPERLINK("CSG3.html#group12G3", "12G³"), =HYPERLINK("CSG16.html#group36E16", "36E¹⁶"), =HYPERLINK("CSG21.html#group48AH21", "48AH²¹"), =HYPERLINK("CSG17.html#group48U17", "48U¹⁷"), =HYPERLINK("CSG4.html#group18N4", "18N⁴"), =HYPERLINK("CSG21.html#group48BS21", "48BS²¹"), =HYPERLINK("CSG11.html#group48I11", "48I¹¹"), =HYPERLINK("CSG8.html#group24A8", "24A⁸"), =HYPERLINK("CSG7.html#group24V7", "24V⁷"), =HYPERLINK("CSG10.html#group18E10", "18E¹⁰"), =HYPERLINK("CSG21.html#group96E21", "96E²¹"), =HYPERLINK("CSG9.html#group24S9", "24S⁹"), =HYPERLINK("CSG15.html#group36C15", "36C¹⁵"), =HYPERLINK("CSG17.html#group36I17", "36I¹⁷"), =HYPERLINK("CSG18.html#group48B18", "48B¹⁸"), =HYPERLINK("CSG19.html#group48I19", "48I¹⁹"), =HYPERLINK("CSG15.html#group60L15", "60L¹⁵"), =HYPERLINK("CSG8.html#group36D8", "36D⁸"), =HYPERLINK("CSG19.html#group78B19", "78B¹⁹"), =HYPERLINK("CSG8.html#group24G8", "24G⁸"), =HYPERLINK("CSG15.html#group24I15", "24I¹⁵"), =HYPERLINK("CSG11.html#group48A11", "48A¹¹"), =HYPERLINK("CSG7.html#group30F7", "30F⁷"), =HYPERLINK("CSG19.html#group48E19", "48E¹⁹"), =HYPERLINK("CSG9.html#group24I9", "24I⁹"), =HYPERLINK("CSG19.html#group96E19", "96E¹⁹"), =HYPERLINK("CSG9.html#group24Z9", "24Z⁹"), =HYPERLINK("CSG19.html#group24G19", "24G¹⁹"), =HYPERLINK("CSG21.html#group48Q21", "48Q²¹"), =HYPERLINK("CSG21.html#group48BQ21", "48BQ²¹"), =HYPERLINK("CSG10.html#group18C10", "18C¹⁰"), =HYPERLINK("CSG10.html#group24A10", "24A¹⁰"), =HYPERLINK("CSG16.html#group72I16", "72I¹⁶"), =HYPERLINK("CSG20.html#group84H20", "84H²⁰"), =HYPERLINK("CSG16.html#group72B16", "72B¹⁶"), =HYPERLINK("CSG17.html#group24F17", "24F¹⁷"), =HYPERLINK("CSG19.html#group24B19", "24B¹⁹"), =HYPERLINK("CSG19.html#group48A19", "48A¹⁹"), =HYPERLINK("CSG19.html#group48P19", "48P¹⁹"), =HYPERLINK("CSG11.html#group48B11", "48B¹¹"), =HYPERLINK("CSG22.html#group36K22", "36K²²"), =HYPERLINK("CSG19.html#group48AW19", "48AW¹⁹"), =HYPERLINK("CSG13.html#group12A13", "12A¹³"), =HYPERLINK("CSG4.html#group24N4", "24N⁴"), =HYPERLINK("CSG16.html#group72H16", "72H¹⁶"), =HYPERLINK("CSG15.html#group24D15", "24D¹⁵"), =HYPERLINK("CSG21.html#group48BR21", "48BR²¹"), =HYPERLINK("CSG13.html#group30H13", "30H¹³"), =HYPERLINK("CSG21.html#group36E21", "36E²¹"), =HYPERLINK("CSG17.html#group24U17", "24U¹⁷"), =HYPERLINK("CSG18.html#group96C18", "96C¹⁸"), =HYPERLINK("CSG13.html#group30I13", "30I¹³"), =HYPERLINK("CSG21.html#group48N21", "48N²¹"), =HYPERLINK("CSG21.html#group84F21", "84F²¹"), =HYPERLINK("CSG21.html#group48K21", "48K²¹"), =HYPERLINK("CSG19.html#group24C19", "24C¹⁹"), =HYPERLINK("CSG8.html#group48D8", "48D⁸"), =HYPERLINK("CSG15.html#group24E15", "24E¹⁵"), =HYPERLINK("CSG19.html#group48H19", "48H¹⁹"), =HYPERLINK("CSG18.html#group48D18", "48D¹⁸"), =HYPERLINK("CSG11.html#group48M11", "48M¹¹"), =HYPERLINK("CSG2.html#group12B2", "12B²"), =HYPERLINK("CSG15.html#group60C15", "60C¹⁵"), =HYPERLINK("CSG21.html#group48L21", "48L²¹"), =HYPERLINK("CSG17.html#group24AJ17", "24AJ¹⁷"), =HYPERLINK("CSG21.html#group48R21", "48R²¹"), =HYPERLINK("CSG17.html#group24Z17", "24Z¹⁷"), =HYPERLINK("CSG17.html#group72C17", "72C¹⁷"), =HYPERLINK("CSG21.html#group48Y21", "48Y²¹"), =HYPERLINK("CSG15.html#group48E15", "48E¹⁵"), =HYPERLINK("CSG17.html#group24P17", "24P¹⁷"), =HYPERLINK("CSG19.html#group24K19", "24K¹⁹"), =HYPERLINK("CSG19.html#group96A19", "96A¹⁹"), =HYPERLINK("CSG15.html#group24A15", "24A¹⁵"), =HYPERLINK("CSG15.html#group48K15", "48K¹⁵"), =HYPERLINK("CSG16.html#group72Q16", "72Q¹⁶"), =HYPERLINK("CSG19.html#group48K19", "48K¹⁹"), =HYPERLINK("CSG17.html#group24G17", "24G¹⁷"), =HYPERLINK("CSG17.html#group24Q17", "24Q¹⁷"), =HYPERLINK("CSG8.html#group36B8", "36B⁸"), =HYPERLINK("CSG19.html#group24H19", "24H¹⁹"), =HYPERLINK("CSG21.html#group48AL21", "48AL²¹"), =HYPERLINK("CSG15.html#group24J15", "24J¹⁵"), =HYPERLINK("CSG7.html#group12A7", "12A⁷"), =HYPERLINK("CSG9.html#group24D9", "24D⁹"), =HYPERLINK("CSG8.html#group24C8", "24C⁸"), =HYPERLINK("CSG21.html#group48AJ21", "48AJ²¹"), =HYPERLINK("CSG17.html#group24R17", "24R¹⁷"), =HYPERLINK("CSG17.html#group24Y17", "24Y¹⁷"), =HYPERLINK("CSG19.html#group96B19", "96B¹⁹"), =HYPERLINK("CSG23.html#group96I23", "96I²³"), =HYPERLINK("CSG14.html#group60E14", "60E¹⁴"), =HYPERLINK("CSG5.html#group12B5", "12B⁵"), =HYPERLINK("CSG21.html#group96B21", "96B²¹"), =HYPERLINK("CSG17.html#group48D17", "48D¹⁷"), =HYPERLINK("CSG16.html#group72A16", "72A¹⁶"), =HYPERLINK("CSG9.html#group24G9", "24G⁹"), =HYPERLINK("CSG10.html#group42C10", "42C¹⁰"), =HYPERLINK("CSG11.html#group36M11", "36M¹¹"), =HYPERLINK("CSG21.html#group48P21", "48P²¹"), =HYPERLINK("CSG7.html#group24I7", "24I⁷"), =HYPERLINK("CSG11.html#group36N11", "36N¹¹"), =HYPERLINK("CSG19.html#group42G19", "42G¹⁹"), =HYPERLINK("CSG19.html#group42K19", "42K¹⁹"), =HYPERLINK("CSG11.html#group48F11", "48F¹¹"), =HYPERLINK("CSG7.html#group18N7", "18N⁷"), =HYPERLINK("CSG16.html#group66A16", "66A¹⁶"), =HYPERLINK("CSG17.html#group24V17", "24V¹⁷"), =HYPERLINK("CSG13.html#group30A13", "30A¹³"), =HYPERLINK("CSG8.html#group24D8", "24D⁸"), =HYPERLINK("CSG21.html#group84A21", "84A²¹"), =HYPERLINK("CSG1.html#group6F1", "6F¹"), =HYPERLINK("CSG23.html#group96F23", "96F²³"), =HYPERLINK("CSG17.html#group24S17", "24S¹⁷"), =HYPERLINK("CSG22.html#group96C22", "96C²²"), =HYPERLINK("CSG20.html#group84C20", "84C²⁰"), =HYPERLINK("CSG19.html#group48D19", "48D¹⁹"), =HYPERLINK("CSG23.html#group96L23", "96L²³"), =HYPERLINK("CSG17.html#group48E17", "48E¹⁷"), =HYPERLINK("CSG19.html#group24D19", "24D¹⁹"), =HYPERLINK("CSG7.html#group24M7", "24M⁷"), =HYPERLINK("CSG14.html#group60A14", "60A¹⁴"), =HYPERLINK("CSG23.html#group96O23", "96O²³"), =HYPERLINK("CSG7.html#group18E7", "18E⁷"), =HYPERLINK("CSG3.html#group12F3", "12F³"), =HYPERLINK("CSG5.html#group24A5", "24A⁵"), =HYPERLINK("CSG2.html#group12E2", "12E²"), =HYPERLINK("CSG17.html#group24I17", "24I¹⁷"), =HYPERLINK("CSG4.html#group12A4", "12A⁴"), =HYPERLINK("CSG19.html#group48AX19", "48AX¹⁹"), =HYPERLINK("CSG21.html#group48O21", "48O²¹"), =HYPERLINK("CSG8.html#group24H8", "24H⁸"), =HYPERLINK("CSG8.html#group24J8", "24J⁸"), =HYPERLINK("CSG21.html#group48AN21", "48AN²¹"), =HYPERLINK("CSG22.html#group96A22", "96A²²"), =HYPERLINK("CSG21.html#group48J21", "48J²¹"), =HYPERLINK("CSG13.html#group24O13", "24O¹³"), =HYPERLINK("CSG17.html#group24W17", "24W¹⁷"), =HYPERLINK("CSG15.html#group48F15", "48F¹⁵"), =HYPERLINK("CSG21.html#group48AK21", "48AK²¹"), =HYPERLINK("CSG22.html#group84A22", "84A²²"), =HYPERLINK("CSG22.html#group36F22", "36F²²"), =HYPERLINK("CSG23.html#group96E23", "96E²³"), =HYPERLINK("CSG10.html#group42E10", "42E¹⁰"), =HYPERLINK("CSG17.html#group24J17", "24J¹⁷"), =HYPERLINK("CSG22.html#group48B22", "48B²²"), =HYPERLINK("CSG13.html#group24K13", "24K¹³"), =HYPERLINK("CSG19.html#group48O19", "48O¹⁹"), =HYPERLINK("CSG19.html#group48M19", "48M¹⁹"), =HYPERLINK("CSG23.html#group96P23", "96P²³"), =HYPERLINK("CSG19.html#group48F19", "48F¹⁹"), =HYPERLINK("CSG21.html#group48AM21", "48AM²¹"), =HYPERLINK("CSG8.html#group48C8", "48C⁸"), =HYPERLINK("CSG16.html#group36C16", "36C¹⁶"), =HYPERLINK("CSG13.html#group18B13", "18B¹³"), =HYPERLINK("CSG9.html#group24C9", "24C⁹"), =HYPERLINK("CSG18.html#group48G18", "48G¹⁸"), =HYPERLINK("CSG7.html#group18A7", "18A⁷"), =HYPERLINK("CSG19.html#group48R19", "48R¹⁹"), =HYPERLINK("CSG7.html#group30B7", "30B⁷"), =HYPERLINK("CSG4.html#group12B4", "12B⁴"), =HYPERLINK("CSG21.html#group48S21", "48S²¹"), =HYPERLINK("CSG17.html#group72K17", "72K¹⁷"), =HYPERLINK("CSG13.html#group30C13", "30C¹³"), =HYPERLINK("CSG20.html#group84K20", "84K²⁰"), =HYPERLINK("CSG15.html#group24F15", "24F¹⁵"), =HYPERLINK("CSG21.html#group48AU21", "48AU²¹"), =HYPERLINK("CSG11.html#group48D11", "48D¹¹"), =HYPERLINK("CSG4.html#group18A4", "18A⁴"), =HYPERLINK("CSG23.html#group96D23", "96D²³"), =HYPERLINK("CSG10.html#group24B10", "24B¹⁰"), =HYPERLINK("CSG23.html#group96G23", "96G²³"), =HYPERLINK("CSG23.html#group96C23", "96C²³"), =HYPERLINK("CSG22.html#group84F22", "84F²²"), =HYPERLINK("CSG17.html#group48H17", "48H¹⁷"), =HYPERLINK("CSG22.html#group90B22", "90B²²"), =HYPERLINK("CSG23.html#group96J23", "96J²³"), =HYPERLINK("CSG19.html#group48G19", "48G¹⁹"), =HYPERLINK("CSG19.html#group30A19", "30A¹⁹"), =HYPERLINK("CSG17.html#group24H17", "24H¹⁷"), =HYPERLINK("CSG19.html#group18E19", "18E¹⁹"), =HYPERLINK("CSG19.html#group24S19", "24S¹⁹"), =HYPERLINK("CSG7.html#group24W7", "24W⁷"), =HYPERLINK("CSG9.html#group48A9", "48A⁹"), =HYPERLINK("CSG7.html#group12D7", "12D⁷"), =HYPERLINK("CSG16.html#group36B16", "36B¹⁶"), =HYPERLINK("CSG9.html#group24U9", "24U⁹"), =HYPERLINK("CSG19.html#group48B19", "48B¹⁹"), =HYPERLINK("CSG4.html#group12C4", "12C⁴"), =HYPERLINK("CSG19.html#group18A19", "18A¹⁹"), =HYPERLINK("CSG21.html#group48AP21", "48AP²¹"), =HYPERLINK("CSG21.html#group48AG21", "48AG²¹"), =HYPERLINK("CSG19.html#group48N19", "48N¹⁹"), =HYPERLINK("CSG17.html#group24C17", "24C¹⁷"), =HYPERLINK("CSG19.html#group96H19", "96H¹⁹"), =HYPERLINK("CSG4.html#group24G4", "24G⁴"), =HYPERLINK("CSG21.html#group96H21", "96H²¹"), =HYPERLINK("CSG21.html#group48AO21", "48AO²¹"), =HYPERLINK("CSG9.html#group24F9", "24F⁹"), =HYPERLINK("CSG16.html#group72G16", "72G¹⁶"), =HYPERLINK("CSG15.html#group36K15", "36K¹⁵"), =HYPERLINK("CSG10.html#group48A10", "48A¹⁰"), =HYPERLINK("CSG21.html#group96A21", "96A²¹"), =HYPERLINK("CSG19.html#group42P19", "42P¹⁹"), =HYPERLINK("CSG7.html#group24J7", "24J⁷"), =HYPERLINK("CSG3.html#group12N3", "12N³"), =HYPERLINK("CSG23.html#group96K23", "96K²³"), =HYPERLINK("CSG8.html#group36G8", "36G⁸"), =HYPERLINK("CSG20.html#group84I20", "84I²⁰"), =HYPERLINK("CSG8.html#group24I8", "24I⁸"), =HYPERLINK("CSG5.html#group24F5", "24F⁵"), =HYPERLINK("CSG20.html#group84F20", "84F²⁰"), =HYPERLINK("CSG22.html#group48A22", "48A²²"), =HYPERLINK("CSG17.html#group48J17", "48J¹⁷"), =HYPERLINK("CSG13.html#group24J13", "24J¹³"), =HYPERLINK("CSG19.html#group24I19", "24I¹⁹"), =HYPERLINK("CSG13.html#group30J13", "30J¹³"), =HYPERLINK("CSG21.html#group48F21", "48F²¹"), =HYPERLINK("CSG15.html#group36J15", "36J¹⁵"), =HYPERLINK("CSG19.html#group48AR19", "48AR¹⁹"), =HYPERLINK("CSG1.html#group6E1", "6E¹"), =HYPERLINK("CSG21.html#group48Z21", "48Z²¹"), =HYPERLINK("CSG9.html#group48E9", "48E⁹"), =HYPERLINK("CSG19.html#group24A19", "24A¹⁹"), =HYPERLINK("CSG17.html#group48K17", "48K¹⁷"), =HYPERLINK("CSG20.html#group84B20", "84B²⁰"), =HYPERLINK("CSG18.html#group48I18", "48I¹⁸"), =HYPERLINK("CSG4.html#group24D4", "24D⁴"), =HYPERLINK("CSG17.html#group24T17", "24T¹⁷"), =HYPERLINK("CSG16.html#group36A16", "36A¹⁶"), =HYPERLINK("CSG19.html#group48C19", "48C¹⁹"), =HYPERLINK("CSG23.html#group96B23", "96B²³"), =HYPERLINK("CSG16.html#group66B16", "66B¹⁶"), =HYPERLINK("CSG17.html#group48I17", "48I¹⁷"), =HYPERLINK("CSG10.html#group24D10", "24D¹⁰"), =HYPERLINK("CSG15.html#group60N15", "60N¹⁵"), =HYPERLINK("CSG15.html#group36D15", "36D¹⁵"), =HYPERLINK("CSG19.html#group24F19", "24F¹⁹"), =HYPERLINK("CSG17.html#group48BP17", "48BP¹⁷"), =HYPERLINK("CSG15.html#group24B15", "24B¹⁵"), =HYPERLINK("CSG22.html#group36E22", "36E²²"), =HYPERLINK("CSG19.html#group24E19", "24E¹⁹"), =HYPERLINK("CSG7.html#group12B7", "12B⁷"), =HYPERLINK("CSG21.html#group48AI21", "48AI²¹"), =HYPERLINK("CSG19.html#group18C19", "18C¹⁹"), =HYPERLINK("CSG9.html#group24J9", "24J⁹"), =HYPERLINK("CSG17.html#group24A17", "24A¹⁷"), =HYPERLINK("CSG9.html#group24H9", "24H⁹"), =HYPERLINK("CSG17.html#group24B17", "24B¹⁷"), =HYPERLINK("CSG9.html#group12B9", "12B⁹"), =HYPERLINK("CSG8.html#group24B8", "24B⁸"), =HYPERLINK("CSG13.html#group12B13", "12B¹³"), =HYPERLINK("CSG19.html#group48L19", "48L¹⁹"), =HYPERLINK("CSG19.html#group42L19", "42L¹⁹"), =HYPERLINK("CSG10.html#group48B10", "48B¹⁰"), =HYPERLINK("CSG17.html#group72E17", "72E¹⁷"), =HYPERLINK("CSG22.html#group36J22", "36J²²"), =HYPERLINK("CSG15.html#group60D15", "60D¹⁵"), =HYPERLINK("CSG21.html#group48E21", "48E²¹"), =HYPERLINK("CSG9.html#group24T9", "24T⁹"), =HYPERLINK("CSG9.html#group24K9", "24K⁹"), =HYPERLINK("CSG4.html#group24E4", "24E⁴"), =HYPERLINK("CSG13.html#group24P13", "24P¹³")</f>
        <v/>
      </c>
    </row>
    <row r="126">
      <c r="A126" t="inlineStr">
        <is>
          <t>6D¹</t>
        </is>
      </c>
      <c r="B126" t="inlineStr"/>
      <c r="C126" t="inlineStr">
        <is>
          <t>24</t>
        </is>
      </c>
      <c r="D126" t="inlineStr">
        <is>
          <t>1</t>
        </is>
      </c>
      <c r="E126" t="inlineStr">
        <is>
          <t>1</t>
        </is>
      </c>
      <c r="F126" t="inlineStr">
        <is>
          <t>0</t>
        </is>
      </c>
      <c r="G126" t="inlineStr">
        <is>
          <t>0</t>
        </is>
      </c>
      <c r="H126" t="inlineStr">
        <is>
          <t>6⁴</t>
        </is>
      </c>
      <c r="I126" t="n">
        <v>4</v>
      </c>
      <c r="J126" t="inlineStr">
        <is>
          <t>1¹</t>
        </is>
      </c>
      <c r="K126">
        <f>HYPERLINK("CSG0.html#group3D0", "3D⁰"), =HYPERLINK("CSG0.html#group6C0", "6C⁰"), =HYPERLINK("CSG0.html#group6E0", "6E⁰"), =HYPERLINK("CSG1.html#group6B1", "6B¹")</f>
        <v/>
      </c>
      <c r="L126">
        <f>HYPERLINK("CSG1.html#group6F1", "6F¹"), =HYPERLINK("CSG3.html#group12A3", "12A³"), =HYPERLINK("CSG3.html#group18F3", "18F³"), =HYPERLINK("CSG3.html#group18H3", "18H³"), =HYPERLINK("CSG4.html#group18E4", "18E⁴"), =HYPERLINK("CSG4.html#group18H4", "18H⁴"), =HYPERLINK("CSG5.html#group12A5", "12A⁵"), =HYPERLINK("CSG5.html#group18A5", "18A⁵"), =HYPERLINK("CSG5.html#group18B5", "18B⁵"), =HYPERLINK("CSG9.html#group30A9", "30A⁹"), =HYPERLINK("CSG9.html#group30H9", "30H⁹"), =HYPERLINK("CSG13.html#group42C13", "42C¹³"), =HYPERLINK("CSG13.html#group42G13", "42G¹³"), =HYPERLINK("CSG17.html#group30B17", "30B¹⁷"), =HYPERLINK("CSG21.html#group66A21", "66A²¹"), =HYPERLINK("CSG21.html#group66C21", "66C²¹")</f>
        <v/>
      </c>
      <c r="M126">
        <f>HYPERLINK("CSG0.html#group3B0", "3B⁰"), =HYPERLINK("CSG0.html#group2A0", "2A⁰"), =HYPERLINK("CSG0.html#group6B0", "6B⁰"), =HYPERLINK("CSG0.html#group6E0", "6E⁰"), =HYPERLINK("CSG1.html#group6B1", "6B¹"), =HYPERLINK("CSG0.html#group6C0", "6C⁰"), =HYPERLINK("CSG0.html#group3C0", "3C⁰"), =HYPERLINK("CSG0.html#group1A0", "1A⁰"), =HYPERLINK("CSG1.html#group6A1", "6A¹"), =HYPERLINK("CSG0.html#group3A0", "3A⁰"), =HYPERLINK("CSG0.html#group3D0", "3D⁰")</f>
        <v/>
      </c>
      <c r="N126">
        <f>HYPERLINK("CSG9.html#group36A9", "36A⁹"), =HYPERLINK("CSG21.html#group36B21", "36B²¹"), =HYPERLINK("CSG5.html#group12B5", "12B⁵"), =HYPERLINK("CSG5.html#group18A5", "18A⁵"), =HYPERLINK("CSG17.html#group30B17", "30B¹⁷"), =HYPERLINK("CSG21.html#group60A21", "60A²¹"), =HYPERLINK("CSG13.html#group18G13", "18G¹³"), =HYPERLINK("CSG3.html#group12N3", "12N³"), =HYPERLINK("CSG16.html#group54K16", "54K¹⁶"), =HYPERLINK("CSG5.html#group12A5", "12A⁵"), =HYPERLINK("CSG13.html#group54E13", "54E¹³"), =HYPERLINK("CSG9.html#group12A9", "12A⁹"), =HYPERLINK("CSG3.html#group18F3", "18F³"), =HYPERLINK("CSG10.html#group18K10", "18K¹⁰"), =HYPERLINK("CSG17.html#group36E17", "36E¹⁷"), =HYPERLINK("CSG22.html#group36K22", "36K²²"), =HYPERLINK("CSG13.html#group12A13", "12A¹³"), =HYPERLINK("CSG21.html#group36A21", "36A²¹"), =HYPERLINK("CSG3.html#group18H3", "18H³"), =HYPERLINK("CSG13.html#group24J13", "24J¹³"), =HYPERLINK("CSG16.html#group54H16", "54H¹⁶"), =HYPERLINK("CSG13.html#group18A13", "18A¹³"), =HYPERLINK("CSG13.html#group18E13", "18E¹³"), =HYPERLINK("CSG9.html#group30H9", "30H⁹"), =HYPERLINK("CSG4.html#group18E4", "18E⁴"), =HYPERLINK("CSG13.html#group24O13", "24O¹³"), =HYPERLINK("CSG9.html#group30A9", "30A⁹"), =HYPERLINK("CSG21.html#group66A21", "66A²¹"), =HYPERLINK("CSG17.html#group24A17", "24A¹⁷"), =HYPERLINK("CSG10.html#group36C10", "36C¹⁰"), =HYPERLINK("CSG17.html#group36C17", "36C¹⁷"), =HYPERLINK("CSG7.html#group18N7", "18N⁷"), =HYPERLINK("CSG13.html#group42C13", "42C¹³"), =HYPERLINK("CSG21.html#group36E21", "36E²¹"), =HYPERLINK("CSG21.html#group60B21", "60B²¹"), =HYPERLINK("CSG13.html#group54I13", "54I¹³"), =HYPERLINK("CSG3.html#group12A3", "12A³"), =HYPERLINK("CSG13.html#group18C13", "18C¹³"), =HYPERLINK("CSG13.html#group42G13", "42G¹³"), =HYPERLINK("CSG1.html#group6F1", "6F¹"), =HYPERLINK("CSG10.html#group18E10", "18E¹⁰"), =HYPERLINK("CSG9.html#group12B9", "12B⁹"), =HYPERLINK("CSG17.html#group36I17", "36I¹⁷"), =HYPERLINK("CSG13.html#group24B13", "24B¹³"), =HYPERLINK("CSG10.html#group18D10", "18D¹⁰"), =HYPERLINK("CSG13.html#group12B13", "12B¹³"), =HYPERLINK("CSG13.html#group24K13", "24K¹³"), =HYPERLINK("CSG16.html#group54A16", "54A¹⁶"), =HYPERLINK("CSG9.html#group36E9", "36E⁹"), =HYPERLINK("CSG13.html#group18H13", "18H¹³"), =HYPERLINK("CSG16.html#group54G16", "54G¹⁶"), =HYPERLINK("CSG21.html#group66C21", "66C²¹"), =HYPERLINK("CSG4.html#group18H4", "18H⁴"), =HYPERLINK("CSG13.html#group24A13", "24A¹³"), =HYPERLINK("CSG11.html#group36A11", "36A¹¹"), =HYPERLINK("CSG7.html#group12A7", "12A⁷"), =HYPERLINK("CSG19.html#group36H19", "36H¹⁹"), =HYPERLINK("CSG10.html#group36F10", "36F¹⁰"), =HYPERLINK("CSG13.html#group18F13", "18F¹³"), =HYPERLINK("CSG19.html#group36E19", "36E¹⁹"), =HYPERLINK("CSG19.html#group60A19", "60A¹⁹"), =HYPERLINK("CSG17.html#group30H17", "30H¹⁷"), =HYPERLINK("CSG5.html#group18B5", "18B⁵"), =HYPERLINK("CSG13.html#group18B13", "18B¹³"), =HYPERLINK("CSG13.html#group24P13", "24P¹³"), =HYPERLINK("CSG13.html#group18D13", "18D¹³"), =HYPERLINK("CSG11.html#group36B11", "36B¹¹"), =HYPERLINK("CSG17.html#group24C17", "24C¹⁷"), =HYPERLINK("CSG10.html#group18F10", "18F¹⁰")</f>
        <v/>
      </c>
    </row>
    <row r="127">
      <c r="A127" t="inlineStr">
        <is>
          <t>6E¹</t>
        </is>
      </c>
      <c r="B127" t="inlineStr"/>
      <c r="C127" t="inlineStr">
        <is>
          <t>36</t>
        </is>
      </c>
      <c r="D127" t="inlineStr">
        <is>
          <t>1</t>
        </is>
      </c>
      <c r="E127" t="inlineStr">
        <is>
          <t>3</t>
        </is>
      </c>
      <c r="F127" t="inlineStr">
        <is>
          <t>0</t>
        </is>
      </c>
      <c r="G127" t="inlineStr">
        <is>
          <t>0</t>
        </is>
      </c>
      <c r="H127" t="inlineStr">
        <is>
          <t>6⁶</t>
        </is>
      </c>
      <c r="I127" t="n">
        <v>6</v>
      </c>
      <c r="J127" t="inlineStr">
        <is>
          <t>1¹, 2¹</t>
        </is>
      </c>
      <c r="K127">
        <f>HYPERLINK("CSG0.html#group6G0", "6G⁰"), =HYPERLINK("CSG0.html#group6H0", "6H⁰"), =HYPERLINK("CSG1.html#group6B1", "6B¹"), =HYPERLINK("CSG1.html#group6C1", "6C¹")</f>
        <v/>
      </c>
      <c r="L127">
        <f>HYPERLINK("CSG1.html#group6F1", "6F¹"), =HYPERLINK("CSG3.html#group12F3", "12F³"), =HYPERLINK("CSG3.html#group12G3", "12G³"), =HYPERLINK("CSG4.html#group18N4", "18N⁴"), =HYPERLINK("CSG7.html#group18A7", "18A⁷"), =HYPERLINK("CSG7.html#group18E7", "18E⁷"), =HYPERLINK("CSG13.html#group30C13", "30C¹³"), =HYPERLINK("CSG13.html#group30J13", "30J¹³"), =HYPERLINK("CSG19.html#group42L19", "42L¹⁹"), =HYPERLINK("CSG19.html#group42P19", "42P¹⁹")</f>
        <v/>
      </c>
      <c r="M127">
        <f>HYPERLINK("CSG0.html#group2A0", "2A⁰"), =HYPERLINK("CSG0.html#group6B0", "6B⁰"), =HYPERLINK("CSG0.html#group6A0", "6A⁰"), =HYPERLINK("CSG1.html#group6B1", "6B¹"), =HYPERLINK("CSG1.html#group6C1", "6C¹"), =HYPERLINK("CSG0.html#group6G0", "6G⁰"), =HYPERLINK("CSG0.html#group3C0", "3C⁰"), =HYPERLINK("CSG0.html#group2B0", "2B⁰"), =HYPERLINK("CSG1.html#group6A1", "6A¹"), =HYPERLINK("CSG0.html#group6H0", "6H⁰"), =HYPERLINK("CSG0.html#group3A0", "3A⁰"), =HYPERLINK("CSG0.html#group1A0", "1A⁰"), =HYPERLINK("CSG0.html#group2C0", "2C⁰"), =HYPERLINK("CSG0.html#group6D0", "6D⁰")</f>
        <v/>
      </c>
      <c r="N127">
        <f>HYPERLINK("CSG21.html#group48AO21", "48AO²¹"), =HYPERLINK("CSG7.html#group24M7", "24M⁷"), =HYPERLINK("CSG15.html#group36K15", "36K¹⁵"), =HYPERLINK("CSG7.html#group18E7", "18E⁷"), =HYPERLINK("CSG3.html#group12F3", "12F³"), =HYPERLINK("CSG19.html#group42P19", "42P¹⁹"), =HYPERLINK("CSG7.html#group24J7", "24J⁷"), =HYPERLINK("CSG17.html#group24I17", "24I¹⁷"), =HYPERLINK("CSG3.html#group12N3", "12N³"), =HYPERLINK("CSG3.html#group12G3", "12G³"), =HYPERLINK("CSG17.html#group24Z17", "24Z¹⁷"), =HYPERLINK("CSG17.html#group48U17", "48U¹⁷"), =HYPERLINK("CSG4.html#group18N4", "18N⁴"), =HYPERLINK("CSG21.html#group48O21", "48O²¹"), =HYPERLINK("CSG21.html#group48Y21", "48Y²¹"), =HYPERLINK("CSG15.html#group48E15", "48E¹⁵"), =HYPERLINK("CSG13.html#group24J13", "24J¹³"), =HYPERLINK("CSG19.html#group24K19", "24K¹⁹"), =HYPERLINK("CSG13.html#group24O13", "24O¹³"), =HYPERLINK("CSG13.html#group30J13", "30J¹³"), =HYPERLINK("CSG15.html#group36J15", "36J¹⁵"), =HYPERLINK("CSG15.html#group24A15", "24A¹⁵"), =HYPERLINK("CSG15.html#group48K15", "48K¹⁵"), =HYPERLINK("CSG21.html#group48Z21", "48Z²¹"), =HYPERLINK("CSG15.html#group48F15", "48F¹⁵"), =HYPERLINK("CSG19.html#group48K19", "48K¹⁹"), =HYPERLINK("CSG7.html#group24V7", "24V⁷"), =HYPERLINK("CSG10.html#group18E10", "18E¹⁰"), =HYPERLINK("CSG17.html#group48K17", "48K¹⁷"), =HYPERLINK("CSG17.html#group24G17", "24G¹⁷"), =HYPERLINK("CSG15.html#group36C15", "36C¹⁵"), =HYPERLINK("CSG17.html#group36I17", "36I¹⁷"), =HYPERLINK("CSG17.html#group24J17", "24J¹⁷"), =HYPERLINK("CSG13.html#group24K13", "24K¹³"), =HYPERLINK("CSG15.html#group24E15", "24E¹⁵"), =HYPERLINK("CSG15.html#group24J15", "24J¹⁵"), =HYPERLINK("CSG7.html#group12A7", "12A⁷"), =HYPERLINK("CSG15.html#group24I15", "24I¹⁵"), =HYPERLINK("CSG19.html#group48F19", "48F¹⁹"), =HYPERLINK("CSG17.html#group24T17", "24T¹⁷"), =HYPERLINK("CSG19.html#group48E19", "48E¹⁹"), =HYPERLINK("CSG17.html#group24Y17", "24Y¹⁷"), =HYPERLINK("CSG13.html#group18B13", "18B¹³"), =HYPERLINK("CSG7.html#group18A7", "18A⁷"), =HYPERLINK("CSG5.html#group12B5", "12B⁵"), =HYPERLINK("CSG15.html#group36D15", "36D¹⁵"), =HYPERLINK("CSG9.html#group24G9", "24G⁹"), =HYPERLINK("CSG21.html#group48S21", "48S²¹"), =HYPERLINK("CSG19.html#group24B19", "24B¹⁹"), =HYPERLINK("CSG13.html#group30C13", "30C¹³"), =HYPERLINK("CSG15.html#group24F15", "24F¹⁵"), =HYPERLINK("CSG21.html#group48AU21", "48AU²¹"), =HYPERLINK("CSG22.html#group36K22", "36K²²"), =HYPERLINK("CSG11.html#group36M11", "36M¹¹"), =HYPERLINK("CSG13.html#group12A13", "12A¹³"), =HYPERLINK("CSG21.html#group48P21", "48P²¹"), =HYPERLINK("CSG15.html#group24B15", "24B¹⁵"), =HYPERLINK("CSG15.html#group24D15", "24D¹⁵"), =HYPERLINK("CSG7.html#group12B7", "12B⁷"), =HYPERLINK("CSG7.html#group24I7", "24I⁷"), =HYPERLINK("CSG11.html#group36N11", "36N¹¹"), =HYPERLINK("CSG19.html#group18C19", "18C¹⁹"), =HYPERLINK("CSG9.html#group24J9", "24J⁹"), =HYPERLINK("CSG17.html#group24A17", "24A¹⁷"), =HYPERLINK("CSG7.html#group18N7", "18N⁷"), =HYPERLINK("CSG21.html#group36E21", "36E²¹"), =HYPERLINK("CSG17.html#group24V17", "24V¹⁷"), =HYPERLINK("CSG9.html#group12B9", "12B⁹"), =HYPERLINK("CSG1.html#group6F1", "6F¹"), =HYPERLINK("CSG17.html#group24H17", "24H¹⁷"), =HYPERLINK("CSG19.html#group18E19", "18E¹⁹"), =HYPERLINK("CSG13.html#group12B13", "12B¹³"), =HYPERLINK("CSG19.html#group42L19", "42L¹⁹"), =HYPERLINK("CSG7.html#group24W7", "24W⁷"), =HYPERLINK("CSG7.html#group12D7", "12D⁷"), =HYPERLINK("CSG21.html#group48K21", "48K²¹"), =HYPERLINK("CSG19.html#group24C19", "24C¹⁹"), =HYPERLINK("CSG9.html#group24K9", "24K⁹"), =HYPERLINK("CSG13.html#group24P13", "24P¹³"), =HYPERLINK("CSG19.html#group18A19", "18A¹⁹"), =HYPERLINK("CSG21.html#group48AP21", "48AP²¹"), =HYPERLINK("CSG17.html#group24C17", "24C¹⁷"), =HYPERLINK("CSG17.html#group48E17", "48E¹⁷")</f>
        <v/>
      </c>
    </row>
    <row r="128">
      <c r="A128" t="inlineStr">
        <is>
          <t>6F¹</t>
        </is>
      </c>
      <c r="B128" t="inlineStr">
        <is>
          <t>Γ(6)</t>
        </is>
      </c>
      <c r="C128" t="inlineStr">
        <is>
          <t>72</t>
        </is>
      </c>
      <c r="D128" t="inlineStr">
        <is>
          <t>1</t>
        </is>
      </c>
      <c r="E128" t="inlineStr">
        <is>
          <t>1</t>
        </is>
      </c>
      <c r="F128" t="inlineStr">
        <is>
          <t>0</t>
        </is>
      </c>
      <c r="G128" t="inlineStr">
        <is>
          <t>0</t>
        </is>
      </c>
      <c r="H128" t="inlineStr">
        <is>
          <t>6¹²</t>
        </is>
      </c>
      <c r="I128" t="n">
        <v>12</v>
      </c>
      <c r="J128" t="inlineStr">
        <is>
          <t>1¹</t>
        </is>
      </c>
      <c r="K128">
        <f>HYPERLINK("CSG0.html#group6I0", "6I⁰"), =HYPERLINK("CSG0.html#group6J0", "6J⁰"), =HYPERLINK("CSG0.html#group6K0", "6K⁰"), =HYPERLINK("CSG0.html#group6L0", "6L⁰"), =HYPERLINK("CSG1.html#group6D1", "6D¹"), =HYPERLINK("CSG1.html#group6E1", "6E¹")</f>
        <v/>
      </c>
      <c r="L128">
        <f>HYPERLINK("CSG3.html#group12N3", "12N³"), =HYPERLINK("CSG5.html#group12B5", "12B⁵"), =HYPERLINK("CSG7.html#group12A7", "12A⁷"), =HYPERLINK("CSG7.html#group18N7", "18N⁷"), =HYPERLINK("CSG10.html#group18E10", "18E¹⁰"), =HYPERLINK("CSG13.html#group18B13", "18B¹³")</f>
        <v/>
      </c>
      <c r="M128">
        <f>HYPERLINK("CSG1.html#group6E1", "6E¹"), =HYPERLINK("CSG0.html#group2A0", "2A⁰"), =HYPERLINK("CSG0.html#group3B0", "3B⁰"), =HYPERLINK("CSG0.html#group6B0", "6B⁰"), =HYPERLINK("CSG0.html#group6I0", "6I⁰"), =HYPERLINK("CSG1.html#group6C1", "6C¹"), =HYPERLINK("CSG0.html#group6C0", "6C⁰"), =HYPERLINK("CSG0.html#group6G0", "6G⁰"), =HYPERLINK("CSG0.html#group2B0", "2B⁰"), =HYPERLINK("CSG0.html#group1A0", "1A⁰"), =HYPERLINK("CSG1.html#group6D1", "6D¹"), =HYPERLINK("CSG0.html#group6A0", "6A⁰"), =HYPERLINK("CSG1.html#group6B1", "6B¹"), =HYPERLINK("CSG0.html#group6L0", "6L⁰"), =HYPERLINK("CSG0.html#group6E0", "6E⁰"), =HYPERLINK("CSG0.html#group6J0", "6J⁰"), =HYPERLINK("CSG0.html#group6F0", "6F⁰"), =HYPERLINK("CSG0.html#group3C0", "3C⁰"), =HYPERLINK("CSG0.html#group6K0", "6K⁰"), =HYPERLINK("CSG1.html#group6A1", "6A¹"), =HYPERLINK("CSG0.html#group6H0", "6H⁰"), =HYPERLINK("CSG0.html#group3A0", "3A⁰"), =HYPERLINK("CSG0.html#group3D0", "3D⁰"), =HYPERLINK("CSG0.html#group2C0", "2C⁰"), =HYPERLINK("CSG0.html#group6D0", "6D⁰")</f>
        <v/>
      </c>
      <c r="N128">
        <f>HYPERLINK("CSG7.html#group18N7", "18N⁷"), =HYPERLINK("CSG21.html#group36E21", "36E²¹"), =HYPERLINK("CSG5.html#group12B5", "12B⁵"), =HYPERLINK("CSG10.html#group18E10", "18E¹⁰"), =HYPERLINK("CSG9.html#group12B9", "12B⁹"), =HYPERLINK("CSG17.html#group36I17", "36I¹⁷"), =HYPERLINK("CSG13.html#group12B13", "12B¹³"), =HYPERLINK("CSG3.html#group12N3", "12N³"), =HYPERLINK("CSG13.html#group24K13", "24K¹³"), =HYPERLINK("CSG7.html#group12A7", "12A⁷"), =HYPERLINK("CSG22.html#group36K22", "36K²²"), =HYPERLINK("CSG13.html#group12A13", "12A¹³"), =HYPERLINK("CSG13.html#group24J13", "24J¹³"), =HYPERLINK("CSG13.html#group18B13", "18B¹³"), =HYPERLINK("CSG13.html#group24O13", "24O¹³"), =HYPERLINK("CSG13.html#group24P13", "24P¹³"), =HYPERLINK("CSG17.html#group24A17", "24A¹⁷"), =HYPERLINK("CSG17.html#group24C17", "24C¹⁷")</f>
        <v/>
      </c>
    </row>
    <row r="129">
      <c r="A129" t="inlineStr">
        <is>
          <t>7A¹</t>
        </is>
      </c>
      <c r="B129" t="inlineStr"/>
      <c r="C129" t="inlineStr">
        <is>
          <t>42</t>
        </is>
      </c>
      <c r="D129" t="inlineStr">
        <is>
          <t>1</t>
        </is>
      </c>
      <c r="E129" t="inlineStr">
        <is>
          <t>21</t>
        </is>
      </c>
      <c r="F129" t="inlineStr">
        <is>
          <t>2</t>
        </is>
      </c>
      <c r="G129" t="inlineStr">
        <is>
          <t>0</t>
        </is>
      </c>
      <c r="H129" t="inlineStr">
        <is>
          <t>7⁶</t>
        </is>
      </c>
      <c r="I129" t="n">
        <v>6</v>
      </c>
      <c r="J129" t="inlineStr">
        <is>
          <t>3¹, 6³</t>
        </is>
      </c>
      <c r="K129">
        <f>HYPERLINK("CSG0.html#group7D0", "7D⁰")</f>
        <v/>
      </c>
      <c r="L129">
        <f>HYPERLINK("CSG1.html#group7C1", "7C¹"), =HYPERLINK("CSG5.html#group14A5", "14A⁵"), =HYPERLINK("CSG5.html#group14B5", "14B⁵"), =HYPERLINK("CSG5.html#group14F5", "14F⁵"), =HYPERLINK("CSG7.html#group21A7", "21A⁷"), =HYPERLINK("CSG9.html#group21A9", "21A⁹"), =HYPERLINK("CSG11.html#group28B11", "28B¹¹"), =HYPERLINK("CSG15.html#group35A15", "35A¹⁵"), =HYPERLINK("CSG15.html#group35D15", "35D¹⁵"), =HYPERLINK("CSG19.html#group49A19", "49A¹⁹")</f>
        <v/>
      </c>
      <c r="M129">
        <f>HYPERLINK("CSG0.html#group7D0", "7D⁰"), =HYPERLINK("CSG0.html#group1A0", "1A⁰"), =HYPERLINK("CSG0.html#group7A0", "7A⁰")</f>
        <v/>
      </c>
      <c r="N129">
        <f>HYPERLINK("CSG19.html#group49A19", "49A¹⁹"), =HYPERLINK("CSG19.html#group42C19", "42C¹⁹"), =HYPERLINK("CSG15.html#group21B15", "21B¹⁵"), =HYPERLINK("CSG5.html#group14B5", "14B⁵"), =HYPERLINK("CSG9.html#group14A9", "14A⁹"), =HYPERLINK("CSG23.html#group28E23", "28E²³"), =HYPERLINK("CSG15.html#group28D15", "28D¹⁵"), =HYPERLINK("CSG23.html#group14A23", "14A²³"), =HYPERLINK("CSG19.html#group42B19", "42B¹⁹"), =HYPERLINK("CSG13.html#group28C13", "28C¹³"), =HYPERLINK("CSG19.html#group42A19", "42A¹⁹"), =HYPERLINK("CSG15.html#group28C15", "28C¹⁵"), =HYPERLINK("CSG15.html#group21A15", "21A¹⁵"), =HYPERLINK("CSG13.html#group21A13", "21A¹³"), =HYPERLINK("CSG23.html#group42C23", "42C²³"), =HYPERLINK("CSG15.html#group35D15", "35D¹⁵"), =HYPERLINK("CSG17.html#group14A17", "14A¹⁷"), =HYPERLINK("CSG9.html#group21A9", "21A⁹"), =HYPERLINK("CSG17.html#group21A17", "21A¹⁷"), =HYPERLINK("CSG15.html#group35A15", "35A¹⁵"), =HYPERLINK("CSG23.html#group28B23", "28B²³"), =HYPERLINK("CSG7.html#group14B7", "14B⁷"), =HYPERLINK("CSG9.html#group14C9", "14C⁹"), =HYPERLINK("CSG21.html#group28F21", "28F²¹"), =HYPERLINK("CSG13.html#group28B13", "28B¹³"), =HYPERLINK("CSG17.html#group42A17", "42A¹⁷"), =HYPERLINK("CSG13.html#group14B13", "14B¹³"), =HYPERLINK("CSG1.html#group7C1", "7C¹"), =HYPERLINK("CSG5.html#group14F5", "14F⁵"), =HYPERLINK("CSG13.html#group14A13", "14A¹³"), =HYPERLINK("CSG3.html#group7A3", "7A³"), =HYPERLINK("CSG5.html#group14A5", "14A⁵"), =HYPERLINK("CSG19.html#group14A19", "14A¹⁹"), =HYPERLINK("CSG17.html#group42B17", "42B¹⁷"), =HYPERLINK("CSG23.html#group42D23", "42D²³"), =HYPERLINK("CSG21.html#group28A21", "28A²¹"), =HYPERLINK("CSG7.html#group21A7", "21A⁷"), =HYPERLINK("CSG23.html#group28A23", "28A²³"), =HYPERLINK("CSG11.html#group28B11", "28B¹¹")</f>
        <v/>
      </c>
    </row>
    <row r="130">
      <c r="A130" t="inlineStr">
        <is>
          <t>7B¹</t>
        </is>
      </c>
      <c r="B130" t="inlineStr"/>
      <c r="C130" t="inlineStr">
        <is>
          <t>56</t>
        </is>
      </c>
      <c r="D130" t="inlineStr">
        <is>
          <t>1</t>
        </is>
      </c>
      <c r="E130" t="inlineStr">
        <is>
          <t>28</t>
        </is>
      </c>
      <c r="F130" t="inlineStr">
        <is>
          <t>0</t>
        </is>
      </c>
      <c r="G130" t="inlineStr">
        <is>
          <t>2</t>
        </is>
      </c>
      <c r="H130" t="inlineStr">
        <is>
          <t>7⁸</t>
        </is>
      </c>
      <c r="I130" t="n">
        <v>8</v>
      </c>
      <c r="J130" t="inlineStr">
        <is>
          <t>1¹, 3¹, 6⁴</t>
        </is>
      </c>
      <c r="K130">
        <f>HYPERLINK("CSG0.html#group7B0", "7B⁰"), =HYPERLINK("CSG0.html#group7C0", "7C⁰"), =HYPERLINK("CSG0.html#group7F0", "7F⁰")</f>
        <v/>
      </c>
      <c r="L130">
        <f>HYPERLINK("CSG3.html#group7A3", "7A³"), =HYPERLINK("CSG5.html#group14E5", "14E⁵"), =HYPERLINK("CSG7.html#group14C7", "14C⁷"), =HYPERLINK("CSG10.html#group21A10", "21A¹⁰"), =HYPERLINK("CSG11.html#group21A11", "21A¹¹"), =HYPERLINK("CSG11.html#group21C11", "21C¹¹"), =HYPERLINK("CSG15.html#group28B15", "28B¹⁵"), =HYPERLINK("CSG19.html#group35A19", "35A¹⁹"), =HYPERLINK("CSG19.html#group49B19", "49B¹⁹"), =HYPERLINK("CSG21.html#group35B21", "35B²¹")</f>
        <v/>
      </c>
      <c r="M130">
        <f>HYPERLINK("CSG0.html#group7F0", "7F⁰"), =HYPERLINK("CSG0.html#group1A0", "1A⁰"), =HYPERLINK("CSG0.html#group7B0", "7B⁰"), =HYPERLINK("CSG0.html#group7C0", "7C⁰"), =HYPERLINK("CSG0.html#group7A0", "7A⁰")</f>
        <v/>
      </c>
      <c r="N130">
        <f>HYPERLINK("CSG21.html#group28E21", "28E²¹"), =HYPERLINK("CSG21.html#group21C21", "21C²¹"), =HYPERLINK("CSG17.html#group14B17", "14B¹⁷"), =HYPERLINK("CSG21.html#group21B21", "21B²¹"), =HYPERLINK("CSG17.html#group14A17", "14A¹⁷"), =HYPERLINK("CSG10.html#group21A10", "21A¹⁰"), =HYPERLINK("CSG7.html#group14C7", "14C⁷"), =HYPERLINK("CSG24.html#group42A24", "42A²⁴"), =HYPERLINK("CSG23.html#group42A23", "42A²³"), =HYPERLINK("CSG19.html#group35A19", "35A¹⁹"), =HYPERLINK("CSG3.html#group7A3", "7A³"), =HYPERLINK("CSG5.html#group14E5", "14E⁵"), =HYPERLINK("CSG15.html#group28B15", "28B¹⁵"), =HYPERLINK("CSG23.html#group42B23", "42B²³"), =HYPERLINK("CSG11.html#group21C11", "21C¹¹"), =HYPERLINK("CSG19.html#group14A19", "14A¹⁹"), =HYPERLINK("CSG11.html#group21A11", "21A¹¹"), =HYPERLINK("CSG19.html#group49B19", "49B¹⁹"), =HYPERLINK("CSG17.html#group28A17", "28A¹⁷"), =HYPERLINK("CSG21.html#group35B21", "35B²¹"), =HYPERLINK("CSG15.html#group14A15", "14A¹⁵"), =HYPERLINK("CSG13.html#group28A13", "28A¹³")</f>
        <v/>
      </c>
    </row>
    <row r="131">
      <c r="A131" t="inlineStr">
        <is>
          <t>7C¹</t>
        </is>
      </c>
      <c r="B131" t="inlineStr"/>
      <c r="C131" t="inlineStr">
        <is>
          <t>84</t>
        </is>
      </c>
      <c r="D131" t="inlineStr">
        <is>
          <t>1</t>
        </is>
      </c>
      <c r="E131" t="inlineStr">
        <is>
          <t>21</t>
        </is>
      </c>
      <c r="F131" t="inlineStr">
        <is>
          <t>4</t>
        </is>
      </c>
      <c r="G131" t="inlineStr">
        <is>
          <t>0</t>
        </is>
      </c>
      <c r="H131" t="inlineStr">
        <is>
          <t>7¹²</t>
        </is>
      </c>
      <c r="I131" t="n">
        <v>12</v>
      </c>
      <c r="J131" t="inlineStr">
        <is>
          <t>3¹, 6³</t>
        </is>
      </c>
      <c r="K131">
        <f>HYPERLINK("CSG0.html#group7F0", "7F⁰"), =HYPERLINK("CSG0.html#group7G0", "7G⁰"), =HYPERLINK("CSG1.html#group7A1", "7A¹")</f>
        <v/>
      </c>
      <c r="L131">
        <f>HYPERLINK("CSG3.html#group7A3", "7A³"), =HYPERLINK("CSG7.html#group14B7", "14B⁷"), =HYPERLINK("CSG9.html#group14A9", "14A⁹"), =HYPERLINK("CSG9.html#group14C9", "14C⁹"), =HYPERLINK("CSG13.html#group21A13", "21A¹³"), =HYPERLINK("CSG17.html#group21A17", "21A¹⁷"), =HYPERLINK("CSG21.html#group28F21", "28F²¹")</f>
        <v/>
      </c>
      <c r="M131">
        <f>HYPERLINK("CSG0.html#group7F0", "7F⁰"), =HYPERLINK("CSG0.html#group7G0", "7G⁰"), =HYPERLINK("CSG0.html#group7D0", "7D⁰"), =HYPERLINK("CSG0.html#group1A0", "1A⁰"), =HYPERLINK("CSG0.html#group7C0", "7C⁰"), =HYPERLINK("CSG0.html#group7A0", "7A⁰"), =HYPERLINK("CSG1.html#group7A1", "7A¹")</f>
        <v/>
      </c>
      <c r="N131">
        <f>HYPERLINK("CSG13.html#group21A13", "21A¹³"), =HYPERLINK("CSG23.html#group14A23", "14A²³"), =HYPERLINK("CSG7.html#group14B7", "14B⁷"), =HYPERLINK("CSG17.html#group21A17", "21A¹⁷"), =HYPERLINK("CSG17.html#group14A17", "14A¹⁷"), =HYPERLINK("CSG9.html#group14C9", "14C⁹"), =HYPERLINK("CSG19.html#group14A19", "14A¹⁹"), =HYPERLINK("CSG21.html#group28F21", "28F²¹"), =HYPERLINK("CSG21.html#group28A21", "28A²¹"), =HYPERLINK("CSG9.html#group14A9", "14A⁹"), =HYPERLINK("CSG23.html#group28E23", "28E²³"), =HYPERLINK("CSG3.html#group7A3", "7A³")</f>
        <v/>
      </c>
    </row>
    <row r="132">
      <c r="A132" t="inlineStr">
        <is>
          <t>8A¹</t>
        </is>
      </c>
      <c r="B132" t="inlineStr"/>
      <c r="C132" t="inlineStr">
        <is>
          <t>12</t>
        </is>
      </c>
      <c r="D132" t="inlineStr">
        <is>
          <t>1</t>
        </is>
      </c>
      <c r="E132" t="inlineStr">
        <is>
          <t>3</t>
        </is>
      </c>
      <c r="F132" t="inlineStr">
        <is>
          <t>0</t>
        </is>
      </c>
      <c r="G132" t="inlineStr">
        <is>
          <t>0</t>
        </is>
      </c>
      <c r="H132" t="inlineStr">
        <is>
          <t>4¹, 8¹</t>
        </is>
      </c>
      <c r="I132" t="n">
        <v>2</v>
      </c>
      <c r="J132" t="inlineStr">
        <is>
          <t>1³</t>
        </is>
      </c>
      <c r="K132">
        <f>HYPERLINK("CSG0.html#group4C0", "4C⁰")</f>
        <v/>
      </c>
      <c r="L132">
        <f>HYPERLINK("CSG1.html#group8B1", "8B¹"), =HYPERLINK("CSG1.html#group8C1", "8C¹"), =HYPERLINK("CSG2.html#group16B2", "16B²"), =HYPERLINK("CSG3.html#group24A3", "24A³"), =HYPERLINK("CSG3.html#group24C3", "24C³"), =HYPERLINK("CSG5.html#group40A5", "40A⁵"), =HYPERLINK("CSG5.html#group40C5", "40C⁵"), =HYPERLINK("CSG7.html#group56A7", "56A⁷"), =HYPERLINK("CSG7.html#group56C7", "56C⁷"), =HYPERLINK("CSG9.html#group40D9", "40D⁹"), =HYPERLINK("CSG11.html#group88A11", "88A¹¹"), =HYPERLINK("CSG11.html#group88C11", "88C¹¹"), =HYPERLINK("CSG13.html#group104B13", "104B¹³"), =HYPERLINK("CSG17.html#group136B17", "136B¹⁷"), =HYPERLINK("CSG19.html#group152B19", "152B¹⁹"), =HYPERLINK("CSG23.html#group184B23", "184B²³")</f>
        <v/>
      </c>
      <c r="M132">
        <f>HYPERLINK("CSG0.html#group1A0", "1A⁰"), =HYPERLINK("CSG0.html#group2B0", "2B⁰"), =HYPERLINK("CSG0.html#group4C0", "4C⁰")</f>
        <v/>
      </c>
      <c r="N132">
        <f>HYPERLINK("CSG10.html#group24C10", "24C¹⁰"), =HYPERLINK("CSG11.html#group16A11", "16A¹¹"), =HYPERLINK("CSG21.html#group48I21", "48I²¹"), =HYPERLINK("CSG21.html#group48AY21", "48AY²¹"), =HYPERLINK("CSG7.html#group48A7", "48A⁷"), =HYPERLINK("CSG11.html#group48T11", "48T¹¹"), =HYPERLINK("CSG11.html#group48R11", "48R¹¹"), =HYPERLINK("CSG17.html#group40X17", "40X¹⁷"), =HYPERLINK("CSG10.html#group48D10", "48D¹⁰"), =HYPERLINK("CSG19.html#group24M19", "24M¹⁹"), =HYPERLINK("CSG15.html#group64A15", "64A¹⁵"), =HYPERLINK("CSG17.html#group40J17", "40J¹⁷"), =HYPERLINK("CSG4.html#group32B4", "32B⁴"), =HYPERLINK("CSG12.html#group96B12", "96B¹²"), =HYPERLINK("CSG21.html#group48AH21", "48AH²¹"), =HYPERLINK("CSG20.html#group96B20", "96B²⁰"), =HYPERLINK("CSG20.html#group160A20", "160A²⁰"), =HYPERLINK("CSG9.html#group40A9", "40A⁹"), =HYPERLINK("CSG19.html#group48Z19", "48Z¹⁹"), =HYPERLINK("CSG21.html#group48CF21", "48CF²¹"), =HYPERLINK("CSG21.html#group80C21", "80C²¹"), =HYPERLINK("CSG13.html#group104B13", "104B¹³"), =HYPERLINK("CSG7.html#group56C7", "56C⁷"), =HYPERLINK("CSG13.html#group48S13", "48S¹³"), =HYPERLINK("CSG23.html#group96AJ23", "96AJ²³"), =HYPERLINK("CSG13.html#group48L13", "48L¹³"), =HYPERLINK("CSG21.html#group80Q21", "80Q²¹"), =HYPERLINK("CSG17.html#group40M17", "40M¹⁷"), =HYPERLINK("CSG13.html#group56J13", "56J¹³"), =HYPERLINK("CSG21.html#group48BS21", "48BS²¹"), =HYPERLINK("CSG22.html#group96B22", "96B²²"), =HYPERLINK("CSG17.html#group24AO17", "24AO¹⁷"), =HYPERLINK("CSG11.html#group48N11", "48N¹¹"), =HYPERLINK("CSG11.html#group32A11", "32A¹¹"), =HYPERLINK("CSG10.html#group24E10", "24E¹⁰"), =HYPERLINK("CSG11.html#group48I11", "48I¹¹"), =HYPERLINK("CSG17.html#group72L17", "72L¹⁷"), =HYPERLINK("CSG15.html#group96F15", "96F¹⁵"), =HYPERLINK("CSG9.html#group24S9", "24S⁹"), =HYPERLINK("CSG21.html#group32C21", "32C²¹"), =HYPERLINK("CSG11.html#group32H11", "32H¹¹"), =HYPERLINK("CSG21.html#group48BK21", "48BK²¹"), =HYPERLINK("CSG7.html#group32C7", "32C⁷"), =HYPERLINK("CSG21.html#group48AT21", "48AT²¹"), =HYPERLINK("CSG3.html#group16I3", "16I³"), =HYPERLINK("CSG13.html#group32G13", "32G¹³"), =HYPERLINK("CSG21.html#group48B21", "48B²¹"), =HYPERLINK("CSG21.html#group48CD21", "48CD²¹"), =HYPERLINK("CSG23.html#group96AA23", "96AA²³"), =HYPERLINK("CSG11.html#group48A11", "48A¹¹"), =HYPERLINK("CSG9.html#group24AI9", "24AI⁹"), =HYPERLINK("CSG7.html#group32D7", "32D⁷"), =HYPERLINK("CSG19.html#group24G19", "24G¹⁹"), =HYPERLINK("CSG21.html#group48Q21", "48Q²¹"), =HYPERLINK("CSG21.html#group48BQ21", "48BQ²¹"), =HYPERLINK("CSG17.html#group136B17", "136B¹⁷"), =HYPERLINK("CSG9.html#group16E9", "16E⁹"), =HYPERLINK("CSG13.html#group56H13", "56H¹³"), =HYPERLINK("CSG13.html#group32B13", "32B¹³"), =HYPERLINK("CSG9.html#group16D9", "16D⁹"), =HYPERLINK("CSG3.html#group24A3", "24A³"), =HYPERLINK("CSG7.html#group32G7", "32G⁷"), =HYPERLINK("CSG23.html#group96Z23", "96Z²³"), =HYPERLINK("CSG21.html#group48AV21", "48AV²¹"), =HYPERLINK("CSG21.html#group48BE21", "48BE²¹"), =HYPERLINK("CSG7.html#group32K7", "32K⁷"), =HYPERLINK("CSG21.html#group64F21", "64F²¹"), =HYPERLINK("CSG21.html#group80Z21", "80Z²¹"), =HYPERLINK("CSG7.html#group16B7", "16B⁷"), =HYPERLINK("CSG17.html#group24F17", "24F¹⁷"), =HYPERLINK("CSG19.html#group48A19", "48A¹⁹"), =HYPERLINK("CSG9.html#group40P9", "40P⁹"), =HYPERLINK("CSG20.html#group160B20", "160B²⁰"), =HYPERLINK("CSG11.html#group48P11", "48P¹¹"), =HYPERLINK("CSG11.html#group48B11", "48B¹¹"), =HYPERLINK("CSG13.html#group56E13", "56E¹³"), =HYPERLINK("CSG17.html#group72N17", "72N¹⁷"), =HYPERLINK("CSG6.html#group48C6", "48C⁶"), =HYPERLINK("CSG23.html#group96T23", "96T²³"), =HYPERLINK("CSG21.html#group48G21", "48G²¹"), =HYPERLINK("CSG13.html#group32P13", "32P¹³"), =HYPERLINK("CSG9.html#group72C9", "72C⁹"), =HYPERLINK("CSG21.html#group32R21", "32R²¹"), =HYPERLINK("CSG21.html#group48BV21", "48BV²¹"), =HYPERLINK("CSG13.html#group56K13", "56K¹³"), =HYPERLINK("CSG21.html#group48BR21", "48BR²¹"), =HYPERLINK("CSG3.html#group16E3", "16E³"), =HYPERLINK("CSG2.html#group16D2", "16D²"), =HYPERLINK("CSG19.html#group40E19", "40E¹⁹"), =HYPERLINK("CSG21.html#group72J21", "72J²¹"), =HYPERLINK("CSG17.html#group24U17", "24U¹⁷"), =HYPERLINK("CSG21.html#group80B21", "80B²¹"), =HYPERLINK("CSG21.html#group80P21", "80P²¹"), =HYPERLINK("CSG9.html#group40B9", "40B⁹"), =HYPERLINK("CSG13.html#group48D13", "48D¹³"), =HYPERLINK("CSG19.html#group40G19", "40G¹⁹"), =HYPERLINK("CSG23.html#group168B23", "168B²³"), =HYPERLINK("CSG9.html#group40F9", "40F⁹"), =HYPERLINK("CSG15.html#group96K15", "96K¹⁵"), =HYPERLINK("CSG9.html#group40J9", "40J⁹"), =HYPERLINK("CSG1.html#group8B1", "8B¹"), =HYPERLINK("CSG23.html#group96Y23", "96Y²³"), =HYPERLINK("CSG23.html#group176A23", "176A²³"), =HYPERLINK("CSG3.html#group24C3", "24C³"), =HYPERLINK("CSG17.html#group40AD17", "40AD¹⁷"), =HYPERLINK("CSG21.html#group48N21", "48N²¹"), =HYPERLINK("CSG11.html#group72D11", "72D¹¹"), =HYPERLINK("CSG12.html#group96D12", "96D¹²"), =HYPERLINK("CSG15.html#group72I15", "72I¹⁵"), =HYPERLINK("CSG21.html#group48K21", "48K²¹"), =HYPERLINK("CSG23.html#group32F23", "32F²³"), =HYPERLINK("CSG13.html#group56A13", "56A¹³"), =HYPERLINK("CSG13.html#group48A13", "48A¹³"), =HYPERLINK("CSG17.html#group72G17", "72G¹⁷"), =HYPERLINK("CSG19.html#group32A19", "32A¹⁹"), =HYPERLINK("CSG23.html#group96AH23", "96AH²³"), =HYPERLINK("CSG23.html#group96AD23", "96AD²³"), =HYPERLINK("CSG9.html#group24N9", "24N⁹"), =HYPERLINK("CSG19.html#group24L19", "24L¹⁹"), =HYPERLINK("CSG19.html#group64A19", "64A¹⁹"), =HYPERLINK("CSG9.html#group24AF9", "24AF⁹"), =HYPERLINK("CSG7.html#group48B7", "48B⁷"), =HYPERLINK("CSG9.html#group40G9", "40G⁹"), =HYPERLINK("CSG17.html#group40D17", "40D¹⁷"), =HYPERLINK("CSG19.html#group24P19", "24P¹⁹"), =HYPERLINK("CSG11.html#group48M11", "48M¹¹"), =HYPERLINK("CSG7.html#group48H7", "48H⁷"), =HYPERLINK("CSG11.html#group80D11", "80D¹¹"), =HYPERLINK("CSG9.html#group24AH9", "24AH⁹"), =HYPERLINK("CSG13.html#group32L13", "32L¹³"), =HYPERLINK("CSG21.html#group48R21", "48R²¹"), =HYPERLINK("CSG21.html#group48L21", "48L²¹"), =HYPERLINK("CSG21.html#group48BL21", "48BL²¹"), =HYPERLINK("CSG4.html#group32A4", "32A⁴"), =HYPERLINK("CSG22.html#group48D22", "48D²²"), =HYPERLINK("CSG23.html#group160C23", "160C²³"), =HYPERLINK("CSG13.html#group40A13", "40A¹³"), =HYPERLINK("CSG13.html#group32C13", "32C¹³"), =HYPERLINK("CSG17.html#group72C17", "72C¹⁷"), =HYPERLINK("CSG17.html#group24AP17", "24AP¹⁷"), =HYPERLINK("CSG13.html#group32E13", "32E¹³"), =HYPERLINK("CSG21.html#group80A21", "80A²¹"), =HYPERLINK("CSG23.html#group48A23", "48A²³"), =HYPERLINK("CSG20.html#group48A20", "48A²⁰"), =HYPERLINK("CSG23.html#group96AB23", "96AB²³"), =HYPERLINK("CSG13.html#group32F13", "32F¹³"), =HYPERLINK("CSG19.html#group80I19", "80I¹⁹"), =HYPERLINK("CSG21.html#group32D21", "32D²¹"), =HYPERLINK("CSG18.html#group144B18", "144B¹⁸"), =HYPERLINK("CSG15.html#group64L15", "64L¹⁵"), =HYPERLINK("CSG9.html#group16C9", "16C⁹"), =HYPERLINK("CSG23.html#group144A23", "144A²³"), =HYPERLINK("CSG11.html#group48J11", "48J¹¹"), =HYPERLINK("CSG5.html#group16H5", "16H⁵"), =HYPERLINK("CSG11.html#group72C11", "72C¹¹"), =HYPERLINK("CSG23.html#group168F23", "168F²³"), =HYPERLINK("CSG2.html#group8B2", "8B²"), =HYPERLINK("CSG17.html#group24Q17", "24Q¹⁷"), =HYPERLINK("CSG9.html#group40D9", "40D⁹"), =HYPERLINK("CSG5.html#group8A5", "8A⁵"), =HYPERLINK("CSG9.html#group24R9", "24R⁹"), =HYPERLINK("CSG21.html#group48AL21", "48AL²¹"), =HYPERLINK("CSG9.html#group24D9", "24D⁹"), =HYPERLINK("CSG21.html#group32F21", "32F²¹"), =HYPERLINK("CSG15.html#group64B15", "64B¹⁵"), =HYPERLINK("CSG13.html#group32H13", "32H¹³"), =HYPERLINK("CSG23.html#group96AF23", "96AF²³"), =HYPERLINK("CSG21.html#group48AJ21", "48AJ²¹"), =HYPERLINK("CSG11.html#group88A11", "88A¹¹"), =HYPERLINK("CSG21.html#group32E21", "32E²¹"), =HYPERLINK("CSG23.html#group96R23", "96R²³"), =HYPERLINK("CSG21.html#group80T21", "80T²¹"), =HYPERLINK("CSG19.html#group24Q19", "24Q¹⁹"), =HYPERLINK("CSG9.html#group24E9", "24E⁹"), =HYPERLINK("CSG21.html#group32Q21", "32Q²¹"), =HYPERLINK("CSG21.html#group144A21", "144A²¹"), =HYPERLINK("CSG23.html#group96I23", "96I²³"), =HYPERLINK("CSG21.html#group72I21", "72I²¹"), =HYPERLINK("CSG21.html#group48AQ21", "48AQ²¹"), =HYPERLINK("CSG19.html#group80S19", "80S¹⁹"), =HYPERLINK("CSG17.html#group40Y17", "40Y¹⁷"), =HYPERLINK("CSG21.html#group32B21", "32B²¹"), =HYPERLINK("CSG23.html#group176B23", "176B²³"), =HYPERLINK("CSG9.html#group24Q9", "24Q⁹"), =HYPERLINK("CSG23.html#group96W23", "96W²³"), =HYPERLINK("CSG13.html#group32T13", "32T¹³"), =HYPERLINK("CSG21.html#group48P21", "48P²¹"), =HYPERLINK("CSG19.html#group24R19", "24R¹⁹"), =HYPERLINK("CSG1.html#group8G1", "8G¹"), =HYPERLINK("CSG21.html#group48BN21", "48BN²¹"), =HYPERLINK("CSG14.html#group112C14", "112C¹⁴"), =HYPERLINK("CSG21.html#group64D21", "64D²¹"), =HYPERLINK("CSG5.html#group40A5", "40A⁵"), =HYPERLINK("CSG23.html#group144J23", "144J²³"), =HYPERLINK("CSG11.html#group16D11", "16D¹¹"), =HYPERLINK("CSG13.html#group48N13", "48N¹³"), =HYPERLINK("CSG11.html#group48F11", "48F¹¹"), =HYPERLINK("CSG17.html#group40AQ17", "40AQ¹⁷"), =HYPERLINK("CSG19.html#group80J19", "80J¹⁹"), =HYPERLINK("CSG17.html#group24V17", "24V¹⁷"), =HYPERLINK("CSG13.html#group48B13", "48B¹³"), =HYPERLINK("CSG13.html#group56B13", "56B¹³"), =HYPERLINK("CSG15.html#group64E15", "64E¹⁵"), =HYPERLINK("CSG1.html#group8K1", "8K¹"), =HYPERLINK("CSG19.html#group80A19", "80A¹⁹"), =HYPERLINK("CSG19.html#group80Q19", "80Q¹⁹"), =HYPERLINK("CSG15.html#group112E15", "112E¹⁵"), =HYPERLINK("CSG23.html#group96F23", "96F²³"), =HYPERLINK("CSG21.html#group16C21", "16C²¹"), =HYPERLINK("CSG5.html#group24I5", "24I⁵"), =HYPERLINK("CSG21.html#group144L21", "144L²¹"), =HYPERLINK("CSG5.html#group24D5", "24D⁵"), =HYPERLINK("CSG17.html#group32E17", "32E¹⁷"), =HYPERLINK("CSG5.html#group16A5", "16A⁵"), =HYPERLINK("CSG19.html#group48D19", "48D¹⁹"), =HYPERLINK("CSG21.html#group48CQ21", "48CQ²¹"), =HYPERLINK("CSG23.html#group96L23", "96L²³"), =HYPERLINK("CSG21.html#group48BJ21", "48BJ²¹"), =HYPERLINK("CSG21.html#group80S21", "80S²¹"), =HYPERLINK("CSG19.html#group24D19", "24D¹⁹"), =HYPERLINK("CSG23.html#group160B23", "160B²³"), =HYPERLINK("CSG21.html#group24I21", "24I²¹"), =HYPERLINK("CSG21.html#group16E21", "16E²¹"), =HYPERLINK("CSG7.html#group56A7", "56A⁷"), =HYPERLINK("CSG9.html#group72A9", "72A⁹"), =HYPERLINK("CSG23.html#group96O23", "96O²³"), =HYPERLINK("CSG5.html#group24A5", "24A⁵"), =HYPERLINK("CSG5.html#group40C5", "40C⁵"), =HYPERLINK("CSG23.html#group96AG23", "96AG²³"), =HYPERLINK("CSG21.html#group88B21", "88B²¹"), =HYPERLINK("CSG21.html#group88A21", "88A²¹"), =HYPERLINK("CSG17.html#group24I17", "24I¹⁷"), =HYPERLINK("CSG21.html#group88G21", "88G²¹"), =HYPERLINK("CSG21.html#group72H21", "72H²¹"), =HYPERLINK("CSG15.html#group96E15", "96E¹⁵"), =HYPERLINK("CSG17.html#group120B17", "120B¹⁷"), =HYPERLINK("CSG23.html#group144O23", "144O²³"), =HYPERLINK("CSG17.html#group16B17", "16B¹⁷"), =HYPERLINK("CSG9.html#group16F9", "16F⁹"), =HYPERLINK("CSG6.html#group48B6", "48B⁶"), =HYPERLINK("CSG21.html#group48O21", "48O²¹"), =HYPERLINK("CSG21.html#group48A21", "48A²¹"), =HYPERLINK("CSG5.html#group16O5", "16O⁵"), =HYPERLINK("CSG23.html#group96S23", "96S²³"), =HYPERLINK("CSG21.html#group48AN21", "48AN²¹"), =HYPERLINK("CSG21.html#group48J21", "48J²¹"), =HYPERLINK("CSG21.html#group72C21", "72C²¹"), =HYPERLINK("CSG23.html#group184B23", "184B²³"), =HYPERLINK("CSG17.html#group24K17", "24K¹⁷"), =HYPERLINK("CSG23.html#group144D23", "144D²³"), =HYPERLINK("CSG21.html#group80G21", "80G²¹"), =HYPERLINK("CSG21.html#group72G21", "72G²¹"), =HYPERLINK("CSG21.html#group48AK21", "48AK²¹"), =HYPERLINK("CSG17.html#group40Z17", "40Z¹⁷"), =HYPERLINK("CSG23.html#group96E23", "96E²³"), =HYPERLINK("CSG21.html#group48X21", "48X²¹"), =HYPERLINK("CSG3.html#group16B3", "16B³"), =HYPERLINK("CSG17.html#group24J17", "24J¹⁷"), =HYPERLINK("CSG21.html#group80AE21", "80AE²¹"), =HYPERLINK("CSG23.html#group144I23", "144I²³"), =HYPERLINK("CSG23.html#group96AE23", "96AE²³"), =HYPERLINK("CSG9.html#group40M9", "40M⁹"), =HYPERLINK("CSG15.html#group112A15", "112A¹⁵"), =HYPERLINK("CSG17.html#group40AC17", "40AC¹⁷"), =HYPERLINK("CSG9.html#group16G9", "16G⁹"), =HYPERLINK("CSG7.html#group48E7", "48E⁷"), =HYPERLINK("CSG23.html#group144B23", "144B²³"), =HYPERLINK("CSG23.html#group96P23", "96P²³"), =HYPERLINK("CSG1.html#group8C1", "8C¹"), =HYPERLINK("CSG21.html#group80U21", "80U²¹"), =HYPERLINK("CSG11.html#group48V11", "48V¹¹"), =HYPERLINK("CSG21.html#group48AM21", "48AM²¹"), =HYPERLINK("CSG21.html#group80Y21", "80Y²¹"), =HYPERLINK("CSG17.html#group40A17", "40A¹⁷"), =HYPERLINK("CSG9.html#group32B9", "32B⁹"), =HYPERLINK("CSG15.html#group64C15", "64C¹⁵"), =HYPERLINK("CSG9.html#group24C9", "24C⁹"), =HYPERLINK("CSG13.html#group32A13", "32A¹³"), =HYPERLINK("CSG19.html#group80B19", "80B¹⁹"), =HYPERLINK("CSG23.html#group160D23", "160D²³"), =HYPERLINK("CSG12.html#group96C12", "96C¹²"), =HYPERLINK("CSG13.html#group56D13", "56D¹³"), =HYPERLINK("CSG4.html#group16A4", "16A⁴"), =HYPERLINK("CSG6.html#group16B6", "16B⁶"), =HYPERLINK("CSG17.html#group40AB17", "40AB¹⁷"), =HYPERLINK("CSG21.html#group80J21", "80J²¹"), =HYPERLINK("CSG13.html#group48J13", "48J¹³"), =HYPERLINK("CSG19.html#group48Y19", "48Y¹⁹"), =HYPERLINK("CSG21.html#group72D21", "72D²¹"), =HYPERLINK("CSG7.html#group32E7", "32E⁷"), =HYPERLINK("CSG3.html#group16A3", "16A³"), =HYPERLINK("CSG17.html#group24AQ17", "24AQ¹⁷"), =HYPERLINK("CSG19.html#group48R19", "48R¹⁹"), =HYPERLINK("CSG21.html#group144I21", "144I²¹"), =HYPERLINK("CSG21.html#group24A21", "24A²¹"), =HYPERLINK("CSG9.html#group24M9", "24M⁹"), =HYPERLINK("CSG21.html#group32A21", "32A²¹"), =HYPERLINK("CSG21.html#group48CB21", "48CB²¹"), =HYPERLINK("CSG21.html#group48S21", "48S²¹"), =HYPERLINK("CSG1.html#group8F1", "8F¹"), =HYPERLINK("CSG17.html#group16A17", "16A¹⁷"), =HYPERLINK("CSG13.html#group48M13", "48M¹³"), =HYPERLINK("CSG21.html#group88F21", "88F²¹"), =HYPERLINK("CSG23.html#group96X23", "96X²³"), =HYPERLINK("CSG17.html#group72D17", "72D¹⁷"), =HYPERLINK("CSG11.html#group48D11", "48D¹¹"), =HYPERLINK("CSG11.html#group24G11", "24G¹¹"), =HYPERLINK("CSG17.html#group72J17", "72J¹⁷"), =HYPERLINK("CSG22.html#group48C22", "48C²²"), =HYPERLINK("CSG13.html#group56F13", "56F¹³"), =HYPERLINK("CSG23.html#group96D23", "96D²³"), =HYPERLINK("CSG11.html#group88C11", "88C¹¹"), =HYPERLINK("CSG21.html#group48BT21", "48BT²¹"), =HYPERLINK("CSG21.html#group16B21", "16B²¹"), =HYPERLINK("CSG23.html#group96G23", "96G²³"), =HYPERLINK("CSG11.html#group48AB11", "48AB¹¹"), =HYPERLINK("CSG23.html#group96C23", "96C²³"), =HYPERLINK("CSG9.html#group24AB9", "24AB⁹"), =HYPERLINK("CSG23.html#group176H23", "176H²³"), =HYPERLINK("CSG17.html#group40G17", "40G¹⁷"), =HYPERLINK("CSG23.html#group96J23", "96J²³"), =HYPERLINK("CSG19.html#group48G19", "48G¹⁹"), =HYPERLINK("CSG5.html#group24K5", "24K⁵"), =HYPERLINK("CSG4.html#group32C4", "32C⁴"), =HYPERLINK("CSG3.html#group8A3", "8A³"), =HYPERLINK("CSG19.html#group120B19", "120B¹⁹"), =HYPERLINK("CSG17.html#group24AS17", "24AS¹⁷"), =HYPERLINK("CSG17.html#group24N17", "24N¹⁷"), =HYPERLINK("CSG17.html#group24O17", "24O¹⁷"), =HYPERLINK("CSG17.html#group24AN17", "24AN¹⁷"), =HYPERLINK("CSG18.html#group144D18", "144D¹⁸"), =HYPERLINK("CSG3.html#group16H3", "16H³"), =HYPERLINK("CSG5.html#group16B5", "16B⁵"), =HYPERLINK("CSG9.html#group16B9", "16B⁹"), =HYPERLINK("CSG15.html#group96L15", "96L¹⁵"), =HYPERLINK("CSG19.html#group48B19", "48B¹⁹"), =HYPERLINK("CSG17.html#group72F17", "72F¹⁷"), =HYPERLINK("CSG17.html#group72R17", "72R¹⁷"), =HYPERLINK("CSG13.html#group16C13", "16C¹³"), =HYPERLINK("CSG23.html#group176E23", "176E²³"), =HYPERLINK("CSG15.html#group112B15", "112B¹⁵"), =HYPERLINK("CSG23.html#group144P23", "144P²³"), =HYPERLINK("CSG21.html#group48AP21", "48AP²¹"), =HYPERLINK("CSG21.html#group48AG21", "48AG²¹"), =HYPERLINK("CSG17.html#group24C17", "24C¹⁷"), =HYPERLINK("CSG11.html#group48U11", "48U¹¹"), =HYPERLINK("CSG5.html#group24B5", "24B⁵"), =HYPERLINK("CSG9.html#group24F9", "24F⁹"), =HYPERLINK("CSG21.html#group48AO21", "48AO²¹"), =HYPERLINK("CSG7.html#group32F7", "32F⁷"), =HYPERLINK("CSG5.html#group16D5", "16D⁵"), =HYPERLINK("CSG5.html#group16M5", "16M⁵"), =HYPERLINK("CSG9.html#group24AD9", "24AD⁹"), =HYPERLINK("CSG23.html#group96K23", "96K²³"), =HYPERLINK("CSG20.html#group48B20", "48B²⁰"), =HYPERLINK("CSG19.html#group48AQ19", "48AQ¹⁹"), =HYPERLINK("CSG21.html#group24D21", "24D²¹"), =HYPERLINK("CSG19.html#group56A19", "56A¹⁹"), =HYPERLINK("CSG19.html#group56C19", "56C¹⁹"), =HYPERLINK("CSG2.html#group16B2", "16B²"), =HYPERLINK("CSG21.html#group48AZ21", "48AZ²¹"), =HYPERLINK("CSG23.html#group64A23", "64A²³"), =HYPERLINK("CSG18.html#group40C18", "40C¹⁸"), =HYPERLINK("CSG13.html#group16B13", "16B¹³"), =HYPERLINK("CSG21.html#group80I21", "80I²¹"), =HYPERLINK("CSG21.html#group48F21", "48F²¹"), =HYPERLINK("CSG19.html#group48AR19", "48AR¹⁹"), =HYPERLINK("CSG21.html#group48CE21", "48CE²¹"), =HYPERLINK("CSG19.html#group24A19", "24A¹⁹"), =HYPERLINK("CSG20.html#group96A20", "96A²⁰"), =HYPERLINK("CSG22.html#group176B22", "176B²²"), =HYPERLINK("CSG21.html#group16D21", "16D²¹"), =HYPERLINK("CSG3.html#group16O3", "16O³"), =HYPERLINK("CSG9.html#group32A9", "32A⁹"), =HYPERLINK("CSG23.html#group96Q23", "96Q²³"), =HYPERLINK("CSG9.html#group24B9", "24B⁹"), =HYPERLINK("CSG11.html#group48Y11", "48Y¹¹"), =HYPERLINK("CSG19.html#group80F19", "80F¹⁹"), =HYPERLINK("CSG23.html#group96AK23", "96AK²³"), =HYPERLINK("CSG13.html#group48F13", "48F¹³"), =HYPERLINK("CSG23.html#group96AC23", "96AC²³"), =HYPERLINK("CSG13.html#group48I13", "48I¹³"), =HYPERLINK("CSG19.html#group80G19", "80G¹⁹"), =HYPERLINK("CSG5.html#group24M5", "24M⁵"), =HYPERLINK("CSG19.html#group48V19", "48V¹⁹"), =HYPERLINK("CSG9.html#group16A9", "16A⁹"), =HYPERLINK("CSG17.html#group24T17", "24T¹⁷"), =HYPERLINK("CSG21.html#group48BA21", "48BA²¹"), =HYPERLINK("CSG13.html#group32M13", "32M¹³"), =HYPERLINK("CSG10.html#group80B10", "80B¹⁰"), =HYPERLINK("CSG15.html#group120A15", "120A¹⁵"), =HYPERLINK("CSG13.html#group32D13", "32D¹³"), =HYPERLINK("CSG23.html#group144C23", "144C²³"), =HYPERLINK("CSG23.html#group96B23", "96B²³"), =HYPERLINK("CSG21.html#group48CN21", "48CN²¹"), =HYPERLINK("CSG13.html#group48E13", "48E¹³"), =HYPERLINK("CSG21.html#group24G21", "24G²¹"), =HYPERLINK("CSG17.html#group72H17", "72H¹⁷"), =HYPERLINK("CSG3.html#group8B3", "8B³"), =HYPERLINK("CSG21.html#group24F21", "24F²¹"), =HYPERLINK("CSG11.html#group80C11", "80C¹¹"), =HYPERLINK("CSG5.html#group16C5", "16C⁵"), =HYPERLINK("CSG11.html#group48O11", "48O¹¹"), =HYPERLINK("CSG9.html#group24AG9", "24AG⁹"), =HYPERLINK("CSG15.html#group112H15", "112H¹⁵"), =HYPERLINK("CSG21.html#group16A21", "16A²¹"), =HYPERLINK("CSG14.html#group112B14", "112B¹⁴"), =HYPERLINK("CSG15.html#group120B15", "120B¹⁵"), =HYPERLINK("CSG21.html#group48CP21", "48CP²¹"), =HYPERLINK("CSG17.html#group72B17", "72B¹⁷"), =HYPERLINK("CSG17.html#group32A17", "32A¹⁷"), =HYPERLINK("CSG17.html#group40AE17", "40AE¹⁷"), =HYPERLINK("CSG15.html#group64F15", "64F¹⁵"), =HYPERLINK("CSG5.html#group24E5", "24E⁵"), =HYPERLINK("CSG19.html#group24F19", "24F¹⁹"), =HYPERLINK("CSG17.html#group40F17", "40F¹⁷"), =HYPERLINK("CSG17.html#group24M17", "24M¹⁷"), =HYPERLINK("CSG21.html#group48AI21", "48AI²¹"), =HYPERLINK("CSG9.html#group24J9", "24J⁹"), =HYPERLINK("CSG21.html#group120D21", "120D²¹"), =HYPERLINK("CSG19.html#group48U19", "48U¹⁹"), =HYPERLINK("CSG17.html#group24E17", "24E¹⁷"), =HYPERLINK("CSG17.html#group72T17", "72T¹⁷"), =HYPERLINK("CSG7.html#group32L7", "32L⁷"), =HYPERLINK("CSG22.html#group96D22", "96D²²"), =HYPERLINK("CSG5.html#group24G5", "24G⁵"), =HYPERLINK("CSG11.html#group24H11", "24H¹¹"), =HYPERLINK("CSG3.html#group16D3", "16D³"), =HYPERLINK("CSG17.html#group24B17", "24B¹⁷"), =HYPERLINK("CSG17.html#group40AF17", "40AF¹⁷"), =HYPERLINK("CSG21.html#group168A21", "168A²¹"), =HYPERLINK("CSG19.html#group152B19", "152B¹⁹"), =HYPERLINK("CSG17.html#group40V17", "40V¹⁷"), =HYPERLINK("CSG23.html#group48D23", "48D²³"), =HYPERLINK("CSG17.html#group40B17", "40B¹⁷"), =HYPERLINK("CSG15.html#group64D15", "64D¹⁵"), =HYPERLINK("CSG12.html#group96A12", "96A¹²"), =HYPERLINK("CSG23.html#group160A23", "160A²³"), =HYPERLINK("CSG18.html#group80B18", "80B¹⁸"), =HYPERLINK("CSG21.html#group88D21", "88D²¹"), =HYPERLINK("CSG18.html#group144C18", "144C¹⁸"), =HYPERLINK("CSG21.html#group48E21", "48E²¹"), =HYPERLINK("CSG21.html#group80D21", "80D²¹"), =HYPERLINK("CSG13.html#group48C13", "48C¹³"), =HYPERLINK("CSG21.html#group144B21", "144B²¹"), =HYPERLINK("CSG7.html#group32B7", "32B⁷"), =HYPERLINK("CSG6.html#group32B6", "32B⁶"), =HYPERLINK("CSG10.html#group48C10", "48C¹⁰"), =HYPERLINK("CSG21.html#group48BM21", "48BM²¹"), =HYPERLINK("CSG11.html#group48S11", "48S¹¹"), =HYPERLINK("CSG15.html#group64K15", "64K¹⁵")</f>
        <v/>
      </c>
    </row>
    <row r="133">
      <c r="A133" t="inlineStr">
        <is>
          <t>8B¹</t>
        </is>
      </c>
      <c r="B133" t="inlineStr"/>
      <c r="C133" t="inlineStr">
        <is>
          <t>24</t>
        </is>
      </c>
      <c r="D133" t="inlineStr">
        <is>
          <t>1</t>
        </is>
      </c>
      <c r="E133" t="inlineStr">
        <is>
          <t>3</t>
        </is>
      </c>
      <c r="F133" t="inlineStr">
        <is>
          <t>0</t>
        </is>
      </c>
      <c r="G133" t="inlineStr">
        <is>
          <t>0</t>
        </is>
      </c>
      <c r="H133" t="inlineStr">
        <is>
          <t>4², 8²</t>
        </is>
      </c>
      <c r="I133" t="n">
        <v>4</v>
      </c>
      <c r="J133" t="inlineStr">
        <is>
          <t>1³</t>
        </is>
      </c>
      <c r="K133">
        <f>HYPERLINK("CSG0.html#group4E0", "4E⁰"), =HYPERLINK("CSG0.html#group8B0", "8B⁰"), =HYPERLINK("CSG1.html#group8A1", "8A¹")</f>
        <v/>
      </c>
      <c r="L133">
        <f>HYPERLINK("CSG1.html#group8F1", "8F¹"), =HYPERLINK("CSG1.html#group8G1", "8G¹"), =HYPERLINK("CSG3.html#group16A3", "16A³"), =HYPERLINK("CSG3.html#group16B3", "16B³"), =HYPERLINK("CSG3.html#group16D3", "16D³"), =HYPERLINK("CSG5.html#group24A5", "24A⁵"), =HYPERLINK("CSG5.html#group24I5", "24I⁵"), =HYPERLINK("CSG9.html#group40A9", "40A⁹"), =HYPERLINK("CSG9.html#group40J9", "40J⁹"), =HYPERLINK("CSG13.html#group56D13", "56D¹³"), =HYPERLINK("CSG13.html#group56H13", "56H¹³"), =HYPERLINK("CSG17.html#group40D17", "40D¹⁷"), =HYPERLINK("CSG21.html#group88A21", "88A²¹"), =HYPERLINK("CSG21.html#group88D21", "88D²¹")</f>
        <v/>
      </c>
      <c r="M133">
        <f>HYPERLINK("CSG0.html#group2A0", "2A⁰"), =HYPERLINK("CSG1.html#group8A1", "8A¹"), =HYPERLINK("CSG0.html#group4C0", "4C⁰"), =HYPERLINK("CSG0.html#group8B0", "8B⁰"), =HYPERLINK("CSG0.html#group2B0", "2B⁰"), =HYPERLINK("CSG0.html#group4E0", "4E⁰"), =HYPERLINK("CSG0.html#group4B0", "4B⁰"), =HYPERLINK("CSG0.html#group1A0", "1A⁰"), =HYPERLINK("CSG0.html#group2C0", "2C⁰")</f>
        <v/>
      </c>
      <c r="N133">
        <f>HYPERLINK("CSG11.html#group16A11", "16A¹¹"), =HYPERLINK("CSG23.html#group96O23", "96O²³"), =HYPERLINK("CSG21.html#group48I21", "48I²¹"), =HYPERLINK("CSG5.html#group24A5", "24A⁵"), =HYPERLINK("CSG17.html#group40X17", "40X¹⁷"), =HYPERLINK("CSG21.html#group88A21", "88A²¹"), =HYPERLINK("CSG15.html#group64A15", "64A¹⁵"), =HYPERLINK("CSG17.html#group24I17", "24I¹⁷"), =HYPERLINK("CSG17.html#group16B17", "16B¹⁷"), =HYPERLINK("CSG21.html#group48AH21", "48AH²¹"), =HYPERLINK("CSG9.html#group16F9", "16F⁹"), =HYPERLINK("CSG9.html#group40A9", "40A⁹"), =HYPERLINK("CSG21.html#group48O21", "48O²¹"), =HYPERLINK("CSG5.html#group16O5", "16O⁵"), =HYPERLINK("CSG21.html#group48CF21", "48CF²¹"), =HYPERLINK("CSG21.html#group48AN21", "48AN²¹"), =HYPERLINK("CSG21.html#group80C21", "80C²¹"), =HYPERLINK("CSG21.html#group48J21", "48J²¹"), =HYPERLINK("CSG21.html#group72C21", "72C²¹"), =HYPERLINK("CSG21.html#group80Q21", "80Q²¹"), =HYPERLINK("CSG11.html#group32A11", "32A¹¹"), =HYPERLINK("CSG21.html#group48BS21", "48BS²¹"), =HYPERLINK("CSG17.html#group24AO17", "24AO¹⁷"), =HYPERLINK("CSG21.html#group80G21", "80G²¹"), =HYPERLINK("CSG11.html#group48I11", "48I¹¹"), =HYPERLINK("CSG21.html#group48AK21", "48AK²¹"), =HYPERLINK("CSG23.html#group96E23", "96E²³"), =HYPERLINK("CSG3.html#group16B3", "16B³"), =HYPERLINK("CSG21.html#group32C21", "32C²¹"), =HYPERLINK("CSG9.html#group24S9", "24S⁹"), =HYPERLINK("CSG7.html#group32C7", "32C⁷"), =HYPERLINK("CSG17.html#group24J17", "24J¹⁷"), =HYPERLINK("CSG3.html#group16I3", "16I³"), =HYPERLINK("CSG13.html#group32G13", "32G¹³"), =HYPERLINK("CSG21.html#group48CD21", "48CD²¹"), =HYPERLINK("CSG9.html#group16G9", "16G⁹"), =HYPERLINK("CSG11.html#group48A11", "48A¹¹"), =HYPERLINK("CSG23.html#group96P23", "96P²³"), =HYPERLINK("CSG7.html#group32D7", "32D⁷"), =HYPERLINK("CSG21.html#group48AM21", "48AM²¹"), =HYPERLINK("CSG17.html#group40A17", "40A¹⁷"), =HYPERLINK("CSG9.html#group32B9", "32B⁹"), =HYPERLINK("CSG15.html#group64C15", "64C¹⁵"), =HYPERLINK("CSG21.html#group48Q21", "48Q²¹"), =HYPERLINK("CSG19.html#group80B19", "80B¹⁹"), =HYPERLINK("CSG9.html#group24C9", "24C⁹"), =HYPERLINK("CSG21.html#group48BQ21", "48BQ²¹"), =HYPERLINK("CSG19.html#group24G19", "24G¹⁹"), =HYPERLINK("CSG13.html#group32A13", "32A¹³"), =HYPERLINK("CSG13.html#group56H13", "56H¹³"), =HYPERLINK("CSG9.html#group16E9", "16E⁹"), =HYPERLINK("CSG13.html#group56D13", "56D¹³"), =HYPERLINK("CSG9.html#group16D9", "16D⁹"), =HYPERLINK("CSG13.html#group32B13", "32B¹³"), =HYPERLINK("CSG7.html#group32G7", "32G⁷"), =HYPERLINK("CSG13.html#group48J13", "48J¹³"), =HYPERLINK("CSG21.html#group64F21", "64F²¹"), =HYPERLINK("CSG21.html#group72D21", "72D²¹"), =HYPERLINK("CSG7.html#group32E7", "32E⁷"), =HYPERLINK("CSG3.html#group16A3", "16A³"), =HYPERLINK("CSG17.html#group24AQ17", "24AQ¹⁷"), =HYPERLINK("CSG19.html#group48R19", "48R¹⁹"), =HYPERLINK("CSG21.html#group24A21", "24A²¹"), =HYPERLINK("CSG21.html#group32A21", "32A²¹"), =HYPERLINK("CSG7.html#group16B7", "16B⁷"), =HYPERLINK("CSG21.html#group48CB21", "48CB²¹"), =HYPERLINK("CSG21.html#group48S21", "48S²¹"), =HYPERLINK("CSG1.html#group8F1", "8F¹"), =HYPERLINK("CSG17.html#group24F17", "24F¹⁷"), =HYPERLINK("CSG17.html#group16A17", "16A¹⁷"), =HYPERLINK("CSG19.html#group48A19", "48A¹⁹"), =HYPERLINK("CSG11.html#group48B11", "48B¹¹"), =HYPERLINK("CSG17.html#group72N17", "72N¹⁷"), =HYPERLINK("CSG11.html#group48D11", "48D¹¹"), =HYPERLINK("CSG23.html#group96D23", "96D²³"), =HYPERLINK("CSG21.html#group32R21", "32R²¹"), =HYPERLINK("CSG21.html#group16B21", "16B²¹"), =HYPERLINK("CSG23.html#group96G23", "96G²³"), =HYPERLINK("CSG23.html#group96C23", "96C²³"), =HYPERLINK("CSG21.html#group48BR21", "48BR²¹"), =HYPERLINK("CSG9.html#group24AB9", "24AB⁹"), =HYPERLINK("CSG17.html#group40G17", "40G¹⁷"), =HYPERLINK("CSG23.html#group96J23", "96J²³"), =HYPERLINK("CSG17.html#group24U17", "24U¹⁷"), =HYPERLINK("CSG19.html#group48G19", "48G¹⁹"), =HYPERLINK("CSG21.html#group80P21", "80P²¹"), =HYPERLINK("CSG3.html#group8A3", "8A³"), =HYPERLINK("CSG13.html#group48D13", "48D¹³"), =HYPERLINK("CSG9.html#group40J9", "40J⁹"), =HYPERLINK("CSG17.html#group24AS17", "24AS¹⁷"), =HYPERLINK("CSG17.html#group24AN17", "24AN¹⁷"), =HYPERLINK("CSG3.html#group16H3", "16H³"), =HYPERLINK("CSG17.html#group40AD17", "40AD¹⁷"), =HYPERLINK("CSG21.html#group48N21", "48N²¹"), =HYPERLINK("CSG5.html#group16B5", "16B⁵"), =HYPERLINK("CSG9.html#group16B9", "16B⁹"), =HYPERLINK("CSG19.html#group48B19", "48B¹⁹"), =HYPERLINK("CSG21.html#group48K21", "48K²¹"), =HYPERLINK("CSG13.html#group48A13", "48A¹³"), =HYPERLINK("CSG13.html#group16C13", "16C¹³"), =HYPERLINK("CSG21.html#group48AP21", "48AP²¹"), =HYPERLINK("CSG21.html#group48AG21", "48AG²¹"), =HYPERLINK("CSG17.html#group24C17", "24C¹⁷"), =HYPERLINK("CSG19.html#group64A19", "64A¹⁹"), =HYPERLINK("CSG9.html#group24AF9", "24AF⁹"), =HYPERLINK("CSG17.html#group40D17", "40D¹⁷"), =HYPERLINK("CSG9.html#group24F9", "24F⁹"), =HYPERLINK("CSG21.html#group48AO21", "48AO²¹"), =HYPERLINK("CSG11.html#group48M11", "48M¹¹"), =HYPERLINK("CSG7.html#group32F7", "32F⁷"), =HYPERLINK("CSG5.html#group16D5", "16D⁵"), =HYPERLINK("CSG5.html#group16M5", "16M⁵"), =HYPERLINK("CSG9.html#group24AH9", "24AH⁹"), =HYPERLINK("CSG13.html#group32L13", "32L¹³"), =HYPERLINK("CSG9.html#group24AD9", "24AD⁹"), =HYPERLINK("CSG23.html#group96K23", "96K²³"), =HYPERLINK("CSG21.html#group48R21", "48R²¹"), =HYPERLINK("CSG21.html#group48L21", "48L²¹"), =HYPERLINK("CSG13.html#group32C13", "32C¹³"), =HYPERLINK("CSG21.html#group24D21", "24D²¹"), =HYPERLINK("CSG17.html#group72C17", "72C¹⁷"), =HYPERLINK("CSG17.html#group24AP17", "24AP¹⁷"), =HYPERLINK("CSG13.html#group32E13", "32E¹³"), =HYPERLINK("CSG13.html#group16B13", "16B¹³"), =HYPERLINK("CSG21.html#group80I21", "80I²¹"), =HYPERLINK("CSG21.html#group48F21", "48F²¹"), =HYPERLINK("CSG13.html#group32F13", "32F¹³"), =HYPERLINK("CSG19.html#group48AR19", "48AR¹⁹"), =HYPERLINK("CSG21.html#group48CE21", "48CE²¹"), =HYPERLINK("CSG9.html#group16C9", "16C⁹"), =HYPERLINK("CSG19.html#group24A19", "24A¹⁹"), =HYPERLINK("CSG21.html#group16D21", "16D²¹"), =HYPERLINK("CSG3.html#group16O3", "16O³"), =HYPERLINK("CSG9.html#group32A9", "32A⁹"), =HYPERLINK("CSG17.html#group24Q17", "24Q¹⁷"), =HYPERLINK("CSG19.html#group80F19", "80F¹⁹"), =HYPERLINK("CSG5.html#group8A5", "8A⁵"), =HYPERLINK("CSG21.html#group48AL21", "48AL²¹"), =HYPERLINK("CSG13.html#group48I13", "48I¹³"), =HYPERLINK("CSG21.html#group32F21", "32F²¹"), =HYPERLINK("CSG15.html#group64B15", "64B¹⁵"), =HYPERLINK("CSG9.html#group24D9", "24D⁹"), =HYPERLINK("CSG13.html#group32H13", "32H¹³"), =HYPERLINK("CSG21.html#group48AJ21", "48AJ²¹"), =HYPERLINK("CSG9.html#group16A9", "16A⁹"), =HYPERLINK("CSG13.html#group32M13", "32M¹³"), =HYPERLINK("CSG17.html#group24T17", "24T¹⁷"), =HYPERLINK("CSG21.html#group32E21", "32E²¹"), =HYPERLINK("CSG13.html#group32D13", "32D¹³"), =HYPERLINK("CSG23.html#group96B23", "96B²³"), =HYPERLINK("CSG21.html#group24G21", "24G²¹"), =HYPERLINK("CSG21.html#group32Q21", "32Q²¹"), =HYPERLINK("CSG23.html#group96I23", "96I²³"), =HYPERLINK("CSG3.html#group8B3", "8B³"), =HYPERLINK("CSG21.html#group24F21", "24F²¹"), =HYPERLINK("CSG5.html#group16C5", "16C⁵"), =HYPERLINK("CSG9.html#group24AG9", "24AG⁹"), =HYPERLINK("CSG21.html#group16A21", "16A²¹"), =HYPERLINK("CSG21.html#group48CP21", "48CP²¹"), =HYPERLINK("CSG17.html#group40AE17", "40AE¹⁷"), =HYPERLINK("CSG17.html#group32A17", "32A¹⁷"), =HYPERLINK("CSG17.html#group40Y17", "40Y¹⁷"), =HYPERLINK("CSG15.html#group64F15", "64F¹⁵"), =HYPERLINK("CSG19.html#group24F19", "24F¹⁹"), =HYPERLINK("CSG21.html#group32B21", "32B²¹"), =HYPERLINK("CSG13.html#group32T13", "32T¹³"), =HYPERLINK("CSG21.html#group48P21", "48P²¹"), =HYPERLINK("CSG1.html#group8G1", "8G¹"), =HYPERLINK("CSG21.html#group48AI21", "48AI²¹"), =HYPERLINK("CSG9.html#group24J9", "24J⁹"), =HYPERLINK("CSG21.html#group64D21", "64D²¹"), =HYPERLINK("CSG7.html#group32L7", "32L⁷"), =HYPERLINK("CSG11.html#group48F11", "48F¹¹"), =HYPERLINK("CSG3.html#group16D3", "16D³"), =HYPERLINK("CSG17.html#group24V17", "24V¹⁷"), =HYPERLINK("CSG13.html#group48B13", "48B¹³"), =HYPERLINK("CSG17.html#group24B17", "24B¹⁷"), =HYPERLINK("CSG15.html#group64E15", "64E¹⁵"), =HYPERLINK("CSG19.html#group80A19", "80A¹⁹"), =HYPERLINK("CSG1.html#group8K1", "8K¹"), =HYPERLINK("CSG17.html#group40V17", "40V¹⁷"), =HYPERLINK("CSG15.html#group64D15", "64D¹⁵"), =HYPERLINK("CSG23.html#group96F23", "96F²³"), =HYPERLINK("CSG21.html#group16C21", "16C²¹"), =HYPERLINK("CSG5.html#group24I5", "24I⁵"), =HYPERLINK("CSG17.html#group32E17", "32E¹⁷"), =HYPERLINK("CSG21.html#group88D21", "88D²¹"), =HYPERLINK("CSG5.html#group16A5", "16A⁵"), =HYPERLINK("CSG21.html#group48E21", "48E²¹"), =HYPERLINK("CSG19.html#group48D19", "48D¹⁹"), =HYPERLINK("CSG13.html#group48C13", "48C¹³"), =HYPERLINK("CSG21.html#group48CQ21", "48CQ²¹"), =HYPERLINK("CSG21.html#group80D21", "80D²¹"), =HYPERLINK("CSG7.html#group32B7", "32B⁷"), =HYPERLINK("CSG19.html#group32A19", "32A¹⁹"), =HYPERLINK("CSG21.html#group32D21", "32D²¹"), =HYPERLINK("CSG23.html#group96L23", "96L²³"), =HYPERLINK("CSG19.html#group24D19", "24D¹⁹"), =HYPERLINK("CSG21.html#group16E21", "16E²¹")</f>
        <v/>
      </c>
    </row>
    <row r="134">
      <c r="A134" t="inlineStr">
        <is>
          <t>8C¹</t>
        </is>
      </c>
      <c r="B134" t="inlineStr"/>
      <c r="C134" t="inlineStr">
        <is>
          <t>24</t>
        </is>
      </c>
      <c r="D134" t="inlineStr">
        <is>
          <t>1</t>
        </is>
      </c>
      <c r="E134" t="inlineStr">
        <is>
          <t>6</t>
        </is>
      </c>
      <c r="F134" t="inlineStr">
        <is>
          <t>0</t>
        </is>
      </c>
      <c r="G134" t="inlineStr">
        <is>
          <t>0</t>
        </is>
      </c>
      <c r="H134" t="inlineStr">
        <is>
          <t>4², 8²</t>
        </is>
      </c>
      <c r="I134" t="n">
        <v>4</v>
      </c>
      <c r="J134" t="inlineStr">
        <is>
          <t>1², 2²</t>
        </is>
      </c>
      <c r="K134">
        <f>HYPERLINK("CSG0.html#group4F0", "4F⁰"), =HYPERLINK("CSG0.html#group8D0", "8D⁰"), =HYPERLINK("CSG1.html#group8A1", "8A¹")</f>
        <v/>
      </c>
      <c r="L134">
        <f>HYPERLINK("CSG1.html#group8F1", "8F¹"), =HYPERLINK("CSG2.html#group8B2", "8B²"), =HYPERLINK("CSG2.html#group16D2", "16D²"), =HYPERLINK("CSG3.html#group16E3", "16E³"), =HYPERLINK("CSG5.html#group24B5", "24B⁵"), =HYPERLINK("CSG5.html#group24K5", "24K⁵"), =HYPERLINK("CSG9.html#group40B9", "40B⁹"), =HYPERLINK("CSG9.html#group40P9", "40P⁹"), =HYPERLINK("CSG13.html#group56F13", "56F¹³"), =HYPERLINK("CSG13.html#group56J13", "56J¹³"), =HYPERLINK("CSG17.html#group40M17", "40M¹⁷"), =HYPERLINK("CSG21.html#group88B21", "88B²¹"), =HYPERLINK("CSG21.html#group88F21", "88F²¹")</f>
        <v/>
      </c>
      <c r="M134">
        <f>HYPERLINK("CSG1.html#group8A1", "8A¹"), =HYPERLINK("CSG0.html#group8D0", "8D⁰"), =HYPERLINK("CSG0.html#group4A0", "4A⁰"), =HYPERLINK("CSG0.html#group4C0", "4C⁰"), =HYPERLINK("CSG0.html#group2B0", "2B⁰"), =HYPERLINK("CSG0.html#group4F0", "4F⁰"), =HYPERLINK("CSG0.html#group1A0", "1A⁰")</f>
        <v/>
      </c>
      <c r="N134">
        <f>HYPERLINK("CSG10.html#group24C10", "24C¹⁰"), =HYPERLINK("CSG11.html#group16A11", "16A¹¹"), =HYPERLINK("CSG21.html#group48AY21", "48AY²¹"), =HYPERLINK("CSG21.html#group88B21", "88B²¹"), =HYPERLINK("CSG17.html#group40X17", "40X¹⁷"), =HYPERLINK("CSG10.html#group48D10", "48D¹⁰"), =HYPERLINK("CSG19.html#group24M19", "24M¹⁹"), =HYPERLINK("CSG21.html#group72H21", "72H²¹"), =HYPERLINK("CSG17.html#group16B17", "16B¹⁷"), =HYPERLINK("CSG20.html#group96B20", "96B²⁰"), =HYPERLINK("CSG19.html#group48Z19", "48Z¹⁹"), =HYPERLINK("CSG5.html#group16O5", "16O⁵"), =HYPERLINK("CSG21.html#group48CF21", "48CF²¹"), =HYPERLINK("CSG23.html#group96AJ23", "96AJ²³"), =HYPERLINK("CSG17.html#group40M17", "40M¹⁷"), =HYPERLINK("CSG13.html#group56J13", "56J¹³"), =HYPERLINK("CSG11.html#group32A11", "32A¹¹"), =HYPERLINK("CSG13.html#group48L13", "48L¹³"), =HYPERLINK("CSG22.html#group96B22", "96B²²"), =HYPERLINK("CSG17.html#group24AO17", "24AO¹⁷"), =HYPERLINK("CSG21.html#group72G21", "72G²¹"), =HYPERLINK("CSG10.html#group24E10", "24E¹⁰"), =HYPERLINK("CSG17.html#group40Z17", "40Z¹⁷"), =HYPERLINK("CSG21.html#group32C21", "32C²¹"), =HYPERLINK("CSG11.html#group32H11", "32H¹¹"), =HYPERLINK("CSG17.html#group24J17", "24J¹⁷"), =HYPERLINK("CSG21.html#group48AT21", "48AT²¹"), =HYPERLINK("CSG3.html#group16I3", "16I³"), =HYPERLINK("CSG21.html#group48CD21", "48CD²¹"), =HYPERLINK("CSG9.html#group24AI9", "24AI⁹"), =HYPERLINK("CSG17.html#group40A17", "40A¹⁷"), =HYPERLINK("CSG9.html#group32B9", "32B⁹"), =HYPERLINK("CSG19.html#group24G19", "24G¹⁹"), =HYPERLINK("CSG21.html#group48Q21", "48Q²¹"), =HYPERLINK("CSG9.html#group24C9", "24C⁹"), =HYPERLINK("CSG13.html#group32A13", "32A¹³"), =HYPERLINK("CSG9.html#group16E9", "16E⁹"), =HYPERLINK("CSG13.html#group32B13", "32B¹³"), =HYPERLINK("CSG9.html#group16D9", "16D⁹"), =HYPERLINK("CSG4.html#group16A4", "16A⁴"), =HYPERLINK("CSG6.html#group16B6", "16B⁶"), =HYPERLINK("CSG17.html#group40AB17", "40AB¹⁷"), =HYPERLINK("CSG19.html#group48Y19", "48Y¹⁹"), =HYPERLINK("CSG21.html#group64F21", "64F²¹"), =HYPERLINK("CSG7.html#group32K7", "32K⁷"), =HYPERLINK("CSG7.html#group16B7", "16B⁷"), =HYPERLINK("CSG21.html#group32A21", "32A²¹"), =HYPERLINK("CSG21.html#group24A21", "24A²¹"), =HYPERLINK("CSG21.html#group48CB21", "48CB²¹"), =HYPERLINK("CSG1.html#group8F1", "8F¹"), =HYPERLINK("CSG17.html#group24F17", "24F¹⁷"), =HYPERLINK("CSG9.html#group40P9", "40P⁹"), =HYPERLINK("CSG17.html#group16A17", "16A¹⁷"), =HYPERLINK("CSG19.html#group48A19", "48A¹⁹"), =HYPERLINK("CSG21.html#group88F21", "88F²¹"), =HYPERLINK("CSG11.html#group24G11", "24G¹¹"), =HYPERLINK("CSG13.html#group56F13", "56F¹³"), =HYPERLINK("CSG13.html#group32P13", "32P¹³"), =HYPERLINK("CSG22.html#group48C22", "48C²²"), =HYPERLINK("CSG21.html#group16B21", "16B²¹"), =HYPERLINK("CSG21.html#group48BV21", "48BV²¹"), =HYPERLINK("CSG11.html#group48AB11", "48AB¹¹"), =HYPERLINK("CSG3.html#group16E3", "16E³"), =HYPERLINK("CSG2.html#group16D2", "16D²"), =HYPERLINK("CSG19.html#group40E19", "40E¹⁹"), =HYPERLINK("CSG19.html#group48G19", "48G¹⁹"), =HYPERLINK("CSG5.html#group24K5", "24K⁵"), =HYPERLINK("CSG4.html#group32C4", "32C⁴"), =HYPERLINK("CSG3.html#group8A3", "8A³"), =HYPERLINK("CSG9.html#group40B9", "40B⁹"), =HYPERLINK("CSG19.html#group40G19", "40G¹⁹"), =HYPERLINK("CSG17.html#group24N17", "24N¹⁷"), =HYPERLINK("CSG17.html#group24AN17", "24AN¹⁷"), =HYPERLINK("CSG3.html#group16H3", "16H³"), =HYPERLINK("CSG5.html#group16B5", "16B⁵"), =HYPERLINK("CSG9.html#group16B9", "16B⁹"), =HYPERLINK("CSG19.html#group48B19", "48B¹⁹"), =HYPERLINK("CSG23.html#group32F23", "32F²³"), =HYPERLINK("CSG17.html#group72F17", "72F¹⁷"), =HYPERLINK("CSG17.html#group72R17", "72R¹⁷"), =HYPERLINK("CSG13.html#group16C13", "16C¹³"), =HYPERLINK("CSG19.html#group24L19", "24L¹⁹"), =HYPERLINK("CSG23.html#group96AD23", "96AD²³"), =HYPERLINK("CSG19.html#group64A19", "64A¹⁹"), =HYPERLINK("CSG9.html#group24AF9", "24AF⁹"), =HYPERLINK("CSG5.html#group24B5", "24B⁵"), =HYPERLINK("CSG19.html#group24P19", "24P¹⁹"), =HYPERLINK("CSG5.html#group16M5", "16M⁵"), =HYPERLINK("CSG21.html#group48L21", "48L²¹"), =HYPERLINK("CSG20.html#group48B20", "48B²⁰"), =HYPERLINK("CSG21.html#group48BL21", "48BL²¹"), =HYPERLINK("CSG22.html#group48D22", "48D²²"), =HYPERLINK("CSG13.html#group32C13", "32C¹³"), =HYPERLINK("CSG21.html#group24D21", "24D²¹"), =HYPERLINK("CSG18.html#group40C18", "40C¹⁸"), =HYPERLINK("CSG23.html#group64A23", "64A²³"), =HYPERLINK("CSG17.html#group24AP17", "24AP¹⁷"), =HYPERLINK("CSG21.html#group48AZ21", "48AZ²¹"), =HYPERLINK("CSG13.html#group16B13", "16B¹³"), =HYPERLINK("CSG23.html#group48A23", "48A²³"), =HYPERLINK("CSG20.html#group48A20", "48A²⁰"), =HYPERLINK("CSG21.html#group48F21", "48F²¹"), =HYPERLINK("CSG13.html#group32F13", "32F¹³"), =HYPERLINK("CSG21.html#group32D21", "32D²¹"), =HYPERLINK("CSG15.html#group64L15", "64L¹⁵"), =HYPERLINK("CSG21.html#group48CE21", "48CE²¹"), =HYPERLINK("CSG9.html#group16C9", "16C⁹"), =HYPERLINK("CSG20.html#group96A20", "96A²⁰"), =HYPERLINK("CSG19.html#group24A19", "24A¹⁹"), =HYPERLINK("CSG11.html#group48J11", "48J¹¹"), =HYPERLINK("CSG5.html#group16H5", "16H⁵"), =HYPERLINK("CSG21.html#group16D21", "16D²¹"), =HYPERLINK("CSG9.html#group32A9", "32A⁹"), =HYPERLINK("CSG2.html#group8B2", "8B²"), =HYPERLINK("CSG11.html#group48Y11", "48Y¹¹"), =HYPERLINK("CSG23.html#group96AK23", "96AK²³"), =HYPERLINK("CSG5.html#group8A5", "8A⁵"), =HYPERLINK("CSG9.html#group24R9", "24R⁹"), =HYPERLINK("CSG13.html#group48F13", "48F¹³"), =HYPERLINK("CSG23.html#group96AC23", "96AC²³"), =HYPERLINK("CSG21.html#group32F21", "32F²¹"), =HYPERLINK("CSG19.html#group80G19", "80G¹⁹"), =HYPERLINK("CSG19.html#group48V19", "48V¹⁹"), =HYPERLINK("CSG9.html#group16A9", "16A⁹"), =HYPERLINK("CSG21.html#group32E21", "32E²¹"), =HYPERLINK("CSG21.html#group48BA21", "48BA²¹"), =HYPERLINK("CSG21.html#group80T21", "80T²¹"), =HYPERLINK("CSG19.html#group24Q19", "24Q¹⁹"), =HYPERLINK("CSG21.html#group48CN21", "48CN²¹"), =HYPERLINK("CSG13.html#group48E13", "48E¹³"), =HYPERLINK("CSG21.html#group24G21", "24G²¹"), =HYPERLINK("CSG3.html#group8B3", "8B³"), =HYPERLINK("CSG21.html#group24F21", "24F²¹"), =HYPERLINK("CSG11.html#group48O11", "48O¹¹"), =HYPERLINK("CSG19.html#group80S19", "80S¹⁹"), =HYPERLINK("CSG21.html#group48AQ21", "48AQ²¹"), =HYPERLINK("CSG21.html#group16A21", "16A²¹"), =HYPERLINK("CSG17.html#group32A17", "32A¹⁷"), =HYPERLINK("CSG21.html#group32B21", "32B²¹"), =HYPERLINK("CSG19.html#group24F19", "24F¹⁹"), =HYPERLINK("CSG9.html#group24Q9", "24Q⁹"), =HYPERLINK("CSG13.html#group32T13", "32T¹³"), =HYPERLINK("CSG21.html#group48BN21", "48BN²¹"), =HYPERLINK("CSG10.html#group48C10", "48C¹⁰"), =HYPERLINK("CSG21.html#group64D21", "64D²¹"), =HYPERLINK("CSG19.html#group48U19", "48U¹⁹"), =HYPERLINK("CSG17.html#group24E17", "24E¹⁷"), =HYPERLINK("CSG7.html#group32L7", "32L⁷"), =HYPERLINK("CSG22.html#group96D22", "96D²²"), =HYPERLINK("CSG11.html#group16D11", "16D¹¹"), =HYPERLINK("CSG11.html#group24H11", "24H¹¹"), =HYPERLINK("CSG17.html#group24B17", "24B¹⁷"), =HYPERLINK("CSG1.html#group8K1", "8K¹"), =HYPERLINK("CSG23.html#group48D23", "48D²³"), =HYPERLINK("CSG19.html#group80Q19", "80Q¹⁹"), =HYPERLINK("CSG21.html#group16C21", "16C²¹"), =HYPERLINK("CSG18.html#group80B18", "80B¹⁸"), =HYPERLINK("CSG17.html#group32E17", "32E¹⁷"), =HYPERLINK("CSG5.html#group16A5", "16A⁵"), =HYPERLINK("CSG21.html#group48E21", "48E²¹"), =HYPERLINK("CSG19.html#group48D19", "48D¹⁹"), =HYPERLINK("CSG6.html#group32B6", "32B⁶"), =HYPERLINK("CSG19.html#group32A19", "32A¹⁹"), =HYPERLINK("CSG21.html#group48BM21", "48BM²¹"), =HYPERLINK("CSG21.html#group80S21", "80S²¹"), =HYPERLINK("CSG15.html#group64K15", "64K¹⁵"), =HYPERLINK("CSG19.html#group24D19", "24D¹⁹"), =HYPERLINK("CSG21.html#group16E21", "16E²¹"), =HYPERLINK("CSG21.html#group24I21", "24I²¹")</f>
        <v/>
      </c>
    </row>
    <row r="135">
      <c r="A135" t="inlineStr">
        <is>
          <t>8D¹</t>
        </is>
      </c>
      <c r="B135" t="inlineStr"/>
      <c r="C135" t="inlineStr">
        <is>
          <t>24</t>
        </is>
      </c>
      <c r="D135" t="inlineStr">
        <is>
          <t>1</t>
        </is>
      </c>
      <c r="E135" t="inlineStr">
        <is>
          <t>12</t>
        </is>
      </c>
      <c r="F135" t="inlineStr">
        <is>
          <t>2</t>
        </is>
      </c>
      <c r="G135" t="inlineStr">
        <is>
          <t>0</t>
        </is>
      </c>
      <c r="H135" t="inlineStr">
        <is>
          <t>8³</t>
        </is>
      </c>
      <c r="I135" t="n">
        <v>3</v>
      </c>
      <c r="J135" t="inlineStr">
        <is>
          <t>2², 4²</t>
        </is>
      </c>
      <c r="K135">
        <f>HYPERLINK("CSG0.html#group4F0", "4F⁰"), =HYPERLINK("CSG0.html#group8A0", "8A⁰")</f>
        <v/>
      </c>
      <c r="L135">
        <f>HYPERLINK("CSG1.html#group8H1", "8H¹"), =HYPERLINK("CSG2.html#group8A2", "8A²"), =HYPERLINK("CSG2.html#group8B2", "8B²"), =HYPERLINK("CSG3.html#group16G3", "16G³"), =HYPERLINK("CSG4.html#group24H4", "24H⁴"), =HYPERLINK("CSG6.html#group24B6", "24B⁶"), =HYPERLINK("CSG9.html#group40E9", "40E⁹"), =HYPERLINK("CSG9.html#group40R9", "40R⁹"), =HYPERLINK("CSG12.html#group56K12", "56K¹²"), =HYPERLINK("CSG14.html#group56A14", "56A¹⁴"), =HYPERLINK("CSG17.html#group40Q17", "40Q¹⁷"), =HYPERLINK("CSG20.html#group88D20", "88D²⁰"), =HYPERLINK("CSG22.html#group88A22", "88A²²")</f>
        <v/>
      </c>
      <c r="M135">
        <f>HYPERLINK("CSG0.html#group4A0", "4A⁰"), =HYPERLINK("CSG0.html#group4C0", "4C⁰"), =HYPERLINK("CSG0.html#group8A0", "8A⁰"), =HYPERLINK("CSG0.html#group2B0", "2B⁰"), =HYPERLINK("CSG0.html#group4F0", "4F⁰"), =HYPERLINK("CSG0.html#group1A0", "1A⁰")</f>
        <v/>
      </c>
      <c r="N135">
        <f>HYPERLINK("CSG10.html#group24C10", "24C¹⁰"), =HYPERLINK("CSG11.html#group16A11", "16A¹¹"), =HYPERLINK("CSG19.html#group16B19", "16B¹⁹"), =HYPERLINK("CSG23.html#group56J23", "56J²³"), =HYPERLINK("CSG3.html#group16P3", "16P³"), =HYPERLINK("CSG18.html#group48L18", "48L¹⁸"), =HYPERLINK("CSG17.html#group24AB17", "24AB¹⁷"), =HYPERLINK("CSG11.html#group24F11", "24F¹¹"), =HYPERLINK("CSG15.html#group72L15", "72L¹⁵"), =HYPERLINK("CSG4.html#group16B4", "16B⁴"), =HYPERLINK("CSG24.html#group56H24", "56H²⁴"), =HYPERLINK("CSG11.html#group24B11", "24B¹¹"), =HYPERLINK("CSG6.html#group24B6", "24B⁶"), =HYPERLINK("CSG9.html#group40E9", "40E⁹"), =HYPERLINK("CSG9.html#group16I9", "16I⁹"), =HYPERLINK("CSG21.html#group32P21", "32P²¹"), =HYPERLINK("CSG18.html#group48E18", "48E¹⁸"), =HYPERLINK("CSG17.html#group48AM17", "48AM¹⁷"), =HYPERLINK("CSG20.html#group48H20", "48H²⁰"), =HYPERLINK("CSG11.html#group32H11", "32H¹¹"), =HYPERLINK("CSG3.html#group16G3", "16G³"), =HYPERLINK("CSG22.html#group48B22", "48B²²"), =HYPERLINK("CSG21.html#group48BW21", "48BW²¹"), =HYPERLINK("CSG22.html#group88A22", "88A²²"), =HYPERLINK("CSG14.html#group56A14", "56A¹⁴"), =HYPERLINK("CSG20.html#group48C20", "48C²⁰"), =HYPERLINK("CSG19.html#group48AV19", "48AV¹⁹"), =HYPERLINK("CSG10.html#group48G10", "48G¹⁰"), =HYPERLINK("CSG23.html#group48B23", "48B²³"), =HYPERLINK("CSG9.html#group32K9", "32K⁹"), =HYPERLINK("CSG17.html#group48S17", "48S¹⁷"), =HYPERLINK("CSG3.html#group16K3", "16K³"), =HYPERLINK("CSG24.html#group32A24", "32A²⁴"), =HYPERLINK("CSG23.html#group32G23", "32G²³"), =HYPERLINK("CSG16.html#group24C16", "24C¹⁶"), =HYPERLINK("CSG21.html#group64G21", "64G²¹"), =HYPERLINK("CSG12.html#group32B12", "32B¹²"), =HYPERLINK("CSG8.html#group24L8", "24L⁸"), =HYPERLINK("CSG9.html#group16H9", "16H⁹"), =HYPERLINK("CSG24.html#group32B24", "32B²⁴"), =HYPERLINK("CSG19.html#group72O19", "72O¹⁹"), =HYPERLINK("CSG17.html#group40AN17", "40AN¹⁷"), =HYPERLINK("CSG10.html#group24A10", "24A¹⁰"), =HYPERLINK("CSG9.html#group16D9", "16D⁹"), =HYPERLINK("CSG4.html#group16A4", "16A⁴"), =HYPERLINK("CSG6.html#group16B6", "16B⁶"), =HYPERLINK("CSG18.html#group32B18", "32B¹⁸"), =HYPERLINK("CSG23.html#group32B23", "32B²³"), =HYPERLINK("CSG24.html#group56J24", "56J²⁴"), =HYPERLINK("CSG21.html#group48BO21", "48BO²¹"), =HYPERLINK("CSG7.html#group16B7", "16B⁷"), =HYPERLINK("CSG21.html#group32A21", "32A²¹"), =HYPERLINK("CSG9.html#group32R9", "32R⁹"), =HYPERLINK("CSG10.html#group48F10", "48F¹⁰"), =HYPERLINK("CSG21.html#group32I21", "32I²¹"), =HYPERLINK("CSG17.html#group16A17", "16A¹⁷"), =HYPERLINK("CSG10.html#group16A10", "16A¹⁰"), =HYPERLINK("CSG21.html#group48BP21", "48BP²¹"), =HYPERLINK("CSG11.html#group32E11", "32E¹¹"), =HYPERLINK("CSG10.html#group16B10", "16B¹⁰"), =HYPERLINK("CSG8.html#group24N8", "24N⁸"), =HYPERLINK("CSG11.html#group24G11", "24G¹¹"), =HYPERLINK("CSG22.html#group48C22", "48C²²"), =HYPERLINK("CSG13.html#group32P13", "32P¹³"), =HYPERLINK("CSG23.html#group32A23", "32A²³"), =HYPERLINK("CSG7.html#group16D7", "16D⁷"), =HYPERLINK("CSG21.html#group32W21", "32W²¹"), =HYPERLINK("CSG21.html#group16B21", "16B²¹"), =HYPERLINK("CSG9.html#group32L9", "32L⁹"), =HYPERLINK("CSG17.html#group48BO17", "48BO¹⁷"), =HYPERLINK("CSG19.html#group16A19", "16A¹⁹"), =HYPERLINK("CSG24.html#group32C24", "32C²⁴"), =HYPERLINK("CSG19.html#group40G19", "40G¹⁹"), =HYPERLINK("CSG22.html#group72A22", "72A²²"), =HYPERLINK("CSG10.html#group16C10", "16C¹⁰"), =HYPERLINK("CSG17.html#group24AK17", "24AK¹⁷"), =HYPERLINK("CSG22.html#group72B22", "72B²²"), =HYPERLINK("CSG19.html#group24J19", "24J¹⁹"), =HYPERLINK("CSG6.html#group16A6", "16A⁶"), =HYPERLINK("CSG21.html#group24J21", "24J²¹"), =HYPERLINK("CSG2.html#group8A2", "8A²"), =HYPERLINK("CSG17.html#group24AF17", "24AF¹⁷"), =HYPERLINK("CSG22.html#group32B22", "32B²²"), =HYPERLINK("CSG23.html#group32F23", "32F²³"), =HYPERLINK("CSG5.html#group16I5", "16I⁵"), =HYPERLINK("CSG19.html#group24C19", "24C¹⁹"), =HYPERLINK("CSG10.html#group32B10", "32B¹⁰"), =HYPERLINK("CSG17.html#group48T17", "48T¹⁷"), =HYPERLINK("CSG11.html#group16C11", "16C¹¹"), =HYPERLINK("CSG5.html#group16J5", "16J⁵"), =HYPERLINK("CSG19.html#group48AU19", "48AU¹⁹"), =HYPERLINK("CSG19.html#group24P19", "24P¹⁹"), =HYPERLINK("CSG9.html#group32F9", "32F⁹"), =HYPERLINK("CSG21.html#group32M21", "32M²¹"), =HYPERLINK("CSG20.html#group48G20", "48G²⁰"), =HYPERLINK("CSG21.html#group80AF21", "80AF²¹"), =HYPERLINK("CSG14.html#group48A14", "48A¹⁴"), =HYPERLINK("CSG19.html#group80K19", "80K¹⁹"), =HYPERLINK("CSG20.html#group48B20", "48B²⁰"), =HYPERLINK("CSG21.html#group48BL21", "48BL²¹"), =HYPERLINK("CSG19.html#group48S19", "48S¹⁹"), =HYPERLINK("CSG22.html#group48D22", "48D²²"), =HYPERLINK("CSG1.html#group8H1", "8H¹"), =HYPERLINK("CSG13.html#group32R13", "32R¹³"), =HYPERLINK("CSG22.html#group48A22", "48A²²"), =HYPERLINK("CSG18.html#group40C18", "40C¹⁸"), =HYPERLINK("CSG23.html#group64A23", "64A²³"), =HYPERLINK("CSG13.html#group16B13", "16B¹³"), =HYPERLINK("CSG15.html#group24P15", "24P¹⁵"), =HYPERLINK("CSG23.html#group48A23", "48A²³"), =HYPERLINK("CSG19.html#group24I19", "24I¹⁹"), =HYPERLINK("CSG9.html#group24Y9", "24Y⁹"), =HYPERLINK("CSG20.html#group48A20", "48A²⁰"), =HYPERLINK("CSG9.html#group32Q9", "32Q⁹"), =HYPERLINK("CSG3.html#group16Q3", "16Q³"), =HYPERLINK("CSG6.html#group16C6", "16C⁶"), =HYPERLINK("CSG11.html#group16B11", "16B¹¹"), =HYPERLINK("CSG7.html#group24K7", "24K⁷"), =HYPERLINK("CSG9.html#group16C9", "16C⁹"), =HYPERLINK("CSG17.html#group48BN17", "48BN¹⁷"), =HYPERLINK("CSG5.html#group16H5", "16H⁵"), =HYPERLINK("CSG21.html#group16D21", "16D²¹"), =HYPERLINK("CSG2.html#group8B2", "8B²"), =HYPERLINK("CSG21.html#group80AG21", "80AG²¹"), =HYPERLINK("CSG22.html#group64A22", "64A²²"), =HYPERLINK("CSG5.html#group8A5", "8A⁵"), =HYPERLINK("CSG9.html#group16J9", "16J⁹"), =HYPERLINK("CSG4.html#group24H4", "24H⁴"), =HYPERLINK("CSG21.html#group16F21", "16F²¹"), =HYPERLINK("CSG10.html#group32C10", "32C¹⁰"), =HYPERLINK("CSG23.html#group32E23", "32E²³"), =HYPERLINK("CSG15.html#group16A15", "16A¹⁵"), =HYPERLINK("CSG19.html#group24Q19", "24Q¹⁹"), =HYPERLINK("CSG20.html#group48D20", "48D²⁰"), =HYPERLINK("CSG9.html#group40R9", "40R⁹"), =HYPERLINK("CSG21.html#group24C21", "24C²¹"), =HYPERLINK("CSG12.html#group56K12", "56K¹²"), =HYPERLINK("CSG21.html#group24G21", "24G²¹"), =HYPERLINK("CSG18.html#group40A18", "40A¹⁸"), =HYPERLINK("CSG20.html#group48I20", "48I²⁰"), =HYPERLINK("CSG21.html#group48BX21", "48BX²¹"), =HYPERLINK("CSG3.html#group8B3", "8B³"), =HYPERLINK("CSG22.html#group32A22", "32A²²"), =HYPERLINK("CSG19.html#group32D19", "32D¹⁹"), =HYPERLINK("CSG19.html#group40D19", "40D¹⁹"), =HYPERLINK("CSG21.html#group48AQ21", "48AQ²¹"), =HYPERLINK("CSG16.html#group24A16", "24A¹⁶"), =HYPERLINK("CSG21.html#group24B21", "24B²¹"), =HYPERLINK("CSG2.html#group8C2", "8C²"), =HYPERLINK("CSG21.html#group32X21", "32X²¹"), =HYPERLINK("CSG21.html#group32B21", "32B²¹"), =HYPERLINK("CSG17.html#group40AJ17", "40AJ¹⁷"), =HYPERLINK("CSG17.html#group40AM17", "40AM¹⁷"), =HYPERLINK("CSG17.html#group40Q17", "40Q¹⁷"), =HYPERLINK("CSG23.html#group48C23", "48C²³"), =HYPERLINK("CSG20.html#group88D20", "88D²⁰"), =HYPERLINK("CSG19.html#group32E19", "32E¹⁹"), =HYPERLINK("CSG18.html#group32A18", "32A¹⁸"), =HYPERLINK("CSG21.html#group32J21", "32J²¹"), =HYPERLINK("CSG11.html#group16D11", "16D¹¹"), =HYPERLINK("CSG19.html#group48T19", "48T¹⁹"), =HYPERLINK("CSG15.html#group48H15", "48H¹⁵"), =HYPERLINK("CSG23.html#group48D23", "48D²³"), =HYPERLINK("CSG12.html#group32A12", "32A¹²"), =HYPERLINK("CSG19.html#group24N19", "24N¹⁹"), =HYPERLINK("CSG21.html#group48T21", "48T²¹"), =HYPERLINK("CSG24.html#group32D24", "32D²⁴"), =HYPERLINK("CSG19.html#group40H19", "40H¹⁹"), =HYPERLINK("CSG13.html#group32I13", "32I¹³"), =HYPERLINK("CSG9.html#group24X9", "24X⁹"), =HYPERLINK("CSG17.html#group24AE17", "24AE¹⁷"), =HYPERLINK("CSG19.html#group48AB19", "48AB¹⁹"), =HYPERLINK("CSG21.html#group48BY21", "48BY²¹"), =HYPERLINK("CSG17.html#group40N17", "40N¹⁷"), =HYPERLINK("CSG19.html#group32A19", "32A¹⁹"), =HYPERLINK("CSG22.html#group64B22", "64B²²"), =HYPERLINK("CSG21.html#group32D21", "32D²¹"), =HYPERLINK("CSG5.html#group16E5", "16E⁵"), =HYPERLINK("CSG19.html#group40B19", "40B¹⁹"), =HYPERLINK("CSG19.html#group24D19", "24D¹⁹"), =HYPERLINK("CSG21.html#group16E21", "16E²¹"), =HYPERLINK("CSG21.html#group24I21", "24I²¹")</f>
        <v/>
      </c>
    </row>
    <row r="136">
      <c r="A136" t="inlineStr">
        <is>
          <t>8E¹</t>
        </is>
      </c>
      <c r="B136" t="inlineStr"/>
      <c r="C136" t="inlineStr">
        <is>
          <t>32</t>
        </is>
      </c>
      <c r="D136" t="inlineStr">
        <is>
          <t>1</t>
        </is>
      </c>
      <c r="E136" t="inlineStr">
        <is>
          <t>16</t>
        </is>
      </c>
      <c r="F136" t="inlineStr">
        <is>
          <t>0</t>
        </is>
      </c>
      <c r="G136" t="inlineStr">
        <is>
          <t>2</t>
        </is>
      </c>
      <c r="H136" t="inlineStr">
        <is>
          <t>8⁴</t>
        </is>
      </c>
      <c r="I136" t="n">
        <v>4</v>
      </c>
      <c r="J136" t="inlineStr">
        <is>
          <t>4⁴</t>
        </is>
      </c>
      <c r="K136">
        <f>HYPERLINK("CSG0.html#group4D0", "4D⁰"), =HYPERLINK("CSG0.html#group8F0", "8F⁰")</f>
        <v/>
      </c>
      <c r="L136">
        <f>HYPERLINK("CSG1.html#group8J1", "8J¹"), =HYPERLINK("CSG3.html#group8A3", "8A³"), =HYPERLINK("CSG6.html#group24A6", "24A⁶"), =HYPERLINK("CSG7.html#group16A7", "16A⁷"), =HYPERLINK("CSG7.html#group24C7", "24C⁷"), =HYPERLINK("CSG7.html#group24E7", "24E⁷"), =HYPERLINK("CSG11.html#group40C11", "40C¹¹"), =HYPERLINK("CSG13.html#group40E13", "40E¹³"), =HYPERLINK("CSG17.html#group56A17", "56A¹⁷"), =HYPERLINK("CSG17.html#group56C17", "56C¹⁷"), =HYPERLINK("CSG23.html#group40A23", "40A²³")</f>
        <v/>
      </c>
      <c r="M136">
        <f>HYPERLINK("CSG0.html#group2A0", "2A⁰"), =HYPERLINK("CSG0.html#group8F0", "8F⁰"), =HYPERLINK("CSG0.html#group1A0", "1A⁰"), =HYPERLINK("CSG0.html#group4A0", "4A⁰"), =HYPERLINK("CSG0.html#group4D0", "4D⁰")</f>
        <v/>
      </c>
      <c r="N136">
        <f>HYPERLINK("CSG21.html#group16A21", "16A²¹"), =HYPERLINK("CSG6.html#group24A6", "24A⁶"), =HYPERLINK("CSG13.html#group24H13", "24H¹³"), =HYPERLINK("CSG23.html#group40A23", "40A²³"), =HYPERLINK("CSG13.html#group24E13", "24E¹³"), =HYPERLINK("CSG21.html#group24A21", "24A²¹"), =HYPERLINK("CSG13.html#group24D13", "24D¹³"), =HYPERLINK("CSG21.html#group40C21", "40C²¹"), =HYPERLINK("CSG1.html#group8J1", "8J¹"), =HYPERLINK("CSG17.html#group56A17", "56A¹⁷"), =HYPERLINK("CSG17.html#group16A17", "16A¹⁷"), =HYPERLINK("CSG7.html#group24C7", "24C⁷"), =HYPERLINK("CSG13.html#group16B13", "16B¹³"), =HYPERLINK("CSG21.html#group16B21", "16B²¹"), =HYPERLINK("CSG13.html#group24G13", "24G¹³"), =HYPERLINK("CSG5.html#group16K5", "16K⁵"), =HYPERLINK("CSG13.html#group40E13", "40E¹³"), =HYPERLINK("CSG24.html#group72B24", "72B²⁴"), =HYPERLINK("CSG13.html#group24F13", "24F¹³"), =HYPERLINK("CSG13.html#group24I13", "24I¹³"), =HYPERLINK("CSG19.html#group24A19", "24A¹⁹"), =HYPERLINK("CSG3.html#group8A3", "8A³"), =HYPERLINK("CSG7.html#group16A7", "16A⁷"), =HYPERLINK("CSG13.html#group16A13", "16A¹³"), =HYPERLINK("CSG11.html#group40C11", "40C¹¹"), =HYPERLINK("CSG5.html#group8A5", "8A⁵"), =HYPERLINK("CSG24.html#group24A24", "24A²⁴"), =HYPERLINK("CSG7.html#group24E7", "24E⁷"), =HYPERLINK("CSG21.html#group16C21", "16C²¹"), =HYPERLINK("CSG21.html#group32F21", "32F²¹"), =HYPERLINK("CSG9.html#group16B9", "16B⁹"), =HYPERLINK("CSG9.html#group16A9", "16A⁹"), =HYPERLINK("CSG11.html#group24C11", "24C¹¹"), =HYPERLINK("CSG21.html#group32E21", "32E²¹"), =HYPERLINK("CSG23.html#group72E23", "72E²³"), =HYPERLINK("CSG13.html#group32S13", "32S¹³"), =HYPERLINK("CSG17.html#group56C17", "56C¹⁷")</f>
        <v/>
      </c>
    </row>
    <row r="137">
      <c r="A137" t="inlineStr">
        <is>
          <t>8F¹</t>
        </is>
      </c>
      <c r="B137" t="inlineStr"/>
      <c r="C137" t="inlineStr">
        <is>
          <t>48</t>
        </is>
      </c>
      <c r="D137" t="inlineStr">
        <is>
          <t>1</t>
        </is>
      </c>
      <c r="E137" t="inlineStr">
        <is>
          <t>3</t>
        </is>
      </c>
      <c r="F137" t="inlineStr">
        <is>
          <t>0</t>
        </is>
      </c>
      <c r="G137" t="inlineStr">
        <is>
          <t>0</t>
        </is>
      </c>
      <c r="H137" t="inlineStr">
        <is>
          <t>4⁴, 8⁴</t>
        </is>
      </c>
      <c r="I137" t="n">
        <v>8</v>
      </c>
      <c r="J137" t="inlineStr">
        <is>
          <t>1³</t>
        </is>
      </c>
      <c r="K137">
        <f>HYPERLINK("CSG0.html#group4G0", "4G⁰"), =HYPERLINK("CSG0.html#group8G0", "8G⁰"), =HYPERLINK("CSG0.html#group8H0", "8H⁰"), =HYPERLINK("CSG1.html#group8B1", "8B¹"), =HYPERLINK("CSG1.html#group8C1", "8C¹")</f>
        <v/>
      </c>
      <c r="L137">
        <f>HYPERLINK("CSG1.html#group8K1", "8K¹"), =HYPERLINK("CSG3.html#group8A3", "8A³"), =HYPERLINK("CSG3.html#group8B3", "8B³"), =HYPERLINK("CSG3.html#group16H3", "16H³"), =HYPERLINK("CSG3.html#group16I3", "16I³"), =HYPERLINK("CSG5.html#group16A5", "16A⁵"), =HYPERLINK("CSG5.html#group16B5", "16B⁵"), =HYPERLINK("CSG9.html#group24C9", "24C⁹"), =HYPERLINK("CSG9.html#group24AF9", "24AF⁹"), =HYPERLINK("CSG17.html#group40A17", "40A¹⁷"), =HYPERLINK("CSG17.html#group40X17", "40X¹⁷")</f>
        <v/>
      </c>
      <c r="M137">
        <f>HYPERLINK("CSG0.html#group2A0", "2A⁰"), =HYPERLINK("CSG1.html#group8A1", "8A¹"), =HYPERLINK("CSG0.html#group8D0", "8D⁰"), =HYPERLINK("CSG0.html#group4C0", "4C⁰"), =HYPERLINK("CSG0.html#group8B0", "8B⁰"), =HYPERLINK("CSG0.html#group4G0", "4G⁰"), =HYPERLINK("CSG0.html#group2B0", "2B⁰"), =HYPERLINK("CSG1.html#group8B1", "8B¹"), =HYPERLINK("CSG0.html#group8C0", "8C⁰"), =HYPERLINK("CSG0.html#group4E0", "4E⁰"), =HYPERLINK("CSG0.html#group4B0", "4B⁰"), =HYPERLINK("CSG0.html#group1A0", "1A⁰"), =HYPERLINK("CSG0.html#group8H0", "8H⁰"), =HYPERLINK("CSG1.html#group8C1", "8C¹"), =HYPERLINK("CSG0.html#group8G0", "8G⁰"), =HYPERLINK("CSG0.html#group4A0", "4A⁰"), =HYPERLINK("CSG0.html#group4D0", "4D⁰"), =HYPERLINK("CSG0.html#group4F0", "4F⁰"), =HYPERLINK("CSG0.html#group2C0", "2C⁰")</f>
        <v/>
      </c>
      <c r="N137">
        <f>HYPERLINK("CSG11.html#group16A11", "16A¹¹"), =HYPERLINK("CSG5.html#group16M5", "16M⁵"), =HYPERLINK("CSG17.html#group40X17", "40X¹⁷"), =HYPERLINK("CSG21.html#group48L21", "48L²¹"), =HYPERLINK("CSG13.html#group32C13", "32C¹³"), =HYPERLINK("CSG17.html#group16B17", "16B¹⁷"), =HYPERLINK("CSG21.html#group24D21", "24D²¹"), =HYPERLINK("CSG21.html#group16E21", "16E²¹"), =HYPERLINK("CSG17.html#group24AP17", "24AP¹⁷"), =HYPERLINK("CSG13.html#group16B13", "16B¹³"), =HYPERLINK("CSG5.html#group16O5", "16O⁵"), =HYPERLINK("CSG21.html#group48CF21", "48CF²¹"), =HYPERLINK("CSG21.html#group48F21", "48F²¹"), =HYPERLINK("CSG13.html#group32F13", "32F¹³"), =HYPERLINK("CSG11.html#group32A11", "32A¹¹"), =HYPERLINK("CSG17.html#group24AO17", "24AO¹⁷"), =HYPERLINK("CSG21.html#group48CE21", "48CE²¹"), =HYPERLINK("CSG9.html#group16C9", "16C⁹"), =HYPERLINK("CSG19.html#group24A19", "24A¹⁹"), =HYPERLINK("CSG21.html#group16D21", "16D²¹"), =HYPERLINK("CSG9.html#group32A9", "32A⁹"), =HYPERLINK("CSG21.html#group32C21", "32C²¹"), =HYPERLINK("CSG17.html#group24J17", "24J¹⁷"), =HYPERLINK("CSG3.html#group16I3", "16I³"), =HYPERLINK("CSG5.html#group8A5", "8A⁵"), =HYPERLINK("CSG21.html#group32F21", "32F²¹"), =HYPERLINK("CSG21.html#group48CD21", "48CD²¹"), =HYPERLINK("CSG9.html#group16A9", "16A⁹"), =HYPERLINK("CSG21.html#group32E21", "32E²¹"), =HYPERLINK("CSG17.html#group40A17", "40A¹⁷"), =HYPERLINK("CSG9.html#group32B9", "32B⁹"), =HYPERLINK("CSG19.html#group24G19", "24G¹⁹"), =HYPERLINK("CSG21.html#group48Q21", "48Q²¹"), =HYPERLINK("CSG13.html#group32A13", "32A¹³"), =HYPERLINK("CSG9.html#group24C9", "24C⁹"), =HYPERLINK("CSG9.html#group16E9", "16E⁹"), =HYPERLINK("CSG21.html#group24G21", "24G²¹"), =HYPERLINK("CSG13.html#group32B13", "32B¹³"), =HYPERLINK("CSG9.html#group16D9", "16D⁹"), =HYPERLINK("CSG3.html#group8B3", "8B³"), =HYPERLINK("CSG21.html#group24F21", "24F²¹"), =HYPERLINK("CSG21.html#group16A21", "16A²¹"), =HYPERLINK("CSG21.html#group64F21", "64F²¹"), =HYPERLINK("CSG7.html#group16B7", "16B⁷"), =HYPERLINK("CSG21.html#group32A21", "32A²¹"), =HYPERLINK("CSG21.html#group24A21", "24A²¹"), =HYPERLINK("CSG17.html#group32A17", "32A¹⁷"), =HYPERLINK("CSG21.html#group48CB21", "48CB²¹"), =HYPERLINK("CSG21.html#group32B21", "32B²¹"), =HYPERLINK("CSG19.html#group24F19", "24F¹⁹"), =HYPERLINK("CSG17.html#group24F17", "24F¹⁷"), =HYPERLINK("CSG17.html#group16A17", "16A¹⁷"), =HYPERLINK("CSG19.html#group48A19", "48A¹⁹"), =HYPERLINK("CSG13.html#group32T13", "32T¹³"), =HYPERLINK("CSG21.html#group16B21", "16B²¹"), =HYPERLINK("CSG21.html#group64D21", "64D²¹"), =HYPERLINK("CSG7.html#group32L7", "32L⁷"), =HYPERLINK("CSG19.html#group48G19", "48G¹⁹"), =HYPERLINK("CSG17.html#group24B17", "24B¹⁷"), =HYPERLINK("CSG3.html#group8A3", "8A³"), =HYPERLINK("CSG1.html#group8K1", "8K¹"), =HYPERLINK("CSG19.html#group64A19", "64A¹⁹"), =HYPERLINK("CSG17.html#group24AN17", "24AN¹⁷"), =HYPERLINK("CSG3.html#group16H3", "16H³"), =HYPERLINK("CSG21.html#group16C21", "16C²¹"), =HYPERLINK("CSG5.html#group16B5", "16B⁵"), =HYPERLINK("CSG17.html#group32E17", "32E¹⁷"), =HYPERLINK("CSG9.html#group16B9", "16B⁹"), =HYPERLINK("CSG19.html#group48B19", "48B¹⁹"), =HYPERLINK("CSG5.html#group16A5", "16A⁵"), =HYPERLINK("CSG21.html#group48E21", "48E²¹"), =HYPERLINK("CSG19.html#group48D19", "48D¹⁹"), =HYPERLINK("CSG13.html#group16C13", "16C¹³"), =HYPERLINK("CSG19.html#group32A19", "32A¹⁹"), =HYPERLINK("CSG21.html#group32D21", "32D²¹"), =HYPERLINK("CSG19.html#group24D19", "24D¹⁹"), =HYPERLINK("CSG9.html#group24AF9", "24AF⁹")</f>
        <v/>
      </c>
    </row>
    <row r="138">
      <c r="A138" t="inlineStr">
        <is>
          <t>8G¹</t>
        </is>
      </c>
      <c r="B138" t="inlineStr"/>
      <c r="C138" t="inlineStr">
        <is>
          <t>48</t>
        </is>
      </c>
      <c r="D138" t="inlineStr">
        <is>
          <t>1</t>
        </is>
      </c>
      <c r="E138" t="inlineStr">
        <is>
          <t>6</t>
        </is>
      </c>
      <c r="F138" t="inlineStr">
        <is>
          <t>0</t>
        </is>
      </c>
      <c r="G138" t="inlineStr">
        <is>
          <t>0</t>
        </is>
      </c>
      <c r="H138" t="inlineStr">
        <is>
          <t>4⁴, 8⁴</t>
        </is>
      </c>
      <c r="I138" t="n">
        <v>8</v>
      </c>
      <c r="J138" t="inlineStr">
        <is>
          <t>1⁴, 2¹</t>
        </is>
      </c>
      <c r="K138">
        <f>HYPERLINK("CSG0.html#group8J0", "8J⁰"), =HYPERLINK("CSG0.html#group8L0", "8L⁰"), =HYPERLINK("CSG1.html#group8B1", "8B¹")</f>
        <v/>
      </c>
      <c r="L138">
        <f>HYPERLINK("CSG1.html#group8K1", "8K¹"), =HYPERLINK("CSG3.html#group16O3", "16O³"), =HYPERLINK("CSG5.html#group16C5", "16C⁵"), =HYPERLINK("CSG5.html#group16D5", "16D⁵"), =HYPERLINK("CSG9.html#group24D9", "24D⁹"), =HYPERLINK("CSG9.html#group24AH9", "24AH⁹"), =HYPERLINK("CSG17.html#group40G17", "40G¹⁷"), =HYPERLINK("CSG17.html#group40AE17", "40AE¹⁷")</f>
        <v/>
      </c>
      <c r="M138">
        <f>HYPERLINK("CSG0.html#group2A0", "2A⁰"), =HYPERLINK("CSG1.html#group8A1", "8A¹"), =HYPERLINK("CSG0.html#group4C0", "4C⁰"), =HYPERLINK("CSG0.html#group8B0", "8B⁰"), =HYPERLINK("CSG0.html#group8L0", "8L⁰"), =HYPERLINK("CSG0.html#group2B0", "2B⁰"), =HYPERLINK("CSG1.html#group8B1", "8B¹"), =HYPERLINK("CSG0.html#group4E0", "4E⁰"), =HYPERLINK("CSG0.html#group1A0", "1A⁰"), =HYPERLINK("CSG0.html#group4B0", "4B⁰"), =HYPERLINK("CSG0.html#group8J0", "8J⁰"), =HYPERLINK("CSG0.html#group2C0", "2C⁰")</f>
        <v/>
      </c>
      <c r="N138">
        <f>HYPERLINK("CSG5.html#group16D5", "16D⁵"), =HYPERLINK("CSG5.html#group16C5", "16C⁵"), =HYPERLINK("CSG21.html#group48I21", "48I²¹"), =HYPERLINK("CSG5.html#group16M5", "16M⁵"), =HYPERLINK("CSG9.html#group24AH9", "24AH⁹"), =HYPERLINK("CSG19.html#group48R19", "48R¹⁹"), =HYPERLINK("CSG17.html#group24AQ17", "24AQ¹⁷"), =HYPERLINK("CSG21.html#group48CP21", "48CP²¹"), =HYPERLINK("CSG17.html#group40AE17", "40AE¹⁷"), =HYPERLINK("CSG13.html#group32L13", "32L¹³"), =HYPERLINK("CSG17.html#group32A17", "32A¹⁷"), =HYPERLINK("CSG17.html#group16A17", "16A¹⁷"), =HYPERLINK("CSG17.html#group16B17", "16B¹⁷"), =HYPERLINK("CSG21.html#group48AH21", "48AH²¹"), =HYPERLINK("CSG9.html#group16F9", "16F⁹"), =HYPERLINK("CSG13.html#group32T13", "32T¹³"), =HYPERLINK("CSG13.html#group32E13", "32E¹³"), =HYPERLINK("CSG13.html#group16B13", "16B¹³"), =HYPERLINK("CSG5.html#group16O5", "16O⁵"), =HYPERLINK("CSG21.html#group32R21", "32R²¹"), =HYPERLINK("CSG21.html#group48J21", "48J²¹"), =HYPERLINK("CSG21.html#group16B21", "16B²¹"), =HYPERLINK("CSG17.html#group40G17", "40G¹⁷"), =HYPERLINK("CSG19.html#group48AR19", "48AR¹⁹"), =HYPERLINK("CSG17.html#group24AO17", "24AO¹⁷"), =HYPERLINK("CSG17.html#group24U17", "24U¹⁷"), =HYPERLINK("CSG17.html#group24V17", "24V¹⁷"), =HYPERLINK("CSG17.html#group24B17", "24B¹⁷"), =HYPERLINK("CSG1.html#group8K1", "8K¹"), =HYPERLINK("CSG3.html#group16O3", "16O³"), =HYPERLINK("CSG21.html#group32C21", "32C²¹"), =HYPERLINK("CSG17.html#group24AS17", "24AS¹⁷"), =HYPERLINK("CSG5.html#group8A5", "8A⁵"), =HYPERLINK("CSG21.html#group48AL21", "48AL²¹"), =HYPERLINK("CSG13.html#group32G13", "32G¹³"), =HYPERLINK("CSG9.html#group24D9", "24D⁹"), =HYPERLINK("CSG9.html#group16G9", "16G⁹"), =HYPERLINK("CSG17.html#group32E17", "32E¹⁷"), =HYPERLINK("CSG13.html#group32H13", "32H¹³"), =HYPERLINK("CSG13.html#group32M13", "32M¹³"), =HYPERLINK("CSG13.html#group32D13", "32D¹³"), =HYPERLINK("CSG21.html#group48CQ21", "48CQ²¹"), =HYPERLINK("CSG13.html#group16C13", "16C¹³"), =HYPERLINK("CSG9.html#group16E9", "16E⁹"), =HYPERLINK("CSG21.html#group32Q21", "32Q²¹")</f>
        <v/>
      </c>
    </row>
    <row r="139">
      <c r="A139" t="inlineStr">
        <is>
          <t>8H¹</t>
        </is>
      </c>
      <c r="B139" t="inlineStr"/>
      <c r="C139" t="inlineStr">
        <is>
          <t>48</t>
        </is>
      </c>
      <c r="D139" t="inlineStr">
        <is>
          <t>1</t>
        </is>
      </c>
      <c r="E139" t="inlineStr">
        <is>
          <t>12</t>
        </is>
      </c>
      <c r="F139" t="inlineStr">
        <is>
          <t>4</t>
        </is>
      </c>
      <c r="G139" t="inlineStr">
        <is>
          <t>0</t>
        </is>
      </c>
      <c r="H139" t="inlineStr">
        <is>
          <t>8⁶</t>
        </is>
      </c>
      <c r="I139" t="n">
        <v>6</v>
      </c>
      <c r="J139" t="inlineStr">
        <is>
          <t>2², 4²</t>
        </is>
      </c>
      <c r="K139">
        <f>HYPERLINK("CSG0.html#group8H0", "8H⁰"), =HYPERLINK("CSG0.html#group8K0", "8K⁰"), =HYPERLINK("CSG1.html#group8D1", "8D¹")</f>
        <v/>
      </c>
      <c r="L139">
        <f>HYPERLINK("CSG2.html#group8C2", "8C²"), =HYPERLINK("CSG3.html#group8B3", "8B³"), =HYPERLINK("CSG3.html#group16K3", "16K³"), =HYPERLINK("CSG3.html#group16P3", "16P³"), =HYPERLINK("CSG3.html#group16Q3", "16Q³"), =HYPERLINK("CSG4.html#group16B4", "16B⁴"), =HYPERLINK("CSG5.html#group16E5", "16E⁵"), =HYPERLINK("CSG5.html#group16I5", "16I⁵"), =HYPERLINK("CSG5.html#group16J5", "16J⁵"), =HYPERLINK("CSG7.html#group24K7", "24K⁷"), =HYPERLINK("CSG11.html#group24F11", "24F¹¹"), =HYPERLINK("CSG17.html#group40N17", "40N¹⁷"), =HYPERLINK("CSG17.html#group40AM17", "40AM¹⁷"), =HYPERLINK("CSG23.html#group56J23", "56J²³")</f>
        <v/>
      </c>
      <c r="M139">
        <f>HYPERLINK("CSG0.html#group8H0", "8H⁰"), =HYPERLINK("CSG0.html#group8D0", "8D⁰"), =HYPERLINK("CSG0.html#group4A0", "4A⁰"), =HYPERLINK("CSG0.html#group4C0", "4C⁰"), =HYPERLINK("CSG0.html#group8B0", "8B⁰"), =HYPERLINK("CSG0.html#group8A0", "8A⁰"), =HYPERLINK("CSG0.html#group1A0", "1A⁰"), =HYPERLINK("CSG0.html#group2B0", "2B⁰"), =HYPERLINK("CSG0.html#group4F0", "4F⁰"), =HYPERLINK("CSG0.html#group8K0", "8K⁰"), =HYPERLINK("CSG1.html#group8D1", "8D¹")</f>
        <v/>
      </c>
      <c r="N139">
        <f>HYPERLINK("CSG19.html#group48AU19", "48AU¹⁹"), =HYPERLINK("CSG11.html#group16A11", "16A¹¹"), =HYPERLINK("CSG19.html#group16B19", "16B¹⁹"), =HYPERLINK("CSG9.html#group32F9", "32F⁹"), =HYPERLINK("CSG23.html#group56J23", "56J²³"), =HYPERLINK("CSG21.html#group32M21", "32M²¹"), =HYPERLINK("CSG3.html#group16P3", "16P³"), =HYPERLINK("CSG19.html#group48S19", "48S¹⁹"), =HYPERLINK("CSG11.html#group24F11", "24F¹¹"), =HYPERLINK("CSG18.html#group48L18", "48L¹⁸"), =HYPERLINK("CSG13.html#group32R13", "32R¹³"), =HYPERLINK("CSG4.html#group16B4", "16B⁴"), =HYPERLINK("CSG13.html#group16B13", "16B¹³"), =HYPERLINK("CSG15.html#group24P15", "24P¹⁵"), =HYPERLINK("CSG9.html#group32Q9", "32Q⁹"), =HYPERLINK("CSG3.html#group16Q3", "16Q³"), =HYPERLINK("CSG6.html#group16C6", "16C⁶"), =HYPERLINK("CSG9.html#group16I9", "16I⁹"), =HYPERLINK("CSG21.html#group32P21", "32P²¹"), =HYPERLINK("CSG11.html#group16B11", "16B¹¹"), =HYPERLINK("CSG7.html#group24K7", "24K⁷"), =HYPERLINK("CSG18.html#group48E18", "48E¹⁸"), =HYPERLINK("CSG9.html#group16C9", "16C⁹"), =HYPERLINK("CSG17.html#group48BN17", "48BN¹⁷"), =HYPERLINK("CSG17.html#group48AM17", "48AM¹⁷"), =HYPERLINK("CSG21.html#group16D21", "16D²¹"), =HYPERLINK("CSG22.html#group64A22", "64A²²"), =HYPERLINK("CSG9.html#group16J9", "16J⁹"), =HYPERLINK("CSG19.html#group48AV19", "48AV¹⁹"), =HYPERLINK("CSG5.html#group8A5", "8A⁵"), =HYPERLINK("CSG23.html#group48B23", "48B²³"), =HYPERLINK("CSG9.html#group32K9", "32K⁹"), =HYPERLINK("CSG3.html#group16K3", "16K³"), =HYPERLINK("CSG17.html#group48S17", "48S¹⁷"), =HYPERLINK("CSG10.html#group32C10", "32C¹⁰"), =HYPERLINK("CSG23.html#group32E23", "32E²³"), =HYPERLINK("CSG16.html#group24C16", "24C¹⁶"), =HYPERLINK("CSG21.html#group64G21", "64G²¹"), =HYPERLINK("CSG21.html#group16F21", "16F²¹"), =HYPERLINK("CSG15.html#group16A15", "16A¹⁵"), =HYPERLINK("CSG24.html#group32A24", "32A²⁴"), =HYPERLINK("CSG12.html#group32B12", "32B¹²"), =HYPERLINK("CSG23.html#group32G23", "32G²³"), =HYPERLINK("CSG9.html#group16H9", "16H⁹"), =HYPERLINK("CSG24.html#group32B24", "32B²⁴"), =HYPERLINK("CSG21.html#group24G21", "24G²¹"), =HYPERLINK("CSG9.html#group16D9", "16D⁹"), =HYPERLINK("CSG3.html#group8B3", "8B³"), =HYPERLINK("CSG22.html#group32A22", "32A²²"), =HYPERLINK("CSG19.html#group32D19", "32D¹⁹"), =HYPERLINK("CSG18.html#group32B18", "32B¹⁸"), =HYPERLINK("CSG23.html#group32B23", "32B²³"), =HYPERLINK("CSG2.html#group8C2", "8C²"), =HYPERLINK("CSG16.html#group24A16", "24A¹⁶"), =HYPERLINK("CSG21.html#group32A21", "32A²¹"), =HYPERLINK("CSG21.html#group32X21", "32X²¹"), =HYPERLINK("CSG7.html#group16B7", "16B⁷"), =HYPERLINK("CSG5.html#group16J5", "16J⁵"), =HYPERLINK("CSG9.html#group32R9", "32R⁹"), =HYPERLINK("CSG21.html#group32B21", "32B²¹"), =HYPERLINK("CSG17.html#group40AM17", "40AM¹⁷"), =HYPERLINK("CSG21.html#group32I21", "32I²¹"), =HYPERLINK("CSG23.html#group48C23", "48C²³"), =HYPERLINK("CSG17.html#group16A17", "16A¹⁷"), =HYPERLINK("CSG10.html#group16A10", "16A¹⁰"), =HYPERLINK("CSG11.html#group32E11", "32E¹¹"), =HYPERLINK("CSG10.html#group16B10", "16B¹⁰"), =HYPERLINK("CSG19.html#group32E19", "32E¹⁹"), =HYPERLINK("CSG23.html#group32A23", "32A²³"), =HYPERLINK("CSG7.html#group16D7", "16D⁷"), =HYPERLINK("CSG21.html#group32W21", "32W²¹"), =HYPERLINK("CSG21.html#group16B21", "16B²¹"), =HYPERLINK("CSG18.html#group32A18", "32A¹⁸"), =HYPERLINK("CSG9.html#group32L9", "32L⁹"), =HYPERLINK("CSG17.html#group48BO17", "48BO¹⁷"), =HYPERLINK("CSG21.html#group32J21", "32J²¹"), =HYPERLINK("CSG19.html#group48T19", "48T¹⁹"), =HYPERLINK("CSG19.html#group16A19", "16A¹⁹"), =HYPERLINK("CSG24.html#group32C24", "32C²⁴"), =HYPERLINK("CSG15.html#group48H15", "48H¹⁵"), =HYPERLINK("CSG12.html#group32A12", "32A¹²"), =HYPERLINK("CSG21.html#group48T21", "48T²¹"), =HYPERLINK("CSG24.html#group32D24", "32D²⁴"), =HYPERLINK("CSG10.html#group16C10", "16C¹⁰"), =HYPERLINK("CSG21.html#group24J21", "24J²¹"), =HYPERLINK("CSG17.html#group24AF17", "24AF¹⁷"), =HYPERLINK("CSG13.html#group32I13", "32I¹³"), =HYPERLINK("CSG22.html#group32B22", "32B²²"), =HYPERLINK("CSG5.html#group16I5", "16I⁵"), =HYPERLINK("CSG10.html#group32B10", "32B¹⁰"), =HYPERLINK("CSG17.html#group48T17", "48T¹⁷"), =HYPERLINK("CSG17.html#group40N17", "40N¹⁷"), =HYPERLINK("CSG19.html#group48AB19", "48AB¹⁹"), =HYPERLINK("CSG19.html#group32A19", "32A¹⁹"), =HYPERLINK("CSG22.html#group64B22", "64B²²"), =HYPERLINK("CSG21.html#group32D21", "32D²¹"), =HYPERLINK("CSG11.html#group16C11", "16C¹¹"), =HYPERLINK("CSG5.html#group16E5", "16E⁵"), =HYPERLINK("CSG19.html#group24D19", "24D¹⁹"), =HYPERLINK("CSG21.html#group16E21", "16E²¹")</f>
        <v/>
      </c>
    </row>
    <row r="140">
      <c r="A140" t="inlineStr">
        <is>
          <t>8I¹</t>
        </is>
      </c>
      <c r="B140" t="inlineStr"/>
      <c r="C140" t="inlineStr">
        <is>
          <t>48</t>
        </is>
      </c>
      <c r="D140" t="inlineStr">
        <is>
          <t>1</t>
        </is>
      </c>
      <c r="E140" t="inlineStr">
        <is>
          <t>12</t>
        </is>
      </c>
      <c r="F140" t="inlineStr">
        <is>
          <t>4</t>
        </is>
      </c>
      <c r="G140" t="inlineStr">
        <is>
          <t>0</t>
        </is>
      </c>
      <c r="H140" t="inlineStr">
        <is>
          <t>8⁶</t>
        </is>
      </c>
      <c r="I140" t="n">
        <v>6</v>
      </c>
      <c r="J140" t="inlineStr">
        <is>
          <t>1², 2¹, 4²</t>
        </is>
      </c>
      <c r="K140">
        <f>HYPERLINK("CSG0.html#group8F0", "8F⁰"), =HYPERLINK("CSG0.html#group8H0", "8H⁰")</f>
        <v/>
      </c>
      <c r="L140">
        <f>HYPERLINK("CSG2.html#group8C2", "8C²"), =HYPERLINK("CSG3.html#group8A3", "8A³"), =HYPERLINK("CSG3.html#group16L3", "16L³"), =HYPERLINK("CSG4.html#group16C4", "16C⁴"), =HYPERLINK("CSG5.html#group16F5", "16F⁵"), =HYPERLINK("CSG7.html#group24L7", "24L⁷"), =HYPERLINK("CSG11.html#group24I11", "24I¹¹"), =HYPERLINK("CSG17.html#group40O17", "40O¹⁷"), =HYPERLINK("CSG17.html#group40AP17", "40AP¹⁷"), =HYPERLINK("CSG23.html#group56N23", "56N²³")</f>
        <v/>
      </c>
      <c r="M140">
        <f>HYPERLINK("CSG0.html#group8H0", "8H⁰"), =HYPERLINK("CSG0.html#group8F0", "8F⁰"), =HYPERLINK("CSG0.html#group8D0", "8D⁰"), =HYPERLINK("CSG0.html#group4A0", "4A⁰"), =HYPERLINK("CSG0.html#group4C0", "4C⁰"), =HYPERLINK("CSG0.html#group8B0", "8B⁰"), =HYPERLINK("CSG0.html#group2B0", "2B⁰"), =HYPERLINK("CSG0.html#group4F0", "4F⁰"), =HYPERLINK("CSG0.html#group1A0", "1A⁰")</f>
        <v/>
      </c>
      <c r="N140">
        <f>HYPERLINK("CSG23.html#group32C23", "32C²³"), =HYPERLINK("CSG11.html#group24I11", "24I¹¹"), =HYPERLINK("CSG17.html#group40AP17", "40AP¹⁷"), =HYPERLINK("CSG5.html#group16F5", "16F⁵"), =HYPERLINK("CSG19.html#group16B19", "16B¹⁹"), =HYPERLINK("CSG23.html#group32D23", "32D²³"), =HYPERLINK("CSG19.html#group32D19", "32D¹⁹"), =HYPERLINK("CSG9.html#group32M9", "32M⁹"), =HYPERLINK("CSG21.html#group16A21", "16A²¹"), =HYPERLINK("CSG21.html#group32M21", "32M²¹"), =HYPERLINK("CSG21.html#group64Q21", "64Q²¹"), =HYPERLINK("CSG18.html#group32B18", "32B¹⁸"), =HYPERLINK("CSG2.html#group8C2", "8C²"), =HYPERLINK("CSG16.html#group24A16", "24A¹⁶"), =HYPERLINK("CSG21.html#group24A21", "24A²¹"), =HYPERLINK("CSG11.html#group32D11", "32D¹¹"), =HYPERLINK("CSG9.html#group16K9", "16K⁹"), =HYPERLINK("CSG13.html#group32J13", "32J¹³"), =HYPERLINK("CSG17.html#group48AO17", "48AO¹⁷"), =HYPERLINK("CSG11.html#group32F11", "32F¹¹"), =HYPERLINK("CSG9.html#group16L9", "16L⁹"), =HYPERLINK("CSG17.html#group16A17", "16A¹⁷"), =HYPERLINK("CSG18.html#group48M18", "48M¹⁸"), =HYPERLINK("CSG23.html#group56N23", "56N²³"), =HYPERLINK("CSG21.html#group48U21", "48U²¹"), =HYPERLINK("CSG23.html#group64B23", "64B²³"), =HYPERLINK("CSG12.html#group32C12", "32C¹²"), =HYPERLINK("CSG13.html#group16B13", "16B¹³"), =HYPERLINK("CSG19.html#group32E19", "32E¹⁹"), =HYPERLINK("CSG7.html#group16D7", "16D⁷"), =HYPERLINK("CSG16.html#group24D16", "24D¹⁶"), =HYPERLINK("CSG7.html#group24L7", "24L⁷"), =HYPERLINK("CSG21.html#group16B21", "16B²¹"), =HYPERLINK("CSG18.html#group32A18", "32A¹⁸"), =HYPERLINK("CSG17.html#group24AH17", "24AH¹⁷"), =HYPERLINK("CSG6.html#group16C6", "16C⁶"), =HYPERLINK("CSG9.html#group32N9", "32N⁹"), =HYPERLINK("CSG21.html#group32P21", "32P²¹"), =HYPERLINK("CSG19.html#group48AD19", "48AD¹⁹"), =HYPERLINK("CSG11.html#group32C11", "32C¹¹"), =HYPERLINK("CSG19.html#group24A19", "24A¹⁹"), =HYPERLINK("CSG19.html#group16A19", "16A¹⁹"), =HYPERLINK("CSG3.html#group8A3", "8A³"), =HYPERLINK("CSG17.html#group40O17", "40O¹⁷"), =HYPERLINK("CSG10.html#group16C10", "16C¹⁰"), =HYPERLINK("CSG9.html#group32G9", "32G⁹"), =HYPERLINK("CSG5.html#group8A5", "8A⁵"), =HYPERLINK("CSG21.html#group24J21", "24J²¹"), =HYPERLINK("CSG15.html#group48I15", "48I¹⁵"), =HYPERLINK("CSG21.html#group16C21", "16C²¹"), =HYPERLINK("CSG21.html#group32K21", "32K²¹"), =HYPERLINK("CSG21.html#group32F21", "32F²¹"), =HYPERLINK("CSG21.html#group32L21", "32L²¹"), =HYPERLINK("CSG21.html#group16F21", "16F²¹"), =HYPERLINK("CSG3.html#group16L3", "16L³"), =HYPERLINK("CSG9.html#group16B9", "16B⁹"), =HYPERLINK("CSG23.html#group32E23", "32E²³"), =HYPERLINK("CSG9.html#group16A9", "16A⁹"), =HYPERLINK("CSG15.html#group16A15", "16A¹⁵"), =HYPERLINK("CSG21.html#group32E21", "32E²¹"), =HYPERLINK("CSG18.html#group48F18", "48F¹⁸"), =HYPERLINK("CSG4.html#group16C4", "16C⁴"), =HYPERLINK("CSG9.html#group16H9", "16H⁹"), =HYPERLINK("CSG15.html#group24R15", "24R¹⁵"), =HYPERLINK("CSG21.html#group64P21", "64P²¹"), =HYPERLINK("CSG21.html#group64H21", "64H²¹")</f>
        <v/>
      </c>
    </row>
    <row r="141">
      <c r="A141" t="inlineStr">
        <is>
          <t>8J¹</t>
        </is>
      </c>
      <c r="B141" t="inlineStr"/>
      <c r="C141" t="inlineStr">
        <is>
          <t>64</t>
        </is>
      </c>
      <c r="D141" t="inlineStr">
        <is>
          <t>1</t>
        </is>
      </c>
      <c r="E141" t="inlineStr">
        <is>
          <t>16</t>
        </is>
      </c>
      <c r="F141" t="inlineStr">
        <is>
          <t>0</t>
        </is>
      </c>
      <c r="G141" t="inlineStr">
        <is>
          <t>4</t>
        </is>
      </c>
      <c r="H141" t="inlineStr">
        <is>
          <t>8⁸</t>
        </is>
      </c>
      <c r="I141" t="n">
        <v>8</v>
      </c>
      <c r="J141" t="inlineStr">
        <is>
          <t>4⁴</t>
        </is>
      </c>
      <c r="K141">
        <f>HYPERLINK("CSG0.html#group8E0", "8E⁰"), =HYPERLINK("CSG0.html#group8M0", "8M⁰"), =HYPERLINK("CSG1.html#group8E1", "8E¹")</f>
        <v/>
      </c>
      <c r="L141">
        <f>HYPERLINK("CSG5.html#group8A5", "8A⁵"), =HYPERLINK("CSG5.html#group16K5", "16K⁵"), =HYPERLINK("CSG11.html#group24C11", "24C¹¹"), =HYPERLINK("CSG13.html#group16A13", "16A¹³"), =HYPERLINK("CSG13.html#group24D13", "24D¹³"), =HYPERLINK("CSG13.html#group24I13", "24I¹³"), =HYPERLINK("CSG21.html#group40C21", "40C²¹")</f>
        <v/>
      </c>
      <c r="M141">
        <f>HYPERLINK("CSG0.html#group2A0", "2A⁰"), =HYPERLINK("CSG0.html#group8F0", "8F⁰"), =HYPERLINK("CSG0.html#group4A0", "4A⁰"), =HYPERLINK("CSG0.html#group4D0", "4D⁰"), =HYPERLINK("CSG0.html#group8A0", "8A⁰"), =HYPERLINK("CSG0.html#group8E0", "8E⁰"), =HYPERLINK("CSG1.html#group8E1", "8E¹"), =HYPERLINK("CSG0.html#group8M0", "8M⁰"), =HYPERLINK("CSG0.html#group1A0", "1A⁰")</f>
        <v/>
      </c>
      <c r="N141">
        <f>HYPERLINK("CSG11.html#group24C11", "24C¹¹"), =HYPERLINK("CSG13.html#group16A13", "16A¹³"), =HYPERLINK("CSG13.html#group16B13", "16B¹³"), =HYPERLINK("CSG13.html#group24D13", "24D¹³"), =HYPERLINK("CSG21.html#group16B21", "16B²¹"), =HYPERLINK("CSG13.html#group32S13", "32S¹³"), =HYPERLINK("CSG21.html#group40C21", "40C²¹"), =HYPERLINK("CSG5.html#group16K5", "16K⁵"), =HYPERLINK("CSG5.html#group8A5", "8A⁵"), =HYPERLINK("CSG13.html#group24I13", "24I¹³"), =HYPERLINK("CSG17.html#group16A17", "16A¹⁷")</f>
        <v/>
      </c>
    </row>
    <row r="142">
      <c r="A142" t="inlineStr">
        <is>
          <t>8K¹</t>
        </is>
      </c>
      <c r="B142" t="inlineStr"/>
      <c r="C142" t="inlineStr">
        <is>
          <t>96</t>
        </is>
      </c>
      <c r="D142" t="inlineStr">
        <is>
          <t>1</t>
        </is>
      </c>
      <c r="E142" t="inlineStr">
        <is>
          <t>3</t>
        </is>
      </c>
      <c r="F142" t="inlineStr">
        <is>
          <t>0</t>
        </is>
      </c>
      <c r="G142" t="inlineStr">
        <is>
          <t>0</t>
        </is>
      </c>
      <c r="H142" t="inlineStr">
        <is>
          <t>4⁸, 8⁸</t>
        </is>
      </c>
      <c r="I142" t="n">
        <v>16</v>
      </c>
      <c r="J142" t="inlineStr">
        <is>
          <t>1³</t>
        </is>
      </c>
      <c r="K142">
        <f>HYPERLINK("CSG0.html#group8N0", "8N⁰"), =HYPERLINK("CSG0.html#group8O0", "8O⁰"), =HYPERLINK("CSG0.html#group8P0", "8P⁰"), =HYPERLINK("CSG1.html#group8F1", "8F¹"), =HYPERLINK("CSG1.html#group8G1", "8G¹")</f>
        <v/>
      </c>
      <c r="L142">
        <f>HYPERLINK("CSG5.html#group8A5", "8A⁵"), =HYPERLINK("CSG5.html#group16M5", "16M⁵"), =HYPERLINK("CSG5.html#group16O5", "16O⁵"), =HYPERLINK("CSG9.html#group16E9", "16E⁹"), =HYPERLINK("CSG17.html#group24B17", "24B¹⁷"), =HYPERLINK("CSG17.html#group24AO17", "24AO¹⁷")</f>
        <v/>
      </c>
      <c r="M142">
        <f>HYPERLINK("CSG0.html#group2A0", "2A⁰"), =HYPERLINK("CSG0.html#group8N0", "8N⁰"), =HYPERLINK("CSG1.html#group8A1", "8A¹"), =HYPERLINK("CSG0.html#group8D0", "8D⁰"), =HYPERLINK("CSG0.html#group4C0", "4C⁰"), =HYPERLINK("CSG0.html#group8B0", "8B⁰"), =HYPERLINK("CSG0.html#group4G0", "4G⁰"), =HYPERLINK("CSG0.html#group2B0", "2B⁰"), =HYPERLINK("CSG0.html#group4E0", "4E⁰"), =HYPERLINK("CSG0.html#group8L0", "8L⁰"), =HYPERLINK("CSG1.html#group8B1", "8B¹"), =HYPERLINK("CSG0.html#group4B0", "4B⁰"), =HYPERLINK("CSG1.html#group8F1", "8F¹"), =HYPERLINK("CSG0.html#group8K0", "8K⁰"), =HYPERLINK("CSG0.html#group1A0", "1A⁰"), =HYPERLINK("CSG0.html#group8C0", "8C⁰"), =HYPERLINK("CSG0.html#group8I0", "8I⁰"), =HYPERLINK("CSG0.html#group8H0", "8H⁰"), =HYPERLINK("CSG1.html#group8C1", "8C¹"), =HYPERLINK("CSG0.html#group8G0", "8G⁰"), =HYPERLINK("CSG0.html#group4A0", "4A⁰"), =HYPERLINK("CSG1.html#group8G1", "8G¹"), =HYPERLINK("CSG0.html#group4D0", "4D⁰"), =HYPERLINK("CSG0.html#group4F0", "4F⁰"), =HYPERLINK("CSG0.html#group8P0", "8P⁰"), =HYPERLINK("CSG0.html#group8J0", "8J⁰"), =HYPERLINK("CSG0.html#group2C0", "2C⁰"), =HYPERLINK("CSG0.html#group8O0", "8O⁰")</f>
        <v/>
      </c>
      <c r="N142">
        <f>HYPERLINK("CSG17.html#group32E17", "32E¹⁷"), =HYPERLINK("CSG13.html#group32T13", "32T¹³"), =HYPERLINK("CSG17.html#group24B17", "24B¹⁷"), =HYPERLINK("CSG13.html#group16B13", "16B¹³"), =HYPERLINK("CSG5.html#group16M5", "16M⁵"), =HYPERLINK("CSG5.html#group16O5", "16O⁵"), =HYPERLINK("CSG17.html#group16B17", "16B¹⁷"), =HYPERLINK("CSG21.html#group32C21", "32C²¹"), =HYPERLINK("CSG21.html#group16B21", "16B²¹"), =HYPERLINK("CSG13.html#group16C13", "16C¹³"), =HYPERLINK("CSG17.html#group32A17", "32A¹⁷"), =HYPERLINK("CSG5.html#group8A5", "8A⁵"), =HYPERLINK("CSG9.html#group16E9", "16E⁹"), =HYPERLINK("CSG17.html#group16A17", "16A¹⁷"), =HYPERLINK("CSG17.html#group24AO17", "24AO¹⁷")</f>
        <v/>
      </c>
    </row>
    <row r="143">
      <c r="A143" t="inlineStr">
        <is>
          <t>9A¹</t>
        </is>
      </c>
      <c r="B143" t="inlineStr"/>
      <c r="C143" t="inlineStr">
        <is>
          <t>12</t>
        </is>
      </c>
      <c r="D143" t="inlineStr">
        <is>
          <t>1</t>
        </is>
      </c>
      <c r="E143" t="inlineStr">
        <is>
          <t>4</t>
        </is>
      </c>
      <c r="F143" t="inlineStr">
        <is>
          <t>0</t>
        </is>
      </c>
      <c r="G143" t="inlineStr">
        <is>
          <t>0</t>
        </is>
      </c>
      <c r="H143" t="inlineStr">
        <is>
          <t>3¹, 9¹</t>
        </is>
      </c>
      <c r="I143" t="n">
        <v>2</v>
      </c>
      <c r="J143" t="inlineStr">
        <is>
          <t>1², 2¹</t>
        </is>
      </c>
      <c r="K143">
        <f>HYPERLINK("CSG0.html#group3B0", "3B⁰")</f>
        <v/>
      </c>
      <c r="L143">
        <f>HYPERLINK("CSG1.html#group9C1", "9C¹"), =HYPERLINK("CSG1.html#group9D1", "9D¹"), =HYPERLINK("CSG2.html#group18B2", "18B²"), =HYPERLINK("CSG2.html#group18E2", "18E²"), =HYPERLINK("CSG4.html#group36C4", "36C⁴"), =HYPERLINK("CSG5.html#group45A5", "45A⁵"), =HYPERLINK("CSG5.html#group45D5", "45D⁵"), =HYPERLINK("CSG7.html#group63A7", "63A⁷"), =HYPERLINK("CSG7.html#group63B7", "63B⁷"), =HYPERLINK("CSG9.html#group45A9", "45A⁹"), =HYPERLINK("CSG11.html#group99A11", "99A¹¹"), =HYPERLINK("CSG11.html#group99C11", "99C¹¹"), =HYPERLINK("CSG13.html#group117A13", "117A¹³"), =HYPERLINK("CSG17.html#group153B17", "153B¹⁷"), =HYPERLINK("CSG19.html#group171A19", "171A¹⁹"), =HYPERLINK("CSG23.html#group207B23", "207B²³")</f>
        <v/>
      </c>
      <c r="M143">
        <f>HYPERLINK("CSG0.html#group3B0", "3B⁰"), =HYPERLINK("CSG0.html#group1A0", "1A⁰")</f>
        <v/>
      </c>
      <c r="N143">
        <f>HYPERLINK("CSG19.html#group72H19", "72H¹⁹"), =HYPERLINK("CSG10.html#group27B10", "27B¹⁰"), =HYPERLINK("CSG19.html#group27A19", "27A¹⁹"), =HYPERLINK("CSG10.html#group18M10", "18M¹⁰"), =HYPERLINK("CSG10.html#group36H10", "36H¹⁰"), =HYPERLINK("CSG1.html#group9H1", "9H¹"), =HYPERLINK("CSG7.html#group63B7", "63B⁷"), =HYPERLINK("CSG16.html#group54K16", "54K¹⁶"), =HYPERLINK("CSG13.html#group45K13", "45K¹³"), =HYPERLINK("CSG21.html#group72H21", "72H²¹"), =HYPERLINK("CSG16.html#group18B16", "18B¹⁶"), =HYPERLINK("CSG22.html#group72D22", "72D²²"), =HYPERLINK("CSG20.html#group126D20", "126D²⁰"), =HYPERLINK("CSG22.html#group36L22", "36L²²"), =HYPERLINK("CSG15.html#group90H15", "90H¹⁵"), =HYPERLINK("CSG8.html#group36K8", "36K⁸"), =HYPERLINK("CSG19.html#group63F19", "63F¹⁹"), =HYPERLINK("CSG19.html#group63M19", "63M¹⁹"), =HYPERLINK("CSG13.html#group45C13", "45C¹³"), =HYPERLINK("CSG4.html#group18E4", "18E⁴"), =HYPERLINK("CSG23.html#group144D23", "144D²³"), =HYPERLINK("CSG19.html#group36J19", "36J¹⁹"), =HYPERLINK("CSG16.html#group54O16", "54O¹⁶"), =HYPERLINK("CSG23.html#group144N23", "144N²³"), =HYPERLINK("CSG13.html#group54I13", "54I¹³"), =HYPERLINK("CSG15.html#group72A15", "72A¹⁵"), =HYPERLINK("CSG4.html#group27C4", "27C⁴"), =HYPERLINK("CSG15.html#group126A15", "126A¹⁵"), =HYPERLINK("CSG5.html#group45A5", "45A⁵"), =HYPERLINK("CSG10.html#group18E10", "18E¹⁰"), =HYPERLINK("CSG10.html#group36K10", "36K¹⁰"), =HYPERLINK("CSG13.html#group36K13", "36K¹³"), =HYPERLINK("CSG21.html#group72B21", "72B²¹"), =HYPERLINK("CSG20.html#group72B20", "72B²⁰"), =HYPERLINK("CSG11.html#group90B11", "90B¹¹"), =HYPERLINK("CSG23.html#group144B23", "144B²³"), =HYPERLINK("CSG4.html#group18J4", "18J⁴"), =HYPERLINK("CSG23.html#group180L23", "180L²³"), =HYPERLINK("CSG4.html#group18Q4", "18Q⁴"), =HYPERLINK("CSG1.html#group9C1", "9C¹"), =HYPERLINK("CSG4.html#group36C4", "36C⁴"), =HYPERLINK("CSG19.html#group36D19", "36D¹⁹"), =HYPERLINK("CSG17.html#group45A17", "45A¹⁷"), =HYPERLINK("CSG9.html#group36D9", "36D⁹"), =HYPERLINK("CSG17.html#group72P17", "72P¹⁷"), =HYPERLINK("CSG7.html#group27A7", "27A⁷"), =HYPERLINK("CSG23.html#group144H23", "144H²³"), =HYPERLINK("CSG22.html#group54A22", "54A²²"), =HYPERLINK("CSG10.html#group36I10", "36I¹⁰"), =HYPERLINK("CSG17.html#group45F17", "45F¹⁷"), =HYPERLINK("CSG16.html#group54N16", "54N¹⁶"), =HYPERLINK("CSG19.html#group144H19", "144H¹⁹"), =HYPERLINK("CSG21.html#group72D21", "72D²¹"), =HYPERLINK("CSG2.html#group18E2", "18E²"), =HYPERLINK("CSG22.html#group36Q22", "36Q²²"), =HYPERLINK("CSG10.html#group36L10", "36L¹⁰"), =HYPERLINK("CSG13.html#group63C13", "63C¹³"), =HYPERLINK("CSG4.html#group18F4", "18F⁴"), =HYPERLINK("CSG19.html#group90A19", "90A¹⁹"), =HYPERLINK("CSG10.html#group36S10", "36S¹⁰"), =HYPERLINK("CSG10.html#group72B10", "72B¹⁰"), =HYPERLINK("CSG22.html#group72C22", "72C²²"), =HYPERLINK("CSG7.html#group63A7", "63A⁷"), =HYPERLINK("CSG7.html#group36A7", "36A⁷"), =HYPERLINK("CSG19.html#group63J19", "63J¹⁹"), =HYPERLINK("CSG20.html#group180C20", "180C²⁰"), =HYPERLINK("CSG7.html#group27E7", "27E⁷"), =HYPERLINK("CSG22.html#group36K22", "36K²²"), =HYPERLINK("CSG21.html#group99B21", "99B²¹"), =HYPERLINK("CSG22.html#group27A22", "27A²²"), =HYPERLINK("CSG19.html#group63K19", "63K¹⁹"), =HYPERLINK("CSG11.html#group99C11", "99C¹¹"), =HYPERLINK("CSG22.html#group54G22", "54G²²"), =HYPERLINK("CSG4.html#group18I4", "18I⁴"), =HYPERLINK("CSG23.html#group207B23", "207B²³"), =HYPERLINK("CSG13.html#group45M13", "45M¹³"), =HYPERLINK("CSG22.html#group36O22", "36O²²"), =HYPERLINK("CSG21.html#group72J21", "72J²¹"), =HYPERLINK("CSG20.html#group180A20", "180A²⁰"), =HYPERLINK("CSG19.html#group63L19", "63L¹⁹"), =HYPERLINK("CSG13.html#group45D13", "45D¹³"), =HYPERLINK("CSG16.html#group144A16", "144A¹⁶"), =HYPERLINK("CSG22.html#group72B22", "72B²²"), =HYPERLINK("CSG23.html#group144F23", "144F²³"), =HYPERLINK("CSG10.html#group9A10", "9A¹⁰"), =HYPERLINK("CSG2.html#group18B2", "18B²"), =HYPERLINK("CSG11.html#group72D11", "72D¹¹"), =HYPERLINK("CSG23.html#group180B23", "180B²³"), =HYPERLINK("CSG19.html#group144F19", "144F¹⁹"), =HYPERLINK("CSG19.html#group27B19", "27B¹⁹"), =HYPERLINK("CSG21.html#group72L21", "72L²¹"), =HYPERLINK("CSG19.html#group144B19", "144B¹⁹"), =HYPERLINK("CSG4.html#group18D4", "18D⁴"), =HYPERLINK("CSG22.html#group72N22", "72N²²"), =HYPERLINK("CSG4.html#group18M4", "18M⁴"), =HYPERLINK("CSG23.html#group144P23", "144P²³"), =HYPERLINK("CSG13.html#group45B13", "45B¹³"), =HYPERLINK("CSG17.html#group153B17", "153B¹⁷"), =HYPERLINK("CSG11.html#group72B11", "72B¹¹"), =HYPERLINK("CSG9.html#group72E9", "72E⁹"), =HYPERLINK("CSG21.html#group72F21", "72F²¹"), =HYPERLINK("CSG19.html#group63C19", "63C¹⁹"), =HYPERLINK("CSG22.html#group144B22", "144B²²"), =HYPERLINK("CSG11.html#group90D11", "90D¹¹"), =HYPERLINK("CSG19.html#group72J19", "72J¹⁹"), =HYPERLINK("CSG17.html#group36B17", "36B¹⁷"), =HYPERLINK("CSG13.html#group18G13", "18G¹³"), =HYPERLINK("CSG21.html#group90D21", "90D²¹"), =HYPERLINK("CSG19.html#group144D19", "144D¹⁹"), =HYPERLINK("CSG10.html#group18J10", "18J¹⁰"), =HYPERLINK("CSG20.html#group144B20", "144B²⁰"), =HYPERLINK("CSG9.html#group45A9", "45A⁹"), =HYPERLINK("CSG15.html#group72B15", "72B¹⁵"), =HYPERLINK("CSG9.html#group45D9", "45D⁹"), =HYPERLINK("CSG19.html#group72F19", "72F¹⁹"), =HYPERLINK("CSG10.html#group18H10", "18H¹⁰"), =HYPERLINK("CSG19.html#group36F19", "36F¹⁹"), =HYPERLINK("CSG21.html#group126K21", "126K²¹"), =HYPERLINK("CSG14.html#group126A14", "126A¹⁴"), =HYPERLINK("CSG21.html#group144F21", "144F²¹"), =HYPERLINK("CSG19.html#group63I19", "63I¹⁹"), =HYPERLINK("CSG23.html#group198B23", "198B²³"), =HYPERLINK("CSG13.html#group45E13", "45E¹³"), =HYPERLINK("CSG19.html#group27F19", "27F¹⁹"), =HYPERLINK("CSG13.html#group18C13", "18C¹³"), =HYPERLINK("CSG15.html#group126B15", "126B¹⁵"), =HYPERLINK("CSG16.html#group54T16", "54T¹⁶"), =HYPERLINK("CSG10.html#group18D10", "18D¹⁰"), =HYPERLINK("CSG16.html#group54A16", "54A¹⁶"), =HYPERLINK("CSG5.html#group36B5", "36B⁵"), =HYPERLINK("CSG13.html#group36D13", "36D¹³"), =HYPERLINK("CSG11.html#group99A11", "99A¹¹"), =HYPERLINK("CSG21.html#group90F21", "90F²¹"), =HYPERLINK("CSG13.html#group27C13", "27C¹³"), =HYPERLINK("CSG19.html#group72L19", "72L¹⁹"), =HYPERLINK("CSG19.html#group63B19", "63B¹⁹"), =HYPERLINK("CSG22.html#group81A22", "81A²²"), =HYPERLINK("CSG19.html#group36I19", "36I¹⁹"), =HYPERLINK("CSG10.html#group72D10", "72D¹⁰"), =HYPERLINK("CSG4.html#group36A4", "36A⁴"), =HYPERLINK("CSG22.html#group72L22", "72L²²"), =HYPERLINK("CSG16.html#group81A16", "81A¹⁶"), =HYPERLINK("CSG13.html#group63A13", "63A¹³"), =HYPERLINK("CSG19.html#group27E19", "27E¹⁹"), =HYPERLINK("CSG19.html#group72B19", "72B¹⁹"), =HYPERLINK("CSG8.html#group72A8", "72A⁸"), =HYPERLINK("CSG8.html#group36I8", "36I⁸"), =HYPERLINK("CSG10.html#group36G10", "36G¹⁰"), =HYPERLINK("CSG19.html#group36B19", "36B¹⁹"), =HYPERLINK("CSG13.html#group54E13", "54E¹³"), =HYPERLINK("CSG23.html#group198D23", "198D²³"), =HYPERLINK("CSG10.html#group36B10", "36B¹⁰"), =HYPERLINK("CSG19.html#group81C19", "81C¹⁹"), =HYPERLINK("CSG19.html#group72N19", "72N¹⁹"), =HYPERLINK("CSG23.html#group144L23", "144L²³"), =HYPERLINK("CSG15.html#group72E15", "72E¹⁵"), =HYPERLINK("CSG14.html#group90B14", "90B¹⁴"), =HYPERLINK("CSG19.html#group90B19", "90B¹⁹"), =HYPERLINK("CSG16.html#group54H16", "54H¹⁶"), =HYPERLINK("CSG19.html#group171A19", "171A¹⁹"), =HYPERLINK("CSG13.html#group45F13", "45F¹³"), =HYPERLINK("CSG7.html#group27D7", "27D⁷"), =HYPERLINK("CSG1.html#group9D1", "9D¹"), =HYPERLINK("CSG22.html#group198A22", "198A²²"), =HYPERLINK("CSG13.html#group117A13", "117A¹³"), =HYPERLINK("CSG23.html#group144J23", "144J²³"), =HYPERLINK("CSG8.html#group72G8", "72G⁸"), =HYPERLINK("CSG10.html#group36C10", "36C¹⁰"), =HYPERLINK("CSG10.html#group36Q10", "36Q¹⁰"), =HYPERLINK("CSG13.html#group36A13", "36A¹³"), =HYPERLINK("CSG23.html#group180D23", "180D²³"), =HYPERLINK("CSG14.html#group126B14", "126B¹⁴"), =HYPERLINK("CSG4.html#group36G4", "36G⁴"), =HYPERLINK("CSG16.html#group54G16", "54G¹⁶"), =HYPERLINK("CSG19.html#group72D19", "72D¹⁹"), =HYPERLINK("CSG19.html#group63H19", "63H¹⁹"), =HYPERLINK("CSG5.html#group45D5", "45D⁵"), =HYPERLINK("CSG23.html#group180J23", "180J²³"), =HYPERLINK("CSG13.html#group45G13", "45G¹³"), =HYPERLINK("CSG10.html#group36D10", "36D¹⁰"), =HYPERLINK("CSG10.html#group90A10", "90A¹⁰"), =HYPERLINK("CSG21.html#group144H21", "144H²¹"), =HYPERLINK("CSG4.html#group9B4", "9B⁴"), =HYPERLINK("CSG19.html#group36E19", "36E¹⁹"), =HYPERLINK("CSG22.html#group54E22", "54E²²"), =HYPERLINK("CSG16.html#group27B16", "27B¹⁶"), =HYPERLINK("CSG10.html#group18F10", "18F¹⁰")</f>
        <v/>
      </c>
    </row>
    <row r="144">
      <c r="A144" t="inlineStr">
        <is>
          <t>9B¹</t>
        </is>
      </c>
      <c r="B144" t="inlineStr"/>
      <c r="C144" t="inlineStr">
        <is>
          <t>18</t>
        </is>
      </c>
      <c r="D144" t="inlineStr">
        <is>
          <t>2</t>
        </is>
      </c>
      <c r="E144" t="inlineStr">
        <is>
          <t>9</t>
        </is>
      </c>
      <c r="F144" t="inlineStr">
        <is>
          <t>2</t>
        </is>
      </c>
      <c r="G144" t="inlineStr">
        <is>
          <t>0</t>
        </is>
      </c>
      <c r="H144" t="inlineStr">
        <is>
          <t>9²</t>
        </is>
      </c>
      <c r="I144" t="n">
        <v>2</v>
      </c>
      <c r="J144" t="inlineStr">
        <is>
          <t>2³, 6²</t>
        </is>
      </c>
      <c r="K144">
        <f>HYPERLINK("CSG0.html#group3C0", "3C⁰"), =HYPERLINK("CSG0.html#group9A0", "9A⁰")</f>
        <v/>
      </c>
      <c r="L144">
        <f>HYPERLINK("CSG1.html#group9F1", "9F¹"), =HYPERLINK("CSG2.html#group9A2", "9A²"), =HYPERLINK("CSG2.html#group9B2", "9B²"), =HYPERLINK("CSG2.html#group18G2", "18G²"), =HYPERLINK("CSG3.html#group18C3", "18C³"), =HYPERLINK("CSG3.html#group18E3", "18E³"), =HYPERLINK("CSG5.html#group36E5", "36E⁵"), =HYPERLINK("CSG7.html#group45A7", "45A⁷"), =HYPERLINK("CSG7.html#group45B7", "45B⁷"), =HYPERLINK("CSG9.html#group63B9", "63B⁹"), =HYPERLINK("CSG9.html#group63A9", "63A⁹"), =HYPERLINK("CSG11.html#group63C11", "63C¹¹"), =HYPERLINK("CSG13.html#group45J13", "45J¹³"), =HYPERLINK("CSG15.html#group99A15", "99A¹⁵"), =HYPERLINK("CSG15.html#group99B15", "99B¹⁵"), =HYPERLINK("CSG17.html#group99B17", "99B¹⁷"), =HYPERLINK("CSG19.html#group117A19", "117A¹⁹")</f>
        <v/>
      </c>
      <c r="M144">
        <f>HYPERLINK("CSG0.html#group3C0", "3C⁰"), =HYPERLINK("CSG0.html#group3A0", "3A⁰"), =HYPERLINK("CSG0.html#group1A0", "1A⁰"), =HYPERLINK("CSG0.html#group9A0", "9A⁰")</f>
        <v/>
      </c>
      <c r="N144">
        <f>HYPERLINK("CSG20.html#group45A20", "45A²⁰"), =HYPERLINK("CSG7.html#group18E7", "18E⁷"), =HYPERLINK("CSG21.html#group90B21", "90B²¹"), =HYPERLINK("CSG15.html#group72T15", "72T¹⁵"), =HYPERLINK("CSG16.html#group18B16", "18B¹⁶"), =HYPERLINK("CSG6.html#group36H6", "36H⁶"), =HYPERLINK("CSG19.html#group117A19", "117A¹⁹"), =HYPERLINK("CSG19.html#group36R19", "36R¹⁹"), =HYPERLINK("CSG13.html#group36C13", "36C¹³"), =HYPERLINK("CSG7.html#group36E7", "36E⁷"), =HYPERLINK("CSG13.html#group18A13", "18A¹³"), =HYPERLINK("CSG22.html#group54H22", "54H²²"), =HYPERLINK("CSG7.html#group27H7", "27H⁷"), =HYPERLINK("CSG20.html#group63A20", "63A²⁰"), =HYPERLINK("CSG1.html#group9F1", "9F¹"), =HYPERLINK("CSG10.html#group27A10", "27A¹⁰"), =HYPERLINK("CSG15.html#group36N15", "36N¹⁵"), =HYPERLINK("CSG6.html#group18E6", "18E⁶"), =HYPERLINK("CSG17.html#group99B17", "99B¹⁷"), =HYPERLINK("CSG16.html#group18H16", "18H¹⁶"), =HYPERLINK("CSG7.html#group18M7", "18M⁷"), =HYPERLINK("CSG7.html#group36D7", "36D⁷"), =HYPERLINK("CSG13.html#group36P13", "36P¹³"), =HYPERLINK("CSG11.html#group36A11", "36A¹¹"), =HYPERLINK("CSG15.html#group72R15", "72R¹⁵"), =HYPERLINK("CSG16.html#group18G16", "18G¹⁶"), =HYPERLINK("CSG4.html#group9C4", "9C⁴"), =HYPERLINK("CSG6.html#group18A6", "18A⁶"), =HYPERLINK("CSG16.html#group27A16", "27A¹⁶"), =HYPERLINK("CSG15.html#group36F15", "36F¹⁵"), =HYPERLINK("CSG19.html#group63E19", "63E¹⁹"), =HYPERLINK("CSG15.html#group45A15", "45A¹⁵"), =HYPERLINK("CSG18.html#group126D18", "126D¹⁸"), =HYPERLINK("CSG21.html#group72P21", "72P²¹"), =HYPERLINK("CSG21.html#group54B21", "54B²¹"), =HYPERLINK("CSG13.html#group18B13", "18B¹³"), =HYPERLINK("CSG23.html#group144S23", "144S²³"), =HYPERLINK("CSG16.html#group36I16", "36I¹⁶"), =HYPERLINK("CSG22.html#group18A22", "18A²²"), =HYPERLINK("CSG14.html#group90D14", "90D¹⁴"), =HYPERLINK("CSG24.html#group54A24", "54A²⁴"), =HYPERLINK("CSG8.html#group36E8", "36E⁸"), =HYPERLINK("CSG15.html#group72V15", "72V¹⁵"), =HYPERLINK("CSG4.html#group18S4", "18S⁴"), =HYPERLINK("CSG11.html#group36C11", "36C¹¹"), =HYPERLINK("CSG15.html#group90N15", "90N¹⁵"), =HYPERLINK("CSG16.html#group18C16", "18C¹⁶"), =HYPERLINK("CSG15.html#group90K15", "90K¹⁵"), =HYPERLINK("CSG11.html#group72E11", "72E¹¹"), =HYPERLINK("CSG13.html#group36S13", "36S¹³"), =HYPERLINK("CSG5.html#group18A5", "18A⁵"), =HYPERLINK("CSG14.html#group45A14", "45A¹⁴"), =HYPERLINK("CSG15.html#group36A15", "36A¹⁵"), =HYPERLINK("CSG9.html#group36K9", "36K⁹"), =HYPERLINK("CSG8.html#group27A8", "27A⁸"), =HYPERLINK("CSG2.html#group9B2", "9B²"), =HYPERLINK("CSG21.html#group45A21", "45A²¹"), =HYPERLINK("CSG19.html#group45G19", "45G¹⁹"), =HYPERLINK("CSG19.html#group45E19", "45E¹⁹"), =HYPERLINK("CSG2.html#group9A2", "9A²"), =HYPERLINK("CSG22.html#group27A22", "27A²²"), =HYPERLINK("CSG23.html#group126H23", "126H²³"), =HYPERLINK("CSG17.html#group72J17", "72J¹⁷"), =HYPERLINK("CSG7.html#group45B7", "45B⁷"), =HYPERLINK("CSG11.html#group72G11", "72G¹¹"), =HYPERLINK("CSG7.html#group45A7", "45A⁷"), =HYPERLINK("CSG6.html#group18B6", "18B⁶"), =HYPERLINK("CSG19.html#group45B19", "45B¹⁹"), =HYPERLINK("CSG19.html#group18E19", "18E¹⁹"), =HYPERLINK("CSG20.html#group126B20", "126B²⁰"), =HYPERLINK("CSG18.html#group63C18", "63C¹⁸"), =HYPERLINK("CSG22.html#group36C22", "36C²²"), =HYPERLINK("CSG6.html#group18D6", "18D⁶"), =HYPERLINK("CSG10.html#group9A10", "9A¹⁰"), =HYPERLINK("CSG5.html#group36C5", "36C⁵"), =HYPERLINK("CSG17.html#group90I17", "90I¹⁷"), =HYPERLINK("CSG15.html#group72O15", "72O¹⁵"), =HYPERLINK("CSG19.html#group36O19", "36O¹⁹"), =HYPERLINK("CSG15.html#group90F15", "90F¹⁵"), =HYPERLINK("CSG19.html#group36Q19", "36Q¹⁹"), =HYPERLINK("CSG22.html#group54J22", "54J²²"), =HYPERLINK("CSG19.html#group63D19", "63D¹⁹"), =HYPERLINK("CSG3.html#group18C3", "18C³"), =HYPERLINK("CSG22.html#group36H22", "36H²²"), =HYPERLINK("CSG21.html#group63A21", "63A²¹"), =HYPERLINK("CSG15.html#group99A15", "99A¹⁵"), =HYPERLINK("CSG13.html#group36R13", "36R¹³"), =HYPERLINK("CSG15.html#group36K15", "36K¹⁵"), =HYPERLINK("CSG22.html#group27B22", "27B²²"), =HYPERLINK("CSG17.html#group90K17", "90K¹⁷"), =HYPERLINK("CSG18.html#group126E18", "126E¹⁸"), =HYPERLINK("CSG15.html#group36I15", "36I¹⁵"), =HYPERLINK("CSG15.html#group36M15", "36M¹⁵"), =HYPERLINK("CSG18.html#group18A18", "18A¹⁸"), =HYPERLINK("CSG11.html#group72H11", "72H¹¹"), =HYPERLINK("CSG15.html#group45C15", "45C¹⁵"), =HYPERLINK("CSG23.html#group72G23", "72G²³"), =HYPERLINK("CSG23.html#group126G23", "126G²³"), =HYPERLINK("CSG21.html#group36A21", "36A²¹"), =HYPERLINK("CSG16.html#group54V16", "54V¹⁶"), =HYPERLINK("CSG5.html#group36E5", "36E⁵"), =HYPERLINK("CSG13.html#group45J13", "45J¹³"), =HYPERLINK("CSG15.html#group36J15", "36J¹⁵"), =HYPERLINK("CSG21.html#group126G21", "126G²¹"), =HYPERLINK("CSG13.html#group18C13", "18C¹³"), =HYPERLINK("CSG7.html#group18G7", "18G⁷"), =HYPERLINK("CSG19.html#group18B19", "18B¹⁹"), =HYPERLINK("CSG13.html#group18H13", "18H¹³"), =HYPERLINK("CSG8.html#group18A8", "18A⁸"), =HYPERLINK("CSG15.html#group72N15", "72N¹⁵"), =HYPERLINK("CSG22.html#group54K22", "54K²²"), =HYPERLINK("CSG23.html#group90B23", "90B²³"), =HYPERLINK("CSG4.html#group9A4", "9A⁴"), =HYPERLINK("CSG19.html#group36K19", "36K¹⁹"), =HYPERLINK("CSG21.html#group36C21", "36C²¹"), =HYPERLINK("CSG18.html#group63B18", "63B¹⁸"), =HYPERLINK("CSG17.html#group72I17", "72I¹⁷"), =HYPERLINK("CSG19.html#group27E19", "27E¹⁹"), =HYPERLINK("CSG18.html#group36A18", "36A¹⁸"), =HYPERLINK("CSG15.html#group72U15", "72U¹⁵"), =HYPERLINK("CSG7.html#group18C7", "18C⁷"), =HYPERLINK("CSG23.html#group72F23", "72F²³"), =HYPERLINK("CSG23.html#group144Q23", "144Q²³"), =HYPERLINK("CSG21.html#group126H21", "126H²¹"), =HYPERLINK("CSG23.html#group144R23", "144R²³"), =HYPERLINK("CSG23.html#group72H23", "72H²³"), =HYPERLINK("CSG21.html#group72Q21", "72Q²¹"), =HYPERLINK("CSG22.html#group27C22", "27C²²"), =HYPERLINK("CSG15.html#group36E15", "36E¹⁵"), =HYPERLINK("CSG19.html#group18D19", "18D¹⁹"), =HYPERLINK("CSG15.html#group36L15", "36L¹⁵"), =HYPERLINK("CSG19.html#group126C19", "126C¹⁹"), =HYPERLINK("CSG19.html#group18C19", "18C¹⁹"), =HYPERLINK("CSG21.html#group72W21", "72W²¹"), =HYPERLINK("CSG15.html#group72S15", "72S¹⁵"), =HYPERLINK("CSG11.html#group72F11", "72F¹¹"), =HYPERLINK("CSG9.html#group63A9", "63A⁹"), =HYPERLINK("CSG13.html#group45N13", "45N¹³"), =HYPERLINK("CSG11.html#group36F11", "36F¹¹"), =HYPERLINK("CSG11.html#group27A11", "27A¹¹"), =HYPERLINK("CSG21.html#group72S21", "72S²¹"), =HYPERLINK("CSG15.html#group99B15", "99B¹⁵"), =HYPERLINK("CSG16.html#group18A16", "18A¹⁶"), =HYPERLINK("CSG21.html#group54A21", "54A²¹"), =HYPERLINK("CSG9.html#group63B9", "63B⁹"), =HYPERLINK("CSG3.html#group18E3", "18E³"), =HYPERLINK("CSG23.html#group144T23", "144T²³"), =HYPERLINK("CSG15.html#group36O15", "36O¹⁵"), =HYPERLINK("CSG13.html#group72L13", "72L¹³"), =HYPERLINK("CSG4.html#group9B4", "9B⁴"), =HYPERLINK("CSG19.html#group45C19", "45C¹⁹"), =HYPERLINK("CSG13.html#group18F13", "18F¹³"), =HYPERLINK("CSG24.html#group54B24", "54B²⁴"), =HYPERLINK("CSG19.html#group126B19", "126B¹⁹"), =HYPERLINK("CSG20.html#group126A20", "126A²⁰"), =HYPERLINK("CSG7.html#group18F7", "18F⁷"), =HYPERLINK("CSG2.html#group18G2", "18G²"), =HYPERLINK("CSG11.html#group63C11", "63C¹¹"), =HYPERLINK("CSG13.html#group36O13", "36O¹³"), =HYPERLINK("CSG16.html#group27B16", "27B¹⁶")</f>
        <v/>
      </c>
    </row>
    <row r="145">
      <c r="A145" t="inlineStr">
        <is>
          <t>9C¹</t>
        </is>
      </c>
      <c r="B145" t="inlineStr"/>
      <c r="C145" t="inlineStr">
        <is>
          <t>36</t>
        </is>
      </c>
      <c r="D145" t="inlineStr">
        <is>
          <t>1</t>
        </is>
      </c>
      <c r="E145" t="inlineStr">
        <is>
          <t>4</t>
        </is>
      </c>
      <c r="F145" t="inlineStr">
        <is>
          <t>0</t>
        </is>
      </c>
      <c r="G145" t="inlineStr">
        <is>
          <t>0</t>
        </is>
      </c>
      <c r="H145" t="inlineStr">
        <is>
          <t>3³, 9³</t>
        </is>
      </c>
      <c r="I145" t="n">
        <v>6</v>
      </c>
      <c r="J145" t="inlineStr">
        <is>
          <t>1², 2¹</t>
        </is>
      </c>
      <c r="K145">
        <f>HYPERLINK("CSG0.html#group3D0", "3D⁰"), =HYPERLINK("CSG0.html#group9B0", "9B⁰"), =HYPERLINK("CSG0.html#group9C0", "9C⁰"), =HYPERLINK("CSG1.html#group9A1", "9A¹")</f>
        <v/>
      </c>
      <c r="L145">
        <f>HYPERLINK("CSG1.html#group9H1", "9H¹"), =HYPERLINK("CSG4.html#group9B4", "9B⁴"), =HYPERLINK("CSG4.html#group18E4", "18E⁴"), =HYPERLINK("CSG4.html#group18M4", "18M⁴"), =HYPERLINK("CSG4.html#group27C4", "27C⁴"), =HYPERLINK("CSG7.html#group27A7", "27A⁷"), =HYPERLINK("CSG7.html#group27D7", "27D⁷"), =HYPERLINK("CSG10.html#group36H10", "36H¹⁰"), =HYPERLINK("CSG13.html#group45C13", "45C¹³"), =HYPERLINK("CSG13.html#group45K13", "45K¹³"), =HYPERLINK("CSG19.html#group63C19", "63C¹⁹"), =HYPERLINK("CSG19.html#group63I19", "63I¹⁹")</f>
        <v/>
      </c>
      <c r="M145">
        <f>HYPERLINK("CSG0.html#group3B0", "3B⁰"), =HYPERLINK("CSG1.html#group9A1", "9A¹"), =HYPERLINK("CSG0.html#group9B0", "9B⁰"), =HYPERLINK("CSG0.html#group3C0", "3C⁰"), =HYPERLINK("CSG0.html#group9C0", "9C⁰"), =HYPERLINK("CSG0.html#group3A0", "3A⁰"), =HYPERLINK("CSG0.html#group1A0", "1A⁰"), =HYPERLINK("CSG0.html#group3D0", "3D⁰")</f>
        <v/>
      </c>
      <c r="N145">
        <f>HYPERLINK("CSG7.html#group27A7", "27A⁷"), =HYPERLINK("CSG10.html#group27B10", "27B¹⁰"), =HYPERLINK("CSG19.html#group27A19", "27A¹⁹"), =HYPERLINK("CSG19.html#group63C19", "63C¹⁹"), =HYPERLINK("CSG22.html#group54A22", "54A²²"), =HYPERLINK("CSG10.html#group18M10", "18M¹⁰"), =HYPERLINK("CSG10.html#group36H10", "36H¹⁰"), =HYPERLINK("CSG19.html#group27E19", "27E¹⁹"), =HYPERLINK("CSG22.html#group72L22", "72L²²"), =HYPERLINK("CSG1.html#group9H1", "9H¹"), =HYPERLINK("CSG13.html#group18G13", "18G¹³"), =HYPERLINK("CSG16.html#group54K16", "54K¹⁶"), =HYPERLINK("CSG13.html#group45K13", "45K¹³"), =HYPERLINK("CSG16.html#group18B16", "18B¹⁶"), =HYPERLINK("CSG22.html#group72C22", "72C²²"), =HYPERLINK("CSG19.html#group81C19", "81C¹⁹"), =HYPERLINK("CSG22.html#group36L22", "36L²²"), =HYPERLINK("CSG22.html#group36K22", "36K²²"), =HYPERLINK("CSG22.html#group27A22", "27A²²"), =HYPERLINK("CSG16.html#group54H16", "54H¹⁶"), =HYPERLINK("CSG7.html#group27D7", "27D⁷"), =HYPERLINK("CSG13.html#group45C13", "45C¹³"), =HYPERLINK("CSG4.html#group18E4", "18E⁴"), =HYPERLINK("CSG10.html#group36C10", "36C¹⁰"), =HYPERLINK("CSG16.html#group81A16", "81A¹⁶"), =HYPERLINK("CSG10.html#group36Q10", "36Q¹⁰"), =HYPERLINK("CSG19.html#group63I19", "63I¹⁹"), =HYPERLINK("CSG13.html#group54I13", "54I¹³"), =HYPERLINK("CSG4.html#group27C4", "27C⁴"), =HYPERLINK("CSG13.html#group18C13", "18C¹³"), =HYPERLINK("CSG10.html#group18F10", "18F¹⁰"), =HYPERLINK("CSG10.html#group18E10", "18E¹⁰"), =HYPERLINK("CSG16.html#group54T16", "54T¹⁶"), =HYPERLINK("CSG16.html#group54A16", "54A¹⁶"), =HYPERLINK("CSG10.html#group18D10", "18D¹⁰"), =HYPERLINK("CSG16.html#group54G16", "54G¹⁶"), =HYPERLINK("CSG13.html#group36D13", "36D¹³"), =HYPERLINK("CSG13.html#group27C13", "27C¹³"), =HYPERLINK("CSG10.html#group9A10", "9A¹⁰"), =HYPERLINK("CSG4.html#group9B4", "9B⁴"), =HYPERLINK("CSG19.html#group36E19", "36E¹⁹"), =HYPERLINK("CSG22.html#group81A22", "81A²²"), =HYPERLINK("CSG19.html#group27B19", "27B¹⁹"), =HYPERLINK("CSG4.html#group18M4", "18M⁴"), =HYPERLINK("CSG22.html#group54E22", "54E²²"), =HYPERLINK("CSG16.html#group27B16", "27B¹⁶"), =HYPERLINK("CSG13.html#group54E13", "54E¹³")</f>
        <v/>
      </c>
    </row>
    <row r="146">
      <c r="A146" t="inlineStr">
        <is>
          <t>9D¹</t>
        </is>
      </c>
      <c r="B146" t="inlineStr"/>
      <c r="C146" t="inlineStr">
        <is>
          <t>36</t>
        </is>
      </c>
      <c r="D146" t="inlineStr">
        <is>
          <t>1</t>
        </is>
      </c>
      <c r="E146" t="inlineStr">
        <is>
          <t>12</t>
        </is>
      </c>
      <c r="F146" t="inlineStr">
        <is>
          <t>0</t>
        </is>
      </c>
      <c r="G146" t="inlineStr">
        <is>
          <t>0</t>
        </is>
      </c>
      <c r="H146" t="inlineStr">
        <is>
          <t>3³, 9³</t>
        </is>
      </c>
      <c r="I146" t="n">
        <v>6</v>
      </c>
      <c r="J146" t="inlineStr">
        <is>
          <t>1², 2², 6¹</t>
        </is>
      </c>
      <c r="K146">
        <f>HYPERLINK("CSG1.html#group9A1", "9A¹")</f>
        <v/>
      </c>
      <c r="L146">
        <f>HYPERLINK("CSG1.html#group9H1", "9H¹"), =HYPERLINK("CSG4.html#group18I4", "18I⁴"), =HYPERLINK("CSG4.html#group18Q4", "18Q⁴"), =HYPERLINK("CSG7.html#group27E7", "27E⁷"), =HYPERLINK("CSG10.html#group36L10", "36L¹⁰"), =HYPERLINK("CSG13.html#group45D13", "45D¹³"), =HYPERLINK("CSG13.html#group45M13", "45M¹³"), =HYPERLINK("CSG19.html#group63F19", "63F¹⁹"), =HYPERLINK("CSG19.html#group63L19", "63L¹⁹")</f>
        <v/>
      </c>
      <c r="M146">
        <f>HYPERLINK("CSG0.html#group3B0", "3B⁰"), =HYPERLINK("CSG0.html#group1A0", "1A⁰"), =HYPERLINK("CSG1.html#group9A1", "9A¹")</f>
        <v/>
      </c>
      <c r="N146">
        <f>HYPERLINK("CSG10.html#group27B10", "27B¹⁰"), =HYPERLINK("CSG19.html#group27A19", "27A¹⁹"), =HYPERLINK("CSG10.html#group18M10", "18M¹⁰"), =HYPERLINK("CSG16.html#group54N16", "54N¹⁶"), =HYPERLINK("CSG19.html#group63L19", "63L¹⁹"), =HYPERLINK("CSG19.html#group27F19", "27F¹⁹"), =HYPERLINK("CSG13.html#group45D13", "45D¹³"), =HYPERLINK("CSG10.html#group36L10", "36L¹⁰"), =HYPERLINK("CSG1.html#group9H1", "9H¹"), =HYPERLINK("CSG22.html#group36Q22", "36Q²²"), =HYPERLINK("CSG16.html#group54O16", "54O¹⁶"), =HYPERLINK("CSG10.html#group18D10", "18D¹⁰"), =HYPERLINK("CSG10.html#group36S10", "36S¹⁰"), =HYPERLINK("CSG10.html#group36G10", "36G¹⁰"), =HYPERLINK("CSG22.html#group72D22", "72D²²"), =HYPERLINK("CSG13.html#group36K13", "36K¹³"), =HYPERLINK("CSG13.html#group27C13", "27C¹³"), =HYPERLINK("CSG10.html#group18J10", "18J¹⁰"), =HYPERLINK("CSG10.html#group9A10", "9A¹⁰"), =HYPERLINK("CSG7.html#group27E7", "27E⁷"), =HYPERLINK("CSG19.html#group63F19", "63F¹⁹"), =HYPERLINK("CSG19.html#group36I19", "36I¹⁹"), =HYPERLINK("CSG10.html#group18H10", "18H¹⁰"), =HYPERLINK("CSG19.html#group27B19", "27B¹⁹"), =HYPERLINK("CSG4.html#group18Q4", "18Q⁴"), =HYPERLINK("CSG22.html#group54G22", "54G²²"), =HYPERLINK("CSG22.html#group72N22", "72N²²"), =HYPERLINK("CSG4.html#group18I4", "18I⁴"), =HYPERLINK("CSG13.html#group45M13", "45M¹³"), =HYPERLINK("CSG22.html#group36O22", "36O²²")</f>
        <v/>
      </c>
    </row>
    <row r="147">
      <c r="A147" t="inlineStr">
        <is>
          <t>9E¹</t>
        </is>
      </c>
      <c r="B147" t="inlineStr"/>
      <c r="C147" t="inlineStr">
        <is>
          <t>54</t>
        </is>
      </c>
      <c r="D147" t="inlineStr">
        <is>
          <t>1</t>
        </is>
      </c>
      <c r="E147" t="inlineStr">
        <is>
          <t>18</t>
        </is>
      </c>
      <c r="F147" t="inlineStr">
        <is>
          <t>6</t>
        </is>
      </c>
      <c r="G147" t="inlineStr">
        <is>
          <t>0</t>
        </is>
      </c>
      <c r="H147" t="inlineStr">
        <is>
          <t>9⁶</t>
        </is>
      </c>
      <c r="I147" t="n">
        <v>6</v>
      </c>
      <c r="J147" t="inlineStr">
        <is>
          <t>1¹, 2¹, 3¹, 6²</t>
        </is>
      </c>
      <c r="K147">
        <f>HYPERLINK("CSG0.html#group9D0", "9D⁰"), =HYPERLINK("CSG0.html#group9E0", "9E⁰")</f>
        <v/>
      </c>
      <c r="L147">
        <f>HYPERLINK("CSG4.html#group9B4", "9B⁴"), =HYPERLINK("CSG4.html#group9C4", "9C⁴"), =HYPERLINK("CSG4.html#group18O4", "18O⁴"), =HYPERLINK("CSG7.html#group18B7", "18B⁷"), =HYPERLINK("CSG7.html#group18I7", "18I⁷"), =HYPERLINK("CSG7.html#group27F7", "27F⁷"), =HYPERLINK("CSG7.html#group27G7", "27G⁷"), =HYPERLINK("CSG13.html#group36N13", "36N¹³"), =HYPERLINK("CSG19.html#group45A19", "45A¹⁹"), =HYPERLINK("CSG19.html#group45F19", "45F¹⁹")</f>
        <v/>
      </c>
      <c r="M147">
        <f>HYPERLINK("CSG0.html#group3C0", "3C⁰"), =HYPERLINK("CSG0.html#group9D0", "9D⁰"), =HYPERLINK("CSG0.html#group9E0", "9E⁰"), =HYPERLINK("CSG0.html#group3A0", "3A⁰"), =HYPERLINK("CSG0.html#group1A0", "1A⁰"), =HYPERLINK("CSG0.html#group9A0", "9A⁰")</f>
        <v/>
      </c>
      <c r="N147">
        <f>HYPERLINK("CSG7.html#group27G7", "27G⁷"), =HYPERLINK("CSG16.html#group18C16", "18C¹⁶"), =HYPERLINK("CSG13.html#group36E13", "36E¹³"), =HYPERLINK("CSG19.html#group54A19", "54A¹⁹"), =HYPERLINK("CSG19.html#group27E19", "27E¹⁹"), =HYPERLINK("CSG7.html#group18I7", "18I⁷"), =HYPERLINK("CSG22.html#group54I22", "54I²²"), =HYPERLINK("CSG16.html#group18B16", "18B¹⁶"), =HYPERLINK("CSG19.html#group36N19", "36N¹⁹"), =HYPERLINK("CSG16.html#group18F16", "18F¹⁶"), =HYPERLINK("CSG22.html#group27C22", "27C²²"), =HYPERLINK("CSG22.html#group36A22", "36A²²"), =HYPERLINK("CSG22.html#group27A22", "27A²²"), =HYPERLINK("CSG19.html#group18A19", "18A¹⁹"), =HYPERLINK("CSG16.html#group54Q16", "54Q¹⁶"), =HYPERLINK("CSG4.html#group18O4", "18O⁴"), =HYPERLINK("CSG19.html#group45F19", "45F¹⁹"), =HYPERLINK("CSG19.html#group54B19", "54B¹⁹"), =HYPERLINK("CSG13.html#group36F13", "36F¹³"), =HYPERLINK("CSG19.html#group45A19", "45A¹⁹"), =HYPERLINK("CSG13.html#group18C13", "18C¹³"), =HYPERLINK("CSG19.html#group18B19", "18B¹⁹"), =HYPERLINK("CSG7.html#group18B7", "18B⁷"), =HYPERLINK("CSG10.html#group9A10", "9A¹⁰"), =HYPERLINK("CSG16.html#group36G16", "36G¹⁶"), =HYPERLINK("CSG4.html#group9C4", "9C⁴"), =HYPERLINK("CSG4.html#group9B4", "9B⁴"), =HYPERLINK("CSG16.html#group18D16", "18D¹⁶"), =HYPERLINK("CSG7.html#group27F7", "27F⁷"), =HYPERLINK("CSG19.html#group36M19", "36M¹⁹"), =HYPERLINK("CSG22.html#group18A22", "18A²²"), =HYPERLINK("CSG13.html#group36N13", "36N¹³"), =HYPERLINK("CSG16.html#group27B16", "27B¹⁶")</f>
        <v/>
      </c>
    </row>
    <row r="148">
      <c r="A148" t="inlineStr">
        <is>
          <t>9F¹</t>
        </is>
      </c>
      <c r="B148" t="inlineStr"/>
      <c r="C148" t="inlineStr">
        <is>
          <t>54</t>
        </is>
      </c>
      <c r="D148" t="inlineStr">
        <is>
          <t>2</t>
        </is>
      </c>
      <c r="E148" t="inlineStr">
        <is>
          <t>9</t>
        </is>
      </c>
      <c r="F148" t="inlineStr">
        <is>
          <t>6</t>
        </is>
      </c>
      <c r="G148" t="inlineStr">
        <is>
          <t>0</t>
        </is>
      </c>
      <c r="H148" t="inlineStr">
        <is>
          <t>9⁶</t>
        </is>
      </c>
      <c r="I148" t="n">
        <v>6</v>
      </c>
      <c r="J148" t="inlineStr">
        <is>
          <t>2³, 6²</t>
        </is>
      </c>
      <c r="K148">
        <f>HYPERLINK("CSG0.html#group9D0", "9D⁰"), =HYPERLINK("CSG0.html#group9G0", "9G⁰"), =HYPERLINK("CSG1.html#group9B1", "9B¹")</f>
        <v/>
      </c>
      <c r="L148">
        <f>HYPERLINK("CSG4.html#group9A4", "9A⁴"), =HYPERLINK("CSG4.html#group9C4", "9C⁴"), =HYPERLINK("CSG4.html#group18S4", "18S⁴"), =HYPERLINK("CSG7.html#group18F7", "18F⁷"), =HYPERLINK("CSG7.html#group18M7", "18M⁷"), =HYPERLINK("CSG7.html#group27H7", "27H⁷"), =HYPERLINK("CSG10.html#group27A10", "27A¹⁰"), =HYPERLINK("CSG13.html#group36R13", "36R¹³"), =HYPERLINK("CSG19.html#group45C19", "45C¹⁹"), =HYPERLINK("CSG19.html#group45G19", "45G¹⁹")</f>
        <v/>
      </c>
      <c r="M148">
        <f>HYPERLINK("CSG0.html#group9D0", "9D⁰"), =HYPERLINK("CSG0.html#group9A0", "9A⁰"), =HYPERLINK("CSG0.html#group9G0", "9G⁰"), =HYPERLINK("CSG0.html#group3C0", "3C⁰"), =HYPERLINK("CSG0.html#group3A0", "3A⁰"), =HYPERLINK("CSG0.html#group1A0", "1A⁰"), =HYPERLINK("CSG1.html#group9B1", "9B¹")</f>
        <v/>
      </c>
      <c r="N148">
        <f>HYPERLINK("CSG10.html#group27A10", "27A¹⁰"), =HYPERLINK("CSG4.html#group18S4", "18S⁴"), =HYPERLINK("CSG16.html#group18C16", "18C¹⁶"), =HYPERLINK("CSG16.html#group36I16", "36I¹⁶"), =HYPERLINK("CSG22.html#group27B22", "27B²²"), =HYPERLINK("CSG16.html#group18H16", "18H¹⁶"), =HYPERLINK("CSG7.html#group18M7", "18M⁷"), =HYPERLINK("CSG19.html#group18B19", "18B¹⁹"), =HYPERLINK("CSG19.html#group18E19", "18E¹⁹"), =HYPERLINK("CSG16.html#group18A16", "18A¹⁶"), =HYPERLINK("CSG19.html#group45G19", "45G¹⁹"), =HYPERLINK("CSG10.html#group9A10", "9A¹⁰"), =HYPERLINK("CSG16.html#group18G16", "18G¹⁶"), =HYPERLINK("CSG22.html#group27C22", "27C²²"), =HYPERLINK("CSG4.html#group9C4", "9C⁴"), =HYPERLINK("CSG19.html#group45C19", "45C¹⁹"), =HYPERLINK("CSG19.html#group36Q19", "36Q¹⁹"), =HYPERLINK("CSG16.html#group54V16", "54V¹⁶"), =HYPERLINK("CSG16.html#group27A16", "27A¹⁶"), =HYPERLINK("CSG22.html#group54K22", "54K²²"), =HYPERLINK("CSG22.html#group54J22", "54J²²"), =HYPERLINK("CSG19.html#group36R19", "36R¹⁹"), =HYPERLINK("CSG22.html#group36H22", "36H²²"), =HYPERLINK("CSG13.html#group18A13", "18A¹³"), =HYPERLINK("CSG7.html#group18F7", "18F⁷"), =HYPERLINK("CSG4.html#group9A4", "9A⁴"), =HYPERLINK("CSG22.html#group18A22", "18A²²"), =HYPERLINK("CSG7.html#group27H7", "27H⁷"), =HYPERLINK("CSG13.html#group36O13", "36O¹³"), =HYPERLINK("CSG13.html#group36R13", "36R¹³")</f>
        <v/>
      </c>
    </row>
    <row r="149">
      <c r="A149" t="inlineStr">
        <is>
          <t>9G¹</t>
        </is>
      </c>
      <c r="B149" t="inlineStr"/>
      <c r="C149" t="inlineStr">
        <is>
          <t>81</t>
        </is>
      </c>
      <c r="D149" t="inlineStr">
        <is>
          <t>1</t>
        </is>
      </c>
      <c r="E149" t="inlineStr">
        <is>
          <t>27</t>
        </is>
      </c>
      <c r="F149" t="inlineStr">
        <is>
          <t>9</t>
        </is>
      </c>
      <c r="G149" t="inlineStr">
        <is>
          <t>0</t>
        </is>
      </c>
      <c r="H149" t="inlineStr">
        <is>
          <t>9⁹</t>
        </is>
      </c>
      <c r="I149" t="n">
        <v>9</v>
      </c>
      <c r="J149" t="inlineStr">
        <is>
          <t>3¹, 6⁴</t>
        </is>
      </c>
      <c r="K149">
        <f>HYPERLINK("CSG0.html#group9F0", "9F⁰"), =HYPERLINK("CSG0.html#group9G0", "9G⁰")</f>
        <v/>
      </c>
      <c r="L149">
        <f>HYPERLINK("CSG4.html#group9C4", "9C⁴"), =HYPERLINK("CSG7.html#group18J7", "18J⁷"), =HYPERLINK("CSG10.html#group18B10", "18B¹⁰"), =HYPERLINK("CSG10.html#group18L10", "18L¹⁰"), =HYPERLINK("CSG13.html#group27A13", "27A¹³"), =HYPERLINK("CSG19.html#group36P19", "36P¹⁹")</f>
        <v/>
      </c>
      <c r="M149">
        <f>HYPERLINK("CSG0.html#group9A0", "9A⁰"), =HYPERLINK("CSG0.html#group3A0", "3A⁰"), =HYPERLINK("CSG0.html#group9F0", "9F⁰"), =HYPERLINK("CSG0.html#group1A0", "1A⁰"), =HYPERLINK("CSG0.html#group9G0", "9G⁰")</f>
        <v/>
      </c>
      <c r="N149">
        <f>HYPERLINK("CSG10.html#group18L10", "18L¹⁰"), =HYPERLINK("CSG10.html#group9A10", "9A¹⁰"), =HYPERLINK("CSG22.html#group27C22", "27C²²"), =HYPERLINK("CSG16.html#group18C16", "18C¹⁶"), =HYPERLINK("CSG4.html#group9C4", "9C⁴"), =HYPERLINK("CSG13.html#group27A13", "27A¹³"), =HYPERLINK("CSG19.html#group18B19", "18B¹⁹"), =HYPERLINK("CSG22.html#group18A22", "18A²²"), =HYPERLINK("CSG10.html#group18B10", "18B¹⁰"), =HYPERLINK("CSG7.html#group18J7", "18J⁷"), =HYPERLINK("CSG19.html#group36P19", "36P¹⁹")</f>
        <v/>
      </c>
    </row>
    <row r="150">
      <c r="A150" t="inlineStr">
        <is>
          <t>9H¹</t>
        </is>
      </c>
      <c r="B150" t="inlineStr"/>
      <c r="C150" t="inlineStr">
        <is>
          <t>108</t>
        </is>
      </c>
      <c r="D150" t="inlineStr">
        <is>
          <t>1</t>
        </is>
      </c>
      <c r="E150" t="inlineStr">
        <is>
          <t>4</t>
        </is>
      </c>
      <c r="F150" t="inlineStr">
        <is>
          <t>0</t>
        </is>
      </c>
      <c r="G150" t="inlineStr">
        <is>
          <t>0</t>
        </is>
      </c>
      <c r="H150" t="inlineStr">
        <is>
          <t>3⁹, 9⁹</t>
        </is>
      </c>
      <c r="I150" t="n">
        <v>18</v>
      </c>
      <c r="J150" t="inlineStr">
        <is>
          <t>1², 2¹</t>
        </is>
      </c>
      <c r="K150">
        <f>HYPERLINK("CSG0.html#group9H0", "9H⁰"), =HYPERLINK("CSG0.html#group9I0", "9I⁰"), =HYPERLINK("CSG0.html#group9J0", "9J⁰"), =HYPERLINK("CSG1.html#group9C1", "9C¹"), =HYPERLINK("CSG1.html#group9D1", "9D¹")</f>
        <v/>
      </c>
      <c r="L150">
        <f>HYPERLINK("CSG10.html#group9A10", "9A¹⁰"), =HYPERLINK("CSG10.html#group18D10", "18D¹⁰"), =HYPERLINK("CSG10.html#group18M10", "18M¹⁰"), =HYPERLINK("CSG10.html#group27B10", "27B¹⁰"), =HYPERLINK("CSG13.html#group27C13", "27C¹³"), =HYPERLINK("CSG19.html#group27A19", "27A¹⁹"), =HYPERLINK("CSG19.html#group27B19", "27B¹⁹")</f>
        <v/>
      </c>
      <c r="M150">
        <f>HYPERLINK("CSG0.html#group3B0", "3B⁰"), =HYPERLINK("CSG0.html#group9J0", "9J⁰"), =HYPERLINK("CSG0.html#group9E0", "9E⁰"), =HYPERLINK("CSG1.html#group9A1", "9A¹"), =HYPERLINK("CSG0.html#group9I0", "9I⁰"), =HYPERLINK("CSG0.html#group9B0", "9B⁰"), =HYPERLINK("CSG1.html#group9C1", "9C¹"), =HYPERLINK("CSG0.html#group3C0", "3C⁰"), =HYPERLINK("CSG0.html#group9H0", "9H⁰"), =HYPERLINK("CSG0.html#group9C0", "9C⁰"), =HYPERLINK("CSG0.html#group3A0", "3A⁰"), =HYPERLINK("CSG1.html#group9D1", "9D¹"), =HYPERLINK("CSG0.html#group1A0", "1A⁰"), =HYPERLINK("CSG0.html#group3D0", "3D⁰")</f>
        <v/>
      </c>
      <c r="N150">
        <f>HYPERLINK("CSG19.html#group27B19", "27B¹⁹"), =HYPERLINK("CSG10.html#group27B10", "27B¹⁰"), =HYPERLINK("CSG10.html#group9A10", "9A¹⁰"), =HYPERLINK("CSG19.html#group27A19", "27A¹⁹"), =HYPERLINK("CSG10.html#group18D10", "18D¹⁰"), =HYPERLINK("CSG10.html#group18M10", "18M¹⁰"), =HYPERLINK("CSG13.html#group27C13", "27C¹³")</f>
        <v/>
      </c>
    </row>
    <row r="151">
      <c r="A151" t="inlineStr">
        <is>
          <t>10A¹</t>
        </is>
      </c>
      <c r="B151" t="inlineStr"/>
      <c r="C151" t="inlineStr">
        <is>
          <t>12</t>
        </is>
      </c>
      <c r="D151" t="inlineStr">
        <is>
          <t>1</t>
        </is>
      </c>
      <c r="E151" t="inlineStr">
        <is>
          <t>6</t>
        </is>
      </c>
      <c r="F151" t="inlineStr">
        <is>
          <t>0</t>
        </is>
      </c>
      <c r="G151" t="inlineStr">
        <is>
          <t>0</t>
        </is>
      </c>
      <c r="H151" t="inlineStr">
        <is>
          <t>2¹, 10¹</t>
        </is>
      </c>
      <c r="I151" t="n">
        <v>2</v>
      </c>
      <c r="J151" t="inlineStr">
        <is>
          <t>1², 4¹</t>
        </is>
      </c>
      <c r="K151">
        <f>HYPERLINK("CSG0.html#group2A0", "2A⁰"), =HYPERLINK("CSG0.html#group5B0", "5B⁰")</f>
        <v/>
      </c>
      <c r="L151">
        <f>HYPERLINK("CSG1.html#group10D1", "10D¹"), =HYPERLINK("CSG1.html#group10G1", "10G¹"), =HYPERLINK("CSG3.html#group10B3", "10B³"), =HYPERLINK("CSG3.html#group20C3", "20C³"), =HYPERLINK("CSG3.html#group30B3", "30B³"), =HYPERLINK("CSG3.html#group30C3", "30C³"), =HYPERLINK("CSG3.html#group30G3", "30G³"), =HYPERLINK("CSG3.html#group50A3", "50A³"), =HYPERLINK("CSG5.html#group50C5", "50C⁵"), =HYPERLINK("CSG5.html#group50B5", "50B⁵"), =HYPERLINK("CSG5.html#group50D5", "50D⁵"), =HYPERLINK("CSG5.html#group50A5", "50A⁵"), =HYPERLINK("CSG7.html#group70A7", "70A⁷"), =HYPERLINK("CSG7.html#group70C7", "70C⁷"), =HYPERLINK("CSG11.html#group110A11", "110A¹¹"), =HYPERLINK("CSG11.html#group110C11", "110C¹¹"), =HYPERLINK("CSG13.html#group130B13", "130B¹³"), =HYPERLINK("CSG17.html#group170B17", "170B¹⁷"), =HYPERLINK("CSG19.html#group190B19", "190B¹⁹"), =HYPERLINK("CSG23.html#group230B23", "230B²³")</f>
        <v/>
      </c>
      <c r="M151">
        <f>HYPERLINK("CSG0.html#group5B0", "5B⁰"), =HYPERLINK("CSG0.html#group2A0", "2A⁰"), =HYPERLINK("CSG0.html#group1A0", "1A⁰")</f>
        <v/>
      </c>
      <c r="N151">
        <f>HYPERLINK("CSG17.html#group60T17", "60T¹⁷"), =HYPERLINK("CSG15.html#group90J15", "90J¹⁵"), =HYPERLINK("CSG19.html#group50C19", "50C¹⁹"), =HYPERLINK("CSG13.html#group40R13", "40R¹³"), =HYPERLINK("CSG13.html#group50B13", "50B¹³"), =HYPERLINK("CSG5.html#group20I5", "20I⁵"), =HYPERLINK("CSG11.html#group60B11", "60B¹¹"), =HYPERLINK("CSG17.html#group40X17", "40X¹⁷"), =HYPERLINK("CSG13.html#group150A13", "150A¹³"), =HYPERLINK("CSG21.html#group60P21", "60P²¹"), =HYPERLINK("CSG13.html#group60M13", "60M¹³"), =HYPERLINK("CSG23.html#group50B23", "50B²³"), =HYPERLINK("CSG23.html#group120C23", "120C²³"), =HYPERLINK("CSG15.html#group150F15", "150F¹⁵"), =HYPERLINK("CSG23.html#group120B23", "120B²³"), =HYPERLINK("CSG9.html#group50B9", "50B⁹"), =HYPERLINK("CSG15.html#group80A15", "80A¹⁵"), =HYPERLINK("CSG13.html#group60J13", "60J¹³"), =HYPERLINK("CSG21.html#group80C21", "80C²¹"), =HYPERLINK("CSG5.html#group50C5", "50C⁵"), =HYPERLINK("CSG21.html#group80AC21", "80AC²¹"), =HYPERLINK("CSG9.html#group50C9", "50C⁹"), =HYPERLINK("CSG19.html#group80M19", "80M¹⁹"), =HYPERLINK("CSG21.html#group80Q21", "80Q²¹"), =HYPERLINK("CSG3.html#group20J3", "20J³"), =HYPERLINK("CSG19.html#group100K19", "100K¹⁹"), =HYPERLINK("CSG19.html#group50D19", "50D¹⁹"), =HYPERLINK("CSG21.html#group90E21", "90E²¹"), =HYPERLINK("CSG21.html#group80G21", "80G²¹"), =HYPERLINK("CSG15.html#group60AB15", "60AB¹⁵"), =HYPERLINK("CSG17.html#group170B17", "170B¹⁷"), =HYPERLINK("CSG9.html#group40K9", "40K⁹"), =HYPERLINK("CSG7.html#group40W7", "40W⁷"), =HYPERLINK("CSG13.html#group30P13", "30P¹³"), =HYPERLINK("CSG3.html#group50A3", "50A³"), =HYPERLINK("CSG15.html#group40W15", "40W¹⁵"), =HYPERLINK("CSG21.html#group50C21", "50C²¹"), =HYPERLINK("CSG15.html#group30C15", "30C¹⁵"), =HYPERLINK("CSG15.html#group150E15", "150E¹⁵"), =HYPERLINK("CSG15.html#group60L15", "60L¹⁵"), =HYPERLINK("CSG19.html#group190B19", "190B¹⁹"), =HYPERLINK("CSG7.html#group60D7", "60D⁷"), =HYPERLINK("CSG21.html#group50A21", "50A²¹"), =HYPERLINK("CSG23.html#group180G23", "180G²³"), =HYPERLINK("CSG23.html#group120E23", "120E²³"), =HYPERLINK("CSG15.html#group40U15", "40U¹⁵"), =HYPERLINK("CSG19.html#group40B19", "40B¹⁹"), =HYPERLINK("CSG23.html#group120G23", "120G²³"), =HYPERLINK("CSG15.html#group100C15", "100C¹⁵"), =HYPERLINK("CSG7.html#group30F7", "30F⁷"), =HYPERLINK("CSG7.html#group40M7", "40M⁷"), =HYPERLINK("CSG19.html#group100J19", "100J¹⁹"), =HYPERLINK("CSG13.html#group60I13", "60I¹³"), =HYPERLINK("CSG15.html#group150G15", "150G¹⁵"), =HYPERLINK("CSG21.html#group60I21", "60I²¹"), =HYPERLINK("CSG15.html#group150C15", "150C¹⁵"), =HYPERLINK("CSG3.html#group20I3", "20I³"), =HYPERLINK("CSG21.html#group90H21", "90H²¹"), =HYPERLINK("CSG5.html#group20D5", "20D⁵"), =HYPERLINK("CSG5.html#group30D5", "30D⁵"), =HYPERLINK("CSG23.html#group180F23", "180F²³"), =HYPERLINK("CSG23.html#group220B23", "220B²³"), =HYPERLINK("CSG19.html#group70G19", "70G¹⁹"), =HYPERLINK("CSG23.html#group210B23", "210B²³"), =HYPERLINK("CSG15.html#group20F15", "20F¹⁵"), =HYPERLINK("CSG11.html#group60C11", "60C¹¹"), =HYPERLINK("CSG19.html#group100B19", "100B¹⁹"), =HYPERLINK("CSG23.html#group210C23", "210C²³"), =HYPERLINK("CSG3.html#group30C3", "30C³"), =HYPERLINK("CSG11.html#group90F11", "90F¹¹"), =HYPERLINK("CSG9.html#group90A9", "90A⁹"), =HYPERLINK("CSG13.html#group30D13", "30D¹³"), =HYPERLINK("CSG11.html#group60G11", "60G¹¹"), =HYPERLINK("CSG9.html#group40I9", "40I⁹"), =HYPERLINK("CSG19.html#group40A19", "40A¹⁹"), =HYPERLINK("CSG17.html#group90C17", "90C¹⁷"), =HYPERLINK("CSG13.html#group130B13", "130B¹³"), =HYPERLINK("CSG3.html#group30B3", "30B³"), =HYPERLINK("CSG21.html#group180D21", "180D²¹"), =HYPERLINK("CSG3.html#group20A3", "20A³"), =HYPERLINK("CSG23.html#group220A23", "220A²³"), =HYPERLINK("CSG21.html#group210B21", "210B²¹"), =HYPERLINK("CSG17.html#group40T17", "40T¹⁷"), =HYPERLINK("CSG15.html#group60AA15", "60AA¹⁵"), =HYPERLINK("CSG9.html#group20E9", "20E⁹"), =HYPERLINK("CSG15.html#group80N15", "80N¹⁵"), =HYPERLINK("CSG5.html#group50B5", "50B⁵"), =HYPERLINK("CSG15.html#group150A15", "150A¹⁵"), =HYPERLINK("CSG19.html#group100L19", "100L¹⁹"), =HYPERLINK("CSG19.html#group40C19", "40C¹⁹"), =HYPERLINK("CSG9.html#group30K9", "30K⁹"), =HYPERLINK("CSG9.html#group30H9", "30H⁹"), =HYPERLINK("CSG21.html#group50B21", "50B²¹"), =HYPERLINK("CSG21.html#group180C21", "180C²¹"), =HYPERLINK("CSG13.html#group40Q13", "40Q¹³"), =HYPERLINK("CSG15.html#group80O15", "80O¹⁵"), =HYPERLINK("CSG13.html#group30H13", "30H¹³"), =HYPERLINK("CSG19.html#group50A19", "50A¹⁹"), =HYPERLINK("CSG17.html#group40W17", "40W¹⁷"), =HYPERLINK("CSG19.html#group100D19", "100D¹⁹"), =HYPERLINK("CSG5.html#group50F5", "50F⁵"), =HYPERLINK("CSG23.html#group120D23", "120D²³"), =HYPERLINK("CSG15.html#group100A15", "100A¹⁵"), =HYPERLINK("CSG13.html#group50D13", "50D¹³"), =HYPERLINK("CSG21.html#group60B21", "60B²¹"), =HYPERLINK("CSG17.html#group40AH17", "40AH¹⁷"), =HYPERLINK("CSG11.html#group90E11", "90E¹¹"), =HYPERLINK("CSG17.html#group90B17", "90B¹⁷"), =HYPERLINK("CSG23.html#group120H23", "120H²³"), =HYPERLINK("CSG21.html#group80P21", "80P²¹"), =HYPERLINK("CSG19.html#group20C19", "20C¹⁹"), =HYPERLINK("CSG3.html#group20C3", "20C³"), =HYPERLINK("CSG19.html#group100P19", "100P¹⁹"), =HYPERLINK("CSG5.html#group50D5", "50D⁵"), =HYPERLINK("CSG15.html#group40AB15", "40AB¹⁵"), =HYPERLINK("CSG9.html#group90E9", "90E⁹"), =HYPERLINK("CSG11.html#group60F11", "60F¹¹"), =HYPERLINK("CSG9.html#group40J9", "40J⁹"), =HYPERLINK("CSG13.html#group30I13", "30I¹³"), =HYPERLINK("CSG19.html#group150F19", "150F¹⁹"), =HYPERLINK("CSG19.html#group250B19", "250B¹⁹"), =HYPERLINK("CSG23.html#group180E23", "180E²³"), =HYPERLINK("CSG13.html#group40J13", "40J¹³"), =HYPERLINK("CSG17.html#group40AD17", "40AD¹⁷"), =HYPERLINK("CSG23.html#group180B23", "180B²³"), =HYPERLINK("CSG17.html#group30H17", "30H¹⁷"), =HYPERLINK("CSG21.html#group90G21", "90G²¹"), =HYPERLINK("CSG19.html#group100A19", "100A¹⁹"), =HYPERLINK("CSG7.html#group40B7", "40B⁷"), =HYPERLINK("CSG11.html#group110C11", "110C¹¹"), =HYPERLINK("CSG19.html#group50B19", "50B¹⁹"), =HYPERLINK("CSG9.html#group20F9", "20F⁹"), =HYPERLINK("CSG13.html#group40C13", "40C¹³"), =HYPERLINK("CSG17.html#group90S17", "90S¹⁷"), =HYPERLINK("CSG19.html#group70H19", "70H¹⁹"), =HYPERLINK("CSG13.html#group40B13", "40B¹³"), =HYPERLINK("CSG21.html#group180E21", "180E²¹"), =HYPERLINK("CSG21.html#group60O21", "60O²¹"), =HYPERLINK("CSG17.html#group90H17", "90H¹⁷"), =HYPERLINK("CSG7.html#group30Q7", "30Q⁷"), =HYPERLINK("CSG11.html#group60E11", "60E¹¹"), =HYPERLINK("CSG19.html#group150H19", "150H¹⁹"), =HYPERLINK("CSG13.html#group70D13", "70D¹³"), =HYPERLINK("CSG7.html#group20L7", "20L⁷"), =HYPERLINK("CSG11.html#group90D11", "90D¹¹"), =HYPERLINK("CSG5.html#group10A5", "10A⁵"), =HYPERLINK("CSG11.html#group60A11", "60A¹¹"), =HYPERLINK("CSG17.html#group90K17", "90K¹⁷"), =HYPERLINK("CSG15.html#group140B15", "140B¹⁵"), =HYPERLINK("CSG11.html#group110A11", "110A¹¹"), =HYPERLINK("CSG13.html#group40K13", "40K¹³"), =HYPERLINK("CSG7.html#group50C7", "50C⁷"), =HYPERLINK("CSG15.html#group60C15", "60C¹⁵"), =HYPERLINK("CSG21.html#group60A21", "60A²¹"), =HYPERLINK("CSG15.html#group40V15", "40V¹⁵"), =HYPERLINK("CSG23.html#group250A23", "250A²³"), =HYPERLINK("CSG23.html#group180A23", "180A²³"), =HYPERLINK("CSG19.html#group70B19", "70B¹⁹"), =HYPERLINK("CSG3.html#group30G3", "30G³"), =HYPERLINK("CSG7.html#group40AC7", "40AC⁷"), =HYPERLINK("CSG1.html#group10D1", "10D¹"), =HYPERLINK("CSG13.html#group20F13", "20F¹³"), =HYPERLINK("CSG21.html#group80AD21", "80AD²¹"), =HYPERLINK("CSG19.html#group70F19", "70F¹⁹"), =HYPERLINK("CSG13.html#group30E13", "30E¹³"), =HYPERLINK("CSG23.html#group120F23", "120F²³"), =HYPERLINK("CSG3.html#group20R3", "20R³"), =HYPERLINK("CSG21.html#group80I21", "80I²¹"), =HYPERLINK("CSG15.html#group140A15", "140A¹⁵"), =HYPERLINK("CSG17.html#group80BD17", "80BD¹⁷"), =HYPERLINK("CSG9.html#group30I9", "30I⁹"), =HYPERLINK("CSG7.html#group70A7", "70A⁷"), =HYPERLINK("CSG13.html#group50E13", "50E¹³"), =HYPERLINK("CSG15.html#group150B15", "150B¹⁵"), =HYPERLINK("CSG21.html#group60M21", "60M²¹"), =HYPERLINK("CSG17.html#group40AR17", "40AR¹⁷"), =HYPERLINK("CSG13.html#group30J13", "30J¹³"), =HYPERLINK("CSG17.html#group30I17", "30I¹⁷"), =HYPERLINK("CSG13.html#group40E13", "40E¹³"), =HYPERLINK("CSG15.html#group150H15", "150H¹⁵"), =HYPERLINK("CSG23.html#group210G23", "210G²³"), =HYPERLINK("CSG21.html#group250A21", "250A²¹"), =HYPERLINK("CSG15.html#group40AD15", "40AD¹⁵"), =HYPERLINK("CSG23.html#group120A23", "120A²³"), =HYPERLINK("CSG23.html#group230B23", "230B²³"), =HYPERLINK("CSG11.html#group90C11", "90C¹¹"), =HYPERLINK("CSG17.html#group90E17", "90E¹⁷"), =HYPERLINK("CSG19.html#group100C19", "100C¹⁹"), =HYPERLINK("CSG15.html#group80B15", "80B¹⁵"), =HYPERLINK("CSG21.html#group90F21", "90F²¹"), =HYPERLINK("CSG5.html#group30H5", "30H⁵"), =HYPERLINK("CSG7.html#group40A7", "40A⁷"), =HYPERLINK("CSG15.html#group80P15", "80P¹⁵"), =HYPERLINK("CSG21.html#group50E21", "50E²¹"), =HYPERLINK("CSG19.html#group80N19", "80N¹⁹"), =HYPERLINK("CSG23.html#group210H23", "210H²³"), =HYPERLINK("CSG3.html#group10B3", "10B³"), =HYPERLINK("CSG7.html#group20J7", "20J⁷"), =HYPERLINK("CSG1.html#group10K1", "10K¹"), =HYPERLINK("CSG19.html#group100Q19", "100Q¹⁹"), =HYPERLINK("CSG17.html#group80Z17", "80Z¹⁷"), =HYPERLINK("CSG13.html#group50C13", "50C¹³"), =HYPERLINK("CSG9.html#group30P9", "30P⁹"), =HYPERLINK("CSG5.html#group30C5", "30C⁵"), =HYPERLINK("CSG13.html#group10A13", "10A¹³"), =HYPERLINK("CSG15.html#group80C15", "80C¹⁵"), =HYPERLINK("CSG15.html#group40Y15", "40Y¹⁵"), =HYPERLINK("CSG7.html#group40L7", "40L⁷"), =HYPERLINK("CSG5.html#group50A5", "50A⁵"), =HYPERLINK("CSG21.html#group180F21", "180F²¹"), =HYPERLINK("CSG19.html#group60L19", "60L¹⁹"), =HYPERLINK("CSG13.html#group20E13", "20E¹³"), =HYPERLINK("CSG21.html#group110A21", "110A²¹"), =HYPERLINK("CSG7.html#group40X7", "40X⁷"), =HYPERLINK("CSG15.html#group60N15", "60N¹⁵"), =HYPERLINK("CSG17.html#group90R17", "90R¹⁷"), =HYPERLINK("CSG9.html#group50D9", "50D⁹"), =HYPERLINK("CSG17.html#group40Y17", "40Y¹⁷"), =HYPERLINK("CSG17.html#group40AE17", "40AE¹⁷"), =HYPERLINK("CSG19.html#group150E19", "150E¹⁹"), =HYPERLINK("CSG21.html#group60H21", "60H²¹"), =HYPERLINK("CSG5.html#group30F5", "30F⁵"), =HYPERLINK("CSG19.html#group60K19", "60K¹⁹"), =HYPERLINK("CSG9.html#group50A9", "50A⁹"), =HYPERLINK("CSG23.html#group180C23", "180C²³"), =HYPERLINK("CSG21.html#group50D21", "50D²¹"), =HYPERLINK("CSG19.html#group100I19", "100I¹⁹"), =HYPERLINK("CSG7.html#group20K7", "20K⁷"), =HYPERLINK("CSG7.html#group60E7", "60E⁷"), =HYPERLINK("CSG19.html#group20D19", "20D¹⁹"), =HYPERLINK("CSG15.html#group20A15", "20A¹⁵"), =HYPERLINK("CSG19.html#group70A19", "70A¹⁹"), =HYPERLINK("CSG15.html#group40X15", "40X¹⁵"), =HYPERLINK("CSG17.html#group80W17", "80W¹⁷"), =HYPERLINK("CSG21.html#group60F21", "60F²¹"), =HYPERLINK("CSG15.html#group150J15", "150J¹⁵"), =HYPERLINK("CSG21.html#group210A21", "210A²¹"), =HYPERLINK("CSG17.html#group60S17", "60S¹⁷"), =HYPERLINK("CSG17.html#group90D17", "90D¹⁷"), =HYPERLINK("CSG21.html#group110C21", "110C²¹"), =HYPERLINK("CSG13.html#group70F13", "70F¹³"), =HYPERLINK("CSG9.html#group90F9", "90F⁹"), =HYPERLINK("CSG21.html#group80R21", "80R²¹"), =HYPERLINK("CSG7.html#group10A7", "10A⁷"), =HYPERLINK("CSG17.html#group30J17", "30J¹⁷"), =HYPERLINK("CSG5.html#group30N5", "30N⁵"), =HYPERLINK("CSG23.html#group180D23", "180D²³"), =HYPERLINK("CSG17.html#group40V17", "40V¹⁷"), =HYPERLINK("CSG17.html#group40U17", "40U¹⁷"), =HYPERLINK("CSG23.html#group180H23", "180H²³"), =HYPERLINK("CSG13.html#group50A13", "50A¹³"), =HYPERLINK("CSG21.html#group60D21", "60D²¹"), =HYPERLINK("CSG23.html#group250B23", "250B²³"), =HYPERLINK("CSG19.html#group250A19", "250A¹⁹"), =HYPERLINK("CSG21.html#group60J21", "60J²¹"), =HYPERLINK("CSG19.html#group80L19", "80L¹⁹"), =HYPERLINK("CSG15.html#group60D15", "60D¹⁵"), =HYPERLINK("CSG9.html#group30L9", "30L⁹"), =HYPERLINK("CSG19.html#group150G19", "150G¹⁹"), =HYPERLINK("CSG7.html#group70C7", "70C⁷"), =HYPERLINK("CSG13.html#group70C13", "70C¹³"), =HYPERLINK("CSG15.html#group150D15", "150D¹⁵"), =HYPERLINK("CSG21.html#group80D21", "80D²¹"), =HYPERLINK("CSG13.html#group70A13", "70A¹³"), =HYPERLINK("CSG21.html#group60C21", "60C²¹"), =HYPERLINK("CSG13.html#group150B13", "150B¹³"), =HYPERLINK("CSG1.html#group10G1", "10G¹")</f>
        <v/>
      </c>
    </row>
    <row r="152">
      <c r="A152" t="inlineStr">
        <is>
          <t>10B¹</t>
        </is>
      </c>
      <c r="B152" t="inlineStr"/>
      <c r="C152" t="inlineStr">
        <is>
          <t>15</t>
        </is>
      </c>
      <c r="D152" t="inlineStr">
        <is>
          <t>1</t>
        </is>
      </c>
      <c r="E152" t="inlineStr">
        <is>
          <t>15</t>
        </is>
      </c>
      <c r="F152" t="inlineStr">
        <is>
          <t>1</t>
        </is>
      </c>
      <c r="G152" t="inlineStr">
        <is>
          <t>0</t>
        </is>
      </c>
      <c r="H152" t="inlineStr">
        <is>
          <t>5¹, 10¹</t>
        </is>
      </c>
      <c r="I152" t="n">
        <v>2</v>
      </c>
      <c r="J152" t="inlineStr">
        <is>
          <t>1³, 4³</t>
        </is>
      </c>
      <c r="K152">
        <f>HYPERLINK("CSG0.html#group2B0", "2B⁰"), =HYPERLINK("CSG0.html#group5A0", "5A⁰")</f>
        <v/>
      </c>
      <c r="L152">
        <f>HYPERLINK("CSG1.html#group10I1", "10I¹"), =HYPERLINK("CSG2.html#group10B2", "10B²"), =HYPERLINK("CSG2.html#group10D2", "10D²"), =HYPERLINK("CSG2.html#group20A2", "20A²"), =HYPERLINK("CSG2.html#group20B2", "20B²"), =HYPERLINK("CSG3.html#group30D3", "30D³"), =HYPERLINK("CSG3.html#group30E3", "30E³"), =HYPERLINK("CSG4.html#group30D4", "30D⁴"), =HYPERLINK("CSG8.html#group70A8", "70A⁸"), =HYPERLINK("CSG9.html#group70A9", "70A⁹"), =HYPERLINK("CSG13.html#group110A13", "110A¹³"), =HYPERLINK("CSG14.html#group110A14", "110A¹⁴"), =HYPERLINK("CSG16.html#group130A16", "130A¹⁶"), =HYPERLINK("CSG21.html#group170A21", "170A²¹"), =HYPERLINK("CSG24.html#group190A24", "190A²⁴")</f>
        <v/>
      </c>
      <c r="M152">
        <f>HYPERLINK("CSG0.html#group1A0", "1A⁰"), =HYPERLINK("CSG0.html#group5A0", "5A⁰"), =HYPERLINK("CSG0.html#group2B0", "2B⁰")</f>
        <v/>
      </c>
      <c r="N152">
        <f>HYPERLINK("CSG21.html#group90B21", "90B²¹"), =HYPERLINK("CSG17.html#group80G17", "80G¹⁷"), =HYPERLINK("CSG20.html#group90D20", "90D²⁰"), =HYPERLINK("CSG24.html#group40F24", "40F²⁴"), =HYPERLINK("CSG8.html#group40A8", "40A⁸"), =HYPERLINK("CSG20.html#group20A20", "20A²⁰"), =HYPERLINK("CSG22.html#group40H22", "40H²²"), =HYPERLINK("CSG16.html#group140B16", "140B¹⁶"), =HYPERLINK("CSG7.html#group30P7", "30P⁷"), =HYPERLINK("CSG10.html#group20F10", "20F¹⁰"), =HYPERLINK("CSG8.html#group40E8", "40E⁸"), =HYPERLINK("CSG9.html#group40A9", "40A⁹"), =HYPERLINK("CSG10.html#group40E10", "40E¹⁰"), =HYPERLINK("CSG1.html#group10I1", "10I¹"), =HYPERLINK("CSG17.html#group80F17", "80F¹⁷"), =HYPERLINK("CSG20.html#group160A20", "160A²⁰"), =HYPERLINK("CSG14.html#group120D14", "120D¹⁴"), =HYPERLINK("CSG21.html#group40G21", "40G²¹"), =HYPERLINK("CSG13.html#group60G13", "60G¹³"), =HYPERLINK("CSG9.html#group40E9", "40E⁹"), =HYPERLINK("CSG6.html#group10A6", "10A⁶"), =HYPERLINK("CSG16.html#group30D16", "30D¹⁶"), =HYPERLINK("CSG21.html#group20B21", "20B²¹"), =HYPERLINK("CSG20.html#group40A20", "40A²⁰"), =HYPERLINK("CSG18.html#group60B18", "60B¹⁸"), =HYPERLINK("CSG9.html#group60B9", "60B⁹"), =HYPERLINK("CSG17.html#group80L17", "80L¹⁷"), =HYPERLINK("CSG16.html#group60B16", "60B¹⁶"), =HYPERLINK("CSG6.html#group60B6", "60B⁶"), =HYPERLINK("CSG23.html#group70A23", "70A²³"), =HYPERLINK("CSG21.html#group20A21", "20A²¹"), =HYPERLINK("CSG20.html#group20B20", "20B²⁰"), =HYPERLINK("CSG11.html#group40J11", "40J¹¹"), =HYPERLINK("CSG15.html#group40AJ15", "40AJ¹⁵"), =HYPERLINK("CSG22.html#group180B22", "180B²²"), =HYPERLINK("CSG18.html#group60G18", "60G¹⁸"), =HYPERLINK("CSG13.html#group60F13", "60F¹³"), =HYPERLINK("CSG24.html#group50A24", "50A²⁴"), =HYPERLINK("CSG6.html#group60D6", "60D⁶"), =HYPERLINK("CSG17.html#group40E17", "40E¹⁷"), =HYPERLINK("CSG17.html#group30F17", "30F¹⁷"), =HYPERLINK("CSG12.html#group30E12", "30E¹²"), =HYPERLINK("CSG24.html#group40D24", "40D²⁴"), =HYPERLINK("CSG17.html#group80C17", "80C¹⁷"), =HYPERLINK("CSG11.html#group40E11", "40E¹¹"), =HYPERLINK("CSG20.html#group160B20", "160B²⁰"), =HYPERLINK("CSG22.html#group40K22", "40K²²"), =HYPERLINK("CSG9.html#group80A9", "80A⁹"), =HYPERLINK("CSG18.html#group160A18", "160A¹⁸"), =HYPERLINK("CSG18.html#group70C18", "70C¹⁸"), =HYPERLINK("CSG4.html#group10B4", "10B⁴"), =HYPERLINK("CSG13.html#group120B13", "120B¹³"), =HYPERLINK("CSG13.html#group120C13", "120C¹³"), =HYPERLINK("CSG22.html#group60A22", "60A²²"), =HYPERLINK("CSG8.html#group80A8", "80A⁸"), =HYPERLINK("CSG22.html#group40F22", "40F²²"), =HYPERLINK("CSG22.html#group40I22", "40I²²"), =HYPERLINK("CSG16.html#group40C16", "40C¹⁶"), =HYPERLINK("CSG4.html#group10A4", "10A⁴"), =HYPERLINK("CSG5.html#group20E5", "20E⁵"), =HYPERLINK("CSG12.html#group30F12", "30F¹²"), =HYPERLINK("CSG9.html#group40B9", "40B⁹"), =HYPERLINK("CSG22.html#group40M22", "40M²²"), =HYPERLINK("CSG17.html#group40O17", "40O¹⁷"), =HYPERLINK("CSG17.html#group70C17", "70C¹⁷"), =HYPERLINK("CSG22.html#group180A22", "180A²²"), =HYPERLINK("CSG23.html#group30F23", "30F²³"), =HYPERLINK("CSG21.html#group40H21", "40H²¹"), =HYPERLINK("CSG23.html#group40E23", "40E²³"), =HYPERLINK("CSG19.html#group40M19", "40M¹⁹"), =HYPERLINK("CSG14.html#group60D14", "60D¹⁴"), =HYPERLINK("CSG16.html#group160A16", "160A¹⁶"), =HYPERLINK("CSG22.html#group30A22", "30A²²"), =HYPERLINK("CSG24.html#group60B24", "60B²⁴"), =HYPERLINK("CSG10.html#group30F10", "30F¹⁰"), =HYPERLINK("CSG17.html#group80K17", "80K¹⁷"), =HYPERLINK("CSG19.html#group80K19", "80K¹⁹"), =HYPERLINK("CSG24.html#group190A24", "190A²⁴"), =HYPERLINK("CSG13.html#group40A13", "40A¹³"), =HYPERLINK("CSG20.html#group180G20", "180G²⁰"), =HYPERLINK("CSG5.html#group10B5", "10B⁵"), =HYPERLINK("CSG19.html#group90G19", "90G¹⁹"), =HYPERLINK("CSG12.html#group40A12", "40A¹²"), =HYPERLINK("CSG8.html#group80B8", "80B⁸"), =HYPERLINK("CSG10.html#group20C10", "20C¹⁰"), =HYPERLINK("CSG18.html#group80E18", "80E¹⁸"), =HYPERLINK("CSG12.html#group60B12", "60B¹²"), =HYPERLINK("CSG19.html#group160E19", "160E¹⁹"), =HYPERLINK("CSG19.html#group120A19", "120A¹⁹"), =HYPERLINK("CSG24.html#group30A24", "30A²⁴"), =HYPERLINK("CSG18.html#group140A18", "140A¹⁸"), =HYPERLINK("CSG24.html#group50B24", "50B²⁴"), =HYPERLINK("CSG22.html#group40G22", "40G²²"), =HYPERLINK("CSG24.html#group240B24", "240B²⁴"), =HYPERLINK("CSG23.html#group40F23", "40F²³"), =HYPERLINK("CSG19.html#group30B19", "30B¹⁹"), =HYPERLINK("CSG3.html#group30D3", "30D³"), =HYPERLINK("CSG14.html#group90A14", "90A¹⁴"), =HYPERLINK("CSG3.html#group30E3", "30E³"), =HYPERLINK("CSG10.html#group40C10", "40C¹⁰"), =HYPERLINK("CSG23.html#group40J23", "40J²³"), =HYPERLINK("CSG24.html#group40C24", "40C²⁴"), =HYPERLINK("CSG19.html#group160A19", "160A¹⁹"), =HYPERLINK("CSG16.html#group70C16", "70C¹⁶"), =HYPERLINK("CSG18.html#group80C18", "80C¹⁸"), =HYPERLINK("CSG23.html#group40D23", "40D²³"), =HYPERLINK("CSG9.html#group80C9", "80C⁹"), =HYPERLINK("CSG8.html#group40B8", "40B⁸"), =HYPERLINK("CSG13.html#group10A13", "10A¹³"), =HYPERLINK("CSG22.html#group60D22", "60D²²"), =HYPERLINK("CSG14.html#group60E14", "60E¹⁴"), =HYPERLINK("CSG21.html#group20C21", "20C²¹"), =HYPERLINK("CSG16.html#group70A16", "70A¹⁶"), =HYPERLINK("CSG16.html#group80B16", "80B¹⁶"), =HYPERLINK("CSG6.html#group30B6", "30B⁶"), =HYPERLINK("CSG22.html#group40D22", "40D²²"), =HYPERLINK("CSG16.html#group80A16", "80A¹⁶"), =HYPERLINK("CSG19.html#group160H19", "160H¹⁹"), =HYPERLINK("CSG16.html#group120B16", "120B¹⁶"), =HYPERLINK("CSG14.html#group90B14", "90B¹⁴"), =HYPERLINK("CSG5.html#group20C5", "20C⁵"), =HYPERLINK("CSG10.html#group20D10", "20D¹⁰"), =HYPERLINK("CSG19.html#group160C19", "160C¹⁹"), =HYPERLINK("CSG8.html#group80D8", "80D⁸"), =HYPERLINK("CSG19.html#group80H19", "80H¹⁹"), =HYPERLINK("CSG19.html#group160F19", "160F¹⁹"), =HYPERLINK("CSG19.html#group160B19", "160B¹⁹"), =HYPERLINK("CSG5.html#group40A5", "40A⁵"), =HYPERLINK("CSG7.html#group60C7", "60C⁷"), =HYPERLINK("CSG22.html#group80E22", "80E²²"), =HYPERLINK("CSG13.html#group120D13", "120D¹³"), =HYPERLINK("CSG24.html#group40A24", "40A²⁴"), =HYPERLINK("CSG7.html#group10A7", "10A⁷"), =HYPERLINK("CSG19.html#group80A19", "80A¹⁹"), =HYPERLINK("CSG16.html#group60F16", "60F¹⁶"), =HYPERLINK("CSG14.html#group90F14", "90F¹⁴"), =HYPERLINK("CSG17.html#group80B17", "80B¹⁷"), =HYPERLINK("CSG2.html#group10D2", "10D²"), =HYPERLINK("CSG16.html#group130A16", "130A¹⁶"), =HYPERLINK("CSG13.html#group40G13", "40G¹³"), =HYPERLINK("CSG13.html#group30N13", "30N¹³"), =HYPERLINK("CSG15.html#group20C15", "20C¹⁵"), =HYPERLINK("CSG16.html#group60E16", "60E¹⁶"), =HYPERLINK("CSG23.html#group40C23", "40C²³"), =HYPERLINK("CSG16.html#group30E16", "30E¹⁶"), =HYPERLINK("CSG19.html#group160I19", "160I¹⁹"), =HYPERLINK("CSG4.html#group20D4", "20D⁴"), =HYPERLINK("CSG19.html#group20A19", "20A¹⁹"), =HYPERLINK("CSG14.html#group60A14", "60A¹⁴"), =HYPERLINK("CSG11.html#group20B11", "20B¹¹"), =HYPERLINK("CSG9.html#group80D9", "80D⁹"), =HYPERLINK("CSG19.html#group60J19", "60J¹⁹"), =HYPERLINK("CSG16.html#group60A16", "60A¹⁶"), =HYPERLINK("CSG20.html#group180F20", "180F²⁰"), =HYPERLINK("CSG22.html#group80H22", "80H²²"), =HYPERLINK("CSG21.html#group180A21", "180A²¹"), =HYPERLINK("CSG18.html#group80A18", "80A¹⁸"), =HYPERLINK("CSG17.html#group60B17", "60B¹⁷"), =HYPERLINK("CSG22.html#group80G22", "80G²²"), =HYPERLINK("CSG7.html#group20P7", "20P⁷"), =HYPERLINK("CSG18.html#group120A18", "120A¹⁸"), =HYPERLINK("CSG17.html#group160C17", "160C¹⁷"), =HYPERLINK("CSG4.html#group20C4", "20C⁴"), =HYPERLINK("CSG12.html#group30B12", "30B¹²"), =HYPERLINK("CSG8.html#group20C8", "20C⁸"), =HYPERLINK("CSG20.html#group90A20", "90A²⁰"), =HYPERLINK("CSG21.html#group40F21", "40F²¹"), =HYPERLINK("CSG22.html#group70A22", "70A²²"), =HYPERLINK("CSG3.html#group10C3", "10C³"), =HYPERLINK("CSG11.html#group30F11", "30F¹¹"), =HYPERLINK("CSG16.html#group40A16", "40A¹⁶"), =HYPERLINK("CSG14.html#group120A14", "120A¹⁴"), =HYPERLINK("CSG22.html#group40L22", "40L²²"), =HYPERLINK("CSG8.html#group70A8", "70A⁸"), =HYPERLINK("CSG17.html#group40A17", "40A¹⁷"), =HYPERLINK("CSG12.html#group90E12", "90E¹²"), =HYPERLINK("CSG19.html#group80B19", "80B¹⁹"), =HYPERLINK("CSG10.html#group40F10", "40F¹⁰"), =HYPERLINK("CSG17.html#group160D17", "160D¹⁷"), =HYPERLINK("CSG13.html#group60B13", "60B¹³"), =HYPERLINK("CSG8.html#group80C8", "80C⁸"), =HYPERLINK("CSG19.html#group140A19", "140A¹⁹"), =HYPERLINK("CSG4.html#group40A4", "40A⁴"), =HYPERLINK("CSG16.html#group40B16", "40B¹⁶"), =HYPERLINK("CSG24.html#group80A24", "80A²⁴"), =HYPERLINK("CSG7.html#group30B7", "30B⁷"), =HYPERLINK("CSG22.html#group80F22", "80F²²"), =HYPERLINK("CSG21.html#group40I21", "40I²¹"), =HYPERLINK("CSG22.html#group50D22", "50D²²"), =HYPERLINK("CSG18.html#group60J18", "60J¹⁸"), =HYPERLINK("CSG13.html#group30C13", "30C¹³"), =HYPERLINK("CSG13.html#group20A13", "20A¹³"), =HYPERLINK("CSG24.html#group210A24", "210A²⁴"), =HYPERLINK("CSG4.html#group40C4", "40C⁴"), =HYPERLINK("CSG12.html#group30H12", "30H¹²"), =HYPERLINK("CSG19.html#group60H19", "60H¹⁹"), =HYPERLINK("CSG8.html#group60C8", "60C⁸"), =HYPERLINK("CSG13.html#group60C13", "60C¹³"), =HYPERLINK("CSG22.html#group40N22", "40N²²"), =HYPERLINK("CSG17.html#group140B17", "140B¹⁷"), =HYPERLINK("CSG6.html#group30A6", "30A⁶"), =HYPERLINK("CSG21.html#group180B21", "180B²¹"), =HYPERLINK("CSG10.html#group20B10", "20B¹⁰"), =HYPERLINK("CSG17.html#group40G17", "40G¹⁷"), =HYPERLINK("CSG10.html#group40G10", "40G¹⁰"), =HYPERLINK("CSG2.html#group20A2", "20A²"), =HYPERLINK("CSG9.html#group20D9", "20D⁹"), =HYPERLINK("CSG22.html#group90B22", "90B²²"), =HYPERLINK("CSG21.html#group90A21", "90A²¹"), =HYPERLINK("CSG19.html#group30A19", "30A¹⁹"), =HYPERLINK("CSG19.html#group20C19", "20C¹⁹"), =HYPERLINK("CSG22.html#group50A22", "50A²²"), =HYPERLINK("CSG19.html#group120B19", "120B¹⁹"), =HYPERLINK("CSG7.html#group60B7", "60B⁷"), =HYPERLINK("CSG8.html#group40F8", "40F⁸"), =HYPERLINK("CSG12.html#group120C12", "120C¹²"), =HYPERLINK("CSG13.html#group20G13", "20G¹³"), =HYPERLINK("CSG19.html#group40L19", "40L¹⁹"), =HYPERLINK("CSG4.html#group30D4", "30D⁴"), =HYPERLINK("CSG14.html#group120C14", "120C¹⁴"), =HYPERLINK("CSG17.html#group160B17", "160B¹⁷"), =HYPERLINK("CSG4.html#group20A4", "20A⁴"), =HYPERLINK("CSG21.html#group170A21", "170A²¹"), =HYPERLINK("CSG15.html#group40A15", "40A¹⁵"), =HYPERLINK("CSG17.html#group160A17", "160A¹⁷"), =HYPERLINK("CSG20.html#group90B20", "90B²⁰"), =HYPERLINK("CSG12.html#group60C12", "60C¹²"), =HYPERLINK("CSG18.html#group120D18", "120D¹⁸"), =HYPERLINK("CSG17.html#group80A17", "80A¹⁷"), =HYPERLINK("CSG15.html#group30F15", "30F¹⁵"), =HYPERLINK("CSG12.html#group120B12", "120B¹²"), =HYPERLINK("CSG17.html#group140A17", "140A¹⁷"), =HYPERLINK("CSG13.html#group60H13", "60H¹³"), =HYPERLINK("CSG16.html#group30C16", "30C¹⁶"), =HYPERLINK("CSG17.html#group20B17", "20B¹⁷"), =HYPERLINK("CSG23.html#group40I23", "40I²³"), =HYPERLINK("CSG7.html#group20D7", "20D⁷"), =HYPERLINK("CSG22.html#group30C22", "30C²²"), =HYPERLINK("CSG10.html#group20E10", "20E¹⁰"), =HYPERLINK("CSG22.html#group20C22", "20C²²"), =HYPERLINK("CSG16.html#group140A16", "140A¹⁶"), =HYPERLINK("CSG12.html#group30A12", "30A¹²"), =HYPERLINK("CSG18.html#group40C18", "40C¹⁸"), =HYPERLINK("CSG2.html#group10F2", "10F²"), =HYPERLINK("CSG22.html#group40J22", "40J²²"), =HYPERLINK("CSG20.html#group40B20", "40B²⁰"), =HYPERLINK("CSG16.html#group30B16", "30B¹⁶"), =HYPERLINK("CSG12.html#group90C12", "90C¹²"), =HYPERLINK("CSG8.html#group40C8", "40C⁸"), =HYPERLINK("CSG24.html#group210C24", "210C²⁴"), =HYPERLINK("CSG13.html#group110A13", "110A¹³"), =HYPERLINK("CSG17.html#group120D17", "120D¹⁷"), =HYPERLINK("CSG22.html#group80C22", "80C²²"), =HYPERLINK("CSG14.html#group60C14", "60C¹⁴"), =HYPERLINK("CSG22.html#group40C22", "40C²²"), =HYPERLINK("CSG23.html#group40G23", "40G²³"), =HYPERLINK("CSG19.html#group160D19", "160D¹⁹"), =HYPERLINK("CSG24.html#group40E24", "40E²⁴"), =HYPERLINK("CSG6.html#group60C6", "60C⁶"), =HYPERLINK("CSG22.html#group80B22", "80B²²"), =HYPERLINK("CSG11.html#group20C11", "20C¹¹"), =HYPERLINK("CSG2.html#group20B2", "20B²"), =HYPERLINK("CSG8.html#group40D8", "40D⁸"), =HYPERLINK("CSG9.html#group20B9", "20B⁹"), =HYPERLINK("CSG19.html#group80F19", "80F¹⁹"), =HYPERLINK("CSG2.html#group10B2", "10B²"), =HYPERLINK("CSG15.html#group20G15", "20G¹⁵"), =HYPERLINK("CSG9.html#group20C9", "20C⁹"), =HYPERLINK("CSG19.html#group80C19", "80C¹⁹"), =HYPERLINK("CSG7.html#group60A7", "60A⁷"), =HYPERLINK("CSG22.html#group20A22", "20A²²"), =HYPERLINK("CSG14.html#group120B14", "120B¹⁴"), =HYPERLINK("CSG19.html#group80G19", "80G¹⁹"), =HYPERLINK("CSG22.html#group80D22", "80D²²"), =HYPERLINK("CSG10.html#group80B10", "80B¹⁰"), =HYPERLINK("CSG15.html#group120A15", "120A¹⁵"), =HYPERLINK("CSG14.html#group60F14", "60F¹⁴"), =HYPERLINK("CSG23.html#group40H23", "40H²³"), =HYPERLINK("CSG24.html#group240C24", "240C²⁴"), =HYPERLINK("CSG18.html#group40A18", "40A¹⁸"), =HYPERLINK("CSG4.html#group20E4", "20E⁴"), =HYPERLINK("CSG10.html#group90D10", "90D¹⁰"), =HYPERLINK("CSG13.html#group60D13", "60D¹³"), =HYPERLINK("CSG22.html#group40A22", "40A²²"), =HYPERLINK("CSG19.html#group60I19", "60I¹⁹"), =HYPERLINK("CSG15.html#group120B15", "120B¹⁵"), =HYPERLINK("CSG17.html#group40F17", "40F¹⁷"), =HYPERLINK("CSG13.html#group120A13", "120A¹³"), =HYPERLINK("CSG10.html#group80A10", "80A¹⁰"), =HYPERLINK("CSG11.html#group50B11", "50B¹¹"), =HYPERLINK("CSG22.html#group40B22", "40B²²"), =HYPERLINK("CSG10.html#group20A10", "20A¹⁰"), =HYPERLINK("CSG6.html#group20D6", "20D⁶"), =HYPERLINK("CSG19.html#group20D19", "20D¹⁹"), =HYPERLINK("CSG3.html#group20P3", "20P³"), =HYPERLINK("CSG22.html#group40E22", "40E²²"), =HYPERLINK("CSG22.html#group20B22", "20B²²"), =HYPERLINK("CSG22.html#group30G22", "30G²²"), =HYPERLINK("CSG17.html#group60M17", "60M¹⁷"), =HYPERLINK("CSG24.html#group40B24", "40B²⁴"), =HYPERLINK("CSG9.html#group70A9", "70A⁹"), =HYPERLINK("CSG16.html#group60D16", "60D¹⁶"), =HYPERLINK("CSG14.html#group90E14", "90E¹⁴"), =HYPERLINK("CSG14.html#group110A14", "110A¹⁴"), =HYPERLINK("CSG15.html#group20I15", "20I¹⁵"), =HYPERLINK("CSG24.html#group210B24", "210B²⁴"), =HYPERLINK("CSG4.html#group40B4", "40B⁴"), =HYPERLINK("CSG19.html#group160G19", "160G¹⁹"), =HYPERLINK("CSG19.html#group20B19", "20B¹⁹"), =HYPERLINK("CSG18.html#group80B18", "80B¹⁸"), =HYPERLINK("CSG8.html#group30B8", "30B⁸"), =HYPERLINK("CSG7.html#group30E7", "30E⁷"), =HYPERLINK("CSG15.html#group40D15", "40D¹⁵"), =HYPERLINK("CSG8.html#group20A8", "20A⁸"), =HYPERLINK("CSG17.html#group40N17", "40N¹⁷"), =HYPERLINK("CSG9.html#group80B9", "80B⁹"), =HYPERLINK("CSG10.html#group40D10", "40D¹⁰"), =HYPERLINK("CSG17.html#group80J17", "80J¹⁷")</f>
        <v/>
      </c>
    </row>
    <row r="153">
      <c r="A153" t="inlineStr">
        <is>
          <t>10C¹</t>
        </is>
      </c>
      <c r="B153" t="inlineStr"/>
      <c r="C153" t="inlineStr">
        <is>
          <t>20</t>
        </is>
      </c>
      <c r="D153" t="inlineStr">
        <is>
          <t>1</t>
        </is>
      </c>
      <c r="E153" t="inlineStr">
        <is>
          <t>10</t>
        </is>
      </c>
      <c r="F153" t="inlineStr">
        <is>
          <t>0</t>
        </is>
      </c>
      <c r="G153" t="inlineStr">
        <is>
          <t>2</t>
        </is>
      </c>
      <c r="H153" t="inlineStr">
        <is>
          <t>10²</t>
        </is>
      </c>
      <c r="I153" t="n">
        <v>2</v>
      </c>
      <c r="J153" t="inlineStr">
        <is>
          <t>2¹, 4²</t>
        </is>
      </c>
      <c r="K153">
        <f>HYPERLINK("CSG0.html#group2A0", "2A⁰"), =HYPERLINK("CSG0.html#group5C0", "5C⁰")</f>
        <v/>
      </c>
      <c r="L153">
        <f>HYPERLINK("CSG1.html#group10H1", "10H¹"), =HYPERLINK("CSG3.html#group10A3", "10A³"), =HYPERLINK("CSG3.html#group10B3", "10B³"), =HYPERLINK("CSG4.html#group30B4", "30B⁴"), =HYPERLINK("CSG5.html#group20A5", "20A⁵"), =HYPERLINK("CSG5.html#group30A5", "30A⁵"), =HYPERLINK("CSG5.html#group30J5", "30J⁵"), =HYPERLINK("CSG5.html#group50E5", "50E⁵"), =HYPERLINK("CSG11.html#group70A11", "70A¹¹"), =HYPERLINK("CSG11.html#group70C11", "70C¹¹"), =HYPERLINK("CSG17.html#group110A17", "110A¹⁷"), =HYPERLINK("CSG19.html#group110B19", "110B¹⁹"), =HYPERLINK("CSG21.html#group130B21", "130B²¹")</f>
        <v/>
      </c>
      <c r="M153">
        <f>HYPERLINK("CSG0.html#group2A0", "2A⁰"), =HYPERLINK("CSG0.html#group5C0", "5C⁰"), =HYPERLINK("CSG0.html#group1A0", "1A⁰")</f>
        <v/>
      </c>
      <c r="N153">
        <f>HYPERLINK("CSG1.html#group10H1", "10H¹"), =HYPERLINK("CSG15.html#group30A15", "30A¹⁵"), =HYPERLINK("CSG17.html#group60A17", "60A¹⁷"), =HYPERLINK("CSG17.html#group30K17", "30K¹⁷"), =HYPERLINK("CSG19.html#group50C19", "50C¹⁹"), =HYPERLINK("CSG5.html#group10A5", "10A⁵"), =HYPERLINK("CSG11.html#group20B11", "20B¹¹"), =HYPERLINK("CSG18.html#group60E18", "60E¹⁸"), =HYPERLINK("CSG16.html#group30A16", "30A¹⁶"), =HYPERLINK("CSG23.html#group40A23", "40A²³"), =HYPERLINK("CSG19.html#group90C19", "90C¹⁹"), =HYPERLINK("CSG23.html#group50B23", "50B²³"), =HYPERLINK("CSG17.html#group30E17", "30E¹⁷"), =HYPERLINK("CSG5.html#group10B5", "10B⁵"), =HYPERLINK("CSG23.html#group60B23", "60B²³"), =HYPERLINK("CSG22.html#group30B22", "30B²²"), =HYPERLINK("CSG9.html#group20A9", "20A⁹"), =HYPERLINK("CSG13.html#group30E13", "30E¹³"), =HYPERLINK("CSG23.html#group50A23", "50A²³"), =HYPERLINK("CSG11.html#group20A11", "20A¹¹"), =HYPERLINK("CSG9.html#group50F9", "50F⁹"), =HYPERLINK("CSG11.html#group70A11", "70A¹¹"), =HYPERLINK("CSG9.html#group30N9", "30N⁹"), =HYPERLINK("CSG19.html#group50D19", "50D¹⁹"), =HYPERLINK("CSG5.html#group30J5", "30J⁵"), =HYPERLINK("CSG17.html#group20A17", "20A¹⁷"), =HYPERLINK("CSG11.html#group40B11", "40B¹¹"), =HYPERLINK("CSG20.html#group150E20", "150E²⁰"), =HYPERLINK("CSG11.html#group70C11", "70C¹¹"), =HYPERLINK("CSG17.html#group90O17", "90O¹⁷"), =HYPERLINK("CSG3.html#group10D3", "10D³"), =HYPERLINK("CSG15.html#group60Q15", "60Q¹⁵"), =HYPERLINK("CSG23.html#group140A23", "140A²³"), =HYPERLINK("CSG17.html#group40H17", "40H¹⁷"), =HYPERLINK("CSG17.html#group40C17", "40C¹⁷"), =HYPERLINK("CSG15.html#group20D15", "20D¹⁵"), =HYPERLINK("CSG21.html#group70G21", "70G²¹"), =HYPERLINK("CSG18.html#group60H18", "60H¹⁸"), =HYPERLINK("CSG15.html#group30C15", "30C¹⁵"), =HYPERLINK("CSG21.html#group60S21", "60S²¹"), =HYPERLINK("CSG21.html#group70C21", "70C²¹"), =HYPERLINK("CSG21.html#group50E21", "50E²¹"), =HYPERLINK("CSG23.html#group80A23", "80A²³"), =HYPERLINK("CSG5.html#group50E5", "50E⁵"), =HYPERLINK("CSG23.html#group140B23", "140B²³"), =HYPERLINK("CSG3.html#group10B3", "10B³"), =HYPERLINK("CSG17.html#group110A17", "110A¹⁷"), =HYPERLINK("CSG11.html#group60I11", "60I¹¹"), =HYPERLINK("CSG19.html#group100R19", "100R¹⁹"), =HYPERLINK("CSG7.html#group20C7", "20C⁷"), =HYPERLINK("CSG9.html#group30D9", "30D⁹"), =HYPERLINK("CSG15.html#group90E15", "90E¹⁵"), =HYPERLINK("CSG15.html#group40T15", "40T¹⁵"), =HYPERLINK("CSG17.html#group30C17", "30C¹⁷"), =HYPERLINK("CSG13.html#group10A13", "10A¹³"), =HYPERLINK("CSG7.html#group30G7", "30G⁷"), =HYPERLINK("CSG4.html#group30B4", "30B⁴"), =HYPERLINK("CSG15.html#group20F15", "20F¹⁵"), =HYPERLINK("CSG19.html#group60E19", "60E¹⁹"), =HYPERLINK("CSG19.html#group110B19", "110B¹⁹"), =HYPERLINK("CSG17.html#group30B17", "30B¹⁷"), =HYPERLINK("CSG21.html#group60R21", "60R²¹"), =HYPERLINK("CSG21.html#group130B21", "130B²¹"), =HYPERLINK("CSG3.html#group10A3", "10A³"), =HYPERLINK("CSG18.html#group90A18", "90A¹⁸"), =HYPERLINK("CSG13.html#group30D13", "30D¹³"), =HYPERLINK("CSG5.html#group30A5", "30A⁵"), =HYPERLINK("CSG17.html#group90M17", "90M¹⁷"), =HYPERLINK("CSG16.html#group90A16", "90A¹⁶"), =HYPERLINK("CSG19.html#group60D19", "60D¹⁹"), =HYPERLINK("CSG13.html#group20A13", "20A¹³"), =HYPERLINK("CSG7.html#group30H7", "30H⁷"), =HYPERLINK("CSG19.html#group20D19", "20D¹⁹"), =HYPERLINK("CSG15.html#group20A15", "20A¹⁵"), =HYPERLINK("CSG19.html#group90B19", "90B¹⁹"), =HYPERLINK("CSG15.html#group60P15", "60P¹⁵"), =HYPERLINK("CSG19.html#group50A19", "50A¹⁹"), =HYPERLINK("CSG21.html#group40B21", "40B²¹"), =HYPERLINK("CSG9.html#group30E9", "30E⁹"), =HYPERLINK("CSG15.html#group40N15", "40N¹⁵"), =HYPERLINK("CSG7.html#group20B7", "20B⁷"), =HYPERLINK("CSG13.html#group30A13", "30A¹³"), =HYPERLINK("CSG7.html#group10A7", "10A⁷"), =HYPERLINK("CSG9.html#group30B9", "30B⁹"), =HYPERLINK("CSG19.html#group20C19", "20C¹⁹"), =HYPERLINK("CSG21.html#group70B21", "70B²¹"), =HYPERLINK("CSG3.html#group20N3", "20N³"), =HYPERLINK("CSG19.html#group60B19", "60B¹⁹"), =HYPERLINK("CSG15.html#group20E15", "20E¹⁵"), =HYPERLINK("CSG23.html#group80C23", "80C²³"), =HYPERLINK("CSG11.html#group60H11", "60H¹¹"), =HYPERLINK("CSG5.html#group20A5", "20A⁵"), =HYPERLINK("CSG15.html#group40B15", "40B¹⁵"), =HYPERLINK("CSG15.html#group40C15", "40C¹⁵"), =HYPERLINK("CSG21.html#group40A21", "40A²¹"), =HYPERLINK("CSG8.html#group30C8", "30C⁸"), =HYPERLINK("CSG23.html#group80B23", "80B²³"), =HYPERLINK("CSG15.html#group40O15", "40O¹⁵"), =HYPERLINK("CSG15.html#group20C15", "20C¹⁵"), =HYPERLINK("CSG11.html#group40A11", "40A¹¹"), =HYPERLINK("CSG21.html#group70E21", "70E²¹"), =HYPERLINK("CSG17.html#group40D17", "40D¹⁷")</f>
        <v/>
      </c>
    </row>
    <row r="154">
      <c r="A154" t="inlineStr">
        <is>
          <t>10D¹</t>
        </is>
      </c>
      <c r="B154" t="inlineStr"/>
      <c r="C154" t="inlineStr">
        <is>
          <t>24</t>
        </is>
      </c>
      <c r="D154" t="inlineStr">
        <is>
          <t>1</t>
        </is>
      </c>
      <c r="E154" t="inlineStr">
        <is>
          <t>6</t>
        </is>
      </c>
      <c r="F154" t="inlineStr">
        <is>
          <t>0</t>
        </is>
      </c>
      <c r="G154" t="inlineStr">
        <is>
          <t>0</t>
        </is>
      </c>
      <c r="H154" t="inlineStr">
        <is>
          <t>2², 10²</t>
        </is>
      </c>
      <c r="I154" t="n">
        <v>4</v>
      </c>
      <c r="J154" t="inlineStr">
        <is>
          <t>1², 4¹</t>
        </is>
      </c>
      <c r="K154">
        <f>HYPERLINK("CSG0.html#group5D0", "5D⁰"), =HYPERLINK("CSG0.html#group10B0", "10B⁰"), =HYPERLINK("CSG1.html#group10A1", "10A¹")</f>
        <v/>
      </c>
      <c r="L154">
        <f>HYPERLINK("CSG1.html#group10K1", "10K¹"), =HYPERLINK("CSG3.html#group20A3", "20A³"), =HYPERLINK("CSG5.html#group10A5", "10A⁵"), =HYPERLINK("CSG5.html#group20D5", "20D⁵"), =HYPERLINK("CSG5.html#group30C5", "30C⁵"), =HYPERLINK("CSG5.html#group30D5", "30D⁵"), =HYPERLINK("CSG5.html#group30N5", "30N⁵"), =HYPERLINK("CSG5.html#group50F5", "50F⁵"), =HYPERLINK("CSG9.html#group50A9", "50A⁹"), =HYPERLINK("CSG9.html#group50B9", "50B⁹"), =HYPERLINK("CSG9.html#group50C9", "50C⁹"), =HYPERLINK("CSG9.html#group50D9", "50D⁹"), =HYPERLINK("CSG13.html#group70C13", "70C¹³"), =HYPERLINK("CSG13.html#group70F13", "70F¹³"), =HYPERLINK("CSG21.html#group110A21", "110A²¹"), =HYPERLINK("CSG21.html#group110C21", "110C²¹")</f>
        <v/>
      </c>
      <c r="M154">
        <f>HYPERLINK("CSG0.html#group5B0", "5B⁰"), =HYPERLINK("CSG0.html#group2A0", "2A⁰"), =HYPERLINK("CSG0.html#group5D0", "5D⁰"), =HYPERLINK("CSG1.html#group10A1", "10A¹"), =HYPERLINK("CSG0.html#group1A0", "1A⁰"), =HYPERLINK("CSG0.html#group10B0", "10B⁰")</f>
        <v/>
      </c>
      <c r="N154">
        <f>HYPERLINK("CSG5.html#group30C5", "30C⁵"), =HYPERLINK("CSG13.html#group10A13", "10A¹³"), =HYPERLINK("CSG11.html#group60C11", "60C¹¹"), =HYPERLINK("CSG13.html#group40R13", "40R¹³"), =HYPERLINK("CSG5.html#group10A5", "10A⁵"), =HYPERLINK("CSG11.html#group60A11", "60A¹¹"), =HYPERLINK("CSG19.html#group100B19", "100B¹⁹"), =HYPERLINK("CSG5.html#group20I5", "20I⁵"), =HYPERLINK("CSG13.html#group20E13", "20E¹³"), =HYPERLINK("CSG21.html#group110A21", "110A²¹"), =HYPERLINK("CSG13.html#group40K13", "40K¹³"), =HYPERLINK("CSG11.html#group60B11", "60B¹¹"), =HYPERLINK("CSG21.html#group60P21", "60P²¹"), =HYPERLINK("CSG9.html#group50D9", "50D⁹"), =HYPERLINK("CSG17.html#group90R17", "90R¹⁷"), =HYPERLINK("CSG17.html#group40Y17", "40Y¹⁷"), =HYPERLINK("CSG21.html#group60H21", "60H²¹"), =HYPERLINK("CSG3.html#group20A3", "20A³"), =HYPERLINK("CSG13.html#group20F13", "20F¹³"), =HYPERLINK("CSG9.html#group50A9", "50A⁹"), =HYPERLINK("CSG17.html#group40T17", "40T¹⁷"), =HYPERLINK("CSG9.html#group50B9", "50B⁹"), =HYPERLINK("CSG9.html#group20E9", "20E⁹"), =HYPERLINK("CSG15.html#group20A15", "20A¹⁵"), =HYPERLINK("CSG3.html#group20R3", "20R³"), =HYPERLINK("CSG9.html#group30K9", "30K⁹"), =HYPERLINK("CSG21.html#group60F21", "60F²¹"), =HYPERLINK("CSG13.html#group60J13", "60J¹³"), =HYPERLINK("CSG9.html#group50C9", "50C⁹"), =HYPERLINK("CSG13.html#group50E13", "50E¹³"), =HYPERLINK("CSG13.html#group40Q13", "40Q¹³"), =HYPERLINK("CSG13.html#group30H13", "30H¹³"), =HYPERLINK("CSG17.html#group90D17", "90D¹⁷"), =HYPERLINK("CSG5.html#group50F5", "50F⁵"), =HYPERLINK("CSG21.html#group110C21", "110C²¹"), =HYPERLINK("CSG21.html#group90E21", "90E²¹"), =HYPERLINK("CSG13.html#group70F13", "70F¹³"), =HYPERLINK("CSG19.html#group100D19", "100D¹⁹"), =HYPERLINK("CSG13.html#group40B13", "40B¹³"), =HYPERLINK("CSG15.html#group100A15", "100A¹⁵"), =HYPERLINK("CSG17.html#group30J17", "30J¹⁷"), =HYPERLINK("CSG13.html#group30P13", "30P¹³"), =HYPERLINK("CSG5.html#group30N5", "30N⁵"), =HYPERLINK("CSG9.html#group30P9", "30P⁹"), =HYPERLINK("CSG19.html#group100C19", "100C¹⁹"), =HYPERLINK("CSG21.html#group60D21", "60D²¹"), =HYPERLINK("CSG21.html#group90F21", "90F²¹"), =HYPERLINK("CSG13.html#group40J13", "40J¹³"), =HYPERLINK("CSG21.html#group90H21", "90H²¹"), =HYPERLINK("CSG21.html#group90G21", "90G²¹"), =HYPERLINK("CSG17.html#group30H17", "30H¹⁷"), =HYPERLINK("CSG19.html#group100A19", "100A¹⁹"), =HYPERLINK("CSG7.html#group20J7", "20J⁷"), =HYPERLINK("CSG13.html#group70C13", "70C¹³"), =HYPERLINK("CSG9.html#group20F9", "20F⁹"), =HYPERLINK("CSG1.html#group10K1", "10K¹"), =HYPERLINK("CSG13.html#group60I13", "60I¹³"), =HYPERLINK("CSG17.html#group90S17", "90S¹⁷"), =HYPERLINK("CSG13.html#group40C13", "40C¹³"), =HYPERLINK("CSG5.html#group20D5", "20D⁵"), =HYPERLINK("CSG21.html#group60C21", "60C²¹"), =HYPERLINK("CSG5.html#group30D5", "30D⁵")</f>
        <v/>
      </c>
    </row>
    <row r="155">
      <c r="A155" t="inlineStr">
        <is>
          <t>10E¹</t>
        </is>
      </c>
      <c r="B155" t="inlineStr"/>
      <c r="C155" t="inlineStr">
        <is>
          <t>30</t>
        </is>
      </c>
      <c r="D155" t="inlineStr">
        <is>
          <t>1</t>
        </is>
      </c>
      <c r="E155" t="inlineStr">
        <is>
          <t>15</t>
        </is>
      </c>
      <c r="F155" t="inlineStr">
        <is>
          <t>4</t>
        </is>
      </c>
      <c r="G155" t="inlineStr">
        <is>
          <t>0</t>
        </is>
      </c>
      <c r="H155" t="inlineStr">
        <is>
          <t>10³</t>
        </is>
      </c>
      <c r="I155" t="n">
        <v>3</v>
      </c>
      <c r="J155" t="inlineStr">
        <is>
          <t>1¹, 2¹, 4³</t>
        </is>
      </c>
      <c r="K155">
        <f>HYPERLINK("CSG0.html#group5E0", "5E⁰")</f>
        <v/>
      </c>
      <c r="L155">
        <f>HYPERLINK("CSG2.html#group10C2", "10C²"), =HYPERLINK("CSG3.html#group10B3", "10B³"), =HYPERLINK("CSG3.html#group10C3", "10C³"), =HYPERLINK("CSG4.html#group30F4", "30F⁴"), =HYPERLINK("CSG6.html#group20B6", "20B⁶"), =HYPERLINK("CSG7.html#group50A7", "50A⁷"), =HYPERLINK("CSG7.html#group50B7", "50B⁷"), =HYPERLINK("CSG8.html#group30D8", "30D⁸"), =HYPERLINK("CSG9.html#group50E9", "50E⁹"), =HYPERLINK("CSG14.html#group70B14", "70B¹⁴"), =HYPERLINK("CSG18.html#group70D18", "70D¹⁸"), =HYPERLINK("CSG24.html#group110A24", "110A²⁴")</f>
        <v/>
      </c>
      <c r="M155">
        <f>HYPERLINK("CSG0.html#group5E0", "5E⁰"), =HYPERLINK("CSG0.html#group1A0", "1A⁰"), =HYPERLINK("CSG0.html#group5A0", "5A⁰")</f>
        <v/>
      </c>
      <c r="N155">
        <f>HYPERLINK("CSG17.html#group20B17", "20B¹⁷"), =HYPERLINK("CSG19.html#group50C19", "50C¹⁹"), =HYPERLINK("CSG5.html#group10A5", "10A⁵"), =HYPERLINK("CSG22.html#group30C22", "30C²²"), =HYPERLINK("CSG6.html#group20B6", "20B⁶"), =HYPERLINK("CSG24.html#group40F24", "40F²⁴"), =HYPERLINK("CSG20.html#group20A20", "20A²⁰"), =HYPERLINK("CSG23.html#group50B23", "50B²³"), =HYPERLINK("CSG22.html#group40H22", "40H²²"), =HYPERLINK("CSG10.html#group30D10", "30D¹⁰"), =HYPERLINK("CSG13.html#group20B13", "20B¹³"), =HYPERLINK("CSG7.html#group20E7", "20E⁷"), =HYPERLINK("CSG13.html#group30E13", "30E¹³"), =HYPERLINK("CSG10.html#group20C10", "20C¹⁰"), =HYPERLINK("CSG20.html#group40B20", "40B²⁰"), =HYPERLINK("CSG6.html#group10A6", "10A⁶"), =HYPERLINK("CSG19.html#group50D19", "50D¹⁹"), =HYPERLINK("CSG20.html#group40A20", "40A²⁰"), =HYPERLINK("CSG24.html#group40E24", "40E²⁴"), =HYPERLINK("CSG21.html#group20A21", "20A²¹"), =HYPERLINK("CSG20.html#group20B20", "20B²⁰"), =HYPERLINK("CSG15.html#group30C15", "30C¹⁵"), =HYPERLINK("CSG8.html#group20C8", "20C⁸"), =HYPERLINK("CSG9.html#group20C9", "20C⁹"), =HYPERLINK("CSG23.html#group40F23", "40F²³"), =HYPERLINK("CSG21.html#group40F21", "40F²¹"), =HYPERLINK("CSG17.html#group90P17", "90P¹⁷"), =HYPERLINK("CSG3.html#group10C3", "10C³"), =HYPERLINK("CSG7.html#group50B7", "50B⁷"), =HYPERLINK("CSG21.html#group50E21", "50E²¹"), =HYPERLINK("CSG18.html#group50A18", "50A¹⁸"), =HYPERLINK("CSG20.html#group50A20", "50A²⁰"), =HYPERLINK("CSG15.html#group30B15", "30B¹⁵"), =HYPERLINK("CSG3.html#group10B3", "10B³"), =HYPERLINK("CSG16.html#group40E16", "40E¹⁶"), =HYPERLINK("CSG11.html#group30A11", "30A¹¹"), =HYPERLINK("CSG13.html#group10A13", "10A¹³"), =HYPERLINK("CSG15.html#group20F15", "20F¹⁵"), =HYPERLINK("CSG8.html#group30D8", "30D⁸"), =HYPERLINK("CSG16.html#group40D16", "40D¹⁶"), =HYPERLINK("CSG10.html#group30B10", "30B¹⁰"), =HYPERLINK("CSG23.html#group30E23", "30E²³"), =HYPERLINK("CSG14.html#group50A14", "50A¹⁴"), =HYPERLINK("CSG13.html#group30D13", "30D¹³"), =HYPERLINK("CSG9.html#group30O9", "30O⁹"), =HYPERLINK("CSG23.html#group30D23", "30D²³"), =HYPERLINK("CSG4.html#group30F4", "30F⁴"), =HYPERLINK("CSG19.html#group20D19", "20D¹⁹"), =HYPERLINK("CSG15.html#group20A15", "20A¹⁵"), =HYPERLINK("CSG14.html#group70B14", "70B¹⁴"), =HYPERLINK("CSG2.html#group10C2", "10C²"), =HYPERLINK("CSG9.html#group50E9", "50E⁹"), =HYPERLINK("CSG21.html#group30A21", "30A²¹"), =HYPERLINK("CSG22.html#group60C22", "60C²²"), =HYPERLINK("CSG7.html#group50A7", "50A⁷"), =HYPERLINK("CSG19.html#group50A19", "50A¹⁹"), =HYPERLINK("CSG22.html#group50B22", "50B²²"), =HYPERLINK("CSG9.html#group20D9", "20D⁹"), =HYPERLINK("CSG22.html#group40I22", "40I²²"), =HYPERLINK("CSG7.html#group10A7", "10A⁷"), =HYPERLINK("CSG19.html#group20C19", "20C¹⁹"), =HYPERLINK("CSG21.html#group30B21", "30B²¹"), =HYPERLINK("CSG10.html#group30E10", "30E¹⁰"), =HYPERLINK("CSG15.html#group20I15", "20I¹⁵"), =HYPERLINK("CSG18.html#group70D18", "70D¹⁸"), =HYPERLINK("CSG23.html#group40E23", "40E²³"), =HYPERLINK("CSG18.html#group50B18", "50B¹⁸"), =HYPERLINK("CSG21.html#group30F21", "30F²¹"), =HYPERLINK("CSG24.html#group110A24", "110A²⁴"), =HYPERLINK("CSG19.html#group20B19", "20B¹⁹"), =HYPERLINK("CSG23.html#group30C23", "30C²³"), =HYPERLINK("CSG16.html#group30E16", "30E¹⁶")</f>
        <v/>
      </c>
    </row>
    <row r="156">
      <c r="A156" t="inlineStr">
        <is>
          <t>10F¹</t>
        </is>
      </c>
      <c r="B156" t="inlineStr"/>
      <c r="C156" t="inlineStr">
        <is>
          <t>30</t>
        </is>
      </c>
      <c r="D156" t="inlineStr">
        <is>
          <t>1</t>
        </is>
      </c>
      <c r="E156" t="inlineStr">
        <is>
          <t>30</t>
        </is>
      </c>
      <c r="F156" t="inlineStr">
        <is>
          <t>2</t>
        </is>
      </c>
      <c r="G156" t="inlineStr">
        <is>
          <t>0</t>
        </is>
      </c>
      <c r="H156" t="inlineStr">
        <is>
          <t>5², 10²</t>
        </is>
      </c>
      <c r="I156" t="n">
        <v>4</v>
      </c>
      <c r="J156" t="inlineStr">
        <is>
          <t>2³, 4⁶</t>
        </is>
      </c>
      <c r="K156">
        <f>HYPERLINK("CSG0.html#group2B0", "2B⁰"), =HYPERLINK("CSG0.html#group5C0", "5C⁰")</f>
        <v/>
      </c>
      <c r="L156">
        <f>HYPERLINK("CSG2.html#group10D2", "10D²"), =HYPERLINK("CSG2.html#group10E2", "10E²"), =HYPERLINK("CSG2.html#group10F2", "10F²"), =HYPERLINK("CSG2.html#group20F2", "20F²"), =HYPERLINK("CSG3.html#group10A3", "10A³"), =HYPERLINK("CSG3.html#group20E3", "20E³"), =HYPERLINK("CSG3.html#group20F3", "20F³"), =HYPERLINK("CSG4.html#group20B4", "20B⁴"), =HYPERLINK("CSG5.html#group30K5", "30K⁵"), =HYPERLINK("CSG7.html#group30L7", "30L⁷"), =HYPERLINK("CSG11.html#group50A11", "50A¹¹"), =HYPERLINK("CSG15.html#group70D15", "70D¹⁵"), =HYPERLINK("CSG17.html#group70D17", "70D¹⁷")</f>
        <v/>
      </c>
      <c r="M156">
        <f>HYPERLINK("CSG0.html#group5C0", "5C⁰"), =HYPERLINK("CSG0.html#group1A0", "1A⁰"), =HYPERLINK("CSG0.html#group2B0", "2B⁰")</f>
        <v/>
      </c>
      <c r="N156">
        <f>HYPERLINK("CSG23.html#group100A23", "100A²³"), =HYPERLINK("CSG19.html#group20A19", "20A¹⁹"), =HYPERLINK("CSG7.html#group40G7", "40G⁷"), =HYPERLINK("CSG13.html#group60A13", "60A¹³"), =HYPERLINK("CSG15.html#group60V15", "60V¹⁵"), =HYPERLINK("CSG11.html#group20B11", "20B¹¹"), =HYPERLINK("CSG3.html#group20E3", "20E³"), =HYPERLINK("CSG17.html#group40J17", "40J¹⁷"), =HYPERLINK("CSG7.html#group30L7", "30L⁷"), =HYPERLINK("CSG15.html#group40H15", "40H¹⁵"), =HYPERLINK("CSG17.html#group80H17", "80H¹⁷"), =HYPERLINK("CSG15.html#group40P15", "40P¹⁵"), =HYPERLINK("CSG21.html#group40G21", "40G²¹"), =HYPERLINK("CSG11.html#group20D11", "20D¹¹"), =HYPERLINK("CSG7.html#group20P7", "20P⁷"), =HYPERLINK("CSG17.html#group40M17", "40M¹⁷"), =HYPERLINK("CSG6.html#group10A6", "10A⁶"), =HYPERLINK("CSG17.html#group80R17", "80R¹⁷"), =HYPERLINK("CSG21.html#group20B21", "20B²¹"), =HYPERLINK("CSG17.html#group80T17", "80T¹⁷"), =HYPERLINK("CSG17.html#group70D17", "70D¹⁷"), =HYPERLINK("CSG12.html#group30B12", "30B¹²"), =HYPERLINK("CSG21.html#group30D21", "30D²¹"), =HYPERLINK("CSG21.html#group20A21", "20A²¹"), =HYPERLINK("CSG15.html#group40AJ15", "40AJ¹⁵"), =HYPERLINK("CSG11.html#group40J11", "40J¹¹"), =HYPERLINK("CSG15.html#group40R15", "40R¹⁵"), =HYPERLINK("CSG15.html#group40Q15", "40Q¹⁵"), =HYPERLINK("CSG15.html#group80G15", "80G¹⁵"), =HYPERLINK("CSG13.html#group20D13", "20D¹³"), =HYPERLINK("CSG12.html#group60E12", "60E¹²"), =HYPERLINK("CSG17.html#group80P17", "80P¹⁷"), =HYPERLINK("CSG15.html#group80K15", "80K¹⁵"), =HYPERLINK("CSG4.html#group20B4", "20B⁴"), =HYPERLINK("CSG17.html#group80N17", "80N¹⁷"), =HYPERLINK("CSG15.html#group40T15", "40T¹⁵"), =HYPERLINK("CSG10.html#group60C10", "60C¹⁰"), =HYPERLINK("CSG14.html#group60B14", "60B¹⁴"), =HYPERLINK("CSG23.html#group60E23", "60E²³"), =HYPERLINK("CSG15.html#group70D15", "70D¹⁵"), =HYPERLINK("CSG24.html#group50A24", "50A²⁴"), =HYPERLINK("CSG17.html#group40E17", "40E¹⁷"), =HYPERLINK("CSG17.html#group40I17", "40I¹⁷"), =HYPERLINK("CSG21.html#group40I21", "40I²¹"), =HYPERLINK("CSG22.html#group50D22", "50D²²"), =HYPERLINK("CSG10.html#group30C10", "30C¹⁰"), =HYPERLINK("CSG7.html#group40F7", "40F⁷"), =HYPERLINK("CSG13.html#group20A13", "20A¹³"), =HYPERLINK("CSG17.html#group40L17", "40L¹⁷"), =HYPERLINK("CSG7.html#group20H7", "20H⁷"), =HYPERLINK("CSG23.html#group30K23", "30K²³"), =HYPERLINK("CSG5.html#group20G5", "20G⁵"), =HYPERLINK("CSG15.html#group60U15", "60U¹⁵"), =HYPERLINK("CSG7.html#group40H7", "40H⁷"), =HYPERLINK("CSG4.html#group10B4", "10B⁴"), =HYPERLINK("CSG23.html#group120P23", "120P²³"), =HYPERLINK("CSG7.html#group40D7", "40D⁷"), =HYPERLINK("CSG5.html#group20E5", "20E⁵"), =HYPERLINK("CSG7.html#group20B7", "20B⁷"), =HYPERLINK("CSG12.html#group30F12", "30F¹²"), =HYPERLINK("CSG22.html#group50A22", "50A²²"), =HYPERLINK("CSG19.html#group20C19", "20C¹⁹"), =HYPERLINK("CSG15.html#group80H15", "80H¹⁵"), =HYPERLINK("CSG15.html#group80J15", "80J¹⁵"), =HYPERLINK("CSG23.html#group30F23", "30F²³"), =HYPERLINK("CSG15.html#group20E15", "20E¹⁵"), =HYPERLINK("CSG21.html#group40H21", "40H²¹"), =HYPERLINK("CSG15.html#group40B15", "40B¹⁵"), =HYPERLINK("CSG22.html#group50C22", "50C²²"), =HYPERLINK("CSG15.html#group40C15", "40C¹⁵"), =HYPERLINK("CSG3.html#group20F3", "20F³"), =HYPERLINK("CSG12.html#group60D12", "60D¹²"), =HYPERLINK("CSG23.html#group30H23", "30H²³"), =HYPERLINK("CSG19.html#group40M19", "40M¹⁹"), =HYPERLINK("CSG13.html#group20G13", "20G¹³"), =HYPERLINK("CSG15.html#group80L15", "80L¹⁵"), =HYPERLINK("CSG2.html#group10E2", "10E²"), =HYPERLINK("CSG19.html#group40L19", "40L¹⁹"), =HYPERLINK("CSG15.html#group40S15", "40S¹⁵"), =HYPERLINK("CSG11.html#group60L11", "60L¹¹"), =HYPERLINK("CSG15.html#group40A15", "40A¹⁵"), =HYPERLINK("CSG5.html#group40K5", "40K⁵"), =HYPERLINK("CSG13.html#group40F13", "40F¹³"), =HYPERLINK("CSG19.html#group80E19", "80E¹⁹"), =HYPERLINK("CSG17.html#group40D17", "40D¹⁷"), =HYPERLINK("CSG17.html#group20B17", "20B¹⁷"), =HYPERLINK("CSG7.html#group20D7", "20D⁷"), =HYPERLINK("CSG16.html#group30C16", "30C¹⁶"), =HYPERLINK("CSG15.html#group30A15", "30A¹⁵"), =HYPERLINK("CSG21.html#group60U21", "60U²¹"), =HYPERLINK("CSG7.html#group40I7", "40I⁷"), =HYPERLINK("CSG10.html#group20E10", "20E¹⁰"), =HYPERLINK("CSG15.html#group40E15", "40E¹⁵"), =HYPERLINK("CSG11.html#group50A11", "50A¹¹"), =HYPERLINK("CSG13.html#group60E13", "60E¹³"), =HYPERLINK("CSG24.html#group100A24", "100A²⁴"), =HYPERLINK("CSG23.html#group30G23", "30G²³"), =HYPERLINK("CSG15.html#group80E15", "80E¹⁵"), =HYPERLINK("CSG5.html#group10B5", "10B⁵"), =HYPERLINK("CSG17.html#group80S17", "80S¹⁷"), =HYPERLINK("CSG15.html#group40I15", "40I¹⁵"), =HYPERLINK("CSG2.html#group10F2", "10F²"), =HYPERLINK("CSG5.html#group20F5", "20F⁵"), =HYPERLINK("CSG23.html#group120O23", "120O²³"), =HYPERLINK("CSG23.html#group50A23", "50A²³"), =HYPERLINK("CSG7.html#group20G7", "20G⁷"), =HYPERLINK("CSG17.html#group40P17", "40P¹⁷"), =HYPERLINK("CSG21.html#group60V21", "60V²¹"), =HYPERLINK("CSG17.html#group60F17", "60F¹⁷"), =HYPERLINK("CSG19.html#group80I19", "80I¹⁹"), =HYPERLINK("CSG19.html#group90H19", "90H¹⁹"), =HYPERLINK("CSG17.html#group40H17", "40H¹⁷"), =HYPERLINK("CSG10.html#group30H10", "30H¹⁰"), =HYPERLINK("CSG11.html#group20C11", "20C¹¹"), =HYPERLINK("CSG24.html#group50B24", "50B²⁴"), =HYPERLINK("CSG17.html#group40C17", "40C¹⁷"), =HYPERLINK("CSG15.html#group20D15", "20D¹⁵"), =HYPERLINK("CSG22.html#group100A22", "100A²²"), =HYPERLINK("CSG9.html#group20B9", "20B⁹"), =HYPERLINK("CSG15.html#group80M15", "80M¹⁵"), =HYPERLINK("CSG9.html#group40D9", "40D⁹"), =HYPERLINK("CSG13.html#group40H13", "40H¹³"), =HYPERLINK("CSG2.html#group20F2", "20F²"), =HYPERLINK("CSG15.html#group40L15", "40L¹⁵"), =HYPERLINK("CSG15.html#group20G15", "20G¹⁵"), =HYPERLINK("CSG23.html#group60H23", "60H²³"), =HYPERLINK("CSG17.html#group80O17", "80O¹⁷"), =HYPERLINK("CSG19.html#group30B19", "30B¹⁹"), =HYPERLINK("CSG11.html#group30C11", "30C¹¹"), =HYPERLINK("CSG23.html#group90E23", "90E²³"), =HYPERLINK("CSG7.html#group20C7", "20C⁷"), =HYPERLINK("CSG12.html#group30G12", "30G¹²"), =HYPERLINK("CSG21.html#group30C21", "30C²¹"), =HYPERLINK("CSG23.html#group60F23", "60F²³"), =HYPERLINK("CSG23.html#group40D23", "40D²³"), =HYPERLINK("CSG15.html#group20H15", "20H¹⁵"), =HYPERLINK("CSG13.html#group10A13", "10A¹³"), =HYPERLINK("CSG21.html#group20C21", "20C²¹"), =HYPERLINK("CSG11.html#group60M11", "60M¹¹"), =HYPERLINK("CSG15.html#group80I15", "80I¹⁵"), =HYPERLINK("CSG23.html#group100B23", "100B²³"), =HYPERLINK("CSG15.html#group80F15", "80F¹⁵"), =HYPERLINK("CSG3.html#group10A3", "10A³"), =HYPERLINK("CSG7.html#group40J7", "40J⁷"), =HYPERLINK("CSG17.html#group40F17", "40F¹⁷"), =HYPERLINK("CSG17.html#group80E17", "80E¹⁷"), =HYPERLINK("CSG17.html#group40Q17", "40Q¹⁷"), =HYPERLINK("CSG23.html#group120M23", "120M²³"), =HYPERLINK("CSG15.html#group40G15", "40G¹⁵"), =HYPERLINK("CSG6.html#group20D6", "20D⁶"), =HYPERLINK("CSG19.html#group20D19", "20D¹⁹"), =HYPERLINK("CSG23.html#group60L23", "60L²³"), =HYPERLINK("CSG17.html#group80M17", "80M¹⁷"), =HYPERLINK("CSG23.html#group60I23", "60I²³"), =HYPERLINK("CSG17.html#group80Q17", "80Q¹⁷"), =HYPERLINK("CSG23.html#group30A23", "30A²³"), =HYPERLINK("CSG23.html#group60M23", "60M²³"), =HYPERLINK("CSG9.html#group40C9", "40C⁹"), =HYPERLINK("CSG13.html#group40I13", "40I¹³"), =HYPERLINK("CSG23.html#group60K23", "60K²³"), =HYPERLINK("CSG23.html#group120N23", "120N²³"), =HYPERLINK("CSG15.html#group40N15", "40N¹⁵"), =HYPERLINK("CSG11.html#group30D11", "30D¹¹"), =HYPERLINK("CSG13.html#group20C13", "20C¹³"), =HYPERLINK("CSG17.html#group60G17", "60G¹⁷"), =HYPERLINK("CSG15.html#group40M15", "40M¹⁵"), =HYPERLINK("CSG13.html#group30A13", "30A¹³"), =HYPERLINK("CSG19.html#group80J19", "80J¹⁹"), =HYPERLINK("CSG7.html#group10A7", "10A⁷"), =HYPERLINK("CSG15.html#group40F15", "40F¹⁵"), =HYPERLINK("CSG23.html#group60D23", "60D²³"), =HYPERLINK("CSG15.html#group20I15", "20I¹⁵"), =HYPERLINK("CSG7.html#group20I7", "20I⁷"), =HYPERLINK("CSG17.html#group40B17", "40B¹⁷"), =HYPERLINK("CSG17.html#group80D17", "80D¹⁷"), =HYPERLINK("CSG2.html#group10D2", "10D²"), =HYPERLINK("CSG5.html#group30K5", "30K⁵"), =HYPERLINK("CSG19.html#group20B19", "20B¹⁹"), =HYPERLINK("CSG17.html#group80I17", "80I¹⁷"), =HYPERLINK("CSG15.html#group40O15", "40O¹⁵"), =HYPERLINK("CSG7.html#group40E7", "40E⁷"), =HYPERLINK("CSG15.html#group40D15", "40D¹⁵"), =HYPERLINK("CSG19.html#group80D19", "80D¹⁹"), =HYPERLINK("CSG7.html#group20A7", "20A⁷"), =HYPERLINK("CSG13.html#group40G13", "40G¹³"), =HYPERLINK("CSG23.html#group60G23", "60G²³"), =HYPERLINK("CSG13.html#group30N13", "30N¹³"), =HYPERLINK("CSG15.html#group20C15", "20C¹⁵"), =HYPERLINK("CSG17.html#group40K17", "40K¹⁷"), =HYPERLINK("CSG23.html#group40C23", "40C²³"), =HYPERLINK("CSG15.html#group40J15", "40J¹⁵"), =HYPERLINK("CSG15.html#group30E15", "30E¹⁵")</f>
        <v/>
      </c>
    </row>
    <row r="157">
      <c r="A157" t="inlineStr">
        <is>
          <t>10G¹</t>
        </is>
      </c>
      <c r="B157" t="inlineStr"/>
      <c r="C157" t="inlineStr">
        <is>
          <t>36</t>
        </is>
      </c>
      <c r="D157" t="inlineStr">
        <is>
          <t>1</t>
        </is>
      </c>
      <c r="E157" t="inlineStr">
        <is>
          <t>6</t>
        </is>
      </c>
      <c r="F157" t="inlineStr">
        <is>
          <t>0</t>
        </is>
      </c>
      <c r="G157" t="inlineStr">
        <is>
          <t>0</t>
        </is>
      </c>
      <c r="H157" t="inlineStr">
        <is>
          <t>2³, 10³</t>
        </is>
      </c>
      <c r="I157" t="n">
        <v>6</v>
      </c>
      <c r="J157" t="inlineStr">
        <is>
          <t>1², 4¹</t>
        </is>
      </c>
      <c r="K157">
        <f>HYPERLINK("CSG0.html#group2C0", "2C⁰"), =HYPERLINK("CSG0.html#group10C0", "10C⁰"), =HYPERLINK("CSG1.html#group10A1", "10A¹")</f>
        <v/>
      </c>
      <c r="L157">
        <f>HYPERLINK("CSG1.html#group10K1", "10K¹"), =HYPERLINK("CSG3.html#group20I3", "20I³"), =HYPERLINK("CSG3.html#group20J3", "20J³"), =HYPERLINK("CSG7.html#group10A7", "10A⁷"), =HYPERLINK("CSG7.html#group30F7", "30F⁷"), =HYPERLINK("CSG7.html#group30Q7", "30Q⁷"), =HYPERLINK("CSG7.html#group50C7", "50C⁷"), =HYPERLINK("CSG13.html#group50D13", "50D¹³"), =HYPERLINK("CSG13.html#group50B13", "50B¹³"), =HYPERLINK("CSG13.html#group50A13", "50A¹³"), =HYPERLINK("CSG13.html#group50C13", "50C¹³"), =HYPERLINK("CSG19.html#group70B19", "70B¹⁹"), =HYPERLINK("CSG19.html#group70G19", "70G¹⁹")</f>
        <v/>
      </c>
      <c r="M157">
        <f>HYPERLINK("CSG0.html#group2A0", "2A⁰"), =HYPERLINK("CSG0.html#group5B0", "5B⁰"), =HYPERLINK("CSG0.html#group10C0", "10C⁰"), =HYPERLINK("CSG1.html#group10A1", "10A¹"), =HYPERLINK("CSG0.html#group2B0", "2B⁰"), =HYPERLINK("CSG0.html#group1A0", "1A⁰"), =HYPERLINK("CSG0.html#group2C0", "2C⁰")</f>
        <v/>
      </c>
      <c r="N157">
        <f>HYPERLINK("CSG7.html#group30Q7", "30Q⁷"), =HYPERLINK("CSG17.html#group60T17", "60T¹⁷"), =HYPERLINK("CSG7.html#group20L7", "20L⁷"), =HYPERLINK("CSG13.html#group50B13", "50B¹³"), =HYPERLINK("CSG13.html#group40R13", "40R¹³"), =HYPERLINK("CSG5.html#group20I5", "20I⁵"), =HYPERLINK("CSG13.html#group40K13", "40K¹³"), =HYPERLINK("CSG7.html#group50C7", "50C⁷"), =HYPERLINK("CSG15.html#group60C15", "60C¹⁵"), =HYPERLINK("CSG7.html#group40AC7", "40AC⁷"), =HYPERLINK("CSG17.html#group40X17", "40X¹⁷"), =HYPERLINK("CSG15.html#group40V15", "40V¹⁵"), =HYPERLINK("CSG19.html#group70B19", "70B¹⁹"), =HYPERLINK("CSG13.html#group20F13", "20F¹³"), =HYPERLINK("CSG21.html#group80AD21", "80AD²¹"), =HYPERLINK("CSG3.html#group20R3", "20R³"), =HYPERLINK("CSG17.html#group80BD17", "80BD¹⁷"), =HYPERLINK("CSG21.html#group80I21", "80I²¹"), =HYPERLINK("CSG21.html#group80C21", "80C²¹"), =HYPERLINK("CSG21.html#group80AC21", "80AC²¹"), =HYPERLINK("CSG13.html#group50E13", "50E¹³"), =HYPERLINK("CSG17.html#group40AR17", "40AR¹⁷"), =HYPERLINK("CSG19.html#group80M19", "80M¹⁹"), =HYPERLINK("CSG13.html#group30J13", "30J¹³"), =HYPERLINK("CSG3.html#group20J3", "20J³"), =HYPERLINK("CSG21.html#group80Q21", "80Q²¹"), =HYPERLINK("CSG21.html#group80G21", "80G²¹"), =HYPERLINK("CSG15.html#group60AB15", "60AB¹⁵"), =HYPERLINK("CSG9.html#group40K9", "40K⁹"), =HYPERLINK("CSG7.html#group40W7", "40W⁷"), =HYPERLINK("CSG15.html#group40AD15", "40AD¹⁵"), =HYPERLINK("CSG13.html#group30P13", "30P¹³"), =HYPERLINK("CSG15.html#group40W15", "40W¹⁵"), =HYPERLINK("CSG15.html#group60L15", "60L¹⁵"), =HYPERLINK("CSG15.html#group80P15", "80P¹⁵"), =HYPERLINK("CSG15.html#group40U15", "40U¹⁵"), =HYPERLINK("CSG19.html#group80N19", "80N¹⁹"), =HYPERLINK("CSG7.html#group30F7", "30F⁷"), =HYPERLINK("CSG7.html#group40M7", "40M⁷"), =HYPERLINK("CSG7.html#group20J7", "20J⁷"), =HYPERLINK("CSG1.html#group10K1", "10K¹"), =HYPERLINK("CSG19.html#group100Q19", "100Q¹⁹"), =HYPERLINK("CSG3.html#group20I3", "20I³"), =HYPERLINK("CSG17.html#group80Z17", "80Z¹⁷"), =HYPERLINK("CSG13.html#group50C13", "50C¹³"), =HYPERLINK("CSG19.html#group70G19", "70G¹⁹"), =HYPERLINK("CSG13.html#group10A13", "10A¹³"), =HYPERLINK("CSG15.html#group40Y15", "40Y¹⁵"), =HYPERLINK("CSG7.html#group40L7", "40L⁷"), =HYPERLINK("CSG19.html#group60L19", "60L¹⁹"), =HYPERLINK("CSG13.html#group20E13", "20E¹³"), =HYPERLINK("CSG7.html#group40X7", "40X⁷"), =HYPERLINK("CSG15.html#group60N15", "60N¹⁵"), =HYPERLINK("CSG17.html#group40Y17", "40Y¹⁷"), =HYPERLINK("CSG9.html#group40I9", "40I⁹"), =HYPERLINK("CSG17.html#group40AE17", "40AE¹⁷"), =HYPERLINK("CSG19.html#group40A19", "40A¹⁹"), =HYPERLINK("CSG19.html#group60K19", "60K¹⁹"), =HYPERLINK("CSG17.html#group40T17", "40T¹⁷"), =HYPERLINK("CSG15.html#group60AA15", "60AA¹⁵"), =HYPERLINK("CSG7.html#group20K7", "20K⁷"), =HYPERLINK("CSG19.html#group20D19", "20D¹⁹"), =HYPERLINK("CSG19.html#group40C19", "40C¹⁹"), =HYPERLINK("CSG15.html#group40X15", "40X¹⁵"), =HYPERLINK("CSG17.html#group80W17", "80W¹⁷"), =HYPERLINK("CSG15.html#group80O15", "80O¹⁵"), =HYPERLINK("CSG13.html#group40Q13", "40Q¹³"), =HYPERLINK("CSG13.html#group30H13", "30H¹³"), =HYPERLINK("CSG17.html#group60S17", "60S¹⁷"), =HYPERLINK("CSG17.html#group40W17", "40W¹⁷"), =HYPERLINK("CSG13.html#group50D13", "50D¹³"), =HYPERLINK("CSG17.html#group40AH17", "40AH¹⁷"), =HYPERLINK("CSG21.html#group80P21", "80P²¹"), =HYPERLINK("CSG21.html#group80R21", "80R²¹"), =HYPERLINK("CSG7.html#group10A7", "10A⁷"), =HYPERLINK("CSG19.html#group20C19", "20C¹⁹"), =HYPERLINK("CSG17.html#group40V17", "40V¹⁷"), =HYPERLINK("CSG19.html#group100P19", "100P¹⁹"), =HYPERLINK("CSG15.html#group40AB15", "40AB¹⁵"), =HYPERLINK("CSG17.html#group40U17", "40U¹⁷"), =HYPERLINK("CSG9.html#group40J9", "40J⁹"), =HYPERLINK("CSG13.html#group50A13", "50A¹³"), =HYPERLINK("CSG13.html#group30I13", "30I¹³"), =HYPERLINK("CSG13.html#group40J13", "40J¹³"), =HYPERLINK("CSG17.html#group40AD17", "40AD¹⁷"), =HYPERLINK("CSG19.html#group80L19", "80L¹⁹"), =HYPERLINK("CSG15.html#group60D15", "60D¹⁵"), =HYPERLINK("CSG21.html#group80D21", "80D²¹"), =HYPERLINK("CSG9.html#group20F9", "20F⁹"), =HYPERLINK("CSG19.html#group40B19", "40B¹⁹"), =HYPERLINK("CSG15.html#group80N15", "80N¹⁵")</f>
        <v/>
      </c>
    </row>
    <row r="158">
      <c r="A158" t="inlineStr">
        <is>
          <t>10H¹</t>
        </is>
      </c>
      <c r="B158" t="inlineStr"/>
      <c r="C158" t="inlineStr">
        <is>
          <t>40</t>
        </is>
      </c>
      <c r="D158" t="inlineStr">
        <is>
          <t>1</t>
        </is>
      </c>
      <c r="E158" t="inlineStr">
        <is>
          <t>10</t>
        </is>
      </c>
      <c r="F158" t="inlineStr">
        <is>
          <t>0</t>
        </is>
      </c>
      <c r="G158" t="inlineStr">
        <is>
          <t>4</t>
        </is>
      </c>
      <c r="H158" t="inlineStr">
        <is>
          <t>10⁴</t>
        </is>
      </c>
      <c r="I158" t="n">
        <v>4</v>
      </c>
      <c r="J158" t="inlineStr">
        <is>
          <t>2¹, 4²</t>
        </is>
      </c>
      <c r="K158">
        <f>HYPERLINK("CSG0.html#group5F0", "5F⁰"), =HYPERLINK("CSG0.html#group10A0", "10A⁰"), =HYPERLINK("CSG0.html#group10D0", "10D⁰"), =HYPERLINK("CSG1.html#group10C1", "10C¹")</f>
        <v/>
      </c>
      <c r="L158">
        <f>HYPERLINK("CSG3.html#group10D3", "10D³"), =HYPERLINK("CSG3.html#group20N3", "20N³"), =HYPERLINK("CSG5.html#group10A5", "10A⁵"), =HYPERLINK("CSG5.html#group10B5", "10B⁵"), =HYPERLINK("CSG7.html#group30G7", "30G⁷"), =HYPERLINK("CSG7.html#group30H7", "30H⁷"), =HYPERLINK("CSG8.html#group30C8", "30C⁸"), =HYPERLINK("CSG9.html#group20A9", "20A⁹"), =HYPERLINK("CSG9.html#group30B9", "30B⁹"), =HYPERLINK("CSG9.html#group30N9", "30N⁹"), =HYPERLINK("CSG9.html#group50F9", "50F⁹"), =HYPERLINK("CSG21.html#group70E21", "70E²¹"), =HYPERLINK("CSG21.html#group70G21", "70G²¹")</f>
        <v/>
      </c>
      <c r="M158">
        <f>HYPERLINK("CSG0.html#group2A0", "2A⁰"), =HYPERLINK("CSG0.html#group5A0", "5A⁰"), =HYPERLINK("CSG0.html#group10A0", "10A⁰"), =HYPERLINK("CSG0.html#group10D0", "10D⁰"), =HYPERLINK("CSG0.html#group5C0", "5C⁰"), =HYPERLINK("CSG0.html#group5F0", "5F⁰"), =HYPERLINK("CSG1.html#group10C1", "10C¹"), =HYPERLINK("CSG0.html#group1A0", "1A⁰")</f>
        <v/>
      </c>
      <c r="N158">
        <f>HYPERLINK("CSG21.html#group40B21", "40B²¹"), =HYPERLINK("CSG17.html#group60A17", "60A¹⁷"), =HYPERLINK("CSG13.html#group10A13", "10A¹³"), =HYPERLINK("CSG7.html#group30G7", "30G⁷"), =HYPERLINK("CSG17.html#group20A17", "20A¹⁷"), =HYPERLINK("CSG17.html#group30K17", "30K¹⁷"), =HYPERLINK("CSG5.html#group10A5", "10A⁵"), =HYPERLINK("CSG11.html#group20B11", "20B¹¹"), =HYPERLINK("CSG3.html#group10D3", "10D³"), =HYPERLINK("CSG9.html#group30B9", "30B⁹"), =HYPERLINK("CSG15.html#group60Q15", "60Q¹⁵"), =HYPERLINK("CSG21.html#group60R21", "60R²¹"), =HYPERLINK("CSG21.html#group70G21", "70G²¹"), =HYPERLINK("CSG3.html#group20N3", "20N³"), =HYPERLINK("CSG19.html#group60B19", "60B¹⁹"), =HYPERLINK("CSG21.html#group40A21", "40A²¹"), =HYPERLINK("CSG17.html#group30E17", "30E¹⁷"), =HYPERLINK("CSG5.html#group10B5", "10B⁵"), =HYPERLINK("CSG19.html#group60D19", "60D¹⁹"), =HYPERLINK("CSG21.html#group60S21", "60S²¹"), =HYPERLINK("CSG8.html#group30C8", "30C⁸"), =HYPERLINK("CSG22.html#group30B22", "30B²²"), =HYPERLINK("CSG13.html#group20A13", "20A¹³"), =HYPERLINK("CSG7.html#group30H7", "30H⁷"), =HYPERLINK("CSG9.html#group20A9", "20A⁹"), =HYPERLINK("CSG15.html#group20A15", "20A¹⁵"), =HYPERLINK("CSG15.html#group60P15", "60P¹⁵"), =HYPERLINK("CSG11.html#group20A11", "20A¹¹"), =HYPERLINK("CSG19.html#group100R19", "100R¹⁹"), =HYPERLINK("CSG9.html#group50F9", "50F⁹"), =HYPERLINK("CSG15.html#group20C15", "20C¹⁵"), =HYPERLINK("CSG21.html#group70E21", "70E²¹"), =HYPERLINK("CSG9.html#group30N9", "30N⁹")</f>
        <v/>
      </c>
    </row>
    <row r="159">
      <c r="A159" t="inlineStr">
        <is>
          <t>10I¹</t>
        </is>
      </c>
      <c r="B159" t="inlineStr"/>
      <c r="C159" t="inlineStr">
        <is>
          <t>45</t>
        </is>
      </c>
      <c r="D159" t="inlineStr">
        <is>
          <t>1</t>
        </is>
      </c>
      <c r="E159" t="inlineStr">
        <is>
          <t>15</t>
        </is>
      </c>
      <c r="F159" t="inlineStr">
        <is>
          <t>3</t>
        </is>
      </c>
      <c r="G159" t="inlineStr">
        <is>
          <t>0</t>
        </is>
      </c>
      <c r="H159" t="inlineStr">
        <is>
          <t>5³, 10³</t>
        </is>
      </c>
      <c r="I159" t="n">
        <v>6</v>
      </c>
      <c r="J159" t="inlineStr">
        <is>
          <t>1³, 4³</t>
        </is>
      </c>
      <c r="K159">
        <f>HYPERLINK("CSG0.html#group5E0", "5E⁰"), =HYPERLINK("CSG1.html#group10B1", "10B¹")</f>
        <v/>
      </c>
      <c r="L159">
        <f>HYPERLINK("CSG2.html#group10F2", "10F²"), =HYPERLINK("CSG3.html#group10C3", "10C³"), =HYPERLINK("CSG3.html#group20P3", "20P³"), =HYPERLINK("CSG4.html#group10A4", "10A⁴"), =HYPERLINK("CSG4.html#group20D4", "20D⁴"), =HYPERLINK("CSG4.html#group20E4", "20E⁴"), =HYPERLINK("CSG5.html#group20C5", "20C⁵"), =HYPERLINK("CSG7.html#group30P7", "30P⁷"), =HYPERLINK("CSG10.html#group30F10", "30F¹⁰"), =HYPERLINK("CSG11.html#group50B11", "50B¹¹"), =HYPERLINK("CSG22.html#group70A22", "70A²²")</f>
        <v/>
      </c>
      <c r="M159">
        <f>HYPERLINK("CSG0.html#group5E0", "5E⁰"), =HYPERLINK("CSG0.html#group5A0", "5A⁰"), =HYPERLINK("CSG0.html#group2B0", "2B⁰"), =HYPERLINK("CSG0.html#group1A0", "1A⁰"), =HYPERLINK("CSG1.html#group10B1", "10B¹")</f>
        <v/>
      </c>
      <c r="N159">
        <f>HYPERLINK("CSG17.html#group20B17", "20B¹⁷"), =HYPERLINK("CSG4.html#group20D4", "20D⁴"), =HYPERLINK("CSG16.html#group30C16", "30C¹⁶"), =HYPERLINK("CSG22.html#group30A22", "30A²²"), =HYPERLINK("CSG19.html#group20A19", "20A¹⁹"), =HYPERLINK("CSG23.html#group40I23", "40I²³"), =HYPERLINK("CSG22.html#group30C22", "30C²²"), =HYPERLINK("CSG10.html#group30F10", "30F¹⁰"), =HYPERLINK("CSG22.html#group20C22", "20C²²"), =HYPERLINK("CSG10.html#group20E10", "20E¹⁰"), =HYPERLINK("CSG24.html#group40F24", "40F²⁴"), =HYPERLINK("CSG19.html#group60J19", "60J¹⁹"), =HYPERLINK("CSG20.html#group20A20", "20A²⁰"), =HYPERLINK("CSG13.html#group40A13", "40A¹³"), =HYPERLINK("CSG22.html#group40H22", "40H²²"), =HYPERLINK("CSG22.html#group80H22", "80H²²"), =HYPERLINK("CSG7.html#group30P7", "30P⁷"), =HYPERLINK("CSG10.html#group20F10", "20F¹⁰"), =HYPERLINK("CSG10.html#group40E10", "40E¹⁰"), =HYPERLINK("CSG12.html#group40A12", "40A¹²"), =HYPERLINK("CSG2.html#group10F2", "10F²"), =HYPERLINK("CSG10.html#group20C10", "20C¹⁰"), =HYPERLINK("CSG22.html#group40J22", "40J²²"), =HYPERLINK("CSG21.html#group40G21", "40G²¹"), =HYPERLINK("CSG22.html#group80G22", "80G²²"), =HYPERLINK("CSG20.html#group40B20", "40B²⁰"), =HYPERLINK("CSG16.html#group30B16", "30B¹⁶"), =HYPERLINK("CSG7.html#group20P7", "20P⁷"), =HYPERLINK("CSG6.html#group10A6", "10A⁶"), =HYPERLINK("CSG22.html#group80C22", "80C²²"), =HYPERLINK("CSG16.html#group30D16", "30D¹⁶"), =HYPERLINK("CSG22.html#group40C22", "40C²²"), =HYPERLINK("CSG20.html#group40A20", "40A²⁰"), =HYPERLINK("CSG21.html#group20B21", "20B²¹"), =HYPERLINK("CSG24.html#group40E24", "40E²⁴"), =HYPERLINK("CSG22.html#group80B22", "80B²²"), =HYPERLINK("CSG23.html#group40G23", "40G²³"), =HYPERLINK("CSG24.html#group50B24", "50B²⁴"), =HYPERLINK("CSG9.html#group20B9", "20B⁹"), =HYPERLINK("CSG21.html#group20A21", "20A²¹"), =HYPERLINK("CSG20.html#group20B20", "20B²⁰"), =HYPERLINK("CSG22.html#group40G22", "40G²²"), =HYPERLINK("CSG15.html#group40AJ15", "40AJ¹⁵"), =HYPERLINK("CSG8.html#group20C8", "20C⁸"), =HYPERLINK("CSG9.html#group20C9", "20C⁹"), =HYPERLINK("CSG23.html#group40F23", "40F²³"), =HYPERLINK("CSG21.html#group40F21", "40F²¹"), =HYPERLINK("CSG19.html#group30B19", "30B¹⁹"), =HYPERLINK("CSG22.html#group70A22", "70A²²"), =HYPERLINK("CSG3.html#group10C3", "10C³"), =HYPERLINK("CSG22.html#group20A22", "20A²²"), =HYPERLINK("CSG22.html#group80D22", "80D²²"), =HYPERLINK("CSG22.html#group40L22", "40L²²"), =HYPERLINK("CSG10.html#group40C10", "40C¹⁰"), =HYPERLINK("CSG23.html#group40J23", "40J²³"), =HYPERLINK("CSG24.html#group40C24", "40C²⁴"), =HYPERLINK("CSG23.html#group40H23", "40H²³"), =HYPERLINK("CSG10.html#group40F10", "40F¹⁰"), =HYPERLINK("CSG23.html#group40D23", "40D²³"), =HYPERLINK("CSG13.html#group10A13", "10A¹³"), =HYPERLINK("CSG22.html#group60D22", "60D²²"), =HYPERLINK("CSG24.html#group50A24", "50A²⁴"), =HYPERLINK("CSG4.html#group20E4", "20E⁴"), =HYPERLINK("CSG21.html#group20C21", "20C²¹"), =HYPERLINK("CSG17.html#group30F17", "30F¹⁷"), =HYPERLINK("CSG22.html#group40A22", "40A²²"), =HYPERLINK("CSG19.html#group60I19", "60I¹⁹"), =HYPERLINK("CSG24.html#group80A24", "80A²⁴"), =HYPERLINK("CSG22.html#group80F22", "80F²²"), =HYPERLINK("CSG21.html#group40I21", "40I²¹"), =HYPERLINK("CSG22.html#group50D22", "50D²²"), =HYPERLINK("CSG11.html#group50B11", "50B¹¹"), =HYPERLINK("CSG18.html#group60J18", "60J¹⁸"), =HYPERLINK("CSG22.html#group40D22", "40D²²"), =HYPERLINK("CSG24.html#group40D24", "40D²⁴"), =HYPERLINK("CSG11.html#group40E11", "40E¹¹"), =HYPERLINK("CSG22.html#group40B22", "40B²²"), =HYPERLINK("CSG10.html#group20A10", "20A¹⁰"), =HYPERLINK("CSG6.html#group20D6", "20D⁶"), =HYPERLINK("CSG19.html#group20D19", "20D¹⁹"), =HYPERLINK("CSG22.html#group40K22", "40K²²"), =HYPERLINK("CSG19.html#group60H19", "60H¹⁹"), =HYPERLINK("CSG22.html#group40N22", "40N²²"), =HYPERLINK("CSG5.html#group20C5", "20C⁵"), =HYPERLINK("CSG10.html#group20D10", "20D¹⁰"), =HYPERLINK("CSG3.html#group20P3", "20P³"), =HYPERLINK("CSG4.html#group10B4", "10B⁴"), =HYPERLINK("CSG22.html#group40E22", "40E²²"), =HYPERLINK("CSG10.html#group20B10", "20B¹⁰"), =HYPERLINK("CSG10.html#group40G10", "40G¹⁰"), =HYPERLINK("CSG22.html#group60A22", "60A²²"), =HYPERLINK("CSG22.html#group80E22", "80E²²"), =HYPERLINK("CSG9.html#group20D9", "20D⁹"), =HYPERLINK("CSG22.html#group20B22", "20B²²"), =HYPERLINK("CSG22.html#group40F22", "40F²²"), =HYPERLINK("CSG22.html#group40I22", "40I²²"), =HYPERLINK("CSG17.html#group60M17", "60M¹⁷"), =HYPERLINK("CSG4.html#group10A4", "10A⁴"), =HYPERLINK("CSG24.html#group40B24", "40B²⁴"), =HYPERLINK("CSG24.html#group40A24", "40A²⁴"), =HYPERLINK("CSG7.html#group10A7", "10A⁷"), =HYPERLINK("CSG19.html#group20C19", "20C¹⁹"), =HYPERLINK("CSG19.html#group30A19", "30A¹⁹"), =HYPERLINK("CSG16.html#group60D16", "60D¹⁶"), =HYPERLINK("CSG22.html#group40M22", "40M²²"), =HYPERLINK("CSG16.html#group60F16", "60F¹⁶"), =HYPERLINK("CSG15.html#group20I15", "20I¹⁵"), =HYPERLINK("CSG21.html#group40H21", "40H²¹"), =HYPERLINK("CSG23.html#group40E23", "40E²³"), =HYPERLINK("CSG19.html#group40M19", "40M¹⁹"), =HYPERLINK("CSG19.html#group20B19", "20B¹⁹"), =HYPERLINK("CSG13.html#group20G13", "20G¹³"), =HYPERLINK("CSG19.html#group40L19", "40L¹⁹"), =HYPERLINK("CSG16.html#group60E16", "60E¹⁶"), =HYPERLINK("CSG23.html#group40C23", "40C²³"), =HYPERLINK("CSG16.html#group30E16", "30E¹⁶"), =HYPERLINK("CSG10.html#group40D10", "40D¹⁰"), =HYPERLINK("CSG15.html#group30F15", "30F¹⁵")</f>
        <v/>
      </c>
    </row>
    <row r="160">
      <c r="A160" t="inlineStr">
        <is>
          <t>10J¹</t>
        </is>
      </c>
      <c r="B160" t="inlineStr"/>
      <c r="C160" t="inlineStr">
        <is>
          <t>60</t>
        </is>
      </c>
      <c r="D160" t="inlineStr">
        <is>
          <t>1</t>
        </is>
      </c>
      <c r="E160" t="inlineStr">
        <is>
          <t>60</t>
        </is>
      </c>
      <c r="F160" t="inlineStr">
        <is>
          <t>4</t>
        </is>
      </c>
      <c r="G160" t="inlineStr">
        <is>
          <t>3</t>
        </is>
      </c>
      <c r="H160" t="inlineStr">
        <is>
          <t>10⁶</t>
        </is>
      </c>
      <c r="I160" t="n">
        <v>6</v>
      </c>
      <c r="J160" t="inlineStr">
        <is>
          <t>4¹⁵</t>
        </is>
      </c>
      <c r="K160">
        <f>HYPERLINK("CSG0.html#group10D0", "10D⁰")</f>
        <v/>
      </c>
      <c r="L160">
        <f>HYPERLINK("CSG3.html#group10D3", "10D³"), =HYPERLINK("CSG5.html#group20H5", "20H⁵"), =HYPERLINK("CSG6.html#group10A6", "10A⁶"), =HYPERLINK("CSG10.html#group30G10", "30G¹⁰"), =HYPERLINK("CSG12.html#group20A12", "20A¹²"), =HYPERLINK("CSG14.html#group30A14", "30A¹⁴"), =HYPERLINK("CSG17.html#group50A17", "50A¹⁷")</f>
        <v/>
      </c>
      <c r="M160">
        <f>HYPERLINK("CSG0.html#group5C0", "5C⁰"), =HYPERLINK("CSG0.html#group1A0", "1A⁰"), =HYPERLINK("CSG0.html#group10D0", "10D⁰")</f>
        <v/>
      </c>
      <c r="N160">
        <f>HYPERLINK("CSG17.html#group20B17", "20B¹⁷"), =HYPERLINK("CSG13.html#group10A13", "10A¹³"), =HYPERLINK("CSG5.html#group20H5", "20H⁵"), =HYPERLINK("CSG22.html#group30B22", "30B²²"), =HYPERLINK("CSG21.html#group30E21", "30E²¹"), =HYPERLINK("CSG19.html#group20B19", "20B¹⁹"), =HYPERLINK("CSG3.html#group10D3", "10D³"), =HYPERLINK("CSG12.html#group20A12", "20A¹²"), =HYPERLINK("CSG11.html#group20A11", "20A¹¹"), =HYPERLINK("CSG23.html#group30I23", "30I²³"), =HYPERLINK("CSG15.html#group20I15", "20I¹⁵"), =HYPERLINK("CSG10.html#group30G10", "30G¹⁰"), =HYPERLINK("CSG14.html#group30A14", "30A¹⁴"), =HYPERLINK("CSG21.html#group20A21", "20A²¹"), =HYPERLINK("CSG17.html#group50A17", "50A¹⁷"), =HYPERLINK("CSG6.html#group10A6", "10A⁶")</f>
        <v/>
      </c>
    </row>
    <row r="161">
      <c r="A161" t="inlineStr">
        <is>
          <t>10K¹</t>
        </is>
      </c>
      <c r="B161" t="inlineStr"/>
      <c r="C161" t="inlineStr">
        <is>
          <t>72</t>
        </is>
      </c>
      <c r="D161" t="inlineStr">
        <is>
          <t>1</t>
        </is>
      </c>
      <c r="E161" t="inlineStr">
        <is>
          <t>6</t>
        </is>
      </c>
      <c r="F161" t="inlineStr">
        <is>
          <t>0</t>
        </is>
      </c>
      <c r="G161" t="inlineStr">
        <is>
          <t>0</t>
        </is>
      </c>
      <c r="H161" t="inlineStr">
        <is>
          <t>2⁶, 10⁶</t>
        </is>
      </c>
      <c r="I161" t="n">
        <v>12</v>
      </c>
      <c r="J161" t="inlineStr">
        <is>
          <t>1², 4¹</t>
        </is>
      </c>
      <c r="K161">
        <f>HYPERLINK("CSG0.html#group10F0", "10F⁰"), =HYPERLINK("CSG0.html#group10G0", "10G⁰"), =HYPERLINK("CSG1.html#group10D1", "10D¹"), =HYPERLINK("CSG1.html#group10G1", "10G¹")</f>
        <v/>
      </c>
      <c r="L161">
        <f>HYPERLINK("CSG3.html#group20R3", "20R³"), =HYPERLINK("CSG5.html#group20I5", "20I⁵"), =HYPERLINK("CSG7.html#group20J7", "20J⁷"), =HYPERLINK("CSG13.html#group10A13", "10A¹³"), =HYPERLINK("CSG13.html#group30H13", "30H¹³"), =HYPERLINK("CSG13.html#group30P13", "30P¹³"), =HYPERLINK("CSG13.html#group50E13", "50E¹³")</f>
        <v/>
      </c>
      <c r="M161">
        <f>HYPERLINK("CSG0.html#group2A0", "2A⁰"), =HYPERLINK("CSG0.html#group10G0", "10G⁰"), =HYPERLINK("CSG0.html#group5B0", "5B⁰"), =HYPERLINK("CSG0.html#group10C0", "10C⁰"), =HYPERLINK("CSG1.html#group10A1", "10A¹"), =HYPERLINK("CSG0.html#group5D0", "5D⁰"), =HYPERLINK("CSG0.html#group2B0", "2B⁰"), =HYPERLINK("CSG1.html#group10D1", "10D¹"), =HYPERLINK("CSG0.html#group1A0", "1A⁰"), =HYPERLINK("CSG0.html#group2C0", "2C⁰"), =HYPERLINK("CSG0.html#group10F0", "10F⁰"), =HYPERLINK("CSG1.html#group10G1", "10G¹"), =HYPERLINK("CSG0.html#group10B0", "10B⁰")</f>
        <v/>
      </c>
      <c r="N161">
        <f>HYPERLINK("CSG13.html#group10A13", "10A¹³"), =HYPERLINK("CSG13.html#group40R13", "40R¹³"), =HYPERLINK("CSG5.html#group20I5", "20I⁵"), =HYPERLINK("CSG13.html#group20E13", "20E¹³"), =HYPERLINK("CSG13.html#group30P13", "30P¹³"), =HYPERLINK("CSG13.html#group40K13", "40K¹³"), =HYPERLINK("CSG17.html#group40Y17", "40Y¹⁷"), =HYPERLINK("CSG13.html#group20F13", "20F¹³"), =HYPERLINK("CSG13.html#group40J13", "40J¹³"), =HYPERLINK("CSG17.html#group40T17", "40T¹⁷"), =HYPERLINK("CSG3.html#group20R3", "20R³"), =HYPERLINK("CSG7.html#group20J7", "20J⁷"), =HYPERLINK("CSG13.html#group50E13", "50E¹³"), =HYPERLINK("CSG9.html#group20F9", "20F⁹"), =HYPERLINK("CSG13.html#group40Q13", "40Q¹³"), =HYPERLINK("CSG13.html#group30H13", "30H¹³")</f>
        <v/>
      </c>
    </row>
    <row r="162">
      <c r="A162" t="inlineStr">
        <is>
          <t>11A¹</t>
        </is>
      </c>
      <c r="B162" t="inlineStr">
        <is>
          <t>Γ₀(11)</t>
        </is>
      </c>
      <c r="C162" t="inlineStr">
        <is>
          <t>12</t>
        </is>
      </c>
      <c r="D162" t="inlineStr">
        <is>
          <t>1</t>
        </is>
      </c>
      <c r="E162" t="inlineStr">
        <is>
          <t>12</t>
        </is>
      </c>
      <c r="F162" t="inlineStr">
        <is>
          <t>0</t>
        </is>
      </c>
      <c r="G162" t="inlineStr">
        <is>
          <t>0</t>
        </is>
      </c>
      <c r="H162" t="inlineStr">
        <is>
          <t>1¹, 11¹</t>
        </is>
      </c>
      <c r="I162" t="n">
        <v>2</v>
      </c>
      <c r="J162" t="inlineStr">
        <is>
          <t>1², 10¹</t>
        </is>
      </c>
      <c r="K162">
        <f>HYPERLINK("CSG0.html#group1A0", "1A⁰")</f>
        <v/>
      </c>
      <c r="L162">
        <f>HYPERLINK("CSG1.html#group11D1", "11D¹"), =HYPERLINK("CSG2.html#group22A2", "22A²"), =HYPERLINK("CSG2.html#group22C2", "22C²"), =HYPERLINK("CSG3.html#group33A3", "33A³"), =HYPERLINK("CSG3.html#group33C3", "33C³"), =HYPERLINK("CSG4.html#group44B4", "44B⁴"), =HYPERLINK("CSG5.html#group55A5", "55A⁵"), =HYPERLINK("CSG5.html#group55B5", "55B⁵"), =HYPERLINK("CSG6.html#group11A6", "11A⁶"), =HYPERLINK("CSG6.html#group121A6", "121A⁶"), =HYPERLINK("CSG7.html#group77A7", "77A⁷"), =HYPERLINK("CSG7.html#group77B7", "77B⁷"), =HYPERLINK("CSG9.html#group55A9", "55A⁹"), =HYPERLINK("CSG13.html#group143A13", "143A¹³"), =HYPERLINK("CSG17.html#group187A17", "187A¹⁷"), =HYPERLINK("CSG19.html#group209A19", "209A¹⁹"), =HYPERLINK("CSG23.html#group253A23", "253A²³")</f>
        <v/>
      </c>
      <c r="M162">
        <f>HYPERLINK("CSG0.html#group1A0", "1A⁰")</f>
        <v/>
      </c>
      <c r="N162">
        <f>HYPERLINK("CSG19.html#group88G19", "88G¹⁹"), =HYPERLINK("CSG17.html#group66A17", "66A¹⁷"), =HYPERLINK("CSG15.html#group132B15", "132B¹⁵"), =HYPERLINK("CSG15.html#group154B15", "154B¹⁵"), =HYPERLINK("CSG21.html#group66B21", "66B²¹"), =HYPERLINK("CSG24.html#group264A24", "264A²⁴"), =HYPERLINK("CSG23.html#group176G23", "176G²³"), =HYPERLINK("CSG21.html#group110B21", "110B²¹"), =HYPERLINK("CSG21.html#group88C21", "88C²¹"), =HYPERLINK("CSG18.html#group198C18", "198C¹⁸"), =HYPERLINK("CSG15.html#group132A15", "132A¹⁵"), =HYPERLINK("CSG13.html#group77A13", "77A¹³"), =HYPERLINK("CSG21.html#group88G21", "88G²¹"), =HYPERLINK("CSG17.html#group55A17", "55A¹⁷"), =HYPERLINK("CSG17.html#group33B17", "33B¹⁷"), =HYPERLINK("CSG19.html#group176D19", "176D¹⁹"), =HYPERLINK("CSG6.html#group66B6", "66B⁶"), =HYPERLINK("CSG6.html#group22A6", "22A⁶"), =HYPERLINK("CSG23.html#group132E23", "132E²³"), =HYPERLINK("CSG9.html#group33A9", "33A⁹"), =HYPERLINK("CSG16.html#group66C16", "66C¹⁶"), =HYPERLINK("CSG21.html#group198C21", "198C²¹"), =HYPERLINK("CSG19.html#group176F19", "176F¹⁹"), =HYPERLINK("CSG11.html#group110B11", "110B¹¹"), =HYPERLINK("CSG21.html#group176B21", "176B²¹"), =HYPERLINK("CSG21.html#group33C21", "33C²¹"), =HYPERLINK("CSG17.html#group99B17", "99B¹⁷"), =HYPERLINK("CSG19.html#group88C19", "88C¹⁹"), =HYPERLINK("CSG24.html#group264B24", "264B²⁴"), =HYPERLINK("CSG15.html#group99C15", "99C¹⁵"), =HYPERLINK("CSG11.html#group99B11", "99B¹¹"), =HYPERLINK("CSG6.html#group22C6", "22C⁶"), =HYPERLINK("CSG5.html#group44B5", "44B⁵"), =HYPERLINK("CSG5.html#group55A5", "55A⁵"), =HYPERLINK("CSG2.html#group22C2", "22C²"), =HYPERLINK("CSG22.html#group88A22", "88A²²"), =HYPERLINK("CSG14.html#group154A14", "154A¹⁴"), =HYPERLINK("CSG23.html#group132B23", "132B²³"), =HYPERLINK("CSG23.html#group198F23", "198F²³"), =HYPERLINK("CSG21.html#group88E21", "88E²¹"), =HYPERLINK("CSG17.html#group88A17", "88A¹⁷"), =HYPERLINK("CSG2.html#group22A2", "22A²"), =HYPERLINK("CSG17.html#group22A17", "22A¹⁷"), =HYPERLINK("CSG19.html#group132C19", "132C¹⁹"), =HYPERLINK("CSG21.html#group132C21", "132C²¹"), =HYPERLINK("CSG12.html#group132A12", "132A¹²"), =HYPERLINK("CSG23.html#group132G23", "132G²³"), =HYPERLINK("CSG9.html#group99C9", "99C⁹"), =HYPERLINK("CSG22.html#group242A22", "242A²²"), =HYPERLINK("CSG23.html#group132C23", "132C²³"), =HYPERLINK("CSG23.html#group132D23", "132D²³"), =HYPERLINK("CSG23.html#group220B23", "220B²³"), =HYPERLINK("CSG19.html#group66B19", "66B¹⁹"), =HYPERLINK("CSG16.html#group132C16", "132C¹⁶"), =HYPERLINK("CSG3.html#group33C3", "33C³"), =HYPERLINK("CSG20.html#group88E20", "88E²⁰"), =HYPERLINK("CSG19.html#group88B19", "88B¹⁹"), =HYPERLINK("CSG21.html#group88H21", "88H²¹"), =HYPERLINK("CSG19.html#group110B19", "110B¹⁹"), =HYPERLINK("CSG20.html#group176D20", "176D²⁰"), =HYPERLINK("CSG15.html#group165A15", "165A¹⁵"), =HYPERLINK("CSG23.html#group176C23", "176C²³"), =HYPERLINK("CSG12.html#group132B12", "132B¹²"), =HYPERLINK("CSG18.html#group198D18", "198D¹⁸"), =HYPERLINK("CSG20.html#group154A20", "154A²⁰"), =HYPERLINK("CSG4.html#group44D4", "44D⁴"), =HYPERLINK("CSG15.html#group154A15", "154A¹⁵"), =HYPERLINK("CSG1.html#group11D1", "11D¹"), =HYPERLINK("CSG23.html#group220A23", "220A²³"), =HYPERLINK("CSG13.html#group44A13", "44A¹³"), =HYPERLINK("CSG8.html#group44A8", "44A⁸"), =HYPERLINK("CSG21.html#group88F21", "88F²¹"), =HYPERLINK("CSG4.html#group44A4", "44A⁴"), =HYPERLINK("CSG19.html#group44B19", "44B¹⁹"), =HYPERLINK("CSG13.html#group55A13", "55A¹³"), =HYPERLINK("CSG19.html#group165A19", "165A¹⁹"), =HYPERLINK("CSG21.html#group176C21", "176C²¹"), =HYPERLINK("CSG17.html#group165A17", "165A¹⁷"), =HYPERLINK("CSG21.html#group99B21", "99B²¹"), =HYPERLINK("CSG11.html#group99C11", "99C¹¹"), =HYPERLINK("CSG11.html#group88C11", "88C¹¹"), =HYPERLINK("CSG8.html#group88A8", "88A⁸"), =HYPERLINK("CSG23.html#group176H23", "176H²³"), =HYPERLINK("CSG18.html#group198B18", "198B¹⁸"), =HYPERLINK("CSG21.html#group55A21", "55A²¹"), =HYPERLINK("CSG19.html#group88F19", "88F¹⁹"), =HYPERLINK("CSG5.html#group33B5", "33B⁵"), =HYPERLINK("CSG17.html#group132A17", "132A¹⁷"), =HYPERLINK("CSG10.html#group44C10", "44C¹⁰"), =HYPERLINK("CSG21.html#group132B21", "132B²¹"), =HYPERLINK("CSG19.html#group88H19", "88H¹⁹"), =HYPERLINK("CSG23.html#group132F23", "132F²³"), =HYPERLINK("CSG9.html#group88B9", "88B⁹"), =HYPERLINK("CSG12.html#group132C12", "132C¹²"), =HYPERLINK("CSG4.html#group22A4", "22A⁴"), =HYPERLINK("CSG15.html#group110A15", "110A¹⁵"), =HYPERLINK("CSG17.html#group44D17", "44D¹⁷"), =HYPERLINK("CSG23.html#group176A23", "176A²³"), =HYPERLINK("CSG19.html#group66C19", "66C¹⁹"), =HYPERLINK("CSG21.html#group66D21", "66D²¹"), =HYPERLINK("CSG8.html#group88C8", "88C⁸"), =HYPERLINK("CSG5.html#group55B5", "55B⁵"), =HYPERLINK("CSG19.html#group77B19", "77B¹⁹"), =HYPERLINK("CSG22.html#group176C22", "176C²²"), =HYPERLINK("CSG11.html#group110C11", "110C¹¹"), =HYPERLINK("CSG19.html#group88E19", "88E¹⁹"), =HYPERLINK("CSG17.html#group99A17", "99A¹⁷"), =HYPERLINK("CSG23.html#group176E23", "176E²³"), =HYPERLINK("CSG17.html#group242A17", "242A¹⁷"), =HYPERLINK("CSG17.html#group99C17", "99C¹⁷"), =HYPERLINK("CSG13.html#group66A13", "66A¹³"), =HYPERLINK("CSG7.html#group66B7", "66B⁷"), =HYPERLINK("CSG10.html#group88C10", "88C¹⁰"), =HYPERLINK("CSG8.html#group66A8", "66A⁸"), =HYPERLINK("CSG15.html#group88B15", "88B¹⁵"), =HYPERLINK("CSG17.html#group132B17", "132B¹⁷"), =HYPERLINK("CSG17.html#group55B17", "55B¹⁷"), =HYPERLINK("CSG23.html#group198E23", "198E²³"), =HYPERLINK("CSG9.html#group99A9", "99A⁹"), =HYPERLINK("CSG19.html#group209A19", "209A¹⁹"), =HYPERLINK("CSG20.html#group220B20", "220B²⁰"), =HYPERLINK("CSG16.html#group44C16", "44C¹⁶"), =HYPERLINK("CSG6.html#group11A6", "11A⁶"), =HYPERLINK("CSG20.html#group220A20", "220A²⁰"), =HYPERLINK("CSG19.html#group88D19", "88D¹⁹"), =HYPERLINK("CSG19.html#group176E19", "176E¹⁹"), =HYPERLINK("CSG19.html#group132D19", "132D¹⁹"), =HYPERLINK("CSG7.html#group77A7", "77A⁷"), =HYPERLINK("CSG21.html#group198B21", "198B²¹"), =HYPERLINK("CSG10.html#group88B10", "88B¹⁰"), =HYPERLINK("CSG11.html#group33A11", "33A¹¹"), =HYPERLINK("CSG23.html#group198B23", "198B²³"), =HYPERLINK("CSG23.html#group253A23", "253A²³"), =HYPERLINK("CSG21.html#group198D21", "198D²¹"), =HYPERLINK("CSG15.html#group66A15", "66A¹⁵"), =HYPERLINK("CSG13.html#group77B13", "77B¹³"), =HYPERLINK("CSG7.html#group77B7", "77B⁷"), =HYPERLINK("CSG21.html#group231A21", "231A²¹"), =HYPERLINK("CSG14.html#group154B14", "154B¹⁴"), =HYPERLINK("CSG12.html#group132D12", "132D¹²"), =HYPERLINK("CSG21.html#group66C21", "66C²¹"), =HYPERLINK("CSG10.html#group44B10", "44B¹⁰"), =HYPERLINK("CSG16.html#group22A16", "22A¹⁶"), =HYPERLINK("CSG19.html#group110A19", "110A¹⁹"), =HYPERLINK("CSG21.html#group165B21", "165B²¹"), =HYPERLINK("CSG11.html#group66C11", "66C¹¹"), =HYPERLINK("CSG16.html#group66B16", "66B¹⁶"), =HYPERLINK("CSG16.html#group176A16", "176A¹⁶"), =HYPERLINK("CSG16.html#group44B16", "44B¹⁶"), =HYPERLINK("CSG23.html#group176D23", "176D²³"), =HYPERLINK("CSG6.html#group66D6", "66D⁶"), =HYPERLINK("CSG11.html#group66B11", "66B¹¹"), =HYPERLINK("CSG4.html#group44B4", "44B⁴"), =HYPERLINK("CSG11.html#group88B11", "88B¹¹"), =HYPERLINK("CSG21.html#group44C21", "44C²¹"), =HYPERLINK("CSG9.html#group44B9", "44B⁹"), =HYPERLINK("CSG8.html#group44B8", "44B⁸"), =HYPERLINK("CSG23.html#group198D23", "198D²³"), =HYPERLINK("CSG15.html#group132C15", "132C¹⁵"), =HYPERLINK("CSG23.html#group176B23", "176B²³"), =HYPERLINK("CSG18.html#group198A18", "198A¹⁸"), =HYPERLINK("CSG19.html#group44A19", "44A¹⁹"), =HYPERLINK("CSG23.html#group231A23", "231A²³"), =HYPERLINK("CSG9.html#group66A9", "66A⁹"), =HYPERLINK("CSG23.html#group176F23", "176F²³"), =HYPERLINK("CSG5.html#group33A5", "33A⁵"), =HYPERLINK("CSG16.html#group44A16", "44A¹⁶"), =HYPERLINK("CSG16.html#group132B16", "132B¹⁶"), =HYPERLINK("CSG23.html#group132H23", "132H²³"), =HYPERLINK("CSG23.html#group132A23", "132A²³"), =HYPERLINK("CSG21.html#group110C21", "110C²¹"), =HYPERLINK("CSG9.html#group55A9", "55A⁹"), =HYPERLINK("CSG21.html#group154B21", "154B²¹"), =HYPERLINK("CSG10.html#group110A10", "110A¹⁰"), =HYPERLINK("CSG23.html#group198C23", "198C²³"), =HYPERLINK("CSG19.html#group77A19", "77A¹⁹"), =HYPERLINK("CSG15.html#group88A15", "88A¹⁵"), =HYPERLINK("CSG19.html#group176G19", "176G¹⁹"), =HYPERLINK("CSG15.html#group88C15", "88C¹⁵"), =HYPERLINK("CSG21.html#group33B21", "33B²¹"), =HYPERLINK("CSG14.html#group110A14", "110A¹⁴"), =HYPERLINK("CSG23.html#group198A23", "198A²³"), =HYPERLINK("CSG3.html#group33A3", "33A³"), =HYPERLINK("CSG17.html#group187A17", "187A¹⁷"), =HYPERLINK("CSG7.html#group66A7", "66A⁷"), =HYPERLINK("CSG22.html#group22A22", "22A²²"), =HYPERLINK("CSG23.html#group220D23", "220D²³"), =HYPERLINK("CSG23.html#group231B23", "231B²³"), =HYPERLINK("CSG21.html#group99A21", "99A²¹"), =HYPERLINK("CSG21.html#group88D21", "88D²¹"), =HYPERLINK("CSG23.html#group220C23", "220C²³"), =HYPERLINK("CSG6.html#group121A6", "121A⁶"), =HYPERLINK("CSG13.html#group143A13", "143A¹³"), =HYPERLINK("CSG21.html#group55B21", "55B²¹"), =HYPERLINK("CSG11.html#group33B11", "33B¹¹"), =HYPERLINK("CSG6.html#group66C6", "66C⁶"), =HYPERLINK("CSG9.html#group55B9", "55B⁹"), =HYPERLINK("CSG7.html#group44A7", "44A⁷"), =HYPERLINK("CSG15.html#group165B15", "165B¹⁵")</f>
        <v/>
      </c>
    </row>
    <row r="163">
      <c r="A163" t="inlineStr">
        <is>
          <t>11B¹</t>
        </is>
      </c>
      <c r="B163" t="inlineStr"/>
      <c r="C163" t="inlineStr">
        <is>
          <t>55</t>
        </is>
      </c>
      <c r="D163" t="inlineStr">
        <is>
          <t>1</t>
        </is>
      </c>
      <c r="E163" t="inlineStr">
        <is>
          <t>55</t>
        </is>
      </c>
      <c r="F163" t="inlineStr">
        <is>
          <t>3</t>
        </is>
      </c>
      <c r="G163" t="inlineStr">
        <is>
          <t>4</t>
        </is>
      </c>
      <c r="H163" t="inlineStr">
        <is>
          <t>11⁵</t>
        </is>
      </c>
      <c r="I163" t="n">
        <v>5</v>
      </c>
      <c r="J163" t="inlineStr">
        <is>
          <t>5¹, 10⁵</t>
        </is>
      </c>
      <c r="K163">
        <f>HYPERLINK("CSG0.html#group11A0", "11A⁰")</f>
        <v/>
      </c>
      <c r="L163">
        <f>HYPERLINK("CSG5.html#group11A5", "11A⁵"), =HYPERLINK("CSG5.html#group22B5", "22B⁵"), =HYPERLINK("CSG8.html#group11A8", "11A⁸"), =HYPERLINK("CSG8.html#group33A8", "33A⁸"), =HYPERLINK("CSG8.html#group33B8", "33B⁸"), =HYPERLINK("CSG9.html#group22B9", "22B⁹"), =HYPERLINK("CSG10.html#group33B10", "33B¹⁰"), =HYPERLINK("CSG13.html#group33A13", "33A¹³"), =HYPERLINK("CSG14.html#group44A14", "44A¹⁴"), =HYPERLINK("CSG18.html#group55A18", "55A¹⁸"), =HYPERLINK("CSG22.html#group55A22", "55A²²")</f>
        <v/>
      </c>
      <c r="M163">
        <f>HYPERLINK("CSG0.html#group11A0", "11A⁰"), =HYPERLINK("CSG0.html#group1A0", "1A⁰")</f>
        <v/>
      </c>
      <c r="N163">
        <f>HYPERLINK("CSG17.html#group22B17", "22B¹⁷"), =HYPERLINK("CSG22.html#group66A22", "66A²²"), =HYPERLINK("CSG5.html#group22B5", "22B⁵"), =HYPERLINK("CSG23.html#group66A23", "66A²³"), =HYPERLINK("CSG8.html#group33B8", "33B⁸"), =HYPERLINK("CSG8.html#group11A8", "11A⁸"), =HYPERLINK("CSG21.html#group44B21", "44B²¹"), =HYPERLINK("CSG18.html#group55A18", "55A¹⁸"), =HYPERLINK("CSG10.html#group33B10", "33B¹⁰"), =HYPERLINK("CSG24.html#group66A24", "66A²⁴"), =HYPERLINK("CSG14.html#group44A14", "44A¹⁴"), =HYPERLINK("CSG22.html#group66B22", "66B²²"), =HYPERLINK("CSG22.html#group66C22", "66C²²"), =HYPERLINK("CSG9.html#group22B9", "22B⁹"), =HYPERLINK("CSG22.html#group33B22", "33B²²"), =HYPERLINK("CSG21.html#group22C21", "22C²¹"), =HYPERLINK("CSG5.html#group11A5", "11A⁵"), =HYPERLINK("CSG22.html#group44A22", "44A²²"), =HYPERLINK("CSG12.html#group11A12", "11A¹²"), =HYPERLINK("CSG22.html#group55A22", "55A²²"), =HYPERLINK("CSG8.html#group33A8", "33A⁸"), =HYPERLINK("CSG13.html#group33A13", "33A¹³"), =HYPERLINK("CSG18.html#group22B18", "22B¹⁸"), =HYPERLINK("CSG21.html#group22B21", "22B²¹"), =HYPERLINK("CSG24.html#group66B24", "66B²⁴")</f>
        <v/>
      </c>
    </row>
    <row r="164">
      <c r="A164" t="inlineStr">
        <is>
          <t>11C¹</t>
        </is>
      </c>
      <c r="B164" t="inlineStr"/>
      <c r="C164" t="inlineStr">
        <is>
          <t>55</t>
        </is>
      </c>
      <c r="D164" t="inlineStr">
        <is>
          <t>1</t>
        </is>
      </c>
      <c r="E164" t="inlineStr">
        <is>
          <t>55</t>
        </is>
      </c>
      <c r="F164" t="inlineStr">
        <is>
          <t>7</t>
        </is>
      </c>
      <c r="G164" t="inlineStr">
        <is>
          <t>1</t>
        </is>
      </c>
      <c r="H164" t="inlineStr">
        <is>
          <t>11⁵</t>
        </is>
      </c>
      <c r="I164" t="n">
        <v>5</v>
      </c>
      <c r="J164" t="inlineStr">
        <is>
          <t>5¹, 10⁵</t>
        </is>
      </c>
      <c r="K164">
        <f>HYPERLINK("CSG0.html#group1A0", "1A⁰")</f>
        <v/>
      </c>
      <c r="L164">
        <f>HYPERLINK("CSG3.html#group11A3", "11A³"), =HYPERLINK("CSG4.html#group11A4", "11A⁴"), =HYPERLINK("CSG4.html#group22B4", "22B⁴"), =HYPERLINK("CSG5.html#group11A5", "11A⁵"), =HYPERLINK("CSG5.html#group22C5", "22C⁵"), =HYPERLINK("CSG7.html#group22A7", "22A⁷"), =HYPERLINK("CSG7.html#group33A7", "33A⁷"), =HYPERLINK("CSG8.html#group22A8", "22A⁸"), =HYPERLINK("CSG13.html#group44B13", "44B¹³"), =HYPERLINK("CSG14.html#group33A14", "33A¹⁴"), =HYPERLINK("CSG19.html#group55A19", "55A¹⁹"), =HYPERLINK("CSG20.html#group55A20", "55A²⁰")</f>
        <v/>
      </c>
      <c r="M164">
        <f>HYPERLINK("CSG0.html#group1A0", "1A⁰")</f>
        <v/>
      </c>
      <c r="N164">
        <f>HYPERLINK("CSG19.html#group33A19", "33A¹⁹"), =HYPERLINK("CSG7.html#group22A7", "22A⁷"), =HYPERLINK("CSG7.html#group33A7", "33A⁷"), =HYPERLINK("CSG13.html#group22A13", "22A¹³"), =HYPERLINK("CSG4.html#group22B4", "22B⁴"), =HYPERLINK("CSG14.html#group33A14", "33A¹⁴"), =HYPERLINK("CSG21.html#group33A21", "33A²¹"), =HYPERLINK("CSG8.html#group11A8", "11A⁸"), =HYPERLINK("CSG17.html#group66B17", "66B¹⁷"), =HYPERLINK("CSG22.html#group44B22", "44B²²"), =HYPERLINK("CSG19.html#group66D19", "66D¹⁹"), =HYPERLINK("CSG23.html#group44A23", "44A²³"), =HYPERLINK("CSG3.html#group11A3", "11A³"), =HYPERLINK("CSG5.html#group11A5", "11A⁵"), =HYPERLINK("CSG12.html#group11A12", "11A¹²"), =HYPERLINK("CSG18.html#group33A18", "33A¹⁸"), =HYPERLINK("CSG18.html#group22B18", "22B¹⁸"), =HYPERLINK("CSG18.html#group22C18", "22C¹⁸"), =HYPERLINK("CSG18.html#group44A18", "44A¹⁸"), =HYPERLINK("CSG5.html#group22C5", "22C⁵"), =HYPERLINK("CSG10.html#group22B10", "22B¹⁰"), =HYPERLINK("CSG18.html#group22A18", "22A¹⁸"), =HYPERLINK("CSG17.html#group22C17", "22C¹⁷"), =HYPERLINK("CSG13.html#group44B13", "44B¹³"), =HYPERLINK("CSG21.html#group66E21", "66E²¹"), =HYPERLINK("CSG19.html#group44C19", "44C¹⁹"), =HYPERLINK("CSG12.html#group22A12", "22A¹²"), =HYPERLINK("CSG19.html#group22A19", "22A¹⁹"), =HYPERLINK("CSG20.html#group66B20", "66B²⁰"), =HYPERLINK("CSG21.html#group44A21", "44A²¹"), =HYPERLINK("CSG17.html#group33C17", "33C¹⁷"), =HYPERLINK("CSG4.html#group11A4", "11A⁴"), =HYPERLINK("CSG20.html#group55A20", "55A²⁰"), =HYPERLINK("CSG22.html#group66D22", "66D²²"), =HYPERLINK("CSG21.html#group22A21", "22A²¹"), =HYPERLINK("CSG22.html#group33A22", "33A²²"), =HYPERLINK("CSG19.html#group55A19", "55A¹⁹"), =HYPERLINK("CSG20.html#group44B20", "44B²⁰"), =HYPERLINK("CSG13.html#group22B13", "22B¹³"), =HYPERLINK("CSG20.html#group33A20", "33A²⁰"), =HYPERLINK("CSG8.html#group22A8", "22A⁸"), =HYPERLINK("CSG17.html#group22D17", "22D¹⁷"), =HYPERLINK("CSG21.html#group22B21", "22B²¹")</f>
        <v/>
      </c>
    </row>
    <row r="165">
      <c r="A165" t="inlineStr">
        <is>
          <t>11D¹</t>
        </is>
      </c>
      <c r="B165" t="inlineStr">
        <is>
          <t>Γ₁(11)</t>
        </is>
      </c>
      <c r="C165" t="inlineStr">
        <is>
          <t>60</t>
        </is>
      </c>
      <c r="D165" t="inlineStr">
        <is>
          <t>1</t>
        </is>
      </c>
      <c r="E165" t="inlineStr">
        <is>
          <t>12</t>
        </is>
      </c>
      <c r="F165" t="inlineStr">
        <is>
          <t>0</t>
        </is>
      </c>
      <c r="G165" t="inlineStr">
        <is>
          <t>0</t>
        </is>
      </c>
      <c r="H165" t="inlineStr">
        <is>
          <t>1⁵, 11⁵</t>
        </is>
      </c>
      <c r="I165" t="n">
        <v>10</v>
      </c>
      <c r="J165" t="inlineStr">
        <is>
          <t>1², 10¹</t>
        </is>
      </c>
      <c r="K165">
        <f>HYPERLINK("CSG1.html#group11A1", "11A¹")</f>
        <v/>
      </c>
      <c r="L165">
        <f>HYPERLINK("CSG6.html#group22A6", "22A⁶"), =HYPERLINK("CSG6.html#group22C6", "22C⁶"), =HYPERLINK("CSG11.html#group33A11", "33A¹¹"), =HYPERLINK("CSG11.html#group33B11", "33B¹¹"), =HYPERLINK("CSG16.html#group44B16", "44B¹⁶"), =HYPERLINK("CSG21.html#group55A21", "55A²¹"), =HYPERLINK("CSG21.html#group55B21", "55B²¹")</f>
        <v/>
      </c>
      <c r="M165">
        <f>HYPERLINK("CSG0.html#group1A0", "1A⁰"), =HYPERLINK("CSG1.html#group11A1", "11A¹")</f>
        <v/>
      </c>
      <c r="N165">
        <f>HYPERLINK("CSG16.html#group22A16", "22A¹⁶"), =HYPERLINK("CSG16.html#group44C16", "44C¹⁶"), =HYPERLINK("CSG16.html#group44B16", "44B¹⁶"), =HYPERLINK("CSG11.html#group33A11", "33A¹¹"), =HYPERLINK("CSG21.html#group55B21", "55B²¹"), =HYPERLINK("CSG21.html#group33B21", "33B²¹"), =HYPERLINK("CSG11.html#group33B11", "33B¹¹"), =HYPERLINK("CSG6.html#group22C6", "22C⁶"), =HYPERLINK("CSG21.html#group44C21", "44C²¹"), =HYPERLINK("CSG16.html#group44A16", "44A¹⁶"), =HYPERLINK("CSG6.html#group22A6", "22A⁶"), =HYPERLINK("CSG21.html#group55A21", "55A²¹"), =HYPERLINK("CSG21.html#group33C21", "33C²¹")</f>
        <v/>
      </c>
    </row>
    <row r="166">
      <c r="A166" t="inlineStr">
        <is>
          <t>12A¹</t>
        </is>
      </c>
      <c r="B166" t="inlineStr"/>
      <c r="C166" t="inlineStr">
        <is>
          <t>16</t>
        </is>
      </c>
      <c r="D166" t="inlineStr">
        <is>
          <t>1</t>
        </is>
      </c>
      <c r="E166" t="inlineStr">
        <is>
          <t>16</t>
        </is>
      </c>
      <c r="F166" t="inlineStr">
        <is>
          <t>0</t>
        </is>
      </c>
      <c r="G166" t="inlineStr">
        <is>
          <t>1</t>
        </is>
      </c>
      <c r="H166" t="inlineStr">
        <is>
          <t>4¹, 12¹</t>
        </is>
      </c>
      <c r="I166" t="n">
        <v>2</v>
      </c>
      <c r="J166" t="inlineStr">
        <is>
          <t>2⁴, 4²</t>
        </is>
      </c>
      <c r="K166">
        <f>HYPERLINK("CSG0.html#group3B0", "3B⁰"), =HYPERLINK("CSG0.html#group4A0", "4A⁰")</f>
        <v/>
      </c>
      <c r="L166">
        <f>HYPERLINK("CSG1.html#group12I1", "12I¹"), =HYPERLINK("CSG2.html#group12G2", "12G²"), =HYPERLINK("CSG2.html#group24A2", "24A²"), =HYPERLINK("CSG3.html#group12B3", "12B³"), =HYPERLINK("CSG3.html#group36B3", "36B³"), =HYPERLINK("CSG3.html#group36C3", "36C³"), =HYPERLINK("CSG4.html#group24C4", "24C⁴"), =HYPERLINK("CSG4.html#group36C4", "36C⁴"), =HYPERLINK("CSG6.html#group60A6", "60A⁶"), =HYPERLINK("CSG7.html#group60F7", "60F⁷"), =HYPERLINK("CSG9.html#group84A9", "84A⁹"), =HYPERLINK("CSG9.html#group84D9", "84D⁹"), =HYPERLINK("CSG12.html#group60A12", "60A¹²"), =HYPERLINK("CSG14.html#group132A14", "132A¹⁴"), =HYPERLINK("CSG15.html#group132C15", "132C¹⁵"), =HYPERLINK("CSG17.html#group156A17", "156A¹⁷"), =HYPERLINK("CSG23.html#group204C23", "204C²³")</f>
        <v/>
      </c>
      <c r="M166">
        <f>HYPERLINK("CSG0.html#group3B0", "3B⁰"), =HYPERLINK("CSG0.html#group1A0", "1A⁰"), =HYPERLINK("CSG0.html#group4A0", "4A⁰")</f>
        <v/>
      </c>
      <c r="N166">
        <f>HYPERLINK("CSG23.html#group96AI23", "96AI²³"), =HYPERLINK("CSG21.html#group36B21", "36B²¹"), =HYPERLINK("CSG10.html#group36J10", "36J¹⁰"), =HYPERLINK("CSG2.html#group24A2", "24A²"), =HYPERLINK("CSG10.html#group36H10", "36H¹⁰"), =HYPERLINK("CSG18.html#group48A18", "48A¹⁸"), =HYPERLINK("CSG13.html#group60K13", "60K¹³"), =HYPERLINK("CSG7.html#group24D7", "24D⁷"), =HYPERLINK("CSG5.html#group12A5", "12A⁵"), =HYPERLINK("CSG18.html#group60D18", "60D¹⁸"), =HYPERLINK("CSG13.html#group60M13", "60M¹³"), =HYPERLINK("CSG11.html#group72K11", "72K¹¹"), =HYPERLINK("CSG22.html#group72D22", "72D²²"), =HYPERLINK("CSG21.html#group72H21", "72H²¹"), =HYPERLINK("CSG11.html#group24F11", "24F¹¹"), =HYPERLINK("CSG9.html#group108C9", "108C⁹"), =HYPERLINK("CSG12.html#group108B12", "108B¹²"), =HYPERLINK("CSG7.html#group36I7", "36I⁷"), =HYPERLINK("CSG23.html#group60B23", "60B²³"), =HYPERLINK("CSG7.html#group72A7", "72A⁷"), =HYPERLINK("CSG9.html#group84A9", "84A⁹"), =HYPERLINK("CSG17.html#group84B17", "84B¹⁷"), =HYPERLINK("CSG9.html#group24AJ9", "24AJ⁹"), =HYPERLINK("CSG11.html#group24B11", "24B¹¹"), =HYPERLINK("CSG21.html#group48CF21", "48CF²¹"), =HYPERLINK("CSG16.html#group36F16", "36F¹⁶"), =HYPERLINK("CSG21.html#group48CO21", "48CO²¹"), =HYPERLINK("CSG6.html#group24B6", "24B⁶"), =HYPERLINK("CSG23.html#group96AJ23", "96AJ²³"), =HYPERLINK("CSG3.html#group36B3", "36B³"), =HYPERLINK("CSG5.html#group36F5", "36F⁵"), =HYPERLINK("CSG9.html#group24AC9", "24AC⁹"), =HYPERLINK("CSG19.html#group36J19", "36J¹⁹"), =HYPERLINK("CSG24.html#group72B24", "72B²⁴"), =HYPERLINK("CSG13.html#group48L13", "48L¹³"), =HYPERLINK("CSG17.html#group24AO17", "24AO¹⁷"), =HYPERLINK("CSG23.html#group204C23", "204C²³"), =HYPERLINK("CSG6.html#group72A6", "72A⁶"), =HYPERLINK("CSG7.html#group24AF7", "24AF⁷"), =HYPERLINK("CSG15.html#group72A15", "72A¹⁵"), =HYPERLINK("CSG11.html#group36H11", "36H¹¹"), =HYPERLINK("CSG21.html#group72G21", "72G²¹"), =HYPERLINK("CSG19.html#group48BO19", "48BO¹⁹"), =HYPERLINK("CSG21.html#group72Y21", "72Y²¹"), =HYPERLINK("CSG23.html#group144V23", "144V²³"), =HYPERLINK("CSG21.html#group216A21", "216A²¹"), =HYPERLINK("CSG7.html#group24AG7", "24AG⁷"), =HYPERLINK("CSG19.html#group108A19", "108A¹⁹"), =HYPERLINK("CSG11.html#group24D11", "24D¹¹"), =HYPERLINK("CSG13.html#group60L13", "60L¹³"), =HYPERLINK("CSG10.html#group36K10", "36K¹⁰"), =HYPERLINK("CSG22.html#group108A22", "108A²²"), =HYPERLINK("CSG20.html#group72B20", "72B²⁰"), =HYPERLINK("CSG15.html#group72Y15", "72Y¹⁵"), =HYPERLINK("CSG3.html#group24F3", "24F³"), =HYPERLINK("CSG14.html#group132A14", "132A¹⁴"), =HYPERLINK("CSG21.html#group48CD21", "48CD²¹"), =HYPERLINK("CSG21.html#group108A21", "108A²¹"), =HYPERLINK("CSG13.html#group48U13", "48U¹³"), =HYPERLINK("CSG12.html#group120A12", "120A¹²"), =HYPERLINK("CSG23.html#group48B23", "48B²³"), =HYPERLINK("CSG23.html#group216A23", "216A²³"), =HYPERLINK("CSG21.html#group72R21", "72R²¹"), =HYPERLINK("CSG15.html#group72D15", "72D¹⁵"), =HYPERLINK("CSG17.html#group156A17", "156A¹⁷"), =HYPERLINK("CSG18.html#group60G18", "60G¹⁸"), =HYPERLINK("CSG10.html#group48I10", "48I¹⁰"), =HYPERLINK("CSG4.html#group24R4", "24R⁴"), =HYPERLINK("CSG9.html#group24AI9", "24AI⁹"), =HYPERLINK("CSG4.html#group36C4", "36C⁴"), =HYPERLINK("CSG2.html#group12G2", "12G²"), =HYPERLINK("CSG3.html#group12K3", "12K³"), =HYPERLINK("CSG19.html#group72O19", "72O¹⁹"), =HYPERLINK("CSG11.html#group108C11", "108C¹¹"), =HYPERLINK("CSG23.html#group96AL23", "96AL²³"), =HYPERLINK("CSG11.html#group36C11", "36C¹¹"), =HYPERLINK("CSG20.html#group72A20", "72A²⁰"), =HYPERLINK("CSG7.html#group36B7", "36B⁷"), =HYPERLINK("CSG18.html#group180A18", "180A¹⁸"), =HYPERLINK("CSG13.html#group24H13", "24H¹³"), =HYPERLINK("CSG10.html#group36L10", "36L¹⁰"), =HYPERLINK("CSG21.html#group24E21", "24E²¹"), =HYPERLINK("CSG11.html#group72L11", "72L¹¹"), =HYPERLINK("CSG21.html#group24A21", "24A²¹"), =HYPERLINK("CSG14.html#group72A14", "72A¹⁴"), =HYPERLINK("CSG21.html#group48CB21", "48CB²¹"), =HYPERLINK("CSG19.html#group180C19", "180C¹⁹"), =HYPERLINK("CSG22.html#group72C22", "72C²²"), =HYPERLINK("CSG7.html#group36A7", "36A⁷"), =HYPERLINK("CSG20.html#group180C20", "180C²⁰"), =HYPERLINK("CSG4.html#group12D4", "12D⁴"), =HYPERLINK("CSG22.html#group216A22", "216A²²"), =HYPERLINK("CSG13.html#group12A13", "12A¹³"), =HYPERLINK("CSG11.html#group24G11", "24G¹¹"), =HYPERLINK("CSG19.html#group108C19", "108C¹⁹"), =HYPERLINK("CSG19.html#group36A19", "36A¹⁹"), =HYPERLINK("CSG17.html#group24D17", "24D¹⁷"), =HYPERLINK("CSG23.html#group120K23", "120K²³"), =HYPERLINK("CSG17.html#group108D17", "108D¹⁷"), =HYPERLINK("CSG11.html#group48AB11", "48AB¹¹"), =HYPERLINK("CSG13.html#group24C13", "24C¹³"), =HYPERLINK("CSG20.html#group72C20", "72C²⁰"), =HYPERLINK("CSG5.html#group24K5", "24K⁵"), =HYPERLINK("CSG23.html#group120L23", "120L²³"), =HYPERLINK("CSG10.html#group108D10", "108D¹⁰"), =HYPERLINK("CSG3.html#group12B3", "12B³"), =HYPERLINK("CSG22.html#group72A22", "72A²²"), =HYPERLINK("CSG17.html#group36G17", "36G¹⁷"), =HYPERLINK("CSG16.html#group144A16", "144A¹⁶"), =HYPERLINK("CSG12.html#group60A12", "60A¹²"), =HYPERLINK("CSG13.html#group24A13", "24A¹³"), =HYPERLINK("CSG3.html#group24G3", "24G³"), =HYPERLINK("CSG15.html#group120D15", "120D¹⁵"), =HYPERLINK("CSG22.html#group72B22", "72B²²"), =HYPERLINK("CSG19.html#group24J19", "24J¹⁹"), =HYPERLINK("CSG17.html#group24AN17", "24AN¹⁷"), =HYPERLINK("CSG24.html#group24A24", "24A²⁴"), =HYPERLINK("CSG21.html#group24J21", "24J²¹"), =HYPERLINK("CSG18.html#group180C18", "180C¹⁸"), =HYPERLINK("CSG20.html#group216A20", "216A²⁰"), =HYPERLINK("CSG19.html#group60C19", "60C¹⁹"), =HYPERLINK("CSG7.html#group60F7", "60F⁷"), =HYPERLINK("CSG20.html#group180E20", "180E²⁰"), =HYPERLINK("CSG13.html#group36T13", "36T¹³"), =HYPERLINK("CSG9.html#group36N9", "36N⁹"), =HYPERLINK("CSG17.html#group72R17", "72R¹⁷"), =HYPERLINK("CSG7.html#group12C7", "12C⁷"), =HYPERLINK("CSG17.html#group84Q17", "84Q¹⁷"), =HYPERLINK("CSG5.html#group24Q5", "24Q⁵"), =HYPERLINK("CSG5.html#group24J5", "24J⁵"), =HYPERLINK("CSG21.html#group180G21", "180G²¹"), =HYPERLINK("CSG9.html#group24AF9", "24AF⁹"), =HYPERLINK("CSG21.html#group72F21", "72F²¹"), =HYPERLINK("CSG21.html#group72O21", "72O²¹"), =HYPERLINK("CSG18.html#group168C18", "168C¹⁸"), =HYPERLINK("CSG17.html#group36H17", "36H¹⁷"), =HYPERLINK("CSG11.html#group72J11", "72J¹¹"), =HYPERLINK("CSG21.html#group72E21", "72E²¹"), =HYPERLINK("CSG14.html#group48A14", "48A¹⁴"), =HYPERLINK("CSG6.html#group60A6", "60A⁶"), =HYPERLINK("CSG4.html#group36O4", "36O⁴"), =HYPERLINK("CSG5.html#group12E5", "12E⁵"), =HYPERLINK("CSG5.html#group36G5", "36G⁵"), =HYPERLINK("CSG15.html#group24C15", "24C¹⁵"), =HYPERLINK("CSG21.html#group24D21", "24D²¹"), =HYPERLINK("CSG21.html#group60T21", "60T²¹"), =HYPERLINK("CSG15.html#group72B15", "72B¹⁵"), =HYPERLINK("CSG17.html#group24AP17", "24AP¹⁷"), =HYPERLINK("CSG19.html#group168A19", "168A¹⁹"), =HYPERLINK("CSG21.html#group36A21", "36A²¹"), =HYPERLINK("CSG19.html#group48BP19", "48BP¹⁹"), =HYPERLINK("CSG15.html#group144A15", "144A¹⁵"), =HYPERLINK("CSG18.html#group168B18", "168B¹⁸"), =HYPERLINK("CSG15.html#group120C15", "120C¹⁵"), =HYPERLINK("CSG19.html#group36F19", "36F¹⁹"), =HYPERLINK("CSG23.html#group48A23", "48A²³"), =HYPERLINK("CSG10.html#group48H10", "48H¹⁰"), =HYPERLINK("CSG11.html#group48Z11", "48Z¹¹"), =HYPERLINK("CSG17.html#group36D17", "36D¹⁷"), =HYPERLINK("CSG13.html#group24G13", "24G¹³"), =HYPERLINK("CSG1.html#group12R1", "12R¹"), =HYPERLINK("CSG9.html#group36M9", "36M⁹"), =HYPERLINK("CSG21.html#group48CE21", "48CE²¹"), =HYPERLINK("CSG17.html#group36C17", "36C¹⁷"), =HYPERLINK("CSG17.html#group108E17", "108E¹⁷"), =HYPERLINK("CSG7.html#group48K7", "48K⁷"), =HYPERLINK("CSG18.html#group168D18", "168D¹⁸"), =HYPERLINK("CSG23.html#group60C23", "60C²³"), =HYPERLINK("CSG23.html#group60A23", "60A²³"), =HYPERLINK("CSG11.html#group48Y11", "48Y¹¹"), =HYPERLINK("CSG19.html#group36G19", "36G¹⁹"), =HYPERLINK("CSG24.html#group216A24", "216A²⁴"), =HYPERLINK("CSG11.html#group24A11", "24A¹¹"), =HYPERLINK("CSG23.html#group96AK23", "96AK²³"), =HYPERLINK("CSG11.html#group72I11", "72I¹¹"), =HYPERLINK("CSG24.html#group240A24", "240A²⁴"), =HYPERLINK("CSG13.html#group48F13", "48F¹³"), =HYPERLINK("CSG3.html#group36C3", "36C³"), =HYPERLINK("CSG21.html#group24H21", "24H²¹"), =HYPERLINK("CSG21.html#group108C21", "108C²¹"), =HYPERLINK("CSG19.html#group36I19", "36I¹⁹"), =HYPERLINK("CSG21.html#group60E21", "60E²¹"), =HYPERLINK("CSG21.html#group108D21", "108D²¹"), =HYPERLINK("CSG4.html#group48A4", "48A⁴"), =HYPERLINK("CSG21.html#group48CN21", "48CN²¹"), =HYPERLINK("CSG13.html#group48E13", "48E¹³"), =HYPERLINK("CSG13.html#group72B13", "72B¹³"), =HYPERLINK("CSG21.html#group24C21", "24C²¹"), =HYPERLINK("CSG21.html#group24G21", "24G²¹"), =HYPERLINK("CSG13.html#group72A13", "72A¹³"), =HYPERLINK("CSG11.html#group24I11", "24I¹¹"), =HYPERLINK("CSG17.html#group24AT17", "24AT¹⁷"), =HYPERLINK("CSG21.html#group24F21", "24F²¹"), =HYPERLINK("CSG21.html#group72Z21", "72Z²¹"), =HYPERLINK("CSG9.html#group84D9", "84D⁹"), =HYPERLINK("CSG18.html#group168A18", "168A¹⁸"), =HYPERLINK("CSG15.html#group48D15", "48D¹⁵"), =HYPERLINK("CSG7.html#group12F7", "12F⁷"), =HYPERLINK("CSG17.html#group84C17", "84C¹⁷"), =HYPERLINK("CSG21.html#group24B21", "24B²¹"), =HYPERLINK("CSG10.html#group108E10", "108E¹⁰"), =HYPERLINK("CSG8.html#group72A8", "72A⁸"), =HYPERLINK("CSG17.html#group72Q17", "72Q¹⁷"), =HYPERLINK("CSG13.html#group24AB13", "24AB¹³"), =HYPERLINK("CSG13.html#group36B13", "36B¹³"), =HYPERLINK("CSG19.html#group36B19", "36B¹⁹"), =HYPERLINK("CSG23.html#group72F23", "72F²³"), =HYPERLINK("CSG23.html#group48C23", "48C²³"), =HYPERLINK("CSG13.html#group48H13", "48H¹³"), =HYPERLINK("CSG15.html#group132C15", "132C¹⁵"), =HYPERLINK("CSG9.html#group12A9", "12A⁹"), =HYPERLINK("CSG7.html#group48L7", "48L⁷"), =HYPERLINK("CSG17.html#group36E17", "36E¹⁷"), =HYPERLINK("CSG15.html#group72E15", "72E¹⁵"), =HYPERLINK("CSG13.html#group72C13", "72C¹³"), =HYPERLINK("CSG22.html#group216B22", "216B²²"), =HYPERLINK("CSG18.html#group60I18", "60I¹⁸"), =HYPERLINK("CSG9.html#group36I9", "36I⁹"), =HYPERLINK("CSG17.html#group84A17", "84A¹⁷"), =HYPERLINK("CSG21.html#group108B21", "108B²¹"), =HYPERLINK("CSG17.html#group24E17", "24E¹⁷"), =HYPERLINK("CSG13.html#group48G13", "48G¹³"), =HYPERLINK("CSG13.html#group72D13", "72D¹³"), =HYPERLINK("CSG17.html#group84P17", "84P¹⁷"), =HYPERLINK("CSG9.html#group36H9", "36H⁹"), =HYPERLINK("CSG4.html#group24C4", "24C⁴"), =HYPERLINK("CSG9.html#group36G9", "36G⁹"), =HYPERLINK("CSG13.html#group72E13", "72E¹³"), =HYPERLINK("CSG11.html#group24H11", "24H¹¹"), =HYPERLINK("CSG1.html#group12I1", "12I¹"), =HYPERLINK("CSG13.html#group36A13", "36A¹³"), =HYPERLINK("CSG6.html#group36B6", "36B⁶"), =HYPERLINK("CSG11.html#group48AA11", "48AA¹¹"), =HYPERLINK("CSG13.html#group24B13", "24B¹³"), =HYPERLINK("CSG13.html#group48K13", "48K¹³"), =HYPERLINK("CSG23.html#group48D23", "48D²³"), =HYPERLINK("CSG23.html#group108A23", "108A²³"), =HYPERLINK("CSG17.html#group84O17", "84O¹⁷"), =HYPERLINK("CSG11.html#group108D11", "108D¹¹"), =HYPERLINK("CSG15.html#group72C15", "72C¹⁵"), =HYPERLINK("CSG11.html#group24E11", "24E¹¹"), =HYPERLINK("CSG17.html#group36F17", "36F¹⁷"), =HYPERLINK("CSG7.html#group24E7", "24E⁷"), =HYPERLINK("CSG19.html#group180B19", "180B¹⁹"), =HYPERLINK("CSG23.html#group180J23", "180J²³"), =HYPERLINK("CSG19.html#group36H19", "36H¹⁹"), =HYPERLINK("CSG17.html#group48A17", "48A¹⁷"), =HYPERLINK("CSG20.html#group108A20", "108A²⁰"), =HYPERLINK("CSG12.html#group144A12", "144A¹²"), =HYPERLINK("CSG19.html#group36E19", "36E¹⁹"), =HYPERLINK("CSG7.html#group24F7", "24F⁷"), =HYPERLINK("CSG23.html#group144U23", "144U²³"), =HYPERLINK("CSG7.html#group36M7", "36M⁷"), =HYPERLINK("CSG19.html#group168B19", "168B¹⁹"), =HYPERLINK("CSG19.html#group60N19", "60N¹⁹"), =HYPERLINK("CSG23.html#group180I23", "180I²³"), =HYPERLINK("CSG19.html#group108B19", "108B¹⁹"), =HYPERLINK("CSG11.html#group60J11", "60J¹¹"), =HYPERLINK("CSG13.html#group24I13", "24I¹³"), =HYPERLINK("CSG21.html#group24I21", "24I²¹")</f>
        <v/>
      </c>
    </row>
    <row r="167">
      <c r="A167" t="inlineStr">
        <is>
          <t>12B¹</t>
        </is>
      </c>
      <c r="B167" t="inlineStr"/>
      <c r="C167" t="inlineStr">
        <is>
          <t>18</t>
        </is>
      </c>
      <c r="D167" t="inlineStr">
        <is>
          <t>1</t>
        </is>
      </c>
      <c r="E167" t="inlineStr">
        <is>
          <t>3</t>
        </is>
      </c>
      <c r="F167" t="inlineStr">
        <is>
          <t>0</t>
        </is>
      </c>
      <c r="G167" t="inlineStr">
        <is>
          <t>0</t>
        </is>
      </c>
      <c r="H167" t="inlineStr">
        <is>
          <t>3², 12¹</t>
        </is>
      </c>
      <c r="I167" t="n">
        <v>3</v>
      </c>
      <c r="J167" t="inlineStr">
        <is>
          <t>1³</t>
        </is>
      </c>
      <c r="K167">
        <f>HYPERLINK("CSG0.html#group4B0", "4B⁰"), =HYPERLINK("CSG0.html#group6D0", "6D⁰")</f>
        <v/>
      </c>
      <c r="L167">
        <f>HYPERLINK("CSG1.html#group12K1", "12K¹"), =HYPERLINK("CSG2.html#group12B2", "12B²"), =HYPERLINK("CSG2.html#group12D2", "12D²"), =HYPERLINK("CSG2.html#group24B2", "24B²"), =HYPERLINK("CSG2.html#group24D2", "24D²"), =HYPERLINK("CSG4.html#group36D4", "36D⁴"), =HYPERLINK("CSG7.html#group60A7", "60A⁷"), =HYPERLINK("CSG7.html#group60H7", "60H⁷"), =HYPERLINK("CSG10.html#group84A10", "84A¹⁰"), =HYPERLINK("CSG10.html#group84B10", "84B¹⁰"), =HYPERLINK("CSG13.html#group60A13", "60A¹³"), =HYPERLINK("CSG16.html#group132A16", "132A¹⁶"), =HYPERLINK("CSG16.html#group132B16", "132B¹⁶"), =HYPERLINK("CSG19.html#group156A19", "156A¹⁹")</f>
        <v/>
      </c>
      <c r="M167">
        <f>HYPERLINK("CSG0.html#group2B0", "2B⁰"), =HYPERLINK("CSG0.html#group3A0", "3A⁰"), =HYPERLINK("CSG0.html#group4B0", "4B⁰"), =HYPERLINK("CSG0.html#group1A0", "1A⁰"), =HYPERLINK("CSG0.html#group6D0", "6D⁰")</f>
        <v/>
      </c>
      <c r="N167">
        <f>HYPERLINK("CSG13.html#group60A13", "60A¹³"), =HYPERLINK("CSG23.html#group192E23", "192E²³"), =HYPERLINK("CSG7.html#group60H7", "60H⁷"), =HYPERLINK("CSG21.html#group48I21", "48I²¹"), =HYPERLINK("CSG18.html#group96A18", "96A¹⁸"), =HYPERLINK("CSG9.html#group48N9", "48N⁹"), =HYPERLINK("CSG16.html#group72E16", "72E¹⁶"), =HYPERLINK("CSG3.html#group12G3", "12G³"), =HYPERLINK("CSG13.html#group48W13", "48W¹³"), =HYPERLINK("CSG9.html#group48AC9", "48AC⁹"), =HYPERLINK("CSG16.html#group36E16", "36E¹⁶"), =HYPERLINK("CSG22.html#group36L22", "36L²²"), =HYPERLINK("CSG21.html#group48AH21", "48AH²¹"), =HYPERLINK("CSG17.html#group48U17", "48U¹⁷"), =HYPERLINK("CSG15.html#group36B15", "36B¹⁵"), =HYPERLINK("CSG21.html#group96W21", "96W²¹"), =HYPERLINK("CSG21.html#group96L21", "96L²¹"), =HYPERLINK("CSG13.html#group36C13", "36C¹³"), =HYPERLINK("CSG7.html#group24G7", "24G⁷"), =HYPERLINK("CSG8.html#group48J8", "48J⁸"), =HYPERLINK("CSG3.html#group24K3", "24K³"), =HYPERLINK("CSG19.html#group96S19", "96S¹⁹"), =HYPERLINK("CSG21.html#group48BS21", "48BS²¹"), =HYPERLINK("CSG11.html#group48I11", "48I¹¹"), =HYPERLINK("CSG8.html#group24A8", "24A⁸"), =HYPERLINK("CSG7.html#group24V7", "24V⁷"), =HYPERLINK("CSG21.html#group96C21", "96C²¹"), =HYPERLINK("CSG21.html#group96E21", "96E²¹"), =HYPERLINK("CSG9.html#group24S9", "24S⁹"), =HYPERLINK("CSG18.html#group48B18", "48B¹⁸"), =HYPERLINK("CSG19.html#group48I19", "48I¹⁹"), =HYPERLINK("CSG22.html#group168A22", "168A²²"), =HYPERLINK("CSG20.html#group168F20", "168F²⁰"), =HYPERLINK("CSG21.html#group96Q21", "96Q²¹"), =HYPERLINK("CSG19.html#group96AW19", "96AW¹⁹"), =HYPERLINK("CSG21.html#group96M21", "96M²¹"), =HYPERLINK("CSG23.html#group192H23", "192H²³"), =HYPERLINK("CSG15.html#group72R15", "72R¹⁵"), =HYPERLINK("CSG8.html#group24G8", "24G⁸"), =HYPERLINK("CSG15.html#group24I15", "24I¹⁵"), =HYPERLINK("CSG11.html#group48A11", "48A¹¹"), =HYPERLINK("CSG13.html#group48Y13", "48Y¹³"), =HYPERLINK("CSG19.html#group48E19", "48E¹⁹"), =HYPERLINK("CSG9.html#group24I9", "24I⁹"), =HYPERLINK("CSG19.html#group96E19", "96E¹⁹"), =HYPERLINK("CSG15.html#group60M15", "60M¹⁵"), =HYPERLINK("CSG9.html#group24Z9", "24Z⁹"), =HYPERLINK("CSG19.html#group24G19", "24G¹⁹"), =HYPERLINK("CSG21.html#group48Q21", "48Q²¹"), =HYPERLINK("CSG21.html#group48BQ21", "48BQ²¹"), =HYPERLINK("CSG21.html#group168C21", "168C²¹"), =HYPERLINK("CSG10.html#group24A10", "24A¹⁰"), =HYPERLINK("CSG17.html#group48AD17", "48AD¹⁷"), =HYPERLINK("CSG16.html#group132A16", "132A¹⁶"), =HYPERLINK("CSG16.html#group72I16", "72I¹⁶"), =HYPERLINK("CSG21.html#group96N21", "96N²¹"), =HYPERLINK("CSG7.html#group12E7", "12E⁷"), =HYPERLINK("CSG20.html#group168D20", "168D²⁰"), =HYPERLINK("CSG16.html#group72B16", "72B¹⁶"), =HYPERLINK("CSG23.html#group192J23", "192J²³"), =HYPERLINK("CSG16.html#group72F16", "72F¹⁶"), =HYPERLINK("CSG17.html#group48AA17", "48AA¹⁷"), =HYPERLINK("CSG17.html#group24F17", "24F¹⁷"), =HYPERLINK("CSG19.html#group24B19", "24B¹⁹"), =HYPERLINK("CSG19.html#group48A19", "48A¹⁹"), =HYPERLINK("CSG19.html#group48P19", "48P¹⁹"), =HYPERLINK("CSG19.html#group48AW19", "48AW¹⁹"), =HYPERLINK("CSG11.html#group48B11", "48B¹¹"), =HYPERLINK("CSG13.html#group12A13", "12A¹³"), =HYPERLINK("CSG4.html#group24N4", "24N⁴"), =HYPERLINK("CSG4.html#group24M4", "24M⁴"), =HYPERLINK("CSG15.html#group24D15", "24D¹⁵"), =HYPERLINK("CSG16.html#group72H16", "72H¹⁶"), =HYPERLINK("CSG21.html#group48BR21", "48BR²¹"), =HYPERLINK("CSG19.html#group84D19", "84D¹⁹"), =HYPERLINK("CSG7.html#group48X7", "48X⁷"), =HYPERLINK("CSG17.html#group144C17", "144C¹⁷"), =HYPERLINK("CSG4.html#group24F4", "24F⁴"), =HYPERLINK("CSG11.html#group36L11", "36L¹¹"), =HYPERLINK("CSG21.html#group36E21", "36E²¹"), =HYPERLINK("CSG18.html#group96C18", "96C¹⁸"), =HYPERLINK("CSG17.html#group24U17", "24U¹⁷"), =HYPERLINK("CSG9.html#group96A9", "96A⁹"), =HYPERLINK("CSG7.html#group36N7", "36N⁷"), =HYPERLINK("CSG19.html#group96K19", "96K¹⁹"), =HYPERLINK("CSG7.html#group24N7", "24N⁷"), =HYPERLINK("CSG8.html#group48Y8", "48Y⁸"), =HYPERLINK("CSG22.html#group180A22", "180A²²"), =HYPERLINK("CSG21.html#group192B21", "192B²¹"), =HYPERLINK("CSG15.html#group96M15", "96M¹⁵"), =HYPERLINK("CSG22.html#group168C22", "168C²²"), =HYPERLINK("CSG4.html#group48B4", "48B⁴"), =HYPERLINK("CSG21.html#group96AR21", "96AR²¹"), =HYPERLINK("CSG21.html#group48N21", "48N²¹"), =HYPERLINK("CSG9.html#group48AA9", "48AA⁹"), =HYPERLINK("CSG9.html#group48P9", "48P⁹"), =HYPERLINK("CSG11.html#group96F11", "96F¹¹"), =HYPERLINK("CSG19.html#group36O19", "36O¹⁹"), =HYPERLINK("CSG15.html#group48N15", "48N¹⁵"), =HYPERLINK("CSG8.html#group72C8", "72C⁸"), =HYPERLINK("CSG8.html#group24F8", "24F⁸"), =HYPERLINK("CSG8.html#group48D8", "48D⁸"), =HYPERLINK("CSG15.html#group96N15", "96N¹⁵"), =HYPERLINK("CSG21.html#group48K21", "48K²¹"), =HYPERLINK("CSG19.html#group24C19", "24C¹⁹"), =HYPERLINK("CSG22.html#group72H22", "72H²²"), =HYPERLINK("CSG14.html#group60D14", "60D¹⁴"), =HYPERLINK("CSG15.html#group24E15", "24E¹⁵"), =HYPERLINK("CSG19.html#group192B19", "192B¹⁹"), =HYPERLINK("CSG18.html#group48D18", "48D¹⁸"), =HYPERLINK("CSG19.html#group48H19", "48H¹⁹"), =HYPERLINK("CSG15.html#group120I15", "120I¹⁵"), =HYPERLINK("CSG21.html#group96D21", "96D²¹"), =HYPERLINK("CSG17.html#group48W17", "48W¹⁷"), =HYPERLINK("CSG11.html#group48M11", "48M¹¹"), =HYPERLINK("CSG7.html#group24T7", "24T⁷"), =HYPERLINK("CSG11.html#group72Q11", "72Q¹¹"), =HYPERLINK("CSG21.html#group192D21", "192D²¹"), =HYPERLINK("CSG2.html#group12B2", "12B²"), =HYPERLINK("CSG4.html#group48F4", "48F⁴"), =HYPERLINK("CSG16.html#group144D16", "144D¹⁶"), =HYPERLINK("CSG17.html#group48Y17", "48Y¹⁷"), =HYPERLINK("CSG21.html#group48L21", "48L²¹"), =HYPERLINK("CSG17.html#group24AJ17", "24AJ¹⁷"), =HYPERLINK("CSG21.html#group48R21", "48R²¹"), =HYPERLINK("CSG19.html#group48AA19", "48AA¹⁹"), =HYPERLINK("CSG20.html#group84J20", "84J²⁰"), =HYPERLINK("CSG17.html#group24Z17", "24Z¹⁷"), =HYPERLINK("CSG17.html#group48AC17", "48AC¹⁷"), =HYPERLINK("CSG17.html#group72C17", "72C¹⁷"), =HYPERLINK("CSG21.html#group48Y21", "48Y²¹"), =HYPERLINK("CSG15.html#group48E15", "48E¹⁵"), =HYPERLINK("CSG17.html#group24P17", "24P¹⁷"), =HYPERLINK("CSG13.html#group48V13", "48V¹³"), =HYPERLINK("CSG19.html#group24K19", "24K¹⁹"), =HYPERLINK("CSG19.html#group96A19", "96A¹⁹"), =HYPERLINK("CSG10.html#group48E10", "48E¹⁰"), =HYPERLINK("CSG15.html#group24A15", "24A¹⁵"), =HYPERLINK("CSG4.html#group48D4", "48D⁴"), =HYPERLINK("CSG3.html#group12O3", "12O³"), =HYPERLINK("CSG19.html#group96C19", "96C¹⁹"), =HYPERLINK("CSG15.html#group48K15", "48K¹⁵"), =HYPERLINK("CSG19.html#group84A19", "84A¹⁹"), =HYPERLINK("CSG16.html#group72Q16", "72Q¹⁶"), =HYPERLINK("CSG13.html#group24N13", "24N¹³"), =HYPERLINK("CSG19.html#group48K19", "48K¹⁹"), =HYPERLINK("CSG17.html#group24G17", "24G¹⁷"), =HYPERLINK("CSG4.html#group24J4", "24J⁴"), =HYPERLINK("CSG17.html#group24Q17", "24Q¹⁷"), =HYPERLINK("CSG13.html#group60N13", "60N¹³"), =HYPERLINK("CSG8.html#group36B8", "36B⁸"), =HYPERLINK("CSG19.html#group24H19", "24H¹⁹"), =HYPERLINK("CSG16.html#group72J16", "72J¹⁶"), =HYPERLINK("CSG21.html#group96F21", "96F²¹"), =HYPERLINK("CSG15.html#group120F15", "120F¹⁵"), =HYPERLINK("CSG21.html#group168B21", "168B²¹"), =HYPERLINK("CSG21.html#group48AL21", "48AL²¹"), =HYPERLINK("CSG15.html#group24J15", "24J¹⁵"), =HYPERLINK("CSG9.html#group24D9", "24D⁹"), =HYPERLINK("CSG17.html#group48AB17", "48AB¹⁷"), =HYPERLINK("CSG19.html#group192D19", "192D¹⁹"), =HYPERLINK("CSG8.html#group24C8", "24C⁸"), =HYPERLINK("CSG21.html#group48AJ21", "48AJ²¹"), =HYPERLINK("CSG17.html#group24R17", "24R¹⁷"), =HYPERLINK("CSG13.html#group24M13", "24M¹³"), =HYPERLINK("CSG17.html#group24Y17", "24Y¹⁷"), =HYPERLINK("CSG15.html#group48P15", "48P¹⁵"), =HYPERLINK("CSG3.html#group24L3", "24L³"), =HYPERLINK("CSG19.html#group96B19", "96B¹⁹"), =HYPERLINK("CSG16.html#group144E16", "144E¹⁶"), =HYPERLINK("CSG23.html#group192C23", "192C²³"), =HYPERLINK("CSG15.html#group72G15", "72G¹⁵"), =HYPERLINK("CSG23.html#group96I23", "96I²³"), =HYPERLINK("CSG1.html#group12K1", "12K¹"), =HYPERLINK("CSG5.html#group12B5", "12B⁵"), =HYPERLINK("CSG21.html#group96B21", "96B²¹"), =HYPERLINK("CSG2.html#group12D2", "12D²"), =HYPERLINK("CSG22.html#group192A22", "192A²²"), =HYPERLINK("CSG17.html#group48D17", "48D¹⁷"), =HYPERLINK("CSG22.html#group72G22", "72G²²"), =HYPERLINK("CSG16.html#group72A16", "72A¹⁶"), =HYPERLINK("CSG10.html#group96A10", "96A¹⁰"), =HYPERLINK("CSG9.html#group24G9", "24G⁹"), =HYPERLINK("CSG19.html#group96Z19", "96Z¹⁹"), =HYPERLINK("CSG21.html#group48P21", "48P²¹"), =HYPERLINK("CSG18.html#group96B18", "96B¹⁸"), =HYPERLINK("CSG8.html#group48E8", "48E⁸"), =HYPERLINK("CSG11.html#group96B11", "96B¹¹"), =HYPERLINK("CSG16.html#group132B16", "132B¹⁶"), =HYPERLINK("CSG7.html#group24I7", "24I⁷"), =HYPERLINK("CSG11.html#group36N11", "36N¹¹"), =HYPERLINK("CSG17.html#group144B17", "144B¹⁷"), =HYPERLINK("CSG13.html#group60T13", "60T¹³"), =HYPERLINK("CSG19.html#group96F19", "96F¹⁹"), =HYPERLINK("CSG11.html#group48F11", "48F¹¹"), =HYPERLINK("CSG7.html#group24U7", "24U⁷"), =HYPERLINK("CSG19.html#group156A19", "156A¹⁹"), =HYPERLINK("CSG19.html#group192A19", "192A¹⁹"), =HYPERLINK("CSG10.html#group36Q10", "36Q¹⁰"), =HYPERLINK("CSG17.html#group24V17", "24V¹⁷"), =HYPERLINK("CSG8.html#group24D8", "24D⁸"), =HYPERLINK("CSG21.html#group84A21", "84A²¹"), =HYPERLINK("CSG19.html#group192C19", "192C¹⁹"), =HYPERLINK("CSG21.html#group96AB21", "96AB²¹"), =HYPERLINK("CSG23.html#group192F23", "192F²³"), =HYPERLINK("CSG18.html#group96D18", "96D¹⁸"), =HYPERLINK("CSG21.html#group192C21", "192C²¹"), =HYPERLINK("CSG23.html#group96F23", "96F²³"), =HYPERLINK("CSG17.html#group48F17", "48F¹⁷"), =HYPERLINK("CSG17.html#group24S17", "24S¹⁷"), =HYPERLINK("CSG7.html#group48Q7", "48Q⁷"), =HYPERLINK("CSG17.html#group48X17", "48X¹⁷"), =HYPERLINK("CSG19.html#group96O19", "96O¹⁹"), =HYPERLINK("CSG22.html#group96C22", "96C²²"), =HYPERLINK("CSG17.html#group48C17", "48C¹⁷"), =HYPERLINK("CSG20.html#group84C20", "84C²⁰"), =HYPERLINK("CSG21.html#group84E21", "84E²¹"), =HYPERLINK("CSG16.html#group72C16", "72C¹⁶"), =HYPERLINK("CSG19.html#group48D19", "48D¹⁹"), =HYPERLINK("CSG17.html#group96AC17", "96AC¹⁷"), =HYPERLINK("CSG10.html#group96B10", "96B¹⁰"), =HYPERLINK("CSG23.html#group96L23", "96L²³"), =HYPERLINK("CSG17.html#group48E17", "48E¹⁷"), =HYPERLINK("CSG19.html#group24D19", "24D¹⁹"), =HYPERLINK("CSG21.html#group96P21", "96P²¹"), =HYPERLINK("CSG20.html#group168B20", "168B²⁰"), =HYPERLINK("CSG20.html#group84G20", "84G²⁰"), =HYPERLINK("CSG14.html#group60A14", "60A¹⁴"), =HYPERLINK("CSG8.html#group36C8", "36C⁸"), =HYPERLINK("CSG23.html#group96O23", "96O²³"), =HYPERLINK("CSG10.html#group36N10", "36N¹⁰"), =HYPERLINK("CSG21.html#group72AB21", "72AB²¹"), =HYPERLINK("CSG5.html#group24A5", "24A⁵"), =HYPERLINK("CSG18.html#group48C18", "48C¹⁸"), =HYPERLINK("CSG21.html#group96U21", "96U²¹"), =HYPERLINK("CSG17.html#group24I17", "24I¹⁷"), =HYPERLINK("CSG17.html#group48G17", "48G¹⁷"), =HYPERLINK("CSG19.html#group48Q19", "48Q¹⁹"), =HYPERLINK("CSG4.html#group12A4", "12A⁴"), =HYPERLINK("CSG18.html#group192B18", "192B¹⁸"), =HYPERLINK("CSG19.html#group48AX19", "48AX¹⁹"), =HYPERLINK("CSG18.html#group48H18", "48H¹⁸"), =HYPERLINK("CSG17.html#group96L17", "96L¹⁷"), =HYPERLINK("CSG21.html#group48O21", "48O²¹"), =HYPERLINK("CSG8.html#group24H8", "24H⁸"), =HYPERLINK("CSG8.html#group24J8", "24J⁸"), =HYPERLINK("CSG21.html#group48AN21", "48AN²¹"), =HYPERLINK("CSG5.html#group24R5", "24R⁵"), =HYPERLINK("CSG22.html#group96A22", "96A²²"), =HYPERLINK("CSG9.html#group24L9", "24L⁹"), =HYPERLINK("CSG21.html#group48J21", "48J²¹"), =HYPERLINK("CSG13.html#group24O13", "24O¹³"), =HYPERLINK("CSG21.html#group192A21", "192A²¹"), =HYPERLINK("CSG9.html#group24AP9", "24AP⁹"), =HYPERLINK("CSG17.html#group24W17", "24W¹⁷"), =HYPERLINK("CSG11.html#group96C11", "96C¹¹"), =HYPERLINK("CSG17.html#group96I17", "96I¹⁷"), =HYPERLINK("CSG23.html#group192K23", "192K²³"), =HYPERLINK("CSG15.html#group48F15", "48F¹⁵"), =HYPERLINK("CSG10.html#group84A10", "84A¹⁰"), =HYPERLINK("CSG20.html#group84A20", "84A²⁰"), =HYPERLINK("CSG21.html#group48AK21", "48AK²¹"), =HYPERLINK("CSG22.html#group36F22", "36F²²"), =HYPERLINK("CSG23.html#group96E23", "96E²³"), =HYPERLINK("CSG22.html#group48B22", "48B²²"), =HYPERLINK("CSG17.html#group24J17", "24J¹⁷"), =HYPERLINK("CSG3.html#group24AC3", "24AC³"), =HYPERLINK("CSG13.html#group24K13", "24K¹³"), =HYPERLINK("CSG19.html#group96N19", "96N¹⁹"), =HYPERLINK("CSG7.html#group36D7", "36D⁷"), =HYPERLINK("CSG16.html#group144H16", "144H¹⁶"), =HYPERLINK("CSG19.html#group48M19", "48M¹⁹"), =HYPERLINK("CSG19.html#group48O19", "48O¹⁹"), =HYPERLINK("CSG16.html#group144C16", "144C¹⁶"), =HYPERLINK("CSG7.html#group36C7", "36C⁷"), =HYPERLINK("CSG23.html#group96P23", "96P²³"), =HYPERLINK("CSG19.html#group48F19", "48F¹⁹"), =HYPERLINK("CSG14.html#group120A14", "120A¹⁴"), =HYPERLINK("CSG4.html#group36D4", "36D⁴"), =HYPERLINK("CSG8.html#group48C8", "48C⁸"), =HYPERLINK("CSG9.html#group48O9", "48O⁹"), =HYPERLINK("CSG21.html#group48AM21", "48AM²¹"), =HYPERLINK("CSG8.html#group36F8", "36F⁸"), =HYPERLINK("CSG22.html#group36D22", "36D²²"), =HYPERLINK("CSG9.html#group24C9", "24C⁹"), =HYPERLINK("CSG16.html#group72D16", "72D¹⁶"), =HYPERLINK("CSG18.html#group48G18", "48G¹⁸"), =HYPERLINK("CSG11.html#group96D11", "96D¹¹"), =HYPERLINK("CSG21.html#group96K21", "96K²¹"), =HYPERLINK("CSG21.html#group96X21", "96X²¹"), =HYPERLINK("CSG19.html#group48AP19", "48AP¹⁹"), =HYPERLINK("CSG17.html#group24X17", "24X¹⁷"), =HYPERLINK("CSG19.html#group48R19", "48R¹⁹"), =HYPERLINK("CSG1.html#group12S1", "12S¹"), =HYPERLINK("CSG21.html#group48S21", "48S²¹"), =HYPERLINK("CSG19.html#group96I19", "96I¹⁹"), =HYPERLINK("CSG17.html#group72K17", "72K¹⁷"), =HYPERLINK("CSG21.html#group96I21", "96I²¹"), =HYPERLINK("CSG9.html#group96G9", "96G⁹"), =HYPERLINK("CSG15.html#group24F15", "24F¹⁵"), =HYPERLINK("CSG15.html#group96P15", "96P¹⁵"), =HYPERLINK("CSG21.html#group48AU21", "48AU²¹"), =HYPERLINK("CSG7.html#group48R7", "48R⁷"), =HYPERLINK("CSG8.html#group48L8", "48L⁸"), =HYPERLINK("CSG10.html#group84B10", "84B¹⁰"), =HYPERLINK("CSG19.html#group60H19", "60H¹⁹"), =HYPERLINK("CSG11.html#group48D11", "48D¹¹"), =HYPERLINK("CSG16.html#group72K16", "72K¹⁶"), =HYPERLINK("CSG13.html#group60C13", "60C¹³"), =HYPERLINK("CSG13.html#group48Z13", "48Z¹³"), =HYPERLINK("CSG19.html#group96P19", "96P¹⁹"), =HYPERLINK("CSG23.html#group96D23", "96D²³"), =HYPERLINK("CSG10.html#group24B10", "24B¹⁰"), =HYPERLINK("CSG23.html#group96G23", "96G²³"), =HYPERLINK("CSG23.html#group192A23", "192A²³"), =HYPERLINK("CSG23.html#group96C23", "96C²³"), =HYPERLINK("CSG17.html#group48H17", "48H¹⁷"), =HYPERLINK("CSG23.html#group96J23", "96J²³"), =HYPERLINK("CSG19.html#group48G19", "48G¹⁹"), =HYPERLINK("CSG11.html#group96A11", "96A¹¹"), =HYPERLINK("CSG17.html#group72X17", "72X¹⁷"), =HYPERLINK("CSG17.html#group24H17", "24H¹⁷"), =HYPERLINK("CSG19.html#group96D19", "96D¹⁹"), =HYPERLINK("CSG9.html#group48D9", "48D⁹"), =HYPERLINK("CSG19.html#group24S19", "24S¹⁹"), =HYPERLINK("CSG17.html#group36K17", "36K¹⁷"), =HYPERLINK("CSG7.html#group24W7", "24W⁷"), =HYPERLINK("CSG21.html#group96V21", "96V²¹"), =HYPERLINK("CSG9.html#group48A9", "48A⁹"), =HYPERLINK("CSG17.html#group48B17", "48B¹⁷"), =HYPERLINK("CSG7.html#group12D7", "12D⁷"), =HYPERLINK("CSG16.html#group36B16", "36B¹⁶"), =HYPERLINK("CSG14.html#group120C14", "120C¹⁴"), =HYPERLINK("CSG19.html#group48B19", "48B¹⁹"), =HYPERLINK("CSG19.html#group36Q19", "36Q¹⁹"), =HYPERLINK("CSG9.html#group24U9", "24U⁹"), =HYPERLINK("CSG22.html#group192B22", "192B²²"), =HYPERLINK("CSG15.html#group48R15", "48R¹⁵"), =HYPERLINK("CSG22.html#group36I22", "36I²²"), =HYPERLINK("CSG19.html#group36M19", "36M¹⁹"), =HYPERLINK("CSG4.html#group12C4", "12C⁴"), =HYPERLINK("CSG21.html#group48AP21", "48AP²¹"), =HYPERLINK("CSG19.html#group48N19", "48N¹⁹"), =HYPERLINK("CSG21.html#group48AG21", "48AG²¹"), =HYPERLINK("CSG17.html#group24C17", "24C¹⁷"), =HYPERLINK("CSG19.html#group96H19", "96H¹⁹"), =HYPERLINK("CSG21.html#group96H21", "96H²¹"), =HYPERLINK("CSG4.html#group24G4", "24G⁴"), =HYPERLINK("CSG21.html#group48AO21", "48AO²¹"), =HYPERLINK("CSG9.html#group24F9", "24F⁹"), =HYPERLINK("CSG16.html#group72G16", "72G¹⁶"), =HYPERLINK("CSG8.html#group48I8", "48I⁸"), =HYPERLINK("CSG10.html#group48A10", "48A¹⁰"), =HYPERLINK("CSG15.html#group36K15", "36K¹⁵"), =HYPERLINK("CSG19.html#group96Q19", "96Q¹⁹"), =HYPERLINK("CSG9.html#group48B9", "48B⁹"), =HYPERLINK("CSG15.html#group48Q15", "48Q¹⁵"), =HYPERLINK("CSG21.html#group96A21", "96A²¹"), =HYPERLINK("CSG16.html#group72P16", "72P¹⁶"), =HYPERLINK("CSG19.html#group96G19", "96G¹⁹"), =HYPERLINK("CSG15.html#group36I15", "36I¹⁵"), =HYPERLINK("CSG19.html#group84C19", "84C¹⁹"), =HYPERLINK("CSG21.html#group96S21", "96S²¹"), =HYPERLINK("CSG7.html#group24J7", "24J⁷"), =HYPERLINK("CSG23.html#group96K23", "96K²³"), =HYPERLINK("CSG17.html#group48BT17", "48BT¹⁷"), =HYPERLINK("CSG8.html#group24I8", "24I⁸"), =HYPERLINK("CSG5.html#group24F5", "24F⁵"), =HYPERLINK("CSG22.html#group48A22", "48A²²"), =HYPERLINK("CSG2.html#group24B2", "24B²"), =HYPERLINK("CSG21.html#group96G21", "96G²¹"), =HYPERLINK("CSG15.html#group24G15", "24G¹⁵"), =HYPERLINK("CSG18.html#group192A18", "192A¹⁸"), =HYPERLINK("CSG17.html#group48J17", "48J¹⁷"), =HYPERLINK("CSG21.html#group96AQ21", "96AQ²¹"), =HYPERLINK("CSG20.html#group168C20", "168C²⁰"), =HYPERLINK("CSG13.html#group24J13", "24J¹³"), =HYPERLINK("CSG19.html#group24I19", "24I¹⁹"), =HYPERLINK("CSG8.html#group48M8", "48M⁸"), =HYPERLINK("CSG17.html#group96M17", "96M¹⁷"), =HYPERLINK("CSG23.html#group192I23", "192I²³"), =HYPERLINK("CSG8.html#group24E8", "24E⁸"), =HYPERLINK("CSG9.html#group48G9", "48G⁹"), =HYPERLINK("CSG9.html#group48F9", "48F⁹"), =HYPERLINK("CSG8.html#group96A8", "96A⁸"), =HYPERLINK("CSG11.html#group72P11", "72P¹¹"), =HYPERLINK("CSG15.html#group60K15", "60K¹⁵"), =HYPERLINK("CSG21.html#group48F21", "48F²¹"), =HYPERLINK("CSG5.html#group48B5", "48B⁵"), =HYPERLINK("CSG17.html#group144A17", "144A¹⁷"), =HYPERLINK("CSG19.html#group48AR19", "48AR¹⁹"), =HYPERLINK("CSG5.html#group48A5", "48A⁵"), =HYPERLINK("CSG7.html#group48W7", "48W⁷"), =HYPERLINK("CSG9.html#group48E9", "48E⁹"), =HYPERLINK("CSG19.html#group24A19", "24A¹⁹"), =HYPERLINK("CSG21.html#group48Z21", "48Z²¹"), =HYPERLINK("CSG8.html#group72E8", "72E⁸"), =HYPERLINK("CSG17.html#group48K17", "48K¹⁷"), =HYPERLINK("CSG8.html#group48K8", "48K⁸"), =HYPERLINK("CSG19.html#group96AX19", "96AX¹⁹"), =HYPERLINK("CSG19.html#group84K19", "84K¹⁹"), =HYPERLINK("CSG18.html#group48I18", "48I¹⁸"), =HYPERLINK("CSG4.html#group24D4", "24D⁴"), =HYPERLINK("CSG19.html#group96R19", "96R¹⁹"), =HYPERLINK("CSG7.html#group60A7", "60A⁷"), =HYPERLINK("CSG23.html#group192D23", "192D²³"), =HYPERLINK("CSG21.html#group96J21", "96J²¹"), =HYPERLINK("CSG16.html#group144B16", "144B¹⁶"), =HYPERLINK("CSG9.html#group48C9", "48C⁹"), =HYPERLINK("CSG22.html#group72K22", "72K²²"), =HYPERLINK("CSG17.html#group24T17", "24T¹⁷"), =HYPERLINK("CSG16.html#group36A16", "36A¹⁶"), =HYPERLINK("CSG4.html#group36Q4", "36Q⁴"), =HYPERLINK("CSG3.html#group12E3", "12E³"), =HYPERLINK("CSG19.html#group48C19", "48C¹⁹"), =HYPERLINK("CSG15.html#group48O15", "48O¹⁵"), =HYPERLINK("CSG23.html#group192B23", "192B²³"), =HYPERLINK("CSG22.html#group72L22", "72L²²"), =HYPERLINK("CSG23.html#group96B23", "96B²³"), =HYPERLINK("CSG17.html#group48I17", "48I¹⁷"), =HYPERLINK("CSG4.html#group24I4", "24I⁴"), =HYPERLINK("CSG17.html#group48V17", "48V¹⁷"), =HYPERLINK("CSG17.html#group48Z17", "48Z¹⁷"), =HYPERLINK("CSG9.html#group48Q9", "48Q⁹"), =HYPERLINK("CSG8.html#group72B8", "72B⁸"), =HYPERLINK("CSG15.html#group72F15", "72F¹⁵"), =HYPERLINK("CSG20.html#group168A20", "168A²⁰"), =HYPERLINK("CSG11.html#group96E11", "96E¹¹"), =HYPERLINK("CSG15.html#group120J15", "120J¹⁵"), =HYPERLINK("CSG15.html#group24H15", "24H¹⁵"), =HYPERLINK("CSG21.html#group96R21", "96R²¹"), =HYPERLINK("CSG15.html#group36D15", "36D¹⁵"), =HYPERLINK("CSG20.html#group168E20", "168E²⁰"), =HYPERLINK("CSG19.html#group24F19", "24F¹⁹"), =HYPERLINK("CSG17.html#group96S17", "96S¹⁷"), =HYPERLINK("CSG17.html#group96A17", "96A¹⁷"), =HYPERLINK("CSG13.html#group60R13", "60R¹³"), =HYPERLINK("CSG7.html#group48Y7", "48Y⁷"), =HYPERLINK("CSG21.html#group96T21", "96T²¹"), =HYPERLINK("CSG23.html#group192G23", "192G²³"), =HYPERLINK("CSG21.html#group96O21", "96O²¹"), =HYPERLINK("CSG15.html#group60B15", "60B¹⁵"), =HYPERLINK("CSG17.html#group48BP17", "48BP¹⁷"), =HYPERLINK("CSG15.html#group24B15", "24B¹⁵"), =HYPERLINK("CSG19.html#group24E19", "24E¹⁹"), =HYPERLINK("CSG2.html#group24D2", "24D²"), =HYPERLINK("CSG7.html#group12B7", "12B⁷"), =HYPERLINK("CSG21.html#group48AI21", "48AI²¹"), =HYPERLINK("CSG9.html#group24J9", "24J⁹"), =HYPERLINK("CSG17.html#group96J17", "96J¹⁷"), =HYPERLINK("CSG15.html#group72S15", "72S¹⁵"), =HYPERLINK("CSG16.html#group144G16", "144G¹⁶"), =HYPERLINK("CSG17.html#group24A17", "24A¹⁷"), =HYPERLINK("CSG20.html#group84E20", "84E²⁰"), =HYPERLINK("CSG15.html#group120E15", "120E¹⁵"), =HYPERLINK("CSG9.html#group24H9", "24H⁹"), =HYPERLINK("CSG17.html#group24B17", "24B¹⁷"), =HYPERLINK("CSG9.html#group12B9", "12B⁹"), =HYPERLINK("CSG8.html#group24B8", "24B⁸"), =HYPERLINK("CSG17.html#group96K17", "96K¹⁷"), =HYPERLINK("CSG19.html#group48L19", "48L¹⁹"), =HYPERLINK("CSG13.html#group12B13", "12B¹³"), =HYPERLINK("CSG20.html#group84L20", "84L²⁰"), =HYPERLINK("CSG10.html#group48B10", "48B¹⁰"), =HYPERLINK("CSG4.html#group48G4", "48G⁴"), =HYPERLINK("CSG17.html#group72E17", "72E¹⁷"), =HYPERLINK("CSG13.html#group24L13", "24L¹³"), =HYPERLINK("CSG17.html#group48BS17", "48BS¹⁷"), =HYPERLINK("CSG8.html#group96B8", "96B⁸"), =HYPERLINK("CSG23.html#group192L23", "192L²³"), =HYPERLINK("CSG15.html#group60D15", "60D¹⁵"), =HYPERLINK("CSG21.html#group48E21", "48E²¹"), =HYPERLINK("CSG9.html#group24T9", "24T⁹"), =HYPERLINK("CSG4.html#group24E4", "24E⁴"), =HYPERLINK("CSG13.html#group24P13", "24P¹³"), =HYPERLINK("CSG21.html#group96AS21", "96AS²¹")</f>
        <v/>
      </c>
    </row>
    <row r="168">
      <c r="A168" t="inlineStr">
        <is>
          <t>12C¹</t>
        </is>
      </c>
      <c r="B168" t="inlineStr"/>
      <c r="C168" t="inlineStr">
        <is>
          <t>18</t>
        </is>
      </c>
      <c r="D168" t="inlineStr">
        <is>
          <t>1</t>
        </is>
      </c>
      <c r="E168" t="inlineStr">
        <is>
          <t>9</t>
        </is>
      </c>
      <c r="F168" t="inlineStr">
        <is>
          <t>2</t>
        </is>
      </c>
      <c r="G168" t="inlineStr">
        <is>
          <t>0</t>
        </is>
      </c>
      <c r="H168" t="inlineStr">
        <is>
          <t>6¹, 12¹</t>
        </is>
      </c>
      <c r="I168" t="n">
        <v>2</v>
      </c>
      <c r="J168" t="inlineStr">
        <is>
          <t>1³, 2³</t>
        </is>
      </c>
      <c r="K168">
        <f>HYPERLINK("CSG0.html#group6D0", "6D⁰")</f>
        <v/>
      </c>
      <c r="L168">
        <f>HYPERLINK("CSG1.html#group12L1", "12L¹"), =HYPERLINK("CSG1.html#group12N1", "12N¹"), =HYPERLINK("CSG2.html#group12C2", "12C²"), =HYPERLINK("CSG2.html#group12D2", "12D²"), =HYPERLINK("CSG2.html#group12E2", "12E²"), =HYPERLINK("CSG3.html#group36E3", "36E³"), =HYPERLINK("CSG4.html#group36E4", "36E⁴"), =HYPERLINK("CSG7.html#group60B7", "60B⁷"), =HYPERLINK("CSG7.html#group60I7", "60I⁷"), =HYPERLINK("CSG9.html#group84C9", "84C⁹"), =HYPERLINK("CSG11.html#group84B11", "84B¹¹"), =HYPERLINK("CSG13.html#group60E13", "60E¹³"), =HYPERLINK("CSG15.html#group132D15", "132D¹⁵"), =HYPERLINK("CSG17.html#group132B17", "132B¹⁷"), =HYPERLINK("CSG19.html#group156B19", "156B¹⁹")</f>
        <v/>
      </c>
      <c r="M168">
        <f>HYPERLINK("CSG0.html#group3A0", "3A⁰"), =HYPERLINK("CSG0.html#group1A0", "1A⁰"), =HYPERLINK("CSG0.html#group2B0", "2B⁰"), =HYPERLINK("CSG0.html#group6D0", "6D⁰")</f>
        <v/>
      </c>
      <c r="N168">
        <f>HYPERLINK("CSG4.html#group24Q4", "24Q⁴"), =HYPERLINK("CSG21.html#group96Y21", "96Y²¹"), =HYPERLINK("CSG13.html#group72K13", "72K¹³"), =HYPERLINK("CSG19.html#group48BE19", "48BE¹⁹"), =HYPERLINK("CSG17.html#group48O17", "48O¹⁷"), =HYPERLINK("CSG9.html#group48M9", "48M⁹"), =HYPERLINK("CSG12.html#group36D12", "36D¹²"), =HYPERLINK("CSG17.html#group48AI17", "48AI¹⁷"), =HYPERLINK("CSG19.html#group24M19", "24M¹⁹"), =HYPERLINK("CSG17.html#group48AK17", "48AK¹⁷"), =HYPERLINK("CSG15.html#group24L15", "24L¹⁵"), =HYPERLINK("CSG3.html#group12G3", "12G³"), =HYPERLINK("CSG19.html#group84H19", "84H¹⁹"), =HYPERLINK("CSG9.html#group24O9", "24O⁹"), =HYPERLINK("CSG21.html#group96AU21", "96AU²¹"), =HYPERLINK("CSG17.html#group24AB17", "24AB¹⁷"), =HYPERLINK("CSG16.html#group36E16", "36E¹⁶"), =HYPERLINK("CSG17.html#group48U17", "48U¹⁷"), =HYPERLINK("CSG10.html#group36P10", "36P¹⁰"), =HYPERLINK("CSG15.html#group36B15", "36B¹⁵"), =HYPERLINK("CSG7.html#group24R7", "24R⁷"), =HYPERLINK("CSG19.html#group48Z19", "48Z¹⁹"), =HYPERLINK("CSG21.html#group96L21", "96L²¹"), =HYPERLINK("CSG19.html#group36R19", "36R¹⁹"), =HYPERLINK("CSG15.html#group24K15", "24K¹⁵"), =HYPERLINK("CSG17.html#group48AG17", "48AG¹⁷"), =HYPERLINK("CSG7.html#group36E7", "36E⁷"), =HYPERLINK("CSG19.html#group36U19", "36U¹⁹"), =HYPERLINK("CSG13.html#group24Q13", "24Q¹³"), =HYPERLINK("CSG19.html#group96S19", "96S¹⁹"), =HYPERLINK("CSG7.html#group36G7", "36G⁷"), =HYPERLINK("CSG17.html#group24AD17", "24AD¹⁷"), =HYPERLINK("CSG9.html#group48V9", "48V⁹"), =HYPERLINK("CSG15.html#group36N15", "36N¹⁵"), =HYPERLINK("CSG21.html#group48AD21", "48AD²¹"), =HYPERLINK("CSG7.html#group24V7", "24V⁷"), =HYPERLINK("CSG5.html#group36K5", "36K⁵"), =HYPERLINK("CSG17.html#group48M17", "48M¹⁷"), =HYPERLINK("CSG19.html#group48AL19", "48AL¹⁹"), =HYPERLINK("CSG13.html#group24U13", "24U¹³"), =HYPERLINK("CSG17.html#group48AH17", "48AH¹⁷"), =HYPERLINK("CSG17.html#group96W17", "96W¹⁷"), =HYPERLINK("CSG15.html#group36C15", "36C¹⁵"), =HYPERLINK("CSG19.html#group48I19", "48I¹⁹"), =HYPERLINK("CSG17.html#group48P17", "48P¹⁷"), =HYPERLINK("CSG19.html#group96AW19", "96AW¹⁹"), =HYPERLINK("CSG21.html#group48AB21", "48AB²¹"), =HYPERLINK("CSG21.html#group48BC21", "48BC²¹"), =HYPERLINK("CSG8.html#group36D8", "36D⁸"), =HYPERLINK("CSG13.html#group72J13", "72J¹³"), =HYPERLINK("CSG21.html#group48BW21", "48BW²¹"), =HYPERLINK("CSG21.html#group48B21", "48B²¹"), =HYPERLINK("CSG22.html#group180B22", "180B²²"), =HYPERLINK("CSG15.html#group24I15", "24I¹⁵"), =HYPERLINK("CSG20.html#group84D20", "84D²⁰"), =HYPERLINK("CSG13.html#group48AC13", "48AC¹³"), =HYPERLINK("CSG19.html#group48E19", "48E¹⁹"), =HYPERLINK("CSG9.html#group24I9", "24I⁹"), =HYPERLINK("CSG17.html#group48BJ17", "48BJ¹⁷"), =HYPERLINK("CSG15.html#group60M15", "60M¹⁵"), =HYPERLINK("CSG9.html#group24Z9", "24Z⁹"), =HYPERLINK("CSG17.html#group48BI17", "48BI¹⁷"), =HYPERLINK("CSG21.html#group48BQ21", "48BQ²¹"), =HYPERLINK("CSG15.html#group72V15", "72V¹⁵"), =HYPERLINK("CSG17.html#group48AD17", "48AD¹⁷"), =HYPERLINK("CSG23.html#group96Z23", "96Z²³"), =HYPERLINK("CSG20.html#group84H20", "84H²⁰"), =HYPERLINK("CSG21.html#group48AV21", "48AV²¹"), =HYPERLINK("CSG21.html#group48BE21", "48BE²¹"), =HYPERLINK("CSG17.html#group24AA17", "24AA¹⁷"), =HYPERLINK("CSG7.html#group12E7", "12E⁷"), =HYPERLINK("CSG19.html#group48BG19", "48BG¹⁹"), =HYPERLINK("CSG11.html#group48E11", "48E¹¹"), =HYPERLINK("CSG19.html#group24B19", "24B¹⁹"), =HYPERLINK("CSG21.html#group96AE21", "96AE²¹"), =HYPERLINK("CSG21.html#group96AV21", "96AV²¹"), =HYPERLINK("CSG19.html#group48P19", "48P¹⁹"), =HYPERLINK("CSG21.html#group48AF21", "48AF²¹"), =HYPERLINK("CSG11.html#group48P11", "48P¹¹"), =HYPERLINK("CSG19.html#group48AW19", "48AW¹⁹"), =HYPERLINK("CSG22.html#group36A22", "36A²²"), =HYPERLINK("CSG13.html#group12A13", "12A¹³"), =HYPERLINK("CSG7.html#group60I7", "60I⁷"), =HYPERLINK("CSG14.html#group72K14", "72K¹⁴"), =HYPERLINK("CSG5.html#group12C5", "12C⁵"), =HYPERLINK("CSG21.html#group84D21", "84D²¹"), =HYPERLINK("CSG23.html#group36A23", "36A²³"), =HYPERLINK("CSG23.html#group96T23", "96T²³"), =HYPERLINK("CSG15.html#group24D15", "24D¹⁵"), =HYPERLINK("CSG19.html#group24O19", "24O¹⁹"), =HYPERLINK("CSG17.html#group24D17", "24D¹⁷"), =HYPERLINK("CSG21.html#group48G21", "48G²¹"), =HYPERLINK("CSG12.html#group72H12", "72H¹²"), =HYPERLINK("CSG18.html#group84H18", "84H¹⁸"), =HYPERLINK("CSG21.html#group48M21", "48M²¹"), =HYPERLINK("CSG11.html#group36L11", "36L¹¹"), =HYPERLINK("CSG21.html#group36E21", "36E²¹"), =HYPERLINK("CSG17.html#group24U17", "24U¹⁷"), =HYPERLINK("CSG7.html#group24O7", "24O⁷"), =HYPERLINK("CSG18.html#group84E18", "84E¹⁸"), =HYPERLINK("CSG7.html#group24N7", "24N⁷"), =HYPERLINK("CSG15.html#group60F15", "60F¹⁵"), =HYPERLINK("CSG19.html#group48AF19", "48AF¹⁹"), =HYPERLINK("CSG5.html#group36H5", "36H⁵"), =HYPERLINK("CSG22.html#group36C22", "36C²²"), =HYPERLINK("CSG17.html#group96Q17", "96Q¹⁷"), =HYPERLINK("CSG23.html#group96Y23", "96Y²³"), =HYPERLINK("CSG23.html#group180N23", "180N²³"), =HYPERLINK("CSG17.html#group48AX17", "48AX¹⁷"), =HYPERLINK("CSG21.html#group48N21", "48N²¹"), =HYPERLINK("CSG9.html#group48AA9", "48AA⁹"), =HYPERLINK("CSG21.html#group84F21", "84F²¹"), =HYPERLINK("CSG15.html#group132D15", "132D¹⁵"), =HYPERLINK("CSG5.html#group24T5", "24T⁵"), =HYPERLINK("CSG8.html#group24F8", "24F⁸"), =HYPERLINK("CSG21.html#group48K21", "48K²¹"), =HYPERLINK("CSG19.html#group24C19", "24C¹⁹"), =HYPERLINK("CSG15.html#group72I15", "72I¹⁵"), =HYPERLINK("CSG21.html#group84H21", "84H²¹"), =HYPERLINK("CSG17.html#group48AZ17", "48AZ¹⁷"), =HYPERLINK("CSG15.html#group24E15", "24E¹⁵"), =HYPERLINK("CSG14.html#group60D14", "60D¹⁴"), =HYPERLINK("CSG9.html#group24N9", "24N⁹"), =HYPERLINK("CSG19.html#group48H19", "48H¹⁹"), =HYPERLINK("CSG17.html#group48AR17", "48AR¹⁷"), =HYPERLINK("CSG17.html#group48W17", "48W¹⁷"), =HYPERLINK("CSG16.html#group72R16", "72R¹⁶"), =HYPERLINK("CSG17.html#group132B17", "132B¹⁷"), =HYPERLINK("CSG21.html#group84B21", "84B²¹"), =HYPERLINK("CSG21.html#group96AN21", "96AN²¹"), =HYPERLINK("CSG13.html#group60E13", "60E¹³"), =HYPERLINK("CSG21.html#group48R21", "48R²¹"), =HYPERLINK("CSG17.html#group24AJ17", "24AJ¹⁷"), =HYPERLINK("CSG21.html#group36D21", "36D²¹"), =HYPERLINK("CSG3.html#group24O3", "24O³"), =HYPERLINK("CSG19.html#group48AA19", "48AA¹⁹"), =HYPERLINK("CSG15.html#group24C15", "24C¹⁵"), =HYPERLINK("CSG13.html#group60W13", "60W¹³"), =HYPERLINK("CSG23.html#group36B23", "36B²³"), =HYPERLINK("CSG11.html#group36I11", "36I¹¹"), =HYPERLINK("CSG21.html#group96AO21", "96AO²¹"), =HYPERLINK("CSG17.html#group24Z17", "24Z¹⁷"), =HYPERLINK("CSG17.html#group48AC17", "48AC¹⁷"), =HYPERLINK("CSG18.html#group84G18", "84G¹⁸"), =HYPERLINK("CSG19.html#group36S19", "36S¹⁹"), =HYPERLINK("CSG9.html#group24A9", "24A⁹"), =HYPERLINK("CSG21.html#group48Y21", "48Y²¹"), =HYPERLINK("CSG15.html#group48E15", "48E¹⁵"), =HYPERLINK("CSG17.html#group48AE17", "48AE¹⁷"), =HYPERLINK("CSG17.html#group24P17", "24P¹⁷"), =HYPERLINK("CSG19.html#group24K19", "24K¹⁹"), =HYPERLINK("CSG10.html#group48E10", "48E¹⁰"), =HYPERLINK("CSG17.html#group24AC17", "24AC¹⁷"), =HYPERLINK("CSG11.html#group84B11", "84B¹¹"), =HYPERLINK("CSG15.html#group24A15", "24A¹⁵"), =HYPERLINK("CSG11.html#group72N11", "72N¹¹"), =HYPERLINK("CSG17.html#group24AG17", "24AG¹⁷"), =HYPERLINK("CSG15.html#group48K15", "48K¹⁵"), =HYPERLINK("CSG21.html#group48AC21", "48AC²¹"), =HYPERLINK("CSG13.html#group24Y13", "24Y¹³"), =HYPERLINK("CSG19.html#group48K19", "48K¹⁹"), =HYPERLINK("CSG17.html#group24G17", "24G¹⁷"), =HYPERLINK("CSG4.html#group24J4", "24J⁴"), =HYPERLINK("CSG17.html#group24Q17", "24Q¹⁷"), =HYPERLINK("CSG13.html#group36D13", "36D¹³"), =HYPERLINK("CSG16.html#group72J16", "72J¹⁶"), =HYPERLINK("CSG15.html#group72H15", "72H¹⁵"), =HYPERLINK("CSG1.html#group12L1", "12L¹"), =HYPERLINK("CSG19.html#group48AH19", "48AH¹⁹"), =HYPERLINK("CSG9.html#group24R9", "24R⁹"), =HYPERLINK("CSG21.html#group72AA21", "72AA²¹"), =HYPERLINK("CSG15.html#group24J15", "24J¹⁵"), =HYPERLINK("CSG23.html#group36D23", "36D²³"), =HYPERLINK("CSG21.html#group48BG21", "48BG²¹"), =HYPERLINK("CSG17.html#group48AF17", "48AF¹⁷"), =HYPERLINK("CSG23.html#group144X23", "144X²³"), =HYPERLINK("CSG17.html#group96V17", "96V¹⁷"), =HYPERLINK("CSG9.html#group24V9", "24V⁹"), =HYPERLINK("CSG11.html#group36G11", "36G¹¹"), =HYPERLINK("CSG19.html#group36T19", "36T¹⁹"), =HYPERLINK("CSG17.html#group24Y17", "24Y¹⁷"), =HYPERLINK("CSG19.html#group24Q19", "24Q¹⁹"), =HYPERLINK("CSG9.html#group24E9", "24E⁹"), =HYPERLINK("CSG17.html#group96T17", "96T¹⁷"), =HYPERLINK("CSG14.html#group60E14", "60E¹⁴"), =HYPERLINK("CSG3.html#group36E3", "36E³"), =HYPERLINK("CSG5.html#group12B5", "12B⁵"), =HYPERLINK("CSG17.html#group72I17", "72I¹⁷"), =HYPERLINK("CSG2.html#group12D2", "12D²"), =HYPERLINK("CSG19.html#group84E19", "84E¹⁹"), =HYPERLINK("CSG9.html#group24G9", "24G⁹"), =HYPERLINK("CSG9.html#group84C9", "84C⁹"), =HYPERLINK("CSG11.html#group48H11", "48H¹¹"), =HYPERLINK("CSG19.html#group36N19", "36N¹⁹"), =HYPERLINK("CSG11.html#group12A11", "12A¹¹"), =HYPERLINK("CSG7.html#group48M7", "48M⁷"), =HYPERLINK("CSG21.html#group48P21", "48P²¹"), =HYPERLINK("CSG17.html#group96P17", "96P¹⁷"), =HYPERLINK("CSG11.html#group36M11", "36M¹¹"), =HYPERLINK("CSG7.html#group24I7", "24I⁷"), =HYPERLINK("CSG11.html#group36N11", "36N¹¹"), =HYPERLINK("CSG17.html#group24V17", "24V¹⁷"), =HYPERLINK("CSG19.html#group48X19", "48X¹⁹"), =HYPERLINK("CSG7.html#group24Z7", "24Z⁷"), =HYPERLINK("CSG5.html#group12D5", "12D⁵"), =HYPERLINK("CSG17.html#group48AL17", "48AL¹⁷"), =HYPERLINK("CSG19.html#group24N19", "24N¹⁹"), =HYPERLINK("CSG7.html#group48Z7", "48Z⁷"), =HYPERLINK("CSG17.html#group48F17", "48F¹⁷"), =HYPERLINK("CSG17.html#group72A17", "72A¹⁷"), =HYPERLINK("CSG17.html#group24S17", "24S¹⁷"), =HYPERLINK("CSG21.html#group48W21", "48W²¹"), =HYPERLINK("CSG8.html#group36A8", "36A⁸"), =HYPERLINK("CSG13.html#group60Y13", "60Y¹³"), =HYPERLINK("CSG17.html#group48X17", "48X¹⁷"), =HYPERLINK("CSG19.html#group96O19", "96O¹⁹"), =HYPERLINK("CSG16.html#group72C16", "72C¹⁶"), =HYPERLINK("CSG21.html#group84E21", "84E²¹"), =HYPERLINK("CSG23.html#group72I23", "72I²³"), =HYPERLINK("CSG7.html#group48AA7", "48AA⁷"), =HYPERLINK("CSG23.html#group36C23", "36C²³"), =HYPERLINK("CSG7.html#group24H7", "24H⁷"), =HYPERLINK("CSG7.html#group24Y7", "24Y⁷"), =HYPERLINK("CSG19.html#group48AM19", "48AM¹⁹"), =HYPERLINK("CSG20.html#group84G20", "84G²⁰"), =HYPERLINK("CSG17.html#group48E17", "48E¹⁷"), =HYPERLINK("CSG21.html#group96AA21", "96AA²¹"), =HYPERLINK("CSG5.html#group36I5", "36I⁵"), =HYPERLINK("CSG7.html#group24Q7", "24Q⁷"), =HYPERLINK("CSG7.html#group24M7", "24M⁷"), =HYPERLINK("CSG8.html#group36C8", "36C⁸"), =HYPERLINK("CSG19.html#group96AJ19", "96AJ¹⁹"), =HYPERLINK("CSG3.html#group12F3", "12F³"), =HYPERLINK("CSG13.html#group24R13", "24R¹³"), =HYPERLINK("CSG2.html#group12E2", "12E²"), =HYPERLINK("CSG21.html#group96AG21", "96AG²¹"), =HYPERLINK("CSG17.html#group84M17", "84M¹⁷"), =HYPERLINK("CSG21.html#group48H21", "48H²¹"), =HYPERLINK("CSG17.html#group24I17", "24I¹⁷"), =HYPERLINK("CSG17.html#group48G17", "48G¹⁷"), =HYPERLINK("CSG13.html#group72H13", "72H¹³"), =HYPERLINK("CSG21.html#group48O21", "48O²¹"), =HYPERLINK("CSG23.html#group144W23", "144W²³"), =HYPERLINK("CSG21.html#group48A21", "48A²¹"), =HYPERLINK("CSG9.html#group48S9", "48S⁹"), =HYPERLINK("CSG23.html#group96S23", "96S²³"), =HYPERLINK("CSG8.html#group24J8", "24J⁸"), =HYPERLINK("CSG21.html#group48AN21", "48AN²¹"), =HYPERLINK("CSG9.html#group24L9", "24L⁹"), =HYPERLINK("CSG13.html#group24O13", "24O¹³"), =HYPERLINK("CSG17.html#group24K17", "24K¹⁷"), =HYPERLINK("CSG17.html#group48Q17", "48Q¹⁷"), =HYPERLINK("CSG9.html#group24P9", "24P⁹"), =HYPERLINK("CSG15.html#group48F15", "48F¹⁵"), =HYPERLINK("CSG17.html#group48R17", "48R¹⁷"), =HYPERLINK("CSG21.html#group48X21", "48X²¹"), =HYPERLINK("CSG17.html#group48BL17", "48BL¹⁷"), =HYPERLINK("CSG15.html#group24N15", "24N¹⁵"), =HYPERLINK("CSG9.html#group36O9", "36O⁹"), =HYPERLINK("CSG17.html#group24J17", "24J¹⁷"), =HYPERLINK("CSG21.html#group96AF21", "96AF²¹"), =HYPERLINK("CSG13.html#group24K13", "24K¹³"), =HYPERLINK("CSG19.html#group84F19", "84F¹⁹"), =HYPERLINK("CSG18.html#group84C18", "84C¹⁸"), =HYPERLINK("CSG7.html#group36F7", "36F⁷"), =HYPERLINK("CSG9.html#group36P9", "36P⁹"), =HYPERLINK("CSG13.html#group36P13", "36P¹³"), =HYPERLINK("CSG19.html#group48F19", "48F¹⁹"), =HYPERLINK("CSG19.html#group48BD19", "48BD¹⁹"), =HYPERLINK("CSG16.html#group36C16", "36C¹⁶"), =HYPERLINK("CSG15.html#group60E15", "60E¹⁵"), =HYPERLINK("CSG8.html#group36F8", "36F⁸"), =HYPERLINK("CSG22.html#group36D22", "36D²²"), =HYPERLINK("CSG13.html#group60AF13", "60AF¹³"), =HYPERLINK("CSG16.html#group72D16", "72D¹⁶"), =HYPERLINK("CSG8.html#group36E8", "36E⁸"), =HYPERLINK("CSG17.html#group96U17", "96U¹⁷"), =HYPERLINK("CSG21.html#group96K21", "96K²¹"), =HYPERLINK("CSG13.html#group24S13", "24S¹³"), =HYPERLINK("CSG17.html#group24X17", "24X¹⁷"), =HYPERLINK("CSG7.html#group24X7", "24X⁷"), =HYPERLINK("CSG4.html#group36E4", "36E⁴"), =HYPERLINK("CSG15.html#group36A15", "36A¹⁵"), =HYPERLINK("CSG11.html#group24N11", "24N¹¹"), =HYPERLINK("CSG4.html#group12B4", "12B⁴"), =HYPERLINK("CSG1.html#group12N1", "12N¹"), =HYPERLINK("CSG21.html#group48S21", "48S²¹"), =HYPERLINK("CSG19.html#group96I19", "96I¹⁹"), =HYPERLINK("CSG17.html#group48AJ17", "48AJ¹⁷"), =HYPERLINK("CSG15.html#group24F15", "24F¹⁵"), =HYPERLINK("CSG21.html#group48AU21", "48AU²¹"), =HYPERLINK("CSG8.html#group48L8", "48L⁸"), =HYPERLINK("CSG16.html#group72K16", "72K¹⁶"), =HYPERLINK("CSG3.html#group24N3", "24N³"), =HYPERLINK("CSG17.html#group72J17", "72J¹⁷"), =HYPERLINK("CSG21.html#group96AP21", "96AP²¹"), =HYPERLINK("CSG12.html#group36C12", "36C¹²"), =HYPERLINK("CSG21.html#group48BT21", "48BT²¹"), =HYPERLINK("CSG17.html#group24AH17", "24AH¹⁷"), =HYPERLINK("CSG21.html#group180B21", "180B²¹"), =HYPERLINK("CSG9.html#group48W9", "48W⁹"), =HYPERLINK("CSG17.html#group48AV17", "48AV¹⁷"), =HYPERLINK("CSG17.html#group84H17", "84H¹⁷"), =HYPERLINK("CSG7.html#group24S7", "24S⁷"), =HYPERLINK("CSG7.html#group24P7", "24P⁷"), =HYPERLINK("CSG17.html#group48AW17", "48AW¹⁷"), =HYPERLINK("CSG9.html#group48J9", "48J⁹"), =HYPERLINK("CSG7.html#group60B7", "60B⁷"), =HYPERLINK("CSG17.html#group24H17", "24H¹⁷"), =HYPERLINK("CSG9.html#group48I9", "48I⁹"), =HYPERLINK("CSG17.html#group24N17", "24N¹⁷"), =HYPERLINK("CSG7.html#group24W7", "24W⁷"), =HYPERLINK("CSG17.html#group24O17", "24O¹⁷"), =HYPERLINK("CSG19.html#group24J19", "24J¹⁹"), =HYPERLINK("CSG19.html#group48W19", "48W¹⁹"), =HYPERLINK("CSG15.html#group72O15", "72O¹⁵"), =HYPERLINK("CSG17.html#group24AF17", "24AF¹⁷"), =HYPERLINK("CSG13.html#group60AC13", "60AC¹³"), =HYPERLINK("CSG16.html#group36B16", "36B¹⁶"), =HYPERLINK("CSG7.html#group12D7", "12D⁷"), =HYPERLINK("CSG22.html#group36I22", "36I²²"), =HYPERLINK("CSG15.html#group48R15", "48R¹⁵"), =HYPERLINK("CSG22.html#group36H22", "36H²²"), =HYPERLINK("CSG13.html#group72G13", "72G¹³"), =HYPERLINK("CSG7.html#group12C7", "12C⁷"), =HYPERLINK("CSG4.html#group12C4", "12C⁴"), =HYPERLINK("CSG21.html#group48AP21", "48AP²¹"), =HYPERLINK("CSG2.html#group12C2", "12C²"), =HYPERLINK("CSG21.html#group48AG21", "48AG²¹"), =HYPERLINK("CSG17.html#group24C17", "24C¹⁷"), =HYPERLINK("CSG21.html#group48AO21", "48AO²¹"), =HYPERLINK("CSG1.html#group12T1", "12T¹"), =HYPERLINK("CSG13.html#group60H13", "60H¹³"), =HYPERLINK("CSG15.html#group36K15", "36K¹⁵"), =HYPERLINK("CSG9.html#group24F9", "24F⁹"), =HYPERLINK("CSG7.html#group24AA7", "24AA⁷"), =HYPERLINK("CSG17.html#group48BM17", "48BM¹⁷"), =HYPERLINK("CSG19.html#group96G19", "96G¹⁹"), =HYPERLINK("CSG15.html#group36I15", "36I¹⁵"), =HYPERLINK("CSG19.html#group48AI19", "48AI¹⁹"), =HYPERLINK("CSG15.html#group36M15", "36M¹⁵"), =HYPERLINK("CSG7.html#group24J7", "24J⁷"), =HYPERLINK("CSG19.html#group84I19", "84I¹⁹"), =HYPERLINK("CSG17.html#group84N17", "84N¹⁷"), =HYPERLINK("CSG17.html#group48BT17", "48BT¹⁷"), =HYPERLINK("CSG8.html#group36G8", "36G⁸"), =HYPERLINK("CSG8.html#group24I8", "24I⁸"), =HYPERLINK("CSG17.html#group24L17", "24L¹⁷"), =HYPERLINK("CSG17.html#group24AI17", "24AI¹⁷"), =HYPERLINK("CSG23.html#group72J23", "72J²³"), =HYPERLINK("CSG15.html#group24G15", "24G¹⁵"), =HYPERLINK("CSG21.html#group48AZ21", "48AZ²¹"), =HYPERLINK("CSG21.html#group96AQ21", "96AQ²¹"), =HYPERLINK("CSG13.html#group24J13", "24J¹³"), =HYPERLINK("CSG9.html#group24Y9", "24Y⁹"), =HYPERLINK("CSG8.html#group48M8", "48M⁸"), =HYPERLINK("CSG8.html#group24E8", "24E⁸"), =HYPERLINK("CSG9.html#group48G9", "48G⁹"), =HYPERLINK("CSG9.html#group48F9", "48F⁹"), =HYPERLINK("CSG15.html#group36J15", "36J¹⁵"), =HYPERLINK("CSG14.html#group60C14", "60C¹⁴"), =HYPERLINK("CSG13.html#group24T13", "24T¹³"), =HYPERLINK("CSG21.html#group48Z21", "48Z²¹"), =HYPERLINK("CSG21.html#group96AH21", "96AH²¹"), =HYPERLINK("CSG16.html#group72S16", "72S¹⁶"), =HYPERLINK("CSG17.html#group48K17", "48K¹⁷"), =HYPERLINK("CSG9.html#group24B9", "24B⁹"), =HYPERLINK("CSG19.html#group48AG19", "48AG¹⁹"), =HYPERLINK("CSG21.html#group48BD21", "48BD²¹"), =HYPERLINK("CSG3.html#group12J3", "12J³"), =HYPERLINK("CSG12.html#group72I12", "72I¹²"), =HYPERLINK("CSG3.html#group12D3", "12D³"), =HYPERLINK("CSG15.html#group72N15", "72N¹⁵"), =HYPERLINK("CSG3.html#group12I3", "12I³"), =HYPERLINK("CSG9.html#group48H9", "48H⁹"), =HYPERLINK("CSG17.html#group24T17", "24T¹⁷"), =HYPERLINK("CSG5.html#group24C5", "24C⁵"), =HYPERLINK("CSG3.html#group12P3", "12P³"), =HYPERLINK("CSG21.html#group48D21", "48D²¹"), =HYPERLINK("CSG19.html#group48V19", "48V¹⁹"), =HYPERLINK("CSG21.html#group48BA21", "48BA²¹"), =HYPERLINK("CSG3.html#group12E3", "12E³"), =HYPERLINK("CSG17.html#group48L17", "48L¹⁷"), =HYPERLINK("CSG21.html#group36C21", "36C²¹"), =HYPERLINK("CSG4.html#group24I4", "24I⁴"), =HYPERLINK("CSG17.html#group48V17", "48V¹⁷"), =HYPERLINK("CSG10.html#group24D10", "24D¹⁰"), =HYPERLINK("CSG19.html#group96AI19", "96AI¹⁹"), =HYPERLINK("CSG17.html#group48N17", "48N¹⁷"), =HYPERLINK("CSG9.html#group48Z9", "48Z⁹"), =HYPERLINK("CSG13.html#group60D13", "60D¹³"), =HYPERLINK("CSG13.html#group36H13", "36H¹³"), =HYPERLINK("CSG3.html#group24I3", "24I³"), =HYPERLINK("CSG19.html#group60I19", "60I¹⁹"), =HYPERLINK("CSG15.html#group60N15", "60N¹⁵"), =HYPERLINK("CSG15.html#group24H15", "24H¹⁵"), =HYPERLINK("CSG15.html#group36D15", "36D¹⁵"), =HYPERLINK("CSG17.html#group72B17", "72B¹⁷"), =HYPERLINK("CSG15.html#group72U15", "72U¹⁵"), =HYPERLINK("CSG5.html#group24E5", "24E⁵"), =HYPERLINK("CSG11.html#group72M11", "72M¹¹"), =HYPERLINK("CSG21.html#group96AM21", "96AM²¹"), =HYPERLINK("CSG21.html#group96T21", "96T²¹"), =HYPERLINK("CSG15.html#group60J15", "60J¹⁵"), =HYPERLINK("CSG21.html#group96O21", "96O²¹"), =HYPERLINK("CSG19.html#group48J19", "48J¹⁹"), =HYPERLINK("CSG21.html#group48C21", "48C²¹"), =HYPERLINK("CSG3.html#group24H3", "24H³"), =HYPERLINK("CSG17.html#group24M17", "24M¹⁷"), =HYPERLINK("CSG15.html#group24B15", "24B¹⁵"), =HYPERLINK("CSG22.html#group36E22", "36E²²"), =HYPERLINK("CSG5.html#group24U5", "24U⁵"), =HYPERLINK("CSG7.html#group12B7", "12B⁷"), =HYPERLINK("CSG5.html#group24S5", "24S⁵"), =HYPERLINK("CSG9.html#group24J9", "24J⁹"), =HYPERLINK("CSG17.html#group24A17", "24A¹⁷"), =HYPERLINK("CSG17.html#group24E17", "24E¹⁷"), =HYPERLINK("CSG15.html#group24U15", "24U¹⁵"), =HYPERLINK("CSG17.html#group48AY17", "48AY¹⁷"), =HYPERLINK("CSG9.html#group48R9", "48R⁹"), =HYPERLINK("CSG19.html#group156B19", "156B¹⁹"), =HYPERLINK("CSG15.html#group48G15", "48G¹⁵"), =HYPERLINK("CSG13.html#group36I13", "36I¹³"), =HYPERLINK("CSG19.html#group48BC19", "48BC¹⁹"), =HYPERLINK("CSG9.html#group12B9", "12B⁹"), =HYPERLINK("CSG13.html#group12B13", "12B¹³"), =HYPERLINK("CSG19.html#group48BB19", "48BB¹⁹"), =HYPERLINK("CSG19.html#group48L19", "48L¹⁹"), =HYPERLINK("CSG13.html#group48AD13", "48AD¹³"), =HYPERLINK("CSG6.html#group36D6", "36D⁶"), =HYPERLINK("CSG22.html#group36J22", "36J²²"), =HYPERLINK("CSG17.html#group48BS17", "48BS¹⁷"), =HYPERLINK("CSG23.html#group72K23", "72K²³"), =HYPERLINK("CSG21.html#group48BB21", "48BB²¹"), =HYPERLINK("CSG7.html#group48N7", "48N⁷"), =HYPERLINK("CSG13.html#group24W13", "24W¹³"), =HYPERLINK("CSG17.html#group48BK17", "48BK¹⁷"), =HYPERLINK("CSG13.html#group48X13", "48X¹³"), =HYPERLINK("CSG17.html#group24AE17", "24AE¹⁷"), =HYPERLINK("CSG9.html#group24K9", "24K⁹"), =HYPERLINK("CSG21.html#group48BY21", "48BY²¹"), =HYPERLINK("CSG13.html#group24P13", "24P¹³"), =HYPERLINK("CSG13.html#group60V13", "60V¹³"), =HYPERLINK("CSG11.html#group48S11", "48S¹¹"), =HYPERLINK("CSG15.html#group60O15", "60O¹⁵"), =HYPERLINK("CSG15.html#group24M15", "24M¹⁵")</f>
        <v/>
      </c>
    </row>
    <row r="169">
      <c r="A169" t="inlineStr">
        <is>
          <t>12D¹</t>
        </is>
      </c>
      <c r="B169" t="inlineStr"/>
      <c r="C169" t="inlineStr">
        <is>
          <t>24</t>
        </is>
      </c>
      <c r="D169" t="inlineStr">
        <is>
          <t>1</t>
        </is>
      </c>
      <c r="E169" t="inlineStr">
        <is>
          <t>6</t>
        </is>
      </c>
      <c r="F169" t="inlineStr">
        <is>
          <t>4</t>
        </is>
      </c>
      <c r="G169" t="inlineStr">
        <is>
          <t>0</t>
        </is>
      </c>
      <c r="H169" t="inlineStr">
        <is>
          <t>12²</t>
        </is>
      </c>
      <c r="I169" t="n">
        <v>2</v>
      </c>
      <c r="J169" t="inlineStr">
        <is>
          <t>2¹, 4¹</t>
        </is>
      </c>
      <c r="K169">
        <f>HYPERLINK("CSG0.html#group6E0", "6E⁰")</f>
        <v/>
      </c>
      <c r="L169">
        <f>HYPERLINK("CSG3.html#group12A3", "12A³"), =HYPERLINK("CSG3.html#group12H3", "12H³"), =HYPERLINK("CSG3.html#group12M3", "12M³"), =HYPERLINK("CSG3.html#group36F3", "36F³"), =HYPERLINK("CSG4.html#group36H4", "36H⁴"), =HYPERLINK("CSG4.html#group36I4", "36I⁴"), =HYPERLINK("CSG4.html#group36J4", "36J⁴"), =HYPERLINK("CSG4.html#group36K4", "36K⁴"), =HYPERLINK("CSG5.html#group36C5", "36C⁵"), =HYPERLINK("CSG5.html#group36D5", "36D⁵"), =HYPERLINK("CSG9.html#group60A9", "60A⁹"), =HYPERLINK("CSG9.html#group60F9", "60F⁹"), =HYPERLINK("CSG11.html#group84F11", "84F¹¹"), =HYPERLINK("CSG15.html#group84D15", "84D¹⁵"), =HYPERLINK("CSG17.html#group60D17", "60D¹⁷"), =HYPERLINK("CSG19.html#group132A19", "132A¹⁹"), =HYPERLINK("CSG23.html#group132D23", "132D²³")</f>
        <v/>
      </c>
      <c r="M169">
        <f>HYPERLINK("CSG0.html#group3C0", "3C⁰"), =HYPERLINK("CSG0.html#group6B0", "6B⁰"), =HYPERLINK("CSG0.html#group3A0", "3A⁰"), =HYPERLINK("CSG0.html#group6E0", "6E⁰"), =HYPERLINK("CSG0.html#group1A0", "1A⁰")</f>
        <v/>
      </c>
      <c r="N169">
        <f>HYPERLINK("CSG4.html#group36K4", "36K⁴"), =HYPERLINK("CSG9.html#group36A9", "36A⁹"), =HYPERLINK("CSG13.html#group36E13", "36E¹³"), =HYPERLINK("CSG15.html#group36P15", "36P¹⁵"), =HYPERLINK("CSG17.html#group24X17", "24X¹⁷"), =HYPERLINK("CSG7.html#group12E7", "12E⁷"), =HYPERLINK("CSG13.html#group36G13", "36G¹³"), =HYPERLINK("CSG15.html#group36G15", "36G¹⁵"), =HYPERLINK("CSG23.html#group36B23", "36B²³"), =HYPERLINK("CSG11.html#group12A11", "12A¹¹"), =HYPERLINK("CSG9.html#group12A9", "12A⁹"), =HYPERLINK("CSG15.html#group36E15", "36E¹⁵"), =HYPERLINK("CSG5.html#group12C5", "12C⁵"), =HYPERLINK("CSG17.html#group24M17", "24M¹⁷"), =HYPERLINK("CSG23.html#group132D23", "132D²³"), =HYPERLINK("CSG15.html#group24K15", "24K¹⁵"), =HYPERLINK("CSG17.html#group60N17", "60N¹⁷"), =HYPERLINK("CSG3.html#group12M3", "12M³"), =HYPERLINK("CSG3.html#group36F3", "36F³"), =HYPERLINK("CSG15.html#group36L15", "36L¹⁵"), =HYPERLINK("CSG13.html#group36Q13", "36Q¹³"), =HYPERLINK("CSG13.html#group24Q13", "24Q¹³"), =HYPERLINK("CSG3.html#group12H3", "12H³"), =HYPERLINK("CSG10.html#group36C10", "36C¹⁰"), =HYPERLINK("CSG4.html#group36J4", "36J⁴"), =HYPERLINK("CSG15.html#group84D15", "84D¹⁵"), =HYPERLINK("CSG13.html#group36F13", "36F¹³"), =HYPERLINK("CSG4.html#group36I4", "36I⁴"), =HYPERLINK("CSG15.html#group36H15", "36H¹⁵"), =HYPERLINK("CSG21.html#group60B21", "60B²¹"), =HYPERLINK("CSG15.html#group36S15", "36S¹⁵"), =HYPERLINK("CSG3.html#group12A3", "12A³"), =HYPERLINK("CSG19.html#group36L19", "36L¹⁹"), =HYPERLINK("CSG21.html#group24K21", "24K²¹"), =HYPERLINK("CSG9.html#group60F9", "60F⁹"), =HYPERLINK("CSG13.html#group36L13", "36L¹³"), =HYPERLINK("CSG9.html#group60A9", "60A⁹"), =HYPERLINK("CSG13.html#group12B13", "12B¹³"), =HYPERLINK("CSG4.html#group36H4", "36H⁴"), =HYPERLINK("CSG9.html#group36E9", "36E⁹"), =HYPERLINK("CSG17.html#group60D17", "60D¹⁷"), =HYPERLINK("CSG11.html#group36A11", "36A¹¹"), =HYPERLINK("CSG15.html#group36O15", "36O¹⁵"), =HYPERLINK("CSG21.html#group60G21", "60G²¹"), =HYPERLINK("CSG5.html#group36C5", "36C⁵"), =HYPERLINK("CSG12.html#group36B12", "36B¹²"), =HYPERLINK("CSG12.html#group36A12", "36A¹²"), =HYPERLINK("CSG7.html#group12A7", "12A⁷"), =HYPERLINK("CSG11.html#group84F11", "84F¹¹"), =HYPERLINK("CSG11.html#group24K11", "24K¹¹"), =HYPERLINK("CSG19.html#group132A19", "132A¹⁹"), =HYPERLINK("CSG23.html#group84A23", "84A²³"), =HYPERLINK("CSG5.html#group36D5", "36D⁵"), =HYPERLINK("CSG10.html#group36F10", "36F¹⁰"), =HYPERLINK("CSG13.html#group36M13", "36M¹³"), =HYPERLINK("CSG19.html#group60A19", "60A¹⁹"), =HYPERLINK("CSG15.html#group36T15", "36T¹⁵"), =HYPERLINK("CSG15.html#group36Q15", "36Q¹⁵"), =HYPERLINK("CSG23.html#group36C23", "36C²³"), =HYPERLINK("CSG19.html#group36K19", "36K¹⁹"), =HYPERLINK("CSG11.html#group36B11", "36B¹¹"), =HYPERLINK("CSG15.html#group36R15", "36R¹⁵"), =HYPERLINK("CSG13.html#group36O13", "36O¹³")</f>
        <v/>
      </c>
    </row>
    <row r="170">
      <c r="A170" t="inlineStr">
        <is>
          <t>12E¹</t>
        </is>
      </c>
      <c r="B170" t="inlineStr"/>
      <c r="C170" t="inlineStr">
        <is>
          <t>24</t>
        </is>
      </c>
      <c r="D170" t="inlineStr">
        <is>
          <t>1</t>
        </is>
      </c>
      <c r="E170" t="inlineStr">
        <is>
          <t>8</t>
        </is>
      </c>
      <c r="F170" t="inlineStr">
        <is>
          <t>0</t>
        </is>
      </c>
      <c r="G170" t="inlineStr">
        <is>
          <t>3</t>
        </is>
      </c>
      <c r="H170" t="inlineStr">
        <is>
          <t>12²</t>
        </is>
      </c>
      <c r="I170" t="n">
        <v>2</v>
      </c>
      <c r="J170" t="inlineStr">
        <is>
          <t>4²</t>
        </is>
      </c>
      <c r="K170">
        <f>HYPERLINK("CSG0.html#group4D0", "4D⁰"), =HYPERLINK("CSG0.html#group6A0", "6A⁰")</f>
        <v/>
      </c>
      <c r="L170">
        <f>HYPERLINK("CSG2.html#group24E2", "24E²"), =HYPERLINK("CSG4.html#group12A4", "12A⁴"), =HYPERLINK("CSG4.html#group12D4", "12D⁴"), =HYPERLINK("CSG6.html#group24A6", "24A⁶"), =HYPERLINK("CSG6.html#group24C6", "24C⁶"), =HYPERLINK("CSG8.html#group60B8", "60B⁸"), =HYPERLINK("CSG11.html#group60F11", "60F¹¹"), =HYPERLINK("CSG13.html#group84A13", "84A¹³"), =HYPERLINK("CSG13.html#group84E13", "84E¹³"), =HYPERLINK("CSG18.html#group60E18", "60E¹⁸"), =HYPERLINK("CSG20.html#group132A20", "132A²⁰"), =HYPERLINK("CSG23.html#group132E23", "132E²³")</f>
        <v/>
      </c>
      <c r="M170">
        <f>HYPERLINK("CSG0.html#group2A0", "2A⁰"), =HYPERLINK("CSG0.html#group6A0", "6A⁰"), =HYPERLINK("CSG0.html#group1A0", "1A⁰"), =HYPERLINK("CSG0.html#group4A0", "4A⁰"), =HYPERLINK("CSG0.html#group4D0", "4D⁰")</f>
        <v/>
      </c>
      <c r="N170">
        <f>HYPERLINK("CSG10.html#group24A10", "24A¹⁰"), =HYPERLINK("CSG20.html#group132A20", "132A²⁰"), =HYPERLINK("CSG7.html#group12F7", "12F⁷"), =HYPERLINK("CSG18.html#group60E18", "60E¹⁸"), =HYPERLINK("CSG6.html#group24A6", "24A⁶"), =HYPERLINK("CSG21.html#group48L21", "48L²¹"), =HYPERLINK("CSG19.html#group24F19", "24F¹⁹"), =HYPERLINK("CSG17.html#group24F17", "24F¹⁷"), =HYPERLINK("CSG19.html#group24B19", "24B¹⁹"), =HYPERLINK("CSG19.html#group48A19", "48A¹⁹"), =HYPERLINK("CSG23.html#group120C23", "120C²³"), =HYPERLINK("CSG4.html#group12A4", "12A⁴"), =HYPERLINK("CSG22.html#group48A22", "48A²²"), =HYPERLINK("CSG21.html#group60H21", "60H²¹"), =HYPERLINK("CSG4.html#group12D4", "12D⁴"), =HYPERLINK("CSG13.html#group12A13", "12A¹³"), =HYPERLINK("CSG13.html#group84A13", "84A¹³"), =HYPERLINK("CSG15.html#group24B15", "24B¹⁵"), =HYPERLINK("CSG19.html#group24E19", "24E¹⁹"), =HYPERLINK("CSG19.html#group36F19", "36F¹⁹"), =HYPERLINK("CSG7.html#group12B7", "12B⁷"), =HYPERLINK("CSG19.html#group24I19", "24I¹⁹"), =HYPERLINK("CSG16.html#group36F16", "36F¹⁶"), =HYPERLINK("CSG23.html#group132E23", "132E²³"), =HYPERLINK("CSG10.html#group24B10", "24B¹⁰"), =HYPERLINK("CSG4.html#group48I4", "48I⁴"), =HYPERLINK("CSG21.html#group48F21", "48F²¹"), =HYPERLINK("CSG15.html#group24A15", "24A¹⁵"), =HYPERLINK("CSG17.html#group24W17", "24W¹⁷"), =HYPERLINK("CSG23.html#group120D23", "120D²³"), =HYPERLINK("CSG9.html#group24H9", "24H⁹"), =HYPERLINK("CSG19.html#group48G19", "48G¹⁹"), =HYPERLINK("CSG19.html#group24A19", "24A¹⁹"), =HYPERLINK("CSG17.html#group24B17", "24B¹⁷"), =HYPERLINK("CSG8.html#group24A8", "24A⁸"), =HYPERLINK("CSG2.html#group24E2", "24E²"), =HYPERLINK("CSG11.html#group24J11", "24J¹¹"), =HYPERLINK("CSG17.html#group24G17", "24G¹⁷"), =HYPERLINK("CSG18.html#group48B18", "48B¹⁸"), =HYPERLINK("CSG22.html#group48B22", "48B²²"), =HYPERLINK("CSG17.html#group24J17", "24J¹⁷"), =HYPERLINK("CSG11.html#group60F11", "60F¹¹"), =HYPERLINK("CSG6.html#group24C6", "24C⁶"), =HYPERLINK("CSG8.html#group60B8", "60B⁸"), =HYPERLINK("CSG19.html#group24H19", "24H¹⁹"), =HYPERLINK("CSG19.html#group24S19", "24S¹⁹"), =HYPERLINK("CSG19.html#group36G19", "36G¹⁹"), =HYPERLINK("CSG11.html#group24D11", "24D¹¹"), =HYPERLINK("CSG11.html#group24E11", "24E¹¹"), =HYPERLINK("CSG24.html#group24A24", "24A²⁴"), =HYPERLINK("CSG16.html#group120A16", "120A¹⁶"), =HYPERLINK("CSG21.html#group24H21", "24H²¹"), =HYPERLINK("CSG8.html#group24C8", "24C⁸"), =HYPERLINK("CSG19.html#group48B19", "48B¹⁹"), =HYPERLINK("CSG17.html#group24R17", "24R¹⁷"), =HYPERLINK("CSG16.html#group36A16", "36A¹⁶"), =HYPERLINK("CSG11.html#group24C11", "24C¹¹"), =HYPERLINK("CSG19.html#group24C19", "24C¹⁹"), =HYPERLINK("CSG21.html#group48E21", "48E²¹"), =HYPERLINK("CSG19.html#group48D19", "48D¹⁹"), =HYPERLINK("CSG19.html#group24G19", "24G¹⁹"), =HYPERLINK("CSG21.html#group48Q21", "48Q²¹"), =HYPERLINK("CSG9.html#group24C9", "24C⁹"), =HYPERLINK("CSG18.html#group48G18", "48G¹⁸"), =HYPERLINK("CSG13.html#group84E13", "84E¹³"), =HYPERLINK("CSG19.html#group24D19", "24D¹⁹")</f>
        <v/>
      </c>
    </row>
    <row r="171">
      <c r="A171" t="inlineStr">
        <is>
          <t>12F¹</t>
        </is>
      </c>
      <c r="B171" t="inlineStr"/>
      <c r="C171" t="inlineStr">
        <is>
          <t>24</t>
        </is>
      </c>
      <c r="D171" t="inlineStr">
        <is>
          <t>1</t>
        </is>
      </c>
      <c r="E171" t="inlineStr">
        <is>
          <t>12</t>
        </is>
      </c>
      <c r="F171" t="inlineStr">
        <is>
          <t>0</t>
        </is>
      </c>
      <c r="G171" t="inlineStr">
        <is>
          <t>0</t>
        </is>
      </c>
      <c r="H171" t="inlineStr">
        <is>
          <t>2¹, 4¹, 6¹, 12¹</t>
        </is>
      </c>
      <c r="I171" t="n">
        <v>4</v>
      </c>
      <c r="J171" t="inlineStr">
        <is>
          <t>1⁶, 2³</t>
        </is>
      </c>
      <c r="K171">
        <f>HYPERLINK("CSG0.html#group4C0", "4C⁰"), =HYPERLINK("CSG0.html#group6F0", "6F⁰")</f>
        <v/>
      </c>
      <c r="L171">
        <f>HYPERLINK("CSG1.html#group12P1", "12P¹"), =HYPERLINK("CSG2.html#group12G2", "12G²"), =HYPERLINK("CSG2.html#group24I2", "24I²"), =HYPERLINK("CSG3.html#group12D3", "12D³"), =HYPERLINK("CSG3.html#group24B3", "24B³"), =HYPERLINK("CSG3.html#group24C3", "24C³"), =HYPERLINK("CSG3.html#group36G3", "36G³"), =HYPERLINK("CSG5.html#group36A5", "36A⁵"), =HYPERLINK("CSG5.html#group36B5", "36B⁵"), =HYPERLINK("CSG9.html#group60B9", "60B⁹"), =HYPERLINK("CSG9.html#group60H9", "60H⁹"), =HYPERLINK("CSG13.html#group84C13", "84C¹³"), =HYPERLINK("CSG13.html#group84G13", "84G¹³"), =HYPERLINK("CSG17.html#group60G17", "60G¹⁷"), =HYPERLINK("CSG21.html#group132A21", "132A²¹"), =HYPERLINK("CSG21.html#group132C21", "132C²¹")</f>
        <v/>
      </c>
      <c r="M171">
        <f>HYPERLINK("CSG0.html#group3B0", "3B⁰"), =HYPERLINK("CSG0.html#group1A0", "1A⁰"), =HYPERLINK("CSG0.html#group2B0", "2B⁰"), =HYPERLINK("CSG0.html#group6F0", "6F⁰"), =HYPERLINK("CSG0.html#group4C0", "4C⁰")</f>
        <v/>
      </c>
      <c r="N171">
        <f>HYPERLINK("CSG13.html#group48P13", "48P¹³"), =HYPERLINK("CSG10.html#group36J10", "36J¹⁰"), =HYPERLINK("CSG7.html#group48A7", "48A⁷"), =HYPERLINK("CSG17.html#group48CK17", "48CK¹⁷"), =HYPERLINK("CSG15.html#group96A15", "96A¹⁵"), =HYPERLINK("CSG21.html#group48CG21", "48CG²¹"), =HYPERLINK("CSG7.html#group36I7", "36I⁷"), =HYPERLINK("CSG9.html#group24AJ9", "24AJ⁹"), =HYPERLINK("CSG3.html#group12L3", "12L³"), =HYPERLINK("CSG21.html#group48CF21", "48CF²¹"), =HYPERLINK("CSG13.html#group48S13", "48S¹³"), =HYPERLINK("CSG23.html#group96AJ23", "96AJ²³"), =HYPERLINK("CSG13.html#group48L13", "48L¹³"), =HYPERLINK("CSG9.html#group24AC9", "24AC⁹"), =HYPERLINK("CSG17.html#group24AO17", "24AO¹⁷"), =HYPERLINK("CSG23.html#group144N23", "144N²³"), =HYPERLINK("CSG7.html#group24AF7", "24AF⁷"), =HYPERLINK("CSG9.html#group60B9", "60B⁹"), =HYPERLINK("CSG15.html#group96F15", "96F¹⁵"), =HYPERLINK("CSG21.html#group120C21", "120C²¹"), =HYPERLINK("CSG7.html#group24AG7", "24AG⁷"), =HYPERLINK("CSG20.html#group72B20", "72B²⁰"), =HYPERLINK("CSG21.html#group72B21", "72B²¹"), =HYPERLINK("CSG21.html#group48B21", "48B²¹"), =HYPERLINK("CSG21.html#group48CD21", "48CD²¹"), =HYPERLINK("CSG23.html#group48B23", "48B²³"), =HYPERLINK("CSG13.html#group36J13", "36J¹³"), =HYPERLINK("CSG2.html#group24I2", "24I²"), =HYPERLINK("CSG11.html#group48W11", "48W¹¹"), =HYPERLINK("CSG9.html#group36Q9", "36Q⁹"), =HYPERLINK("CSG18.html#group60G18", "60G¹⁸"), =HYPERLINK("CSG9.html#group24AI9", "24AI⁹"), =HYPERLINK("CSG2.html#group12G2", "12G²"), =HYPERLINK("CSG3.html#group12K3", "12K³"), =HYPERLINK("CSG19.html#group36D19", "36D¹⁹"), =HYPERLINK("CSG9.html#group60H9", "60H⁹"), =HYPERLINK("CSG23.html#group96AL23", "96AL²³"), =HYPERLINK("CSG9.html#group36D9", "36D⁹"), =HYPERLINK("CSG23.html#group144H23", "144H²³"), =HYPERLINK("CSG20.html#group72A20", "72A²⁰"), =HYPERLINK("CSG5.html#group36A5", "36A⁵"), =HYPERLINK("CSG17.html#group72U17", "72U¹⁷"), =HYPERLINK("CSG13.html#group12A13", "12A¹³"), =HYPERLINK("CSG17.html#group72N17", "72N¹⁷"), =HYPERLINK("CSG21.html#group48G21", "48G²¹"), =HYPERLINK("CSG17.html#group24D17", "24D¹⁷"), =HYPERLINK("CSG19.html#group36A19", "36A¹⁹"), =HYPERLINK("CSG9.html#group72C9", "72C⁹"), =HYPERLINK("CSG7.html#group48F7", "48F⁷"), =HYPERLINK("CSG21.html#group72J21", "72J²¹"), =HYPERLINK("CSG21.html#group36E21", "36E²¹"), =HYPERLINK("CSG13.html#group48D13", "48D¹³"), =HYPERLINK("CSG21.html#group96BA21", "96BA²¹"), =HYPERLINK("CSG15.html#group96K15", "96K¹⁵"), =HYPERLINK("CSG21.html#group72A21", "72A²¹"), =HYPERLINK("CSG21.html#group96BD21", "96BD²¹"), =HYPERLINK("CSG21.html#group24J21", "24J²¹"), =HYPERLINK("CSG23.html#group144F23", "144F²³"), =HYPERLINK("CSG3.html#group24C3", "24C³"), =HYPERLINK("CSG7.html#group48AK7", "48AK⁷"), =HYPERLINK("CSG17.html#group48CM17", "48CM¹⁷"), =HYPERLINK("CSG21.html#group144J21", "144J²¹"), =HYPERLINK("CSG7.html#group24AL7", "24AL⁷"), =HYPERLINK("CSG11.html#group72D11", "72D¹¹"), =HYPERLINK("CSG10.html#group72C10", "72C¹⁰"), =HYPERLINK("CSG13.html#group48A13", "48A¹³"), =HYPERLINK("CSG21.html#group72L21", "72L²¹"), =HYPERLINK("CSG13.html#group36T13", "36T¹³"), =HYPERLINK("CSG5.html#group24J5", "24J⁵"), =HYPERLINK("CSG13.html#group24AC13", "24AC¹³"), =HYPERLINK("CSG13.html#group84G13", "84G¹³"), =HYPERLINK("CSG9.html#group24AF9", "24AF⁹"), =HYPERLINK("CSG7.html#group48B7", "48B⁷"), =HYPERLINK("CSG21.html#group144D21", "144D²¹"), =HYPERLINK("CSG22.html#group144B22", "144B²²"), =HYPERLINK("CSG7.html#group48H7", "48H⁷"), =HYPERLINK("CSG19.html#group48BS19", "48BS¹⁹"), =HYPERLINK("CSG9.html#group24AH9", "24AH⁹"), =HYPERLINK("CSG21.html#group72E21", "72E²¹"), =HYPERLINK("CSG19.html#group72C19", "72C¹⁹"), =HYPERLINK("CSG17.html#group36B17", "36B¹⁷"), =HYPERLINK("CSG21.html#group144C21", "144C²¹"), =HYPERLINK("CSG9.html#group72B9", "72B⁹"), =HYPERLINK("CSG15.html#group24C15", "24C¹⁵"), =HYPERLINK("CSG5.html#group12E5", "12E⁵"), =HYPERLINK("CSG11.html#group36I11", "36I¹¹"), =HYPERLINK("CSG20.html#group144B20", "144B²⁰"), =HYPERLINK("CSG9.html#group24A9", "24A⁹"), =HYPERLINK("CSG17.html#group24AP17", "24AP¹⁷"), =HYPERLINK("CSG9.html#group48AH9", "48AH⁹"), =HYPERLINK("CSG10.html#group48I10", "48I¹⁰"), =HYPERLINK("CSG11.html#group48Z11", "48Z¹¹"), =HYPERLINK("CSG7.html#group48G7", "48G⁷"), =HYPERLINK("CSG10.html#group48H10", "48H¹⁰"), =HYPERLINK("CSG23.html#group48A23", "48A²³"), =HYPERLINK("CSG21.html#group48CK21", "48CK²¹"), =HYPERLINK("CSG9.html#group48AK9", "48AK⁹"), =HYPERLINK("CSG13.html#group48O13", "48O¹³"), =HYPERLINK("CSG19.html#group120A19", "120A¹⁹"), =HYPERLINK("CSG21.html#group48CA21", "48CA²¹"), =HYPERLINK("CSG23.html#group144A23", "144A²³"), =HYPERLINK("CSG3.html#group24B3", "24B³"), =HYPERLINK("CSG11.html#group72C11", "72C¹¹"), =HYPERLINK("CSG17.html#group48CJ17", "48CJ¹⁷"), =HYPERLINK("CSG19.html#group72M19", "72M¹⁹"), =HYPERLINK("CSG19.html#group48BT19", "48BT¹⁹"), =HYPERLINK("CSG5.html#group36B5", "36B⁵"), =HYPERLINK("CSG13.html#group36D13", "36D¹³"), =HYPERLINK("CSG1.html#group12P1", "12P¹"), =HYPERLINK("CSG22.html#group144A22", "144A²²"), =HYPERLINK("CSG15.html#group96B15", "96B¹⁵"), =HYPERLINK("CSG10.html#group72D10", "72D¹⁰"), =HYPERLINK("CSG21.html#group144A21", "144A²¹"), =HYPERLINK("CSG17.html#group24AT17", "24AT¹⁷"), =HYPERLINK("CSG5.html#group12B5", "12B⁵"), =HYPERLINK("CSG23.html#group144E23", "144E²³"), =HYPERLINK("CSG21.html#group72I21", "72I²¹"), =HYPERLINK("CSG21.html#group48CC21", "48CC²¹"), =HYPERLINK("CSG21.html#group24B21", "24B²¹"), =HYPERLINK("CSG7.html#group24AH7", "24AH⁷"), =HYPERLINK("CSG19.html#group96BD19", "96BD¹⁹"), =HYPERLINK("CSG17.html#group72Q17", "72Q¹⁷"), =HYPERLINK("CSG21.html#group108E21", "108E²¹"), =HYPERLINK("CSG15.html#group96C15", "96C¹⁵"), =HYPERLINK("CSG15.html#group144E15", "144E¹⁵"), =HYPERLINK("CSG19.html#group36B19", "36B¹⁹"), =HYPERLINK("CSG10.html#group96F10", "96F¹⁰"), =HYPERLINK("CSG13.html#group72W13", "72W¹³"), =HYPERLINK("CSG23.html#group144L23", "144L²³"), =HYPERLINK("CSG10.html#group96E10", "96E¹⁰"), =HYPERLINK("CSG13.html#group48G13", "48G¹³"), =HYPERLINK("CSG23.html#group144J23", "144J²³"), =HYPERLINK("CSG7.html#group48C7", "48C⁷"), =HYPERLINK("CSG13.html#group48N13", "48N¹³"), =HYPERLINK("CSG17.html#group60G17", "60G¹⁷"), =HYPERLINK("CSG13.html#group48B13", "48B¹³"), =HYPERLINK("CSG3.html#group24Z3", "24Z³"), =HYPERLINK("CSG19.html#group120K19", "120K¹⁹"), =HYPERLINK("CSG13.html#group48K13", "48K¹³"), =HYPERLINK("CSG19.html#group72D19", "72D¹⁹"), =HYPERLINK("CSG21.html#group48W21", "48W²¹"), =HYPERLINK("CSG5.html#group24I5", "24I⁵"), =HYPERLINK("CSG21.html#group144L21", "144L²¹"), =HYPERLINK("CSG19.html#group60N19", "60N¹⁹"), =HYPERLINK("CSG11.html#group36K11", "36K¹¹"), =HYPERLINK("CSG21.html#group48CQ21", "48CQ²¹"), =HYPERLINK("CSG7.html#group24H7", "24H⁷"), =HYPERLINK("CSG21.html#group120A21", "120A²¹"), =HYPERLINK("CSG21.html#group24I21", "24I²¹"), =HYPERLINK("CSG17.html#group60T17", "60T¹⁷"), =HYPERLINK("CSG9.html#group24AE9", "24AE⁹"), =HYPERLINK("CSG23.html#group96AI23", "96AI²³"), =HYPERLINK("CSG6.html#group48D6", "48D⁶"), =HYPERLINK("CSG21.html#group48H21", "48H²¹"), =HYPERLINK("CSG19.html#group96BC19", "96BC¹⁹"), =HYPERLINK("CSG21.html#group72H21", "72H²¹"), =HYPERLINK("CSG15.html#group96E15", "96E¹⁵"), =HYPERLINK("CSG23.html#group144O23", "144O²³"), =HYPERLINK("CSG11.html#group24F11", "24F¹¹"), =HYPERLINK("CSG17.html#group60B17", "60B¹⁷"), =HYPERLINK("CSG21.html#group48A21", "48A²¹"), =HYPERLINK("CSG11.html#group24B11", "24B¹¹"), =HYPERLINK("CSG21.html#group48CO21", "48CO²¹"), =HYPERLINK("CSG13.html#group72R13", "72R¹³"), =HYPERLINK("CSG13.html#group24O13", "24O¹³"), =HYPERLINK("CSG21.html#group72C21", "72C²¹"), =HYPERLINK("CSG17.html#group24K17", "24K¹⁷"), =HYPERLINK("CSG23.html#group144D23", "144D²³"), =HYPERLINK("CSG6.html#group24B6", "24B⁶"), =HYPERLINK("CSG17.html#group36A17", "36A¹⁷"), =HYPERLINK("CSG19.html#group72K19", "72K¹⁹"), =HYPERLINK("CSG21.html#group72G21", "72G²¹"), =HYPERLINK("CSG19.html#group72A19", "72A¹⁹"), =HYPERLINK("CSG19.html#group48BO19", "48BO¹⁹"), =HYPERLINK("CSG21.html#group96BF21", "96BF²¹"), =HYPERLINK("CSG21.html#group48X21", "48X²¹"), =HYPERLINK("CSG17.html#group72M17", "72M¹⁷"), =HYPERLINK("CSG13.html#group24K13", "24K¹³"), =HYPERLINK("CSG23.html#group144I23", "144I²³"), =HYPERLINK("CSG10.html#group36K10", "36K¹⁰"), =HYPERLINK("CSG21.html#group48CI21", "48CI²¹"), =HYPERLINK("CSG15.html#group72Y15", "72Y¹⁵"), =HYPERLINK("CSG23.html#group144M23", "144M²³"), =HYPERLINK("CSG13.html#group36K13", "36K¹³"), =HYPERLINK("CSG7.html#group48E7", "48E⁷"), =HYPERLINK("CSG23.html#group144B23", "144B²³"), =HYPERLINK("CSG21.html#group48CH21", "48CH²¹"), =HYPERLINK("CSG21.html#group132A21", "132A²¹"), =HYPERLINK("CSG21.html#group132C21", "132C²¹"), =HYPERLINK("CSG4.html#group24R4", "24R⁴"), =HYPERLINK("CSG19.html#group72O19", "72O¹⁹"), =HYPERLINK("CSG13.html#group72Q13", "72Q¹³"), =HYPERLINK("CSG21.html#group48CJ21", "48CJ²¹"), =HYPERLINK("CSG13.html#group48AG13", "48AG¹³"), =HYPERLINK("CSG13.html#group48J13", "48J¹³"), =HYPERLINK("CSG21.html#group72D21", "72D²¹"), =HYPERLINK("CSG21.html#group24E21", "24E²¹"), =HYPERLINK("CSG17.html#group24AQ17", "24AQ¹⁷"), =HYPERLINK("CSG15.html#group36A15", "36A¹⁵"), =HYPERLINK("CSG21.html#group144I21", "144I²¹"), =HYPERLINK("CSG21.html#group24A21", "24A²¹"), =HYPERLINK("CSG13.html#group48T13", "48T¹³"), =HYPERLINK("CSG21.html#group48CB21", "48CB²¹"), =HYPERLINK("CSG11.html#group108E11", "108E¹¹"), =HYPERLINK("CSG13.html#group48M13", "48M¹³"), =HYPERLINK("CSG13.html#group36U13", "36U¹³"), =HYPERLINK("CSG21.html#group48BZ21", "48BZ²¹"), =HYPERLINK("CSG11.html#group24G11", "24G¹¹"), =HYPERLINK("CSG23.html#group144K23", "144K²³"), =HYPERLINK("CSG21.html#group96AZ21", "96AZ²¹"), =HYPERLINK("CSG17.html#group24AR17", "24AR¹⁷"), =HYPERLINK("CSG7.html#group72D7", "72D⁷"), =HYPERLINK("CSG17.html#group48CL17", "48CL¹⁷"), =HYPERLINK("CSG15.html#group96G15", "96G¹⁵"), =HYPERLINK("CSG11.html#group48AB11", "48AB¹¹"), =HYPERLINK("CSG3.html#group36G3", "36G³"), =HYPERLINK("CSG9.html#group24AB9", "24AB⁹"), =HYPERLINK("CSG19.html#group120L19", "120L¹⁹"), =HYPERLINK("CSG17.html#group108C17", "108C¹⁷"), =HYPERLINK("CSG5.html#group36L5", "36L⁵"), =HYPERLINK("CSG5.html#group24K5", "24K⁵"), =HYPERLINK("CSG1.html#group12V1", "12V¹"), =HYPERLINK("CSG19.html#group120B19", "120B¹⁹"), =HYPERLINK("CSG22.html#group72A22", "72A²²"), =HYPERLINK("CSG17.html#group24AS17", "24AS¹⁷"), =HYPERLINK("CSG14.html#group96A14", "96A¹⁴"), =HYPERLINK("CSG22.html#group72B22", "72B²²"), =HYPERLINK("CSG19.html#group24J19", "24J¹⁹"), =HYPERLINK("CSG21.html#group72K21", "72K²¹"), =HYPERLINK("CSG17.html#group24AN17", "24AN¹⁷"), =HYPERLINK("CSG13.html#group72V13", "72V¹³"), =HYPERLINK("CSG9.html#group36C9", "36C⁹"), =HYPERLINK("CSG15.html#group96L15", "96L¹⁵"), =HYPERLINK("CSG11.html#group72A11", "72A¹¹"), =HYPERLINK("CSG17.html#group72R17", "72R¹⁷"), =HYPERLINK("CSG11.html#group48X11", "48X¹¹"), =HYPERLINK("CSG7.html#group12C7", "12C⁷"), =HYPERLINK("CSG18.html#group120D18", "120D¹⁸"), =HYPERLINK("CSG23.html#group144P23", "144P²³"), =HYPERLINK("CSG17.html#group24C17", "24C¹⁷"), =HYPERLINK("CSG7.html#group24AI7", "24AI⁷"), =HYPERLINK("CSG15.html#group108A15", "108A¹⁵"), =HYPERLINK("CSG11.html#group72B11", "72B¹¹"), =HYPERLINK("CSG21.html#group72F21", "72F²¹"), =HYPERLINK("CSG7.html#group24AK7", "24AK⁷"), =HYPERLINK("CSG5.html#group24N5", "24N⁵"), =HYPERLINK("CSG3.html#group24AA3", "24AA³"), =HYPERLINK("CSG14.html#group48A14", "48A¹⁴"), =HYPERLINK("CSG9.html#group24AD9", "24AD⁹"), =HYPERLINK("CSG17.html#group108B17", "108B¹⁷"), =HYPERLINK("CSG17.html#group108A17", "108A¹⁷"), =HYPERLINK("CSG17.html#group24L17", "24L¹⁷"), =HYPERLINK("CSG21.html#group24D21", "24D²¹"), =HYPERLINK("CSG21.html#group120B21", "120B²¹"), =HYPERLINK("CSG7.html#group48AL7", "48AL⁷"), =HYPERLINK("CSG3.html#group24U3", "24U³"), =HYPERLINK("CSG19.html#group48BP19", "48BP¹⁹"), =HYPERLINK("CSG13.html#group24J13", "24J¹³"), =HYPERLINK("CSG5.html#group24H5", "24H⁵"), =HYPERLINK("CSG21.html#group48CE21", "48CE²¹"), =HYPERLINK("CSG15.html#group96I15", "96I¹⁵"), =HYPERLINK("CSG9.html#group24B9", "24B⁹"), =HYPERLINK("CSG11.html#group48Y11", "48Y¹¹"), =HYPERLINK("CSG19.html#group144I19", "144I¹⁹"), =HYPERLINK("CSG11.html#group24A11", "24A¹¹"), =HYPERLINK("CSG23.html#group96AK23", "96AK²³"), =HYPERLINK("CSG13.html#group48F13", "48F¹³"), =HYPERLINK("CSG19.html#group36C19", "36C¹⁹"), =HYPERLINK("CSG7.html#group48D7", "48D⁷"), =HYPERLINK("CSG13.html#group48I13", "48I¹³"), =HYPERLINK("CSG19.html#group72L19", "72L¹⁹"), =HYPERLINK("CSG3.html#group12D3", "12D³"), =HYPERLINK("CSG5.html#group24M5", "24M⁵"), =HYPERLINK("CSG4.html#group48J4", "48J⁴"), =HYPERLINK("CSG21.html#group48D21", "48D²¹"), =HYPERLINK("CSG17.html#group60Q17", "60Q¹⁷"), =HYPERLINK("CSG23.html#group144C23", "144C²³"), =HYPERLINK("CSG21.html#group48CN21", "48CN²¹"), =HYPERLINK("CSG13.html#group48E13", "48E¹³"), =HYPERLINK("CSG21.html#group24C21", "24C²¹"), =HYPERLINK("CSG21.html#group24G21", "24G²¹"), =HYPERLINK("CSG11.html#group24I11", "24I¹¹"), =HYPERLINK("CSG13.html#group84C13", "84C¹³"), =HYPERLINK("CSG21.html#group24F21", "24F²¹"), =HYPERLINK("CSG3.html#group24V3", "24V³"), =HYPERLINK("CSG9.html#group24AG9", "24AG⁹"), =HYPERLINK("CSG19.html#group60M19", "60M¹⁹"), =HYPERLINK("CSG21.html#group48CP21", "48CP²¹"), =HYPERLINK("CSG19.html#group72B19", "72B¹⁹"), =HYPERLINK("CSG21.html#group36F21", "36F²¹"), =HYPERLINK("CSG13.html#group24AB13", "24AB¹³"), =HYPERLINK("CSG23.html#group48C23", "48C²³"), =HYPERLINK("CSG13.html#group48H13", "48H¹³"), =HYPERLINK("CSG5.html#group24Z5", "24Z⁵"), =HYPERLINK("CSG19.html#group48J19", "48J¹⁹"), =HYPERLINK("CSG15.html#group96J15", "96J¹⁵"), =HYPERLINK("CSG19.html#group72N19", "72N¹⁹"), =HYPERLINK("CSG21.html#group48C21", "48C²¹"), =HYPERLINK("CSG15.html#group96D15", "96D¹⁵"), =HYPERLINK("CSG21.html#group144K21", "144K²¹"), =HYPERLINK("CSG21.html#group120D21", "120D²¹"), =HYPERLINK("CSG17.html#group24E17", "24E¹⁷"), =HYPERLINK("CSG17.html#group24A17", "24A¹⁷"), =HYPERLINK("CSG17.html#group72T17", "72T¹⁷"), =HYPERLINK("CSG15.html#group48G15", "48G¹⁵"), =HYPERLINK("CSG11.html#group24H11", "24H¹¹"), =HYPERLINK("CSG11.html#group48AA11", "48AA¹¹"), =HYPERLINK("CSG9.html#group12B9", "12B⁹"), =HYPERLINK("CSG23.html#group48D23", "48D²³"), =HYPERLINK("CSG13.html#group12B13", "12B¹³"), =HYPERLINK("CSG5.html#group24AB5", "24AB⁵"), =HYPERLINK("CSG13.html#group108A13", "108A¹³"), =HYPERLINK("CSG15.html#group96H15", "96H¹⁵"), =HYPERLINK("CSG20.html#group144A20", "144A²⁰"), =HYPERLINK("CSG13.html#group48C13", "48C¹³"), =HYPERLINK("CSG21.html#group144B21", "144B²¹"), =HYPERLINK("CSG23.html#group144G23", "144G²³"), =HYPERLINK("CSG17.html#group48CN17", "48CN¹⁷"), =HYPERLINK("CSG17.html#group60P17", "60P¹⁷"), =HYPERLINK("CSG13.html#group24P13", "24P¹³"), =HYPERLINK("CSG9.html#group24AK9", "24AK⁹")</f>
        <v/>
      </c>
    </row>
    <row r="172">
      <c r="A172" t="inlineStr">
        <is>
          <t>12G¹</t>
        </is>
      </c>
      <c r="B172" t="inlineStr"/>
      <c r="C172" t="inlineStr">
        <is>
          <t>24</t>
        </is>
      </c>
      <c r="D172" t="inlineStr">
        <is>
          <t>1</t>
        </is>
      </c>
      <c r="E172" t="inlineStr">
        <is>
          <t>12</t>
        </is>
      </c>
      <c r="F172" t="inlineStr">
        <is>
          <t>4</t>
        </is>
      </c>
      <c r="G172" t="inlineStr">
        <is>
          <t>0</t>
        </is>
      </c>
      <c r="H172" t="inlineStr">
        <is>
          <t>12²</t>
        </is>
      </c>
      <c r="I172" t="n">
        <v>2</v>
      </c>
      <c r="J172" t="inlineStr">
        <is>
          <t>2², 4²</t>
        </is>
      </c>
      <c r="K172">
        <f>HYPERLINK("CSG0.html#group3C0", "3C⁰"), =HYPERLINK("CSG0.html#group12A0", "12A⁰")</f>
        <v/>
      </c>
      <c r="L172">
        <f>HYPERLINK("CSG1.html#group12Q1", "12Q¹"), =HYPERLINK("CSG3.html#group12B3", "12B³"), =HYPERLINK("CSG3.html#group12C3", "12C³"), =HYPERLINK("CSG3.html#group12J3", "12J³"), =HYPERLINK("CSG3.html#group24D3", "24D³"), =HYPERLINK("CSG3.html#group24E3", "24E³"), =HYPERLINK("CSG3.html#group36H3", "36H³"), =HYPERLINK("CSG4.html#group36M4", "36M⁴"), =HYPERLINK("CSG5.html#group24O5", "24O⁵"), =HYPERLINK("CSG5.html#group36E5", "36E⁵"), =HYPERLINK("CSG9.html#group60C9", "60C⁹"), =HYPERLINK("CSG9.html#group60J9", "60J⁹"), =HYPERLINK("CSG11.html#group84G11", "84G¹¹"), =HYPERLINK("CSG15.html#group84F15", "84F¹⁵"), =HYPERLINK("CSG17.html#group60I17", "60I¹⁷"), =HYPERLINK("CSG19.html#group132B19", "132B¹⁹"), =HYPERLINK("CSG23.html#group132G23", "132G²³")</f>
        <v/>
      </c>
      <c r="M172">
        <f>HYPERLINK("CSG0.html#group3C0", "3C⁰"), =HYPERLINK("CSG0.html#group12A0", "12A⁰"), =HYPERLINK("CSG0.html#group3A0", "3A⁰"), =HYPERLINK("CSG0.html#group1A0", "1A⁰"), =HYPERLINK("CSG0.html#group4A0", "4A⁰")</f>
        <v/>
      </c>
      <c r="N172">
        <f>HYPERLINK("CSG11.html#group24L11", "24L¹¹"), =HYPERLINK("CSG21.html#group36B21", "36B²¹"), =HYPERLINK("CSG10.html#group36H10", "36H¹⁰"), =HYPERLINK("CSG13.html#group24R13", "24R¹³"), =HYPERLINK("CSG12.html#group36D12", "36D¹²"), =HYPERLINK("CSG19.html#group24M19", "24M¹⁹"), =HYPERLINK("CSG11.html#group84G11", "84G¹¹"), =HYPERLINK("CSG7.html#group24D7", "24D⁷"), =HYPERLINK("CSG17.html#group48AK17", "48AK¹⁷"), =HYPERLINK("CSG15.html#group24L15", "24L¹⁵"), =HYPERLINK("CSG5.html#group12A5", "12A⁵"), =HYPERLINK("CSG21.html#group24L21", "24L²¹"), =HYPERLINK("CSG17.html#group24AB17", "24AB¹⁷"), =HYPERLINK("CSG15.html#group48A15", "48A¹⁵"), =HYPERLINK("CSG7.html#group24R7", "24R⁷"), =HYPERLINK("CSG19.html#group48Z19", "48Z¹⁹"), =HYPERLINK("CSG23.html#group72C23", "72C²³"), =HYPERLINK("CSG3.html#group12M3", "12M³"), =HYPERLINK("CSG1.html#group12Q1", "12Q¹"), =HYPERLINK("CSG7.html#group36K7", "36K⁷"), =HYPERLINK("CSG17.html#group60V17", "60V¹⁷"), =HYPERLINK("CSG17.html#group48Q17", "48Q¹⁷"), =HYPERLINK("CSG11.html#group36E11", "36E¹¹"), =HYPERLINK("CSG17.html#group24AD17", "24AD¹⁷"), =HYPERLINK("CSG13.html#group24F13", "24F¹³"), =HYPERLINK("CSG9.html#group24P9", "24P⁹"), =HYPERLINK("CSG15.html#group36N15", "36N¹⁵"), =HYPERLINK("CSG21.html#group48AD21", "48AD²¹"), =HYPERLINK("CSG19.html#group72T19", "72T¹⁹"), =HYPERLINK("CSG19.html#group48AL19", "48AL¹⁹"), =HYPERLINK("CSG13.html#group24U13", "24U¹³"), =HYPERLINK("CSG17.html#group48BL17", "48BL¹⁷"), =HYPERLINK("CSG15.html#group24N15", "24N¹⁵"), =HYPERLINK("CSG17.html#group24J17", "24J¹⁷"), =HYPERLINK("CSG17.html#group48P17", "48P¹⁷"), =HYPERLINK("CSG15.html#group24M15", "24M¹⁵"), =HYPERLINK("CSG11.html#group24M11", "24M¹¹"), =HYPERLINK("CSG21.html#group48BW21", "48BW²¹"), =HYPERLINK("CSG21.html#group72T21", "72T²¹"), =HYPERLINK("CSG21.html#group72V21", "72V²¹"), =HYPERLINK("CSG13.html#group48R13", "48R¹³"), =HYPERLINK("CSG3.html#group24E3", "24E³"), =HYPERLINK("CSG21.html#group144N21", "144N²¹"), =HYPERLINK("CSG7.html#group48J7", "48J⁷"), =HYPERLINK("CSG15.html#group36F15", "36F¹⁵"), =HYPERLINK("CSG21.html#group72P21", "72P²¹"), =HYPERLINK("CSG15.html#group36T15", "36T¹⁵"), =HYPERLINK("CSG17.html#group48BJ17", "48BJ¹⁷"), =HYPERLINK("CSG23.html#group132G23", "132G²³"), =HYPERLINK("CSG17.html#group48BI17", "48BI¹⁷"), =HYPERLINK("CSG23.html#group144S23", "144S²³"), =HYPERLINK("CSG19.html#group36L19", "36L¹⁹"), =HYPERLINK("CSG21.html#group72U21", "72U²¹"), =HYPERLINK("CSG17.html#group72W17", "72W¹⁷"), =HYPERLINK("CSG11.html#group36C11", "36C¹¹"), =HYPERLINK("CSG11.html#group72E11", "72E¹¹"), =HYPERLINK("CSG17.html#group24AA17", "24AA¹⁷"), =HYPERLINK("CSG7.html#group24X7", "24X⁷"), =HYPERLINK("CSG9.html#group36K9", "36K⁹"), =HYPERLINK("CSG19.html#group72U19", "72U¹⁹"), =HYPERLINK("CSG22.html#group144K22", "144K²²"), =HYPERLINK("CSG22.html#group72C22", "72C²²"), =HYPERLINK("CSG19.html#group24B19", "24B¹⁹"), =HYPERLINK("CSG21.html#group48AF21", "48AF²¹"), =HYPERLINK("CSG17.html#group60W17", "60W¹⁷"), =HYPERLINK("CSG13.html#group12A13", "12A¹³"), =HYPERLINK("CSG15.html#group48C15", "48C¹⁵"), =HYPERLINK("CSG19.html#group132B19", "132B¹⁹"), =HYPERLINK("CSG19.html#group24O19", "24O¹⁹"), =HYPERLINK("CSG17.html#group24D17", "24D¹⁷"), =HYPERLINK("CSG19.html#group120D19", "120D¹⁹"), =HYPERLINK("CSG17.html#group24AH17", "24AH¹⁷"), =HYPERLINK("CSG21.html#group120L21", "120L²¹"), =HYPERLINK("CSG9.html#group60C9", "60C⁹"), =HYPERLINK("CSG13.html#group24C13", "24C¹³"), =HYPERLINK("CSG21.html#group120G21", "120G²¹"), =HYPERLINK("CSG3.html#group12B3", "12B³"), =HYPERLINK("CSG11.html#group72G11", "72G¹¹"), =HYPERLINK("CSG15.html#group36S15", "36S¹⁵"), =HYPERLINK("CSG13.html#group48Q13", "48Q¹³"), =HYPERLINK("CSG13.html#group24A13", "24A¹³"), =HYPERLINK("CSG23.html#group84C23", "84C²³"), =HYPERLINK("CSG17.html#group24N17", "24N¹⁷"), =HYPERLINK("CSG19.html#group24J19", "24J¹⁹"), =HYPERLINK("CSG23.html#group72B23", "72B²³"), =HYPERLINK("CSG17.html#group24AF17", "24AF¹⁷"), =HYPERLINK("CSG19.html#group60C19", "60C¹⁹"), =HYPERLINK("CSG22.html#group144L22", "144L²²"), =HYPERLINK("CSG19.html#group24C19", "24C¹⁹"), =HYPERLINK("CSG7.html#group12C7", "12C⁷"), =HYPERLINK("CSG13.html#group36N13", "36N¹³"), =HYPERLINK("CSG21.html#group60O21", "60O²¹"), =HYPERLINK("CSG19.html#group72Q19", "72Q¹⁹"), =HYPERLINK("CSG13.html#group36R13", "36R¹³"), =HYPERLINK("CSG7.html#group48I7", "48I⁷"), =HYPERLINK("CSG21.html#group72O21", "72O²¹"), =HYPERLINK("CSG17.html#group48BM17", "48BM¹⁷"), =HYPERLINK("CSG9.html#group60J9", "60J⁹"), =HYPERLINK("CSG19.html#group48AI19", "48AI¹⁹"), =HYPERLINK("CSG21.html#group60L21", "60L²¹"), =HYPERLINK("CSG19.html#group72S19", "72S¹⁹"), =HYPERLINK("CSG15.html#group24C15", "24C¹⁵"), =HYPERLINK("CSG10.html#group72J10", "72J¹⁰"), =HYPERLINK("CSG11.html#group72H11", "72H¹¹"), =HYPERLINK("CSG21.html#group144M21", "144M²¹"), =HYPERLINK("CSG23.html#group72G23", "72G²³"), =HYPERLINK("CSG21.html#group72M21", "72M²¹"), =HYPERLINK("CSG21.html#group48AZ21", "48AZ²¹"), =HYPERLINK("CSG21.html#group36A21", "36A²¹"), =HYPERLINK("CSG17.html#group48AE17", "48AE¹⁷"), =HYPERLINK("CSG5.html#group36E5", "36E⁵"), =HYPERLINK("CSG21.html#group120H21", "120H²¹"), =HYPERLINK("CSG9.html#group24Y9", "24Y⁹"), =HYPERLINK("CSG11.html#group36D11", "36D¹¹"), =HYPERLINK("CSG17.html#group24AC17", "24AC¹⁷"), =HYPERLINK("CSG19.html#group60G19", "60G¹⁹"), =HYPERLINK("CSG15.html#group24A15", "24A¹⁵"), =HYPERLINK("CSG9.html#group36L9", "36L⁹"), =HYPERLINK("CSG5.html#group24L5", "24L⁵"), =HYPERLINK("CSG15.html#group84F15", "84F¹⁵"), =HYPERLINK("CSG17.html#group36C17", "36C¹⁷"), =HYPERLINK("CSG17.html#group24AG17", "24AG¹⁷"), =HYPERLINK("CSG13.html#group24T13", "24T¹³"), =HYPERLINK("CSG3.html#group24D3", "24D³"), =HYPERLINK("CSG23.html#group72A23", "72A²³"), =HYPERLINK("CSG21.html#group24K21", "24K²¹"), =HYPERLINK("CSG21.html#group60K21", "60K²¹"), =HYPERLINK("CSG3.html#group36H3", "36H³"), =HYPERLINK("CSG3.html#group12C3", "12C³"), =HYPERLINK("CSG17.html#group24G17", "24G¹⁷"), =HYPERLINK("CSG23.html#group84D23", "84D²³"), =HYPERLINK("CSG19.html#group48AH19", "48AH¹⁹"), =HYPERLINK("CSG3.html#group12J3", "12J³"), =HYPERLINK("CSG9.html#group24R9", "24R⁹"), =HYPERLINK("CSG17.html#group72S17", "72S¹⁷"), =HYPERLINK("CSG23.html#group36D23", "36D²³"), =HYPERLINK("CSG21.html#group84N21", "84N²¹"), =HYPERLINK("CSG17.html#group48AF17", "48AF¹⁷"), =HYPERLINK("CSG19.html#group48V19", "48V¹⁹"), =HYPERLINK("CSG19.html#group120C19", "120C¹⁹"), =HYPERLINK("CSG9.html#group24V9", "24V⁹"), =HYPERLINK("CSG21.html#group48BA21", "48BA²¹"), =HYPERLINK("CSG23.html#group72D23", "72D²³"), =HYPERLINK("CSG5.html#group36M5", "36M⁵"), =HYPERLINK("CSG21.html#group60E21", "60E²¹"), =HYPERLINK("CSG19.html#group24Q19", "24Q¹⁹"), =HYPERLINK("CSG19.html#group36K19", "36K¹⁹"), =HYPERLINK("CSG19.html#group72V19", "72V¹⁹"), =HYPERLINK("CSG15.html#group36R15", "36R¹⁵"), =HYPERLINK("CSG17.html#group72V17", "72V¹⁷"), =HYPERLINK("CSG15.html#group48D15", "48D¹⁵"), =HYPERLINK("CSG15.html#group36P15", "36P¹⁵"), =HYPERLINK("CSG7.html#group24Y7", "24Y⁷"), =HYPERLINK("CSG23.html#group72F23", "72F²³"), =HYPERLINK("CSG17.html#group60I17", "60I¹⁷"), =HYPERLINK("CSG23.html#group144Q23", "144Q²³"), =HYPERLINK("CSG23.html#group144R23", "144R²³"), =HYPERLINK("CSG9.html#group12A9", "12A⁹"), =HYPERLINK("CSG23.html#group72H23", "72H²³"), =HYPERLINK("CSG11.html#group12A11", "12A¹¹"), =HYPERLINK("CSG21.html#group72Q21", "72Q²¹"), =HYPERLINK("CSG17.html#group36E17", "36E¹⁷"), =HYPERLINK("CSG15.html#group48B15", "48B¹⁵"), =HYPERLINK("CSG15.html#group24B15", "24B¹⁵"), =HYPERLINK("CSG7.html#group12B7", "12B⁷"), =HYPERLINK("CSG4.html#group36M4", "36M⁴"), =HYPERLINK("CSG17.html#group24E17", "24E¹⁷"), =HYPERLINK("CSG21.html#group72W21", "72W²¹"), =HYPERLINK("CSG9.html#group36J9", "36J⁹"), =HYPERLINK("CSG21.html#group120K21", "120K²¹"), =HYPERLINK("CSG5.html#group24P5", "24P⁵"), =HYPERLINK("CSG11.html#group72F11", "72F¹¹"), =HYPERLINK("CSG9.html#group36G9", "36G⁹"), =HYPERLINK("CSG9.html#group24AL9", "24AL⁹"), =HYPERLINK("CSG7.html#group36J7", "36J⁷"), =HYPERLINK("CSG11.html#group36F11", "36F¹¹"), =HYPERLINK("CSG13.html#group36I13", "36I¹³"), =HYPERLINK("CSG17.html#group60E17", "60E¹⁷"), =HYPERLINK("CSG9.html#group72F9", "72F⁹"), =HYPERLINK("CSG13.html#group24B13", "24B¹³"), =HYPERLINK("CSG5.html#group24O5", "24O⁵"), =HYPERLINK("CSG21.html#group72N21", "72N²¹"), =HYPERLINK("CSG5.html#group12D5", "12D⁵"), =HYPERLINK("CSG21.html#group72S21", "72S²¹"), =HYPERLINK("CSG19.html#group24N19", "24N¹⁹"), =HYPERLINK("CSG17.html#group48AL17", "48AL¹⁷"), =HYPERLINK("CSG7.html#group24A7", "24A⁷"), =HYPERLINK("CSG7.html#group24Q7", "24Q⁷"), =HYPERLINK("CSG23.html#group144T23", "144T²³"), =HYPERLINK("CSG11.html#group24K11", "24K¹¹"), =HYPERLINK("CSG19.html#group36H19", "36H¹⁹"), =HYPERLINK("CSG10.html#group72K10", "72K¹⁰"), =HYPERLINK("CSG21.html#group24M21", "24M²¹"), =HYPERLINK("CSG19.html#group36E19", "36E¹⁹"), =HYPERLINK("CSG17.html#group48BK17", "48BK¹⁷"), =HYPERLINK("CSG17.html#group60U17", "60U¹⁷"), =HYPERLINK("CSG17.html#group24AE17", "24AE¹⁷"), =HYPERLINK("CSG21.html#group48BY21", "48BY²¹"), =HYPERLINK("CSG15.html#group36Q15", "36Q¹⁵"), =HYPERLINK("CSG19.html#group48AM19", "48AM¹⁹"), =HYPERLINK("CSG9.html#group72G9", "72G⁹"), =HYPERLINK("CSG7.html#group24B7", "24B⁷")</f>
        <v/>
      </c>
    </row>
    <row r="173">
      <c r="A173" t="inlineStr">
        <is>
          <t>12H¹</t>
        </is>
      </c>
      <c r="B173" t="inlineStr"/>
      <c r="C173" t="inlineStr">
        <is>
          <t>24</t>
        </is>
      </c>
      <c r="D173" t="inlineStr">
        <is>
          <t>1</t>
        </is>
      </c>
      <c r="E173" t="inlineStr">
        <is>
          <t>24</t>
        </is>
      </c>
      <c r="F173" t="inlineStr">
        <is>
          <t>0</t>
        </is>
      </c>
      <c r="G173" t="inlineStr">
        <is>
          <t>3</t>
        </is>
      </c>
      <c r="H173" t="inlineStr">
        <is>
          <t>12²</t>
        </is>
      </c>
      <c r="I173" t="n">
        <v>2</v>
      </c>
      <c r="J173" t="inlineStr">
        <is>
          <t>4⁶</t>
        </is>
      </c>
      <c r="K173">
        <f>HYPERLINK("CSG0.html#group6A0", "6A⁰")</f>
        <v/>
      </c>
      <c r="L173">
        <f>HYPERLINK("CSG2.html#group24J2", "24J²"), =HYPERLINK("CSG4.html#group12B4", "12B⁴"), =HYPERLINK("CSG4.html#group12D4", "12D⁴"), =HYPERLINK("CSG8.html#group60E8", "60E⁸"), =HYPERLINK("CSG11.html#group60G11", "60G¹¹"), =HYPERLINK("CSG13.html#group84D13", "84D¹³"), =HYPERLINK("CSG13.html#group84H13", "84H¹³"), =HYPERLINK("CSG18.html#group60H18", "60H¹⁸"), =HYPERLINK("CSG20.html#group132C20", "132C²⁰"), =HYPERLINK("CSG23.html#group132H23", "132H²³")</f>
        <v/>
      </c>
      <c r="M173">
        <f>HYPERLINK("CSG0.html#group2A0", "2A⁰"), =HYPERLINK("CSG0.html#group1A0", "1A⁰"), =HYPERLINK("CSG0.html#group6A0", "6A⁰")</f>
        <v/>
      </c>
      <c r="N173">
        <f>HYPERLINK("CSG16.html#group120C16", "120C¹⁶"), =HYPERLINK("CSG23.html#group120H23", "120H²³"), =HYPERLINK("CSG10.html#group24D10", "24D¹⁰"), =HYPERLINK("CSG7.html#group12F7", "12F⁷"), =HYPERLINK("CSG17.html#group24H17", "24H¹⁷"), =HYPERLINK("CSG4.html#group12B4", "12B⁴"), =HYPERLINK("CSG11.html#group60G11", "60G¹¹"), =HYPERLINK("CSG19.html#group36G19", "36G¹⁹"), =HYPERLINK("CSG18.html#group60H18", "60H¹⁸"), =HYPERLINK("CSG11.html#group24D11", "24D¹¹"), =HYPERLINK("CSG17.html#group24I17", "24I¹⁷"), =HYPERLINK("CSG21.html#group60P21", "60P²¹"), =HYPERLINK("CSG11.html#group24E11", "24E¹¹"), =HYPERLINK("CSG24.html#group24A24", "24A²⁴"), =HYPERLINK("CSG20.html#group132C20", "132C²⁰"), =HYPERLINK("CSG8.html#group60E8", "60E⁸"), =HYPERLINK("CSG13.html#group84D13", "84D¹³"), =HYPERLINK("CSG15.html#group24F15", "24F¹⁵"), =HYPERLINK("CSG15.html#group24J15", "24J¹⁵"), =HYPERLINK("CSG21.html#group24H21", "24H²¹"), =HYPERLINK("CSG4.html#group12D4", "12D⁴"), =HYPERLINK("CSG7.html#group12D7", "12D⁷"), =HYPERLINK("CSG13.html#group12A13", "12A¹³"), =HYPERLINK("CSG23.html#group120G23", "120G²³"), =HYPERLINK("CSG13.html#group84H13", "84H¹³"), =HYPERLINK("CSG19.html#group36F19", "36F¹⁹"), =HYPERLINK("CSG19.html#group24K19", "24K¹⁹"), =HYPERLINK("CSG16.html#group36F16", "36F¹⁶"), =HYPERLINK("CSG16.html#group36C16", "36C¹⁶"), =HYPERLINK("CSG17.html#group24Y17", "24Y¹⁷"), =HYPERLINK("CSG23.html#group132H23", "132H²³"), =HYPERLINK("CSG2.html#group24J2", "24J²")</f>
        <v/>
      </c>
    </row>
    <row r="174">
      <c r="A174" t="inlineStr">
        <is>
          <t>12I¹</t>
        </is>
      </c>
      <c r="B174" t="inlineStr"/>
      <c r="C174" t="inlineStr">
        <is>
          <t>32</t>
        </is>
      </c>
      <c r="D174" t="inlineStr">
        <is>
          <t>1</t>
        </is>
      </c>
      <c r="E174" t="inlineStr">
        <is>
          <t>16</t>
        </is>
      </c>
      <c r="F174" t="inlineStr">
        <is>
          <t>0</t>
        </is>
      </c>
      <c r="G174" t="inlineStr">
        <is>
          <t>2</t>
        </is>
      </c>
      <c r="H174" t="inlineStr">
        <is>
          <t>4², 12²</t>
        </is>
      </c>
      <c r="I174" t="n">
        <v>4</v>
      </c>
      <c r="J174" t="inlineStr">
        <is>
          <t>2⁴, 4²</t>
        </is>
      </c>
      <c r="K174">
        <f>HYPERLINK("CSG0.html#group4D0", "4D⁰"), =HYPERLINK("CSG0.html#group6C0", "6C⁰"), =HYPERLINK("CSG1.html#group12A1", "12A¹")</f>
        <v/>
      </c>
      <c r="L174">
        <f>HYPERLINK("CSG1.html#group12R1", "12R¹"), =HYPERLINK("CSG3.html#group12K3", "12K³"), =HYPERLINK("CSG3.html#group24F3", "24F³"), =HYPERLINK("CSG3.html#group24G3", "24G³"), =HYPERLINK("CSG4.html#group12D4", "12D⁴"), =HYPERLINK("CSG4.html#group36O4", "36O⁴"), =HYPERLINK("CSG5.html#group12A5", "12A⁵"), =HYPERLINK("CSG5.html#group36F5", "36F⁵"), =HYPERLINK("CSG5.html#group36G5", "36G⁵"), =HYPERLINK("CSG6.html#group36B6", "36B⁶"), =HYPERLINK("CSG7.html#group24E7", "24E⁷"), =HYPERLINK("CSG7.html#group36A7", "36A⁷"), =HYPERLINK("CSG7.html#group36B7", "36B⁷"), =HYPERLINK("CSG11.html#group60J11", "60J¹¹"), =HYPERLINK("CSG13.html#group60M13", "60M¹³"), =HYPERLINK("CSG17.html#group84C17", "84C¹⁷"), =HYPERLINK("CSG17.html#group84Q17", "84Q¹⁷"), =HYPERLINK("CSG23.html#group60B23", "60B²³")</f>
        <v/>
      </c>
      <c r="M174">
        <f>HYPERLINK("CSG0.html#group2A0", "2A⁰"), =HYPERLINK("CSG0.html#group3B0", "3B⁰"), =HYPERLINK("CSG0.html#group4A0", "4A⁰"), =HYPERLINK("CSG0.html#group4D0", "4D⁰"), =HYPERLINK("CSG1.html#group12A1", "12A¹"), =HYPERLINK("CSG0.html#group6C0", "6C⁰"), =HYPERLINK("CSG0.html#group1A0", "1A⁰")</f>
        <v/>
      </c>
      <c r="N174">
        <f>HYPERLINK("CSG21.html#group36B21", "36B²¹"), =HYPERLINK("CSG17.html#group36H17", "36H¹⁷"), =HYPERLINK("CSG11.html#group72J11", "72J¹¹"), =HYPERLINK("CSG5.html#group12A5", "12A⁵"), =HYPERLINK("CSG4.html#group36O4", "36O⁴"), =HYPERLINK("CSG13.html#group60M13", "60M¹³"), =HYPERLINK("CSG5.html#group12E5", "12E⁵"), =HYPERLINK("CSG5.html#group36G5", "36G⁵"), =HYPERLINK("CSG11.html#group72K11", "72K¹¹"), =HYPERLINK("CSG21.html#group24D21", "24D²¹"), =HYPERLINK("CSG23.html#group60B23", "60B²³"), =HYPERLINK("CSG21.html#group60T21", "60T²¹"), =HYPERLINK("CSG15.html#group72B15", "72B¹⁵"), =HYPERLINK("CSG17.html#group24AP17", "24AP¹⁷"), =HYPERLINK("CSG21.html#group36A21", "36A²¹"), =HYPERLINK("CSG19.html#group48BP19", "48BP¹⁹"), =HYPERLINK("CSG11.html#group24B11", "24B¹¹"), =HYPERLINK("CSG19.html#group36F19", "36F¹⁹"), =HYPERLINK("CSG21.html#group48CF21", "48CF²¹"), =HYPERLINK("CSG16.html#group36F16", "36F¹⁶"), =HYPERLINK("CSG17.html#group36D17", "36D¹⁷"), =HYPERLINK("CSG13.html#group24G13", "24G¹³"), =HYPERLINK("CSG1.html#group12R1", "12R¹"), =HYPERLINK("CSG5.html#group36F5", "36F⁵"), =HYPERLINK("CSG9.html#group24AC9", "24AC⁹"), =HYPERLINK("CSG19.html#group36J19", "36J¹⁹"), =HYPERLINK("CSG24.html#group72B24", "72B²⁴"), =HYPERLINK("CSG9.html#group36M9", "36M⁹"), =HYPERLINK("CSG17.html#group24AO17", "24AO¹⁷"), =HYPERLINK("CSG21.html#group48CE21", "48CE²¹"), =HYPERLINK("CSG17.html#group36C17", "36C¹⁷"), =HYPERLINK("CSG17.html#group108E17", "108E¹⁷"), =HYPERLINK("CSG7.html#group24AF7", "24AF⁷"), =HYPERLINK("CSG15.html#group72A15", "72A¹⁵"), =HYPERLINK("CSG11.html#group36H11", "36H¹¹"), =HYPERLINK("CSG7.html#group48K7", "48K⁷"), =HYPERLINK("CSG19.html#group48BO19", "48BO¹⁹"), =HYPERLINK("CSG21.html#group72Y21", "72Y²¹"), =HYPERLINK("CSG23.html#group144V23", "144V²³"), =HYPERLINK("CSG7.html#group24AG7", "24AG⁷"), =HYPERLINK("CSG19.html#group108A19", "108A¹⁹"), =HYPERLINK("CSG19.html#group36G19", "36G¹⁹"), =HYPERLINK("CSG11.html#group24D11", "24D¹¹"), =HYPERLINK("CSG11.html#group24A11", "24A¹¹"), =HYPERLINK("CSG11.html#group72I11", "72I¹¹"), =HYPERLINK("CSG22.html#group108A22", "108A²²"), =HYPERLINK("CSG3.html#group24F3", "24F³"), =HYPERLINK("CSG21.html#group48CD21", "48CD²¹"), =HYPERLINK("CSG21.html#group108A21", "108A²¹"), =HYPERLINK("CSG13.html#group48U13", "48U¹³"), =HYPERLINK("CSG21.html#group24H21", "24H²¹"), =HYPERLINK("CSG21.html#group108C21", "108C²¹"), =HYPERLINK("CSG15.html#group72D15", "72D¹⁵"), =HYPERLINK("CSG19.html#group36I19", "36I¹⁹"), =HYPERLINK("CSG3.html#group12K3", "12K³"), =HYPERLINK("CSG21.html#group108D21", "108D²¹"), =HYPERLINK("CSG13.html#group72B13", "72B¹³"), =HYPERLINK("CSG21.html#group24C21", "24C²¹"), =HYPERLINK("CSG21.html#group24G21", "24G²¹"), =HYPERLINK("CSG13.html#group72A13", "72A¹³"), =HYPERLINK("CSG17.html#group24AT17", "24AT¹⁷"), =HYPERLINK("CSG21.html#group24F21", "24F²¹"), =HYPERLINK("CSG21.html#group72Z21", "72Z²¹"), =HYPERLINK("CSG7.html#group12F7", "12F⁷"), =HYPERLINK("CSG17.html#group84C17", "84C¹⁷"), =HYPERLINK("CSG7.html#group36B7", "36B⁷"), =HYPERLINK("CSG13.html#group24H13", "24H¹³"), =HYPERLINK("CSG21.html#group24B21", "24B²¹"), =HYPERLINK("CSG21.html#group24E21", "24E²¹"), =HYPERLINK("CSG11.html#group72L11", "72L¹¹"), =HYPERLINK("CSG21.html#group24A21", "24A²¹"), =HYPERLINK("CSG13.html#group24AB13", "24AB¹³"), =HYPERLINK("CSG13.html#group36B13", "36B¹³"), =HYPERLINK("CSG21.html#group48CB21", "48CB²¹"), =HYPERLINK("CSG19.html#group36B19", "36B¹⁹"), =HYPERLINK("CSG7.html#group36A7", "36A⁷"), =HYPERLINK("CSG9.html#group12A9", "12A⁹"), =HYPERLINK("CSG7.html#group48L7", "48L⁷"), =HYPERLINK("CSG4.html#group12D4", "12D⁴"), =HYPERLINK("CSG17.html#group36E17", "36E¹⁷"), =HYPERLINK("CSG13.html#group12A13", "12A¹³"), =HYPERLINK("CSG13.html#group72C13", "72C¹³"), =HYPERLINK("CSG19.html#group108C19", "108C¹⁹"), =HYPERLINK("CSG19.html#group36A19", "36A¹⁹"), =HYPERLINK("CSG23.html#group120K23", "120K²³"), =HYPERLINK("CSG17.html#group108D17", "108D¹⁷"), =HYPERLINK("CSG21.html#group108B21", "108B²¹"), =HYPERLINK("CSG13.html#group72D13", "72D¹³"), =HYPERLINK("CSG23.html#group120L23", "120L²³"), =HYPERLINK("CSG13.html#group36A13", "36A¹³"), =HYPERLINK("CSG6.html#group36B6", "36B⁶"), =HYPERLINK("CSG13.html#group24B13", "24B¹³"), =HYPERLINK("CSG17.html#group36G17", "36G¹⁷"), =HYPERLINK("CSG23.html#group108A23", "108A²³"), =HYPERLINK("CSG13.html#group24A13", "24A¹³"), =HYPERLINK("CSG3.html#group24G3", "24G³"), =HYPERLINK("CSG15.html#group72C15", "72C¹⁵"), =HYPERLINK("CSG11.html#group24E11", "24E¹¹"), =HYPERLINK("CSG17.html#group24AN17", "24AN¹⁷"), =HYPERLINK("CSG24.html#group24A24", "24A²⁴"), =HYPERLINK("CSG17.html#group36F17", "36F¹⁷"), =HYPERLINK("CSG7.html#group24E7", "24E⁷"), =HYPERLINK("CSG19.html#group36H19", "36H¹⁹"), =HYPERLINK("CSG20.html#group108A20", "108A²⁰"), =HYPERLINK("CSG19.html#group36E19", "36E¹⁹"), =HYPERLINK("CSG23.html#group144U23", "144U²³"), =HYPERLINK("CSG7.html#group36M7", "36M⁷"), =HYPERLINK("CSG13.html#group36T13", "36T¹³"), =HYPERLINK("CSG9.html#group36N9", "36N⁹"), =HYPERLINK("CSG17.html#group84Q17", "84Q¹⁷"), =HYPERLINK("CSG5.html#group24Q5", "24Q⁵"), =HYPERLINK("CSG19.html#group108B19", "108B¹⁹"), =HYPERLINK("CSG11.html#group60J11", "60J¹¹"), =HYPERLINK("CSG13.html#group24I13", "24I¹³"), =HYPERLINK("CSG9.html#group24AF9", "24AF⁹")</f>
        <v/>
      </c>
    </row>
    <row r="175">
      <c r="A175" t="inlineStr">
        <is>
          <t>12J¹</t>
        </is>
      </c>
      <c r="B175" t="inlineStr"/>
      <c r="C175" t="inlineStr">
        <is>
          <t>36</t>
        </is>
      </c>
      <c r="D175" t="inlineStr">
        <is>
          <t>1</t>
        </is>
      </c>
      <c r="E175" t="inlineStr">
        <is>
          <t>6</t>
        </is>
      </c>
      <c r="F175" t="inlineStr">
        <is>
          <t>6</t>
        </is>
      </c>
      <c r="G175" t="inlineStr">
        <is>
          <t>0</t>
        </is>
      </c>
      <c r="H175" t="inlineStr">
        <is>
          <t>12³</t>
        </is>
      </c>
      <c r="I175" t="n">
        <v>3</v>
      </c>
      <c r="J175" t="inlineStr">
        <is>
          <t>1², 2²</t>
        </is>
      </c>
      <c r="K175">
        <f>HYPERLINK("CSG0.html#group4F0", "4F⁰"), =HYPERLINK("CSG0.html#group12A0", "12A⁰"), =HYPERLINK("CSG0.html#group12C0", "12C⁰")</f>
        <v/>
      </c>
      <c r="L175">
        <f>HYPERLINK("CSG2.html#group12I2", "12I²"), =HYPERLINK("CSG2.html#group24L2", "24L²"), =HYPERLINK("CSG3.html#group12J3", "12J³"), =HYPERLINK("CSG3.html#group24J3", "24J³"), =HYPERLINK("CSG3.html#group24P3", "24P³"), =HYPERLINK("CSG3.html#group24R3", "24R³"), =HYPERLINK("CSG4.html#group12A4", "12A⁴"), =HYPERLINK("CSG4.html#group24H4", "24H⁴"), =HYPERLINK("CSG4.html#group24K4", "24K⁴"), =HYPERLINK("CSG4.html#group24O4", "24O⁴"), =HYPERLINK("CSG5.html#group24B5", "24B⁵"), =HYPERLINK("CSG6.html#group36F6", "36F⁶"), =HYPERLINK("CSG13.html#group60B13", "60B¹³"), =HYPERLINK("CSG13.html#group60P13", "60P¹³"), =HYPERLINK("CSG16.html#group84B16", "84B¹⁶"), =HYPERLINK("CSG22.html#group84I22", "84I²²")</f>
        <v/>
      </c>
      <c r="M175">
        <f>HYPERLINK("CSG0.html#group12A0", "12A⁰"), =HYPERLINK("CSG0.html#group12C0", "12C⁰"), =HYPERLINK("CSG0.html#group4A0", "4A⁰"), =HYPERLINK("CSG0.html#group4C0", "4C⁰"), =HYPERLINK("CSG0.html#group2B0", "2B⁰"), =HYPERLINK("CSG0.html#group4F0", "4F⁰"), =HYPERLINK("CSG0.html#group3A0", "3A⁰"), =HYPERLINK("CSG0.html#group1A0", "1A⁰"), =HYPERLINK("CSG0.html#group6D0", "6D⁰")</f>
        <v/>
      </c>
      <c r="N175">
        <f>HYPERLINK("CSG10.html#group24C10", "24C¹⁰"), =HYPERLINK("CSG21.html#group48AY21", "48AY²¹"), =HYPERLINK("CSG12.html#group36D12", "36D¹²"), =HYPERLINK("CSG10.html#group48D10", "48D¹⁰"), =HYPERLINK("CSG19.html#group24M19", "24M¹⁹"), =HYPERLINK("CSG14.html#group72F14", "72F¹⁴"), =HYPERLINK("CSG17.html#group48AK17", "48AK¹⁷"), =HYPERLINK("CSG15.html#group24L15", "24L¹⁵"), =HYPERLINK("CSG17.html#group24AB17", "24AB¹⁷"), =HYPERLINK("CSG20.html#group96B20", "96B²⁰"), =HYPERLINK("CSG16.html#group48D16", "48D¹⁶"), =HYPERLINK("CSG21.html#group48AE21", "48AE²¹"), =HYPERLINK("CSG7.html#group24R7", "24R⁷"), =HYPERLINK("CSG19.html#group48AT19", "48AT¹⁹"), =HYPERLINK("CSG19.html#group48Z19", "48Z¹⁹"), =HYPERLINK("CSG9.html#group24AA9", "24AA⁹"), =HYPERLINK("CSG17.html#group24AD17", "24AD¹⁷"), =HYPERLINK("CSG22.html#group96B22", "96B²²"), =HYPERLINK("CSG18.html#group48O18", "48O¹⁸"), =HYPERLINK("CSG15.html#group36N15", "36N¹⁵"), =HYPERLINK("CSG10.html#group24E10", "24E¹⁰"), =HYPERLINK("CSG5.html#group48E5", "48E⁵"), =HYPERLINK("CSG21.html#group48AD21", "48AD²¹"), =HYPERLINK("CSG17.html#group48BW17", "48BW¹⁷"), =HYPERLINK("CSG17.html#group48AM17", "48AM¹⁷"), =HYPERLINK("CSG19.html#group96L19", "96L¹⁹"), =HYPERLINK("CSG8.html#group24A8", "24A⁸"), =HYPERLINK("CSG20.html#group48H20", "48H²⁰"), =HYPERLINK("CSG19.html#group48AL19", "48AL¹⁹"), =HYPERLINK("CSG18.html#group48B18", "48B¹⁸"), =HYPERLINK("CSG13.html#group24U13", "24U¹³"), =HYPERLINK("CSG17.html#group48P17", "48P¹⁷"), =HYPERLINK("CSG16.html#group72L16", "72L¹⁶"), =HYPERLINK("CSG21.html#group48AT21", "48AT²¹"), =HYPERLINK("CSG21.html#group48BW21", "48BW²¹"), =HYPERLINK("CSG19.html#group96M19", "96M¹⁹"), =HYPERLINK("CSG19.html#group48AZ19", "48AZ¹⁹"), =HYPERLINK("CSG10.html#group48G10", "48G¹⁰"), =HYPERLINK("CSG17.html#group48S17", "48S¹⁷"), =HYPERLINK("CSG14.html#group72G14", "72G¹⁴"), =HYPERLINK("CSG17.html#group48AQ17", "48AQ¹⁷"), =HYPERLINK("CSG19.html#group48AY19", "48AY¹⁹"), =HYPERLINK("CSG8.html#group24L8", "24L⁸"), =HYPERLINK("CSG17.html#group48BJ17", "48BJ¹⁷"), =HYPERLINK("CSG4.html#group24K4", "24K⁴"), =HYPERLINK("CSG16.html#group48H16", "48H¹⁶"), =HYPERLINK("CSG17.html#group48BI17", "48BI¹⁷"), =HYPERLINK("CSG19.html#group24G19", "24G¹⁹"), =HYPERLINK("CSG21.html#group48Q21", "48Q²¹"), =HYPERLINK("CSG7.html#group48U7", "48U⁷"), =HYPERLINK("CSG10.html#group24A10", "24A¹⁰"), =HYPERLINK("CSG6.html#group24D6", "24D⁶"), =HYPERLINK("CSG16.html#group24E16", "24E¹⁶"), =HYPERLINK("CSG17.html#group48AU17", "48AU¹⁷"), =HYPERLINK("CSG15.html#group48U15", "48U¹⁵"), =HYPERLINK("CSG17.html#group24AA17", "24AA¹⁷"), =HYPERLINK("CSG21.html#group48BO21", "48BO²¹"), =HYPERLINK("CSG13.html#group24V13", "24V¹³"), =HYPERLINK("CSG16.html#group48A16", "48A¹⁶"), =HYPERLINK("CSG10.html#group48F10", "48F¹⁰"), =HYPERLINK("CSG17.html#group24F17", "24F¹⁷"), =HYPERLINK("CSG19.html#group24B19", "24B¹⁹"), =HYPERLINK("CSG19.html#group48A19", "48A¹⁹"), =HYPERLINK("CSG18.html#group48T18", "48T¹⁸"), =HYPERLINK("CSG6.html#group36F6", "36F⁶"), =HYPERLINK("CSG21.html#group48BP21", "48BP²¹"), =HYPERLINK("CSG19.html#group48BM19", "48BM¹⁹"), =HYPERLINK("CSG21.html#group48AF21", "48AF²¹"), =HYPERLINK("CSG13.html#group12A13", "12A¹³"), =HYPERLINK("CSG17.html#group48BR17", "48BR¹⁷"), =HYPERLINK("CSG19.html#group24O19", "24O¹⁹"), =HYPERLINK("CSG17.html#group24D17", "24D¹⁷"), =HYPERLINK("CSG13.html#group24X13", "24X¹³"), =HYPERLINK("CSG18.html#group48Q18", "48Q¹⁸"), =HYPERLINK("CSG21.html#group48BV21", "48BV²¹"), =HYPERLINK("CSG12.html#group36F12", "36F¹²"), =HYPERLINK("CSG15.html#group48X15", "48X¹⁵"), =HYPERLINK("CSG17.html#group48BO17", "48BO¹⁷"), =HYPERLINK("CSG11.html#group96I11", "96I¹¹"), =HYPERLINK("CSG19.html#group48AD19", "48AD¹⁹"), =HYPERLINK("CSG17.html#group24AK17", "24AK¹⁷"), =HYPERLINK("CSG13.html#group60P13", "60P¹³"), =HYPERLINK("CSG15.html#group72J15", "72J¹⁵"), =HYPERLINK("CSG7.html#group48AB7", "48AB⁷"), =HYPERLINK("CSG17.html#group48BZ17", "48BZ¹⁷"), =HYPERLINK("CSG19.html#group96AD19", "96AD¹⁹"), =HYPERLINK("CSG20.html#group96G20", "96G²⁰"), =HYPERLINK("CSG12.html#group72F12", "72F¹²"), =HYPERLINK("CSG19.html#group24C19", "24C¹⁹"), =HYPERLINK("CSG17.html#group48T17", "48T¹⁷"), =HYPERLINK("CSG20.html#group36B20", "36B²⁰"), =HYPERLINK("CSG20.html#group96O20", "96O²⁰"), =HYPERLINK("CSG19.html#group24L19", "24L¹⁹"), =HYPERLINK("CSG23.html#group96AD23", "96AD²³"), =HYPERLINK("CSG19.html#group48AU19", "48AU¹⁹"), =HYPERLINK("CSG19.html#group24P19", "24P¹⁹"), =HYPERLINK("CSG8.html#group48R8", "48R⁸"), =HYPERLINK("CSG20.html#group48G20", "48G²⁰"), =HYPERLINK("CSG21.html#group48L21", "48L²¹"), =HYPERLINK("CSG21.html#group48BL21", "48BL²¹"), =HYPERLINK("CSG19.html#group48S19", "48S¹⁹"), =HYPERLINK("CSG5.html#group24W5", "24W⁵"), =HYPERLINK("CSG22.html#group48D22", "48D²²"), =HYPERLINK("CSG15.html#group24C15", "24C¹⁵"), =HYPERLINK("CSG18.html#group48M18", "48M¹⁸"), =HYPERLINK("CSG17.html#group96X17", "96X¹⁷"), =HYPERLINK("CSG17.html#group48AE17", "48AE¹⁷"), =HYPERLINK("CSG19.html#group48AS19", "48AS¹⁹"), =HYPERLINK("CSG20.html#group48A20", "48A²⁰"), =HYPERLINK("CSG7.html#group24L7", "24L⁷"), =HYPERLINK("CSG17.html#group48BX17", "48BX¹⁷"), =HYPERLINK("CSG17.html#group24AC17", "24AC¹⁷"), =HYPERLINK("CSG15.html#group24A15", "24A¹⁵"), =HYPERLINK("CSG17.html#group96N17", "96N¹⁷"), =HYPERLINK("CSG17.html#group24AG17", "24AG¹⁷"), =HYPERLINK("CSG17.html#group48AT17", "48AT¹⁷"), =HYPERLINK("CSG15.html#group72X15", "72X¹⁵"), =HYPERLINK("CSG6.html#group24E6", "24E⁶"), =HYPERLINK("CSG16.html#group48E16", "48E¹⁶"), =HYPERLINK("CSG11.html#group48J11", "48J¹¹"), =HYPERLINK("CSG17.html#group24G17", "24G¹⁷"), =HYPERLINK("CSG20.html#group48E20", "48E²⁰"), =HYPERLINK("CSG19.html#group96J19", "96J¹⁹"), =HYPERLINK("CSG19.html#group24H19", "24H¹⁹"), =HYPERLINK("CSG19.html#group48AH19", "48AH¹⁹"), =HYPERLINK("CSG9.html#group24R9", "24R⁹"), =HYPERLINK("CSG3.html#group24J3", "24J³"), =HYPERLINK("CSG17.html#group48CI17", "48CI¹⁷"), =HYPERLINK("CSG23.html#group36D23", "36D²³"), =HYPERLINK("CSG15.html#group48T15", "48T¹⁵"), =HYPERLINK("CSG17.html#group48AF17", "48AF¹⁷"), =HYPERLINK("CSG8.html#group24C8", "24C⁸"), =HYPERLINK("CSG17.html#group24R17", "24R¹⁷"), =HYPERLINK("CSG9.html#group24V9", "24V⁹"), =HYPERLINK("CSG18.html#group48N18", "48N¹⁸"), =HYPERLINK("CSG15.html#group24R15", "24R¹⁵"), =HYPERLINK("CSG19.html#group24Q19", "24Q¹⁹"), =HYPERLINK("CSG17.html#group48AS17", "48AS¹⁷"), =HYPERLINK("CSG7.html#group48O7", "48O⁷"), =HYPERLINK("CSG4.html#group24O4", "24O⁴"), =HYPERLINK("CSG20.html#group48I20", "48I²⁰"), =HYPERLINK("CSG21.html#group48BX21", "48BX²¹"), =HYPERLINK("CSG21.html#group48AQ21", "48AQ²¹"), =HYPERLINK("CSG17.html#group96D17", "96D¹⁷"), =HYPERLINK("CSG11.html#group12A11", "12A¹¹"), =HYPERLINK("CSG9.html#group24Q9", "24Q⁹"), =HYPERLINK("CSG17.html#group96C17", "96C¹⁷"), =HYPERLINK("CSG21.html#group48BN21", "48BN²¹"), =HYPERLINK("CSG19.html#group48BL19", "48BL¹⁹"), =HYPERLINK("CSG21.html#group48AS21", "48AS²¹"), =HYPERLINK("CSG5.html#group12D5", "12D⁵"), =HYPERLINK("CSG8.html#group48U8", "48U⁸"), =HYPERLINK("CSG17.html#group48AL17", "48AL¹⁷"), =HYPERLINK("CSG19.html#group24N19", "24N¹⁹"), =HYPERLINK("CSG21.html#group48T21", "48T²¹"), =HYPERLINK("CSG2.html#group24L2", "24L²"), =HYPERLINK("CSG19.html#group48AJ19", "48AJ¹⁹"), =HYPERLINK("CSG17.html#group96Y17", "96Y¹⁷"), =HYPERLINK("CSG9.html#group24X9", "24X⁹"), =HYPERLINK("CSG19.html#group48D19", "48D¹⁹"), =HYPERLINK("CSG13.html#group48AB13", "48AB¹³"), =HYPERLINK("CSG21.html#group48AR21", "48AR²¹"), =HYPERLINK("CSG19.html#group48AM19", "48AM¹⁹"), =HYPERLINK("CSG7.html#group24Q7", "24Q⁷"), =HYPERLINK("CSG7.html#group24Y7", "24Y⁷"), =HYPERLINK("CSG19.html#group24D19", "24D¹⁹"), =HYPERLINK("CSG7.html#group24AC7", "24AC⁷"), =HYPERLINK("CSG20.html#group96N20", "96N²⁰"), =HYPERLINK("CSG13.html#group24R13", "24R¹³"), =HYPERLINK("CSG16.html#group48C16", "48C¹⁶"), =HYPERLINK("CSG8.html#group24M8", "24M⁸"), =HYPERLINK("CSG18.html#group48L18", "48L¹⁸"), =HYPERLINK("CSG15.html#group48V15", "48V¹⁵"), =HYPERLINK("CSG4.html#group12A4", "12A⁴"), =HYPERLINK("CSG15.html#group72L15", "72L¹⁵"), =HYPERLINK("CSG15.html#group96O15", "96O¹⁵"), =HYPERLINK("CSG14.html#group72J14", "72J¹⁴"), =HYPERLINK("CSG17.html#group48Q17", "48Q¹⁷"), =HYPERLINK("CSG21.html#group48V21", "48V²¹"), =HYPERLINK("CSG9.html#group24P9", "24P⁹"), =HYPERLINK("CSG18.html#group48E18", "48E¹⁸"), =HYPERLINK("CSG17.html#group24W17", "24W¹⁷"), =HYPERLINK("CSG20.html#group96H20", "96H²⁰"), =HYPERLINK("CSG17.html#group96R17", "96R¹⁷"), =HYPERLINK("CSG9.html#group48K9", "48K⁹"), =HYPERLINK("CSG22.html#group84I22", "84I²²"), =HYPERLINK("CSG17.html#group48BL17", "48BL¹⁷"), =HYPERLINK("CSG15.html#group24N15", "24N¹⁵"), =HYPERLINK("CSG22.html#group48B22", "48B²²"), =HYPERLINK("CSG17.html#group24J17", "24J¹⁷"), =HYPERLINK("CSG8.html#group48H8", "48H⁸"), =HYPERLINK("CSG15.html#group48Y15", "48Y¹⁵"), =HYPERLINK("CSG8.html#group48V8", "48V⁸"), =HYPERLINK("CSG16.html#group84B16", "84B¹⁶"), =HYPERLINK("CSG20.html#group48C20", "48C²⁰"), =HYPERLINK("CSG19.html#group48AV19", "48AV¹⁹"), =HYPERLINK("CSG15.html#group24O15", "24O¹⁵"), =HYPERLINK("CSG17.html#group96E17", "96E¹⁷"), =HYPERLINK("CSG14.html#group36B14", "36B¹⁴"), =HYPERLINK("CSG18.html#group48F18", "48F¹⁸"), =HYPERLINK("CSG16.html#group24C16", "24C¹⁶"), =HYPERLINK("CSG21.html#group48AX21", "48AX²¹"), =HYPERLINK("CSG9.html#group24C9", "24C⁹"), =HYPERLINK("CSG18.html#group48G18", "48G¹⁸"), =HYPERLINK("CSG11.html#group48C11", "48C¹¹"), =HYPERLINK("CSG13.html#group60B13", "60B¹³"), =HYPERLINK("CSG15.html#group48W15", "48W¹⁵"), =HYPERLINK("CSG2.html#group12I2", "12I²"), =HYPERLINK("CSG18.html#group48K18", "48K¹⁸"), =HYPERLINK("CSG17.html#group96B17", "96B¹⁷"), =HYPERLINK("CSG19.html#group48Y19", "48Y¹⁹"), =HYPERLINK("CSG16.html#group24B16", "24B¹⁶"), =HYPERLINK("CSG7.html#group24X7", "24X⁷"), =HYPERLINK("CSG17.html#group96F17", "96F¹⁷"), =HYPERLINK("CSG16.html#group48J16", "48J¹⁶"), =HYPERLINK("CSG14.html#group72D14", "72D¹⁴"), =HYPERLINK("CSG18.html#group48S18", "48S¹⁸"), =HYPERLINK("CSG21.html#group48U21", "48U²¹"), =HYPERLINK("CSG17.html#group48AP17", "48AP¹⁷"), =HYPERLINK("CSG8.html#group24N8", "24N⁸"), =HYPERLINK("CSG20.html#group48F20", "48F²⁰"), =HYPERLINK("CSG22.html#group48C22", "48C²²"), =HYPERLINK("CSG16.html#group24D16", "24D¹⁶"), =HYPERLINK("CSG17.html#group24AH17", "24AH¹⁷"), =HYPERLINK("CSG10.html#group24B10", "24B¹⁰"), =HYPERLINK("CSG19.html#group48G19", "48G¹⁹"), =HYPERLINK("CSG15.html#group48J15", "48J¹⁵"), =HYPERLINK("CSG19.html#group24S19", "24S¹⁹"), =HYPERLINK("CSG17.html#group24N17", "24N¹⁷"), =HYPERLINK("CSG19.html#group24J19", "24J¹⁹"), =HYPERLINK("CSG17.html#group96O17", "96O¹⁷"), =HYPERLINK("CSG6.html#group24G6", "24G⁶"), =HYPERLINK("CSG16.html#group48I16", "48I¹⁶"), =HYPERLINK("CSG17.html#group24AF17", "24AF¹⁷"), =HYPERLINK("CSG19.html#group48B19", "48B¹⁹"), =HYPERLINK("CSG17.html#group72F17", "72F¹⁷"), =HYPERLINK("CSG15.html#group72M15", "72M¹⁵"), =HYPERLINK("CSG19.html#group48AE19", "48AE¹⁹"), =HYPERLINK("CSG7.html#group12C7", "12C⁷"), =HYPERLINK("CSG5.html#group24B5", "24B⁵"), =HYPERLINK("CSG19.html#group96AC19", "96AC¹⁹"), =HYPERLINK("CSG17.html#group48BM17", "48BM¹⁷"), =HYPERLINK("CSG7.html#group48AC7", "48AC⁷"), =HYPERLINK("CSG7.html#group48P7", "48P⁷"), =HYPERLINK("CSG19.html#group48AI19", "48AI¹⁹"), =HYPERLINK("CSG6.html#group24F6", "24F⁶"), =HYPERLINK("CSG20.html#group48B20", "48B²⁰"), =HYPERLINK("CSG22.html#group48A22", "48A²²"), =HYPERLINK("CSG15.html#group24Q15", "24Q¹⁵"), =HYPERLINK("CSG21.html#group48AZ21", "48AZ²¹"), =HYPERLINK("CSG7.html#group24AE7", "24AE⁷"), =HYPERLINK("CSG15.html#group24P15", "24P¹⁵"), =HYPERLINK("CSG19.html#group24I19", "24I¹⁹"), =HYPERLINK("CSG9.html#group24Y9", "24Y⁹"), =HYPERLINK("CSG3.html#group24R3", "24R³"), =HYPERLINK("CSG23.html#group96A23", "96A²³"), =HYPERLINK("CSG21.html#group48F21", "48F²¹"), =HYPERLINK("CSG7.html#group24K7", "24K⁷"), =HYPERLINK("CSG13.html#group24T13", "24T¹³"), =HYPERLINK("CSG17.html#group48BN17", "48BN¹⁷"), =HYPERLINK("CSG19.html#group24A19", "24A¹⁹"), =HYPERLINK("CSG20.html#group96A20", "96A²⁰"), =HYPERLINK("CSG9.html#group24W9", "24W⁹"), =HYPERLINK("CSG3.html#group12J3", "12J³"), =HYPERLINK("CSG15.html#group48I15", "48I¹⁵"), =HYPERLINK("CSG23.html#group96AC23", "96AC²³"), =HYPERLINK("CSG4.html#group24H4", "24H⁴"), =HYPERLINK("CSG19.html#group48V19", "48V¹⁹"), =HYPERLINK("CSG19.html#group48BA19", "48BA¹⁹"), =HYPERLINK("CSG16.html#group36A16", "36A¹⁶"), =HYPERLINK("CSG8.html#group24K8", "24K⁸"), =HYPERLINK("CSG18.html#group48J18", "48J¹⁸"), =HYPERLINK("CSG21.html#group48BA21", "48BA²¹"), =HYPERLINK("CSG16.html#group48G16", "48G¹⁶"), =HYPERLINK("CSG20.html#group48D20", "48D²⁰"), =HYPERLINK("CSG17.html#group48AN17", "48AN¹⁷"), =HYPERLINK("CSG18.html#group48R18", "48R¹⁸"), =HYPERLINK("CSG19.html#group48AK19", "48AK¹⁹"), =HYPERLINK("CSG8.html#group48F8", "48F⁸"), =HYPERLINK("CSG11.html#group48O11", "48O¹¹"), =HYPERLINK("CSG16.html#group24A16", "24A¹⁶"), =HYPERLINK("CSG16.html#group48B16", "48B¹⁶"), =HYPERLINK("CSG3.html#group24P3", "24P³"), =HYPERLINK("CSG17.html#group48AO17", "48AO¹⁷"), =HYPERLINK("CSG19.html#group24F19", "24F¹⁹"), =HYPERLINK("CSG15.html#group24B15", "24B¹⁵"), =HYPERLINK("CSG19.html#group24E19", "24E¹⁹"), =HYPERLINK("CSG7.html#group12B7", "12B⁷"), =HYPERLINK("CSG7.html#group24AB7", "24AB⁷"), =HYPERLINK("CSG19.html#group48U19", "48U¹⁹"), =HYPERLINK("CSG17.html#group24E17", "24E¹⁷"), =HYPERLINK("CSG19.html#group48AC19", "48AC¹⁹"), =HYPERLINK("CSG22.html#group96D22", "96D²²"), =HYPERLINK("CSG18.html#group48P18", "48P¹⁸"), =HYPERLINK("CSG9.html#group24H9", "24H⁹"), =HYPERLINK("CSG19.html#group48T19", "48T¹⁹"), =HYPERLINK("CSG17.html#group24B17", "24B¹⁷"), =HYPERLINK("CSG13.html#group36I13", "36I¹³"), =HYPERLINK("CSG15.html#group48H15", "48H¹⁵"), =HYPERLINK("CSG8.html#group24P8", "24P⁸"), =HYPERLINK("CSG15.html#group48S15", "48S¹⁵"), =HYPERLINK("CSG13.html#group72M13", "72M¹³"), =HYPERLINK("CSG16.html#group48F16", "48F¹⁶"), =HYPERLINK("CSG17.html#group24AL17", "24AL¹⁷"), =HYPERLINK("CSG17.html#group48BK17", "48BK¹⁷"), =HYPERLINK("CSG21.html#group48E21", "48E²¹"), =HYPERLINK("CSG17.html#group24AE17", "24AE¹⁷"), =HYPERLINK("CSG21.html#group48BY21", "48BY²¹"), =HYPERLINK("CSG19.html#group48AB19", "48AB¹⁹"), =HYPERLINK("CSG8.html#group48G8", "48G⁸"), =HYPERLINK("CSG10.html#group48C10", "48C¹⁰"), =HYPERLINK("CSG21.html#group48BM21", "48BM²¹"), =HYPERLINK("CSG15.html#group24M15", "24M¹⁵")</f>
        <v/>
      </c>
    </row>
    <row r="176">
      <c r="A176" t="inlineStr">
        <is>
          <t>12K¹</t>
        </is>
      </c>
      <c r="B176" t="inlineStr"/>
      <c r="C176" t="inlineStr">
        <is>
          <t>36</t>
        </is>
      </c>
      <c r="D176" t="inlineStr">
        <is>
          <t>1</t>
        </is>
      </c>
      <c r="E176" t="inlineStr">
        <is>
          <t>9</t>
        </is>
      </c>
      <c r="F176" t="inlineStr">
        <is>
          <t>0</t>
        </is>
      </c>
      <c r="G176" t="inlineStr">
        <is>
          <t>0</t>
        </is>
      </c>
      <c r="H176" t="inlineStr">
        <is>
          <t>3⁴, 12²</t>
        </is>
      </c>
      <c r="I176" t="n">
        <v>6</v>
      </c>
      <c r="J176" t="inlineStr">
        <is>
          <t>1³, 2³</t>
        </is>
      </c>
      <c r="K176">
        <f>HYPERLINK("CSG0.html#group6G0", "6G⁰"), =HYPERLINK("CSG0.html#group12D0", "12D⁰"), =HYPERLINK("CSG1.html#group12B1", "12B¹")</f>
        <v/>
      </c>
      <c r="L176">
        <f>HYPERLINK("CSG1.html#group12S1", "12S¹"), =HYPERLINK("CSG3.html#group12E3", "12E³"), =HYPERLINK("CSG3.html#group12G3", "12G³"), =HYPERLINK("CSG3.html#group24K3", "24K³"), =HYPERLINK("CSG3.html#group24L3", "24L³"), =HYPERLINK("CSG4.html#group36Q4", "36Q⁴"), =HYPERLINK("CSG7.html#group36C7", "36C⁷"), =HYPERLINK("CSG7.html#group36D7", "36D⁷"), =HYPERLINK("CSG13.html#group60C13", "60C¹³"), =HYPERLINK("CSG13.html#group60T13", "60T¹³"), =HYPERLINK("CSG19.html#group84D19", "84D¹⁹"), =HYPERLINK("CSG19.html#group84K19", "84K¹⁹")</f>
        <v/>
      </c>
      <c r="M176">
        <f>HYPERLINK("CSG0.html#group4B0", "4B⁰"), =HYPERLINK("CSG0.html#group6G0", "6G⁰"), =HYPERLINK("CSG0.html#group3C0", "3C⁰"), =HYPERLINK("CSG1.html#group12B1", "12B¹"), =HYPERLINK("CSG0.html#group12D0", "12D⁰"), =HYPERLINK("CSG0.html#group2B0", "2B⁰"), =HYPERLINK("CSG0.html#group3A0", "3A⁰"), =HYPERLINK("CSG0.html#group1A0", "1A⁰"), =HYPERLINK("CSG0.html#group6D0", "6D⁰")</f>
        <v/>
      </c>
      <c r="N176">
        <f>HYPERLINK("CSG21.html#group72AB21", "72AB²¹"), =HYPERLINK("CSG9.html#group48N9", "48N⁹"), =HYPERLINK("CSG17.html#group24I17", "24I¹⁷"), =HYPERLINK("CSG17.html#group48G17", "48G¹⁷"), =HYPERLINK("CSG3.html#group12G3", "12G³"), =HYPERLINK("CSG13.html#group48W13", "48W¹³"), =HYPERLINK("CSG22.html#group36L22", "36L²²"), =HYPERLINK("CSG17.html#group48U17", "48U¹⁷"), =HYPERLINK("CSG15.html#group36B15", "36B¹⁵"), =HYPERLINK("CSG21.html#group48O21", "48O²¹"), =HYPERLINK("CSG13.html#group36C13", "36C¹³"), =HYPERLINK("CSG5.html#group24R5", "24R⁵"), =HYPERLINK("CSG9.html#group24L9", "24L⁹"), =HYPERLINK("CSG3.html#group24K3", "24K³"), =HYPERLINK("CSG13.html#group24O13", "24O¹³"), =HYPERLINK("CSG7.html#group24G7", "24G⁷"), =HYPERLINK("CSG9.html#group24AP9", "24AP⁹"), =HYPERLINK("CSG17.html#group96I17", "96I¹⁷"), =HYPERLINK("CSG15.html#group48F15", "48F¹⁵"), =HYPERLINK("CSG7.html#group24V7", "24V⁷"), =HYPERLINK("CSG17.html#group24J17", "24J¹⁷"), =HYPERLINK("CSG3.html#group24AC3", "24AC³"), =HYPERLINK("CSG13.html#group24K13", "24K¹³"), =HYPERLINK("CSG7.html#group36D7", "36D⁷"), =HYPERLINK("CSG19.html#group96N19", "96N¹⁹"), =HYPERLINK("CSG21.html#group96M21", "96M²¹"), =HYPERLINK("CSG15.html#group72R15", "72R¹⁵"), =HYPERLINK("CSG7.html#group36C7", "36C⁷"), =HYPERLINK("CSG15.html#group24I15", "24I¹⁵"), =HYPERLINK("CSG13.html#group48Y13", "48Y¹³"), =HYPERLINK("CSG19.html#group48F19", "48F¹⁹"), =HYPERLINK("CSG19.html#group48E19", "48E¹⁹"), =HYPERLINK("CSG21.html#group96P21", "96P²¹"), =HYPERLINK("CSG17.html#group24X17", "24X¹⁷"), =HYPERLINK("CSG7.html#group12E7", "12E⁷"), =HYPERLINK("CSG21.html#group96N21", "96N²¹"), =HYPERLINK("CSG1.html#group12S1", "12S¹"), =HYPERLINK("CSG21.html#group48S21", "48S²¹"), =HYPERLINK("CSG17.html#group48AA17", "48AA¹⁷"), =HYPERLINK("CSG21.html#group96I21", "96I²¹"), =HYPERLINK("CSG19.html#group24B19", "24B¹⁹"), =HYPERLINK("CSG15.html#group24F15", "24F¹⁵"), =HYPERLINK("CSG15.html#group96P15", "96P¹⁵"), =HYPERLINK("CSG21.html#group48AU21", "48AU²¹"), =HYPERLINK("CSG7.html#group48R7", "48R⁷"), =HYPERLINK("CSG13.html#group12A13", "12A¹³"), =HYPERLINK("CSG13.html#group60C13", "60C¹³"), =HYPERLINK("CSG13.html#group48Z13", "48Z¹³"), =HYPERLINK("CSG15.html#group24D15", "24D¹⁵"), =HYPERLINK("CSG19.html#group84D19", "84D¹⁹"), =HYPERLINK("CSG7.html#group48X7", "48X⁷"), =HYPERLINK("CSG11.html#group36L11", "36L¹¹"), =HYPERLINK("CSG21.html#group36E21", "36E²¹"), =HYPERLINK("CSG7.html#group36N7", "36N⁷"), =HYPERLINK("CSG17.html#group72X17", "72X¹⁷"), =HYPERLINK("CSG7.html#group24N7", "24N⁷"), =HYPERLINK("CSG17.html#group24H17", "24H¹⁷"), =HYPERLINK("CSG19.html#group96D19", "96D¹⁹"), =HYPERLINK("CSG9.html#group48D9", "48D⁹"), =HYPERLINK("CSG15.html#group96M15", "96M¹⁵"), =HYPERLINK("CSG17.html#group36K17", "36K¹⁷"), =HYPERLINK("CSG7.html#group24W7", "24W⁷"), =HYPERLINK("CSG17.html#group48B17", "48B¹⁷"), =HYPERLINK("CSG7.html#group12D7", "12D⁷"), =HYPERLINK("CSG19.html#group36O19", "36O¹⁹"), =HYPERLINK("CSG19.html#group36Q19", "36Q¹⁹"), =HYPERLINK("CSG15.html#group48N15", "48N¹⁵"), =HYPERLINK("CSG21.html#group48K21", "48K²¹"), =HYPERLINK("CSG15.html#group96N15", "96N¹⁵"), =HYPERLINK("CSG15.html#group48R15", "48R¹⁵"), =HYPERLINK("CSG19.html#group24C19", "24C¹⁹"), =HYPERLINK("CSG19.html#group36M19", "36M¹⁹"), =HYPERLINK("CSG15.html#group24E15", "24E¹⁵"), =HYPERLINK("CSG21.html#group48AP21", "48AP²¹"), =HYPERLINK("CSG17.html#group24C17", "24C¹⁷"), =HYPERLINK("CSG21.html#group48AO21", "48AO²¹"), =HYPERLINK("CSG15.html#group36K15", "36K¹⁵"), =HYPERLINK("CSG11.html#group72Q11", "72Q¹¹"), =HYPERLINK("CSG7.html#group24T7", "24T⁷"), =HYPERLINK("CSG15.html#group48Q15", "48Q¹⁵"), =HYPERLINK("CSG15.html#group36I15", "36I¹⁵"), =HYPERLINK("CSG21.html#group96S21", "96S²¹"), =HYPERLINK("CSG7.html#group24J7", "24J⁷"), =HYPERLINK("CSG17.html#group48Y17", "48Y¹⁷"), =HYPERLINK("CSG19.html#group48AA19", "48AA¹⁹"), =HYPERLINK("CSG17.html#group24Z17", "24Z¹⁷"), =HYPERLINK("CSG21.html#group96G21", "96G²¹"), =HYPERLINK("CSG15.html#group24G15", "24G¹⁵"), =HYPERLINK("CSG21.html#group48Y21", "48Y²¹"), =HYPERLINK("CSG15.html#group48E15", "48E¹⁵"), =HYPERLINK("CSG13.html#group24J13", "24J¹³"), =HYPERLINK("CSG13.html#group48V13", "48V¹³"), =HYPERLINK("CSG11.html#group72P11", "72P¹¹"), =HYPERLINK("CSG19.html#group24K19", "24K¹⁹"), =HYPERLINK("CSG15.html#group24A15", "24A¹⁵"), =HYPERLINK("CSG3.html#group12O3", "12O³"), =HYPERLINK("CSG15.html#group48K15", "48K¹⁵"), =HYPERLINK("CSG7.html#group48W7", "48W⁷"), =HYPERLINK("CSG21.html#group48Z21", "48Z²¹"), =HYPERLINK("CSG13.html#group24N13", "24N¹³"), =HYPERLINK("CSG19.html#group48K19", "48K¹⁹"), =HYPERLINK("CSG17.html#group48K17", "48K¹⁷"), =HYPERLINK("CSG17.html#group24G17", "24G¹⁷"), =HYPERLINK("CSG19.html#group84K19", "84K¹⁹"), =HYPERLINK("CSG21.html#group96F21", "96F²¹"), =HYPERLINK("CSG15.html#group24J15", "24J¹⁵"), =HYPERLINK("CSG17.html#group48AB17", "48AB¹⁷"), =HYPERLINK("CSG21.html#group96J21", "96J²¹"), =HYPERLINK("CSG9.html#group48C9", "48C⁹"), =HYPERLINK("CSG17.html#group24T17", "24T¹⁷"), =HYPERLINK("CSG4.html#group36Q4", "36Q⁴"), =HYPERLINK("CSG3.html#group12E3", "12E³"), =HYPERLINK("CSG13.html#group24M13", "24M¹³"), =HYPERLINK("CSG17.html#group24Y17", "24Y¹⁷"), =HYPERLINK("CSG15.html#group48O15", "48O¹⁵"), =HYPERLINK("CSG22.html#group72L22", "72L²²"), =HYPERLINK("CSG15.html#group48P15", "48P¹⁵"), =HYPERLINK("CSG3.html#group24L3", "24L³"), =HYPERLINK("CSG15.html#group72G15", "72G¹⁵"), =HYPERLINK("CSG17.html#group48V17", "48V¹⁷"), =HYPERLINK("CSG5.html#group12B5", "12B⁵"), =HYPERLINK("CSG17.html#group48Z17", "48Z¹⁷"), =HYPERLINK("CSG15.html#group72F15", "72F¹⁵"), =HYPERLINK("CSG15.html#group24H15", "24H¹⁵"), =HYPERLINK("CSG15.html#group36D15", "36D¹⁵"), =HYPERLINK("CSG9.html#group24G9", "24G⁹"), =HYPERLINK("CSG17.html#group96S17", "96S¹⁷"), =HYPERLINK("CSG7.html#group48Y7", "48Y⁷"), =HYPERLINK("CSG21.html#group48P21", "48P²¹"), =HYPERLINK("CSG15.html#group24B15", "24B¹⁵"), =HYPERLINK("CSG7.html#group12B7", "12B⁷"), =HYPERLINK("CSG7.html#group24I7", "24I⁷"), =HYPERLINK("CSG11.html#group36N11", "36N¹¹"), =HYPERLINK("CSG9.html#group24J9", "24J⁹"), =HYPERLINK("CSG13.html#group60T13", "60T¹³"), =HYPERLINK("CSG15.html#group72S15", "72S¹⁵"), =HYPERLINK("CSG17.html#group24A17", "24A¹⁷"), =HYPERLINK("CSG17.html#group96J17", "96J¹⁷"), =HYPERLINK("CSG19.html#group96F19", "96F¹⁹"), =HYPERLINK("CSG7.html#group24U7", "24U⁷"), =HYPERLINK("CSG10.html#group36Q10", "36Q¹⁰"), =HYPERLINK("CSG17.html#group24V17", "24V¹⁷"), =HYPERLINK("CSG9.html#group12B9", "12B⁹"), =HYPERLINK("CSG21.html#group96AB21", "96AB²¹"), =HYPERLINK("CSG13.html#group12B13", "12B¹³"), =HYPERLINK("CSG17.html#group48F17", "48F¹⁷"), =HYPERLINK("CSG7.html#group48Q7", "48Q⁷"), =HYPERLINK("CSG13.html#group24L13", "24L¹³"), =HYPERLINK("CSG17.html#group48C17", "48C¹⁷"), =HYPERLINK("CSG13.html#group24P13", "24P¹³"), =HYPERLINK("CSG17.html#group48E17", "48E¹⁷")</f>
        <v/>
      </c>
    </row>
    <row r="177">
      <c r="A177" t="inlineStr">
        <is>
          <t>12L¹</t>
        </is>
      </c>
      <c r="B177" t="inlineStr"/>
      <c r="C177" t="inlineStr">
        <is>
          <t>36</t>
        </is>
      </c>
      <c r="D177" t="inlineStr">
        <is>
          <t>1</t>
        </is>
      </c>
      <c r="E177" t="inlineStr">
        <is>
          <t>9</t>
        </is>
      </c>
      <c r="F177" t="inlineStr">
        <is>
          <t>4</t>
        </is>
      </c>
      <c r="G177" t="inlineStr">
        <is>
          <t>0</t>
        </is>
      </c>
      <c r="H177" t="inlineStr">
        <is>
          <t>6², 12²</t>
        </is>
      </c>
      <c r="I177" t="n">
        <v>4</v>
      </c>
      <c r="J177" t="inlineStr">
        <is>
          <t>1³, 2³</t>
        </is>
      </c>
      <c r="K177">
        <f>HYPERLINK("CSG0.html#group6G0", "6G⁰"), =HYPERLINK("CSG0.html#group12C0", "12C⁰"), =HYPERLINK("CSG1.html#group12C1", "12C¹")</f>
        <v/>
      </c>
      <c r="L177">
        <f>HYPERLINK("CSG1.html#group12T1", "12T¹"), =HYPERLINK("CSG3.html#group12D3", "12D³"), =HYPERLINK("CSG3.html#group12G3", "12G³"), =HYPERLINK("CSG3.html#group12I3", "12I³"), =HYPERLINK("CSG3.html#group12J3", "12J³"), =HYPERLINK("CSG3.html#group24H3", "24H³"), =HYPERLINK("CSG3.html#group24I3", "24I³"), =HYPERLINK("CSG3.html#group24N3", "24N³"), =HYPERLINK("CSG3.html#group24O3", "24O³"), =HYPERLINK("CSG5.html#group24C5", "24C⁵"), =HYPERLINK("CSG5.html#group24E5", "24E⁵"), =HYPERLINK("CSG5.html#group36H5", "36H⁵"), =HYPERLINK("CSG5.html#group36I5", "36I⁵"), =HYPERLINK("CSG7.html#group36E7", "36E⁷"), =HYPERLINK("CSG13.html#group60D13", "60D¹³"), =HYPERLINK("CSG13.html#group60Y13", "60Y¹³"), =HYPERLINK("CSG17.html#group84H17", "84H¹⁷"), =HYPERLINK("CSG21.html#group84D21", "84D²¹")</f>
        <v/>
      </c>
      <c r="M177">
        <f>HYPERLINK("CSG0.html#group12C0", "12C⁰"), =HYPERLINK("CSG1.html#group12C1", "12C¹"), =HYPERLINK("CSG0.html#group4C0", "4C⁰"), =HYPERLINK("CSG0.html#group6G0", "6G⁰"), =HYPERLINK("CSG0.html#group3C0", "3C⁰"), =HYPERLINK("CSG0.html#group2B0", "2B⁰"), =HYPERLINK("CSG0.html#group3A0", "3A⁰"), =HYPERLINK("CSG0.html#group1A0", "1A⁰"), =HYPERLINK("CSG0.html#group6D0", "6D⁰")</f>
        <v/>
      </c>
      <c r="N177">
        <f>HYPERLINK("CSG21.html#group96Y21", "96Y²¹"), =HYPERLINK("CSG13.html#group72K13", "72K¹³"), =HYPERLINK("CSG19.html#group48BE19", "48BE¹⁹"), =HYPERLINK("CSG17.html#group48O17", "48O¹⁷"), =HYPERLINK("CSG9.html#group48M9", "48M⁹"), =HYPERLINK("CSG12.html#group36D12", "36D¹²"), =HYPERLINK("CSG17.html#group48AI17", "48AI¹⁷"), =HYPERLINK("CSG19.html#group24M19", "24M¹⁹"), =HYPERLINK("CSG17.html#group48AK17", "48AK¹⁷"), =HYPERLINK("CSG15.html#group24L15", "24L¹⁵"), =HYPERLINK("CSG3.html#group12G3", "12G³"), =HYPERLINK("CSG9.html#group24O9", "24O⁹"), =HYPERLINK("CSG21.html#group96AU21", "96AU²¹"), =HYPERLINK("CSG17.html#group24AB17", "24AB¹⁷"), =HYPERLINK("CSG17.html#group48U17", "48U¹⁷"), =HYPERLINK("CSG7.html#group24R7", "24R⁷"), =HYPERLINK("CSG19.html#group48Z19", "48Z¹⁹"), =HYPERLINK("CSG15.html#group24K15", "24K¹⁵"), =HYPERLINK("CSG17.html#group48AG17", "48AG¹⁷"), =HYPERLINK("CSG19.html#group36R19", "36R¹⁹"), =HYPERLINK("CSG7.html#group36E7", "36E⁷"), =HYPERLINK("CSG19.html#group36U19", "36U¹⁹"), =HYPERLINK("CSG13.html#group24Q13", "24Q¹³"), =HYPERLINK("CSG17.html#group24AD17", "24AD¹⁷"), =HYPERLINK("CSG9.html#group48V9", "48V⁹"), =HYPERLINK("CSG15.html#group36N15", "36N¹⁵"), =HYPERLINK("CSG21.html#group48AD21", "48AD²¹"), =HYPERLINK("CSG17.html#group48M17", "48M¹⁷"), =HYPERLINK("CSG7.html#group24V7", "24V⁷"), =HYPERLINK("CSG19.html#group48AL19", "48AL¹⁹"), =HYPERLINK("CSG13.html#group24U13", "24U¹³"), =HYPERLINK("CSG17.html#group48AH17", "48AH¹⁷"), =HYPERLINK("CSG17.html#group96W17", "96W¹⁷"), =HYPERLINK("CSG17.html#group48P17", "48P¹⁷"), =HYPERLINK("CSG21.html#group48BW21", "48BW²¹"), =HYPERLINK("CSG21.html#group48AB21", "48AB²¹"), =HYPERLINK("CSG21.html#group48BC21", "48BC²¹"), =HYPERLINK("CSG13.html#group72J13", "72J¹³"), =HYPERLINK("CSG21.html#group48B21", "48B²¹"), =HYPERLINK("CSG15.html#group24I15", "24I¹⁵"), =HYPERLINK("CSG13.html#group48AC13", "48AC¹³"), =HYPERLINK("CSG19.html#group48E19", "48E¹⁹"), =HYPERLINK("CSG17.html#group48BJ17", "48BJ¹⁷"), =HYPERLINK("CSG17.html#group48BI17", "48BI¹⁷"), =HYPERLINK("CSG15.html#group72V15", "72V¹⁵"), =HYPERLINK("CSG23.html#group96Z23", "96Z²³"), =HYPERLINK("CSG21.html#group48AV21", "48AV²¹"), =HYPERLINK("CSG21.html#group48BE21", "48BE²¹"), =HYPERLINK("CSG17.html#group24AA17", "24AA¹⁷"), =HYPERLINK("CSG19.html#group48BG19", "48BG¹⁹"), =HYPERLINK("CSG11.html#group48E11", "48E¹¹"), =HYPERLINK("CSG19.html#group24B19", "24B¹⁹"), =HYPERLINK("CSG21.html#group96AE21", "96AE²¹"), =HYPERLINK("CSG21.html#group96AV21", "96AV²¹"), =HYPERLINK("CSG21.html#group48AF21", "48AF²¹"), =HYPERLINK("CSG11.html#group48P11", "48P¹¹"), =HYPERLINK("CSG5.html#group12C5", "12C⁵"), =HYPERLINK("CSG21.html#group84D21", "84D²¹"), =HYPERLINK("CSG13.html#group12A13", "12A¹³"), =HYPERLINK("CSG23.html#group96T23", "96T²³"), =HYPERLINK("CSG23.html#group36A23", "36A²³"), =HYPERLINK("CSG19.html#group24O19", "24O¹⁹"), =HYPERLINK("CSG17.html#group24D17", "24D¹⁷"), =HYPERLINK("CSG21.html#group48G21", "48G²¹"), =HYPERLINK("CSG15.html#group24D15", "24D¹⁵"), =HYPERLINK("CSG12.html#group72H12", "72H¹²"), =HYPERLINK("CSG21.html#group48M21", "48M²¹"), =HYPERLINK("CSG21.html#group36E21", "36E²¹"), =HYPERLINK("CSG7.html#group24O7", "24O⁷"), =HYPERLINK("CSG19.html#group48AF19", "48AF¹⁹"), =HYPERLINK("CSG5.html#group36H5", "36H⁵"), =HYPERLINK("CSG17.html#group96Q17", "96Q¹⁷"), =HYPERLINK("CSG23.html#group96Y23", "96Y²³"), =HYPERLINK("CSG17.html#group48AX17", "48AX¹⁷"), =HYPERLINK("CSG5.html#group24T5", "24T⁵"), =HYPERLINK("CSG15.html#group72I15", "72I¹⁵"), =HYPERLINK("CSG21.html#group48K21", "48K²¹"), =HYPERLINK("CSG19.html#group24C19", "24C¹⁹"), =HYPERLINK("CSG17.html#group48AZ17", "48AZ¹⁷"), =HYPERLINK("CSG15.html#group24E15", "24E¹⁵"), =HYPERLINK("CSG9.html#group24N9", "24N⁹"), =HYPERLINK("CSG17.html#group48AR17", "48AR¹⁷"), =HYPERLINK("CSG21.html#group96AN21", "96AN²¹"), =HYPERLINK("CSG3.html#group24O3", "24O³"), =HYPERLINK("CSG15.html#group24C15", "24C¹⁵"), =HYPERLINK("CSG23.html#group36B23", "36B²³"), =HYPERLINK("CSG11.html#group36I11", "36I¹¹"), =HYPERLINK("CSG21.html#group96AO21", "96AO²¹"), =HYPERLINK("CSG17.html#group24Z17", "24Z¹⁷"), =HYPERLINK("CSG9.html#group24A9", "24A⁹"), =HYPERLINK("CSG21.html#group48Y21", "48Y²¹"), =HYPERLINK("CSG15.html#group48E15", "48E¹⁵"), =HYPERLINK("CSG17.html#group48AE17", "48AE¹⁷"), =HYPERLINK("CSG19.html#group24K19", "24K¹⁹"), =HYPERLINK("CSG17.html#group24AC17", "24AC¹⁷"), =HYPERLINK("CSG15.html#group24A15", "24A¹⁵"), =HYPERLINK("CSG11.html#group72N11", "72N¹¹"), =HYPERLINK("CSG17.html#group24AG17", "24AG¹⁷"), =HYPERLINK("CSG15.html#group48K15", "48K¹⁵"), =HYPERLINK("CSG21.html#group48AC21", "48AC²¹"), =HYPERLINK("CSG13.html#group24Y13", "24Y¹³"), =HYPERLINK("CSG19.html#group48K19", "48K¹⁹"), =HYPERLINK("CSG17.html#group24G17", "24G¹⁷"), =HYPERLINK("CSG13.html#group36D13", "36D¹³"), =HYPERLINK("CSG15.html#group72H15", "72H¹⁵"), =HYPERLINK("CSG19.html#group48AH19", "48AH¹⁹"), =HYPERLINK("CSG9.html#group24R9", "24R⁹"), =HYPERLINK("CSG21.html#group72AA21", "72AA²¹"), =HYPERLINK("CSG15.html#group24J15", "24J¹⁵"), =HYPERLINK("CSG23.html#group36D23", "36D²³"), =HYPERLINK("CSG21.html#group48BG21", "48BG²¹"), =HYPERLINK("CSG17.html#group48AF17", "48AF¹⁷"), =HYPERLINK("CSG23.html#group144X23", "144X²³"), =HYPERLINK("CSG17.html#group96V17", "96V¹⁷"), =HYPERLINK("CSG9.html#group24V9", "24V⁹"), =HYPERLINK("CSG17.html#group24Y17", "24Y¹⁷"), =HYPERLINK("CSG19.html#group24Q19", "24Q¹⁹"), =HYPERLINK("CSG9.html#group24E9", "24E⁹"), =HYPERLINK("CSG17.html#group96T17", "96T¹⁷"), =HYPERLINK("CSG5.html#group12B5", "12B⁵"), =HYPERLINK("CSG17.html#group72I17", "72I¹⁷"), =HYPERLINK("CSG9.html#group24G9", "24G⁹"), =HYPERLINK("CSG11.html#group48H11", "48H¹¹"), =HYPERLINK("CSG11.html#group12A11", "12A¹¹"), =HYPERLINK("CSG19.html#group36N19", "36N¹⁹"), =HYPERLINK("CSG7.html#group48M7", "48M⁷"), =HYPERLINK("CSG17.html#group96P17", "96P¹⁷"), =HYPERLINK("CSG21.html#group48P21", "48P²¹"), =HYPERLINK("CSG7.html#group24I7", "24I⁷"), =HYPERLINK("CSG11.html#group36N11", "36N¹¹"), =HYPERLINK("CSG17.html#group24V17", "24V¹⁷"), =HYPERLINK("CSG19.html#group48X19", "48X¹⁹"), =HYPERLINK("CSG7.html#group24Z7", "24Z⁷"), =HYPERLINK("CSG5.html#group12D5", "12D⁵"), =HYPERLINK("CSG17.html#group48AL17", "48AL¹⁷"), =HYPERLINK("CSG19.html#group24N19", "24N¹⁹"), =HYPERLINK("CSG7.html#group48Z7", "48Z⁷"), =HYPERLINK("CSG17.html#group72A17", "72A¹⁷"), =HYPERLINK("CSG21.html#group48W21", "48W²¹"), =HYPERLINK("CSG13.html#group60Y13", "60Y¹³"), =HYPERLINK("CSG23.html#group72I23", "72I²³"), =HYPERLINK("CSG23.html#group36C23", "36C²³"), =HYPERLINK("CSG7.html#group24H7", "24H⁷"), =HYPERLINK("CSG19.html#group48AM19", "48AM¹⁹"), =HYPERLINK("CSG7.html#group24Q7", "24Q⁷"), =HYPERLINK("CSG7.html#group48AA7", "48AA⁷"), =HYPERLINK("CSG17.html#group48E17", "48E¹⁷"), =HYPERLINK("CSG21.html#group96AA21", "96AA²¹"), =HYPERLINK("CSG7.html#group24Y7", "24Y⁷"), =HYPERLINK("CSG5.html#group36I5", "36I⁵"), =HYPERLINK("CSG19.html#group96AJ19", "96AJ¹⁹"), =HYPERLINK("CSG13.html#group24R13", "24R¹³"), =HYPERLINK("CSG21.html#group96AG21", "96AG²¹"), =HYPERLINK("CSG21.html#group48H21", "48H²¹"), =HYPERLINK("CSG17.html#group24I17", "24I¹⁷"), =HYPERLINK("CSG13.html#group72H13", "72H¹³"), =HYPERLINK("CSG21.html#group48O21", "48O²¹"), =HYPERLINK("CSG21.html#group48A21", "48A²¹"), =HYPERLINK("CSG23.html#group144W23", "144W²³"), =HYPERLINK("CSG9.html#group48S9", "48S⁹"), =HYPERLINK("CSG23.html#group96S23", "96S²³"), =HYPERLINK("CSG13.html#group24O13", "24O¹³"), =HYPERLINK("CSG17.html#group24K17", "24K¹⁷"), =HYPERLINK("CSG17.html#group48Q17", "48Q¹⁷"), =HYPERLINK("CSG9.html#group24P9", "24P⁹"), =HYPERLINK("CSG17.html#group48R17", "48R¹⁷"), =HYPERLINK("CSG15.html#group48F15", "48F¹⁵"), =HYPERLINK("CSG21.html#group48X21", "48X²¹"), =HYPERLINK("CSG17.html#group48BL17", "48BL¹⁷"), =HYPERLINK("CSG15.html#group24N15", "24N¹⁵"), =HYPERLINK("CSG9.html#group36O9", "36O⁹"), =HYPERLINK("CSG21.html#group96AF21", "96AF²¹"), =HYPERLINK("CSG17.html#group24J17", "24J¹⁷"), =HYPERLINK("CSG13.html#group24K13", "24K¹³"), =HYPERLINK("CSG9.html#group36P9", "36P⁹"), =HYPERLINK("CSG13.html#group36P13", "36P¹³"), =HYPERLINK("CSG19.html#group48BD19", "48BD¹⁹"), =HYPERLINK("CSG19.html#group48F19", "48F¹⁹"), =HYPERLINK("CSG17.html#group96U17", "96U¹⁷"), =HYPERLINK("CSG13.html#group24S13", "24S¹³"), =HYPERLINK("CSG7.html#group24X7", "24X⁷"), =HYPERLINK("CSG11.html#group24N11", "24N¹¹"), =HYPERLINK("CSG15.html#group36A15", "36A¹⁵"), =HYPERLINK("CSG21.html#group48S21", "48S²¹"), =HYPERLINK("CSG17.html#group48AJ17", "48AJ¹⁷"), =HYPERLINK("CSG15.html#group24F15", "24F¹⁵"), =HYPERLINK("CSG21.html#group48AU21", "48AU²¹"), =HYPERLINK("CSG3.html#group24N3", "24N³"), =HYPERLINK("CSG17.html#group72J17", "72J¹⁷"), =HYPERLINK("CSG21.html#group96AP21", "96AP²¹"), =HYPERLINK("CSG12.html#group36C12", "36C¹²"), =HYPERLINK("CSG21.html#group48BT21", "48BT²¹"), =HYPERLINK("CSG17.html#group24AH17", "24AH¹⁷"), =HYPERLINK("CSG9.html#group48W9", "48W⁹"), =HYPERLINK("CSG17.html#group48AV17", "48AV¹⁷"), =HYPERLINK("CSG17.html#group84H17", "84H¹⁷"), =HYPERLINK("CSG7.html#group24S7", "24S⁷"), =HYPERLINK("CSG7.html#group24P7", "24P⁷"), =HYPERLINK("CSG17.html#group48AW17", "48AW¹⁷"), =HYPERLINK("CSG9.html#group48J9", "48J⁹"), =HYPERLINK("CSG17.html#group24H17", "24H¹⁷"), =HYPERLINK("CSG9.html#group48I9", "48I⁹"), =HYPERLINK("CSG17.html#group24N17", "24N¹⁷"), =HYPERLINK("CSG17.html#group24O17", "24O¹⁷"), =HYPERLINK("CSG19.html#group24J19", "24J¹⁹"), =HYPERLINK("CSG7.html#group24W7", "24W⁷"), =HYPERLINK("CSG19.html#group48W19", "48W¹⁹"), =HYPERLINK("CSG15.html#group72O15", "72O¹⁵"), =HYPERLINK("CSG17.html#group24AF17", "24AF¹⁷"), =HYPERLINK("CSG7.html#group12D7", "12D⁷"), =HYPERLINK("CSG7.html#group12C7", "12C⁷"), =HYPERLINK("CSG13.html#group72G13", "72G¹³"), =HYPERLINK("CSG21.html#group48AP21", "48AP²¹"), =HYPERLINK("CSG17.html#group24C17", "24C¹⁷"), =HYPERLINK("CSG1.html#group12T1", "12T¹"), =HYPERLINK("CSG21.html#group48AO21", "48AO²¹"), =HYPERLINK("CSG15.html#group36K15", "36K¹⁵"), =HYPERLINK("CSG7.html#group24AA7", "24AA⁷"), =HYPERLINK("CSG17.html#group48BM17", "48BM¹⁷"), =HYPERLINK("CSG19.html#group48AI19", "48AI¹⁹"), =HYPERLINK("CSG15.html#group36M15", "36M¹⁵"), =HYPERLINK("CSG7.html#group24J7", "24J⁷"), =HYPERLINK("CSG17.html#group24L17", "24L¹⁷"), =HYPERLINK("CSG17.html#group24AI17", "24AI¹⁷"), =HYPERLINK("CSG23.html#group72J23", "72J²³"), =HYPERLINK("CSG21.html#group48AZ21", "48AZ²¹"), =HYPERLINK("CSG13.html#group24J13", "24J¹³"), =HYPERLINK("CSG9.html#group24Y9", "24Y⁹"), =HYPERLINK("CSG13.html#group24T13", "24T¹³"), =HYPERLINK("CSG21.html#group48Z21", "48Z²¹"), =HYPERLINK("CSG21.html#group96AH21", "96AH²¹"), =HYPERLINK("CSG17.html#group48K17", "48K¹⁷"), =HYPERLINK("CSG9.html#group24B9", "24B⁹"), =HYPERLINK("CSG19.html#group48AG19", "48AG¹⁹"), =HYPERLINK("CSG21.html#group48BD21", "48BD²¹"), =HYPERLINK("CSG3.html#group12J3", "12J³"), =HYPERLINK("CSG12.html#group72I12", "72I¹²"), =HYPERLINK("CSG3.html#group12D3", "12D³"), =HYPERLINK("CSG15.html#group72N15", "72N¹⁵"), =HYPERLINK("CSG3.html#group12I3", "12I³"), =HYPERLINK("CSG9.html#group48H9", "48H⁹"), =HYPERLINK("CSG5.html#group24C5", "24C⁵"), =HYPERLINK("CSG3.html#group12P3", "12P³"), =HYPERLINK("CSG17.html#group24T17", "24T¹⁷"), =HYPERLINK("CSG21.html#group48D21", "48D²¹"), =HYPERLINK("CSG19.html#group48V19", "48V¹⁹"), =HYPERLINK("CSG21.html#group48BA21", "48BA²¹"), =HYPERLINK("CSG17.html#group48L17", "48L¹⁷"), =HYPERLINK("CSG21.html#group36C21", "36C²¹"), =HYPERLINK("CSG19.html#group96AI19", "96AI¹⁹"), =HYPERLINK("CSG17.html#group48N17", "48N¹⁷"), =HYPERLINK("CSG9.html#group48Z9", "48Z⁹"), =HYPERLINK("CSG13.html#group60D13", "60D¹³"), =HYPERLINK("CSG13.html#group36H13", "36H¹³"), =HYPERLINK("CSG3.html#group24I3", "24I³"), =HYPERLINK("CSG15.html#group72U15", "72U¹⁵"), =HYPERLINK("CSG15.html#group36D15", "36D¹⁵"), =HYPERLINK("CSG17.html#group72B17", "72B¹⁷"), =HYPERLINK("CSG5.html#group24E5", "24E⁵"), =HYPERLINK("CSG11.html#group72M11", "72M¹¹"), =HYPERLINK("CSG21.html#group96AM21", "96AM²¹"), =HYPERLINK("CSG19.html#group48J19", "48J¹⁹"), =HYPERLINK("CSG21.html#group48C21", "48C²¹"), =HYPERLINK("CSG3.html#group24H3", "24H³"), =HYPERLINK("CSG17.html#group24M17", "24M¹⁷"), =HYPERLINK("CSG15.html#group24B15", "24B¹⁵"), =HYPERLINK("CSG5.html#group24U5", "24U⁵"), =HYPERLINK("CSG7.html#group12B7", "12B⁷"), =HYPERLINK("CSG5.html#group24S5", "24S⁵"), =HYPERLINK("CSG9.html#group24J9", "24J⁹"), =HYPERLINK("CSG17.html#group24A17", "24A¹⁷"), =HYPERLINK("CSG17.html#group24E17", "24E¹⁷"), =HYPERLINK("CSG15.html#group24U15", "24U¹⁵"), =HYPERLINK("CSG17.html#group48AY17", "48AY¹⁷"), =HYPERLINK("CSG9.html#group48R9", "48R⁹"), =HYPERLINK("CSG15.html#group48G15", "48G¹⁵"), =HYPERLINK("CSG19.html#group48BC19", "48BC¹⁹"), =HYPERLINK("CSG13.html#group36I13", "36I¹³"), =HYPERLINK("CSG9.html#group12B9", "12B⁹"), =HYPERLINK("CSG13.html#group12B13", "12B¹³"), =HYPERLINK("CSG19.html#group48BB19", "48BB¹⁹"), =HYPERLINK("CSG13.html#group48AD13", "48AD¹³"), =HYPERLINK("CSG23.html#group72K23", "72K²³"), =HYPERLINK("CSG21.html#group48BB21", "48BB²¹"), =HYPERLINK("CSG7.html#group48N7", "48N⁷"), =HYPERLINK("CSG13.html#group24W13", "24W¹³"), =HYPERLINK("CSG17.html#group48BK17", "48BK¹⁷"), =HYPERLINK("CSG13.html#group48X13", "48X¹³"), =HYPERLINK("CSG17.html#group24AE17", "24AE¹⁷"), =HYPERLINK("CSG21.html#group48BY21", "48BY²¹"), =HYPERLINK("CSG13.html#group24P13", "24P¹³"), =HYPERLINK("CSG11.html#group48S11", "48S¹¹"), =HYPERLINK("CSG15.html#group24M15", "24M¹⁵")</f>
        <v/>
      </c>
    </row>
    <row r="178">
      <c r="A178" t="inlineStr">
        <is>
          <t>12M¹</t>
        </is>
      </c>
      <c r="B178" t="inlineStr"/>
      <c r="C178" t="inlineStr">
        <is>
          <t>36</t>
        </is>
      </c>
      <c r="D178" t="inlineStr">
        <is>
          <t>1</t>
        </is>
      </c>
      <c r="E178" t="inlineStr">
        <is>
          <t>18</t>
        </is>
      </c>
      <c r="F178" t="inlineStr">
        <is>
          <t>6</t>
        </is>
      </c>
      <c r="G178" t="inlineStr">
        <is>
          <t>0</t>
        </is>
      </c>
      <c r="H178" t="inlineStr">
        <is>
          <t>12³</t>
        </is>
      </c>
      <c r="I178" t="n">
        <v>3</v>
      </c>
      <c r="J178" t="inlineStr">
        <is>
          <t>1², 2⁴, 4²</t>
        </is>
      </c>
      <c r="K178">
        <f>HYPERLINK("CSG0.html#group12C0", "12C⁰")</f>
        <v/>
      </c>
      <c r="L178">
        <f>HYPERLINK("CSG2.html#group12H2", "12H²"), =HYPERLINK("CSG2.html#group12I2", "12I²"), =HYPERLINK("CSG2.html#group24P2", "24P²"), =HYPERLINK("CSG3.html#group12I3", "12I³"), =HYPERLINK("CSG3.html#group12J3", "12J³"), =HYPERLINK("CSG3.html#group24Q3", "24Q³"), =HYPERLINK("CSG3.html#group24T3", "24T³"), =HYPERLINK("CSG4.html#group12C4", "12C⁴"), =HYPERLINK("CSG4.html#group24L4", "24L⁴"), =HYPERLINK("CSG4.html#group24P4", "24P⁴"), =HYPERLINK("CSG5.html#group24G5", "24G⁵"), =HYPERLINK("CSG6.html#group36E6", "36E⁶"), =HYPERLINK("CSG6.html#group36I6", "36I⁶"), =HYPERLINK("CSG13.html#group60F13", "60F¹³"), =HYPERLINK("CSG13.html#group60AA13", "60AA¹³"), =HYPERLINK("CSG16.html#group84J16", "84J¹⁶"), =HYPERLINK("CSG22.html#group84J22", "84J²²")</f>
        <v/>
      </c>
      <c r="M178">
        <f>HYPERLINK("CSG0.html#group2B0", "2B⁰"), =HYPERLINK("CSG0.html#group12C0", "12C⁰"), =HYPERLINK("CSG0.html#group3A0", "3A⁰"), =HYPERLINK("CSG0.html#group1A0", "1A⁰"), =HYPERLINK("CSG0.html#group6D0", "6D⁰"), =HYPERLINK("CSG0.html#group4C0", "4C⁰")</f>
        <v/>
      </c>
      <c r="N178">
        <f>HYPERLINK("CSG15.html#group96R15", "96R¹⁵"), =HYPERLINK("CSG21.html#group48AY21", "48AY²¹"), =HYPERLINK("CSG17.html#group48O17", "48O¹⁷"), =HYPERLINK("CSG11.html#group48T11", "48T¹¹"), =HYPERLINK("CSG17.html#group48AI17", "48AI¹⁷"), =HYPERLINK("CSG12.html#group36D12", "36D¹²"), =HYPERLINK("CSG19.html#group24M19", "24M¹⁹"), =HYPERLINK("CSG17.html#group48AK17", "48AK¹⁷"), =HYPERLINK("CSG15.html#group24L15", "24L¹⁵"), =HYPERLINK("CSG19.html#group48BK19", "48BK¹⁹"), =HYPERLINK("CSG20.html#group96D20", "96D²⁰"), =HYPERLINK("CSG9.html#group24O9", "24O⁹"), =HYPERLINK("CSG17.html#group24AB17", "24AB¹⁷"), =HYPERLINK("CSG16.html#group36E16", "36E¹⁶"), =HYPERLINK("CSG17.html#group48CE17", "48CE¹⁷"), =HYPERLINK("CSG16.html#group48D16", "48D¹⁶"), =HYPERLINK("CSG21.html#group48AE21", "48AE²¹"), =HYPERLINK("CSG6.html#group36I6", "36I⁶"), =HYPERLINK("CSG19.html#group48Z19", "48Z¹⁹"), =HYPERLINK("CSG7.html#group24R7", "24R⁷"), =HYPERLINK("CSG20.html#group96S20", "96S²⁰"), =HYPERLINK("CSG17.html#group24AD17", "24AD¹⁷"), =HYPERLINK("CSG20.html#group96C20", "96C²⁰"), =HYPERLINK("CSG17.html#group48CH17", "48CH¹⁷"), =HYPERLINK("CSG7.html#group24AD7", "24AD⁷"), =HYPERLINK("CSG15.html#group36N15", "36N¹⁵"), =HYPERLINK("CSG21.html#group48AD21", "48AD²¹"), =HYPERLINK("CSG17.html#group72L17", "72L¹⁷"), =HYPERLINK("CSG6.html#group36E6", "36E⁶"), =HYPERLINK("CSG19.html#group48AL19", "48AL¹⁹"), =HYPERLINK("CSG13.html#group24U13", "24U¹³"), =HYPERLINK("CSG21.html#group48BK21", "48BK²¹"), =HYPERLINK("CSG19.html#group48I19", "48I¹⁹"), =HYPERLINK("CSG17.html#group48P17", "48P¹⁷"), =HYPERLINK("CSG21.html#group48AT21", "48AT²¹"), =HYPERLINK("CSG21.html#group48AB21", "48AB²¹"), =HYPERLINK("CSG21.html#group48BW21", "48BW²¹"), =HYPERLINK("CSG17.html#group48AQ17", "48AQ¹⁷"), =HYPERLINK("CSG9.html#group24I9", "24I⁹"), =HYPERLINK("CSG13.html#group60AA13", "60AA¹³"), =HYPERLINK("CSG21.html#group48BH21", "48BH²¹"), =HYPERLINK("CSG9.html#group24Z9", "24Z⁹"), =HYPERLINK("CSG17.html#group48BJ17", "48BJ¹⁷"), =HYPERLINK("CSG17.html#group48BI17", "48BI¹⁷"), =HYPERLINK("CSG21.html#group48BQ21", "48BQ²¹"), =HYPERLINK("CSG13.html#group60F13", "60F¹³"), =HYPERLINK("CSG15.html#group48U15", "48U¹⁵"), =HYPERLINK("CSG17.html#group48CF17", "48CF¹⁷"), =HYPERLINK("CSG17.html#group24AA17", "24AA¹⁷"), =HYPERLINK("CSG13.html#group24V13", "24V¹³"), =HYPERLINK("CSG19.html#group24B19", "24B¹⁹"), =HYPERLINK("CSG17.html#group48BB17", "48BB¹⁷"), =HYPERLINK("CSG19.html#group48P19", "48P¹⁹"), =HYPERLINK("CSG2.html#group12H2", "12H²"), =HYPERLINK("CSG21.html#group48AF21", "48AF²¹"), =HYPERLINK("CSG22.html#group84J22", "84J²²"), =HYPERLINK("CSG19.html#group48BM19", "48BM¹⁹"), =HYPERLINK("CSG19.html#group48AW19", "48AW¹⁹"), =HYPERLINK("CSG13.html#group12A13", "12A¹³"), =HYPERLINK("CSG17.html#group48BR17", "48BR¹⁷"), =HYPERLINK("CSG19.html#group24O19", "24O¹⁹"), =HYPERLINK("CSG17.html#group24D17", "24D¹⁷"), =HYPERLINK("CSG13.html#group24X13", "24X¹³"), =HYPERLINK("CSG12.html#group36F12", "36F¹²"), =HYPERLINK("CSG21.html#group48BU21", "48BU²¹"), =HYPERLINK("CSG17.html#group24U17", "24U¹⁷"), =HYPERLINK("CSG9.html#group48T9", "48T⁹"), =HYPERLINK("CSG7.html#group24O7", "24O⁷"), =HYPERLINK("CSG9.html#group48U9", "48U⁹"), =HYPERLINK("CSG19.html#group48AF19", "48AF¹⁹"), =HYPERLINK("CSG6.html#group24J6", "24J⁶"), =HYPERLINK("CSG17.html#group24AK17", "24AK¹⁷"), =HYPERLINK("CSG16.html#group72N16", "72N¹⁶"), =HYPERLINK("CSG18.html#group96E18", "96E¹⁸"), =HYPERLINK("CSG21.html#group48N21", "48N²¹"), =HYPERLINK("CSG9.html#group48L9", "48L⁹"), =HYPERLINK("CSG17.html#group48BA17", "48BA¹⁷"), =HYPERLINK("CSG11.html#group48L11", "48L¹¹"), =HYPERLINK("CSG19.html#group24C19", "24C¹⁹"), =HYPERLINK("CSG17.html#group72G17", "72G¹⁷"), =HYPERLINK("CSG12.html#group36E12", "36E¹²"), =HYPERLINK("CSG19.html#group96AA19", "96AA¹⁹"), =HYPERLINK("CSG23.html#group96AH23", "96AH²³"), =HYPERLINK("CSG9.html#group24N9", "24N⁹"), =HYPERLINK("CSG4.html#group24L4", "24L⁴"), =HYPERLINK("CSG19.html#group24L19", "24L¹⁹"), =HYPERLINK("CSG19.html#group48H19", "48H¹⁹"), =HYPERLINK("CSG19.html#group24P19", "24P¹⁹"), =HYPERLINK("CSG13.html#group48AA13", "48AA¹³"), =HYPERLINK("CSG4.html#group24P4", "24P⁴"), =HYPERLINK("CSG20.html#group48G20", "48G²⁰"), =HYPERLINK("CSG21.html#group96AD21", "96AD²¹"), =HYPERLINK("CSG21.html#group96Z21", "96Z²¹"), =HYPERLINK("CSG21.html#group48R21", "48R²¹"), =HYPERLINK("CSG17.html#group24AJ17", "24AJ¹⁷"), =HYPERLINK("CSG5.html#group24W5", "24W⁵"), =HYPERLINK("CSG15.html#group24C15", "24C¹⁵"), =HYPERLINK("CSG20.html#group96AC20", "96AC²⁰"), =HYPERLINK("CSG15.html#group72K15", "72K¹⁵"), =HYPERLINK("CSG20.html#group96R20", "96R²⁰"), =HYPERLINK("CSG16.html#group72O16", "72O¹⁶"), =HYPERLINK("CSG17.html#group48AE17", "48AE¹⁷"), =HYPERLINK("CSG20.html#group96AA20", "96AA²⁰"), =HYPERLINK("CSG17.html#group24P17", "24P¹⁷"), =HYPERLINK("CSG19.html#group24K19", "24K¹⁹"), =HYPERLINK("CSG17.html#group24AC17", "24AC¹⁷"), =HYPERLINK("CSG15.html#group24A15", "24A¹⁵"), =HYPERLINK("CSG17.html#group24AG17", "24AG¹⁷"), =HYPERLINK("CSG21.html#group48AC21", "48AC²¹"), =HYPERLINK("CSG17.html#group48CG17", "48CG¹⁷"), =HYPERLINK("CSG6.html#group24E6", "24E⁶"), =HYPERLINK("CSG16.html#group48E16", "48E¹⁶"), =HYPERLINK("CSG17.html#group24G17", "24G¹⁷"), =HYPERLINK("CSG17.html#group24AM17", "24AM¹⁷"), =HYPERLINK("CSG17.html#group24Q17", "24Q¹⁷"), =HYPERLINK("CSG20.html#group48E20", "48E²⁰"), =HYPERLINK("CSG20.html#group36C20", "36C²⁰"), =HYPERLINK("CSG19.html#group48AH19", "48AH¹⁹"), =HYPERLINK("CSG9.html#group24R9", "24R⁹"), =HYPERLINK("CSG17.html#group48CI17", "48CI¹⁷"), =HYPERLINK("CSG15.html#group24J15", "24J¹⁵"), =HYPERLINK("CSG23.html#group36D23", "36D²³"), =HYPERLINK("CSG15.html#group48T15", "48T¹⁵"), =HYPERLINK("CSG17.html#group48AF17", "48AF¹⁷"), =HYPERLINK("CSG23.html#group96AF23", "96AF²³"), =HYPERLINK("CSG21.html#group96AW21", "96AW²¹"), =HYPERLINK("CSG9.html#group24V9", "24V⁹"), =HYPERLINK("CSG8.html#group24O8", "24O⁸"), =HYPERLINK("CSG17.html#group24Y17", "24Y¹⁷"), =HYPERLINK("CSG19.html#group24Q19", "24Q¹⁹"), =HYPERLINK("CSG15.html#group24R15", "24R¹⁵"), =HYPERLINK("CSG17.html#group48AS17", "48AS¹⁷"), =HYPERLINK("CSG3.html#group24Q3", "24Q³"), =HYPERLINK("CSG20.html#group48I20", "48I²⁰"), =HYPERLINK("CSG16.html#group72M16", "72M¹⁶"), =HYPERLINK("CSG11.html#group12A11", "12A¹¹"), =HYPERLINK("CSG9.html#group24Q9", "24Q⁹"), =HYPERLINK("CSG5.html#group24V5", "24V⁵"), =HYPERLINK("CSG19.html#group24R19", "24R¹⁹"), =HYPERLINK("CSG14.html#group36A14", "36A¹⁴"), =HYPERLINK("CSG6.html#group24H6", "24H⁶"), =HYPERLINK("CSG3.html#group24T3", "24T³"), =HYPERLINK("CSG15.html#group48AB15", "48AB¹⁵"), =HYPERLINK("CSG18.html#group96G18", "96G¹⁸"), =HYPERLINK("CSG19.html#group48X19", "48X¹⁹"), =HYPERLINK("CSG5.html#group12D5", "12D⁵"), =HYPERLINK("CSG19.html#group48AO19", "48AO¹⁹"), =HYPERLINK("CSG17.html#group48AL17", "48AL¹⁷"), =HYPERLINK("CSG19.html#group24N19", "24N¹⁹"), =HYPERLINK("CSG17.html#group24S17", "24S¹⁷"), =HYPERLINK("CSG13.html#group48AB13", "48AB¹³"), =HYPERLINK("CSG19.html#group48BI19", "48BI¹⁹"), =HYPERLINK("CSG19.html#group48AM19", "48AM¹⁹"), =HYPERLINK("CSG7.html#group24Q7", "24Q⁷"), =HYPERLINK("CSG21.html#group48BJ21", "48BJ²¹"), =HYPERLINK("CSG7.html#group24Y7", "24Y⁷"), =HYPERLINK("CSG23.html#group96AG23", "96AG²³"), =HYPERLINK("CSG13.html#group24R13", "24R¹³"), =HYPERLINK("CSG16.html#group48C16", "48C¹⁶"), =HYPERLINK("CSG13.html#group72P13", "72P¹³"), =HYPERLINK("CSG17.html#group24I17", "24I¹⁷"), =HYPERLINK("CSG14.html#group72H14", "72H¹⁴"), =HYPERLINK("CSG8.html#group24M8", "24M⁸"), =HYPERLINK("CSG8.html#group48S8", "48S⁸"), =HYPERLINK("CSG15.html#group48V15", "48V¹⁵"), =HYPERLINK("CSG13.html#group96G13", "96G¹³"), =HYPERLINK("CSG8.html#group24J8", "24J⁸"), =HYPERLINK("CSG21.html#group48AN21", "48AN²¹"), =HYPERLINK("CSG14.html#group72E14", "72E¹⁴"), =HYPERLINK("CSG6.html#group24K6", "24K⁶"), =HYPERLINK("CSG17.html#group48Q17", "48Q¹⁷"), =HYPERLINK("CSG9.html#group24P9", "24P⁹"), =HYPERLINK("CSG7.html#group48AI7", "48AI⁷"), =HYPERLINK("CSG21.html#group48AA21", "48AA²¹"), =HYPERLINK("CSG17.html#group48BL17", "48BL¹⁷"), =HYPERLINK("CSG15.html#group24N15", "24N¹⁵"), =HYPERLINK("CSG17.html#group24J17", "24J¹⁷"), =HYPERLINK("CSG16.html#group84J16", "84J¹⁶"), =HYPERLINK("CSG20.html#group96Z20", "96Z²⁰"), =HYPERLINK("CSG23.html#group96AE23", "96AE²³"), =HYPERLINK("CSG15.html#group24O15", "24O¹⁵"), =HYPERLINK("CSG14.html#group36B14", "36B¹⁴"), =HYPERLINK("CSG17.html#group48BC17", "48BC¹⁷"), =HYPERLINK("CSG11.html#group48V11", "48V¹¹"), =HYPERLINK("CSG19.html#group48BH19", "48BH¹⁹"), =HYPERLINK("CSG19.html#group96AZ19", "96AZ¹⁹"), =HYPERLINK("CSG17.html#group48CB17", "48CB¹⁷"), =HYPERLINK("CSG13.html#group24Z13", "24Z¹³"), =HYPERLINK("CSG2.html#group12I2", "12I²"), =HYPERLINK("CSG19.html#group48Y19", "48Y¹⁹"), =HYPERLINK("CSG8.html#group48Z8", "48Z⁸"), =HYPERLINK("CSG7.html#group24X7", "24X⁷"), =HYPERLINK("CSG9.html#group24M9", "24M⁹"), =HYPERLINK("CSG16.html#group48J16", "48J¹⁶"), =HYPERLINK("CSG15.html#group96Q15", "96Q¹⁵"), =HYPERLINK("CSG17.html#group48AJ17", "48AJ¹⁷"), =HYPERLINK("CSG13.html#group24AA13", "24AA¹³"), =HYPERLINK("CSG19.html#group96AB19", "96AB¹⁹"), =HYPERLINK("CSG15.html#group24F15", "24F¹⁵"), =HYPERLINK("CSG8.html#group24N8", "24N⁸"), =HYPERLINK("CSG20.html#group48F20", "48F²⁰"), =HYPERLINK("CSG21.html#group48BT21", "48BT²¹"), =HYPERLINK("CSG12.html#group36C12", "36C¹²"), =HYPERLINK("CSG17.html#group24AH17", "24AH¹⁷"), =HYPERLINK("CSG19.html#group96V19", "96V¹⁹"), =HYPERLINK("CSG15.html#group24S15", "24S¹⁵"), =HYPERLINK("CSG20.html#group96T20", "96T²⁰"), =HYPERLINK("CSG13.html#group72N13", "72N¹³"), =HYPERLINK("CSG18.html#group96F18", "96F¹⁸"), =HYPERLINK("CSG7.html#group24P7", "24P⁷"), =HYPERLINK("CSG17.html#group48BD17", "48BD¹⁷"), =HYPERLINK("CSG17.html#group24H17", "24H¹⁷"), =HYPERLINK("CSG8.html#group48Q8", "48Q⁸"), =HYPERLINK("CSG17.html#group24N17", "24N¹⁷"), =HYPERLINK("CSG19.html#group24J19", "24J¹⁹"), =HYPERLINK("CSG19.html#group48W19", "48W¹⁹"), =HYPERLINK("CSG20.html#group36A20", "36A²⁰"), =HYPERLINK("CSG17.html#group24AF17", "24AF¹⁷"), =HYPERLINK("CSG7.html#group12D7", "12D⁷"), =HYPERLINK("CSG16.html#group36B16", "36B¹⁶"), =HYPERLINK("CSG7.html#group12C7", "12C⁷"), =HYPERLINK("CSG17.html#group96AD17", "96AD¹⁷"), =HYPERLINK("CSG4.html#group12C4", "12C⁴"), =HYPERLINK("CSG17.html#group48BU17", "48BU¹⁷"), =HYPERLINK("CSG21.html#group48AG21", "48AG²¹"), =HYPERLINK("CSG12.html#group72G12", "72G¹²"), =HYPERLINK("CSG19.html#group48BF19", "48BF¹⁹"), =HYPERLINK("CSG11.html#group48U11", "48U¹¹"), =HYPERLINK("CSG15.html#group48AF15", "48AF¹⁵"), =HYPERLINK("CSG9.html#group24F9", "24F⁹"), =HYPERLINK("CSG15.html#group24T15", "24T¹⁵"), =HYPERLINK("CSG8.html#group48AB8", "48AB⁸"), =HYPERLINK("CSG9.html#group48AD9", "48AD⁹"), =HYPERLINK("CSG21.html#group96AC21", "96AC²¹"), =HYPERLINK("CSG17.html#group48BM17", "48BM¹⁷"), =HYPERLINK("CSG19.html#group48BJ19", "48BJ¹⁹"), =HYPERLINK("CSG19.html#group48AI19", "48AI¹⁹"), =HYPERLINK("CSG6.html#group24F6", "24F⁶"), =HYPERLINK("CSG2.html#group24P2", "24P²"), =HYPERLINK("CSG15.html#group36M15", "36M¹⁵"), =HYPERLINK("CSG19.html#group48AQ19", "48AQ¹⁹"), =HYPERLINK("CSG8.html#group24I8", "24I⁸"), =HYPERLINK("CSG19.html#group48AN19", "48AN¹⁹"), =HYPERLINK("CSG17.html#group24AI17", "24AI¹⁷"), =HYPERLINK("CSG15.html#group24Q15", "24Q¹⁵"), =HYPERLINK("CSG21.html#group48AZ21", "48AZ²¹"), =HYPERLINK("CSG21.html#group48BI21", "48BI²¹"), =HYPERLINK("CSG7.html#group24AE7", "24AE⁷"), =HYPERLINK("CSG15.html#group48Z15", "48Z¹⁵"), =HYPERLINK("CSG15.html#group24P15", "24P¹⁵"), =HYPERLINK("CSG20.html#group96AB20", "96AB²⁰"), =HYPERLINK("CSG9.html#group24Y9", "24Y⁹"), =HYPERLINK("CSG13.html#group24T13", "24T¹³"), =HYPERLINK("CSG6.html#group24I6", "24I⁶"), =HYPERLINK("CSG8.html#group48T8", "48T⁸"), =HYPERLINK("CSG19.html#group48AG19", "48AG¹⁹"), =HYPERLINK("CSG3.html#group12J3", "12J³"), =HYPERLINK("CSG7.html#group48V7", "48V⁷"), =HYPERLINK("CSG19.html#group48V19", "48V¹⁹"), =HYPERLINK("CSG3.html#group12I3", "12I³"), =HYPERLINK("CSG21.html#group48BA21", "48BA²¹"), =HYPERLINK("CSG15.html#group48AC15", "48AC¹⁵"), =HYPERLINK("CSG17.html#group48N17", "48N¹⁷"), =HYPERLINK("CSG13.html#group36H13", "36H¹³"), =HYPERLINK("CSG16.html#group48B16", "48B¹⁶"), =HYPERLINK("CSG12.html#group72N12", "72N¹²"), =HYPERLINK("CSG13.html#group72O13", "72O¹³"), =HYPERLINK("CSG20.html#group96U20", "96U²⁰"), =HYPERLINK("CSG15.html#group24B15", "24B¹⁵"), =HYPERLINK("CSG9.html#group48AB9", "48AB⁹"), =HYPERLINK("CSG7.html#group12B7", "12B⁷"), =HYPERLINK("CSG15.html#group72W15", "72W¹⁵"), =HYPERLINK("CSG19.html#group48U19", "48U¹⁹"), =HYPERLINK("CSG17.html#group24E17", "24E¹⁷"), =HYPERLINK("CSG15.html#group24U15", "24U¹⁵"), =HYPERLINK("CSG5.html#group24G5", "24G⁵"), =HYPERLINK("CSG13.html#group36I13", "36I¹³"), =HYPERLINK("CSG15.html#group48AA15", "48AA¹⁵"), =HYPERLINK("CSG19.html#group48L19", "48L¹⁹"), =HYPERLINK("CSG19.html#group48BB19", "48BB¹⁹"), =HYPERLINK("CSG8.html#group48P8", "48P⁸"), =HYPERLINK("CSG5.html#group48G5", "48G⁵"), =HYPERLINK("CSG15.html#group48S15", "48S¹⁵"), =HYPERLINK("CSG17.html#group48BQ17", "48BQ¹⁷"), =HYPERLINK("CSG17.html#group48BV17", "48BV¹⁷"), =HYPERLINK("CSG19.html#group48BN19", "48BN¹⁹"), =HYPERLINK("CSG19.html#group96T19", "96T¹⁹"), =HYPERLINK("CSG17.html#group24AL17", "24AL¹⁷"), =HYPERLINK("CSG17.html#group48BK17", "48BK¹⁷"), =HYPERLINK("CSG17.html#group24AE17", "24AE¹⁷"), =HYPERLINK("CSG20.html#group96M20", "96M²⁰"), =HYPERLINK("CSG21.html#group48BY21", "48BY²¹"), =HYPERLINK("CSG15.html#group24M15", "24M¹⁵")</f>
        <v/>
      </c>
    </row>
    <row r="179">
      <c r="A179" t="inlineStr">
        <is>
          <t>12N¹</t>
        </is>
      </c>
      <c r="B179" t="inlineStr"/>
      <c r="C179" t="inlineStr">
        <is>
          <t>36</t>
        </is>
      </c>
      <c r="D179" t="inlineStr">
        <is>
          <t>2</t>
        </is>
      </c>
      <c r="E179" t="inlineStr">
        <is>
          <t>9</t>
        </is>
      </c>
      <c r="F179" t="inlineStr">
        <is>
          <t>4</t>
        </is>
      </c>
      <c r="G179" t="inlineStr">
        <is>
          <t>0</t>
        </is>
      </c>
      <c r="H179" t="inlineStr">
        <is>
          <t>6², 12²</t>
        </is>
      </c>
      <c r="I179" t="n">
        <v>4</v>
      </c>
      <c r="J179" t="inlineStr">
        <is>
          <t>2⁹</t>
        </is>
      </c>
      <c r="K179">
        <f>HYPERLINK("CSG0.html#group6H0", "6H⁰"), =HYPERLINK("CSG0.html#group12D0", "12D⁰"), =HYPERLINK("CSG1.html#group12C1", "12C¹")</f>
        <v/>
      </c>
      <c r="L179">
        <f>HYPERLINK("CSG1.html#group12T1", "12T¹"), =HYPERLINK("CSG3.html#group12E3", "12E³"), =HYPERLINK("CSG3.html#group12F3", "12F³"), =HYPERLINK("CSG4.html#group24Q4", "24Q⁴"), =HYPERLINK("CSG5.html#group36K5", "36K⁵"), =HYPERLINK("CSG7.html#group36F7", "36F⁷"), =HYPERLINK("CSG7.html#group36G7", "36G⁷"), =HYPERLINK("CSG13.html#group60H13", "60H¹³"), =HYPERLINK("CSG13.html#group60AF13", "60AF¹³"), =HYPERLINK("CSG17.html#group84M17", "84M¹⁷"), =HYPERLINK("CSG17.html#group84N17", "84N¹⁷"), =HYPERLINK("CSG21.html#group84H21", "84H²¹")</f>
        <v/>
      </c>
      <c r="M179">
        <f>HYPERLINK("CSG0.html#group6B0", "6B⁰"), =HYPERLINK("CSG1.html#group12C1", "12C¹"), =HYPERLINK("CSG0.html#group2B0", "2B⁰"), =HYPERLINK("CSG0.html#group12D0", "12D⁰"), =HYPERLINK("CSG0.html#group6H0", "6H⁰"), =HYPERLINK("CSG0.html#group3A0", "3A⁰"), =HYPERLINK("CSG0.html#group1A0", "1A⁰"), =HYPERLINK("CSG0.html#group6D0", "6D⁰")</f>
        <v/>
      </c>
      <c r="N179">
        <f>HYPERLINK("CSG1.html#group12T1", "12T¹"), =HYPERLINK("CSG4.html#group24Q4", "24Q⁴"), =HYPERLINK("CSG13.html#group60H13", "60H¹³"), =HYPERLINK("CSG7.html#group24M7", "24M⁷"), =HYPERLINK("CSG16.html#group72R16", "72R¹⁶"), =HYPERLINK("CSG15.html#group36I15", "36I¹⁵"), =HYPERLINK("CSG3.html#group12F3", "12F³"), =HYPERLINK("CSG13.html#group24R13", "24R¹³"), =HYPERLINK("CSG17.html#group84M17", "84M¹⁷"), =HYPERLINK("CSG17.html#group24I17", "24I¹⁷"), =HYPERLINK("CSG17.html#group84N17", "84N¹⁷"), =HYPERLINK("CSG15.html#group24L15", "24L¹⁵"), =HYPERLINK("CSG17.html#group48G17", "48G¹⁷"), =HYPERLINK("CSG21.html#group36D21", "36D²¹"), =HYPERLINK("CSG19.html#group48AA19", "48AA¹⁹"), =HYPERLINK("CSG23.html#group36B23", "36B²³"), =HYPERLINK("CSG23.html#group72J23", "72J²³"), =HYPERLINK("CSG15.html#group24G15", "24G¹⁵"), =HYPERLINK("CSG15.html#group36B15", "36B¹⁵"), =HYPERLINK("CSG19.html#group36S19", "36S¹⁹"), =HYPERLINK("CSG15.html#group24K15", "24K¹⁵"), =HYPERLINK("CSG17.html#group48AG17", "48AG¹⁷"), =HYPERLINK("CSG13.html#group24J13", "24J¹³"), =HYPERLINK("CSG19.html#group24K19", "24K¹⁹"), =HYPERLINK("CSG9.html#group24L9", "24L⁹"), =HYPERLINK("CSG19.html#group36U19", "36U¹⁹"), =HYPERLINK("CSG13.html#group24O13", "24O¹³"), =HYPERLINK("CSG13.html#group24Q13", "24Q¹³"), =HYPERLINK("CSG7.html#group36G7", "36G⁷"), =HYPERLINK("CSG15.html#group36J15", "36J¹⁵"), =HYPERLINK("CSG13.html#group24T13", "24T¹³"), =HYPERLINK("CSG13.html#group24Y13", "24Y¹³"), =HYPERLINK("CSG17.html#group48R17", "48R¹⁷"), =HYPERLINK("CSG16.html#group72S16", "72S¹⁶"), =HYPERLINK("CSG17.html#group48M17", "48M¹⁷"), =HYPERLINK("CSG5.html#group36K5", "36K⁵"), =HYPERLINK("CSG13.html#group24U13", "24U¹³"), =HYPERLINK("CSG17.html#group48AH17", "48AH¹⁷"), =HYPERLINK("CSG15.html#group36C15", "36C¹⁵"), =HYPERLINK("CSG9.html#group36O9", "36O⁹"), =HYPERLINK("CSG13.html#group24K13", "24K¹³"), =HYPERLINK("CSG7.html#group36F7", "36F⁷"), =HYPERLINK("CSG9.html#group36P9", "36P⁹"), =HYPERLINK("CSG13.html#group36P13", "36P¹³"), =HYPERLINK("CSG21.html#group72AA21", "72AA²¹"), =HYPERLINK("CSG15.html#group24J15", "24J¹⁵"), =HYPERLINK("CSG23.html#group36D23", "36D²³"), =HYPERLINK("CSG13.html#group48AC13", "48AC¹³"), =HYPERLINK("CSG3.html#group12P3", "12P³"), =HYPERLINK("CSG19.html#group36T19", "36T¹⁹"), =HYPERLINK("CSG3.html#group12E3", "12E³"), =HYPERLINK("CSG17.html#group24Y17", "24Y¹⁷"), =HYPERLINK("CSG17.html#group48L17", "48L¹⁷"), =HYPERLINK("CSG13.html#group60AF13", "60AF¹³"), =HYPERLINK("CSG9.html#group24E9", "24E⁹"), =HYPERLINK("CSG17.html#group48V17", "48V¹⁷"), =HYPERLINK("CSG13.html#group24S13", "24S¹³"), =HYPERLINK("CSG5.html#group12B5", "12B⁵"), =HYPERLINK("CSG21.html#group48AV21", "48AV²¹"), =HYPERLINK("CSG21.html#group48BE21", "48BE²¹"), =HYPERLINK("CSG17.html#group24X17", "24X¹⁷"), =HYPERLINK("CSG17.html#group24AA17", "24AA¹⁷"), =HYPERLINK("CSG7.html#group12E7", "12E⁷"), =HYPERLINK("CSG11.html#group24N11", "24N¹¹"), =HYPERLINK("CSG15.html#group24H15", "24H¹⁵"), =HYPERLINK("CSG11.html#group12A11", "12A¹¹"), =HYPERLINK("CSG15.html#group24F15", "24F¹⁵"), =HYPERLINK("CSG11.html#group36M11", "36M¹¹"), =HYPERLINK("CSG5.html#group12C5", "12C⁵"), =HYPERLINK("CSG13.html#group12A13", "12A¹³"), =HYPERLINK("CSG14.html#group72K14", "72K¹⁴"), =HYPERLINK("CSG17.html#group24M17", "24M¹⁷"), =HYPERLINK("CSG23.html#group36A23", "36A²³"), =HYPERLINK("CSG5.html#group24U5", "24U⁵"), =HYPERLINK("CSG5.html#group24S5", "24S⁵"), =HYPERLINK("CSG17.html#group24A17", "24A¹⁷"), =HYPERLINK("CSG17.html#group48AV17", "48AV¹⁷"), =HYPERLINK("CSG7.html#group24S7", "24S⁷"), =HYPERLINK("CSG21.html#group48M21", "48M²¹"), =HYPERLINK("CSG21.html#group36E21", "36E²¹"), =HYPERLINK("CSG11.html#group36L11", "36L¹¹"), =HYPERLINK("CSG9.html#group12B9", "12B⁹"), =HYPERLINK("CSG7.html#group24N7", "24N⁷"), =HYPERLINK("CSG5.html#group12D5", "12D⁵"), =HYPERLINK("CSG17.html#group24H17", "24H¹⁷"), =HYPERLINK("CSG13.html#group12B13", "12B¹³"), =HYPERLINK("CSG13.html#group48AD13", "48AD¹³"), =HYPERLINK("CSG17.html#group24N17", "24N¹⁷"), =HYPERLINK("CSG17.html#group24O17", "24O¹⁷"), =HYPERLINK("CSG17.html#group48F17", "48F¹⁷"), =HYPERLINK("CSG7.html#group12D7", "12D⁷"), =HYPERLINK("CSG23.html#group72K23", "72K²³"), =HYPERLINK("CSG23.html#group72I23", "72I²³"), =HYPERLINK("CSG5.html#group24T5", "24T⁵"), =HYPERLINK("CSG21.html#group84H21", "84H²¹"), =HYPERLINK("CSG13.html#group24W13", "24W¹³"), =HYPERLINK("CSG13.html#group48X13", "48X¹³"), =HYPERLINK("CSG17.html#group24AE17", "24AE¹⁷"), =HYPERLINK("CSG9.html#group24K9", "24K⁹"), =HYPERLINK("CSG15.html#group48R15", "48R¹⁵"), =HYPERLINK("CSG13.html#group24P13", "24P¹³"), =HYPERLINK("CSG23.html#group36C23", "36C²³"), =HYPERLINK("CSG17.html#group24C17", "24C¹⁷"), =HYPERLINK("CSG17.html#group48AR17", "48AR¹⁷")</f>
        <v/>
      </c>
    </row>
    <row r="180">
      <c r="A180" t="inlineStr">
        <is>
          <t>12O¹</t>
        </is>
      </c>
      <c r="B180" t="inlineStr"/>
      <c r="C180" t="inlineStr">
        <is>
          <t>48</t>
        </is>
      </c>
      <c r="D180" t="inlineStr">
        <is>
          <t>1</t>
        </is>
      </c>
      <c r="E180" t="inlineStr">
        <is>
          <t>8</t>
        </is>
      </c>
      <c r="F180" t="inlineStr">
        <is>
          <t>0</t>
        </is>
      </c>
      <c r="G180" t="inlineStr">
        <is>
          <t>6</t>
        </is>
      </c>
      <c r="H180" t="inlineStr">
        <is>
          <t>12⁴</t>
        </is>
      </c>
      <c r="I180" t="n">
        <v>4</v>
      </c>
      <c r="J180" t="inlineStr">
        <is>
          <t>2⁴</t>
        </is>
      </c>
      <c r="K180">
        <f>HYPERLINK("CSG0.html#group6J0", "6J⁰"), =HYPERLINK("CSG0.html#group12B0", "12B⁰")</f>
        <v/>
      </c>
      <c r="L180">
        <f>HYPERLINK("CSG4.html#group36S4", "36S⁴"), =HYPERLINK("CSG7.html#group12A7", "12A⁷"), =HYPERLINK("CSG7.html#group12F7", "12F⁷"), =HYPERLINK("CSG10.html#group36D10", "36D¹⁰"), =HYPERLINK("CSG10.html#group36E10", "36E¹⁰"), =HYPERLINK("CSG15.html#group60T15", "60T¹⁵"), =HYPERLINK("CSG21.html#group60J21", "60J²¹")</f>
        <v/>
      </c>
      <c r="M180">
        <f>HYPERLINK("CSG0.html#group6J0", "6J⁰"), =HYPERLINK("CSG0.html#group3B0", "3B⁰"), =HYPERLINK("CSG0.html#group2A0", "2A⁰"), =HYPERLINK("CSG0.html#group6A0", "6A⁰"), =HYPERLINK("CSG0.html#group1A0", "1A⁰"), =HYPERLINK("CSG0.html#group6C0", "6C⁰"), =HYPERLINK("CSG0.html#group12B0", "12B⁰")</f>
        <v/>
      </c>
      <c r="N180">
        <f>HYPERLINK("CSG7.html#group12A7", "12A⁷"), =HYPERLINK("CSG4.html#group36S4", "36S⁴"), =HYPERLINK("CSG10.html#group36D10", "36D¹⁰"), =HYPERLINK("CSG15.html#group60T15", "60T¹⁵"), =HYPERLINK("CSG21.html#group24H21", "24H²¹"), =HYPERLINK("CSG7.html#group12F7", "12F⁷"), =HYPERLINK("CSG10.html#group36E10", "36E¹⁰"), =HYPERLINK("CSG22.html#group36M22", "36M²²"), =HYPERLINK("CSG13.html#group12B13", "12B¹³"), =HYPERLINK("CSG22.html#group108C22", "108C²²"), =HYPERLINK("CSG21.html#group60J21", "60J²¹")</f>
        <v/>
      </c>
    </row>
    <row r="181">
      <c r="A181" t="inlineStr">
        <is>
          <t>12P¹</t>
        </is>
      </c>
      <c r="B181" t="inlineStr"/>
      <c r="C181" t="inlineStr">
        <is>
          <t>48</t>
        </is>
      </c>
      <c r="D181" t="inlineStr">
        <is>
          <t>1</t>
        </is>
      </c>
      <c r="E181" t="inlineStr">
        <is>
          <t>12</t>
        </is>
      </c>
      <c r="F181" t="inlineStr">
        <is>
          <t>0</t>
        </is>
      </c>
      <c r="G181" t="inlineStr">
        <is>
          <t>0</t>
        </is>
      </c>
      <c r="H181" t="inlineStr">
        <is>
          <t>2², 4², 6², 12²</t>
        </is>
      </c>
      <c r="I181" t="n">
        <v>8</v>
      </c>
      <c r="J181" t="inlineStr">
        <is>
          <t>1⁶, 2³</t>
        </is>
      </c>
      <c r="K181">
        <f>HYPERLINK("CSG0.html#group4E0", "4E⁰"), =HYPERLINK("CSG0.html#group6I0", "6I⁰"), =HYPERLINK("CSG0.html#group12E0", "12E⁰"), =HYPERLINK("CSG1.html#group12F1", "12F¹")</f>
        <v/>
      </c>
      <c r="L181">
        <f>HYPERLINK("CSG1.html#group12V1", "12V¹"), =HYPERLINK("CSG3.html#group12K3", "12K³"), =HYPERLINK("CSG3.html#group12L3", "12L³"), =HYPERLINK("CSG3.html#group24U3", "24U³"), =HYPERLINK("CSG3.html#group24V3", "24V³"), =HYPERLINK("CSG3.html#group24Z3", "24Z³"), =HYPERLINK("CSG3.html#group24AA3", "24AA³"), =HYPERLINK("CSG5.html#group12B5", "12B⁵"), =HYPERLINK("CSG5.html#group24H5", "24H⁵"), =HYPERLINK("CSG5.html#group24I5", "24I⁵"), =HYPERLINK("CSG5.html#group36L5", "36L⁵"), =HYPERLINK("CSG9.html#group36D9", "36D⁹"), =HYPERLINK("CSG9.html#group36C9", "36C⁹"), =HYPERLINK("CSG17.html#group60B17", "60B¹⁷"), =HYPERLINK("CSG17.html#group60T17", "60T¹⁷")</f>
        <v/>
      </c>
      <c r="M181">
        <f>HYPERLINK("CSG0.html#group3B0", "3B⁰"), =HYPERLINK("CSG0.html#group2A0", "2A⁰"), =HYPERLINK("CSG0.html#group6I0", "6I⁰"), =HYPERLINK("CSG1.html#group12F1", "12F¹"), =HYPERLINK("CSG0.html#group6C0", "6C⁰"), =HYPERLINK("CSG0.html#group4C0", "4C⁰"), =HYPERLINK("CSG0.html#group6F0", "6F⁰"), =HYPERLINK("CSG0.html#group2B0", "2B⁰"), =HYPERLINK("CSG0.html#group4E0", "4E⁰"), =HYPERLINK("CSG0.html#group4B0", "4B⁰"), =HYPERLINK("CSG0.html#group1A0", "1A⁰"), =HYPERLINK("CSG0.html#group2C0", "2C⁰"), =HYPERLINK("CSG0.html#group12E0", "12E⁰")</f>
        <v/>
      </c>
      <c r="N181">
        <f>HYPERLINK("CSG17.html#group60T17", "60T¹⁷"), =HYPERLINK("CSG9.html#group24AE9", "24AE⁹"), =HYPERLINK("CSG7.html#group24AK7", "24AK⁷"), =HYPERLINK("CSG3.html#group24AA3", "24AA³"), =HYPERLINK("CSG19.html#group48BS19", "48BS¹⁹"), =HYPERLINK("CSG9.html#group24AH9", "24AH⁹"), =HYPERLINK("CSG19.html#group72C19", "72C¹⁹"), =HYPERLINK("CSG17.html#group36B17", "36B¹⁷"), =HYPERLINK("CSG9.html#group24AD9", "24AD⁹"), =HYPERLINK("CSG19.html#group96BC19", "96BC¹⁹"), =HYPERLINK("CSG17.html#group48CK17", "48CK¹⁷"), =HYPERLINK("CSG5.html#group12E5", "12E⁵"), =HYPERLINK("CSG21.html#group48CG21", "48CG²¹"), =HYPERLINK("CSG21.html#group24D21", "24D²¹"), =HYPERLINK("CSG3.html#group24U3", "24U³"), =HYPERLINK("CSG7.html#group48AL7", "48AL⁷"), =HYPERLINK("CSG17.html#group24AP17", "24AP¹⁷"), =HYPERLINK("CSG9.html#group48AH9", "48AH⁹"), =HYPERLINK("CSG17.html#group60B17", "60B¹⁷"), =HYPERLINK("CSG19.html#group48BP19", "48BP¹⁹"), =HYPERLINK("CSG11.html#group24B11", "24B¹¹"), =HYPERLINK("CSG3.html#group12L3", "12L³"), =HYPERLINK("CSG5.html#group24H5", "24H⁵"), =HYPERLINK("CSG21.html#group48CF21", "48CF²¹"), =HYPERLINK("CSG13.html#group24J13", "24J¹³"), =HYPERLINK("CSG21.html#group48CK21", "48CK²¹"), =HYPERLINK("CSG13.html#group72R13", "72R¹³"), =HYPERLINK("CSG9.html#group48AK9", "48AK⁹"), =HYPERLINK("CSG21.html#group72C21", "72C²¹"), =HYPERLINK("CSG13.html#group24O13", "24O¹³"), =HYPERLINK("CSG9.html#group24AC9", "24AC⁹"), =HYPERLINK("CSG17.html#group36A17", "36A¹⁷"), =HYPERLINK("CSG19.html#group72K19", "72K¹⁹"), =HYPERLINK("CSG17.html#group24AO17", "24AO¹⁷"), =HYPERLINK("CSG21.html#group48CE21", "48CE²¹"), =HYPERLINK("CSG21.html#group48CA21", "48CA²¹"), =HYPERLINK("CSG19.html#group72A19", "72A¹⁹"), =HYPERLINK("CSG7.html#group24AF7", "24AF⁷"), =HYPERLINK("CSG19.html#group48BO19", "48BO¹⁹"), =HYPERLINK("CSG21.html#group96BF21", "96BF²¹"), =HYPERLINK("CSG17.html#group48CJ17", "48CJ¹⁷"), =HYPERLINK("CSG19.html#group72M19", "72M¹⁹"), =HYPERLINK("CSG17.html#group72M17", "72M¹⁷"), =HYPERLINK("CSG19.html#group48BT19", "48BT¹⁹"), =HYPERLINK("CSG7.html#group24AG7", "24AG⁷"), =HYPERLINK("CSG13.html#group24K13", "24K¹³"), =HYPERLINK("CSG11.html#group24A11", "24A¹¹"), =HYPERLINK("CSG21.html#group48CI21", "48CI²¹"), =HYPERLINK("CSG21.html#group72B21", "72B²¹"), =HYPERLINK("CSG19.html#group36C19", "36C¹⁹"), =HYPERLINK("CSG13.html#group48I13", "48I¹³"), =HYPERLINK("CSG21.html#group48CD21", "48CD²¹"), =HYPERLINK("CSG21.html#group48CH21", "48CH²¹"), =HYPERLINK("CSG19.html#group72L19", "72L¹⁹"), =HYPERLINK("CSG11.html#group48W11", "48W¹¹"), =HYPERLINK("CSG9.html#group36Q9", "36Q⁹"), =HYPERLINK("CSG19.html#group36D19", "36D¹⁹"), =HYPERLINK("CSG3.html#group12K3", "12K³"), =HYPERLINK("CSG13.html#group72Q13", "72Q¹³"), =HYPERLINK("CSG21.html#group48CJ21", "48CJ²¹"), =HYPERLINK("CSG21.html#group24C21", "24C²¹"), =HYPERLINK("CSG21.html#group24G21", "24G²¹"), =HYPERLINK("CSG21.html#group24B21", "24B²¹"), =HYPERLINK("CSG9.html#group36D9", "36D⁹"), =HYPERLINK("CSG17.html#group24AT17", "24AT¹⁷"), =HYPERLINK("CSG3.html#group24V3", "24V³"), =HYPERLINK("CSG21.html#group24F21", "24F²¹"), =HYPERLINK("CSG5.html#group12B5", "12B⁵"), =HYPERLINK("CSG13.html#group48AG13", "48AG¹³"), =HYPERLINK("CSG9.html#group24AG9", "24AG⁹"), =HYPERLINK("CSG13.html#group48J13", "48J¹³"), =HYPERLINK("CSG9.html#group24AK9", "24AK⁹"), =HYPERLINK("CSG21.html#group72D21", "72D²¹"), =HYPERLINK("CSG21.html#group48CC21", "48CC²¹"), =HYPERLINK("CSG21.html#group24E21", "24E²¹"), =HYPERLINK("CSG17.html#group24AQ17", "24AQ¹⁷"), =HYPERLINK("CSG21.html#group48CP21", "48CP²¹"), =HYPERLINK("CSG21.html#group24A21", "24A²¹"), =HYPERLINK("CSG21.html#group36F21", "36F²¹"), =HYPERLINK("CSG19.html#group72B19", "72B¹⁹"), =HYPERLINK("CSG7.html#group24AH7", "24AH⁷"), =HYPERLINK("CSG21.html#group48CB21", "48CB²¹"), =HYPERLINK("CSG21.html#group108E21", "108E²¹"), =HYPERLINK("CSG19.html#group96BD19", "96BD¹⁹"), =HYPERLINK("CSG13.html#group24AB13", "24AB¹³"), =HYPERLINK("CSG19.html#group36B19", "36B¹⁹"), =HYPERLINK("CSG13.html#group72W13", "72W¹³"), =HYPERLINK("CSG5.html#group24Z5", "24Z⁵"), =HYPERLINK("CSG19.html#group72N19", "72N¹⁹"), =HYPERLINK("CSG13.html#group36U13", "36U¹³"), =HYPERLINK("CSG21.html#group48BZ21", "48BZ²¹"), =HYPERLINK("CSG17.html#group72N17", "72N¹⁷"), =HYPERLINK("CSG13.html#group12A13", "12A¹³"), =HYPERLINK("CSG21.html#group96AZ21", "96AZ²¹"), =HYPERLINK("CSG19.html#group36A19", "36A¹⁹"), =HYPERLINK("CSG17.html#group24AR17", "24AR¹⁷"), =HYPERLINK("CSG17.html#group48CL17", "48CL¹⁷"), =HYPERLINK("CSG17.html#group24A17", "24A¹⁷"), =HYPERLINK("CSG9.html#group24AB9", "24AB⁹"), =HYPERLINK("CSG21.html#group36E21", "36E²¹"), =HYPERLINK("CSG5.html#group36L5", "36L⁵"), =HYPERLINK("CSG3.html#group24Z3", "24Z³"), =HYPERLINK("CSG1.html#group12V1", "12V¹"), =HYPERLINK("CSG13.html#group48B13", "48B¹³"), =HYPERLINK("CSG13.html#group48D13", "48D¹³"), =HYPERLINK("CSG21.html#group96BA21", "96BA²¹"), =HYPERLINK("CSG9.html#group12B9", "12B⁹"), =HYPERLINK("CSG13.html#group12B13", "12B¹³"), =HYPERLINK("CSG17.html#group24AS17", "24AS¹⁷"), =HYPERLINK("CSG21.html#group72A21", "72A²¹"), =HYPERLINK("CSG5.html#group24AB5", "24AB⁵"), =HYPERLINK("CSG19.html#group72D19", "72D¹⁹"), =HYPERLINK("CSG13.html#group72V13", "72V¹³"), =HYPERLINK("CSG17.html#group24AN17", "24AN¹⁷"), =HYPERLINK("CSG21.html#group96BD21", "96BD²¹"), =HYPERLINK("CSG9.html#group36C9", "36C⁹"), =HYPERLINK("CSG5.html#group24I5", "24I⁵"), =HYPERLINK("CSG7.html#group48AK7", "48AK⁷"), =HYPERLINK("CSG17.html#group48CM17", "48CM¹⁷"), =HYPERLINK("CSG7.html#group24AL7", "24AL⁷"), =HYPERLINK("CSG13.html#group48A13", "48A¹³"), =HYPERLINK("CSG13.html#group36T13", "36T¹³"), =HYPERLINK("CSG13.html#group48C13", "48C¹³"), =HYPERLINK("CSG21.html#group48CQ21", "48CQ²¹"), =HYPERLINK("CSG11.html#group48X11", "48X¹¹"), =HYPERLINK("CSG17.html#group48CN17", "48CN¹⁷"), =HYPERLINK("CSG13.html#group24P13", "24P¹³"), =HYPERLINK("CSG13.html#group24AC13", "24AC¹³"), =HYPERLINK("CSG17.html#group24C17", "24C¹⁷"), =HYPERLINK("CSG7.html#group24AI7", "24AI⁷"), =HYPERLINK("CSG9.html#group24AF9", "24AF⁹")</f>
        <v/>
      </c>
    </row>
    <row r="182">
      <c r="A182" t="inlineStr">
        <is>
          <t>12Q¹</t>
        </is>
      </c>
      <c r="B182" t="inlineStr"/>
      <c r="C182" t="inlineStr">
        <is>
          <t>48</t>
        </is>
      </c>
      <c r="D182" t="inlineStr">
        <is>
          <t>1</t>
        </is>
      </c>
      <c r="E182" t="inlineStr">
        <is>
          <t>12</t>
        </is>
      </c>
      <c r="F182" t="inlineStr">
        <is>
          <t>8</t>
        </is>
      </c>
      <c r="G182" t="inlineStr">
        <is>
          <t>0</t>
        </is>
      </c>
      <c r="H182" t="inlineStr">
        <is>
          <t>12⁴</t>
        </is>
      </c>
      <c r="I182" t="n">
        <v>4</v>
      </c>
      <c r="J182" t="inlineStr">
        <is>
          <t>2², 4²</t>
        </is>
      </c>
      <c r="K182">
        <f>HYPERLINK("CSG0.html#group6E0", "6E⁰"), =HYPERLINK("CSG0.html#group12F0", "12F⁰"), =HYPERLINK("CSG1.html#group12G1", "12G¹")</f>
        <v/>
      </c>
      <c r="L182">
        <f>HYPERLINK("CSG3.html#group12M3", "12M³"), =HYPERLINK("CSG5.html#group12A5", "12A⁵"), =HYPERLINK("CSG5.html#group12D5", "12D⁵"), =HYPERLINK("CSG5.html#group24L5", "24L⁵"), =HYPERLINK("CSG5.html#group24P5", "24P⁵"), =HYPERLINK("CSG5.html#group36M5", "36M⁵"), =HYPERLINK("CSG7.html#group36J7", "36J⁷"), =HYPERLINK("CSG7.html#group36K7", "36K⁷"), =HYPERLINK("CSG9.html#group24AL9", "24AL⁹"), =HYPERLINK("CSG9.html#group36K9", "36K⁹"), =HYPERLINK("CSG9.html#group36L9", "36L⁹"), =HYPERLINK("CSG17.html#group60E17", "60E¹⁷"), =HYPERLINK("CSG17.html#group60V17", "60V¹⁷"), =HYPERLINK("CSG21.html#group84N21", "84N²¹")</f>
        <v/>
      </c>
      <c r="M182">
        <f>HYPERLINK("CSG1.html#group12G1", "12G¹"), =HYPERLINK("CSG0.html#group12A0", "12A⁰"), =HYPERLINK("CSG0.html#group6B0", "6B⁰"), =HYPERLINK("CSG0.html#group6E0", "6E⁰"), =HYPERLINK("CSG0.html#group4A0", "4A⁰"), =HYPERLINK("CSG0.html#group12F0", "12F⁰"), =HYPERLINK("CSG0.html#group3C0", "3C⁰"), =HYPERLINK("CSG0.html#group3A0", "3A⁰"), =HYPERLINK("CSG0.html#group1A0", "1A⁰")</f>
        <v/>
      </c>
      <c r="N182">
        <f>HYPERLINK("CSG21.html#group36B21", "36B²¹"), =HYPERLINK("CSG19.html#group72V19", "72V¹⁹"), =HYPERLINK("CSG15.html#group36P15", "36P¹⁵"), =HYPERLINK("CSG13.html#group24R13", "24R¹³"), =HYPERLINK("CSG17.html#group24AA17", "24AA¹⁷"), =HYPERLINK("CSG9.html#group36K9", "36K⁹"), =HYPERLINK("CSG19.html#group72U19", "72U¹⁹"), =HYPERLINK("CSG19.html#group72S19", "72S¹⁹"), =HYPERLINK("CSG15.html#group24L15", "24L¹⁵"), =HYPERLINK("CSG5.html#group12A5", "12A⁵"), =HYPERLINK("CSG21.html#group24L21", "24L²¹"), =HYPERLINK("CSG11.html#group12A11", "12A¹¹"), =HYPERLINK("CSG9.html#group12A9", "12A⁹"), =HYPERLINK("CSG21.html#group72Q21", "72Q²¹"), =HYPERLINK("CSG17.html#group36E17", "36E¹⁷"), =HYPERLINK("CSG13.html#group12A13", "12A¹³"), =HYPERLINK("CSG21.html#group36A21", "36A²¹"), =HYPERLINK("CSG3.html#group12M3", "12M³"), =HYPERLINK("CSG7.html#group36K7", "36K⁷"), =HYPERLINK("CSG17.html#group60V17", "60V¹⁷"), =HYPERLINK("CSG9.html#group36L9", "36L⁹"), =HYPERLINK("CSG5.html#group24P5", "24P⁵"), =HYPERLINK("CSG5.html#group24L5", "24L⁵"), =HYPERLINK("CSG17.html#group36C17", "36C¹⁷"), =HYPERLINK("CSG9.html#group24AL9", "24AL⁹"), =HYPERLINK("CSG13.html#group24T13", "24T¹³"), =HYPERLINK("CSG7.html#group36J7", "36J⁷"), =HYPERLINK("CSG17.html#group60E17", "60E¹⁷"), =HYPERLINK("CSG15.html#group36S15", "36S¹⁵"), =HYPERLINK("CSG19.html#group72T19", "72T¹⁹"), =HYPERLINK("CSG13.html#group24B13", "24B¹³"), =HYPERLINK("CSG21.html#group24K21", "24K²¹"), =HYPERLINK("CSG13.html#group24U13", "24U¹³"), =HYPERLINK("CSG5.html#group12D5", "12D⁵"), =HYPERLINK("CSG13.html#group48Q13", "48Q¹³"), =HYPERLINK("CSG21.html#group72S21", "72S²¹"), =HYPERLINK("CSG13.html#group24A13", "24A¹³"), =HYPERLINK("CSG17.html#group24N17", "24N¹⁷"), =HYPERLINK("CSG21.html#group72T21", "72T²¹"), =HYPERLINK("CSG17.html#group72S17", "72S¹⁷"), =HYPERLINK("CSG21.html#group72V21", "72V²¹"), =HYPERLINK("CSG13.html#group48R13", "48R¹³"), =HYPERLINK("CSG23.html#group36D23", "36D²³"), =HYPERLINK("CSG21.html#group84N21", "84N²¹"), =HYPERLINK("CSG11.html#group24K11", "24K¹¹"), =HYPERLINK("CSG19.html#group36H19", "36H¹⁹"), =HYPERLINK("CSG21.html#group72U21", "72U²¹"), =HYPERLINK("CSG21.html#group24M21", "24M²¹"), =HYPERLINK("CSG19.html#group36E19", "36E¹⁹"), =HYPERLINK("CSG21.html#group72P21", "72P²¹"), =HYPERLINK("CSG15.html#group36T15", "36T¹⁵"), =HYPERLINK("CSG5.html#group36M5", "36M⁵"), =HYPERLINK("CSG17.html#group24AE17", "24AE¹⁷"), =HYPERLINK("CSG15.html#group36Q15", "36Q¹⁵"), =HYPERLINK("CSG19.html#group36K19", "36K¹⁹"), =HYPERLINK("CSG19.html#group36L19", "36L¹⁹"), =HYPERLINK("CSG15.html#group36R15", "36R¹⁵"), =HYPERLINK("CSG17.html#group72W17", "72W¹⁷")</f>
        <v/>
      </c>
    </row>
    <row r="183">
      <c r="A183" t="inlineStr">
        <is>
          <t>12R¹</t>
        </is>
      </c>
      <c r="B183" t="inlineStr"/>
      <c r="C183" t="inlineStr">
        <is>
          <t>64</t>
        </is>
      </c>
      <c r="D183" t="inlineStr">
        <is>
          <t>1</t>
        </is>
      </c>
      <c r="E183" t="inlineStr">
        <is>
          <t>16</t>
        </is>
      </c>
      <c r="F183" t="inlineStr">
        <is>
          <t>0</t>
        </is>
      </c>
      <c r="G183" t="inlineStr">
        <is>
          <t>4</t>
        </is>
      </c>
      <c r="H183" t="inlineStr">
        <is>
          <t>4⁴, 12⁴</t>
        </is>
      </c>
      <c r="I183" t="n">
        <v>8</v>
      </c>
      <c r="J183" t="inlineStr">
        <is>
          <t>2⁴, 4²</t>
        </is>
      </c>
      <c r="K183">
        <f>HYPERLINK("CSG0.html#group12B0", "12B⁰"), =HYPERLINK("CSG1.html#group12I1", "12I¹")</f>
        <v/>
      </c>
      <c r="L183">
        <f>HYPERLINK("CSG5.html#group12E5", "12E⁵"), =HYPERLINK("CSG5.html#group24Q5", "24Q⁵"), =HYPERLINK("CSG7.html#group12F7", "12F⁷"), =HYPERLINK("CSG7.html#group36M7", "36M⁷"), =HYPERLINK("CSG9.html#group12A9", "12A⁹"), =HYPERLINK("CSG9.html#group36M9", "36M⁹"), =HYPERLINK("CSG9.html#group36N9", "36N⁹"), =HYPERLINK("CSG11.html#group36H11", "36H¹¹"), =HYPERLINK("CSG13.html#group24G13", "24G¹³"), =HYPERLINK("CSG13.html#group36A13", "36A¹³"), =HYPERLINK("CSG13.html#group36B13", "36B¹³"), =HYPERLINK("CSG21.html#group60T21", "60T²¹")</f>
        <v/>
      </c>
      <c r="M183">
        <f>HYPERLINK("CSG0.html#group2A0", "2A⁰"), =HYPERLINK("CSG0.html#group3B0", "3B⁰"), =HYPERLINK("CSG1.html#group12I1", "12I¹"), =HYPERLINK("CSG0.html#group4A0", "4A⁰"), =HYPERLINK("CSG0.html#group4D0", "4D⁰"), =HYPERLINK("CSG1.html#group12A1", "12A¹"), =HYPERLINK("CSG0.html#group6C0", "6C⁰"), =HYPERLINK("CSG0.html#group1A0", "1A⁰"), =HYPERLINK("CSG0.html#group12B0", "12B⁰")</f>
        <v/>
      </c>
      <c r="N183">
        <f>HYPERLINK("CSG21.html#group72Z21", "72Z²¹"), =HYPERLINK("CSG11.html#group36H11", "36H¹¹"), =HYPERLINK("CSG13.html#group36A13", "36A¹³"), =HYPERLINK("CSG7.html#group12F7", "12F⁷"), =HYPERLINK("CSG21.html#group72Y21", "72Y²¹"), =HYPERLINK("CSG21.html#group24B21", "24B²¹"), =HYPERLINK("CSG13.html#group24AB13", "24AB¹³"), =HYPERLINK("CSG13.html#group36B13", "36B¹³"), =HYPERLINK("CSG5.html#group12E5", "12E⁵"), =HYPERLINK("CSG9.html#group12A9", "12A⁹"), =HYPERLINK("CSG13.html#group48U13", "48U¹³"), =HYPERLINK("CSG21.html#group24H21", "24H²¹"), =HYPERLINK("CSG21.html#group60T21", "60T²¹"), =HYPERLINK("CSG17.html#group24AP17", "24AP¹⁷"), =HYPERLINK("CSG7.html#group36M7", "36M⁷"), =HYPERLINK("CSG9.html#group36N9", "36N⁹"), =HYPERLINK("CSG13.html#group24G13", "24G¹³"), =HYPERLINK("CSG5.html#group24Q5", "24Q⁵"), =HYPERLINK("CSG9.html#group36M9", "36M⁹")</f>
        <v/>
      </c>
    </row>
    <row r="184">
      <c r="A184" t="inlineStr">
        <is>
          <t>12S¹</t>
        </is>
      </c>
      <c r="B184" t="inlineStr"/>
      <c r="C184" t="inlineStr">
        <is>
          <t>72</t>
        </is>
      </c>
      <c r="D184" t="inlineStr">
        <is>
          <t>1</t>
        </is>
      </c>
      <c r="E184" t="inlineStr">
        <is>
          <t>3</t>
        </is>
      </c>
      <c r="F184" t="inlineStr">
        <is>
          <t>0</t>
        </is>
      </c>
      <c r="G184" t="inlineStr">
        <is>
          <t>0</t>
        </is>
      </c>
      <c r="H184" t="inlineStr">
        <is>
          <t>3⁸, 12⁴</t>
        </is>
      </c>
      <c r="I184" t="n">
        <v>12</v>
      </c>
      <c r="J184" t="inlineStr">
        <is>
          <t>1³</t>
        </is>
      </c>
      <c r="K184">
        <f>HYPERLINK("CSG0.html#group6K0", "6K⁰"), =HYPERLINK("CSG0.html#group12E0", "12E⁰"), =HYPERLINK("CSG0.html#group12G0", "12G⁰"), =HYPERLINK("CSG1.html#group12K1", "12K¹")</f>
        <v/>
      </c>
      <c r="L184">
        <f>HYPERLINK("CSG3.html#group12O3", "12O³"), =HYPERLINK("CSG3.html#group24AC3", "24AC³"), =HYPERLINK("CSG5.html#group12B5", "12B⁵"), =HYPERLINK("CSG5.html#group24R5", "24R⁵"), =HYPERLINK("CSG7.html#group24G7", "24G⁷"), =HYPERLINK("CSG7.html#group36N7", "36N⁷"), =HYPERLINK("CSG10.html#group36Q10", "36Q¹⁰"), =HYPERLINK("CSG13.html#group36C13", "36C¹³")</f>
        <v/>
      </c>
      <c r="M184">
        <f>HYPERLINK("CSG0.html#group3B0", "3B⁰"), =HYPERLINK("CSG1.html#group12K1", "12K¹"), =HYPERLINK("CSG0.html#group6G0", "6G⁰"), =HYPERLINK("CSG0.html#group2B0", "2B⁰"), =HYPERLINK("CSG0.html#group4B0", "4B⁰"), =HYPERLINK("CSG0.html#group1A0", "1A⁰"), =HYPERLINK("CSG0.html#group3D0", "3D⁰"), =HYPERLINK("CSG0.html#group12G0", "12G⁰"), =HYPERLINK("CSG0.html#group12E0", "12E⁰"), =HYPERLINK("CSG0.html#group3C0", "3C⁰"), =HYPERLINK("CSG0.html#group6K0", "6K⁰"), =HYPERLINK("CSG1.html#group12B1", "12B¹"), =HYPERLINK("CSG0.html#group12D0", "12D⁰"), =HYPERLINK("CSG0.html#group3A0", "3A⁰"), =HYPERLINK("CSG0.html#group6F0", "6F⁰"), =HYPERLINK("CSG0.html#group6D0", "6D⁰")</f>
        <v/>
      </c>
      <c r="N184">
        <f>HYPERLINK("CSG3.html#group12O3", "12O³"), =HYPERLINK("CSG10.html#group36Q10", "36Q¹⁰"), =HYPERLINK("CSG21.html#group36E21", "36E²¹"), =HYPERLINK("CSG5.html#group12B5", "12B⁵"), =HYPERLINK("CSG13.html#group24N13", "24N¹³"), =HYPERLINK("CSG7.html#group36N7", "36N⁷"), =HYPERLINK("CSG21.html#group72AB21", "72AB²¹"), =HYPERLINK("CSG9.html#group12B9", "12B⁹"), =HYPERLINK("CSG17.html#group72X17", "72X¹⁷"), =HYPERLINK("CSG13.html#group24P13", "24P¹³"), =HYPERLINK("CSG13.html#group12B13", "12B¹³"), =HYPERLINK("CSG3.html#group24AC3", "24AC³"), =HYPERLINK("CSG13.html#group24K13", "24K¹³"), =HYPERLINK("CSG17.html#group36K17", "36K¹⁷"), =HYPERLINK("CSG13.html#group48W13", "48W¹³"), =HYPERLINK("CSG22.html#group36L22", "36L²²"), =HYPERLINK("CSG13.html#group24L13", "24L¹³"), =HYPERLINK("CSG17.html#group48B17", "48B¹⁷"), =HYPERLINK("CSG13.html#group48Y13", "48Y¹³"), =HYPERLINK("CSG13.html#group12A13", "12A¹³"), =HYPERLINK("CSG17.html#group48C17", "48C¹⁷"), =HYPERLINK("CSG13.html#group36C13", "36C¹³"), =HYPERLINK("CSG13.html#group24J13", "24J¹³"), =HYPERLINK("CSG13.html#group48Z13", "48Z¹³"), =HYPERLINK("CSG5.html#group24R5", "24R⁵"), =HYPERLINK("CSG13.html#group48V13", "48V¹³"), =HYPERLINK("CSG13.html#group24M13", "24M¹³"), =HYPERLINK("CSG7.html#group24G7", "24G⁷"), =HYPERLINK("CSG13.html#group24O13", "24O¹³"), =HYPERLINK("CSG22.html#group72L22", "72L²²"), =HYPERLINK("CSG17.html#group24A17", "24A¹⁷"), =HYPERLINK("CSG17.html#group24C17", "24C¹⁷"), =HYPERLINK("CSG9.html#group24AP9", "24AP⁹")</f>
        <v/>
      </c>
    </row>
    <row r="185">
      <c r="A185" t="inlineStr">
        <is>
          <t>12T¹</t>
        </is>
      </c>
      <c r="B185" t="inlineStr"/>
      <c r="C185" t="inlineStr">
        <is>
          <t>72</t>
        </is>
      </c>
      <c r="D185" t="inlineStr">
        <is>
          <t>1</t>
        </is>
      </c>
      <c r="E185" t="inlineStr">
        <is>
          <t>9</t>
        </is>
      </c>
      <c r="F185" t="inlineStr">
        <is>
          <t>8</t>
        </is>
      </c>
      <c r="G185" t="inlineStr">
        <is>
          <t>0</t>
        </is>
      </c>
      <c r="H185" t="inlineStr">
        <is>
          <t>6⁴, 12⁴</t>
        </is>
      </c>
      <c r="I185" t="n">
        <v>8</v>
      </c>
      <c r="J185" t="inlineStr">
        <is>
          <t>1³, 2³</t>
        </is>
      </c>
      <c r="K185">
        <f>HYPERLINK("CSG0.html#group6L0", "6L⁰"), =HYPERLINK("CSG0.html#group12G0", "12G⁰"), =HYPERLINK("CSG0.html#group12H0", "12H⁰"), =HYPERLINK("CSG1.html#group12L1", "12L¹"), =HYPERLINK("CSG1.html#group12N1", "12N¹")</f>
        <v/>
      </c>
      <c r="L185">
        <f>HYPERLINK("CSG3.html#group12P3", "12P³"), =HYPERLINK("CSG5.html#group12B5", "12B⁵"), =HYPERLINK("CSG5.html#group12C5", "12C⁵"), =HYPERLINK("CSG5.html#group12D5", "12D⁵"), =HYPERLINK("CSG5.html#group24S5", "24S⁵"), =HYPERLINK("CSG5.html#group24T5", "24T⁵"), =HYPERLINK("CSG5.html#group24U5", "24U⁵"), =HYPERLINK("CSG7.html#group24S7", "24S⁷"), =HYPERLINK("CSG9.html#group24E9", "24E⁹"), =HYPERLINK("CSG9.html#group36O9", "36O⁹"), =HYPERLINK("CSG9.html#group36P9", "36P⁹"), =HYPERLINK("CSG13.html#group36P13", "36P¹³")</f>
        <v/>
      </c>
      <c r="M185">
        <f>HYPERLINK("CSG0.html#group6B0", "6B⁰"), =HYPERLINK("CSG0.html#group12C0", "12C⁰"), =HYPERLINK("CSG0.html#group4C0", "4C⁰"), =HYPERLINK("CSG0.html#group6G0", "6G⁰"), =HYPERLINK("CSG0.html#group2B0", "2B⁰"), =HYPERLINK("CSG1.html#group12N1", "12N¹"), =HYPERLINK("CSG0.html#group12H0", "12H⁰"), =HYPERLINK("CSG0.html#group1A0", "1A⁰"), =HYPERLINK("CSG1.html#group12L1", "12L¹"), =HYPERLINK("CSG0.html#group12G0", "12G⁰"), =HYPERLINK("CSG1.html#group12C1", "12C¹"), =HYPERLINK("CSG0.html#group6E0", "6E⁰"), =HYPERLINK("CSG0.html#group6L0", "6L⁰"), =HYPERLINK("CSG0.html#group3C0", "3C⁰"), =HYPERLINK("CSG0.html#group12D0", "12D⁰"), =HYPERLINK("CSG0.html#group6H0", "6H⁰"), =HYPERLINK("CSG0.html#group3A0", "3A⁰"), =HYPERLINK("CSG0.html#group6D0", "6D⁰")</f>
        <v/>
      </c>
      <c r="N185">
        <f>HYPERLINK("CSG13.html#group24S13", "24S¹³"), =HYPERLINK("CSG5.html#group12B5", "12B⁵"), =HYPERLINK("CSG21.html#group48AV21", "48AV²¹"), =HYPERLINK("CSG21.html#group48BE21", "48BE²¹"), =HYPERLINK("CSG13.html#group24R13", "24R¹³"), =HYPERLINK("CSG17.html#group24AA17", "24AA¹⁷"), =HYPERLINK("CSG11.html#group24N11", "24N¹¹"), =HYPERLINK("CSG15.html#group24L15", "24L¹⁵"), =HYPERLINK("CSG23.html#group36B23", "36B²³"), =HYPERLINK("CSG11.html#group12A11", "12A¹¹"), =HYPERLINK("CSG23.html#group72J23", "72J²³"), =HYPERLINK("CSG5.html#group12C5", "12C⁵"), =HYPERLINK("CSG13.html#group12A13", "12A¹³"), =HYPERLINK("CSG17.html#group24M17", "24M¹⁷"), =HYPERLINK("CSG15.html#group24K15", "24K¹⁵"), =HYPERLINK("CSG23.html#group36A23", "36A²³"), =HYPERLINK("CSG5.html#group24U5", "24U⁵"), =HYPERLINK("CSG13.html#group24J13", "24J¹³"), =HYPERLINK("CSG5.html#group24S5", "24S⁵"), =HYPERLINK("CSG17.html#group48AG17", "48AG¹⁷"), =HYPERLINK("CSG19.html#group36U19", "36U¹⁹"), =HYPERLINK("CSG13.html#group24O13", "24O¹³"), =HYPERLINK("CSG13.html#group24Q13", "24Q¹³"), =HYPERLINK("CSG17.html#group24A17", "24A¹⁷"), =HYPERLINK("CSG17.html#group48AV17", "48AV¹⁷"), =HYPERLINK("CSG7.html#group24S7", "24S⁷"), =HYPERLINK("CSG21.html#group48M21", "48M²¹"), =HYPERLINK("CSG21.html#group36E21", "36E²¹"), =HYPERLINK("CSG13.html#group24T13", "24T¹³"), =HYPERLINK("CSG13.html#group24Y13", "24Y¹³"), =HYPERLINK("CSG17.html#group48R17", "48R¹⁷"), =HYPERLINK("CSG17.html#group48M17", "48M¹⁷"), =HYPERLINK("CSG9.html#group12B9", "12B⁹"), =HYPERLINK("CSG13.html#group24U13", "24U¹³"), =HYPERLINK("CSG5.html#group12D5", "12D⁵"), =HYPERLINK("CSG17.html#group48AH17", "48AH¹⁷"), =HYPERLINK("CSG9.html#group36O9", "36O⁹"), =HYPERLINK("CSG13.html#group12B13", "12B¹³"), =HYPERLINK("CSG13.html#group24K13", "24K¹³"), =HYPERLINK("CSG13.html#group48AD13", "48AD¹³"), =HYPERLINK("CSG17.html#group24N17", "24N¹⁷"), =HYPERLINK("CSG17.html#group24O17", "24O¹⁷"), =HYPERLINK("CSG9.html#group36P9", "36P⁹"), =HYPERLINK("CSG13.html#group36P13", "36P¹³"), =HYPERLINK("CSG21.html#group72AA21", "72AA²¹"), =HYPERLINK("CSG23.html#group36D23", "36D²³"), =HYPERLINK("CSG23.html#group72K23", "72K²³"), =HYPERLINK("CSG23.html#group72I23", "72I²³"), =HYPERLINK("CSG5.html#group24T5", "24T⁵"), =HYPERLINK("CSG3.html#group12P3", "12P³"), =HYPERLINK("CSG13.html#group48AC13", "48AC¹³"), =HYPERLINK("CSG13.html#group24W13", "24W¹³"), =HYPERLINK("CSG13.html#group48X13", "48X¹³"), =HYPERLINK("CSG17.html#group24AE17", "24AE¹⁷"), =HYPERLINK("CSG17.html#group48L17", "48L¹⁷"), =HYPERLINK("CSG13.html#group24P13", "24P¹³"), =HYPERLINK("CSG23.html#group36C23", "36C²³"), =HYPERLINK("CSG17.html#group24C17", "24C¹⁷"), =HYPERLINK("CSG9.html#group24E9", "24E⁹"), =HYPERLINK("CSG17.html#group48AR17", "48AR¹⁷")</f>
        <v/>
      </c>
    </row>
    <row r="186">
      <c r="A186" t="inlineStr">
        <is>
          <t>12U¹</t>
        </is>
      </c>
      <c r="B186" t="inlineStr"/>
      <c r="C186" t="inlineStr">
        <is>
          <t>72</t>
        </is>
      </c>
      <c r="D186" t="inlineStr">
        <is>
          <t>1</t>
        </is>
      </c>
      <c r="E186" t="inlineStr">
        <is>
          <t>18</t>
        </is>
      </c>
      <c r="F186" t="inlineStr">
        <is>
          <t>4</t>
        </is>
      </c>
      <c r="G186" t="inlineStr">
        <is>
          <t>0</t>
        </is>
      </c>
      <c r="H186" t="inlineStr">
        <is>
          <t>6⁸, 12²</t>
        </is>
      </c>
      <c r="I186" t="n">
        <v>10</v>
      </c>
      <c r="J186" t="inlineStr">
        <is>
          <t>2³, 4³</t>
        </is>
      </c>
      <c r="K186">
        <f>HYPERLINK("CSG0.html#group6L0", "6L⁰")</f>
        <v/>
      </c>
      <c r="L186">
        <f>HYPERLINK("CSG3.html#group12N3", "12N³"), =HYPERLINK("CSG5.html#group12C5", "12C⁵"), =HYPERLINK("CSG7.html#group12E7", "12E⁷"), =HYPERLINK("CSG8.html#group36N8", "36N⁸"), =HYPERLINK("CSG8.html#group36O8", "36O⁸"), =HYPERLINK("CSG11.html#group36J11", "36J¹¹"), =HYPERLINK("CSG13.html#group36S13", "36S¹³")</f>
        <v/>
      </c>
      <c r="M186">
        <f>HYPERLINK("CSG0.html#group6B0", "6B⁰"), =HYPERLINK("CSG0.html#group6E0", "6E⁰"), =HYPERLINK("CSG0.html#group6L0", "6L⁰"), =HYPERLINK("CSG0.html#group6G0", "6G⁰"), =HYPERLINK("CSG0.html#group3C0", "3C⁰"), =HYPERLINK("CSG0.html#group2B0", "2B⁰"), =HYPERLINK("CSG0.html#group6H0", "6H⁰"), =HYPERLINK("CSG0.html#group3A0", "3A⁰"), =HYPERLINK("CSG0.html#group1A0", "1A⁰"), =HYPERLINK("CSG0.html#group6D0", "6D⁰")</f>
        <v/>
      </c>
      <c r="N186">
        <f>HYPERLINK("CSG13.html#group36S13", "36S¹³"), =HYPERLINK("CSG9.html#group12B9", "12B⁹"), =HYPERLINK("CSG17.html#group24X17", "24X¹⁷"), =HYPERLINK("CSG7.html#group12E7", "12E⁷"), =HYPERLINK("CSG17.html#group36I17", "36I¹⁷"), =HYPERLINK("CSG13.html#group12B13", "12B¹³"), =HYPERLINK("CSG11.html#group36J11", "36J¹¹"), =HYPERLINK("CSG3.html#group12N3", "12N³"), =HYPERLINK("CSG23.html#group36B23", "36B²³"), =HYPERLINK("CSG11.html#group12A11", "12A¹¹"), =HYPERLINK("CSG22.html#group36K22", "36K²²"), =HYPERLINK("CSG5.html#group12C5", "12C⁵"), =HYPERLINK("CSG8.html#group36N8", "36N⁸"), =HYPERLINK("CSG17.html#group24M17", "24M¹⁷"), =HYPERLINK("CSG8.html#group36O8", "36O⁸"), =HYPERLINK("CSG15.html#group24K15", "24K¹⁵"), =HYPERLINK("CSG13.html#group24Q13", "24Q¹³"), =HYPERLINK("CSG23.html#group36C23", "36C²³")</f>
        <v/>
      </c>
    </row>
    <row r="187">
      <c r="A187" t="inlineStr">
        <is>
          <t>12V¹</t>
        </is>
      </c>
      <c r="B187" t="inlineStr"/>
      <c r="C187" t="inlineStr">
        <is>
          <t>96</t>
        </is>
      </c>
      <c r="D187" t="inlineStr">
        <is>
          <t>1</t>
        </is>
      </c>
      <c r="E187" t="inlineStr">
        <is>
          <t>12</t>
        </is>
      </c>
      <c r="F187" t="inlineStr">
        <is>
          <t>0</t>
        </is>
      </c>
      <c r="G187" t="inlineStr">
        <is>
          <t>0</t>
        </is>
      </c>
      <c r="H187" t="inlineStr">
        <is>
          <t>2⁴, 4⁴, 6⁴, 12⁴</t>
        </is>
      </c>
      <c r="I187" t="n">
        <v>16</v>
      </c>
      <c r="J187" t="inlineStr">
        <is>
          <t>1⁶, 2³</t>
        </is>
      </c>
      <c r="K187">
        <f>HYPERLINK("CSG0.html#group12I0", "12I⁰"), =HYPERLINK("CSG0.html#group12J0", "12J⁰"), =HYPERLINK("CSG1.html#group12P1", "12P¹")</f>
        <v/>
      </c>
      <c r="L187">
        <f>HYPERLINK("CSG5.html#group12E5", "12E⁵"), =HYPERLINK("CSG5.html#group24Z5", "24Z⁵"), =HYPERLINK("CSG5.html#group24AB5", "24AB⁵"), =HYPERLINK("CSG9.html#group12B9", "12B⁹"), =HYPERLINK("CSG9.html#group24AB9", "24AB⁹"), =HYPERLINK("CSG9.html#group36Q9", "36Q⁹"), =HYPERLINK("CSG17.html#group36B17", "36B¹⁷"), =HYPERLINK("CSG17.html#group36A17", "36A¹⁷")</f>
        <v/>
      </c>
      <c r="M187">
        <f>HYPERLINK("CSG0.html#group3B0", "3B⁰"), =HYPERLINK("CSG0.html#group2A0", "2A⁰"), =HYPERLINK("CSG0.html#group6I0", "6I⁰"), =HYPERLINK("CSG1.html#group12F1", "12F¹"), =HYPERLINK("CSG0.html#group6C0", "6C⁰"), =HYPERLINK("CSG0.html#group12I0", "12I⁰"), =HYPERLINK("CSG0.html#group4C0", "4C⁰"), =HYPERLINK("CSG0.html#group12J0", "12J⁰"), =HYPERLINK("CSG0.html#group2B0", "2B⁰"), =HYPERLINK("CSG0.html#group4E0", "4E⁰"), =HYPERLINK("CSG1.html#group12P1", "12P¹"), =HYPERLINK("CSG0.html#group4B0", "4B⁰"), =HYPERLINK("CSG0.html#group1A0", "1A⁰"), =HYPERLINK("CSG0.html#group6F0", "6F⁰"), =HYPERLINK("CSG0.html#group2C0", "2C⁰"), =HYPERLINK("CSG0.html#group12E0", "12E⁰")</f>
        <v/>
      </c>
      <c r="N187">
        <f>HYPERLINK("CSG5.html#group24Z5", "24Z⁵"), =HYPERLINK("CSG17.html#group36A17", "36A¹⁷"), =HYPERLINK("CSG17.html#group24AP17", "24AP¹⁷"), =HYPERLINK("CSG21.html#group48BZ21", "48BZ²¹"), =HYPERLINK("CSG13.html#group48AG13", "48AG¹³"), =HYPERLINK("CSG9.html#group12B9", "12B⁹"), =HYPERLINK("CSG9.html#group36Q9", "36Q⁹"), =HYPERLINK("CSG21.html#group24B21", "24B²¹"), =HYPERLINK("CSG17.html#group24AQ17", "24AQ¹⁷"), =HYPERLINK("CSG5.html#group24AB5", "24AB⁵"), =HYPERLINK("CSG17.html#group36B17", "36B¹⁷"), =HYPERLINK("CSG17.html#group48CN17", "48CN¹⁷"), =HYPERLINK("CSG13.html#group24AB13", "24AB¹³"), =HYPERLINK("CSG13.html#group24AC13", "24AC¹³"), =HYPERLINK("CSG5.html#group12E5", "12E⁵"), =HYPERLINK("CSG9.html#group24AB9", "24AB⁹")</f>
        <v/>
      </c>
    </row>
    <row r="188">
      <c r="A188" t="inlineStr">
        <is>
          <t>14A¹</t>
        </is>
      </c>
      <c r="B188" t="inlineStr"/>
      <c r="C188" t="inlineStr">
        <is>
          <t>14</t>
        </is>
      </c>
      <c r="D188" t="inlineStr">
        <is>
          <t>2</t>
        </is>
      </c>
      <c r="E188" t="inlineStr">
        <is>
          <t>7</t>
        </is>
      </c>
      <c r="F188" t="inlineStr">
        <is>
          <t>0</t>
        </is>
      </c>
      <c r="G188" t="inlineStr">
        <is>
          <t>2</t>
        </is>
      </c>
      <c r="H188" t="inlineStr">
        <is>
          <t>14¹</t>
        </is>
      </c>
      <c r="I188" t="n">
        <v>1</v>
      </c>
      <c r="J188" t="inlineStr">
        <is>
          <t>2¹, 6²</t>
        </is>
      </c>
      <c r="K188">
        <f>HYPERLINK("CSG0.html#group2A0", "2A⁰"), =HYPERLINK("CSG0.html#group7A0", "7A⁰")</f>
        <v/>
      </c>
      <c r="L188">
        <f>HYPERLINK("CSG1.html#group14D1", "14D¹"), =HYPERLINK("CSG3.html#group14A3", "14A³"), =HYPERLINK("CSG3.html#group14B3", "14B³"), =HYPERLINK("CSG3.html#group14C3", "14C³"), =HYPERLINK("CSG3.html#group42A3", "42A³"), =HYPERLINK("CSG4.html#group28A4", "28A⁴"), =HYPERLINK("CSG4.html#group42A4", "42A⁴"), =HYPERLINK("CSG4.html#group42E4", "42E⁴"), =HYPERLINK("CSG5.html#group70A5", "70A⁵"), =HYPERLINK("CSG7.html#group70A7", "70A⁷"), =HYPERLINK("CSG11.html#group70A11", "70A¹¹"), =HYPERLINK("CSG15.html#group182A15", "182A¹⁵"), =HYPERLINK("CSG21.html#group238B21", "238B²¹"), =HYPERLINK("CSG22.html#group266B22", "266B²²")</f>
        <v/>
      </c>
      <c r="M188">
        <f>HYPERLINK("CSG0.html#group2A0", "2A⁰"), =HYPERLINK("CSG0.html#group1A0", "1A⁰"), =HYPERLINK("CSG0.html#group7A0", "7A⁰")</f>
        <v/>
      </c>
      <c r="N188">
        <f>HYPERLINK("CSG15.html#group42B15", "42B¹⁵"), =HYPERLINK("CSG3.html#group14B3", "14B³"), =HYPERLINK("CSG12.html#group28B12", "28B¹²"), =HYPERLINK("CSG7.html#group42F7", "42F⁷"), =HYPERLINK("CSG5.html#group14C5", "14C⁵"), =HYPERLINK("CSG24.html#group98A24", "98A²⁴"), =HYPERLINK("CSG14.html#group84A14", "84A¹⁴"), =HYPERLINK("CSG16.html#group112A16", "112A¹⁶"), =HYPERLINK("CSG1.html#group14D1", "14D¹"), =HYPERLINK("CSG24.html#group56G24", "56G²⁴"), =HYPERLINK("CSG12.html#group56H12", "56H¹²"), =HYPERLINK("CSG13.html#group126B13", "126B¹³"), =HYPERLINK("CSG10.html#group42A10", "42A¹⁰"), =HYPERLINK("CSG7.html#group42C7", "42C⁷"), =HYPERLINK("CSG17.html#group70A17", "70A¹⁷"), =HYPERLINK("CSG21.html#group28L21", "28L²¹"), =HYPERLINK("CSG3.html#group14C3", "14C³"), =HYPERLINK("CSG13.html#group42A13", "42A¹³"), =HYPERLINK("CSG19.html#group42F19", "42F¹⁹"), =HYPERLINK("CSG15.html#group84G15", "84G¹⁵"), =HYPERLINK("CSG11.html#group70A11", "70A¹¹"), =HYPERLINK("CSG21.html#group126C21", "126C²¹"), =HYPERLINK("CSG8.html#group84D8", "84D⁸"), =HYPERLINK("CSG13.html#group42D13", "42D¹³"), =HYPERLINK("CSG12.html#group56A12", "56A¹²"), =HYPERLINK("CSG13.html#group42C13", "42C¹³"), =HYPERLINK("CSG21.html#group126F21", "126F²¹"), =HYPERLINK("CSG13.html#group84D13", "84D¹³"), =HYPERLINK("CSG16.html#group210C16", "210C¹⁶"), =HYPERLINK("CSG7.html#group42A7", "42A⁷"), =HYPERLINK("CSG12.html#group28C12", "28C¹²"), =HYPERLINK("CSG7.html#group28A7", "28A⁷"), =HYPERLINK("CSG24.html#group112B24", "112B²⁴"), =HYPERLINK("CSG5.html#group42D5", "42D⁵"), =HYPERLINK("CSG20.html#group126E20", "126E²⁰"), =HYPERLINK("CSG13.html#group28A13", "28A¹³"), =HYPERLINK("CSG21.html#group126E21", "126E²¹"), =HYPERLINK("CSG13.html#group56D13", "56D¹³"), =HYPERLINK("CSG15.html#group182A15", "182A¹⁵"), =HYPERLINK("CSG24.html#group98B24", "98B²⁴"), =HYPERLINK("CSG23.html#group126J23", "126J²³"), =HYPERLINK("CSG21.html#group126D21", "126D²¹"), =HYPERLINK("CSG20.html#group84H20", "84H²⁰"), =HYPERLINK("CSG19.html#group42M19", "42M¹⁹"), =HYPERLINK("CSG12.html#group56I12", "56I¹²"), =HYPERLINK("CSG24.html#group56D24", "56D²⁴"), =HYPERLINK("CSG24.html#group252E24", "252E²⁴"), =HYPERLINK("CSG24.html#group42B24", "42B²⁴"), =HYPERLINK("CSG23.html#group56F23", "56F²³"), =HYPERLINK("CSG24.html#group84B24", "84B²⁴"), =HYPERLINK("CSG8.html#group84E8", "84E⁸"), =HYPERLINK("CSG5.html#group14B5", "14B⁵"), =HYPERLINK("CSG12.html#group28A12", "28A¹²"), =HYPERLINK("CSG23.html#group42A23", "42A²³"), =HYPERLINK("CSG5.html#group42C5", "42C⁵"), =HYPERLINK("CSG21.html#group210B21", "210B²¹"), =HYPERLINK("CSG19.html#group42B19", "42B¹⁹"), =HYPERLINK("CSG18.html#group210A18", "210A¹⁸"), =HYPERLINK("CSG24.html#group56B24", "56B²⁴"), =HYPERLINK("CSG6.html#group42B6", "42B⁶"), =HYPERLINK("CSG5.html#group70A5", "70A⁵"), =HYPERLINK("CSG16.html#group28F16", "28F¹⁶"), =HYPERLINK("CSG24.html#group112A24", "112A²⁴"), =HYPERLINK("CSG11.html#group126A11", "126A¹¹"), =HYPERLINK("CSG23.html#group126L23", "126L²³"), =HYPERLINK("CSG14.html#group126C14", "126C¹⁴"), =HYPERLINK("CSG24.html#group56F24", "56F²⁴"), =HYPERLINK("CSG23.html#group42E23", "42E²³"), =HYPERLINK("CSG15.html#group70B15", "70B¹⁵"), =HYPERLINK("CSG17.html#group14A17", "14A¹⁷"), =HYPERLINK("CSG5.html#group14D5", "14D⁵"), =HYPERLINK("CSG22.html#group140A22", "140A²²"), =HYPERLINK("CSG17.html#group70C17", "70C¹⁷"), =HYPERLINK("CSG12.html#group42E12", "42E¹²"), =HYPERLINK("CSG9.html#group70B9", "70B⁹"), =HYPERLINK("CSG24.html#group252F24", "252F²⁴"), =HYPERLINK("CSG16.html#group42B16", "42B¹⁶"), =HYPERLINK("CSG19.html#group42H19", "42H¹⁹"), =HYPERLINK("CSG21.html#group28C21", "28C²¹"), =HYPERLINK("CSG10.html#group42B10", "42B¹⁰"), =HYPERLINK("CSG15.html#group56A15", "56A¹⁵"), =HYPERLINK("CSG19.html#group42I19", "42I¹⁹"), =HYPERLINK("CSG21.html#group70A21", "70A²¹"), =HYPERLINK("CSG3.html#group14A3", "14A³"), =HYPERLINK("CSG23.html#group42D23", "42D²³"), =HYPERLINK("CSG8.html#group56B8", "56B⁸"), =HYPERLINK("CSG21.html#group70E21", "70E²¹"), =HYPERLINK("CSG19.html#group42J19", "42J¹⁹"), =HYPERLINK("CSG21.html#group28K21", "28K²¹"), =HYPERLINK("CSG16.html#group28B16", "28B¹⁶"), =HYPERLINK("CSG13.html#group70D13", "70D¹³"), =HYPERLINK("CSG24.html#group126A24", "126A²⁴"), =HYPERLINK("CSG6.html#group28B6", "28B⁶"), =HYPERLINK("CSG19.html#group42C19", "42C¹⁹"), =HYPERLINK("CSG22.html#group266B22", "266B²²"), =HYPERLINK("CSG23.html#group42J23", "42J²³"), =HYPERLINK("CSG19.html#group70B19", "70B¹⁹"), =HYPERLINK("CSG17.html#group56A17", "56A¹⁷"), =HYPERLINK("CSG20.html#group84F20", "84F²⁰"), =HYPERLINK("CSG23.html#group42H23", "42H²³"), =HYPERLINK("CSG23.html#group42B23", "42B²³"), =HYPERLINK("CSG21.html#group238B21", "238B²¹"), =HYPERLINK("CSG4.html#group28A4", "28A⁴"), =HYPERLINK("CSG19.html#group42E19", "42E¹⁹"), =HYPERLINK("CSG7.html#group70A7", "70A⁷"), =HYPERLINK("CSG23.html#group28C23", "28C²³"), =HYPERLINK("CSG12.html#group42C12", "42C¹²"), =HYPERLINK("CSG16.html#group112B16", "112B¹⁶"), =HYPERLINK("CSG12.html#group126G12", "126G¹²"), =HYPERLINK("CSG17.html#group14B17", "14B¹⁷"), =HYPERLINK("CSG21.html#group126A21", "126A²¹"), =HYPERLINK("CSG22.html#group210B22", "210B²²"), =HYPERLINK("CSG21.html#group126G21", "126G²¹"), =HYPERLINK("CSG20.html#group84B20", "84B²⁰"), =HYPERLINK("CSG17.html#group210A17", "210A¹⁷"), =HYPERLINK("CSG21.html#group126B21", "126B²¹"), =HYPERLINK("CSG21.html#group28D21", "28D²¹"), =HYPERLINK("CSG16.html#group28C16", "28C¹⁶"), =HYPERLINK("CSG11.html#group28C11", "28C¹¹"), =HYPERLINK("CSG15.html#group28A15", "28A¹⁵"), =HYPERLINK("CSG21.html#group42D21", "42D²¹"), =HYPERLINK("CSG7.html#group14A7", "14A⁷"), =HYPERLINK("CSG17.html#group210B17", "210B¹⁷"), =HYPERLINK("CSG21.html#group70C21", "70C²¹"), =HYPERLINK("CSG3.html#group14E3", "14E³"), =HYPERLINK("CSG12.html#group42D12", "42D¹²"), =HYPERLINK("CSG24.html#group56C24", "56C²⁴"), =HYPERLINK("CSG21.html#group126I21", "126I²¹"), =HYPERLINK("CSG23.html#group126K23", "126K²³"), =HYPERLINK("CSG17.html#group70B17", "70B¹⁷"), =HYPERLINK("CSG23.html#group42G23", "42G²³"), =HYPERLINK("CSG13.html#group126C13", "126C¹³"), =HYPERLINK("CSG16.html#group210A16", "210A¹⁶"), =HYPERLINK("CSG17.html#group84C17", "84C¹⁷"), =HYPERLINK("CSG4.html#group42A4", "42A⁴"), =HYPERLINK("CSG9.html#group14A9", "14A⁹"), =HYPERLINK("CSG7.html#group42B7", "42B⁷"), =HYPERLINK("CSG10.html#group42C10", "42C¹⁰"), =HYPERLINK("CSG21.html#group126H21", "126H²¹"), =HYPERLINK("CSG13.html#group56C13", "56C¹³"), =HYPERLINK("CSG12.html#group42A12", "42A¹²"), =HYPERLINK("CSG24.html#group84A24", "84A²⁴"), =HYPERLINK("CSG13.html#group84A13", "84A¹³"), =HYPERLINK("CSG3.html#group42A3", "42A³"), =HYPERLINK("CSG19.html#group70A19", "70A¹⁹"), =HYPERLINK("CSG12.html#group126F12", "126F¹²"), =HYPERLINK("CSG21.html#group210A21", "210A²¹"), =HYPERLINK("CSG6.html#group28C6", "28C⁶"), =HYPERLINK("CSG19.html#group42G19", "42G¹⁹"), =HYPERLINK("CSG19.html#group42K19", "42K¹⁹"), =HYPERLINK("CSG19.html#group42D19", "42D¹⁹"), =HYPERLINK("CSG23.html#group28B23", "28B²³"), =HYPERLINK("CSG23.html#group42F23", "42F²³"), =HYPERLINK("CSG8.html#group56A8", "56A⁸"), =HYPERLINK("CSG12.html#group56B12", "56B¹²"), =HYPERLINK("CSG24.html#group42A24", "42A²⁴"), =HYPERLINK("CSG14.html#group126B14", "126B¹⁴"), =HYPERLINK("CSG21.html#group70B21", "70B²¹"), =HYPERLINK("CSG13.html#group14C13", "14C¹³"), =HYPERLINK("CSG24.html#group56A24", "56A²⁴"), =HYPERLINK("CSG19.html#group42L19", "42L¹⁹"), =HYPERLINK("CSG16.html#group210B16", "210B¹⁶"), =HYPERLINK("CSG23.html#group56A23", "56A²³"), =HYPERLINK("CSG13.html#group14A13", "14A¹³"), =HYPERLINK("CSG23.html#group28D23", "28D²³"), =HYPERLINK("CSG13.html#group42E13", "42E¹³"), =HYPERLINK("CSG5.html#group14E5", "14E⁵"), =HYPERLINK("CSG20.html#group84C20", "84C²⁰"), =HYPERLINK("CSG4.html#group42E4", "42E⁴"), =HYPERLINK("CSG9.html#group14B9", "14B⁹"), =HYPERLINK("CSG13.html#group70C13", "70C¹³"), =HYPERLINK("CSG15.html#group14A15", "14A¹⁵"), =HYPERLINK("CSG13.html#group70A13", "70A¹³")</f>
        <v/>
      </c>
    </row>
    <row r="189">
      <c r="A189" t="inlineStr">
        <is>
          <t>14B¹</t>
        </is>
      </c>
      <c r="B189" t="inlineStr"/>
      <c r="C189" t="inlineStr">
        <is>
          <t>21</t>
        </is>
      </c>
      <c r="D189" t="inlineStr">
        <is>
          <t>2</t>
        </is>
      </c>
      <c r="E189" t="inlineStr">
        <is>
          <t>21</t>
        </is>
      </c>
      <c r="F189" t="inlineStr">
        <is>
          <t>3</t>
        </is>
      </c>
      <c r="G189" t="inlineStr">
        <is>
          <t>0</t>
        </is>
      </c>
      <c r="H189" t="inlineStr">
        <is>
          <t>7¹, 14¹</t>
        </is>
      </c>
      <c r="I189" t="n">
        <v>2</v>
      </c>
      <c r="J189" t="inlineStr">
        <is>
          <t>2³, 6⁶</t>
        </is>
      </c>
      <c r="K189">
        <f>HYPERLINK("CSG0.html#group2B0", "2B⁰"), =HYPERLINK("CSG0.html#group7A0", "7A⁰")</f>
        <v/>
      </c>
      <c r="L189">
        <f>HYPERLINK("CSG2.html#group14A2", "14A²"), =HYPERLINK("CSG2.html#group14C2", "14C²"), =HYPERLINK("CSG2.html#group14F2", "14F²"), =HYPERLINK("CSG2.html#group28B2", "28B²"), =HYPERLINK("CSG2.html#group28C2", "28C²"), =HYPERLINK("CSG3.html#group14B3", "14B³"), =HYPERLINK("CSG3.html#group14D3", "14D³"), =HYPERLINK("CSG3.html#group28A3", "28A³"), =HYPERLINK("CSG3.html#group28B3", "28B³"), =HYPERLINK("CSG3.html#group42C3", "42C³"), =HYPERLINK("CSG6.html#group42C6", "42C⁶"), =HYPERLINK("CSG8.html#group70A8", "70A⁸"), =HYPERLINK("CSG8.html#group70B8", "70B⁸"), =HYPERLINK("CSG15.html#group70D15", "70D¹⁵"), =HYPERLINK("CSG22.html#group182A22", "182A²²")</f>
        <v/>
      </c>
      <c r="M189">
        <f>HYPERLINK("CSG0.html#group1A0", "1A⁰"), =HYPERLINK("CSG0.html#group2B0", "2B⁰"), =HYPERLINK("CSG0.html#group7A0", "7A⁰")</f>
        <v/>
      </c>
      <c r="N189">
        <f>HYPERLINK("CSG24.html#group224C24", "224C²⁴"), =HYPERLINK("CSG24.html#group336I24", "336I²⁴"), =HYPERLINK("CSG6.html#group56C6", "56C⁶"), =HYPERLINK("CSG21.html#group56H21", "56H²¹"), =HYPERLINK("CSG16.html#group140C16", "140C¹⁶"), =HYPERLINK("CSG16.html#group84F16", "84F¹⁶"), =HYPERLINK("CSG16.html#group168E16", "168E¹⁶"), =HYPERLINK("CSG24.html#group42D24", "42D²⁴"), =HYPERLINK("CSG24.html#group112V24", "112V²⁴"), =HYPERLINK("CSG14.html#group56G14", "56G¹⁴"), =HYPERLINK("CSG13.html#group28D13", "28D¹³"), =HYPERLINK("CSG19.html#group84H19", "84H¹⁹"), =HYPERLINK("CSG15.html#group42H15", "42H¹⁵"), =HYPERLINK("CSG16.html#group84D16", "84D¹⁶"), =HYPERLINK("CSG24.html#group56G24", "56G²⁴"), =HYPERLINK("CSG12.html#group56H12", "56H¹²"), =HYPERLINK("CSG16.html#group140B16", "140B¹⁶"), =HYPERLINK("CSG20.html#group126D20", "126D²⁰"), =HYPERLINK("CSG23.html#group224A23", "224A²³"), =HYPERLINK("CSG24.html#group112Q24", "112Q²⁴"), =HYPERLINK("CSG24.html#group56H24", "56H²⁴"), =HYPERLINK("CSG21.html#group56B21", "56B²¹"), =HYPERLINK("CSG17.html#group28A17", "28A¹⁷"), =HYPERLINK("CSG15.html#group56H15", "56H¹⁵"), =HYPERLINK("CSG24.html#group56I24", "56I²⁴"), =HYPERLINK("CSG18.html#group70F18", "70F¹⁸"), =HYPERLINK("CSG11.html#group112A11", "112A¹¹"), =HYPERLINK("CSG21.html#group28E21", "28E²¹"), =HYPERLINK("CSG23.html#group56E23", "56E²³"), =HYPERLINK("CSG12.html#group56A12", "56A¹²"), =HYPERLINK("CSG22.html#group182A22", "182A²²"), =HYPERLINK("CSG10.html#group56B10", "56B¹⁰"), =HYPERLINK("CSG8.html#group42B8", "42B⁸"), =HYPERLINK("CSG9.html#group14C9", "14C⁹"), =HYPERLINK("CSG8.html#group28A8", "28A⁸"), =HYPERLINK("CSG21.html#group56E21", "56E²¹"), =HYPERLINK("CSG23.html#group70A23", "70A²³"), =HYPERLINK("CSG10.html#group56D10", "56D¹⁰"), =HYPERLINK("CSG23.html#group112E23", "112E²³"), =HYPERLINK("CSG23.html#group112L23", "112L²³"), =HYPERLINK("CSG16.html#group42A16", "42A¹⁶"), =HYPERLINK("CSG21.html#group56F21", "56F²¹"), =HYPERLINK("CSG17.html#group168A17", "168A¹⁷"), =HYPERLINK("CSG11.html#group28D11", "28D¹¹"), =HYPERLINK("CSG23.html#group112H23", "112H²³"), =HYPERLINK("CSG21.html#group56A21", "56A²¹"), =HYPERLINK("CSG20.html#group84D20", "84D²⁰"), =HYPERLINK("CSG6.html#group56B6", "56B⁶"), =HYPERLINK("CSG24.html#group112U24", "112U²⁴"), =HYPERLINK("CSG5.html#group28D5", "28D⁵"), =HYPERLINK("CSG12.html#group28C12", "28C¹²"), =HYPERLINK("CSG24.html#group112B24", "112B²⁴"), =HYPERLINK("CSG11.html#group112F11", "112F¹¹"), =HYPERLINK("CSG24.html#group84D24", "84D²⁴"), =HYPERLINK("CSG5.html#group56B5", "56B⁵"), =HYPERLINK("CSG11.html#group56G11", "56G¹¹"), =HYPERLINK("CSG16.html#group28E16", "28E¹⁶"), =HYPERLINK("CSG20.html#group84H20", "84H²⁰"), =HYPERLINK("CSG24.html#group56D24", "56D²⁴"), =HYPERLINK("CSG23.html#group56F23", "56F²³"), =HYPERLINK("CSG24.html#group56J24", "56J²⁴"), =HYPERLINK("CSG8.html#group70B8", "70B⁸"), =HYPERLINK("CSG20.html#group168D20", "168D²⁰"), =HYPERLINK("CSG5.html#group28C5", "28C⁵"), =HYPERLINK("CSG17.html#group28B17", "28B¹⁷"), =HYPERLINK("CSG10.html#group56A10", "56A¹⁰"), =HYPERLINK("CSG24.html#group84C24", "84C²⁴"), =HYPERLINK("CSG13.html#group56E13", "56E¹³"), =HYPERLINK("CSG23.html#group42K23", "42K²³"), =HYPERLINK("CSG24.html#group56B24", "56B²⁴"), =HYPERLINK("CSG12.html#group56C12", "56C¹²"), =HYPERLINK("CSG13.html#group84B13", "84B¹³"), =HYPERLINK("CSG11.html#group112C11", "112C¹¹"), =HYPERLINK("CSG24.html#group112A24", "112A²⁴"), =HYPERLINK("CSG12.html#group112D12", "112D¹²"), =HYPERLINK("CSG15.html#group168B15", "168B¹⁵"), =HYPERLINK("CSG19.html#group84D19", "84D¹⁹"), =HYPERLINK("CSG22.html#group56F22", "56F²²"), =HYPERLINK("CSG18.html#group84H18", "84H¹⁸"), =HYPERLINK("CSG17.html#group84E17", "84E¹⁷"), =HYPERLINK("CSG24.html#group224E24", "224E²⁴"), =HYPERLINK("CSG24.html#group112P24", "112P²⁴"), =HYPERLINK("CSG24.html#group112S24", "112S²⁴"), =HYPERLINK("CSG18.html#group84E18", "84E¹⁸"), =HYPERLINK("CSG7.html#group14C7", "14C⁷"), =HYPERLINK("CSG21.html#group112A21", "112A²¹"), =HYPERLINK("CSG17.html#group70C17", "70C¹⁷"), =HYPERLINK("CSG13.html#group14B13", "14B¹³"), =HYPERLINK("CSG15.html#group84H15", "84H¹⁵"), =HYPERLINK("CSG16.html#group28D16", "28D¹⁶"), =HYPERLINK("CSG21.html#group28H21", "28H²¹"), =HYPERLINK("CSG21.html#group28C21", "28C²¹"), =HYPERLINK("CSG19.html#group42I19", "42I¹⁹"), =HYPERLINK("CSG17.html#group28C17", "28C¹⁷"), =HYPERLINK("CSG13.html#group56A13", "56A¹³"), =HYPERLINK("CSG12.html#group112F12", "112F¹²"), =HYPERLINK("CSG12.html#group112B12", "112B¹²"), =HYPERLINK("CSG16.html#group70F16", "70F¹⁶"), =HYPERLINK("CSG22.html#group84N22", "84N²²"), =HYPERLINK("CSG23.html#group112B23", "112B²³"), =HYPERLINK("CSG5.html#group56A5", "56A⁵"), =HYPERLINK("CSG21.html#group28G21", "28G²¹"), =HYPERLINK("CSG24.html#group112C24", "112C²⁴"), =HYPERLINK("CSG17.html#group84K17", "84K¹⁷"), =HYPERLINK("CSG2.html#group14C2", "14C²"), =HYPERLINK("CSG21.html#group56C21", "56C²¹"), =HYPERLINK("CSG17.html#group84G17", "84G¹⁷"), =HYPERLINK("CSG19.html#group70B19", "70B¹⁹"), =HYPERLINK("CSG20.html#group140A20", "140A²⁰"), =HYPERLINK("CSG6.html#group28I6", "28I⁶"), =HYPERLINK("CSG9.html#group56B9", "56B⁹"), =HYPERLINK("CSG24.html#group112N24", "112N²⁴"), =HYPERLINK("CSG23.html#group112D23", "112D²³"), =HYPERLINK("CSG11.html#group28A11", "28A¹¹"), =HYPERLINK("CSG18.html#group84G18", "84G¹⁸"), =HYPERLINK("CSG13.html#group28C13", "28C¹³"), =HYPERLINK("CSG16.html#group42I16", "42I¹⁶"), =HYPERLINK("CSG11.html#group56D11", "56D¹¹"), =HYPERLINK("CSG4.html#group14A4", "14A⁴"), =HYPERLINK("CSG19.html#group84A19", "84A¹⁹"), =HYPERLINK("CSG24.html#group252G24", "252G²⁴"), =HYPERLINK("CSG9.html#group28B9", "28B⁹"), =HYPERLINK("CSG21.html#group56G21", "56G²¹"), =HYPERLINK("CSG21.html#group112D21", "112D²¹"), =HYPERLINK("CSG11.html#group28C11", "28C¹¹"), =HYPERLINK("CSG5.html#group14F5", "14F⁵"), =HYPERLINK("CSG18.html#group140B18", "140B¹⁸"), =HYPERLINK("CSG7.html#group14A7", "14A⁷"), =HYPERLINK("CSG12.html#group42G12", "42G¹²"), =HYPERLINK("CSG17.html#group42C17", "42C¹⁷"), =HYPERLINK("CSG17.html#group42G17", "42G¹⁷"), =HYPERLINK("CSG16.html#group84C16", "84C¹⁶"), =HYPERLINK("CSG21.html#group112C21", "112C²¹"), =HYPERLINK("CSG23.html#group56H23", "56H²³"), =HYPERLINK("CSG11.html#group112B11", "112B¹¹"), =HYPERLINK("CSG24.html#group56C24", "56C²⁴"), =HYPERLINK("CSG16.html#group70C16", "70C¹⁶"), =HYPERLINK("CSG24.html#group224D24", "224D²⁴"), =HYPERLINK("CSG16.html#group84H16", "84H¹⁶"), =HYPERLINK("CSG19.html#group140B19", "140B¹⁹"), =HYPERLINK("CSG14.html#group84D14", "84D¹⁴"), =HYPERLINK("CSG21.html#group112B21", "112B²¹"), =HYPERLINK("CSG18.html#group84F18", "84F¹⁸"), =HYPERLINK("CSG17.html#group140C17", "140C¹⁷"), =HYPERLINK("CSG12.html#group112A12", "112A¹²"), =HYPERLINK("CSG19.html#group84E19", "84E¹⁹"), =HYPERLINK("CSG7.html#group14D7", "14D⁷"), =HYPERLINK("CSG16.html#group70A16", "70A¹⁶"), =HYPERLINK("CSG8.html#group42A8", "42A⁸"), =HYPERLINK("CSG13.html#group28E13", "28E¹³"), =HYPERLINK("CSG14.html#group28B14", "28B¹⁴"), =HYPERLINK("CSG8.html#group84F8", "84F⁸"), =HYPERLINK("CSG9.html#group84C9", "84C⁹"), =HYPERLINK("CSG23.html#group56G23", "56G²³"), =HYPERLINK("CSG6.html#group14A6", "14A⁶"), =HYPERLINK("CSG10.html#group42C10", "42C¹⁰"), =HYPERLINK("CSG23.html#group14A23", "14A²³"), =HYPERLINK("CSG2.html#group14A2", "14A²"), =HYPERLINK("CSG24.html#group84A24", "84A²⁴"), =HYPERLINK("CSG23.html#group112C23", "112C²³"), =HYPERLINK("CSG23.html#group112N23", "112N²³"), =HYPERLINK("CSG12.html#group56F12", "56F¹²"), =HYPERLINK("CSG16.html#group42C16", "42C¹⁶"), =HYPERLINK("CSG9.html#group84B9", "84B⁹"), =HYPERLINK("CSG6.html#group28C6", "28C⁶"), =HYPERLINK("CSG23.html#group112A23", "112A²³"), =HYPERLINK("CSG19.html#group42G19", "42G¹⁹"), =HYPERLINK("CSG14.html#group112A14", "112A¹⁴"), =HYPERLINK("CSG19.html#group42K19", "42K¹⁹"), =HYPERLINK("CSG11.html#group56C11", "56C¹¹"), =HYPERLINK("CSG7.html#group28E7", "28E⁷"), =HYPERLINK("CSG13.html#group56B13", "56B¹³"), =HYPERLINK("CSG18.html#group84D18", "84D¹⁸"), =HYPERLINK("CSG24.html#group112L24", "112L²⁴"), =HYPERLINK("CSG8.html#group42D8", "42D⁸"), =HYPERLINK("CSG24.html#group112J24", "112J²⁴"), =HYPERLINK("CSG12.html#group56B12", "56B¹²"), =HYPERLINK("CSG16.html#group56C16", "56C¹⁶"), =HYPERLINK("CSG23.html#group56I23", "56I²³"), =HYPERLINK("CSG5.html#group28B5", "28B⁵"), =HYPERLINK("CSG23.html#group56A23", "56A²³"), =HYPERLINK("CSG24.html#group112O24", "112O²⁴"), =HYPERLINK("CSG13.html#group14A13", "14A¹³"), =HYPERLINK("CSG15.html#group56E15", "56E¹⁵"), =HYPERLINK("CSG7.html#group84B7", "84B⁷"), =HYPERLINK("CSG20.html#group84C20", "84C²⁰"), =HYPERLINK("CSG19.html#group14A19", "14A¹⁹"), =HYPERLINK("CSG21.html#group56D21", "56D²¹"), =HYPERLINK("CSG18.html#group70G18", "70G¹⁸"), =HYPERLINK("CSG18.html#group126F18", "126F¹⁸"), =HYPERLINK("CSG17.html#group14B17", "14B¹⁷"), =HYPERLINK("CSG20.html#group84G20", "84G²⁰"), =HYPERLINK("CSG4.html#group56B4", "56B⁴"), =HYPERLINK("CSG22.html#group84M22", "84M²²"), =HYPERLINK("CSG20.html#group168B20", "168B²⁰"), =HYPERLINK("CSG7.html#group56A7", "56A⁷"), =HYPERLINK("CSG4.html#group28C4", "28C⁴"), =HYPERLINK("CSG3.html#group14B3", "14B³"), =HYPERLINK("CSG11.html#group112D11", "112D¹¹"), =HYPERLINK("CSG23.html#group56J23", "56J²³"), =HYPERLINK("CSG12.html#group28B12", "28B¹²"), =HYPERLINK("CSG17.html#group56E17", "56E¹⁷"), =HYPERLINK("CSG17.html#group84M17", "84M¹⁷"), =HYPERLINK("CSG23.html#group28E23", "28E²³"), =HYPERLINK("CSG24.html#group224F24", "224F²⁴"), =HYPERLINK("CSG16.html#group56B16", "56B¹⁶"), =HYPERLINK("CSG16.html#group42H16", "42H¹⁶"), =HYPERLINK("CSG24.html#group112W24", "112W²⁴"), =HYPERLINK("CSG18.html#group140C18", "140C¹⁸"), =HYPERLINK("CSG17.html#group140D17", "140D¹⁷"), =HYPERLINK("CSG15.html#group56G15", "56G¹⁵"), =HYPERLINK("CSG6.html#group42C6", "42C⁶"), =HYPERLINK("CSG18.html#group56A18", "56A¹⁸"), =HYPERLINK("CSG24.html#group112R24", "112R²⁴"), =HYPERLINK("CSG24.html#group56E24", "56E²⁴"), =HYPERLINK("CSG12.html#group56E12", "56E¹²"), =HYPERLINK("CSG21.html#group42C21", "42C²¹"), =HYPERLINK("CSG24.html#group112D24", "112D²⁴"), =HYPERLINK("CSG15.html#group28G15", "28G¹⁵"), =HYPERLINK("CSG22.html#group56D22", "56D²²"), =HYPERLINK("CSG16.html#group84A16", "84A¹⁶"), =HYPERLINK("CSG8.html#group112B8", "112B⁸"), =HYPERLINK("CSG18.html#group168E18", "168E¹⁸"), =HYPERLINK("CSG15.html#group56F15", "56F¹⁵"), =HYPERLINK("CSG18.html#group168F18", "168F¹⁸"), =HYPERLINK("CSG23.html#group112F23", "112F²³"), =HYPERLINK("CSG21.html#group56J21", "56J²¹"), =HYPERLINK("CSG17.html#group84J17", "84J¹⁷"), =HYPERLINK("CSG20.html#group84A20", "84A²⁰"), =HYPERLINK("CSG14.html#group28A14", "28A¹⁴"), =HYPERLINK("CSG10.html#group84A10", "84A¹⁰"), =HYPERLINK("CSG19.html#group112A19", "112A¹⁹"), =HYPERLINK("CSG14.html#group84C14", "84C¹⁴"), =HYPERLINK("CSG12.html#group56J12", "56J¹²"), =HYPERLINK("CSG19.html#group84F19", "84F¹⁹"), =HYPERLINK("CSG18.html#group84C18", "84C¹⁸"), =HYPERLINK("CSG16.html#group84J16", "84J¹⁶"), =HYPERLINK("CSG16.html#group84B16", "84B¹⁶"), =HYPERLINK("CSG10.html#group28A10", "28A¹⁰"), =HYPERLINK("CSG12.html#group112E12", "112E¹²"), =HYPERLINK("CSG2.html#group28C2", "28C²"), =HYPERLINK("CSG22.html#group70A22", "70A²²"), =HYPERLINK("CSG6.html#group28J6", "28J⁶"), =HYPERLINK("CSG17.html#group84L17", "84L¹⁷"), =HYPERLINK("CSG17.html#group84F17", "84F¹⁷"), =HYPERLINK("CSG23.html#group84F23", "84F²³"), =HYPERLINK("CSG16.html#group84E16", "84E¹⁶"), =HYPERLINK("CSG17.html#group70G17", "70G¹⁷"), =HYPERLINK("CSG23.html#group112M23", "112M²³"), =HYPERLINK("CSG8.html#group70A8", "70A⁸"), =HYPERLINK("CSG12.html#group56D12", "56D¹²"), =HYPERLINK("CSG23.html#group42L23", "42L²³"), =HYPERLINK("CSG21.html#group56K21", "56K²¹"), =HYPERLINK("CSG2.html#group28B2", "28B²"), =HYPERLINK("CSG13.html#group56D13", "56D¹³"), =HYPERLINK("CSG22.html#group112A22", "112A²²"), =HYPERLINK("CSG15.html#group70D15", "70D¹⁵"), =HYPERLINK("CSG12.html#group84B12", "84B¹²"), =HYPERLINK("CSG12.html#group56I12", "56I¹²"), =HYPERLINK("CSG24.html#group84B24", "84B²⁴"), =HYPERLINK("CSG22.html#group56G22", "56G²²"), =HYPERLINK("CSG21.html#group28J21", "28J²¹"), =HYPERLINK("CSG24.html#group42C24", "42C²⁴"), =HYPERLINK("CSG6.html#group56A6", "56A⁶"), =HYPERLINK("CSG24.html#group70A24", "70A²⁴"), =HYPERLINK("CSG24.html#group210A24", "210A²⁴"), =HYPERLINK("CSG11.html#group56E11", "56E¹¹"), =HYPERLINK("CSG15.html#group28D15", "28D¹⁵"), =HYPERLINK("CSG21.html#group224A21", "224A²¹"), =HYPERLINK("CSG24.html#group112Z24", "112Z²⁴"), =HYPERLINK("CSG13.html#group112A13", "112A¹³"), =HYPERLINK("CSG15.html#group28H15", "28H¹⁵"), =HYPERLINK("CSG19.html#group140C19", "140C¹⁹"), =HYPERLINK("CSG24.html#group168B24", "168B²⁴"), =HYPERLINK("CSG12.html#group112G12", "112G¹²"), =HYPERLINK("CSG13.html#group56F13", "56F¹³"), =HYPERLINK("CSG23.html#group112J23", "112J²³"), =HYPERLINK("CSG16.html#group28F16", "28F¹⁶"), =HYPERLINK("CSG15.html#group28F15", "28F¹⁵"), =HYPERLINK("CSG17.html#group140B17", "140B¹⁷"), =HYPERLINK("CSG7.html#group28C7", "28C⁷"), =HYPERLINK("CSG12.html#group112C12", "112C¹²"), =HYPERLINK("CSG17.html#group84H17", "84H¹⁷"), =HYPERLINK("CSG24.html#group56F24", "56F²⁴"), =HYPERLINK("CSG15.html#group28E15", "28E¹⁵"), =HYPERLINK("CSG11.html#group56A11", "56A¹¹"), =HYPERLINK("CSG16.html#group42E16", "42E¹⁶"), =HYPERLINK("CSG16.html#group168G16", "168G¹⁶"), =HYPERLINK("CSG5.html#group14D5", "14D⁵"), =HYPERLINK("CSG8.html#group84G8", "84G⁸"), =HYPERLINK("CSG16.html#group84I16", "84I¹⁶"), =HYPERLINK("CSG19.html#group84B19", "84B¹⁹"), =HYPERLINK("CSG16.html#group84G16", "84G¹⁶"), =HYPERLINK("CSG16.html#group70H16", "70H¹⁶"), =HYPERLINK("CSG11.html#group42C11", "42C¹¹"), =HYPERLINK("CSG14.html#group28C14", "28C¹⁴"), =HYPERLINK("CSG16.html#group56A16", "56A¹⁶"), =HYPERLINK("CSG12.html#group84A12", "84A¹²"), =HYPERLINK("CSG19.html#group224A19", "224A¹⁹"), =HYPERLINK("CSG24.html#group168A24", "168A²⁴"), =HYPERLINK("CSG7.html#group42L7", "42L⁷"), =HYPERLINK("CSG10.html#group112A10", "112A¹⁰"), =HYPERLINK("CSG8.html#group42C8", "42C⁸"), =HYPERLINK("CSG18.html#group84A18", "84A¹⁸"), =HYPERLINK("CSG23.html#group84B23", "84B²³"), =HYPERLINK("CSG3.html#group42C3", "42C³"), =HYPERLINK("CSG12.html#group126H12", "126H¹²"), =HYPERLINK("CSG17.html#group140A17", "140A¹⁷"), =HYPERLINK("CSG16.html#group28B16", "28B¹⁶"), =HYPERLINK("CSG24.html#group112H24", "112H²⁴"), =HYPERLINK("CSG6.html#group28B6", "28B⁶"), =HYPERLINK("CSG24.html#group112X24", "112X²⁴"), =HYPERLINK("CSG19.html#group84C19", "84C¹⁹"), =HYPERLINK("CSG17.html#group42F17", "42F¹⁷"), =HYPERLINK("CSG16.html#group140A16", "140A¹⁶"), =HYPERLINK("CSG10.html#group42K10", "42K¹⁰"), =HYPERLINK("CSG23.html#group56D23", "56D²³"), =HYPERLINK("CSG19.html#group84I19", "84I¹⁹"), =HYPERLINK("CSG12.html#group28D12", "28D¹²"), =HYPERLINK("CSG17.html#group84N17", "84N¹⁷"), =HYPERLINK("CSG7.html#group42I7", "42I⁷"), =HYPERLINK("CSG19.html#group56A19", "56A¹⁹"), =HYPERLINK("CSG20.html#group84F20", "84F²⁰"), =HYPERLINK("CSG11.html#group14A11", "14A¹¹"), =HYPERLINK("CSG21.html#group28B21", "28B²¹"), =HYPERLINK("CSG17.html#group84I17", "84I¹⁷"), =HYPERLINK("CSG16.html#group168F16", "168F¹⁶"), =HYPERLINK("CSG20.html#group168C20", "168C²⁰"), =HYPERLINK("CSG2.html#group14F2", "14F²"), =HYPERLINK("CSG23.html#group28C23", "28C²³"), =HYPERLINK("CSG3.html#group28B3", "28B³"), =HYPERLINK("CSG24.html#group210C24", "210C²⁴"), =HYPERLINK("CSG22.html#group42B22", "42B²²"), =HYPERLINK("CSG24.html#group224B24", "224B²⁴"), =HYPERLINK("CSG24.html#group112Y24", "112Y²⁴"), =HYPERLINK("CSG10.html#group56E10", "56E¹⁰"), =HYPERLINK("CSG20.html#group84B20", "84B²⁰"), =HYPERLINK("CSG24.html#group112T24", "112T²⁴"), =HYPERLINK("CSG23.html#group112I23", "112I²³"), =HYPERLINK("CSG7.html#group42K7", "42K⁷"), =HYPERLINK("CSG21.html#group28D21", "28D²¹"), =HYPERLINK("CSG16.html#group28C16", "28C¹⁶"), =HYPERLINK("CSG5.html#group28A5", "28A⁵"), =HYPERLINK("CSG16.html#group28A16", "28A¹⁶"), =HYPERLINK("CSG3.html#group14D3", "14D³"), =HYPERLINK("CSG22.html#group42A22", "42A²²"), =HYPERLINK("CSG11.html#group112E11", "112E¹¹"), =HYPERLINK("CSG22.html#group56E22", "56E²²"), =HYPERLINK("CSG16.html#group168D16", "168D¹⁶"), =HYPERLINK("CSG21.html#group28I21", "28I²¹"), =HYPERLINK("CSG18.html#group42B18", "42B¹⁸"), =HYPERLINK("CSG12.html#group42D12", "42D¹²"), =HYPERLINK("CSG24.html#group112I24", "112I²⁴"), =HYPERLINK("CSG11.html#group28I11", "28I¹¹"), =HYPERLINK("CSG6.html#group28A6", "28A⁶"), =HYPERLINK("CSG16.html#group56D16", "56D¹⁶"), =HYPERLINK("CSG24.html#group112F24", "112F²⁴"), =HYPERLINK("CSG7.html#group28B7", "28B⁷"), =HYPERLINK("CSG19.html#group84G19", "84G¹⁹"), =HYPERLINK("CSG24.html#group112G24", "112G²⁴"), =HYPERLINK("CSG12.html#group56K12", "56K¹²"), =HYPERLINK("CSG17.html#group56F17", "56F¹⁷"), =HYPERLINK("CSG9.html#group28A9", "28A⁹"), =HYPERLINK("CSG16.html#group168C16", "168C¹⁶"), =HYPERLINK("CSG5.html#group56C5", "56C⁵"), =HYPERLINK("CSG13.html#group84C13", "84C¹³"), =HYPERLINK("CSG14.html#group112B14", "112B¹⁴"), =HYPERLINK("CSG23.html#group112K23", "112K²³"), =HYPERLINK("CSG12.html#group168A12", "168A¹²"), =HYPERLINK("CSG20.html#group168A20", "168A²⁰"), =HYPERLINK("CSG3.html#group28A3", "28A³"), =HYPERLINK("CSG17.html#group56B17", "56B¹⁷"), =HYPERLINK("CSG15.html#group42D15", "42D¹⁵"), =HYPERLINK("CSG24.html#group112M24", "112M²⁴"), =HYPERLINK("CSG10.html#group56C10", "56C¹⁰"), =HYPERLINK("CSG23.html#group56N23", "56N²³"), =HYPERLINK("CSG17.html#group70E17", "70E¹⁷"), =HYPERLINK("CSG18.html#group84B18", "84B¹⁸"), =HYPERLINK("CSG5.html#group14G5", "14G⁵"), =HYPERLINK("CSG13.html#group56C13", "56C¹³"), =HYPERLINK("CSG24.html#group84E24", "84E²⁴"), =HYPERLINK("CSG11.html#group56F11", "56F¹¹"), =HYPERLINK("CSG5.html#group28H5", "28H⁵"), =HYPERLINK("CSG7.html#group84C7", "84C⁷"), =HYPERLINK("CSG24.html#group112E24", "112E²⁴"), =HYPERLINK("CSG15.html#group28C15", "28C¹⁵"), =HYPERLINK("CSG17.html#group84D17", "84D¹⁷"), =HYPERLINK("CSG24.html#group112K24", "112K²⁴"), =HYPERLINK("CSG20.html#group84E20", "84E²⁰"), =HYPERLINK("CSG6.html#group84B6", "84B⁶"), =HYPERLINK("CSG15.html#group168A15", "168A¹⁵"), =HYPERLINK("CSG22.html#group42C22", "42C²²"), =HYPERLINK("CSG22.html#group56C22", "56C²²"), =HYPERLINK("CSG13.html#group28B13", "28B¹³"), =HYPERLINK("CSG23.html#group42F23", "42F²³"), =HYPERLINK("CSG21.html#group168A21", "168A²¹"), =HYPERLINK("CSG12.html#group56G12", "56G¹²"), =HYPERLINK("CSG13.html#group14C13", "14C¹³"), =HYPERLINK("CSG24.html#group210B24", "210B²⁴"), =HYPERLINK("CSG24.html#group56A24", "56A²⁴"), =HYPERLINK("CSG19.html#group42L19", "42L¹⁹"), =HYPERLINK("CSG11.html#group56B11", "56B¹¹"), =HYPERLINK("CSG13.html#group112B13", "112B¹³"), =HYPERLINK("CSG15.html#group84I15", "84I¹⁵"), =HYPERLINK("CSG23.html#group112G23", "112G²³"), =HYPERLINK("CSG18.html#group42C18", "42C¹⁸"), =HYPERLINK("CSG20.html#group126C20", "126C²⁰"), =HYPERLINK("CSG23.html#group56M23", "56M²³"), =HYPERLINK("CSG9.html#group14B9", "14B⁹"), =HYPERLINK("CSG24.html#group224A24", "224A²⁴"), =HYPERLINK("CSG14.html#group112C14", "112C¹⁴"), =HYPERLINK("CSG17.html#group28D17", "28D¹⁷")</f>
        <v/>
      </c>
    </row>
    <row r="190">
      <c r="A190" t="inlineStr">
        <is>
          <t>14C¹</t>
        </is>
      </c>
      <c r="B190" t="inlineStr">
        <is>
          <t>Γ₀(14)</t>
        </is>
      </c>
      <c r="C190" t="inlineStr">
        <is>
          <t>24</t>
        </is>
      </c>
      <c r="D190" t="inlineStr">
        <is>
          <t>1</t>
        </is>
      </c>
      <c r="E190" t="inlineStr">
        <is>
          <t>24</t>
        </is>
      </c>
      <c r="F190" t="inlineStr">
        <is>
          <t>0</t>
        </is>
      </c>
      <c r="G190" t="inlineStr">
        <is>
          <t>0</t>
        </is>
      </c>
      <c r="H190" t="inlineStr">
        <is>
          <t>1¹, 2¹, 7¹, 14¹</t>
        </is>
      </c>
      <c r="I190" t="n">
        <v>4</v>
      </c>
      <c r="J190" t="inlineStr">
        <is>
          <t>1⁶, 6³</t>
        </is>
      </c>
      <c r="K190">
        <f>HYPERLINK("CSG0.html#group2B0", "2B⁰"), =HYPERLINK("CSG0.html#group7B0", "7B⁰")</f>
        <v/>
      </c>
      <c r="L190">
        <f>HYPERLINK("CSG1.html#group14H1", "14H¹"), =HYPERLINK("CSG2.html#group14E2", "14E²"), =HYPERLINK("CSG2.html#group28D2", "28D²"), =HYPERLINK("CSG3.html#group28C3", "28C³"), =HYPERLINK("CSG5.html#group42A5", "42A⁵"), =HYPERLINK("CSG5.html#group42B5", "42B⁵"), =HYPERLINK("CSG5.html#group42G5", "42G⁵"), =HYPERLINK("CSG7.html#group14C7", "14C⁷"), =HYPERLINK("CSG7.html#group98A7", "98A⁷"), =HYPERLINK("CSG9.html#group70A9", "70A⁹"), =HYPERLINK("CSG9.html#group70D9", "70D⁹"), =HYPERLINK("CSG17.html#group70D17", "70D¹⁷")</f>
        <v/>
      </c>
      <c r="M190">
        <f>HYPERLINK("CSG0.html#group1A0", "1A⁰"), =HYPERLINK("CSG0.html#group7B0", "7B⁰"), =HYPERLINK("CSG0.html#group2B0", "2B⁰")</f>
        <v/>
      </c>
      <c r="N190">
        <f>HYPERLINK("CSG23.html#group168D23", "168D²³"), =HYPERLINK("CSG21.html#group84C21", "84C²¹"), =HYPERLINK("CSG17.html#group126J17", "126J¹⁷"), =HYPERLINK("CSG13.html#group42L13", "42L¹³"), =HYPERLINK("CSG21.html#group56M21", "56M²¹"), =HYPERLINK("CSG5.html#group42B5", "42B⁵"), =HYPERLINK("CSG23.html#group56U23", "56U²³"), =HYPERLINK("CSG17.html#group70J17", "70J¹⁷"), =HYPERLINK("CSG22.html#group84K22", "84K²²"), =HYPERLINK("CSG11.html#group84C11", "84C¹¹"), =HYPERLINK("CSG23.html#group168C23", "168C²³"), =HYPERLINK("CSG21.html#group56N21", "56N²¹"), =HYPERLINK("CSG13.html#group112C13", "112C¹³"), =HYPERLINK("CSG21.html#group112F21", "112F²¹"), =HYPERLINK("CSG17.html#group28A17", "28A¹⁷"), =HYPERLINK("CSG13.html#group84F13", "84F¹³"), =HYPERLINK("CSG7.html#group56C7", "56C⁷"), =HYPERLINK("CSG11.html#group56P11", "56P¹¹"), =HYPERLINK("CSG10.html#group84D10", "84D¹⁰"), =HYPERLINK("CSG21.html#group140C21", "140C²¹"), =HYPERLINK("CSG13.html#group56J13", "56J¹³"), =HYPERLINK("CSG21.html#group28E21", "28E²¹"), =HYPERLINK("CSG21.html#group126J21", "126J²¹"), =HYPERLINK("CSG22.html#group84A22", "84A²²"), =HYPERLINK("CSG23.html#group84J23", "84J²³"), =HYPERLINK("CSG11.html#group28F11", "28F¹¹"), =HYPERLINK("CSG10.html#group84C10", "84C¹⁰"), =HYPERLINK("CSG21.html#group112E21", "112E²¹"), =HYPERLINK("CSG17.html#group70D17", "70D¹⁷"), =HYPERLINK("CSG22.html#group84I22", "84I²²"), =HYPERLINK("CSG11.html#group56O11", "56O¹¹"), =HYPERLINK("CSG10.html#group42E10", "42E¹⁰"), =HYPERLINK("CSG21.html#group168D21", "168D²¹"), =HYPERLINK("CSG11.html#group84H11", "84H¹¹"), =HYPERLINK("CSG22.html#group168A22", "168A²²"), =HYPERLINK("CSG20.html#group168F20", "168F²⁰"), =HYPERLINK("CSG6.html#group28E6", "28E⁶"), =HYPERLINK("CSG22.html#group84L22", "84L²²"), =HYPERLINK("CSG14.html#group56A14", "56A¹⁴"), =HYPERLINK("CSG15.html#group112A15", "112A¹⁵"), =HYPERLINK("CSG21.html#group56L21", "56L²¹"), =HYPERLINK("CSG15.html#group112G15", "112G¹⁵"), =HYPERLINK("CSG4.html#group56C4", "56C⁴"), =HYPERLINK("CSG16.html#group28H16", "28H¹⁶"), =HYPERLINK("CSG9.html#group42E9", "42E⁹"), =HYPERLINK("CSG19.html#group70G19", "70G¹⁹"), =HYPERLINK("CSG13.html#group56H13", "56H¹³"), =HYPERLINK("CSG21.html#group168C21", "168C²¹"), =HYPERLINK("CSG12.html#group112H12", "112H¹²"), =HYPERLINK("CSG23.html#group112P23", "112P²³"), =HYPERLINK("CSG19.html#group140A19", "140A¹⁹"), =HYPERLINK("CSG14.html#group112D14", "112D¹⁴"), =HYPERLINK("CSG4.html#group14B4", "14B⁴"), =HYPERLINK("CSG21.html#group140B21", "140B²¹"), =HYPERLINK("CSG23.html#group56P23", "56P²³"), =HYPERLINK("CSG17.html#group42J17", "42J¹⁷"), =HYPERLINK("CSG23.html#group224C23", "224C²³"), =HYPERLINK("CSG19.html#group56B19", "56B¹⁹"), =HYPERLINK("CSG11.html#group112G11", "112G¹¹"), =HYPERLINK("CSG4.html#group28D4", "28D⁴"), =HYPERLINK("CSG20.html#group84K20", "84K²⁰"), =HYPERLINK("CSG11.html#group42I11", "42I¹¹"), =HYPERLINK("CSG22.html#group84J22", "84J²²"), =HYPERLINK("CSG10.html#group84B10", "84B¹⁰"), =HYPERLINK("CSG21.html#group84D21", "84D²¹"), =HYPERLINK("CSG5.html#group42A5", "42A⁵"), =HYPERLINK("CSG23.html#group112S23", "112S²³"), =HYPERLINK("CSG23.html#group112U23", "112U²³"), =HYPERLINK("CSG13.html#group56L13", "56L¹³"), =HYPERLINK("CSG18.html#group70C18", "70C¹⁸"), =HYPERLINK("CSG19.html#group70I19", "70I¹⁹"), =HYPERLINK("CSG21.html#group126O21", "126O²¹"), =HYPERLINK("CSG13.html#group56K13", "56K¹³"), =HYPERLINK("CSG22.html#group84F22", "84F²²"), =HYPERLINK("CSG19.html#group140I19", "140I¹⁹"), =HYPERLINK("CSG21.html#group84Q21", "84Q²¹"), =HYPERLINK("CSG7.html#group14C7", "14C⁷"), =HYPERLINK("CSG23.html#group168B23", "168B²³"), =HYPERLINK("CSG23.html#group168A23", "168A²³"), =HYPERLINK("CSG23.html#group56W23", "56W²³"), =HYPERLINK("CSG5.html#group42G5", "42G⁵"), =HYPERLINK("CSG22.html#group168C22", "168C²²"), =HYPERLINK("CSG13.html#group42H13", "42H¹³"), =HYPERLINK("CSG22.html#group168D22", "168D²²"), =HYPERLINK("CSG7.html#group98A7", "98A⁷"), =HYPERLINK("CSG11.html#group28E11", "28E¹¹"), =HYPERLINK("CSG23.html#group84I23", "84I²³"), =HYPERLINK("CSG15.html#group112D15", "112D¹⁵"), =HYPERLINK("CSG21.html#group84F21", "84F²¹"), =HYPERLINK("CSG19.html#group140H19", "140H¹⁹"), =HYPERLINK("CSG21.html#group84H21", "84H²¹"), =HYPERLINK("CSG20.html#group84M20", "84M²⁰"), =HYPERLINK("CSG15.html#group112B15", "112B¹⁵"), =HYPERLINK("CSG6.html#group56E6", "56E⁶"), =HYPERLINK("CSG21.html#group196A21", "196A²¹"), =HYPERLINK("CSG13.html#group84G13", "84G¹³"), =HYPERLINK("CSG15.html#group112C15", "112C¹⁵"), =HYPERLINK("CSG11.html#group112I11", "112I¹¹"), =HYPERLINK("CSG13.html#group56O13", "56O¹³"), =HYPERLINK("CSG17.html#group196A17", "196A¹⁷"), =HYPERLINK("CSG21.html#group84B21", "84B²¹"), =HYPERLINK("CSG19.html#group42P19", "42P¹⁹"), =HYPERLINK("CSG23.html#group112R23", "112R²³"), =HYPERLINK("CSG15.html#group112F15", "112F¹⁵"), =HYPERLINK("CSG20.html#group84N20", "84N²⁰"), =HYPERLINK("CSG20.html#group84I20", "84I²⁰"), =HYPERLINK("CSG21.html#group28M21", "28M²¹"), =HYPERLINK("CSG21.html#group126P21", "126P²¹"), =HYPERLINK("CSG7.html#group56B7", "56B⁷"), =HYPERLINK("CSG11.html#group56Q11", "56Q¹¹"), =HYPERLINK("CSG20.html#group84J20", "84J²⁰"), =HYPERLINK("CSG16.html#group28G16", "28G¹⁶"), =HYPERLINK("CSG19.html#group56C19", "56C¹⁹"), =HYPERLINK("CSG19.html#group98A19", "98A¹⁹"), =HYPERLINK("CSG23.html#group112Q23", "112Q²³"), =HYPERLINK("CSG20.html#group168G20", "168G²⁰"), =HYPERLINK("CSG19.html#group42R19", "42R¹⁹"), =HYPERLINK("CSG21.html#group126K21", "126K²¹"), =HYPERLINK("CSG11.html#group84A11", "84A¹¹"), =HYPERLINK("CSG22.html#group168B22", "168B²²"), =HYPERLINK("CSG11.html#group56N11", "56N¹¹"), =HYPERLINK("CSG13.html#group56I13", "56I¹³"), =HYPERLINK("CSG11.html#group84B11", "84B¹¹"), =HYPERLINK("CSG10.html#group28C10", "28C¹⁰"), =HYPERLINK("CSG16.html#group56E16", "56E¹⁶"), =HYPERLINK("CSG11.html#group112J11", "112J¹¹"), =HYPERLINK("CSG18.html#group140A18", "140A¹⁸"), =HYPERLINK("CSG23.html#group168F23", "168F²³"), =HYPERLINK("CSG19.html#group84K19", "84K¹⁹"), =HYPERLINK("CSG17.html#group126A17", "126A¹⁷"), =HYPERLINK("CSG9.html#group56C9", "56C⁹"), =HYPERLINK("CSG23.html#group84L23", "84L²³"), =HYPERLINK("CSG11.html#group84I11", "84I¹¹"), =HYPERLINK("CSG19.html#group84J19", "84J¹⁹"), =HYPERLINK("CSG21.html#group168B21", "168B²¹"), =HYPERLINK("CSG16.html#group56F16", "56F¹⁶"), =HYPERLINK("CSG4.html#group28E4", "28E⁴"), =HYPERLINK("CSG23.html#group168Q23", "168Q²³"), =HYPERLINK("CSG17.html#group126K17", "126K¹⁷"), =HYPERLINK("CSG9.html#group28F9", "28F⁹"), =HYPERLINK("CSG13.html#group56G13", "56G¹³"), =HYPERLINK("CSG13.html#group28F13", "28F¹³"), =HYPERLINK("CSG23.html#group56V23", "56V²³"), =HYPERLINK("CSG3.html#group28C3", "28C³"), =HYPERLINK("CSG23.html#group56Q23", "56Q²³"), =HYPERLINK("CSG7.html#group28D7", "28D⁷"), =HYPERLINK("CSG11.html#group112H11", "112H¹¹"), =HYPERLINK("CSG15.html#group112H15", "112H¹⁵"), =HYPERLINK("CSG2.html#group28D2", "28D²"), =HYPERLINK("CSG23.html#group56O23", "56O²³"), =HYPERLINK("CSG12.html#group56L12", "56L¹²"), =HYPERLINK("CSG20.html#group168E20", "168E²⁰"), =HYPERLINK("CSG2.html#group14E2", "14E²"), =HYPERLINK("CSG17.html#group42I17", "42I¹⁷"), =HYPERLINK("CSG6.html#group28G6", "28G⁶"), =HYPERLINK("CSG5.html#group56D5", "56D⁵"), =HYPERLINK("CSG9.html#group42A9", "42A⁹"), =HYPERLINK("CSG11.html#group56M11", "56M¹¹"), =HYPERLINK("CSG9.html#group70D9", "70D⁹"), =HYPERLINK("CSG5.html#group28E5", "28E⁵"), =HYPERLINK("CSG10.html#group56F10", "56F¹⁰"), =HYPERLINK("CSG22.html#group168F22", "168F²²"), =HYPERLINK("CSG11.html#group56R11", "56R¹¹"), =HYPERLINK("CSG11.html#group42G11", "42G¹¹"), =HYPERLINK("CSG21.html#group42H21", "42H²¹"), =HYPERLINK("CSG10.html#group42J10", "42J¹⁰"), =HYPERLINK("CSG4.html#group28F4", "28F⁴"), =HYPERLINK("CSG23.html#group112O23", "112O²³"), =HYPERLINK("CSG21.html#group84A21", "84A²¹"), =HYPERLINK("CSG9.html#group70A9", "70A⁹"), =HYPERLINK("CSG13.html#group112D13", "112D¹³"), =HYPERLINK("CSG17.html#group98B17", "98B¹⁷"), =HYPERLINK("CSG10.html#group42I10", "42I¹⁰"), =HYPERLINK("CSG11.html#group56L11", "56L¹¹"), =HYPERLINK("CSG15.html#group112E15", "112E¹⁵"), =HYPERLINK("CSG20.html#group84L20", "84L²⁰"), =HYPERLINK("CSG23.html#group168E23", "168E²³"), =HYPERLINK("CSG23.html#group112T23", "112T²³"), =HYPERLINK("CSG23.html#group168R23", "168R²³"), =HYPERLINK("CSG6.html#group56D6", "56D⁶"), =HYPERLINK("CSG21.html#group84E21", "84E²¹"), =HYPERLINK("CSG19.html#group14A19", "14A¹⁹"), =HYPERLINK("CSG10.html#group28D10", "28D¹⁰"), =HYPERLINK("CSG23.html#group224B23", "224B²³"), =HYPERLINK("CSG1.html#group14H1", "14H¹"), =HYPERLINK("CSG21.html#group84G21", "84G²¹"), =HYPERLINK("CSG22.html#group168E22", "168E²²"), =HYPERLINK("CSG23.html#group56R23", "56R²³"), =HYPERLINK("CSG23.html#group84K23", "84K²³"), =HYPERLINK("CSG17.html#group14B17", "14B¹⁷")</f>
        <v/>
      </c>
    </row>
    <row r="191">
      <c r="A191" t="inlineStr">
        <is>
          <t>14D¹</t>
        </is>
      </c>
      <c r="B191" t="inlineStr"/>
      <c r="C191" t="inlineStr">
        <is>
          <t>28</t>
        </is>
      </c>
      <c r="D191" t="inlineStr">
        <is>
          <t>2</t>
        </is>
      </c>
      <c r="E191" t="inlineStr">
        <is>
          <t>7</t>
        </is>
      </c>
      <c r="F191" t="inlineStr">
        <is>
          <t>0</t>
        </is>
      </c>
      <c r="G191" t="inlineStr">
        <is>
          <t>4</t>
        </is>
      </c>
      <c r="H191" t="inlineStr">
        <is>
          <t>14²</t>
        </is>
      </c>
      <c r="I191" t="n">
        <v>2</v>
      </c>
      <c r="J191" t="inlineStr">
        <is>
          <t>2¹, 6²</t>
        </is>
      </c>
      <c r="K191">
        <f>HYPERLINK("CSG0.html#group7C0", "7C⁰"), =HYPERLINK("CSG0.html#group14A0", "14A⁰"), =HYPERLINK("CSG1.html#group14A1", "14A¹")</f>
        <v/>
      </c>
      <c r="L191">
        <f>HYPERLINK("CSG3.html#group14E3", "14E³"), =HYPERLINK("CSG5.html#group14C5", "14C⁵"), =HYPERLINK("CSG5.html#group14D5", "14D⁵"), =HYPERLINK("CSG5.html#group14E5", "14E⁵"), =HYPERLINK("CSG5.html#group42C5", "42C⁵"), =HYPERLINK("CSG5.html#group42D5", "42D⁵"), =HYPERLINK("CSG6.html#group42B6", "42B⁶"), =HYPERLINK("CSG7.html#group28A7", "28A⁷"), =HYPERLINK("CSG7.html#group42A7", "42A⁷"), =HYPERLINK("CSG7.html#group42F7", "42F⁷"), =HYPERLINK("CSG9.html#group70B9", "70B⁹"), =HYPERLINK("CSG13.html#group70D13", "70D¹³"), =HYPERLINK("CSG21.html#group70C21", "70C²¹")</f>
        <v/>
      </c>
      <c r="M191">
        <f>HYPERLINK("CSG0.html#group2A0", "2A⁰"), =HYPERLINK("CSG0.html#group14A0", "14A⁰"), =HYPERLINK("CSG0.html#group7A0", "7A⁰"), =HYPERLINK("CSG0.html#group1A0", "1A⁰"), =HYPERLINK("CSG0.html#group7C0", "7C⁰"), =HYPERLINK("CSG1.html#group14A1", "14A¹")</f>
        <v/>
      </c>
      <c r="N191">
        <f>HYPERLINK("CSG13.html#group70D13", "70D¹³"), =HYPERLINK("CSG23.html#group126J23", "126J²³"), =HYPERLINK("CSG24.html#group126A24", "126A²⁴"), =HYPERLINK("CSG24.html#group42B24", "42B²⁴"), =HYPERLINK("CSG23.html#group42J23", "42J²³"), =HYPERLINK("CSG7.html#group42F7", "42F⁷"), =HYPERLINK("CSG23.html#group56F23", "56F²³"), =HYPERLINK("CSG5.html#group14C5", "14C⁵"), =HYPERLINK("CSG9.html#group14A9", "14A⁹"), =HYPERLINK("CSG23.html#group42A23", "42A²³"), =HYPERLINK("CSG5.html#group42C5", "42C⁵"), =HYPERLINK("CSG23.html#group42H23", "42H²³"), =HYPERLINK("CSG23.html#group42B23", "42B²³"), =HYPERLINK("CSG21.html#group28L21", "28L²¹"), =HYPERLINK("CSG13.html#group28A13", "28A¹³"), =HYPERLINK("CSG6.html#group42B6", "42B⁶"), =HYPERLINK("CSG23.html#group28C23", "28C²³"), =HYPERLINK("CSG19.html#group42F19", "42F¹⁹"), =HYPERLINK("CSG15.html#group84G15", "84G¹⁵"), =HYPERLINK("CSG19.html#group42G19", "42G¹⁹"), =HYPERLINK("CSG21.html#group126C21", "126C²¹"), =HYPERLINK("CSG23.html#group126L23", "126L²³"), =HYPERLINK("CSG23.html#group126K23", "126K²³"), =HYPERLINK("CSG17.html#group14B17", "14B¹⁷"), =HYPERLINK("CSG23.html#group42E23", "42E²³"), =HYPERLINK("CSG17.html#group14A17", "14A¹⁷"), =HYPERLINK("CSG5.html#group14D5", "14D⁵"), =HYPERLINK("CSG24.html#group42A24", "42A²⁴"), =HYPERLINK("CSG23.html#group42F23", "42F²³"), =HYPERLINK("CSG13.html#group14C13", "14C¹³"), =HYPERLINK("CSG11.html#group28C11", "28C¹¹"), =HYPERLINK("CSG9.html#group70B9", "70B⁹"), =HYPERLINK("CSG21.html#group42D21", "42D²¹"), =HYPERLINK("CSG16.html#group42B16", "42B¹⁶"), =HYPERLINK("CSG23.html#group56A23", "56A²³"), =HYPERLINK("CSG19.html#group42H19", "42H¹⁹"), =HYPERLINK("CSG13.html#group42E13", "42E¹³"), =HYPERLINK("CSG5.html#group14E5", "14E⁵"), =HYPERLINK("CSG21.html#group70C21", "70C²¹"), =HYPERLINK("CSG23.html#group28D23", "28D²³"), =HYPERLINK("CSG19.html#group42I19", "42I¹⁹"), =HYPERLINK("CSG15.html#group56A15", "56A¹⁵"), =HYPERLINK("CSG3.html#group14E3", "14E³"), =HYPERLINK("CSG7.html#group42A7", "42A⁷"), =HYPERLINK("CSG7.html#group28A7", "28A⁷"), =HYPERLINK("CSG5.html#group42D5", "42D⁵"), =HYPERLINK("CSG15.html#group14A15", "14A¹⁵"), =HYPERLINK("CSG19.html#group42J19", "42J¹⁹"), =HYPERLINK("CSG21.html#group28K21", "28K²¹"), =HYPERLINK("CSG23.html#group42G23", "42G²³")</f>
        <v/>
      </c>
    </row>
    <row r="192">
      <c r="A192" t="inlineStr">
        <is>
          <t>14E¹</t>
        </is>
      </c>
      <c r="B192" t="inlineStr"/>
      <c r="C192" t="inlineStr">
        <is>
          <t>42</t>
        </is>
      </c>
      <c r="D192" t="inlineStr">
        <is>
          <t>1</t>
        </is>
      </c>
      <c r="E192" t="inlineStr">
        <is>
          <t>21</t>
        </is>
      </c>
      <c r="F192" t="inlineStr">
        <is>
          <t>8</t>
        </is>
      </c>
      <c r="G192" t="inlineStr">
        <is>
          <t>0</t>
        </is>
      </c>
      <c r="H192" t="inlineStr">
        <is>
          <t>14³</t>
        </is>
      </c>
      <c r="I192" t="n">
        <v>3</v>
      </c>
      <c r="J192" t="inlineStr">
        <is>
          <t>3¹, 6³</t>
        </is>
      </c>
      <c r="K192">
        <f>HYPERLINK("CSG0.html#group7D0", "7D⁰")</f>
        <v/>
      </c>
      <c r="L192">
        <f>HYPERLINK("CSG3.html#group14F3", "14F³"), =HYPERLINK("CSG4.html#group42I4", "42I⁴"), =HYPERLINK("CSG5.html#group14B5", "14B⁵"), =HYPERLINK("CSG5.html#group14G5", "14G⁵"), =HYPERLINK("CSG8.html#group28B8", "28B⁸"), =HYPERLINK("CSG12.html#group42B12", "42B¹²"), =HYPERLINK("CSG15.html#group70A15", "70A¹⁵"), =HYPERLINK("CSG15.html#group70E15", "70E¹⁵"), =HYPERLINK("CSG22.html#group98A22", "98A²²")</f>
        <v/>
      </c>
      <c r="M192">
        <f>HYPERLINK("CSG0.html#group7D0", "7D⁰"), =HYPERLINK("CSG0.html#group1A0", "1A⁰"), =HYPERLINK("CSG0.html#group7A0", "7A⁰")</f>
        <v/>
      </c>
      <c r="N192">
        <f>HYPERLINK("CSG4.html#group42I4", "42I⁴"), =HYPERLINK("CSG15.html#group70E15", "70E¹⁵"), =HYPERLINK("CSG12.html#group42B12", "42B¹²"), =HYPERLINK("CSG19.html#group42C19", "42C¹⁹"), =HYPERLINK("CSG22.html#group56A22", "56A²²"), =HYPERLINK("CSG22.html#group98A22", "98A²²"), =HYPERLINK("CSG5.html#group14B5", "14B⁵"), =HYPERLINK("CSG12.html#group28D12", "28D¹²"), =HYPERLINK("CSG9.html#group14A9", "14A⁹"), =HYPERLINK("CSG22.html#group56H22", "56H²²"), =HYPERLINK("CSG22.html#group56B22", "56B²²"), =HYPERLINK("CSG13.html#group42J13", "42J¹³"), =HYPERLINK("CSG11.html#group14A11", "14A¹¹"), =HYPERLINK("CSG23.html#group14A23", "14A²³"), =HYPERLINK("CSG5.html#group14G5", "14G⁵"), =HYPERLINK("CSG19.html#group42B19", "42B¹⁹"), =HYPERLINK("CSG19.html#group28C19", "28C¹⁹"), =HYPERLINK("CSG8.html#group28B8", "28B⁸"), =HYPERLINK("CSG3.html#group14F3", "14F³"), =HYPERLINK("CSG11.html#group42L11", "42L¹¹"), =HYPERLINK("CSG15.html#group70A15", "70A¹⁵"), =HYPERLINK("CSG14.html#group28A14", "28A¹⁴"), =HYPERLINK("CSG7.html#group14B7", "14B⁷"), =HYPERLINK("CSG17.html#group14A17", "14A¹⁷"), =HYPERLINK("CSG23.html#group28B23", "28B²³"), =HYPERLINK("CSG15.html#group42C15", "42C¹⁵"), =HYPERLINK("CSG16.html#group28A16", "28A¹⁶"), =HYPERLINK("CSG13.html#group14A13", "14A¹³"), =HYPERLINK("CSG23.html#group42I23", "42I²³"), =HYPERLINK("CSG22.html#group42A22", "42A²²"), =HYPERLINK("CSG13.html#group42K13", "42K¹³"), =HYPERLINK("CSG21.html#group126Q21", "126Q²¹"), =HYPERLINK("CSG23.html#group42D23", "42D²³"), =HYPERLINK("CSG21.html#group28A21", "28A²¹")</f>
        <v/>
      </c>
    </row>
    <row r="193">
      <c r="A193" t="inlineStr">
        <is>
          <t>14F¹</t>
        </is>
      </c>
      <c r="B193" t="inlineStr"/>
      <c r="C193" t="inlineStr">
        <is>
          <t>42</t>
        </is>
      </c>
      <c r="D193" t="inlineStr">
        <is>
          <t>2</t>
        </is>
      </c>
      <c r="E193" t="inlineStr">
        <is>
          <t>42</t>
        </is>
      </c>
      <c r="F193" t="inlineStr">
        <is>
          <t>4</t>
        </is>
      </c>
      <c r="G193" t="inlineStr">
        <is>
          <t>3</t>
        </is>
      </c>
      <c r="H193" t="inlineStr">
        <is>
          <t>14³</t>
        </is>
      </c>
      <c r="I193" t="n">
        <v>3</v>
      </c>
      <c r="J193" t="inlineStr">
        <is>
          <t>6¹⁴</t>
        </is>
      </c>
      <c r="K193">
        <f>HYPERLINK("CSG0.html#group14A0", "14A⁰")</f>
        <v/>
      </c>
      <c r="L193">
        <f>HYPERLINK("CSG3.html#group14E3", "14E³"), =HYPERLINK("CSG6.html#group14A6", "14A⁶"), =HYPERLINK("CSG6.html#group14B6", "14B⁶"), =HYPERLINK("CSG7.html#group42J7", "42J⁷"), =HYPERLINK("CSG9.html#group28D9", "28D⁹"), =HYPERLINK("CSG9.html#group28E9", "28E⁹"), =HYPERLINK("CSG11.html#group42D11", "42D¹¹"), =HYPERLINK("CSG14.html#group70C14", "70C¹⁴"), =HYPERLINK("CSG17.html#group70H17", "70H¹⁷")</f>
        <v/>
      </c>
      <c r="M193">
        <f>HYPERLINK("CSG0.html#group14A0", "14A⁰"), =HYPERLINK("CSG0.html#group1A0", "1A⁰"), =HYPERLINK("CSG0.html#group7A0", "7A⁰")</f>
        <v/>
      </c>
      <c r="N193">
        <f>HYPERLINK("CSG9.html#group28E9", "28E⁹"), =HYPERLINK("CSG16.html#group28E16", "28E¹⁶"), =HYPERLINK("CSG7.html#group42J7", "42J⁷"), =HYPERLINK("CSG9.html#group28D9", "28D⁹"), =HYPERLINK("CSG22.html#group56I22", "56I²²"), =HYPERLINK("CSG19.html#group28A19", "28A¹⁹"), =HYPERLINK("CSG11.html#group42D11", "42D¹¹"), =HYPERLINK("CSG22.html#group56J22", "56J²²"), =HYPERLINK("CSG13.html#group14B13", "14B¹³"), =HYPERLINK("CSG13.html#group14C13", "14C¹³"), =HYPERLINK("CSG16.html#group28D16", "28D¹⁶"), =HYPERLINK("CSG14.html#group28C14", "28C¹⁴"), =HYPERLINK("CSG6.html#group14B6", "14B⁶"), =HYPERLINK("CSG22.html#group56K22", "56K²²"), =HYPERLINK("CSG14.html#group28B14", "28B¹⁴"), =HYPERLINK("CSG21.html#group42D21", "42D²¹"), =HYPERLINK("CSG6.html#group14A6", "14A⁶"), =HYPERLINK("CSG16.html#group42B16", "42B¹⁶"), =HYPERLINK("CSG11.html#group14A11", "14A¹¹"), =HYPERLINK("CSG14.html#group70C14", "70C¹⁴"), =HYPERLINK("CSG23.html#group14A23", "14A²³"), =HYPERLINK("CSG3.html#group14E3", "14E³"), =HYPERLINK("CSG21.html#group28L21", "28L²¹"), =HYPERLINK("CSG15.html#group42I15", "42I¹⁵"), =HYPERLINK("CSG19.html#group28B19", "28B¹⁹"), =HYPERLINK("CSG17.html#group70H17", "70H¹⁷"), =HYPERLINK("CSG22.html#group56L22", "56L²²"), =HYPERLINK("CSG15.html#group14A15", "14A¹⁵"), =HYPERLINK("CSG19.html#group42J19", "42J¹⁹"), =HYPERLINK("CSG21.html#group28K21", "28K²¹"), =HYPERLINK("CSG17.html#group42H17", "42H¹⁷")</f>
        <v/>
      </c>
    </row>
    <row r="194">
      <c r="A194" t="inlineStr">
        <is>
          <t>14G¹</t>
        </is>
      </c>
      <c r="B194" t="inlineStr"/>
      <c r="C194" t="inlineStr">
        <is>
          <t>56</t>
        </is>
      </c>
      <c r="D194" t="inlineStr">
        <is>
          <t>1</t>
        </is>
      </c>
      <c r="E194" t="inlineStr">
        <is>
          <t>28</t>
        </is>
      </c>
      <c r="F194" t="inlineStr">
        <is>
          <t>8</t>
        </is>
      </c>
      <c r="G194" t="inlineStr">
        <is>
          <t>2</t>
        </is>
      </c>
      <c r="H194" t="inlineStr">
        <is>
          <t>14⁴</t>
        </is>
      </c>
      <c r="I194" t="n">
        <v>4</v>
      </c>
      <c r="J194" t="inlineStr">
        <is>
          <t>1¹, 3¹, 6⁴</t>
        </is>
      </c>
      <c r="K194">
        <f>HYPERLINK("CSG0.html#group7F0", "7F⁰"), =HYPERLINK("CSG0.html#group14A0", "14A⁰")</f>
        <v/>
      </c>
      <c r="L194">
        <f>HYPERLINK("CSG5.html#group14E5", "14E⁵"), =HYPERLINK("CSG5.html#group28F5", "28F⁵"), =HYPERLINK("CSG5.html#group28G5", "28G⁵"), =HYPERLINK("CSG6.html#group14B6", "14B⁶"), =HYPERLINK("CSG7.html#group14B7", "14B⁷"), =HYPERLINK("CSG7.html#group14D7", "14D⁷"), =HYPERLINK("CSG7.html#group42N7", "42N⁷"), =HYPERLINK("CSG11.html#group28H11", "28H¹¹"), =HYPERLINK("CSG15.html#group42A15", "42A¹⁵"), =HYPERLINK("CSG19.html#group70C19", "70C¹⁹"), =HYPERLINK("CSG21.html#group70I21", "70I²¹"), =HYPERLINK("CSG22.html#group98B22", "98B²²")</f>
        <v/>
      </c>
      <c r="M194">
        <f>HYPERLINK("CSG0.html#group7F0", "7F⁰"), =HYPERLINK("CSG0.html#group14A0", "14A⁰"), =HYPERLINK("CSG0.html#group1A0", "1A⁰"), =HYPERLINK("CSG0.html#group7A0", "7A⁰")</f>
        <v/>
      </c>
      <c r="N194">
        <f>HYPERLINK("CSG5.html#group28F5", "28F⁵"), =HYPERLINK("CSG21.html#group84L21", "84L²¹"), =HYPERLINK("CSG5.html#group28G5", "28G⁵"), =HYPERLINK("CSG21.html#group70I21", "70I²¹"), =HYPERLINK("CSG15.html#group42A15", "42A¹⁵"), =HYPERLINK("CSG7.html#group14D7", "14D⁷"), =HYPERLINK("CSG17.html#group28B17", "28B¹⁷"), =HYPERLINK("CSG23.html#group42A23", "42A²³"), =HYPERLINK("CSG19.html#group70C19", "70C¹⁹"), =HYPERLINK("CSG21.html#group84K21", "84K²¹"), =HYPERLINK("CSG21.html#group28B21", "28B²¹"), =HYPERLINK("CSG15.html#group14A15", "14A¹⁵"), =HYPERLINK("CSG23.html#group14A23", "14A²³"), =HYPERLINK("CSG22.html#group98B22", "98B²²"), =HYPERLINK("CSG23.html#group42B23", "42B²³"), =HYPERLINK("CSG21.html#group84I21", "84I²¹"), =HYPERLINK("CSG7.html#group42N7", "42N⁷"), =HYPERLINK("CSG7.html#group14B7", "14B⁷"), =HYPERLINK("CSG17.html#group14A17", "14A¹⁷"), =HYPERLINK("CSG24.html#group42A24", "42A²⁴"), =HYPERLINK("CSG19.html#group28A19", "28A¹⁹"), =HYPERLINK("CSG6.html#group14B6", "14B⁶"), =HYPERLINK("CSG21.html#group42B21", "42B²¹"), =HYPERLINK("CSG11.html#group28H11", "28H¹¹"), =HYPERLINK("CSG21.html#group28H21", "28H²¹"), =HYPERLINK("CSG5.html#group14E5", "14E⁵"), =HYPERLINK("CSG21.html#group84J21", "84J²¹"), =HYPERLINK("CSG17.html#group28C17", "28C¹⁷"), =HYPERLINK("CSG21.html#group28A21", "28A²¹"), =HYPERLINK("CSG19.html#group28B19", "28B¹⁹"), =HYPERLINK("CSG17.html#group42K17", "42K¹⁷"), =HYPERLINK("CSG17.html#group14B17", "14B¹⁷"), =HYPERLINK("CSG21.html#group28G21", "28G²¹"), =HYPERLINK("CSG13.html#group28A13", "28A¹³"), =HYPERLINK("CSG17.html#group28D17", "28D¹⁷")</f>
        <v/>
      </c>
    </row>
    <row r="195">
      <c r="A195" t="inlineStr">
        <is>
          <t>14H¹</t>
        </is>
      </c>
      <c r="B195" t="inlineStr">
        <is>
          <t>Γ₁(14)</t>
        </is>
      </c>
      <c r="C195" t="inlineStr">
        <is>
          <t>72</t>
        </is>
      </c>
      <c r="D195" t="inlineStr">
        <is>
          <t>1</t>
        </is>
      </c>
      <c r="E195" t="inlineStr">
        <is>
          <t>24</t>
        </is>
      </c>
      <c r="F195" t="inlineStr">
        <is>
          <t>0</t>
        </is>
      </c>
      <c r="G195" t="inlineStr">
        <is>
          <t>0</t>
        </is>
      </c>
      <c r="H195" t="inlineStr">
        <is>
          <t>1³, 2³, 7³, 14³</t>
        </is>
      </c>
      <c r="I195" t="n">
        <v>12</v>
      </c>
      <c r="J195" t="inlineStr">
        <is>
          <t>1⁶, 6³</t>
        </is>
      </c>
      <c r="K195">
        <f>HYPERLINK("CSG0.html#group7E0", "7E⁰"), =HYPERLINK("CSG1.html#group14C1", "14C¹")</f>
        <v/>
      </c>
      <c r="L195">
        <f>HYPERLINK("CSG4.html#group14B4", "14B⁴"), =HYPERLINK("CSG4.html#group28F4", "28F⁴"), =HYPERLINK("CSG7.html#group28D7", "28D⁷"), =HYPERLINK("CSG13.html#group42H13", "42H¹³"), =HYPERLINK("CSG13.html#group42L13", "42L¹³"), =HYPERLINK("CSG19.html#group14A19", "14A¹⁹"), =HYPERLINK("CSG19.html#group98A19", "98A¹⁹")</f>
        <v/>
      </c>
      <c r="M195">
        <f>HYPERLINK("CSG0.html#group7E0", "7E⁰"), =HYPERLINK("CSG0.html#group2B0", "2B⁰"), =HYPERLINK("CSG0.html#group1A0", "1A⁰"), =HYPERLINK("CSG0.html#group7B0", "7B⁰"), =HYPERLINK("CSG1.html#group14C1", "14C¹")</f>
        <v/>
      </c>
      <c r="N195">
        <f>HYPERLINK("CSG13.html#group42L13", "42L¹³"), =HYPERLINK("CSG4.html#group28F4", "28F⁴"), =HYPERLINK("CSG13.html#group56O13", "56O¹³"), =HYPERLINK("CSG4.html#group14B4", "14B⁴"), =HYPERLINK("CSG19.html#group56B19", "56B¹⁹"), =HYPERLINK("CSG13.html#group42H13", "42H¹³"), =HYPERLINK("CSG16.html#group28G16", "28G¹⁶"), =HYPERLINK("CSG16.html#group56F16", "56F¹⁶"), =HYPERLINK("CSG19.html#group56C19", "56C¹⁹"), =HYPERLINK("CSG10.html#group56F10", "56F¹⁰"), =HYPERLINK("CSG16.html#group28H16", "28H¹⁶"), =HYPERLINK("CSG19.html#group14A19", "14A¹⁹"), =HYPERLINK("CSG10.html#group28D10", "28D¹⁰"), =HYPERLINK("CSG19.html#group98A19", "98A¹⁹"), =HYPERLINK("CSG13.html#group28F13", "28F¹³"), =HYPERLINK("CSG7.html#group28D7", "28D⁷"), =HYPERLINK("CSG10.html#group28C10", "28C¹⁰"), =HYPERLINK("CSG16.html#group56E16", "56E¹⁶")</f>
        <v/>
      </c>
    </row>
    <row r="196">
      <c r="A196" t="inlineStr">
        <is>
          <t>15A¹</t>
        </is>
      </c>
      <c r="B196" t="inlineStr"/>
      <c r="C196" t="inlineStr">
        <is>
          <t>15</t>
        </is>
      </c>
      <c r="D196" t="inlineStr">
        <is>
          <t>1</t>
        </is>
      </c>
      <c r="E196" t="inlineStr">
        <is>
          <t>5</t>
        </is>
      </c>
      <c r="F196" t="inlineStr">
        <is>
          <t>3</t>
        </is>
      </c>
      <c r="G196" t="inlineStr">
        <is>
          <t>0</t>
        </is>
      </c>
      <c r="H196" t="inlineStr">
        <is>
          <t>15¹</t>
        </is>
      </c>
      <c r="I196" t="n">
        <v>1</v>
      </c>
      <c r="J196" t="inlineStr">
        <is>
          <t>1¹, 4¹</t>
        </is>
      </c>
      <c r="K196">
        <f>HYPERLINK("CSG0.html#group3A0", "3A⁰"), =HYPERLINK("CSG0.html#group5A0", "5A⁰")</f>
        <v/>
      </c>
      <c r="L196">
        <f>HYPERLINK("CSG1.html#group15F1", "15F¹"), =HYPERLINK("CSG2.html#group15A2", "15A²"), =HYPERLINK("CSG2.html#group30A2", "30A²"), =HYPERLINK("CSG3.html#group30A3", "30A³"), =HYPERLINK("CSG3.html#group30D3", "30D³"), =HYPERLINK("CSG3.html#group45A3", "45A³"), =HYPERLINK("CSG4.html#group15B4", "15B⁴"), =HYPERLINK("CSG4.html#group60A4", "60A⁴"), =HYPERLINK("CSG7.html#group105A7", "105A⁷"), =HYPERLINK("CSG10.html#group105A10", "105A¹⁰"), =HYPERLINK("CSG12.html#group165A12", "165A¹²"), =HYPERLINK("CSG15.html#group165A15", "165A¹⁵"), =HYPERLINK("CSG16.html#group195A16", "195A¹⁶"), =HYPERLINK("CSG21.html#group255A21", "255A²¹")</f>
        <v/>
      </c>
      <c r="M196">
        <f>HYPERLINK("CSG0.html#group3A0", "3A⁰"), =HYPERLINK("CSG0.html#group1A0", "1A⁰"), =HYPERLINK("CSG0.html#group5A0", "5A⁰")</f>
        <v/>
      </c>
      <c r="N196">
        <f>HYPERLINK("CSG9.html#group120A9", "120A⁹"), =HYPERLINK("CSG6.html#group45C6", "45C⁶"), =HYPERLINK("CSG20.html#group45A20", "45A²⁰"), =HYPERLINK("CSG14.html#group60A14", "60A¹⁴"), =HYPERLINK("CSG10.html#group30I10", "30I¹⁰"), =HYPERLINK("CSG16.html#group105A16", "105A¹⁶"), =HYPERLINK("CSG21.html#group90B21", "90B²¹"), =HYPERLINK("CSG19.html#group15A19", "15A¹⁹"), =HYPERLINK("CSG16.html#group105B16", "105B¹⁶"), =HYPERLINK("CSG20.html#group90D20", "90D²⁰"), =HYPERLINK("CSG13.html#group30F13", "30F¹³"), =HYPERLINK("CSG19.html#group60J19", "60J¹⁹"), =HYPERLINK("CSG20.html#group180F20", "180F²⁰"), =HYPERLINK("CSG17.html#group30E17", "30E¹⁷"), =HYPERLINK("CSG9.html#group15A9", "15A⁹"), =HYPERLINK("CSG10.html#group30D10", "30D¹⁰"), =HYPERLINK("CSG7.html#group30P7", "30P⁷"), =HYPERLINK("CSG6.html#group45B6", "45B⁶"), =HYPERLINK("CSG21.html#group180A21", "180A²¹"), =HYPERLINK("CSG10.html#group15A10", "15A¹⁰"), =HYPERLINK("CSG10.html#group30E10", "30E¹⁰"), =HYPERLINK("CSG5.html#group30L5", "30L⁵"), =HYPERLINK("CSG12.html#group30D12", "30D¹²"), =HYPERLINK("CSG12.html#group45E12", "45E¹²"), =HYPERLINK("CSG13.html#group45I13", "45I¹³"), =HYPERLINK("CSG19.html#group240A19", "240A¹⁹"), =HYPERLINK("CSG13.html#group45C13", "45C¹³"), =HYPERLINK("CSG11.html#group75B11", "75B¹¹"), =HYPERLINK("CSG21.html#group255A21", "255A²¹"), =HYPERLINK("CSG11.html#group30B11", "30B¹¹"), =HYPERLINK("CSG16.html#group30D16", "30D¹⁶"), =HYPERLINK("CSG20.html#group120A20", "120A²⁰"), =HYPERLINK("CSG8.html#group15A8", "15A⁸"), =HYPERLINK("CSG4.html#group15D4", "15D⁴"), =HYPERLINK("CSG19.html#group45A19", "45A¹⁹"), =HYPERLINK("CSG8.html#group60D8", "60D⁸"), =HYPERLINK("CSG22.html#group105B22", "105B²²"), =HYPERLINK("CSG6.html#group60B6", "60B⁶"), =HYPERLINK("CSG12.html#group30B12", "30B¹²"), =HYPERLINK("CSG20.html#group90A20", "90A²⁰"), =HYPERLINK("CSG17.html#group120C17", "120C¹⁷"), =HYPERLINK("CSG17.html#group90P17", "90P¹⁷"), =HYPERLINK("CSG22.html#group180B22", "180B²²"), =HYPERLINK("CSG19.html#group90D19", "90D¹⁹"), =HYPERLINK("CSG19.html#group105C19", "105C¹⁹"), =HYPERLINK("CSG14.html#group120A14", "120A¹⁴"), =HYPERLINK("CSG18.html#group120F18", "120F¹⁸"), =HYPERLINK("CSG22.html#group90D22", "90D²²"), =HYPERLINK("CSG18.html#group120B18", "120B¹⁸"), =HYPERLINK("CSG13.html#group60F13", "60F¹³"), =HYPERLINK("CSG14.html#group90D14", "90D¹⁴"), =HYPERLINK("CSG13.html#group60B13", "60B¹³"), =HYPERLINK("CSG11.html#group30A11", "30A¹¹"), =HYPERLINK("CSG3.html#group30A3", "30A³"), =HYPERLINK("CSG23.html#group45C23", "45C²³"), =HYPERLINK("CSG10.html#group30B10", "30B¹⁰"), =HYPERLINK("CSG4.html#group15B4", "15B⁴"), =HYPERLINK("CSG15.html#group165A15", "165A¹⁵"), =HYPERLINK("CSG17.html#group30F17", "30F¹⁷"), =HYPERLINK("CSG12.html#group30E12", "30E¹²"), =HYPERLINK("CSG23.html#group30E23", "30E²³"), =HYPERLINK("CSG7.html#group30B7", "30B⁷"), =HYPERLINK("CSG13.html#group30D13", "30D¹³"), =HYPERLINK("CSG12.html#group90A12", "90A¹²"), =HYPERLINK("CSG18.html#group120C18", "120C¹⁸"), =HYPERLINK("CSG14.html#group45A14", "45A¹⁴"), =HYPERLINK("CSG10.html#group105A10", "105A¹⁰"), =HYPERLINK("CSG9.html#group30O9", "30O⁹"), =HYPERLINK("CSG18.html#group60J18", "60J¹⁸"), =HYPERLINK("CSG13.html#group30C13", "30C¹³"), =HYPERLINK("CSG19.html#group60D19", "60D¹⁹"), =HYPERLINK("CSG24.html#group210A24", "210A²⁴"), =HYPERLINK("CSG19.html#group45E19", "45E¹⁹"), =HYPERLINK("CSG7.html#group45D7", "45D⁷"), =HYPERLINK("CSG10.html#group60A10", "60A¹⁰"), =HYPERLINK("CSG4.html#group30F4", "30F⁴"), =HYPERLINK("CSG19.html#group60H19", "60H¹⁹"), =HYPERLINK("CSG18.html#group210A18", "210A¹⁸"), =HYPERLINK("CSG13.html#group60C13", "60C¹³"), =HYPERLINK("CSG24.html#group75B24", "75B²⁴"), =HYPERLINK("CSG19.html#group120D19", "120D¹⁹"), =HYPERLINK("CSG6.html#group30A6", "30A⁶"), =HYPERLINK("CSG21.html#group180B21", "180B²¹"), =HYPERLINK("CSG13.html#group120B13", "120B¹³"), =HYPERLINK("CSG9.html#group30A9", "30A⁹"), =HYPERLINK("CSG13.html#group120C13", "120C¹³"), =HYPERLINK("CSG13.html#group90A13", "90A¹³"), =HYPERLINK("CSG9.html#group60C9", "60C⁹"), =HYPERLINK("CSG22.html#group60C22", "60C²²"), =HYPERLINK("CSG3.html#group15H3", "15H³"), =HYPERLINK("CSG12.html#group90B12", "90B¹²"), =HYPERLINK("CSG22.html#group90B22", "90B²²"), =HYPERLINK("CSG6.html#group90A6", "90A⁶"), =HYPERLINK("CSG21.html#group90A21", "90A²¹"), =HYPERLINK("CSG19.html#group30A19", "30A¹⁹"), =HYPERLINK("CSG16.html#group195A16", "195A¹⁶"), =HYPERLINK("CSG9.html#group30B9", "30B⁹"), =HYPERLINK("CSG14.html#group90C14", "90C¹⁴"), =HYPERLINK("CSG7.html#group90B7", "90B⁷"), =HYPERLINK("CSG16.html#group90B16", "90B¹⁶"), =HYPERLINK("CSG7.html#group60B7", "60B⁷"), =HYPERLINK("CSG21.html#group30B21", "30B²¹"), =HYPERLINK("CSG9.html#group60A9", "60A⁹"), =HYPERLINK("CSG15.html#group90A15", "90A¹⁵"), =HYPERLINK("CSG19.html#group60B19", "60B¹⁹"), =HYPERLINK("CSG22.html#group180A22", "180A²²"), =HYPERLINK("CSG23.html#group30F23", "30F²³"), =HYPERLINK("CSG19.html#group45B19", "45B¹⁹"), =HYPERLINK("CSG23.html#group60J23", "60J²³"), =HYPERLINK("CSG21.html#group30F21", "30F²¹"), =HYPERLINK("CSG10.html#group60B10", "60B¹⁰"), =HYPERLINK("CSG14.html#group120C14", "120C¹⁴"), =HYPERLINK("CSG15.html#group90F15", "90F¹⁵"), =HYPERLINK("CSG17.html#group30D17", "30D¹⁷"), =HYPERLINK("CSG19.html#group60C19", "60C¹⁹"), =HYPERLINK("CSG4.html#group60A4", "60A⁴"), =HYPERLINK("CSG12.html#group30C12", "30C¹²"), =HYPERLINK("CSG23.html#group30C23", "30C²³"), =HYPERLINK("CSG20.html#group90B20", "90B²⁰"), =HYPERLINK("CSG14.html#group60D14", "60D¹⁴"), =HYPERLINK("CSG12.html#group60C12", "60C¹²"), =HYPERLINK("CSG8.html#group15B8", "15B⁸"), =HYPERLINK("CSG9.html#group45B9", "45B⁹"), =HYPERLINK("CSG15.html#group30F15", "30F¹⁵"), =HYPERLINK("CSG12.html#group120B12", "120B¹²"), =HYPERLINK("CSG13.html#group60H13", "60H¹³"), =HYPERLINK("CSG3.html#group45A3", "45A³"), =HYPERLINK("CSG16.html#group30C16", "30C¹⁶"), =HYPERLINK("CSG14.html#group45B14", "45B¹⁴"), =HYPERLINK("CSG15.html#group90B15", "90B¹⁵"), =HYPERLINK("CSG8.html#group90A8", "90A⁸"), =HYPERLINK("CSG4.html#group30A4", "30A⁴"), =HYPERLINK("CSG12.html#group30A12", "30A¹²"), =HYPERLINK("CSG20.html#group180G20", "180G²⁰"), =HYPERLINK("CSG19.html#group90G19", "90G¹⁹"), =HYPERLINK("CSG19.html#group60F19", "60F¹⁹"), =HYPERLINK("CSG19.html#group90I19", "90I¹⁹"), =HYPERLINK("CSG4.html#group30E4", "30E⁴"), =HYPERLINK("CSG17.html#group15A17", "15A¹⁷"), =HYPERLINK("CSG14.html#group90H14", "90H¹⁴"), =HYPERLINK("CSG22.html#group90C22", "90C²²"), =HYPERLINK("CSG16.html#group30B16", "30B¹⁶"), =HYPERLINK("CSG12.html#group60B12", "60B¹²"), =HYPERLINK("CSG19.html#group90F19", "90F¹⁹"), =HYPERLINK("CSG23.html#group30B23", "30B²³"), =HYPERLINK("CSG12.html#group45A12", "45A¹²"), =HYPERLINK("CSG19.html#group60G19", "60G¹⁹"), =HYPERLINK("CSG22.html#group30E22", "30E²²"), =HYPERLINK("CSG13.html#group30B13", "30B¹³"), =HYPERLINK("CSG18.html#group45A18", "45A¹⁸"), =HYPERLINK("CSG14.html#group60C14", "60C¹⁴"), =HYPERLINK("CSG6.html#group60C6", "60C⁶"), =HYPERLINK("CSG20.html#group210A20", "210A²⁰"), =HYPERLINK("CSG13.html#group90C13", "90C¹³"), =HYPERLINK("CSG9.html#group120B9", "120B⁹"), =HYPERLINK("CSG10.html#group15B10", "15B¹⁰"), =HYPERLINK("CSG16.html#group45D16", "45D¹⁶"), =HYPERLINK("CSG7.html#group105A7", "105A⁷"), =HYPERLINK("CSG24.html#group240B24", "240B²⁴"), =HYPERLINK("CSG18.html#group90C18", "90C¹⁸"), =HYPERLINK("CSG12.html#group165A12", "165A¹²"), =HYPERLINK("CSG3.html#group30D3", "30D³"), =HYPERLINK("CSG7.html#group60A7", "60A⁷"), =HYPERLINK("CSG14.html#group120B14", "120B¹⁴"), =HYPERLINK("CSG24.html#group60A24", "60A²⁴"), =HYPERLINK("CSG13.html#group30G13", "30G¹³"), =HYPERLINK("CSG2.html#group15A2", "15A²"), =HYPERLINK("CSG15.html#group90C15", "90C¹⁵"), =HYPERLINK("CSG19.html#group105B19", "105B¹⁹"), =HYPERLINK("CSG19.html#group120C19", "120C¹⁹"), =HYPERLINK("CSG15.html#group120A15", "120A¹⁵"), =HYPERLINK("CSG19.html#group15B19", "15B¹⁹"), =HYPERLINK("CSG23.html#group30J23", "30J²³"), =HYPERLINK("CSG9.html#group30F9", "30F⁹"), =HYPERLINK("CSG7.html#group15C7", "15C⁷"), =HYPERLINK("CSG14.html#group60E14", "60E¹⁴"), =HYPERLINK("CSG4.html#group15A4", "15A⁴"), =HYPERLINK("CSG7.html#group15B7", "15B⁷"), =HYPERLINK("CSG17.html#group45C17", "45C¹⁷"), =HYPERLINK("CSG6.html#group45A6", "45A⁶"), =HYPERLINK("CSG10.html#group90D10", "90D¹⁰"), =HYPERLINK("CSG15.html#group210B15", "210B¹⁵"), =HYPERLINK("CSG13.html#group60D13", "60D¹³"), =HYPERLINK("CSG19.html#group60I19", "60I¹⁹"), =HYPERLINK("CSG1.html#group15F1", "15F¹"), =HYPERLINK("CSG22.html#group60B22", "60B²²"), =HYPERLINK("CSG15.html#group210A15", "210A¹⁵"), =HYPERLINK("CSG16.html#group210D16", "210D¹⁶"), =HYPERLINK("CSG13.html#group180A13", "180A¹³"), =HYPERLINK("CSG6.html#group30B6", "30B⁶"), =HYPERLINK("CSG13.html#group120A13", "120A¹³"), =HYPERLINK("CSG23.html#group30D23", "30D²³"), =HYPERLINK("CSG5.html#group30B5", "30B⁵"), =HYPERLINK("CSG20.html#group90C20", "90C²⁰"), =HYPERLINK("CSG15.html#group90D15", "90D¹⁵"), =HYPERLINK("CSG20.html#group90E20", "90E²⁰"), =HYPERLINK("CSG7.html#group45A7", "45A⁷"), =HYPERLINK("CSG21.html#group30A21", "30A²¹"), =HYPERLINK("CSG23.html#group315A23", "315A²³"), =HYPERLINK("CSG15.html#group105C15", "105C¹⁵"), =HYPERLINK("CSG16.html#group45B16", "45B¹⁶"), =HYPERLINK("CSG17.html#group60M17", "60M¹⁷"), =HYPERLINK("CSG10.html#group30A10", "30A¹⁰"), =HYPERLINK("CSG20.html#group120B20", "120B²⁰"), =HYPERLINK("CSG7.html#group30A7", "30A⁷"), =HYPERLINK("CSG22.html#group90A22", "90A²²"), =HYPERLINK("CSG17.html#group60E17", "60E¹⁷"), =HYPERLINK("CSG16.html#group60D16", "60D¹⁶"), =HYPERLINK("CSG19.html#group45D19", "45D¹⁹"), =HYPERLINK("CSG16.html#group15A16", "15A¹⁶"), =HYPERLINK("CSG16.html#group60F16", "60F¹⁶"), =HYPERLINK("CSG19.html#group240B19", "240B¹⁹"), =HYPERLINK("CSG11.html#group30E11", "30E¹¹"), =HYPERLINK("CSG20.html#group210B20", "210B²⁰"), =HYPERLINK("CSG16.html#group45C16", "45C¹⁶"), =HYPERLINK("CSG4.html#group15C4", "15C⁴"), =HYPERLINK("CSG2.html#group30A2", "30A²"), =HYPERLINK("CSG7.html#group90A7", "90A⁷"), =HYPERLINK("CSG19.html#group45C19", "45C¹⁹"), =HYPERLINK("CSG13.html#group15A13", "15A¹³"), =HYPERLINK("CSG19.html#group60A19", "60A¹⁹"), =HYPERLINK("CSG7.html#group30D7", "30D⁷"), =HYPERLINK("CSG24.html#group75A24", "75A²⁴"), =HYPERLINK("CSG16.html#group60E16", "60E¹⁶"), =HYPERLINK("CSG16.html#group30E16", "30E¹⁶"), =HYPERLINK("CSG19.html#group90E19", "90E¹⁹"), =HYPERLINK("CSG14.html#group45C14", "45C¹⁴")</f>
        <v/>
      </c>
    </row>
    <row r="197">
      <c r="A197" t="inlineStr">
        <is>
          <t>15B¹</t>
        </is>
      </c>
      <c r="B197" t="inlineStr"/>
      <c r="C197" t="inlineStr">
        <is>
          <t>20</t>
        </is>
      </c>
      <c r="D197" t="inlineStr">
        <is>
          <t>1</t>
        </is>
      </c>
      <c r="E197" t="inlineStr">
        <is>
          <t>20</t>
        </is>
      </c>
      <c r="F197" t="inlineStr">
        <is>
          <t>0</t>
        </is>
      </c>
      <c r="G197" t="inlineStr">
        <is>
          <t>2</t>
        </is>
      </c>
      <c r="H197" t="inlineStr">
        <is>
          <t>5¹, 15¹</t>
        </is>
      </c>
      <c r="I197" t="n">
        <v>2</v>
      </c>
      <c r="J197" t="inlineStr">
        <is>
          <t>1², 2¹, 4², 8¹</t>
        </is>
      </c>
      <c r="K197">
        <f>HYPERLINK("CSG0.html#group3B0", "3B⁰"), =HYPERLINK("CSG0.html#group5A0", "5A⁰")</f>
        <v/>
      </c>
      <c r="L197">
        <f>HYPERLINK("CSG2.html#group30D2", "30D²"), =HYPERLINK("CSG3.html#group15A3", "15A³"), =HYPERLINK("CSG3.html#group15D3", "15D³"), =HYPERLINK("CSG3.html#group15G3", "15G³"), =HYPERLINK("CSG3.html#group45B3", "45B³"), =HYPERLINK("CSG3.html#group45C3", "45C³"), =HYPERLINK("CSG4.html#group15A4", "15A⁴"), =HYPERLINK("CSG4.html#group30D4", "30D⁴"), =HYPERLINK("CSG4.html#group45A4", "45A⁴"), =HYPERLINK("CSG4.html#group45B4", "45B⁴"), =HYPERLINK("CSG5.html#group45A5", "45A⁵"), =HYPERLINK("CSG5.html#group45B5", "45B⁵"), =HYPERLINK("CSG6.html#group60A6", "60A⁶"), =HYPERLINK("CSG11.html#group105A11", "105A¹¹"), =HYPERLINK("CSG11.html#group105D11", "105D¹¹"), =HYPERLINK("CSG17.html#group165B17", "165B¹⁷"), =HYPERLINK("CSG19.html#group165A19", "165A¹⁹"), =HYPERLINK("CSG21.html#group195A21", "195A²¹")</f>
        <v/>
      </c>
      <c r="M197">
        <f>HYPERLINK("CSG0.html#group3B0", "3B⁰"), =HYPERLINK("CSG0.html#group1A0", "1A⁰"), =HYPERLINK("CSG0.html#group5A0", "5A⁰")</f>
        <v/>
      </c>
      <c r="N197">
        <f>HYPERLINK("CSG22.html#group90K22", "90K²²"), =HYPERLINK("CSG17.html#group30K17", "30K¹⁷"), =HYPERLINK("CSG9.html#group30M9", "30M⁹"), =HYPERLINK("CSG13.html#group135C13", "135C¹³"), =HYPERLINK("CSG4.html#group60B4", "60B⁴"), =HYPERLINK("CSG8.html#group90D8", "90D⁸"), =HYPERLINK("CSG16.html#group60A16", "60A¹⁶"), =HYPERLINK("CSG18.html#group60D18", "60D¹⁸"), =HYPERLINK("CSG24.html#group270A24", "270A²⁴"), =HYPERLINK("CSG23.html#group210J23", "210J²³"), =HYPERLINK("CSG22.html#group210A22", "210A²²"), =HYPERLINK("CSG17.html#group60B17", "60B¹⁷"), =HYPERLINK("CSG22.html#group90L22", "90L²²"), =HYPERLINK("CSG12.html#group45E12", "45E¹²"), =HYPERLINK("CSG11.html#group45D11", "45D¹¹"), =HYPERLINK("CSG13.html#group45I13", "45I¹³"), =HYPERLINK("CSG13.html#group45C13", "45C¹³"), =HYPERLINK("CSG4.html#group45A4", "45A⁴"), =HYPERLINK("CSG13.html#group45O13", "45O¹³"), =HYPERLINK("CSG18.html#group120A18", "120A¹⁸"), =HYPERLINK("CSG9.html#group90B9", "90B⁹"), =HYPERLINK("CSG20.html#group180B20", "180B²⁰"), =HYPERLINK("CSG19.html#group75B19", "75B¹⁹"), =HYPERLINK("CSG18.html#group60B18", "60B¹⁸"), =HYPERLINK("CSG9.html#group60B9", "60B⁹"), =HYPERLINK("CSG16.html#group60B16", "60B¹⁶"), =HYPERLINK("CSG5.html#group45A5", "45A⁵"), =HYPERLINK("CSG14.html#group135B14", "135B¹⁴"), =HYPERLINK("CSG13.html#group135D13", "135D¹³"), =HYPERLINK("CSG15.html#group30C15", "30C¹⁵"), =HYPERLINK("CSG19.html#group45H19", "45H¹⁹"), =HYPERLINK("CSG21.html#group60S21", "60S²¹"), =HYPERLINK("CSG12.html#group120A12", "120A¹²"), =HYPERLINK("CSG9.html#group90C9", "90C⁹"), =HYPERLINK("CSG15.html#group30B15", "30B¹⁵"), =HYPERLINK("CSG18.html#group60G18", "60G¹⁸"), =HYPERLINK("CSG16.html#group180A16", "180A¹⁶"), =HYPERLINK("CSG12.html#group90E12", "90E¹²"), =HYPERLINK("CSG17.html#group45A17", "45A¹⁷"), =HYPERLINK("CSG8.html#group90F8", "90F⁸"), =HYPERLINK("CSG22.html#group30D22", "30D²²"), =HYPERLINK("CSG8.html#group30D8", "30D⁸"), =HYPERLINK("CSG17.html#group60L17", "60L¹⁷"), =HYPERLINK("CSG18.html#group180A18", "180A¹⁸"), =HYPERLINK("CSG21.html#group60R21", "60R²¹"), =HYPERLINK("CSG14.html#group45A14", "45A¹⁴"), =HYPERLINK("CSG7.html#group30K7", "30K⁷"), =HYPERLINK("CSG19.html#group180A19", "180A¹⁹"), =HYPERLINK("CSG22.html#group270A22", "270A²²"), =HYPERLINK("CSG19.html#group180C19", "180C¹⁹"), =HYPERLINK("CSG7.html#group90F7", "90F⁷"), =HYPERLINK("CSG13.html#group135A13", "135A¹³"), =HYPERLINK("CSG20.html#group180C20", "180C²⁰"), =HYPERLINK("CSG19.html#group165A19", "165A¹⁹"), =HYPERLINK("CSG15.html#group60T15", "60T¹⁵"), =HYPERLINK("CSG12.html#group30H12", "30H¹²"), =HYPERLINK("CSG22.html#group90I22", "90I²²"), =HYPERLINK("CSG11.html#group105A11", "105A¹¹"), =HYPERLINK("CSG8.html#group60C8", "60C⁸"), =HYPERLINK("CSG23.html#group120K23", "120K²³"), =HYPERLINK("CSG9.html#group30A9", "30A⁹"), =HYPERLINK("CSG22.html#group90J22", "90J²²"), =HYPERLINK("CSG22.html#group60A22", "60A²²"), =HYPERLINK("CSG23.html#group120L23", "120L²³"), =HYPERLINK("CSG20.html#group180A20", "180A²⁰"), =HYPERLINK("CSG13.html#group45H13", "45H¹³"), =HYPERLINK("CSG19.html#group120B19", "120B¹⁹"), =HYPERLINK("CSG24.html#group90F24", "90F²⁴"), =HYPERLINK("CSG13.html#group45D13", "45D¹³"), =HYPERLINK("CSG24.html#group270B24", "270B²⁴"), =HYPERLINK("CSG9.html#group15B9", "15B⁹"), =HYPERLINK("CSG24.html#group90D24", "90D²⁴"), =HYPERLINK("CSG18.html#group180B18", "180B¹⁸"), =HYPERLINK("CSG23.html#group15A23", "15A²³"), =HYPERLINK("CSG17.html#group15B17", "15B¹⁷"), =HYPERLINK("CSG16.html#group45A16", "45A¹⁶"), =HYPERLINK("CSG12.html#group45H12", "45H¹²"), =HYPERLINK("CSG16.html#group180C16", "180C¹⁶"), =HYPERLINK("CSG4.html#group30D4", "30D⁴"), =HYPERLINK("CSG18.html#group180C18", "180C¹⁸"), =HYPERLINK("CSG11.html#group45C11", "45C¹¹"), =HYPERLINK("CSG6.html#group90C6", "90C⁶"), =HYPERLINK("CSG19.html#group60C19", "60C¹⁹"), =HYPERLINK("CSG15.html#group60Y15", "60Y¹⁵"), =HYPERLINK("CSG14.html#group135C14", "135C¹⁴"), =HYPERLINK("CSG20.html#group180E20", "180E²⁰"), =HYPERLINK("CSG7.html#group30M7", "30M⁷"), =HYPERLINK("CSG10.html#group45C10", "45C¹⁰"), =HYPERLINK("CSG18.html#group120D18", "120D¹⁸"), =HYPERLINK("CSG13.html#group45B13", "45B¹³"), =HYPERLINK("CSG22.html#group30A22", "30A²²"), =HYPERLINK("CSG22.html#group30C22", "30C²²"), =HYPERLINK("CSG10.html#group30F10", "30F¹⁰"), =HYPERLINK("CSG14.html#group45B14", "45B¹⁴"), =HYPERLINK("CSG8.html#group90E8", "90E⁸"), =HYPERLINK("CSG11.html#group45B11", "45B¹¹"), =HYPERLINK("CSG12.html#group135A12", "135A¹²"), =HYPERLINK("CSG12.html#group45B12", "45B¹²"), =HYPERLINK("CSG17.html#group45B17", "45B¹⁷"), =HYPERLINK("CSG6.html#group60A6", "60A⁶"), =HYPERLINK("CSG12.html#group30A12", "30A¹²"), =HYPERLINK("CSG13.html#group45A13", "45A¹³"), =HYPERLINK("CSG12.html#group45C12", "45C¹²"), =HYPERLINK("CSG24.html#group90I24", "90I²⁴"), =HYPERLINK("CSG8.html#group30A8", "30A⁸"), =HYPERLINK("CSG21.html#group105F21", "105F²¹"), =HYPERLINK("CSG21.html#group60T21", "60T²¹"), =HYPERLINK("CSG23.html#group210I23", "210I²³"), =HYPERLINK("CSG18.html#group60A18", "60A¹⁸"), =HYPERLINK("CSG18.html#group60C18", "60C¹⁸"), =HYPERLINK("CSG12.html#group45A12", "45A¹²"), =HYPERLINK("CSG12.html#group90C12", "90C¹²"), =HYPERLINK("CSG8.html#group90C8", "90C⁸"), =HYPERLINK("CSG19.html#group120A19", "120A¹⁹"), =HYPERLINK("CSG17.html#group120D17", "120D¹⁷"), =HYPERLINK("CSG21.html#group105A21", "105A²¹"), =HYPERLINK("CSG9.html#group30N9", "30N⁹"), =HYPERLINK("CSG3.html#group45C3", "45C³"), =HYPERLINK("CSG22.html#group210B22", "210B²²"), =HYPERLINK("CSG13.html#group45E13", "45E¹³"), =HYPERLINK("CSG3.html#group15D3", "15D³"), =HYPERLINK("CSG23.html#group60C23", "60C²³"), =HYPERLINK("CSG10.html#group15B10", "15B¹⁰"), =HYPERLINK("CSG13.html#group135B13", "135B¹³"), =HYPERLINK("CSG15.html#group45D15", "45D¹⁵"), =HYPERLINK("CSG15.html#group180A15", "180A¹⁵"), =HYPERLINK("CSG24.html#group240A24", "240A²⁴"), =HYPERLINK("CSG21.html#group195A21", "195A²¹"), =HYPERLINK("CSG19.html#group30B19", "30B¹⁹"), =HYPERLINK("CSG3.html#group15A3", "15A³"), =HYPERLINK("CSG10.html#group90C10", "90C¹⁰"), =HYPERLINK("CSG14.html#group90A14", "90A¹⁴"), =HYPERLINK("CSG24.html#group90E24", "90E²⁴"), =HYPERLINK("CSG19.html#group15B19", "15B¹⁹"), =HYPERLINK("CSG14.html#group60G14", "60G¹⁴"), =HYPERLINK("CSG14.html#group135A14", "135A¹⁴"), =HYPERLINK("CSG12.html#group135C12", "135C¹²"), =HYPERLINK("CSG22.html#group60D22", "60D²²"), =HYPERLINK("CSG6.html#group30E6", "30E⁶"), =HYPERLINK("CSG4.html#group15A4", "15A⁴"), =HYPERLINK("CSG24.html#group90H24", "90H²⁴"), =HYPERLINK("CSG10.html#group45B10", "45B¹⁰"), =HYPERLINK("CSG16.html#group180B16", "180B¹⁶"), =HYPERLINK("CSG15.html#group135A15", "135A¹⁵"), =HYPERLINK("CSG16.html#group120B16", "120B¹⁶"), =HYPERLINK("CSG14.html#group90B14", "90B¹⁴"), =HYPERLINK("CSG3.html#group15G3", "15G³"), =HYPERLINK("CSG18.html#group60I18", "60I¹⁸"), =HYPERLINK("CSG12.html#group15A12", "15A¹²"), =HYPERLINK("CSG13.html#group45F13", "45F¹³"), =HYPERLINK("CSG10.html#group90B10", "90B¹⁰"), =HYPERLINK("CSG5.html#group15D5", "15D⁵"), =HYPERLINK("CSG17.html#group180A17", "180A¹⁷"), =HYPERLINK("CSG12.html#group135B12", "135B¹²"), =HYPERLINK("CSG23.html#group45E23", "45E²³"), =HYPERLINK("CSG11.html#group105D11", "105D¹¹"), =HYPERLINK("CSG8.html#group30E8", "30E⁸"), =HYPERLINK("CSG11.html#group135A11", "135A¹¹"), =HYPERLINK("CSG12.html#group45D12", "45D¹²"), =HYPERLINK("CSG14.html#group90E14", "90E¹⁴"), =HYPERLINK("CSG20.html#group180D20", "180D²⁰"), =HYPERLINK("CSG2.html#group30D2", "30D²"), =HYPERLINK("CSG4.html#group45B4", "45B⁴"), =HYPERLINK("CSG14.html#group90F14", "90F¹⁴"), =HYPERLINK("CSG5.html#group45B5", "45B⁵"), =HYPERLINK("CSG19.html#group180B19", "180B¹⁹"), =HYPERLINK("CSG13.html#group45G13", "45G¹³"), =HYPERLINK("CSG7.html#group90E7", "90E⁷"), =HYPERLINK("CSG3.html#group45B3", "45B³"), =HYPERLINK("CSG8.html#group30B8", "30B⁸"), =HYPERLINK("CSG15.html#group180B15", "180B¹⁵"), =HYPERLINK("CSG10.html#group90A10", "90A¹⁰"), =HYPERLINK("CSG24.html#group90G24", "90G²⁴"), =HYPERLINK("CSG13.html#group15A13", "15A¹³"), =HYPERLINK("CSG19.html#group60A19", "60A¹⁹"), =HYPERLINK("CSG17.html#group165B17", "165B¹⁷"), =HYPERLINK("CSG13.html#group30N13", "30N¹³"), =HYPERLINK("CSG12.html#group180A12", "180A¹²"), =HYPERLINK("CSG11.html#group60J11", "60J¹¹"), =HYPERLINK("CSG5.html#group15B5", "15B⁵")</f>
        <v/>
      </c>
    </row>
    <row r="198">
      <c r="A198" t="inlineStr">
        <is>
          <t>15C¹</t>
        </is>
      </c>
      <c r="B198" t="inlineStr">
        <is>
          <t>Γ₀(15)</t>
        </is>
      </c>
      <c r="C198" t="inlineStr">
        <is>
          <t>24</t>
        </is>
      </c>
      <c r="D198" t="inlineStr">
        <is>
          <t>1</t>
        </is>
      </c>
      <c r="E198" t="inlineStr">
        <is>
          <t>24</t>
        </is>
      </c>
      <c r="F198" t="inlineStr">
        <is>
          <t>0</t>
        </is>
      </c>
      <c r="G198" t="inlineStr">
        <is>
          <t>0</t>
        </is>
      </c>
      <c r="H198" t="inlineStr">
        <is>
          <t>1¹, 3¹, 5¹, 15¹</t>
        </is>
      </c>
      <c r="I198" t="n">
        <v>4</v>
      </c>
      <c r="J198" t="inlineStr">
        <is>
          <t>1⁴, 2², 4², 8¹</t>
        </is>
      </c>
      <c r="K198">
        <f>HYPERLINK("CSG0.html#group3B0", "3B⁰"), =HYPERLINK("CSG0.html#group5B0", "5B⁰")</f>
        <v/>
      </c>
      <c r="L198">
        <f>HYPERLINK("CSG1.html#group15G1", "15G¹"), =HYPERLINK("CSG3.html#group15E3", "15E³"), =HYPERLINK("CSG3.html#group30F3", "30F³"), =HYPERLINK("CSG3.html#group30G3", "30G³"), =HYPERLINK("CSG3.html#group30K3", "30K³"), =HYPERLINK("CSG3.html#group45D3", "45D³"), =HYPERLINK("CSG5.html#group15B5", "15B⁵"), =HYPERLINK("CSG5.html#group45C5", "45C⁵"), =HYPERLINK("CSG5.html#group45D5", "45D⁵"), =HYPERLINK("CSG5.html#group75A5", "75A⁵"), =HYPERLINK("CSG7.html#group60F7", "60F⁷"), =HYPERLINK("CSG9.html#group75C9", "75C⁹"), =HYPERLINK("CSG9.html#group75B9", "75B⁹"), =HYPERLINK("CSG9.html#group75D9", "75D⁹"), =HYPERLINK("CSG9.html#group75A9", "75A⁹"), =HYPERLINK("CSG13.html#group105A13", "105A¹³"), =HYPERLINK("CSG13.html#group105B13", "105B¹³"), =HYPERLINK("CSG21.html#group165A21", "165A²¹"), =HYPERLINK("CSG21.html#group165B21", "165B²¹")</f>
        <v/>
      </c>
      <c r="M198">
        <f>HYPERLINK("CSG0.html#group5B0", "5B⁰"), =HYPERLINK("CSG0.html#group3B0", "3B⁰"), =HYPERLINK("CSG0.html#group1A0", "1A⁰")</f>
        <v/>
      </c>
      <c r="N198">
        <f>HYPERLINK("CSG17.html#group60T17", "60T¹⁷"), =HYPERLINK("CSG13.html#group60K13", "60K¹³"), =HYPERLINK("CSG15.html#group60AC15", "60AC¹⁵"), =HYPERLINK("CSG7.html#group30S7", "30S⁷"), =HYPERLINK("CSG13.html#group45K13", "45K¹³"), =HYPERLINK("CSG13.html#group60M13", "60M¹³"), =HYPERLINK("CSG15.html#group90H15", "90H¹⁵"), =HYPERLINK("CSG15.html#group135B15", "135B¹⁵"), =HYPERLINK("CSG13.html#group60J13", "60J¹³"), =HYPERLINK("CSG19.html#group150D19", "150D¹⁹"), =HYPERLINK("CSG13.html#group60AJ13", "60AJ¹³"), =HYPERLINK("CSG17.html#group75B17", "75B¹⁷"), =HYPERLINK("CSG21.html#group90O21", "90O²¹"), =HYPERLINK("CSG9.html#group75B9", "75B⁹"), =HYPERLINK("CSG21.html#group90E21", "90E²¹"), =HYPERLINK("CSG15.html#group60AB15", "60AB¹⁵"), =HYPERLINK("CSG13.html#group30P13", "30P¹³"), =HYPERLINK("CSG1.html#group15I1", "15I¹"), =HYPERLINK("CSG21.html#group120C21", "120C²¹"), =HYPERLINK("CSG13.html#group60L13", "60L¹³"), =HYPERLINK("CSG15.html#group30C15", "30C¹⁵"), =HYPERLINK("CSG7.html#group60D7", "60D⁷"), =HYPERLINK("CSG11.html#group90B11", "90B¹¹"), =HYPERLINK("CSG7.html#group60G7", "60G⁷"), =HYPERLINK("CSG19.html#group150I19", "150I¹⁹"), =HYPERLINK("CSG19.html#group45H19", "45H¹⁹"), =HYPERLINK("CSG23.html#group180G23", "180G²³"), =HYPERLINK("CSG19.html#group75D19", "75D¹⁹"), =HYPERLINK("CSG23.html#group180L23", "180L²³"), =HYPERLINK("CSG15.html#group30B15", "30B¹⁵"), =HYPERLINK("CSG15.html#group120L15", "120L¹⁵"), =HYPERLINK("CSG15.html#group45A15", "45A¹⁵"), =HYPERLINK("CSG3.html#group30K3", "30K³"), =HYPERLINK("CSG13.html#group60I13", "60I¹³"), =HYPERLINK("CSG21.html#group60I21", "60I²¹"), =HYPERLINK("CSG9.html#group60H9", "60H⁹"), =HYPERLINK("CSG21.html#group90H21", "90H²¹"), =HYPERLINK("CSG17.html#group120N17", "120N¹⁷"), =HYPERLINK("CSG23.html#group180F23", "180F²³"), =HYPERLINK("CSG9.html#group30S9", "30S⁹"), =HYPERLINK("CSG19.html#group60O19", "60O¹⁹"), =HYPERLINK("CSG15.html#group60AF15", "60AF¹⁵"), =HYPERLINK("CSG15.html#group90G15", "90G¹⁵"), =HYPERLINK("CSG17.html#group45F17", "45F¹⁷"), =HYPERLINK("CSG17.html#group75C17", "75C¹⁷"), =HYPERLINK("CSG11.html#group45F11", "45F¹¹"), =HYPERLINK("CSG11.html#group90F11", "90F¹¹"), =HYPERLINK("CSG15.html#group150I15", "150I¹⁵"), =HYPERLINK("CSG21.html#group180D21", "180D²¹"), =HYPERLINK("CSG5.html#group45C5", "45C⁵"), =HYPERLINK("CSG13.html#group60AI13", "60AI¹³"), =HYPERLINK("CSG11.html#group90J11", "90J¹¹"), =HYPERLINK("CSG15.html#group60AA15", "60AA¹⁵"), =HYPERLINK("CSG13.html#group105A13", "105A¹³"), =HYPERLINK("CSG13.html#group135E13", "135E¹³"), =HYPERLINK("CSG9.html#group75D9", "75D⁹"), =HYPERLINK("CSG9.html#group30H9", "30H⁹"), =HYPERLINK("CSG13.html#group105B13", "105B¹³"), =HYPERLINK("CSG21.html#group180C21", "180C²¹"), =HYPERLINK("CSG13.html#group45M13", "45M¹³"), =HYPERLINK("CSG19.html#group120L19", "120L¹⁹"), =HYPERLINK("CSG21.html#group60B21", "60B²¹"), =HYPERLINK("CSG21.html#group45E21", "45E²¹"), =HYPERLINK("CSG11.html#group90E11", "90E¹¹"), =HYPERLINK("CSG21.html#group120E21", "120E²¹"), =HYPERLINK("CSG1.html#group15G1", "15G¹"), =HYPERLINK("CSG17.html#group90Q17", "90Q¹⁷"), =HYPERLINK("CSG9.html#group90E9", "90E⁹"), =HYPERLINK("CSG9.html#group15B9", "15B⁹"), =HYPERLINK("CSG15.html#group120D15", "120D¹⁵"), =HYPERLINK("CSG19.html#group150F19", "150F¹⁹"), =HYPERLINK("CSG17.html#group15B17", "15B¹⁷"), =HYPERLINK("CSG23.html#group180E23", "180E²³"), =HYPERLINK("CSG13.html#group30R13", "30R¹³"), =HYPERLINK("CSG17.html#group135C17", "135C¹⁷"), =HYPERLINK("CSG19.html#group150C19", "150C¹⁹"), =HYPERLINK("CSG7.html#group60F7", "60F⁷"), =HYPERLINK("CSG23.html#group180B23", "180B²³"), =HYPERLINK("CSG17.html#group30H17", "30H¹⁷"), =HYPERLINK("CSG21.html#group90G21", "90G²¹"), =HYPERLINK("CSG17.html#group90S17", "90S¹⁷"), =HYPERLINK("CSG21.html#group180G21", "180G²¹"), =HYPERLINK("CSG21.html#group180E21", "180E²¹"), =HYPERLINK("CSG7.html#group30Q7", "30Q⁷"), =HYPERLINK("CSG19.html#group150H19", "150H¹⁹"), =HYPERLINK("CSG9.html#group75C9", "75C⁹"), =HYPERLINK("CSG11.html#group90D11", "90D¹¹"), =HYPERLINK("CSG5.html#group30M5", "30M⁵"), =HYPERLINK("CSG21.html#group60A21", "60A²¹"), =HYPERLINK("CSG17.html#group135B17", "135B¹⁷"), =HYPERLINK("CSG23.html#group180K23", "180K²³"), =HYPERLINK("CSG23.html#group180A23", "180A²³"), =HYPERLINK("CSG3.html#group30G3", "30G³"), =HYPERLINK("CSG21.html#group90D21", "90D²¹"), =HYPERLINK("CSG21.html#group120B21", "120B²¹"), =HYPERLINK("CSG5.html#group75A5", "75A⁵"), =HYPERLINK("CSG9.html#group45D9", "45D⁹"), =HYPERLINK("CSG15.html#group120C15", "120C¹⁵"), =HYPERLINK("CSG9.html#group75A9", "75A⁹"), =HYPERLINK("CSG21.html#group165A21", "165A²¹"), =HYPERLINK("CSG9.html#group90D9", "90D⁹"), =HYPERLINK("CSG11.html#group45G11", "45G¹¹"), =HYPERLINK("CSG21.html#group60Q21", "60Q²¹"), =HYPERLINK("CSG21.html#group180H21", "180H²¹"), =HYPERLINK("CSG9.html#group45C9", "45C⁹"), =HYPERLINK("CSG9.html#group75F9", "75F⁹"), =HYPERLINK("CSG21.html#group90C21", "90C²¹"), =HYPERLINK("CSG17.html#group60O17", "60O¹⁷"), =HYPERLINK("CSG11.html#group90C11", "90C¹¹"), =HYPERLINK("CSG3.html#group45D3", "45D³"), =HYPERLINK("CSG19.html#group120M19", "120M¹⁹"), =HYPERLINK("CSG17.html#group75D17", "75D¹⁷"), =HYPERLINK("CSG21.html#group90F21", "90F²¹"), =HYPERLINK("CSG13.html#group45L13", "45L¹³"), =HYPERLINK("CSG19.html#group30B19", "30B¹⁹"), =HYPERLINK("CSG3.html#group15E3", "15E³"), =HYPERLINK("CSG15.html#group120K15", "120K¹⁵"), =HYPERLINK("CSG17.html#group60Q17", "60Q¹⁷"), =HYPERLINK("CSG19.html#group150B19", "150B¹⁹"), =HYPERLINK("CSG17.html#group30G17", "30G¹⁷"), =HYPERLINK("CSG21.html#group165B21", "165B²¹"), =HYPERLINK("CSG19.html#group15B19", "15B¹⁹"), =HYPERLINK("CSG21.html#group60E21", "60E²¹"), =HYPERLINK("CSG9.html#group30P9", "30P⁹"), =HYPERLINK("CSG19.html#group150A19", "150A¹⁹"), =HYPERLINK("CSG17.html#group45E17", "45E¹⁷"), =HYPERLINK("CSG17.html#group75A17", "75A¹⁷"), =HYPERLINK("CSG21.html#group180F21", "180F²¹"), =HYPERLINK("CSG19.html#group60L19", "60L¹⁹"), =HYPERLINK("CSG17.html#group75F17", "75F¹⁷"), =HYPERLINK("CSG21.html#group45F21", "45F²¹"), =HYPERLINK("CSG19.html#group60M19", "60M¹⁹"), =HYPERLINK("CSG11.html#group90A11", "90A¹¹"), =HYPERLINK("CSG7.html#group60O7", "60O⁷"), =HYPERLINK("CSG17.html#group90R17", "90R¹⁷"), =HYPERLINK("CSG17.html#group135A17", "135A¹⁷"), =HYPERLINK("CSG9.html#group45G9", "45G⁹"), =HYPERLINK("CSG19.html#group150E19", "150E¹⁹"), =HYPERLINK("CSG19.html#group120F19", "120F¹⁹"), =HYPERLINK("CSG19.html#group60K19", "60K¹⁹"), =HYPERLINK("CSG11.html#group135B11", "135B¹¹"), =HYPERLINK("CSG23.html#group180C23", "180C²³"), =HYPERLINK("CSG15.html#group60AD15", "60AD¹⁵"), =HYPERLINK("CSG7.html#group60E7", "60E⁷"), =HYPERLINK("CSG15.html#group120M15", "120M¹⁵"), =HYPERLINK("CSG17.html#group120O17", "120O¹⁷"), =HYPERLINK("CSG17.html#group60R17", "60R¹⁷"), =HYPERLINK("CSG15.html#group150J15", "150J¹⁵"), =HYPERLINK("CSG5.html#group30S5", "30S⁵"), =HYPERLINK("CSG21.html#group30G21", "30G²¹"), =HYPERLINK("CSG21.html#group120D21", "120D²¹"), =HYPERLINK("CSG17.html#group60S17", "60S¹⁷"), =HYPERLINK("CSG9.html#group15C9", "15C⁹"), =HYPERLINK("CSG11.html#group30G11", "30G¹¹"), =HYPERLINK("CSG9.html#group90F9", "90F⁹"), =HYPERLINK("CSG19.html#group120K19", "120K¹⁹"), =HYPERLINK("CSG21.html#group135A21", "135A²¹"), =HYPERLINK("CSG17.html#group30J17", "30J¹⁷"), =HYPERLINK("CSG5.html#group30N5", "30N⁵"), =HYPERLINK("CSG23.html#group180D23", "180D²³"), =HYPERLINK("CSG9.html#group60G9", "60G⁹"), =HYPERLINK("CSG9.html#group30G9", "30G⁹"), =HYPERLINK("CSG23.html#group180H23", "180H²³"), =HYPERLINK("CSG5.html#group45D5", "45D⁵"), =HYPERLINK("CSG21.html#group60J21", "60J²¹"), =HYPERLINK("CSG19.html#group225A19", "225A¹⁹"), =HYPERLINK("CSG23.html#group180J23", "180J²³"), =HYPERLINK("CSG3.html#group30F3", "30F³"), =HYPERLINK("CSG5.html#group15C5", "15C⁵"), =HYPERLINK("CSG9.html#group30L9", "30L⁹"), =HYPERLINK("CSG19.html#group120E19", "120E¹⁹"), =HYPERLINK("CSG21.html#group120F21", "120F²¹"), =HYPERLINK("CSG19.html#group60N19", "60N¹⁹"), =HYPERLINK("CSG19.html#group150G19", "150G¹⁹"), =HYPERLINK("CSG5.html#group45H5", "45H⁵"), =HYPERLINK("CSG23.html#group180I23", "180I²³"), =HYPERLINK("CSG17.html#group60P17", "60P¹⁷"), =HYPERLINK("CSG7.html#group60P7", "60P⁷"), =HYPERLINK("CSG5.html#group15B5", "15B⁵"), =HYPERLINK("CSG21.html#group120A21", "120A²¹")</f>
        <v/>
      </c>
    </row>
    <row r="199">
      <c r="A199" t="inlineStr">
        <is>
          <t>15D¹</t>
        </is>
      </c>
      <c r="B199" t="inlineStr"/>
      <c r="C199" t="inlineStr">
        <is>
          <t>30</t>
        </is>
      </c>
      <c r="D199" t="inlineStr">
        <is>
          <t>1</t>
        </is>
      </c>
      <c r="E199" t="inlineStr">
        <is>
          <t>10</t>
        </is>
      </c>
      <c r="F199" t="inlineStr">
        <is>
          <t>6</t>
        </is>
      </c>
      <c r="G199" t="inlineStr">
        <is>
          <t>0</t>
        </is>
      </c>
      <c r="H199" t="inlineStr">
        <is>
          <t>15²</t>
        </is>
      </c>
      <c r="I199" t="n">
        <v>2</v>
      </c>
      <c r="J199" t="inlineStr">
        <is>
          <t>2¹, 4²</t>
        </is>
      </c>
      <c r="K199">
        <f>HYPERLINK("CSG0.html#group3A0", "3A⁰"), =HYPERLINK("CSG0.html#group5C0", "5C⁰")</f>
        <v/>
      </c>
      <c r="L199">
        <f>HYPERLINK("CSG2.html#group15D2", "15D²"), =HYPERLINK("CSG2.html#group30F2", "30F²"), =HYPERLINK("CSG3.html#group15C3", "15C³"), =HYPERLINK("CSG3.html#group30H3", "30H³"), =HYPERLINK("CSG4.html#group15B4", "15B⁴"), =HYPERLINK("CSG4.html#group15D4", "15D⁴"), =HYPERLINK("CSG4.html#group30C4", "30C⁴"), =HYPERLINK("CSG5.html#group30A5", "30A⁵"), =HYPERLINK("CSG5.html#group30K5", "30K⁵"), =HYPERLINK("CSG5.html#group45E5", "45E⁵"), =HYPERLINK("CSG7.html#group60J7", "60J⁷"), =HYPERLINK("CSG11.html#group75A11", "75A¹¹"), =HYPERLINK("CSG13.html#group105C13", "105C¹³"), =HYPERLINK("CSG19.html#group105A19", "105A¹⁹"), =HYPERLINK("CSG23.html#group165A23", "165A²³")</f>
        <v/>
      </c>
      <c r="M199">
        <f>HYPERLINK("CSG0.html#group3A0", "3A⁰"), =HYPERLINK("CSG0.html#group5C0", "5C⁰"), =HYPERLINK("CSG0.html#group1A0", "1A⁰")</f>
        <v/>
      </c>
      <c r="N199">
        <f>HYPERLINK("CSG7.html#group60J7", "60J⁷"), =HYPERLINK("CSG13.html#group60A13", "60A¹³"), =HYPERLINK("CSG19.html#group15A19", "15A¹⁹"), =HYPERLINK("CSG17.html#group60C17", "60C¹⁷"), =HYPERLINK("CSG15.html#group60S15", "60S¹⁵"), =HYPERLINK("CSG11.html#group45E11", "45E¹¹"), =HYPERLINK("CSG17.html#group30E17", "30E¹⁷"), =HYPERLINK("CSG9.html#group15A9", "15A⁹"), =HYPERLINK("CSG23.html#group165A23", "165A²³"), =HYPERLINK("CSG23.html#group150A23", "150A²³"), =HYPERLINK("CSG10.html#group15A10", "15A¹⁰"), =HYPERLINK("CSG21.html#group30E21", "30E²¹"), =HYPERLINK("CSG12.html#group30D12", "30D¹²"), =HYPERLINK("CSG7.html#group30N7", "30N⁷"), =HYPERLINK("CSG10.html#group90F10", "90F¹⁰"), =HYPERLINK("CSG23.html#group90F23", "90F²³"), =HYPERLINK("CSG13.html#group105C13", "105C¹³"), =HYPERLINK("CSG11.html#group30B11", "30B¹¹"), =HYPERLINK("CSG4.html#group15D4", "15D⁴"), =HYPERLINK("CSG7.html#group30I7", "30I⁷"), =HYPERLINK("CSG23.html#group30I23", "30I²³"), =HYPERLINK("CSG7.html#group15A7", "15A⁷"), =HYPERLINK("CSG12.html#group30B12", "30B¹²"), =HYPERLINK("CSG21.html#group30D21", "30D²¹"), =HYPERLINK("CSG21.html#group45B21", "45B²¹"), =HYPERLINK("CSG17.html#group60D17", "60D¹⁷"), =HYPERLINK("CSG2.html#group30F2", "30F²"), =HYPERLINK("CSG11.html#group45A11", "45A¹¹"), =HYPERLINK("CSG17.html#group45D17", "45D¹⁷"), =HYPERLINK("CSG13.html#group90D13", "90D¹³"), =HYPERLINK("CSG12.html#group60E12", "60E¹²"), =HYPERLINK("CSG12.html#group90D12", "90D¹²"), =HYPERLINK("CSG11.html#group75A11", "75A¹¹"), =HYPERLINK("CSG14.html#group60B14", "60B¹⁴"), =HYPERLINK("CSG23.html#group60E23", "60E²³"), =HYPERLINK("CSG23.html#group45C23", "45C²³"), =HYPERLINK("CSG22.html#group150A22", "150A²²"), =HYPERLINK("CSG10.html#group30B10", "30B¹⁰"), =HYPERLINK("CSG4.html#group15B4", "15B⁴"), =HYPERLINK("CSG17.html#group30B17", "30B¹⁷"), =HYPERLINK("CSG13.html#group30D13", "30D¹³"), =HYPERLINK("CSG17.html#group120G17", "120G¹⁷"), =HYPERLINK("CSG17.html#group60K17", "60K¹⁷"), =HYPERLINK("CSG10.html#group30C10", "30C¹⁰"), =HYPERLINK("CSG22.html#group75A22", "75A²²"), =HYPERLINK("CSG19.html#group60D19", "60D¹⁹"), =HYPERLINK("CSG4.html#group30C4", "30C⁴"), =HYPERLINK("CSG23.html#group30K23", "30K²³"), =HYPERLINK("CSG17.html#group60H17", "60H¹⁷"), =HYPERLINK("CSG24.html#group75B24", "75B²⁴"), =HYPERLINK("CSG13.html#group90B13", "90B¹³"), =HYPERLINK("CSG9.html#group30C9", "30C⁹"), =HYPERLINK("CSG23.html#group120P23", "120P²³"), =HYPERLINK("CSG9.html#group30B9", "30B⁹"), =HYPERLINK("CSG21.html#group30B21", "30B²¹"), =HYPERLINK("CSG19.html#group60B19", "60B¹⁹"), =HYPERLINK("CSG23.html#group30F23", "30F²³"), =HYPERLINK("CSG12.html#group60D12", "60D¹²"), =HYPERLINK("CSG21.html#group45C21", "45C²¹"), =HYPERLINK("CSG23.html#group30H23", "30H²³"), =HYPERLINK("CSG5.html#group30Q5", "30Q⁵"), =HYPERLINK("CSG15.html#group60X15", "60X¹⁵"), =HYPERLINK("CSG15.html#group30D15", "30D¹⁵"), =HYPERLINK("CSG17.html#group30D17", "30D¹⁷"), =HYPERLINK("CSG11.html#group60L11", "60L¹¹"), =HYPERLINK("CSG23.html#group30C23", "30C²³"), =HYPERLINK("CSG14.html#group90G14", "90G¹⁴"), =HYPERLINK("CSG23.html#group90C23", "90C²³"), =HYPERLINK("CSG8.html#group15B8", "15B⁸"), =HYPERLINK("CSG17.html#group30A17", "30A¹⁷"), =HYPERLINK("CSG21.html#group60U21", "60U²¹"), =HYPERLINK("CSG16.html#group30C16", "30C¹⁶"), =HYPERLINK("CSG2.html#group15D2", "15D²"), =HYPERLINK("CSG13.html#group60E13", "60E¹³"), =HYPERLINK("CSG23.html#group30G23", "30G²³"), =HYPERLINK("CSG23.html#group90D23", "90D²³"), =HYPERLINK("CSG10.html#group45D10", "45D¹⁰"), =HYPERLINK("CSG19.html#group60F19", "60F¹⁹"), =HYPERLINK("CSG11.html#group15A11", "15A¹¹"), =HYPERLINK("CSG17.html#group15A17", "15A¹⁷"), =HYPERLINK("CSG17.html#group60J17", "60J¹⁷"), =HYPERLINK("CSG23.html#group120O23", "120O²³"), =HYPERLINK("CSG13.html#group45J13", "45J¹³"), =HYPERLINK("CSG10.html#group30G10", "30G¹⁰"), =HYPERLINK("CSG23.html#group30B23", "30B²³"), =HYPERLINK("CSG18.html#group45A18", "45A¹⁸"), =HYPERLINK("CSG19.html#group90H19", "90H¹⁹"), =HYPERLINK("CSG13.html#group60AH13", "60AH¹³"), =HYPERLINK("CSG10.html#group30H10", "30H¹⁰"), =HYPERLINK("CSG5.html#group45E5", "45E⁵"), =HYPERLINK("CSG15.html#group60Z15", "60Z¹⁵"), =HYPERLINK("CSG23.html#group60H23", "60H²³"), =HYPERLINK("CSG7.html#group60L7", "60L⁷"), =HYPERLINK("CSG21.html#group90M21", "90M²¹"), =HYPERLINK("CSG11.html#group30C11", "30C¹¹"), =HYPERLINK("CSG19.html#group15B19", "15B¹⁹"), =HYPERLINK("CSG23.html#group75A23", "75A²³"), =HYPERLINK("CSG9.html#group30D9", "30D⁹"), =HYPERLINK("CSG23.html#group30J23", "30J²³"), =HYPERLINK("CSG15.html#group90E15", "90E¹⁵"), =HYPERLINK("CSG12.html#group30G12", "30G¹²"), =HYPERLINK("CSG17.html#group30C17", "30C¹⁷"), =HYPERLINK("CSG21.html#group30C21", "30C²¹"), =HYPERLINK("CSG23.html#group60F23", "60F²³"), =HYPERLINK("CSG9.html#group30F9", "30F⁹"), =HYPERLINK("CSG19.html#group60E19", "60E¹⁹"), =HYPERLINK("CSG17.html#group120E17", "120E¹⁷"), =HYPERLINK("CSG19.html#group105A19", "105A¹⁹"), =HYPERLINK("CSG7.html#group15B7", "15B⁷"), =HYPERLINK("CSG15.html#group60W15", "60W¹⁵"), =HYPERLINK("CSG23.html#group45A23", "45A²³"), =HYPERLINK("CSG11.html#group60M11", "60M¹¹"), =HYPERLINK("CSG5.html#group15A5", "15A⁵"), =HYPERLINK("CSG3.html#group15C3", "15C³"), =HYPERLINK("CSG5.html#group30A5", "30A⁵"), =HYPERLINK("CSG3.html#group30H3", "30H³"), =HYPERLINK("CSG7.html#group30J7", "30J⁷"), =HYPERLINK("CSG23.html#group120M23", "120M²³"), =HYPERLINK("CSG17.html#group60I17", "60I¹⁷"), =HYPERLINK("CSG12.html#group45F12", "45F¹²"), =HYPERLINK("CSG12.html#group45G12", "45G¹²"), =HYPERLINK("CSG23.html#group60L23", "60L²³"), =HYPERLINK("CSG21.html#group45D21", "45D²¹"), =HYPERLINK("CSG23.html#group60I23", "60I²³"), =HYPERLINK("CSG7.html#group60K7", "60K⁷"), =HYPERLINK("CSG23.html#group30A23", "30A²³"), =HYPERLINK("CSG23.html#group60M23", "60M²³"), =HYPERLINK("CSG23.html#group60K23", "60K²³"), =HYPERLINK("CSG23.html#group120N23", "120N²³"), =HYPERLINK("CSG9.html#group30E9", "30E⁹"), =HYPERLINK("CSG11.html#group30D11", "30D¹¹"), =HYPERLINK("CSG24.html#group150A24", "150A²⁴"), =HYPERLINK("CSG13.html#group30A13", "30A¹³"), =HYPERLINK("CSG15.html#group60R15", "60R¹⁵"), =HYPERLINK("CSG17.html#group120F17", "120F¹⁷"), =HYPERLINK("CSG23.html#group60D23", "60D²³"), =HYPERLINK("CSG5.html#group30K5", "30K⁵"), =HYPERLINK("CSG13.html#group30M13", "30M¹³"), =HYPERLINK("CSG17.html#group120H17", "120H¹⁷"), =HYPERLINK("CSG13.html#group15A13", "15A¹³"), =HYPERLINK("CSG24.html#group75A24", "75A²⁴"), =HYPERLINK("CSG23.html#group60G23", "60G²³"), =HYPERLINK("CSG21.html#group60V21", "60V²¹"), =HYPERLINK("CSG10.html#group60C10", "60C¹⁰"), =HYPERLINK("CSG11.html#group90G11", "90G¹¹"), =HYPERLINK("CSG14.html#group45C14", "45C¹⁴")</f>
        <v/>
      </c>
    </row>
    <row r="200">
      <c r="A200" t="inlineStr">
        <is>
          <t>15E¹</t>
        </is>
      </c>
      <c r="B200" t="inlineStr"/>
      <c r="C200" t="inlineStr">
        <is>
          <t>36</t>
        </is>
      </c>
      <c r="D200" t="inlineStr">
        <is>
          <t>1</t>
        </is>
      </c>
      <c r="E200" t="inlineStr">
        <is>
          <t>18</t>
        </is>
      </c>
      <c r="F200" t="inlineStr">
        <is>
          <t>4</t>
        </is>
      </c>
      <c r="G200" t="inlineStr">
        <is>
          <t>0</t>
        </is>
      </c>
      <c r="H200" t="inlineStr">
        <is>
          <t>3², 15²</t>
        </is>
      </c>
      <c r="I200" t="n">
        <v>4</v>
      </c>
      <c r="J200" t="inlineStr">
        <is>
          <t>1², 2², 4¹, 8¹</t>
        </is>
      </c>
      <c r="K200">
        <f>HYPERLINK("CSG0.html#group3C0", "3C⁰"), =HYPERLINK("CSG0.html#group15B0", "15B⁰")</f>
        <v/>
      </c>
      <c r="L200">
        <f>HYPERLINK("CSG1.html#group15H1", "15H¹"), =HYPERLINK("CSG3.html#group15E3", "15E³"), =HYPERLINK("CSG3.html#group15F3", "15F³"), =HYPERLINK("CSG3.html#group30I3", "30I³"), =HYPERLINK("CSG3.html#group30J3", "30J³"), =HYPERLINK("CSG5.html#group30E5", "30E⁵"), =HYPERLINK("CSG5.html#group30H5", "30H⁵"), =HYPERLINK("CSG5.html#group30O5", "30O⁵"), =HYPERLINK("CSG5.html#group45F5", "45F⁵"), =HYPERLINK("CSG5.html#group45G5", "45G⁵"), =HYPERLINK("CSG7.html#group45B7", "45B⁷"), =HYPERLINK("CSG9.html#group15A9", "15A⁹"), =HYPERLINK("CSG9.html#group60J9", "60J⁹"), =HYPERLINK("CSG9.html#group75E9", "75E⁹"), =HYPERLINK("CSG13.html#group75C13", "75C¹³"), =HYPERLINK("CSG13.html#group75B13", "75B¹³"), =HYPERLINK("CSG13.html#group75D13", "75D¹³"), =HYPERLINK("CSG13.html#group75A13", "75A¹³"), =HYPERLINK("CSG17.html#group105C17", "105C¹⁷"), =HYPERLINK("CSG21.html#group105D21", "105D²¹")</f>
        <v/>
      </c>
      <c r="M200">
        <f>HYPERLINK("CSG0.html#group5B0", "5B⁰"), =HYPERLINK("CSG0.html#group3C0", "3C⁰"), =HYPERLINK("CSG0.html#group15B0", "15B⁰"), =HYPERLINK("CSG0.html#group3A0", "3A⁰"), =HYPERLINK("CSG0.html#group1A0", "1A⁰")</f>
        <v/>
      </c>
      <c r="N200">
        <f>HYPERLINK("CSG23.html#group30L23", "30L²³"), =HYPERLINK("CSG15.html#group90J15", "90J¹⁵"), =HYPERLINK("CSG13.html#group75A13", "75A¹³"), =HYPERLINK("CSG5.html#group45F5", "45F⁵"), =HYPERLINK("CSG9.html#group60J9", "60J⁹"), =HYPERLINK("CSG3.html#group30J3", "30J³"), =HYPERLINK("CSG19.html#group15A19", "15A¹⁹"), =HYPERLINK("CSG17.html#group90K17", "90K¹⁷"), =HYPERLINK("CSG21.html#group60W21", "60W²¹"), =HYPERLINK("CSG11.html#group60O11", "60O¹¹"), =HYPERLINK("CSG15.html#group90P15", "90P¹⁵"), =HYPERLINK("CSG13.html#group75B13", "75B¹³"), =HYPERLINK("CSG21.html#group60A21", "60A²¹"), =HYPERLINK("CSG21.html#group60L21", "60L²¹"), =HYPERLINK("CSG23.html#group60Q23", "60Q²³"), =HYPERLINK("CSG5.html#group30O5", "30O⁵"), =HYPERLINK("CSG11.html#group30H11", "30H¹¹"), =HYPERLINK("CSG1.html#group15H1", "15H¹"), =HYPERLINK("CSG13.html#group45K13", "45K¹³"), =HYPERLINK("CSG9.html#group60E9", "60E⁹"), =HYPERLINK("CSG15.html#group45C15", "45C¹⁵"), =HYPERLINK("CSG9.html#group15A9", "15A⁹"), =HYPERLINK("CSG15.html#group60G15", "60G¹⁵"), =HYPERLINK("CSG21.html#group90N21", "90N²¹"), =HYPERLINK("CSG17.html#group15A17", "15A¹⁷"), =HYPERLINK("CSG9.html#group60K9", "60K⁹"), =HYPERLINK("CSG21.html#group105D21", "105D²¹"), =HYPERLINK("CSG23.html#group150B23", "150B²³"), =HYPERLINK("CSG21.html#group120H21", "120H²¹"), =HYPERLINK("CSG9.html#group30J9", "30J⁹"), =HYPERLINK("CSG11.html#group45H11", "45H¹¹"), =HYPERLINK("CSG13.html#group60Q13", "60Q¹³"), =HYPERLINK("CSG9.html#group30I9", "30I⁹"), =HYPERLINK("CSG21.html#group60Q21", "60Q²¹"), =HYPERLINK("CSG17.html#group60V17", "60V¹⁷"), =HYPERLINK("CSG23.html#group30B23", "30B²³"), =HYPERLINK("CSG13.html#group30J13", "30J¹³"), =HYPERLINK("CSG17.html#group30I17", "30I¹⁷"), =HYPERLINK("CSG19.html#group45F19", "45F¹⁹"), =HYPERLINK("CSG5.html#group45G5", "45G⁵"), =HYPERLINK("CSG21.html#group60K21", "60K²¹"), =HYPERLINK("CSG19.html#group30C19", "30C¹⁹"), =HYPERLINK("CSG3.html#group15I3", "15I³"), =HYPERLINK("CSG7.html#group30R7", "30R⁷"), =HYPERLINK("CSG5.html#group30H5", "30H⁵"), =HYPERLINK("CSG19.html#group75D19", "75D¹⁹"), =HYPERLINK("CSG13.html#group90G13", "90G¹³"), =HYPERLINK("CSG5.html#group30R5", "30R⁵"), =HYPERLINK("CSG3.html#group15E3", "15E³"), =HYPERLINK("CSG5.html#group30E5", "30E⁵"), =HYPERLINK("CSG15.html#group45A15", "45A¹⁵"), =HYPERLINK("CSG13.html#group75C13", "75C¹³"), =HYPERLINK("CSG11.html#group90I11", "90I¹¹"), =HYPERLINK("CSG21.html#group60E21", "60E²¹"), =HYPERLINK("CSG19.html#group90K19", "90K¹⁹"), =HYPERLINK("CSG15.html#group60E15", "60E¹⁵"), =HYPERLINK("CSG23.html#group90B23", "90B²³"), =HYPERLINK("CSG17.html#group30G17", "30G¹⁷"), =HYPERLINK("CSG19.html#group15B19", "15B¹⁹"), =HYPERLINK("CSG13.html#group60U13", "60U¹³"), =HYPERLINK("CSG11.html#group30J11", "30J¹¹"), =HYPERLINK("CSG15.html#group90N15", "90N¹⁵"), =HYPERLINK("CSG9.html#group60L9", "60L⁹"), =HYPERLINK("CSG15.html#group90K15", "90K¹⁵"), =HYPERLINK("CSG13.html#group75D13", "75D¹³"), =HYPERLINK("CSG11.html#group60N11", "60N¹¹"), =HYPERLINK("CSG11.html#group45F11", "45F¹¹"), =HYPERLINK("CSG13.html#group90F13", "90F¹³"), =HYPERLINK("CSG21.html#group90I21", "90I²¹"), =HYPERLINK("CSG19.html#group45I19", "45I¹⁹"), =HYPERLINK("CSG13.html#group30K13", "30K¹³"), =HYPERLINK("CSG17.html#group90A17", "90A¹⁷"), =HYPERLINK("CSG17.html#group105C17", "105C¹⁷"), =HYPERLINK("CSG21.html#group45A21", "45A²¹"), =HYPERLINK("CSG17.html#group90C17", "90C¹⁷"), =HYPERLINK("CSG19.html#group45G19", "45G¹⁹"), =HYPERLINK("CSG15.html#group90I15", "90I¹⁵"), =HYPERLINK("CSG17.html#group60W17", "60W¹⁷"), =HYPERLINK("CSG11.html#group90H11", "90H¹¹"), =HYPERLINK("CSG9.html#group30K9", "30K⁹"), =HYPERLINK("CSG7.html#group45B7", "45B⁷"), =HYPERLINK("CSG17.html#group60N17", "60N¹⁷"), =HYPERLINK("CSG21.html#group30G21", "30G²¹"), =HYPERLINK("CSG9.html#group30H9", "30H⁹"), =HYPERLINK("CSG13.html#group60T13", "60T¹³"), =HYPERLINK("CSG11.html#group30I11", "30I¹¹"), =HYPERLINK("CSG21.html#group120L21", "120L²¹"), =HYPERLINK("CSG21.html#group120K21", "120K²¹"), =HYPERLINK("CSG21.html#group120G21", "120G²¹"), =HYPERLINK("CSG9.html#group15C9", "15C⁹"), =HYPERLINK("CSG11.html#group30G11", "30G¹¹"), =HYPERLINK("CSG21.html#group60B21", "60B²¹"), =HYPERLINK("CSG21.html#group45E21", "45E²¹"), =HYPERLINK("CSG3.html#group30I3", "30I³"), =HYPERLINK("CSG17.html#group90B17", "90B¹⁷"), =HYPERLINK("CSG21.html#group30H21", "30H²¹"), =HYPERLINK("CSG9.html#group45F9", "45F⁹"), =HYPERLINK("CSG13.html#group45N13", "45N¹³"), =HYPERLINK("CSG17.html#group75E17", "75E¹⁷"), =HYPERLINK("CSG9.html#group60F9", "60F⁹"), =HYPERLINK("CSG3.html#group15F3", "15F³"), =HYPERLINK("CSG13.html#group30Q13", "30Q¹³"), =HYPERLINK("CSG9.html#group30G9", "30G⁹"), =HYPERLINK("CSG19.html#group75C19", "75C¹⁹"), =HYPERLINK("CSG21.html#group60D21", "60D²¹"), =HYPERLINK("CSG21.html#group60G21", "60G²¹"), =HYPERLINK("CSG21.html#group60O21", "60O²¹"), =HYPERLINK("CSG17.html#group90I17", "90I¹⁷"), =HYPERLINK("CSG13.html#group60Y13", "60Y¹³"), =HYPERLINK("CSG5.html#group15C5", "15C⁵"), =HYPERLINK("CSG9.html#group30Q9", "30Q⁹"), =HYPERLINK("CSG17.html#group30H17", "30H¹⁷"), =HYPERLINK("CSG13.html#group90I13", "90I¹³"), =HYPERLINK("CSG17.html#group60U17", "60U¹⁷"), =HYPERLINK("CSG23.html#group150C23", "150C²³"), =HYPERLINK("CSG9.html#group45E9", "45E⁹"), =HYPERLINK("CSG15.html#group45B15", "45B¹⁵"), =HYPERLINK("CSG23.html#group45D23", "45D²³"), =HYPERLINK("CSG23.html#group30C23", "30C²³"), =HYPERLINK("CSG9.html#group75E9", "75E⁹"), =HYPERLINK("CSG17.html#group60X17", "60X¹⁷"), =HYPERLINK("CSG21.html#group60C21", "60C²¹")</f>
        <v/>
      </c>
    </row>
    <row r="201">
      <c r="A201" t="inlineStr">
        <is>
          <t>15F¹</t>
        </is>
      </c>
      <c r="B201" t="inlineStr"/>
      <c r="C201" t="inlineStr">
        <is>
          <t>45</t>
        </is>
      </c>
      <c r="D201" t="inlineStr">
        <is>
          <t>1</t>
        </is>
      </c>
      <c r="E201" t="inlineStr">
        <is>
          <t>5</t>
        </is>
      </c>
      <c r="F201" t="inlineStr">
        <is>
          <t>9</t>
        </is>
      </c>
      <c r="G201" t="inlineStr">
        <is>
          <t>0</t>
        </is>
      </c>
      <c r="H201" t="inlineStr">
        <is>
          <t>15³</t>
        </is>
      </c>
      <c r="I201" t="n">
        <v>3</v>
      </c>
      <c r="J201" t="inlineStr">
        <is>
          <t>1¹, 4¹</t>
        </is>
      </c>
      <c r="K201">
        <f>HYPERLINK("CSG0.html#group5E0", "5E⁰"), =HYPERLINK("CSG0.html#group15A0", "15A⁰"), =HYPERLINK("CSG1.html#group15A1", "15A¹")</f>
        <v/>
      </c>
      <c r="L201">
        <f>HYPERLINK("CSG3.html#group15H3", "15H³"), =HYPERLINK("CSG4.html#group15C4", "15C⁴"), =HYPERLINK("CSG4.html#group15D4", "15D⁴"), =HYPERLINK("CSG4.html#group30E4", "30E⁴"), =HYPERLINK("CSG4.html#group30F4", "30F⁴"), =HYPERLINK("CSG5.html#group30L5", "30L⁵"), =HYPERLINK("CSG7.html#group30A7", "30A⁷"), =HYPERLINK("CSG7.html#group30P7", "30P⁷"), =HYPERLINK("CSG7.html#group45D7", "45D⁷"), =HYPERLINK("CSG10.html#group60B10", "60B¹⁰"), =HYPERLINK("CSG11.html#group75B11", "75B¹¹"), =HYPERLINK("CSG19.html#group105C19", "105C¹⁹")</f>
        <v/>
      </c>
      <c r="M201">
        <f>HYPERLINK("CSG0.html#group5E0", "5E⁰"), =HYPERLINK("CSG0.html#group5A0", "5A⁰"), =HYPERLINK("CSG0.html#group3A0", "3A⁰"), =HYPERLINK("CSG0.html#group1A0", "1A⁰"), =HYPERLINK("CSG1.html#group15A1", "15A¹"), =HYPERLINK("CSG0.html#group15A0", "15A⁰")</f>
        <v/>
      </c>
      <c r="N201">
        <f>HYPERLINK("CSG16.html#group30C16", "30C¹⁶"), =HYPERLINK("CSG10.html#group30I10", "30I¹⁰"), =HYPERLINK("CSG19.html#group15A19", "15A¹⁹"), =HYPERLINK("CSG19.html#group60J19", "60J¹⁹"), =HYPERLINK("CSG10.html#group30D10", "30D¹⁰"), =HYPERLINK("CSG9.html#group15A9", "15A⁹"), =HYPERLINK("CSG7.html#group30P7", "30P⁷"), =HYPERLINK("CSG10.html#group15A10", "15A¹⁰"), =HYPERLINK("CSG19.html#group90I19", "90I¹⁹"), =HYPERLINK("CSG4.html#group30E4", "30E⁴"), =HYPERLINK("CSG5.html#group30L5", "30L⁵"), =HYPERLINK("CSG17.html#group15A17", "15A¹⁷"), =HYPERLINK("CSG12.html#group30D12", "30D¹²"), =HYPERLINK("CSG16.html#group30B16", "30B¹⁶"), =HYPERLINK("CSG23.html#group30B23", "30B²³"), =HYPERLINK("CSG11.html#group75B11", "75B¹¹"), =HYPERLINK("CSG11.html#group30B11", "30B¹¹"), =HYPERLINK("CSG22.html#group30E22", "30E²²"), =HYPERLINK("CSG13.html#group30B13", "30B¹³"), =HYPERLINK("CSG8.html#group15A8", "15A⁸"), =HYPERLINK("CSG16.html#group30D16", "30D¹⁶"), =HYPERLINK("CSG18.html#group45A18", "45A¹⁸"), =HYPERLINK("CSG4.html#group15D4", "15D⁴"), =HYPERLINK("CSG10.html#group15B10", "15B¹⁰"), =HYPERLINK("CSG16.html#group45D16", "45D¹⁶"), =HYPERLINK("CSG18.html#group90C18", "90C¹⁸"), =HYPERLINK("CSG17.html#group90P17", "90P¹⁷"), =HYPERLINK("CSG24.html#group60A24", "60A²⁴"), =HYPERLINK("CSG19.html#group90D19", "90D¹⁹"), =HYPERLINK("CSG19.html#group105C19", "105C¹⁹"), =HYPERLINK("CSG13.html#group30G13", "30G¹³"), =HYPERLINK("CSG19.html#group15B19", "15B¹⁹"), =HYPERLINK("CSG23.html#group30J23", "30J²³"), =HYPERLINK("CSG7.html#group15C7", "15C⁷"), =HYPERLINK("CSG11.html#group30A11", "30A¹¹"), =HYPERLINK("CSG17.html#group45C17", "45C¹⁷"), =HYPERLINK("CSG10.html#group30B10", "30B¹⁰"), =HYPERLINK("CSG17.html#group30F17", "30F¹⁷"), =HYPERLINK("CSG19.html#group60I19", "60I¹⁹"), =HYPERLINK("CSG23.html#group30E23", "30E²³"), =HYPERLINK("CSG22.html#group60B22", "60B²²"), =HYPERLINK("CSG13.html#group30D13", "30D¹³"), =HYPERLINK("CSG9.html#group30O9", "30O⁹"), =HYPERLINK("CSG7.html#group45D7", "45D⁷"), =HYPERLINK("CSG23.html#group30D23", "30D²³"), =HYPERLINK("CSG18.html#group60J18", "60J¹⁸"), =HYPERLINK("CSG4.html#group30F4", "30F⁴"), =HYPERLINK("CSG19.html#group60H19", "60H¹⁹"), =HYPERLINK("CSG24.html#group75B24", "75B²⁴"), =HYPERLINK("CSG21.html#group30A21", "30A²¹"), =HYPERLINK("CSG22.html#group60C22", "60C²²"), =HYPERLINK("CSG3.html#group15H3", "15H³"), =HYPERLINK("CSG16.html#group45B16", "45B¹⁶"), =HYPERLINK("CSG17.html#group60M17", "60M¹⁷"), =HYPERLINK("CSG10.html#group30A10", "30A¹⁰"), =HYPERLINK("CSG7.html#group30A7", "30A⁷"), =HYPERLINK("CSG16.html#group30E16", "30E¹⁶"), =HYPERLINK("CSG19.html#group30A19", "30A¹⁹"), =HYPERLINK("CSG16.html#group60D16", "60D¹⁶"), =HYPERLINK("CSG22.html#group90A22", "90A²²"), =HYPERLINK("CSG21.html#group30B21", "30B²¹"), =HYPERLINK("CSG10.html#group30E10", "30E¹⁰"), =HYPERLINK("CSG16.html#group90B16", "90B¹⁶"), =HYPERLINK("CSG19.html#group45B19", "45B¹⁹"), =HYPERLINK("CSG16.html#group60F16", "60F¹⁶"), =HYPERLINK("CSG16.html#group15A16", "15A¹⁶"), =HYPERLINK("CSG11.html#group30E11", "30E¹¹"), =HYPERLINK("CSG23.html#group60J23", "60J²³"), =HYPERLINK("CSG16.html#group45C16", "45C¹⁶"), =HYPERLINK("CSG4.html#group15C4", "15C⁴"), =HYPERLINK("CSG21.html#group30F21", "30F²¹"), =HYPERLINK("CSG10.html#group60B10", "60B¹⁰"), =HYPERLINK("CSG12.html#group30C12", "30C¹²"), =HYPERLINK("CSG23.html#group30C23", "30C²³"), =HYPERLINK("CSG16.html#group60E16", "60E¹⁶"), =HYPERLINK("CSG8.html#group15B8", "15B⁸"), =HYPERLINK("CSG19.html#group90E19", "90E¹⁹"), =HYPERLINK("CSG15.html#group30F15", "30F¹⁵")</f>
        <v/>
      </c>
    </row>
    <row r="202">
      <c r="A202" t="inlineStr">
        <is>
          <t>15G¹</t>
        </is>
      </c>
      <c r="B202" t="inlineStr"/>
      <c r="C202" t="inlineStr">
        <is>
          <t>48</t>
        </is>
      </c>
      <c r="D202" t="inlineStr">
        <is>
          <t>1</t>
        </is>
      </c>
      <c r="E202" t="inlineStr">
        <is>
          <t>24</t>
        </is>
      </c>
      <c r="F202" t="inlineStr">
        <is>
          <t>0</t>
        </is>
      </c>
      <c r="G202" t="inlineStr">
        <is>
          <t>0</t>
        </is>
      </c>
      <c r="H202" t="inlineStr">
        <is>
          <t>1², 3², 5², 15²</t>
        </is>
      </c>
      <c r="I202" t="n">
        <v>8</v>
      </c>
      <c r="J202" t="inlineStr">
        <is>
          <t>1⁴, 2², 4², 8¹</t>
        </is>
      </c>
      <c r="K202">
        <f>HYPERLINK("CSG0.html#group5D0", "5D⁰"), =HYPERLINK("CSG1.html#group15C1", "15C¹")</f>
        <v/>
      </c>
      <c r="L202">
        <f>HYPERLINK("CSG1.html#group15I1", "15I¹"), =HYPERLINK("CSG5.html#group15C5", "15C⁵"), =HYPERLINK("CSG5.html#group30M5", "30M⁵"), =HYPERLINK("CSG5.html#group30N5", "30N⁵"), =HYPERLINK("CSG5.html#group30S5", "30S⁵"), =HYPERLINK("CSG5.html#group45H5", "45H⁵"), =HYPERLINK("CSG9.html#group15B9", "15B⁹"), =HYPERLINK("CSG9.html#group45C9", "45C⁹"), =HYPERLINK("CSG9.html#group45D9", "45D⁹"), =HYPERLINK("CSG9.html#group75F9", "75F⁹"), =HYPERLINK("CSG13.html#group60K13", "60K¹³"), =HYPERLINK("CSG17.html#group75A17", "75A¹⁷"), =HYPERLINK("CSG17.html#group75B17", "75B¹⁷"), =HYPERLINK("CSG17.html#group75C17", "75C¹⁷"), =HYPERLINK("CSG17.html#group75D17", "75D¹⁷")</f>
        <v/>
      </c>
      <c r="M202">
        <f>HYPERLINK("CSG0.html#group5B0", "5B⁰"), =HYPERLINK("CSG1.html#group15C1", "15C¹"), =HYPERLINK("CSG0.html#group5D0", "5D⁰"), =HYPERLINK("CSG0.html#group3B0", "3B⁰"), =HYPERLINK("CSG0.html#group1A0", "1A⁰")</f>
        <v/>
      </c>
      <c r="N202">
        <f>HYPERLINK("CSG9.html#group30S9", "30S⁹"), =HYPERLINK("CSG17.html#group45E17", "45E¹⁷"), =HYPERLINK("CSG17.html#group75A17", "75A¹⁷"), =HYPERLINK("CSG17.html#group45F17", "45F¹⁷"), =HYPERLINK("CSG5.html#group30M5", "30M⁵"), =HYPERLINK("CSG13.html#group60K13", "60K¹³"), =HYPERLINK("CSG17.html#group75C17", "75C¹⁷"), =HYPERLINK("CSG17.html#group75F17", "75F¹⁷"), =HYPERLINK("CSG21.html#group45F21", "45F²¹"), =HYPERLINK("CSG17.html#group90R17", "90R¹⁷"), =HYPERLINK("CSG9.html#group45G9", "45G⁹"), =HYPERLINK("CSG21.html#group90D21", "90D²¹"), =HYPERLINK("CSG13.html#group60AI13", "60AI¹³"), =HYPERLINK("CSG9.html#group45D9", "45D⁹"), =HYPERLINK("CSG13.html#group60J13", "60J¹³"), =HYPERLINK("CSG5.html#group30S5", "30S⁵"), =HYPERLINK("CSG21.html#group30G21", "30G²¹"), =HYPERLINK("CSG13.html#group60AJ13", "60AJ¹³"), =HYPERLINK("CSG17.html#group75B17", "75B¹⁷"), =HYPERLINK("CSG9.html#group15C9", "15C⁹"), =HYPERLINK("CSG21.html#group90E21", "90E²¹"), =HYPERLINK("CSG21.html#group90O21", "90O²¹"), =HYPERLINK("CSG9.html#group45C9", "45C⁹"), =HYPERLINK("CSG21.html#group45E21", "45E²¹"), =HYPERLINK("CSG9.html#group75F9", "75F⁹"), =HYPERLINK("CSG21.html#group90C21", "90C²¹"), =HYPERLINK("CSG17.html#group30J17", "30J¹⁷"), =HYPERLINK("CSG13.html#group30P13", "30P¹³"), =HYPERLINK("CSG5.html#group30N5", "30N⁵"), =HYPERLINK("CSG1.html#group15I1", "15I¹"), =HYPERLINK("CSG21.html#group135A21", "135A²¹"), =HYPERLINK("CSG17.html#group90Q17", "90Q¹⁷"), =HYPERLINK("CSG17.html#group60O17", "60O¹⁷"), =HYPERLINK("CSG9.html#group15B9", "15B⁹"), =HYPERLINK("CSG17.html#group75D17", "75D¹⁷"), =HYPERLINK("CSG17.html#group15B17", "15B¹⁷"), =HYPERLINK("CSG21.html#group90F21", "90F²¹"), =HYPERLINK("CSG13.html#group30R13", "30R¹³"), =HYPERLINK("CSG5.html#group15C5", "15C⁵"), =HYPERLINK("CSG21.html#group90G21", "90G²¹"), =HYPERLINK("CSG17.html#group30H17", "30H¹⁷"), =HYPERLINK("CSG17.html#group60Q17", "60Q¹⁷"), =HYPERLINK("CSG5.html#group45H5", "45H⁵"), =HYPERLINK("CSG17.html#group30G17", "30G¹⁷"), =HYPERLINK("CSG13.html#group60I13", "60I¹³"), =HYPERLINK("CSG17.html#group90S17", "90S¹⁷"), =HYPERLINK("CSG21.html#group90H21", "90H²¹"), =HYPERLINK("CSG9.html#group30P9", "30P⁹")</f>
        <v/>
      </c>
    </row>
    <row r="203">
      <c r="A203" t="inlineStr">
        <is>
          <t>15H¹</t>
        </is>
      </c>
      <c r="B203" t="inlineStr"/>
      <c r="C203" t="inlineStr">
        <is>
          <t>72</t>
        </is>
      </c>
      <c r="D203" t="inlineStr">
        <is>
          <t>1</t>
        </is>
      </c>
      <c r="E203" t="inlineStr">
        <is>
          <t>18</t>
        </is>
      </c>
      <c r="F203" t="inlineStr">
        <is>
          <t>8</t>
        </is>
      </c>
      <c r="G203" t="inlineStr">
        <is>
          <t>0</t>
        </is>
      </c>
      <c r="H203" t="inlineStr">
        <is>
          <t>3⁴, 15⁴</t>
        </is>
      </c>
      <c r="I203" t="n">
        <v>8</v>
      </c>
      <c r="J203" t="inlineStr">
        <is>
          <t>1², 2², 4¹, 8¹</t>
        </is>
      </c>
      <c r="K203">
        <f>HYPERLINK("CSG0.html#group15C0", "15C⁰"), =HYPERLINK("CSG1.html#group15E1", "15E¹")</f>
        <v/>
      </c>
      <c r="L203">
        <f>HYPERLINK("CSG3.html#group15I3", "15I³"), =HYPERLINK("CSG5.html#group15C5", "15C⁵"), =HYPERLINK("CSG5.html#group30R5", "30R⁵"), =HYPERLINK("CSG7.html#group30R7", "30R⁷"), =HYPERLINK("CSG9.html#group30I9", "30I⁹"), =HYPERLINK("CSG9.html#group30Q9", "30Q⁹"), =HYPERLINK("CSG9.html#group45E9", "45E⁹"), =HYPERLINK("CSG9.html#group45F9", "45F⁹"), =HYPERLINK("CSG13.html#group45N13", "45N¹³"), =HYPERLINK("CSG17.html#group15A17", "15A¹⁷"), =HYPERLINK("CSG17.html#group60U17", "60U¹⁷"), =HYPERLINK("CSG17.html#group75E17", "75E¹⁷")</f>
        <v/>
      </c>
      <c r="M203">
        <f>HYPERLINK("CSG0.html#group5B0", "5B⁰"), =HYPERLINK("CSG0.html#group3C0", "3C⁰"), =HYPERLINK("CSG0.html#group15C0", "15C⁰"), =HYPERLINK("CSG0.html#group15B0", "15B⁰"), =HYPERLINK("CSG0.html#group3A0", "3A⁰"), =HYPERLINK("CSG0.html#group1A0", "1A⁰"), =HYPERLINK("CSG1.html#group15E1", "15E¹")</f>
        <v/>
      </c>
      <c r="N203">
        <f>HYPERLINK("CSG23.html#group30L23", "30L²³"), =HYPERLINK("CSG21.html#group45E21", "45E²¹"), =HYPERLINK("CSG9.html#group45F9", "45F⁹"), =HYPERLINK("CSG13.html#group45N13", "45N¹³"), =HYPERLINK("CSG21.html#group30H21", "30H²¹"), =HYPERLINK("CSG17.html#group75E17", "75E¹⁷"), =HYPERLINK("CSG19.html#group30C19", "30C¹⁹"), =HYPERLINK("CSG21.html#group60W21", "60W²¹"), =HYPERLINK("CSG19.html#group45I19", "45I¹⁹"), =HYPERLINK("CSG13.html#group30Q13", "30Q¹³"), =HYPERLINK("CSG23.html#group60Q23", "60Q²³"), =HYPERLINK("CSG3.html#group15I3", "15I³"), =HYPERLINK("CSG7.html#group30R7", "30R⁷"), =HYPERLINK("CSG5.html#group30R5", "30R⁵"), =HYPERLINK("CSG5.html#group15C5", "15C⁵"), =HYPERLINK("CSG17.html#group15A17", "15A¹⁷"), =HYPERLINK("CSG21.html#group90N21", "90N²¹"), =HYPERLINK("CSG9.html#group30Q9", "30Q⁹"), =HYPERLINK("CSG17.html#group30H17", "30H¹⁷"), =HYPERLINK("CSG17.html#group60U17", "60U¹⁷"), =HYPERLINK("CSG17.html#group60N17", "60N¹⁷"), =HYPERLINK("CSG9.html#group30I9", "30I⁹"), =HYPERLINK("CSG9.html#group45E9", "45E⁹"), =HYPERLINK("CSG17.html#group30G17", "30G¹⁷"), =HYPERLINK("CSG21.html#group30G21", "30G²¹"), =HYPERLINK("CSG23.html#group45D23", "45D²³"), =HYPERLINK("CSG17.html#group60X17", "60X¹⁷"), =HYPERLINK("CSG17.html#group30I17", "30I¹⁷"), =HYPERLINK("CSG9.html#group15C9", "15C⁹")</f>
        <v/>
      </c>
    </row>
    <row r="204">
      <c r="A204" t="inlineStr">
        <is>
          <t>15I¹</t>
        </is>
      </c>
      <c r="B204" t="inlineStr">
        <is>
          <t>Γ₁(15)</t>
        </is>
      </c>
      <c r="C204" t="inlineStr">
        <is>
          <t>96</t>
        </is>
      </c>
      <c r="D204" t="inlineStr">
        <is>
          <t>1</t>
        </is>
      </c>
      <c r="E204" t="inlineStr">
        <is>
          <t>24</t>
        </is>
      </c>
      <c r="F204" t="inlineStr">
        <is>
          <t>0</t>
        </is>
      </c>
      <c r="G204" t="inlineStr">
        <is>
          <t>0</t>
        </is>
      </c>
      <c r="H204" t="inlineStr">
        <is>
          <t>1⁴, 3⁴, 5⁴, 15⁴</t>
        </is>
      </c>
      <c r="I204" t="n">
        <v>16</v>
      </c>
      <c r="J204" t="inlineStr">
        <is>
          <t>1⁴, 2², 4², 8¹</t>
        </is>
      </c>
      <c r="K204">
        <f>HYPERLINK("CSG1.html#group15G1", "15G¹")</f>
        <v/>
      </c>
      <c r="L204">
        <f>HYPERLINK("CSG9.html#group15C9", "15C⁹"), =HYPERLINK("CSG9.html#group30P9", "30P⁹"), =HYPERLINK("CSG9.html#group30S9", "30S⁹"), =HYPERLINK("CSG9.html#group45G9", "45G⁹"), =HYPERLINK("CSG17.html#group15B17", "15B¹⁷"), =HYPERLINK("CSG17.html#group45E17", "45E¹⁷"), =HYPERLINK("CSG17.html#group45F17", "45F¹⁷"), =HYPERLINK("CSG17.html#group75F17", "75F¹⁷")</f>
        <v/>
      </c>
      <c r="M204">
        <f>HYPERLINK("CSG0.html#group5B0", "5B⁰"), =HYPERLINK("CSG1.html#group15C1", "15C¹"), =HYPERLINK("CSG1.html#group15G1", "15G¹"), =HYPERLINK("CSG0.html#group5D0", "5D⁰"), =HYPERLINK("CSG0.html#group3B0", "3B⁰"), =HYPERLINK("CSG0.html#group1A0", "1A⁰")</f>
        <v/>
      </c>
      <c r="N204">
        <f>HYPERLINK("CSG9.html#group30S9", "30S⁹"), =HYPERLINK("CSG17.html#group45E17", "45E¹⁷"), =HYPERLINK("CSG17.html#group45F17", "45F¹⁷"), =HYPERLINK("CSG9.html#group30P9", "30P⁹"), =HYPERLINK("CSG17.html#group75F17", "75F¹⁷"), =HYPERLINK("CSG9.html#group45G9", "45G⁹"), =HYPERLINK("CSG17.html#group15B17", "15B¹⁷"), =HYPERLINK("CSG9.html#group15C9", "15C⁹")</f>
        <v/>
      </c>
    </row>
    <row r="205">
      <c r="A205" t="inlineStr">
        <is>
          <t>16A¹</t>
        </is>
      </c>
      <c r="B205" t="inlineStr"/>
      <c r="C205" t="inlineStr">
        <is>
          <t>24</t>
        </is>
      </c>
      <c r="D205" t="inlineStr">
        <is>
          <t>1</t>
        </is>
      </c>
      <c r="E205" t="inlineStr">
        <is>
          <t>6</t>
        </is>
      </c>
      <c r="F205" t="inlineStr">
        <is>
          <t>0</t>
        </is>
      </c>
      <c r="G205" t="inlineStr">
        <is>
          <t>0</t>
        </is>
      </c>
      <c r="H205" t="inlineStr">
        <is>
          <t>2², 4¹, 16¹</t>
        </is>
      </c>
      <c r="I205" t="n">
        <v>4</v>
      </c>
      <c r="J205" t="inlineStr">
        <is>
          <t>1⁴, 2¹</t>
        </is>
      </c>
      <c r="K205">
        <f>HYPERLINK("CSG0.html#group8C0", "8C⁰")</f>
        <v/>
      </c>
      <c r="L205">
        <f>HYPERLINK("CSG1.html#group16E1", "16E¹"), =HYPERLINK("CSG1.html#group16G1", "16G¹"), =HYPERLINK("CSG3.html#group32A3", "32A³"), =HYPERLINK("CSG3.html#group32B3", "32B³"), =HYPERLINK("CSG3.html#group32C3", "32C³"), =HYPERLINK("CSG5.html#group48A5", "48A⁵"), =HYPERLINK("CSG5.html#group48D5", "48D⁵"), =HYPERLINK("CSG9.html#group80A9", "80A⁹"), =HYPERLINK("CSG9.html#group80F9", "80F⁹"), =HYPERLINK("CSG13.html#group112B13", "112B¹³"), =HYPERLINK("CSG13.html#group112D13", "112D¹³"), =HYPERLINK("CSG17.html#group80E17", "80E¹⁷"), =HYPERLINK("CSG21.html#group176A21", "176A²¹"), =HYPERLINK("CSG21.html#group176C21", "176C²¹")</f>
        <v/>
      </c>
      <c r="M205">
        <f>HYPERLINK("CSG0.html#group4B0", "4B⁰"), =HYPERLINK("CSG0.html#group1A0", "1A⁰"), =HYPERLINK("CSG0.html#group8C0", "8C⁰"), =HYPERLINK("CSG0.html#group2B0", "2B⁰")</f>
        <v/>
      </c>
      <c r="N205">
        <f>HYPERLINK("CSG9.html#group32C9", "32C⁹"), =HYPERLINK("CSG23.html#group192E23", "192E²³"), =HYPERLINK("CSG21.html#group96U21", "96U²¹"), =HYPERLINK("CSG3.html#group32C3", "32C³"), =HYPERLINK("CSG13.html#group64H13", "64H¹³"), =HYPERLINK("CSG19.html#group48Q19", "48Q¹⁹"), =HYPERLINK("CSG17.html#group80X17", "80X¹⁷"), =HYPERLINK("CSG13.html#group96E13", "96E¹³"), =HYPERLINK("CSG21.html#group96W21", "96W²¹"), =HYPERLINK("CSG21.html#group96L21", "96L²¹"), =HYPERLINK("CSG7.html#group64C7", "64C⁷"), =HYPERLINK("CSG5.html#group32D5", "32D⁵"), =HYPERLINK("CSG7.html#group64D7", "64D⁷"), =HYPERLINK("CSG7.html#group64B7", "64B⁷"), =HYPERLINK("CSG7.html#group64A7", "64A⁷"), =HYPERLINK("CSG7.html#group64E7", "64E⁷"), =HYPERLINK("CSG13.html#group32U13", "32U¹³"), =HYPERLINK("CSG21.html#group176A21", "176A²¹"), =HYPERLINK("CSG11.html#group96C11", "96C¹¹"), =HYPERLINK("CSG17.html#group32B17", "32B¹⁷"), =HYPERLINK("CSG23.html#group192K23", "192K²³"), =HYPERLINK("CSG21.html#group96BL21", "96BL²¹"), =HYPERLINK("CSG15.html#group128H15", "128H¹⁵"), =HYPERLINK("CSG21.html#group32G21", "32G²¹"), =HYPERLINK("CSG21.html#group96BF21", "96BF²¹"), =HYPERLINK("CSG21.html#group96C21", "96C²¹"), =HYPERLINK("CSG21.html#group96E21", "96E²¹"), =HYPERLINK("CSG21.html#group32C21", "32C²¹"), =HYPERLINK("CSG21.html#group48CM21", "48CM²¹"), =HYPERLINK("CSG13.html#group64G13", "64G¹³"), =HYPERLINK("CSG21.html#group96Q21", "96Q²¹"), =HYPERLINK("CSG3.html#group32J3", "32J³"), =HYPERLINK("CSG21.html#group160B21", "160B²¹"), =HYPERLINK("CSG23.html#group192H23", "192H²³"), =HYPERLINK("CSG21.html#group48CH21", "48CH²¹"), =HYPERLINK("CSG19.html#group96E19", "96E¹⁹"), =HYPERLINK("CSG13.html#group96A13", "96A¹³"), =HYPERLINK("CSG9.html#group32B9", "32B⁹"), =HYPERLINK("CSG7.html#group64K7", "64K⁷"), =HYPERLINK("CSG13.html#group96D13", "96D¹³"), =HYPERLINK("CSG21.html#group48CJ21", "48CJ²¹"), =HYPERLINK("CSG15.html#group128C15", "128C¹⁵"), =HYPERLINK("CSG11.html#group96D11", "96D¹¹"), =HYPERLINK("CSG21.html#group64O21", "64O²¹"), =HYPERLINK("CSG17.html#group64D17", "64D¹⁷"), =HYPERLINK("CSG15.html#group128D15", "128D¹⁵"), =HYPERLINK("CSG21.html#group96K21", "96K²¹"), =HYPERLINK("CSG21.html#group96X21", "96X²¹"), =HYPERLINK("CSG13.html#group96C13", "96C¹³"), =HYPERLINK("CSG17.html#group48AD17", "48AD¹⁷"), =HYPERLINK("CSG15.html#group128F15", "128F¹⁵"), =HYPERLINK("CSG19.html#group48AP19", "48AP¹⁹"), =HYPERLINK("CSG21.html#group64F21", "64F²¹"), =HYPERLINK("CSG21.html#group64C21", "64C²¹"), =HYPERLINK("CSG21.html#group32A21", "32A²¹"), =HYPERLINK("CSG9.html#group32D9", "32D⁹"), =HYPERLINK("CSG23.html#group192J23", "192J²³"), =HYPERLINK("CSG9.html#group48AG9", "48AG⁹"), =HYPERLINK("CSG3.html#group16J3", "16J³"), =HYPERLINK("CSG21.html#group96I21", "96I²¹"), =HYPERLINK("CSG19.html#group48A19", "48A¹⁹"), =HYPERLINK("CSG17.html#group80C17", "80C¹⁷"), =HYPERLINK("CSG17.html#group16A17", "16A¹⁷"), =HYPERLINK("CSG19.html#group48P19", "48P¹⁹"), =HYPERLINK("CSG21.html#group160E21", "160E²¹"), =HYPERLINK("CSG21.html#group176C21", "176C²¹"), =HYPERLINK("CSG15.html#group128B15", "128B¹⁵"), =HYPERLINK("CSG9.html#group80A9", "80A⁹"), =HYPERLINK("CSG21.html#group96AZ21", "96AZ²¹"), =HYPERLINK("CSG17.html#group80AG17", "80AG¹⁷"), =HYPERLINK("CSG23.html#group192A23", "192A²³"), =HYPERLINK("CSG21.html#group160F21", "160F²¹"), =HYPERLINK("CSG11.html#group96A11", "96A¹¹"), =HYPERLINK("CSG21.html#group96BA21", "96BA²¹"), =HYPERLINK("CSG21.html#group160A21", "160A²¹"), =HYPERLINK("CSG19.html#group96K19", "96K¹⁹"), =HYPERLINK("CSG21.html#group64A21", "64A²¹"), =HYPERLINK("CSG21.html#group64E21", "64E²¹"), =HYPERLINK("CSG9.html#group48D9", "48D⁹"), =HYPERLINK("CSG21.html#group96BD21", "96BD²¹"), =HYPERLINK("CSG3.html#group16H3", "16H³"), =HYPERLINK("CSG21.html#group96V21", "96V²¹"), =HYPERLINK("CSG21.html#group32O21", "32O²¹"), =HYPERLINK("CSG9.html#group48A9", "48A⁹"), =HYPERLINK("CSG21.html#group96AR21", "96AR²¹"), =HYPERLINK("CSG17.html#group48CM17", "48CM¹⁷"), =HYPERLINK("CSG11.html#group96F11", "96F¹¹"), =HYPERLINK("CSG17.html#group64A17", "64A¹⁷"), =HYPERLINK("CSG21.html#group160C21", "160C²¹"), =HYPERLINK("CSG15.html#group128G15", "128G¹⁵"), =HYPERLINK("CSG9.html#group48AI9", "48AI⁹"), =HYPERLINK("CSG21.html#group48CL21", "48CL²¹"), =HYPERLINK("CSG13.html#group16C13", "16C¹³"), =HYPERLINK("CSG5.html#group48D5", "48D⁵"), =HYPERLINK("CSG9.html#group32I9", "32I⁹"), =HYPERLINK("CSG19.html#group48N19", "48N¹⁹"), =HYPERLINK("CSG17.html#group80A17", "80A¹⁷"), =HYPERLINK("CSG19.html#group96H19", "96H¹⁹"), =HYPERLINK("CSG21.html#group96H21", "96H²¹"), =HYPERLINK("CSG11.html#group64A11", "64A¹¹"), =HYPERLINK("CSG9.html#group64C9", "64C⁹"), =HYPERLINK("CSG21.html#group160D21", "160D²¹"), =HYPERLINK("CSG21.html#group96D21", "96D²¹"), =HYPERLINK("CSG9.html#group48B9", "48B⁹"), =HYPERLINK("CSG21.html#group96A21", "96A²¹"), =HYPERLINK("CSG5.html#group32N5", "32N⁵"), =HYPERLINK("CSG5.html#group16M5", "16M⁵"), =HYPERLINK("CSG21.html#group96S21", "96S²¹"), =HYPERLINK("CSG17.html#group48Y17", "48Y¹⁷"), =HYPERLINK("CSG13.html#group64I13", "64I¹³"), =HYPERLINK("CSG5.html#group32M5", "32M⁵"), =HYPERLINK("CSG21.html#group96G21", "96G²¹"), =HYPERLINK("CSG17.html#group48J17", "48J¹⁷"), =HYPERLINK("CSG21.html#group96AQ21", "96AQ²¹"), =HYPERLINK("CSG3.html#group32O3", "32O³"), =HYPERLINK("CSG23.html#group192I23", "192I²³"), =HYPERLINK("CSG21.html#group48CK21", "48CK²¹"), =HYPERLINK("CSG9.html#group48G9", "48G⁹"), =HYPERLINK("CSG19.html#group96A19", "96A¹⁹"), =HYPERLINK("CSG9.html#group48AK9", "48AK⁹"), =HYPERLINK("CSG9.html#group32E9", "32E⁹"), =HYPERLINK("CSG13.html#group64B13", "64B¹³"), =HYPERLINK("CSG3.html#group32B3", "32B³"), =HYPERLINK("CSG17.html#group144A17", "144A¹⁷"), =HYPERLINK("CSG21.html#group48CE21", "48CE²¹"), =HYPERLINK("CSG5.html#group48A5", "48A⁵"), =HYPERLINK("CSG13.html#group64J13", "64J¹³"), =HYPERLINK("CSG13.html#group64D13", "64D¹³"), =HYPERLINK("CSG9.html#group16C9", "16C⁹"), =HYPERLINK("CSG13.html#group64V13", "64V¹³"), =HYPERLINK("CSG17.html#group48CO17", "48CO¹⁷"), =HYPERLINK("CSG15.html#group128A15", "128A¹⁵"), =HYPERLINK("CSG17.html#group48K17", "48K¹⁷"), =HYPERLINK("CSG1.html#group16E1", "16E¹"), =HYPERLINK("CSG9.html#group32A9", "32A⁹"), =HYPERLINK("CSG3.html#group32A3", "32A³"), =HYPERLINK("CSG17.html#group48CJ17", "48CJ¹⁷"), =HYPERLINK("CSG21.html#group128D21", "128D²¹"), =HYPERLINK("CSG21.html#group32H21", "32H²¹"), =HYPERLINK("CSG9.html#group64B9", "64B⁹"), =HYPERLINK("CSG21.html#group96F21", "96F²¹"), =HYPERLINK("CSG19.html#group128A19", "128A¹⁹"), =HYPERLINK("CSG3.html#group16N3", "16N³"), =HYPERLINK("CSG21.html#group32F21", "32F²¹"), =HYPERLINK("CSG23.html#group192D23", "192D²³"), =HYPERLINK("CSG17.html#group48AB17", "48AB¹⁷"), =HYPERLINK("CSG21.html#group96J21", "96J²¹"), =HYPERLINK("CSG17.html#group48CQ17", "48CQ¹⁷"), =HYPERLINK("CSG9.html#group16A9", "16A⁹"), =HYPERLINK("CSG9.html#group32J9", "32J⁹"), =HYPERLINK("CSG19.html#group160A19", "160A¹⁹"), =HYPERLINK("CSG21.html#group64N21", "64N²¹"), =HYPERLINK("CSG19.html#group48C19", "48C¹⁹"), =HYPERLINK("CSG15.html#group128E15", "128E¹⁵"), =HYPERLINK("CSG21.html#group32N21", "32N²¹"), =HYPERLINK("CSG23.html#group192B23", "192B²³"), =HYPERLINK("CSG19.html#group96B19", "96B¹⁹"), =HYPERLINK("CSG17.html#group80Z17", "80Z¹⁷"), =HYPERLINK("CSG23.html#group192C23", "192C²³"), =HYPERLINK("CSG9.html#group48AL9", "48AL⁹"), =HYPERLINK("CSG9.html#group48Q9", "48Q⁹"), =HYPERLINK("CSG21.html#group96B21", "96B²¹"), =HYPERLINK("CSG17.html#group48D17", "48D¹⁷"), =HYPERLINK("CSG11.html#group96E11", "96E¹¹"), =HYPERLINK("CSG21.html#group96R21", "96R²¹"), =HYPERLINK("CSG17.html#group32A17", "32A¹⁷"), =HYPERLINK("CSG11.html#group32B11", "32B¹¹"), =HYPERLINK("CSG21.html#group32B21", "32B²¹"), =HYPERLINK("CSG17.html#group80E17", "80E¹⁷"), =HYPERLINK("CSG21.html#group64B21", "64B²¹"), =HYPERLINK("CSG13.html#group64C13", "64C¹³"), =HYPERLINK("CSG17.html#group32D17", "32D¹⁷"), =HYPERLINK("CSG21.html#group96T21", "96T²¹"), =HYPERLINK("CSG23.html#group192G23", "192G²³"), =HYPERLINK("CSG21.html#group96O21", "96O²¹"), =HYPERLINK("CSG19.html#group96Z19", "96Z¹⁹"), =HYPERLINK("CSG17.html#group80AJ17", "80AJ¹⁷"), =HYPERLINK("CSG13.html#group64E13", "64E¹³"), =HYPERLINK("CSG13.html#group32T13", "32T¹³"), =HYPERLINK("CSG5.html#group32B5", "32B⁵"), =HYPERLINK("CSG17.html#group80V17", "80V¹⁷"), =HYPERLINK("CSG11.html#group96B11", "96B¹¹"), =HYPERLINK("CSG13.html#group64F13", "64F¹³"), =HYPERLINK("CSG19.html#group160C19", "160C¹⁹"), =HYPERLINK("CSG21.html#group128F21", "128F²¹"), =HYPERLINK("CSG5.html#group32A5", "32A⁵"), =HYPERLINK("CSG1.html#group16M1", "16M¹"), =HYPERLINK("CSG21.html#group64D21", "64D²¹"), =HYPERLINK("CSG9.html#group48AO9", "48AO⁹"), =HYPERLINK("CSG19.html#group160B19", "160B¹⁹"), =HYPERLINK("CSG13.html#group96F13", "96F¹³"), =HYPERLINK("CSG13.html#group96B13", "96B¹³"), =HYPERLINK("CSG5.html#group16N5", "16N⁵"), =HYPERLINK("CSG17.html#group144E17", "144E¹⁷"), =HYPERLINK("CSG13.html#group112D13", "112D¹³"), =HYPERLINK("CSG9.html#group80F9", "80F⁹"), =HYPERLINK("CSG23.html#group192F23", "192F²³"), =HYPERLINK("CSG7.html#group16C7", "16C⁷"), =HYPERLINK("CSG3.html#group32K3", "32K³"), =HYPERLINK("CSG21.html#group96BM21", "96BM²¹"), =HYPERLINK("CSG17.html#group48F17", "48F¹⁷"), =HYPERLINK("CSG13.html#group112B13", "112B¹³"), =HYPERLINK("CSG7.html#group64F7", "64F⁷"), =HYPERLINK("CSG21.html#group16C21", "16C²¹"), =HYPERLINK("CSG5.html#group32C5", "32C⁵"), =HYPERLINK("CSG13.html#group64A13", "64A¹³"), =HYPERLINK("CSG17.html#group48X17", "48X¹⁷"), =HYPERLINK("CSG21.html#group144G21", "144G²¹"), =HYPERLINK("CSG21.html#group144H21", "144H²¹"), =HYPERLINK("CSG1.html#group16G1", "16G¹"), =HYPERLINK("CSG17.html#group48C17", "48C¹⁷"), =HYPERLINK("CSG19.html#group32C19", "32C¹⁹"), =HYPERLINK("CSG23.html#group192L23", "192L²³"), =HYPERLINK("CSG17.html#group48CN17", "48CN¹⁷"), =HYPERLINK("CSG21.html#group96AS21", "96AS²¹"), =HYPERLINK("CSG21.html#group96P21", "96P²¹"), =HYPERLINK("CSG21.html#group16E21", "16E²¹")</f>
        <v/>
      </c>
    </row>
    <row r="206">
      <c r="A206" t="inlineStr">
        <is>
          <t>16B¹</t>
        </is>
      </c>
      <c r="B206" t="inlineStr"/>
      <c r="C206" t="inlineStr">
        <is>
          <t>24</t>
        </is>
      </c>
      <c r="D206" t="inlineStr">
        <is>
          <t>1</t>
        </is>
      </c>
      <c r="E206" t="inlineStr">
        <is>
          <t>6</t>
        </is>
      </c>
      <c r="F206" t="inlineStr">
        <is>
          <t>4</t>
        </is>
      </c>
      <c r="G206" t="inlineStr">
        <is>
          <t>0</t>
        </is>
      </c>
      <c r="H206" t="inlineStr">
        <is>
          <t>8¹, 16¹</t>
        </is>
      </c>
      <c r="I206" t="n">
        <v>2</v>
      </c>
      <c r="J206" t="inlineStr">
        <is>
          <t>1², 2²</t>
        </is>
      </c>
      <c r="K206">
        <f>HYPERLINK("CSG0.html#group8B0", "8B⁰")</f>
        <v/>
      </c>
      <c r="L206">
        <f>HYPERLINK("CSG1.html#group16F1", "16F¹"), =HYPERLINK("CSG2.html#group16F2", "16F²"), =HYPERLINK("CSG3.html#group16A3", "16A³"), =HYPERLINK("CSG3.html#group16C3", "16C³"), =HYPERLINK("CSG3.html#group48C3", "48C³"), =HYPERLINK("CSG7.html#group48F7", "48F⁷"), =HYPERLINK("CSG9.html#group80B9", "80B⁹"), =HYPERLINK("CSG9.html#group80H9", "80H⁹"), =HYPERLINK("CSG11.html#group112B11", "112B¹¹"), =HYPERLINK("CSG15.html#group112F15", "112F¹⁵"), =HYPERLINK("CSG17.html#group80I17", "80I¹⁷"), =HYPERLINK("CSG19.html#group176A19", "176A¹⁹"), =HYPERLINK("CSG23.html#group176F23", "176F²³")</f>
        <v/>
      </c>
      <c r="M206">
        <f>HYPERLINK("CSG0.html#group8B0", "8B⁰"), =HYPERLINK("CSG0.html#group1A0", "1A⁰"), =HYPERLINK("CSG0.html#group2B0", "2B⁰"), =HYPERLINK("CSG0.html#group4C0", "4C⁰")</f>
        <v/>
      </c>
      <c r="N206">
        <f>HYPERLINK("CSG17.html#group80AA17", "80AA¹⁷"), =HYPERLINK("CSG19.html#group80AC19", "80AC¹⁹"), =HYPERLINK("CSG5.html#group16F5", "16F⁵"), =HYPERLINK("CSG19.html#group16B19", "16B¹⁹"), =HYPERLINK("CSG23.html#group96O23", "96O²³"), =HYPERLINK("CSG21.html#group48I21", "48I²¹"), =HYPERLINK("CSG23.html#group32D23", "32D²³"), =HYPERLINK("CSG17.html#group48O17", "48O¹⁷"), =HYPERLINK("CSG21.html#group64Q21", "64Q²¹"), =HYPERLINK("CSG9.html#group48M9", "48M⁹"), =HYPERLINK("CSG21.html#group48H21", "48H²¹"), =HYPERLINK("CSG24.html#group112V24", "112V²⁴"), =HYPERLINK("CSG9.html#group16K9", "16K⁹"), =HYPERLINK("CSG21.html#group32Y21", "32Y²¹"), =HYPERLINK("CSG17.html#group16B17", "16B¹⁷"), =HYPERLINK("CSG9.html#group16F9", "16F⁹"), =HYPERLINK("CSG17.html#group48CA17", "48CA¹⁷"), =HYPERLINK("CSG21.html#group48AE21", "48AE²¹"), =HYPERLINK("CSG24.html#group112Q24", "112Q²⁴"), =HYPERLINK("CSG13.html#group64K13", "64K¹³"), =HYPERLINK("CSG24.html#group112R24", "112R²⁴"), =HYPERLINK("CSG15.html#group96O15", "96O¹⁵"), =HYPERLINK("CSG17.html#group48Q17", "48Q¹⁷"), =HYPERLINK("CSG21.html#group48V21", "48V²¹"), =HYPERLINK("CSG21.html#group32P21", "32P²¹"), =HYPERLINK("CSG9.html#group16I9", "16I⁹"), =HYPERLINK("CSG17.html#group80AE17", "80AE¹⁷"), =HYPERLINK("CSG5.html#group48E5", "48E⁵"), =HYPERLINK("CSG17.html#group96R17", "96R¹⁷"), =HYPERLINK("CSG11.html#group32C11", "32C¹¹"), =HYPERLINK("CSG9.html#group32H9", "32H⁹"), =HYPERLINK("CSG11.html#group32K11", "32K¹¹"), =HYPERLINK("CSG17.html#group48M17", "48M¹⁷"), =HYPERLINK("CSG13.html#group144A13", "144A¹³"), =HYPERLINK("CSG15.html#group48Y15", "48Y¹⁵"), =HYPERLINK("CSG9.html#group32G9", "32G⁹"), =HYPERLINK("CSG21.html#group32K21", "32K²¹"), =HYPERLINK("CSG9.html#group32K9", "32K⁹"), =HYPERLINK("CSG3.html#group16K3", "16K³"), =HYPERLINK("CSG11.html#group48A11", "48A¹¹"), =HYPERLINK("CSG6.html#group32E6", "32E⁶"), =HYPERLINK("CSG23.html#group32G23", "32G²³"), =HYPERLINK("CSG21.html#group48AX21", "48AX²¹"), =HYPERLINK("CSG21.html#group64G21", "64G²¹"), =HYPERLINK("CSG9.html#group80H9", "80H⁹"), =HYPERLINK("CSG24.html#group112U24", "112U²⁴"), =HYPERLINK("CSG9.html#group16H9", "16H⁹"), =HYPERLINK("CSG13.html#group32A13", "32A¹³"), =HYPERLINK("CSG17.html#group48CB17", "48CB¹⁷"), =HYPERLINK("CSG9.html#group16E9", "16E⁹"), =HYPERLINK("CSG11.html#group48C11", "48C¹¹"), =HYPERLINK("CSG15.html#group48W15", "48W¹⁵"), =HYPERLINK("CSG13.html#group32B13", "32B¹³"), =HYPERLINK("CSG13.html#group32K13", "32K¹³"), =HYPERLINK("CSG7.html#group32A7", "32A⁷"), =HYPERLINK("CSG5.html#group32E5", "32E⁵"), =HYPERLINK("CSG19.html#group80AE19", "80AE¹⁹"), =HYPERLINK("CSG17.html#group96B17", "96B¹⁷"), =HYPERLINK("CSG23.html#group32B23", "32B²³"), =HYPERLINK("CSG3.html#group16A3", "16A³"), =HYPERLINK("CSG21.html#group32A21", "32A²¹"), =HYPERLINK("CSG19.html#group48BG19", "48BG¹⁹"), =HYPERLINK("CSG9.html#group64F9", "64F⁹"), =HYPERLINK("CSG11.html#group32D11", "32D¹¹"), =HYPERLINK("CSG13.html#group48T13", "48T¹³"), =HYPERLINK("CSG7.html#group16E7", "16E⁷"), =HYPERLINK("CSG5.html#group32G5", "32G⁵"), =HYPERLINK("CSG21.html#group32I21", "32I²¹"), =HYPERLINK("CSG17.html#group16A17", "16A¹⁷"), =HYPERLINK("CSG17.html#group48BB17", "48BB¹⁷"), =HYPERLINK("CSG21.html#group48U21", "48U²¹"), =HYPERLINK("CSG23.html#group64B23", "64B²³"), =HYPERLINK("CSG21.html#group48AF21", "48AF²¹"), =HYPERLINK("CSG11.html#group32E11", "32E¹¹"), =HYPERLINK("CSG23.html#group144K23", "144K²³"), =HYPERLINK("CSG23.html#group32A23", "32A²³"), =HYPERLINK("CSG7.html#group16D7", "16D⁷"), =HYPERLINK("CSG21.html#group32W21", "32W²¹"), =HYPERLINK("CSG7.html#group48F7", "48F⁷"), =HYPERLINK("CSG15.html#group48X15", "48X¹⁵"), =HYPERLINK("CSG11.html#group96I11", "96I¹¹"), =HYPERLINK("CSG9.html#group32L9", "32L⁹"), =HYPERLINK("CSG21.html#group80N21", "80N²¹"), =HYPERLINK("CSG5.html#group32F5", "32F⁵"), =HYPERLINK("CSG19.html#group16A19", "16A¹⁹"), =HYPERLINK("CSG15.html#group48J15", "48J¹⁵"), =HYPERLINK("CSG14.html#group64F14", "64F¹⁴"), =HYPERLINK("CSG17.html#group96O17", "96O¹⁷"), =HYPERLINK("CSG3.html#group48C3", "48C³"), =HYPERLINK("CSG21.html#group144J21", "144J²¹"), =HYPERLINK("CSG5.html#group16B5", "16B⁵"), =HYPERLINK("CSG9.html#group48L9", "48L⁹"), =HYPERLINK("CSG17.html#group48BA17", "48BA¹⁷"), =HYPERLINK("CSG21.html#group32L21", "32L²¹"), =HYPERLINK("CSG9.html#group16B9", "16B⁹"), =HYPERLINK("CSG3.html#group16L3", "16L³"), =HYPERLINK("CSG11.html#group16C11", "16C¹¹"), =HYPERLINK("CSG19.html#group48BF19", "48BF¹⁹"), =HYPERLINK("CSG21.html#group64P21", "64P²¹"), =HYPERLINK("CSG21.html#group64H21", "64H²¹"), =HYPERLINK("CSG23.html#group32C23", "32C²³"), =HYPERLINK("CSG7.html#group32F7", "32F⁷"), =HYPERLINK("CSG9.html#group32F9", "32F⁹"), =HYPERLINK("CSG21.html#group32M21", "32M²¹"), =HYPERLINK("CSG15.html#group112F15", "112F¹⁵"), =HYPERLINK("CSG14.html#group64G14", "64G¹⁴"), =HYPERLINK("CSG21.html#group48R21", "48R²¹"), =HYPERLINK("CSG13.html#group32L13", "32L¹³"), =HYPERLINK("CSG11.html#group32F11", "32F¹¹"), =HYPERLINK("CSG19.html#group48AN19", "48AN¹⁹"), =HYPERLINK("CSG7.html#group48T7", "48T⁷"), =HYPERLINK("CSG23.html#group112D23", "112D²³"), =HYPERLINK("CSG17.html#group80AB17", "80AB¹⁷"), =HYPERLINK("CSG13.html#group32E13", "32E¹³"), =HYPERLINK("CSG18.html#group80E18", "80E¹⁸"), =HYPERLINK("CSG13.html#group32Q13", "32Q¹³"), =HYPERLINK("CSG8.html#group48AC8", "48AC⁸"), =HYPERLINK("CSG23.html#group96A23", "96A²³"), =HYPERLINK("CSG21.html#group48F21", "48F²¹"), =HYPERLINK("CSG9.html#group32N9", "32N⁹"), =HYPERLINK("CSG21.html#group80L21", "80L²¹"), =HYPERLINK("CSG11.html#group16B11", "16B¹¹"), =HYPERLINK("CSG17.html#group96N17", "96N¹⁷"), =HYPERLINK("CSG23.html#group32H23", "32H²³"), =HYPERLINK("CSG9.html#group16C9", "16C⁹"), =HYPERLINK("CSG21.html#group48AC21", "48AC²¹"), =HYPERLINK("CSG20.html#group96I20", "96I²⁰"), =HYPERLINK("CSG20.html#group96Q20", "96Q²⁰"), =HYPERLINK("CSG17.html#group48BY17", "48BY¹⁷"), =HYPERLINK("CSG19.html#group96J19", "96J¹⁹"), =HYPERLINK("CSG19.html#group176A19", "176A¹⁹"), =HYPERLINK("CSG9.html#group16J9", "16J⁹"), =HYPERLINK("CSG19.html#group80C19", "80C¹⁹"), =HYPERLINK("CSG15.html#group48I15", "48I¹⁵"), =HYPERLINK("CSG7.html#group48V7", "48V⁷"), =HYPERLINK("CSG21.html#group16F21", "16F²¹"), =HYPERLINK("CSG23.html#group32E23", "32E²³"), =HYPERLINK("CSG2.html#group16F2", "16F²"), =HYPERLINK("CSG11.html#group112B11", "112B¹¹"), =HYPERLINK("CSG21.html#group32E21", "32E²¹"), =HYPERLINK("CSG15.html#group16A15", "16A¹⁵"), =HYPERLINK("CSG13.html#group32D13", "32D¹³"), =HYPERLINK("CSG20.html#group96J20", "96J²⁰"), =HYPERLINK("CSG21.html#group32Q21", "32Q²¹"), =HYPERLINK("CSG21.html#group64I21", "64I²¹"), =HYPERLINK("CSG6.html#group32F6", "32F⁶"), =HYPERLINK("CSG21.html#group112B21", "112B²¹"), =HYPERLINK("CSG5.html#group16C5", "16C⁵"), =HYPERLINK("CSG8.html#group48X8", "48X⁸"), =HYPERLINK("CSG19.html#group32D19", "32D¹⁹"), =HYPERLINK("CSG21.html#group16A21", "16A²¹"), =HYPERLINK("CSG21.html#group80O21", "80O²¹"), =HYPERLINK("CSG14.html#group64E14", "64E¹⁴"), =HYPERLINK("CSG9.html#group32M9", "32M⁹"), =HYPERLINK("CSG21.html#group32X21", "32X²¹"), =HYPERLINK("CSG13.html#group32J13", "32J¹³"), =HYPERLINK("CSG17.html#group96D17", "96D¹⁷"), =HYPERLINK("CSG21.html#group32B21", "32B²¹"), =HYPERLINK("CSG9.html#group16L9", "16L⁹"), =HYPERLINK("CSG13.html#group48H13", "48H¹³"), =HYPERLINK("CSG21.html#group48P21", "48P²¹"), =HYPERLINK("CSG23.html#group144L23", "144L²³"), =HYPERLINK("CSG17.html#group96C17", "96C¹⁷"), =HYPERLINK("CSG23.html#group112C23", "112C²³"), =HYPERLINK("CSG14.html#group64H14", "64H¹⁴"), =HYPERLINK("CSG23.html#group176F23", "176F²³"), =HYPERLINK("CSG19.html#group32E19", "32E¹⁹"), =HYPERLINK("CSG21.html#group48AI21", "48AI²¹"), =HYPERLINK("CSG1.html#group16F1", "16F¹"), =HYPERLINK("CSG13.html#group48G13", "48G¹³"), =HYPERLINK("CSG21.html#group32J21", "32J²¹"), =HYPERLINK("CSG13.html#group48B13", "48B¹³"), =HYPERLINK("CSG3.html#group16C3", "16C³"), =HYPERLINK("CSG19.html#group48BC19", "48BC¹⁹"), =HYPERLINK("CSG21.html#group48AS21", "48AS²¹"), =HYPERLINK("CSG19.html#group80A19", "80A¹⁹"), =HYPERLINK("CSG3.html#group16M3", "16M³"), =HYPERLINK("CSG15.html#group48H15", "48H¹⁵"), =HYPERLINK("CSG19.html#group48AO19", "48AO¹⁹"), =HYPERLINK("CSG5.html#group16G5", "16G⁵"), =HYPERLINK("CSG21.html#group48T21", "48T²¹"), =HYPERLINK("CSG17.html#group80B17", "80B¹⁷"), =HYPERLINK("CSG23.html#group96F23", "96F²³"), =HYPERLINK("CSG20.html#group96P20", "96P²⁰"), =HYPERLINK("CSG21.html#group16C21", "16C²¹"), =HYPERLINK("CSG17.html#group48BQ17", "48BQ¹⁷"), =HYPERLINK("CSG17.html#group80I17", "80I¹⁷"), =HYPERLINK("CSG13.html#group32I13", "32I¹³"), =HYPERLINK("CSG13.html#group48AB13", "48AB¹³"), =HYPERLINK("CSG21.html#group80D21", "80D²¹"), =HYPERLINK("CSG21.html#group48AR21", "48AR²¹"), =HYPERLINK("CSG11.html#group32G11", "32G¹¹"), =HYPERLINK("CSG9.html#group80B9", "80B⁹"), =HYPERLINK("CSG3.html#group32L3", "32L³"), =HYPERLINK("CSG5.html#group16E5", "16E⁵"), =HYPERLINK("CSG21.html#group16E21", "16E²¹")</f>
        <v/>
      </c>
    </row>
    <row r="207">
      <c r="A207" t="inlineStr">
        <is>
          <t>16C¹</t>
        </is>
      </c>
      <c r="B207" t="inlineStr"/>
      <c r="C207" t="inlineStr">
        <is>
          <t>24</t>
        </is>
      </c>
      <c r="D207" t="inlineStr">
        <is>
          <t>1</t>
        </is>
      </c>
      <c r="E207" t="inlineStr">
        <is>
          <t>12</t>
        </is>
      </c>
      <c r="F207" t="inlineStr">
        <is>
          <t>2</t>
        </is>
      </c>
      <c r="G207" t="inlineStr">
        <is>
          <t>0</t>
        </is>
      </c>
      <c r="H207" t="inlineStr">
        <is>
          <t>4², 16¹</t>
        </is>
      </c>
      <c r="I207" t="n">
        <v>3</v>
      </c>
      <c r="J207" t="inlineStr">
        <is>
          <t>1², 2¹, 4²</t>
        </is>
      </c>
      <c r="K207">
        <f>HYPERLINK("CSG0.html#group8D0", "8D⁰")</f>
        <v/>
      </c>
      <c r="L207">
        <f>HYPERLINK("CSG1.html#group16I1", "16I¹"), =HYPERLINK("CSG2.html#group16C2", "16C²"), =HYPERLINK("CSG2.html#group16D2", "16D²"), =HYPERLINK("CSG3.html#group32I3", "32I³"), =HYPERLINK("CSG4.html#group48E4", "48E⁴"), =HYPERLINK("CSG6.html#group48D6", "48D⁶"), =HYPERLINK("CSG9.html#group80C9", "80C⁹"), =HYPERLINK("CSG9.html#group80J9", "80J⁹"), =HYPERLINK("CSG12.html#group112G12", "112G¹²"), =HYPERLINK("CSG14.html#group112D14", "112D¹⁴"), =HYPERLINK("CSG17.html#group80N17", "80N¹⁷"), =HYPERLINK("CSG20.html#group176C20", "176C²⁰"), =HYPERLINK("CSG22.html#group176C22", "176C²²")</f>
        <v/>
      </c>
      <c r="M207">
        <f>HYPERLINK("CSG0.html#group8D0", "8D⁰"), =HYPERLINK("CSG0.html#group1A0", "1A⁰"), =HYPERLINK("CSG0.html#group2B0", "2B⁰"), =HYPERLINK("CSG0.html#group4C0", "4C⁰")</f>
        <v/>
      </c>
      <c r="N207">
        <f>HYPERLINK("CSG23.html#group96AI23", "96AI²³"), =HYPERLINK("CSG9.html#group32C9", "32C⁹"), =HYPERLINK("CSG20.html#group96L20", "96L²⁰"), =HYPERLINK("CSG5.html#group16F5", "16F⁵"), =HYPERLINK("CSG19.html#group16B19", "16B¹⁹"), =HYPERLINK("CSG6.html#group48D6", "48D⁶"), =HYPERLINK("CSG17.html#group80G17", "80G¹⁷"), =HYPERLINK("CSG8.html#group48O8", "48O⁸"), =HYPERLINK("CSG21.html#group64Q21", "64Q²¹"), =HYPERLINK("CSG17.html#group48AI17", "48AI¹⁷"), =HYPERLINK("CSG9.html#group16K9", "16K⁹"), =HYPERLINK("CSG21.html#group96AU21", "96AU²¹"), =HYPERLINK("CSG20.html#group96D20", "96D²⁰"), =HYPERLINK("CSG15.html#group48V15", "48V¹⁵"), =HYPERLINK("CSG21.html#group48CG21", "48CG²¹"), =HYPERLINK("CSG13.html#group64U13", "64U¹³"), =HYPERLINK("CSG20.html#group96B20", "96B²⁰"), =HYPERLINK("CSG18.html#group80A18", "80A¹⁸"), =HYPERLINK("CSG4.html#group16B4", "16B⁴"), =HYPERLINK("CSG4.html#group48E4", "48E⁴"), =HYPERLINK("CSG19.html#group48Z19", "48Z¹⁹"), =HYPERLINK("CSG9.html#group48S9", "48S⁹"), =HYPERLINK("CSG21.html#group48CF21", "48CF²¹"), =HYPERLINK("CSG15.html#group144B15", "144B¹⁵"), =HYPERLINK("CSG21.html#group48CO21", "48CO²¹"), =HYPERLINK("CSG22.html#group96A22", "96A²²"), =HYPERLINK("CSG23.html#group96AJ23", "96AJ²³"), =HYPERLINK("CSG19.html#group80M19", "80M¹⁹"), =HYPERLINK("CSG11.html#group32A11", "32A¹¹"), =HYPERLINK("CSG20.html#group96C20", "96C²⁰"), =HYPERLINK("CSG22.html#group96B22", "96B²²"), =HYPERLINK("CSG10.html#group96C10", "96C¹⁰"), =HYPERLINK("CSG18.html#group48E18", "48E¹⁸"), =HYPERLINK("CSG21.html#group32P21", "32P²¹"), =HYPERLINK("CSG19.html#group96L19", "96L¹⁹"), =HYPERLINK("CSG11.html#group32C11", "32C¹¹"), =HYPERLINK("CSG21.html#group32G21", "32G²¹"), =HYPERLINK("CSG20.html#group176C20", "176C²⁰"), =HYPERLINK("CSG18.html#group64B18", "64B¹⁸"), =HYPERLINK("CSG21.html#group32C21", "32C²¹"), =HYPERLINK("CSG5.html#group32H5", "32H⁵"), =HYPERLINK("CSG11.html#group32H11", "32H¹¹"), =HYPERLINK("CSG19.html#group48I19", "48I¹⁹"), =HYPERLINK("CSG17.html#group48AH17", "48AH¹⁷"), =HYPERLINK("CSG9.html#group32G9", "32G⁹"), =HYPERLINK("CSG2.html#group16L2", "16L²"), =HYPERLINK("CSG3.html#group16I3", "16I³"), =HYPERLINK("CSG19.html#group96M19", "96M¹⁹"), =HYPERLINK("CSG21.html#group32K21", "32K²¹"), =HYPERLINK("CSG19.html#group48O19", "48O¹⁹"), =HYPERLINK("CSG17.html#group96E17", "96E¹⁷"), =HYPERLINK("CSG24.html#group32A24", "32A²⁴"), =HYPERLINK("CSG19.html#group48F19", "48F¹⁹"), =HYPERLINK("CSG12.html#group32B12", "32B¹²"), =HYPERLINK("CSG19.html#group80P19", "80P¹⁹"), =HYPERLINK("CSG16.html#group48H16", "48H¹⁶"), =HYPERLINK("CSG9.html#group16H9", "16H⁹"), =HYPERLINK("CSG24.html#group32B24", "32B²⁴"), =HYPERLINK("CSG21.html#group160U21", "160U²¹"), =HYPERLINK("CSG17.html#group80N17", "80N¹⁷"), =HYPERLINK("CSG3.html#group32P3", "32P³"), =HYPERLINK("CSG23.html#group96AL23", "96AL²³"), =HYPERLINK("CSG10.html#group96D10", "96D¹⁰"), =HYPERLINK("CSG9.html#group16D9", "16D⁹"), =HYPERLINK("CSG9.html#group64G9", "64G⁹"), =HYPERLINK("CSG14.html#group112D14", "112D¹⁴"), =HYPERLINK("CSG19.html#group48Y19", "48Y¹⁹"), =HYPERLINK("CSG9.html#group32D9", "32D⁹"), =HYPERLINK("CSG16.html#group48A16", "48A¹⁶"), =HYPERLINK("CSG17.html#group96F17", "96F¹⁷"), =HYPERLINK("CSG11.html#group32D11", "32D¹¹"), =HYPERLINK("CSG3.html#group16J3", "16J³"), =HYPERLINK("CSG17.html#group80AO17", "80AO¹⁷"), =HYPERLINK("CSG3.html#group32Q3", "32Q³"), =HYPERLINK("CSG17.html#group16A17", "16A¹⁷"), =HYPERLINK("CSG10.html#group16A10", "16A¹⁰"), =HYPERLINK("CSG21.html#group96AV21", "96AV²¹"), =HYPERLINK("CSG21.html#group48U21", "48U²¹"), =HYPERLINK("CSG23.html#group64B23", "64B²³"), =HYPERLINK("CSG21.html#group48BZ21", "48BZ²¹"), =HYPERLINK("CSG10.html#group16B10", "16B¹⁰"), =HYPERLINK("CSG17.html#group48AP17", "48AP¹⁷"), =HYPERLINK("CSG12.html#group112G12", "112G¹²"), =HYPERLINK("CSG13.html#group32P13", "32P¹³"), =HYPERLINK("CSG7.html#group16D7", "16D⁷"), =HYPERLINK("CSG11.html#group48AB11", "48AB¹¹"), =HYPERLINK("CSG2.html#group16D2", "16D²"), =HYPERLINK("CSG2.html#group16C2", "16C²"), =HYPERLINK("CSG4.html#group32C4", "32C⁴"), =HYPERLINK("CSG19.html#group16A19", "16A¹⁹"), =HYPERLINK("CSG24.html#group32C24", "32C²⁴"), =HYPERLINK("CSG21.html#group64A21", "64A²¹"), =HYPERLINK("CSG9.html#group48U9", "48U⁹"), =HYPERLINK("CSG21.html#group64E21", "64E²¹"), =HYPERLINK("CSG14.html#group96A14", "96A¹⁴"), =HYPERLINK("CSG6.html#group32A6", "32A⁶"), =HYPERLINK("CSG8.html#group48Q8", "48Q⁸"), =HYPERLINK("CSG19.html#group48W19", "48W¹⁹"), =HYPERLINK("CSG21.html#group32L21", "32L²¹"), =HYPERLINK("CSG19.html#group96AD19", "96AD¹⁹"), =HYPERLINK("CSG3.html#group16L3", "16L³"), =HYPERLINK("CSG9.html#group16B9", "16B⁹"), =HYPERLINK("CSG19.html#group48B19", "48B¹⁹"), =HYPERLINK("CSG22.html#group32B22", "32B²²"), =HYPERLINK("CSG23.html#group32F23", "32F²³"), =HYPERLINK("CSG10.html#group32B10", "32B¹⁰"), =HYPERLINK("CSG22.html#group176C22", "176C²²"), =HYPERLINK("CSG19.html#group48AE19", "48AE¹⁹"), =HYPERLINK("CSG11.html#group48X11", "48X¹¹"), =HYPERLINK("CSG13.html#group16C13", "16C¹³"), =HYPERLINK("CSG17.html#group48BU17", "48BU¹⁷"), =HYPERLINK("CSG6.html#group32H6", "32H⁶"), =HYPERLINK("CSG21.html#group64P21", "64P²¹"), =HYPERLINK("CSG21.html#group64H21", "64H²¹"), =HYPERLINK("CSG19.html#group64A19", "64A¹⁹"), =HYPERLINK("CSG17.html#group80AN17", "80AN¹⁷"), =HYPERLINK("CSG21.html#group96AC21", "96AC²¹"), =HYPERLINK("CSG10.html#group48A10", "48A¹⁰"), =HYPERLINK("CSG23.html#group32C23", "32C²³"), =HYPERLINK("CSG19.html#group96AC19", "96AC¹⁹"), =HYPERLINK("CSG22.html#group144B22", "144B²²"), =HYPERLINK("CSG24.html#group112H24", "112H²⁴"), =HYPERLINK("CSG21.html#group32M21", "32M²¹"), =HYPERLINK("CSG5.html#group16M5", "16M⁵"), =HYPERLINK("CSG7.html#group48P7", "48P⁷"), =HYPERLINK("CSG21.html#group96AD21", "96AD²¹"), =HYPERLINK("CSG11.html#group32F11", "32F¹¹"), =HYPERLINK("CSG17.html#group96X17", "96X¹⁷"), =HYPERLINK("CSG23.html#group64A23", "64A²³"), =HYPERLINK("CSG10.html#group32A10", "32A¹⁰"), =HYPERLINK("CSG21.html#group48CK21", "48CK²¹"), =HYPERLINK("CSG9.html#group32N9", "32N⁹"), =HYPERLINK("CSG21.html#group32D21", "32D²¹"), =HYPERLINK("CSG21.html#group48CA21", "48CA²¹"), =HYPERLINK("CSG19.html#group80O19", "80O¹⁹"), =HYPERLINK("CSG20.html#group96A20", "96A²⁰"), =HYPERLINK("CSG5.html#group16H5", "16H⁵"), =HYPERLINK("CSG21.html#group16D21", "16D²¹"), =HYPERLINK("CSG20.html#group96K20", "96K²⁰"), =HYPERLINK("CSG22.html#group64A22", "64A²²"), =HYPERLINK("CSG19.html#group144I19", "144I¹⁹"), =HYPERLINK("CSG21.html#group32H21", "32H²¹"), =HYPERLINK("CSG23.html#group96AK23", "96AK²³"), =HYPERLINK("CSG15.html#group48I15", "48I¹⁵"), =HYPERLINK("CSG10.html#group32C10", "32C¹⁰"), =HYPERLINK("CSG21.html#group16F21", "16F²¹"), =HYPERLINK("CSG23.html#group32E23", "32E²³"), =HYPERLINK("CSG21.html#group96AW21", "96AW²¹"), =HYPERLINK("CSG18.html#group64A18", "64A¹⁸"), =HYPERLINK("CSG15.html#group16A15", "16A¹⁵"), =HYPERLINK("CSG21.html#group32E21", "32E²¹"), =HYPERLINK("CSG22.html#group144A22", "144A²²"), =HYPERLINK("CSG24.html#group112I24", "112I²⁴"), =HYPERLINK("CSG18.html#group48N18", "48N¹⁸"), =HYPERLINK("CSG19.html#group48C19", "48C¹⁹"), =HYPERLINK("CSG21.html#group48CN21", "48CN²¹"), =HYPERLINK("CSG9.html#group80C9", "80C⁹"), =HYPERLINK("CSG22.html#group32A22", "32A²²"), =HYPERLINK("CSG1.html#group16I1", "16I¹"), =HYPERLINK("CSG19.html#group32D19", "32D¹⁹"), =HYPERLINK("CSG9.html#group32M9", "32M⁹"), =HYPERLINK("CSG19.html#group80S19", "80S¹⁹"), =HYPERLINK("CSG21.html#group48AQ21", "48AQ²¹"), =HYPERLINK("CSG21.html#group16A21", "16A²¹"), =HYPERLINK("CSG23.html#group112K23", "112K²³"), =HYPERLINK("CSG11.html#group32B11", "32B¹¹"), =HYPERLINK("CSG17.html#group32A17", "32A¹⁷"), =HYPERLINK("CSG13.html#group32J13", "32J¹³"), =HYPERLINK("CSG9.html#group16L9", "16L⁹"), =HYPERLINK("CSG21.html#group64B21", "64B²¹"), =HYPERLINK("CSG21.html#group160T21", "160T²¹"), =HYPERLINK("CSG19.html#group48J19", "48J¹⁹"), =HYPERLINK("CSG13.html#group32T13", "32T¹³"), =HYPERLINK("CSG19.html#group32E19", "32E¹⁹"), =HYPERLINK("CSG9.html#group64H9", "64H⁹"), =HYPERLINK("CSG5.html#group32I5", "32I⁵"), =HYPERLINK("CSG7.html#group32L7", "32L⁷"), =HYPERLINK("CSG22.html#group96D22", "96D²²"), =HYPERLINK("CSG11.html#group16D11", "16D¹¹"), =HYPERLINK("CSG11.html#group48AA11", "48AA¹¹"), =HYPERLINK("CSG9.html#group80J9", "80J⁹"), =HYPERLINK("CSG12.html#group32A12", "32A¹²"), =HYPERLINK("CSG3.html#group32I3", "32I³"), =HYPERLINK("CSG17.html#group48AL17", "48AL¹⁷"), =HYPERLINK("CSG7.html#group16C7", "16C⁷"), =HYPERLINK("CSG24.html#group32D24", "32D²⁴"), =HYPERLINK("CSG21.html#group16C21", "16C²¹"), =HYPERLINK("CSG18.html#group80B18", "80B¹⁸"), =HYPERLINK("CSG22.html#group96C22", "96C²²"), =HYPERLINK("CSG19.html#group32C19", "32C¹⁹"), =HYPERLINK("CSG17.html#group96Y17", "96Y¹⁷"), =HYPERLINK("CSG20.html#group96M20", "96M²⁰"), =HYPERLINK("CSG6.html#group32B6", "32B⁶"), =HYPERLINK("CSG10.html#group48C10", "48C¹⁰"), =HYPERLINK("CSG22.html#group64B22", "64B²²"), =HYPERLINK("CSG21.html#group48BM21", "48BM²¹"), =HYPERLINK("CSG23.html#group32D23", "32D²³"), =HYPERLINK("CSG19.html#group160I19", "160I¹⁹"), =HYPERLINK("CSG17.html#group80AR17", "80AR¹⁷")</f>
        <v/>
      </c>
    </row>
    <row r="208">
      <c r="A208" t="inlineStr">
        <is>
          <t>16D¹</t>
        </is>
      </c>
      <c r="B208" t="inlineStr"/>
      <c r="C208" t="inlineStr">
        <is>
          <t>24</t>
        </is>
      </c>
      <c r="D208" t="inlineStr">
        <is>
          <t>1</t>
        </is>
      </c>
      <c r="E208" t="inlineStr">
        <is>
          <t>12</t>
        </is>
      </c>
      <c r="F208" t="inlineStr">
        <is>
          <t>4</t>
        </is>
      </c>
      <c r="G208" t="inlineStr">
        <is>
          <t>0</t>
        </is>
      </c>
      <c r="H208" t="inlineStr">
        <is>
          <t>8¹, 16¹</t>
        </is>
      </c>
      <c r="I208" t="n">
        <v>2</v>
      </c>
      <c r="J208" t="inlineStr">
        <is>
          <t>1⁴, 2², 4¹</t>
        </is>
      </c>
      <c r="K208">
        <f>HYPERLINK("CSG0.html#group8B0", "8B⁰")</f>
        <v/>
      </c>
      <c r="L208">
        <f>HYPERLINK("CSG1.html#group16J1", "16J¹"), =HYPERLINK("CSG2.html#group16E2", "16E²"), =HYPERLINK("CSG2.html#group16F2", "16F²"), =HYPERLINK("CSG3.html#group16D3", "16D³"), =HYPERLINK("CSG3.html#group16F3", "16F³"), =HYPERLINK("CSG3.html#group32E3", "32E³"), =HYPERLINK("CSG3.html#group32F3", "32F³"), =HYPERLINK("CSG3.html#group32G3", "32G³"), =HYPERLINK("CSG3.html#group32H3", "32H³"), =HYPERLINK("CSG3.html#group48E3", "48E³"), =HYPERLINK("CSG7.html#group48G7", "48G⁷"), =HYPERLINK("CSG9.html#group80D9", "80D⁹"), =HYPERLINK("CSG9.html#group80L9", "80L⁹"), =HYPERLINK("CSG11.html#group112F11", "112F¹¹"), =HYPERLINK("CSG15.html#group112G15", "112G¹⁵"), =HYPERLINK("CSG17.html#group80P17", "80P¹⁷"), =HYPERLINK("CSG19.html#group176C19", "176C¹⁹"), =HYPERLINK("CSG23.html#group176G23", "176G²³")</f>
        <v/>
      </c>
      <c r="M208">
        <f>HYPERLINK("CSG0.html#group8B0", "8B⁰"), =HYPERLINK("CSG0.html#group1A0", "1A⁰"), =HYPERLINK("CSG0.html#group2B0", "2B⁰"), =HYPERLINK("CSG0.html#group4C0", "4C⁰")</f>
        <v/>
      </c>
      <c r="N208">
        <f>HYPERLINK("CSG19.html#group96AH19", "96AH¹⁹"), =HYPERLINK("CSG13.html#group48P13", "48P¹³"), =HYPERLINK("CSG19.html#group16B19", "16B¹⁹"), =HYPERLINK("CSG21.html#group48I21", "48I²¹"), =HYPERLINK("CSG15.html#group64A15", "64A¹⁵"), =HYPERLINK("CSG24.html#group112V24", "112V²⁴"), =HYPERLINK("CSG17.html#group48CE17", "48CE¹⁷"), =HYPERLINK("CSG4.html#group16B4", "16B⁴"), =HYPERLINK("CSG9.html#group80L9", "80L⁹"), =HYPERLINK("CSG15.html#group48M15", "48M¹⁵"), =HYPERLINK("CSG19.html#group96AK19", "96AK¹⁹"), =HYPERLINK("CSG20.html#group96S20", "96S²⁰"), =HYPERLINK("CSG21.html#group80Q21", "80Q²¹"), =HYPERLINK("CSG7.html#group64I7", "64I⁷"), =HYPERLINK("CSG18.html#group48O18", "48O¹⁸"), =HYPERLINK("CSG23.html#group144N23", "144N²³"), =HYPERLINK("CSG11.html#group32K11", "32K¹¹"), =HYPERLINK("CSG11.html#group48K11", "48K¹¹"), =HYPERLINK("CSG19.html#group48AL19", "48AL¹⁹"), =HYPERLINK("CSG21.html#group32U21", "32U²¹"), =HYPERLINK("CSG15.html#group48L15", "48L¹⁵"), =HYPERLINK("CSG7.html#group32C7", "32C⁷"), =HYPERLINK("CSG21.html#group48BC21", "48BC²¹"), =HYPERLINK("CSG23.html#group112L23", "112L²³"), =HYPERLINK("CSG13.html#group32G13", "32G¹³"), =HYPERLINK("CSG6.html#group32E6", "32E⁶"), =HYPERLINK("CSG6.html#group32C6", "32C⁶"), =HYPERLINK("CSG24.html#group112U24", "112U²⁴"), =HYPERLINK("CSG7.html#group32D7", "32D⁷"), =HYPERLINK("CSG24.html#group32B24", "32B²⁴"), =HYPERLINK("CSG11.html#group112F11", "112F¹¹"), =HYPERLINK("CSG15.html#group96S15", "96S¹⁵"), =HYPERLINK("CSG9.html#group16E9", "16E⁹"), =HYPERLINK("CSG9.html#group16D9", "16D⁹"), =HYPERLINK("CSG17.html#group48AU17", "48AU¹⁷"), =HYPERLINK("CSG19.html#group80AE19", "80AE¹⁹"), =HYPERLINK("CSG17.html#group48CF17", "48CF¹⁷"), =HYPERLINK("CSG19.html#group48BG19", "48BG¹⁹"), =HYPERLINK("CSG10.html#group16A10", "16A¹⁰"), =HYPERLINK("CSG21.html#group96AE21", "96AE²¹"), =HYPERLINK("CSG9.html#group96I9", "96I⁹"), =HYPERLINK("CSG21.html#group96AY21", "96AY²¹"), =HYPERLINK("CSG10.html#group16B10", "16B¹⁰"), =HYPERLINK("CSG14.html#group64C14", "64C¹⁴"), =HYPERLINK("CSG19.html#group80V19", "80V¹⁹"), =HYPERLINK("CSG7.html#group16D7", "16D⁷"), =HYPERLINK("CSG21.html#group32R21", "32R²¹"), =HYPERLINK("CSG18.html#group48Q18", "48Q¹⁸"), =HYPERLINK("CSG21.html#group160L21", "160L²¹"), =HYPERLINK("CSG19.html#group176C19", "176C¹⁹"), =HYPERLINK("CSG17.html#group48CC17", "48CC¹⁷"), =HYPERLINK("CSG21.html#group48BU21", "48BU²¹"), =HYPERLINK("CSG21.html#group160O21", "160O²¹"), =HYPERLINK("CSG24.html#group112P24", "112P²⁴"), =HYPERLINK("CSG19.html#group16A19", "16A¹⁹"), =HYPERLINK("CSG9.html#group64I9", "64I⁹"), =HYPERLINK("CSG19.html#group96AM19", "96AM¹⁹"), =HYPERLINK("CSG8.html#group48AD8", "48AD⁸"), =HYPERLINK("CSG17.html#group48AX17", "48AX¹⁷"), =HYPERLINK("CSG9.html#group48Y9", "48Y⁹"), =HYPERLINK("CSG19.html#group96AQ19", "96AQ¹⁹"), =HYPERLINK("CSG22.html#group32B22", "32B²²"), =HYPERLINK("CSG19.html#group96AL19", "96AL¹⁹"), =HYPERLINK("CSG20.html#group96G20", "96G²⁰"), =HYPERLINK("CSG7.html#group64J7", "64J⁷"), =HYPERLINK("CSG13.html#group64O13", "64O¹³"), =HYPERLINK("CSG10.html#group32B10", "32B¹⁰"), =HYPERLINK("CSG13.html#group48AF13", "48AF¹³"), =HYPERLINK("CSG21.html#group192F21", "192F²¹"), =HYPERLINK("CSG3.html#group32E3", "32E³"), =HYPERLINK("CSG20.html#group96O20", "96O²⁰"), =HYPERLINK("CSG17.html#group48AZ17", "48AZ¹⁷"), =HYPERLINK("CSG17.html#group96AE17", "96AE¹⁷"), =HYPERLINK("CSG21.html#group32T21", "32T²¹"), =HYPERLINK("CSG20.html#group96AF20", "96AF²⁰"), =HYPERLINK("CSG5.html#group32K5", "32K⁵"), =HYPERLINK("CSG21.html#group32M21", "32M²¹"), =HYPERLINK("CSG21.html#group96AI21", "96AI²¹"), =HYPERLINK("CSG21.html#group80AA21", "80AA²¹"), =HYPERLINK("CSG17.html#group96AA17", "96AA¹⁷"), =HYPERLINK("CSG20.html#group96AG20", "96AG²⁰"), =HYPERLINK("CSG13.html#group32L13", "32L¹³"), =HYPERLINK("CSG21.html#group96AN21", "96AN²¹"), =HYPERLINK("CSG21.html#group80AB21", "80AB²¹"), =HYPERLINK("CSG9.html#group96J9", "96J⁹"), =HYPERLINK("CSG20.html#group96AC20", "96AC²⁰"), =HYPERLINK("CSG21.html#group96AO21", "96AO²¹"), =HYPERLINK("CSG24.html#group112N24", "112N²⁴"), =HYPERLINK("CSG13.html#group32C13", "32C¹³"), =HYPERLINK("CSG3.html#group32N3", "32N³"), =HYPERLINK("CSG13.html#group64T13", "64T¹³"), =HYPERLINK("CSG21.html#group160J21", "160J²¹"), =HYPERLINK("CSG20.html#group96R20", "96R²⁰"), =HYPERLINK("CSG13.html#group32E13", "32E¹³"), =HYPERLINK("CSG7.html#group48G7", "48G⁷"), =HYPERLINK("CSG18.html#group80E18", "80E¹⁸"), =HYPERLINK("CSG20.html#group96AA20", "96AA²⁰"), =HYPERLINK("CSG21.html#group192G21", "192G²¹"), =HYPERLINK("CSG11.html#group96J11", "96J¹¹"), =HYPERLINK("CSG13.html#group48O13", "48O¹³"), =HYPERLINK("CSG13.html#group32F13", "32F¹³"), =HYPERLINK("CSG19.html#group160E19", "160E¹⁹"), =HYPERLINK("CSG23.html#group32H23", "32H²³"), =HYPERLINK("CSG20.html#group96I20", "96I²⁰"), =HYPERLINK("CSG21.html#group112D21", "112D²¹"), =HYPERLINK("CSG6.html#group32D6", "32D⁶"), =HYPERLINK("CSG17.html#group80AT17", "80AT¹⁷"), =HYPERLINK("CSG22.html#group64A22", "64A²²"), =HYPERLINK("CSG21.html#group192E21", "192E²¹"), =HYPERLINK("CSG15.html#group48AD15", "48AD¹⁵"), =HYPERLINK("CSG20.html#group96X20", "96X²⁰"), =HYPERLINK("CSG21.html#group32F21", "32F²¹"), =HYPERLINK("CSG15.html#group64B15", "64B¹⁵"), =HYPERLINK("CSG13.html#group32H13", "32H¹³"), =HYPERLINK("CSG21.html#group48BG21", "48BG²¹"), =HYPERLINK("CSG23.html#group32E23", "32E²³"), =HYPERLINK("CSG3.html#group48E3", "48E³"), =HYPERLINK("CSG21.html#group48AJ21", "48AJ²¹"), =HYPERLINK("CSG3.html#group16F3", "16F³"), =HYPERLINK("CSG4.html#group16C4", "16C⁴"), =HYPERLINK("CSG15.html#group64J15", "64J¹⁵"), =HYPERLINK("CSG18.html#group80C18", "80C¹⁸"), =HYPERLINK("CSG17.html#group48AS17", "48AS¹⁷"), =HYPERLINK("CSG21.html#group32Q21", "32Q²¹"), =HYPERLINK("CSG5.html#group32L5", "32L⁵"), =HYPERLINK("CSG23.html#group96I23", "96I²³"), =HYPERLINK("CSG13.html#group144C13", "144C¹³"), =HYPERLINK("CSG8.html#group48X8", "48X⁸"), =HYPERLINK("CSG9.html#group96F9", "96F⁹"), =HYPERLINK("CSG19.html#group32D19", "32D¹⁹"), =HYPERLINK("CSG14.html#group64E14", "64E¹⁴"), =HYPERLINK("CSG3.html#group16S3", "16S³"), =HYPERLINK("CSG3.html#group32F3", "32F³"), =HYPERLINK("CSG21.html#group96AJ21", "96AJ²¹"), =HYPERLINK("CSG21.html#group80W21", "80W²¹"), =HYPERLINK("CSG21.html#group96AX21", "96AX²¹"), =HYPERLINK("CSG23.html#group96N23", "96N²³"), =HYPERLINK("CSG19.html#group160H19", "160H¹⁹"), =HYPERLINK("CSG14.html#group64A14", "64A¹⁴"), =HYPERLINK("CSG19.html#group32E19", "32E¹⁹"), =HYPERLINK("CSG21.html#group64M21", "64M²¹"), =HYPERLINK("CSG19.html#group80H19", "80H¹⁹"), =HYPERLINK("CSG19.html#group160F19", "160F¹⁹"), =HYPERLINK("CSG21.html#group64L21", "64L²¹"), =HYPERLINK("CSG14.html#group64B14", "64B¹⁴"), =HYPERLINK("CSG15.html#group64G15", "64G¹⁵"), =HYPERLINK("CSG24.html#group112L24", "112L²⁴"), =HYPERLINK("CSG15.html#group64E15", "64E¹⁵"), =HYPERLINK("CSG3.html#group16M3", "16M³"), =HYPERLINK("CSG13.html#group48K13", "48K¹³"), =HYPERLINK("CSG5.html#group16G5", "16G⁵"), =HYPERLINK("CSG13.html#group32O13", "32O¹³"), =HYPERLINK("CSG24.html#group32D24", "32D²⁴"), =HYPERLINK("CSG20.html#group96P20", "96P²⁰"), =HYPERLINK("CSG17.html#group96G17", "96G¹⁷"), =HYPERLINK("CSG24.html#group112O24", "112O²⁴"), =HYPERLINK("CSG21.html#group16C21", "16C²¹"), =HYPERLINK("CSG21.html#group48W21", "48W²¹"), =HYPERLINK("CSG5.html#group16A5", "16A⁵"), =HYPERLINK("CSG23.html#group96U23", "96U²³"), =HYPERLINK("CSG21.html#group32V21", "32V²¹"), =HYPERLINK("CSG7.html#group48AE7", "48AE⁷"), =HYPERLINK("CSG19.html#group48BI19", "48BI¹⁹"), =HYPERLINK("CSG23.html#group96L23", "96L²³"), =HYPERLINK("CSG13.html#group64Q13", "64Q¹³"), =HYPERLINK("CSG17.html#group80AX17", "80AX¹⁷"), =HYPERLINK("CSG5.html#group32J5", "32J⁵"), =HYPERLINK("CSG19.html#group96AE19", "96AE¹⁹"), =HYPERLINK("CSG9.html#group80D9", "80D⁹"), =HYPERLINK("CSG20.html#group96N20", "96N²⁰"), =HYPERLINK("CSG21.html#group32S21", "32S²¹"), =HYPERLINK("CSG21.html#group96AG21", "96AG²¹"), =HYPERLINK("CSG21.html#group192H21", "192H²¹"), =HYPERLINK("CSG23.html#group176G23", "176G²³"), =HYPERLINK("CSG21.html#group160I21", "160I²¹"), =HYPERLINK("CSG2.html#group16E2", "16E²"), =HYPERLINK("CSG21.html#group32Y21", "32Y²¹"), =HYPERLINK("CSG17.html#group16B17", "16B¹⁷"), =HYPERLINK("CSG9.html#group16F9", "16F⁹"), =HYPERLINK("CSG17.html#group48CA17", "48CA¹⁷"), =HYPERLINK("CSG21.html#group160N21", "160N²¹"), =HYPERLINK("CSG21.html#group192I21", "192I²¹"), =HYPERLINK("CSG21.html#group48BF21", "48BF²¹"), =HYPERLINK("CSG14.html#group64D14", "64D¹⁴"), =HYPERLINK("CSG21.html#group48AN21", "48AN²¹"), =HYPERLINK("CSG21.html#group48J21", "48J²¹"), =HYPERLINK("CSG3.html#group16R3", "16R³"), =HYPERLINK("CSG21.html#group48V21", "48V²¹"), =HYPERLINK("CSG21.html#group32P21", "32P²¹"), =HYPERLINK("CSG15.html#group64H15", "64H¹⁵"), =HYPERLINK("CSG18.html#group48E18", "48E¹⁸"), =HYPERLINK("CSG7.html#group48AG7", "48AG⁷"), =HYPERLINK("CSG20.html#group96H20", "96H²⁰"), =HYPERLINK("CSG9.html#group32H9", "32H⁹"), =HYPERLINK("CSG13.html#group32N13", "32N¹³"), =HYPERLINK("CSG21.html#group160K21", "160K²¹"), =HYPERLINK("CSG23.html#group96E23", "96E²³"), =HYPERLINK("CSG21.html#group96AF21", "96AF²¹"), =HYPERLINK("CSG20.html#group96Z20", "96Z²⁰"), =HYPERLINK("CSG17.html#group96Z17", "96Z¹⁷"), =HYPERLINK("CSG23.html#group144M23", "144M²³"), =HYPERLINK("CSG7.html#group64G7", "64G⁷"), =HYPERLINK("CSG9.html#group16G9", "16G⁹"), =HYPERLINK("CSG15.html#group112G15", "112G¹⁵"), =HYPERLINK("CSG19.html#group96BB19", "96BB¹⁹"), =HYPERLINK("CSG24.html#group32A24", "32A²⁴"), =HYPERLINK("CSG18.html#group48F18", "48F¹⁸"), =HYPERLINK("CSG17.html#group48BC17", "48BC¹⁷"), =HYPERLINK("CSG19.html#group48BD19", "48BD¹⁹"), =HYPERLINK("CSG12.html#group32B12", "32B¹²"), =HYPERLINK("CSG17.html#group80P17", "80P¹⁷"), =HYPERLINK("CSG21.html#group48AM21", "48AM²¹"), =HYPERLINK("CSG19.html#group48BH19", "48BH¹⁹"), =HYPERLINK("CSG9.html#group16H9", "16H⁹"), =HYPERLINK("CSG23.html#group112M23", "112M²³"), =HYPERLINK("CSG15.html#group64C15", "64C¹⁵"), =HYPERLINK("CSG20.html#group96V20", "96V²⁰"), =HYPERLINK("CSG17.html#group48CB17", "48CB¹⁷"), =HYPERLINK("CSG13.html#group64M13", "64M¹³"), =HYPERLINK("CSG13.html#group32K13", "32K¹³"), =HYPERLINK("CSG17.html#group48BF17", "48BF¹⁷"), =HYPERLINK("CSG13.html#group48J13", "48J¹³"), =HYPERLINK("CSG7.html#group32E7", "32E⁷"), =HYPERLINK("CSG20.html#group96AD20", "96AD²⁰"), =HYPERLINK("CSG3.html#group32G3", "32G³"), =HYPERLINK("CSG13.html#group48T13", "48T¹³"), =HYPERLINK("CSG7.html#group16E7", "16E⁷"), =HYPERLINK("CSG11.html#group32J11", "32J¹¹"), =HYPERLINK("CSG17.html#group16A17", "16A¹⁷"), =HYPERLINK("CSG21.html#group192J21", "192J²¹"), =HYPERLINK("CSG7.html#group32I7", "32I⁷"), =HYPERLINK("CSG11.html#group48D11", "48D¹¹"), =HYPERLINK("CSG21.html#group96AP21", "96AP²¹"), =HYPERLINK("CSG23.html#group96D23", "96D²³"), =HYPERLINK("CSG19.html#group80AB19", "80AB¹⁹"), =HYPERLINK("CSG13.html#group64S13", "64S¹³"), =HYPERLINK("CSG15.html#group96G15", "96G¹⁵"), =HYPERLINK("CSG23.html#group96C23", "96C²³"), =HYPERLINK("CSG17.html#group48AV17", "48AV¹⁷"), =HYPERLINK("CSG20.html#group96T20", "96T²⁰"), =HYPERLINK("CSG23.html#group96J23", "96J²³"), =HYPERLINK("CSG17.html#group48BD17", "48BD¹⁷"), =HYPERLINK("CSG24.html#group32C24", "32C²⁴"), =HYPERLINK("CSG15.html#group48J15", "48J¹⁵"), =HYPERLINK("CSG14.html#group64F14", "64F¹⁴"), =HYPERLINK("CSG1.html#group16J1", "16J¹"), =HYPERLINK("CSG20.html#group96Y20", "96Y²⁰"), =HYPERLINK("CSG20.html#group96W20", "96W²⁰"), =HYPERLINK("CSG15.html#group48AE15", "48AE¹⁵"), =HYPERLINK("CSG15.html#group64I15", "64I¹⁵"), =HYPERLINK("CSG9.html#group96D9", "96D⁹"), =HYPERLINK("CSG17.html#group48BE17", "48BE¹⁷"), =HYPERLINK("CSG9.html#group96H9", "96H⁹"), =HYPERLINK("CSG19.html#group96AF19", "96AF¹⁹"), =HYPERLINK("CSG19.html#group48BF19", "48BF¹⁹"), =HYPERLINK("CSG21.html#group48AP21", "48AP²¹"), =HYPERLINK("CSG15.html#group48AF15", "48AF¹⁵"), =HYPERLINK("CSG17.html#group96AB17", "96AB¹⁷"), =HYPERLINK("CSG13.html#group64N13", "64N¹³"), =HYPERLINK("CSG8.html#group48AB8", "48AB⁸"), =HYPERLINK("CSG5.html#group16D5", "16D⁵"), =HYPERLINK("CSG19.html#group80AA19", "80AA¹⁹"), =HYPERLINK("CSG14.html#group64G14", "64G¹⁴"), =HYPERLINK("CSG23.html#group96K23", "96K²³"), =HYPERLINK("CSG7.html#group64H7", "64H⁷"), =HYPERLINK("CSG23.html#group96H23", "96H²³"), =HYPERLINK("CSG19.html#group96BA19", "96BA¹⁹"), =HYPERLINK("CSG21.html#group160M21", "160M²¹"), =HYPERLINK("CSG13.html#group32Q13", "32Q¹³"), =HYPERLINK("CSG20.html#group96AB20", "96AB²⁰"), =HYPERLINK("CSG17.html#group80AU17", "80AU¹⁷"), =HYPERLINK("CSG23.html#group96V23", "96V²³"), =HYPERLINK("CSG13.html#group64L13", "64L¹³"), =HYPERLINK("CSG13.html#group64R13", "64R¹³"), =HYPERLINK("CSG21.html#group160P21", "160P²¹"), =HYPERLINK("CSG11.html#group32I11", "32I¹¹"), =HYPERLINK("CSG20.html#group96Q20", "96Q²⁰"), =HYPERLINK("CSG21.html#group96AH21", "96AH²¹"), =HYPERLINK("CSG15.html#group96I15", "96I¹⁵"), =HYPERLINK("CSG21.html#group16D21", "16D²¹"), =HYPERLINK("CSG19.html#group80F19", "80F¹⁹"), =HYPERLINK("CSG9.html#group32O9", "32O⁹"), =HYPERLINK("CSG9.html#group96E9", "96E⁹"), =HYPERLINK("CSG21.html#group96AL21", "96AL²¹"), =HYPERLINK("CSG19.html#group96AG19", "96AG¹⁹"), =HYPERLINK("CSG21.html#group16F21", "16F²¹"), =HYPERLINK("CSG10.html#group32C10", "32C¹⁰"), =HYPERLINK("CSG9.html#group16A9", "16A⁹"), =HYPERLINK("CSG2.html#group16F2", "16F²"), =HYPERLINK("CSG13.html#group32M13", "32M¹³"), =HYPERLINK("CSG9.html#group96K9", "96K⁹"), =HYPERLINK("CSG15.html#group16A15", "16A¹⁵"), =HYPERLINK("CSG13.html#group32D13", "32D¹³"), =HYPERLINK("CSG19.html#group96W19", "96W¹⁹"), =HYPERLINK("CSG23.html#group96B23", "96B²³"), =HYPERLINK("CSG20.html#group96J20", "96J²⁰"), =HYPERLINK("CSG19.html#group96AO19", "96AO¹⁹"), =HYPERLINK("CSG19.html#group96AR19", "96AR¹⁹"), =HYPERLINK("CSG21.html#group64I21", "64I²¹"), =HYPERLINK("CSG19.html#group48AK19", "48AK¹⁹"), =HYPERLINK("CSG8.html#group48F8", "48F⁸"), =HYPERLINK("CSG6.html#group32F6", "32F⁶"), =HYPERLINK("CSG22.html#group32A22", "32A²²"), =HYPERLINK("CSG5.html#group16C5", "16C⁵"), =HYPERLINK("CSG9.html#group48Z9", "48Z⁹"), =HYPERLINK("CSG17.html#group96H17", "96H¹⁷"), =HYPERLINK("CSG7.html#group32J7", "32J⁷"), =HYPERLINK("CSG15.html#group64F15", "64F¹⁵"), =HYPERLINK("CSG13.html#group64P13", "64P¹³"), =HYPERLINK("CSG21.html#group96AM21", "96AM²¹"), =HYPERLINK("CSG24.html#group112M24", "112M²⁴"), =HYPERLINK("CSG15.html#group96J15", "96J¹⁵"), =HYPERLINK("CSG12.html#group32C12", "32C¹²"), =HYPERLINK("CSG20.html#group96U20", "96U²⁰"), =HYPERLINK("CSG14.html#group64H14", "64H¹⁴"), =HYPERLINK("CSG21.html#group96AK21", "96AK²¹"), =HYPERLINK("CSG21.html#group144K21", "144K²¹"), =HYPERLINK("CSG7.html#group32H7", "32H⁷"), =HYPERLINK("CSG5.html#group48F5", "48F⁵"), =HYPERLINK("CSG21.html#group192K21", "192K²¹"), =HYPERLINK("CSG3.html#group16D3", "16D³"), =HYPERLINK("CSG23.html#group96M23", "96M²³"), =HYPERLINK("CSG12.html#group32A12", "32A¹²"), =HYPERLINK("CSG19.html#group48BB19", "48BB¹⁹"), =HYPERLINK("CSG21.html#group192L21", "192L²¹"), =HYPERLINK("CSG15.html#group64D15", "64D¹⁵"), =HYPERLINK("CSG19.html#group96AP19", "96AP¹⁹"), =HYPERLINK("CSG19.html#group96AN19", "96AN¹⁹"), =HYPERLINK("CSG19.html#group160G19", "160G¹⁹"), =HYPERLINK("CSG9.html#group32P9", "32P⁹"), =HYPERLINK("CSG15.html#group96H15", "96H¹⁵"), =HYPERLINK("CSG21.html#group48E21", "48E²¹"), =HYPERLINK("CSG20.html#group96AE20", "96AE²⁰"), =HYPERLINK("CSG11.html#group32G11", "32G¹¹"), =HYPERLINK("CSG7.html#group32B7", "32B⁷"), =HYPERLINK("CSG9.html#group96C9", "96C⁹"), =HYPERLINK("CSG22.html#group64B22", "64B²²"), =HYPERLINK("CSG21.html#group32D21", "32D²¹"), =HYPERLINK("CSG3.html#group32H3", "32H³"), =HYPERLINK("CSG17.html#group80J17", "80J¹⁷")</f>
        <v/>
      </c>
    </row>
    <row r="209">
      <c r="A209" t="inlineStr">
        <is>
          <t>16E¹</t>
        </is>
      </c>
      <c r="B209" t="inlineStr"/>
      <c r="C209" t="inlineStr">
        <is>
          <t>48</t>
        </is>
      </c>
      <c r="D209" t="inlineStr">
        <is>
          <t>1</t>
        </is>
      </c>
      <c r="E209" t="inlineStr">
        <is>
          <t>6</t>
        </is>
      </c>
      <c r="F209" t="inlineStr">
        <is>
          <t>0</t>
        </is>
      </c>
      <c r="G209" t="inlineStr">
        <is>
          <t>0</t>
        </is>
      </c>
      <c r="H209" t="inlineStr">
        <is>
          <t>2⁴, 4², 16²</t>
        </is>
      </c>
      <c r="I209" t="n">
        <v>8</v>
      </c>
      <c r="J209" t="inlineStr">
        <is>
          <t>1⁴, 2¹</t>
        </is>
      </c>
      <c r="K209">
        <f>HYPERLINK("CSG0.html#group8G0", "8G⁰"), =HYPERLINK("CSG0.html#group16C0", "16C⁰"), =HYPERLINK("CSG1.html#group16A1", "16A¹")</f>
        <v/>
      </c>
      <c r="L209">
        <f>HYPERLINK("CSG1.html#group16M1", "16M¹"), =HYPERLINK("CSG3.html#group16H3", "16H³"), =HYPERLINK("CSG3.html#group16J3", "16J³"), =HYPERLINK("CSG3.html#group32J3", "32J³"), =HYPERLINK("CSG3.html#group32K3", "32K³"), =HYPERLINK("CSG5.html#group32A5", "32A⁵"), =HYPERLINK("CSG5.html#group32B5", "32B⁵"), =HYPERLINK("CSG9.html#group48A9", "48A⁹"), =HYPERLINK("CSG9.html#group48AK9", "48AK⁹"), =HYPERLINK("CSG17.html#group80A17", "80A¹⁷"), =HYPERLINK("CSG17.html#group80Z17", "80Z¹⁷")</f>
        <v/>
      </c>
      <c r="M209">
        <f>HYPERLINK("CSG0.html#group2A0", "2A⁰"), =HYPERLINK("CSG0.html#group8G0", "8G⁰"), =HYPERLINK("CSG0.html#group8D0", "8D⁰"), =HYPERLINK("CSG0.html#group16C0", "16C⁰"), =HYPERLINK("CSG0.html#group4C0", "4C⁰"), =HYPERLINK("CSG1.html#group16A1", "16A¹"), =HYPERLINK("CSG0.html#group8C0", "8C⁰"), =HYPERLINK("CSG0.html#group4E0", "4E⁰"), =HYPERLINK("CSG0.html#group2B0", "2B⁰"), =HYPERLINK("CSG0.html#group4B0", "4B⁰"), =HYPERLINK("CSG0.html#group1A0", "1A⁰"), =HYPERLINK("CSG0.html#group2C0", "2C⁰")</f>
        <v/>
      </c>
      <c r="N209">
        <f>HYPERLINK("CSG9.html#group64C9", "64C⁹"), =HYPERLINK("CSG9.html#group32C9", "32C⁹"), =HYPERLINK("CSG21.html#group96A21", "96A²¹"), =HYPERLINK("CSG5.html#group32N5", "32N⁵"), =HYPERLINK("CSG5.html#group16M5", "16M⁵"), =HYPERLINK("CSG5.html#group32M5", "32M⁵"), =HYPERLINK("CSG21.html#group16E21", "16E²¹"), =HYPERLINK("CSG17.html#group48J17", "48J¹⁷"), =HYPERLINK("CSG21.html#group48CK21", "48CK²¹"), =HYPERLINK("CSG9.html#group48AK9", "48AK⁹"), =HYPERLINK("CSG19.html#group96A19", "96A¹⁹"), =HYPERLINK("CSG9.html#group32E9", "32E⁹"), =HYPERLINK("CSG13.html#group64B13", "64B¹³"), =HYPERLINK("CSG13.html#group32U13", "32U¹³"), =HYPERLINK("CSG21.html#group48CE21", "48CE²¹"), =HYPERLINK("CSG13.html#group64D13", "64D¹³"), =HYPERLINK("CSG17.html#group32B17", "32B¹⁷"), =HYPERLINK("CSG9.html#group16C9", "16C⁹"), =HYPERLINK("CSG13.html#group64V13", "64V¹³"), =HYPERLINK("CSG17.html#group48K17", "48K¹⁷"), =HYPERLINK("CSG21.html#group32G21", "32G²¹"), =HYPERLINK("CSG21.html#group96BF21", "96BF²¹"), =HYPERLINK("CSG21.html#group96E21", "96E²¹"), =HYPERLINK("CSG9.html#group32A9", "32A⁹"), =HYPERLINK("CSG21.html#group32C21", "32C²¹"), =HYPERLINK("CSG17.html#group48CJ17", "48CJ¹⁷"), =HYPERLINK("CSG21.html#group128D21", "128D²¹"), =HYPERLINK("CSG21.html#group32H21", "32H²¹"), =HYPERLINK("CSG9.html#group64B9", "64B⁹"), =HYPERLINK("CSG19.html#group128A19", "128A¹⁹"), =HYPERLINK("CSG3.html#group32J3", "32J³"), =HYPERLINK("CSG21.html#group32F21", "32F²¹"), =HYPERLINK("CSG21.html#group48CH21", "48CH²¹"), =HYPERLINK("CSG9.html#group16A9", "16A⁹"), =HYPERLINK("CSG19.html#group96E19", "96E¹⁹"), =HYPERLINK("CSG19.html#group48C19", "48C¹⁹"), =HYPERLINK("CSG9.html#group32B9", "32B⁹"), =HYPERLINK("CSG7.html#group64K7", "64K⁷"), =HYPERLINK("CSG17.html#group80Z17", "80Z¹⁷"), =HYPERLINK("CSG19.html#group96B19", "96B¹⁹"), =HYPERLINK("CSG21.html#group48CJ21", "48CJ²¹"), =HYPERLINK("CSG17.html#group64D17", "64D¹⁷"), =HYPERLINK("CSG21.html#group96B21", "96B²¹"), =HYPERLINK("CSG21.html#group64F21", "64F²¹"), =HYPERLINK("CSG17.html#group48D17", "48D¹⁷"), =HYPERLINK("CSG21.html#group32A21", "32A²¹"), =HYPERLINK("CSG9.html#group32D9", "32D⁹"), =HYPERLINK("CSG21.html#group64C21", "64C²¹"), =HYPERLINK("CSG11.html#group32B11", "32B¹¹"), =HYPERLINK("CSG17.html#group32A17", "32A¹⁷"), =HYPERLINK("CSG3.html#group16J3", "16J³"), =HYPERLINK("CSG21.html#group32B21", "32B²¹"), =HYPERLINK("CSG19.html#group48A19", "48A¹⁹"), =HYPERLINK("CSG21.html#group64B21", "64B²¹"), =HYPERLINK("CSG13.html#group64C13", "64C¹³"), =HYPERLINK("CSG17.html#group16A17", "16A¹⁷"), =HYPERLINK("CSG19.html#group48P19", "48P¹⁹"), =HYPERLINK("CSG17.html#group32D17", "32D¹⁷"), =HYPERLINK("CSG13.html#group32T13", "32T¹³"), =HYPERLINK("CSG5.html#group32B5", "32B⁵"), =HYPERLINK("CSG21.html#group96AZ21", "96AZ²¹"), =HYPERLINK("CSG21.html#group128F21", "128F²¹"), =HYPERLINK("CSG5.html#group32A5", "32A⁵"), =HYPERLINK("CSG1.html#group16M1", "16M¹"), =HYPERLINK("CSG21.html#group64D21", "64D²¹"), =HYPERLINK("CSG5.html#group16N5", "16N⁵"), =HYPERLINK("CSG21.html#group96BA21", "96BA²¹"), =HYPERLINK("CSG21.html#group64A21", "64A²¹"), =HYPERLINK("CSG21.html#group64E21", "64E²¹"), =HYPERLINK("CSG7.html#group16C7", "16C⁷"), =HYPERLINK("CSG3.html#group32K3", "32K³"), =HYPERLINK("CSG21.html#group96BD21", "96BD²¹"), =HYPERLINK("CSG3.html#group16H3", "16H³"), =HYPERLINK("CSG21.html#group16C21", "16C²¹"), =HYPERLINK("CSG9.html#group48A9", "48A⁹"), =HYPERLINK("CSG17.html#group48CM17", "48CM¹⁷"), =HYPERLINK("CSG13.html#group64A13", "64A¹³"), =HYPERLINK("CSG11.html#group64A11", "64A¹¹"), =HYPERLINK("CSG17.html#group64A17", "64A¹⁷"), =HYPERLINK("CSG19.html#group32C19", "32C¹⁹"), =HYPERLINK("CSG13.html#group16C13", "16C¹³"), =HYPERLINK("CSG17.html#group48CN17", "48CN¹⁷"), =HYPERLINK("CSG19.html#group48N19", "48N¹⁹"), =HYPERLINK("CSG17.html#group80A17", "80A¹⁷"), =HYPERLINK("CSG19.html#group96H19", "96H¹⁹"), =HYPERLINK("CSG21.html#group96H21", "96H²¹")</f>
        <v/>
      </c>
    </row>
    <row r="210">
      <c r="A210" t="inlineStr">
        <is>
          <t>16F¹</t>
        </is>
      </c>
      <c r="B210" t="inlineStr"/>
      <c r="C210" t="inlineStr">
        <is>
          <t>48</t>
        </is>
      </c>
      <c r="D210" t="inlineStr">
        <is>
          <t>1</t>
        </is>
      </c>
      <c r="E210" t="inlineStr">
        <is>
          <t>6</t>
        </is>
      </c>
      <c r="F210" t="inlineStr">
        <is>
          <t>8</t>
        </is>
      </c>
      <c r="G210" t="inlineStr">
        <is>
          <t>0</t>
        </is>
      </c>
      <c r="H210" t="inlineStr">
        <is>
          <t>8², 16²</t>
        </is>
      </c>
      <c r="I210" t="n">
        <v>4</v>
      </c>
      <c r="J210" t="inlineStr">
        <is>
          <t>1², 2²</t>
        </is>
      </c>
      <c r="K210">
        <f>HYPERLINK("CSG0.html#group8H0", "8H⁰"), =HYPERLINK("CSG0.html#group16B0", "16B⁰"), =HYPERLINK("CSG1.html#group16B1", "16B¹")</f>
        <v/>
      </c>
      <c r="L210">
        <f>HYPERLINK("CSG3.html#group16K3", "16K³"), =HYPERLINK("CSG3.html#group16L3", "16L³"), =HYPERLINK("CSG3.html#group16M3", "16M³"), =HYPERLINK("CSG3.html#group32L3", "32L³"), =HYPERLINK("CSG5.html#group16B5", "16B⁵"), =HYPERLINK("CSG5.html#group32E5", "32E⁵"), =HYPERLINK("CSG5.html#group32F5", "32F⁵"), =HYPERLINK("CSG5.html#group32G5", "32G⁵"), =HYPERLINK("CSG5.html#group48E5", "48E⁵"), =HYPERLINK("CSG7.html#group32A7", "32A⁷"), =HYPERLINK("CSG13.html#group48G13", "48G¹³"), =HYPERLINK("CSG17.html#group80B17", "80B¹⁷"), =HYPERLINK("CSG17.html#group80AE17", "80AE¹⁷"), =HYPERLINK("CSG21.html#group112B21", "112B²¹")</f>
        <v/>
      </c>
      <c r="M210">
        <f>HYPERLINK("CSG0.html#group8H0", "8H⁰"), =HYPERLINK("CSG0.html#group16B0", "16B⁰"), =HYPERLINK("CSG0.html#group8D0", "8D⁰"), =HYPERLINK("CSG0.html#group4A0", "4A⁰"), =HYPERLINK("CSG0.html#group4C0", "4C⁰"), =HYPERLINK("CSG0.html#group8B0", "8B⁰"), =HYPERLINK("CSG1.html#group16B1", "16B¹"), =HYPERLINK("CSG0.html#group2B0", "2B⁰"), =HYPERLINK("CSG0.html#group4F0", "4F⁰"), =HYPERLINK("CSG0.html#group1A0", "1A⁰")</f>
        <v/>
      </c>
      <c r="N210">
        <f>HYPERLINK("CSG23.html#group32C23", "32C²³"), =HYPERLINK("CSG19.html#group16B19", "16B¹⁹"), =HYPERLINK("CSG23.html#group32D23", "32D²³"), =HYPERLINK("CSG9.html#group32F9", "32F⁹"), =HYPERLINK("CSG21.html#group32M21", "32M²¹"), =HYPERLINK("CSG21.html#group64Q21", "64Q²¹"), =HYPERLINK("CSG9.html#group16K9", "16K⁹"), =HYPERLINK("CSG11.html#group32F11", "32F¹¹"), =HYPERLINK("CSG21.html#group32Y21", "32Y²¹"), =HYPERLINK("CSG17.html#group16B17", "16B¹⁷"), =HYPERLINK("CSG13.html#group64K13", "64K¹³"), =HYPERLINK("CSG15.html#group96O15", "96O¹⁵"), =HYPERLINK("CSG17.html#group48Q17", "48Q¹⁷"), =HYPERLINK("CSG23.html#group96A23", "96A²³"), =HYPERLINK("CSG21.html#group48F21", "48F²¹"), =HYPERLINK("CSG9.html#group32N9", "32N⁹"), =HYPERLINK("CSG9.html#group16I9", "16I⁹"), =HYPERLINK("CSG17.html#group96N17", "96N¹⁷"), =HYPERLINK("CSG23.html#group32H23", "32H²³"), =HYPERLINK("CSG17.html#group80AE17", "80AE¹⁷"), =HYPERLINK("CSG9.html#group16C9", "16C⁹"), =HYPERLINK("CSG5.html#group48E5", "48E⁵"), =HYPERLINK("CSG17.html#group96R17", "96R¹⁷"), =HYPERLINK("CSG9.html#group32H9", "32H⁹"), =HYPERLINK("CSG11.html#group32K11", "32K¹¹"), =HYPERLINK("CSG19.html#group96J19", "96J¹⁹"), =HYPERLINK("CSG15.html#group48Y15", "48Y¹⁵"), =HYPERLINK("CSG9.html#group32G9", "32G⁹"), =HYPERLINK("CSG9.html#group16J9", "16J⁹"), =HYPERLINK("CSG15.html#group48I15", "48I¹⁵"), =HYPERLINK("CSG21.html#group32K21", "32K²¹"), =HYPERLINK("CSG9.html#group32K9", "32K⁹"), =HYPERLINK("CSG3.html#group16K3", "16K³"), =HYPERLINK("CSG23.html#group32E23", "32E²³"), =HYPERLINK("CSG21.html#group64G21", "64G²¹"), =HYPERLINK("CSG15.html#group16A15", "16A¹⁵"), =HYPERLINK("CSG21.html#group32E21", "32E²¹"), =HYPERLINK("CSG13.html#group32A13", "32A¹³"), =HYPERLINK("CSG9.html#group16E9", "16E⁹"), =HYPERLINK("CSG15.html#group48W15", "48W¹⁵"), =HYPERLINK("CSG13.html#group32B13", "32B¹³"), =HYPERLINK("CSG13.html#group32K13", "32K¹³"), =HYPERLINK("CSG21.html#group64I21", "64I²¹"), =HYPERLINK("CSG7.html#group32A7", "32A⁷"), =HYPERLINK("CSG21.html#group112B21", "112B²¹"), =HYPERLINK("CSG5.html#group32E5", "32E⁵"), =HYPERLINK("CSG19.html#group32D19", "32D¹⁹"), =HYPERLINK("CSG17.html#group96B17", "96B¹⁷"), =HYPERLINK("CSG21.html#group16A21", "16A²¹"), =HYPERLINK("CSG9.html#group32M9", "32M⁹"), =HYPERLINK("CSG23.html#group32B23", "32B²³"), =HYPERLINK("CSG21.html#group32A21", "32A²¹"), =HYPERLINK("CSG21.html#group32X21", "32X²¹"), =HYPERLINK("CSG9.html#group64F9", "64F⁹"), =HYPERLINK("CSG5.html#group32G5", "32G⁵"), =HYPERLINK("CSG13.html#group32J13", "32J¹³"), =HYPERLINK("CSG21.html#group32B21", "32B²¹"), =HYPERLINK("CSG17.html#group96D17", "96D¹⁷"), =HYPERLINK("CSG7.html#group16E7", "16E⁷"), =HYPERLINK("CSG21.html#group32I21", "32I²¹"), =HYPERLINK("CSG9.html#group16L9", "16L⁹"), =HYPERLINK("CSG17.html#group16A17", "16A¹⁷"), =HYPERLINK("CSG11.html#group32E11", "32E¹¹"), =HYPERLINK("CSG17.html#group96C17", "96C¹⁷"), =HYPERLINK("CSG19.html#group32E19", "32E¹⁹"), =HYPERLINK("CSG23.html#group32A23", "32A²³"), =HYPERLINK("CSG7.html#group16D7", "16D⁷"), =HYPERLINK("CSG21.html#group32W21", "32W²¹"), =HYPERLINK("CSG15.html#group48X15", "48X¹⁵"), =HYPERLINK("CSG9.html#group32L9", "32L⁹"), =HYPERLINK("CSG13.html#group48G13", "48G¹³"), =HYPERLINK("CSG11.html#group96I11", "96I¹¹"), =HYPERLINK("CSG21.html#group32J21", "32J²¹"), =HYPERLINK("CSG5.html#group32F5", "32F⁵"), =HYPERLINK("CSG19.html#group16A19", "16A¹⁹"), =HYPERLINK("CSG3.html#group16M3", "16M³"), =HYPERLINK("CSG15.html#group48H15", "48H¹⁵"), =HYPERLINK("CSG15.html#group48J15", "48J¹⁵"), =HYPERLINK("CSG17.html#group80B17", "80B¹⁷"), =HYPERLINK("CSG17.html#group96O17", "96O¹⁷"), =HYPERLINK("CSG21.html#group16C21", "16C²¹"), =HYPERLINK("CSG21.html#group32L21", "32L²¹"), =HYPERLINK("CSG5.html#group16B5", "16B⁵"), =HYPERLINK("CSG13.html#group32I13", "32I¹³"), =HYPERLINK("CSG3.html#group16L3", "16L³"), =HYPERLINK("CSG9.html#group16B9", "16B⁹"), =HYPERLINK("CSG13.html#group48AB13", "48AB¹³"), =HYPERLINK("CSG11.html#group32G11", "32G¹¹"), =HYPERLINK("CSG3.html#group32L3", "32L³"), =HYPERLINK("CSG21.html#group64P21", "64P²¹"), =HYPERLINK("CSG21.html#group64H21", "64H²¹"), =HYPERLINK("CSG21.html#group16E21", "16E²¹")</f>
        <v/>
      </c>
    </row>
    <row r="211">
      <c r="A211" t="inlineStr">
        <is>
          <t>16G¹</t>
        </is>
      </c>
      <c r="B211" t="inlineStr"/>
      <c r="C211" t="inlineStr">
        <is>
          <t>48</t>
        </is>
      </c>
      <c r="D211" t="inlineStr">
        <is>
          <t>1</t>
        </is>
      </c>
      <c r="E211" t="inlineStr">
        <is>
          <t>12</t>
        </is>
      </c>
      <c r="F211" t="inlineStr">
        <is>
          <t>0</t>
        </is>
      </c>
      <c r="G211" t="inlineStr">
        <is>
          <t>0</t>
        </is>
      </c>
      <c r="H211" t="inlineStr">
        <is>
          <t>2⁴, 4², 16²</t>
        </is>
      </c>
      <c r="I211" t="n">
        <v>8</v>
      </c>
      <c r="J211" t="inlineStr">
        <is>
          <t>1⁴, 2², 4¹</t>
        </is>
      </c>
      <c r="K211">
        <f>HYPERLINK("CSG0.html#group8I0", "8I⁰"), =HYPERLINK("CSG0.html#group16D0", "16D⁰"), =HYPERLINK("CSG1.html#group16A1", "16A¹")</f>
        <v/>
      </c>
      <c r="L211">
        <f>HYPERLINK("CSG1.html#group16M1", "16M¹"), =HYPERLINK("CSG3.html#group16N3", "16N³"), =HYPERLINK("CSG3.html#group32O3", "32O³"), =HYPERLINK("CSG5.html#group32C5", "32C⁵"), =HYPERLINK("CSG5.html#group32D5", "32D⁵"), =HYPERLINK("CSG9.html#group48B9", "48B⁹"), =HYPERLINK("CSG9.html#group48AO9", "48AO⁹"), =HYPERLINK("CSG17.html#group80C17", "80C¹⁷"), =HYPERLINK("CSG17.html#group80AJ17", "80AJ¹⁷")</f>
        <v/>
      </c>
      <c r="M211">
        <f>HYPERLINK("CSG1.html#group16A1", "16A¹"), =HYPERLINK("CSG0.html#group8C0", "8C⁰"), =HYPERLINK("CSG0.html#group2B0", "2B⁰"), =HYPERLINK("CSG0.html#group8I0", "8I⁰"), =HYPERLINK("CSG0.html#group4B0", "4B⁰"), =HYPERLINK("CSG0.html#group1A0", "1A⁰"), =HYPERLINK("CSG0.html#group16D0", "16D⁰")</f>
        <v/>
      </c>
      <c r="N211">
        <f>HYPERLINK("CSG21.html#group96D21", "96D²¹"), =HYPERLINK("CSG17.html#group48AD17", "48AD¹⁷"), =HYPERLINK("CSG9.html#group48B9", "48B⁹"), =HYPERLINK("CSG19.html#group48AP19", "48AP¹⁹"), =HYPERLINK("CSG5.html#group32N5", "32N⁵"), =HYPERLINK("CSG5.html#group16M5", "16M⁵"), =HYPERLINK("CSG17.html#group48D17", "48D¹⁷"), =HYPERLINK("CSG21.html#group64C21", "64C²¹"), =HYPERLINK("CSG21.html#group96R21", "96R²¹"), =HYPERLINK("CSG17.html#group32A17", "32A¹⁷"), =HYPERLINK("CSG17.html#group64D17", "64D¹⁷"), =HYPERLINK("CSG13.html#group64I13", "64I¹³"), =HYPERLINK("CSG5.html#group32M5", "32M⁵"), =HYPERLINK("CSG13.html#group64H13", "64H¹³"), =HYPERLINK("CSG17.html#group80C17", "80C¹⁷"), =HYPERLINK("CSG19.html#group48Q19", "48Q¹⁹"), =HYPERLINK("CSG17.html#group32D17", "32D¹⁷"), =HYPERLINK("CSG19.html#group96Z19", "96Z¹⁹"), =HYPERLINK("CSG17.html#group16A17", "16A¹⁷"), =HYPERLINK("CSG17.html#group80AJ17", "80AJ¹⁷"), =HYPERLINK("CSG13.html#group64E13", "64E¹³"), =HYPERLINK("CSG13.html#group32T13", "32T¹³"), =HYPERLINK("CSG3.html#group32O3", "32O³"), =HYPERLINK("CSG13.html#group64F13", "64F¹³"), =HYPERLINK("CSG5.html#group32D5", "32D⁵"), =HYPERLINK("CSG1.html#group16M1", "16M¹"), =HYPERLINK("CSG9.html#group48AO9", "48AO⁹"), =HYPERLINK("CSG9.html#group32E9", "32E⁹"), =HYPERLINK("CSG13.html#group32U13", "32U¹³"), =HYPERLINK("CSG13.html#group64J13", "64J¹³"), =HYPERLINK("CSG17.html#group32B17", "32B¹⁷"), =HYPERLINK("CSG5.html#group16N5", "16N⁵"), =HYPERLINK("CSG13.html#group64V13", "64V¹³"), =HYPERLINK("CSG21.html#group96BL21", "96BL²¹"), =HYPERLINK("CSG17.html#group48CO17", "48CO¹⁷"), =HYPERLINK("CSG21.html#group96C21", "96C²¹"), =HYPERLINK("CSG19.html#group96K19", "96K¹⁹"), =HYPERLINK("CSG21.html#group32C21", "32C²¹"), =HYPERLINK("CSG21.html#group48CM21", "48CM²¹"), =HYPERLINK("CSG13.html#group64G13", "64G¹³"), =HYPERLINK("CSG21.html#group96Q21", "96Q²¹"), =HYPERLINK("CSG21.html#group96BM21", "96BM²¹"), =HYPERLINK("CSG3.html#group16N3", "16N³"), =HYPERLINK("CSG21.html#group32O21", "32O²¹"), =HYPERLINK("CSG5.html#group32C5", "32C⁵"), =HYPERLINK("CSG17.html#group48AB17", "48AB¹⁷"), =HYPERLINK("CSG17.html#group48CM17", "48CM¹⁷"), =HYPERLINK("CSG17.html#group48CQ17", "48CQ¹⁷"), =HYPERLINK("CSG17.html#group64A17", "64A¹⁷"), =HYPERLINK("CSG9.html#group32J9", "32J⁹"), =HYPERLINK("CSG21.html#group48CL21", "48CL²¹"), =HYPERLINK("CSG21.html#group64N21", "64N²¹"), =HYPERLINK("CSG13.html#group16C13", "16C¹³"), =HYPERLINK("CSG21.html#group32N21", "32N²¹"), =HYPERLINK("CSG9.html#group32I9", "32I⁹"), =HYPERLINK("CSG21.html#group64O21", "64O²¹")</f>
        <v/>
      </c>
    </row>
    <row r="212">
      <c r="A212" t="inlineStr">
        <is>
          <t>16H¹</t>
        </is>
      </c>
      <c r="B212" t="inlineStr"/>
      <c r="C212" t="inlineStr">
        <is>
          <t>48</t>
        </is>
      </c>
      <c r="D212" t="inlineStr">
        <is>
          <t>1</t>
        </is>
      </c>
      <c r="E212" t="inlineStr">
        <is>
          <t>12</t>
        </is>
      </c>
      <c r="F212" t="inlineStr">
        <is>
          <t>4</t>
        </is>
      </c>
      <c r="G212" t="inlineStr">
        <is>
          <t>0</t>
        </is>
      </c>
      <c r="H212" t="inlineStr">
        <is>
          <t>4⁴, 16²</t>
        </is>
      </c>
      <c r="I212" t="n">
        <v>6</v>
      </c>
      <c r="J212" t="inlineStr">
        <is>
          <t>2², 4²</t>
        </is>
      </c>
      <c r="K212">
        <f>HYPERLINK("CSG0.html#group8H0", "8H⁰")</f>
        <v/>
      </c>
      <c r="L212">
        <f>HYPERLINK("CSG2.html#group16L2", "16L²"), =HYPERLINK("CSG3.html#group16H3", "16H³"), =HYPERLINK("CSG3.html#group16K3", "16K³"), =HYPERLINK("CSG4.html#group16C4", "16C⁴"), =HYPERLINK("CSG5.html#group16E5", "16E⁵"), =HYPERLINK("CSG7.html#group48O7", "48O⁷"), =HYPERLINK("CSG11.html#group48Z11", "48Z¹¹"), =HYPERLINK("CSG17.html#group80F17", "80F¹⁷"), =HYPERLINK("CSG17.html#group80AL17", "80AL¹⁷"), =HYPERLINK("CSG23.html#group112I23", "112I²³")</f>
        <v/>
      </c>
      <c r="M212">
        <f>HYPERLINK("CSG0.html#group8H0", "8H⁰"), =HYPERLINK("CSG0.html#group8D0", "8D⁰"), =HYPERLINK("CSG0.html#group4A0", "4A⁰"), =HYPERLINK("CSG0.html#group4C0", "4C⁰"), =HYPERLINK("CSG0.html#group8B0", "8B⁰"), =HYPERLINK("CSG0.html#group2B0", "2B⁰"), =HYPERLINK("CSG0.html#group4F0", "4F⁰"), =HYPERLINK("CSG0.html#group1A0", "1A⁰")</f>
        <v/>
      </c>
      <c r="N212">
        <f>HYPERLINK("CSG19.html#group16B19", "16B¹⁹"), =HYPERLINK("CSG9.html#group32F9", "32F⁹"), =HYPERLINK("CSG21.html#group32M21", "32M²¹"), =HYPERLINK("CSG5.html#group16M5", "16M⁵"), =HYPERLINK("CSG17.html#group80F17", "80F¹⁷"), =HYPERLINK("CSG11.html#group48Z11", "48Z¹¹"), =HYPERLINK("CSG10.html#group32A10", "32A¹⁰"), =HYPERLINK("CSG21.html#group48CO21", "48CO²¹"), =HYPERLINK("CSG9.html#group16I9", "16I⁹"), =HYPERLINK("CSG21.html#group32P21", "32P²¹"), =HYPERLINK("CSG11.html#group16B11", "16B¹¹"), =HYPERLINK("CSG21.html#group48CE21", "48CE²¹"), =HYPERLINK("CSG9.html#group16C9", "16C⁹"), =HYPERLINK("CSG18.html#group64B18", "64B¹⁸"), =HYPERLINK("CSG9.html#group32A9", "32A⁹"), =HYPERLINK("CSG21.html#group32C21", "32C²¹"), =HYPERLINK("CSG23.html#group112I23", "112I²³"), =HYPERLINK("CSG2.html#group16L2", "16L²"), =HYPERLINK("CSG9.html#group16J9", "16J⁹"), =HYPERLINK("CSG9.html#group32K9", "32K⁹"), =HYPERLINK("CSG21.html#group32F21", "32F²¹"), =HYPERLINK("CSG3.html#group16K3", "16K³"), =HYPERLINK("CSG15.html#group48T15", "48T¹⁵"), =HYPERLINK("CSG21.html#group16F21", "16F²¹"), =HYPERLINK("CSG23.html#group32E23", "32E²³"), =HYPERLINK("CSG18.html#group48F18", "48F¹⁸"), =HYPERLINK("CSG21.html#group64G21", "64G²¹"), =HYPERLINK("CSG9.html#group16A9", "16A⁹"), =HYPERLINK("CSG15.html#group16A15", "16A¹⁵"), =HYPERLINK("CSG18.html#group64A18", "64A¹⁸"), =HYPERLINK("CSG17.html#group48AF17", "48AF¹⁷"), =HYPERLINK("CSG23.html#group32G23", "32G²³"), =HYPERLINK("CSG4.html#group16C4", "16C⁴"), =HYPERLINK("CSG9.html#group16H9", "16H⁹"), =HYPERLINK("CSG9.html#group32B9", "32B⁹"), =HYPERLINK("CSG16.html#group48G16", "48G¹⁶"), =HYPERLINK("CSG7.html#group48O7", "48O⁷"), =HYPERLINK("CSG17.html#group48AN17", "48AN¹⁷"), =HYPERLINK("CSG19.html#group32D19", "32D¹⁹"), =HYPERLINK("CSG23.html#group32B23", "32B²³"), =HYPERLINK("CSG21.html#group64F21", "64F²¹"), =HYPERLINK("CSG21.html#group32A21", "32A²¹"), =HYPERLINK("CSG21.html#group32X21", "32X²¹"), =HYPERLINK("CSG17.html#group80AL17", "80AL¹⁷"), =HYPERLINK("CSG16.html#group48A16", "48A¹⁶"), =HYPERLINK("CSG17.html#group32A17", "32A¹⁷"), =HYPERLINK("CSG21.html#group32B21", "32B²¹"), =HYPERLINK("CSG21.html#group32I21", "32I²¹"), =HYPERLINK("CSG17.html#group16A17", "16A¹⁷"), =HYPERLINK("CSG19.html#group48A19", "48A¹⁹"), =HYPERLINK("CSG11.html#group32E11", "32E¹¹"), =HYPERLINK("CSG12.html#group32C12", "32C¹²"), =HYPERLINK("CSG13.html#group32T13", "32T¹³"), =HYPERLINK("CSG19.html#group32E19", "32E¹⁹"), =HYPERLINK("CSG23.html#group32A23", "32A²³"), =HYPERLINK("CSG7.html#group16D7", "16D⁷"), =HYPERLINK("CSG21.html#group32W21", "32W²¹"), =HYPERLINK("CSG21.html#group64D21", "64D²¹"), =HYPERLINK("CSG9.html#group32L9", "32L⁹"), =HYPERLINK("CSG19.html#group48AC19", "48AC¹⁹"), =HYPERLINK("CSG21.html#group32J21", "32J²¹"), =HYPERLINK("CSG18.html#group48P18", "48P¹⁸"), =HYPERLINK("CSG19.html#group16A19", "16A¹⁹"), =HYPERLINK("CSG15.html#group48H15", "48H¹⁵"), =HYPERLINK("CSG21.html#group48T21", "48T²¹"), =HYPERLINK("CSG3.html#group16H3", "16H³"), =HYPERLINK("CSG21.html#group16C21", "16C²¹"), =HYPERLINK("CSG13.html#group32I13", "32I¹³"), =HYPERLINK("CSG13.html#group16C13", "16C¹³"), =HYPERLINK("CSG11.html#group16C11", "16C¹¹"), =HYPERLINK("CSG6.html#group32H6", "32H⁶"), =HYPERLINK("CSG5.html#group16E5", "16E⁵"), =HYPERLINK("CSG21.html#group16E21", "16E²¹")</f>
        <v/>
      </c>
    </row>
    <row r="213">
      <c r="A213" t="inlineStr">
        <is>
          <t>16I¹</t>
        </is>
      </c>
      <c r="B213" t="inlineStr"/>
      <c r="C213" t="inlineStr">
        <is>
          <t>48</t>
        </is>
      </c>
      <c r="D213" t="inlineStr">
        <is>
          <t>1</t>
        </is>
      </c>
      <c r="E213" t="inlineStr">
        <is>
          <t>12</t>
        </is>
      </c>
      <c r="F213" t="inlineStr">
        <is>
          <t>4</t>
        </is>
      </c>
      <c r="G213" t="inlineStr">
        <is>
          <t>0</t>
        </is>
      </c>
      <c r="H213" t="inlineStr">
        <is>
          <t>4⁴, 16²</t>
        </is>
      </c>
      <c r="I213" t="n">
        <v>6</v>
      </c>
      <c r="J213" t="inlineStr">
        <is>
          <t>1², 2¹, 4²</t>
        </is>
      </c>
      <c r="K213">
        <f>HYPERLINK("CSG0.html#group8H0", "8H⁰"), =HYPERLINK("CSG0.html#group16E0", "16E⁰"), =HYPERLINK("CSG1.html#group16C1", "16C¹")</f>
        <v/>
      </c>
      <c r="L213">
        <f>HYPERLINK("CSG2.html#group16L2", "16L²"), =HYPERLINK("CSG3.html#group16I3", "16I³"), =HYPERLINK("CSG3.html#group16L3", "16L³"), =HYPERLINK("CSG3.html#group32P3", "32P³"), =HYPERLINK("CSG3.html#group32Q3", "32Q³"), =HYPERLINK("CSG4.html#group16B4", "16B⁴"), =HYPERLINK("CSG5.html#group16F5", "16F⁵"), =HYPERLINK("CSG5.html#group32H5", "32H⁵"), =HYPERLINK("CSG5.html#group32I5", "32I⁵"), =HYPERLINK("CSG7.html#group48P7", "48P⁷"), =HYPERLINK("CSG11.html#group48AA11", "48AA¹¹"), =HYPERLINK("CSG17.html#group80G17", "80G¹⁷"), =HYPERLINK("CSG17.html#group80AR17", "80AR¹⁷"), =HYPERLINK("CSG23.html#group112K23", "112K²³")</f>
        <v/>
      </c>
      <c r="M213">
        <f>HYPERLINK("CSG0.html#group8H0", "8H⁰"), =HYPERLINK("CSG0.html#group16E0", "16E⁰"), =HYPERLINK("CSG0.html#group8D0", "8D⁰"), =HYPERLINK("CSG0.html#group4A0", "4A⁰"), =HYPERLINK("CSG1.html#group16C1", "16C¹"), =HYPERLINK("CSG0.html#group4C0", "4C⁰"), =HYPERLINK("CSG0.html#group8B0", "8B⁰"), =HYPERLINK("CSG0.html#group2B0", "2B⁰"), =HYPERLINK("CSG0.html#group4F0", "4F⁰"), =HYPERLINK("CSG0.html#group1A0", "1A⁰")</f>
        <v/>
      </c>
      <c r="N213">
        <f>HYPERLINK("CSG23.html#group96AI23", "96AI²³"), =HYPERLINK("CSG23.html#group32C23", "32C²³"), =HYPERLINK("CSG5.html#group16F5", "16F⁵"), =HYPERLINK("CSG19.html#group96AC19", "96AC¹⁹"), =HYPERLINK("CSG19.html#group16B19", "16B¹⁹"), =HYPERLINK("CSG23.html#group32D23", "32D²³"), =HYPERLINK("CSG21.html#group32M21", "32M²¹"), =HYPERLINK("CSG17.html#group80G17", "80G¹⁷"), =HYPERLINK("CSG21.html#group64Q21", "64Q²¹"), =HYPERLINK("CSG5.html#group16M5", "16M⁵"), =HYPERLINK("CSG7.html#group48P7", "48P⁷"), =HYPERLINK("CSG9.html#group16K9", "16K⁹"), =HYPERLINK("CSG11.html#group32F11", "32F¹¹"), =HYPERLINK("CSG15.html#group48V15", "48V¹⁵"), =HYPERLINK("CSG13.html#group64U13", "64U¹³"), =HYPERLINK("CSG17.html#group96X17", "96X¹⁷"), =HYPERLINK("CSG4.html#group16B4", "16B⁴"), =HYPERLINK("CSG10.html#group32A10", "32A¹⁰"), =HYPERLINK("CSG21.html#group48CF21", "48CF²¹"), =HYPERLINK("CSG21.html#group48CO21", "48CO²¹"), =HYPERLINK("CSG11.html#group32A11", "32A¹¹"), =HYPERLINK("CSG9.html#group32N9", "32N⁹"), =HYPERLINK("CSG21.html#group32P21", "32P²¹"), =HYPERLINK("CSG18.html#group48E18", "48E¹⁸"), =HYPERLINK("CSG19.html#group96L19", "96L¹⁹"), =HYPERLINK("CSG11.html#group32C11", "32C¹¹"), =HYPERLINK("CSG18.html#group64B18", "64B¹⁸"), =HYPERLINK("CSG21.html#group16D21", "16D²¹"), =HYPERLINK("CSG21.html#group32C21", "32C²¹"), =HYPERLINK("CSG5.html#group32H5", "32H⁵"), =HYPERLINK("CSG22.html#group64A22", "64A²²"), =HYPERLINK("CSG9.html#group32G9", "32G⁹"), =HYPERLINK("CSG2.html#group16L2", "16L²"), =HYPERLINK("CSG3.html#group16I3", "16I³"), =HYPERLINK("CSG19.html#group96M19", "96M¹⁹"), =HYPERLINK("CSG15.html#group48I15", "48I¹⁵"), =HYPERLINK("CSG21.html#group32K21", "32K²¹"), =HYPERLINK("CSG17.html#group96E17", "96E¹⁷"), =HYPERLINK("CSG24.html#group32A24", "32A²⁴"), =HYPERLINK("CSG10.html#group32C10", "32C¹⁰"), =HYPERLINK("CSG21.html#group16F21", "16F²¹"), =HYPERLINK("CSG23.html#group32E23", "32E²³"), =HYPERLINK("CSG18.html#group64A18", "64A¹⁸"), =HYPERLINK("CSG12.html#group32B12", "32B¹²"), =HYPERLINK("CSG21.html#group32E21", "32E²¹"), =HYPERLINK("CSG15.html#group16A15", "16A¹⁵"), =HYPERLINK("CSG16.html#group48H16", "48H¹⁶"), =HYPERLINK("CSG9.html#group16H9", "16H⁹"), =HYPERLINK("CSG24.html#group32B24", "32B²⁴"), =HYPERLINK("CSG18.html#group48N18", "48N¹⁸"), =HYPERLINK("CSG3.html#group32P3", "32P³"), =HYPERLINK("CSG23.html#group96AL23", "96AL²³"), =HYPERLINK("CSG9.html#group16D9", "16D⁹"), =HYPERLINK("CSG9.html#group64G9", "64G⁹"), =HYPERLINK("CSG22.html#group32A22", "32A²²"), =HYPERLINK("CSG6.html#group32H6", "32H⁶"), =HYPERLINK("CSG19.html#group32D19", "32D¹⁹"), =HYPERLINK("CSG9.html#group32M9", "32M⁹"), =HYPERLINK("CSG21.html#group16A21", "16A²¹"), =HYPERLINK("CSG23.html#group112K23", "112K²³"), =HYPERLINK("CSG11.html#group32D11", "32D¹¹"), =HYPERLINK("CSG16.html#group48A16", "48A¹⁶"), =HYPERLINK("CSG13.html#group32J13", "32J¹³"), =HYPERLINK("CSG17.html#group96F17", "96F¹⁷"), =HYPERLINK("CSG17.html#group32A17", "32A¹⁷"), =HYPERLINK("CSG9.html#group16L9", "16L⁹"), =HYPERLINK("CSG3.html#group32Q3", "32Q³"), =HYPERLINK("CSG17.html#group16A17", "16A¹⁷"), =HYPERLINK("CSG10.html#group16A10", "16A¹⁰"), =HYPERLINK("CSG21.html#group48U21", "48U²¹"), =HYPERLINK("CSG23.html#group64B23", "64B²³"), =HYPERLINK("CSG13.html#group32T13", "32T¹³"), =HYPERLINK("CSG10.html#group16B10", "16B¹⁰"), =HYPERLINK("CSG17.html#group48AP17", "48AP¹⁷"), =HYPERLINK("CSG19.html#group32E19", "32E¹⁹"), =HYPERLINK("CSG7.html#group16D7", "16D⁷"), =HYPERLINK("CSG9.html#group64H9", "64H⁹"), =HYPERLINK("CSG5.html#group32I5", "32I⁵"), =HYPERLINK("CSG7.html#group32L7", "32L⁷"), =HYPERLINK("CSG19.html#group16A19", "16A¹⁹"), =HYPERLINK("CSG11.html#group48AA11", "48AA¹¹"), =HYPERLINK("CSG24.html#group32C24", "32C²⁴"), =HYPERLINK("CSG12.html#group32A12", "32A¹²"), =HYPERLINK("CSG17.html#group48AL17", "48AL¹⁷"), =HYPERLINK("CSG24.html#group32D24", "32D²⁴"), =HYPERLINK("CSG21.html#group16C21", "16C²¹"), =HYPERLINK("CSG21.html#group32L21", "32L²¹"), =HYPERLINK("CSG19.html#group96AD19", "96AD¹⁹"), =HYPERLINK("CSG3.html#group16L3", "16L³"), =HYPERLINK("CSG9.html#group16B9", "16B⁹"), =HYPERLINK("CSG22.html#group32B22", "32B²²"), =HYPERLINK("CSG19.html#group48B19", "48B¹⁹"), =HYPERLINK("CSG10.html#group32B10", "32B¹⁰"), =HYPERLINK("CSG17.html#group96Y17", "96Y¹⁷"), =HYPERLINK("CSG19.html#group48AE19", "48AE¹⁹"), =HYPERLINK("CSG13.html#group16C13", "16C¹³"), =HYPERLINK("CSG22.html#group64B22", "64B²²"), =HYPERLINK("CSG21.html#group32D21", "32D²¹"), =HYPERLINK("CSG21.html#group64P21", "64P²¹"), =HYPERLINK("CSG21.html#group64H21", "64H²¹"), =HYPERLINK("CSG19.html#group64A19", "64A¹⁹"), =HYPERLINK("CSG17.html#group80AR17", "80AR¹⁷")</f>
        <v/>
      </c>
    </row>
    <row r="214">
      <c r="A214" t="inlineStr">
        <is>
          <t>16J¹</t>
        </is>
      </c>
      <c r="B214" t="inlineStr"/>
      <c r="C214" t="inlineStr">
        <is>
          <t>48</t>
        </is>
      </c>
      <c r="D214" t="inlineStr">
        <is>
          <t>1</t>
        </is>
      </c>
      <c r="E214" t="inlineStr">
        <is>
          <t>12</t>
        </is>
      </c>
      <c r="F214" t="inlineStr">
        <is>
          <t>8</t>
        </is>
      </c>
      <c r="G214" t="inlineStr">
        <is>
          <t>0</t>
        </is>
      </c>
      <c r="H214" t="inlineStr">
        <is>
          <t>8², 16²</t>
        </is>
      </c>
      <c r="I214" t="n">
        <v>4</v>
      </c>
      <c r="J214" t="inlineStr">
        <is>
          <t>1⁴, 2², 4¹</t>
        </is>
      </c>
      <c r="K214">
        <f>HYPERLINK("CSG0.html#group8L0", "8L⁰"), =HYPERLINK("CSG0.html#group16B0", "16B⁰"), =HYPERLINK("CSG1.html#group16D1", "16D¹")</f>
        <v/>
      </c>
      <c r="L214">
        <f>HYPERLINK("CSG3.html#group16M3", "16M³"), =HYPERLINK("CSG3.html#group16R3", "16R³"), =HYPERLINK("CSG3.html#group16S3", "16S³"), =HYPERLINK("CSG3.html#group32N3", "32N³"), =HYPERLINK("CSG5.html#group16D5", "16D⁵"), =HYPERLINK("CSG5.html#group32J5", "32J⁵"), =HYPERLINK("CSG5.html#group32K5", "32K⁵"), =HYPERLINK("CSG5.html#group32L5", "32L⁵"), =HYPERLINK("CSG5.html#group48F5", "48F⁵"), =HYPERLINK("CSG7.html#group32H7", "32H⁷"), =HYPERLINK("CSG13.html#group48O13", "48O¹³"), =HYPERLINK("CSG17.html#group80J17", "80J¹⁷"), =HYPERLINK("CSG17.html#group80AX17", "80AX¹⁷"), =HYPERLINK("CSG21.html#group112D21", "112D²¹")</f>
        <v/>
      </c>
      <c r="M214">
        <f>HYPERLINK("CSG0.html#group16B0", "16B⁰"), =HYPERLINK("CSG0.html#group8B0", "8B⁰"), =HYPERLINK("CSG0.html#group8L0", "8L⁰"), =HYPERLINK("CSG0.html#group2B0", "2B⁰"), =HYPERLINK("CSG1.html#group16D1", "16D¹"), =HYPERLINK("CSG0.html#group1A0", "1A⁰"), =HYPERLINK("CSG0.html#group4C0", "4C⁰")</f>
        <v/>
      </c>
      <c r="N214">
        <f>HYPERLINK("CSG17.html#group80AX17", "80AX¹⁷"), =HYPERLINK("CSG5.html#group16D5", "16D⁵"), =HYPERLINK("CSG5.html#group32J5", "32J⁵"), =HYPERLINK("CSG19.html#group16B19", "16B¹⁹"), =HYPERLINK("CSG5.html#group32K5", "32K⁵"), =HYPERLINK("CSG21.html#group32M21", "32M²¹"), =HYPERLINK("CSG17.html#group96AA17", "96AA¹⁷"), =HYPERLINK("CSG21.html#group32S21", "32S²¹"), =HYPERLINK("CSG21.html#group32Y21", "32Y²¹"), =HYPERLINK("CSG13.html#group64T13", "64T¹³"), =HYPERLINK("CSG23.html#group96H23", "96H²³"), =HYPERLINK("CSG3.html#group32N3", "32N³"), =HYPERLINK("CSG17.html#group16B17", "16B¹⁷"), =HYPERLINK("CSG15.html#group48M15", "48M¹⁵"), =HYPERLINK("CSG17.html#group96AB17", "96AB¹⁷"), =HYPERLINK("CSG21.html#group48J21", "48J²¹"), =HYPERLINK("CSG13.html#group64R13", "64R¹³"), =HYPERLINK("CSG3.html#group16R3", "16R³"), =HYPERLINK("CSG11.html#group96J11", "96J¹¹"), =HYPERLINK("CSG13.html#group64L13", "64L¹³"), =HYPERLINK("CSG13.html#group48O13", "48O¹³"), =HYPERLINK("CSG23.html#group32H23", "32H²³"), =HYPERLINK("CSG11.html#group32I11", "32I¹¹"), =HYPERLINK("CSG9.html#group32H9", "32H⁹"), =HYPERLINK("CSG11.html#group32K11", "32K¹¹"), =HYPERLINK("CSG13.html#group32N13", "32N¹³"), =HYPERLINK("CSG21.html#group112D21", "112D²¹"), =HYPERLINK("CSG21.html#group32U21", "32U²¹"), =HYPERLINK("CSG15.html#group48L15", "48L¹⁵"), =HYPERLINK("CSG9.html#group32O9", "32O⁹"), =HYPERLINK("CSG17.html#group96Z17", "96Z¹⁷"), =HYPERLINK("CSG15.html#group48AD15", "48AD¹⁵"), =HYPERLINK("CSG13.html#group32G13", "32G¹³"), =HYPERLINK("CSG9.html#group16G9", "16G⁹"), =HYPERLINK("CSG13.html#group32H13", "32H¹³"), =HYPERLINK("CSG23.html#group32E23", "32E²³"), =HYPERLINK("CSG13.html#group32M13", "32M¹³"), =HYPERLINK("CSG15.html#group16A15", "16A¹⁵"), =HYPERLINK("CSG19.html#group96W19", "96W¹⁹"), =HYPERLINK("CSG15.html#group96S15", "96S¹⁵"), =HYPERLINK("CSG9.html#group16E9", "16E⁹"), =HYPERLINK("CSG13.html#group64M13", "64M¹³"), =HYPERLINK("CSG5.html#group32L5", "32L⁵"), =HYPERLINK("CSG13.html#group32K13", "32K¹³"), =HYPERLINK("CSG21.html#group64I21", "64I²¹"), =HYPERLINK("CSG19.html#group32D19", "32D¹⁹"), =HYPERLINK("CSG17.html#group96H17", "96H¹⁷"), =HYPERLINK("CSG3.html#group16S3", "16S³"), =HYPERLINK("CSG7.html#group16E7", "16E⁷"), =HYPERLINK("CSG13.html#group64P13", "64P¹³"), =HYPERLINK("CSG11.html#group32J11", "32J¹¹"), =HYPERLINK("CSG17.html#group16A17", "16A¹⁷"), =HYPERLINK("CSG15.html#group48AF15", "48AF¹⁵"), =HYPERLINK("CSG19.html#group32E19", "32E¹⁹"), =HYPERLINK("CSG21.html#group64M21", "64M²¹"), =HYPERLINK("CSG13.html#group64S13", "64S¹³"), =HYPERLINK("CSG21.html#group32R21", "32R²¹"), =HYPERLINK("CSG7.html#group16D7", "16D⁷"), =HYPERLINK("CSG7.html#group32H7", "32H⁷"), =HYPERLINK("CSG21.html#group64L21", "64L²¹"), =HYPERLINK("CSG5.html#group48F5", "48F⁵"), =HYPERLINK("CSG19.html#group16A19", "16A¹⁹"), =HYPERLINK("CSG9.html#group64I9", "64I⁹"), =HYPERLINK("CSG3.html#group16M3", "16M³"), =HYPERLINK("CSG15.html#group48J15", "48J¹⁵"), =HYPERLINK("CSG13.html#group32O13", "32O¹³"), =HYPERLINK("CSG17.html#group96G17", "96G¹⁷"), =HYPERLINK("CSG15.html#group48AE15", "48AE¹⁵"), =HYPERLINK("CSG9.html#group32P9", "32P⁹"), =HYPERLINK("CSG13.html#group64O13", "64O¹³"), =HYPERLINK("CSG13.html#group48AF13", "48AF¹³"), =HYPERLINK("CSG11.html#group32G11", "32G¹¹"), =HYPERLINK("CSG17.html#group80J17", "80J¹⁷"), =HYPERLINK("CSG17.html#group48AZ17", "48AZ¹⁷"), =HYPERLINK("CSG17.html#group96AE17", "96AE¹⁷"), =HYPERLINK("CSG21.html#group32V21", "32V²¹"), =HYPERLINK("CSG21.html#group32T21", "32T²¹"), =HYPERLINK("CSG13.html#group64Q13", "64Q¹³"), =HYPERLINK("CSG13.html#group64N13", "64N¹³")</f>
        <v/>
      </c>
    </row>
    <row r="215">
      <c r="A215" t="inlineStr">
        <is>
          <t>16K¹</t>
        </is>
      </c>
      <c r="B215" t="inlineStr"/>
      <c r="C215" t="inlineStr">
        <is>
          <t>48</t>
        </is>
      </c>
      <c r="D215" t="inlineStr">
        <is>
          <t>1</t>
        </is>
      </c>
      <c r="E215" t="inlineStr">
        <is>
          <t>24</t>
        </is>
      </c>
      <c r="F215" t="inlineStr">
        <is>
          <t>2</t>
        </is>
      </c>
      <c r="G215" t="inlineStr">
        <is>
          <t>0</t>
        </is>
      </c>
      <c r="H215" t="inlineStr">
        <is>
          <t>4⁴, 8², 16¹</t>
        </is>
      </c>
      <c r="I215" t="n">
        <v>7</v>
      </c>
      <c r="J215" t="inlineStr">
        <is>
          <t>4⁴, 8⁴</t>
        </is>
      </c>
      <c r="K215">
        <f>HYPERLINK("CSG0.html#group8K0", "8K⁰")</f>
        <v/>
      </c>
      <c r="L215">
        <f>HYPERLINK("CSG2.html#group16I2", "16I²"), =HYPERLINK("CSG3.html#group16Q3", "16Q³"), =HYPERLINK("CSG4.html#group16A4", "16A⁴"), =HYPERLINK("CSG8.html#group48G8", "48G⁸"), =HYPERLINK("CSG10.html#group48H10", "48H¹⁰"), =HYPERLINK("CSG17.html#group80K17", "80K¹⁷"), =HYPERLINK("CSG17.html#group80BA17", "80BA¹⁷"), =HYPERLINK("CSG24.html#group112Y24", "112Y²⁴")</f>
        <v/>
      </c>
      <c r="M215">
        <f>HYPERLINK("CSG0.html#group1A0", "1A⁰"), =HYPERLINK("CSG0.html#group2B0", "2B⁰"), =HYPERLINK("CSG0.html#group4F0", "4F⁰"), =HYPERLINK("CSG0.html#group8K0", "8K⁰"), =HYPERLINK("CSG0.html#group4A0", "4A⁰"), =HYPERLINK("CSG0.html#group4C0", "4C⁰")</f>
        <v/>
      </c>
      <c r="N215">
        <f>HYPERLINK("CSG4.html#group16A4", "16A⁴"), =HYPERLINK("CSG18.html#group32B18", "32B¹⁸"), =HYPERLINK("CSG23.html#group32B23", "32B²³"), =HYPERLINK("CSG7.html#group16B7", "16B⁷"), =HYPERLINK("CSG17.html#group80K17", "80K¹⁷"), =HYPERLINK("CSG23.html#group48C23", "48C²³"), =HYPERLINK("CSG17.html#group16B17", "16B¹⁷"), =HYPERLINK("CSG16.html#group48D16", "48D¹⁶"), =HYPERLINK("CSG10.html#group16B10", "16B¹⁰"), =HYPERLINK("CSG10.html#group48H10", "48H¹⁰"), =HYPERLINK("CSG13.html#group16B13", "16B¹³"), =HYPERLINK("CSG19.html#group48BP19", "48BP¹⁹"), =HYPERLINK("CSG5.html#group16O5", "16O⁵"), =HYPERLINK("CSG19.html#group48AS19", "48AS¹⁹"), =HYPERLINK("CSG20.html#group48A20", "48A²⁰"), =HYPERLINK("CSG21.html#group32W21", "32W²¹"), =HYPERLINK("CSG18.html#group32A18", "32A¹⁸"), =HYPERLINK("CSG3.html#group16Q3", "16Q³"), =HYPERLINK("CSG6.html#group16C6", "16C⁶"), =HYPERLINK("CSG21.html#group32J21", "32J²¹"), =HYPERLINK("CSG11.html#group16D11", "16D¹¹"), =HYPERLINK("CSG24.html#group112Y24", "112Y²⁴"), =HYPERLINK("CSG19.html#group16A19", "16A¹⁹"), =HYPERLINK("CSG24.html#group32C24", "32C²⁴"), =HYPERLINK("CSG21.html#group16D21", "16D²¹"), =HYPERLINK("CSG2.html#group16I2", "16I²"), =HYPERLINK("CSG18.html#group48B18", "48B¹⁸"), =HYPERLINK("CSG23.html#group48D23", "48D²³"), =HYPERLINK("CSG24.html#group32D24", "32D²⁴"), =HYPERLINK("CSG9.html#group16J9", "16J⁹"), =HYPERLINK("CSG17.html#group32E17", "32E¹⁷"), =HYPERLINK("CSG21.html#group16F21", "16F²¹"), =HYPERLINK("CSG23.html#group32F23", "32F²³"), =HYPERLINK("CSG18.html#group48J18", "48J¹⁸"), =HYPERLINK("CSG17.html#group48BK17", "48BK¹⁷"), =HYPERLINK("CSG8.html#group48G8", "48G⁸"), =HYPERLINK("CSG13.html#group16C13", "16C¹³"), =HYPERLINK("CSG17.html#group48T17", "48T¹⁷"), =HYPERLINK("CSG19.html#group32A19", "32A¹⁹"), =HYPERLINK("CSG11.html#group16C11", "16C¹¹"), =HYPERLINK("CSG21.html#group16E21", "16E²¹"), =HYPERLINK("CSG17.html#group80BA17", "80BA¹⁷")</f>
        <v/>
      </c>
    </row>
    <row r="216">
      <c r="A216" t="inlineStr">
        <is>
          <t>16L¹</t>
        </is>
      </c>
      <c r="B216" t="inlineStr"/>
      <c r="C216" t="inlineStr">
        <is>
          <t>48</t>
        </is>
      </c>
      <c r="D216" t="inlineStr">
        <is>
          <t>1</t>
        </is>
      </c>
      <c r="E216" t="inlineStr">
        <is>
          <t>24</t>
        </is>
      </c>
      <c r="F216" t="inlineStr">
        <is>
          <t>2</t>
        </is>
      </c>
      <c r="G216" t="inlineStr">
        <is>
          <t>0</t>
        </is>
      </c>
      <c r="H216" t="inlineStr">
        <is>
          <t>4⁴, 8², 16¹</t>
        </is>
      </c>
      <c r="I216" t="n">
        <v>7</v>
      </c>
      <c r="J216" t="inlineStr">
        <is>
          <t>4⁴, 8⁴</t>
        </is>
      </c>
      <c r="K216">
        <f>HYPERLINK("CSG0.html#group8K0", "8K⁰")</f>
        <v/>
      </c>
      <c r="L216">
        <f>HYPERLINK("CSG2.html#group16I2", "16I²"), =HYPERLINK("CSG3.html#group16Q3", "16Q³"), =HYPERLINK("CSG4.html#group16A4", "16A⁴"), =HYPERLINK("CSG8.html#group48H8", "48H⁸"), =HYPERLINK("CSG10.html#group48I10", "48I¹⁰"), =HYPERLINK("CSG17.html#group80L17", "80L¹⁷"), =HYPERLINK("CSG17.html#group80BB17", "80BB¹⁷"), =HYPERLINK("CSG24.html#group112Z24", "112Z²⁴")</f>
        <v/>
      </c>
      <c r="M216">
        <f>HYPERLINK("CSG0.html#group1A0", "1A⁰"), =HYPERLINK("CSG0.html#group2B0", "2B⁰"), =HYPERLINK("CSG0.html#group4F0", "4F⁰"), =HYPERLINK("CSG0.html#group8K0", "8K⁰"), =HYPERLINK("CSG0.html#group4A0", "4A⁰"), =HYPERLINK("CSG0.html#group4C0", "4C⁰")</f>
        <v/>
      </c>
      <c r="N216">
        <f>HYPERLINK("CSG18.html#group48K18", "48K¹⁸"), =HYPERLINK("CSG4.html#group16A4", "16A⁴"), =HYPERLINK("CSG18.html#group32B18", "32B¹⁸"), =HYPERLINK("CSG23.html#group32B23", "32B²³"), =HYPERLINK("CSG7.html#group16B7", "16B⁷"), =HYPERLINK("CSG23.html#group48C23", "48C²³"), =HYPERLINK("CSG17.html#group16B17", "16B¹⁷"), =HYPERLINK("CSG24.html#group112Z24", "112Z²⁴"), =HYPERLINK("CSG10.html#group48I10", "48I¹⁰"), =HYPERLINK("CSG19.html#group48AT19", "48AT¹⁹"), =HYPERLINK("CSG10.html#group16B10", "16B¹⁰"), =HYPERLINK("CSG13.html#group16B13", "16B¹³"), =HYPERLINK("CSG19.html#group48BP19", "48BP¹⁹"), =HYPERLINK("CSG5.html#group16O5", "16O⁵"), =HYPERLINK("CSG20.html#group48A20", "48A²⁰"), =HYPERLINK("CSG21.html#group32W21", "32W²¹"), =HYPERLINK("CSG18.html#group32A18", "32A¹⁸"), =HYPERLINK("CSG3.html#group16Q3", "16Q³"), =HYPERLINK("CSG6.html#group16C6", "16C⁶"), =HYPERLINK("CSG21.html#group32J21", "32J²¹"), =HYPERLINK("CSG11.html#group16D11", "16D¹¹"), =HYPERLINK("CSG17.html#group80L17", "80L¹⁷"), =HYPERLINK("CSG19.html#group16A19", "16A¹⁹"), =HYPERLINK("CSG16.html#group48E16", "48E¹⁶"), =HYPERLINK("CSG24.html#group32C24", "32C²⁴"), =HYPERLINK("CSG21.html#group16D21", "16D²¹"), =HYPERLINK("CSG2.html#group16I2", "16I²"), =HYPERLINK("CSG18.html#group48B18", "48B¹⁸"), =HYPERLINK("CSG17.html#group48BL17", "48BL¹⁷"), =HYPERLINK("CSG23.html#group48D23", "48D²³"), =HYPERLINK("CSG8.html#group48H8", "48H⁸"), =HYPERLINK("CSG24.html#group32D24", "32D²⁴"), =HYPERLINK("CSG17.html#group80BB17", "80BB¹⁷"), =HYPERLINK("CSG9.html#group16J9", "16J⁹"), =HYPERLINK("CSG17.html#group32E17", "32E¹⁷"), =HYPERLINK("CSG21.html#group16F21", "16F²¹"), =HYPERLINK("CSG23.html#group32F23", "32F²³"), =HYPERLINK("CSG17.html#group48T17", "48T¹⁷"), =HYPERLINK("CSG13.html#group16C13", "16C¹³"), =HYPERLINK("CSG11.html#group16C11", "16C¹¹"), =HYPERLINK("CSG19.html#group32A19", "32A¹⁹"), =HYPERLINK("CSG21.html#group16E21", "16E²¹")</f>
        <v/>
      </c>
    </row>
    <row r="217">
      <c r="A217" t="inlineStr">
        <is>
          <t>16M¹</t>
        </is>
      </c>
      <c r="B217" t="inlineStr"/>
      <c r="C217" t="inlineStr">
        <is>
          <t>96</t>
        </is>
      </c>
      <c r="D217" t="inlineStr">
        <is>
          <t>1</t>
        </is>
      </c>
      <c r="E217" t="inlineStr">
        <is>
          <t>6</t>
        </is>
      </c>
      <c r="F217" t="inlineStr">
        <is>
          <t>0</t>
        </is>
      </c>
      <c r="G217" t="inlineStr">
        <is>
          <t>0</t>
        </is>
      </c>
      <c r="H217" t="inlineStr">
        <is>
          <t>2⁸, 4⁴, 16⁴</t>
        </is>
      </c>
      <c r="I217" t="n">
        <v>16</v>
      </c>
      <c r="J217" t="inlineStr">
        <is>
          <t>1⁴, 2¹</t>
        </is>
      </c>
      <c r="K217">
        <f>HYPERLINK("CSG0.html#group8O0", "8O⁰"), =HYPERLINK("CSG0.html#group16G0", "16G⁰"), =HYPERLINK("CSG0.html#group16H0", "16H⁰"), =HYPERLINK("CSG1.html#group16E1", "16E¹"), =HYPERLINK("CSG1.html#group16G1", "16G¹")</f>
        <v/>
      </c>
      <c r="L217">
        <f>HYPERLINK("CSG5.html#group16M5", "16M⁵"), =HYPERLINK("CSG5.html#group16N5", "16N⁵"), =HYPERLINK("CSG5.html#group32M5", "32M⁵"), =HYPERLINK("CSG5.html#group32N5", "32N⁵"), =HYPERLINK("CSG9.html#group32E9", "32E⁹"), =HYPERLINK("CSG17.html#group48D17", "48D¹⁷"), =HYPERLINK("CSG17.html#group48CM17", "48CM¹⁷")</f>
        <v/>
      </c>
      <c r="M217">
        <f>HYPERLINK("CSG0.html#group16G0", "16G⁰"), =HYPERLINK("CSG0.html#group2A0", "2A⁰"), =HYPERLINK("CSG0.html#group8D0", "8D⁰"), =HYPERLINK("CSG1.html#group16E1", "16E¹"), =HYPERLINK("CSG0.html#group4C0", "4C⁰"), =HYPERLINK("CSG1.html#group16A1", "16A¹"), =HYPERLINK("CSG0.html#group8C0", "8C⁰"), =HYPERLINK("CSG0.html#group4E0", "4E⁰"), =HYPERLINK("CSG0.html#group2B0", "2B⁰"), =HYPERLINK("CSG0.html#group8I0", "8I⁰"), =HYPERLINK("CSG0.html#group4B0", "4B⁰"), =HYPERLINK("CSG0.html#group1A0", "1A⁰"), =HYPERLINK("CSG0.html#group16H0", "16H⁰"), =HYPERLINK("CSG0.html#group16E0", "16E⁰"), =HYPERLINK("CSG1.html#group16G1", "16G¹"), =HYPERLINK("CSG0.html#group8G0", "8G⁰"), =HYPERLINK("CSG0.html#group16C0", "16C⁰"), =HYPERLINK("CSG0.html#group16D0", "16D⁰"), =HYPERLINK("CSG0.html#group8J0", "8J⁰"), =HYPERLINK("CSG0.html#group2C0", "2C⁰"), =HYPERLINK("CSG0.html#group8O0", "8O⁰")</f>
        <v/>
      </c>
      <c r="N217">
        <f>HYPERLINK("CSG17.html#group32B17", "32B¹⁷"), =HYPERLINK("CSG5.html#group16N5", "16N⁵"), =HYPERLINK("CSG13.html#group64V13", "64V¹³"), =HYPERLINK("CSG5.html#group32N5", "32N⁵"), =HYPERLINK("CSG5.html#group16M5", "16M⁵"), =HYPERLINK("CSG21.html#group32C21", "32C²¹"), =HYPERLINK("CSG17.html#group48D17", "48D¹⁷"), =HYPERLINK("CSG21.html#group64C21", "64C²¹"), =HYPERLINK("CSG17.html#group64D17", "64D¹⁷"), =HYPERLINK("CSG17.html#group32A17", "32A¹⁷"), =HYPERLINK("CSG5.html#group32M5", "32M⁵"), =HYPERLINK("CSG17.html#group16A17", "16A¹⁷"), =HYPERLINK("CSG17.html#group32D17", "32D¹⁷"), =HYPERLINK("CSG17.html#group48CM17", "48CM¹⁷"), =HYPERLINK("CSG13.html#group32T13", "32T¹³"), =HYPERLINK("CSG17.html#group64A17", "64A¹⁷"), =HYPERLINK("CSG13.html#group16C13", "16C¹³"), =HYPERLINK("CSG9.html#group32E9", "32E⁹"), =HYPERLINK("CSG13.html#group32U13", "32U¹³")</f>
        <v/>
      </c>
    </row>
    <row r="218">
      <c r="A218" t="inlineStr">
        <is>
          <t>17A¹</t>
        </is>
      </c>
      <c r="B218" t="inlineStr">
        <is>
          <t>Γ₀(17)</t>
        </is>
      </c>
      <c r="C218" t="inlineStr">
        <is>
          <t>18</t>
        </is>
      </c>
      <c r="D218" t="inlineStr">
        <is>
          <t>1</t>
        </is>
      </c>
      <c r="E218" t="inlineStr">
        <is>
          <t>18</t>
        </is>
      </c>
      <c r="F218" t="inlineStr">
        <is>
          <t>2</t>
        </is>
      </c>
      <c r="G218" t="inlineStr">
        <is>
          <t>0</t>
        </is>
      </c>
      <c r="H218" t="inlineStr">
        <is>
          <t>1¹, 17¹</t>
        </is>
      </c>
      <c r="I218" t="n">
        <v>2</v>
      </c>
      <c r="J218" t="inlineStr">
        <is>
          <t>1², 16¹</t>
        </is>
      </c>
      <c r="K218">
        <f>HYPERLINK("CSG0.html#group1A0", "1A⁰")</f>
        <v/>
      </c>
      <c r="L218">
        <f>HYPERLINK("CSG1.html#group17B1", "17B¹"), =HYPERLINK("CSG3.html#group34A3", "34A³"), =HYPERLINK("CSG3.html#group34B3", "34B³"), =HYPERLINK("CSG3.html#group34C3", "34C³"), =HYPERLINK("CSG3.html#group51A3", "51A³"), =HYPERLINK("CSG5.html#group51A5", "51A⁵"), =HYPERLINK("CSG5.html#group68A5", "68A⁵"), =HYPERLINK("CSG7.html#group85A7", "85A⁷"), =HYPERLINK("CSG7.html#group85B7", "85B⁷"), =HYPERLINK("CSG9.html#group119A9", "119A⁹"), =HYPERLINK("CSG11.html#group119A11", "119A¹¹"), =HYPERLINK("CSG13.html#group85B13", "85B¹³"), =HYPERLINK("CSG15.html#group187A15", "187A¹⁵"), =HYPERLINK("CSG17.html#group17A17", "17A¹⁷"), =HYPERLINK("CSG17.html#group187A17", "187A¹⁷"), =HYPERLINK("CSG17.html#group289A17", "289A¹⁷"), =HYPERLINK("CSG19.html#group221A19", "221A¹⁹")</f>
        <v/>
      </c>
      <c r="M218">
        <f>HYPERLINK("CSG0.html#group1A0", "1A⁰")</f>
        <v/>
      </c>
      <c r="N218">
        <f>HYPERLINK("CSG9.html#group102C9", "102C⁹"), =HYPERLINK("CSG21.html#group68A21", "68A²¹"), =HYPERLINK("CSG3.html#group34C3", "34C³"), =HYPERLINK("CSG9.html#group102B9", "102B⁹"), =HYPERLINK("CSG21.html#group102D21", "102D²¹"), =HYPERLINK("CSG23.html#group272B23", "272B²³"), =HYPERLINK("CSG15.html#group187A15", "187A¹⁵"), =HYPERLINK("CSG19.html#group119B19", "119B¹⁹"), =HYPERLINK("CSG15.html#group68F15", "68F¹⁵"), =HYPERLINK("CSG17.html#group170A17", "170A¹⁷"), =HYPERLINK("CSG5.html#group51A5", "51A⁵"), =HYPERLINK("CSG15.html#group136A15", "136A¹⁵"), =HYPERLINK("CSG1.html#group17B1", "17B¹"), =HYPERLINK("CSG17.html#group102F17", "102F¹⁷"), =HYPERLINK("CSG15.html#group136C15", "136C¹⁵"), =HYPERLINK("CSG17.html#group102G17", "102G¹⁷"), =HYPERLINK("CSG13.html#group51A13", "51A¹³"), =HYPERLINK("CSG15.html#group204A15", "204A¹⁵"), =HYPERLINK("CSG5.html#group34D5", "34D⁵"), =HYPERLINK("CSG11.html#group136B11", "136B¹¹"), =HYPERLINK("CSG23.html#group204B23", "204B²³"), =HYPERLINK("CSG21.html#group255A21", "255A²¹"), =HYPERLINK("CSG23.html#group204G23", "204G²³"), =HYPERLINK("CSG15.html#group136D15", "136D¹⁵"), =HYPERLINK("CSG23.html#group204C23", "204C²³"), =HYPERLINK("CSG23.html#group102D23", "102D²³"), =HYPERLINK("CSG15.html#group51A15", "51A¹⁵"), =HYPERLINK("CSG17.html#group170B17", "170B¹⁷"), =HYPERLINK("CSG3.html#group51A3", "51A³"), =HYPERLINK("CSG9.html#group102A9", "102A⁹"), =HYPERLINK("CSG15.html#group136B15", "136B¹⁵"), =HYPERLINK("CSG15.html#group85B15", "85B¹⁵"), =HYPERLINK("CSG11.html#group102B11", "102B¹¹"), =HYPERLINK("CSG15.html#group68B15", "68B¹⁵"), =HYPERLINK("CSG17.html#group119A17", "119A¹⁷"), =HYPERLINK("CSG17.html#group68B17", "68B¹⁷"), =HYPERLINK("CSG23.html#group136B23", "136B²³"), =HYPERLINK("CSG7.html#group68C7", "68C⁷"), =HYPERLINK("CSG23.html#group102C23", "102C²³"), =HYPERLINK("CSG17.html#group102E17", "102E¹⁷"), =HYPERLINK("CSG15.html#group153A15", "153A¹⁵"), =HYPERLINK("CSG15.html#group136E15", "136E¹⁵"), =HYPERLINK("CSG17.html#group136C17", "136C¹⁷"), =HYPERLINK("CSG5.html#group34B5", "34B⁵"), =HYPERLINK("CSG7.html#group34B7", "34B⁷"), =HYPERLINK("CSG9.html#group34A9", "34A⁹"), =HYPERLINK("CSG23.html#group136A23", "136A²³"), =HYPERLINK("CSG21.html#group238A21", "238A²¹"), =HYPERLINK("CSG9.html#group68A9", "68A⁹"), =HYPERLINK("CSG17.html#group136B17", "136B¹⁷"), =HYPERLINK("CSG21.html#group102C21", "102C²¹"), =HYPERLINK("CSG17.html#group68A17", "68A¹⁷"), =HYPERLINK("CSG7.html#group34A7", "34A⁷"), =HYPERLINK("CSG15.html#group68C15", "68C¹⁵"), =HYPERLINK("CSG17.html#group102D17", "102D¹⁷"), =HYPERLINK("CSG21.html#group68C21", "68C²¹"), =HYPERLINK("CSG21.html#group153A21", "153A²¹"), =HYPERLINK("CSG11.html#group102C11", "102C¹¹"), =HYPERLINK("CSG23.html#group306A23", "306A²³"), =HYPERLINK("CSG13.html#group85B13", "85B¹³"), =HYPERLINK("CSG19.html#group238B19", "238B¹⁹"), =HYPERLINK("CSG21.html#group136C21", "136C²¹"), =HYPERLINK("CSG21.html#group34A21", "34A²¹"), =HYPERLINK("CSG19.html#group119A19", "119A¹⁹"), =HYPERLINK("CSG23.html#group170A23", "170A²³"), =HYPERLINK("CSG23.html#group102A23", "102A²³"), =HYPERLINK("CSG13.html#group68B13", "68B¹³"), =HYPERLINK("CSG13.html#group34D13", "34D¹³"), =HYPERLINK("CSG23.html#group306B23", "306B²³"), =HYPERLINK("CSG21.html#group102A21", "102A²¹"), =HYPERLINK("CSG7.html#group51A7", "51A⁷"), =HYPERLINK("CSG17.html#group289A17", "289A¹⁷"), =HYPERLINK("CSG11.html#group102A11", "102A¹¹"), =HYPERLINK("CSG17.html#group34A17", "34A¹⁷"), =HYPERLINK("CSG21.html#group170A21", "170A²¹"), =HYPERLINK("CSG17.html#group102C17", "102C¹⁷"), =HYPERLINK("CSG19.html#group221A19", "221A¹⁹"), =HYPERLINK("CSG11.html#group119A11", "119A¹¹"), =HYPERLINK("CSG23.html#group238A23", "238A²³"), =HYPERLINK("CSG17.html#group153B17", "153B¹⁷"), =HYPERLINK("CSG13.html#group68A13", "68A¹³"), =HYPERLINK("CSG21.html#group51A21", "51A²¹"), =HYPERLINK("CSG23.html#group153B23", "153B²³"), =HYPERLINK("CSG13.html#group102B13", "102B¹³"), =HYPERLINK("CSG21.html#group136B21", "136B²¹"), =HYPERLINK("CSG11.html#group153A11", "153A¹¹"), =HYPERLINK("CSG7.html#group102B7", "102B⁷"), =HYPERLINK("CSG5.html#group34C5", "34C⁵"), =HYPERLINK("CSG15.html#group51B15", "51B¹⁵"), =HYPERLINK("CSG23.html#group238B23", "238B²³"), =HYPERLINK("CSG17.html#group153A17", "153A¹⁷"), =HYPERLINK("CSG15.html#group102B15", "102B¹⁵"), =HYPERLINK("CSG23.html#group272A23", "272A²³"), =HYPERLINK("CSG7.html#group68D7", "68D⁷"), =HYPERLINK("CSG15.html#group170D15", "170D¹⁵"), =HYPERLINK("CSG21.html#group68B21", "68B²¹"), =HYPERLINK("CSG15.html#group68D15", "68D¹⁵"), =HYPERLINK("CSG21.html#group238B21", "238B²¹"), =HYPERLINK("CSG15.html#group136G15", "136G¹⁵"), =HYPERLINK("CSG21.html#group34B21", "34B²¹"), =HYPERLINK("CSG11.html#group68A11", "68A¹¹"), =HYPERLINK("CSG13.html#group85A13", "85A¹³"), =HYPERLINK("CSG23.html#group153C23", "153C²³"), =HYPERLINK("CSG7.html#group68B7", "68B⁷"), =HYPERLINK("CSG9.html#group34B9", "34B⁹"), =HYPERLINK("CSG23.html#group204F23", "204F²³"), =HYPERLINK("CSG13.html#group85C13", "85C¹³"), =HYPERLINK("CSG23.html#group204A23", "204A²³"), =HYPERLINK("CSG23.html#group102B23", "102B²³"), =HYPERLINK("CSG3.html#group34B3", "34B³"), =HYPERLINK("CSG21.html#group102B21", "102B²¹"), =HYPERLINK("CSG17.html#group102A17", "102A¹⁷"), =HYPERLINK("CSG3.html#group34A3", "34A³"), =HYPERLINK("CSG13.html#group51B13", "51B¹³"), =HYPERLINK("CSG9.html#group119A9", "119A⁹"), =HYPERLINK("CSG9.html#group51B9", "51B⁹"), =HYPERLINK("CSG17.html#group102B17", "102B¹⁷"), =HYPERLINK("CSG7.html#group68A7", "68A⁷"), =HYPERLINK("CSG5.html#group68A5", "68A⁵"), =HYPERLINK("CSG21.html#group136A21", "136A²¹"), =HYPERLINK("CSG7.html#group85B7", "85B⁷"), =HYPERLINK("CSG11.html#group68B11", "68B¹¹"), =HYPERLINK("CSG21.html#group119A21", "119A²¹"), =HYPERLINK("CSG15.html#group170A15", "170A¹⁵"), =HYPERLINK("CSG23.html#group204H23", "204H²³"), =HYPERLINK("CSG15.html#group102A15", "102A¹⁵"), =HYPERLINK("CSG5.html#group17A5", "17A⁵"), =HYPERLINK("CSG19.html#group238A19", "238A¹⁹"), =HYPERLINK("CSG23.html#group255A23", "255A²³"), =HYPERLINK("CSG23.html#group136C23", "136C²³"), =HYPERLINK("CSG7.html#group102A7", "102A⁷"), =HYPERLINK("CSG15.html#group102D15", "102D¹⁵"), =HYPERLINK("CSG13.html#group68D13", "68D¹³"), =HYPERLINK("CSG15.html#group136F15", "136F¹⁵"), =HYPERLINK("CSG13.html#group34C13", "34C¹³"), =HYPERLINK("CSG15.html#group102C15", "102C¹⁵"), =HYPERLINK("CSG5.html#group34A5", "34A⁵"), =HYPERLINK("CSG15.html#group68A15", "68A¹⁵"), =HYPERLINK("CSG7.html#group51B7", "51B⁷"), =HYPERLINK("CSG5.html#group51B5", "51B⁵"), =HYPERLINK("CSG17.html#group17A17", "17A¹⁷"), =HYPERLINK("CSG23.html#group204D23", "204D²³"), =HYPERLINK("CSG23.html#group153A23", "153A²³"), =HYPERLINK("CSG11.html#group136A11", "136A¹¹"), =HYPERLINK("CSG15.html#group170C15", "170C¹⁵"), =HYPERLINK("CSG1.html#group17C1", "17C¹"), =HYPERLINK("CSG23.html#group204E23", "204E²³"), =HYPERLINK("CSG19.html#group85A19", "85A¹⁹"), =HYPERLINK("CSG17.html#group187A17", "187A¹⁷"), =HYPERLINK("CSG13.html#group102A13", "102A¹³"), =HYPERLINK("CSG7.html#group85A7", "85A⁷"), =HYPERLINK("CSG15.html#group68E15", "68E¹⁵"), =HYPERLINK("CSG15.html#group85A15", "85A¹⁵"), =HYPERLINK("CSG13.html#group68C13", "68C¹³"), =HYPERLINK("CSG17.html#group136A17", "136A¹⁷"), =HYPERLINK("CSG21.html#group255B21", "255B²¹"), =HYPERLINK("CSG9.html#group51A9", "51A⁹"), =HYPERLINK("CSG17.html#group51A17", "51A¹⁷"), =HYPERLINK("CSG15.html#group170B15", "170B¹⁵")</f>
        <v/>
      </c>
    </row>
    <row r="219">
      <c r="A219" t="inlineStr">
        <is>
          <t>17B¹</t>
        </is>
      </c>
      <c r="B219" t="inlineStr"/>
      <c r="C219" t="inlineStr">
        <is>
          <t>36</t>
        </is>
      </c>
      <c r="D219" t="inlineStr">
        <is>
          <t>1</t>
        </is>
      </c>
      <c r="E219" t="inlineStr">
        <is>
          <t>18</t>
        </is>
      </c>
      <c r="F219" t="inlineStr">
        <is>
          <t>4</t>
        </is>
      </c>
      <c r="G219" t="inlineStr">
        <is>
          <t>0</t>
        </is>
      </c>
      <c r="H219" t="inlineStr">
        <is>
          <t>1², 17²</t>
        </is>
      </c>
      <c r="I219" t="n">
        <v>4</v>
      </c>
      <c r="J219" t="inlineStr">
        <is>
          <t>1², 16¹</t>
        </is>
      </c>
      <c r="K219">
        <f>HYPERLINK("CSG1.html#group17A1", "17A¹")</f>
        <v/>
      </c>
      <c r="L219">
        <f>HYPERLINK("CSG1.html#group17C1", "17C¹"), =HYPERLINK("CSG5.html#group34A5", "34A⁵"), =HYPERLINK("CSG5.html#group34B5", "34B⁵"), =HYPERLINK("CSG5.html#group34C5", "34C⁵"), =HYPERLINK("CSG5.html#group51B5", "51B⁵"), =HYPERLINK("CSG9.html#group51A9", "51A⁹"), =HYPERLINK("CSG9.html#group68A9", "68A⁹"), =HYPERLINK("CSG13.html#group85A13", "85A¹³"), =HYPERLINK("CSG13.html#group85C13", "85C¹³"), =HYPERLINK("CSG17.html#group119A17", "119A¹⁷"), =HYPERLINK("CSG21.html#group119A21", "119A²¹")</f>
        <v/>
      </c>
      <c r="M219">
        <f>HYPERLINK("CSG0.html#group1A0", "1A⁰"), =HYPERLINK("CSG1.html#group17A1", "17A¹")</f>
        <v/>
      </c>
      <c r="N219">
        <f>HYPERLINK("CSG21.html#group51A21", "51A²¹"), =HYPERLINK("CSG17.html#group68A17", "68A¹⁷"), =HYPERLINK("CSG13.html#group102B13", "102B¹³"), =HYPERLINK("CSG21.html#group136B21", "136B²¹"), =HYPERLINK("CSG21.html#group68A21", "68A²¹"), =HYPERLINK("CSG5.html#group17A5", "17A⁵"), =HYPERLINK("CSG5.html#group34C5", "34C⁵"), =HYPERLINK("CSG21.html#group102D21", "102D²¹"), =HYPERLINK("CSG21.html#group68C21", "68C²¹"), =HYPERLINK("CSG21.html#group153A21", "153A²¹"), =HYPERLINK("CSG13.html#group68D13", "68D¹³"), =HYPERLINK("CSG21.html#group68B21", "68B²¹"), =HYPERLINK("CSG13.html#group34C13", "34C¹³"), =HYPERLINK("CSG5.html#group34A5", "34A⁵"), =HYPERLINK("CSG21.html#group34B21", "34B²¹"), =HYPERLINK("CSG13.html#group51A13", "51A¹³"), =HYPERLINK("CSG5.html#group34D5", "34D⁵"), =HYPERLINK("CSG5.html#group51B5", "51B⁵"), =HYPERLINK("CSG21.html#group136C21", "136C²¹"), =HYPERLINK("CSG21.html#group34A21", "34A²¹"), =HYPERLINK("CSG13.html#group85A13", "85A¹³"), =HYPERLINK("CSG13.html#group68B13", "68B¹³"), =HYPERLINK("CSG9.html#group34B9", "34B⁹"), =HYPERLINK("CSG1.html#group17C1", "17C¹"), =HYPERLINK("CSG13.html#group85C13", "85C¹³"), =HYPERLINK("CSG13.html#group34D13", "34D¹³"), =HYPERLINK("CSG17.html#group102A17", "102A¹⁷"), =HYPERLINK("CSG17.html#group119A17", "119A¹⁷"), =HYPERLINK("CSG21.html#group102B21", "102B²¹"), =HYPERLINK("CSG17.html#group68B17", "68B¹⁷"), =HYPERLINK("CSG21.html#group102A21", "102A²¹"), =HYPERLINK("CSG13.html#group51B13", "51B¹³"), =HYPERLINK("CSG13.html#group102A13", "102A¹³"), =HYPERLINK("CSG13.html#group68C13", "68C¹³"), =HYPERLINK("CSG9.html#group51B9", "51B⁹"), =HYPERLINK("CSG17.html#group102B17", "102B¹⁷"), =HYPERLINK("CSG5.html#group34B5", "34B⁵"), =HYPERLINK("CSG9.html#group51A9", "51A⁹"), =HYPERLINK("CSG9.html#group34A9", "34A⁹"), =HYPERLINK("CSG17.html#group34A17", "34A¹⁷"), =HYPERLINK("CSG17.html#group51A17", "51A¹⁷"), =HYPERLINK("CSG17.html#group102C17", "102C¹⁷"), =HYPERLINK("CSG9.html#group68A9", "68A⁹"), =HYPERLINK("CSG21.html#group102C21", "102C²¹"), =HYPERLINK("CSG21.html#group119A21", "119A²¹"), =HYPERLINK("CSG13.html#group68A13", "68A¹³")</f>
        <v/>
      </c>
    </row>
    <row r="220">
      <c r="A220" t="inlineStr">
        <is>
          <t>17C¹</t>
        </is>
      </c>
      <c r="B220" t="inlineStr"/>
      <c r="C220" t="inlineStr">
        <is>
          <t>72</t>
        </is>
      </c>
      <c r="D220" t="inlineStr">
        <is>
          <t>1</t>
        </is>
      </c>
      <c r="E220" t="inlineStr">
        <is>
          <t>18</t>
        </is>
      </c>
      <c r="F220" t="inlineStr">
        <is>
          <t>8</t>
        </is>
      </c>
      <c r="G220" t="inlineStr">
        <is>
          <t>0</t>
        </is>
      </c>
      <c r="H220" t="inlineStr">
        <is>
          <t>1⁴, 17⁴</t>
        </is>
      </c>
      <c r="I220" t="n">
        <v>8</v>
      </c>
      <c r="J220" t="inlineStr">
        <is>
          <t>1², 16¹</t>
        </is>
      </c>
      <c r="K220">
        <f>HYPERLINK("CSG1.html#group17B1", "17B¹")</f>
        <v/>
      </c>
      <c r="L220">
        <f>HYPERLINK("CSG5.html#group17A5", "17A⁵"), =HYPERLINK("CSG5.html#group34D5", "34D⁵"), =HYPERLINK("CSG9.html#group34A9", "34A⁹"), =HYPERLINK("CSG9.html#group34B9", "34B⁹"), =HYPERLINK("CSG9.html#group51B9", "51B⁹"), =HYPERLINK("CSG17.html#group51A17", "51A¹⁷"), =HYPERLINK("CSG17.html#group68A17", "68A¹⁷")</f>
        <v/>
      </c>
      <c r="M220">
        <f>HYPERLINK("CSG0.html#group1A0", "1A⁰"), =HYPERLINK("CSG1.html#group17A1", "17A¹"), =HYPERLINK("CSG1.html#group17B1", "17B¹")</f>
        <v/>
      </c>
      <c r="N220">
        <f>HYPERLINK("CSG21.html#group51A21", "51A²¹"), =HYPERLINK("CSG17.html#group68B17", "68B¹⁷"), =HYPERLINK("CSG17.html#group68A17", "68A¹⁷"), =HYPERLINK("CSG5.html#group17A5", "17A⁵"), =HYPERLINK("CSG9.html#group51B9", "51B⁹"), =HYPERLINK("CSG21.html#group34B21", "34B²¹"), =HYPERLINK("CSG9.html#group34B9", "34B⁹"), =HYPERLINK("CSG21.html#group102D21", "102D²¹"), =HYPERLINK("CSG9.html#group34A9", "34A⁹"), =HYPERLINK("CSG5.html#group34D5", "34D⁵"), =HYPERLINK("CSG17.html#group51A17", "51A¹⁷"), =HYPERLINK("CSG17.html#group34A17", "34A¹⁷"), =HYPERLINK("CSG21.html#group34A21", "34A²¹"), =HYPERLINK("CSG21.html#group68C21", "68C²¹")</f>
        <v/>
      </c>
    </row>
    <row r="221">
      <c r="A221" t="inlineStr">
        <is>
          <t>18A¹</t>
        </is>
      </c>
      <c r="B221" t="inlineStr"/>
      <c r="C221" t="inlineStr">
        <is>
          <t>18</t>
        </is>
      </c>
      <c r="D221" t="inlineStr">
        <is>
          <t>1</t>
        </is>
      </c>
      <c r="E221" t="inlineStr">
        <is>
          <t>9</t>
        </is>
      </c>
      <c r="F221" t="inlineStr">
        <is>
          <t>4</t>
        </is>
      </c>
      <c r="G221" t="inlineStr">
        <is>
          <t>0</t>
        </is>
      </c>
      <c r="H221" t="inlineStr">
        <is>
          <t>18¹</t>
        </is>
      </c>
      <c r="I221" t="n">
        <v>1</v>
      </c>
      <c r="J221" t="inlineStr">
        <is>
          <t>1¹, 2¹, 6¹</t>
        </is>
      </c>
      <c r="K221">
        <f>HYPERLINK("CSG0.html#group6B0", "6B⁰"), =HYPERLINK("CSG0.html#group9A0", "9A⁰")</f>
        <v/>
      </c>
      <c r="L221">
        <f>HYPERLINK("CSG2.html#group18G2", "18G²"), =HYPERLINK("CSG2.html#group18K2", "18K²"), =HYPERLINK("CSG3.html#group18A3", "18A³"), =HYPERLINK("CSG3.html#group18D3", "18D³"), =HYPERLINK("CSG4.html#group36L4", "36L⁴"), =HYPERLINK("CSG7.html#group90A7", "90A⁷"), =HYPERLINK("CSG7.html#group90C7", "90C⁷"), =HYPERLINK("CSG8.html#group126A8", "126A⁸"), =HYPERLINK("CSG12.html#group126A12", "126A¹²"), =HYPERLINK("CSG13.html#group90B13", "90B¹³"), =HYPERLINK("CSG14.html#group198A14", "198A¹⁴"), =HYPERLINK("CSG18.html#group198A18", "198A¹⁸"), =HYPERLINK("CSG19.html#group234A19", "234A¹⁹")</f>
        <v/>
      </c>
      <c r="M221">
        <f>HYPERLINK("CSG0.html#group6B0", "6B⁰"), =HYPERLINK("CSG0.html#group3A0", "3A⁰"), =HYPERLINK("CSG0.html#group1A0", "1A⁰"), =HYPERLINK("CSG0.html#group9A0", "9A⁰")</f>
        <v/>
      </c>
      <c r="N221">
        <f>HYPERLINK("CSG21.html#group90J21", "90J²¹"), =HYPERLINK("CSG10.html#group72F10", "72F¹⁰"), =HYPERLINK("CSG8.html#group36C8", "36C⁸"), =HYPERLINK("CSG15.html#group36I15", "36I¹⁵"), =HYPERLINK("CSG2.html#group18K2", "18K²"), =HYPERLINK("CSG15.html#group90L15", "90L¹⁵"), =HYPERLINK("CSG3.html#group18A3", "18A³"), =HYPERLINK("CSG8.html#group54D8", "54D⁸"), =HYPERLINK("CSG18.html#group126E18", "126E¹⁸"), =HYPERLINK("CSG18.html#group18A18", "18A¹⁸"), =HYPERLINK("CSG21.html#group36D21", "36D²¹"), =HYPERLINK("CSG22.html#group144J22", "144J²²"), =HYPERLINK("CSG3.html#group18D3", "18D³"), =HYPERLINK("CSG13.html#group72I13", "72I¹³"), =HYPERLINK("CSG23.html#group126G23", "126G²³"), =HYPERLINK("CSG16.html#group54V16", "54V¹⁶"), =HYPERLINK("CSG21.html#group36A21", "36A²¹"), =HYPERLINK("CSG17.html#group90F17", "90F¹⁷"), =HYPERLINK("CSG22.html#group144F22", "144F²²"), =HYPERLINK("CSG13.html#group18A13", "18A¹³"), =HYPERLINK("CSG14.html#group72C14", "72C¹⁴"), =HYPERLINK("CSG8.html#group18B8", "18B⁸"), =HYPERLINK("CSG11.html#group36D11", "36D¹¹"), =HYPERLINK("CSG7.html#group36G7", "36G⁷"), =HYPERLINK("CSG21.html#group126A21", "126A²¹"), =HYPERLINK("CSG6.html#group18E6", "18E⁶"), =HYPERLINK("CSG23.html#group126B23", "126B²³"), =HYPERLINK("CSG16.html#group72S16", "72S¹⁶"), =HYPERLINK("CSG16.html#group18H16", "18H¹⁶"), =HYPERLINK("CSG13.html#group18C13", "18C¹³"), =HYPERLINK("CSG23.html#group72A23", "72A²³"), =HYPERLINK("CSG15.html#group36C15", "36C¹⁵"), =HYPERLINK("CSG19.html#group18B19", "18B¹⁹"), =HYPERLINK("CSG23.html#group90A23", "90A²³"), =HYPERLINK("CSG13.html#group18H13", "18H¹³"), =HYPERLINK("CSG18.html#group36B18", "36B¹⁸"), =HYPERLINK("CSG13.html#group36P13", "36P¹³"), =HYPERLINK("CSG8.html#group126A8", "126A⁸"), =HYPERLINK("CSG11.html#group36A11", "36A¹¹"), =HYPERLINK("CSG16.html#group18G16", "18G¹⁶"), =HYPERLINK("CSG14.html#group36B14", "36B¹⁴"), =HYPERLINK("CSG19.html#group90D19", "90D¹⁹"), =HYPERLINK("CSG7.html#group90C7", "90C⁷"), =HYPERLINK("CSG6.html#group36C6", "36C⁶"), =HYPERLINK("CSG22.html#group54K22", "54K²²"), =HYPERLINK("CSG21.html#group54B21", "54B²¹"), =HYPERLINK("CSG21.html#group72P21", "72P²¹"), =HYPERLINK("CSG19.html#group36T19", "36T¹⁹"), =HYPERLINK("CSG12.html#group36G12", "36G¹²"), =HYPERLINK("CSG18.html#group126D18", "126D¹⁸"), =HYPERLINK("CSG13.html#group18B13", "18B¹³"), =HYPERLINK("CSG19.html#group72P19", "72P¹⁹"), =HYPERLINK("CSG16.html#group72D16", "72D¹⁶"), =HYPERLINK("CSG19.html#group36K19", "36K¹⁹"), =HYPERLINK("CSG14.html#group90D14", "90D¹⁴"), =HYPERLINK("CSG11.html#group54A11", "54A¹¹"), =HYPERLINK("CSG24.html#group54A24", "54A²⁴"), =HYPERLINK("CSG7.html#group18A7", "18A⁷"), =HYPERLINK("CSG14.html#group72B14", "72B¹⁴"), =HYPERLINK("CSG15.html#group90N15", "90N¹⁵"), =HYPERLINK("CSG4.html#group18S4", "18S⁴"), =HYPERLINK("CSG16.html#group18C16", "18C¹⁶"), =HYPERLINK("CSG18.html#group126C18", "126C¹⁸"), =HYPERLINK("CSG13.html#group36S13", "36S¹³"), =HYPERLINK("CSG5.html#group18A5", "18A⁵"), =HYPERLINK("CSG18.html#group126B18", "126B¹⁸"), =HYPERLINK("CSG9.html#group36K9", "36K⁹"), =HYPERLINK("CSG15.html#group36D15", "36D¹⁵"), =HYPERLINK("CSG10.html#group72E10", "72E¹⁰"), =HYPERLINK("CSG22.html#group54I22", "54I²²"), =HYPERLINK("CSG10.html#group72I10", "72I¹⁰"), =HYPERLINK("CSG20.html#group90C20", "90C²⁰"), =HYPERLINK("CSG18.html#group198A18", "198A¹⁸"), =HYPERLINK("CSG13.html#group90E13", "90E¹³"), =HYPERLINK("CSG21.html#group72Q21", "72Q²¹"), =HYPERLINK("CSG17.html#group72D17", "72D¹⁷"), =HYPERLINK("CSG15.html#group36E15", "36E¹⁵"), =HYPERLINK("CSG14.html#group36A14", "36A¹⁴"), =HYPERLINK("CSG13.html#group90B13", "90B¹³"), =HYPERLINK("CSG15.html#group36L15", "36L¹⁵"), =HYPERLINK("CSG7.html#group18J7", "18J⁷"), =HYPERLINK("CSG15.html#group72Q15", "72Q¹⁵"), =HYPERLINK("CSG11.html#group54B11", "54B¹¹"), =HYPERLINK("CSG12.html#group126A12", "126A¹²"), =HYPERLINK("CSG17.html#group90B17", "90B¹⁷"), =HYPERLINK("CSG21.html#group90A21", "90A²¹"), =HYPERLINK("CSG6.html#group18B6", "18B⁶"), =HYPERLINK("CSG19.html#group126A19", "126A¹⁹"), =HYPERLINK("CSG19.html#group18E19", "18E¹⁹"), =HYPERLINK("CSG15.html#group90A15", "90A¹⁵"), =HYPERLINK("CSG7.html#group18B7", "18B⁷"), =HYPERLINK("CSG21.html#group72S21", "72S²¹"), =HYPERLINK("CSG17.html#group126B17", "126B¹⁷"), =HYPERLINK("CSG21.html#group54A21", "54A²¹"), =HYPERLINK("CSG23.html#group72B23", "72B²³"), =HYPERLINK("CSG22.html#group144I22", "144I²²"), =HYPERLINK("CSG15.html#group36O15", "36O¹⁵"), =HYPERLINK("CSG6.html#group18D6", "18D⁶"), =HYPERLINK("CSG5.html#group36C5", "36C⁵"), =HYPERLINK("CSG19.html#group234A19", "234A¹⁹"), =HYPERLINK("CSG7.html#group90A7", "90A⁷"), =HYPERLINK("CSG16.html#group72C16", "72C¹⁶"), =HYPERLINK("CSG24.html#group54B24", "54B²⁴"), =HYPERLINK("CSG13.html#group18F13", "18F¹³"), =HYPERLINK("CSG22.html#group144C22", "144C²²"), =HYPERLINK("CSG14.html#group198A14", "198A¹⁴"), =HYPERLINK("CSG22.html#group36I22", "36I²²"), =HYPERLINK("CSG22.html#group54J22", "54J²²"), =HYPERLINK("CSG7.html#group18F7", "18F⁷"), =HYPERLINK("CSG2.html#group18G2", "18G²"), =HYPERLINK("CSG19.html#group18A19", "18A¹⁹"), =HYPERLINK("CSG13.html#group36O13", "36O¹³"), =HYPERLINK("CSG4.html#group36L4", "36L⁴")</f>
        <v/>
      </c>
    </row>
    <row r="222">
      <c r="A222" t="inlineStr">
        <is>
          <t>18B¹</t>
        </is>
      </c>
      <c r="B222" t="inlineStr"/>
      <c r="C222" t="inlineStr">
        <is>
          <t>18</t>
        </is>
      </c>
      <c r="D222" t="inlineStr">
        <is>
          <t>1</t>
        </is>
      </c>
      <c r="E222" t="inlineStr">
        <is>
          <t>18</t>
        </is>
      </c>
      <c r="F222" t="inlineStr">
        <is>
          <t>4</t>
        </is>
      </c>
      <c r="G222" t="inlineStr">
        <is>
          <t>0</t>
        </is>
      </c>
      <c r="H222" t="inlineStr">
        <is>
          <t>18¹</t>
        </is>
      </c>
      <c r="I222" t="n">
        <v>1</v>
      </c>
      <c r="J222" t="inlineStr">
        <is>
          <t>2³, 6²</t>
        </is>
      </c>
      <c r="K222">
        <f>HYPERLINK("CSG0.html#group6B0", "6B⁰")</f>
        <v/>
      </c>
      <c r="L222">
        <f>HYPERLINK("CSG2.html#group18H2", "18H²"), =HYPERLINK("CSG2.html#group18M2", "18M²"), =HYPERLINK("CSG3.html#group18B3", "18B³"), =HYPERLINK("CSG3.html#group18D3", "18D³"), =HYPERLINK("CSG4.html#group36N4", "36N⁴"), =HYPERLINK("CSG7.html#group90B7", "90B⁷"), =HYPERLINK("CSG7.html#group90D7", "90D⁷"), =HYPERLINK("CSG8.html#group126D8", "126D⁸"), =HYPERLINK("CSG12.html#group126C12", "126C¹²"), =HYPERLINK("CSG13.html#group90D13", "90D¹³"), =HYPERLINK("CSG14.html#group198B14", "198B¹⁴"), =HYPERLINK("CSG18.html#group198C18", "198C¹⁸"), =HYPERLINK("CSG19.html#group234B19", "234B¹⁹")</f>
        <v/>
      </c>
      <c r="M222">
        <f>HYPERLINK("CSG0.html#group3A0", "3A⁰"), =HYPERLINK("CSG0.html#group1A0", "1A⁰"), =HYPERLINK("CSG0.html#group6B0", "6B⁰")</f>
        <v/>
      </c>
      <c r="N222">
        <f>HYPERLINK("CSG21.html#group36B21", "36B²¹"), =HYPERLINK("CSG8.html#group36C8", "36C⁸"), =HYPERLINK("CSG15.html#group36I15", "36I¹⁵"), =HYPERLINK("CSG15.html#group90P15", "90P¹⁵"), =HYPERLINK("CSG22.html#group144E22", "144E²²"), =HYPERLINK("CSG17.html#group126G17", "126G¹⁷"), =HYPERLINK("CSG13.html#group18G13", "18G¹³"), =HYPERLINK("CSG18.html#group18A18", "18A¹⁸"), =HYPERLINK("CSG18.html#group198C18", "198C¹⁸"), =HYPERLINK("CSG21.html#group36D21", "36D²¹"), =HYPERLINK("CSG15.html#group36G15", "36G¹⁵"), =HYPERLINK("CSG10.html#group72G10", "72G¹⁰"), =HYPERLINK("CSG22.html#group144G22", "144G²²"), =HYPERLINK("CSG16.html#group18F16", "18F¹⁶"), =HYPERLINK("CSG3.html#group18D3", "18D³"), =HYPERLINK("CSG7.html#group90D7", "90D⁷"), =HYPERLINK("CSG13.html#group72I13", "72I¹³"), =HYPERLINK("CSG19.html#group126E19", "126E¹⁹"), =HYPERLINK("CSG14.html#group90H14", "90H¹⁴"), =HYPERLINK("CSG23.html#group72C23", "72C²³"), =HYPERLINK("CSG3.html#group18B3", "18B³"), =HYPERLINK("CSG14.html#group72C14", "72C¹⁴"), =HYPERLINK("CSG8.html#group18B8", "18B⁸"), =HYPERLINK("CSG18.html#group126J18", "126J¹⁸"), =HYPERLINK("CSG13.html#group18E13", "18E¹³"), =HYPERLINK("CSG9.html#group36L9", "36L⁹"), =HYPERLINK("CSG11.html#group36E11", "36E¹¹"), =HYPERLINK("CSG7.html#group36G7", "36G⁷"), =HYPERLINK("CSG8.html#group126D8", "126D⁸"), =HYPERLINK("CSG6.html#group18E6", "18E⁶"), =HYPERLINK("CSG10.html#group72H10", "72H¹⁰"), =HYPERLINK("CSG15.html#group90O15", "90O¹⁵"), =HYPERLINK("CSG16.html#group72S16", "72S¹⁶"), =HYPERLINK("CSG7.html#group18G7", "18G⁷"), =HYPERLINK("CSG16.html#group18H16", "18H¹⁶"), =HYPERLINK("CSG22.html#group144H22", "144H²²"), =HYPERLINK("CSG15.html#group36C15", "36C¹⁵"), =HYPERLINK("CSG21.html#group126B21", "126B²¹"), =HYPERLINK("CSG23.html#group90A23", "90A²³"), =HYPERLINK("CSG21.html#group90L21", "90L²¹"), =HYPERLINK("CSG13.html#group18H13", "18H¹³"), =HYPERLINK("CSG21.html#group72T21", "72T²¹"), =HYPERLINK("CSG18.html#group36B18", "36B¹⁸"), =HYPERLINK("CSG13.html#group36P13", "36P¹³"), =HYPERLINK("CSG21.html#group72V21", "72V²¹"), =HYPERLINK("CSG14.html#group36B14", "36B¹⁴"), =HYPERLINK("CSG4.html#group36N4", "36N⁴"), =HYPERLINK("CSG16.html#group18G16", "18G¹⁶"), =HYPERLINK("CSG7.html#group18D7", "18D⁷"), =HYPERLINK("CSG13.html#group90D13", "90D¹³"), =HYPERLINK("CSG15.html#group90C15", "90C¹⁵"), =HYPERLINK("CSG5.html#group36D5", "36D⁵"), =HYPERLINK("CSG6.html#group36C6", "36C⁶"), =HYPERLINK("CSG18.html#group126H18", "126H¹⁸"), =HYPERLINK("CSG12.html#group126C12", "126C¹²"), =HYPERLINK("CSG23.html#group72D23", "72D²³"), =HYPERLINK("CSG19.html#group36T19", "36T¹⁹"), =HYPERLINK("CSG5.html#group18B5", "18B⁵"), =HYPERLINK("CSG13.html#group18B13", "18B¹³"), =HYPERLINK("CSG16.html#group72D16", "72D¹⁶"), =HYPERLINK("CSG19.html#group36L19", "36L¹⁹"), =HYPERLINK("CSG21.html#group72U21", "72U²¹"), =HYPERLINK("CSG18.html#group126K18", "126K¹⁸"), =HYPERLINK("CSG7.html#group18A7", "18A⁷"), =HYPERLINK("CSG22.html#group144N22", "144N²²"), =HYPERLINK("CSG14.html#group72B14", "72B¹⁴"), =HYPERLINK("CSG17.html#group90G17", "90G¹⁷"), =HYPERLINK("CSG13.html#group36S13", "36S¹³"), =HYPERLINK("CSG12.html#group36H12", "36H¹²"), =HYPERLINK("CSG15.html#group36D15", "36D¹⁵"), =HYPERLINK("CSG17.html#group90C17", "90C¹⁷"), =HYPERLINK("CSG7.html#group18L7", "18L⁷"), =HYPERLINK("CSG20.html#group90E20", "90E²⁰"), =HYPERLINK("CSG17.html#group72D17", "72D¹⁷"), =HYPERLINK("CSG23.html#group126I23", "126I²³"), =HYPERLINK("CSG19.html#group72R19", "72R¹⁹"), =HYPERLINK("CSG14.html#group36A14", "36A¹⁴"), =HYPERLINK("CSG19.html#group18D19", "18D¹⁹"), =HYPERLINK("CSG15.html#group36L15", "36L¹⁵"), =HYPERLINK("CSG4.html#group18T4", "18T⁴"), =HYPERLINK("CSG13.html#group36Q13", "36Q¹³"), =HYPERLINK("CSG22.html#group144M22", "144M²²"), =HYPERLINK("CSG15.html#group72Q15", "72Q¹⁵"), =HYPERLINK("CSG15.html#group36H15", "36H¹⁵"), =HYPERLINK("CSG21.html#group90A21", "90A²¹"), =HYPERLINK("CSG7.html#group90B7", "90B⁷"), =HYPERLINK("CSG23.html#group126E23", "126E²³"), =HYPERLINK("CSG19.html#group234B19", "234B¹⁹"), =HYPERLINK("CSG19.html#group18E19", "18E¹⁹"), =HYPERLINK("CSG13.html#group90H13", "90H¹³"), =HYPERLINK("CSG19.html#group90E19", "90E¹⁹"), =HYPERLINK("CSG2.html#group18M2", "18M²"), =HYPERLINK("CSG22.html#group144D22", "144D²²"), =HYPERLINK("CSG6.html#group18D6", "18D⁶"), =HYPERLINK("CSG6.html#group18C6", "18C⁶"), =HYPERLINK("CSG15.html#group36O15", "36O¹⁵"), =HYPERLINK("CSG18.html#group126I18", "126I¹⁸"), =HYPERLINK("CSG2.html#group18H2", "18H²"), =HYPERLINK("CSG16.html#group72C16", "72C¹⁶"), =HYPERLINK("CSG22.html#group36I22", "36I²²"), =HYPERLINK("CSG10.html#group72L10", "72L¹⁰"), =HYPERLINK("CSG19.html#group18A19", "18A¹⁹"), =HYPERLINK("CSG13.html#group18D13", "18D¹³"), =HYPERLINK("CSG11.html#group36B11", "36B¹¹"), =HYPERLINK("CSG14.html#group198B14", "198B¹⁴")</f>
        <v/>
      </c>
    </row>
    <row r="223">
      <c r="A223" t="inlineStr">
        <is>
          <t>18C¹</t>
        </is>
      </c>
      <c r="B223" t="inlineStr"/>
      <c r="C223" t="inlineStr">
        <is>
          <t>24</t>
        </is>
      </c>
      <c r="D223" t="inlineStr">
        <is>
          <t>1</t>
        </is>
      </c>
      <c r="E223" t="inlineStr">
        <is>
          <t>4</t>
        </is>
      </c>
      <c r="F223" t="inlineStr">
        <is>
          <t>0</t>
        </is>
      </c>
      <c r="G223" t="inlineStr">
        <is>
          <t>0</t>
        </is>
      </c>
      <c r="H223" t="inlineStr">
        <is>
          <t>2³, 18¹</t>
        </is>
      </c>
      <c r="I223" t="n">
        <v>4</v>
      </c>
      <c r="J223" t="inlineStr">
        <is>
          <t>1², 2¹</t>
        </is>
      </c>
      <c r="K223">
        <f>HYPERLINK("CSG0.html#group6C0", "6C⁰"), =HYPERLINK("CSG0.html#group9B0", "9B⁰")</f>
        <v/>
      </c>
      <c r="L223">
        <f>HYPERLINK("CSG1.html#group18J1", "18J¹"), =HYPERLINK("CSG3.html#group18G3", "18G³"), =HYPERLINK("CSG3.html#group18I3", "18I³"), =HYPERLINK("CSG3.html#group36A3", "36A³"), =HYPERLINK("CSG3.html#group54A3", "54A³"), =HYPERLINK("CSG3.html#group54B3", "54B³"), =HYPERLINK("CSG4.html#group18E4", "18E⁴"), =HYPERLINK("CSG4.html#group18G4", "18G⁴"), =HYPERLINK("CSG4.html#group54A4", "54A⁴"), =HYPERLINK("CSG4.html#group54C4", "54C⁴"), =HYPERLINK("CSG5.html#group36F5", "36F⁵"), =HYPERLINK("CSG5.html#group54A5", "54A⁵"), =HYPERLINK("CSG5.html#group54B5", "54B⁵"), =HYPERLINK("CSG9.html#group90B9", "90B⁹"), =HYPERLINK("CSG9.html#group90E9", "90E⁹"), =HYPERLINK("CSG13.html#group126B13", "126B¹³"), =HYPERLINK("CSG13.html#group126E13", "126E¹³"), =HYPERLINK("CSG17.html#group90M17", "90M¹⁷"), =HYPERLINK("CSG21.html#group198A21", "198A²¹"), =HYPERLINK("CSG21.html#group198C21", "198C²¹")</f>
        <v/>
      </c>
      <c r="M223">
        <f>HYPERLINK("CSG0.html#group3B0", "3B⁰"), =HYPERLINK("CSG0.html#group9B0", "9B⁰"), =HYPERLINK("CSG0.html#group2A0", "2A⁰"), =HYPERLINK("CSG0.html#group1A0", "1A⁰"), =HYPERLINK("CSG0.html#group6C0", "6C⁰")</f>
        <v/>
      </c>
      <c r="N223">
        <f>HYPERLINK("CSG9.html#group36F9", "36F⁹"), =HYPERLINK("CSG9.html#group108A9", "108A⁹"), =HYPERLINK("CSG13.html#group18G13", "18G¹³"), =HYPERLINK("CSG7.html#group36H7", "36H⁷"), =HYPERLINK("CSG16.html#group54K16", "54K¹⁶"), =HYPERLINK("CSG16.html#group162C16", "162C¹⁶"), =HYPERLINK("CSG3.html#group36A3", "36A³"), =HYPERLINK("CSG13.html#group126B13", "126B¹³"), =HYPERLINK("CSG10.html#group18I10", "18I¹⁰"), =HYPERLINK("CSG13.html#group54H13", "54H¹³"), =HYPERLINK("CSG17.html#group36D17", "36D¹⁷"), =HYPERLINK("CSG9.html#group36B9", "36B⁹"), =HYPERLINK("CSG4.html#group18E4", "18E⁴"), =HYPERLINK("CSG13.html#group72R13", "72R¹³"), =HYPERLINK("CSG21.html#group198C21", "198C²¹"), =HYPERLINK("CSG3.html#group18I3", "18I³"), =HYPERLINK("CSG5.html#group36F5", "36F⁵"), =HYPERLINK("CSG10.html#group54D10", "54D¹⁰"), =HYPERLINK("CSG9.html#group36M9", "36M⁹"), =HYPERLINK("CSG9.html#group90B9", "90B⁹"), =HYPERLINK("CSG13.html#group54Q13", "54Q¹³"), =HYPERLINK("CSG17.html#group108E17", "108E¹⁷"), =HYPERLINK("CSG13.html#group54I13", "54I¹³"), =HYPERLINK("CSG13.html#group18C13", "18C¹³"), =HYPERLINK("CSG10.html#group18F10", "18F¹⁰"), =HYPERLINK("CSG10.html#group18E10", "18E¹⁰"), =HYPERLINK("CSG19.html#group108A19", "108A¹⁹"), =HYPERLINK("CSG17.html#group72M17", "72M¹⁷"), =HYPERLINK("CSG10.html#group18D10", "18D¹⁰"), =HYPERLINK("CSG16.html#group54A16", "54A¹⁶"), =HYPERLINK("CSG19.html#group36G19", "36G¹⁹"), =HYPERLINK("CSG1.html#group18J1", "18J¹"), =HYPERLINK("CSG13.html#group126E13", "126E¹³"), =HYPERLINK("CSG13.html#group54K13", "54K¹³"), =HYPERLINK("CSG10.html#group108A10", "108A¹⁰"), =HYPERLINK("CSG21.html#group108A21", "108A²¹"), =HYPERLINK("CSG7.html#group18O7", "18O⁷"), =HYPERLINK("CSG21.html#group108C21", "108C²¹"), =HYPERLINK("CSG3.html#group18G3", "18G³"), =HYPERLINK("CSG13.html#group54B13", "54B¹³"), =HYPERLINK("CSG3.html#group54B3", "54B³"), =HYPERLINK("CSG9.html#group36Q9", "36Q⁹"), =HYPERLINK("CSG3.html#group54A3", "54A³"), =HYPERLINK("CSG10.html#group54A10", "54A¹⁰"), =HYPERLINK("CSG4.html#group54A4", "54A⁴"), =HYPERLINK("CSG7.html#group54B7", "54B⁷"), =HYPERLINK("CSG13.html#group162B13", "162B¹³"), =HYPERLINK("CSG13.html#group72Q13", "72Q¹³"), =HYPERLINK("CSG13.html#group72B13", "72B¹³"), =HYPERLINK("CSG13.html#group54F13", "54F¹³"), =HYPERLINK("CSG5.html#group54B5", "54B⁵"), =HYPERLINK("CSG13.html#group162A13", "162A¹³"), =HYPERLINK("CSG13.html#group54C13", "54C¹³"), =HYPERLINK("CSG13.html#group54G13", "54G¹³"), =HYPERLINK("CSG10.html#group54E10", "54E¹⁰"), =HYPERLINK("CSG21.html#group36F21", "36F²¹"), =HYPERLINK("CSG21.html#group198A21", "198A²¹"), =HYPERLINK("CSG17.html#group90R17", "90R¹⁷"), =HYPERLINK("CSG13.html#group54J13", "54J¹³"), =HYPERLINK("CSG19.html#group180A19", "180A¹⁹"), =HYPERLINK("CSG21.html#group108E21", "108E²¹"), =HYPERLINK("CSG17.html#group90M17", "90M¹⁷"), =HYPERLINK("CSG4.html#group18G4", "18G⁴"), =HYPERLINK("CSG10.html#group54B10", "54B¹⁰"), =HYPERLINK("CSG21.html#group180D21", "180D²¹"), =HYPERLINK("CSG13.html#group72W13", "72W¹³"), =HYPERLINK("CSG10.html#group54H10", "54H¹⁰"), =HYPERLINK("CSG10.html#group108B10", "108B¹⁰"), =HYPERLINK("CSG13.html#group36U13", "36U¹³"), =HYPERLINK("CSG22.html#group36K22", "36K²²"), =HYPERLINK("CSG11.html#group108A11", "108A¹¹"), =HYPERLINK("CSG17.html#group72N17", "72N¹⁷"), =HYPERLINK("CSG13.html#group54M13", "54M¹³"), =HYPERLINK("CSG16.html#group54H16", "54H¹⁶"), =HYPERLINK("CSG13.html#group54L13", "54L¹³"), =HYPERLINK("CSG19.html#group108C19", "108C¹⁹"), =HYPERLINK("CSG16.html#group162A16", "162A¹⁶"), =HYPERLINK("CSG21.html#group180C21", "180C²¹"), =HYPERLINK("CSG17.html#group108D17", "108D¹⁷"), =HYPERLINK("CSG10.html#group36C10", "36C¹⁰"), =HYPERLINK("CSG5.html#group36L5", "36L⁵"), =HYPERLINK("CSG10.html#group36E10", "36E¹⁰"), =HYPERLINK("CSG17.html#group36G17", "36G¹⁷"), =HYPERLINK("CSG9.html#group90E9", "90E⁹"), =HYPERLINK("CSG16.html#group54G16", "54G¹⁶"), =HYPERLINK("CSG13.html#group54R13", "54R¹³"), =HYPERLINK("CSG13.html#group72V13", "72V¹³"), =HYPERLINK("CSG5.html#group54A5", "54A⁵"), =HYPERLINK("CSG17.html#group108F17", "108F¹⁷"), =HYPERLINK("CSG9.html#group108B9", "108B⁹"), =HYPERLINK("CSG13.html#group54D13", "54D¹³"), =HYPERLINK("CSG16.html#group162B16", "162B¹⁶"), =HYPERLINK("CSG19.html#group36E19", "36E¹⁹"), =HYPERLINK("CSG17.html#group36J17", "36J¹⁷"), =HYPERLINK("CSG16.html#group162D16", "162D¹⁶"), =HYPERLINK("CSG22.html#group108E22", "108E²²"), =HYPERLINK("CSG13.html#group36T13", "36T¹³"), =HYPERLINK("CSG4.html#group54C4", "54C⁴"), =HYPERLINK("CSG11.html#group108B11", "108B¹¹"), =HYPERLINK("CSG3.html#group36J3", "36J³"), =HYPERLINK("CSG13.html#group72A13", "72A¹³"), =HYPERLINK("CSG13.html#group54E13", "54E¹³")</f>
        <v/>
      </c>
    </row>
    <row r="224">
      <c r="A224" t="inlineStr">
        <is>
          <t>18D¹</t>
        </is>
      </c>
      <c r="B224" t="inlineStr"/>
      <c r="C224" t="inlineStr">
        <is>
          <t>24</t>
        </is>
      </c>
      <c r="D224" t="inlineStr">
        <is>
          <t>1</t>
        </is>
      </c>
      <c r="E224" t="inlineStr">
        <is>
          <t>8</t>
        </is>
      </c>
      <c r="F224" t="inlineStr">
        <is>
          <t>0</t>
        </is>
      </c>
      <c r="G224" t="inlineStr">
        <is>
          <t>3</t>
        </is>
      </c>
      <c r="H224" t="inlineStr">
        <is>
          <t>6¹, 18¹</t>
        </is>
      </c>
      <c r="I224" t="n">
        <v>2</v>
      </c>
      <c r="J224" t="inlineStr">
        <is>
          <t>2⁴</t>
        </is>
      </c>
      <c r="K224">
        <f>HYPERLINK("CSG0.html#group6C0", "6C⁰")</f>
        <v/>
      </c>
      <c r="L224">
        <f>HYPERLINK("CSG1.html#group18K1", "18K¹"), =HYPERLINK("CSG2.html#group36A2", "36A²"), =HYPERLINK("CSG4.html#group18D4", "18D⁴"), =HYPERLINK("CSG4.html#group18G4", "18G⁴"), =HYPERLINK("CSG4.html#group18H4", "18H⁴"), =HYPERLINK("CSG6.html#group36B6", "36B⁶"), =HYPERLINK("CSG8.html#group90C8", "90C⁸"), =HYPERLINK("CSG11.html#group90E11", "90E¹¹"), =HYPERLINK("CSG13.html#group126C13", "126C¹³"), =HYPERLINK("CSG13.html#group126F13", "126F¹³"), =HYPERLINK("CSG18.html#group90A18", "90A¹⁸"), =HYPERLINK("CSG20.html#group198A20", "198A²⁰"), =HYPERLINK("CSG23.html#group198E23", "198E²³")</f>
        <v/>
      </c>
      <c r="M224">
        <f>HYPERLINK("CSG0.html#group3B0", "3B⁰"), =HYPERLINK("CSG0.html#group2A0", "2A⁰"), =HYPERLINK("CSG0.html#group1A0", "1A⁰"), =HYPERLINK("CSG0.html#group6C0", "6C⁰")</f>
        <v/>
      </c>
      <c r="N224">
        <f>HYPERLINK("CSG21.html#group72D21", "72D²¹"), =HYPERLINK("CSG19.html#group72B19", "72B¹⁹"), =HYPERLINK("CSG18.html#group90A18", "90A¹⁸"), =HYPERLINK("CSG8.html#group36I8", "36I⁸"), =HYPERLINK("CSG17.html#group36B17", "36B¹⁷"), =HYPERLINK("CSG23.html#group198E23", "198E²³"), =HYPERLINK("CSG22.html#group108C22", "108C²²"), =HYPERLINK("CSG19.html#group36B19", "36B¹⁹"), =HYPERLINK("CSG13.html#group54P13", "54P¹³"), =HYPERLINK("CSG13.html#group18G13", "18G¹³"), =HYPERLINK("CSG13.html#group54J13", "54J¹³"), =HYPERLINK("CSG9.html#group36D9", "36D⁹"), =HYPERLINK("CSG10.html#group36B10", "36B¹⁰"), =HYPERLINK("CSG19.html#group72N19", "72N¹⁹"), =HYPERLINK("CSG10.html#group18I10", "18I¹⁰"), =HYPERLINK("CSG22.html#group36K22", "36K²²"), =HYPERLINK("CSG13.html#group126F13", "126F¹³"), =HYPERLINK("CSG13.html#group126C13", "126C¹³"), =HYPERLINK("CSG22.html#group90I22", "90I²²"), =HYPERLINK("CSG10.html#group18K10", "18K¹⁰"), =HYPERLINK("CSG13.html#group72C13", "72C¹³"), =HYPERLINK("CSG10.html#group18H10", "18H¹⁰"), =HYPERLINK("CSG22.html#group36M22", "36M²²"), =HYPERLINK("CSG13.html#group54H13", "54H¹³"), =HYPERLINK("CSG16.html#group36F16", "36F¹⁶"), =HYPERLINK("CSG8.html#group90C8", "90C⁸"), =HYPERLINK("CSG13.html#group72D13", "72D¹³"), =HYPERLINK("CSG22.html#group36O22", "36O²²"), =HYPERLINK("CSG11.html#group90E11", "90E¹¹"), =HYPERLINK("CSG11.html#group36H11", "36H¹¹"), =HYPERLINK("CSG6.html#group36B6", "36B⁶"), =HYPERLINK("CSG1.html#group18K1", "18K¹"), =HYPERLINK("CSG10.html#group18E10", "18E¹⁰"), =HYPERLINK("CSG10.html#group36E10", "36E¹⁰"), =HYPERLINK("CSG19.html#group36G19", "36G¹⁹"), =HYPERLINK("CSG19.html#group72D19", "72D¹⁹"), =HYPERLINK("CSG16.html#group54J16", "54J¹⁶"), =HYPERLINK("CSG4.html#group18H4", "18H⁴"), =HYPERLINK("CSG21.html#group72B21", "72B²¹"), =HYPERLINK("CSG20.html#group198A20", "198A²⁰"), =HYPERLINK("CSG23.html#group180E23", "180E²³"), =HYPERLINK("CSG23.html#group180G23", "180G²³"), =HYPERLINK("CSG13.html#group54K13", "54K¹³"), =HYPERLINK("CSG4.html#group36S4", "36S⁴"), =HYPERLINK("CSG19.html#group36H19", "36H¹⁹"), =HYPERLINK("CSG10.html#group54F10", "54F¹⁰"), =HYPERLINK("CSG19.html#group72L19", "72L¹⁹"), =HYPERLINK("CSG10.html#group36F10", "36F¹⁰"), =HYPERLINK("CSG13.html#group18F13", "18F¹³"), =HYPERLINK("CSG21.html#group90G21", "90G²¹"), =HYPERLINK("CSG16.html#group180A16", "180A¹⁶"), =HYPERLINK("CSG4.html#group18D4", "18D⁴"), =HYPERLINK("CSG7.html#group18P7", "18P⁷"), =HYPERLINK("CSG19.html#group36D19", "36D¹⁹"), =HYPERLINK("CSG2.html#group36A2", "36A²"), =HYPERLINK("CSG13.html#group18D13", "18D¹³"), =HYPERLINK("CSG4.html#group18G4", "18G⁴")</f>
        <v/>
      </c>
    </row>
    <row r="225">
      <c r="A225" t="inlineStr">
        <is>
          <t>18E¹</t>
        </is>
      </c>
      <c r="B225" t="inlineStr"/>
      <c r="C225" t="inlineStr">
        <is>
          <t>27</t>
        </is>
      </c>
      <c r="D225" t="inlineStr">
        <is>
          <t>1</t>
        </is>
      </c>
      <c r="E225" t="inlineStr">
        <is>
          <t>27</t>
        </is>
      </c>
      <c r="F225" t="inlineStr">
        <is>
          <t>5</t>
        </is>
      </c>
      <c r="G225" t="inlineStr">
        <is>
          <t>0</t>
        </is>
      </c>
      <c r="H225" t="inlineStr">
        <is>
          <t>9¹, 18¹</t>
        </is>
      </c>
      <c r="I225" t="n">
        <v>2</v>
      </c>
      <c r="J225" t="inlineStr">
        <is>
          <t>1³, 2³, 6³</t>
        </is>
      </c>
      <c r="K225">
        <f>HYPERLINK("CSG0.html#group6D0", "6D⁰"), =HYPERLINK("CSG0.html#group9A0", "9A⁰")</f>
        <v/>
      </c>
      <c r="L225">
        <f>HYPERLINK("CSG2.html#group18I2", "18I²"), =HYPERLINK("CSG2.html#group18L2", "18L²"), =HYPERLINK("CSG2.html#group36B2", "36B²"), =HYPERLINK("CSG2.html#group36C2", "36C²"), =HYPERLINK("CSG3.html#group18D3", "18D³"), =HYPERLINK("CSG3.html#group18E3", "18E³"), =HYPERLINK("CSG3.html#group18J3", "18J³"), =HYPERLINK("CSG3.html#group36D3", "36D³"), =HYPERLINK("CSG3.html#group36E3", "36E³"), =HYPERLINK("CSG4.html#group18A4", "18A⁴"), =HYPERLINK("CSG4.html#group36D4", "36D⁴"), =HYPERLINK("CSG4.html#group36E4", "36E⁴"), =HYPERLINK("CSG10.html#group90D10", "90D¹⁰"), =HYPERLINK("CSG10.html#group90E10", "90E¹⁰"), =HYPERLINK("CSG12.html#group126H12", "126H¹²"), =HYPERLINK("CSG17.html#group126A17", "126A¹⁷"), =HYPERLINK("CSG19.html#group90H19", "90H¹⁹"), =HYPERLINK("CSG21.html#group198E21", "198E²¹")</f>
        <v/>
      </c>
      <c r="M225">
        <f>HYPERLINK("CSG0.html#group2B0", "2B⁰"), =HYPERLINK("CSG0.html#group6D0", "6D⁰"), =HYPERLINK("CSG0.html#group3A0", "3A⁰"), =HYPERLINK("CSG0.html#group1A0", "1A⁰"), =HYPERLINK("CSG0.html#group9A0", "9A⁰")</f>
        <v/>
      </c>
      <c r="N225">
        <f>HYPERLINK("CSG21.html#group90B21", "90B²¹"), =HYPERLINK("CSG8.html#group36L8", "36L⁸"), =HYPERLINK("CSG20.html#group90D20", "90D²⁰"), =HYPERLINK("CSG14.html#group72F14", "72F¹⁴"), =HYPERLINK("CSG16.html#group72E16", "72E¹⁶"), =HYPERLINK("CSG15.html#group72T15", "72T¹⁵"), =HYPERLINK("CSG16.html#group18B16", "18B¹⁶"), =HYPERLINK("CSG16.html#group36E16", "36E¹⁶"), =HYPERLINK("CSG10.html#group36P10", "36P¹⁰"), =HYPERLINK("CSG15.html#group36B15", "36B¹⁵"), =HYPERLINK("CSG6.html#group36I6", "36I⁶"), =HYPERLINK("CSG19.html#group36R19", "36R¹⁹"), =HYPERLINK("CSG13.html#group36C13", "36C¹³"), =HYPERLINK("CSG7.html#group36E7", "36E⁷"), =HYPERLINK("CSG23.html#group288A23", "288A²³"), =HYPERLINK("CSG15.html#group144B15", "144B¹⁵"), =HYPERLINK("CSG7.html#group36G7", "36G⁷"), =HYPERLINK("CSG15.html#group36N15", "36N¹⁵"), =HYPERLINK("CSG15.html#group72P15", "72P¹⁵"), =HYPERLINK("CSG17.html#group72L17", "72L¹⁷"), =HYPERLINK("CSG6.html#group36E6", "36E⁶"), =HYPERLINK("CSG5.html#group36K5", "36K⁵"), =HYPERLINK("CSG20.html#group90F20", "90F²⁰"), =HYPERLINK("CSG15.html#group36C15", "36C¹⁵"), =HYPERLINK("CSG4.html#group36P4", "36P⁴"), =HYPERLINK("CSG13.html#group144A13", "144A¹³"), =HYPERLINK("CSG23.html#group90A23", "90A²³"), =HYPERLINK("CSG16.html#group72L16", "72L¹⁶"), =HYPERLINK("CSG16.html#group36H16", "36H¹⁶"), =HYPERLINK("CSG8.html#group36D8", "36D⁸"), =HYPERLINK("CSG22.html#group180B22", "180B²²"), =HYPERLINK("CSG15.html#group72R15", "72R¹⁵"), =HYPERLINK("CSG14.html#group72G14", "72G¹⁴"), =HYPERLINK("CSG16.html#group36I16", "36I¹⁶"), =HYPERLINK("CSG22.html#group18A22", "18A²²"), =HYPERLINK("CSG10.html#group18C10", "18C¹⁰"), =HYPERLINK("CSG15.html#group72V15", "72V¹⁵"), =HYPERLINK("CSG16.html#group72I16", "72I¹⁶"), =HYPERLINK("CSG13.html#group36S13", "36S¹³"), =HYPERLINK("CSG16.html#group72B16", "72B¹⁶"), =HYPERLINK("CSG16.html#group72F16", "72F¹⁶"), =HYPERLINK("CSG13.html#group36G13", "36G¹³"), =HYPERLINK("CSG6.html#group36F6", "36F⁶"), =HYPERLINK("CSG22.html#group36A22", "36A²²"), =HYPERLINK("CSG14.html#group72K14", "72K¹⁴"), =HYPERLINK("CSG23.html#group36A23", "36A²³"), =HYPERLINK("CSG16.html#group72H16", "72H¹⁶"), =HYPERLINK("CSG12.html#group36F12", "36F¹²"), =HYPERLINK("CSG3.html#group36D3", "36D³"), =HYPERLINK("CSG17.html#group144C17", "144C¹⁷"), =HYPERLINK("CSG14.html#group144A14", "144A¹⁴"), =HYPERLINK("CSG5.html#group36H5", "36H⁵"), =HYPERLINK("CSG22.html#group180A22", "180A²²"), =HYPERLINK("CSG16.html#group72N16", "72N¹⁶"), =HYPERLINK("CSG22.html#group36C22", "36C²²"), =HYPERLINK("CSG8.html#group36M8", "36M⁸"), =HYPERLINK("CSG23.html#group180N23", "180N²³"), =HYPERLINK("CSG6.html#group18D6", "18D⁶"), =HYPERLINK("CSG15.html#group72J15", "72J¹⁵"), =HYPERLINK("CSG21.html#group72X21", "72X²¹"), =HYPERLINK("CSG19.html#group36O19", "36O¹⁹"), =HYPERLINK("CSG12.html#group72F12", "72F¹²"), =HYPERLINK("CSG8.html#group72C8", "72C⁸"), =HYPERLINK("CSG22.html#group72H22", "72H²²"), =HYPERLINK("CSG17.html#group72G17", "72G¹⁷"), =HYPERLINK("CSG12.html#group36E12", "36E¹²"), =HYPERLINK("CSG20.html#group36B20", "36B²⁰"), =HYPERLINK("CSG2.html#group18I2", "18I²"), =HYPERLINK("CSG24.html#group72A24", "72A²⁴"), =HYPERLINK("CSG22.html#group180C22", "180C²²"), =HYPERLINK("CSG24.html#group180B24", "180B²⁴"), =HYPERLINK("CSG16.html#group72R16", "72R¹⁶"), =HYPERLINK("CSG12.html#group72K12", "72K¹²"), =HYPERLINK("CSG21.html#group90K21", "90K²¹"), =HYPERLINK("CSG16.html#group144D16", "144D¹⁶"), =HYPERLINK("CSG7.html#group18I7", "18I⁷"), =HYPERLINK("CSG21.html#group36D21", "36D²¹"), =HYPERLINK("CSG16.html#group144F16", "144F¹⁶"), =HYPERLINK("CSG20.html#group180G20", "180G²⁰"), =HYPERLINK("CSG15.html#group72K15", "72K¹⁵"), =HYPERLINK("CSG17.html#group72C17", "72C¹⁷"), =HYPERLINK("CSG3.html#group18D3", "18D³"), =HYPERLINK("CSG19.html#group36S19", "36S¹⁹"), =HYPERLINK("CSG16.html#group72O16", "72O¹⁶"), =HYPERLINK("CSG14.html#group72C14", "72C¹⁴"), =HYPERLINK("CSG8.html#group18B8", "18B⁸"), =HYPERLINK("CSG21.html#group198E21", "198E²¹"), =HYPERLINK("CSG18.html#group144B18", "144B¹⁸"), =HYPERLINK("CSG11.html#group72N11", "72N¹¹"), =HYPERLINK("CSG16.html#group72Q16", "72Q¹⁶"), =HYPERLINK("CSG15.html#group72X15", "72X¹⁵"), =HYPERLINK("CSG24.html#group252G24", "252G²⁴"), =HYPERLINK("CSG12.html#group144B12", "144B¹²"), =HYPERLINK("CSG11.html#group72R11", "72R¹¹"), =HYPERLINK("CSG20.html#group36C20", "36C²⁰"), =HYPERLINK("CSG23.html#group144Y23", "144Y²³"), =HYPERLINK("CSG24.html#group90C24", "90C²⁴"), =HYPERLINK("CSG8.html#group36B8", "36B⁸"), =HYPERLINK("CSG17.html#group126A17", "126A¹⁷"), =HYPERLINK("CSG16.html#group72J16", "72J¹⁶"), =HYPERLINK("CSG18.html#group36B18", "36B¹⁸"), =HYPERLINK("CSG21.html#group72AA21", "72AA²¹"), =HYPERLINK("CSG16.html#group18D16", "18D¹⁶"), =HYPERLINK("CSG23.html#group144X23", "144X²³"), =HYPERLINK("CSG6.html#group36C6", "36C⁶"), =HYPERLINK("CSG12.html#group72O12", "72O¹²"), =HYPERLINK("CSG11.html#group36G11", "36G¹¹"), =HYPERLINK("CSG19.html#group36T19", "36T¹⁹"), =HYPERLINK("CSG13.html#group144E13", "144E¹³"), =HYPERLINK("CSG8.html#group72D8", "72D⁸"), =HYPERLINK("CSG16.html#group144E16", "144E¹⁶"), =HYPERLINK("CSG15.html#group72G15", "72G¹⁵"), =HYPERLINK("CSG16.html#group72M16", "72M¹⁶"), =HYPERLINK("CSG19.html#group72W19", "72W¹⁹"), =HYPERLINK("CSG3.html#group36E3", "36E³"), =HYPERLINK("CSG13.html#group144C13", "144C¹³"), =HYPERLINK("CSG17.html#group72I17", "72I¹⁷"), =HYPERLINK("CSG22.html#group72G22", "72G²²"), =HYPERLINK("CSG16.html#group72A16", "72A¹⁶"), =HYPERLINK("CSG19.html#group36N19", "36N¹⁹"), =HYPERLINK("CSG9.html#group72H9", "72H⁹"), =HYPERLINK("CSG22.html#group90E22", "90E²²"), =HYPERLINK("CSG14.html#group36A14", "36A¹⁴"), =HYPERLINK("CSG14.html#group144C14", "144C¹⁴"), =HYPERLINK("CSG15.html#group36L15", "36L¹⁵"), =HYPERLINK("CSG13.html#group144D13", "144D¹³"), =HYPERLINK("CSG17.html#group144B17", "144B¹⁷"), =HYPERLINK("CSG18.html#group144A18", "144A¹⁸"), =HYPERLINK("CSG15.html#group144D15", "144D¹⁵"), =HYPERLINK("CSG7.html#group18K7", "18K⁷"), =HYPERLINK("CSG14.html#group144D14", "144D¹⁴"), =HYPERLINK("CSG16.html#group18A16", "18A¹⁶"), =HYPERLINK("CSG17.html#group72A17", "72A¹⁷"), =HYPERLINK("CSG13.html#group72L13", "72L¹³"), =HYPERLINK("CSG8.html#group36A8", "36A⁸"), =HYPERLINK("CSG16.html#group72C16", "72C¹⁶"), =HYPERLINK("CSG23.html#group180M23", "180M²³"), =HYPERLINK("CSG12.html#group72J12", "72J¹²"), =HYPERLINK("CSG8.html#group36C8", "36C⁸"), =HYPERLINK("CSG10.html#group36N10", "36N¹⁰"), =HYPERLINK("CSG7.html#group18E7", "18E⁷"), =HYPERLINK("CSG9.html#group72A9", "72A⁹"), =HYPERLINK("CSG2.html#group36B2", "36B²"), =HYPERLINK("CSG13.html#group144B13", "144B¹³"), =HYPERLINK("CSG10.html#group90E10", "90E¹⁰"), =HYPERLINK("CSG13.html#group72P13", "72P¹³"), =HYPERLINK("CSG14.html#group72H14", "72H¹⁴"), =HYPERLINK("CSG13.html#group72H13", "72H¹³"), =HYPERLINK("CSG20.html#group180F20", "180F²⁰"), =HYPERLINK("CSG6.html#group36H6", "36H⁶"), =HYPERLINK("CSG21.html#group180A21", "180A²¹"), =HYPERLINK("CSG15.html#group72L15", "72L¹⁵"), =HYPERLINK("CSG23.html#group144W23", "144W²³"), =HYPERLINK("CSG21.html#group288A21", "288A²¹"), =HYPERLINK("CSG14.html#group72J14", "72J¹⁴"), =HYPERLINK("CSG14.html#group72E14", "72E¹⁴"), =HYPERLINK("CSG22.html#group36F22", "36F²²"), =HYPERLINK("CSG20.html#group72D20", "72D²⁰"), =HYPERLINK("CSG7.html#group18M7", "18M⁷"), =HYPERLINK("CSG9.html#group36O9", "36O⁹"), =HYPERLINK("CSG7.html#group36D7", "36D⁷"), =HYPERLINK("CSG7.html#group36F7", "36F⁷"), =HYPERLINK("CSG13.html#group36P13", "36P¹³"), =HYPERLINK("CSG20.html#group90A20", "90A²⁰"), =HYPERLINK("CSG16.html#group144H16", "144H¹⁶"), =HYPERLINK("CSG16.html#group18G16", "18G¹⁶"), =HYPERLINK("CSG14.html#group36B14", "36B¹⁴"), =HYPERLINK("CSG16.html#group144C16", "144C¹⁶"), =HYPERLINK("CSG7.html#group36C7", "36C⁷"), =HYPERLINK("CSG16.html#group36G16", "36G¹⁶"), =HYPERLINK("CSG6.html#group18A6", "18A⁶"), =HYPERLINK("CSG18.html#group72E18", "72E¹⁸"), =HYPERLINK("CSG10.html#group144E10", "144E¹⁰"), =HYPERLINK("CSG4.html#group36D4", "36D⁴"), =HYPERLINK("CSG12.html#group72M12", "72M¹²"), =HYPERLINK("CSG16.html#group36C16", "36C¹⁶"), =HYPERLINK("CSG13.html#group18B13", "18B¹³"), =HYPERLINK("CSG8.html#group36F8", "36F⁸"), =HYPERLINK("CSG22.html#group36D22", "36D²²"), =HYPERLINK("CSG16.html#group72D16", "72D¹⁶"), =HYPERLINK("CSG8.html#group36E8", "36E⁸"), =HYPERLINK("CSG7.html#group18A7", "18A⁷"), =HYPERLINK("CSG4.html#group36R4", "36R⁴"), =HYPERLINK("CSG4.html#group36E4", "36E⁴"), =HYPERLINK("CSG15.html#group36A15", "36A¹⁵"), =HYPERLINK("CSG24.html#group180A24", "180A²⁴"), =HYPERLINK("CSG17.html#group72K17", "72K¹⁷"), =HYPERLINK("CSG14.html#group72D14", "72D¹⁴"), =HYPERLINK("CSG17.html#group72D17", "72D¹⁷"), =HYPERLINK("CSG6.html#group72E6", "72E⁶"), =HYPERLINK("CSG16.html#group72K16", "72K¹⁶"), =HYPERLINK("CSG4.html#group18A4", "18A⁴"), =HYPERLINK("CSG17.html#group72J17", "72J¹⁷"), =HYPERLINK("CSG21.html#group180B21", "180B²¹"), =HYPERLINK("CSG20.html#group72F20", "72F²⁰"), =HYPERLINK("CSG22.html#group90G22", "90G²²"), =HYPERLINK("CSG13.html#group72N13", "72N¹³"), =HYPERLINK("CSG22.html#group72J22", "72J²²"), =HYPERLINK("CSG22.html#group90B22", "90B²²"), =HYPERLINK("CSG20.html#group90G20", "90G²⁰"), =HYPERLINK("CSG21.html#group90A21", "90A²¹"), =HYPERLINK("CSG4.html#group72E4", "72E⁴"), =HYPERLINK("CSG19.html#group18E19", "18E¹⁹"), =HYPERLINK("CSG5.html#group72A5", "72A⁵"), =HYPERLINK("CSG21.html#group180J21", "180J²¹"), =HYPERLINK("CSG18.html#group144D18", "144D¹⁸"), =HYPERLINK("CSG20.html#group36A20", "36A²⁰"), =HYPERLINK("CSG15.html#group72O15", "72O¹⁵"), =HYPERLINK("CSG16.html#group36B16", "36B¹⁶"), =HYPERLINK("CSG19.html#group36Q19", "36Q¹⁹"), =HYPERLINK("CSG17.html#group72F17", "72F¹⁷"), =HYPERLINK("CSG22.html#group36I22", "36I²²"), =HYPERLINK("CSG15.html#group72M15", "72M¹⁵"), =HYPERLINK("CSG22.html#group36H22", "36H²²"), =HYPERLINK("CSG13.html#group72G13", "72G¹³"), =HYPERLINK("CSG19.html#group144J19", "144J¹⁹"), =HYPERLINK("CSG19.html#group36M19", "36M¹⁹"), =HYPERLINK("CSG24.html#group90A24", "90A²⁴"), =HYPERLINK("CSG19.html#group18A19", "18A¹⁹"), =HYPERLINK("CSG12.html#group72G12", "72G¹²"), =HYPERLINK("CSG12.html#group126H12", "126H¹²"), =HYPERLINK("CSG16.html#group72G16", "72G¹⁶"), =HYPERLINK("CSG15.html#group36K15", "36K¹⁵"), =HYPERLINK("CSG16.html#group72P16", "72P¹⁶"), =HYPERLINK("CSG13.html#group72F13", "72F¹³"), =HYPERLINK("CSG15.html#group36I15", "36I¹⁵"), =HYPERLINK("CSG15.html#group36M15", "36M¹⁵"), =HYPERLINK("CSG18.html#group18A18", "18A¹⁸"), =HYPERLINK("CSG8.html#group36G8", "36G⁸"), =HYPERLINK("CSG2.html#group18L2", "18L²"), =HYPERLINK("CSG20.html#group180H20", "180H²⁰"), =HYPERLINK("CSG13.html#group72I13", "72I¹³"), =HYPERLINK("CSG8.html#group144A8", "144A⁸"), =HYPERLINK("CSG15.html#group36J15", "36J¹⁵"), =HYPERLINK("CSG17.html#group144A17", "144A¹⁷"), =HYPERLINK("CSG19.html#group90H19", "90H¹⁹"), =HYPERLINK("CSG8.html#group72E8", "72E⁸"), =HYPERLINK("CSG4.html#group18L4", "18L⁴"), =HYPERLINK("CSG16.html#group72S16", "72S¹⁶"), =HYPERLINK("CSG22.html#group180D22", "180D²²"), =HYPERLINK("CSG14.html#group144B14", "144B¹⁴"), =HYPERLINK("CSG6.html#group72B6", "72B⁶"), =HYPERLINK("CSG15.html#group144C15", "144C¹⁵"), =HYPERLINK("CSG20.html#group72E20", "72E²⁰"), =HYPERLINK("CSG7.html#group36L7", "36L⁷"), =HYPERLINK("CSG8.html#group18A8", "18A⁸"), =HYPERLINK("CSG10.html#group18L10", "18L¹⁰"), =HYPERLINK("CSG16.html#group144B16", "144B¹⁶"), =HYPERLINK("CSG15.html#group72N15", "72N¹⁵"), =HYPERLINK("CSG22.html#group72K22", "72K²²"), =HYPERLINK("CSG6.html#group72D6", "72D⁶"), =HYPERLINK("CSG3.html#group18J3", "18J³"), =HYPERLINK("CSG16.html#group36A16", "36A¹⁶"), =HYPERLINK("CSG7.html#group72B7", "72B⁷"), =HYPERLINK("CSG13.html#group144F13", "144F¹³"), =HYPERLINK("CSG21.html#group180I21", "180I²¹"), =HYPERLINK("CSG23.html#group90B23", "90B²³"), =HYPERLINK("CSG2.html#group36C2", "36C²"), =HYPERLINK("CSG21.html#group36C21", "36C²¹"), =HYPERLINK("CSG17.html#group72H17", "72H¹⁷"), =HYPERLINK("CSG14.html#group72B14", "72B¹⁴"), =HYPERLINK("CSG10.html#group90D10", "90D¹⁰"), =HYPERLINK("CSG8.html#group72B8", "72B⁸"), =HYPERLINK("CSG13.html#group36H13", "36H¹³"), =HYPERLINK("CSG15.html#group72F15", "72F¹⁵"), =HYPERLINK("CSG21.html#group90I21", "90I²¹"), =HYPERLINK("CSG18.html#group36A18", "36A¹⁸"), =HYPERLINK("CSG15.html#group72U15", "72U¹⁵"), =HYPERLINK("CSG15.html#group36D15", "36D¹⁵"), =HYPERLINK("CSG17.html#group72B17", "72B¹⁷"), =HYPERLINK("CSG12.html#group72N12", "72N¹²"), =HYPERLINK("CSG11.html#group72M11", "72M¹¹"), =HYPERLINK("CSG13.html#group72O13", "72O¹³"), =HYPERLINK("CSG22.html#group36E22", "36E²²"), =HYPERLINK("CSG15.html#group72W15", "72W¹⁵"), =HYPERLINK("CSG19.html#group18C19", "18C¹⁹"), =HYPERLINK("CSG15.html#group72S15", "72S¹⁵"), =HYPERLINK("CSG16.html#group144G16", "144G¹⁶"), =HYPERLINK("CSG15.html#group72Q15", "72Q¹⁵"), =HYPERLINK("CSG11.html#group72O11", "72O¹¹"), =HYPERLINK("CSG13.html#group36I13", "36I¹³"), =HYPERLINK("CSG12.html#group72L12", "72L¹²"), =HYPERLINK("CSG11.html#group36J11", "36J¹¹"), =HYPERLINK("CSG13.html#group72M13", "72M¹³"), =HYPERLINK("CSG3.html#group18E3", "18E³"), =HYPERLINK("CSG17.html#group72E17", "72E¹⁷"), =HYPERLINK("CSG6.html#group72C6", "72C⁶"), =HYPERLINK("CSG22.html#group36J22", "36J²²"), =HYPERLINK("CSG15.html#group54A15", "54A¹⁵"), =HYPERLINK("CSG18.html#group144C18", "144C¹⁸")</f>
        <v/>
      </c>
    </row>
    <row r="226">
      <c r="A226" t="inlineStr">
        <is>
          <t>18F¹</t>
        </is>
      </c>
      <c r="B226" t="inlineStr"/>
      <c r="C226" t="inlineStr">
        <is>
          <t>36</t>
        </is>
      </c>
      <c r="D226" t="inlineStr">
        <is>
          <t>1</t>
        </is>
      </c>
      <c r="E226" t="inlineStr">
        <is>
          <t>18</t>
        </is>
      </c>
      <c r="F226" t="inlineStr">
        <is>
          <t>4</t>
        </is>
      </c>
      <c r="G226" t="inlineStr">
        <is>
          <t>0</t>
        </is>
      </c>
      <c r="H226" t="inlineStr">
        <is>
          <t>6³, 18¹</t>
        </is>
      </c>
      <c r="I226" t="n">
        <v>4</v>
      </c>
      <c r="J226" t="inlineStr">
        <is>
          <t>1¹, 2¹, 3¹, 6²</t>
        </is>
      </c>
      <c r="K226">
        <f>HYPERLINK("CSG0.html#group6E0", "6E⁰"), =HYPERLINK("CSG0.html#group9E0", "9E⁰")</f>
        <v/>
      </c>
      <c r="L226">
        <f>HYPERLINK("CSG3.html#group18F3", "18F³"), =HYPERLINK("CSG3.html#group18K3", "18K³"), =HYPERLINK("CSG4.html#group18O4", "18O⁴"), =HYPERLINK("CSG4.html#group36H4", "36H⁴"), =HYPERLINK("CSG4.html#group36I4", "36I⁴"), =HYPERLINK("CSG6.html#group18B6", "18B⁶"), =HYPERLINK("CSG6.html#group18C6", "18C⁶"), =HYPERLINK("CSG7.html#group36J7", "36J⁷"), =HYPERLINK("CSG13.html#group90A13", "90A¹³"), =HYPERLINK("CSG13.html#group90G13", "90G¹³"), =HYPERLINK("CSG17.html#group126E17", "126E¹⁷"), =HYPERLINK("CSG21.html#group126L21", "126L²¹")</f>
        <v/>
      </c>
      <c r="M226">
        <f>HYPERLINK("CSG0.html#group3C0", "3C⁰"), =HYPERLINK("CSG0.html#group6B0", "6B⁰"), =HYPERLINK("CSG0.html#group9E0", "9E⁰"), =HYPERLINK("CSG0.html#group3A0", "3A⁰"), =HYPERLINK("CSG0.html#group6E0", "6E⁰"), =HYPERLINK("CSG0.html#group1A0", "1A⁰")</f>
        <v/>
      </c>
      <c r="N226">
        <f>HYPERLINK("CSG9.html#group36A9", "36A⁹"), =HYPERLINK("CSG16.html#group18C16", "18C¹⁶"), =HYPERLINK("CSG13.html#group36E13", "36E¹³"), =HYPERLINK("CSG19.html#group54A19", "54A¹⁹"), =HYPERLINK("CSG19.html#group72S19", "72S¹⁹"), =HYPERLINK("CSG18.html#group18A18", "18A¹⁸"), =HYPERLINK("CSG15.html#group36G15", "36G¹⁵"), =HYPERLINK("CSG23.html#group36B23", "36B²³"), =HYPERLINK("CSG21.html#group126L21", "126L²¹"), =HYPERLINK("CSG16.html#group18F16", "18F¹⁶"), =HYPERLINK("CSG23.html#group72J23", "72J²³"), =HYPERLINK("CSG3.html#group18F3", "18F³"), =HYPERLINK("CSG15.html#group36E15", "36E¹⁵"), =HYPERLINK("CSG10.html#group18K10", "18K¹⁰"), =HYPERLINK("CSG8.html#group36N8", "36N⁸"), =HYPERLINK("CSG8.html#group36O8", "36O⁸"), =HYPERLINK("CSG13.html#group18A13", "18A¹³"), =HYPERLINK("CSG3.html#group18K3", "18K³"), =HYPERLINK("CSG13.html#group18E13", "18E¹³"), =HYPERLINK("CSG19.html#group36U19", "36U¹⁹"), =HYPERLINK("CSG16.html#group54Q16", "54Q¹⁶"), =HYPERLINK("CSG4.html#group18O4", "18O⁴"), =HYPERLINK("CSG13.html#group90A13", "90A¹³"), =HYPERLINK("CSG17.html#group36C17", "36C¹⁷"), =HYPERLINK("CSG7.html#group18N7", "18N⁷"), =HYPERLINK("CSG13.html#group36F13", "36F¹³"), =HYPERLINK("CSG21.html#group36E21", "36E²¹"), =HYPERLINK("CSG4.html#group36I4", "36I⁴"), =HYPERLINK("CSG7.html#group36J7", "36J⁷"), =HYPERLINK("CSG15.html#group36H15", "36H¹⁵"), =HYPERLINK("CSG11.html#group36L11", "36L¹¹"), =HYPERLINK("CSG13.html#group18C13", "18C¹³"), =HYPERLINK("CSG19.html#group72T19", "72T¹⁹"), =HYPERLINK("CSG6.html#group18B6", "18B⁶"), =HYPERLINK("CSG17.html#group36I17", "36I¹⁷"), =HYPERLINK("CSG10.html#group18D10", "18D¹⁰"), =HYPERLINK("CSG4.html#group36H4", "36H⁴"), =HYPERLINK("CSG21.html#group54A21", "54A²¹"), =HYPERLINK("CSG17.html#group126E17", "126E¹⁷"), =HYPERLINK("CSG9.html#group36P9", "36P⁹"), =HYPERLINK("CSG6.html#group18C6", "18C⁶"), =HYPERLINK("CSG12.html#group36B12", "36B¹²"), =HYPERLINK("CSG23.html#group36D23", "36D²³"), =HYPERLINK("CSG13.html#group90G13", "90G¹³"), =HYPERLINK("CSG12.html#group36A12", "36A¹²"), =HYPERLINK("CSG16.html#group18D16", "18D¹⁶"), =HYPERLINK("CSG23.html#group72K23", "72K²³"), =HYPERLINK("CSG24.html#group54B24", "54B²⁴"), =HYPERLINK("CSG23.html#group72I23", "72I²³"), =HYPERLINK("CSG21.html#group54B21", "54B²¹"), =HYPERLINK("CSG15.html#group36Q15", "36Q¹⁵"), =HYPERLINK("CSG23.html#group36C23", "36C²³"), =HYPERLINK("CSG13.html#group18D13", "18D¹³"), =HYPERLINK("CSG15.html#group36R15", "36R¹⁵"), =HYPERLINK("CSG19.html#group54B19", "54B¹⁹"), =HYPERLINK("CSG24.html#group54A24", "54A²⁴")</f>
        <v/>
      </c>
    </row>
    <row r="227">
      <c r="A227" t="inlineStr">
        <is>
          <t>18G¹</t>
        </is>
      </c>
      <c r="B227" t="inlineStr"/>
      <c r="C227" t="inlineStr">
        <is>
          <t>36</t>
        </is>
      </c>
      <c r="D227" t="inlineStr">
        <is>
          <t>1</t>
        </is>
      </c>
      <c r="E227" t="inlineStr">
        <is>
          <t>36</t>
        </is>
      </c>
      <c r="F227" t="inlineStr">
        <is>
          <t>4</t>
        </is>
      </c>
      <c r="G227" t="inlineStr">
        <is>
          <t>0</t>
        </is>
      </c>
      <c r="H227" t="inlineStr">
        <is>
          <t>6³, 18¹</t>
        </is>
      </c>
      <c r="I227" t="n">
        <v>4</v>
      </c>
      <c r="J227" t="inlineStr">
        <is>
          <t>2³, 3², 6⁴</t>
        </is>
      </c>
      <c r="K227">
        <f>HYPERLINK("CSG0.html#group6E0", "6E⁰")</f>
        <v/>
      </c>
      <c r="L227">
        <f>HYPERLINK("CSG3.html#group18H3", "18H³"), =HYPERLINK("CSG3.html#group18K3", "18K³"), =HYPERLINK("CSG4.html#group18R4", "18R⁴"), =HYPERLINK("CSG4.html#group36J4", "36J⁴"), =HYPERLINK("CSG4.html#group36K4", "36K⁴"), =HYPERLINK("CSG6.html#group18C6", "18C⁶"), =HYPERLINK("CSG6.html#group18E6", "18E⁶"), =HYPERLINK("CSG7.html#group36K7", "36K⁷"), =HYPERLINK("CSG13.html#group90C13", "90C¹³"), =HYPERLINK("CSG13.html#group90I13", "90I¹³"), =HYPERLINK("CSG17.html#group126H17", "126H¹⁷"), =HYPERLINK("CSG21.html#group126N21", "126N²¹")</f>
        <v/>
      </c>
      <c r="M227">
        <f>HYPERLINK("CSG0.html#group3C0", "3C⁰"), =HYPERLINK("CSG0.html#group6B0", "6B⁰"), =HYPERLINK("CSG0.html#group3A0", "3A⁰"), =HYPERLINK("CSG0.html#group6E0", "6E⁰"), =HYPERLINK("CSG0.html#group1A0", "1A⁰")</f>
        <v/>
      </c>
      <c r="N227">
        <f>HYPERLINK("CSG4.html#group36K4", "36K⁴"), =HYPERLINK("CSG21.html#group126N21", "126N²¹"), =HYPERLINK("CSG4.html#group18R4", "18R⁴"), =HYPERLINK("CSG13.html#group18G13", "18G¹³"), =HYPERLINK("CSG19.html#group72U19", "72U¹⁹"), =HYPERLINK("CSG18.html#group18A18", "18A¹⁸"), =HYPERLINK("CSG15.html#group36G15", "36G¹⁵"), =HYPERLINK("CSG23.html#group36B23", "36B²³"), =HYPERLINK("CSG16.html#group18F16", "18F¹⁶"), =HYPERLINK("CSG23.html#group72J23", "72J²³"), =HYPERLINK("CSG10.html#group18K10", "18K¹⁰"), =HYPERLINK("CSG17.html#group36E17", "36E¹⁷"), =HYPERLINK("CSG8.html#group36N8", "36N⁸"), =HYPERLINK("CSG3.html#group18H3", "18H³"), =HYPERLINK("CSG8.html#group36O8", "36O⁸"), =HYPERLINK("CSG7.html#group36K7", "36K⁷"), =HYPERLINK("CSG3.html#group18K3", "18K³"), =HYPERLINK("CSG13.html#group18E13", "18E¹³"), =HYPERLINK("CSG19.html#group36U19", "36U¹⁹"), =HYPERLINK("CSG4.html#group36J4", "36J⁴"), =HYPERLINK("CSG7.html#group18N7", "18N⁷"), =HYPERLINK("CSG6.html#group18E6", "18E⁶"), =HYPERLINK("CSG21.html#group36E21", "36E²¹"), =HYPERLINK("CSG15.html#group36H15", "36H¹⁵"), =HYPERLINK("CSG11.html#group36L11", "36L¹¹"), =HYPERLINK("CSG15.html#group36S15", "36S¹⁵"), =HYPERLINK("CSG16.html#group18H16", "18H¹⁶"), =HYPERLINK("CSG13.html#group90C13", "90C¹³"), =HYPERLINK("CSG13.html#group36L13", "36L¹³"), =HYPERLINK("CSG17.html#group36I17", "36I¹⁷"), =HYPERLINK("CSG9.html#group36E9", "36E⁹"), =HYPERLINK("CSG13.html#group18H13", "18H¹³"), =HYPERLINK("CSG9.html#group36P9", "36P⁹"), =HYPERLINK("CSG6.html#group18C6", "18C⁶"), =HYPERLINK("CSG15.html#group36O15", "36O¹⁵"), =HYPERLINK("CSG12.html#group36B12", "36B¹²"), =HYPERLINK("CSG12.html#group36A12", "36A¹²"), =HYPERLINK("CSG23.html#group36D23", "36D²³"), =HYPERLINK("CSG16.html#group18D16", "18D¹⁶"), =HYPERLINK("CSG23.html#group72K23", "72K²³"), =HYPERLINK("CSG13.html#group18F13", "18F¹³"), =HYPERLINK("CSG17.html#group126H17", "126H¹⁷"), =HYPERLINK("CSG13.html#group36M13", "36M¹³"), =HYPERLINK("CSG13.html#group90I13", "90I¹³"), =HYPERLINK("CSG15.html#group36T15", "36T¹⁵"), =HYPERLINK("CSG23.html#group72I23", "72I²³"), =HYPERLINK("CSG23.html#group36C23", "36C²³"), =HYPERLINK("CSG19.html#group72V19", "72V¹⁹"), =HYPERLINK("CSG10.html#group18F10", "18F¹⁰")</f>
        <v/>
      </c>
    </row>
    <row r="228">
      <c r="A228" t="inlineStr">
        <is>
          <t>18H¹</t>
        </is>
      </c>
      <c r="B228" t="inlineStr"/>
      <c r="C228" t="inlineStr">
        <is>
          <t>54</t>
        </is>
      </c>
      <c r="D228" t="inlineStr">
        <is>
          <t>1</t>
        </is>
      </c>
      <c r="E228" t="inlineStr">
        <is>
          <t>27</t>
        </is>
      </c>
      <c r="F228" t="inlineStr">
        <is>
          <t>12</t>
        </is>
      </c>
      <c r="G228" t="inlineStr">
        <is>
          <t>0</t>
        </is>
      </c>
      <c r="H228" t="inlineStr">
        <is>
          <t>18³</t>
        </is>
      </c>
      <c r="I228" t="n">
        <v>3</v>
      </c>
      <c r="J228" t="inlineStr">
        <is>
          <t>3¹, 6⁴</t>
        </is>
      </c>
      <c r="K228">
        <f>HYPERLINK("CSG0.html#group9G0", "9G⁰"), =HYPERLINK("CSG0.html#group18A0", "18A⁰")</f>
        <v/>
      </c>
      <c r="L228">
        <f>HYPERLINK("CSG4.html#group18S4", "18S⁴"), =HYPERLINK("CSG7.html#group18C7", "18C⁷"), =HYPERLINK("CSG7.html#group18J7", "18J⁷"), =HYPERLINK("CSG7.html#group18K7", "18K⁷"), =HYPERLINK("CSG7.html#group18L7", "18L⁷"), =HYPERLINK("CSG7.html#group54A7", "54A⁷"), =HYPERLINK("CSG10.html#group36T10", "36T¹⁰"), =HYPERLINK("CSG19.html#group90F19", "90F¹⁹"), =HYPERLINK("CSG19.html#group90J19", "90J¹⁹"), =HYPERLINK("CSG22.html#group126A22", "126A²²")</f>
        <v/>
      </c>
      <c r="M228">
        <f>HYPERLINK("CSG0.html#group6B0", "6B⁰"), =HYPERLINK("CSG0.html#group9A0", "9A⁰"), =HYPERLINK("CSG0.html#group3A0", "3A⁰"), =HYPERLINK("CSG0.html#group1A0", "1A⁰"), =HYPERLINK("CSG0.html#group18A0", "18A⁰"), =HYPERLINK("CSG0.html#group9G0", "9G⁰")</f>
        <v/>
      </c>
      <c r="N228">
        <f>HYPERLINK("CSG4.html#group18S4", "18S⁴"), =HYPERLINK("CSG19.html#group90J19", "90J¹⁹"), =HYPERLINK("CSG16.html#group18C16", "18C¹⁶"), =HYPERLINK("CSG7.html#group18K7", "18K⁷"), =HYPERLINK("CSG16.html#group18H16", "18H¹⁶"), =HYPERLINK("CSG7.html#group54A7", "54A⁷"), =HYPERLINK("CSG19.html#group18B19", "18B¹⁹"), =HYPERLINK("CSG10.html#group36T10", "36T¹⁰"), =HYPERLINK("CSG7.html#group18C7", "18C⁷"), =HYPERLINK("CSG16.html#group36H16", "36H¹⁶"), =HYPERLINK("CSG7.html#group18L7", "18L⁷"), =HYPERLINK("CSG16.html#group18G16", "18G¹⁶"), =HYPERLINK("CSG19.html#group36S19", "36S¹⁹"), =HYPERLINK("CSG16.html#group54V16", "54V¹⁶"), =HYPERLINK("CSG22.html#group54K22", "54K²²"), =HYPERLINK("CSG22.html#group54J22", "54J²²"), =HYPERLINK("CSG19.html#group18D19", "18D¹⁹"), =HYPERLINK("CSG22.html#group126A22", "126A²²"), =HYPERLINK("CSG13.html#group18A13", "18A¹³"), =HYPERLINK("CSG19.html#group18C19", "18C¹⁹"), =HYPERLINK("CSG19.html#group90F19", "90F¹⁹"), =HYPERLINK("CSG22.html#group36D22", "36D²²"), =HYPERLINK("CSG22.html#group54H22", "54H²²"), =HYPERLINK("CSG7.html#group18J7", "18J⁷"), =HYPERLINK("CSG13.html#group36O13", "36O¹³")</f>
        <v/>
      </c>
    </row>
    <row r="229">
      <c r="A229" t="inlineStr">
        <is>
          <t>18I¹</t>
        </is>
      </c>
      <c r="B229" t="inlineStr"/>
      <c r="C229" t="inlineStr">
        <is>
          <t>54</t>
        </is>
      </c>
      <c r="D229" t="inlineStr">
        <is>
          <t>1</t>
        </is>
      </c>
      <c r="E229" t="inlineStr">
        <is>
          <t>54</t>
        </is>
      </c>
      <c r="F229" t="inlineStr">
        <is>
          <t>2</t>
        </is>
      </c>
      <c r="G229" t="inlineStr">
        <is>
          <t>0</t>
        </is>
      </c>
      <c r="H229" t="inlineStr">
        <is>
          <t>3³, 6³, 9¹, 18¹</t>
        </is>
      </c>
      <c r="I229" t="n">
        <v>8</v>
      </c>
      <c r="J229" t="inlineStr">
        <is>
          <t>1³, 2³, 3³, 6⁶</t>
        </is>
      </c>
      <c r="K229">
        <f>HYPERLINK("CSG0.html#group6G0", "6G⁰"), =HYPERLINK("CSG0.html#group9E0", "9E⁰")</f>
        <v/>
      </c>
      <c r="L229">
        <f>HYPERLINK("CSG2.html#group18P2", "18P²"), =HYPERLINK("CSG3.html#group18K3", "18K³"), =HYPERLINK("CSG3.html#group36I3", "36I³"), =HYPERLINK("CSG4.html#group18N4", "18N⁴"), =HYPERLINK("CSG4.html#group36Q4", "36Q⁴"), =HYPERLINK("CSG5.html#group36I5", "36I⁵"), =HYPERLINK("CSG6.html#group36D6", "36D⁶"), =HYPERLINK("CSG7.html#group18I7", "18I⁷"), =HYPERLINK("CSG8.html#group18A8", "18A⁸"), =HYPERLINK("CSG19.html#group90G19", "90G¹⁹"), =HYPERLINK("CSG19.html#group90K19", "90K¹⁹")</f>
        <v/>
      </c>
      <c r="M229">
        <f>HYPERLINK("CSG0.html#group6G0", "6G⁰"), =HYPERLINK("CSG0.html#group3C0", "3C⁰"), =HYPERLINK("CSG0.html#group2B0", "2B⁰"), =HYPERLINK("CSG0.html#group9E0", "9E⁰"), =HYPERLINK("CSG0.html#group3A0", "3A⁰"), =HYPERLINK("CSG0.html#group1A0", "1A⁰"), =HYPERLINK("CSG0.html#group6D0", "6D⁰")</f>
        <v/>
      </c>
      <c r="N229">
        <f>HYPERLINK("CSG5.html#group36I5", "36I⁵"), =HYPERLINK("CSG13.html#group72K13", "72K¹³"), =HYPERLINK("CSG10.html#group18M10", "18M¹⁰"), =HYPERLINK("CSG11.html#group72Q11", "72Q¹¹"), =HYPERLINK("CSG21.html#group72AB21", "72AB²¹"), =HYPERLINK("CSG12.html#group36D12", "36D¹²"), =HYPERLINK("CSG18.html#group36A18", "36A¹⁸"), =HYPERLINK("CSG7.html#group18I7", "18I⁷"), =HYPERLINK("CSG18.html#group18A18", "18A¹⁸"), =HYPERLINK("CSG16.html#group18B16", "18B¹⁶"), =HYPERLINK("CSG22.html#group18A22", "18A²²"), =HYPERLINK("CSG11.html#group36I11", "36I¹¹"), =HYPERLINK("CSG19.html#group36N19", "36N¹⁹"), =HYPERLINK("CSG23.html#group36B23", "36B²³"), =HYPERLINK("CSG19.html#group90G19", "90G¹⁹"), =HYPERLINK("CSG12.html#group72E12", "72E¹²"), =HYPERLINK("CSG8.html#group72L8", "72L⁸"), =HYPERLINK("CSG23.html#group72J23", "72J²³"), =HYPERLINK("CSG22.html#group36A22", "36A²²"), =HYPERLINK("CSG11.html#group36M11", "36M¹¹"), =HYPERLINK("CSG4.html#group18N4", "18N⁴"), =HYPERLINK("CSG8.html#group36N8", "36N⁸"), =HYPERLINK("CSG8.html#group36O8", "36O⁸"), =HYPERLINK("CSG19.html#group18A19", "18A¹⁹"), =HYPERLINK("CSG11.html#group72P11", "72P¹¹"), =HYPERLINK("CSG12.html#group36C12", "36C¹²"), =HYPERLINK("CSG3.html#group18K3", "18K³"), =HYPERLINK("CSG11.html#group36N11", "36N¹¹"), =HYPERLINK("CSG12.html#group72H12", "72H¹²"), =HYPERLINK("CSG3.html#group36I3", "36I³"), =HYPERLINK("CSG19.html#group36U19", "36U¹⁹"), =HYPERLINK("CSG19.html#group18C19", "18C¹⁹"), =HYPERLINK("CSG21.html#group36E21", "36E²¹"), =HYPERLINK("CSG7.html#group18N7", "18N⁷"), =HYPERLINK("CSG11.html#group36L11", "36L¹¹"), =HYPERLINK("CSG7.html#group36N7", "36N⁷"), =HYPERLINK("CSG17.html#group72X17", "72X¹⁷"), =HYPERLINK("CSG8.html#group72M8", "72M⁸"), =HYPERLINK("CSG17.html#group36I17", "36I¹⁷"), =HYPERLINK("CSG12.html#group72D12", "72D¹²"), =HYPERLINK("CSG16.html#group18A16", "18A¹⁶"), =HYPERLINK("CSG15.html#group72H15", "72H¹⁵"), =HYPERLINK("CSG6.html#group36D6", "36D⁶"), =HYPERLINK("CSG17.html#group36K17", "36K¹⁷"), =HYPERLINK("CSG22.html#group36C22", "36C²²"), =HYPERLINK("CSG13.html#group72J13", "72J¹³"), =HYPERLINK("CSG9.html#group36P9", "36P⁹"), =HYPERLINK("CSG8.html#group18A8", "18A⁸"), =HYPERLINK("CSG12.html#group72I12", "72I¹²"), =HYPERLINK("CSG23.html#group36D23", "36D²³"), =HYPERLINK("CSG12.html#group36A12", "36A¹²"), =HYPERLINK("CSG12.html#group36B12", "36B¹²"), =HYPERLINK("CSG16.html#group18D16", "18D¹⁶"), =HYPERLINK("CSG23.html#group72K23", "72K²³"), =HYPERLINK("CSG19.html#group36O19", "36O¹⁹"), =HYPERLINK("CSG16.html#group36G16", "36G¹⁶"), =HYPERLINK("CSG23.html#group72I23", "72I²³"), =HYPERLINK("CSG15.html#group72I15", "72I¹⁵"), =HYPERLINK("CSG19.html#group90K19", "90K¹⁹"), =HYPERLINK("CSG4.html#group36Q4", "36Q⁴"), =HYPERLINK("CSG2.html#group18P2", "18P²"), =HYPERLINK("CSG19.html#group36M19", "36M¹⁹"), =HYPERLINK("CSG23.html#group36C23", "36C²³"), =HYPERLINK("CSG21.html#group36C21", "36C²¹")</f>
        <v/>
      </c>
    </row>
    <row r="230">
      <c r="A230" t="inlineStr">
        <is>
          <t>18J¹</t>
        </is>
      </c>
      <c r="B230" t="inlineStr"/>
      <c r="C230" t="inlineStr">
        <is>
          <t>72</t>
        </is>
      </c>
      <c r="D230" t="inlineStr">
        <is>
          <t>1</t>
        </is>
      </c>
      <c r="E230" t="inlineStr">
        <is>
          <t>4</t>
        </is>
      </c>
      <c r="F230" t="inlineStr">
        <is>
          <t>0</t>
        </is>
      </c>
      <c r="G230" t="inlineStr">
        <is>
          <t>0</t>
        </is>
      </c>
      <c r="H230" t="inlineStr">
        <is>
          <t>2⁹, 18³</t>
        </is>
      </c>
      <c r="I230" t="n">
        <v>12</v>
      </c>
      <c r="J230" t="inlineStr">
        <is>
          <t>1², 2¹</t>
        </is>
      </c>
      <c r="K230">
        <f>HYPERLINK("CSG0.html#group6I0", "6I⁰"), =HYPERLINK("CSG0.html#group18C0", "18C⁰"), =HYPERLINK("CSG0.html#group18E0", "18E⁰"), =HYPERLINK("CSG1.html#group18C1", "18C¹")</f>
        <v/>
      </c>
      <c r="L230">
        <f>HYPERLINK("CSG3.html#group36J3", "36J³"), =HYPERLINK("CSG5.html#group36L5", "36L⁵"), =HYPERLINK("CSG7.html#group18O7", "18O⁷"), =HYPERLINK("CSG7.html#group36H7", "36H⁷"), =HYPERLINK("CSG7.html#group54B7", "54B⁷"), =HYPERLINK("CSG10.html#group18E10", "18E¹⁰"), =HYPERLINK("CSG10.html#group54A10", "54A¹⁰"), =HYPERLINK("CSG13.html#group54B13", "54B¹³")</f>
        <v/>
      </c>
      <c r="M230">
        <f>HYPERLINK("CSG0.html#group18C0", "18C⁰"), =HYPERLINK("CSG0.html#group3B0", "3B⁰"), =HYPERLINK("CSG0.html#group2A0", "2A⁰"), =HYPERLINK("CSG0.html#group18E0", "18E⁰"), =HYPERLINK("CSG0.html#group6I0", "6I⁰"), =HYPERLINK("CSG1.html#group18C1", "18C¹"), =HYPERLINK("CSG0.html#group6C0", "6C⁰"), =HYPERLINK("CSG0.html#group6F0", "6F⁰"), =HYPERLINK("CSG0.html#group9B0", "9B⁰"), =HYPERLINK("CSG0.html#group2B0", "2B⁰"), =HYPERLINK("CSG0.html#group1A0", "1A⁰"), =HYPERLINK("CSG0.html#group2C0", "2C⁰")</f>
        <v/>
      </c>
      <c r="N230">
        <f>HYPERLINK("CSG5.html#group36L5", "36L⁵"), =HYPERLINK("CSG10.html#group18E10", "18E¹⁰"), =HYPERLINK("CSG17.html#group72M17", "72M¹⁷"), =HYPERLINK("CSG21.html#group36F21", "36F²¹"), =HYPERLINK("CSG7.html#group36H7", "36H⁷"), =HYPERLINK("CSG21.html#group108E21", "108E²¹"), =HYPERLINK("CSG13.html#group72V13", "72V¹³"), =HYPERLINK("CSG17.html#group108F17", "108F¹⁷"), =HYPERLINK("CSG13.html#group72W13", "72W¹³"), =HYPERLINK("CSG7.html#group18O7", "18O⁷"), =HYPERLINK("CSG13.html#group36U13", "36U¹³"), =HYPERLINK("CSG22.html#group36K22", "36K²²"), =HYPERLINK("CSG17.html#group72N17", "72N¹⁷"), =HYPERLINK("CSG13.html#group54B13", "54B¹³"), =HYPERLINK("CSG9.html#group36Q9", "36Q⁹"), =HYPERLINK("CSG17.html#group36J17", "36J¹⁷"), =HYPERLINK("CSG22.html#group108E22", "108E²²"), =HYPERLINK("CSG13.html#group36T13", "36T¹³"), =HYPERLINK("CSG10.html#group54A10", "54A¹⁰"), =HYPERLINK("CSG13.html#group72R13", "72R¹³"), =HYPERLINK("CSG7.html#group54B7", "54B⁷"), =HYPERLINK("CSG3.html#group36J3", "36J³"), =HYPERLINK("CSG13.html#group72Q13", "72Q¹³")</f>
        <v/>
      </c>
    </row>
    <row r="231">
      <c r="A231" t="inlineStr">
        <is>
          <t>18K¹</t>
        </is>
      </c>
      <c r="B231" t="inlineStr"/>
      <c r="C231" t="inlineStr">
        <is>
          <t>72</t>
        </is>
      </c>
      <c r="D231" t="inlineStr">
        <is>
          <t>1</t>
        </is>
      </c>
      <c r="E231" t="inlineStr">
        <is>
          <t>8</t>
        </is>
      </c>
      <c r="F231" t="inlineStr">
        <is>
          <t>0</t>
        </is>
      </c>
      <c r="G231" t="inlineStr">
        <is>
          <t>9</t>
        </is>
      </c>
      <c r="H231" t="inlineStr">
        <is>
          <t>6³, 18³</t>
        </is>
      </c>
      <c r="I231" t="n">
        <v>6</v>
      </c>
      <c r="J231" t="inlineStr">
        <is>
          <t>2⁴</t>
        </is>
      </c>
      <c r="K231">
        <f>HYPERLINK("CSG0.html#group6J0", "6J⁰"), =HYPERLINK("CSG0.html#group18B0", "18B⁰"), =HYPERLINK("CSG0.html#group18C0", "18C⁰"), =HYPERLINK("CSG1.html#group18D1", "18D¹")</f>
        <v/>
      </c>
      <c r="L231">
        <f>HYPERLINK("CSG4.html#group36S4", "36S⁴"), =HYPERLINK("CSG7.html#group18P7", "18P⁷"), =HYPERLINK("CSG10.html#group18E10", "18E¹⁰"), =HYPERLINK("CSG10.html#group54F10", "54F¹⁰"), =HYPERLINK("CSG13.html#group54P13", "54P¹³"), =HYPERLINK("CSG16.html#group36F16", "36F¹⁶"), =HYPERLINK("CSG16.html#group54J16", "54J¹⁶"), =HYPERLINK("CSG22.html#group90I22", "90I²²")</f>
        <v/>
      </c>
      <c r="M231">
        <f>HYPERLINK("CSG0.html#group18C0", "18C⁰"), =HYPERLINK("CSG0.html#group3B0", "3B⁰"), =HYPERLINK("CSG0.html#group2A0", "2A⁰"), =HYPERLINK("CSG0.html#group6A0", "6A⁰"), =HYPERLINK("CSG0.html#group18B0", "18B⁰"), =HYPERLINK("CSG0.html#group6C0", "6C⁰"), =HYPERLINK("CSG0.html#group6J0", "6J⁰"), =HYPERLINK("CSG0.html#group9C0", "9C⁰"), =HYPERLINK("CSG0.html#group1A0", "1A⁰"), =HYPERLINK("CSG1.html#group18D1", "18D¹")</f>
        <v/>
      </c>
      <c r="N231">
        <f>HYPERLINK("CSG4.html#group36S4", "36S⁴"), =HYPERLINK("CSG10.html#group54F10", "54F¹⁰"), =HYPERLINK("CSG22.html#group36K22", "36K²²"), =HYPERLINK("CSG22.html#group90I22", "90I²²"), =HYPERLINK("CSG10.html#group18E10", "18E¹⁰"), =HYPERLINK("CSG22.html#group36M22", "36M²²"), =HYPERLINK("CSG16.html#group36F16", "36F¹⁶"), =HYPERLINK("CSG7.html#group18P7", "18P⁷"), =HYPERLINK("CSG22.html#group108C22", "108C²²"), =HYPERLINK("CSG13.html#group54P13", "54P¹³"), =HYPERLINK("CSG16.html#group54J16", "54J¹⁶")</f>
        <v/>
      </c>
    </row>
    <row r="232">
      <c r="A232" t="inlineStr">
        <is>
          <t>19A¹</t>
        </is>
      </c>
      <c r="B232" t="inlineStr">
        <is>
          <t>Γ₀(19)</t>
        </is>
      </c>
      <c r="C232" t="inlineStr">
        <is>
          <t>20</t>
        </is>
      </c>
      <c r="D232" t="inlineStr">
        <is>
          <t>1</t>
        </is>
      </c>
      <c r="E232" t="inlineStr">
        <is>
          <t>20</t>
        </is>
      </c>
      <c r="F232" t="inlineStr">
        <is>
          <t>0</t>
        </is>
      </c>
      <c r="G232" t="inlineStr">
        <is>
          <t>2</t>
        </is>
      </c>
      <c r="H232" t="inlineStr">
        <is>
          <t>1¹, 19¹</t>
        </is>
      </c>
      <c r="I232" t="n">
        <v>2</v>
      </c>
      <c r="J232" t="inlineStr">
        <is>
          <t>1², 18¹</t>
        </is>
      </c>
      <c r="K232">
        <f>HYPERLINK("CSG0.html#group1A0", "1A⁰")</f>
        <v/>
      </c>
      <c r="L232">
        <f>HYPERLINK("CSG1.html#group19B1", "19B¹"), =HYPERLINK("CSG2.html#group38A2", "38A²"), =HYPERLINK("CSG4.html#group38A4", "38A⁴"), =HYPERLINK("CSG5.html#group57A5", "57A⁵"), =HYPERLINK("CSG5.html#group57B5", "57B⁵"), =HYPERLINK("CSG5.html#group57C5", "57C⁵"), =HYPERLINK("CSG6.html#group76A6", "76A⁶"), =HYPERLINK("CSG7.html#group95A7", "95A⁷"), =HYPERLINK("CSG9.html#group95A9", "95A⁹"), =HYPERLINK("CSG11.html#group133A11", "133A¹¹"), =HYPERLINK("CSG11.html#group133B11", "133B¹¹"), =HYPERLINK("CSG15.html#group95A15", "95A¹⁵"), =HYPERLINK("CSG17.html#group209A17", "209A¹⁷"), =HYPERLINK("CSG19.html#group209A19", "209A¹⁹"), =HYPERLINK("CSG21.html#group247A21", "247A²¹"), =HYPERLINK("CSG22.html#group19A22", "19A²²"), =HYPERLINK("CSG22.html#group361A22", "361A²²")</f>
        <v/>
      </c>
      <c r="M232">
        <f>HYPERLINK("CSG0.html#group1A0", "1A⁰")</f>
        <v/>
      </c>
      <c r="N232">
        <f>HYPERLINK("CSG21.html#group76A21", "76A²¹"), =HYPERLINK("CSG17.html#group57B17", "57B¹⁷"), =HYPERLINK("CSG2.html#group38A2", "38A²"), =HYPERLINK("CSG23.html#group228B23", "228B²³"), =HYPERLINK("CSG23.html#group285C23", "285C²³"), =HYPERLINK("CSG22.html#group38B22", "38B²²"), =HYPERLINK("CSG22.html#group114A22", "114A²²"), =HYPERLINK("CSG22.html#group266B22", "266B²²"), =HYPERLINK("CSG4.html#group38A4", "38A⁴"), =HYPERLINK("CSG7.html#group19A7", "19A⁷"), =HYPERLINK("CSG4.html#group38B4", "38B⁴"), =HYPERLINK("CSG17.html#group114A17", "114A¹⁷"), =HYPERLINK("CSG13.html#group57B13", "57B¹³"), =HYPERLINK("CSG19.html#group209A19", "209A¹⁹"), =HYPERLINK("CSG14.html#group190A14", "190A¹⁴"), =HYPERLINK("CSG24.html#group190A24", "190A²⁴"), =HYPERLINK("CSG23.html#group285A23", "285A²³"), =HYPERLINK("CSG20.html#group228B20", "228B²⁰"), =HYPERLINK("CSG20.html#group228E20", "228E²⁰"), =HYPERLINK("CSG15.html#group95A15", "95A¹⁵"), =HYPERLINK("CSG22.html#group361A22", "361A²²"), =HYPERLINK("CSG22.html#group266A22", "266A²²"), =HYPERLINK("CSG13.html#group57A13", "57A¹³"), =HYPERLINK("CSG22.html#group114B22", "114B²²"), =HYPERLINK("CSG22.html#group38C22", "38C²²"), =HYPERLINK("CSG18.html#group152B18", "152B¹⁸"), =HYPERLINK("CSG20.html#group228D20", "228D²⁰"), =HYPERLINK("CSG18.html#group76A18", "76A¹⁸"), =HYPERLINK("CSG4.html#group76A4", "76A⁴"), =HYPERLINK("CSG1.html#group19B1", "19B¹"), =HYPERLINK("CSG16.html#group76C16", "76C¹⁶"), =HYPERLINK("CSG23.html#group95C23", "95C²³"), =HYPERLINK("CSG21.html#group133B21", "133B²¹"), =HYPERLINK("CSG19.html#group190B19", "190B¹⁹"), =HYPERLINK("CSG19.html#group114A19", "114A¹⁹"), =HYPERLINK("CSG8.html#group38A8", "38A⁸"), =HYPERLINK("CSG5.html#group57B5", "57B⁵"), =HYPERLINK("CSG14.html#group114A14", "114A¹⁴"), =HYPERLINK("CSG11.html#group133A11", "133A¹¹"), =HYPERLINK("CSG10.html#group57B10", "57B¹⁰"), =HYPERLINK("CSG23.html#group95B23", "95B²³"), =HYPERLINK("CSG23.html#group152A23", "152A²³"), =HYPERLINK("CSG11.html#group114B11", "114B¹¹"), =HYPERLINK("CSG16.html#group76B16", "76B¹⁶"), =HYPERLINK("CSG15.html#group171A15", "171A¹⁵"), =HYPERLINK("CSG14.html#group114B14", "114B¹⁴"), =HYPERLINK("CSG12.html#group152A12", "152A¹²"), =HYPERLINK("CSG9.html#group76A9", "76A⁹"), =HYPERLINK("CSG21.html#group133A21", "133A²¹"), =HYPERLINK("CSG21.html#group114A21", "114A²¹"), =HYPERLINK("CSG7.html#group95A7", "95A⁷"), =HYPERLINK("CSG19.html#group114B19", "114B¹⁹"), =HYPERLINK("CSG18.html#group76C18", "76C¹⁸"), =HYPERLINK("CSG11.html#group114A11", "114A¹¹"), =HYPERLINK("CSG10.html#group38A10", "38A¹⁰"), =HYPERLINK("CSG17.html#group76A17", "76A¹⁷"), =HYPERLINK("CSG19.html#group171B19", "171B¹⁹"), =HYPERLINK("CSG23.html#group266A23", "266A²³"), =HYPERLINK("CSG20.html#group228C20", "228C²⁰"), =HYPERLINK("CSG22.html#group19A22", "19A²²"), =HYPERLINK("CSG8.html#group114A8", "114A⁸"), =HYPERLINK("CSG20.html#group228A20", "228A²⁰"), =HYPERLINK("CSG17.html#group171D17", "171D¹⁷"), =HYPERLINK("CSG10.html#group114A10", "114A¹⁰"), =HYPERLINK("CSG23.html#group266B23", "266B²³"), =HYPERLINK("CSG17.html#group57A17", "57A¹⁷"), =HYPERLINK("CSG19.html#group171A19", "171A¹⁹"), =HYPERLINK("CSG19.html#group190A19", "190A¹⁹"), =HYPERLINK("CSG5.html#group57A5", "57A⁵"), =HYPERLINK("CSG17.html#group171A17", "171A¹⁷"), =HYPERLINK("CSG10.html#group76A10", "76A¹⁰"), =HYPERLINK("CSG17.html#group171B17", "171B¹⁷"), =HYPERLINK("CSG16.html#group38A16", "38A¹⁶"), =HYPERLINK("CSG8.html#group38B8", "38B⁸"), =HYPERLINK("CSG24.html#group304A24", "304A²⁴"), =HYPERLINK("CSG9.html#group57B9", "57B⁹"), =HYPERLINK("CSG10.html#group114B10", "114B¹⁰"), =HYPERLINK("CSG9.html#group57A9", "57A⁹"), =HYPERLINK("CSG8.html#group114B8", "114B⁸"), =HYPERLINK("CSG19.html#group152A19", "152A¹⁹"), =HYPERLINK("CSG11.html#group76A11", "76A¹¹"), =HYPERLINK("CSG21.html#group247A21", "247A²¹"), =HYPERLINK("CSG8.html#group76A8", "76A⁸"), =HYPERLINK("CSG19.html#group152B19", "152B¹⁹"), =HYPERLINK("CSG6.html#group76A6", "76A⁶"), =HYPERLINK("CSG17.html#group209A17", "209A¹⁷"), =HYPERLINK("CSG22.html#group76A22", "76A²²"), =HYPERLINK("CSG19.html#group95A19", "95A¹⁹"), =HYPERLINK("CSG23.html#group152B23", "152B²³"), =HYPERLINK("CSG23.html#group285B23", "285B²³"), =HYPERLINK("CSG11.html#group133B11", "133B¹¹"), =HYPERLINK("CSG10.html#group114C10", "114C¹⁰"), =HYPERLINK("CSG9.html#group95A9", "95A⁹"), =HYPERLINK("CSG16.html#group228B16", "228B¹⁶"), =HYPERLINK("CSG16.html#group152A16", "152A¹⁶"), =HYPERLINK("CSG23.html#group95A23", "95A²³"), =HYPERLINK("CSG23.html#group228A23", "228A²³"), =HYPERLINK("CSG16.html#group228A16", "228A¹⁶"), =HYPERLINK("CSG17.html#group95A17", "95A¹⁷"), =HYPERLINK("CSG17.html#group152A17", "152A¹⁷"), =HYPERLINK("CSG17.html#group171C17", "171C¹⁷"), =HYPERLINK("CSG18.html#group76B18", "76B¹⁸"), =HYPERLINK("CSG18.html#group152A18", "152A¹⁸"), =HYPERLINK("CSG16.html#group76A16", "76A¹⁶"), =HYPERLINK("CSG5.html#group57C5", "57C⁵")</f>
        <v/>
      </c>
    </row>
    <row r="233">
      <c r="A233" t="inlineStr">
        <is>
          <t>19B¹</t>
        </is>
      </c>
      <c r="B233" t="inlineStr"/>
      <c r="C233" t="inlineStr">
        <is>
          <t>60</t>
        </is>
      </c>
      <c r="D233" t="inlineStr">
        <is>
          <t>1</t>
        </is>
      </c>
      <c r="E233" t="inlineStr">
        <is>
          <t>20</t>
        </is>
      </c>
      <c r="F233" t="inlineStr">
        <is>
          <t>0</t>
        </is>
      </c>
      <c r="G233" t="inlineStr">
        <is>
          <t>6</t>
        </is>
      </c>
      <c r="H233" t="inlineStr">
        <is>
          <t>1³, 19³</t>
        </is>
      </c>
      <c r="I233" t="n">
        <v>6</v>
      </c>
      <c r="J233" t="inlineStr">
        <is>
          <t>1², 18¹</t>
        </is>
      </c>
      <c r="K233">
        <f>HYPERLINK("CSG1.html#group19A1", "19A¹")</f>
        <v/>
      </c>
      <c r="L233">
        <f>HYPERLINK("CSG4.html#group38B4", "38B⁴"), =HYPERLINK("CSG7.html#group19A7", "19A⁷"), =HYPERLINK("CSG10.html#group38A10", "38A¹⁰"), =HYPERLINK("CSG10.html#group57B10", "57B¹⁰"), =HYPERLINK("CSG13.html#group57A13", "57A¹³"), =HYPERLINK("CSG13.html#group57B13", "57B¹³"), =HYPERLINK("CSG16.html#group76B16", "76B¹⁶"), =HYPERLINK("CSG19.html#group95A19", "95A¹⁹")</f>
        <v/>
      </c>
      <c r="M233">
        <f>HYPERLINK("CSG1.html#group19A1", "19A¹"), =HYPERLINK("CSG0.html#group1A0", "1A⁰")</f>
        <v/>
      </c>
      <c r="N233">
        <f>HYPERLINK("CSG13.html#group57A13", "57A¹³"), =HYPERLINK("CSG22.html#group114B22", "114B²²"), =HYPERLINK("CSG22.html#group38B22", "38B²²"), =HYPERLINK("CSG22.html#group114A22", "114A²²"), =HYPERLINK("CSG22.html#group38C22", "38C²²"), =HYPERLINK("CSG7.html#group19A7", "19A⁷"), =HYPERLINK("CSG4.html#group38B4", "38B⁴"), =HYPERLINK("CSG10.html#group76A10", "76A¹⁰"), =HYPERLINK("CSG10.html#group57B10", "57B¹⁰"), =HYPERLINK("CSG16.html#group38A16", "38A¹⁶"), =HYPERLINK("CSG13.html#group57B13", "57B¹³"), =HYPERLINK("CSG19.html#group95A19", "95A¹⁹"), =HYPERLINK("CSG10.html#group38A10", "38A¹⁰"), =HYPERLINK("CSG22.html#group76A22", "76A²²"), =HYPERLINK("CSG16.html#group76B16", "76B¹⁶")</f>
        <v/>
      </c>
    </row>
    <row r="234">
      <c r="A234" t="inlineStr">
        <is>
          <t>20A¹</t>
        </is>
      </c>
      <c r="B234" t="inlineStr"/>
      <c r="C234" t="inlineStr">
        <is>
          <t>20</t>
        </is>
      </c>
      <c r="D234" t="inlineStr">
        <is>
          <t>1</t>
        </is>
      </c>
      <c r="E234" t="inlineStr">
        <is>
          <t>20</t>
        </is>
      </c>
      <c r="F234" t="inlineStr">
        <is>
          <t>2</t>
        </is>
      </c>
      <c r="G234" t="inlineStr">
        <is>
          <t>2</t>
        </is>
      </c>
      <c r="H234" t="inlineStr">
        <is>
          <t>20¹</t>
        </is>
      </c>
      <c r="I234" t="n">
        <v>1</v>
      </c>
      <c r="J234" t="inlineStr">
        <is>
          <t>2², 8²</t>
        </is>
      </c>
      <c r="K234">
        <f>HYPERLINK("CSG0.html#group4A0", "4A⁰"), =HYPERLINK("CSG0.html#group5A0", "5A⁰")</f>
        <v/>
      </c>
      <c r="L234">
        <f>HYPERLINK("CSG2.html#group20D2", "20D²"), =HYPERLINK("CSG2.html#group40A2", "40A²"), =HYPERLINK("CSG3.html#group20D3", "20D³"), =HYPERLINK("CSG3.html#group60A3", "60A³"), =HYPERLINK("CSG4.html#group20C4", "20C⁴"), =HYPERLINK("CSG4.html#group60A4", "60A⁴"), =HYPERLINK("CSG5.html#group20B5", "20B⁵"), =HYPERLINK("CSG5.html#group40D5", "40D⁵"), =HYPERLINK("CSG6.html#group60A6", "60A⁶"), =HYPERLINK("CSG10.html#group140A10", "140A¹⁰"), =HYPERLINK("CSG12.html#group140A12", "140A¹²"), =HYPERLINK("CSG16.html#group220A16", "220A¹⁶"), =HYPERLINK("CSG20.html#group220B20", "220B²⁰"), =HYPERLINK("CSG21.html#group260A21", "260A²¹")</f>
        <v/>
      </c>
      <c r="M234">
        <f>HYPERLINK("CSG0.html#group5A0", "5A⁰"), =HYPERLINK("CSG0.html#group1A0", "1A⁰"), =HYPERLINK("CSG0.html#group4A0", "4A⁰")</f>
        <v/>
      </c>
      <c r="N234">
        <f>HYPERLINK("CSG9.html#group120A9", "120A⁹"), =HYPERLINK("CSG6.html#group20B6", "20B⁶"), =HYPERLINK("CSG17.html#group80G17", "80G¹⁷"), =HYPERLINK("CSG23.html#group140C23", "140C²³"), =HYPERLINK("CSG15.html#group20B15", "20B¹⁵"), =HYPERLINK("CSG21.html#group40C21", "40C²¹"), =HYPERLINK("CSG23.html#group80E23", "80E²³"), =HYPERLINK("CSG12.html#group140A12", "140A¹²"), =HYPERLINK("CSG18.html#group60D18", "60D¹⁸"), =HYPERLINK("CSG8.html#group40E8", "40E⁸"), =HYPERLINK("CSG17.html#group80F17", "80F¹⁷"), =HYPERLINK("CSG19.html#group240A19", "240A¹⁹"), =HYPERLINK("CSG13.html#group60G13", "60G¹³"), =HYPERLINK("CSG9.html#group40E9", "40E⁹"), =HYPERLINK("CSG21.html#group280D21", "280D²¹"), =HYPERLINK("CSG22.html#group80A22", "80A²²"), =HYPERLINK("CSG20.html#group120A20", "120A²⁰"), =HYPERLINK("CSG17.html#group80L17", "80L¹⁷"), =HYPERLINK("CSG8.html#group60D8", "60D⁸"), =HYPERLINK("CSG4.html#group20C4", "20C⁴"), =HYPERLINK("CSG20.html#group20B20", "20B²⁰"), =HYPERLINK("CSG10.html#group40B10", "40B¹⁰"), =HYPERLINK("CSG21.html#group140A21", "140A²¹"), =HYPERLINK("CSG17.html#group120C17", "120C¹⁷"), =HYPERLINK("CSG12.html#group120A12", "120A¹²"), =HYPERLINK("CSG18.html#group40D18", "40D¹⁸"), =HYPERLINK("CSG16.html#group40A16", "40A¹⁶"), =HYPERLINK("CSG15.html#group240A15", "240A¹⁵"), =HYPERLINK("CSG18.html#group60G18", "60G¹⁸"), =HYPERLINK("CSG17.html#group40A17", "40A¹⁷"), =HYPERLINK("CSG20.html#group140B20", "140B²⁰"), =HYPERLINK("CSG18.html#group120F18", "120F¹⁸"), =HYPERLINK("CSG18.html#group120B18", "120B¹⁸"), =HYPERLINK("CSG16.html#group40E16", "40E¹⁶"), =HYPERLINK("CSG13.html#group60B13", "60B¹³"), =HYPERLINK("CSG21.html#group280A21", "280A²¹"), =HYPERLINK("CSG15.html#group20F15", "20F¹⁵"), =HYPERLINK("CSG8.html#group40G8", "40G⁸"), =HYPERLINK("CSG18.html#group180A18", "180A¹⁸"), =HYPERLINK("CSG19.html#group100M19", "100M¹⁹"), =HYPERLINK("CSG18.html#group120C18", "120C¹⁸"), =HYPERLINK("CSG21.html#group280C21", "280C²¹"), =HYPERLINK("CSG17.html#group40R17", "40R¹⁷"), =HYPERLINK("CSG19.html#group180C19", "180C¹⁹"), =HYPERLINK("CSG20.html#group180C20", "180C²⁰"), =HYPERLINK("CSG10.html#group60A10", "60A¹⁰"), =HYPERLINK("CSG2.html#group20D2", "20D²"), =HYPERLINK("CSG17.html#group40S17", "40S¹⁷"), =HYPERLINK("CSG19.html#group120D19", "120D¹⁹"), =HYPERLINK("CSG23.html#group120K23", "120K²³"), =HYPERLINK("CSG22.html#group60C22", "60C²²"), =HYPERLINK("CSG10.html#group20B10", "20B¹⁰"), =HYPERLINK("CSG9.html#group60C9", "60C⁹"), =HYPERLINK("CSG3.html#group20D3", "20D³"), =HYPERLINK("CSG22.html#group40F22", "40F²²"), =HYPERLINK("CSG10.html#group140A10", "140A¹⁰"), =HYPERLINK("CSG16.html#group40C16", "40C¹⁶"), =HYPERLINK("CSG23.html#group120L23", "120L²³"), =HYPERLINK("CSG13.html#group180A13", "180A¹³"), =HYPERLINK("CSG9.html#group40B9", "40B⁹"), =HYPERLINK("CSG22.html#group40M22", "40M²²"), =HYPERLINK("CSG22.html#group140A22", "140A²²"), =HYPERLINK("CSG17.html#group40O17", "40O¹⁷"), =HYPERLINK("CSG8.html#group80E8", "80E⁸"), =HYPERLINK("CSG23.html#group40B23", "40B²³"), =HYPERLINK("CSG18.html#group120E18", "120E¹⁸"), =HYPERLINK("CSG23.html#group60J23", "60J²³"), =HYPERLINK("CSG16.html#group120A16", "120A¹⁶"), =HYPERLINK("CSG21.html#group40A21", "40A²¹"), =HYPERLINK("CSG21.html#group280B21", "280B²¹"), =HYPERLINK("CSG10.html#group60B10", "60B¹⁰"), =HYPERLINK("CSG18.html#group180C18", "180C¹⁸"), =HYPERLINK("CSG19.html#group60C19", "60C¹⁹"), =HYPERLINK("CSG7.html#group120B7", "120B⁷"), =HYPERLINK("CSG8.html#group40H8", "40H⁸"), =HYPERLINK("CSG4.html#group60A4", "60A⁴"), =HYPERLINK("CSG20.html#group180E20", "180E²⁰"), =HYPERLINK("CSG16.html#group120E16", "120E¹⁶"), =HYPERLINK("CSG16.html#group120D16", "120D¹⁶"), =HYPERLINK("CSG14.html#group40A14", "40A¹⁴"), =HYPERLINK("CSG23.html#group80D23", "80D²³"), =HYPERLINK("CSG5.html#group20B5", "20B⁵"), =HYPERLINK("CSG17.html#group80K17", "80K¹⁷"), =HYPERLINK("CSG15.html#group40K15", "40K¹⁵"), =HYPERLINK("CSG19.html#group80K19", "80K¹⁹"), =HYPERLINK("CSG6.html#group60A6", "60A⁶"), =HYPERLINK("CSG20.html#group220B20", "220B²⁰"), =HYPERLINK("CSG3.html#group60A3", "60A³"), =HYPERLINK("CSG19.html#group60F19", "60F¹⁹"), =HYPERLINK("CSG18.html#group80D18", "80D¹⁸"), =HYPERLINK("CSG13.html#group20B13", "20B¹³"), =HYPERLINK("CSG21.html#group60T21", "60T²¹"), =HYPERLINK("CSG9.html#group20A9", "20A⁹"), =HYPERLINK("CSG18.html#group40C18", "40C¹⁸"), =HYPERLINK("CSG18.html#group80F18", "80F¹⁸"), =HYPERLINK("CSG2.html#group40A2", "40A²"), =HYPERLINK("CSG16.html#group220A16", "220A¹⁶"), =HYPERLINK("CSG19.html#group60G19", "60G¹⁹"), =HYPERLINK("CSG6.html#group20A6", "20A⁶"), =HYPERLINK("CSG17.html#group20A17", "20A¹⁷"), =HYPERLINK("CSG21.html#group260A21", "260A²¹"), =HYPERLINK("CSG7.html#group120A7", "120A⁷"), =HYPERLINK("CSG23.html#group40G23", "40G²³"), =HYPERLINK("CSG23.html#group60C23", "60C²³"), =HYPERLINK("CSG16.html#group60C16", "60C¹⁶"), =HYPERLINK("CSG11.html#group40C11", "40C¹¹"), =HYPERLINK("CSG9.html#group120B9", "120B⁹"), =HYPERLINK("CSG8.html#group60B8", "60B⁸"), =HYPERLINK("CSG15.html#group20G15", "20G¹⁵"), =HYPERLINK("CSG5.html#group40D5", "40D⁵"), =HYPERLINK("CSG24.html#group240A24", "240A²⁴"), =HYPERLINK("CSG19.html#group80C19", "80C¹⁹"), =HYPERLINK("CSG22.html#group20A22", "20A²²"), =HYPERLINK("CSG24.html#group60A24", "60A²⁴"), =HYPERLINK("CSG19.html#group80G19", "80G¹⁹"), =HYPERLINK("CSG19.html#group120C19", "120C¹⁹"), =HYPERLINK("CSG24.html#group280A24", "280A²⁴"), =HYPERLINK("CSG18.html#group80C18", "80C¹⁸"), =HYPERLINK("CSG9.html#group60D9", "60D⁹"), =HYPERLINK("CSG18.html#group40A18", "40A¹⁸"), =HYPERLINK("CSG8.html#group40B8", "40B⁸"), =HYPERLINK("CSG4.html#group40D4", "40D⁴"), =HYPERLINK("CSG4.html#group80A4", "80A⁴"), =HYPERLINK("CSG21.html#group20C21", "20C²¹"), =HYPERLINK("CSG16.html#group40D16", "40D¹⁶"), =HYPERLINK("CSG11.html#group40D11", "40D¹¹"), =HYPERLINK("CSG22.html#group60B22", "60B²²"), =HYPERLINK("CSG18.html#group60F18", "60F¹⁸"), =HYPERLINK("CSG7.html#group20F7", "20F⁷"), =HYPERLINK("CSG22.html#group40B22", "40B²²"), =HYPERLINK("CSG18.html#group40B18", "40B¹⁸"), =HYPERLINK("CSG18.html#group60I18", "60I¹⁸"), =HYPERLINK("CSG21.html#group40B21", "40B²¹"), =HYPERLINK("CSG24.html#group40A24", "40A²⁴"), =HYPERLINK("CSG20.html#group120B20", "120B²⁰"), =HYPERLINK("CSG17.html#group60E17", "60E¹⁷"), =HYPERLINK("CSG19.html#group240B19", "240B¹⁹"), =HYPERLINK("CSG17.html#group80B17", "80B¹⁷"), =HYPERLINK("CSG8.html#group20B8", "20B⁸"), =HYPERLINK("CSG19.html#group180B19", "180B¹⁹"), =HYPERLINK("CSG15.html#group240B15", "240B¹⁵"), =HYPERLINK("CSG18.html#group80B18", "80B¹⁸"), =HYPERLINK("CSG8.html#group60F8", "60F⁸"), =HYPERLINK("CSG8.html#group20A8", "20A⁸"), =HYPERLINK("CSG17.html#group40N17", "40N¹⁷"), =HYPERLINK("CSG11.html#group60J11", "60J¹¹")</f>
        <v/>
      </c>
    </row>
    <row r="235">
      <c r="A235" t="inlineStr">
        <is>
          <t>20B¹</t>
        </is>
      </c>
      <c r="B235" t="inlineStr"/>
      <c r="C235" t="inlineStr">
        <is>
          <t>24</t>
        </is>
      </c>
      <c r="D235" t="inlineStr">
        <is>
          <t>1</t>
        </is>
      </c>
      <c r="E235" t="inlineStr">
        <is>
          <t>24</t>
        </is>
      </c>
      <c r="F235" t="inlineStr">
        <is>
          <t>4</t>
        </is>
      </c>
      <c r="G235" t="inlineStr">
        <is>
          <t>0</t>
        </is>
      </c>
      <c r="H235" t="inlineStr">
        <is>
          <t>4¹, 20¹</t>
        </is>
      </c>
      <c r="I235" t="n">
        <v>2</v>
      </c>
      <c r="J235" t="inlineStr">
        <is>
          <t>2⁴, 8²</t>
        </is>
      </c>
      <c r="K235">
        <f>HYPERLINK("CSG0.html#group4A0", "4A⁰"), =HYPERLINK("CSG0.html#group5B0", "5B⁰")</f>
        <v/>
      </c>
      <c r="L235">
        <f>HYPERLINK("CSG1.html#group20G1", "20G¹"), =HYPERLINK("CSG3.html#group20B3", "20B³"), =HYPERLINK("CSG3.html#group20C3", "20C³"), =HYPERLINK("CSG3.html#group20L3", "20L³"), =HYPERLINK("CSG3.html#group40A3", "40A³"), =HYPERLINK("CSG3.html#group40B3", "40B³"), =HYPERLINK("CSG3.html#group60B3", "60B³"), =HYPERLINK("CSG5.html#group40I5", "40I⁵"), =HYPERLINK("CSG7.html#group20F7", "20F⁷"), =HYPERLINK("CSG7.html#group60F7", "60F⁷"), =HYPERLINK("CSG7.html#group100A7", "100A⁷"), =HYPERLINK("CSG9.html#group100C9", "100C⁹"), =HYPERLINK("CSG9.html#group100B9", "100B⁹"), =HYPERLINK("CSG9.html#group100D9", "100D⁹"), =HYPERLINK("CSG9.html#group100A9", "100A⁹"), =HYPERLINK("CSG11.html#group140E11", "140E¹¹"), =HYPERLINK("CSG15.html#group140C15", "140C¹⁵"), =HYPERLINK("CSG19.html#group220C19", "220C¹⁹"), =HYPERLINK("CSG23.html#group220C23", "220C²³")</f>
        <v/>
      </c>
      <c r="M235">
        <f>HYPERLINK("CSG0.html#group5B0", "5B⁰"), =HYPERLINK("CSG0.html#group1A0", "1A⁰"), =HYPERLINK("CSG0.html#group4A0", "4A⁰")</f>
        <v/>
      </c>
      <c r="N235">
        <f>HYPERLINK("CSG19.html#group100G19", "100G¹⁹"), =HYPERLINK("CSG21.html#group80M21", "80M²¹"), =HYPERLINK("CSG5.html#group40G5", "40G⁵"), =HYPERLINK("CSG17.html#group120J17", "120J¹⁷"), =HYPERLINK("CSG21.html#group60N21", "60N²¹"), =HYPERLINK("CSG13.html#group60K13", "60K¹³"), =HYPERLINK("CSG19.html#group200E19", "200E¹⁹"), =HYPERLINK("CSG21.html#group240C21", "240C²¹"), =HYPERLINK("CSG17.html#group40X17", "40X¹⁷"), =HYPERLINK("CSG11.html#group20E11", "20E¹¹"), =HYPERLINK("CSG15.html#group20B15", "20B¹⁵"), =HYPERLINK("CSG15.html#group60AE15", "60AE¹⁵"), =HYPERLINK("CSG13.html#group60M13", "60M¹³"), =HYPERLINK("CSG23.html#group120C23", "120C²³"), =HYPERLINK("CSG23.html#group120B23", "120B²³"), =HYPERLINK("CSG21.html#group100B21", "100B²¹"), =HYPERLINK("CSG17.html#group100C17", "100C¹⁷"), =HYPERLINK("CSG15.html#group80A15", "80A¹⁵"), =HYPERLINK("CSG5.html#group40J5", "40J⁵"), =HYPERLINK("CSG19.html#group120S19", "120S¹⁹"), =HYPERLINK("CSG23.html#group120I23", "120I²³"), =HYPERLINK("CSG17.html#group60V17", "60V¹⁷"), =HYPERLINK("CSG17.html#group200A17", "200A¹⁷"), =HYPERLINK("CSG19.html#group120G19", "120G¹⁹"), =HYPERLINK("CSG13.html#group40S13", "40S¹³"), =HYPERLINK("CSG19.html#group100K19", "100K¹⁹"), =HYPERLINK("CSG21.html#group120I21", "120I²¹"), =HYPERLINK("CSG17.html#group100D17", "100D¹⁷"), =HYPERLINK("CSG9.html#group100A9", "100A⁹"), =HYPERLINK("CSG11.html#group60D11", "60D¹¹"), =HYPERLINK("CSG17.html#group80AE17", "80AE¹⁷"), =HYPERLINK("CSG5.html#group60C5", "60C⁵"), =HYPERLINK("CSG17.html#group40Z17", "40Z¹⁷"), =HYPERLINK("CSG19.html#group120Q19", "120Q¹⁹"), =HYPERLINK("CSG13.html#group60L13", "60L¹³"), =HYPERLINK("CSG9.html#group120D9", "120D⁹"), =HYPERLINK("CSG13.html#group100I13", "100I¹³"), =HYPERLINK("CSG3.html#group20B3", "20B³"), =HYPERLINK("CSG17.html#group80BB17", "80BB¹⁷"), =HYPERLINK("CSG23.html#group120E23", "120E²³"), =HYPERLINK("CSG19.html#group40B19", "40B¹⁹"), =HYPERLINK("CSG21.html#group40L21", "40L²¹"), =HYPERLINK("CSG15.html#group40U15", "40U¹⁵"), =HYPERLINK("CSG17.html#group120L17", "120L¹⁷"), =HYPERLINK("CSG15.html#group100C15", "100C¹⁵"), =HYPERLINK("CSG11.html#group40I11", "40I¹¹"), =HYPERLINK("CSG19.html#group100J19", "100J¹⁹"), =HYPERLINK("CSG1.html#group20G1", "20G¹"), =HYPERLINK("CSG19.html#group120J19", "120J¹⁹"), =HYPERLINK("CSG21.html#group120J21", "120J²¹"), =HYPERLINK("CSG5.html#group20D5", "20D⁵"), =HYPERLINK("CSG3.html#group20Q3", "20Q³"), =HYPERLINK("CSG17.html#group40AN17", "40AN¹⁷"), =HYPERLINK("CSG19.html#group40F19", "40F¹⁹"), =HYPERLINK("CSG15.html#group20F15", "20F¹⁵"), =HYPERLINK("CSG11.html#group40G11", "40G¹¹"), =HYPERLINK("CSG17.html#group40AK17", "40AK¹⁷"), =HYPERLINK("CSG17.html#group40AB17", "40AB¹⁷"), =HYPERLINK("CSG17.html#group40AP17", "40AP¹⁷"), =HYPERLINK("CSG17.html#group80BF17", "80BF¹⁷"), =HYPERLINK("CSG21.html#group140D21", "140D²¹"), =HYPERLINK("CSG7.html#group60R7", "60R⁷"), =HYPERLINK("CSG23.html#group140H23", "140H²³"), =HYPERLINK("CSG21.html#group240A21", "240A²¹"), =HYPERLINK("CSG17.html#group40R17", "40R¹⁷"), =HYPERLINK("CSG19.html#group40A19", "40A¹⁹"), =HYPERLINK("CSG17.html#group120K17", "120K¹⁷"), =HYPERLINK("CSG19.html#group120O19", "120O¹⁹"), =HYPERLINK("CSG9.html#group40P9", "40P⁹"), =HYPERLINK("CSG21.html#group40K21", "40K²¹"), =HYPERLINK("CSG9.html#group20E9", "20E⁹"), =HYPERLINK("CSG17.html#group60W17", "60W¹⁷"), =HYPERLINK("CSG17.html#group120P17", "120P¹⁷"), =HYPERLINK("CSG19.html#group100L19", "100L¹⁹"), =HYPERLINK("CSG21.html#group240B21", "240B²¹"), =HYPERLINK("CSG19.html#group120N19", "120N¹⁹"), =HYPERLINK("CSG17.html#group40S17", "40S¹⁷"), =HYPERLINK("CSG19.html#group80V19", "80V¹⁹"), =HYPERLINK("CSG19.html#group200G19", "200G¹⁹"), =HYPERLINK("CSG19.html#group200H19", "200H¹⁹"), =HYPERLINK("CSG13.html#group80B13", "80B¹³"), =HYPERLINK("CSG7.html#group40Z7", "40Z⁷"), =HYPERLINK("CSG21.html#group120L21", "120L²¹"), =HYPERLINK("CSG13.html#group40T13", "40T¹³"), =HYPERLINK("CSG15.html#group40AG15", "40AG¹⁵"), =HYPERLINK("CSG21.html#group120G21", "120G²¹"), =HYPERLINK("CSG17.html#group120Q17", "120Q¹⁷"), =HYPERLINK("CSG19.html#group40E19", "40E¹⁹"), =HYPERLINK("CSG5.html#group40I5", "40I⁵"), =HYPERLINK("CSG19.html#group120I19", "120I¹⁹"), =HYPERLINK("CSG23.html#group120D23", "120D²³"), =HYPERLINK("CSG15.html#group40AE15", "40AE¹⁵"), =HYPERLINK("CSG7.html#group40C7", "40C⁷"), =HYPERLINK("CSG9.html#group40O9", "40O⁹"), =HYPERLINK("CSG19.html#group80U19", "80U¹⁹"), =HYPERLINK("CSG23.html#group120J23", "120J²³"), =HYPERLINK("CSG19.html#group40G19", "40G¹⁹"), =HYPERLINK("CSG3.html#group20C3", "20C³"), =HYPERLINK("CSG17.html#group80AD17", "80AD¹⁷"), =HYPERLINK("CSG13.html#group60AK13", "60AK¹³"), =HYPERLINK("CSG19.html#group80Z19", "80Z¹⁹"), =HYPERLINK("CSG11.html#group60F11", "60F¹¹"), =HYPERLINK("CSG15.html#group120D15", "120D¹⁵"), =HYPERLINK("CSG13.html#group60P13", "60P¹³"), =HYPERLINK("CSG17.html#group80AY17", "80AY¹⁷"), =HYPERLINK("CSG15.html#group100B15", "100B¹⁵"), =HYPERLINK("CSG7.html#group100A7", "100A⁷"), =HYPERLINK("CSG9.html#group40V9", "40V⁹"), =HYPERLINK("CSG5.html#group40H5", "40H⁵"), =HYPERLINK("CSG17.html#group80AQ17", "80AQ¹⁷"), =HYPERLINK("CSG7.html#group60F7", "60F⁷"), =HYPERLINK("CSG7.html#group40B7", "40B⁷"), =HYPERLINK("CSG9.html#group100B9", "100B⁹"), =HYPERLINK("CSG7.html#group40R7", "40R⁷"), =HYPERLINK("CSG13.html#group40C13", "40C¹³"), =HYPERLINK("CSG21.html#group180G21", "180G²¹"), =HYPERLINK("CSG21.html#group60O21", "60O²¹"), =HYPERLINK("CSG13.html#group40B13", "40B¹³"), =HYPERLINK("CSG11.html#group60E11", "60E¹¹"), =HYPERLINK("CSG13.html#group40M13", "40M¹³"), =HYPERLINK("CSG3.html#group40A3", "40A³"), =HYPERLINK("CSG5.html#group20J5", "20J⁵"), =HYPERLINK("CSG9.html#group60J9", "60J⁹"), =HYPERLINK("CSG7.html#group80B7", "80B⁷"), =HYPERLINK("CSG17.html#group40AL17", "40AL¹⁷"), =HYPERLINK("CSG15.html#group40V15", "40V¹⁵"), =HYPERLINK("CSG17.html#group60Y17", "60Y¹⁷"), =HYPERLINK("CSG21.html#group60L21", "60L²¹"), =HYPERLINK("CSG21.html#group80AF21", "80AF²¹"), =HYPERLINK("CSG17.html#group100A17", "100A¹⁷"), =HYPERLINK("CSG9.html#group60I9", "60I⁹"), =HYPERLINK("CSG11.html#group140E11", "140E¹¹"), =HYPERLINK("CSG13.html#group20B13", "20B¹³"), =HYPERLINK("CSG15.html#group120C15", "120C¹⁵"), =HYPERLINK("CSG23.html#group120F23", "120F²³"), =HYPERLINK("CSG21.html#group120H21", "120H²¹"), =HYPERLINK("CSG3.html#group60B3", "60B³"), =HYPERLINK("CSG21.html#group60M21", "60M²¹"), =HYPERLINK("CSG15.html#group40AF15", "40AF¹⁵"), =HYPERLINK("CSG13.html#group40E13", "40E¹³"), =HYPERLINK("CSG11.html#group40H11", "40H¹¹"), =HYPERLINK("CSG17.html#group120M17", "120M¹⁷"), =HYPERLINK("CSG21.html#group60K21", "60K²¹"), =HYPERLINK("CSG23.html#group120A23", "120A²³"), =HYPERLINK("CSG21.html#group80AG21", "80AG²¹"), =HYPERLINK("CSG15.html#group80B15", "80B¹⁵"), =HYPERLINK("CSG7.html#group40A7", "40A⁷"), =HYPERLINK("CSG19.html#group200B19", "200B¹⁹"), =HYPERLINK("CSG7.html#group80A7", "80A⁷"), =HYPERLINK("CSG19.html#group200C19", "200C¹⁹"), =HYPERLINK("CSG17.html#group200B17", "200B¹⁷"), =HYPERLINK("CSG9.html#group40Q9", "40Q⁹"), =HYPERLINK("CSG9.html#group100D9", "100D⁹"), =HYPERLINK("CSG21.html#group60E21", "60E²¹"), =HYPERLINK("CSG17.html#group120I17", "120I¹⁷"), =HYPERLINK("CSG21.html#group80T21", "80T²¹"), =HYPERLINK("CSG15.html#group80D15", "80D¹⁵"), =HYPERLINK("CSG3.html#group20L3", "20L³"), =HYPERLINK("CSG19.html#group220C19", "220C¹⁹"), =HYPERLINK("CSG9.html#group40R9", "40R⁹"), =HYPERLINK("CSG17.html#group80BA17", "80BA¹⁷"), =HYPERLINK("CSG17.html#group40AI17", "40AI¹⁷"), =HYPERLINK("CSG19.html#group200A19", "200A¹⁹"), =HYPERLINK("CSG17.html#group40AO17", "40AO¹⁷"), =HYPERLINK("CSG15.html#group80C15", "80C¹⁵"), =HYPERLINK("CSG21.html#group20C21", "20C²¹"), =HYPERLINK("CSG19.html#group40D19", "40D¹⁹"), =HYPERLINK("CSG19.html#group80S19", "80S¹⁹"), =HYPERLINK("CSG21.html#group80O21", "80O²¹"), =HYPERLINK("CSG13.html#group20E13", "20E¹³"), =HYPERLINK("CSG17.html#group80AL17", "80AL¹⁷"), =HYPERLINK("CSG17.html#group80AZ17", "80AZ¹⁷"), =HYPERLINK("CSG19.html#group200F19", "200F¹⁹"), =HYPERLINK("CSG7.html#group20F7", "20F⁷"), =HYPERLINK("CSG17.html#group40AJ17", "40AJ¹⁷"), =HYPERLINK("CSG17.html#group40AM17", "40AM¹⁷"), =HYPERLINK("CSG7.html#group40S7", "40S⁷"), =HYPERLINK("CSG21.html#group60H21", "60H²¹"), =HYPERLINK("CSG19.html#group100I19", "100I¹⁹"), =HYPERLINK("CSG7.html#group20K7", "20K⁷"), =HYPERLINK("CSG15.html#group60AG15", "60AG¹⁵"), =HYPERLINK("CSG19.html#group200D19", "200D¹⁹"), =HYPERLINK("CSG19.html#group100H19", "100H¹⁹"), =HYPERLINK("CSG15.html#group40AC15", "40AC¹⁵"), =HYPERLINK("CSG21.html#group60F21", "60F²¹"), =HYPERLINK("CSG21.html#group120N21", "120N²¹"), =HYPERLINK("CSG19.html#group120R19", "120R¹⁹"), =HYPERLINK("CSG21.html#group120K21", "120K²¹"), =HYPERLINK("CSG23.html#group140G23", "140G²³"), =HYPERLINK("CSG7.html#group20M7", "20M⁷"), =HYPERLINK("CSG21.html#group40J21", "40J²¹"), =HYPERLINK("CSG17.html#group100B17", "100B¹⁷"), =HYPERLINK("CSG21.html#group240D21", "240D²¹"), =HYPERLINK("CSG19.html#group120H19", "120H¹⁹"), =HYPERLINK("CSG17.html#group40AA17", "40AA¹⁷"), =HYPERLINK("CSG13.html#group80A13", "80A¹³"), =HYPERLINK("CSG9.html#group120E9", "120E⁹"), =HYPERLINK("CSG17.html#group40U17", "40U¹⁷"), =HYPERLINK("CSG19.html#group80Q19", "80Q¹⁹"), =HYPERLINK("CSG19.html#group80Y19", "80Y¹⁹"), =HYPERLINK("CSG19.html#group100E19", "100E¹⁹"), =HYPERLINK("CSG19.html#group100F19", "100F¹⁹"), =HYPERLINK("CSG15.html#group140C15", "140C¹⁵"), =HYPERLINK("CSG9.html#group120C9", "120C⁹"), =HYPERLINK("CSG21.html#group40M21", "40M²¹"), =HYPERLINK("CSG9.html#group100C9", "100C⁹"), =HYPERLINK("CSG19.html#group40H19", "40H¹⁹"), =HYPERLINK("CSG13.html#group180B13", "180B¹³"), =HYPERLINK("CSG23.html#group180J23", "180J²³"), =HYPERLINK("CSG21.html#group120M21", "120M²¹"), =HYPERLINK("CSG23.html#group220C23", "220C²³"), =HYPERLINK("CSG9.html#group120F9", "120F⁹"), =HYPERLINK("CSG3.html#group40B3", "40B³"), =HYPERLINK("CSG17.html#group60U17", "60U¹⁷"), =HYPERLINK("CSG19.html#group60N19", "60N¹⁹"), =HYPERLINK("CSG7.html#group60Q7", "60Q⁷"), =HYPERLINK("CSG7.html#group40Y7", "40Y⁷"), =HYPERLINK("CSG23.html#group180I23", "180I²³"), =HYPERLINK("CSG11.html#group40F11", "40F¹¹"), =HYPERLINK("CSG19.html#group120P19", "120P¹⁹"), =HYPERLINK("CSG21.html#group80S21", "80S²¹"), =HYPERLINK("CSG17.html#group80AK17", "80AK¹⁷"), =HYPERLINK("CSG13.html#group40D13", "40D¹³"), =HYPERLINK("CSG17.html#group80AR17", "80AR¹⁷")</f>
        <v/>
      </c>
    </row>
    <row r="236">
      <c r="A236" t="inlineStr">
        <is>
          <t>20C¹</t>
        </is>
      </c>
      <c r="B236" t="inlineStr"/>
      <c r="C236" t="inlineStr">
        <is>
          <t>24</t>
        </is>
      </c>
      <c r="D236" t="inlineStr">
        <is>
          <t>2</t>
        </is>
      </c>
      <c r="E236" t="inlineStr">
        <is>
          <t>6</t>
        </is>
      </c>
      <c r="F236" t="inlineStr">
        <is>
          <t>4</t>
        </is>
      </c>
      <c r="G236" t="inlineStr">
        <is>
          <t>0</t>
        </is>
      </c>
      <c r="H236" t="inlineStr">
        <is>
          <t>4¹, 20¹</t>
        </is>
      </c>
      <c r="I236" t="n">
        <v>2</v>
      </c>
      <c r="J236" t="inlineStr">
        <is>
          <t>2², 8¹</t>
        </is>
      </c>
      <c r="K236">
        <f>HYPERLINK("CSG0.html#group10B0", "10B⁰")</f>
        <v/>
      </c>
      <c r="L236">
        <f>HYPERLINK("CSG3.html#group20A3", "20A³"), =HYPERLINK("CSG3.html#group20M3", "20M³"), =HYPERLINK("CSG3.html#group20Q3", "20Q³"), =HYPERLINK("CSG3.html#group60C3", "60C³"), =HYPERLINK("CSG7.html#group20E7", "20E⁷"), =HYPERLINK("CSG7.html#group60G7", "60G⁷"), =HYPERLINK("CSG7.html#group100B7", "100B⁷"), =HYPERLINK("CSG9.html#group100G9", "100G⁹"), =HYPERLINK("CSG9.html#group100F9", "100F⁹"), =HYPERLINK("CSG9.html#group100H9", "100H⁹"), =HYPERLINK("CSG9.html#group100E9", "100E⁹"), =HYPERLINK("CSG11.html#group140C11", "140C¹¹"), =HYPERLINK("CSG11.html#group140D11", "140D¹¹"), =HYPERLINK("CSG15.html#group140D15", "140D¹⁵"), =HYPERLINK("CSG19.html#group220A19", "220A¹⁹"), =HYPERLINK("CSG19.html#group220B19", "220B¹⁹"), =HYPERLINK("CSG23.html#group220D23", "220D²³")</f>
        <v/>
      </c>
      <c r="M236">
        <f>HYPERLINK("CSG0.html#group5B0", "5B⁰"), =HYPERLINK("CSG0.html#group1A0", "1A⁰"), =HYPERLINK("CSG0.html#group10B0", "10B⁰")</f>
        <v/>
      </c>
      <c r="N236">
        <f>HYPERLINK("CSG19.html#group60O19", "60O¹⁹"), =HYPERLINK("CSG11.html#group40G11", "40G¹¹"), =HYPERLINK("CSG9.html#group60L9", "60L⁹"), =HYPERLINK("CSG19.html#group100B19", "100B¹⁹"), =HYPERLINK("CSG11.html#group60A11", "60A¹¹"), =HYPERLINK("CSG23.html#group140E23", "140E²³"), =HYPERLINK("CSG17.html#group40AS17", "40AS¹⁷"), =HYPERLINK("CSG11.html#group60B11", "60B¹¹"), =HYPERLINK("CSG11.html#group20E11", "20E¹¹"), =HYPERLINK("CSG23.html#group180K23", "180K²³"), =HYPERLINK("CSG15.html#group60AE15", "60AE¹⁵"), =HYPERLINK("CSG3.html#group20A3", "20A³"), =HYPERLINK("CSG13.html#group20F13", "20F¹³"), =HYPERLINK("CSG9.html#group20E9", "20E⁹"), =HYPERLINK("CSG7.html#group20E7", "20E⁷"), =HYPERLINK("CSG3.html#group60C3", "60C³"), =HYPERLINK("CSG5.html#group20K5", "20K⁵"), =HYPERLINK("CSG7.html#group20N7", "20N⁷"), =HYPERLINK("CSG15.html#group20A15", "20A¹⁵"), =HYPERLINK("CSG19.html#group220B19", "220B¹⁹"), =HYPERLINK("CSG21.html#group60Q21", "60Q²¹"), =HYPERLINK("CSG23.html#group140F23", "140F²³"), =HYPERLINK("CSG21.html#group180H21", "180H²¹"), =HYPERLINK("CSG15.html#group100A15", "100A¹⁵"), =HYPERLINK("CSG19.html#group100D19", "100D¹⁹"), =HYPERLINK("CSG13.html#group60AB13", "60AB¹³"), =HYPERLINK("CSG17.html#group40AQ17", "40AQ¹⁷"), =HYPERLINK("CSG3.html#group20M3", "20M³"), =HYPERLINK("CSG7.html#group100B7", "100B⁷"), =HYPERLINK("CSG9.html#group100H9", "100H⁹"), =HYPERLINK("CSG15.html#group140D15", "140D¹⁵"), =HYPERLINK("CSG13.html#group180C13", "180C¹³"), =HYPERLINK("CSG21.html#group20A21", "20A²¹"), =HYPERLINK("CSG19.html#group100C19", "100C¹⁹"), =HYPERLINK("CSG21.html#group60D21", "60D²¹"), =HYPERLINK("CSG7.html#group60G7", "60G⁷"), =HYPERLINK("CSG11.html#group140C11", "140C¹¹"), =HYPERLINK("CSG21.html#group40L21", "40L²¹"), =HYPERLINK("CSG7.html#group60S7", "60S⁷"), =HYPERLINK("CSG9.html#group100F9", "100F⁹"), =HYPERLINK("CSG23.html#group220D23", "220D²³"), =HYPERLINK("CSG9.html#group100E9", "100E⁹"), =HYPERLINK("CSG13.html#group40W13", "40W¹³"), =HYPERLINK("CSG23.html#group180L23", "180L²³"), =HYPERLINK("CSG19.html#group220A19", "220A¹⁹"), =HYPERLINK("CSG19.html#group100A19", "100A¹⁹"), =HYPERLINK("CSG9.html#group100G9", "100G⁹"), =HYPERLINK("CSG7.html#group20J7", "20J⁷"), =HYPERLINK("CSG21.html#group100C21", "100C²¹"), =HYPERLINK("CSG13.html#group60I13", "60I¹³"), =HYPERLINK("CSG11.html#group140D11", "140D¹¹"), =HYPERLINK("CSG17.html#group60X17", "60X¹⁷"), =HYPERLINK("CSG11.html#group40F11", "40F¹¹"), =HYPERLINK("CSG15.html#group40AH15", "40AH¹⁵"), =HYPERLINK("CSG3.html#group20Q3", "20Q³")</f>
        <v/>
      </c>
    </row>
    <row r="237">
      <c r="A237" t="inlineStr">
        <is>
          <t>20D¹</t>
        </is>
      </c>
      <c r="B237" t="inlineStr">
        <is>
          <t>Γ₀(20)</t>
        </is>
      </c>
      <c r="C237" t="inlineStr">
        <is>
          <t>36</t>
        </is>
      </c>
      <c r="D237" t="inlineStr">
        <is>
          <t>1</t>
        </is>
      </c>
      <c r="E237" t="inlineStr">
        <is>
          <t>18</t>
        </is>
      </c>
      <c r="F237" t="inlineStr">
        <is>
          <t>0</t>
        </is>
      </c>
      <c r="G237" t="inlineStr">
        <is>
          <t>0</t>
        </is>
      </c>
      <c r="H237" t="inlineStr">
        <is>
          <t>1², 4¹, 5², 20¹</t>
        </is>
      </c>
      <c r="I237" t="n">
        <v>6</v>
      </c>
      <c r="J237" t="inlineStr">
        <is>
          <t>1⁶, 4³</t>
        </is>
      </c>
      <c r="K237">
        <f>HYPERLINK("CSG0.html#group4B0", "4B⁰"), =HYPERLINK("CSG0.html#group10C0", "10C⁰")</f>
        <v/>
      </c>
      <c r="L237">
        <f>HYPERLINK("CSG1.html#group20H1", "20H¹"), =HYPERLINK("CSG3.html#group20H3", "20H³"), =HYPERLINK("CSG3.html#group20J3", "20J³"), =HYPERLINK("CSG3.html#group40E3", "40E³"), =HYPERLINK("CSG3.html#group40F3", "40F³"), =HYPERLINK("CSG7.html#group20P7", "20P⁷"), =HYPERLINK("CSG7.html#group60H7", "60H⁷"), =HYPERLINK("CSG7.html#group60P7", "60P⁷"), =HYPERLINK("CSG7.html#group100C7", "100C⁷"), =HYPERLINK("CSG13.html#group100A13", "100A¹³"), =HYPERLINK("CSG13.html#group100D13", "100D¹³"), =HYPERLINK("CSG13.html#group100B13", "100B¹³"), =HYPERLINK("CSG13.html#group100C13", "100C¹³"), =HYPERLINK("CSG19.html#group140B19", "140B¹⁹"), =HYPERLINK("CSG19.html#group140I19", "140I¹⁹")</f>
        <v/>
      </c>
      <c r="M237">
        <f>HYPERLINK("CSG0.html#group5B0", "5B⁰"), =HYPERLINK("CSG0.html#group10C0", "10C⁰"), =HYPERLINK("CSG0.html#group2B0", "2B⁰"), =HYPERLINK("CSG0.html#group4B0", "4B⁰"), =HYPERLINK("CSG0.html#group1A0", "1A⁰")</f>
        <v/>
      </c>
      <c r="N237">
        <f>HYPERLINK("CSG13.html#group80G13", "80G¹³"), =HYPERLINK("CSG17.html#group60T17", "60T¹⁷"), =HYPERLINK("CSG13.html#group40R13", "40R¹³"), =HYPERLINK("CSG7.html#group80F7", "80F⁷"), =HYPERLINK("CSG7.html#group60H7", "60H⁷"), =HYPERLINK("CSG21.html#group160R21", "160R²¹"), =HYPERLINK("CSG5.html#group20I5", "20I⁵"), =HYPERLINK("CSG17.html#group40X17", "40X¹⁷"), =HYPERLINK("CSG15.html#group60AC15", "60AC¹⁵"), =HYPERLINK("CSG17.html#group80X17", "80X¹⁷"), =HYPERLINK("CSG13.html#group100A13", "100A¹³"), =HYPERLINK("CSG7.html#group20N7", "20N⁷"), =HYPERLINK("CSG19.html#group160J19", "160J¹⁹"), =HYPERLINK("CSG21.html#group80C21", "80C²¹"), =HYPERLINK("CSG21.html#group80AC21", "80AC²¹"), =HYPERLINK("CSG15.html#group80Q15", "80Q¹⁵"), =HYPERLINK("CSG7.html#group20P7", "20P⁷"), =HYPERLINK("CSG19.html#group80M19", "80M¹⁹"), =HYPERLINK("CSG21.html#group80Q21", "80Q²¹"), =HYPERLINK("CSG3.html#group20J3", "20J³"), =HYPERLINK("CSG13.html#group60AJ13", "60AJ¹³"), =HYPERLINK("CSG21.html#group80G21", "80G²¹"), =HYPERLINK("CSG7.html#group40W7", "40W⁷"), =HYPERLINK("CSG7.html#group80H7", "80H⁷"), =HYPERLINK("CSG19.html#group160L19", "160L¹⁹"), =HYPERLINK("CSG15.html#group40W15", "40W¹⁵"), =HYPERLINK("CSG21.html#group160B21", "160B²¹"), =HYPERLINK("CSG15.html#group40U15", "40U¹⁵"), =HYPERLINK("CSG9.html#group80E9", "80E⁹"), =HYPERLINK("CSG7.html#group40M7", "40M⁷"), =HYPERLINK("CSG13.html#group40O13", "40O¹³"), =HYPERLINK("CSG15.html#group120L15", "120L¹⁵"), =HYPERLINK("CSG7.html#group40K7", "40K⁷"), =HYPERLINK("CSG15.html#group60M15", "60M¹⁵"), =HYPERLINK("CSG13.html#group80E13", "80E¹³"), =HYPERLINK("CSG17.html#group120N17", "120N¹⁷"), =HYPERLINK("CSG15.html#group160C15", "160C¹⁵"), =HYPERLINK("CSG13.html#group40P13", "40P¹³"), =HYPERLINK("CSG9.html#group40I9", "40I⁹"), =HYPERLINK("CSG19.html#group40A19", "40A¹⁹"), =HYPERLINK("CSG13.html#group100D13", "100D¹³"), =HYPERLINK("CSG13.html#group40L13", "40L¹³"), =HYPERLINK("CSG17.html#group40T17", "40T¹⁷"), =HYPERLINK("CSG21.html#group160E21", "160E²¹"), =HYPERLINK("CSG21.html#group160S21", "160S²¹"), =HYPERLINK("CSG3.html#group40F3", "40F³"), =HYPERLINK("CSG19.html#group40C19", "40C¹⁹"), =HYPERLINK("CSG9.html#group80O9", "80O⁹"), =HYPERLINK("CSG17.html#group80AG17", "80AG¹⁷"), =HYPERLINK("CSG15.html#group80O15", "80O¹⁵"), =HYPERLINK("CSG21.html#group160F21", "160F²¹"), =HYPERLINK("CSG7.html#group80K7", "80K⁷"), =HYPERLINK("CSG13.html#group40Q13", "40Q¹³"), =HYPERLINK("CSG19.html#group140I19", "140I¹⁹"), =HYPERLINK("CSG17.html#group40W17", "40W¹⁷"), =HYPERLINK("CSG17.html#group40AH17", "40AH¹⁷"), =HYPERLINK("CSG21.html#group80P21", "80P²¹"), =HYPERLINK("CSG7.html#group40U7", "40U⁷"), =HYPERLINK("CSG17.html#group160E17", "160E¹⁷"), =HYPERLINK("CSG15.html#group40AB15", "40AB¹⁵"), =HYPERLINK("CSG17.html#group160M17", "160M¹⁷"), =HYPERLINK("CSG9.html#group40J9", "40J⁹"), =HYPERLINK("CSG3.html#group40J3", "40J³"), =HYPERLINK("CSG9.html#group40L9", "40L⁹"), =HYPERLINK("CSG7.html#group100C7", "100C⁷"), =HYPERLINK("CSG19.html#group40M19", "40M¹⁹"), =HYPERLINK("CSG13.html#group40J13", "40J¹³"), =HYPERLINK("CSG17.html#group40AD17", "40AD¹⁷"), =HYPERLINK("CSG17.html#group80BE17", "80BE¹⁷"), =HYPERLINK("CSG13.html#group20G13", "20G¹³"), =HYPERLINK("CSG19.html#group40L19", "40L¹⁹"), =HYPERLINK("CSG19.html#group80T19", "80T¹⁹"), =HYPERLINK("CSG21.html#group160C21", "160C²¹"), =HYPERLINK("CSG17.html#group160F17", "160F¹⁷"), =HYPERLINK("CSG9.html#group20F9", "20F⁹"), =HYPERLINK("CSG21.html#group160D21", "160D²¹"), =HYPERLINK("CSG15.html#group120I15", "120I¹⁵"), =HYPERLINK("CSG19.html#group100O19", "100O¹⁹"), =HYPERLINK("CSG7.html#group20L7", "20L⁷"), =HYPERLINK("CSG13.html#group40K13", "40K¹³"), =HYPERLINK("CSG15.html#group40V15", "40V¹⁵"), =HYPERLINK("CSG1.html#group20H1", "20H¹"), =HYPERLINK("CSG3.html#group20H3", "20H³"), =HYPERLINK("CSG13.html#group100C13", "100C¹³"), =HYPERLINK("CSG13.html#group20F13", "20F¹³"), =HYPERLINK("CSG21.html#group80AD21", "80AD²¹"), =HYPERLINK("CSG15.html#group40Z15", "40Z¹⁵"), =HYPERLINK("CSG5.html#group40M5", "40M⁵"), =HYPERLINK("CSG21.html#group80I21", "80I²¹"), =HYPERLINK("CSG17.html#group80BD17", "80BD¹⁷"), =HYPERLINK("CSG15.html#group60K15", "60K¹⁵"), =HYPERLINK("CSG3.html#group40E3", "40E³"), =HYPERLINK("CSG19.html#group200J19", "200J¹⁹"), =HYPERLINK("CSG17.html#group40AR17", "40AR¹⁷"), =HYPERLINK("CSG21.html#group160A21", "160A²¹"), =HYPERLINK("CSG15.html#group160A15", "160A¹⁵"), =HYPERLINK("CSG13.html#group100J13", "100J¹³"), =HYPERLINK("CSG15.html#group40AD15", "40AD¹⁵"), =HYPERLINK("CSG9.html#group40W9", "40W⁹"), =HYPERLINK("CSG15.html#group40AA15", "40AA¹⁵"), =HYPERLINK("CSG13.html#group60N13", "60N¹³"), =HYPERLINK("CSG15.html#group120F15", "120F¹⁵"), =HYPERLINK("CSG3.html#group20S3", "20S³"), =HYPERLINK("CSG17.html#group80Y17", "80Y¹⁷"), =HYPERLINK("CSG15.html#group80P15", "80P¹⁵"), =HYPERLINK("CSG19.html#group80N19", "80N¹⁹"), =HYPERLINK("CSG15.html#group160B15", "160B¹⁵"), =HYPERLINK("CSG15.html#group120K15", "120K¹⁵"), =HYPERLINK("CSG19.html#group140B19", "140B¹⁹"), =HYPERLINK("CSG19.html#group100Q19", "100Q¹⁹"), =HYPERLINK("CSG17.html#group80Z17", "80Z¹⁷"), =HYPERLINK("CSG17.html#group80U17", "80U¹⁷"), =HYPERLINK("CSG7.html#group40L7", "40L⁷"), =HYPERLINK("CSG15.html#group40Y15", "40Y¹⁵"), =HYPERLINK("CSG15.html#group80S15", "80S¹⁵"), =HYPERLINK("CSG13.html#group20E13", "20E¹³"), =HYPERLINK("CSG15.html#group80T15", "80T¹⁵"), =HYPERLINK("CSG17.html#group40AS17", "40AS¹⁷"), =HYPERLINK("CSG7.html#group40X7", "40X⁷"), =HYPERLINK("CSG15.html#group120J15", "120J¹⁵"), =HYPERLINK("CSG19.html#group200I19", "200I¹⁹"), =HYPERLINK("CSG17.html#group40Y17", "40Y¹⁷"), =HYPERLINK("CSG17.html#group40AE17", "40AE¹⁷"), =HYPERLINK("CSG19.html#group160K19", "160K¹⁹"), =HYPERLINK("CSG21.html#group160Q21", "160Q²¹"), =HYPERLINK("CSG19.html#group120F19", "120F¹⁹"), =HYPERLINK("CSG13.html#group60R13", "60R¹³"), =HYPERLINK("CSG15.html#group60B15", "60B¹⁵"), =HYPERLINK("CSG17.html#group80AJ17", "80AJ¹⁷"), =HYPERLINK("CSG15.html#group60AD15", "60AD¹⁵"), =HYPERLINK("CSG19.html#group20D19", "20D¹⁹"), =HYPERLINK("CSG17.html#group120O17", "120O¹⁷"), =HYPERLINK("CSG7.html#group20K7", "20K⁷"), =HYPERLINK("CSG17.html#group80V17", "80V¹⁷"), =HYPERLINK("CSG15.html#group40X15", "40X¹⁵"), =HYPERLINK("CSG17.html#group80W17", "80W¹⁷"), =HYPERLINK("CSG17.html#group60R17", "60R¹⁷"), =HYPERLINK("CSG7.html#group80E7", "80E⁷"), =HYPERLINK("CSG13.html#group60T13", "60T¹³"), =HYPERLINK("CSG15.html#group120E15", "120E¹⁵"), =HYPERLINK("CSG21.html#group80R21", "80R²¹"), =HYPERLINK("CSG7.html#group40O7", "40O⁷"), =HYPERLINK("CSG17.html#group80AI17", "80AI¹⁷"), =HYPERLINK("CSG9.html#group80F9", "80F⁹"), =HYPERLINK("CSG17.html#group40V17", "40V¹⁷"), =HYPERLINK("CSG17.html#group40U17", "40U¹⁷"), =HYPERLINK("CSG7.html#group80G7", "80G⁷"), =HYPERLINK("CSG7.html#group40V7", "40V⁷"), =HYPERLINK("CSG17.html#group80AH17", "80AH¹⁷"), =HYPERLINK("CSG13.html#group100B13", "100B¹³"), =HYPERLINK("CSG19.html#group20B19", "20B¹⁹"), =HYPERLINK("CSG13.html#group80F13", "80F¹³"), =HYPERLINK("CSG19.html#group80L19", "80L¹⁹"), =HYPERLINK("CSG13.html#group80D13", "80D¹³"), =HYPERLINK("CSG15.html#group60D15", "60D¹⁵"), =HYPERLINK("CSG19.html#group120E19", "120E¹⁹"), =HYPERLINK("CSG21.html#group80D21", "80D²¹"), =HYPERLINK("CSG7.html#group60P7", "60P⁷"), =HYPERLINK("CSG15.html#group80R15", "80R¹⁵"), =HYPERLINK("CSG15.html#group80V15", "80V¹⁵"), =HYPERLINK("CSG19.html#group40B19", "40B¹⁹"), =HYPERLINK("CSG15.html#group80N15", "80N¹⁵")</f>
        <v/>
      </c>
    </row>
    <row r="238">
      <c r="A238" t="inlineStr">
        <is>
          <t>20E¹</t>
        </is>
      </c>
      <c r="B238" t="inlineStr"/>
      <c r="C238" t="inlineStr">
        <is>
          <t>36</t>
        </is>
      </c>
      <c r="D238" t="inlineStr">
        <is>
          <t>1</t>
        </is>
      </c>
      <c r="E238" t="inlineStr">
        <is>
          <t>18</t>
        </is>
      </c>
      <c r="F238" t="inlineStr">
        <is>
          <t>4</t>
        </is>
      </c>
      <c r="G238" t="inlineStr">
        <is>
          <t>0</t>
        </is>
      </c>
      <c r="H238" t="inlineStr">
        <is>
          <t>2¹, 4¹, 10¹, 20¹</t>
        </is>
      </c>
      <c r="I238" t="n">
        <v>4</v>
      </c>
      <c r="J238" t="inlineStr">
        <is>
          <t>1⁶, 4³</t>
        </is>
      </c>
      <c r="K238">
        <f>HYPERLINK("CSG0.html#group4C0", "4C⁰"), =HYPERLINK("CSG0.html#group10C0", "10C⁰")</f>
        <v/>
      </c>
      <c r="L238">
        <f>HYPERLINK("CSG1.html#group20I1", "20I¹"), =HYPERLINK("CSG3.html#group20G3", "20G³"), =HYPERLINK("CSG3.html#group20J3", "20J³"), =HYPERLINK("CSG3.html#group20K3", "20K³"), =HYPERLINK("CSG3.html#group20L3", "20L³"), =HYPERLINK("CSG3.html#group40C3", "40C³"), =HYPERLINK("CSG3.html#group40D3", "40D³"), =HYPERLINK("CSG3.html#group40G3", "40G³"), =HYPERLINK("CSG3.html#group40H3", "40H³"), =HYPERLINK("CSG5.html#group40B5", "40B⁵"), =HYPERLINK("CSG5.html#group40C5", "40C⁵"), =HYPERLINK("CSG5.html#group60A5", "60A⁵"), =HYPERLINK("CSG9.html#group20B9", "20B⁹"), =HYPERLINK("CSG9.html#group60H9", "60H⁹"), =HYPERLINK("CSG9.html#group100I9", "100I⁹"), =HYPERLINK("CSG13.html#group100E13", "100E¹³"), =HYPERLINK("CSG13.html#group100H13", "100H¹³"), =HYPERLINK("CSG13.html#group100F13", "100F¹³"), =HYPERLINK("CSG13.html#group100G13", "100G¹³"), =HYPERLINK("CSG17.html#group140D17", "140D¹⁷"), =HYPERLINK("CSG21.html#group140C21", "140C²¹")</f>
        <v/>
      </c>
      <c r="M238">
        <f>HYPERLINK("CSG0.html#group5B0", "5B⁰"), =HYPERLINK("CSG0.html#group10C0", "10C⁰"), =HYPERLINK("CSG0.html#group2B0", "2B⁰"), =HYPERLINK("CSG0.html#group1A0", "1A⁰"), =HYPERLINK("CSG0.html#group4C0", "4C⁰")</f>
        <v/>
      </c>
      <c r="N238">
        <f>HYPERLINK("CSG9.html#group80I9", "80I⁹"), =HYPERLINK("CSG19.html#group80AC19", "80AC¹⁹"), =HYPERLINK("CSG13.html#group40R13", "40R¹³"), =HYPERLINK("CSG21.html#group80M21", "80M²¹"), =HYPERLINK("CSG17.html#group40X17", "40X¹⁷"), =HYPERLINK("CSG21.html#group120O21", "120O²¹"), =HYPERLINK("CSG21.html#group100B21", "100B²¹"), =HYPERLINK("CSG15.html#group120G15", "120G¹⁵"), =HYPERLINK("CSG9.html#group80L9", "80L⁹"), =HYPERLINK("CSG5.html#group60A5", "60A⁵"), =HYPERLINK("CSG21.html#group80C21", "80C²¹"), =HYPERLINK("CSG13.html#group80I13", "80I¹³"), =HYPERLINK("CSG21.html#group80Q21", "80Q²¹"), =HYPERLINK("CSG3.html#group20J3", "20J³"), =HYPERLINK("CSG13.html#group40S13", "40S¹³"), =HYPERLINK("CSG21.html#group20B21", "20B²¹"), =HYPERLINK("CSG17.html#group80AE17", "80AE¹⁷"), =HYPERLINK("CSG11.html#group40K11", "40K¹¹"), =HYPERLINK("CSG21.html#group120C21", "120C²¹"), =HYPERLINK("CSG19.html#group160N19", "160N¹⁹"), =HYPERLINK("CSG15.html#group40U15", "40U¹⁵"), =HYPERLINK("CSG13.html#group120I13", "120I¹³"), =HYPERLINK("CSG7.html#group40M7", "40M⁷"), =HYPERLINK("CSG19.html#group80P19", "80P¹⁹"), =HYPERLINK("CSG13.html#group60AA13", "60AA¹³"), =HYPERLINK("CSG9.html#group60H9", "60H⁹"), =HYPERLINK("CSG17.html#group80AV17", "80AV¹⁷"), =HYPERLINK("CSG19.html#group40F19", "40F¹⁹"), =HYPERLINK("CSG17.html#group40AP17", "40AP¹⁷"), =HYPERLINK("CSG9.html#group40N9", "40N⁹"), =HYPERLINK("CSG19.html#group80AE19", "80AE¹⁹"), =HYPERLINK("CSG21.html#group80Z21", "80Z²¹"), =HYPERLINK("CSG9.html#group40I9", "40I⁹"), =HYPERLINK("CSG9.html#group80N9", "80N⁹"), =HYPERLINK("CSG19.html#group40A19", "40A¹⁹"), =HYPERLINK("CSG9.html#group40P9", "40P⁹"), =HYPERLINK("CSG13.html#group40V13", "40V¹³"), =HYPERLINK("CSG7.html#group40N7", "40N⁷"), =HYPERLINK("CSG17.html#group40T17", "40T¹⁷"), =HYPERLINK("CSG21.html#group160G21", "160G²¹"), =HYPERLINK("CSG19.html#group40C19", "40C¹⁹"), =HYPERLINK("CSG21.html#group160H21", "160H²¹"), =HYPERLINK("CSG19.html#group80V19", "80V¹⁹"), =HYPERLINK("CSG17.html#group100E17", "100E¹⁷"), =HYPERLINK("CSG15.html#group80O15", "80O¹⁵"), =HYPERLINK("CSG13.html#group40Q13", "40Q¹³"), =HYPERLINK("CSG21.html#group160L21", "160L²¹"), =HYPERLINK("CSG13.html#group40T13", "40T¹³"), =HYPERLINK("CSG17.html#group80BC17", "80BC¹⁷"), =HYPERLINK("CSG17.html#group40W17", "40W¹⁷"), =HYPERLINK("CSG19.html#group100N19", "100N¹⁹"), =HYPERLINK("CSG19.html#group40E19", "40E¹⁹"), =HYPERLINK("CSG11.html#group120A11", "120A¹¹"), =HYPERLINK("CSG13.html#group120G13", "120G¹³"), =HYPERLINK("CSG21.html#group80B21", "80B²¹"), =HYPERLINK("CSG21.html#group80P21", "80P²¹"), =HYPERLINK("CSG23.html#group60R23", "60R²³"), =HYPERLINK("CSG21.html#group160O21", "160O²¹"), =HYPERLINK("CSG9.html#group40O9", "40O⁹"), =HYPERLINK("CSG19.html#group80U19", "80U¹⁹"), =HYPERLINK("CSG9.html#group40F9", "40F⁹"), =HYPERLINK("CSG19.html#group40G19", "40G¹⁹"), =HYPERLINK("CSG17.html#group80AD17", "80AD¹⁷"), =HYPERLINK("CSG15.html#group40AB15", "40AB¹⁵"), =HYPERLINK("CSG9.html#group40J9", "40J⁹"), =HYPERLINK("CSG21.html#group80K21", "80K²¹"), =HYPERLINK("CSG21.html#group40H21", "40H²¹"), =HYPERLINK("CSG13.html#group60P13", "60P¹³"), =HYPERLINK("CSG13.html#group40J13", "40J¹³"), =HYPERLINK("CSG17.html#group40AD17", "40AD¹⁷"), =HYPERLINK("CSG15.html#group40AI15", "40AI¹⁵"), =HYPERLINK("CSG17.html#group80AQ17", "80AQ¹⁷"), =HYPERLINK("CSG17.html#group160H17", "160H¹⁷"), =HYPERLINK("CSG9.html#group40G9", "40G⁹"), =HYPERLINK("CSG17.html#group160I17", "160I¹⁷"), =HYPERLINK("CSG7.html#group20L7", "20L⁷"), =HYPERLINK("CSG7.html#group40Q7", "40Q⁷"), =HYPERLINK("CSG21.html#group80F21", "80F²¹"), =HYPERLINK("CSG11.html#group80D11", "80D¹¹"), =HYPERLINK("CSG17.html#group80AM17", "80AM¹⁷"), =HYPERLINK("CSG21.html#group80AA21", "80AA²¹"), =HYPERLINK("CSG15.html#group40V15", "40V¹⁵"), =HYPERLINK("CSG11.html#group120B11", "120B¹¹"), =HYPERLINK("CSG21.html#group80AB21", "80AB²¹"), =HYPERLINK("CSG13.html#group100F13", "100F¹³"), =HYPERLINK("CSG23.html#group160C23", "160C²³"), =HYPERLINK("CSG3.html#group20T3", "20T³"), =HYPERLINK("CSG21.html#group80AD21", "80AD²¹"), =HYPERLINK("CSG21.html#group160J21", "160J²¹"), =HYPERLINK("CSG17.html#group80AB17", "80AB¹⁷"), =HYPERLINK("CSG21.html#group80A21", "80A²¹"), =HYPERLINK("CSG13.html#group120F13", "120F¹³"), =HYPERLINK("CSG17.html#group120A17", "120A¹⁷"), =HYPERLINK("CSG11.html#group60Q11", "60Q¹¹"), =HYPERLINK("CSG5.html#group40L5", "40L⁵"), =HYPERLINK("CSG19.html#group80O19", "80O¹⁹"), =HYPERLINK("CSG21.html#group60X21", "60X²¹"), =HYPERLINK("CSG13.html#group40U13", "40U¹³"), =HYPERLINK("CSG21.html#group80AG21", "80AG²¹"), =HYPERLINK("CSG17.html#group80AT17", "80AT¹⁷"), =HYPERLINK("CSG21.html#group80T21", "80T²¹"), =HYPERLINK("CSG19.html#group100Q19", "100Q¹⁹"), =HYPERLINK("CSG19.html#group160M19", "160M¹⁹"), =HYPERLINK("CSG17.html#group80Z17", "80Z¹⁷"), =HYPERLINK("CSG9.html#group40R9", "40R⁹"), =HYPERLINK("CSG15.html#group40AH15", "40AH¹⁵"), =HYPERLINK("CSG23.html#group40D23", "40D²³"), =HYPERLINK("CSG9.html#group80G9", "80G⁹"), =HYPERLINK("CSG17.html#group40AI17", "40AI¹⁷"), =HYPERLINK("CSG17.html#group80BA17", "80BA¹⁷"), =HYPERLINK("CSG21.html#group20C21", "20C²¹"), =HYPERLINK("CSG19.html#group80AD19", "80AD¹⁹"), =HYPERLINK("CSG19.html#group80S19", "80S¹⁹"), =HYPERLINK("CSG21.html#group80O21", "80O²¹"), =HYPERLINK("CSG13.html#group20E13", "20E¹³"), =HYPERLINK("CSG7.html#group40X7", "40X⁷"), =HYPERLINK("CSG7.html#group80C7", "80C⁷"), =HYPERLINK("CSG17.html#group40Y17", "40Y¹⁷"), =HYPERLINK("CSG17.html#group80AZ17", "80AZ¹⁷"), =HYPERLINK("CSG3.html#group20K3", "20K³"), =HYPERLINK("CSG17.html#group40AJ17", "40AJ¹⁷"), =HYPERLINK("CSG17.html#group40AM17", "40AM¹⁷"), =HYPERLINK("CSG21.html#group80W21", "80W²¹"), =HYPERLINK("CSG23.html#group200A23", "200A²³"), =HYPERLINK("CSG7.html#group20K7", "20K⁷"), =HYPERLINK("CSG21.html#group100A21", "100A²¹"), =HYPERLINK("CSG17.html#group40AQ17", "40AQ¹⁷"), =HYPERLINK("CSG7.html#group20M7", "20M⁷"), =HYPERLINK("CSG21.html#group80R21", "80R²¹"), =HYPERLINK("CSG19.html#group120K19", "120K¹⁹"), =HYPERLINK("CSG19.html#group80Q19", "80Q¹⁹"), =HYPERLINK("CSG17.html#group40U17", "40U¹⁷"), =HYPERLINK("CSG5.html#group40B5", "40B⁵"), =HYPERLINK("CSG19.html#group80Y19", "80Y¹⁹"), =HYPERLINK("CSG21.html#group80V21", "80V²¹"), =HYPERLINK("CSG13.html#group60Z13", "60Z¹³"), =HYPERLINK("CSG13.html#group60Y13", "60Y¹³"), =HYPERLINK("CSG1.html#group20I1", "20I¹"), =HYPERLINK("CSG17.html#group160K17", "160K¹⁷"), =HYPERLINK("CSG19.html#group60N19", "60N¹⁹"), =HYPERLINK("CSG23.html#group40C23", "40C²³"), =HYPERLINK("CSG21.html#group80S21", "80S²¹"), =HYPERLINK("CSG19.html#group40B19", "40B¹⁹"), =HYPERLINK("CSG23.html#group160B23", "160B²³"), =HYPERLINK("CSG15.html#group80N15", "80N¹⁵"), =HYPERLINK("CSG17.html#group80AR17", "80AR¹⁷"), =HYPERLINK("CSG17.html#group80AA17", "80AA¹⁷"), =HYPERLINK("CSG17.html#group60T17", "60T¹⁷"), =HYPERLINK("CSG19.html#group20A19", "20A¹⁹"), =HYPERLINK("CSG17.html#group80AP17", "80AP¹⁷"), =HYPERLINK("CSG21.html#group120A21", "120A²¹"), =HYPERLINK("CSG17.html#group80AX17", "80AX¹⁷"), =HYPERLINK("CSG5.html#group20I5", "20I⁵"), =HYPERLINK("CSG5.html#group40C5", "40C⁵"), =HYPERLINK("CSG11.html#group20E11", "20E¹¹"), =HYPERLINK("CSG21.html#group160I21", "160I²¹"), =HYPERLINK("CSG17.html#group120B17", "120B¹⁷"), =HYPERLINK("CSG7.html#group40P7", "40P⁷"), =HYPERLINK("CSG15.html#group60A15", "60A¹⁵"), =HYPERLINK("CSG17.html#group140D17", "140D¹⁷"), =HYPERLINK("CSG19.html#group80W19", "80W¹⁹"), =HYPERLINK("CSG5.html#group20K5", "20K⁵"), =HYPERLINK("CSG21.html#group160N21", "160N²¹"), =HYPERLINK("CSG21.html#group80AC21", "80AC²¹"), =HYPERLINK("CSG13.html#group120H13", "120H¹³"), =HYPERLINK("CSG11.html#group80A11", "80A¹¹"), =HYPERLINK("CSG21.html#group140C21", "140C²¹"), =HYPERLINK("CSG19.html#group80M19", "80M¹⁹"), =HYPERLINK("CSG13.html#group100G13", "100G¹³"), =HYPERLINK("CSG21.html#group80G21", "80G²¹"), =HYPERLINK("CSG9.html#group80P9", "80P⁹"), =HYPERLINK("CSG17.html#group160G17", "160G¹⁷"), =HYPERLINK("CSG7.html#group40W7", "40W⁷"), =HYPERLINK("CSG21.html#group160K21", "160K²¹"), =HYPERLINK("CSG3.html#group20G3", "20G³"), =HYPERLINK("CSG17.html#group40Z17", "40Z¹⁷"), =HYPERLINK("CSG21.html#group80AE21", "80AE²¹"), =HYPERLINK("CSG15.html#group40W15", "40W¹⁵"), =HYPERLINK("CSG23.html#group240A23", "240A²³"), =HYPERLINK("CSG17.html#group80BB17", "80BB¹⁷"), =HYPERLINK("CSG9.html#group40M9", "40M⁹"), =HYPERLINK("CSG17.html#group40AC17", "40AC¹⁷"), =HYPERLINK("CSG13.html#group120E13", "120E¹³"), =HYPERLINK("CSG17.html#group80AW17", "80AW¹⁷"), =HYPERLINK("CSG21.html#group80U21", "80U²¹"), =HYPERLINK("CSG13.html#group40W13", "40W¹³"), =HYPERLINK("CSG7.html#group80D7", "80D⁷"), =HYPERLINK("CSG9.html#group80H9", "80H⁹"), =HYPERLINK("CSG21.html#group80E21", "80E²¹"), =HYPERLINK("CSG21.html#group80Y21", "80Y²¹"), =HYPERLINK("CSG21.html#group160U21", "160U²¹"), =HYPERLINK("CSG23.html#group160D23", "160D²³"), =HYPERLINK("CSG17.html#group40AN17", "40AN¹⁷"), =HYPERLINK("CSG17.html#group40AB17", "40AB¹⁷"), =HYPERLINK("CSG17.html#group40AK17", "40AK¹⁷"), =HYPERLINK("CSG17.html#group80BF17", "80BF¹⁷"), =HYPERLINK("CSG21.html#group80J21", "80J²¹"), =HYPERLINK("CSG7.html#group40T7", "40T⁷"), =HYPERLINK("CSG21.html#group200A21", "200A²¹"), =HYPERLINK("CSG19.html#group80X19", "80X¹⁹"), =HYPERLINK("CSG21.html#group40I21", "40I²¹"), =HYPERLINK("CSG17.html#group80AO17", "80AO¹⁷"), =HYPERLINK("CSG13.html#group100H13", "100H¹³"), =HYPERLINK("CSG17.html#group160L17", "160L¹⁷"), =HYPERLINK("CSG13.html#group80H13", "80H¹³"), =HYPERLINK("CSG7.html#group80I7", "80I⁷"), =HYPERLINK("CSG11.html#group60S11", "60S¹¹"), =HYPERLINK("CSG9.html#group100I9", "100I⁹"), =HYPERLINK("CSG13.html#group60O13", "60O¹³"), =HYPERLINK("CSG19.html#group80AB19", "80AB¹⁹"), =HYPERLINK("CSG7.html#group40Z7", "40Z⁷"), =HYPERLINK("CSG23.html#group240B23", "240B²³"), =HYPERLINK("CSG15.html#group40AG15", "40AG¹⁵"), =HYPERLINK("CSG19.html#group120L19", "120L¹⁹"), =HYPERLINK("CSG21.html#group80N21", "80N²¹"), =HYPERLINK("CSG17.html#group40AT17", "40AT¹⁷"), =HYPERLINK("CSG17.html#group40AH17", "40AH¹⁷"), =HYPERLINK("CSG15.html#group40AE15", "40AE¹⁵"), =HYPERLINK("CSG5.html#group40O5", "40O⁵"), =HYPERLINK("CSG19.html#group80Z19", "80Z¹⁹"), =HYPERLINK("CSG7.html#group40AB7", "40AB⁷"), =HYPERLINK("CSG17.html#group80AY17", "80AY¹⁷"), =HYPERLINK("CSG13.html#group100E13", "100E¹³"), =HYPERLINK("CSG7.html#group40R7", "40R⁷"), =HYPERLINK("CSG15.html#group80U15", "80U¹⁵"), =HYPERLINK("CSG9.html#group20F9", "20F⁹"), =HYPERLINK("CSG13.html#group40M13", "40M¹³"), =HYPERLINK("CSG17.html#group80AN17", "80AN¹⁷"), =HYPERLINK("CSG17.html#group20B17", "20B¹⁷"), =HYPERLINK("CSG5.html#group20J5", "20J⁵"), =HYPERLINK("CSG19.html#group80AA19", "80AA¹⁹"), =HYPERLINK("CSG13.html#group40K13", "40K¹³"), =HYPERLINK("CSG17.html#group40AL17", "40AL¹⁷"), =HYPERLINK("CSG21.html#group80AF21", "80AF²¹"), =HYPERLINK("CSG15.html#group120H15", "120H¹⁵"), =HYPERLINK("CSG13.html#group20F13", "20F¹³"), =HYPERLINK("CSG3.html#group40C3", "40C³"), =HYPERLINK("CSG21.html#group120B21", "120B²¹"), =HYPERLINK("CSG21.html#group160M21", "160M²¹"), =HYPERLINK("CSG11.html#group80B11", "80B¹¹"), =HYPERLINK("CSG21.html#group80I21", "80I²¹"), =HYPERLINK("CSG17.html#group80BD17", "80BD¹⁷"), =HYPERLINK("CSG9.html#group60M9", "60M⁹"), =HYPERLINK("CSG17.html#group80AU17", "80AU¹⁷"), =HYPERLINK("CSG17.html#group40AR17", "40AR¹⁷"), =HYPERLINK("CSG15.html#group40AF15", "40AF¹⁵"), =HYPERLINK("CSG21.html#group160P21", "160P²¹"), =HYPERLINK("CSG21.html#group80L21", "80L²¹"), =HYPERLINK("CSG21.html#group80X21", "80X²¹"), =HYPERLINK("CSG3.html#group40H3", "40H³"), =HYPERLINK("CSG15.html#group40AD15", "40AD¹⁵"), =HYPERLINK("CSG9.html#group40H9", "40H⁹"), =HYPERLINK("CSG9.html#group80K9", "80K⁹"), =HYPERLINK("CSG9.html#group20B9", "20B⁹"), =HYPERLINK("CSG21.html#group200B21", "200B²¹"), =HYPERLINK("CSG19.html#group80R19", "80R¹⁹"), =HYPERLINK("CSG15.html#group80P15", "80P¹⁵"), =HYPERLINK("CSG19.html#group80N19", "80N¹⁹"), =HYPERLINK("CSG9.html#group80M9", "80M⁹"), =HYPERLINK("CSG9.html#group40Q9", "40Q⁹"), =HYPERLINK("CSG17.html#group60Q17", "60Q¹⁷"), =HYPERLINK("CSG17.html#group80AF17", "80AF¹⁷"), =HYPERLINK("CSG21.html#group180I21", "180I²¹"), =HYPERLINK("CSG5.html#group40N5", "40N⁵"), =HYPERLINK("CSG3.html#group20L3", "20L³"), =HYPERLINK("CSG17.html#group40AO17", "40AO¹⁷"), =HYPERLINK("CSG15.html#group40Y15", "40Y¹⁵"), =HYPERLINK("CSG7.html#group40L7", "40L⁷"), =HYPERLINK("CSG11.html#group80C11", "80C¹¹"), =HYPERLINK("CSG19.html#group40D19", "40D¹⁹"), =HYPERLINK("CSG19.html#group60M19", "60M¹⁹"), =HYPERLINK("CSG7.html#group80J7", "80J⁷"), =HYPERLINK("CSG17.html#group80AL17", "80AL¹⁷"), =HYPERLINK("CSG17.html#group40AE17", "40AE¹⁷"), =HYPERLINK("CSG23.html#group60N23", "60N²³"), =HYPERLINK("CSG7.html#group40S7", "40S⁷"), =HYPERLINK("CSG21.html#group160T21", "160T²¹"), =HYPERLINK("CSG19.html#group20D19", "20D¹⁹"), =HYPERLINK("CSG23.html#group200B23", "200B²³"), =HYPERLINK("CSG15.html#group40X15", "40X¹⁵"), =HYPERLINK("CSG15.html#group40AC15", "40AC¹⁵"), =HYPERLINK("CSG17.html#group80W17", "80W¹⁷"), =HYPERLINK("CSG21.html#group120D21", "120D²¹"), =HYPERLINK("CSG17.html#group80AS17", "80AS¹⁷"), =HYPERLINK("CSG13.html#group40N13", "40N¹³"), =HYPERLINK("CSG13.html#group80C13", "80C¹³"), =HYPERLINK("CSG13.html#group60X13", "60X¹³"), =HYPERLINK("CSG17.html#group40AA17", "40AA¹⁷"), =HYPERLINK("CSG9.html#group80J9", "80J⁹"), =HYPERLINK("CSG17.html#group40AF17", "40AF¹⁷"), =HYPERLINK("CSG17.html#group40V17", "40V¹⁷"), =HYPERLINK("CSG13.html#group120J13", "120J¹³"), =HYPERLINK("CSG19.html#group40H19", "40H¹⁹"), =HYPERLINK("CSG23.html#group160A23", "160A²³"), =HYPERLINK("CSG21.html#group80H21", "80H²¹"), =HYPERLINK("CSG7.html#group40AA7", "40AA⁷"), =HYPERLINK("CSG19.html#group80L19", "80L¹⁹"), =HYPERLINK("CSG17.html#group80AC17", "80AC¹⁷"), =HYPERLINK("CSG15.html#group60D15", "60D¹⁵"), =HYPERLINK("CSG17.html#group160J17", "160J¹⁷"), =HYPERLINK("CSG21.html#group80D21", "80D²¹"), =HYPERLINK("CSG7.html#group40Y7", "40Y⁷"), =HYPERLINK("CSG17.html#group40AG17", "40AG¹⁷"), =HYPERLINK("CSG17.html#group60P17", "60P¹⁷"), =HYPERLINK("CSG3.html#group40D3", "40D³"), =HYPERLINK("CSG17.html#group80AK17", "80AK¹⁷"), =HYPERLINK("CSG3.html#group40G3", "40G³")</f>
        <v/>
      </c>
    </row>
    <row r="239">
      <c r="A239" t="inlineStr">
        <is>
          <t>20F¹</t>
        </is>
      </c>
      <c r="B239" t="inlineStr"/>
      <c r="C239" t="inlineStr">
        <is>
          <t>40</t>
        </is>
      </c>
      <c r="D239" t="inlineStr">
        <is>
          <t>2</t>
        </is>
      </c>
      <c r="E239" t="inlineStr">
        <is>
          <t>10</t>
        </is>
      </c>
      <c r="F239" t="inlineStr">
        <is>
          <t>4</t>
        </is>
      </c>
      <c r="G239" t="inlineStr">
        <is>
          <t>4</t>
        </is>
      </c>
      <c r="H239" t="inlineStr">
        <is>
          <t>20²</t>
        </is>
      </c>
      <c r="I239" t="n">
        <v>2</v>
      </c>
      <c r="J239" t="inlineStr">
        <is>
          <t>4¹, 8²</t>
        </is>
      </c>
      <c r="K239">
        <f>HYPERLINK("CSG0.html#group10D0", "10D⁰")</f>
        <v/>
      </c>
      <c r="L239">
        <f>HYPERLINK("CSG3.html#group20N3", "20N³"), =HYPERLINK("CSG5.html#group20H5", "20H⁵"), =HYPERLINK("CSG7.html#group20E7", "20E⁷"), =HYPERLINK("CSG7.html#group20I7", "20I⁷"), =HYPERLINK("CSG7.html#group20O7", "20O⁷"), =HYPERLINK("CSG7.html#group60K7", "60K⁷"), =HYPERLINK("CSG9.html#group100J9", "100J⁹"), =HYPERLINK("CSG11.html#group60K11", "60K¹¹"), =HYPERLINK("CSG19.html#group140F19", "140F¹⁹"), =HYPERLINK("CSG19.html#group140G19", "140G¹⁹"), =HYPERLINK("CSG23.html#group140D23", "140D²³")</f>
        <v/>
      </c>
      <c r="M239">
        <f>HYPERLINK("CSG0.html#group5C0", "5C⁰"), =HYPERLINK("CSG0.html#group1A0", "1A⁰"), =HYPERLINK("CSG0.html#group10D0", "10D⁰")</f>
        <v/>
      </c>
      <c r="N239">
        <f>HYPERLINK("CSG17.html#group20A17", "20A¹⁷"), =HYPERLINK("CSG17.html#group60A17", "60A¹⁷"), =HYPERLINK("CSG5.html#group20H5", "20H⁵"), =HYPERLINK("CSG15.html#group20H15", "20H¹⁵"), =HYPERLINK("CSG15.html#group60Q15", "60Q¹⁵"), =HYPERLINK("CSG21.html#group60R21", "60R²¹"), =HYPERLINK("CSG3.html#group20N3", "20N³"), =HYPERLINK("CSG19.html#group60B19", "60B¹⁹"), =HYPERLINK("CSG7.html#group20I7", "20I⁷"), =HYPERLINK("CSG23.html#group140D23", "140D²³"), =HYPERLINK("CSG21.html#group20A21", "20A²¹"), =HYPERLINK("CSG17.html#group60K17", "60K¹⁷"), =HYPERLINK("CSG15.html#group60Z15", "60Z¹⁵"), =HYPERLINK("CSG19.html#group140G19", "140G¹⁹"), =HYPERLINK("CSG19.html#group140F19", "140F¹⁹"), =HYPERLINK("CSG7.html#group20E7", "20E⁷"), =HYPERLINK("CSG19.html#group40K19", "40K¹⁹"), =HYPERLINK("CSG19.html#group40J19", "40J¹⁹"), =HYPERLINK("CSG9.html#group100J9", "100J⁹"), =HYPERLINK("CSG11.html#group60K11", "60K¹¹"), =HYPERLINK("CSG15.html#group20A15", "20A¹⁵"), =HYPERLINK("CSG13.html#group20D13", "20D¹³"), =HYPERLINK("CSG15.html#group60P15", "60P¹⁵"), =HYPERLINK("CSG11.html#group20A11", "20A¹¹"), =HYPERLINK("CSG7.html#group60K7", "60K⁷"), =HYPERLINK("CSG19.html#group100R19", "100R¹⁹"), =HYPERLINK("CSG7.html#group20O7", "20O⁷"), =HYPERLINK("CSG15.html#group20C15", "20C¹⁵")</f>
        <v/>
      </c>
    </row>
    <row r="240">
      <c r="A240" t="inlineStr">
        <is>
          <t>20G¹</t>
        </is>
      </c>
      <c r="B240" t="inlineStr"/>
      <c r="C240" t="inlineStr">
        <is>
          <t>48</t>
        </is>
      </c>
      <c r="D240" t="inlineStr">
        <is>
          <t>1</t>
        </is>
      </c>
      <c r="E240" t="inlineStr">
        <is>
          <t>24</t>
        </is>
      </c>
      <c r="F240" t="inlineStr">
        <is>
          <t>8</t>
        </is>
      </c>
      <c r="G240" t="inlineStr">
        <is>
          <t>0</t>
        </is>
      </c>
      <c r="H240" t="inlineStr">
        <is>
          <t>4², 20²</t>
        </is>
      </c>
      <c r="I240" t="n">
        <v>4</v>
      </c>
      <c r="J240" t="inlineStr">
        <is>
          <t>2⁴, 8²</t>
        </is>
      </c>
      <c r="K240">
        <f>HYPERLINK("CSG0.html#group10B0", "10B⁰"), =HYPERLINK("CSG1.html#group20B1", "20B¹")</f>
        <v/>
      </c>
      <c r="L240">
        <f>HYPERLINK("CSG3.html#group20Q3", "20Q³"), =HYPERLINK("CSG5.html#group20D5", "20D⁵"), =HYPERLINK("CSG5.html#group20J5", "20J⁵"), =HYPERLINK("CSG5.html#group40G5", "40G⁵"), =HYPERLINK("CSG5.html#group40H5", "40H⁵"), =HYPERLINK("CSG5.html#group40J5", "40J⁵"), =HYPERLINK("CSG5.html#group60C5", "60C⁵"), =HYPERLINK("CSG9.html#group40V9", "40V⁹"), =HYPERLINK("CSG13.html#group20B13", "20B¹³"), =HYPERLINK("CSG13.html#group60L13", "60L¹³"), =HYPERLINK("CSG13.html#group100I13", "100I¹³"), =HYPERLINK("CSG17.html#group100C17", "100C¹⁷"), =HYPERLINK("CSG17.html#group100B17", "100B¹⁷"), =HYPERLINK("CSG17.html#group100D17", "100D¹⁷"), =HYPERLINK("CSG17.html#group100A17", "100A¹⁷"), =HYPERLINK("CSG21.html#group140D21", "140D²¹")</f>
        <v/>
      </c>
      <c r="M240">
        <f>HYPERLINK("CSG0.html#group5B0", "5B⁰"), =HYPERLINK("CSG0.html#group1A0", "1A⁰"), =HYPERLINK("CSG0.html#group4A0", "4A⁰"), =HYPERLINK("CSG1.html#group20B1", "20B¹"), =HYPERLINK("CSG0.html#group10B0", "10B⁰")</f>
        <v/>
      </c>
      <c r="N240">
        <f>HYPERLINK("CSG13.html#group40M13", "40M¹³"), =HYPERLINK("CSG11.html#group40G11", "40G¹¹"), =HYPERLINK("CSG5.html#group40G5", "40G⁵"), =HYPERLINK("CSG5.html#group20J5", "20J⁵"), =HYPERLINK("CSG17.html#group120J17", "120J¹⁷"), =HYPERLINK("CSG5.html#group20D5", "20D⁵"), =HYPERLINK("CSG21.html#group140D21", "140D²¹"), =HYPERLINK("CSG13.html#group20E13", "20E¹³"), =HYPERLINK("CSG11.html#group20E11", "20E¹¹"), =HYPERLINK("CSG17.html#group100A17", "100A¹⁷"), =HYPERLINK("CSG15.html#group60AE15", "60AE¹⁵"), =HYPERLINK("CSG17.html#group120K17", "120K¹⁷"), =HYPERLINK("CSG21.html#group60H21", "60H²¹"), =HYPERLINK("CSG21.html#group40K21", "40K²¹"), =HYPERLINK("CSG9.html#group20E9", "20E⁹"), =HYPERLINK("CSG13.html#group20B13", "20B¹³"), =HYPERLINK("CSG17.html#group60W17", "60W¹⁷"), =HYPERLINK("CSG17.html#group100C17", "100C¹⁷"), =HYPERLINK("CSG17.html#group120P17", "120P¹⁷"), =HYPERLINK("CSG15.html#group60AG15", "60AG¹⁵"), =HYPERLINK("CSG5.html#group40J5", "40J⁵"), =HYPERLINK("CSG21.html#group60F21", "60F²¹"), =HYPERLINK("CSG13.html#group80B13", "80B¹³"), =HYPERLINK("CSG13.html#group40S13", "40S¹³"), =HYPERLINK("CSG13.html#group40T13", "40T¹³"), =HYPERLINK("CSG15.html#group40AG15", "40AG¹⁵"), =HYPERLINK("CSG17.html#group120Q17", "120Q¹⁷"), =HYPERLINK("CSG17.html#group100D17", "100D¹⁷"), =HYPERLINK("CSG17.html#group100B17", "100B¹⁷"), =HYPERLINK("CSG21.html#group40J21", "40J²¹"), =HYPERLINK("CSG5.html#group60C5", "60C⁵"), =HYPERLINK("CSG17.html#group40Z17", "40Z¹⁷"), =HYPERLINK("CSG13.html#group80A13", "80A¹³"), =HYPERLINK("CSG13.html#group60AK13", "60AK¹³"), =HYPERLINK("CSG13.html#group60L13", "60L¹³"), =HYPERLINK("CSG13.html#group100I13", "100I¹³"), =HYPERLINK("CSG21.html#group40L21", "40L²¹"), =HYPERLINK("CSG21.html#group40M21", "40M²¹"), =HYPERLINK("CSG9.html#group40V9", "40V⁹"), =HYPERLINK("CSG5.html#group40H5", "40H⁵"), =HYPERLINK("CSG17.html#group120L17", "120L¹⁷"), =HYPERLINK("CSG17.html#group40AN17", "40AN¹⁷"), =HYPERLINK("CSG17.html#group120I17", "120I¹⁷"), =HYPERLINK("CSG13.html#group40C13", "40C¹³"), =HYPERLINK("CSG11.html#group40F11", "40F¹¹"), =HYPERLINK("CSG3.html#group20Q3", "20Q³"), =HYPERLINK("CSG13.html#group40B13", "40B¹³"), =HYPERLINK("CSG17.html#group40AI17", "40AI¹⁷")</f>
        <v/>
      </c>
    </row>
    <row r="241">
      <c r="A241" t="inlineStr">
        <is>
          <t>20H¹</t>
        </is>
      </c>
      <c r="B241" t="inlineStr"/>
      <c r="C241" t="inlineStr">
        <is>
          <t>72</t>
        </is>
      </c>
      <c r="D241" t="inlineStr">
        <is>
          <t>1</t>
        </is>
      </c>
      <c r="E241" t="inlineStr">
        <is>
          <t>18</t>
        </is>
      </c>
      <c r="F241" t="inlineStr">
        <is>
          <t>0</t>
        </is>
      </c>
      <c r="G241" t="inlineStr">
        <is>
          <t>0</t>
        </is>
      </c>
      <c r="H241" t="inlineStr">
        <is>
          <t>1⁴, 4², 5⁴, 20²</t>
        </is>
      </c>
      <c r="I241" t="n">
        <v>12</v>
      </c>
      <c r="J241" t="inlineStr">
        <is>
          <t>1⁶, 4³</t>
        </is>
      </c>
      <c r="K241">
        <f>HYPERLINK("CSG0.html#group10F0", "10F⁰"), =HYPERLINK("CSG0.html#group20A0", "20A⁰"), =HYPERLINK("CSG1.html#group20D1", "20D¹")</f>
        <v/>
      </c>
      <c r="L241">
        <f>HYPERLINK("CSG3.html#group20S3", "20S³"), =HYPERLINK("CSG3.html#group40J3", "40J³"), =HYPERLINK("CSG5.html#group20I5", "20I⁵"), =HYPERLINK("CSG5.html#group40M5", "40M⁵"), =HYPERLINK("CSG7.html#group40K7", "40K⁷"), =HYPERLINK("CSG13.html#group20G13", "20G¹³"), =HYPERLINK("CSG13.html#group60N13", "60N¹³"), =HYPERLINK("CSG13.html#group60AJ13", "60AJ¹³"), =HYPERLINK("CSG13.html#group100J13", "100J¹³")</f>
        <v/>
      </c>
      <c r="M241">
        <f>HYPERLINK("CSG0.html#group20A0", "20A⁰"), =HYPERLINK("CSG0.html#group5B0", "5B⁰"), =HYPERLINK("CSG0.html#group10C0", "10C⁰"), =HYPERLINK("CSG0.html#group5D0", "5D⁰"), =HYPERLINK("CSG1.html#group20D1", "20D¹"), =HYPERLINK("CSG0.html#group2B0", "2B⁰"), =HYPERLINK("CSG0.html#group4B0", "4B⁰"), =HYPERLINK("CSG0.html#group1A0", "1A⁰"), =HYPERLINK("CSG0.html#group10F0", "10F⁰")</f>
        <v/>
      </c>
      <c r="N241">
        <f>HYPERLINK("CSG13.html#group80G13", "80G¹³"), =HYPERLINK("CSG13.html#group40R13", "40R¹³"), =HYPERLINK("CSG13.html#group100J13", "100J¹³"), =HYPERLINK("CSG5.html#group20I5", "20I⁵"), =HYPERLINK("CSG13.html#group20E13", "20E¹³"), =HYPERLINK("CSG9.html#group40W9", "40W⁹"), =HYPERLINK("CSG13.html#group40K13", "40K¹³"), =HYPERLINK("CSG13.html#group40P13", "40P¹³"), =HYPERLINK("CSG13.html#group60N13", "60N¹³"), =HYPERLINK("CSG17.html#group40Y17", "40Y¹⁷"), =HYPERLINK("CSG3.html#group40J3", "40J³"), =HYPERLINK("CSG3.html#group20S3", "20S³"), =HYPERLINK("CSG13.html#group20F13", "20F¹³"), =HYPERLINK("CSG13.html#group40L13", "40L¹³"), =HYPERLINK("CSG13.html#group40J13", "40J¹³"), =HYPERLINK("CSG17.html#group40T17", "40T¹⁷"), =HYPERLINK("CSG13.html#group20G13", "20G¹³"), =HYPERLINK("CSG13.html#group80F13", "80F¹³"), =HYPERLINK("CSG13.html#group40O13", "40O¹³"), =HYPERLINK("CSG5.html#group40M5", "40M⁵"), =HYPERLINK("CSG13.html#group80D13", "80D¹³"), =HYPERLINK("CSG17.html#group80V17", "80V¹⁷"), =HYPERLINK("CSG7.html#group40K7", "40K⁷"), =HYPERLINK("CSG13.html#group80E13", "80E¹³"), =HYPERLINK("CSG9.html#group20F9", "20F⁹"), =HYPERLINK("CSG13.html#group40Q13", "40Q¹³"), =HYPERLINK("CSG17.html#group80U17", "80U¹⁷"), =HYPERLINK("CSG13.html#group60AJ13", "60AJ¹³")</f>
        <v/>
      </c>
    </row>
    <row r="242">
      <c r="A242" t="inlineStr">
        <is>
          <t>20I¹</t>
        </is>
      </c>
      <c r="B242" t="inlineStr"/>
      <c r="C242" t="inlineStr">
        <is>
          <t>72</t>
        </is>
      </c>
      <c r="D242" t="inlineStr">
        <is>
          <t>1</t>
        </is>
      </c>
      <c r="E242" t="inlineStr">
        <is>
          <t>18</t>
        </is>
      </c>
      <c r="F242" t="inlineStr">
        <is>
          <t>8</t>
        </is>
      </c>
      <c r="G242" t="inlineStr">
        <is>
          <t>0</t>
        </is>
      </c>
      <c r="H242" t="inlineStr">
        <is>
          <t>2², 4², 10², 20²</t>
        </is>
      </c>
      <c r="I242" t="n">
        <v>8</v>
      </c>
      <c r="J242" t="inlineStr">
        <is>
          <t>1⁶, 4³</t>
        </is>
      </c>
      <c r="K242">
        <f>HYPERLINK("CSG0.html#group10G0", "10G⁰"), =HYPERLINK("CSG0.html#group20A0", "20A⁰"), =HYPERLINK("CSG1.html#group20E1", "20E¹")</f>
        <v/>
      </c>
      <c r="L242">
        <f>HYPERLINK("CSG3.html#group20T3", "20T³"), =HYPERLINK("CSG5.html#group20I5", "20I⁵"), =HYPERLINK("CSG5.html#group20J5", "20J⁵"), =HYPERLINK("CSG5.html#group20K5", "20K⁵"), =HYPERLINK("CSG5.html#group40L5", "40L⁵"), =HYPERLINK("CSG5.html#group40N5", "40N⁵"), =HYPERLINK("CSG5.html#group40O5", "40O⁵"), =HYPERLINK("CSG7.html#group40T7", "40T⁷"), =HYPERLINK("CSG9.html#group40F9", "40F⁹"), =HYPERLINK("CSG9.html#group60M9", "60M⁹"), =HYPERLINK("CSG17.html#group20B17", "20B¹⁷"), =HYPERLINK("CSG17.html#group60P17", "60P¹⁷"), =HYPERLINK("CSG17.html#group100E17", "100E¹⁷")</f>
        <v/>
      </c>
      <c r="M242">
        <f>HYPERLINK("CSG1.html#group20E1", "20E¹"), =HYPERLINK("CSG0.html#group20A0", "20A⁰"), =HYPERLINK("CSG0.html#group10G0", "10G⁰"), =HYPERLINK("CSG0.html#group4C0", "4C⁰"), =HYPERLINK("CSG0.html#group5B0", "5B⁰"), =HYPERLINK("CSG0.html#group10C0", "10C⁰"), =HYPERLINK("CSG0.html#group2B0", "2B⁰"), =HYPERLINK("CSG0.html#group1A0", "1A⁰"), =HYPERLINK("CSG0.html#group10B0", "10B⁰")</f>
        <v/>
      </c>
      <c r="N242">
        <f>HYPERLINK("CSG17.html#group20B17", "20B¹⁷"), =HYPERLINK("CSG13.html#group40M13", "40M¹³"), =HYPERLINK("CSG17.html#group80AN17", "80AN¹⁷"), =HYPERLINK("CSG17.html#group80AA17", "80AA¹⁷"), =HYPERLINK("CSG13.html#group40R13", "40R¹³"), =HYPERLINK("CSG5.html#group20J5", "20J⁵"), =HYPERLINK("CSG5.html#group20I5", "20I⁵"), =HYPERLINK("CSG7.html#group40T7", "40T⁷"), =HYPERLINK("CSG13.html#group20E13", "20E¹³"), =HYPERLINK("CSG17.html#group80AM17", "80AM¹⁷"), =HYPERLINK("CSG13.html#group40K13", "40K¹³"), =HYPERLINK("CSG11.html#group20E11", "20E¹¹"), =HYPERLINK("CSG17.html#group40Y17", "40Y¹⁷"), =HYPERLINK("CSG21.html#group120O21", "120O²¹"), =HYPERLINK("CSG23.html#group60N23", "60N²³"), =HYPERLINK("CSG13.html#group20F13", "20F¹³"), =HYPERLINK("CSG3.html#group20T3", "20T³"), =HYPERLINK("CSG13.html#group40V13", "40V¹³"), =HYPERLINK("CSG17.html#group40T17", "40T¹⁷"), =HYPERLINK("CSG13.html#group80H13", "80H¹³"), =HYPERLINK("CSG5.html#group20K5", "20K⁵"), =HYPERLINK("CSG9.html#group60M9", "60M⁹"), =HYPERLINK("CSG17.html#group100E17", "100E¹⁷"), =HYPERLINK("CSG13.html#group80I13", "80I¹³"), =HYPERLINK("CSG13.html#group40Q13", "40Q¹³"), =HYPERLINK("CSG5.html#group40L5", "40L⁵"), =HYPERLINK("CSG13.html#group40S13", "40S¹³"), =HYPERLINK("CSG13.html#group40T13", "40T¹³"), =HYPERLINK("CSG15.html#group40AG15", "40AG¹⁵"), =HYPERLINK("CSG17.html#group80BC17", "80BC¹⁷"), =HYPERLINK("CSG13.html#group40N13", "40N¹³"), =HYPERLINK("CSG13.html#group80C13", "80C¹³"), =HYPERLINK("CSG17.html#group80AS17", "80AS¹⁷"), =HYPERLINK("CSG17.html#group40AQ17", "40AQ¹⁷"), =HYPERLINK("CSG21.html#group60X21", "60X²¹"), =HYPERLINK("CSG23.html#group60R23", "60R²³"), =HYPERLINK("CSG13.html#group40U13", "40U¹³"), =HYPERLINK("CSG5.html#group40O5", "40O⁵"), =HYPERLINK("CSG11.html#group40K11", "40K¹¹"), =HYPERLINK("CSG9.html#group40F9", "40F⁹"), =HYPERLINK("CSG17.html#group40Z17", "40Z¹⁷"), =HYPERLINK("CSG17.html#group80AT17", "80AT¹⁷"), =HYPERLINK("CSG13.html#group40J13", "40J¹³"), =HYPERLINK("CSG17.html#group40AC17", "40AC¹⁷"), =HYPERLINK("CSG21.html#group80U21", "80U²¹"), =HYPERLINK("CSG13.html#group40W13", "40W¹³"), =HYPERLINK("CSG17.html#group40AN17", "40AN¹⁷"), =HYPERLINK("CSG21.html#group80E21", "80E²¹"), =HYPERLINK("CSG21.html#group80Y21", "80Y²¹"), =HYPERLINK("CSG17.html#group60P17", "60P¹⁷"), =HYPERLINK("CSG17.html#group80AF17", "80AF¹⁷"), =HYPERLINK("CSG5.html#group40N5", "40N⁵"), =HYPERLINK("CSG9.html#group20F9", "20F⁹"), =HYPERLINK("CSG15.html#group40AH15", "40AH¹⁵"), =HYPERLINK("CSG17.html#group40AI17", "40AI¹⁷")</f>
        <v/>
      </c>
    </row>
    <row r="243">
      <c r="A243" t="inlineStr">
        <is>
          <t>20J¹</t>
        </is>
      </c>
      <c r="B243" t="inlineStr"/>
      <c r="C243" t="inlineStr">
        <is>
          <t>72</t>
        </is>
      </c>
      <c r="D243" t="inlineStr">
        <is>
          <t>2</t>
        </is>
      </c>
      <c r="E243" t="inlineStr">
        <is>
          <t>18</t>
        </is>
      </c>
      <c r="F243" t="inlineStr">
        <is>
          <t>4</t>
        </is>
      </c>
      <c r="G243" t="inlineStr">
        <is>
          <t>0</t>
        </is>
      </c>
      <c r="H243" t="inlineStr">
        <is>
          <t>2⁴, 4¹, 10⁴, 20¹</t>
        </is>
      </c>
      <c r="I243" t="n">
        <v>10</v>
      </c>
      <c r="J243" t="inlineStr">
        <is>
          <t>2⁶, 8³</t>
        </is>
      </c>
      <c r="K243">
        <f>HYPERLINK("CSG0.html#group10G0", "10G⁰")</f>
        <v/>
      </c>
      <c r="L243">
        <f>HYPERLINK("CSG3.html#group20R3", "20R³"), =HYPERLINK("CSG5.html#group20K5", "20K⁵"), =HYPERLINK("CSG7.html#group20N7", "20N⁷"), =HYPERLINK("CSG11.html#group60T11", "60T¹¹"), =HYPERLINK("CSG15.html#group20I15", "20I¹⁵"), =HYPERLINK("CSG15.html#group60AF15", "60AF¹⁵"), =HYPERLINK("CSG15.html#group100D15", "100D¹⁵")</f>
        <v/>
      </c>
      <c r="M243">
        <f>HYPERLINK("CSG0.html#group5B0", "5B⁰"), =HYPERLINK("CSG0.html#group10C0", "10C⁰"), =HYPERLINK("CSG0.html#group2B0", "2B⁰"), =HYPERLINK("CSG0.html#group10G0", "10G⁰"), =HYPERLINK("CSG0.html#group1A0", "1A⁰"), =HYPERLINK("CSG0.html#group10B0", "10B⁰")</f>
        <v/>
      </c>
      <c r="N243">
        <f>HYPERLINK("CSG15.html#group100D15", "100D¹⁵"), =HYPERLINK("CSG17.html#group40AQ17", "40AQ¹⁷"), =HYPERLINK("CSG15.html#group60AF15", "60AF¹⁵"), =HYPERLINK("CSG5.html#group20K5", "20K⁵"), =HYPERLINK("CSG7.html#group20N7", "20N⁷"), =HYPERLINK("CSG13.html#group40W13", "40W¹³"), =HYPERLINK("CSG3.html#group20R3", "20R³"), =HYPERLINK("CSG17.html#group40AS17", "40AS¹⁷"), =HYPERLINK("CSG11.html#group20E11", "20E¹¹"), =HYPERLINK("CSG15.html#group20I15", "20I¹⁵"), =HYPERLINK("CSG9.html#group20F9", "20F⁹"), =HYPERLINK("CSG23.html#group60S23", "60S²³"), =HYPERLINK("CSG15.html#group40AH15", "40AH¹⁵"), =HYPERLINK("CSG11.html#group60T11", "60T¹¹"), =HYPERLINK("CSG13.html#group20F13", "20F¹³")</f>
        <v/>
      </c>
    </row>
    <row r="244">
      <c r="A244" t="inlineStr">
        <is>
          <t>21A¹</t>
        </is>
      </c>
      <c r="B244" t="inlineStr"/>
      <c r="C244" t="inlineStr">
        <is>
          <t>24</t>
        </is>
      </c>
      <c r="D244" t="inlineStr">
        <is>
          <t>2</t>
        </is>
      </c>
      <c r="E244" t="inlineStr">
        <is>
          <t>8</t>
        </is>
      </c>
      <c r="F244" t="inlineStr">
        <is>
          <t>0</t>
        </is>
      </c>
      <c r="G244" t="inlineStr">
        <is>
          <t>3</t>
        </is>
      </c>
      <c r="H244" t="inlineStr">
        <is>
          <t>3¹, 21¹</t>
        </is>
      </c>
      <c r="I244" t="n">
        <v>2</v>
      </c>
      <c r="J244" t="inlineStr">
        <is>
          <t>2², 12¹</t>
        </is>
      </c>
      <c r="K244">
        <f>HYPERLINK("CSG0.html#group7B0", "7B⁰")</f>
        <v/>
      </c>
      <c r="L244">
        <f>HYPERLINK("CSG2.html#group42C2", "42C²"), =HYPERLINK("CSG4.html#group21A4", "21A⁴"), =HYPERLINK("CSG4.html#group21C4", "21C⁴"), =HYPERLINK("CSG5.html#group42B5", "42B⁵"), =HYPERLINK("CSG7.html#group84A7", "84A⁷"), =HYPERLINK("CSG8.html#group105B8", "105B⁸"), =HYPERLINK("CSG10.html#group21A10", "21A¹⁰"), =HYPERLINK("CSG10.html#group147A10", "147A¹⁰"), =HYPERLINK("CSG11.html#group105C11", "105C¹¹"), =HYPERLINK("CSG18.html#group105A18", "105A¹⁸"), =HYPERLINK("CSG20.html#group231A20", "231A²⁰"), =HYPERLINK("CSG20.html#group231B20", "231B²⁰"), =HYPERLINK("CSG23.html#group231B23", "231B²³")</f>
        <v/>
      </c>
      <c r="M244">
        <f>HYPERLINK("CSG0.html#group1A0", "1A⁰"), =HYPERLINK("CSG0.html#group7B0", "7B⁰")</f>
        <v/>
      </c>
      <c r="N244">
        <f>HYPERLINK("CSG5.html#group42B5", "42B⁵"), =HYPERLINK("CSG16.html#group84K16", "84K¹⁶"), =HYPERLINK("CSG19.html#group42O19", "42O¹⁹"), =HYPERLINK("CSG23.html#group294B23", "294B²³"), =HYPERLINK("CSG7.html#group42M7", "42M⁷"), =HYPERLINK("CSG4.html#group21A4", "21A⁴"), =HYPERLINK("CSG22.html#group84K22", "84K²²"), =HYPERLINK("CSG8.html#group105B8", "105B⁸"), =HYPERLINK("CSG20.html#group84N20", "84N²⁰"), =HYPERLINK("CSG17.html#group42J17", "42J¹⁷"), =HYPERLINK("CSG14.html#group168A14", "168A¹⁴"), =HYPERLINK("CSG16.html#group63F16", "63F¹⁶"), =HYPERLINK("CSG22.html#group84G22", "84G²²"), =HYPERLINK("CSG22.html#group84E22", "84E²²"), =HYPERLINK("CSG11.html#group84C11", "84C¹¹"), =HYPERLINK("CSG23.html#group42B23", "42B²³"), =HYPERLINK("CSG23.html#group210F23", "210F²³"), =HYPERLINK("CSG22.html#group168F22", "168F²²"), =HYPERLINK("CSG16.html#group63A16", "63A¹⁶"), =HYPERLINK("CSG7.html#group21D7", "21D⁷"), =HYPERLINK("CSG20.html#group168G20", "168G²⁰"), =HYPERLINK("CSG19.html#group63M19", "63M¹⁹"), =HYPERLINK("CSG20.html#group231A20", "231A²⁰"), =HYPERLINK("CSG20.html#group231B20", "231B²⁰"), =HYPERLINK("CSG10.html#group84D10", "84D¹⁰"), =HYPERLINK("CSG14.html#group168B14", "168B¹⁴"), =HYPERLINK("CSG18.html#group105A18", "105A¹⁸"), =HYPERLINK("CSG10.html#group42J10", "42J¹⁰"), =HYPERLINK("CSG19.html#group42N19", "42N¹⁹"), =HYPERLINK("CSG23.html#group168F23", "168F²³"), =HYPERLINK("CSG11.html#group105C11", "105C¹¹"), =HYPERLINK("CSG23.html#group210G23", "210G²³"), =HYPERLINK("CSG10.html#group21A10", "21A¹⁰"), =HYPERLINK("CSG21.html#group42J21", "42J²¹"), =HYPERLINK("CSG13.html#group84I13", "84I¹³"), =HYPERLINK("CSG11.html#group42K11", "42K¹¹"), =HYPERLINK("CSG21.html#group168D21", "168D²¹"), =HYPERLINK("CSG7.html#group84A7", "84A⁷"), =HYPERLINK("CSG10.html#group147A10", "147A¹⁰"), =HYPERLINK("CSG21.html#group105E21", "105E²¹"), =HYPERLINK("CSG23.html#group168E23", "168E²³"), =HYPERLINK("CSG22.html#group84L22", "84L²²"), =HYPERLINK("CSG4.html#group84B4", "84B⁴"), =HYPERLINK("CSG7.html#group21B7", "21B⁷"), =HYPERLINK("CSG13.html#group42H13", "42H¹³"), =HYPERLINK("CSG23.html#group231B23", "231B²³"), =HYPERLINK("CSG11.html#group42J11", "42J¹¹"), =HYPERLINK("CSG16.html#group210G16", "210G¹⁶"), =HYPERLINK("CSG22.html#group84B22", "84B²²"), =HYPERLINK("CSG10.html#group42H10", "42H¹⁰"), =HYPERLINK("CSG10.html#group42D10", "42D¹⁰"), =HYPERLINK("CSG21.html#group84G21", "84G²¹"), =HYPERLINK("CSG2.html#group42C2", "42C²"), =HYPERLINK("CSG22.html#group168E22", "168E²²"), =HYPERLINK("CSG20.html#group84M20", "84M²⁰"), =HYPERLINK("CSG19.html#group63N19", "63N¹⁹"), =HYPERLINK("CSG13.html#group21C13", "21C¹³"), =HYPERLINK("CSG4.html#group21C4", "21C⁴")</f>
        <v/>
      </c>
    </row>
    <row r="245">
      <c r="A245" t="inlineStr">
        <is>
          <t>21B¹</t>
        </is>
      </c>
      <c r="B245" t="inlineStr">
        <is>
          <t>Γ₀(21)</t>
        </is>
      </c>
      <c r="C245" t="inlineStr">
        <is>
          <t>32</t>
        </is>
      </c>
      <c r="D245" t="inlineStr">
        <is>
          <t>1</t>
        </is>
      </c>
      <c r="E245" t="inlineStr">
        <is>
          <t>32</t>
        </is>
      </c>
      <c r="F245" t="inlineStr">
        <is>
          <t>0</t>
        </is>
      </c>
      <c r="G245" t="inlineStr">
        <is>
          <t>2</t>
        </is>
      </c>
      <c r="H245" t="inlineStr">
        <is>
          <t>1¹, 3¹, 7¹, 21¹</t>
        </is>
      </c>
      <c r="I245" t="n">
        <v>4</v>
      </c>
      <c r="J245" t="inlineStr">
        <is>
          <t>1⁴, 2², 6², 12¹</t>
        </is>
      </c>
      <c r="K245">
        <f>HYPERLINK("CSG0.html#group3B0", "3B⁰"), =HYPERLINK("CSG0.html#group7B0", "7B⁰")</f>
        <v/>
      </c>
      <c r="L245">
        <f>HYPERLINK("CSG1.html#group21F1", "21F¹"), =HYPERLINK("CSG3.html#group21D3", "21D³"), =HYPERLINK("CSG3.html#group42D3", "42D³"), =HYPERLINK("CSG3.html#group42E3", "42E³"), =HYPERLINK("CSG4.html#group21C4", "21C⁴"), =HYPERLINK("CSG4.html#group63A4", "63A⁴"), =HYPERLINK("CSG5.html#group21C5", "21C⁵"), =HYPERLINK("CSG5.html#group42G5", "42G⁵"), =HYPERLINK("CSG5.html#group63A5", "63A⁵"), =HYPERLINK("CSG5.html#group63B5", "63B⁵"), =HYPERLINK("CSG6.html#group63D6", "63D⁶"), =HYPERLINK("CSG7.html#group63B7", "63B⁷"), =HYPERLINK("CSG7.html#group63C7", "63C⁷"), =HYPERLINK("CSG9.html#group84D9", "84D⁹"), =HYPERLINK("CSG11.html#group21C11", "21C¹¹"), =HYPERLINK("CSG11.html#group105D11", "105D¹¹"), =HYPERLINK("CSG11.html#group147B11", "147B¹¹"), =HYPERLINK("CSG13.html#group105B13", "105B¹³"), =HYPERLINK("CSG23.html#group105A23", "105A²³")</f>
        <v/>
      </c>
      <c r="M245">
        <f>HYPERLINK("CSG0.html#group3B0", "3B⁰"), =HYPERLINK("CSG0.html#group1A0", "1A⁰"), =HYPERLINK("CSG0.html#group7B0", "7B⁰")</f>
        <v/>
      </c>
      <c r="N245">
        <f>HYPERLINK("CSG15.html#group126D15", "126D¹⁵"), =HYPERLINK("CSG23.html#group252B23", "252B²³"), =HYPERLINK("CSG13.html#group63E13", "63E¹³"), =HYPERLINK("CSG17.html#group126J17", "126J¹⁷"), =HYPERLINK("CSG13.html#group42L13", "42L¹³"), =HYPERLINK("CSG21.html#group21C21", "21C²¹"), =HYPERLINK("CSG9.html#group63E9", "63E⁹"), =HYPERLINK("CSG17.html#group63E17", "63E¹⁷"), =HYPERLINK("CSG13.html#group126I13", "126I¹³"), =HYPERLINK("CSG13.html#group63D13", "63D¹³"), =HYPERLINK("CSG13.html#group126G13", "126G¹³"), =HYPERLINK("CSG5.html#group63B5", "63B⁵"), =HYPERLINK("CSG7.html#group63B7", "63B⁷"), =HYPERLINK("CSG14.html#group126D14", "126D¹⁴"), =HYPERLINK("CSG21.html#group126P21", "126P²¹"), =HYPERLINK("CSG11.html#group147B11", "147B¹¹"), =HYPERLINK("CSG23.html#group210J23", "210J²³"), =HYPERLINK("CSG21.html#group105F21", "105F²¹"), =HYPERLINK("CSG9.html#group42D9", "42D⁹"), =HYPERLINK("CSG23.html#group210I23", "210I²³"), =HYPERLINK("CSG13.html#group126F13", "126F¹³"), =HYPERLINK("CSG19.html#group168A19", "168A¹⁹"), =HYPERLINK("CSG3.html#group21D3", "21D³"), =HYPERLINK("CSG17.html#group63H17", "63H¹⁷"), =HYPERLINK("CSG7.html#group21D7", "21D⁷"), =HYPERLINK("CSG3.html#group42E3", "42E³"), =HYPERLINK("CSG23.html#group126M23", "126M²³"), =HYPERLINK("CSG13.html#group84G13", "84G¹³"), =HYPERLINK("CSG19.html#group63M19", "63M¹⁹"), =HYPERLINK("CSG13.html#group84F13", "84F¹³"), =HYPERLINK("CSG21.html#group126K21", "126K²¹"), =HYPERLINK("CSG13.html#group42F13", "42F¹³"), =HYPERLINK("CSG15.html#group126E15", "126E¹⁵"), =HYPERLINK("CSG19.html#group63I19", "63I¹⁹"), =HYPERLINK("CSG15.html#group126A15", "126A¹⁵"), =HYPERLINK("CSG21.html#group126J21", "126J²¹"), =HYPERLINK("CSG11.html#group63F11", "63F¹¹"), =HYPERLINK("CSG23.html#group84J23", "84J²³"), =HYPERLINK("CSG13.html#group42G13", "42G¹³"), =HYPERLINK("CSG21.html#group126T21", "126T²¹"), =HYPERLINK("CSG15.html#group126B15", "126B¹⁵"), =HYPERLINK("CSG21.html#group42J21", "42J²¹"), =HYPERLINK("CSG21.html#group189E21", "189E²¹"), =HYPERLINK("CSG13.html#group126H13", "126H¹³"), =HYPERLINK("CSG21.html#group189B21", "189B²¹"), =HYPERLINK("CSG11.html#group84H11", "84H¹¹"), =HYPERLINK("CSG23.html#group84L23", "84L²³"), =HYPERLINK("CSG13.html#group126E13", "126E¹³"), =HYPERLINK("CSG11.html#group84I11", "84I¹¹"), =HYPERLINK("CSG17.html#group63G17", "63G¹⁷"), =HYPERLINK("CSG20.html#group189C20", "189C²⁰"), =HYPERLINK("CSG11.html#group126E11", "126E¹¹"), =HYPERLINK("CSG23.html#group168Q23", "168Q²³"), =HYPERLINK("CSG11.html#group126D11", "126D¹¹"), =HYPERLINK("CSG17.html#group126K17", "126K¹⁷"), =HYPERLINK("CSG9.html#group21D9", "21D⁹"), =HYPERLINK("CSG21.html#group42G21", "42G²¹"), =HYPERLINK("CSG12.html#group42H12", "42H¹²"), =HYPERLINK("CSG9.html#group42E9", "42E⁹"), =HYPERLINK("CSG21.html#group189D21", "189D²¹"), =HYPERLINK("CSG12.html#group126I12", "126I¹²"), =HYPERLINK("CSG19.html#group63G19", "63G¹⁹"), =HYPERLINK("CSG4.html#group63A4", "63A⁴"), =HYPERLINK("CSG9.html#group63F9", "63F⁹"), =HYPERLINK("CSG9.html#group84D9", "84D⁹"), =HYPERLINK("CSG17.html#group42L17", "42L¹⁷"), =HYPERLINK("CSG11.html#group42H11", "42H¹¹"), =HYPERLINK("CSG19.html#group63O19", "63O¹⁹"), =HYPERLINK("CSG21.html#group126U21", "126U²¹"), =HYPERLINK("CSG17.html#group63I17", "63I¹⁷"), =HYPERLINK("CSG13.html#group63C13", "63C¹³"), =HYPERLINK("CSG21.html#group42I21", "42I²¹"), =HYPERLINK("CSG3.html#group42D3", "42D³"), =HYPERLINK("CSG13.html#group84K13", "84K¹³"), =HYPERLINK("CSG11.html#group42F11", "42F¹¹"), =HYPERLINK("CSG17.html#group42I17", "42I¹⁷"), =HYPERLINK("CSG17.html#group42J17", "42J¹⁷"), =HYPERLINK("CSG7.html#group84D7", "84D⁷"), =HYPERLINK("CSG16.html#group63F16", "63F¹⁶"), =HYPERLINK("CSG21.html#group126S21", "126S²¹"), =HYPERLINK("CSG11.html#group42I11", "42I¹¹"), =HYPERLINK("CSG19.html#group63J19", "63J¹⁹"), =HYPERLINK("CSG23.html#group84H23", "84H²³"), =HYPERLINK("CSG17.html#group63J17", "63J¹⁷"), =HYPERLINK("CSG23.html#group189A23", "189A²³"), =HYPERLINK("CSG15.html#group126C15", "126C¹⁵"), =HYPERLINK("CSG17.html#group189A17", "189A¹⁷"), =HYPERLINK("CSG19.html#group63K19", "63K¹⁹"), =HYPERLINK("CSG23.html#group105A23", "105A²³"), =HYPERLINK("CSG17.html#group63K17", "63K¹⁷"), =HYPERLINK("CSG22.html#group189A22", "189A²²"), =HYPERLINK("CSG21.html#group126O21", "126O²¹"), =HYPERLINK("CSG13.html#group105B13", "105B¹³"), =HYPERLINK("CSG17.html#group84P17", "84P¹⁷"), =HYPERLINK("CSG6.html#group63D6", "63D⁶"), =HYPERLINK("CSG11.html#group105D11", "105D¹¹"), =HYPERLINK("CSG11.html#group42G11", "42G¹¹"), =HYPERLINK("CSG21.html#group42H21", "42H²¹"), =HYPERLINK("CSG5.html#group42I5", "42I⁵"), =HYPERLINK("CSG7.html#group63C7", "63C⁷"), =HYPERLINK("CSG11.html#group126F11", "126F¹¹"), =HYPERLINK("CSG21.html#group84Q21", "84Q²¹"), =HYPERLINK("CSG7.html#group63F7", "63F⁷"), =HYPERLINK("CSG19.html#group63L19", "63L¹⁹"), =HYPERLINK("CSG23.html#group84G23", "84G²³"), =HYPERLINK("CSG11.html#group42E11", "42E¹¹"), =HYPERLINK("CSG21.html#group189C21", "189C²¹"), =HYPERLINK("CSG11.html#group42K11", "42K¹¹"), =HYPERLINK("CSG21.html#group63B21", "63B²¹"), =HYPERLINK("CSG17.html#group84O17", "84O¹⁷"), =HYPERLINK("CSG13.html#group126D13", "126D¹³"), =HYPERLINK("CSG5.html#group42G5", "42G⁵"), =HYPERLINK("CSG7.html#group84E7", "84E⁷"), =HYPERLINK("CSG23.html#group252A23", "252A²³"), =HYPERLINK("CSG1.html#group21F1", "21F¹"), =HYPERLINK("CSG19.html#group63H19", "63H¹⁹"), =HYPERLINK("CSG5.html#group63A5", "63A⁵"), =HYPERLINK("CSG11.html#group42J11", "42J¹¹"), =HYPERLINK("CSG17.html#group189B17", "189B¹⁷"), =HYPERLINK("CSG19.html#group189D19", "189D¹⁹"), =HYPERLINK("CSG23.html#group84I23", "84I²³"), =HYPERLINK("CSG21.html#group147B21", "147B²¹"), =HYPERLINK("CSG23.html#group168R23", "168R²³"), =HYPERLINK("CSG5.html#group21C5", "21C⁵"), =HYPERLINK("CSG19.html#group189E19", "189E¹⁹"), =HYPERLINK("CSG17.html#group63F17", "63F¹⁷"), =HYPERLINK("CSG23.html#group42M23", "42M²³"), =HYPERLINK("CSG17.html#group63D17", "63D¹⁷"), =HYPERLINK("CSG11.html#group126B11", "126B¹¹"), =HYPERLINK("CSG5.html#group21E5", "21E⁵"), =HYPERLINK("CSG19.html#group168B19", "168B¹⁹"), =HYPERLINK("CSG21.html#group63A21", "63A²¹"), =HYPERLINK("CSG19.html#group63N19", "63N¹⁹"), =HYPERLINK("CSG23.html#group84K23", "84K²³"), =HYPERLINK("CSG17.html#group84Q17", "84Q¹⁷"), =HYPERLINK("CSG13.html#group21C13", "21C¹³"), =HYPERLINK("CSG11.html#group126C11", "126C¹¹"), =HYPERLINK("CSG11.html#group21C11", "21C¹¹"), =HYPERLINK("CSG19.html#group189C19", "189C¹⁹"), =HYPERLINK("CSG4.html#group21C4", "21C⁴")</f>
        <v/>
      </c>
    </row>
    <row r="246">
      <c r="A246" t="inlineStr">
        <is>
          <t>21C¹</t>
        </is>
      </c>
      <c r="B246" t="inlineStr"/>
      <c r="C246" t="inlineStr">
        <is>
          <t>42</t>
        </is>
      </c>
      <c r="D246" t="inlineStr">
        <is>
          <t>2</t>
        </is>
      </c>
      <c r="E246" t="inlineStr">
        <is>
          <t>14</t>
        </is>
      </c>
      <c r="F246" t="inlineStr">
        <is>
          <t>6</t>
        </is>
      </c>
      <c r="G246" t="inlineStr">
        <is>
          <t>3</t>
        </is>
      </c>
      <c r="H246" t="inlineStr">
        <is>
          <t>21²</t>
        </is>
      </c>
      <c r="I246" t="n">
        <v>2</v>
      </c>
      <c r="J246" t="inlineStr">
        <is>
          <t>4¹, 12²</t>
        </is>
      </c>
      <c r="K246">
        <f>HYPERLINK("CSG0.html#group7C0", "7C⁰")</f>
        <v/>
      </c>
      <c r="L246">
        <f>HYPERLINK("CSG4.html#group21E4", "21E⁴"), =HYPERLINK("CSG5.html#group42C5", "42C⁵"), =HYPERLINK("CSG8.html#group21A8", "21A⁸"), =HYPERLINK("CSG8.html#group42B8", "42B⁸"), =HYPERLINK("CSG10.html#group21A10", "21A¹⁰"), =HYPERLINK("CSG10.html#group21B10", "21B¹⁰"), =HYPERLINK("CSG10.html#group84E10", "84E¹⁰"), =HYPERLINK("CSG14.html#group105C14", "105C¹⁴"), =HYPERLINK("CSG17.html#group105B17", "105B¹⁷")</f>
        <v/>
      </c>
      <c r="M246">
        <f>HYPERLINK("CSG0.html#group1A0", "1A⁰"), =HYPERLINK("CSG0.html#group7C0", "7C⁰"), =HYPERLINK("CSG0.html#group7A0", "7A⁰")</f>
        <v/>
      </c>
      <c r="N246">
        <f>HYPERLINK("CSG13.html#group21A13", "21A¹³"), =HYPERLINK("CSG8.html#group21A8", "21A⁸"), =HYPERLINK("CSG21.html#group42F21", "42F²¹"), =HYPERLINK("CSG22.html#group42C22", "42C²²"), =HYPERLINK("CSG17.html#group84E17", "84E¹⁷"), =HYPERLINK("CSG8.html#group42B8", "42B⁸"), =HYPERLINK("CSG23.html#group168G23", "168G²³"), =HYPERLINK("CSG10.html#group21A10", "21A¹⁰"), =HYPERLINK("CSG23.html#group42J23", "42J²³"), =HYPERLINK("CSG11.html#group21D11", "21D¹¹"), =HYPERLINK("CSG19.html#group84B19", "84B¹⁹"), =HYPERLINK("CSG15.html#group42F15", "42F¹⁵"), =HYPERLINK("CSG10.html#group21B10", "21B¹⁰"), =HYPERLINK("CSG5.html#group42C5", "42C⁵"), =HYPERLINK("CSG10.html#group84E10", "84E¹⁰"), =HYPERLINK("CSG13.html#group21B13", "21B¹³"), =HYPERLINK("CSG13.html#group42J13", "42J¹³"), =HYPERLINK("CSG16.html#group42B16", "42B¹⁶"), =HYPERLINK("CSG14.html#group105C14", "105C¹⁴"), =HYPERLINK("CSG19.html#group42I19", "42I¹⁹"), =HYPERLINK("CSG23.html#group42B23", "42B²³"), =HYPERLINK("CSG22.html#group63B22", "63B²²"), =HYPERLINK("CSG13.html#group42I13", "42I¹³"), =HYPERLINK("CSG23.html#group168H23", "168H²³"), =HYPERLINK("CSG19.html#group42F19", "42F¹⁹"), =HYPERLINK("CSG17.html#group105B17", "105B¹⁷"), =HYPERLINK("CSG17.html#group21C17", "21C¹⁷"), =HYPERLINK("CSG4.html#group21E4", "21E⁴"), =HYPERLINK("CSG23.html#group42G23", "42G²³")</f>
        <v/>
      </c>
    </row>
    <row r="247">
      <c r="A247" t="inlineStr">
        <is>
          <t>21D¹</t>
        </is>
      </c>
      <c r="B247" t="inlineStr"/>
      <c r="C247" t="inlineStr">
        <is>
          <t>42</t>
        </is>
      </c>
      <c r="D247" t="inlineStr">
        <is>
          <t>2</t>
        </is>
      </c>
      <c r="E247" t="inlineStr">
        <is>
          <t>21</t>
        </is>
      </c>
      <c r="F247" t="inlineStr">
        <is>
          <t>10</t>
        </is>
      </c>
      <c r="G247" t="inlineStr">
        <is>
          <t>0</t>
        </is>
      </c>
      <c r="H247" t="inlineStr">
        <is>
          <t>21²</t>
        </is>
      </c>
      <c r="I247" t="n">
        <v>2</v>
      </c>
      <c r="J247" t="inlineStr">
        <is>
          <t>2¹, 4¹, 6², 12²</t>
        </is>
      </c>
      <c r="K247">
        <f>HYPERLINK("CSG0.html#group21A0", "21A⁰")</f>
        <v/>
      </c>
      <c r="L247">
        <f>HYPERLINK("CSG3.html#group42F3", "42F³"), =HYPERLINK("CSG4.html#group21B4", "21B⁴"), =HYPERLINK("CSG4.html#group42G4", "42G⁴"), =HYPERLINK("CSG4.html#group42H4", "42H⁴"), =HYPERLINK("CSG5.html#group21B5", "21B⁵"), =HYPERLINK("CSG5.html#group21D5", "21D⁵"), =HYPERLINK("CSG6.html#group63F6", "63F⁶"), =HYPERLINK("CSG6.html#group63G6", "63G⁶"), =HYPERLINK("CSG7.html#group21C7", "21C⁷"), =HYPERLINK("CSG7.html#group42B7", "42B⁷"), =HYPERLINK("CSG7.html#group42K7", "42K⁷"), =HYPERLINK("CSG7.html#group63D7", "63D⁷"), =HYPERLINK("CSG7.html#group63E7", "63E⁷"), =HYPERLINK("CSG9.html#group84E9", "84E⁹"), =HYPERLINK("CSG15.html#group105C15", "105C¹⁵"), =HYPERLINK("CSG15.html#group105D15", "105D¹⁵")</f>
        <v/>
      </c>
      <c r="M247">
        <f>HYPERLINK("CSG0.html#group3A0", "3A⁰"), =HYPERLINK("CSG0.html#group21A0", "21A⁰"), =HYPERLINK("CSG0.html#group1A0", "1A⁰"), =HYPERLINK("CSG0.html#group7A0", "7A⁰")</f>
        <v/>
      </c>
      <c r="N247">
        <f>HYPERLINK("CSG16.html#group126D16", "126D¹⁶"), =HYPERLINK("CSG17.html#group21B17", "21B¹⁷"), =HYPERLINK("CSG19.html#group84C19", "84C¹⁹"), =HYPERLINK("CSG16.html#group126C16", "126C¹⁶"), =HYPERLINK("CSG14.html#group42E14", "42E¹⁴"), =HYPERLINK("CSG17.html#group126G17", "126G¹⁷"), =HYPERLINK("CSG7.html#group21C7", "21C⁷"), =HYPERLINK("CSG14.html#group42F14", "42F¹⁴"), =HYPERLINK("CSG15.html#group42H15", "42H¹⁵"), =HYPERLINK("CSG13.html#group21B13", "21B¹³"), =HYPERLINK("CSG7.html#group63E7", "63E⁷"), =HYPERLINK("CSG16.html#group84D16", "84D¹⁶"), =HYPERLINK("CSG24.html#group63I24", "63I²⁴"), =HYPERLINK("CSG16.html#group42H16", "42H¹⁶"), =HYPERLINK("CSG23.html#group168M23", "168M²³"), =HYPERLINK("CSG16.html#group63D16", "63D¹⁶"), =HYPERLINK("CSG18.html#group84G18", "84G¹⁸"), =HYPERLINK("CSG16.html#group42I16", "42I¹⁶"), =HYPERLINK("CSG24.html#group63E24", "63E²⁴"), =HYPERLINK("CSG24.html#group63D24", "63D²⁴"), =HYPERLINK("CSG3.html#group42F3", "42F³"), =HYPERLINK("CSG7.html#group63D7", "63D⁷"), =HYPERLINK("CSG18.html#group63G18", "63G¹⁸"), =HYPERLINK("CSG13.html#group42D13", "42D¹³"), =HYPERLINK("CSG6.html#group63F6", "63F⁶"), =HYPERLINK("CSG21.html#group126F21", "126F²¹"), =HYPERLINK("CSG5.html#group21B5", "21B⁵"), =HYPERLINK("CSG11.html#group21D11", "21D¹¹"), =HYPERLINK("CSG7.html#group42K7", "42K⁷"), =HYPERLINK("CSG16.html#group126B16", "126B¹⁶"), =HYPERLINK("CSG17.html#group42C17", "42C¹⁷"), =HYPERLINK("CSG5.html#group21D5", "21D⁵"), =HYPERLINK("CSG11.html#group42B11", "42B¹¹"), =HYPERLINK("CSG17.html#group126I17", "126I¹⁷"), =HYPERLINK("CSG21.html#group42E21", "42E²¹"), =HYPERLINK("CSG16.html#group84E16", "84E¹⁶"), =HYPERLINK("CSG4.html#group42G4", "42G⁴"), =HYPERLINK("CSG24.html#group63G24", "63G²⁴"), =HYPERLINK("CSG19.html#group63E19", "63E¹⁹"), =HYPERLINK("CSG16.html#group42F16", "42F¹⁶"), =HYPERLINK("CSG18.html#group126H18", "126H¹⁸"), =HYPERLINK("CSG24.html#group63F24", "63F²⁴"), =HYPERLINK("CSG21.html#group126I21", "126I²¹"), =HYPERLINK("CSG23.html#group42L23", "42L²³"), =HYPERLINK("CSG17.html#group42K17", "42K¹⁷"), =HYPERLINK("CSG23.html#group63A23", "63A²³"), =HYPERLINK("CSG21.html#group126E21", "126E²¹"), =HYPERLINK("CSG23.html#group63B23", "63B²³"), =HYPERLINK("CSG23.html#group168O23", "168O²³"), =HYPERLINK("CSG18.html#group63B18", "63B¹⁸"), =HYPERLINK("CSG13.html#group126J13", "126J¹³"), =HYPERLINK("CSG16.html#group42G16", "42G¹⁶"), =HYPERLINK("CSG14.html#group126E14", "126E¹⁴"), =HYPERLINK("CSG18.html#group126C18", "126C¹⁸"), =HYPERLINK("CSG21.html#group21B21", "21B²¹"), =HYPERLINK("CSG4.html#group42H4", "42H⁴"), =HYPERLINK("CSG17.html#group42D17", "42D¹⁷"), =HYPERLINK("CSG19.html#group42M19", "42M¹⁹"), =HYPERLINK("CSG15.html#group42G15", "42G¹⁵"), =HYPERLINK("CSG21.html#group126D21", "126D²¹"), =HYPERLINK("CSG18.html#group126B18", "126B¹⁸"), =HYPERLINK("CSG19.html#group84E19", "84E¹⁹"), =HYPERLINK("CSG6.html#group63G6", "63G⁶"), =HYPERLINK("CSG17.html#group126F17", "126F¹⁷"), =HYPERLINK("CSG7.html#group42B7", "42B⁷"), =HYPERLINK("CSG17.html#group63A17", "63A¹⁷"), =HYPERLINK("CSG17.html#group63B17", "63B¹⁷"), =HYPERLINK("CSG14.html#group63B14", "63B¹⁴"), =HYPERLINK("CSG21.html#group84P21", "84P²¹"), =HYPERLINK("CSG23.html#group168I23", "168I²³"), =HYPERLINK("CSG17.html#group63C17", "63C¹⁷"), =HYPERLINK("CSG16.html#group42C16", "42C¹⁶"), =HYPERLINK("CSG21.html#group84O21", "84O²¹"), =HYPERLINK("CSG24.html#group63H24", "63H²⁴"), =HYPERLINK("CSG9.html#group84E9", "84E⁹"), =HYPERLINK("CSG15.html#group21A15", "21A¹⁵"), =HYPERLINK("CSG19.html#group42K19", "42K¹⁹"), =HYPERLINK("CSG4.html#group21B4", "21B⁴"), =HYPERLINK("CSG15.html#group105C15", "105C¹⁵"), =HYPERLINK("CSG18.html#group84H18", "84H¹⁸"), =HYPERLINK("CSG18.html#group63F18", "63F¹⁸"), =HYPERLINK("CSG11.html#group21B11", "21B¹¹"), =HYPERLINK("CSG15.html#group105D15", "105D¹⁵"), =HYPERLINK("CSG16.html#group126A16", "126A¹⁶"), =HYPERLINK("CSG17.html#group126B17", "126B¹⁷"), =HYPERLINK("CSG16.html#group63E16", "63E¹⁶"), =HYPERLINK("CSG15.html#group84H15", "84H¹⁵"), =HYPERLINK("CSG18.html#group63C18", "63C¹⁸"), =HYPERLINK("CSG23.html#group84C23", "84C²³"), =HYPERLINK("CSG23.html#group168P23", "168P²³"), =HYPERLINK("CSG13.html#group42E13", "42E¹³"), =HYPERLINK("CSG23.html#group168J23", "168J²³"), =HYPERLINK("CSG15.html#group84I15", "84I¹⁵"), =HYPERLINK("CSG23.html#group168L23", "168L²³"), =HYPERLINK("CSG14.html#group21A14", "21A¹⁴"), =HYPERLINK("CSG12.html#group21C12", "21C¹²"), =HYPERLINK("CSG13.html#group42K13", "42K¹³"), =HYPERLINK("CSG12.html#group21B12", "21B¹²"), =HYPERLINK("CSG14.html#group126F14", "126F¹⁴"), =HYPERLINK("CSG18.html#group126I18", "126I¹⁸"), =HYPERLINK("CSG23.html#group84A23", "84A²³"), =HYPERLINK("CSG9.html#group42C9", "42C⁹"), =HYPERLINK("CSG13.html#group126K13", "126K¹³"), =HYPERLINK("CSG15.html#group42I15", "42I¹⁵"), =HYPERLINK("CSG19.html#group63D19", "63D¹⁹"), =HYPERLINK("CSG19.html#group84L19", "84L¹⁹"), =HYPERLINK("CSG23.html#group168N23", "168N²³"), =HYPERLINK("CSG23.html#group168K23", "168K²³")</f>
        <v/>
      </c>
    </row>
    <row r="248">
      <c r="A248" t="inlineStr">
        <is>
          <t>21E¹</t>
        </is>
      </c>
      <c r="B248" t="inlineStr"/>
      <c r="C248" t="inlineStr">
        <is>
          <t>63</t>
        </is>
      </c>
      <c r="D248" t="inlineStr">
        <is>
          <t>1</t>
        </is>
      </c>
      <c r="E248" t="inlineStr">
        <is>
          <t>21</t>
        </is>
      </c>
      <c r="F248" t="inlineStr">
        <is>
          <t>15</t>
        </is>
      </c>
      <c r="G248" t="inlineStr">
        <is>
          <t>0</t>
        </is>
      </c>
      <c r="H248" t="inlineStr">
        <is>
          <t>21³</t>
        </is>
      </c>
      <c r="I248" t="n">
        <v>3</v>
      </c>
      <c r="J248" t="inlineStr">
        <is>
          <t>3¹, 6³</t>
        </is>
      </c>
      <c r="K248">
        <f>HYPERLINK("CSG0.html#group7D0", "7D⁰"), =HYPERLINK("CSG0.html#group21A0", "21A⁰")</f>
        <v/>
      </c>
      <c r="L248">
        <f>HYPERLINK("CSG4.html#group21D4", "21D⁴"), =HYPERLINK("CSG4.html#group21E4", "21E⁴"), =HYPERLINK("CSG4.html#group42I4", "42I⁴"), =HYPERLINK("CSG5.html#group21D5", "21D⁵"), =HYPERLINK("CSG5.html#group42H5", "42H⁵"), =HYPERLINK("CSG6.html#group21C6", "21C⁶"), =HYPERLINK("CSG6.html#group42D6", "42D⁶"), =HYPERLINK("CSG7.html#group21A7", "21A⁷"), =HYPERLINK("CSG7.html#group42G7", "42G⁷"), =HYPERLINK("CSG7.html#group42H7", "42H⁷"), =HYPERLINK("CSG9.html#group63D9", "63D⁹"), =HYPERLINK("CSG10.html#group42A10", "42A¹⁰"), =HYPERLINK("CSG10.html#group42K10", "42K¹⁰"), =HYPERLINK("CSG13.html#group84J13", "84J¹³"), =HYPERLINK("CSG22.html#group105B22", "105B²²"), =HYPERLINK("CSG22.html#group105D22", "105D²²")</f>
        <v/>
      </c>
      <c r="M248">
        <f>HYPERLINK("CSG0.html#group21A0", "21A⁰"), =HYPERLINK("CSG0.html#group3A0", "3A⁰"), =HYPERLINK("CSG0.html#group7D0", "7D⁰"), =HYPERLINK("CSG0.html#group1A0", "1A⁰"), =HYPERLINK("CSG0.html#group7A0", "7A⁰")</f>
        <v/>
      </c>
      <c r="N248">
        <f>HYPERLINK("CSG22.html#group84M22", "84M²²"), =HYPERLINK("CSG24.html#group126D24", "126D²⁴"), =HYPERLINK("CSG15.html#group21B15", "21B¹⁵"), =HYPERLINK("CSG10.html#group42K10", "42K¹⁰"), =HYPERLINK("CSG24.html#group42D24", "42D²⁴"), =HYPERLINK("CSG14.html#group42E14", "42E¹⁴"), =HYPERLINK("CSG12.html#group21A12", "21A¹²"), =HYPERLINK("CSG14.html#group42F14", "42F¹⁴"), =HYPERLINK("CSG13.html#group21B13", "21B¹³"), =HYPERLINK("CSG10.html#group42A10", "42A¹⁰"), =HYPERLINK("CSG19.html#group42E19", "42E¹⁹"), =HYPERLINK("CSG5.html#group42H5", "42H⁵"), =HYPERLINK("CSG11.html#group42L11", "42L¹¹"), =HYPERLINK("CSG19.html#group42F19", "42F¹⁹"), =HYPERLINK("CSG24.html#group63B24", "63B²⁴"), =HYPERLINK("CSG22.html#group42B22", "42B²²"), =HYPERLINK("CSG13.html#group84J13", "84J¹³"), =HYPERLINK("CSG24.html#group126E24", "126E²⁴"), =HYPERLINK("CSG22.html#group105B22", "105B²²"), =HYPERLINK("CSG11.html#group21D11", "21D¹¹"), =HYPERLINK("CSG15.html#group42C15", "42C¹⁵"), =HYPERLINK("CSG6.html#group42D6", "42D⁶"), =HYPERLINK("CSG17.html#group42A17", "42A¹⁷"), =HYPERLINK("CSG24.html#group63C24", "63C²⁴"), =HYPERLINK("CSG17.html#group42E17", "42E¹⁷"), =HYPERLINK("CSG14.html#group42D14", "42D¹⁴"), =HYPERLINK("CSG5.html#group21D5", "21D⁵"), =HYPERLINK("CSG22.html#group42A22", "42A²²"), =HYPERLINK("CSG6.html#group21C6", "21C⁶"), =HYPERLINK("CSG14.html#group42A14", "42A¹⁴"), =HYPERLINK("CSG15.html#group42E15", "42E¹⁵"), =HYPERLINK("CSG23.html#group84F23", "84F²³"), =HYPERLINK("CSG24.html#group63G24", "63G²⁴"), =HYPERLINK("CSG16.html#group21A16", "21A¹⁶"), =HYPERLINK("CSG16.html#group42F16", "42F¹⁶"), =HYPERLINK("CSG24.html#group63F24", "63F²⁴"), =HYPERLINK("CSG7.html#group21A7", "21A⁷"), =HYPERLINK("CSG18.html#group42A18", "42A¹⁸"), =HYPERLINK("CSG23.html#group42L23", "42L²³"), =HYPERLINK("CSG4.html#group21E4", "21E⁴"), =HYPERLINK("CSG23.html#group63B23", "63B²³"), =HYPERLINK("CSG4.html#group21D4", "21D⁴"), =HYPERLINK("CSG4.html#group42I4", "42I⁴"), =HYPERLINK("CSG16.html#group42G16", "42G¹⁶"), =HYPERLINK("CSG7.html#group42H7", "42H⁷"), =HYPERLINK("CSG17.html#group42D17", "42D¹⁷"), =HYPERLINK("CSG19.html#group42M19", "42M¹⁹"), =HYPERLINK("CSG15.html#group42G15", "42G¹⁵"), =HYPERLINK("CSG7.html#group42G7", "42G⁷"), =HYPERLINK("CSG24.html#group42C24", "42C²⁴"), =HYPERLINK("CSG21.html#group63D21", "63D²¹"), =HYPERLINK("CSG13.html#group42J13", "42J¹³"), =HYPERLINK("CSG23.html#group42K23", "42K²³"), =HYPERLINK("CSG22.html#group63B22", "63B²²"), =HYPERLINK("CSG19.html#group42B19", "42B¹⁹"), =HYPERLINK("CSG24.html#group84E24", "84E²⁴"), =HYPERLINK("CSG13.html#group42I13", "42I¹³"), =HYPERLINK("CSG22.html#group105D22", "105D²²"), =HYPERLINK("CSG19.html#group42A19", "42A¹⁹"), =HYPERLINK("CSG22.html#group63A22", "63A²²"), =HYPERLINK("CSG15.html#group21A15", "21A¹⁵"), =HYPERLINK("CSG14.html#group42B14", "42B¹⁴"), =HYPERLINK("CSG13.html#group21A13", "21A¹³"), =HYPERLINK("CSG22.html#group42C22", "42C²²"), =HYPERLINK("CSG19.html#group42D19", "42D¹⁹"), =HYPERLINK("CSG15.html#group42F15", "42F¹⁵"), =HYPERLINK("CSG14.html#group42C14", "42C¹⁴"), =HYPERLINK("CSG16.html#group42D16", "42D¹⁶"), =HYPERLINK("CSG24.html#group126B24", "126B²⁴"), =HYPERLINK("CSG14.html#group21A14", "21A¹⁴"), =HYPERLINK("CSG9.html#group63D9", "63D⁹"), =HYPERLINK("CSG12.html#group21C12", "21C¹²"), =HYPERLINK("CSG13.html#group42K13", "42K¹³"), =HYPERLINK("CSG12.html#group21B12", "21B¹²"), =HYPERLINK("CSG21.html#group126Q21", "126Q²¹"), =HYPERLINK("CSG21.html#group126R21", "126R²¹"), =HYPERLINK("CSG17.html#group42B17", "42B¹⁷"), =HYPERLINK("CSG22.html#group84N22", "84N²²")</f>
        <v/>
      </c>
    </row>
    <row r="249">
      <c r="A249" t="inlineStr">
        <is>
          <t>21F¹</t>
        </is>
      </c>
      <c r="B249" t="inlineStr"/>
      <c r="C249" t="inlineStr">
        <is>
          <t>64</t>
        </is>
      </c>
      <c r="D249" t="inlineStr">
        <is>
          <t>1</t>
        </is>
      </c>
      <c r="E249" t="inlineStr">
        <is>
          <t>32</t>
        </is>
      </c>
      <c r="F249" t="inlineStr">
        <is>
          <t>0</t>
        </is>
      </c>
      <c r="G249" t="inlineStr">
        <is>
          <t>4</t>
        </is>
      </c>
      <c r="H249" t="inlineStr">
        <is>
          <t>1², 3², 7², 21²</t>
        </is>
      </c>
      <c r="I249" t="n">
        <v>8</v>
      </c>
      <c r="J249" t="inlineStr">
        <is>
          <t>1⁴, 2², 6², 12¹</t>
        </is>
      </c>
      <c r="K249">
        <f>HYPERLINK("CSG1.html#group21B1", "21B¹")</f>
        <v/>
      </c>
      <c r="L249">
        <f>HYPERLINK("CSG5.html#group21E5", "21E⁵"), =HYPERLINK("CSG5.html#group42I5", "42I⁵"), =HYPERLINK("CSG7.html#group21D7", "21D⁷"), =HYPERLINK("CSG7.html#group63F7", "63F⁷"), =HYPERLINK("CSG9.html#group21D9", "21D⁹"), =HYPERLINK("CSG9.html#group42E9", "42E⁹"), =HYPERLINK("CSG9.html#group63E9", "63E⁹"), =HYPERLINK("CSG9.html#group63F9", "63F⁹"), =HYPERLINK("CSG11.html#group63F11", "63F¹¹"), =HYPERLINK("CSG13.html#group63C13", "63C¹³"), =HYPERLINK("CSG13.html#group63D13", "63D¹³"), =HYPERLINK("CSG17.html#group84O17", "84O¹⁷"), =HYPERLINK("CSG21.html#group21C21", "21C²¹"), =HYPERLINK("CSG21.html#group105F21", "105F²¹"), =HYPERLINK("CSG21.html#group147B21", "147B²¹")</f>
        <v/>
      </c>
      <c r="M249">
        <f>HYPERLINK("CSG0.html#group3B0", "3B⁰"), =HYPERLINK("CSG0.html#group1A0", "1A⁰"), =HYPERLINK("CSG0.html#group7B0", "7B⁰"), =HYPERLINK("CSG1.html#group21B1", "21B¹")</f>
        <v/>
      </c>
      <c r="N249">
        <f>HYPERLINK("CSG21.html#group42H21", "42H²¹"), =HYPERLINK("CSG5.html#group42I5", "42I⁵"), =HYPERLINK("CSG21.html#group21C21", "21C²¹"), =HYPERLINK("CSG9.html#group63F9", "63F⁹"), =HYPERLINK("CSG21.html#group84Q21", "84Q²¹"), =HYPERLINK("CSG11.html#group63F11", "63F¹¹"), =HYPERLINK("CSG17.html#group42L17", "42L¹⁷"), =HYPERLINK("CSG7.html#group63F7", "63F⁷"), =HYPERLINK("CSG9.html#group63E9", "63E⁹"), =HYPERLINK("CSG21.html#group126T21", "126T²¹"), =HYPERLINK("CSG21.html#group42J21", "42J²¹"), =HYPERLINK("CSG13.html#group63D13", "63D¹³"), =HYPERLINK("CSG21.html#group126U21", "126U²¹"), =HYPERLINK("CSG13.html#group63C13", "63C¹³"), =HYPERLINK("CSG17.html#group84O17", "84O¹⁷"), =HYPERLINK("CSG21.html#group42I21", "42I²¹"), =HYPERLINK("CSG13.html#group84K13", "84K¹³"), =HYPERLINK("CSG21.html#group126S21", "126S²¹"), =HYPERLINK("CSG21.html#group105F21", "105F²¹"), =HYPERLINK("CSG21.html#group147B21", "147B²¹"), =HYPERLINK("CSG9.html#group21D9", "21D⁹"), =HYPERLINK("CSG23.html#group42M23", "42M²³"), =HYPERLINK("CSG7.html#group21D7", "21D⁷"), =HYPERLINK("CSG21.html#group42G21", "42G²¹"), =HYPERLINK("CSG23.html#group126M23", "126M²³"), =HYPERLINK("CSG5.html#group21E5", "21E⁵"), =HYPERLINK("CSG9.html#group42E9", "42E⁹")</f>
        <v/>
      </c>
    </row>
    <row r="250">
      <c r="A250" t="inlineStr">
        <is>
          <t>22A¹</t>
        </is>
      </c>
      <c r="B250" t="inlineStr"/>
      <c r="C250" t="inlineStr">
        <is>
          <t>22</t>
        </is>
      </c>
      <c r="D250" t="inlineStr">
        <is>
          <t>2</t>
        </is>
      </c>
      <c r="E250" t="inlineStr">
        <is>
          <t>11</t>
        </is>
      </c>
      <c r="F250" t="inlineStr">
        <is>
          <t>0</t>
        </is>
      </c>
      <c r="G250" t="inlineStr">
        <is>
          <t>4</t>
        </is>
      </c>
      <c r="H250" t="inlineStr">
        <is>
          <t>22¹</t>
        </is>
      </c>
      <c r="I250" t="n">
        <v>1</v>
      </c>
      <c r="J250" t="inlineStr">
        <is>
          <t>2¹, 10²</t>
        </is>
      </c>
      <c r="K250">
        <f>HYPERLINK("CSG0.html#group2A0", "2A⁰"), =HYPERLINK("CSG0.html#group11A0", "11A⁰")</f>
        <v/>
      </c>
      <c r="L250">
        <f>HYPERLINK("CSG4.html#group66A4", "66A⁴"), =HYPERLINK("CSG5.html#group22A5", "22A⁵"), =HYPERLINK("CSG5.html#group22B5", "22B⁵"), =HYPERLINK("CSG6.html#group44A6", "44A⁶"), =HYPERLINK("CSG6.html#group66A6", "66A⁶"), =HYPERLINK("CSG6.html#group66E6", "66E⁶"), =HYPERLINK("CSG7.html#group110A7", "110A⁷"), =HYPERLINK("CSG9.html#group22A9", "22A⁹"), =HYPERLINK("CSG11.html#group110A11", "110A¹¹"), =HYPERLINK("CSG12.html#group154A12", "154A¹²"), =HYPERLINK("CSG12.html#group154B12", "154B¹²"), =HYPERLINK("CSG12.html#group154C12", "154C¹²"), =HYPERLINK("CSG13.html#group22B13", "22B¹³"), =HYPERLINK("CSG17.html#group110A17", "110A¹⁷"), =HYPERLINK("CSG23.html#group286A23", "286A²³")</f>
        <v/>
      </c>
      <c r="M250">
        <f>HYPERLINK("CSG0.html#group11A0", "11A⁰"), =HYPERLINK("CSG0.html#group2A0", "2A⁰"), =HYPERLINK("CSG0.html#group1A0", "1A⁰")</f>
        <v/>
      </c>
      <c r="N250">
        <f>HYPERLINK("CSG20.html#group132A20", "132A²⁰"), =HYPERLINK("CSG20.html#group66A20", "66A²⁰"), =HYPERLINK("CSG17.html#group22B17", "22B¹⁷"), =HYPERLINK("CSG10.html#group44A10", "44A¹⁰"), =HYPERLINK("CSG12.html#group154A12", "154A¹²"), =HYPERLINK("CSG22.html#group66A22", "66A²²"), =HYPERLINK("CSG20.html#group88C20", "88C²⁰"), =HYPERLINK("CSG22.html#group198B22", "198B²²"), =HYPERLINK("CSG5.html#group22B5", "22B⁵"), =HYPERLINK("CSG11.html#group110A11", "110A¹¹"), =HYPERLINK("CSG21.html#group110A21", "110A²¹"), =HYPERLINK("CSG6.html#group66E6", "66E⁶"), =HYPERLINK("CSG21.html#group88A21", "88A²¹"), =HYPERLINK("CSG21.html#group198A21", "198A²¹"), =HYPERLINK("CSG4.html#group66A4", "66A⁴"), =HYPERLINK("CSG24.html#group176A24", "176A²⁴"), =HYPERLINK("CSG17.html#group198A17", "198A¹⁷"), =HYPERLINK("CSG22.html#group66C22", "66C²²"), =HYPERLINK("CSG6.html#group44A6", "44A⁶"), =HYPERLINK("CSG21.html#group22B21", "22B²¹"), =HYPERLINK("CSG12.html#group154C12", "154C¹²"), =HYPERLINK("CSG5.html#group22A5", "22A⁵"), =HYPERLINK("CSG23.html#group154A23", "154A²³"), =HYPERLINK("CSG11.html#group66A11", "66A¹¹"), =HYPERLINK("CSG23.html#group110A23", "110A²³"), =HYPERLINK("CSG21.html#group22C21", "22C²¹"), =HYPERLINK("CSG24.html#group66B24", "66B²⁴"), =HYPERLINK("CSG22.html#group198A22", "198A²²"), =HYPERLINK("CSG21.html#group66A21", "66A²¹"), =HYPERLINK("CSG12.html#group154B12", "154B¹²"), =HYPERLINK("CSG24.html#group330C24", "330C²⁴"), =HYPERLINK("CSG19.html#group66A19", "66A¹⁹"), =HYPERLINK("CSG16.html#group66A16", "66A¹⁶"), =HYPERLINK("CSG20.html#group88A20", "88A²⁰"), =HYPERLINK("CSG23.html#group154B23", "154B²³"), =HYPERLINK("CSG24.html#group308A24", "308A²⁴"), =HYPERLINK("CSG7.html#group110A7", "110A⁷"), =HYPERLINK("CSG24.html#group66A24", "66A²⁴"), =HYPERLINK("CSG19.html#group198A19", "198A¹⁹"), =HYPERLINK("CSG24.html#group330A24", "330A²⁴"), =HYPERLINK("CSG22.html#group66B22", "66B²²"), =HYPERLINK("CSG20.html#group198A20", "198A²⁰"), =HYPERLINK("CSG23.html#group286A23", "286A²³"), =HYPERLINK("CSG20.html#group132C20", "132C²⁰"), =HYPERLINK("CSG12.html#group132E12", "132E¹²"), =HYPERLINK("CSG9.html#group22A9", "22A⁹"), =HYPERLINK("CSG24.html#group330B24", "330B²⁴"), =HYPERLINK("CSG20.html#group44A20", "44A²⁰"), =HYPERLINK("CSG17.html#group22A17", "22A¹⁷"), =HYPERLINK("CSG12.html#group88A12", "88A¹²"), =HYPERLINK("CSG17.html#group110A17", "110A¹⁷"), =HYPERLINK("CSG18.html#group198E18", "198E¹⁸"), =HYPERLINK("CSG22.html#group132A22", "132A²²"), =HYPERLINK("CSG13.html#group22B13", "22B¹³"), =HYPERLINK("CSG6.html#group66A6", "66A⁶")</f>
        <v/>
      </c>
    </row>
    <row r="251">
      <c r="A251" t="inlineStr">
        <is>
          <t>24A¹</t>
        </is>
      </c>
      <c r="B251" t="inlineStr"/>
      <c r="C251" t="inlineStr">
        <is>
          <t>24</t>
        </is>
      </c>
      <c r="D251" t="inlineStr">
        <is>
          <t>2</t>
        </is>
      </c>
      <c r="E251" t="inlineStr">
        <is>
          <t>4</t>
        </is>
      </c>
      <c r="F251" t="inlineStr">
        <is>
          <t>6</t>
        </is>
      </c>
      <c r="G251" t="inlineStr">
        <is>
          <t>0</t>
        </is>
      </c>
      <c r="H251" t="inlineStr">
        <is>
          <t>24¹</t>
        </is>
      </c>
      <c r="I251" t="n">
        <v>1</v>
      </c>
      <c r="J251" t="inlineStr">
        <is>
          <t>4²</t>
        </is>
      </c>
      <c r="K251">
        <f>HYPERLINK("CSG0.html#group8A0", "8A⁰"), =HYPERLINK("CSG0.html#group12A0", "12A⁰")</f>
        <v/>
      </c>
      <c r="L251">
        <f>HYPERLINK("CSG2.html#group24K2", "24K²"), =HYPERLINK("CSG3.html#group24E3", "24E³"), =HYPERLINK("CSG3.html#group48A3", "48A³"), =HYPERLINK("CSG3.html#group48B3", "48B³"), =HYPERLINK("CSG4.html#group24A4", "24A⁴"), =HYPERLINK("CSG4.html#group24H4", "24H⁴"), =HYPERLINK("CSG4.html#group24S4", "24S⁴"), =HYPERLINK("CSG4.html#group72A4", "72A⁴"), =HYPERLINK("CSG9.html#group120A9", "120A⁹"), =HYPERLINK("CSG9.html#group120D9", "120D⁹"), =HYPERLINK("CSG10.html#group168C10", "168C¹⁰"), =HYPERLINK("CSG10.html#group168D10", "168D¹⁰"), =HYPERLINK("CSG16.html#group168A16", "168A¹⁶"), =HYPERLINK("CSG17.html#group120F17", "120F¹⁷"), =HYPERLINK("CSG18.html#group264A18", "264A¹⁸"), =HYPERLINK("CSG18.html#group264B18", "264B¹⁸"), =HYPERLINK("CSG24.html#group264A24", "264A²⁴")</f>
        <v/>
      </c>
      <c r="M251">
        <f>HYPERLINK("CSG0.html#group8A0", "8A⁰"), =HYPERLINK("CSG0.html#group12A0", "12A⁰"), =HYPERLINK("CSG0.html#group3A0", "3A⁰"), =HYPERLINK("CSG0.html#group1A0", "1A⁰"), =HYPERLINK("CSG0.html#group4A0", "4A⁰")</f>
        <v/>
      </c>
      <c r="N251">
        <f>HYPERLINK("CSG10.html#group24C10", "24C¹⁰"), =HYPERLINK("CSG9.html#group120A9", "120A⁹"), =HYPERLINK("CSG18.html#group264A18", "264A¹⁸"), =HYPERLINK("CSG21.html#group240C21", "240C²¹"), =HYPERLINK("CSG10.html#group144B10", "144B¹⁰"), =HYPERLINK("CSG7.html#group24D7", "24D⁷"), =HYPERLINK("CSG24.html#group264A24", "264A²⁴"), =HYPERLINK("CSG18.html#group48L18", "48L¹⁸"), =HYPERLINK("CSG17.html#group24AB17", "24AB¹⁷"), =HYPERLINK("CSG23.html#group120B23", "120B²³"), =HYPERLINK("CSG15.html#group48A15", "48A¹⁵"), =HYPERLINK("CSG12.html#group48B12", "48B¹²"), =HYPERLINK("CSG15.html#group72L15", "72L¹⁵"), =HYPERLINK("CSG14.html#group72L14", "72L¹⁴"), =HYPERLINK("CSG23.html#group72C23", "72C²³"), =HYPERLINK("CSG24.html#group336F24", "336F²⁴"), =HYPERLINK("CSG23.html#group120I23", "120I²³"), =HYPERLINK("CSG19.html#group240A19", "240A¹⁹"), =HYPERLINK("CSG22.html#group168H22", "168H²²"), =HYPERLINK("CSG3.html#group48B3", "48B³"), =HYPERLINK("CSG18.html#group48E18", "48E¹⁸"), =HYPERLINK("CSG20.html#group120A20", "120A²⁰"), =HYPERLINK("CSG17.html#group48AM17", "48AM¹⁷"), =HYPERLINK("CSG24.html#group168E24", "168E²⁴"), =HYPERLINK("CSG19.html#group72T19", "72T¹⁹"), =HYPERLINK("CSG10.html#group144D10", "144D¹⁰"), =HYPERLINK("CSG20.html#group48H20", "48H²⁰"), =HYPERLINK("CSG19.html#group120Q19", "120Q¹⁹"), =HYPERLINK("CSG22.html#group48B22", "48B²²"), =HYPERLINK("CSG11.html#group24M11", "24M¹¹"), =HYPERLINK("CSG9.html#group120D9", "120D⁹"), =HYPERLINK("CSG21.html#group48BW21", "48BW²¹"), =HYPERLINK("CSG21.html#group72T21", "72T²¹"), =HYPERLINK("CSG20.html#group48C20", "48C²⁰"), =HYPERLINK("CSG19.html#group48AV19", "48AV¹⁹"), =HYPERLINK("CSG10.html#group48G10", "48G¹⁰"), =HYPERLINK("CSG13.html#group48R13", "48R¹³"), =HYPERLINK("CSG3.html#group24E3", "24E³"), =HYPERLINK("CSG17.html#group48S17", "48S¹⁷"), =HYPERLINK("CSG21.html#group144N21", "144N²¹"), =HYPERLINK("CSG16.html#group24C16", "24C¹⁶"), =HYPERLINK("CSG7.html#group48J7", "48J⁷"), =HYPERLINK("CSG21.html#group72P21", "72P²¹"), =HYPERLINK("CSG8.html#group24L8", "24L⁸"), =HYPERLINK("CSG18.html#group120F18", "120F¹⁸"), =HYPERLINK("CSG23.html#group144S23", "144S²³"), =HYPERLINK("CSG21.html#group120J21", "120J²¹"), =HYPERLINK("CSG21.html#group72U21", "72U²¹"), =HYPERLINK("CSG17.html#group72W17", "72W¹⁷"), =HYPERLINK("CSG24.html#group336G24", "336G²⁴"), =HYPERLINK("CSG10.html#group24A10", "24A¹⁰"), =HYPERLINK("CSG8.html#group48A8", "48A⁸"), =HYPERLINK("CSG22.html#group144N22", "144N²²"), =HYPERLINK("CSG9.html#group24AO9", "24AO⁹"), =HYPERLINK("CSG4.html#group24S4", "24S⁴"), =HYPERLINK("CSG21.html#group48BO21", "48BO²¹"), =HYPERLINK("CSG21.html#group240A21", "240A²¹"), =HYPERLINK("CSG10.html#group48F10", "48F¹⁰"), =HYPERLINK("CSG22.html#group144K22", "144K²²"), =HYPERLINK("CSG10.html#group72I10", "72I¹⁰"), =HYPERLINK("CSG24.html#group336H24", "336H²⁴"), =HYPERLINK("CSG22.html#group72C22", "72C²²"), =HYPERLINK("CSG19.html#group120O19", "120O¹⁹"), =HYPERLINK("CSG20.html#group144D20", "144D²⁰"), =HYPERLINK("CSG21.html#group48BP21", "48BP²¹"), =HYPERLINK("CSG3.html#group48A3", "48A³"), =HYPERLINK("CSG17.html#group120P17", "120P¹⁷"), =HYPERLINK("CSG21.html#group240B21", "240B²¹"), =HYPERLINK("CSG20.html#group144E20", "144E²⁰"), =HYPERLINK("CSG8.html#group24N8", "24N⁸"), =HYPERLINK("CSG22.html#group48C22", "48C²²"), =HYPERLINK("CSG19.html#group120D19", "120D¹⁹"), =HYPERLINK("CSG17.html#group48BO17", "48BO¹⁷"), =HYPERLINK("CSG21.html#group120L21", "120L²¹"), =HYPERLINK("CSG16.html#group168A16", "168A¹⁶"), =HYPERLINK("CSG8.html#group72J8", "72J⁸"), =HYPERLINK("CSG11.html#group72G11", "72G¹¹"), =HYPERLINK("CSG6.html#group48H6", "48H⁶"), =HYPERLINK("CSG4.html#group24A4", "24A⁴"), =HYPERLINK("CSG13.html#group48Q13", "48Q¹³"), =HYPERLINK("CSG17.html#group24AK17", "24AK¹⁷"), =HYPERLINK("CSG19.html#group24J19", "24J¹⁹"), =HYPERLINK("CSG23.html#group72B23", "72B²³"), =HYPERLINK("CSG22.html#group144I22", "144I²²"), =HYPERLINK("CSG23.html#group168L23", "168L²³"), =HYPERLINK("CSG17.html#group24AF17", "24AF¹⁷"), =HYPERLINK("CSG22.html#group144L22", "144L²²"), =HYPERLINK("CSG19.html#group24C19", "24C¹⁹"), =HYPERLINK("CSG17.html#group48T17", "48T¹⁷"), =HYPERLINK("CSG10.html#group72L10", "72L¹⁰"), =HYPERLINK("CSG8.html#group48B8", "48B⁸"), =HYPERLINK("CSG7.html#group48I7", "48I⁷"), =HYPERLINK("CSG19.html#group48AU19", "48AU¹⁹"), =HYPERLINK("CSG19.html#group24P19", "24P¹⁹"), =HYPERLINK("CSG21.html#group72O21", "72O²¹"), =HYPERLINK("CSG20.html#group48G20", "48G²⁰"), =HYPERLINK("CSG20.html#group48B20", "48B²⁰"), =HYPERLINK("CSG21.html#group48BL21", "48BL²¹"), =HYPERLINK("CSG19.html#group48S19", "48S¹⁹"), =HYPERLINK("CSG22.html#group48D22", "48D²²"), =HYPERLINK("CSG22.html#group144J22", "144J²²"), =HYPERLINK("CSG11.html#group72H11", "72H¹¹"), =HYPERLINK("CSG4.html#group72A4", "72A⁴"), =HYPERLINK("CSG21.html#group144M21", "144M²¹"), =HYPERLINK("CSG8.html#group72K8", "72K⁸"), =HYPERLINK("CSG22.html#group48A22", "48A²²"), =HYPERLINK("CSG24.html#group168F24", "168F²⁴"), =HYPERLINK("CSG15.html#group24P15", "24P¹⁵"), =HYPERLINK("CSG9.html#group24Y9", "24Y⁹"), =HYPERLINK("CSG19.html#group24I19", "24I¹⁹"), =HYPERLINK("CSG20.html#group48A20", "48A²⁰"), =HYPERLINK("CSG22.html#group168G22", "168G²²"), =HYPERLINK("CSG10.html#group168D10", "168D¹⁰"), =HYPERLINK("CSG24.html#group144B24", "144B²⁴"), =HYPERLINK("CSG7.html#group24K7", "24K⁷"), =HYPERLINK("CSG23.html#group48E23", "48E²³"), =HYPERLINK("CSG17.html#group48BN17", "48BN¹⁷"), =HYPERLINK("CSG12.html#group48A12", "48A¹²"), =HYPERLINK("CSG24.html#group336D24", "336D²⁴"), =HYPERLINK("CSG6.html#group48G6", "48G⁶"), =HYPERLINK("CSG24.html#group336C24", "336C²⁴"), =HYPERLINK("CSG4.html#group24H4", "24H⁴"), =HYPERLINK("CSG2.html#group24K2", "24K²"), =HYPERLINK("CSG18.html#group72A18", "72A¹⁸"), =HYPERLINK("CSG12.html#group72A12", "72A¹²"), =HYPERLINK("CSG19.html#group24Q19", "24Q¹⁹"), =HYPERLINK("CSG20.html#group48D20", "48D²⁰"), =HYPERLINK("CSG22.html#group168Q22", "168Q²²"), =HYPERLINK("CSG19.html#group72V19", "72V¹⁹"), =HYPERLINK("CSG20.html#group48I20", "48I²⁰"), =HYPERLINK("CSG21.html#group48BX21", "48BX²¹"), =HYPERLINK("CSG24.html#group336A24", "336A²⁴"), =HYPERLINK("CSG15.html#group48D15", "48D¹⁵"), =HYPERLINK("CSG21.html#group48AQ21", "48AQ²¹"), =HYPERLINK("CSG24.html#group336E24", "336E²⁴"), =HYPERLINK("CSG20.html#group144F20", "144F²⁰"), =HYPERLINK("CSG16.html#group24A16", "24A¹⁶"), =HYPERLINK("CSG13.html#group24D13", "24D¹³"), =HYPERLINK("CSG23.html#group72F23", "72F²³"), =HYPERLINK("CSG24.html#group144A24", "144A²⁴"), =HYPERLINK("CSG23.html#group144Q23", "144Q²³"), =HYPERLINK("CSG23.html#group144R23", "144R²³"), =HYPERLINK("CSG23.html#group72H23", "72H²³"), =HYPERLINK("CSG21.html#group72Q21", "72Q²¹"), =HYPERLINK("CSG10.html#group168C10", "168C¹⁰"), =HYPERLINK("CSG15.html#group48B15", "48B¹⁵"), =HYPERLINK("CSG22.html#group144M22", "144M²²"), =HYPERLINK("CSG22.html#group168R22", "168R²²"), =HYPERLINK("CSG5.html#group24P5", "24P⁵"), =HYPERLINK("CSG19.html#group48T19", "48T¹⁹"), =HYPERLINK("CSG18.html#group264B18", "264B¹⁸"), =HYPERLINK("CSG21.html#group240D21", "240D²¹"), =HYPERLINK("CSG10.html#group144C10", "144C¹⁰"), =HYPERLINK("CSG13.html#group24B13", "24B¹³"), =HYPERLINK("CSG21.html#group72N21", "72N²¹"), =HYPERLINK("CSG15.html#group48H15", "48H¹⁵"), =HYPERLINK("CSG24.html#group336B24", "336B²⁴"), =HYPERLINK("CSG17.html#group120F17", "120F¹⁷"), =HYPERLINK("CSG19.html#group240B19", "240B¹⁹"), =HYPERLINK("CSG19.html#group24N19", "24N¹⁹"), =HYPERLINK("CSG21.html#group48T21", "48T²¹"), =HYPERLINK("CSG20.html#group144C20", "144C²⁰"), =HYPERLINK("CSG23.html#group144T23", "144T²³"), =HYPERLINK("CSG10.html#group144A10", "144A¹⁰"), =HYPERLINK("CSG11.html#group24K11", "24K¹¹"), =HYPERLINK("CSG10.html#group72K10", "72K¹⁰"), =HYPERLINK("CSG21.html#group24M21", "24M²¹"), =HYPERLINK("CSG24.html#group144C24", "144C²⁴"), =HYPERLINK("CSG17.html#group24AE17", "24AE¹⁷"), =HYPERLINK("CSG9.html#group24X9", "24X⁹"), =HYPERLINK("CSG21.html#group48BY21", "48BY²¹"), =HYPERLINK("CSG19.html#group48AB19", "48AB¹⁹"), =HYPERLINK("CSG9.html#group72G9", "72G⁹"), =HYPERLINK("CSG19.html#group24D19", "24D¹⁹"), =HYPERLINK("CSG7.html#group24B7", "24B⁷"), =HYPERLINK("CSG23.html#group168K23", "168K²³")</f>
        <v/>
      </c>
    </row>
    <row r="252">
      <c r="A252" t="inlineStr">
        <is>
          <t>24B¹</t>
        </is>
      </c>
      <c r="B252" t="inlineStr"/>
      <c r="C252" t="inlineStr">
        <is>
          <t>24</t>
        </is>
      </c>
      <c r="D252" t="inlineStr">
        <is>
          <t>2</t>
        </is>
      </c>
      <c r="E252" t="inlineStr">
        <is>
          <t>12</t>
        </is>
      </c>
      <c r="F252" t="inlineStr">
        <is>
          <t>6</t>
        </is>
      </c>
      <c r="G252" t="inlineStr">
        <is>
          <t>0</t>
        </is>
      </c>
      <c r="H252" t="inlineStr">
        <is>
          <t>24¹</t>
        </is>
      </c>
      <c r="I252" t="n">
        <v>1</v>
      </c>
      <c r="J252" t="inlineStr">
        <is>
          <t>4², 8²</t>
        </is>
      </c>
      <c r="K252">
        <f>HYPERLINK("CSG0.html#group12A0", "12A⁰")</f>
        <v/>
      </c>
      <c r="L252">
        <f>HYPERLINK("CSG2.html#group24G2", "24G²"), =HYPERLINK("CSG2.html#group24H2", "24H²"), =HYPERLINK("CSG2.html#group24K2", "24K²"), =HYPERLINK("CSG3.html#group24D3", "24D³"), =HYPERLINK("CSG3.html#group24E3", "24E³"), =HYPERLINK("CSG4.html#group24B4", "24B⁴"), =HYPERLINK("CSG4.html#group24O4", "24O⁴"), =HYPERLINK("CSG4.html#group24T4", "24T⁴"), =HYPERLINK("CSG4.html#group72B4", "72B⁴"), =HYPERLINK("CSG4.html#group72C4", "72C⁴"), =HYPERLINK("CSG4.html#group72D4", "72D⁴"), =HYPERLINK("CSG9.html#group120B9", "120B⁹"), =HYPERLINK("CSG9.html#group120F9", "120F⁹"), =HYPERLINK("CSG10.html#group168G10", "168G¹⁰"), =HYPERLINK("CSG10.html#group168H10", "168H¹⁰"), =HYPERLINK("CSG16.html#group168B16", "168B¹⁶"), =HYPERLINK("CSG17.html#group120H17", "120H¹⁷"), =HYPERLINK("CSG18.html#group264C18", "264C¹⁸"), =HYPERLINK("CSG18.html#group264D18", "264D¹⁸"), =HYPERLINK("CSG24.html#group264B24", "264B²⁴")</f>
        <v/>
      </c>
      <c r="M252">
        <f>HYPERLINK("CSG0.html#group3A0", "3A⁰"), =HYPERLINK("CSG0.html#group1A0", "1A⁰"), =HYPERLINK("CSG0.html#group4A0", "4A⁰"), =HYPERLINK("CSG0.html#group12A0", "12A⁰")</f>
        <v/>
      </c>
      <c r="N252">
        <f>HYPERLINK("CSG11.html#group24L11", "24L¹¹"), =HYPERLINK("CSG10.html#group72F10", "72F¹⁰"), =HYPERLINK("CSG24.html#group168H24", "168H²⁴"), =HYPERLINK("CSG13.html#group24E13", "24E¹³"), =HYPERLINK("CSG19.html#group24M19", "24M¹⁹"), =HYPERLINK("CSG7.html#group24D7", "24D⁷"), =HYPERLINK("CSG8.html#group24M8", "24M⁸"), =HYPERLINK("CSG17.html#group24AB17", "24AB¹⁷"), =HYPERLINK("CSG23.html#group168M23", "168M²³"), =HYPERLINK("CSG15.html#group48A15", "48A¹⁵"), =HYPERLINK("CSG22.html#group144G22", "144G²²"), =HYPERLINK("CSG24.html#group168I24", "168I²⁴"), =HYPERLINK("CSG19.html#group48AT19", "48AT¹⁹"), =HYPERLINK("CSG23.html#group72C23", "72C²³"), =HYPERLINK("CSG19.html#group120S19", "120S¹⁹"), =HYPERLINK("CSG9.html#group24AA9", "24AA⁹"), =HYPERLINK("CSG14.html#group72O14", "72O¹⁴"), =HYPERLINK("CSG12.html#group72C12", "72C¹²"), =HYPERLINK("CSG17.html#group24AD17", "24AD¹⁷"), =HYPERLINK("CSG21.html#group120I21", "120I²¹"), =HYPERLINK("CSG18.html#group48O18", "48O¹⁸"), =HYPERLINK("CSG10.html#group24E10", "24E¹⁰"), =HYPERLINK("CSG17.html#group48BW17", "48BW¹⁷"), =HYPERLINK("CSG19.html#group72T19", "72T¹⁹"), =HYPERLINK("CSG24.html#group264B24", "264B²⁴"), =HYPERLINK("CSG22.html#group144H22", "144H²²"), =HYPERLINK("CSG19.html#group120Q19", "120Q¹⁹"), =HYPERLINK("CSG6.html#group48E6", "48E⁶"), =HYPERLINK("CSG24.html#group168J24", "168J²⁴"), =HYPERLINK("CSG11.html#group24M11", "24M¹¹"), =HYPERLINK("CSG24.html#group168D24", "168D²⁴"), =HYPERLINK("CSG21.html#group48BW21", "48BW²¹"), =HYPERLINK("CSG21.html#group72T21", "72T²¹"), =HYPERLINK("CSG15.html#group24O15", "24O¹⁵"), =HYPERLINK("CSG13.html#group48R13", "48R¹³"), =HYPERLINK("CSG3.html#group24E3", "24E³"), =HYPERLINK("CSG21.html#group144N21", "144N²¹"), =HYPERLINK("CSG7.html#group48J7", "48J⁷"), =HYPERLINK("CSG19.html#group48AY19", "48AY¹⁹"), =HYPERLINK("CSG21.html#group72P21", "72P²¹"), =HYPERLINK("CSG18.html#group120F18", "120F¹⁸"), =HYPERLINK("CSG23.html#group144S23", "144S²³"), =HYPERLINK("CSG19.html#group24G19", "24G¹⁹"), =HYPERLINK("CSG18.html#group120B18", "120B¹⁸"), =HYPERLINK("CSG19.html#group120J19", "120J¹⁹"), =HYPERLINK("CSG24.html#group168G24", "168G²⁴"), =HYPERLINK("CSG17.html#group72W17", "72W¹⁷"), =HYPERLINK("CSG21.html#group72U21", "72U²¹"), =HYPERLINK("CSG15.html#group48W15", "48W¹⁵"), =HYPERLINK("CSG20.html#group144H20", "144H²⁰"), =HYPERLINK("CSG18.html#group48K18", "48K¹⁸"), =HYPERLINK("CSG23.html#group168O23", "168O²³"), =HYPERLINK("CSG16.html#group24E16", "24E¹⁶"), =HYPERLINK("CSG9.html#group24AO9", "24AO⁹"), =HYPERLINK("CSG22.html#group144N22", "144N²²"), =HYPERLINK("CSG11.html#group72E11", "72E¹¹"), =HYPERLINK("CSG16.html#group24B16", "24B¹⁶"), =HYPERLINK("CSG24.html#group168C24", "168C²⁴"), =HYPERLINK("CSG18.html#group120C18", "120C¹⁸"), =HYPERLINK("CSG4.html#group72D4", "72D⁴"), =HYPERLINK("CSG10.html#group72I10", "72I¹⁰"), =HYPERLINK("CSG22.html#group144K22", "144K²²"), =HYPERLINK("CSG18.html#group72B18", "72B¹⁸"), =HYPERLINK("CSG19.html#group24B19", "24B¹⁹"), =HYPERLINK("CSG22.html#group72C22", "72C²²"), =HYPERLINK("CSG18.html#group48S18", "48S¹⁸"), =HYPERLINK("CSG20.html#group144D20", "144D²⁰"), =HYPERLINK("CSG15.html#group48C15", "48C¹⁵"), =HYPERLINK("CSG19.html#group120N19", "120N¹⁹"), =HYPERLINK("CSG20.html#group144E20", "144E²⁰"), =HYPERLINK("CSG8.html#group24N8", "24N⁸"), =HYPERLINK("CSG19.html#group24O19", "24O¹⁹"), =HYPERLINK("CSG4.html#group24B4", "24B⁴"), =HYPERLINK("CSG16.html#group24D16", "24D¹⁶"), =HYPERLINK("CSG20.html#group48F20", "48F²⁰"), =HYPERLINK("CSG19.html#group120D19", "120D¹⁹"), =HYPERLINK("CSG23.html#group168I23", "168I²³"), =HYPERLINK("CSG10.html#group24B10", "24B¹⁰"), =HYPERLINK("CSG21.html#group48BV21", "48BV²¹"), =HYPERLINK("CSG12.html#group72B12", "72B¹²"), =HYPERLINK("CSG21.html#group120L21", "120L²¹"), =HYPERLINK("CSG2.html#group24G2", "24G²"), =HYPERLINK("CSG17.html#group120Q17", "120Q¹⁷"), =HYPERLINK("CSG9.html#group24AM9", "24AM⁹"), =HYPERLINK("CSG19.html#group120I19", "120I¹⁹"), =HYPERLINK("CSG8.html#group72J8", "72J⁸"), =HYPERLINK("CSG11.html#group72G11", "72G¹¹"), =HYPERLINK("CSG18.html#group264D18", "264D¹⁸"), =HYPERLINK("CSG23.html#group120J23", "120J²³"), =HYPERLINK("CSG14.html#group72N14", "72N¹⁴"), =HYPERLINK("CSG6.html#group48H6", "48H⁶"), =HYPERLINK("CSG13.html#group48Q13", "48Q¹³"), =HYPERLINK("CSG19.html#group24S19", "24S¹⁹"), =HYPERLINK("CSG17.html#group24AK17", "24AK¹⁷"), =HYPERLINK("CSG19.html#group24J19", "24J¹⁹"), =HYPERLINK("CSG23.html#group72B23", "72B²³"), =HYPERLINK("CSG22.html#group144I22", "144I²²"), =HYPERLINK("CSG23.html#group168J23", "168J²³"), =HYPERLINK("CSG8.html#group72I8", "72I⁸"), =HYPERLINK("CSG17.html#group24AF17", "24AF¹⁷"), =HYPERLINK("CSG22.html#group168J22", "168J²²"), =HYPERLINK("CSG22.html#group144L22", "144L²²"), =HYPERLINK("CSG19.html#group24C19", "24C¹⁹"), =HYPERLINK("CSG15.html#group72M15", "72M¹⁵"), =HYPERLINK("CSG10.html#group72L10", "72L¹⁰"), =HYPERLINK("CSG19.html#group24L19", "24L¹⁹"), =HYPERLINK("CSG18.html#group264C18", "264C¹⁸"), =HYPERLINK("CSG7.html#group48I7", "48I⁷"), =HYPERLINK("CSG19.html#group24P19", "24P¹⁹"), =HYPERLINK("CSG21.html#group72O21", "72O²¹"), =HYPERLINK("CSG20.html#group48G20", "48G²⁰"), =HYPERLINK("CSG22.html#group144E22", "144E²²"), =HYPERLINK("CSG10.html#group72G10", "72G¹⁰"), =HYPERLINK("CSG11.html#group72H11", "72H¹¹"), =HYPERLINK("CSG10.html#group72J10", "72J¹⁰"), =HYPERLINK("CSG8.html#group72K8", "72K⁸"), =HYPERLINK("CSG22.html#group144J22", "144J²²"), =HYPERLINK("CSG21.html#group144M21", "144M²¹"), =HYPERLINK("CSG6.html#group48F6", "48F⁶"), =HYPERLINK("CSG23.html#group72G23", "72G²³"), =HYPERLINK("CSG21.html#group72M21", "72M²¹"), =HYPERLINK("CSG23.html#group120F23", "120F²³"), =HYPERLINK("CSG21.html#group120H21", "120H²¹"), =HYPERLINK("CSG15.html#group24P15", "24P¹⁵"), =HYPERLINK("CSG19.html#group48AS19", "48AS¹⁹"), =HYPERLINK("CSG9.html#group24Y9", "24Y⁹"), =HYPERLINK("CSG22.html#group144F22", "144F²²"), =HYPERLINK("CSG17.html#group24AC17", "24AC¹⁷"), =HYPERLINK("CSG10.html#group72H10", "72H¹⁰"), =HYPERLINK("CSG3.html#group24D3", "24D³"), =HYPERLINK("CSG15.html#group72X15", "72X¹⁵"), =HYPERLINK("CSG23.html#group72A23", "72A²³"), =HYPERLINK("CSG9.html#group24AN9", "24AN⁹"), =HYPERLINK("CSG20.html#group48E20", "48E²⁰"), =HYPERLINK("CSG9.html#group120B9", "120B⁹"), =HYPERLINK("CSG19.html#group24H19", "24H¹⁹"), =HYPERLINK("CSG9.html#group24W9", "24W⁹"), =HYPERLINK("CSG14.html#group72M14", "72M¹⁴"), =HYPERLINK("CSG6.html#group48G6", "48G⁶"), =HYPERLINK("CSG10.html#group168G10", "168G¹⁰"), =HYPERLINK("CSG2.html#group24K2", "24K²"), =HYPERLINK("CSG8.html#group24K8", "24K⁸"), =HYPERLINK("CSG9.html#group24V9", "24V⁹"), =HYPERLINK("CSG18.html#group48J18", "48J¹⁸"), =HYPERLINK("CSG19.html#group120C19", "120C¹⁹"), =HYPERLINK("CSG23.html#group72D23", "72D²³"), =HYPERLINK("CSG18.html#group48N18", "48N¹⁸"), =HYPERLINK("CSG19.html#group24Q19", "24Q¹⁹"), =HYPERLINK("CSG16.html#group168B16", "168B¹⁶"), =HYPERLINK("CSG22.html#group168Q22", "168Q²²"), =HYPERLINK("CSG17.html#group48AN17", "48AN¹⁷"), =HYPERLINK("CSG18.html#group48R18", "48R¹⁸"), =HYPERLINK("CSG19.html#group72V19", "72V¹⁹"), =HYPERLINK("CSG2.html#group24H2", "24H²"), =HYPERLINK("CSG20.html#group144G20", "144G²⁰"), =HYPERLINK("CSG4.html#group24O4", "24O⁴"), =HYPERLINK("CSG20.html#group48I20", "48I²⁰"), =HYPERLINK("CSG15.html#group48D15", "48D¹⁵"), =HYPERLINK("CSG20.html#group144F20", "144F²⁰"), =HYPERLINK("CSG4.html#group72C4", "72C⁴"), =HYPERLINK("CSG10.html#group72E10", "72E¹⁰"), =HYPERLINK("CSG23.html#group72F23", "72F²³"), =HYPERLINK("CSG23.html#group144Q23", "144Q²³"), =HYPERLINK("CSG23.html#group144R23", "144R²³"), =HYPERLINK("CSG23.html#group72H23", "72H²³"), =HYPERLINK("CSG21.html#group72Q21", "72Q²¹"), =HYPERLINK("CSG18.html#group72D18", "72D¹⁸"), =HYPERLINK("CSG15.html#group48B15", "48B¹⁵"), =HYPERLINK("CSG21.html#group48BN21", "48BN²¹"), =HYPERLINK("CSG21.html#group120N21", "120N²¹"), =HYPERLINK("CSG7.html#group24AB7", "24AB⁷"), =HYPERLINK("CSG22.html#group144M22", "144M²²"), =HYPERLINK("CSG19.html#group120R19", "120R¹⁹"), =HYPERLINK("CSG22.html#group168R22", "168R²²"), =HYPERLINK("CSG19.html#group48AC19", "48AC¹⁹"), =HYPERLINK("CSG4.html#group24T4", "24T⁴"), =HYPERLINK("CSG23.html#group48F23", "48F²³"), =HYPERLINK("CSG5.html#group24P5", "24P⁵"), =HYPERLINK("CSG11.html#group72F11", "72F¹¹"), =HYPERLINK("CSG19.html#group48BL19", "48BL¹⁹"), =HYPERLINK("CSG20.html#group120B20", "120B²⁰"), =HYPERLINK("CSG22.html#group168P22", "168P²²"), =HYPERLINK("CSG4.html#group72B4", "72B⁴"), =HYPERLINK("CSG8.html#group72H8", "72H⁸"), =HYPERLINK("CSG9.html#group72F9", "72F⁹"), =HYPERLINK("CSG18.html#group72C18", "72C¹⁸"), =HYPERLINK("CSG13.html#group24B13", "24B¹³"), =HYPERLINK("CSG21.html#group72N21", "72N²¹"), =HYPERLINK("CSG22.html#group168I22", "168I²²"), =HYPERLINK("CSG22.html#group168O22", "168O²²"), =HYPERLINK("CSG19.html#group24N19", "24N¹⁹"), =HYPERLINK("CSG8.html#group24P8", "24P⁸"), =HYPERLINK("CSG7.html#group24A7", "24A⁷"), =HYPERLINK("CSG23.html#group168P23", "168P²³"), =HYPERLINK("CSG20.html#group144C20", "144C²⁰"), =HYPERLINK("CSG23.html#group144T23", "144T²³"), =HYPERLINK("CSG22.html#group144D22", "144D²²"), =HYPERLINK("CSG11.html#group24K11", "24K¹¹"), =HYPERLINK("CSG21.html#group120M21", "120M²¹"), =HYPERLINK("CSG10.html#group168H10", "168H¹⁰"), =HYPERLINK("CSG10.html#group72K10", "72K¹⁰"), =HYPERLINK("CSG17.html#group120H17", "120H¹⁷"), =HYPERLINK("CSG9.html#group120F9", "120F⁹"), =HYPERLINK("CSG22.html#group144C22", "144C²²"), =HYPERLINK("CSG21.html#group24M21", "24M²¹"), =HYPERLINK("CSG17.html#group24AL17", "24AL¹⁷"), =HYPERLINK("CSG17.html#group24AE17", "24AE¹⁷"), =HYPERLINK("CSG21.html#group48AR21", "48AR²¹"), =HYPERLINK("CSG21.html#group48BY21", "48BY²¹"), =HYPERLINK("CSG23.html#group168N23", "168N²³"), =HYPERLINK("CSG21.html#group48BM21", "48BM²¹"), =HYPERLINK("CSG9.html#group72G9", "72G⁹"), =HYPERLINK("CSG7.html#group24B7", "24B⁷")</f>
        <v/>
      </c>
    </row>
    <row r="253">
      <c r="A253" t="inlineStr">
        <is>
          <t>24C¹</t>
        </is>
      </c>
      <c r="B253" t="inlineStr"/>
      <c r="C253" t="inlineStr">
        <is>
          <t>36</t>
        </is>
      </c>
      <c r="D253" t="inlineStr">
        <is>
          <t>1</t>
        </is>
      </c>
      <c r="E253" t="inlineStr">
        <is>
          <t>6</t>
        </is>
      </c>
      <c r="F253" t="inlineStr">
        <is>
          <t>6</t>
        </is>
      </c>
      <c r="G253" t="inlineStr">
        <is>
          <t>0</t>
        </is>
      </c>
      <c r="H253" t="inlineStr">
        <is>
          <t>6², 24¹</t>
        </is>
      </c>
      <c r="I253" t="n">
        <v>3</v>
      </c>
      <c r="J253" t="inlineStr">
        <is>
          <t>1², 2²</t>
        </is>
      </c>
      <c r="K253">
        <f>HYPERLINK("CSG0.html#group8D0", "8D⁰"), =HYPERLINK("CSG0.html#group12C0", "12C⁰")</f>
        <v/>
      </c>
      <c r="L253">
        <f>HYPERLINK("CSG2.html#group24L2", "24L²"), =HYPERLINK("CSG2.html#group24O2", "24O²"), =HYPERLINK("CSG3.html#group24O3", "24O³"), =HYPERLINK("CSG3.html#group24Q3", "24Q³"), =HYPERLINK("CSG3.html#group48D3", "48D³"), =HYPERLINK("CSG3.html#group48G3", "48G³"), =HYPERLINK("CSG4.html#group24D4", "24D⁴"), =HYPERLINK("CSG4.html#group24L4", "24L⁴"), =HYPERLINK("CSG4.html#group48E4", "48E⁴"), =HYPERLINK("CSG4.html#group48H4", "48H⁴"), =HYPERLINK("CSG5.html#group24B5", "24B⁵"), =HYPERLINK("CSG6.html#group72C6", "72C⁶"), =HYPERLINK("CSG13.html#group120A13", "120A¹³"), =HYPERLINK("CSG13.html#group120F13", "120F¹³"), =HYPERLINK("CSG16.html#group168D16", "168D¹⁶"), =HYPERLINK("CSG22.html#group168B22", "168B²²")</f>
        <v/>
      </c>
      <c r="M253">
        <f>HYPERLINK("CSG0.html#group12C0", "12C⁰"), =HYPERLINK("CSG0.html#group8D0", "8D⁰"), =HYPERLINK("CSG0.html#group4C0", "4C⁰"), =HYPERLINK("CSG0.html#group2B0", "2B⁰"), =HYPERLINK("CSG0.html#group3A0", "3A⁰"), =HYPERLINK("CSG0.html#group1A0", "1A⁰"), =HYPERLINK("CSG0.html#group6D0", "6D⁰")</f>
        <v/>
      </c>
      <c r="N253">
        <f>HYPERLINK("CSG10.html#group24C10", "24C¹⁰"), =HYPERLINK("CSG16.html#group96B16", "96B¹⁶"), =HYPERLINK("CSG21.html#group48AY21", "48AY²¹"), =HYPERLINK("CSG8.html#group48O8", "48O⁸"), =HYPERLINK("CSG18.html#group96A18", "96A¹⁸"), =HYPERLINK("CSG17.html#group48AI17", "48AI¹⁷"), =HYPERLINK("CSG10.html#group48D10", "48D¹⁰"), =HYPERLINK("CSG19.html#group24M19", "24M¹⁹"), =HYPERLINK("CSG17.html#group48AK17", "48AK¹⁷"), =HYPERLINK("CSG20.html#group96D20", "96D²⁰"), =HYPERLINK("CSG21.html#group96AU21", "96AU²¹"), =HYPERLINK("CSG9.html#group24O9", "24O⁹"), =HYPERLINK("CSG20.html#group96B20", "96B²⁰"), =HYPERLINK("CSG21.html#group48AE21", "48AE²¹"), =HYPERLINK("CSG7.html#group24R7", "24R⁷"), =HYPERLINK("CSG19.html#group48Z19", "48Z¹⁹"), =HYPERLINK("CSG15.html#group24K15", "24K¹⁵"), =HYPERLINK("CSG17.html#group48AG17", "48AG¹⁷"), =HYPERLINK("CSG15.html#group144B15", "144B¹⁵"), =HYPERLINK("CSG20.html#group96F20", "96F²⁰"), =HYPERLINK("CSG17.html#group24AD17", "24AD¹⁷"), =HYPERLINK("CSG20.html#group96C20", "96C²⁰"), =HYPERLINK("CSG22.html#group96B22", "96B²²"), =HYPERLINK("CSG7.html#group24AD7", "24AD⁷"), =HYPERLINK("CSG18.html#group48O18", "48O¹⁸"), =HYPERLINK("CSG19.html#group96L19", "96L¹⁹"), =HYPERLINK("CSG5.html#group48E5", "48E⁵"), =HYPERLINK("CSG21.html#group48AD21", "48AD²¹"), =HYPERLINK("CSG17.html#group48BW17", "48BW¹⁷"), =HYPERLINK("CSG17.html#group48AM17", "48AM¹⁷"), =HYPERLINK("CSG10.html#group24E10", "24E¹⁰"), =HYPERLINK("CSG21.html#group96E21", "96E²¹"), =HYPERLINK("CSG19.html#group48AL19", "48AL¹⁹"), =HYPERLINK("CSG17.html#group48AH17", "48AH¹⁷"), =HYPERLINK("CSG19.html#group48I19", "48I¹⁹"), =HYPERLINK("CSG17.html#group96W17", "96W¹⁷"), =HYPERLINK("CSG17.html#group48P17", "48P¹⁷"), =HYPERLINK("CSG21.html#group48AT21", "48AT²¹"), =HYPERLINK("CSG19.html#group96M19", "96M¹⁹"), =HYPERLINK("CSG19.html#group48AZ19", "48AZ¹⁹"), =HYPERLINK("CSG17.html#group48S17", "48S¹⁷"), =HYPERLINK("CSG13.html#group48AC13", "48AC¹³"), =HYPERLINK("CSG19.html#group48E19", "48E¹⁹"), =HYPERLINK("CSG17.html#group48AQ17", "48AQ¹⁷"), =HYPERLINK("CSG9.html#group24I9", "24I⁹"), =HYPERLINK("CSG16.html#group48H16", "48H¹⁶"), =HYPERLINK("CSG19.html#group48AY19", "48AY¹⁹"), =HYPERLINK("CSG19.html#group96E19", "96E¹⁹"), =HYPERLINK("CSG19.html#group24G19", "24G¹⁹"), =HYPERLINK("CSG21.html#group48Q21", "48Q²¹"), =HYPERLINK("CSG7.html#group48U7", "48U⁷"), =HYPERLINK("CSG10.html#group96D10", "96D¹⁰"), =HYPERLINK("CSG15.html#group72V15", "72V¹⁵"), =HYPERLINK("CSG6.html#group24D6", "24D⁶"), =HYPERLINK("CSG16.html#group24E16", "24E¹⁶"), =HYPERLINK("CSG17.html#group48AU17", "48AU¹⁷"), =HYPERLINK("CSG15.html#group48U15", "48U¹⁵"), =HYPERLINK("CSG13.html#group24V13", "24V¹³"), =HYPERLINK("CSG16.html#group48A16", "48A¹⁶"), =HYPERLINK("CSG17.html#group24F17", "24F¹⁷"), =HYPERLINK("CSG19.html#group48A19", "48A¹⁹"), =HYPERLINK("CSG21.html#group96AV21", "96AV²¹"), =HYPERLINK("CSG19.html#group48P19", "48P¹⁹"), =HYPERLINK("CSG18.html#group48T18", "48T¹⁸"), =HYPERLINK("CSG21.html#group48AF21", "48AF²¹"), =HYPERLINK("CSG19.html#group48AW19", "48AW¹⁹"), =HYPERLINK("CSG17.html#group48BR17", "48BR¹⁷"), =HYPERLINK("CSG15.html#group24D15", "24D¹⁵"), =HYPERLINK("CSG13.html#group24X13", "24X¹³"), =HYPERLINK("CSG17.html#group24D17", "24D¹⁷"), =HYPERLINK("CSG18.html#group48Q18", "48Q¹⁸"), =HYPERLINK("CSG15.html#group48X15", "48X¹⁵"), =HYPERLINK("CSG21.html#group48BV21", "48BV²¹"), =HYPERLINK("CSG11.html#group96I11", "96I¹¹"), =HYPERLINK("CSG17.html#group48BO17", "48BO¹⁷"), =HYPERLINK("CSG19.html#group48AD19", "48AD¹⁹"), =HYPERLINK("CSG9.html#group48T9", "48T⁹"), =HYPERLINK("CSG18.html#group96C18", "96C¹⁸"), =HYPERLINK("CSG9.html#group48U9", "48U⁹"), =HYPERLINK("CSG19.html#group48AF19", "48AF¹⁹"), =HYPERLINK("CSG18.html#group96E18", "96E¹⁸"), =HYPERLINK("CSG7.html#group48AB7", "48AB⁷"), =HYPERLINK("CSG19.html#group96AD19", "96AD¹⁹"), =HYPERLINK("CSG17.html#group48BZ17", "48BZ¹⁷"), =HYPERLINK("CSG16.html#group96A16", "96A¹⁶"), =HYPERLINK("CSG20.html#group96G20", "96G²⁰"), =HYPERLINK("CSG12.html#group72F12", "72F¹²"), =HYPERLINK("CSG8.html#group96C8", "96C⁸"), =HYPERLINK("CSG8.html#group48D8", "48D⁸"), =HYPERLINK("CSG19.html#group96AA19", "96AA¹⁹"), =HYPERLINK("CSG17.html#group48T17", "48T¹⁷"), =HYPERLINK("CSG20.html#group96O20", "96O²⁰"), =HYPERLINK("CSG15.html#group24E15", "24E¹⁵"), =HYPERLINK("CSG19.html#group24L19", "24L¹⁹"), =HYPERLINK("CSG4.html#group24L4", "24L⁴"), =HYPERLINK("CSG23.html#group96AD23", "96AD²³"), =HYPERLINK("CSG19.html#group48H19", "48H¹⁹"), =HYPERLINK("CSG18.html#group48D18", "48D¹⁸"), =HYPERLINK("CSG19.html#group48AU19", "48AU¹⁹"), =HYPERLINK("CSG19.html#group24P19", "24P¹⁹"), =HYPERLINK("CSG8.html#group48R8", "48R⁸"), =HYPERLINK("CSG21.html#group96AD21", "96AD²¹"), =HYPERLINK("CSG21.html#group48L21", "48L²¹"), =HYPERLINK("CSG21.html#group48BL21", "48BL²¹"), =HYPERLINK("CSG19.html#group48S19", "48S¹⁹"), =HYPERLINK("CSG3.html#group24O3", "24O³"), =HYPERLINK("CSG5.html#group24W5", "24W⁵"), =HYPERLINK("CSG22.html#group48D22", "48D²²"), =HYPERLINK("CSG18.html#group48M18", "48M¹⁸"), =HYPERLINK("CSG15.html#group72K15", "72K¹⁵"), =HYPERLINK("CSG17.html#group96X17", "96X¹⁷"), =HYPERLINK("CSG15.html#group48E15", "48E¹⁵"), =HYPERLINK("CSG17.html#group48AE17", "48AE¹⁷"), =HYPERLINK("CSG13.html#group120F13", "120F¹³"), =HYPERLINK("CSG17.html#group24P17", "24P¹⁷"), =HYPERLINK("CSG20.html#group48A20", "48A²⁰"), =HYPERLINK("CSG14.html#group72C14", "72C¹⁴"), =HYPERLINK("CSG7.html#group24L7", "24L⁷"), =HYPERLINK("CSG17.html#group48BX17", "48BX¹⁷"), =HYPERLINK("CSG19.html#group96A19", "96A¹⁹"), =HYPERLINK("CSG22.html#group168B22", "168B²²"), =HYPERLINK("CSG17.html#group96N17", "96N¹⁷"), =HYPERLINK("CSG17.html#group24AG17", "24AG¹⁷"), =HYPERLINK("CSG17.html#group48AT17", "48AT¹⁷"), =HYPERLINK("CSG11.html#group48J11", "48J¹¹"), =HYPERLINK("CSG20.html#group96K20", "96K²⁰"), =HYPERLINK("CSG17.html#group24AM17", "24AM¹⁷"), =HYPERLINK("CSG19.html#group96J19", "96J¹⁹"), =HYPERLINK("CSG9.html#group24R9", "24R⁹"), =HYPERLINK("CSG15.html#group48T15", "48T¹⁵"), =HYPERLINK("CSG17.html#group48AF17", "48AF¹⁷"), =HYPERLINK("CSG21.html#group96AW21", "96AW²¹"), =HYPERLINK("CSG17.html#group96V17", "96V¹⁷"), =HYPERLINK("CSG18.html#group48N18", "48N¹⁸"), =HYPERLINK("CSG15.html#group24R15", "24R¹⁵"), =HYPERLINK("CSG19.html#group24Q19", "24Q¹⁹"), =HYPERLINK("CSG17.html#group48AS17", "48AS¹⁷"), =HYPERLINK("CSG7.html#group48O7", "48O⁷"), =HYPERLINK("CSG19.html#group96B19", "96B¹⁹"), =HYPERLINK("CSG17.html#group96T17", "96T¹⁷"), =HYPERLINK("CSG3.html#group24Q3", "24Q³"), =HYPERLINK("CSG16.html#group72M16", "72M¹⁶"), =HYPERLINK("CSG21.html#group48AQ21", "48AQ²¹"), =HYPERLINK("CSG21.html#group96B21", "96B²¹"), =HYPERLINK("CSG17.html#group48D17", "48D¹⁷"), =HYPERLINK("CSG16.html#group72A16", "72A¹⁶"), =HYPERLINK("CSG17.html#group96D17", "96D¹⁷"), =HYPERLINK("CSG9.html#group24Q9", "24Q⁹"), =HYPERLINK("CSG17.html#group96C17", "96C¹⁷"), =HYPERLINK("CSG21.html#group48BN21", "48BN²¹"), =HYPERLINK("CSG14.html#group144C14", "144C¹⁴"), =HYPERLINK("CSG18.html#group96G18", "96G¹⁸"), =HYPERLINK("CSG15.html#group144D15", "144D¹⁵"), =HYPERLINK("CSG8.html#group24D8", "24D⁸"), =HYPERLINK("CSG6.html#group48I6", "48I⁶"), =HYPERLINK("CSG19.html#group48X19", "48X¹⁹"), =HYPERLINK("CSG21.html#group48AS21", "48AS²¹"), =HYPERLINK("CSG14.html#group144D14", "144D¹⁴"), =HYPERLINK("CSG17.html#group48AL17", "48AL¹⁷"), =HYPERLINK("CSG21.html#group48T21", "48T²¹"), =HYPERLINK("CSG2.html#group24L2", "24L²"), =HYPERLINK("CSG7.html#group48Z7", "48Z⁷"), =HYPERLINK("CSG17.html#group24S17", "24S¹⁷"), =HYPERLINK("CSG8.html#group96F8", "96F⁸"), =HYPERLINK("CSG22.html#group96C22", "96C²²"), =HYPERLINK("CSG16.html#group96D16", "96D¹⁶"), =HYPERLINK("CSG17.html#group96Y17", "96Y¹⁷"), =HYPERLINK("CSG19.html#group48AJ19", "48AJ¹⁹"), =HYPERLINK("CSG13.html#group48AB13", "48AB¹³"), =HYPERLINK("CSG19.html#group48D19", "48D¹⁹"), =HYPERLINK("CSG21.html#group48AR21", "48AR²¹"), =HYPERLINK("CSG7.html#group48AA7", "48AA⁷"), =HYPERLINK("CSG7.html#group24H7", "24H⁷"), =HYPERLINK("CSG19.html#group48AM19", "48AM¹⁹"), =HYPERLINK("CSG17.html#group48E17", "48E¹⁷"), =HYPERLINK("CSG19.html#group24D19", "24D¹⁹"), =HYPERLINK("CSG20.html#group96L20", "96L²⁰"), =HYPERLINK("CSG7.html#group24AC7", "24AC⁷"), =HYPERLINK("CSG20.html#group96N20", "96N²⁰"), =HYPERLINK("CSG13.html#group24R13", "24R¹³"), =HYPERLINK("CSG13.html#group72H13", "72H¹³"), =HYPERLINK("CSG18.html#group48L18", "48L¹⁸"), =HYPERLINK("CSG15.html#group48V15", "48V¹⁵"), =HYPERLINK("CSG19.html#group48AX19", "48AX¹⁹"), =HYPERLINK("CSG4.html#group48E4", "48E⁴"), =HYPERLINK("CSG9.html#group48S9", "48S⁹"), =HYPERLINK("CSG15.html#group96O15", "96O¹⁵"), =HYPERLINK("CSG14.html#group72E14", "72E¹⁴"), =HYPERLINK("CSG22.html#group96A22", "96A²²"), =HYPERLINK("CSG17.html#group48Q17", "48Q¹⁷"), =HYPERLINK("CSG21.html#group48V21", "48V²¹"), =HYPERLINK("CSG10.html#group96C10", "96C¹⁰"), =HYPERLINK("CSG18.html#group48E18", "48E¹⁸"), =HYPERLINK("CSG20.html#group96H20", "96H²⁰"), =HYPERLINK("CSG17.html#group96R17", "96R¹⁷"), =HYPERLINK("CSG15.html#group48F15", "48F¹⁵"), =HYPERLINK("CSG9.html#group48K9", "48K⁹"), =HYPERLINK("CSG20.html#group72D20", "72D²⁰"), =HYPERLINK("CSG15.html#group24N15", "24N¹⁵"), =HYPERLINK("CSG17.html#group24J17", "24J¹⁷"), =HYPERLINK("CSG13.html#group24K13", "24K¹³"), =HYPERLINK("CSG15.html#group48Y15", "48Y¹⁵"), =HYPERLINK("CSG19.html#group48AV19", "48AV¹⁹"), =HYPERLINK("CSG15.html#group24O15", "24O¹⁵"), =HYPERLINK("CSG19.html#group48O19", "48O¹⁹"), =HYPERLINK("CSG17.html#group96E17", "96E¹⁷"), =HYPERLINK("CSG19.html#group48M19", "48M¹⁹"), =HYPERLINK("CSG18.html#group48F18", "48F¹⁸"), =HYPERLINK("CSG19.html#group48F19", "48F¹⁹"), =HYPERLINK("CSG16.html#group24C16", "24C¹⁶"), =HYPERLINK("CSG21.html#group48AX21", "48AX²¹"), =HYPERLINK("CSG12.html#group72M12", "72M¹²"), =HYPERLINK("CSG8.html#group48C8", "48C⁸"), =HYPERLINK("CSG9.html#group24C9", "24C⁹"), =HYPERLINK("CSG19.html#group96AZ19", "96AZ¹⁹"), =HYPERLINK("CSG11.html#group48C11", "48C¹¹"), =HYPERLINK("CSG15.html#group48W15", "48W¹⁵"), =HYPERLINK("CSG17.html#group96U17", "96U¹⁷"), =HYPERLINK("CSG17.html#group96B17", "96B¹⁷"), =HYPERLINK("CSG19.html#group48Y19", "48Y¹⁹"), =HYPERLINK("CSG8.html#group48Z8", "48Z⁸"), =HYPERLINK("CSG16.html#group24B16", "24B¹⁶"), =HYPERLINK("CSG11.html#group24N11", "24N¹¹"), =HYPERLINK("CSG17.html#group96F17", "96F¹⁷"), =HYPERLINK("CSG19.html#group96AB19", "96AB¹⁹"), =HYPERLINK("CSG17.html#group48AJ17", "48AJ¹⁷"), =HYPERLINK("CSG18.html#group48S18", "48S¹⁸"), =HYPERLINK("CSG21.html#group48U21", "48U²¹"), =HYPERLINK("CSG17.html#group48AP17", "48AP¹⁷"), =HYPERLINK("CSG22.html#group48C22", "48C²²"), =HYPERLINK("CSG16.html#group24D16", "24D¹⁶"), =HYPERLINK("CSG17.html#group24AH17", "24AH¹⁷"), =HYPERLINK("CSG3.html#group48D3", "48D³"), =HYPERLINK("CSG13.html#group72N13", "72N¹³"), =HYPERLINK("CSG18.html#group96F18", "96F¹⁸"), =HYPERLINK("CSG17.html#group48H17", "48H¹⁷"), =HYPERLINK("CSG7.html#group24P7", "24P⁷"), =HYPERLINK("CSG19.html#group48G19", "48G¹⁹"), =HYPERLINK("CSG15.html#group48J15", "48J¹⁵"), =HYPERLINK("CSG17.html#group24H17", "24H¹⁷"), =HYPERLINK("CSG8.html#group48Q8", "48Q⁸"), =HYPERLINK("CSG17.html#group24N17", "24N¹⁷"), =HYPERLINK("CSG17.html#group96O17", "96O¹⁷"), =HYPERLINK("CSG19.html#group48W19", "48W¹⁹"), =HYPERLINK("CSG6.html#group24G6", "24G⁶"), =HYPERLINK("CSG16.html#group48I16", "48I¹⁶"), =HYPERLINK("CSG17.html#group24AF17", "24AF¹⁷"), =HYPERLINK("CSG9.html#group48A9", "48A⁹"), =HYPERLINK("CSG19.html#group48B19", "48B¹⁹"), =HYPERLINK("CSG17.html#group72F17", "72F¹⁷"), =HYPERLINK("CSG19.html#group48AE19", "48AE¹⁹"), =HYPERLINK("CSG17.html#group48BU17", "48BU¹⁷"), =HYPERLINK("CSG19.html#group48N19", "48N¹⁹"), =HYPERLINK("CSG19.html#group96H19", "96H¹⁹"), =HYPERLINK("CSG5.html#group24B5", "24B⁵"), =HYPERLINK("CSG21.html#group96H21", "96H²¹"), =HYPERLINK("CSG2.html#group24O2", "24O²"), =HYPERLINK("CSG21.html#group96AC21", "96AC²¹"), =HYPERLINK("CSG10.html#group48A10", "48A¹⁰"), =HYPERLINK("CSG9.html#group48AD9", "48AD⁹"), =HYPERLINK("CSG19.html#group96AC19", "96AC¹⁹"), =HYPERLINK("CSG3.html#group48G3", "48G³"), =HYPERLINK("CSG21.html#group96A21", "96A²¹"), =HYPERLINK("CSG7.html#group48AC7", "48AC⁷"), =HYPERLINK("CSG16.html#group96C16", "96C¹⁶"), =HYPERLINK("CSG7.html#group48P7", "48P⁷"), =HYPERLINK("CSG7.html#group24J7", "24J⁷"), =HYPERLINK("CSG20.html#group48B20", "48B²⁰"), =HYPERLINK("CSG17.html#group24AI17", "24AI¹⁷"), =HYPERLINK("CSG15.html#group24Q15", "24Q¹⁵"), =HYPERLINK("CSG21.html#group48AZ21", "48AZ²¹"), =HYPERLINK("CSG17.html#group48J17", "48J¹⁷"), =HYPERLINK("CSG15.html#group24P15", "24P¹⁵"), =HYPERLINK("CSG8.html#group48N8", "48N⁸"), =HYPERLINK("CSG23.html#group96A23", "96A²³"), =HYPERLINK("CSG21.html#group48F21", "48F²¹"), =HYPERLINK("CSG7.html#group24K7", "24K⁷"), =HYPERLINK("CSG16.html#group96E16", "96E¹⁶"), =HYPERLINK("CSG20.html#group96A20", "96A²⁰"), =HYPERLINK("CSG19.html#group24A19", "24A¹⁹"), =HYPERLINK("CSG17.html#group48BN17", "48BN¹⁷"), =HYPERLINK("CSG9.html#group48E9", "48E⁹"), =HYPERLINK("CSG17.html#group48K17", "48K¹⁷"), =HYPERLINK("CSG20.html#group96E20", "96E²⁰"), =HYPERLINK("CSG14.html#group144B14", "144B¹⁴"), =HYPERLINK("CSG18.html#group48I18", "48I¹⁸"), =HYPERLINK("CSG15.html#group144C15", "144C¹⁵"), =HYPERLINK("CSG19.html#group48AG19", "48AG¹⁹"), =HYPERLINK("CSG4.html#group24D4", "24D⁴"), =HYPERLINK("CSG15.html#group48I15", "48I¹⁵"), =HYPERLINK("CSG12.html#group72I12", "72I¹²"), =HYPERLINK("CSG23.html#group96AC23", "96AC²³"), =HYPERLINK("CSG19.html#group48V19", "48V¹⁹"), =HYPERLINK("CSG16.html#group168D16", "168D¹⁶"), =HYPERLINK("CSG19.html#group48BA19", "48BA¹⁹"), =HYPERLINK("CSG21.html#group48BA21", "48BA²¹"), =HYPERLINK("CSG19.html#group48C19", "48C¹⁹"), =HYPERLINK("CSG16.html#group48G16", "48G¹⁶"), =HYPERLINK("CSG17.html#group48AN17", "48AN¹⁷"), =HYPERLINK("CSG17.html#group48I17", "48I¹⁷"), =HYPERLINK("CSG19.html#group48AK19", "48AK¹⁹"), =HYPERLINK("CSG8.html#group48F8", "48F⁸"), =HYPERLINK("CSG11.html#group48O11", "48O¹¹"), =HYPERLINK("CSG16.html#group24A16", "24A¹⁶"), =HYPERLINK("CSG8.html#group96D8", "96D⁸"), =HYPERLINK("CSG17.html#group48AO17", "48AO¹⁷"), =HYPERLINK("CSG13.html#group120A13", "120A¹³"), =HYPERLINK("CSG19.html#group24F19", "24F¹⁹"), =HYPERLINK("CSG19.html#group48J19", "48J¹⁹"), =HYPERLINK("CSG17.html#group48BP17", "48BP¹⁷"), =HYPERLINK("CSG5.html#group24U5", "24U⁵"), =HYPERLINK("CSG7.html#group24AB7", "24AB⁷"), =HYPERLINK("CSG19.html#group48U19", "48U¹⁹"), =HYPERLINK("CSG17.html#group24E17", "24E¹⁷"), =HYPERLINK("CSG19.html#group48AC19", "48AC¹⁹"), =HYPERLINK("CSG22.html#group96D22", "96D²²"), =HYPERLINK("CSG9.html#group48R9", "48R⁹"), =HYPERLINK("CSG18.html#group48P18", "48P¹⁸"), =HYPERLINK("CSG15.html#group48G15", "48G¹⁵"), =HYPERLINK("CSG19.html#group48T19", "48T¹⁹"), =HYPERLINK("CSG17.html#group24B17", "24B¹⁷"), =HYPERLINK("CSG4.html#group48H4", "48H⁴"), =HYPERLINK("CSG8.html#group24B8", "24B⁸"), =HYPERLINK("CSG15.html#group48H15", "48H¹⁵"), =HYPERLINK("CSG19.html#group48L19", "48L¹⁹"), =HYPERLINK("CSG13.html#group48AD13", "48AD¹³"), =HYPERLINK("CSG8.html#group48P8", "48P⁸"), =HYPERLINK("CSG8.html#group96E8", "96E⁸"), =HYPERLINK("CSG15.html#group48S15", "48S¹⁵"), =HYPERLINK("CSG10.html#group48B10", "48B¹⁰"), =HYPERLINK("CSG6.html#group72C6", "72C⁶"), =HYPERLINK("CSG16.html#group48F16", "48F¹⁶"), =HYPERLINK("CSG17.html#group48BV17", "48BV¹⁷"), =HYPERLINK("CSG23.html#group72K23", "72K²³"), =HYPERLINK("CSG19.html#group48BN19", "48BN¹⁹"), =HYPERLINK("CSG6.html#group48J6", "48J⁶"), =HYPERLINK("CSG21.html#group48E21", "48E²¹"), =HYPERLINK("CSG20.html#group96M20", "96M²⁰"), =HYPERLINK("CSG19.html#group48AB19", "48AB¹⁹"), =HYPERLINK("CSG10.html#group48C10", "48C¹⁰"), =HYPERLINK("CSG21.html#group48BM21", "48BM²¹"), =HYPERLINK("CSG15.html#group24M15", "24M¹⁵")</f>
        <v/>
      </c>
    </row>
    <row r="254">
      <c r="A254" t="inlineStr">
        <is>
          <t>24D¹</t>
        </is>
      </c>
      <c r="B254" t="inlineStr"/>
      <c r="C254" t="inlineStr">
        <is>
          <t>36</t>
        </is>
      </c>
      <c r="D254" t="inlineStr">
        <is>
          <t>1</t>
        </is>
      </c>
      <c r="E254" t="inlineStr">
        <is>
          <t>9</t>
        </is>
      </c>
      <c r="F254" t="inlineStr">
        <is>
          <t>8</t>
        </is>
      </c>
      <c r="G254" t="inlineStr">
        <is>
          <t>0</t>
        </is>
      </c>
      <c r="H254" t="inlineStr">
        <is>
          <t>12¹, 24¹</t>
        </is>
      </c>
      <c r="I254" t="n">
        <v>2</v>
      </c>
      <c r="J254" t="inlineStr">
        <is>
          <t>1³, 2³</t>
        </is>
      </c>
      <c r="K254">
        <f>HYPERLINK("CSG0.html#group12C0", "12C⁰")</f>
        <v/>
      </c>
      <c r="L254">
        <f>HYPERLINK("CSG1.html#group24H1", "24H¹"), =HYPERLINK("CSG3.html#group24H3", "24H³"), =HYPERLINK("CSG3.html#group24P3", "24P³"), =HYPERLINK("CSG3.html#group24Q3", "24Q³"), =HYPERLINK("CSG3.html#group24S3", "24S³"), =HYPERLINK("CSG3.html#group24T3", "24T³"), =HYPERLINK("CSG5.html#group24E5", "24E⁵"), =HYPERLINK("CSG5.html#group24F5", "24F⁵"), =HYPERLINK("CSG5.html#group72A5", "72A⁵"), =HYPERLINK("CSG7.html#group72B7", "72B⁷"), =HYPERLINK("CSG13.html#group120B13", "120B¹³"), =HYPERLINK("CSG13.html#group120H13", "120H¹³"), =HYPERLINK("CSG15.html#group168B15", "168B¹⁵"), =HYPERLINK("CSG23.html#group168C23", "168C²³")</f>
        <v/>
      </c>
      <c r="M254">
        <f>HYPERLINK("CSG0.html#group2B0", "2B⁰"), =HYPERLINK("CSG0.html#group12C0", "12C⁰"), =HYPERLINK("CSG0.html#group3A0", "3A⁰"), =HYPERLINK("CSG0.html#group1A0", "1A⁰"), =HYPERLINK("CSG0.html#group6D0", "6D⁰"), =HYPERLINK("CSG0.html#group4C0", "4C⁰")</f>
        <v/>
      </c>
      <c r="N254">
        <f>HYPERLINK("CSG19.html#group96AH19", "96AH¹⁹"), =HYPERLINK("CSG19.html#group96AE19", "96AE¹⁹"), =HYPERLINK("CSG13.html#group24R13", "24R¹³"), =HYPERLINK("CSG17.html#group48AI17", "48AI¹⁷"), =HYPERLINK("CSG13.html#group72P13", "72P¹³"), =HYPERLINK("CSG19.html#group24M19", "24M¹⁹"), =HYPERLINK("CSG17.html#group24I17", "24I¹⁷"), =HYPERLINK("CSG20.html#group96D20", "96D²⁰"), =HYPERLINK("CSG15.html#group48V15", "48V¹⁵"), =HYPERLINK("CSG17.html#group24AB17", "24AB¹⁷"), =HYPERLINK("CSG17.html#group48CA17", "48CA¹⁷"), =HYPERLINK("CSG21.html#group48AE21", "48AE²¹"), =HYPERLINK("CSG23.html#group168C23", "168C²³"), =HYPERLINK("CSG19.html#group48Z19", "48Z¹⁹"), =HYPERLINK("CSG21.html#group48O21", "48O²¹"), =HYPERLINK("CSG3.html#group24S3", "24S³"), =HYPERLINK("CSG21.html#group48A21", "48A²¹"), =HYPERLINK("CSG21.html#group48BF21", "48BF²¹"), =HYPERLINK("CSG23.html#group96S23", "96S²³"), =HYPERLINK("CSG19.html#group96AK19", "96AK¹⁹"), =HYPERLINK("CSG13.html#group24Q13", "24Q¹³"), =HYPERLINK("CSG13.html#group120H13", "120H¹³"), =HYPERLINK("CSG17.html#group24K17", "24K¹⁷"), =HYPERLINK("CSG1.html#group24H1", "24H¹"), =HYPERLINK("CSG20.html#group96C20", "96C²⁰"), =HYPERLINK("CSG7.html#group24AD7", "24AD⁷"), =HYPERLINK("CSG9.html#group48V9", "48V⁹"), =HYPERLINK("CSG17.html#group24W17", "24W¹⁷"), =HYPERLINK("CSG21.html#group48AA21", "48AA²¹"), =HYPERLINK("CSG15.html#group72P15", "72P¹⁵"), =HYPERLINK("CSG7.html#group48AH7", "48AH⁷"), =HYPERLINK("CSG17.html#group48R17", "48R¹⁷"), =HYPERLINK("CSG17.html#group48CD17", "48CD¹⁷"), =HYPERLINK("CSG17.html#group48M17", "48M¹⁷"), =HYPERLINK("CSG20.html#group48H20", "48H²⁰"), =HYPERLINK("CSG21.html#group48X21", "48X²¹"), =HYPERLINK("CSG19.html#group48I19", "48I¹⁹"), =HYPERLINK("CSG17.html#group24J17", "24J¹⁷"), =HYPERLINK("CSG20.html#group48C20", "48C²⁰"), =HYPERLINK("CSG13.html#group72J13", "72J¹³"), =HYPERLINK("CSG15.html#group24O15", "24O¹⁵"), =HYPERLINK("CSG7.html#group48AD7", "48AD⁷"), =HYPERLINK("CSG21.html#group48B21", "48B²¹"), =HYPERLINK("CSG19.html#group96AS19", "96AS¹⁹"), =HYPERLINK("CSG17.html#group48BC17", "48BC¹⁷"), =HYPERLINK("CSG9.html#group24I9", "24I⁹"), =HYPERLINK("CSG17.html#group48AQ17", "48AQ¹⁷"), =HYPERLINK("CSG8.html#group24L8", "24L⁸"), =HYPERLINK("CSG9.html#group24Z9", "24Z⁹"), =HYPERLINK("CSG17.html#group48BG17", "48BG¹⁷"), =HYPERLINK("CSG17.html#group48BH17", "48BH¹⁷"), =HYPERLINK("CSG13.html#group24Z13", "24Z¹³"), =HYPERLINK("CSG18.html#group48K18", "48K¹⁸"), =HYPERLINK("CSG17.html#group48BF17", "48BF¹⁷"), =HYPERLINK("CSG13.html#group24S13", "24S¹³"), =HYPERLINK("CSG21.html#group48AW21", "48AW²¹"), =HYPERLINK("CSG23.html#group96Z23", "96Z²³"), =HYPERLINK("CSG15.html#group48U15", "48U¹⁵"), =HYPERLINK("CSG21.html#group48AV21", "48AV²¹"), =HYPERLINK("CSG21.html#group48BE21", "48BE²¹"), =HYPERLINK("CSG8.html#group48Z8", "48Z⁸"), =HYPERLINK("CSG13.html#group24V13", "24V¹³"), =HYPERLINK("CSG17.html#group72K17", "72K¹⁷"), =HYPERLINK("CSG21.html#group48S21", "48S²¹"), =HYPERLINK("CSG17.html#group48AJ17", "48AJ¹⁷"), =HYPERLINK("CSG13.html#group24AA13", "24AA¹³"), =HYPERLINK("CSG19.html#group48P19", "48P¹⁹"), =HYPERLINK("CSG11.html#group48P11", "48P¹¹"), =HYPERLINK("CSG19.html#group48AW19", "48AW¹⁹"), =HYPERLINK("CSG21.html#group48AU21", "48AU²¹"), =HYPERLINK("CSG19.html#group48BM19", "48BM¹⁹"), =HYPERLINK("CSG17.html#group48BR17", "48BR¹⁷"), =HYPERLINK("CSG23.html#group96T23", "96T²³"), =HYPERLINK("CSG17.html#group72J17", "72J¹⁷"), =HYPERLINK("CSG21.html#group48G21", "48G²¹"), =HYPERLINK("CSG13.html#group24X13", "24X¹³"), =HYPERLINK("CSG21.html#group48BT21", "48BT²¹"), =HYPERLINK("CSG13.html#group120B13", "120B¹³"), =HYPERLINK("CSG17.html#group48AV17", "48AV¹⁷"), =HYPERLINK("CSG15.html#group168B15", "168B¹⁵"), =HYPERLINK("CSG15.html#group24S15", "24S¹⁵"), =HYPERLINK("CSG17.html#group48CC17", "48CC¹⁷"), =HYPERLINK("CSG13.html#group72N13", "72N¹³"), =HYPERLINK("CSG18.html#group96F18", "96F¹⁸"), =HYPERLINK("CSG21.html#group48M21", "48M²¹"), =HYPERLINK("CSG7.html#group24P7", "24P⁷"), =HYPERLINK("CSG17.html#group48BD17", "48BD¹⁷"), =HYPERLINK("CSG17.html#group24H17", "24H¹⁷"), =HYPERLINK("CSG19.html#group96AM19", "96AM¹⁹"), =HYPERLINK("CSG5.html#group72A5", "72A⁵"), =HYPERLINK("CSG19.html#group48AF19", "48AF¹⁹"), =HYPERLINK("CSG9.html#group48I9", "48I⁹"), =HYPERLINK("CSG19.html#group24S19", "24S¹⁹"), =HYPERLINK("CSG17.html#group24AK17", "24AK¹⁷"), =HYPERLINK("CSG8.html#group48Q8", "48Q⁸"), =HYPERLINK("CSG17.html#group24N17", "24N¹⁷"), =HYPERLINK("CSG17.html#group24O17", "24O¹⁷"), =HYPERLINK("CSG23.html#group96Y23", "96Y²³"), =HYPERLINK("CSG18.html#group96E18", "96E¹⁸"), =HYPERLINK("CSG15.html#group72J15", "72J¹⁵"), =HYPERLINK("CSG21.html#group72X21", "72X²¹"), =HYPERLINK("CSG11.html#group48S11", "48S¹¹"), =HYPERLINK("CSG11.html#group96K11", "96K¹¹"), =HYPERLINK("CSG19.html#group96AL19", "96AL¹⁹"), =HYPERLINK("CSG9.html#group24U9", "24U⁹"), =HYPERLINK("CSG17.html#group48BE17", "48BE¹⁷"), =HYPERLINK("CSG15.html#group72I15", "72I¹⁵"), =HYPERLINK("CSG21.html#group48K21", "48K²¹"), =HYPERLINK("CSG13.html#group48AF13", "48AF¹³"), =HYPERLINK("CSG19.html#group96AF19", "96AF¹⁹"), =HYPERLINK("CSG19.html#group144J19", "144J¹⁹"), =HYPERLINK("CSG17.html#group48BU17", "48BU¹⁷"), =HYPERLINK("CSG21.html#group48AP21", "48AP²¹"), =HYPERLINK("CSG9.html#group24N9", "24N⁹"), =HYPERLINK("CSG17.html#group24C17", "24C¹⁷"), =HYPERLINK("CSG19.html#group48H19", "48H¹⁹"), =HYPERLINK("CSG17.html#group48AR17", "48AR¹⁷"), =HYPERLINK("CSG15.html#group24T15", "24T¹⁵"), =HYPERLINK("CSG5.html#group24X5", "24X⁵"), =HYPERLINK("CSG21.html#group48AO21", "48AO²¹"), =HYPERLINK("CSG19.html#group96AU19", "96AU¹⁹"), =HYPERLINK("CSG13.html#group48AA13", "48AA¹³"), =HYPERLINK("CSG17.html#group48BM17", "48BM¹⁷"), =HYPERLINK("CSG9.html#group48AF9", "48AF⁹"), =HYPERLINK("CSG19.html#group48AI19", "48AI¹⁹"), =HYPERLINK("CSG17.html#group24AJ17", "24AJ¹⁷"), =HYPERLINK("CSG5.html#group24W5", "24W⁵"), =HYPERLINK("CSG5.html#group24F5", "24F⁵"), =HYPERLINK("CSG7.html#group48S7", "48S⁷"), =HYPERLINK("CSG17.html#group24AI17", "24AI¹⁷"), =HYPERLINK("CSG7.html#group48T7", "48T⁷"), =HYPERLINK("CSG15.html#group72K15", "72K¹⁵"), =HYPERLINK("CSG17.html#group24Z17", "24Z¹⁷"), =HYPERLINK("CSG15.html#group24Q15", "24Q¹⁵"), =HYPERLINK("CSG13.html#group72I13", "72I¹³"), =HYPERLINK("CSG21.html#group48AZ21", "48AZ²¹"), =HYPERLINK("CSG21.html#group48Y21", "48Y²¹"), =HYPERLINK("CSG7.html#group24AE7", "24AE⁷"), =HYPERLINK("CSG15.html#group24P15", "24P¹⁵"), =HYPERLINK("CSG17.html#group24P17", "24P¹⁷"), =HYPERLINK("CSG19.html#group24I19", "24I¹⁹"), =HYPERLINK("CSG17.html#group24AC17", "24AC¹⁷"), =HYPERLINK("CSG15.html#group96V15", "96V¹⁵"), =HYPERLINK("CSG21.html#group48Z21", "48Z²¹"), =HYPERLINK("CSG13.html#group24Y13", "24Y¹³"), =HYPERLINK("CSG17.html#group48BY17", "48BY¹⁷"), =HYPERLINK("CSG11.html#group72R11", "72R¹¹"), =HYPERLINK("CSG17.html#group24AM17", "24AM¹⁷"), =HYPERLINK("CSG17.html#group24G17", "24G¹⁷"), =HYPERLINK("CSG23.html#group144Y23", "144Y²³"), =HYPERLINK("CSG9.html#group24B9", "24B⁹"), =HYPERLINK("CSG19.html#group24H19", "24H¹⁹"), =HYPERLINK("CSG5.html#group24Y5", "24Y⁵"), =HYPERLINK("CSG19.html#group48AG19", "48AG¹⁹"), =HYPERLINK("CSG19.html#group48AH19", "48AH¹⁹"), =HYPERLINK("CSG9.html#group24R9", "24R⁹"), =HYPERLINK("CSG21.html#group72AA21", "72AA²¹"), =HYPERLINK("CSG17.html#group48CI17", "48CI¹⁷"), =HYPERLINK("CSG13.html#group48AE13", "48AE¹³"), =HYPERLINK("CSG15.html#group48T15", "48T¹⁵"), =HYPERLINK("CSG19.html#group96U19", "96U¹⁹"), =HYPERLINK("CSG19.html#group96AG19", "96AG¹⁹"), =HYPERLINK("CSG19.html#group48V19", "48V¹⁹"), =HYPERLINK("CSG15.html#group72N15", "72N¹⁵"), =HYPERLINK("CSG9.html#group48H9", "48H⁹"), =HYPERLINK("CSG17.html#group24R17", "24R¹⁷"), =HYPERLINK("CSG21.html#group48BA21", "48BA²¹"), =HYPERLINK("CSG8.html#group24K8", "24K⁸"), =HYPERLINK("CSG15.html#group48AC15", "48AC¹⁵"), =HYPERLINK("CSG18.html#group48J18", "48J¹⁸"), =HYPERLINK("CSG7.html#group72B7", "72B⁷"), =HYPERLINK("CSG17.html#group24T17", "24T¹⁷"), =HYPERLINK("CSG15.html#group24R15", "24R¹⁵"), =HYPERLINK("CSG19.html#group24Q19", "24Q¹⁹"), =HYPERLINK("CSG17.html#group48L17", "48L¹⁷"), =HYPERLINK("CSG17.html#group48AS17", "48AS¹⁷"), =HYPERLINK("CSG20.html#group48D20", "48D²⁰"), =HYPERLINK("CSG18.html#group48R18", "48R¹⁸"), =HYPERLINK("CSG9.html#group24E9", "24E⁹"), =HYPERLINK("CSG11.html#group48G11", "48G¹¹"), =HYPERLINK("CSG3.html#group24Q3", "24Q³"), =HYPERLINK("CSG19.html#group72W19", "72W¹⁹"), =HYPERLINK("CSG3.html#group24P3", "24P³"), =HYPERLINK("CSG9.html#group24G9", "24G⁹"), =HYPERLINK("CSG17.html#group72B17", "72B¹⁷"), =HYPERLINK("CSG5.html#group24E5", "24E⁵"), =HYPERLINK("CSG11.html#group72M11", "72M¹¹"), =HYPERLINK("CSG19.html#group24F19", "24F¹⁹"), =HYPERLINK("CSG13.html#group72O13", "72O¹³"), =HYPERLINK("CSG9.html#group72H9", "72H⁹"), =HYPERLINK("CSG5.html#group24V5", "24V⁵"), =HYPERLINK("CSG21.html#group48P21", "48P²¹"), =HYPERLINK("CSG3.html#group24H3", "24H³"), =HYPERLINK("CSG17.html#group24M17", "24M¹⁷"), =HYPERLINK("CSG19.html#group24E19", "24E¹⁹"), =HYPERLINK("CSG15.html#group72W15", "72W¹⁵"), =HYPERLINK("CSG3.html#group24T3", "24T³"), =HYPERLINK("CSG5.html#group24S5", "24S⁵"), =HYPERLINK("CSG15.html#group48AB15", "48AB¹⁵"), =HYPERLINK("CSG9.html#group24J9", "24J⁹"), =HYPERLINK("CSG17.html#group24E17", "24E¹⁷"), =HYPERLINK("CSG15.html#group72Q15", "72Q¹⁵"), =HYPERLINK("CSG18.html#group96G18", "96G¹⁸"), =HYPERLINK("CSG9.html#group24H9", "24H⁹"), =HYPERLINK("CSG17.html#group24V17", "24V¹⁷"), =HYPERLINK("CSG19.html#group96AT19", "96AT¹⁹"), =HYPERLINK("CSG19.html#group48L19", "48L¹⁹"), =HYPERLINK("CSG8.html#group48P8", "48P⁸"), =HYPERLINK("CSG8.html#group24P8", "24P⁸"), =HYPERLINK("CSG15.html#group48S15", "48S¹⁵"), =HYPERLINK("CSG17.html#group24S17", "24S¹⁷"), =HYPERLINK("CSG13.html#group72M13", "72M¹³"), =HYPERLINK("CSG19.html#group96AN19", "96AN¹⁹"), =HYPERLINK("CSG19.html#group96AV19", "96AV¹⁹"), =HYPERLINK("CSG17.html#group72E17", "72E¹⁷"), =HYPERLINK("CSG17.html#group48BQ17", "48BQ¹⁷"), =HYPERLINK("CSG17.html#group48BV17", "48BV¹⁷"), =HYPERLINK("CSG3.html#group48M3", "48M³"), =HYPERLINK("CSG19.html#group48BN19", "48BN¹⁹"), =HYPERLINK("CSG13.html#group24W13", "24W¹³"), =HYPERLINK("CSG17.html#group24AL17", "24AL¹⁷"), =HYPERLINK("CSG13.html#group48X13", "48X¹³"), =HYPERLINK("CSG9.html#group24T9", "24T⁹"), =HYPERLINK("CSG13.html#group48AB13", "48AB¹³"), =HYPERLINK("CSG20.html#group96M20", "96M²⁰"), =HYPERLINK("CSG7.html#group48AE7", "48AE⁷"), =HYPERLINK("CSG7.html#group24Q7", "24Q⁷")</f>
        <v/>
      </c>
    </row>
    <row r="255">
      <c r="A255" t="inlineStr">
        <is>
          <t>24E¹</t>
        </is>
      </c>
      <c r="B255" t="inlineStr"/>
      <c r="C255" t="inlineStr">
        <is>
          <t>36</t>
        </is>
      </c>
      <c r="D255" t="inlineStr">
        <is>
          <t>1</t>
        </is>
      </c>
      <c r="E255" t="inlineStr">
        <is>
          <t>18</t>
        </is>
      </c>
      <c r="F255" t="inlineStr">
        <is>
          <t>6</t>
        </is>
      </c>
      <c r="G255" t="inlineStr">
        <is>
          <t>0</t>
        </is>
      </c>
      <c r="H255" t="inlineStr">
        <is>
          <t>6², 24¹</t>
        </is>
      </c>
      <c r="I255" t="n">
        <v>3</v>
      </c>
      <c r="J255" t="inlineStr">
        <is>
          <t>1², 2⁴, 4²</t>
        </is>
      </c>
      <c r="K255">
        <f>HYPERLINK("CSG0.html#group12C0", "12C⁰")</f>
        <v/>
      </c>
      <c r="L255">
        <f>HYPERLINK("CSG2.html#group24N2", "24N²"), =HYPERLINK("CSG2.html#group24O2", "24O²"), =HYPERLINK("CSG2.html#group24P2", "24P²"), =HYPERLINK("CSG3.html#group24N3", "24N³"), =HYPERLINK("CSG3.html#group24O3", "24O³"), =HYPERLINK("CSG3.html#group24P3", "24P³"), =HYPERLINK("CSG3.html#group24T3", "24T³"), =HYPERLINK("CSG4.html#group24E4", "24E⁴"), =HYPERLINK("CSG4.html#group24K4", "24K⁴"), =HYPERLINK("CSG4.html#group24P4", "24P⁴"), =HYPERLINK("CSG5.html#group24G5", "24G⁵"), =HYPERLINK("CSG6.html#group72D6", "72D⁶"), =HYPERLINK("CSG6.html#group72E6", "72E⁶"), =HYPERLINK("CSG13.html#group120C13", "120C¹³"), =HYPERLINK("CSG13.html#group120J13", "120J¹³"), =HYPERLINK("CSG16.html#group168G16", "168G¹⁶"), =HYPERLINK("CSG22.html#group168D22", "168D²²")</f>
        <v/>
      </c>
      <c r="M255">
        <f>HYPERLINK("CSG0.html#group2B0", "2B⁰"), =HYPERLINK("CSG0.html#group12C0", "12C⁰"), =HYPERLINK("CSG0.html#group3A0", "3A⁰"), =HYPERLINK("CSG0.html#group1A0", "1A⁰"), =HYPERLINK("CSG0.html#group6D0", "6D⁰"), =HYPERLINK("CSG0.html#group4C0", "4C⁰")</f>
        <v/>
      </c>
      <c r="N255">
        <f>HYPERLINK("CSG15.html#group96R15", "96R¹⁵"), =HYPERLINK("CSG16.html#group96B16", "96B¹⁶"), =HYPERLINK("CSG21.html#group48AY21", "48AY²¹"), =HYPERLINK("CSG17.html#group48O17", "48O¹⁷"), =HYPERLINK("CSG11.html#group48T11", "48T¹¹"), =HYPERLINK("CSG8.html#group48O8", "48O⁸"), =HYPERLINK("CSG17.html#group48AI17", "48AI¹⁷"), =HYPERLINK("CSG19.html#group24M19", "24M¹⁹"), =HYPERLINK("CSG17.html#group48AK17", "48AK¹⁷"), =HYPERLINK("CSG19.html#group48BK19", "48BK¹⁹"), =HYPERLINK("CSG9.html#group24O9", "24O⁹"), =HYPERLINK("CSG21.html#group96AU21", "96AU²¹"), =HYPERLINK("CSG17.html#group24AB17", "24AB¹⁷"), =HYPERLINK("CSG17.html#group48CE17", "48CE¹⁷"), =HYPERLINK("CSG17.html#group48U17", "48U¹⁷"), =HYPERLINK("CSG21.html#group48AE21", "48AE²¹"), =HYPERLINK("CSG7.html#group24R7", "24R⁷"), =HYPERLINK("CSG19.html#group48Z19", "48Z¹⁹"), =HYPERLINK("CSG19.html#group48AT19", "48AT¹⁹"), =HYPERLINK("CSG15.html#group24K15", "24K¹⁵"), =HYPERLINK("CSG17.html#group48AG17", "48AG¹⁷"), =HYPERLINK("CSG9.html#group24AA9", "24AA⁹"), =HYPERLINK("CSG20.html#group96F20", "96F²⁰"), =HYPERLINK("CSG20.html#group96S20", "96S²⁰"), =HYPERLINK("CSG17.html#group24AD17", "24AD¹⁷"), =HYPERLINK("CSG17.html#group48CH17", "48CH¹⁷"), =HYPERLINK("CSG7.html#group24AD7", "24AD⁷"), =HYPERLINK("CSG21.html#group48AD21", "48AD²¹"), =HYPERLINK("CSG17.html#group72L17", "72L¹⁷"), =HYPERLINK("CSG20.html#group48H20", "48H²⁰"), =HYPERLINK("CSG19.html#group48AL19", "48AL¹⁹"), =HYPERLINK("CSG17.html#group48AH17", "48AH¹⁷"), =HYPERLINK("CSG21.html#group48BK21", "48BK²¹"), =HYPERLINK("CSG17.html#group96W17", "96W¹⁷"), =HYPERLINK("CSG17.html#group48P17", "48P¹⁷"), =HYPERLINK("CSG16.html#group72L16", "72L¹⁶"), =HYPERLINK("CSG21.html#group48AT21", "48AT²¹"), =HYPERLINK("CSG21.html#group48AB21", "48AB²¹"), =HYPERLINK("CSG8.html#group24G8", "24G⁸"), =HYPERLINK("CSG15.html#group24I15", "24I¹⁵"), =HYPERLINK("CSG13.html#group48AC13", "48AC¹³"), =HYPERLINK("CSG19.html#group48E19", "48E¹⁹"), =HYPERLINK("CSG17.html#group48AQ17", "48AQ¹⁷"), =HYPERLINK("CSG21.html#group48BH21", "48BH²¹"), =HYPERLINK("CSG8.html#group24L8", "24L⁸"), =HYPERLINK("CSG4.html#group24K4", "24K⁴"), =HYPERLINK("CSG9.html#group24Z9", "24Z⁹"), =HYPERLINK("CSG21.html#group48BQ21", "48BQ²¹"), =HYPERLINK("CSG15.html#group72V15", "72V¹⁵"), =HYPERLINK("CSG16.html#group72I16", "72I¹⁶"), =HYPERLINK("CSG15.html#group48U15", "48U¹⁵"), =HYPERLINK("CSG17.html#group48CF17", "48CF¹⁷"), =HYPERLINK("CSG21.html#group48BO21", "48BO²¹"), =HYPERLINK("CSG13.html#group24V13", "24V¹³"), =HYPERLINK("CSG16.html#group72B16", "72B¹⁶"), =HYPERLINK("CSG6.html#group48K6", "48K⁶"), =HYPERLINK("CSG17.html#group48BB17", "48BB¹⁷"), =HYPERLINK("CSG21.html#group96AV21", "96AV²¹"), =HYPERLINK("CSG21.html#group48AF21", "48AF²¹"), =HYPERLINK("CSG19.html#group48BM19", "48BM¹⁹"), =HYPERLINK("CSG21.html#group48BP21", "48BP²¹"), =HYPERLINK("CSG17.html#group48BR17", "48BR¹⁷"), =HYPERLINK("CSG19.html#group24O19", "24O¹⁹"), =HYPERLINK("CSG15.html#group24D15", "24D¹⁵"), =HYPERLINK("CSG13.html#group24X13", "24X¹³"), =HYPERLINK("CSG17.html#group24D17", "24D¹⁷"), =HYPERLINK("CSG12.html#group72H12", "72H¹²"), =HYPERLINK("CSG13.html#group120C13", "120C¹³"), =HYPERLINK("CSG21.html#group48BU21", "48BU²¹"), =HYPERLINK("CSG17.html#group24U17", "24U¹⁷"), =HYPERLINK("CSG7.html#group24O7", "24O⁷"), =HYPERLINK("CSG19.html#group48AF19", "48AF¹⁹"), =HYPERLINK("CSG17.html#group24AK17", "24AK¹⁷"), =HYPERLINK("CSG16.html#group72N16", "72N¹⁶"), =HYPERLINK("CSG22.html#group168D22", "168D²²"), =HYPERLINK("CSG15.html#group72J15", "72J¹⁵"), =HYPERLINK("CSG21.html#group48N21", "48N²¹"), =HYPERLINK("CSG9.html#group48L9", "48L⁹"), =HYPERLINK("CSG17.html#group48BA17", "48BA¹⁷"), =HYPERLINK("CSG16.html#group96A16", "96A¹⁶"), =HYPERLINK("CSG11.html#group48L11", "48L¹¹"), =HYPERLINK("CSG17.html#group72G17", "72G¹⁷"), =HYPERLINK("CSG15.html#group24E15", "24E¹⁵"), =HYPERLINK("CSG23.html#group96AH23", "96AH²³"), =HYPERLINK("CSG9.html#group24N9", "24N⁹"), =HYPERLINK("CSG19.html#group24L19", "24L¹⁹"), =HYPERLINK("CSG19.html#group24P19", "24P¹⁹"), =HYPERLINK("CSG13.html#group48AA13", "48AA¹³"), =HYPERLINK("CSG4.html#group24P4", "24P⁴"), =HYPERLINK("CSG21.html#group96Z21", "96Z²¹"), =HYPERLINK("CSG21.html#group48R21", "48R²¹"), =HYPERLINK("CSG17.html#group24AJ17", "24AJ¹⁷"), =HYPERLINK("CSG3.html#group24O3", "24O³"), =HYPERLINK("CSG5.html#group24W5", "24W⁵"), =HYPERLINK("CSG20.html#group96AC20", "96AC²⁰"), =HYPERLINK("CSG20.html#group96R20", "96R²⁰"), =HYPERLINK("CSG15.html#group48E15", "48E¹⁵"), =HYPERLINK("CSG16.html#group72O16", "72O¹⁶"), =HYPERLINK("CSG17.html#group48AE17", "48AE¹⁷"), =HYPERLINK("CSG19.html#group48AS19", "48AS¹⁹"), =HYPERLINK("CSG20.html#group96AA20", "96AA²⁰"), =HYPERLINK("CSG14.html#group72C14", "72C¹⁴"), =HYPERLINK("CSG17.html#group24AC17", "24AC¹⁷"), =HYPERLINK("CSG17.html#group24AG17", "24AG¹⁷"), =HYPERLINK("CSG15.html#group48K15", "48K¹⁵"), =HYPERLINK("CSG21.html#group48AC21", "48AC²¹"), =HYPERLINK("CSG17.html#group48CG17", "48CG¹⁷"), =HYPERLINK("CSG19.html#group48K19", "48K¹⁹"), =HYPERLINK("CSG20.html#group96K20", "96K²⁰"), =HYPERLINK("CSG17.html#group24AM17", "24AM¹⁷"), =HYPERLINK("CSG17.html#group24G17", "24G¹⁷"), =HYPERLINK("CSG17.html#group24Q17", "24Q¹⁷"), =HYPERLINK("CSG19.html#group24H19", "24H¹⁹"), =HYPERLINK("CSG19.html#group48AH19", "48AH¹⁹"), =HYPERLINK("CSG9.html#group24R9", "24R⁹"), =HYPERLINK("CSG17.html#group48CI17", "48CI¹⁷"), =HYPERLINK("CSG15.html#group48T15", "48T¹⁵"), =HYPERLINK("CSG17.html#group48AF17", "48AF¹⁷"), =HYPERLINK("CSG23.html#group96AF23", "96AF²³"), =HYPERLINK("CSG17.html#group24R17", "24R¹⁷"), =HYPERLINK("CSG17.html#group96V17", "96V¹⁷"), =HYPERLINK("CSG19.html#group24Q19", "24Q¹⁹"), =HYPERLINK("CSG15.html#group24R15", "24R¹⁵"), =HYPERLINK("CSG17.html#group48AS17", "48AS¹⁷"), =HYPERLINK("CSG17.html#group96T17", "96T¹⁷"), =HYPERLINK("CSG21.html#group48BX21", "48BX²¹"), =HYPERLINK("CSG9.html#group24Q9", "24Q⁹"), =HYPERLINK("CSG5.html#group24V5", "24V⁵"), =HYPERLINK("CSG19.html#group24R19", "24R¹⁹"), =HYPERLINK("CSG6.html#group24H6", "24H⁶"), =HYPERLINK("CSG3.html#group24T3", "24T³"), =HYPERLINK("CSG7.html#group24I7", "24I⁷"), =HYPERLINK("CSG15.html#group48AB15", "48AB¹⁵"), =HYPERLINK("CSG19.html#group48BL19", "48BL¹⁹"), =HYPERLINK("CSG2.html#group24N2", "24N²"), =HYPERLINK("CSG6.html#group48I6", "48I⁶"), =HYPERLINK("CSG19.html#group48X19", "48X¹⁹"), =HYPERLINK("CSG19.html#group48AO19", "48AO¹⁹"), =HYPERLINK("CSG17.html#group48AL17", "48AL¹⁷"), =HYPERLINK("CSG19.html#group24N19", "24N¹⁹"), =HYPERLINK("CSG7.html#group48Z7", "48Z⁷"), =HYPERLINK("CSG16.html#group96D16", "96D¹⁶"), =HYPERLINK("CSG9.html#group24X9", "24X⁹"), =HYPERLINK("CSG13.html#group48AB13", "48AB¹³"), =HYPERLINK("CSG7.html#group48AA7", "48AA⁷"), =HYPERLINK("CSG7.html#group24H7", "24H⁷"), =HYPERLINK("CSG19.html#group48AM19", "48AM¹⁹"), =HYPERLINK("CSG7.html#group24Q7", "24Q⁷"), =HYPERLINK("CSG21.html#group48BJ21", "48BJ²¹"), =HYPERLINK("CSG17.html#group48E17", "48E¹⁷"), =HYPERLINK("CSG19.html#group48BI19", "48BI¹⁹"), =HYPERLINK("CSG20.html#group96L20", "96L²⁰"), =HYPERLINK("CSG23.html#group96AG23", "96AG²³"), =HYPERLINK("CSG13.html#group24R13", "24R¹³"), =HYPERLINK("CSG13.html#group72P13", "72P¹³"), =HYPERLINK("CSG17.html#group24I17", "24I¹⁷"), =HYPERLINK("CSG14.html#group72H14", "72H¹⁴"), =HYPERLINK("CSG13.html#group72H13", "72H¹³"), =HYPERLINK("CSG8.html#group48S8", "48S⁸"), =HYPERLINK("CSG15.html#group48V15", "48V¹⁵"), =HYPERLINK("CSG13.html#group96G13", "96G¹³"), =HYPERLINK("CSG8.html#group24H8", "24H⁸"), =HYPERLINK("CSG9.html#group48S9", "48S⁹"), =HYPERLINK("CSG21.html#group48AN21", "48AN²¹"), =HYPERLINK("CSG6.html#group24K6", "24K⁶"), =HYPERLINK("CSG17.html#group48Q17", "48Q¹⁷"), =HYPERLINK("CSG9.html#group24P9", "24P⁹"), =HYPERLINK("CSG17.html#group24W17", "24W¹⁷"), =HYPERLINK("CSG7.html#group48AI7", "48AI⁷"), =HYPERLINK("CSG21.html#group48AA21", "48AA²¹"), =HYPERLINK("CSG15.html#group48F15", "48F¹⁵"), =HYPERLINK("CSG15.html#group24N15", "24N¹⁵"), =HYPERLINK("CSG17.html#group24J17", "24J¹⁷"), =HYPERLINK("CSG13.html#group24K13", "24K¹³"), =HYPERLINK("CSG20.html#group96Z20", "96Z²⁰"), =HYPERLINK("CSG20.html#group48C20", "48C²⁰"), =HYPERLINK("CSG23.html#group96AE23", "96AE²³"), =HYPERLINK("CSG15.html#group24O15", "24O¹⁵"), =HYPERLINK("CSG19.html#group48F19", "48F¹⁹"), =HYPERLINK("CSG17.html#group48BC17", "48BC¹⁷"), =HYPERLINK("CSG11.html#group48V11", "48V¹¹"), =HYPERLINK("CSG12.html#group72M12", "72M¹²"), =HYPERLINK("CSG19.html#group48BH19", "48BH¹⁹"), =HYPERLINK("CSG17.html#group48CB17", "48CB¹⁷"), =HYPERLINK("CSG13.html#group24Z13", "24Z¹³"), =HYPERLINK("CSG17.html#group96U17", "96U¹⁷"), =HYPERLINK("CSG18.html#group48K18", "48K¹⁸"), =HYPERLINK("CSG19.html#group48Y19", "48Y¹⁹"), =HYPERLINK("CSG11.html#group24N11", "24N¹¹"), =HYPERLINK("CSG9.html#group24M9", "24M⁹"), =HYPERLINK("CSG14.html#group72D14", "72D¹⁴"), =HYPERLINK("CSG15.html#group96Q15", "96Q¹⁵"), =HYPERLINK("CSG13.html#group24AA13", "24AA¹³"), =HYPERLINK("CSG17.html#group48AJ17", "48AJ¹⁷"), =HYPERLINK("CSG6.html#group72E6", "72E⁶"), =HYPERLINK("CSG3.html#group24N3", "24N³"), =HYPERLINK("CSG21.html#group48BT21", "48BT²¹"), =HYPERLINK("CSG17.html#group24AH17", "24AH¹⁷"), =HYPERLINK("CSG19.html#group96V19", "96V¹⁹"), =HYPERLINK("CSG20.html#group72F20", "72F²⁰"), =HYPERLINK("CSG15.html#group24S15", "24S¹⁵"), =HYPERLINK("CSG20.html#group96T20", "96T²⁰"), =HYPERLINK("CSG7.html#group24P7", "24P⁷"), =HYPERLINK("CSG17.html#group48BD17", "48BD¹⁷"), =HYPERLINK("CSG16.html#group168G16", "168G¹⁶"), =HYPERLINK("CSG17.html#group24H17", "24H¹⁷"), =HYPERLINK("CSG19.html#group24S19", "24S¹⁹"), =HYPERLINK("CSG17.html#group24N17", "24N¹⁷"), =HYPERLINK("CSG19.html#group48W19", "48W¹⁹"), =HYPERLINK("CSG17.html#group24AF17", "24AF¹⁷"), =HYPERLINK("CSG13.html#group72G13", "72G¹³"), =HYPERLINK("CSG17.html#group96AD17", "96AD¹⁷"), =HYPERLINK("CSG17.html#group48BU17", "48BU¹⁷"), =HYPERLINK("CSG19.html#group48BF19", "48BF¹⁹"), =HYPERLINK("CSG21.html#group48AG21", "48AG²¹"), =HYPERLINK("CSG12.html#group72G12", "72G¹²"), =HYPERLINK("CSG15.html#group48AF15", "48AF¹⁵"), =HYPERLINK("CSG11.html#group48U11", "48U¹¹"), =HYPERLINK("CSG9.html#group24F9", "24F⁹"), =HYPERLINK("CSG2.html#group24O2", "24O²"), =HYPERLINK("CSG15.html#group24T15", "24T¹⁵"), =HYPERLINK("CSG8.html#group48AB8", "48AB⁸"), =HYPERLINK("CSG17.html#group48BM17", "48BM¹⁷"), =HYPERLINK("CSG16.html#group96C16", "96C¹⁶"), =HYPERLINK("CSG19.html#group48AI19", "48AI¹⁹"), =HYPERLINK("CSG19.html#group48BJ19", "48BJ¹⁹"), =HYPERLINK("CSG2.html#group24P2", "24P²"), =HYPERLINK("CSG7.html#group24J7", "24J⁷"), =HYPERLINK("CSG19.html#group48AQ19", "48AQ¹⁹"), =HYPERLINK("CSG19.html#group48AN19", "48AN¹⁹"), =HYPERLINK("CSG17.html#group24AI17", "24AI¹⁷"), =HYPERLINK("CSG15.html#group24Q15", "24Q¹⁵"), =HYPERLINK("CSG21.html#group48AZ21", "48AZ²¹"), =HYPERLINK("CSG21.html#group48BI21", "48BI²¹"), =HYPERLINK("CSG7.html#group24AE7", "24AE⁷"), =HYPERLINK("CSG15.html#group48Z15", "48Z¹⁵"), =HYPERLINK("CSG15.html#group24P15", "24P¹⁵"), =HYPERLINK("CSG20.html#group96AB20", "96AB²⁰"), =HYPERLINK("CSG19.html#group24I19", "24I¹⁹"), =HYPERLINK("CSG8.html#group48N8", "48N⁸"), =HYPERLINK("CSG6.html#group24I6", "24I⁶"), =HYPERLINK("CSG16.html#group96E16", "96E¹⁶"), =HYPERLINK("CSG17.html#group48K17", "48K¹⁷"), =HYPERLINK("CSG20.html#group96E20", "96E²⁰"), =HYPERLINK("CSG8.html#group48W8", "48W⁸"), =HYPERLINK("CSG8.html#group48T8", "48T⁸"), =HYPERLINK("CSG9.html#group24W9", "24W⁹"), =HYPERLINK("CSG19.html#group48AG19", "48AG¹⁹"), =HYPERLINK("CSG20.html#group72E20", "72E²⁰"), =HYPERLINK("CSG12.html#group72I12", "72I¹²"), =HYPERLINK("CSG7.html#group48V7", "48V⁷"), =HYPERLINK("CSG19.html#group48V19", "48V¹⁹"), =HYPERLINK("CSG6.html#group72D6", "72D⁶"), =HYPERLINK("CSG21.html#group48BA21", "48BA²¹"), =HYPERLINK("CSG8.html#group24K8", "24K⁸"), =HYPERLINK("CSG15.html#group48AC15", "48AC¹⁵"), =HYPERLINK("CSG18.html#group48J18", "48J¹⁸"), =HYPERLINK("CSG20.html#group48D20", "48D²⁰"), =HYPERLINK("CSG18.html#group48R18", "48R¹⁸"), =HYPERLINK("CSG14.html#group72B14", "72B¹⁴"), =HYPERLINK("CSG17.html#group48N17", "48N¹⁷"), =HYPERLINK("CSG15.html#group72U15", "72U¹⁵"), =HYPERLINK("CSG3.html#group24P3", "24P³"), =HYPERLINK("CSG12.html#group72N12", "72N¹²"), =HYPERLINK("CSG19.html#group24F19", "24F¹⁹"), =HYPERLINK("CSG13.html#group72O13", "72O¹³"), =HYPERLINK("CSG19.html#group48J19", "48J¹⁹"), =HYPERLINK("CSG20.html#group96U20", "96U²⁰"), =HYPERLINK("CSG9.html#group48AB9", "48AB⁹"), =HYPERLINK("CSG19.html#group24E19", "24E¹⁹"), =HYPERLINK("CSG5.html#group24U5", "24U⁵"), =HYPERLINK("CSG15.html#group72W15", "72W¹⁵"), =HYPERLINK("CSG19.html#group48U19", "48U¹⁹"), =HYPERLINK("CSG17.html#group24E17", "24E¹⁷"), =HYPERLINK("CSG15.html#group24U15", "24U¹⁵"), =HYPERLINK("CSG9.html#group48R9", "48R⁹"), =HYPERLINK("CSG5.html#group24G5", "24G⁵"), =HYPERLINK("CSG15.html#group48G15", "48G¹⁵"), =HYPERLINK("CSG9.html#group24H9", "24H⁹"), =HYPERLINK("CSG12.html#group72L12", "72L¹²"), =HYPERLINK("CSG15.html#group48AA15", "48AA¹⁵"), =HYPERLINK("CSG19.html#group48BB19", "48BB¹⁹"), =HYPERLINK("CSG13.html#group120J13", "120J¹³"), =HYPERLINK("CSG13.html#group48AD13", "48AD¹³"), =HYPERLINK("CSG8.html#group24P8", "24P⁸"), =HYPERLINK("CSG5.html#group48G5", "48G⁵"), =HYPERLINK("CSG15.html#group48S15", "48S¹⁵"), =HYPERLINK("CSG13.html#group72M13", "72M¹³"), =HYPERLINK("CSG17.html#group48BQ17", "48BQ¹⁷"), =HYPERLINK("CSG17.html#group48BV17", "48BV¹⁷"), =HYPERLINK("CSG23.html#group72K23", "72K²³"), =HYPERLINK("CSG19.html#group48BN19", "48BN¹⁹"), =HYPERLINK("CSG19.html#group96T19", "96T¹⁹"), =HYPERLINK("CSG6.html#group48J6", "48J⁶"), =HYPERLINK("CSG17.html#group24AL17", "24AL¹⁷"), =HYPERLINK("CSG4.html#group24E4", "24E⁴"), =HYPERLINK("CSG15.html#group24M15", "24M¹⁵")</f>
        <v/>
      </c>
    </row>
    <row r="256">
      <c r="A256" t="inlineStr">
        <is>
          <t>24F¹</t>
        </is>
      </c>
      <c r="B256" t="inlineStr"/>
      <c r="C256" t="inlineStr">
        <is>
          <t>48</t>
        </is>
      </c>
      <c r="D256" t="inlineStr">
        <is>
          <t>1</t>
        </is>
      </c>
      <c r="E256" t="inlineStr">
        <is>
          <t>16</t>
        </is>
      </c>
      <c r="F256" t="inlineStr">
        <is>
          <t>12</t>
        </is>
      </c>
      <c r="G256" t="inlineStr">
        <is>
          <t>0</t>
        </is>
      </c>
      <c r="H256" t="inlineStr">
        <is>
          <t>24²</t>
        </is>
      </c>
      <c r="I256" t="n">
        <v>2</v>
      </c>
      <c r="J256" t="inlineStr">
        <is>
          <t>4⁴</t>
        </is>
      </c>
      <c r="K256">
        <f>HYPERLINK("CSG0.html#group8F0", "8F⁰"), =HYPERLINK("CSG0.html#group12A0", "12A⁰")</f>
        <v/>
      </c>
      <c r="L256">
        <f>HYPERLINK("CSG3.html#group24AB3", "24AB³"), =HYPERLINK("CSG4.html#group24S4", "24S⁴"), =HYPERLINK("CSG4.html#group24T4", "24T⁴"), =HYPERLINK("CSG5.html#group24O5", "24O⁵"), =HYPERLINK("CSG7.html#group24C7", "24C⁷"), =HYPERLINK("CSG7.html#group24L7", "24L⁷"), =HYPERLINK("CSG7.html#group72E7", "72E⁷"), =HYPERLINK("CSG9.html#group48AP9", "48AP⁹"), =HYPERLINK("CSG17.html#group120C17", "120C¹⁷"), =HYPERLINK("CSG17.html#group120M17", "120M¹⁷"), =HYPERLINK("CSG19.html#group168C19", "168C¹⁹")</f>
        <v/>
      </c>
      <c r="M256">
        <f>HYPERLINK("CSG0.html#group12A0", "12A⁰"), =HYPERLINK("CSG0.html#group8F0", "8F⁰"), =HYPERLINK("CSG0.html#group3A0", "3A⁰"), =HYPERLINK("CSG0.html#group1A0", "1A⁰"), =HYPERLINK("CSG0.html#group4A0", "4A⁰")</f>
        <v/>
      </c>
      <c r="N256">
        <f>HYPERLINK("CSG21.html#group48CR21", "48CR²¹"), =HYPERLINK("CSG9.html#group24AO9", "24AO⁹"), =HYPERLINK("CSG11.html#group24L11", "24L¹¹"), =HYPERLINK("CSG4.html#group24S4", "24S⁴"), =HYPERLINK("CSG17.html#group72V17", "72V¹⁷"), =HYPERLINK("CSG16.html#group24A16", "24A¹⁶"), =HYPERLINK("CSG13.html#group24E13", "24E¹³"), =HYPERLINK("CSG19.html#group168C19", "168C¹⁹"), =HYPERLINK("CSG13.html#group24D13", "24D¹³"), =HYPERLINK("CSG17.html#group48AO17", "48AO¹⁷"), =HYPERLINK("CSG15.html#group72Z15", "72Z¹⁵"), =HYPERLINK("CSG18.html#group72B18", "72B¹⁸"), =HYPERLINK("CSG21.html#group24L21", "24L²¹"), =HYPERLINK("CSG7.html#group72E7", "72E⁷"), =HYPERLINK("CSG18.html#group48M18", "48M¹⁸"), =HYPERLINK("CSG12.html#group48B12", "48B¹²"), =HYPERLINK("CSG21.html#group48U21", "48U²¹"), =HYPERLINK("CSG7.html#group24C7", "24C⁷"), =HYPERLINK("CSG18.html#group72D18", "72D¹⁸"), =HYPERLINK("CSG19.html#group72R19", "72R¹⁹"), =HYPERLINK("CSG9.html#group48AP9", "48AP⁹"), =HYPERLINK("CSG16.html#group24D16", "24D¹⁶"), =HYPERLINK("CSG7.html#group24L7", "24L⁷"), =HYPERLINK("CSG17.html#group24AH17", "24AH¹⁷"), =HYPERLINK("CSG21.html#group72W21", "72W²¹"), =HYPERLINK("CSG23.html#group48F23", "48F²³"), =HYPERLINK("CSG4.html#group24T4", "24T⁴"), =HYPERLINK("CSG13.html#group24C13", "24C¹³"), =HYPERLINK("CSG13.html#group24F13", "24F¹³"), =HYPERLINK("CSG19.html#group48AD19", "48AD¹⁹"), =HYPERLINK("CSG9.html#group24AM9", "24AM⁹"), =HYPERLINK("CSG23.html#group48E23", "48E²³"), =HYPERLINK("CSG9.html#group24AL9", "24AL⁹"), =HYPERLINK("CSG19.html#group24A19", "24A¹⁹"), =HYPERLINK("CSG12.html#group48A12", "48A¹²"), =HYPERLINK("CSG17.html#group120M17", "120M¹⁷"), =HYPERLINK("CSG21.html#group24K21", "24K²¹"), =HYPERLINK("CSG5.html#group24O5", "24O⁵"), =HYPERLINK("CSG9.html#group24AN9", "24AN⁹"), =HYPERLINK("CSG18.html#group72C18", "72C¹⁸"), =HYPERLINK("CSG11.html#group24M11", "24M¹¹"), =HYPERLINK("CSG17.html#group120C17", "120C¹⁷"), =HYPERLINK("CSG15.html#group48I15", "48I¹⁵"), =HYPERLINK("CSG18.html#group48F18", "48F¹⁸"), =HYPERLINK("CSG18.html#group72A18", "72A¹⁸"), =HYPERLINK("CSG21.html#group24M21", "24M²¹"), =HYPERLINK("CSG23.html#group72E23", "72E²³"), =HYPERLINK("CSG19.html#group72P19", "72P¹⁹"), =HYPERLINK("CSG15.html#group24R15", "24R¹⁵"), =HYPERLINK("CSG3.html#group24AB3", "24AB³"), =HYPERLINK("CSG19.html#group72Q19", "72Q¹⁹")</f>
        <v/>
      </c>
    </row>
    <row r="257">
      <c r="A257" t="inlineStr">
        <is>
          <t>24G¹</t>
        </is>
      </c>
      <c r="B257" t="inlineStr">
        <is>
          <t>Γ₀(24)</t>
        </is>
      </c>
      <c r="C257" t="inlineStr">
        <is>
          <t>48</t>
        </is>
      </c>
      <c r="D257" t="inlineStr">
        <is>
          <t>1</t>
        </is>
      </c>
      <c r="E257" t="inlineStr">
        <is>
          <t>24</t>
        </is>
      </c>
      <c r="F257" t="inlineStr">
        <is>
          <t>0</t>
        </is>
      </c>
      <c r="G257" t="inlineStr">
        <is>
          <t>0</t>
        </is>
      </c>
      <c r="H257" t="inlineStr">
        <is>
          <t>1², 2¹, 3², 6¹, 8¹, 24¹</t>
        </is>
      </c>
      <c r="I257" t="n">
        <v>8</v>
      </c>
      <c r="J257" t="inlineStr">
        <is>
          <t>1⁸, 2⁶, 4¹</t>
        </is>
      </c>
      <c r="K257">
        <f>HYPERLINK("CSG0.html#group8C0", "8C⁰"), =HYPERLINK("CSG0.html#group12E0", "12E⁰")</f>
        <v/>
      </c>
      <c r="L257">
        <f>HYPERLINK("CSG1.html#group24J1", "24J¹"), =HYPERLINK("CSG3.html#group24V3", "24V³"), =HYPERLINK("CSG3.html#group24W3", "24W³"), =HYPERLINK("CSG3.html#group24X3", "24X³"), =HYPERLINK("CSG3.html#group24Y3", "24Y³"), =HYPERLINK("CSG3.html#group48I3", "48I³"), =HYPERLINK("CSG3.html#group48J3", "48J³"), =HYPERLINK("CSG3.html#group48K3", "48K³"), =HYPERLINK("CSG3.html#group48L3", "48L³"), =HYPERLINK("CSG5.html#group24R5", "24R⁵"), =HYPERLINK("CSG5.html#group48C5", "48C⁵"), =HYPERLINK("CSG5.html#group48D5", "48D⁵"), =HYPERLINK("CSG5.html#group72B5", "72B⁵"), =HYPERLINK("CSG9.html#group72D9", "72D⁹"), =HYPERLINK("CSG9.html#group72E9", "72E⁹"), =HYPERLINK("CSG17.html#group120D17", "120D¹⁷"), =HYPERLINK("CSG17.html#group120O17", "120O¹⁷")</f>
        <v/>
      </c>
      <c r="M257">
        <f>HYPERLINK("CSG0.html#group3B0", "3B⁰"), =HYPERLINK("CSG0.html#group6F0", "6F⁰"), =HYPERLINK("CSG0.html#group8C0", "8C⁰"), =HYPERLINK("CSG0.html#group2B0", "2B⁰"), =HYPERLINK("CSG0.html#group4B0", "4B⁰"), =HYPERLINK("CSG0.html#group1A0", "1A⁰"), =HYPERLINK("CSG0.html#group12E0", "12E⁰")</f>
        <v/>
      </c>
      <c r="N257">
        <f>HYPERLINK("CSG19.html#group72H19", "72H¹⁹"), =HYPERLINK("CSG9.html#group24AE9", "24AE⁹"), =HYPERLINK("CSG17.html#group96AI17", "96AI¹⁷"), =HYPERLINK("CSG9.html#group48AJ9", "48AJ⁹"), =HYPERLINK("CSG21.html#group72AB21", "72AB²¹"), =HYPERLINK("CSG19.html#group144E19", "144E¹⁹"), =HYPERLINK("CSG19.html#group96BC19", "96BC¹⁹"), =HYPERLINK("CSG11.html#group96G11", "96G¹¹"), =HYPERLINK("CSG17.html#group48CK17", "48CK¹⁷"), =HYPERLINK("CSG13.html#group48W13", "48W¹³"), =HYPERLINK("CSG11.html#group96H11", "96H¹¹"), =HYPERLINK("CSG21.html#group48CG21", "48CG²¹"), =HYPERLINK("CSG13.html#group96E13", "96E¹³"), =HYPERLINK("CSG7.html#group48AN7", "48AN⁷"), =HYPERLINK("CSG13.html#group144J13", "144J¹³"), =HYPERLINK("CSG19.html#group72E19", "72E¹⁹"), =HYPERLINK("CSG7.html#group48AM7", "48AM⁷"), =HYPERLINK("CSG21.html#group48CF21", "48CF²¹"), =HYPERLINK("CSG5.html#group24R5", "24R⁵"), =HYPERLINK("CSG13.html#group72R13", "72R¹³"), =HYPERLINK("CSG19.html#group192F19", "192F¹⁹"), =HYPERLINK("CSG19.html#group72G19", "72G¹⁹"), =HYPERLINK("CSG9.html#group24AP9", "24AP⁹"), =HYPERLINK("CSG5.html#group48C5", "48C⁵"), =HYPERLINK("CSG17.html#group24AO17", "24AO¹⁷"), =HYPERLINK("CSG19.html#group144A19", "144A¹⁹"), =HYPERLINK("CSG13.html#group144H13", "144H¹³"), =HYPERLINK("CSG21.html#group96BL21", "96BL²¹"), =HYPERLINK("CSG21.html#group96BJ21", "96BJ²¹"), =HYPERLINK("CSG3.html#group48K3", "48K³"), =HYPERLINK("CSG13.html#group48AH13", "48AH¹³"), =HYPERLINK("CSG21.html#group96BF21", "96BF²¹"), =HYPERLINK("CSG19.html#group48BR19", "48BR¹⁹"), =HYPERLINK("CSG21.html#group48CM21", "48CM²¹"), =HYPERLINK("CSG7.html#group48AO7", "48AO⁷"), =HYPERLINK("CSG17.html#group96AL17", "96AL¹⁷"), =HYPERLINK("CSG13.html#group24K13", "24K¹³"), =HYPERLINK("CSG21.html#group48CI21", "48CI²¹"), =HYPERLINK("CSG13.html#group144I13", "144I¹³"), =HYPERLINK("CSG21.html#group48CD21", "48CD²¹"), =HYPERLINK("CSG3.html#group24X3", "24X³"), =HYPERLINK("CSG21.html#group48CH21", "48CH²¹"), =HYPERLINK("CSG17.html#group144D17", "144D¹⁷"), =HYPERLINK("CSG11.html#group48W11", "48W¹¹"), =HYPERLINK("CSG13.html#group48Y13", "48Y¹³"), =HYPERLINK("CSG13.html#group96A13", "96A¹³"), =HYPERLINK("CSG9.html#group48AN9", "48AN⁹"), =HYPERLINK("CSG13.html#group96D13", "96D¹³"), =HYPERLINK("CSG21.html#group48CJ21", "48CJ²¹"), =HYPERLINK("CSG9.html#group72D9", "72D⁹"), =HYPERLINK("CSG17.html#group72P17", "72P¹⁷"), =HYPERLINK("CSG21.html#group72AC21", "72AC²¹"), =HYPERLINK("CSG13.html#group96C13", "96C¹³"), =HYPERLINK("CSG17.html#group96AJ17", "96AJ¹⁷"), =HYPERLINK("CSG13.html#group48AG13", "48AG¹³"), =HYPERLINK("CSG5.html#group24AA5", "24AA⁵"), =HYPERLINK("CSG19.html#group144H19", "144H¹⁹"), =HYPERLINK("CSG9.html#group96L9", "96L⁹"), =HYPERLINK("CSG21.html#group24A21", "24A²¹"), =HYPERLINK("CSG9.html#group48AG9", "48AG⁹"), =HYPERLINK("CSG21.html#group48CB21", "48CB²¹"), =HYPERLINK("CSG9.html#group48AM9", "48AM⁹"), =HYPERLINK("CSG13.html#group72T13", "72T¹³"), =HYPERLINK("CSG1.html#group24J1", "24J¹"), =HYPERLINK("CSG21.html#group48BZ21", "48BZ²¹"), =HYPERLINK("CSG5.html#group72B5", "72B⁵"), =HYPERLINK("CSG21.html#group96AZ21", "96AZ²¹"), =HYPERLINK("CSG13.html#group48Z13", "48Z¹³"), =HYPERLINK("CSG17.html#group24AR17", "24AR¹⁷"), =HYPERLINK("CSG17.html#group48CL17", "48CL¹⁷"), =HYPERLINK("CSG13.html#group72S13", "72S¹³"), =HYPERLINK("CSG21.html#group96BC21", "96BC²¹"), =HYPERLINK("CSG17.html#group72O17", "72O¹⁷"), =HYPERLINK("CSG21.html#group192N21", "192N²¹"), =HYPERLINK("CSG21.html#group96BA21", "96BA²¹"), =HYPERLINK("CSG17.html#group96AK17", "96AK¹⁷"), =HYPERLINK("CSG17.html#group24AN17", "24AN¹⁷"), =HYPERLINK("CSG21.html#group96BD21", "96BD²¹"), =HYPERLINK("CSG7.html#group48AK7", "48AK⁷"), =HYPERLINK("CSG17.html#group48B17", "48B¹⁷"), =HYPERLINK("CSG21.html#group144E21", "144E²¹"), =HYPERLINK("CSG17.html#group48CM17", "48CM¹⁷"), =HYPERLINK("CSG21.html#group216B21", "216B²¹"), =HYPERLINK("CSG19.html#group144F19", "144F¹⁹"), =HYPERLINK("CSG9.html#group48AI9", "48AI⁹"), =HYPERLINK("CSG21.html#group48CL21", "48CL²¹"), =HYPERLINK("CSG3.html#group24W3", "24W³"), =HYPERLINK("CSG19.html#group144B19", "144B¹⁹"), =HYPERLINK("CSG11.html#group48X11", "48X¹¹"), =HYPERLINK("CSG7.html#group24AJ7", "24AJ⁷"), =HYPERLINK("CSG5.html#group48D5", "48D⁵"), =HYPERLINK("CSG13.html#group24AC13", "24AC¹³"), =HYPERLINK("CSG7.html#group24AI7", "24AI⁷"), =HYPERLINK("CSG9.html#group24AF9", "24AF⁹"), =HYPERLINK("CSG9.html#group72E9", "72E⁹"), =HYPERLINK("CSG21.html#group192P21", "192P²¹"), =HYPERLINK("CSG9.html#group96M9", "96M⁹"), =HYPERLINK("CSG21.html#group96BH21", "96BH²¹"), =HYPERLINK("CSG19.html#group48BS19", "48BS¹⁹"), =HYPERLINK("CSG13.html#group72U13", "72U¹³"), =HYPERLINK("CSG19.html#group72C19", "72C¹⁹"), =HYPERLINK("CSG19.html#group72J19", "72J¹⁹"), =HYPERLINK("CSG19.html#group144D19", "144D¹⁹"), =HYPERLINK("CSG21.html#group24D21", "24D²¹"), =HYPERLINK("CSG19.html#group96BE19", "96BE¹⁹"), =HYPERLINK("CSG7.html#group48AL7", "48AL⁷"), =HYPERLINK("CSG9.html#group48AH9", "48AH⁹"), =HYPERLINK("CSG17.html#group24AP17", "24AP¹⁷"), =HYPERLINK("CSG19.html#group72F19", "72F¹⁹"), =HYPERLINK("CSG13.html#group48V13", "48V¹³"), =HYPERLINK("CSG21.html#group48CK21", "48CK²¹"), =HYPERLINK("CSG3.html#group48I3", "48I³"), =HYPERLINK("CSG9.html#group48AK9", "48AK⁹"), =HYPERLINK("CSG9.html#group72I9", "72I⁹"), =HYPERLINK("CSG21.html#group48CA21", "48CA²¹"), =HYPERLINK("CSG3.html#group48L3", "48L³"), =HYPERLINK("CSG17.html#group120D17", "120D¹⁷"), =HYPERLINK("CSG21.html#group144F21", "144F²¹"), =HYPERLINK("CSG21.html#group48CE21", "48CE²¹"), =HYPERLINK("CSG17.html#group48CO17", "48CO¹⁷"), =HYPERLINK("CSG13.html#group24N13", "24N¹³"), =HYPERLINK("CSG21.html#group96BI21", "96BI²¹"), =HYPERLINK("CSG17.html#group48CJ17", "48CJ¹⁷"), =HYPERLINK("CSG19.html#group48BT19", "48BT¹⁹"), =HYPERLINK("CSG19.html#group96BF19", "96BF¹⁹"), =HYPERLINK("CSG19.html#group48BQ19", "48BQ¹⁹"), =HYPERLINK("CSG17.html#group48CQ17", "48CQ¹⁷"), =HYPERLINK("CSG19.html#group144C19", "144C¹⁹"), =HYPERLINK("CSG21.html#group192O21", "192O²¹"), =HYPERLINK("CSG13.html#group24M13", "24M¹³"), =HYPERLINK("CSG19.html#group72I19", "72I¹⁹"), =HYPERLINK("CSG3.html#group24Y3", "24Y³"), =HYPERLINK("CSG21.html#group24G21", "24G²¹"), =HYPERLINK("CSG7.html#group96C7", "96C⁷"), =HYPERLINK("CSG3.html#group24V3", "24V³"), =HYPERLINK("CSG9.html#group48AL9", "48AL⁹"), =HYPERLINK("CSG21.html#group24F21", "24F²¹"), =HYPERLINK("CSG21.html#group48CC21", "48CC²¹"), =HYPERLINK("CSG7.html#group24AH7", "24AH⁷"), =HYPERLINK("CSG19.html#group96BD19", "96BD¹⁹"), =HYPERLINK("CSG19.html#group192E19", "192E¹⁹"), =HYPERLINK("CSG17.html#group96AH17", "96AH¹⁷"), =HYPERLINK("CSG5.html#group24Z5", "24Z⁵"), =HYPERLINK("CSG17.html#group120O17", "120O¹⁷"), =HYPERLINK("CSG7.html#group48AQ7", "48AQ⁷"), =HYPERLINK("CSG3.html#group48J3", "48J³"), =HYPERLINK("CSG13.html#group144G13", "144G¹³"), =HYPERLINK("CSG21.html#group192M21", "192M²¹"), =HYPERLINK("CSG13.html#group96F13", "96F¹³"), =HYPERLINK("CSG9.html#group48AO9", "48AO⁹"), =HYPERLINK("CSG21.html#group96BG21", "96BG²¹"), =HYPERLINK("CSG13.html#group96B13", "96B¹³"), =HYPERLINK("CSG13.html#group96I13", "96I¹³"), =HYPERLINK("CSG5.html#group48I5", "48I⁵"), =HYPERLINK("CSG21.html#group96BK21", "96BK²¹"), =HYPERLINK("CSG17.html#group48CP17", "48CP¹⁷"), =HYPERLINK("CSG19.html#group72D19", "72D¹⁹"), =HYPERLINK("CSG7.html#group96B7", "96B⁷"), =HYPERLINK("CSG21.html#group96BM21", "96BM²¹"), =HYPERLINK("CSG13.html#group24L13", "24L¹³"), =HYPERLINK("CSG21.html#group144G21", "144G²¹"), =HYPERLINK("CSG21.html#group144H21", "144H²¹"), =HYPERLINK("CSG17.html#group48C17", "48C¹⁷"), =HYPERLINK("CSG19.html#group144G19", "144G¹⁹"), =HYPERLINK("CSG21.html#group96BE21", "96BE²¹"), =HYPERLINK("CSG21.html#group96BB21", "96BB²¹"), =HYPERLINK("CSG17.html#group48CN17", "48CN¹⁷"), =HYPERLINK("CSG5.html#group48J5", "48J⁵"), =HYPERLINK("CSG7.html#group48AP7", "48AP⁷"), =HYPERLINK("CSG17.html#group144E17", "144E¹⁷")</f>
        <v/>
      </c>
    </row>
    <row r="258">
      <c r="A258" t="inlineStr">
        <is>
          <t>24H¹</t>
        </is>
      </c>
      <c r="B258" t="inlineStr"/>
      <c r="C258" t="inlineStr">
        <is>
          <t>72</t>
        </is>
      </c>
      <c r="D258" t="inlineStr">
        <is>
          <t>1</t>
        </is>
      </c>
      <c r="E258" t="inlineStr">
        <is>
          <t>9</t>
        </is>
      </c>
      <c r="F258" t="inlineStr">
        <is>
          <t>16</t>
        </is>
      </c>
      <c r="G258" t="inlineStr">
        <is>
          <t>0</t>
        </is>
      </c>
      <c r="H258" t="inlineStr">
        <is>
          <t>12², 24²</t>
        </is>
      </c>
      <c r="I258" t="n">
        <v>4</v>
      </c>
      <c r="J258" t="inlineStr">
        <is>
          <t>1³, 2³</t>
        </is>
      </c>
      <c r="K258">
        <f>HYPERLINK("CSG0.html#group12H0", "12H⁰"), =HYPERLINK("CSG0.html#group24A0", "24A⁰"), =HYPERLINK("CSG1.html#group24D1", "24D¹")</f>
        <v/>
      </c>
      <c r="L258">
        <f>HYPERLINK("CSG3.html#group48M3", "48M³"), =HYPERLINK("CSG5.html#group24S5", "24S⁵"), =HYPERLINK("CSG5.html#group24V5", "24V⁵"), =HYPERLINK("CSG5.html#group24W5", "24W⁵"), =HYPERLINK("CSG5.html#group24X5", "24X⁵"), =HYPERLINK("CSG5.html#group24Y5", "24Y⁵"), =HYPERLINK("CSG7.html#group48S7", "48S⁷"), =HYPERLINK("CSG7.html#group48T7", "48T⁷"), =HYPERLINK("CSG7.html#group48AD7", "48AD⁷"), =HYPERLINK("CSG7.html#group48AE7", "48AE⁷"), =HYPERLINK("CSG7.html#group48AH7", "48AH⁷"), =HYPERLINK("CSG9.html#group24J9", "24J⁹"), =HYPERLINK("CSG9.html#group72H9", "72H⁹"), =HYPERLINK("CSG11.html#group48G11", "48G¹¹"), =HYPERLINK("CSG13.html#group72I13", "72I¹³")</f>
        <v/>
      </c>
      <c r="M258">
        <f>HYPERLINK("CSG0.html#group6B0", "6B⁰"), =HYPERLINK("CSG0.html#group12C0", "12C⁰"), =HYPERLINK("CSG0.html#group3A0", "3A⁰"), =HYPERLINK("CSG0.html#group24A0", "24A⁰"), =HYPERLINK("CSG0.html#group4C0", "4C⁰"), =HYPERLINK("CSG1.html#group24D1", "24D¹"), =HYPERLINK("CSG0.html#group8B0", "8B⁰"), =HYPERLINK("CSG0.html#group2B0", "2B⁰"), =HYPERLINK("CSG0.html#group12D0", "12D⁰"), =HYPERLINK("CSG0.html#group6H0", "6H⁰"), =HYPERLINK("CSG0.html#group12H0", "12H⁰"), =HYPERLINK("CSG0.html#group1A0", "1A⁰"), =HYPERLINK("CSG0.html#group6D0", "6D⁰")</f>
        <v/>
      </c>
      <c r="N258">
        <f>HYPERLINK("CSG5.html#group24X5", "24X⁵"), =HYPERLINK("CSG15.html#group24T15", "24T¹⁵"), =HYPERLINK("CSG21.html#group48AO21", "48AO²¹"), =HYPERLINK("CSG19.html#group96AH19", "96AH¹⁹"), =HYPERLINK("CSG19.html#group96AU19", "96AU¹⁹"), =HYPERLINK("CSG13.html#group48AA13", "48AA¹³"), =HYPERLINK("CSG19.html#group96AE19", "96AE¹⁹"), =HYPERLINK("CSG13.html#group24R13", "24R¹³"), =HYPERLINK("CSG17.html#group24I17", "24I¹⁷"), =HYPERLINK("CSG5.html#group24W5", "24W⁵"), =HYPERLINK("CSG7.html#group48S7", "48S⁷"), =HYPERLINK("CSG15.html#group48V15", "48V¹⁵"), =HYPERLINK("CSG7.html#group48T7", "48T⁷"), =HYPERLINK("CSG15.html#group24Q15", "24Q¹⁵"), =HYPERLINK("CSG13.html#group72I13", "72I¹³"), =HYPERLINK("CSG17.html#group48CA17", "48CA¹⁷"), =HYPERLINK("CSG21.html#group48AE21", "48AE²¹"), =HYPERLINK("CSG21.html#group48O21", "48O²¹"), =HYPERLINK("CSG21.html#group48BF21", "48BF²¹"), =HYPERLINK("CSG15.html#group24P15", "24P¹⁵"), =HYPERLINK("CSG19.html#group96AK19", "96AK¹⁹"), =HYPERLINK("CSG13.html#group24Q13", "24Q¹³"), =HYPERLINK("CSG7.html#group48AH7", "48AH⁷"), =HYPERLINK("CSG21.html#group48AA21", "48AA²¹"), =HYPERLINK("CSG15.html#group96V15", "96V¹⁵"), =HYPERLINK("CSG13.html#group24Y13", "24Y¹³"), =HYPERLINK("CSG17.html#group48R17", "48R¹⁷"), =HYPERLINK("CSG17.html#group48BY17", "48BY¹⁷"), =HYPERLINK("CSG17.html#group48CD17", "48CD¹⁷"), =HYPERLINK("CSG17.html#group48M17", "48M¹⁷"), =HYPERLINK("CSG23.html#group144Y23", "144Y²³"), =HYPERLINK("CSG5.html#group24Y5", "24Y⁵"), =HYPERLINK("CSG17.html#group24J17", "24J¹⁷"), =HYPERLINK("CSG7.html#group48AD7", "48AD⁷"), =HYPERLINK("CSG15.html#group24O15", "24O¹⁵"), =HYPERLINK("CSG21.html#group72AA21", "72AA²¹"), =HYPERLINK("CSG13.html#group48AE13", "48AE¹³"), =HYPERLINK("CSG15.html#group48T15", "48T¹⁵"), =HYPERLINK("CSG19.html#group96U19", "96U¹⁹"), =HYPERLINK("CSG19.html#group96AG19", "96AG¹⁹"), =HYPERLINK("CSG19.html#group96AS19", "96AS¹⁹"), =HYPERLINK("CSG17.html#group48BC17", "48BC¹⁷"), =HYPERLINK("CSG17.html#group24T17", "24T¹⁷"), =HYPERLINK("CSG17.html#group48AQ17", "48AQ¹⁷"), =HYPERLINK("CSG15.html#group48AC15", "48AC¹⁵"), =HYPERLINK("CSG17.html#group48L17", "48L¹⁷"), =HYPERLINK("CSG17.html#group48BG17", "48BG¹⁷"), =HYPERLINK("CSG15.html#group24R15", "24R¹⁵"), =HYPERLINK("CSG17.html#group48AS17", "48AS¹⁷"), =HYPERLINK("CSG17.html#group48BH17", "48BH¹⁷"), =HYPERLINK("CSG13.html#group24Z13", "24Z¹³"), =HYPERLINK("CSG11.html#group48G11", "48G¹¹"), =HYPERLINK("CSG17.html#group48BF17", "48BF¹⁷"), =HYPERLINK("CSG21.html#group48AW21", "48AW²¹"), =HYPERLINK("CSG13.html#group24S13", "24S¹³"), =HYPERLINK("CSG15.html#group48U15", "48U¹⁵"), =HYPERLINK("CSG13.html#group24V13", "24V¹³"), =HYPERLINK("CSG21.html#group48S21", "48S²¹"), =HYPERLINK("CSG13.html#group24AA13", "24AA¹³"), =HYPERLINK("CSG9.html#group72H9", "72H⁹"), =HYPERLINK("CSG5.html#group24V5", "24V⁵"), =HYPERLINK("CSG21.html#group48P21", "48P²¹"), =HYPERLINK("CSG17.html#group48BR17", "48BR¹⁷"), =HYPERLINK("CSG13.html#group24X13", "24X¹³"), =HYPERLINK("CSG5.html#group24S5", "24S⁵"), =HYPERLINK("CSG15.html#group48AB15", "48AB¹⁵"), =HYPERLINK("CSG9.html#group24J9", "24J⁹"), =HYPERLINK("CSG17.html#group48AV17", "48AV¹⁷"), =HYPERLINK("CSG17.html#group48CC17", "48CC¹⁷"), =HYPERLINK("CSG15.html#group24S15", "24S¹⁵"), =HYPERLINK("CSG21.html#group48M21", "48M²¹"), =HYPERLINK("CSG17.html#group48BD17", "48BD¹⁷"), =HYPERLINK("CSG17.html#group24V17", "24V¹⁷"), =HYPERLINK("CSG19.html#group96AM19", "96AM¹⁹"), =HYPERLINK("CSG19.html#group96AT19", "96AT¹⁹"), =HYPERLINK("CSG15.html#group48S15", "48S¹⁵"), =HYPERLINK("CSG19.html#group96AN19", "96AN¹⁹"), =HYPERLINK("CSG19.html#group96AV19", "96AV¹⁹"), =HYPERLINK("CSG17.html#group48BQ17", "48BQ¹⁷"), =HYPERLINK("CSG11.html#group96K11", "96K¹¹"), =HYPERLINK("CSG3.html#group48M3", "48M³"), =HYPERLINK("CSG19.html#group96AL19", "96AL¹⁹"), =HYPERLINK("CSG17.html#group48BE17", "48BE¹⁷"), =HYPERLINK("CSG13.html#group24W13", "24W¹³"), =HYPERLINK("CSG21.html#group48K21", "48K²¹"), =HYPERLINK("CSG13.html#group48X13", "48X¹³"), =HYPERLINK("CSG13.html#group48AF13", "48AF¹³"), =HYPERLINK("CSG13.html#group48AB13", "48AB¹³"), =HYPERLINK("CSG19.html#group96AF19", "96AF¹⁹"), =HYPERLINK("CSG19.html#group144J19", "144J¹⁹"), =HYPERLINK("CSG7.html#group48AE7", "48AE⁷"), =HYPERLINK("CSG21.html#group48AP21", "48AP²¹"), =HYPERLINK("CSG17.html#group24C17", "24C¹⁷"), =HYPERLINK("CSG17.html#group48AR17", "48AR¹⁷")</f>
        <v/>
      </c>
    </row>
    <row r="259">
      <c r="A259" t="inlineStr">
        <is>
          <t>24I¹</t>
        </is>
      </c>
      <c r="B259" t="inlineStr"/>
      <c r="C259" t="inlineStr">
        <is>
          <t>72</t>
        </is>
      </c>
      <c r="D259" t="inlineStr">
        <is>
          <t>1</t>
        </is>
      </c>
      <c r="E259" t="inlineStr">
        <is>
          <t>18</t>
        </is>
      </c>
      <c r="F259" t="inlineStr">
        <is>
          <t>4</t>
        </is>
      </c>
      <c r="G259" t="inlineStr">
        <is>
          <t>0</t>
        </is>
      </c>
      <c r="H259" t="inlineStr">
        <is>
          <t>3⁸, 24²</t>
        </is>
      </c>
      <c r="I259" t="n">
        <v>10</v>
      </c>
      <c r="J259" t="inlineStr">
        <is>
          <t>2³, 4³</t>
        </is>
      </c>
      <c r="K259">
        <f>HYPERLINK("CSG0.html#group12G0", "12G⁰")</f>
        <v/>
      </c>
      <c r="L259">
        <f>HYPERLINK("CSG3.html#group24AC3", "24AC³"), =HYPERLINK("CSG5.html#group24T5", "24T⁵"), =HYPERLINK("CSG7.html#group24M7", "24M⁷"), =HYPERLINK("CSG8.html#group72L8", "72L⁸"), =HYPERLINK("CSG8.html#group72M8", "72M⁸"), =HYPERLINK("CSG11.html#group72O11", "72O¹¹"), =HYPERLINK("CSG13.html#group72L13", "72L¹³")</f>
        <v/>
      </c>
      <c r="M259">
        <f>HYPERLINK("CSG0.html#group12G0", "12G⁰"), =HYPERLINK("CSG0.html#group6G0", "6G⁰"), =HYPERLINK("CSG0.html#group3C0", "3C⁰"), =HYPERLINK("CSG0.html#group2B0", "2B⁰"), =HYPERLINK("CSG0.html#group12D0", "12D⁰"), =HYPERLINK("CSG0.html#group3A0", "3A⁰"), =HYPERLINK("CSG0.html#group1A0", "1A⁰"), =HYPERLINK("CSG0.html#group6D0", "6D⁰")</f>
        <v/>
      </c>
      <c r="N259">
        <f>HYPERLINK("CSG7.html#group24M7", "24M⁷"), =HYPERLINK("CSG11.html#group72O11", "72O¹¹"), =HYPERLINK("CSG17.html#group72X17", "72X¹⁷"), =HYPERLINK("CSG8.html#group72M8", "72M⁸"), =HYPERLINK("CSG11.html#group24N11", "24N¹¹"), =HYPERLINK("CSG3.html#group24AC3", "24AC³"), =HYPERLINK("CSG15.html#group24L15", "24L¹⁵"), =HYPERLINK("CSG8.html#group72L8", "72L⁸"), =HYPERLINK("CSG13.html#group72L13", "72L¹³"), =HYPERLINK("CSG23.html#group72J23", "72J²³"), =HYPERLINK("CSG23.html#group72I23", "72I²³"), =HYPERLINK("CSG5.html#group24T5", "24T⁵"), =HYPERLINK("CSG17.html#group24M17", "24M¹⁷"), =HYPERLINK("CSG13.html#group24J13", "24J¹³"), =HYPERLINK("CSG17.html#group24Y17", "24Y¹⁷"), =HYPERLINK("CSG13.html#group24Q13", "24Q¹³"), =HYPERLINK("CSG22.html#group72L22", "72L²²"), =HYPERLINK("CSG9.html#group24AP9", "24AP⁹")</f>
        <v/>
      </c>
    </row>
    <row r="260">
      <c r="A260" t="inlineStr">
        <is>
          <t>24J¹</t>
        </is>
      </c>
      <c r="B260" t="inlineStr"/>
      <c r="C260" t="inlineStr">
        <is>
          <t>96</t>
        </is>
      </c>
      <c r="D260" t="inlineStr">
        <is>
          <t>1</t>
        </is>
      </c>
      <c r="E260" t="inlineStr">
        <is>
          <t>24</t>
        </is>
      </c>
      <c r="F260" t="inlineStr">
        <is>
          <t>0</t>
        </is>
      </c>
      <c r="G260" t="inlineStr">
        <is>
          <t>0</t>
        </is>
      </c>
      <c r="H260" t="inlineStr">
        <is>
          <t>1⁴, 2², 3⁴, 6², 8², 24²</t>
        </is>
      </c>
      <c r="I260" t="n">
        <v>16</v>
      </c>
      <c r="J260" t="inlineStr">
        <is>
          <t>1⁸, 2⁶, 4¹</t>
        </is>
      </c>
      <c r="K260">
        <f>HYPERLINK("CSG0.html#group12J0", "12J⁰"), =HYPERLINK("CSG0.html#group24B0", "24B⁰"), =HYPERLINK("CSG1.html#group24G1", "24G¹")</f>
        <v/>
      </c>
      <c r="L260">
        <f>HYPERLINK("CSG5.html#group24Z5", "24Z⁵"), =HYPERLINK("CSG5.html#group24AA5", "24AA⁵"), =HYPERLINK("CSG5.html#group48I5", "48I⁵"), =HYPERLINK("CSG5.html#group48J5", "48J⁵"), =HYPERLINK("CSG9.html#group24AP9", "24AP⁹"), =HYPERLINK("CSG9.html#group48AG9", "48AG⁹"), =HYPERLINK("CSG9.html#group72I9", "72I⁹"), =HYPERLINK("CSG17.html#group72O17", "72O¹⁷"), =HYPERLINK("CSG17.html#group72P17", "72P¹⁷")</f>
        <v/>
      </c>
      <c r="M260">
        <f>HYPERLINK("CSG0.html#group3B0", "3B⁰"), =HYPERLINK("CSG0.html#group24B0", "24B⁰"), =HYPERLINK("CSG1.html#group24G1", "24G¹"), =HYPERLINK("CSG0.html#group12J0", "12J⁰"), =HYPERLINK("CSG0.html#group1A0", "1A⁰"), =HYPERLINK("CSG0.html#group2B0", "2B⁰"), =HYPERLINK("CSG0.html#group8C0", "8C⁰"), =HYPERLINK("CSG0.html#group4B0", "4B⁰"), =HYPERLINK("CSG0.html#group6F0", "6F⁰"), =HYPERLINK("CSG0.html#group12E0", "12E⁰")</f>
        <v/>
      </c>
      <c r="N260">
        <f>HYPERLINK("CSG17.html#group72P17", "72P¹⁷"), =HYPERLINK("CSG13.html#group96I13", "96I¹³"), =HYPERLINK("CSG17.html#group48CO17", "48CO¹⁷"), =HYPERLINK("CSG5.html#group48I5", "48I⁵"), =HYPERLINK("CSG17.html#group72O17", "72O¹⁷"), =HYPERLINK("CSG13.html#group48AG13", "48AG¹³"), =HYPERLINK("CSG5.html#group24AA5", "24AA⁵"), =HYPERLINK("CSG13.html#group48AH13", "48AH¹³"), =HYPERLINK("CSG9.html#group48AG9", "48AG⁹"), =HYPERLINK("CSG17.html#group96AH17", "96AH¹⁷"), =HYPERLINK("CSG5.html#group24Z5", "24Z⁵"), =HYPERLINK("CSG17.html#group24AP17", "24AP¹⁷"), =HYPERLINK("CSG21.html#group48BZ21", "48BZ²¹"), =HYPERLINK("CSG21.html#group96BB21", "96BB²¹"), =HYPERLINK("CSG17.html#group48CN17", "48CN¹⁷"), =HYPERLINK("CSG5.html#group48J5", "48J⁵"), =HYPERLINK("CSG13.html#group24AC13", "24AC¹³"), =HYPERLINK("CSG9.html#group72I9", "72I⁹"), =HYPERLINK("CSG9.html#group24AP9", "24AP⁹")</f>
        <v/>
      </c>
    </row>
    <row r="261">
      <c r="A261" t="inlineStr">
        <is>
          <t>26A¹</t>
        </is>
      </c>
      <c r="B261" t="inlineStr"/>
      <c r="C261" t="inlineStr">
        <is>
          <t>28</t>
        </is>
      </c>
      <c r="D261" t="inlineStr">
        <is>
          <t>1</t>
        </is>
      </c>
      <c r="E261" t="inlineStr">
        <is>
          <t>14</t>
        </is>
      </c>
      <c r="F261" t="inlineStr">
        <is>
          <t>0</t>
        </is>
      </c>
      <c r="G261" t="inlineStr">
        <is>
          <t>4</t>
        </is>
      </c>
      <c r="H261" t="inlineStr">
        <is>
          <t>2¹, 26¹</t>
        </is>
      </c>
      <c r="I261" t="n">
        <v>2</v>
      </c>
      <c r="J261" t="inlineStr">
        <is>
          <t>1², 12¹</t>
        </is>
      </c>
      <c r="K261">
        <f>HYPERLINK("CSG0.html#group2A0", "2A⁰"), =HYPERLINK("CSG0.html#group13A0", "13A⁰")</f>
        <v/>
      </c>
      <c r="L261">
        <f>HYPERLINK("CSG1.html#group26B1", "26B¹"), =HYPERLINK("CSG3.html#group26A3", "26A³"), =HYPERLINK("CSG5.html#group26A5", "26A⁵"), =HYPERLINK("CSG5.html#group26B5", "26B⁵"), =HYPERLINK("CSG5.html#group78A5", "78A⁵"), =HYPERLINK("CSG5.html#group78C5", "78C⁵"), =HYPERLINK("CSG6.html#group78B6", "78B⁶"), =HYPERLINK("CSG7.html#group52B7", "52B⁷"), =HYPERLINK("CSG7.html#group78A7", "78A⁷"), =HYPERLINK("CSG7.html#group78C7", "78C⁷"), =HYPERLINK("CSG9.html#group130A9", "130A⁹"), =HYPERLINK("CSG13.html#group130B13", "130B¹³"), =HYPERLINK("CSG15.html#group182A15", "182A¹⁵"), =HYPERLINK("CSG15.html#group182C15", "182C¹⁵"), =HYPERLINK("CSG21.html#group130B21", "130B²¹"), =HYPERLINK("CSG23.html#group26A23", "26A²³"), =HYPERLINK("CSG23.html#group286A23", "286A²³"), =HYPERLINK("CSG23.html#group338A23", "338A²³")</f>
        <v/>
      </c>
      <c r="M261">
        <f>HYPERLINK("CSG0.html#group13A0", "13A⁰"), =HYPERLINK("CSG0.html#group2A0", "2A⁰"), =HYPERLINK("CSG0.html#group1A0", "1A⁰")</f>
        <v/>
      </c>
      <c r="N261">
        <f>HYPERLINK("CSG15.html#group156A15", "156A¹⁵"), =HYPERLINK("CSG19.html#group78E19", "78E¹⁹"), =HYPERLINK("CSG23.html#group104M23", "104M²³"), =HYPERLINK("CSG7.html#group78C7", "78C⁷"), =HYPERLINK("CSG23.html#group234C23", "234C²³"), =HYPERLINK("CSG15.html#group182C15", "182C¹⁵"), =HYPERLINK("CSG9.html#group78C9", "78C⁹"), =HYPERLINK("CSG16.html#group78D16", "78D¹⁶"), =HYPERLINK("CSG1.html#group26B1", "26B¹"), =HYPERLINK("CSG23.html#group234E23", "234E²³"), =HYPERLINK("CSG13.html#group52A13", "52A¹³"), =HYPERLINK("CSG17.html#group130B17", "130B¹⁷"), =HYPERLINK("CSG9.html#group78A9", "78A⁹"), =HYPERLINK("CSG13.html#group78G13", "78G¹³"), =HYPERLINK("CSG3.html#group52B3", "52B³"), =HYPERLINK("CSG23.html#group234B23", "234B²³"), =HYPERLINK("CSG5.html#group26A5", "26A⁵"), =HYPERLINK("CSG23.html#group52A23", "52A²³"), =HYPERLINK("CSG21.html#group78B21", "78B²¹"), =HYPERLINK("CSG13.html#group26B13", "26B¹³"), =HYPERLINK("CSG13.html#group78E13", "78E¹³"), =HYPERLINK("CSG5.html#group78C5", "78C⁵"), =HYPERLINK("CSG19.html#group78B19", "78B¹⁹"), =HYPERLINK("CSG7.html#group78A7", "78A⁷"), =HYPERLINK("CSG9.html#group26B9", "26B⁹"), =HYPERLINK("CSG21.html#group52C21", "52C²¹"), =HYPERLINK("CSG6.html#group78B6", "78B⁶"), =HYPERLINK("CSG23.html#group104S23", "104S²³"), =HYPERLINK("CSG5.html#group78A5", "78A⁵"), =HYPERLINK("CSG9.html#group130A9", "130A⁹"), =HYPERLINK("CSG15.html#group182A15", "182A¹⁵"), =HYPERLINK("CSG23.html#group26A23", "26A²³"), =HYPERLINK("CSG5.html#group26C5", "26C⁵"), =HYPERLINK("CSG19.html#group156E19", "156E¹⁹"), =HYPERLINK("CSG15.html#group104B15", "104B¹⁵"), =HYPERLINK("CSG9.html#group26A9", "26A⁹"), =HYPERLINK("CSG21.html#group130B21", "130B²¹"), =HYPERLINK("CSG3.html#group26A3", "26A³"), =HYPERLINK("CSG7.html#group52B7", "52B⁷"), =HYPERLINK("CSG19.html#group52A19", "52A¹⁹"), =HYPERLINK("CSG19.html#group78D19", "78D¹⁹"), =HYPERLINK("CSG23.html#group78H23", "78H²³"), =HYPERLINK("CSG23.html#group52D23", "52D²³"), =HYPERLINK("CSG13.html#group130B13", "130B¹³"), =HYPERLINK("CSG11.html#group78D11", "78D¹¹"), =HYPERLINK("CSG5.html#group26B5", "26B⁵"), =HYPERLINK("CSG23.html#group52C23", "52C²³"), =HYPERLINK("CSG23.html#group52B23", "52B²³"), =HYPERLINK("CSG23.html#group78B23", "78B²³"), =HYPERLINK("CSG11.html#group52D11", "52D¹¹"), =HYPERLINK("CSG19.html#group156D19", "156D¹⁹"), =HYPERLINK("CSG23.html#group104N23", "104N²³"), =HYPERLINK("CSG15.html#group156B15", "156B¹⁵"), =HYPERLINK("CSG21.html#group52E21", "52E²¹"), =HYPERLINK("CSG11.html#group52C11", "52C¹¹"), =HYPERLINK("CSG13.html#group78A13", "78A¹³"), =HYPERLINK("CSG23.html#group104B23", "104B²³"), =HYPERLINK("CSG23.html#group338A23", "338A²³"), =HYPERLINK("CSG13.html#group78C13", "78C¹³"), =HYPERLINK("CSG23.html#group78E23", "78E²³"), =HYPERLINK("CSG23.html#group78C23", "78C²³"), =HYPERLINK("CSG23.html#group286A23", "286A²³"), =HYPERLINK("CSG15.html#group104A15", "104A¹⁵"), =HYPERLINK("CSG24.html#group78A24", "78A²⁴"), =HYPERLINK("CSG23.html#group104C23", "104C²³"), =HYPERLINK("CSG19.html#group78C19", "78C¹⁹"), =HYPERLINK("CSG21.html#group234A21", "234A²¹"), =HYPERLINK("CSG19.html#group78A19", "78A¹⁹"), =HYPERLINK("CSG23.html#group52F23", "52F²³"), =HYPERLINK("CSG15.html#group52A15", "52A¹⁵"), =HYPERLINK("CSG23.html#group156G23", "156G²³"), =HYPERLINK("CSG24.html#group234A24", "234A²⁴")</f>
        <v/>
      </c>
    </row>
    <row r="262">
      <c r="A262" t="inlineStr">
        <is>
          <t>26B¹</t>
        </is>
      </c>
      <c r="B262" t="inlineStr"/>
      <c r="C262" t="inlineStr">
        <is>
          <t>56</t>
        </is>
      </c>
      <c r="D262" t="inlineStr">
        <is>
          <t>1</t>
        </is>
      </c>
      <c r="E262" t="inlineStr">
        <is>
          <t>14</t>
        </is>
      </c>
      <c r="F262" t="inlineStr">
        <is>
          <t>0</t>
        </is>
      </c>
      <c r="G262" t="inlineStr">
        <is>
          <t>8</t>
        </is>
      </c>
      <c r="H262" t="inlineStr">
        <is>
          <t>2², 26²</t>
        </is>
      </c>
      <c r="I262" t="n">
        <v>4</v>
      </c>
      <c r="J262" t="inlineStr">
        <is>
          <t>1², 12¹</t>
        </is>
      </c>
      <c r="K262">
        <f>HYPERLINK("CSG0.html#group13B0", "13B⁰"), =HYPERLINK("CSG0.html#group26A0", "26A⁰"), =HYPERLINK("CSG1.html#group26A1", "26A¹")</f>
        <v/>
      </c>
      <c r="L262">
        <f>HYPERLINK("CSG3.html#group52B3", "52B³"), =HYPERLINK("CSG5.html#group26C5", "26C⁵"), =HYPERLINK("CSG9.html#group26A9", "26A⁹"), =HYPERLINK("CSG9.html#group26B9", "26B⁹"), =HYPERLINK("CSG9.html#group78A9", "78A⁹"), =HYPERLINK("CSG9.html#group78C9", "78C⁹"), =HYPERLINK("CSG11.html#group78D11", "78D¹¹"), =HYPERLINK("CSG13.html#group52A13", "52A¹³"), =HYPERLINK("CSG13.html#group78A13", "78A¹³"), =HYPERLINK("CSG13.html#group78G13", "78G¹³"), =HYPERLINK("CSG17.html#group130B17", "130B¹⁷")</f>
        <v/>
      </c>
      <c r="M262">
        <f>HYPERLINK("CSG0.html#group13A0", "13A⁰"), =HYPERLINK("CSG0.html#group2A0", "2A⁰"), =HYPERLINK("CSG1.html#group26A1", "26A¹"), =HYPERLINK("CSG0.html#group26A0", "26A⁰"), =HYPERLINK("CSG0.html#group13B0", "13B⁰"), =HYPERLINK("CSG0.html#group1A0", "1A⁰")</f>
        <v/>
      </c>
      <c r="N262">
        <f>HYPERLINK("CSG3.html#group52B3", "52B³"), =HYPERLINK("CSG13.html#group78A13", "78A¹³"), =HYPERLINK("CSG23.html#group52A23", "52A²³"), =HYPERLINK("CSG5.html#group26C5", "26C⁵"), =HYPERLINK("CSG19.html#group156E19", "156E¹⁹"), =HYPERLINK("CSG9.html#group26A9", "26A⁹"), =HYPERLINK("CSG19.html#group52A19", "52A¹⁹"), =HYPERLINK("CSG9.html#group78C9", "78C⁹"), =HYPERLINK("CSG11.html#group78D11", "78D¹¹"), =HYPERLINK("CSG23.html#group52B23", "52B²³"), =HYPERLINK("CSG9.html#group26B9", "26B⁹"), =HYPERLINK("CSG21.html#group52C21", "52C²¹"), =HYPERLINK("CSG13.html#group52A13", "52A¹³"), =HYPERLINK("CSG15.html#group52A15", "52A¹⁵"), =HYPERLINK("CSG17.html#group130B17", "130B¹⁷"), =HYPERLINK("CSG23.html#group156G23", "156G²³"), =HYPERLINK("CSG19.html#group156D19", "156D¹⁹"), =HYPERLINK("CSG9.html#group78A9", "78A⁹"), =HYPERLINK("CSG13.html#group78G13", "78G¹³")</f>
        <v/>
      </c>
    </row>
    <row r="263">
      <c r="A263" t="inlineStr">
        <is>
          <t>27A¹</t>
        </is>
      </c>
      <c r="B263" t="inlineStr">
        <is>
          <t>Γ₀(27)</t>
        </is>
      </c>
      <c r="C263" t="inlineStr">
        <is>
          <t>36</t>
        </is>
      </c>
      <c r="D263" t="inlineStr">
        <is>
          <t>1</t>
        </is>
      </c>
      <c r="E263" t="inlineStr">
        <is>
          <t>12</t>
        </is>
      </c>
      <c r="F263" t="inlineStr">
        <is>
          <t>0</t>
        </is>
      </c>
      <c r="G263" t="inlineStr">
        <is>
          <t>0</t>
        </is>
      </c>
      <c r="H263" t="inlineStr">
        <is>
          <t>1³, 3², 27¹</t>
        </is>
      </c>
      <c r="I263" t="n">
        <v>6</v>
      </c>
      <c r="J263" t="inlineStr">
        <is>
          <t>1², 2², 6¹</t>
        </is>
      </c>
      <c r="K263">
        <f>HYPERLINK("CSG0.html#group9B0", "9B⁰")</f>
        <v/>
      </c>
      <c r="L263">
        <f>HYPERLINK("CSG1.html#group27C1", "27C¹"), =HYPERLINK("CSG4.html#group27B4", "27B⁴"), =HYPERLINK("CSG4.html#group27C4", "27C⁴"), =HYPERLINK("CSG4.html#group54A4", "54A⁴"), =HYPERLINK("CSG4.html#group54E4", "54E⁴"), =HYPERLINK("CSG4.html#group81A4", "81A⁴"), =HYPERLINK("CSG7.html#group81A7", "81A⁷"), =HYPERLINK("CSG7.html#group81B7", "81B⁷"), =HYPERLINK("CSG10.html#group108D10", "108D¹⁰"), =HYPERLINK("CSG13.html#group135A13", "135A¹³"), =HYPERLINK("CSG13.html#group135E13", "135E¹³"), =HYPERLINK("CSG19.html#group189A19", "189A¹⁹"), =HYPERLINK("CSG19.html#group189C19", "189C¹⁹")</f>
        <v/>
      </c>
      <c r="M263">
        <f>HYPERLINK("CSG0.html#group3B0", "3B⁰"), =HYPERLINK("CSG0.html#group9B0", "9B⁰"), =HYPERLINK("CSG0.html#group1A0", "1A⁰")</f>
        <v/>
      </c>
      <c r="N263">
        <f>HYPERLINK("CSG4.html#group27B4", "27B⁴"), =HYPERLINK("CSG10.html#group27B10", "27B¹⁰"), =HYPERLINK("CSG1.html#group27C1", "27C¹"), =HYPERLINK("CSG19.html#group27E19", "27E¹⁹"), =HYPERLINK("CSG10.html#group54E10", "54E¹⁰"), =HYPERLINK("CSG13.html#group27B13", "27B¹³"), =HYPERLINK("CSG22.html#group162A22", "162A²²"), =HYPERLINK("CSG4.html#group81A4", "81A⁴"), =HYPERLINK("CSG13.html#group54J13", "54J¹³"), =HYPERLINK("CSG16.html#group162C16", "162C¹⁶"), =HYPERLINK("CSG19.html#group81E19", "81E¹⁹"), =HYPERLINK("CSG19.html#group189A19", "189A¹⁹"), =HYPERLINK("CSG13.html#group135A13", "135A¹³"), =HYPERLINK("CSG10.html#group54B10", "54B¹⁰"), =HYPERLINK("CSG19.html#group81C19", "81C¹⁹"), =HYPERLINK("CSG22.html#group216A22", "216A²²"), =HYPERLINK("CSG13.html#group135E13", "135E¹³"), =HYPERLINK("CSG10.html#group81A10", "81A¹⁰"), =HYPERLINK("CSG22.html#group243A22", "243A²²"), =HYPERLINK("CSG16.html#group162A16", "162A¹⁶"), =HYPERLINK("CSG16.html#group243A16", "243A¹⁶"), =HYPERLINK("CSG7.html#group81A7", "81A⁷"), =HYPERLINK("CSG10.html#group54I10", "54I¹⁰"), =HYPERLINK("CSG22.html#group108F22", "108F²²"), =HYPERLINK("CSG4.html#group54E4", "54E⁴"), =HYPERLINK("CSG22.html#group216C22", "216C²²"), =HYPERLINK("CSG16.html#group54S16", "54S¹⁶"), =HYPERLINK("CSG4.html#group27C4", "27C⁴"), =HYPERLINK("CSG10.html#group108D10", "108D¹⁰"), =HYPERLINK("CSG16.html#group54T16", "54T¹⁶"), =HYPERLINK("CSG19.html#group108A19", "108A¹⁹"), =HYPERLINK("CSG13.html#group54R13", "54R¹³"), =HYPERLINK("CSG19.html#group81B19", "81B¹⁹"), =HYPERLINK("CSG13.html#group108A13", "108A¹³"), =HYPERLINK("CSG19.html#group243A19", "243A¹⁹"), =HYPERLINK("CSG10.html#group108A10", "108A¹⁰"), =HYPERLINK("CSG16.html#group27D16", "27D¹⁶"), =HYPERLINK("CSG13.html#group54D13", "54D¹³"), =HYPERLINK("CSG10.html#group108F10", "108F¹⁰"), =HYPERLINK("CSG16.html#group162E16", "162E¹⁶"), =HYPERLINK("CSG19.html#group81A19", "81A¹⁹"), =HYPERLINK("CSG16.html#group162B16", "162B¹⁶"), =HYPERLINK("CSG22.html#group81A22", "81A²²"), =HYPERLINK("CSG16.html#group162D16", "162D¹⁶"), =HYPERLINK("CSG7.html#group81B7", "81B⁷"), =HYPERLINK("CSG22.html#group108E22", "108E²²"), =HYPERLINK("CSG22.html#group81B22", "81B²²"), =HYPERLINK("CSG13.html#group81A13", "81A¹³"), =HYPERLINK("CSG10.html#group54A10", "54A¹⁰"), =HYPERLINK("CSG4.html#group54A4", "54A⁴"), =HYPERLINK("CSG13.html#group162B13", "162B¹³"), =HYPERLINK("CSG22.html#group162B22", "162B²²"), =HYPERLINK("CSG13.html#group162A13", "162A¹³"), =HYPERLINK("CSG19.html#group189C19", "189C¹⁹"), =HYPERLINK("CSG16.html#group81A16", "81A¹⁶"), =HYPERLINK("CSG13.html#group54E13", "54E¹³")</f>
        <v/>
      </c>
    </row>
    <row r="264">
      <c r="A264" t="inlineStr">
        <is>
          <t>27B¹</t>
        </is>
      </c>
      <c r="B264" t="inlineStr"/>
      <c r="C264" t="inlineStr">
        <is>
          <t>36</t>
        </is>
      </c>
      <c r="D264" t="inlineStr">
        <is>
          <t>1</t>
        </is>
      </c>
      <c r="E264" t="inlineStr">
        <is>
          <t>12</t>
        </is>
      </c>
      <c r="F264" t="inlineStr">
        <is>
          <t>0</t>
        </is>
      </c>
      <c r="G264" t="inlineStr">
        <is>
          <t>6</t>
        </is>
      </c>
      <c r="H264" t="inlineStr">
        <is>
          <t>9¹, 27¹</t>
        </is>
      </c>
      <c r="I264" t="n">
        <v>2</v>
      </c>
      <c r="J264" t="inlineStr">
        <is>
          <t>1², 2², 6¹</t>
        </is>
      </c>
      <c r="K264">
        <f>HYPERLINK("CSG0.html#group9C0", "9C⁰")</f>
        <v/>
      </c>
      <c r="L264">
        <f>HYPERLINK("CSG2.html#group54A2", "54A²"), =HYPERLINK("CSG4.html#group27D4", "27D⁴"), =HYPERLINK("CSG7.html#group27B7", "27B⁷"), =HYPERLINK("CSG7.html#group27D7", "27D⁷"), =HYPERLINK("CSG8.html#group54A8", "54A⁸"), =HYPERLINK("CSG10.html#group108E10", "108E¹⁰"), =HYPERLINK("CSG11.html#group135A11", "135A¹¹"), =HYPERLINK("CSG17.html#group135A17", "135A¹⁷"), =HYPERLINK("CSG19.html#group189B19", "189B¹⁹"), =HYPERLINK("CSG19.html#group189D19", "189D¹⁹")</f>
        <v/>
      </c>
      <c r="M264">
        <f>HYPERLINK("CSG0.html#group3B0", "3B⁰"), =HYPERLINK("CSG0.html#group1A0", "1A⁰"), =HYPERLINK("CSG0.html#group9C0", "9C⁰")</f>
        <v/>
      </c>
      <c r="N264">
        <f>HYPERLINK("CSG22.html#group108D22", "108D²²"), =HYPERLINK("CSG7.html#group27B7", "27B⁷"), =HYPERLINK("CSG22.html#group54B22", "54B²²"), =HYPERLINK("CSG10.html#group54G10", "54G¹⁰"), =HYPERLINK("CSG22.html#group81C22", "81C²²"), =HYPERLINK("CSG19.html#group81D19", "81D¹⁹"), =HYPERLINK("CSG19.html#group27E19", "27E¹⁹"), =HYPERLINK("CSG10.html#group108E10", "108E¹⁰"), =HYPERLINK("CSG2.html#group54A2", "54A²"), =HYPERLINK("CSG22.html#group108C22", "108C²²"), =HYPERLINK("CSG17.html#group135A17", "135A¹⁷"), =HYPERLINK("CSG22.html#group270A22", "270A²²"), =HYPERLINK("CSG17.html#group108A17", "108A¹⁷"), =HYPERLINK("CSG16.html#group54D16", "54D¹⁶"), =HYPERLINK("CSG16.html#group27E16", "27E¹⁶"), =HYPERLINK("CSG16.html#group108A16", "108A¹⁶"), =HYPERLINK("CSG4.html#group27D4", "27D⁴"), =HYPERLINK("CSG13.html#group54S13", "54S¹³"), =HYPERLINK("CSG7.html#group27D7", "27D⁷"), =HYPERLINK("CSG22.html#group108B22", "108B²²"), =HYPERLINK("CSG11.html#group135A11", "135A¹¹"), =HYPERLINK("CSG4.html#group108A4", "108A⁴"), =HYPERLINK("CSG16.html#group54G16", "54G¹⁶"), =HYPERLINK("CSG19.html#group189B19", "189B¹⁹"), =HYPERLINK("CSG10.html#group54C10", "54C¹⁰"), =HYPERLINK("CSG22.html#group54C22", "54C²²"), =HYPERLINK("CSG19.html#group189D19", "189D¹⁹"), =HYPERLINK("CSG19.html#group27C19", "27C¹⁹"), =HYPERLINK("CSG10.html#group54F10", "54F¹⁰"), =HYPERLINK("CSG20.html#group216A20", "216A²⁰"), =HYPERLINK("CSG16.html#group54B16", "54B¹⁶"), =HYPERLINK("CSG19.html#group27B19", "27B¹⁹"), =HYPERLINK("CSG19.html#group108B19", "108B¹⁹"), =HYPERLINK("CSG22.html#group54E22", "54E²²"), =HYPERLINK("CSG8.html#group54A8", "54A⁸")</f>
        <v/>
      </c>
    </row>
    <row r="265">
      <c r="A265" t="inlineStr">
        <is>
          <t>27C¹</t>
        </is>
      </c>
      <c r="B265" t="inlineStr"/>
      <c r="C265" t="inlineStr">
        <is>
          <t>108</t>
        </is>
      </c>
      <c r="D265" t="inlineStr">
        <is>
          <t>1</t>
        </is>
      </c>
      <c r="E265" t="inlineStr">
        <is>
          <t>12</t>
        </is>
      </c>
      <c r="F265" t="inlineStr">
        <is>
          <t>0</t>
        </is>
      </c>
      <c r="G265" t="inlineStr">
        <is>
          <t>0</t>
        </is>
      </c>
      <c r="H265" t="inlineStr">
        <is>
          <t>1⁹, 3⁶, 27³</t>
        </is>
      </c>
      <c r="I265" t="n">
        <v>18</v>
      </c>
      <c r="J265" t="inlineStr">
        <is>
          <t>1², 2², 6¹</t>
        </is>
      </c>
      <c r="K265">
        <f>HYPERLINK("CSG0.html#group9I0", "9I⁰"), =HYPERLINK("CSG0.html#group27A0", "27A⁰"), =HYPERLINK("CSG1.html#group27A1", "27A¹")</f>
        <v/>
      </c>
      <c r="L265">
        <f>HYPERLINK("CSG10.html#group27B10", "27B¹⁰"), =HYPERLINK("CSG10.html#group54B10", "54B¹⁰"), =HYPERLINK("CSG10.html#group54I10", "54I¹⁰"), =HYPERLINK("CSG10.html#group81A10", "81A¹⁰"), =HYPERLINK("CSG13.html#group27B13", "27B¹³"), =HYPERLINK("CSG13.html#group81A13", "81A¹³"), =HYPERLINK("CSG19.html#group81A19", "81A¹⁹"), =HYPERLINK("CSG19.html#group81B19", "81B¹⁹")</f>
        <v/>
      </c>
      <c r="M265">
        <f>HYPERLINK("CSG0.html#group9I0", "9I⁰"), =HYPERLINK("CSG0.html#group27A0", "27A⁰"), =HYPERLINK("CSG0.html#group3B0", "3B⁰"), =HYPERLINK("CSG0.html#group9B0", "9B⁰"), =HYPERLINK("CSG1.html#group27A1", "27A¹"), =HYPERLINK("CSG0.html#group1A0", "1A⁰")</f>
        <v/>
      </c>
      <c r="N265">
        <f>HYPERLINK("CSG10.html#group27B10", "27B¹⁰"), =HYPERLINK("CSG10.html#group81A10", "81A¹⁰"), =HYPERLINK("CSG19.html#group81A19", "81A¹⁹"), =HYPERLINK("CSG19.html#group81B19", "81B¹⁹"), =HYPERLINK("CSG13.html#group27B13", "27B¹³"), =HYPERLINK("CSG13.html#group81A13", "81A¹³"), =HYPERLINK("CSG10.html#group54I10", "54I¹⁰"), =HYPERLINK("CSG10.html#group54B10", "54B¹⁰")</f>
        <v/>
      </c>
    </row>
    <row r="266">
      <c r="A266" t="inlineStr">
        <is>
          <t>28A¹</t>
        </is>
      </c>
      <c r="B266" t="inlineStr"/>
      <c r="C266" t="inlineStr">
        <is>
          <t>28</t>
        </is>
      </c>
      <c r="D266" t="inlineStr">
        <is>
          <t>2</t>
        </is>
      </c>
      <c r="E266" t="inlineStr">
        <is>
          <t>28</t>
        </is>
      </c>
      <c r="F266" t="inlineStr">
        <is>
          <t>6</t>
        </is>
      </c>
      <c r="G266" t="inlineStr">
        <is>
          <t>1</t>
        </is>
      </c>
      <c r="H266" t="inlineStr">
        <is>
          <t>28¹</t>
        </is>
      </c>
      <c r="I266" t="n">
        <v>1</v>
      </c>
      <c r="J266" t="inlineStr">
        <is>
          <t>4², 12⁴</t>
        </is>
      </c>
      <c r="K266">
        <f>HYPERLINK("CSG0.html#group4A0", "4A⁰"), =HYPERLINK("CSG0.html#group7A0", "7A⁰")</f>
        <v/>
      </c>
      <c r="L266">
        <f>HYPERLINK("CSG2.html#group28E2", "28E²"), =HYPERLINK("CSG3.html#group28D3", "28D³"), =HYPERLINK("CSG3.html#group56A3", "56A³"), =HYPERLINK("CSG3.html#group56B3", "56B³"), =HYPERLINK("CSG3.html#group56C3", "56C³"), =HYPERLINK("CSG3.html#group56D3", "56D³"), =HYPERLINK("CSG3.html#group84A3", "84A³"), =HYPERLINK("CSG4.html#group28A4", "28A⁴"), =HYPERLINK("CSG4.html#group28B4", "28B⁴"), =HYPERLINK("CSG5.html#group28D5", "28D⁵"), =HYPERLINK("CSG6.html#group28H6", "28H⁶"), =HYPERLINK("CSG6.html#group56H6", "56H⁶"), =HYPERLINK("CSG9.html#group84A9", "84A⁹"), =HYPERLINK("CSG10.html#group140A10", "140A¹⁰"), =HYPERLINK("CSG11.html#group140E11", "140E¹¹"), =HYPERLINK("CSG20.html#group140C20", "140C²⁰")</f>
        <v/>
      </c>
      <c r="M266">
        <f>HYPERLINK("CSG0.html#group1A0", "1A⁰"), =HYPERLINK("CSG0.html#group4A0", "4A⁰"), =HYPERLINK("CSG0.html#group7A0", "7A⁰")</f>
        <v/>
      </c>
      <c r="N266">
        <f>HYPERLINK("CSG7.html#group112C7", "112C⁷"), =HYPERLINK("CSG24.html#group168H24", "168H²⁴"), =HYPERLINK("CSG23.html#group56J23", "56J²³"), =HYPERLINK("CSG23.html#group56B23", "56B²³"), =HYPERLINK("CSG12.html#group28B12", "28B¹²"), =HYPERLINK("CSG14.html#group56D14", "56D¹⁴"), =HYPERLINK("CSG11.html#group84G11", "84G¹¹"), =HYPERLINK("CSG14.html#group84A14", "84A¹⁴"), =HYPERLINK("CSG16.html#group112A16", "112A¹⁶"), =HYPERLINK("CSG21.html#group84M21", "84M²¹"), =HYPERLINK("CSG22.html#group56B22", "56B²²"), =HYPERLINK("CSG11.html#group56H11", "56H¹¹"), =HYPERLINK("CSG23.html#group168M23", "168M²³"), =HYPERLINK("CSG24.html#group112W24", "112W²⁴"), =HYPERLINK("CSG7.html#group56E7", "56E⁷"), =HYPERLINK("CSG9.html#group84A9", "84A⁹"), =HYPERLINK("CSG17.html#group84B17", "84B¹⁷"), =HYPERLINK("CSG24.html#group56H24", "56H²⁴"), =HYPERLINK("CSG22.html#group168L22", "168L²²"), =HYPERLINK("CSG24.html#group336F24", "336F²⁴"), =HYPERLINK("CSG24.html#group168I24", "168I²⁴"), =HYPERLINK("CSG8.html#group28B8", "28B⁸"), =HYPERLINK("CSG12.html#group56E12", "56E¹²"), =HYPERLINK("CSG23.html#group84E23", "84E²³"), =HYPERLINK("CSG22.html#group56D22", "56D²²"), =HYPERLINK("CSG23.html#group168G23", "168G²³"), =HYPERLINK("CSG24.html#group56I24", "56I²⁴"), =HYPERLINK("CSG22.html#group168H22", "168H²²"), =HYPERLINK("CSG21.html#group280D21", "280D²¹"), =HYPERLINK("CSG24.html#group56L24", "56L²⁴"), =HYPERLINK("CSG3.html#group28D3", "28D³"), =HYPERLINK("CSG21.html#group56J21", "56J²¹"), =HYPERLINK("CSG9.html#group28E9", "28E⁹"), =HYPERLINK("CSG24.html#group168E24", "168E²⁴"), =HYPERLINK("CSG7.html#group112A7", "112A⁷"), =HYPERLINK("CSG8.html#group84I8", "84I⁸"), =HYPERLINK("CSG14.html#group112F14", "112F¹⁴"), =HYPERLINK("CSG6.html#group56H6", "56H⁶"), =HYPERLINK("CSG12.html#group56J12", "56J¹²"), =HYPERLINK("CSG23.html#group56K23", "56K²³"), =HYPERLINK("CSG24.html#group168J24", "168J²⁴"), =HYPERLINK("CSG24.html#group168D24", "168D²⁴"), =HYPERLINK("CSG16.html#group84B16", "84B¹⁶"), =HYPERLINK("CSG23.html#group112E23", "112E²³"), =HYPERLINK("CSG21.html#group140A21", "140A²¹"), =HYPERLINK("CSG6.html#group56G6", "56G⁶"), =HYPERLINK("CSG10.html#group28A10", "28A¹⁰"), =HYPERLINK("CSG7.html#group112B7", "112B⁷"), =HYPERLINK("CSG11.html#group28D11", "28D¹¹"), =HYPERLINK("CSG10.html#group168F10", "168F¹⁰"), =HYPERLINK("CSG3.html#group84A3", "84A³"), =HYPERLINK("CSG23.html#group112H23", "112H²³"), =HYPERLINK("CSG5.html#group28D5", "28D⁵"), =HYPERLINK("CSG7.html#group28A7", "28A⁷"), =HYPERLINK("CSG23.html#group168H23", "168H²³"), =HYPERLINK("CSG20.html#group140B20", "140B²⁰"), =HYPERLINK("CSG3.html#group56C3", "56C³"), =HYPERLINK("CSG24.html#group168G24", "168G²⁴"), =HYPERLINK("CSG24.html#group336G24", "336G²⁴"), =HYPERLINK("CSG21.html#group280A21", "280A²¹"), =HYPERLINK("CSG23.html#group168O23", "168O²³"), =HYPERLINK("CSG11.html#group56G11", "56G¹¹"), =HYPERLINK("CSG21.html#group140D21", "140D²¹"), =HYPERLINK("CSG23.html#group140H23", "140H²³"), =HYPERLINK("CSG24.html#group56J24", "56J²⁴"), =HYPERLINK("CSG19.html#group168C19", "168C¹⁹"), =HYPERLINK("CSG13.html#group56M13", "56M¹³"), =HYPERLINK("CSG24.html#group168C24", "168C²⁴"), =HYPERLINK("CSG21.html#group28J21", "28J²¹"), =HYPERLINK("CSG14.html#group252A14", "252A¹⁴"), =HYPERLINK("CSG21.html#group280C21", "280C²¹"), =HYPERLINK("CSG12.html#group28A12", "28A¹²"), =HYPERLINK("CSG24.html#group336H24", "336H²⁴"), =HYPERLINK("CSG10.html#group84E10", "84E¹⁰"), =HYPERLINK("CSG11.html#group56E11", "56E¹¹"), =HYPERLINK("CSG24.html#group112Z24", "112Z²⁴"), =HYPERLINK("CSG19.html#group28C19", "28C¹⁹"), =HYPERLINK("CSG24.html#group56N24", "56N²⁴"), =HYPERLINK("CSG23.html#group168I23", "168I²³"), =HYPERLINK("CSG24.html#group56B24", "56B²⁴"), =HYPERLINK("CSG13.html#group56F13", "56F¹³"), =HYPERLINK("CSG23.html#group112J23", "112J²³"), =HYPERLINK("CSG15.html#group28F15", "28F¹⁵"), =HYPERLINK("CSG9.html#group84E9", "84E⁹"), =HYPERLINK("CSG22.html#group56L22", "56L²²"), =HYPERLINK("CSG23.html#group56C23", "56C²³"), =HYPERLINK("CSG15.html#group112I15", "112I¹⁵"), =HYPERLINK("CSG3.html#group56A3", "56A³"), =HYPERLINK("CSG10.html#group140A10", "140A¹⁰"), =HYPERLINK("CSG10.html#group28B10", "28B¹⁰"), =HYPERLINK("CSG22.html#group140A22", "140A²²"), =HYPERLINK("CSG11.html#group56I11", "56I¹¹"), =HYPERLINK("CSG23.html#group84C23", "84C²³"), =HYPERLINK("CSG23.html#group168J23", "168J²³"), =HYPERLINK("CSG15.html#group56A15", "56A¹⁵"), =HYPERLINK("CSG23.html#group168L23", "168L²³"), =HYPERLINK("CSG23.html#group56L23", "56L²³"), =HYPERLINK("CSG15.html#group28B15", "28B¹⁵"), =HYPERLINK("CSG10.html#group168E10", "168E¹⁰"), =HYPERLINK("CSG21.html#group280B21", "280B²¹"), =HYPERLINK("CSG22.html#group168J22", "168J²²"), =HYPERLINK("CSG8.html#group56B8", "56B⁸"), =HYPERLINK("CSG14.html#group56C14", "56C¹⁴"), =HYPERLINK("CSG10.html#group168A10", "168A¹⁰"), =HYPERLINK("CSG14.html#group112E14", "112E¹⁴"), =HYPERLINK("CSG21.html#group56I21", "56I²¹"), =HYPERLINK("CSG9.html#group28C9", "28C⁹"), =HYPERLINK("CSG21.html#group28K21", "28K²¹"), =HYPERLINK("CSG24.html#group56M24", "56M²⁴"), =HYPERLINK("CSG22.html#group168N22", "168N²²"), =HYPERLINK("CSG22.html#group56A22", "56A²²"), =HYPERLINK("CSG18.html#group168C18", "168C¹⁸"), =HYPERLINK("CSG24.html#group112X24", "112X²⁴"), =HYPERLINK("CSG23.html#group56D23", "56D²³"), =HYPERLINK("CSG4.html#group28B4", "28B⁴"), =HYPERLINK("CSG15.html#group56D15", "56D¹⁵"), =HYPERLINK("CSG22.html#group56H22", "56H²²"), =HYPERLINK("CSG14.html#group56F14", "56F¹⁴"), =HYPERLINK("CSG17.html#group56A17", "56A¹⁷"), =HYPERLINK("CSG11.html#group140E11", "140E¹¹"), =HYPERLINK("CSG24.html#group168F24", "168F²⁴"), =HYPERLINK("CSG11.html#group56J11", "56J¹¹"), =HYPERLINK("CSG4.html#group28A4", "28A⁴"), =HYPERLINK("CSG18.html#group168B18", "168B¹⁸"), =HYPERLINK("CSG22.html#group168G22", "168G²²"), =HYPERLINK("CSG23.html#group28C23", "28C²³"), =HYPERLINK("CSG10.html#group168D10", "168D¹⁰"), =HYPERLINK("CSG16.html#group112B16", "112B¹⁶"), =HYPERLINK("CSG13.html#group84J13", "84J¹³"), =HYPERLINK("CSG22.html#group168K22", "168K²²"), =HYPERLINK("CSG24.html#group112Y24", "112Y²⁴"), =HYPERLINK("CSG18.html#group168D18", "168D¹⁸"), =HYPERLINK("CSG23.html#group112I23", "112I²³"), =HYPERLINK("CSG15.html#group28A15", "28A¹⁵"), =HYPERLINK("CSG23.html#group84D23", "84D²³"), =HYPERLINK("CSG11.html#group84D11", "84D¹¹"), =HYPERLINK("CSG24.html#group336D24", "336D²⁴"), =HYPERLINK("CSG10.html#group168G10", "168G¹⁰"), =HYPERLINK("CSG24.html#group336C24", "336C²⁴"), =HYPERLINK("CSG22.html#group168M22", "168M²²"), =HYPERLINK("CSG24.html#group56K24", "56K²⁴"), =HYPERLINK("CSG21.html#group84N21", "84N²¹"), =HYPERLINK("CSG22.html#group56E22", "56E²²"), =HYPERLINK("CSG22.html#group168Q22", "168Q²²"), =HYPERLINK("CSG12.html#group56K12", "56K¹²"), =HYPERLINK("CSG11.html#group28B11", "28B¹¹"), =HYPERLINK("CSG15.html#group112J15", "112J¹⁵"), =HYPERLINK("CSG2.html#group28E2", "28E²"), =HYPERLINK("CSG3.html#group56D3", "56D³"), =HYPERLINK("CSG24.html#group336A24", "336A²⁴"), =HYPERLINK("CSG21.html#group112B21", "112B²¹"), =HYPERLINK("CSG18.html#group168A18", "168A¹⁸"), =HYPERLINK("CSG24.html#group336E24", "336E²⁴"), =HYPERLINK("CSG17.html#group84C17", "84C¹⁷"), =HYPERLINK("CSG23.html#group112K23", "112K²³"), =HYPERLINK("CSG10.html#group168B10", "168B¹⁰"), =HYPERLINK("CSG23.html#group56G23", "56G²³"), =HYPERLINK("CSG10.html#group56C10", "56C¹⁰"), =HYPERLINK("CSG23.html#group56N23", "56N²³"), =HYPERLINK("CSG14.html#group56E14", "56E¹⁴"), =HYPERLINK("CSG6.html#group28H6", "28H⁶"), =HYPERLINK("CSG21.html#group84P21", "84P²¹"), =HYPERLINK("CSG10.html#group168C10", "168C¹⁰"), =HYPERLINK("CSG8.html#group84H8", "84H⁸"), =HYPERLINK("CSG13.html#group84A13", "84A¹³"), =HYPERLINK("CSG7.html#group56D7", "56D⁷"), =HYPERLINK("CSG11.html#group56K11", "56K¹¹"), =HYPERLINK("CSG11.html#group56F11", "56F¹¹"), =HYPERLINK("CSG15.html#group56C15", "56C¹⁵"), =HYPERLINK("CSG21.html#group84O21", "84O²¹"), =HYPERLINK("CSG15.html#group56B15", "56B¹⁵"), =HYPERLINK("CSG17.html#group84A17", "84A¹⁷"), =HYPERLINK("CSG24.html#group112K24", "112K²⁴"), =HYPERLINK("CSG22.html#group168R22", "168R²²"), =HYPERLINK("CSG6.html#group56F6", "56F⁶"), =HYPERLINK("CSG23.html#group140G23", "140G²³"), =HYPERLINK("CSG3.html#group56B3", "56B³"), =HYPERLINK("CSG22.html#group56C22", "56C²²"), =HYPERLINK("CSG22.html#group168P22", "168P²²"), =HYPERLINK("CSG23.html#group28B23", "28B²³"), =HYPERLINK("CSG24.html#group112L24", "112L²⁴"), =HYPERLINK("CSG21.html#group28F21", "28F²¹"), =HYPERLINK("CSG20.html#group140C20", "140C²⁰"), =HYPERLINK("CSG22.html#group168I22", "168I²²"), =HYPERLINK("CSG24.html#group336B24", "336B²⁴"), =HYPERLINK("CSG8.html#group56A8", "56A⁸"), =HYPERLINK("CSG22.html#group168O22", "168O²²"), =HYPERLINK("CSG23.html#group56I23", "56I²³"), =HYPERLINK("CSG22.html#group56K22", "56K²²"), =HYPERLINK("CSG11.html#group28H11", "28H¹¹"), =HYPERLINK("CSG23.html#group168P23", "168P²³"), =HYPERLINK("CSG23.html#group28D23", "28D²³"), =HYPERLINK("CSG24.html#group56A24", "56A²⁴"), =HYPERLINK("CSG10.html#group168H10", "168H¹⁰"), =HYPERLINK("CSG10.html#group84F10", "84F¹⁰"), =HYPERLINK("CSG23.html#group56M23", "56M²³"), =HYPERLINK("CSG19.html#group84L19", "84L¹⁹"), =HYPERLINK("CSG7.html#group112D7", "112D⁷"), =HYPERLINK("CSG23.html#group168N23", "168N²³"), =HYPERLINK("CSG23.html#group28A23", "28A²³"), =HYPERLINK("CSG23.html#group168K23", "168K²³")</f>
        <v/>
      </c>
    </row>
    <row r="267">
      <c r="A267" t="inlineStr">
        <is>
          <t>30A¹</t>
        </is>
      </c>
      <c r="B267" t="inlineStr"/>
      <c r="C267" t="inlineStr">
        <is>
          <t>30</t>
        </is>
      </c>
      <c r="D267" t="inlineStr">
        <is>
          <t>1</t>
        </is>
      </c>
      <c r="E267" t="inlineStr">
        <is>
          <t>10</t>
        </is>
      </c>
      <c r="F267" t="inlineStr">
        <is>
          <t>0</t>
        </is>
      </c>
      <c r="G267" t="inlineStr">
        <is>
          <t>6</t>
        </is>
      </c>
      <c r="H267" t="inlineStr">
        <is>
          <t>30¹</t>
        </is>
      </c>
      <c r="I267" t="n">
        <v>1</v>
      </c>
      <c r="J267" t="inlineStr">
        <is>
          <t>2¹, 8¹</t>
        </is>
      </c>
      <c r="K267">
        <f>HYPERLINK("CSG0.html#group6A0", "6A⁰"), =HYPERLINK("CSG0.html#group10A0", "10A⁰")</f>
        <v/>
      </c>
      <c r="L267">
        <f>HYPERLINK("CSG4.html#group30G4", "30G⁴"), =HYPERLINK("CSG7.html#group30B7", "30B⁷"), =HYPERLINK("CSG7.html#group30C7", "30C⁷"), =HYPERLINK("CSG7.html#group30G7", "30G⁷"), =HYPERLINK("CSG7.html#group30K7", "30K⁷"), =HYPERLINK("CSG8.html#group60B8", "60B⁸"), =HYPERLINK("CSG8.html#group60E8", "60E⁸"), =HYPERLINK("CSG16.html#group210C16", "210C¹⁶"), =HYPERLINK("CSG16.html#group210E16", "210E¹⁶"), =HYPERLINK("CSG24.html#group330C24", "330C²⁴")</f>
        <v/>
      </c>
      <c r="M267">
        <f>HYPERLINK("CSG0.html#group2A0", "2A⁰"), =HYPERLINK("CSG0.html#group5A0", "5A⁰"), =HYPERLINK("CSG0.html#group10A0", "10A⁰"), =HYPERLINK("CSG0.html#group6A0", "6A⁰"), =HYPERLINK("CSG0.html#group1A0", "1A⁰")</f>
        <v/>
      </c>
      <c r="N267">
        <f>HYPERLINK("CSG22.html#group90B22", "90B²²"), =HYPERLINK("CSG7.html#group30G7", "30G⁷"), =HYPERLINK("CSG16.html#group210E16", "210E¹⁶"), =HYPERLINK("CSG24.html#group330C24", "330C²⁴"), =HYPERLINK("CSG22.html#group30D22", "30D²²"), =HYPERLINK("CSG16.html#group120C16", "120C¹⁶"), =HYPERLINK("CSG14.html#group60E14", "60E¹⁴"), =HYPERLINK("CSG14.html#group60A14", "60A¹⁴"), =HYPERLINK("CSG19.html#group30A19", "30A¹⁹"), =HYPERLINK("CSG22.html#group30F22", "30F²²"), =HYPERLINK("CSG7.html#group30K7", "30K⁷"), =HYPERLINK("CSG7.html#group30B7", "30B⁷"), =HYPERLINK("CSG8.html#group60B8", "60B⁸"), =HYPERLINK("CSG16.html#group120A16", "120A¹⁶"), =HYPERLINK("CSG7.html#group30C7", "30C⁷"), =HYPERLINK("CSG13.html#group30C13", "30C¹³"), =HYPERLINK("CSG8.html#group60E8", "60E⁸"), =HYPERLINK("CSG22.html#group30B22", "30B²²"), =HYPERLINK("CSG15.html#group60T15", "60T¹⁵"), =HYPERLINK("CSG16.html#group210C16", "210C¹⁶"), =HYPERLINK("CSG22.html#group90I22", "90I²²"), =HYPERLINK("CSG13.html#group30E13", "30E¹³"), =HYPERLINK("CSG15.html#group60P15", "60P¹⁵"), =HYPERLINK("CSG4.html#group30G4", "30G⁴")</f>
        <v/>
      </c>
    </row>
    <row r="268">
      <c r="A268" t="inlineStr">
        <is>
          <t>30B¹</t>
        </is>
      </c>
      <c r="B268" t="inlineStr"/>
      <c r="C268" t="inlineStr">
        <is>
          <t>30</t>
        </is>
      </c>
      <c r="D268" t="inlineStr">
        <is>
          <t>2</t>
        </is>
      </c>
      <c r="E268" t="inlineStr">
        <is>
          <t>5</t>
        </is>
      </c>
      <c r="F268" t="inlineStr">
        <is>
          <t>0</t>
        </is>
      </c>
      <c r="G268" t="inlineStr">
        <is>
          <t>6</t>
        </is>
      </c>
      <c r="H268" t="inlineStr">
        <is>
          <t>30¹</t>
        </is>
      </c>
      <c r="I268" t="n">
        <v>1</v>
      </c>
      <c r="J268" t="inlineStr">
        <is>
          <t>2¹, 8¹</t>
        </is>
      </c>
      <c r="K268">
        <f>HYPERLINK("CSG0.html#group10A0", "10A⁰"), =HYPERLINK("CSG0.html#group15A0", "15A⁰")</f>
        <v/>
      </c>
      <c r="L268">
        <f>HYPERLINK("CSG4.html#group30G4", "30G⁴"), =HYPERLINK("CSG7.html#group30A7", "30A⁷"), =HYPERLINK("CSG7.html#group30E7", "30E⁷"), =HYPERLINK("CSG7.html#group30H7", "30H⁷"), =HYPERLINK("CSG7.html#group30M7", "30M⁷"), =HYPERLINK("CSG7.html#group30O7", "30O⁷"), =HYPERLINK("CSG8.html#group60F8", "60F⁸"), =HYPERLINK("CSG16.html#group210A16", "210A¹⁶"), =HYPERLINK("CSG16.html#group210B16", "210B¹⁶"), =HYPERLINK("CSG16.html#group210F16", "210F¹⁶"), =HYPERLINK("CSG24.html#group330A24", "330A²⁴"), =HYPERLINK("CSG24.html#group330B24", "330B²⁴")</f>
        <v/>
      </c>
      <c r="M268">
        <f>HYPERLINK("CSG0.html#group2A0", "2A⁰"), =HYPERLINK("CSG0.html#group5A0", "5A⁰"), =HYPERLINK("CSG0.html#group10A0", "10A⁰"), =HYPERLINK("CSG0.html#group1A0", "1A⁰"), =HYPERLINK("CSG0.html#group15A0", "15A⁰")</f>
        <v/>
      </c>
      <c r="N268">
        <f>HYPERLINK("CSG13.html#group30B13", "30B¹³"), =HYPERLINK("CSG22.html#group90K22", "90K²²"), =HYPERLINK("CSG22.html#group30D22", "30D²²"), =HYPERLINK("CSG7.html#group30A7", "30A⁷"), =HYPERLINK("CSG22.html#group90A22", "90A²²"), =HYPERLINK("CSG16.html#group210A16", "210A¹⁶"), =HYPERLINK("CSG19.html#group30A19", "30A¹⁹"), =HYPERLINK("CSG15.html#group60Q15", "60Q¹⁵"), =HYPERLINK("CSG22.html#group30F22", "30F²²"), =HYPERLINK("CSG13.html#group30D13", "30D¹³"), =HYPERLINK("CSG24.html#group330A24", "330A²⁴"), =HYPERLINK("CSG16.html#group210B16", "210B¹⁶"), =HYPERLINK("CSG7.html#group30O7", "30O⁷"), =HYPERLINK("CSG22.html#group30B22", "30B²²"), =HYPERLINK("CSG13.html#group30G13", "30G¹³"), =HYPERLINK("CSG7.html#group30H7", "30H⁷"), =HYPERLINK("CSG7.html#group30E7", "30E⁷"), =HYPERLINK("CSG8.html#group60F8", "60F⁸"), =HYPERLINK("CSG16.html#group210F16", "210F¹⁶"), =HYPERLINK("CSG24.html#group330B24", "330B²⁴"), =HYPERLINK("CSG15.html#group60Y15", "60Y¹⁵"), =HYPERLINK("CSG14.html#group60F14", "60F¹⁴"), =HYPERLINK("CSG4.html#group30G4", "30G⁴"), =HYPERLINK("CSG7.html#group30M7", "30M⁷"), =HYPERLINK("CSG16.html#group120D16", "120D¹⁶"), =HYPERLINK("CSG13.html#group30O13", "30O¹³")</f>
        <v/>
      </c>
    </row>
    <row r="269">
      <c r="A269" t="inlineStr">
        <is>
          <t>30C¹</t>
        </is>
      </c>
      <c r="B269" t="inlineStr"/>
      <c r="C269" t="inlineStr">
        <is>
          <t>36</t>
        </is>
      </c>
      <c r="D269" t="inlineStr">
        <is>
          <t>1</t>
        </is>
      </c>
      <c r="E269" t="inlineStr">
        <is>
          <t>18</t>
        </is>
      </c>
      <c r="F269" t="inlineStr">
        <is>
          <t>8</t>
        </is>
      </c>
      <c r="G269" t="inlineStr">
        <is>
          <t>0</t>
        </is>
      </c>
      <c r="H269" t="inlineStr">
        <is>
          <t>6¹, 30¹</t>
        </is>
      </c>
      <c r="I269" t="n">
        <v>2</v>
      </c>
      <c r="J269" t="inlineStr">
        <is>
          <t>1², 2², 4¹, 8¹</t>
        </is>
      </c>
      <c r="K269">
        <f>HYPERLINK("CSG0.html#group6B0", "6B⁰"), =HYPERLINK("CSG0.html#group15B0", "15B⁰")</f>
        <v/>
      </c>
      <c r="L269">
        <f>HYPERLINK("CSG1.html#group30D1", "30D¹"), =HYPERLINK("CSG3.html#group30I3", "30I³"), =HYPERLINK("CSG3.html#group30L3", "30L³"), =HYPERLINK("CSG5.html#group30G5", "30G⁵"), =HYPERLINK("CSG5.html#group30H5", "30H⁵"), =HYPERLINK("CSG5.html#group30P5", "30P⁵"), =HYPERLINK("CSG5.html#group90A5", "90A⁵"), =HYPERLINK("CSG7.html#group60R7", "60R⁷"), =HYPERLINK("CSG7.html#group90C7", "90C⁷"), =HYPERLINK("CSG7.html#group90D7", "90D⁷"), =HYPERLINK("CSG11.html#group30B11", "30B¹¹"), =HYPERLINK("CSG11.html#group150A11", "150A¹¹"), =HYPERLINK("CSG13.html#group150E13", "150E¹³"), =HYPERLINK("CSG13.html#group150D13", "150D¹³"), =HYPERLINK("CSG13.html#group150F13", "150F¹³"), =HYPERLINK("CSG13.html#group150C13", "150C¹³"), =HYPERLINK("CSG15.html#group210D15", "210D¹⁵"), =HYPERLINK("CSG23.html#group210E23", "210E²³")</f>
        <v/>
      </c>
      <c r="M269">
        <f>HYPERLINK("CSG0.html#group5B0", "5B⁰"), =HYPERLINK("CSG0.html#group15B0", "15B⁰"), =HYPERLINK("CSG0.html#group6B0", "6B⁰"), =HYPERLINK("CSG0.html#group3A0", "3A⁰"), =HYPERLINK("CSG0.html#group1A0", "1A⁰")</f>
        <v/>
      </c>
      <c r="N269">
        <f>HYPERLINK("CSG15.html#group210D15", "210D¹⁵"), =HYPERLINK("CSG21.html#group90J21", "90J²¹"), =HYPERLINK("CSG15.html#group90J15", "90J¹⁵"), =HYPERLINK("CSG21.html#group60N21", "60N²¹"), =HYPERLINK("CSG17.html#group90K17", "90K¹⁷"), =HYPERLINK("CSG15.html#group90L15", "90L¹⁵"), =HYPERLINK("CSG15.html#group90P15", "90P¹⁵"), =HYPERLINK("CSG21.html#group90K21", "90K²¹"), =HYPERLINK("CSG21.html#group60A21", "60A²¹"), =HYPERLINK("CSG5.html#group30G5", "30G⁵"), =HYPERLINK("CSG17.html#group60Y17", "60Y¹⁷"), =HYPERLINK("CSG5.html#group30P5", "30P⁵"), =HYPERLINK("CSG21.html#group60C21", "60C²¹"), =HYPERLINK("CSG9.html#group60E9", "60E⁹"), =HYPERLINK("CSG1.html#group30D1", "30D¹"), =HYPERLINK("CSG7.html#group90D7", "90D⁷"), =HYPERLINK("CSG21.html#group90N21", "90N²¹"), =HYPERLINK("CSG23.html#group150B23", "150B²³"), =HYPERLINK("CSG9.html#group30J9", "30J⁹"), =HYPERLINK("CSG17.html#group90F17", "90F¹⁷"), =HYPERLINK("CSG9.html#group30I9", "30I⁹"), =HYPERLINK("CSG11.html#group30K11", "30K¹¹"), =HYPERLINK("CSG23.html#group60S23", "60S²³"), =HYPERLINK("CSG17.html#group60V17", "60V¹⁷"), =HYPERLINK("CSG23.html#group30B23", "30B²³"), =HYPERLINK("CSG17.html#group30I17", "30I¹⁷"), =HYPERLINK("CSG11.html#group30B11", "30B¹¹"), =HYPERLINK("CSG19.html#group120G19", "120G¹⁹"), =HYPERLINK("CSG17.html#group60X17", "60X¹⁷"), =HYPERLINK("CSG13.html#group30J13", "30J¹³"), =HYPERLINK("CSG21.html#group60X21", "60X²¹"), =HYPERLINK("CSG3.html#group30L3", "30L³"), =HYPERLINK("CSG15.html#group90O15", "90O¹⁵"), =HYPERLINK("CSG19.html#group120Q19", "120Q¹⁹"), =HYPERLINK("CSG7.html#group60N7", "60N⁷"), =HYPERLINK("CSG21.html#group90L21", "90L²¹"), =HYPERLINK("CSG23.html#group90A23", "90A²³"), =HYPERLINK("CSG15.html#group60H15", "60H¹⁵"), =HYPERLINK("CSG23.html#group210E23", "210E²³"), =HYPERLINK("CSG7.html#group60S7", "60S⁷"), =HYPERLINK("CSG5.html#group30H5", "30H⁵"), =HYPERLINK("CSG13.html#group90G13", "90G¹³"), =HYPERLINK("CSG5.html#group30R5", "30R⁵"), =HYPERLINK("CSG9.html#group90G9", "90G⁹"), =HYPERLINK("CSG7.html#group90C7", "90C⁷"), =HYPERLINK("CSG15.html#group60M15", "60M¹⁵"), =HYPERLINK("CSG23.html#group150D23", "150D²³"), =HYPERLINK("CSG23.html#group30J23", "30J²³"), =HYPERLINK("CSG19.html#group120J19", "120J¹⁹"), =HYPERLINK("CSG13.html#group60AF13", "60AF¹³"), =HYPERLINK("CSG17.html#group90G17", "90G¹⁷"), =HYPERLINK("CSG15.html#group90M15", "90M¹⁵"), =HYPERLINK("CSG15.html#group90N15", "90N¹⁵"), =HYPERLINK("CSG21.html#group150A21", "150A²¹"), =HYPERLINK("CSG7.html#group60R7", "60R⁷"), =HYPERLINK("CSG9.html#group30R9", "30R⁹"), =HYPERLINK("CSG13.html#group30L13", "30L¹³"), =HYPERLINK("CSG17.html#group90C17", "90C¹⁷"), =HYPERLINK("CSG13.html#group90E13", "90E¹³"), =HYPERLINK("CSG23.html#group60O23", "60O²³"), =HYPERLINK("CSG11.html#group60S11", "60S¹¹"), =HYPERLINK("CSG11.html#group90H11", "90H¹¹"), =HYPERLINK("CSG17.html#group60N17", "60N¹⁷"), =HYPERLINK("CSG9.html#group30K9", "30K⁹"), =HYPERLINK("CSG9.html#group30H9", "30H⁹"), =HYPERLINK("CSG11.html#group30I11", "30I¹¹"), =HYPERLINK("CSG13.html#group150E13", "150E¹³"), =HYPERLINK("CSG19.html#group120I19", "120I¹⁹"), =HYPERLINK("CSG11.html#group150A11", "150A¹¹"), =HYPERLINK("CSG21.html#group60B21", "60B²¹"), =HYPERLINK("CSG19.html#group90J19", "90J¹⁹"), =HYPERLINK("CSG3.html#group30I3", "30I³"), =HYPERLINK("CSG21.html#group30H21", "30H²¹"), =HYPERLINK("CSG17.html#group90B17", "90B¹⁷"), =HYPERLINK("CSG19.html#group120H19", "120H¹⁹"), =HYPERLINK("CSG11.html#group60R11", "60R¹¹"), =HYPERLINK("CSG13.html#group60AD13", "60AD¹³"), =HYPERLINK("CSG21.html#group30B21", "30B²¹"), =HYPERLINK("CSG13.html#group150D13", "150D¹³"), =HYPERLINK("CSG9.html#group60F9", "60F⁹"), =HYPERLINK("CSG13.html#group60AK13", "60AK¹³"), =HYPERLINK("CSG13.html#group90H13", "90H¹³"), =HYPERLINK("CSG5.html#group90A5", "90A⁵"), =HYPERLINK("CSG13.html#group30Q13", "30Q¹³"), =HYPERLINK("CSG11.html#group90K11", "90K¹¹"), =HYPERLINK("CSG7.html#group60M7", "60M⁷"), =HYPERLINK("CSG21.html#group60D21", "60D²¹"), =HYPERLINK("CSG21.html#group60G21", "60G²¹"), =HYPERLINK("CSG23.html#group60P23", "60P²³"), =HYPERLINK("CSG13.html#group150F13", "150F¹³"), =HYPERLINK("CSG17.html#group30H17", "30H¹⁷"), =HYPERLINK("CSG13.html#group90I13", "90I¹³"), =HYPERLINK("CSG17.html#group90J17", "90J¹⁷"), =HYPERLINK("CSG19.html#group120P19", "120P¹⁹"), =HYPERLINK("CSG21.html#group60O21", "60O²¹"), =HYPERLINK("CSG13.html#group150C13", "150C¹³")</f>
        <v/>
      </c>
    </row>
    <row r="270">
      <c r="A270" t="inlineStr">
        <is>
          <t>30D¹</t>
        </is>
      </c>
      <c r="B270" t="inlineStr"/>
      <c r="C270" t="inlineStr">
        <is>
          <t>72</t>
        </is>
      </c>
      <c r="D270" t="inlineStr">
        <is>
          <t>1</t>
        </is>
      </c>
      <c r="E270" t="inlineStr">
        <is>
          <t>18</t>
        </is>
      </c>
      <c r="F270" t="inlineStr">
        <is>
          <t>16</t>
        </is>
      </c>
      <c r="G270" t="inlineStr">
        <is>
          <t>0</t>
        </is>
      </c>
      <c r="H270" t="inlineStr">
        <is>
          <t>6², 30²</t>
        </is>
      </c>
      <c r="I270" t="n">
        <v>4</v>
      </c>
      <c r="J270" t="inlineStr">
        <is>
          <t>1², 2², 4¹, 8¹</t>
        </is>
      </c>
      <c r="K270">
        <f>HYPERLINK("CSG0.html#group15C0", "15C⁰"), =HYPERLINK("CSG0.html#group30A0", "30A⁰"), =HYPERLINK("CSG1.html#group30C1", "30C¹")</f>
        <v/>
      </c>
      <c r="L270">
        <f>HYPERLINK("CSG5.html#group30R5", "30R⁵"), =HYPERLINK("CSG7.html#group60M7", "60M⁷"), =HYPERLINK("CSG7.html#group60N7", "60N⁷"), =HYPERLINK("CSG7.html#group60S7", "60S⁷"), =HYPERLINK("CSG9.html#group30K9", "30K⁹"), =HYPERLINK("CSG9.html#group30R9", "30R⁹"), =HYPERLINK("CSG9.html#group90G9", "90G⁹"), =HYPERLINK("CSG13.html#group60AK13", "60AK¹³"), =HYPERLINK("CSG13.html#group90E13", "90E¹³"), =HYPERLINK("CSG13.html#group90H13", "90H¹³"), =HYPERLINK("CSG21.html#group30B21", "30B²¹"), =HYPERLINK("CSG21.html#group150A21", "150A²¹")</f>
        <v/>
      </c>
      <c r="M270">
        <f>HYPERLINK("CSG0.html#group30A0", "30A⁰"), =HYPERLINK("CSG0.html#group15B0", "15B⁰"), =HYPERLINK("CSG0.html#group6B0", "6B⁰"), =HYPERLINK("CSG0.html#group5B0", "5B⁰"), =HYPERLINK("CSG0.html#group15C0", "15C⁰"), =HYPERLINK("CSG0.html#group3A0", "3A⁰"), =HYPERLINK("CSG0.html#group1A0", "1A⁰"), =HYPERLINK("CSG1.html#group30C1", "30C¹"), =HYPERLINK("CSG0.html#group10B0", "10B⁰")</f>
        <v/>
      </c>
      <c r="N270">
        <f>HYPERLINK("CSG21.html#group60X21", "60X²¹"), =HYPERLINK("CSG21.html#group30H21", "30H²¹"), =HYPERLINK("CSG21.html#group150A21", "150A²¹"), =HYPERLINK("CSG21.html#group30B21", "30B²¹"), =HYPERLINK("CSG9.html#group30R9", "30R⁹"), =HYPERLINK("CSG13.html#group60AK13", "60AK¹³"), =HYPERLINK("CSG13.html#group90H13", "90H¹³"), =HYPERLINK("CSG7.html#group60N7", "60N⁷"), =HYPERLINK("CSG13.html#group30Q13", "30Q¹³"), =HYPERLINK("CSG7.html#group60M7", "60M⁷"), =HYPERLINK("CSG21.html#group60D21", "60D²¹"), =HYPERLINK("CSG7.html#group60S7", "60S⁷"), =HYPERLINK("CSG13.html#group90E13", "90E¹³"), =HYPERLINK("CSG23.html#group60O23", "60O²³"), =HYPERLINK("CSG5.html#group30R5", "30R⁵"), =HYPERLINK("CSG21.html#group90N21", "90N²¹"), =HYPERLINK("CSG9.html#group90G9", "90G⁹"), =HYPERLINK("CSG23.html#group60P23", "60P²³"), =HYPERLINK("CSG17.html#group30H17", "30H¹⁷"), =HYPERLINK("CSG9.html#group30K9", "30K⁹"), =HYPERLINK("CSG17.html#group60N17", "60N¹⁷"), =HYPERLINK("CSG23.html#group60S23", "60S²³"), =HYPERLINK("CSG17.html#group60X17", "60X¹⁷"), =HYPERLINK("CSG21.html#group60C21", "60C²¹")</f>
        <v/>
      </c>
    </row>
    <row r="271">
      <c r="A271" t="inlineStr">
        <is>
          <t>32A¹</t>
        </is>
      </c>
      <c r="B271" t="inlineStr">
        <is>
          <t>Γ₀(32)</t>
        </is>
      </c>
      <c r="C271" t="inlineStr">
        <is>
          <t>48</t>
        </is>
      </c>
      <c r="D271" t="inlineStr">
        <is>
          <t>1</t>
        </is>
      </c>
      <c r="E271" t="inlineStr">
        <is>
          <t>12</t>
        </is>
      </c>
      <c r="F271" t="inlineStr">
        <is>
          <t>0</t>
        </is>
      </c>
      <c r="G271" t="inlineStr">
        <is>
          <t>0</t>
        </is>
      </c>
      <c r="H271" t="inlineStr">
        <is>
          <t>1⁴, 2², 8¹, 32¹</t>
        </is>
      </c>
      <c r="I271" t="n">
        <v>8</v>
      </c>
      <c r="J271" t="inlineStr">
        <is>
          <t>1⁴, 2², 4¹</t>
        </is>
      </c>
      <c r="K271">
        <f>HYPERLINK("CSG0.html#group16C0", "16C⁰")</f>
        <v/>
      </c>
      <c r="L271">
        <f>HYPERLINK("CSG1.html#group32E1", "32E¹"), =HYPERLINK("CSG3.html#group32J3", "32J³"), =HYPERLINK("CSG3.html#group32M3", "32M³"), =HYPERLINK("CSG3.html#group64A3", "64A³"), =HYPERLINK("CSG3.html#group64B3", "64B³"), =HYPERLINK("CSG5.html#group64B5", "64B⁵"), =HYPERLINK("CSG5.html#group64A5", "64A⁵"), =HYPERLINK("CSG9.html#group96A9", "96A⁹"), =HYPERLINK("CSG9.html#group96M9", "96M⁹"), =HYPERLINK("CSG17.html#group160A17", "160A¹⁷"), =HYPERLINK("CSG17.html#group160F17", "160F¹⁷")</f>
        <v/>
      </c>
      <c r="M271">
        <f>HYPERLINK("CSG0.html#group8C0", "8C⁰"), =HYPERLINK("CSG0.html#group2B0", "2B⁰"), =HYPERLINK("CSG0.html#group4B0", "4B⁰"), =HYPERLINK("CSG0.html#group1A0", "1A⁰"), =HYPERLINK("CSG0.html#group16C0", "16C⁰")</f>
        <v/>
      </c>
      <c r="N271">
        <f>HYPERLINK("CSG9.html#group64C9", "64C⁹"), =HYPERLINK("CSG21.html#group256B21", "256B²¹"), =HYPERLINK("CSG21.html#group192P21", "192P²¹"), =HYPERLINK("CSG9.html#group32C9", "32C⁹"), =HYPERLINK("CSG9.html#group96M9", "96M⁹"), =HYPERLINK("CSG17.html#group96AI17", "96AI¹⁷"), =HYPERLINK("CSG19.html#group96Q19", "96Q¹⁹"), =HYPERLINK("CSG21.html#group96BH21", "96BH²¹"), =HYPERLINK("CSG17.html#group128A17", "128A¹⁷"), =HYPERLINK("CSG21.html#group192D21", "192D²¹"), =HYPERLINK("CSG7.html#group32M7", "32M⁷"), =HYPERLINK("CSG5.html#group64D5", "64D⁵"), =HYPERLINK("CSG13.html#group128C13", "128C¹³"), =HYPERLINK("CSG9.html#group128B9", "128B⁹"), =HYPERLINK("CSG11.html#group128A11", "128A¹¹"), =HYPERLINK("CSG5.html#group32M5", "32M⁵"), =HYPERLINK("CSG21.html#group128C21", "128C²¹"), =HYPERLINK("CSG17.html#group128B17", "128B¹⁷"), =HYPERLINK("CSG9.html#group128A9", "128A⁹"), =HYPERLINK("CSG17.html#group96M17", "96M¹⁷"), =HYPERLINK("CSG19.html#group96A19", "96A¹⁹"), =HYPERLINK("CSG21.html#group192A21", "192A²¹"), =HYPERLINK("CSG19.html#group96S19", "96S¹⁹"), =HYPERLINK("CSG21.html#group64K21", "64K²¹"), =HYPERLINK("CSG13.html#group32U13", "32U¹³"), =HYPERLINK("CSG13.html#group128A13", "128A¹³"), =HYPERLINK("CSG21.html#group128B21", "128B²¹"), =HYPERLINK("CSG19.html#group96C19", "96C¹⁹"), =HYPERLINK("CSG13.html#group64V13", "64V¹³"), =HYPERLINK("CSG21.html#group96BJ21", "96BJ²¹"), =HYPERLINK("CSG21.html#group32G21", "32G²¹"), =HYPERLINK("CSG9.html#group32A9", "32A⁹"), =HYPERLINK("CSG21.html#group128D21", "128D²¹"), =HYPERLINK("CSG5.html#group32O5", "32O⁵"), =HYPERLINK("CSG17.html#group96AL17", "96AL¹⁷"), =HYPERLINK("CSG21.html#group64J21", "64J²¹"), =HYPERLINK("CSG3.html#group32J3", "32J³"), =HYPERLINK("CSG21.html#group32F21", "32F²¹"), =HYPERLINK("CSG19.html#group192D19", "192D¹⁹"), =HYPERLINK("CSG19.html#group256A19", "256A¹⁹"), =HYPERLINK("CSG21.html#group192O21", "192O²¹"), =HYPERLINK("CSG21.html#group128A21", "128A²¹"), =HYPERLINK("CSG9.html#group64A9", "64A⁹"), =HYPERLINK("CSG17.html#group64B17", "64B¹⁷"), =HYPERLINK("CSG17.html#group32C17", "32C¹⁷"), =HYPERLINK("CSG13.html#group128D13", "128D¹³"), =HYPERLINK("CSG17.html#group64C17", "64C¹⁷"), =HYPERLINK("CSG9.html#group64D9", "64D⁹"), =HYPERLINK("CSG21.html#group64F21", "64F²¹"), =HYPERLINK("CSG3.html#group32M3", "32M³"), =HYPERLINK("CSG21.html#group64C21", "64C²¹"), =HYPERLINK("CSG5.html#group64C5", "64C⁵"), =HYPERLINK("CSG3.html#group64B3", "64B³"), =HYPERLINK("CSG21.html#group32A21", "32A²¹"), =HYPERLINK("CSG17.html#group96AH17", "96AH¹⁷"), =HYPERLINK("CSG19.html#group64B19", "64B¹⁹"), =HYPERLINK("CSG17.html#group32A17", "32A¹⁷"), =HYPERLINK("CSG3.html#group64A3", "64A³"), =HYPERLINK("CSG21.html#group64B21", "64B²¹"), =HYPERLINK("CSG17.html#group96A17", "96A¹⁷"), =HYPERLINK("CSG19.html#group256B19", "256B¹⁹"), =HYPERLINK("CSG21.html#group256A21", "256A²¹"), =HYPERLINK("CSG13.html#group128E13", "128E¹³"), =HYPERLINK("CSG21.html#group192M21", "192M²¹"), =HYPERLINK("CSG21.html#group128F21", "128F²¹"), =HYPERLINK("CSG17.html#group96J17", "96J¹⁷"), =HYPERLINK("CSG1.html#group32E1", "32E¹"), =HYPERLINK("CSG19.html#group192A19", "192A¹⁹"), =HYPERLINK("CSG21.html#group96BK21", "96BK²¹"), =HYPERLINK("CSG21.html#group192N21", "192N²¹"), =HYPERLINK("CSG9.html#group96A9", "96A⁹"), =HYPERLINK("CSG21.html#group96BA21", "96BA²¹"), =HYPERLINK("CSG19.html#group192C19", "192C¹⁹"), =HYPERLINK("CSG21.html#group64A21", "64A²¹"), =HYPERLINK("CSG13.html#group128B13", "128B¹³"), =HYPERLINK("CSG7.html#group128A7", "128A⁷"), =HYPERLINK("CSG11.html#group64B11", "64B¹¹"), =HYPERLINK("CSG21.html#group192B21", "192B²¹"), =HYPERLINK("CSG21.html#group192C21", "192C²¹"), =HYPERLINK("CSG5.html#group64B5", "64B⁵"), =HYPERLINK("CSG21.html#group128E21", "128E²¹"), =HYPERLINK("CSG9.html#group64E9", "64E⁹"), =HYPERLINK("CSG17.html#group64A17", "64A¹⁷"), =HYPERLINK("CSG13.html#group64W13", "64W¹³"), =HYPERLINK("CSG17.html#group160F17", "160F¹⁷"), =HYPERLINK("CSG17.html#group160A17", "160A¹⁷"), =HYPERLINK("CSG19.html#group32B19", "32B¹⁹"), =HYPERLINK("CSG19.html#group192B19", "192B¹⁹"), =HYPERLINK("CSG9.html#group64B9", "64B⁹"), =HYPERLINK("CSG5.html#group64A5", "64A⁵")</f>
        <v/>
      </c>
    </row>
    <row r="272">
      <c r="A272" t="inlineStr">
        <is>
          <t>32B¹</t>
        </is>
      </c>
      <c r="B272" t="inlineStr"/>
      <c r="C272" t="inlineStr">
        <is>
          <t>48</t>
        </is>
      </c>
      <c r="D272" t="inlineStr">
        <is>
          <t>1</t>
        </is>
      </c>
      <c r="E272" t="inlineStr">
        <is>
          <t>12</t>
        </is>
      </c>
      <c r="F272" t="inlineStr">
        <is>
          <t>12</t>
        </is>
      </c>
      <c r="G272" t="inlineStr">
        <is>
          <t>0</t>
        </is>
      </c>
      <c r="H272" t="inlineStr">
        <is>
          <t>16¹, 32¹</t>
        </is>
      </c>
      <c r="I272" t="n">
        <v>2</v>
      </c>
      <c r="J272" t="inlineStr">
        <is>
          <t>2⁶</t>
        </is>
      </c>
      <c r="K272">
        <f>HYPERLINK("CSG0.html#group16B0", "16B⁰")</f>
        <v/>
      </c>
      <c r="L272">
        <f>HYPERLINK("CSG3.html#group32L3", "32L³"), =HYPERLINK("CSG3.html#group32N3", "32N³"), =HYPERLINK("CSG3.html#group96A3", "96A³"), =HYPERLINK("CSG5.html#group32G5", "32G⁵"), =HYPERLINK("CSG5.html#group32L5", "32L⁵"), =HYPERLINK("CSG7.html#group32G7", "32G⁷"), =HYPERLINK("CSG15.html#group96C15", "96C¹⁵"), =HYPERLINK("CSG17.html#group160B17", "160B¹⁷"), =HYPERLINK("CSG17.html#group160H17", "160H¹⁷"), =HYPERLINK("CSG19.html#group224A19", "224A¹⁹")</f>
        <v/>
      </c>
      <c r="M272">
        <f>HYPERLINK("CSG0.html#group16B0", "16B⁰"), =HYPERLINK("CSG0.html#group8B0", "8B⁰"), =HYPERLINK("CSG0.html#group2B0", "2B⁰"), =HYPERLINK("CSG0.html#group1A0", "1A⁰"), =HYPERLINK("CSG0.html#group4C0", "4C⁰")</f>
        <v/>
      </c>
      <c r="N272">
        <f>HYPERLINK("CSG13.html#group32B13", "32B¹³"), =HYPERLINK("CSG5.html#group32L5", "32L⁵"), =HYPERLINK("CSG7.html#group32G7", "32G⁷"), =HYPERLINK("CSG13.html#group32K13", "32K¹³"), =HYPERLINK("CSG21.html#group64I21", "64I²¹"), =HYPERLINK("CSG23.html#group32C23", "32C²³"), =HYPERLINK("CSG15.html#group96R15", "96R¹⁵"), =HYPERLINK("CSG9.html#group32F9", "32F⁹"), =HYPERLINK("CSG21.html#group32M21", "32M²¹"), =HYPERLINK("CSG23.html#group32B23", "32B²³"), =HYPERLINK("CSG21.html#group32S21", "32S²¹"), =HYPERLINK("CSG9.html#group64F9", "64F⁹"), =HYPERLINK("CSG5.html#group32G5", "32G⁵"), =HYPERLINK("CSG15.html#group96C15", "96C¹⁵"), =HYPERLINK("CSG17.html#group96D17", "96D¹⁷"), =HYPERLINK("CSG11.html#group32F11", "32F¹¹"), =HYPERLINK("CSG21.html#group32Y21", "32Y²¹"), =HYPERLINK("CSG11.html#group32J11", "32J¹¹"), =HYPERLINK("CSG21.html#group32I21", "32I²¹"), =HYPERLINK("CSG3.html#group32N3", "32N³"), =HYPERLINK("CSG13.html#group64T13", "64T¹³"), =HYPERLINK("CSG13.html#group96G13", "96G¹³"), =HYPERLINK("CSG11.html#group32E11", "32E¹¹"), =HYPERLINK("CSG13.html#group64K13", "64K¹³"), =HYPERLINK("CSG21.html#group288A21", "288A²¹"), =HYPERLINK("CSG23.html#group32A23", "32A²³"), =HYPERLINK("CSG21.html#group64M21", "64M²¹"), =HYPERLINK("CSG23.html#group96G23", "96G²³"), =HYPERLINK("CSG21.html#group64L21", "64L²¹"), =HYPERLINK("CSG11.html#group96I11", "96I¹¹"), =HYPERLINK("CSG11.html#group96J11", "96J¹¹"), =HYPERLINK("CSG3.html#group96A3", "96A³"), =HYPERLINK("CSG15.html#group96W15", "96W¹⁵"), =HYPERLINK("CSG21.html#group32J21", "32J²¹"), =HYPERLINK("CSG11.html#group32I11", "32I¹¹"), =HYPERLINK("CSG9.html#group32H9", "32H⁹"), =HYPERLINK("CSG13.html#group96H13", "96H¹³"), =HYPERLINK("CSG9.html#group64I9", "64I⁹"), =HYPERLINK("CSG21.html#group32T21", "32T²¹"), =HYPERLINK("CSG21.html#group32U21", "32U²¹"), =HYPERLINK("CSG9.html#group32G9", "32G⁹"), =HYPERLINK("CSG9.html#group32O9", "32O⁹"), =HYPERLINK("CSG17.html#group96Q17", "96Q¹⁷"), =HYPERLINK("CSG21.html#group32K21", "32K²¹"), =HYPERLINK("CSG9.html#group32P9", "32P⁹"), =HYPERLINK("CSG21.html#group32L21", "32L²¹"), =HYPERLINK("CSG11.html#group96K11", "96K¹¹"), =HYPERLINK("CSG21.html#group64G21", "64G²¹"), =HYPERLINK("CSG17.html#group160B17", "160B¹⁷"), =HYPERLINK("CSG17.html#group160H17", "160H¹⁷"), =HYPERLINK("CSG19.html#group224A19", "224A¹⁹"), =HYPERLINK("CSG13.html#group32M13", "32M¹³"), =HYPERLINK("CSG21.html#group32V21", "32V²¹"), =HYPERLINK("CSG3.html#group32L3", "32L³"), =HYPERLINK("CSG23.html#group32D23", "32D²³"), =HYPERLINK("CSG21.html#group64H21", "64H²¹"), =HYPERLINK("CSG17.html#group96AB17", "96AB¹⁷")</f>
        <v/>
      </c>
    </row>
    <row r="273">
      <c r="A273" t="inlineStr">
        <is>
          <t>32C¹</t>
        </is>
      </c>
      <c r="B273" t="inlineStr"/>
      <c r="C273" t="inlineStr">
        <is>
          <t>48</t>
        </is>
      </c>
      <c r="D273" t="inlineStr">
        <is>
          <t>1</t>
        </is>
      </c>
      <c r="E273" t="inlineStr">
        <is>
          <t>24</t>
        </is>
      </c>
      <c r="F273" t="inlineStr">
        <is>
          <t>2</t>
        </is>
      </c>
      <c r="G273" t="inlineStr">
        <is>
          <t>0</t>
        </is>
      </c>
      <c r="H273" t="inlineStr">
        <is>
          <t>2⁴, 4², 32¹</t>
        </is>
      </c>
      <c r="I273" t="n">
        <v>7</v>
      </c>
      <c r="J273" t="inlineStr">
        <is>
          <t>2², 4³, 8⁴</t>
        </is>
      </c>
      <c r="K273">
        <f>HYPERLINK("CSG0.html#group16E0", "16E⁰")</f>
        <v/>
      </c>
      <c r="L273">
        <f>HYPERLINK("CSG2.html#group32B2", "32B²"), =HYPERLINK("CSG3.html#group32Q3", "32Q³"), =HYPERLINK("CSG4.html#group32C4", "32C⁴"), =HYPERLINK("CSG8.html#group96C8", "96C⁸"), =HYPERLINK("CSG10.html#group96E10", "96E¹⁰"), =HYPERLINK("CSG17.html#group160C17", "160C¹⁷"), =HYPERLINK("CSG17.html#group160K17", "160K¹⁷"), =HYPERLINK("CSG24.html#group224E24", "224E²⁴")</f>
        <v/>
      </c>
      <c r="M273">
        <f>HYPERLINK("CSG0.html#group16E0", "16E⁰"), =HYPERLINK("CSG0.html#group1A0", "1A⁰"), =HYPERLINK("CSG0.html#group2B0", "2B⁰"), =HYPERLINK("CSG0.html#group8D0", "8D⁰"), =HYPERLINK("CSG0.html#group4C0", "4C⁰")</f>
        <v/>
      </c>
      <c r="N273">
        <f>HYPERLINK("CSG23.html#group32C23", "32C²³"), =HYPERLINK("CSG6.html#group32H6", "32H⁶"), =HYPERLINK("CSG5.html#group32N5", "32N⁵"), =HYPERLINK("CSG18.html#group96A18", "96A¹⁸"), =HYPERLINK("CSG16.html#group96C16", "96C¹⁶"), =HYPERLINK("CSG19.html#group96BD19", "96BD¹⁹"), =HYPERLINK("CSG17.html#group96F17", "96F¹⁷"), =HYPERLINK("CSG17.html#group64D17", "64D¹⁷"), =HYPERLINK("CSG11.html#group32D11", "32D¹¹"), =HYPERLINK("CSG3.html#group32Q3", "32Q³"), =HYPERLINK("CSG13.html#group32T13", "32T¹³"), =HYPERLINK("CSG23.html#group64A23", "64A²³"), =HYPERLINK("CSG19.html#group32E19", "32E¹⁹"), =HYPERLINK("CSG10.html#group96E10", "96E¹⁰"), =HYPERLINK("CSG23.html#group96AJ23", "96AJ²³"), =HYPERLINK("CSG9.html#group32N9", "32N⁹"), =HYPERLINK("CSG7.html#group32L7", "32L⁷"), =HYPERLINK("CSG21.html#group32P21", "32P²¹"), =HYPERLINK("CSG13.html#group32U13", "32U¹³"), =HYPERLINK("CSG17.html#group160C17", "160C¹⁷"), =HYPERLINK("CSG17.html#group32B17", "32B¹⁷"), =HYPERLINK("CSG20.html#group96A20", "96A²⁰"), =HYPERLINK("CSG24.html#group224E24", "224E²⁴"), =HYPERLINK("CSG4.html#group32C4", "32C⁴"), =HYPERLINK("CSG18.html#group64B18", "64B¹⁸"), =HYPERLINK("CSG11.html#group32H11", "32H¹¹"), =HYPERLINK("CSG24.html#group32D24", "32D²⁴"), =HYPERLINK("CSG19.html#group64A19", "64A¹⁹"), =HYPERLINK("CSG18.html#group96E18", "96E¹⁸"), =HYPERLINK("CSG21.html#group32L21", "32L²¹"), =HYPERLINK("CSG2.html#group32B2", "32B²"), =HYPERLINK("CSG10.html#group32C10", "32C¹⁰"), =HYPERLINK("CSG18.html#group64A18", "64A¹⁸"), =HYPERLINK("CSG17.html#group160K17", "160K¹⁷"), =HYPERLINK("CSG8.html#group96C8", "96C⁸"), =HYPERLINK("CSG21.html#group32E21", "32E²¹"), =HYPERLINK("CSG17.html#group96V17", "96V¹⁷"), =HYPERLINK("CSG24.html#group32B24", "32B²⁴"), =HYPERLINK("CSG19.html#group96AA19", "96AA¹⁹"), =HYPERLINK("CSG21.html#group32D21", "32D²¹"), =HYPERLINK("CSG21.html#group64P21", "64P²¹"), =HYPERLINK("CSG23.html#group96AL23", "96AL²³")</f>
        <v/>
      </c>
    </row>
    <row r="274">
      <c r="A274" t="inlineStr">
        <is>
          <t>32D¹</t>
        </is>
      </c>
      <c r="B274" t="inlineStr"/>
      <c r="C274" t="inlineStr">
        <is>
          <t>48</t>
        </is>
      </c>
      <c r="D274" t="inlineStr">
        <is>
          <t>1</t>
        </is>
      </c>
      <c r="E274" t="inlineStr">
        <is>
          <t>24</t>
        </is>
      </c>
      <c r="F274" t="inlineStr">
        <is>
          <t>2</t>
        </is>
      </c>
      <c r="G274" t="inlineStr">
        <is>
          <t>0</t>
        </is>
      </c>
      <c r="H274" t="inlineStr">
        <is>
          <t>2⁴, 4², 32¹</t>
        </is>
      </c>
      <c r="I274" t="n">
        <v>7</v>
      </c>
      <c r="J274" t="inlineStr">
        <is>
          <t>2², 4³, 8⁴</t>
        </is>
      </c>
      <c r="K274">
        <f>HYPERLINK("CSG0.html#group16E0", "16E⁰")</f>
        <v/>
      </c>
      <c r="L274">
        <f>HYPERLINK("CSG2.html#group32B2", "32B²"), =HYPERLINK("CSG3.html#group32Q3", "32Q³"), =HYPERLINK("CSG4.html#group32C4", "32C⁴"), =HYPERLINK("CSG8.html#group96D8", "96D⁸"), =HYPERLINK("CSG10.html#group96F10", "96F¹⁰"), =HYPERLINK("CSG17.html#group160D17", "160D¹⁷"), =HYPERLINK("CSG17.html#group160L17", "160L¹⁷"), =HYPERLINK("CSG24.html#group224F24", "224F²⁴")</f>
        <v/>
      </c>
      <c r="M274">
        <f>HYPERLINK("CSG0.html#group16E0", "16E⁰"), =HYPERLINK("CSG0.html#group1A0", "1A⁰"), =HYPERLINK("CSG0.html#group2B0", "2B⁰"), =HYPERLINK("CSG0.html#group8D0", "8D⁰"), =HYPERLINK("CSG0.html#group4C0", "4C⁰")</f>
        <v/>
      </c>
      <c r="N274">
        <f>HYPERLINK("CSG23.html#group32C23", "32C²³"), =HYPERLINK("CSG6.html#group32H6", "32H⁶"), =HYPERLINK("CSG5.html#group32N5", "32N⁵"), =HYPERLINK("CSG18.html#group96A18", "96A¹⁸"), =HYPERLINK("CSG8.html#group96D8", "96D⁸"), =HYPERLINK("CSG19.html#group96BD19", "96BD¹⁹"), =HYPERLINK("CSG17.html#group96F17", "96F¹⁷"), =HYPERLINK("CSG17.html#group64D17", "64D¹⁷"), =HYPERLINK("CSG11.html#group32D11", "32D¹¹"), =HYPERLINK("CSG23.html#group96AL23", "96AL²³"), =HYPERLINK("CSG24.html#group224F24", "224F²⁴"), =HYPERLINK("CSG3.html#group32Q3", "32Q³"), =HYPERLINK("CSG19.html#group96AB19", "96AB¹⁹"), =HYPERLINK("CSG17.html#group160L17", "160L¹⁷"), =HYPERLINK("CSG10.html#group96F10", "96F¹⁰"), =HYPERLINK("CSG13.html#group32T13", "32T¹³"), =HYPERLINK("CSG23.html#group64A23", "64A²³"), =HYPERLINK("CSG19.html#group32E19", "32E¹⁹"), =HYPERLINK("CSG23.html#group96AJ23", "96AJ²³"), =HYPERLINK("CSG9.html#group32N9", "32N⁹"), =HYPERLINK("CSG7.html#group32L7", "32L⁷"), =HYPERLINK("CSG21.html#group32P21", "32P²¹"), =HYPERLINK("CSG13.html#group32U13", "32U¹³"), =HYPERLINK("CSG18.html#group96F18", "96F¹⁸"), =HYPERLINK("CSG17.html#group32B17", "32B¹⁷"), =HYPERLINK("CSG20.html#group96A20", "96A²⁰"), =HYPERLINK("CSG4.html#group32C4", "32C⁴"), =HYPERLINK("CSG18.html#group64B18", "64B¹⁸"), =HYPERLINK("CSG11.html#group32H11", "32H¹¹"), =HYPERLINK("CSG17.html#group96W17", "96W¹⁷"), =HYPERLINK("CSG24.html#group32D24", "32D²⁴"), =HYPERLINK("CSG21.html#group32L21", "32L²¹"), =HYPERLINK("CSG2.html#group32B2", "32B²"), =HYPERLINK("CSG10.html#group32C10", "32C¹⁰"), =HYPERLINK("CSG18.html#group64A18", "64A¹⁸"), =HYPERLINK("CSG21.html#group32E21", "32E²¹"), =HYPERLINK("CSG16.html#group96D16", "96D¹⁶"), =HYPERLINK("CSG24.html#group32B24", "32B²⁴"), =HYPERLINK("CSG21.html#group32D21", "32D²¹"), =HYPERLINK("CSG21.html#group64P21", "64P²¹"), =HYPERLINK("CSG17.html#group160D17", "160D¹⁷"), =HYPERLINK("CSG19.html#group64A19", "64A¹⁹")</f>
        <v/>
      </c>
    </row>
    <row r="275">
      <c r="A275" t="inlineStr">
        <is>
          <t>32E¹</t>
        </is>
      </c>
      <c r="B275" t="inlineStr"/>
      <c r="C275" t="inlineStr">
        <is>
          <t>96</t>
        </is>
      </c>
      <c r="D275" t="inlineStr">
        <is>
          <t>1</t>
        </is>
      </c>
      <c r="E275" t="inlineStr">
        <is>
          <t>12</t>
        </is>
      </c>
      <c r="F275" t="inlineStr">
        <is>
          <t>0</t>
        </is>
      </c>
      <c r="G275" t="inlineStr">
        <is>
          <t>0</t>
        </is>
      </c>
      <c r="H275" t="inlineStr">
        <is>
          <t>1⁸, 2⁴, 8², 32²</t>
        </is>
      </c>
      <c r="I275" t="n">
        <v>16</v>
      </c>
      <c r="J275" t="inlineStr">
        <is>
          <t>1⁴, 2², 4¹</t>
        </is>
      </c>
      <c r="K275">
        <f>HYPERLINK("CSG0.html#group16H0", "16H⁰"), =HYPERLINK("CSG0.html#group32A0", "32A⁰"), =HYPERLINK("CSG1.html#group32A1", "32A¹")</f>
        <v/>
      </c>
      <c r="L275">
        <f>HYPERLINK("CSG5.html#group32M5", "32M⁵"), =HYPERLINK("CSG5.html#group32O5", "32O⁵"), =HYPERLINK("CSG5.html#group64C5", "64C⁵"), =HYPERLINK("CSG5.html#group64D5", "64D⁵"), =HYPERLINK("CSG9.html#group64A9", "64A⁹"), =HYPERLINK("CSG17.html#group96A17", "96A¹⁷"), =HYPERLINK("CSG17.html#group96AL17", "96AL¹⁷")</f>
        <v/>
      </c>
      <c r="M275">
        <f>HYPERLINK("CSG1.html#group32A1", "32A¹"), =HYPERLINK("CSG0.html#group16C0", "16C⁰"), =HYPERLINK("CSG0.html#group16D0", "16D⁰"), =HYPERLINK("CSG0.html#group32A0", "32A⁰"), =HYPERLINK("CSG0.html#group8C0", "8C⁰"), =HYPERLINK("CSG0.html#group2B0", "2B⁰"), =HYPERLINK("CSG0.html#group8I0", "8I⁰"), =HYPERLINK("CSG0.html#group4B0", "4B⁰"), =HYPERLINK("CSG0.html#group1A0", "1A⁰"), =HYPERLINK("CSG0.html#group16H0", "16H⁰")</f>
        <v/>
      </c>
      <c r="N275">
        <f>HYPERLINK("CSG17.html#group64C17", "64C¹⁷"), =HYPERLINK("CSG13.html#group64V13", "64V¹³"), =HYPERLINK("CSG17.html#group128A17", "128A¹⁷"), =HYPERLINK("CSG21.html#group64C21", "64C²¹"), =HYPERLINK("CSG5.html#group64C5", "64C⁵"), =HYPERLINK("CSG5.html#group32O5", "32O⁵"), =HYPERLINK("CSG5.html#group64D5", "64D⁵"), =HYPERLINK("CSG17.html#group96AL17", "96AL¹⁷"), =HYPERLINK("CSG17.html#group32A17", "32A¹⁷"), =HYPERLINK("CSG5.html#group32M5", "32M⁵"), =HYPERLINK("CSG17.html#group96A17", "96A¹⁷"), =HYPERLINK("CSG17.html#group64A17", "64A¹⁷"), =HYPERLINK("CSG13.html#group64W13", "64W¹³"), =HYPERLINK("CSG13.html#group128E13", "128E¹³"), =HYPERLINK("CSG17.html#group128B17", "128B¹⁷"), =HYPERLINK("CSG21.html#group128A21", "128A²¹"), =HYPERLINK("CSG9.html#group64A9", "64A⁹"), =HYPERLINK("CSG17.html#group64B17", "64B¹⁷"), =HYPERLINK("CSG17.html#group32C17", "32C¹⁷"), =HYPERLINK("CSG13.html#group32U13", "32U¹³")</f>
        <v/>
      </c>
    </row>
    <row r="276">
      <c r="A276" t="inlineStr">
        <is>
          <t>33A¹</t>
        </is>
      </c>
      <c r="B276" t="inlineStr"/>
      <c r="C276" t="inlineStr">
        <is>
          <t>33</t>
        </is>
      </c>
      <c r="D276" t="inlineStr">
        <is>
          <t>2</t>
        </is>
      </c>
      <c r="E276" t="inlineStr">
        <is>
          <t>11</t>
        </is>
      </c>
      <c r="F276" t="inlineStr">
        <is>
          <t>9</t>
        </is>
      </c>
      <c r="G276" t="inlineStr">
        <is>
          <t>0</t>
        </is>
      </c>
      <c r="H276" t="inlineStr">
        <is>
          <t>33¹</t>
        </is>
      </c>
      <c r="I276" t="n">
        <v>1</v>
      </c>
      <c r="J276" t="inlineStr">
        <is>
          <t>2¹, 10²</t>
        </is>
      </c>
      <c r="K276">
        <f>HYPERLINK("CSG0.html#group3A0", "3A⁰"), =HYPERLINK("CSG0.html#group11A0", "11A⁰")</f>
        <v/>
      </c>
      <c r="L276">
        <f>HYPERLINK("CSG3.html#group66A3", "66A³"), =HYPERLINK("CSG4.html#group33A4", "33A⁴"), =HYPERLINK("CSG5.html#group99A5", "99A⁵"), =HYPERLINK("CSG6.html#group66A6", "66A⁶"), =HYPERLINK("CSG6.html#group66F6", "66F⁶"), =HYPERLINK("CSG7.html#group132A7", "132A⁷"), =HYPERLINK("CSG10.html#group33B10", "33B¹⁰"), =HYPERLINK("CSG10.html#group33C10", "33C¹⁰"), =HYPERLINK("CSG12.html#group165A12", "165A¹²"), =HYPERLINK("CSG12.html#group165B12", "165B¹²"), =HYPERLINK("CSG13.html#group231A13", "231A¹³"), =HYPERLINK("CSG13.html#group231B13", "231B¹³"), =HYPERLINK("CSG19.html#group33A19", "33A¹⁹"), =HYPERLINK("CSG22.html#group231A22", "231A²²"), =HYPERLINK("CSG23.html#group165A23", "165A²³")</f>
        <v/>
      </c>
      <c r="M276">
        <f>HYPERLINK("CSG0.html#group3A0", "3A⁰"), =HYPERLINK("CSG0.html#group11A0", "11A⁰"), =HYPERLINK("CSG0.html#group1A0", "1A⁰")</f>
        <v/>
      </c>
      <c r="N276">
        <f>HYPERLINK("CSG10.html#group33C10", "33C¹⁰"), =HYPERLINK("CSG18.html#group264C18", "264C¹⁸"), =HYPERLINK("CSG19.html#group33A19", "33A¹⁹"), =HYPERLINK("CSG16.html#group132D16", "132D¹⁶"), =HYPERLINK("CSG18.html#group264A18", "264A¹⁸"), =HYPERLINK("CSG16.html#group132A16", "132A¹⁶"), =HYPERLINK("CSG5.html#group99A5", "99A⁵"), =HYPERLINK("CSG8.html#group66B8", "66B⁸"), =HYPERLINK("CSG11.html#group198A11", "198A¹¹"), =HYPERLINK("CSG12.html#group132F12", "132F¹²"), =HYPERLINK("CSG13.html#group231B13", "231B¹³"), =HYPERLINK("CSG17.html#group198A17", "198A¹⁷"), =HYPERLINK("CSG22.html#group33B22", "33B²²"), =HYPERLINK("CSG4.html#group33A4", "33A⁴"), =HYPERLINK("CSG23.html#group165A23", "165A²³"), =HYPERLINK("CSG7.html#group132A7", "132A⁷"), =HYPERLINK("CSG13.html#group66B13", "66B¹³"), =HYPERLINK("CSG3.html#group66A3", "66A³"), =HYPERLINK("CSG19.html#group132B19", "132B¹⁹"), =HYPERLINK("CSG11.html#group66A11", "66A¹¹"), =HYPERLINK("CSG13.html#group132A13", "132A¹³"), =HYPERLINK("CSG10.html#group33A10", "33A¹⁰"), =HYPERLINK("CSG21.html#group66A21", "66A²¹"), =HYPERLINK("CSG21.html#group198E21", "198E²¹"), =HYPERLINK("CSG23.html#group66A23", "66A²³"), =HYPERLINK("CSG22.html#group66E22", "66E²²"), =HYPERLINK("CSG18.html#group264B18", "264B¹⁸"), =HYPERLINK("CSG14.html#group198B14", "198B¹⁴"), =HYPERLINK("CSG14.html#group99A14", "99A¹⁴"), =HYPERLINK("CSG24.html#group330D24", "330D²⁴"), =HYPERLINK("CSG18.html#group264D18", "264D¹⁸"), =HYPERLINK("CSG16.html#group66A16", "66A¹⁶"), =HYPERLINK("CSG19.html#group99A19", "99A¹⁹"), =HYPERLINK("CSG24.html#group264C24", "264C²⁴"), =HYPERLINK("CSG22.html#group231A22", "231A²²"), =HYPERLINK("CSG10.html#group33B10", "33B¹⁰"), =HYPERLINK("CSG15.html#group99B15", "99B¹⁵"), =HYPERLINK("CSG24.html#group198A24", "198A²⁴"), =HYPERLINK("CSG12.html#group165A12", "165A¹²"), =HYPERLINK("CSG22.html#group33C22", "33C²²"), =HYPERLINK("CSG12.html#group99A12", "99A¹²"), =HYPERLINK("CSG19.html#group132A19", "132A¹⁹"), =HYPERLINK("CSG13.html#group231A13", "231A¹³"), =HYPERLINK("CSG15.html#group132D15", "132D¹⁵"), =HYPERLINK("CSG14.html#group198A14", "198A¹⁴"), =HYPERLINK("CSG12.html#group165B12", "165B¹²"), =HYPERLINK("CSG22.html#group132A22", "132A²²"), =HYPERLINK("CSG14.html#group66A14", "66A¹⁴"), =HYPERLINK("CSG6.html#group66F6", "66F⁶"), =HYPERLINK("CSG11.html#group198B11", "198B¹¹"), =HYPERLINK("CSG15.html#group99A15", "99A¹⁵"), =HYPERLINK("CSG6.html#group66A6", "66A⁶")</f>
        <v/>
      </c>
    </row>
    <row r="277">
      <c r="A277" t="inlineStr">
        <is>
          <t>36A¹</t>
        </is>
      </c>
      <c r="B277" t="inlineStr"/>
      <c r="C277" t="inlineStr">
        <is>
          <t>36</t>
        </is>
      </c>
      <c r="D277" t="inlineStr">
        <is>
          <t>1</t>
        </is>
      </c>
      <c r="E277" t="inlineStr">
        <is>
          <t>36</t>
        </is>
      </c>
      <c r="F277" t="inlineStr">
        <is>
          <t>10</t>
        </is>
      </c>
      <c r="G277" t="inlineStr">
        <is>
          <t>0</t>
        </is>
      </c>
      <c r="H277" t="inlineStr">
        <is>
          <t>36¹</t>
        </is>
      </c>
      <c r="I277" t="n">
        <v>1</v>
      </c>
      <c r="J277" t="inlineStr">
        <is>
          <t>2², 4², 12²</t>
        </is>
      </c>
      <c r="K277">
        <f>HYPERLINK("CSG0.html#group9A0", "9A⁰"), =HYPERLINK("CSG0.html#group12A0", "12A⁰")</f>
        <v/>
      </c>
      <c r="L277">
        <f>HYPERLINK("CSG2.html#group36D2", "36D²"), =HYPERLINK("CSG3.html#group36H3", "36H³"), =HYPERLINK("CSG4.html#group36L4", "36L⁴"), =HYPERLINK("CSG4.html#group72A4", "72A⁴"), =HYPERLINK("CSG4.html#group72B4", "72B⁴"), =HYPERLINK("CSG4.html#group72C4", "72C⁴"), =HYPERLINK("CSG4.html#group72D4", "72D⁴"), =HYPERLINK("CSG5.html#group36E5", "36E⁵"), =HYPERLINK("CSG5.html#group36J5", "36J⁵"), =HYPERLINK("CSG6.html#group36A6", "36A⁶"), =HYPERLINK("CSG6.html#group36F6", "36F⁶"), =HYPERLINK("CSG7.html#group72E7", "72E⁷"), =HYPERLINK("CSG13.html#group180A13", "180A¹³"), =HYPERLINK("CSG13.html#group180B13", "180B¹³"), =HYPERLINK("CSG14.html#group252A14", "252A¹⁴"), =HYPERLINK("CSG24.html#group252C24", "252C²⁴")</f>
        <v/>
      </c>
      <c r="M277">
        <f>HYPERLINK("CSG0.html#group12A0", "12A⁰"), =HYPERLINK("CSG0.html#group3A0", "3A⁰"), =HYPERLINK("CSG0.html#group1A0", "1A⁰"), =HYPERLINK("CSG0.html#group4A0", "4A⁰"), =HYPERLINK("CSG0.html#group9A0", "9A⁰")</f>
        <v/>
      </c>
      <c r="N277">
        <f>HYPERLINK("CSG5.html#group36J5", "36J⁵"), =HYPERLINK("CSG10.html#group72F10", "72F¹⁰"), =HYPERLINK("CSG10.html#group144B10", "144B¹⁰"), =HYPERLINK("CSG14.html#group72F14", "72F¹⁴"), =HYPERLINK("CSG10.html#group36T10", "36T¹⁰"), =HYPERLINK("CSG6.html#group36A6", "36A⁶"), =HYPERLINK("CSG19.html#group36P19", "36P¹⁹"), =HYPERLINK("CSG7.html#group72E7", "72E⁷"), =HYPERLINK("CSG4.html#group72A4", "72A⁴"), =HYPERLINK("CSG8.html#group72K8", "72K⁸"), =HYPERLINK("CSG22.html#group144J22", "144J²²"), =HYPERLINK("CSG21.html#group144M21", "144M²¹"), =HYPERLINK("CSG11.html#group72H11", "72H¹¹"), =HYPERLINK("CSG15.html#group72L15", "72L¹⁵"), =HYPERLINK("CSG23.html#group72G23", "72G²³"), =HYPERLINK("CSG14.html#group72L14", "72L¹⁴"), =HYPERLINK("CSG21.html#group36A21", "36A²¹"), =HYPERLINK("CSG5.html#group36E5", "36E⁵"), =HYPERLINK("CSG22.html#group144F22", "144F²²"), =HYPERLINK("CSG14.html#group72J14", "72J¹⁴"), =HYPERLINK("CSG14.html#group72O14", "72O¹⁴"), =HYPERLINK("CSG11.html#group36D11", "36D¹¹"), =HYPERLINK("CSG24.html#group144B24", "144B²⁴"), =HYPERLINK("CSG12.html#group72C12", "72C¹²"), =HYPERLINK("CSG15.html#group36N15", "36N¹⁵"), =HYPERLINK("CSG2.html#group36D2", "36D²"), =HYPERLINK("CSG15.html#group72X15", "72X¹⁵"), =HYPERLINK("CSG23.html#group72A23", "72A²³"), =HYPERLINK("CSG10.html#group144D10", "144D¹⁰"), =HYPERLINK("CSG3.html#group36H3", "36H³"), =HYPERLINK("CSG14.html#group72M14", "72M¹⁴"), =HYPERLINK("CSG16.html#group72L16", "72L¹⁶"), =HYPERLINK("CSG17.html#group72S17", "72S¹⁷"), =HYPERLINK("CSG16.html#group36D16", "36D¹⁶"), =HYPERLINK("CSG14.html#group36B14", "36B¹⁴"), =HYPERLINK("CSG14.html#group72G14", "72G¹⁴"), =HYPERLINK("CSG21.html#group144N21", "144N²¹"), =HYPERLINK("CSG18.html#group72A18", "72A¹⁸"), =HYPERLINK("CSG15.html#group36F15", "36F¹⁵"), =HYPERLINK("CSG16.html#group36A16", "36A¹⁶"), =HYPERLINK("CSG21.html#group72P21", "72P²¹"), =HYPERLINK("CSG12.html#group72A12", "72A¹²"), =HYPERLINK("CSG5.html#group36M5", "36M⁵"), =HYPERLINK("CSG12.html#group36G12", "36G¹²"), =HYPERLINK("CSG19.html#group72P19", "72P¹⁹"), =HYPERLINK("CSG23.html#group72E23", "72E²³"), =HYPERLINK("CSG23.html#group144S23", "144S²³"), =HYPERLINK("CSG19.html#group36K19", "36K¹⁹"), =HYPERLINK("CSG17.html#group72W17", "72W¹⁷"), =HYPERLINK("CSG20.html#group144G20", "144G²⁰"), =HYPERLINK("CSG20.html#group144H20", "144H²⁰"), =HYPERLINK("CSG11.html#group36C11", "36C¹¹"), =HYPERLINK("CSG17.html#group72V17", "72V¹⁷"), =HYPERLINK("CSG15.html#group36P15", "36P¹⁵"), =HYPERLINK("CSG11.html#group72E11", "72E¹¹"), =HYPERLINK("CSG20.html#group144F20", "144F²⁰"), =HYPERLINK("CSG12.html#group36H12", "36H¹²"), =HYPERLINK("CSG4.html#group72C4", "72C⁴"), =HYPERLINK("CSG9.html#group36K9", "36K⁹"), =HYPERLINK("CSG14.html#group252A14", "252A¹⁴"), =HYPERLINK("CSG4.html#group72D4", "72D⁴"), =HYPERLINK("CSG15.html#group72Z15", "72Z¹⁵"), =HYPERLINK("CSG14.html#group72D14", "72D¹⁴"), =HYPERLINK("CSG10.html#group72I10", "72I¹⁰"), =HYPERLINK("CSG23.html#group72F23", "72F²³"), =HYPERLINK("CSG18.html#group72B18", "72B¹⁸"), =HYPERLINK("CSG10.html#group72E10", "72E¹⁰"), =HYPERLINK("CSG23.html#group144Q23", "144Q²³"), =HYPERLINK("CSG23.html#group144R23", "144R²³"), =HYPERLINK("CSG20.html#group144D20", "144D²⁰"), =HYPERLINK("CSG23.html#group72H23", "72H²³"), =HYPERLINK("CSG24.html#group144A24", "144A²⁴"), =HYPERLINK("CSG6.html#group36F6", "36F⁶"), =HYPERLINK("CSG21.html#group72Q21", "72Q²¹"), =HYPERLINK("CSG18.html#group72D18", "72D¹⁸"), =HYPERLINK("CSG20.html#group144E20", "144E²⁰"), =HYPERLINK("CSG12.html#group72B12", "72B¹²"), =HYPERLINK("CSG12.html#group36F12", "36F¹²"), =HYPERLINK("CSG21.html#group72W21", "72W²¹"), =HYPERLINK("CSG11.html#group72F11", "72F¹¹"), =HYPERLINK("CSG8.html#group72J8", "72J⁸"), =HYPERLINK("CSG11.html#group36F11", "36F¹¹"), =HYPERLINK("CSG13.html#group180A13", "180A¹³"), =HYPERLINK("CSG4.html#group72B4", "72B⁴"), =HYPERLINK("CSG8.html#group72H8", "72H⁸"), =HYPERLINK("CSG13.html#group36I13", "36I¹³"), =HYPERLINK("CSG14.html#group72N14", "72N¹⁴"), =HYPERLINK("CSG18.html#group72C18", "72C¹⁸"), =HYPERLINK("CSG11.html#group72G11", "72G¹¹"), =HYPERLINK("CSG9.html#group72F9", "72F⁹"), =HYPERLINK("CSG10.html#group144C10", "144C¹⁰"), =HYPERLINK("CSG21.html#group72S21", "72S²¹"), =HYPERLINK("CSG24.html#group252C24", "252C²⁴"), =HYPERLINK("CSG23.html#group72B23", "72B²³"), =HYPERLINK("CSG13.html#group72M13", "72M¹³"), =HYPERLINK("CSG20.html#group144C20", "144C²⁰"), =HYPERLINK("CSG22.html#group144I22", "144I²²"), =HYPERLINK("CSG13.html#group180B13", "180B¹³"), =HYPERLINK("CSG23.html#group144T23", "144T²³"), =HYPERLINK("CSG8.html#group72I8", "72I⁸"), =HYPERLINK("CSG10.html#group144A10", "144A¹⁰"), =HYPERLINK("CSG15.html#group72J15", "72J¹⁵"), =HYPERLINK("CSG12.html#group72F12", "72F¹²"), =HYPERLINK("CSG17.html#group72F17", "72F¹⁷"), =HYPERLINK("CSG22.html#group144C22", "144C²²"), =HYPERLINK("CSG24.html#group144C24", "144C²⁴"), =HYPERLINK("CSG15.html#group72M15", "72M¹⁵"), =HYPERLINK("CSG20.html#group108B20", "108B²⁰"), =HYPERLINK("CSG20.html#group36B20", "36B²⁰"), =HYPERLINK("CSG13.html#group36N13", "36N¹³"), =HYPERLINK("CSG9.html#group72G9", "72G⁹"), =HYPERLINK("CSG4.html#group36L4", "36L⁴"), =HYPERLINK("CSG13.html#group36R13", "36R¹³")</f>
        <v/>
      </c>
    </row>
    <row r="278">
      <c r="A278" t="inlineStr">
        <is>
          <t>36B¹</t>
        </is>
      </c>
      <c r="B278" t="inlineStr"/>
      <c r="C278" t="inlineStr">
        <is>
          <t>48</t>
        </is>
      </c>
      <c r="D278" t="inlineStr">
        <is>
          <t>1</t>
        </is>
      </c>
      <c r="E278" t="inlineStr">
        <is>
          <t>8</t>
        </is>
      </c>
      <c r="F278" t="inlineStr">
        <is>
          <t>0</t>
        </is>
      </c>
      <c r="G278" t="inlineStr">
        <is>
          <t>6</t>
        </is>
      </c>
      <c r="H278" t="inlineStr">
        <is>
          <t>4³, 36¹</t>
        </is>
      </c>
      <c r="I278" t="n">
        <v>4</v>
      </c>
      <c r="J278" t="inlineStr">
        <is>
          <t>2⁴</t>
        </is>
      </c>
      <c r="K278">
        <f>HYPERLINK("CSG0.html#group12B0", "12B⁰"), =HYPERLINK("CSG0.html#group18C0", "18C⁰")</f>
        <v/>
      </c>
      <c r="L278">
        <f>HYPERLINK("CSG4.html#group36S4", "36S⁴"), =HYPERLINK("CSG7.html#group36H7", "36H⁷"), =HYPERLINK("CSG7.html#group36M7", "36M⁷"), =HYPERLINK("CSG10.html#group36D10", "36D¹⁰"), =HYPERLINK("CSG10.html#group36F10", "36F¹⁰"), =HYPERLINK("CSG15.html#group180A15", "180A¹⁵"), =HYPERLINK("CSG21.html#group180F21", "180F²¹")</f>
        <v/>
      </c>
      <c r="M278">
        <f>HYPERLINK("CSG0.html#group18C0", "18C⁰"), =HYPERLINK("CSG0.html#group3B0", "3B⁰"), =HYPERLINK("CSG0.html#group2A0", "2A⁰"), =HYPERLINK("CSG0.html#group1A0", "1A⁰"), =HYPERLINK("CSG0.html#group6C0", "6C⁰"), =HYPERLINK("CSG0.html#group12B0", "12B⁰")</f>
        <v/>
      </c>
      <c r="N278">
        <f>HYPERLINK("CSG4.html#group36S4", "36S⁴"), =HYPERLINK("CSG10.html#group36D10", "36D¹⁰"), =HYPERLINK("CSG21.html#group72Z21", "72Z²¹"), =HYPERLINK("CSG13.html#group36U13", "36U¹³"), =HYPERLINK("CSG21.html#group180F21", "180F²¹"), =HYPERLINK("CSG10.html#group36F10", "36F¹⁰"), =HYPERLINK("CSG7.html#group36M7", "36M⁷"), =HYPERLINK("CSG22.html#group36M22", "36M²²"), =HYPERLINK("CSG7.html#group36H7", "36H⁷"), =HYPERLINK("CSG22.html#group108C22", "108C²²"), =HYPERLINK("CSG15.html#group180A15", "180A¹⁵")</f>
        <v/>
      </c>
    </row>
    <row r="279">
      <c r="A279" t="inlineStr">
        <is>
          <t>36C¹</t>
        </is>
      </c>
      <c r="B279" t="inlineStr">
        <is>
          <t>Γ₀(36)</t>
        </is>
      </c>
      <c r="C279" t="inlineStr">
        <is>
          <t>72</t>
        </is>
      </c>
      <c r="D279" t="inlineStr">
        <is>
          <t>1</t>
        </is>
      </c>
      <c r="E279" t="inlineStr">
        <is>
          <t>12</t>
        </is>
      </c>
      <c r="F279" t="inlineStr">
        <is>
          <t>0</t>
        </is>
      </c>
      <c r="G279" t="inlineStr">
        <is>
          <t>0</t>
        </is>
      </c>
      <c r="H279" t="inlineStr">
        <is>
          <t>1⁶, 4³, 9², 36¹</t>
        </is>
      </c>
      <c r="I279" t="n">
        <v>12</v>
      </c>
      <c r="J279" t="inlineStr">
        <is>
          <t>1⁶, 2³</t>
        </is>
      </c>
      <c r="K279">
        <f>HYPERLINK("CSG0.html#group12E0", "12E⁰"), =HYPERLINK("CSG0.html#group18E0", "18E⁰")</f>
        <v/>
      </c>
      <c r="L279">
        <f>HYPERLINK("CSG3.html#group36K3", "36K³"), =HYPERLINK("CSG3.html#group72A3", "72A³"), =HYPERLINK("CSG5.html#group36L5", "36L⁵"), =HYPERLINK("CSG5.html#group72B5", "72B⁵"), =HYPERLINK("CSG7.html#group36O7", "36O⁷"), =HYPERLINK("CSG7.html#group72C7", "72C⁷"), =HYPERLINK("CSG7.html#group108A7", "108A⁷"), =HYPERLINK("CSG10.html#group36Q10", "36Q¹⁰"), =HYPERLINK("CSG10.html#group108F10", "108F¹⁰"), =HYPERLINK("CSG13.html#group108B13", "108B¹³")</f>
        <v/>
      </c>
      <c r="M279">
        <f>HYPERLINK("CSG0.html#group3B0", "3B⁰"), =HYPERLINK("CSG0.html#group18E0", "18E⁰"), =HYPERLINK("CSG0.html#group9B0", "9B⁰"), =HYPERLINK("CSG0.html#group1A0", "1A⁰"), =HYPERLINK("CSG0.html#group2B0", "2B⁰"), =HYPERLINK("CSG0.html#group4B0", "4B⁰"), =HYPERLINK("CSG0.html#group6F0", "6F⁰"), =HYPERLINK("CSG0.html#group12E0", "12E⁰")</f>
        <v/>
      </c>
      <c r="N279">
        <f>HYPERLINK("CSG17.html#group108G17", "108G¹⁷"), =HYPERLINK("CSG21.html#group72AC21", "72AC²¹"), =HYPERLINK("CSG17.html#group36L17", "36L¹⁷"), =HYPERLINK("CSG13.html#group72U13", "72U¹³"), =HYPERLINK("CSG21.html#group36F21", "36F²¹"), =HYPERLINK("CSG21.html#group108E21", "108E²¹"), =HYPERLINK("CSG13.html#group72T13", "72T¹³"), =HYPERLINK("CSG3.html#group72A3", "72A³"), =HYPERLINK("CSG22.html#group36L22", "36L²²"), =HYPERLINK("CSG13.html#group72W13", "72W¹³"), =HYPERLINK("CSG17.html#group216A17", "216A¹⁷"), =HYPERLINK("CSG13.html#group36U13", "36U¹³"), =HYPERLINK("CSG7.html#group108A7", "108A⁷"), =HYPERLINK("CSG17.html#group72N17", "72N¹⁷"), =HYPERLINK("CSG13.html#group144J13", "144J¹³"), =HYPERLINK("CSG7.html#group72C7", "72C⁷"), =HYPERLINK("CSG5.html#group72B5", "72B⁵"), =HYPERLINK("CSG13.html#group144G13", "144G¹³"), =HYPERLINK("CSG13.html#group72R13", "72R¹³"), =HYPERLINK("CSG22.html#group108F22", "108F²²"), =HYPERLINK("CSG9.html#group72I9", "72I⁹"), =HYPERLINK("CSG7.html#group36O7", "36O⁷"), =HYPERLINK("CSG13.html#group108B13", "108B¹³"), =HYPERLINK("CSG13.html#group72S13", "72S¹³"), =HYPERLINK("CSG10.html#group36Q10", "36Q¹⁰"), =HYPERLINK("CSG5.html#group36L5", "36L⁵"), =HYPERLINK("CSG22.html#group216C22", "216C²²"), =HYPERLINK("CSG13.html#group144H13", "144H¹³"), =HYPERLINK("CSG17.html#group72M17", "72M¹⁷"), =HYPERLINK("CSG13.html#group72V13", "72V¹³"), =HYPERLINK("CSG13.html#group144I13", "144I¹³"), =HYPERLINK("CSG17.html#group72Y17", "72Y¹⁷"), =HYPERLINK("CSG21.html#group216B21", "216B²¹"), =HYPERLINK("CSG17.html#group144D17", "144D¹⁷"), =HYPERLINK("CSG10.html#group108F10", "108F¹⁰"), =HYPERLINK("CSG9.html#group36Q9", "36Q⁹"), =HYPERLINK("CSG13.html#group36T13", "36T¹³"), =HYPERLINK("CSG3.html#group36K3", "36K³"), =HYPERLINK("CSG22.html#group72L22", "72L²²"), =HYPERLINK("CSG13.html#group72Q13", "72Q¹³"), =HYPERLINK("CSG17.html#group144E17", "144E¹⁷")</f>
        <v/>
      </c>
    </row>
    <row r="280">
      <c r="A280" t="inlineStr">
        <is>
          <t>39A¹</t>
        </is>
      </c>
      <c r="B280" t="inlineStr"/>
      <c r="C280" t="inlineStr">
        <is>
          <t>42</t>
        </is>
      </c>
      <c r="D280" t="inlineStr">
        <is>
          <t>2</t>
        </is>
      </c>
      <c r="E280" t="inlineStr">
        <is>
          <t>14</t>
        </is>
      </c>
      <c r="F280" t="inlineStr">
        <is>
          <t>6</t>
        </is>
      </c>
      <c r="G280" t="inlineStr">
        <is>
          <t>3</t>
        </is>
      </c>
      <c r="H280" t="inlineStr">
        <is>
          <t>3¹, 39¹</t>
        </is>
      </c>
      <c r="I280" t="n">
        <v>2</v>
      </c>
      <c r="J280" t="inlineStr">
        <is>
          <t>2², 24¹</t>
        </is>
      </c>
      <c r="K280">
        <f>HYPERLINK("CSG0.html#group13A0", "13A⁰")</f>
        <v/>
      </c>
      <c r="L280">
        <f>HYPERLINK("CSG2.html#group78A2", "78A²"), =HYPERLINK("CSG4.html#group39B4", "39B⁴"), =HYPERLINK("CSG4.html#group39C4", "39C⁴"), =HYPERLINK("CSG5.html#group78C5", "78C⁵"), =HYPERLINK("CSG8.html#group78B8", "78B⁸"), =HYPERLINK("CSG10.html#group39A10", "39A¹⁰"), =HYPERLINK("CSG10.html#group156A10", "156A¹⁰"), =HYPERLINK("CSG14.html#group195B14", "195B¹⁴"), =HYPERLINK("CSG17.html#group195B17", "195B¹⁷"), =HYPERLINK("CSG19.html#group273A19", "273A¹⁹"), =HYPERLINK("CSG19.html#group273B19", "273B¹⁹")</f>
        <v/>
      </c>
      <c r="M280">
        <f>HYPERLINK("CSG0.html#group13A0", "13A⁰"), =HYPERLINK("CSG0.html#group1A0", "1A⁰")</f>
        <v/>
      </c>
      <c r="N280">
        <f>HYPERLINK("CSG10.html#group39B10", "39B¹⁰"), =HYPERLINK("CSG19.html#group156C19", "156C¹⁹"), =HYPERLINK("CSG19.html#group156E19", "156E¹⁹"), =HYPERLINK("CSG19.html#group78E19", "78E¹⁹"), =HYPERLINK("CSG14.html#group195B14", "195B¹⁴"), =HYPERLINK("CSG19.html#group273A19", "273A¹⁹"), =HYPERLINK("CSG23.html#group78H23", "78H²³"), =HYPERLINK("CSG9.html#group78C9", "78C⁹"), =HYPERLINK("CSG16.html#group78D16", "78D¹⁶"), =HYPERLINK("CSG17.html#group195B17", "195B¹⁷"), =HYPERLINK("CSG19.html#group39B19", "39B¹⁹"), =HYPERLINK("CSG20.html#group156B20", "156B²⁰"), =HYPERLINK("CSG10.html#group39A10", "39A¹⁰"), =HYPERLINK("CSG23.html#group78G23", "78G²³"), =HYPERLINK("CSG23.html#group312A23", "312A²³"), =HYPERLINK("CSG4.html#group39C4", "39C⁴"), =HYPERLINK("CSG18.html#group78C18", "78C¹⁸"), =HYPERLINK("CSG10.html#group78A10", "78A¹⁰"), =HYPERLINK("CSG16.html#group39A16", "39A¹⁶"), =HYPERLINK("CSG7.html#group156A7", "156A⁷"), =HYPERLINK("CSG19.html#group273B19", "273B¹⁹"), =HYPERLINK("CSG19.html#group156F19", "156F¹⁹"), =HYPERLINK("CSG16.html#group78E16", "78E¹⁶"), =HYPERLINK("CSG22.html#group117A22", "117A²²"), =HYPERLINK("CSG2.html#group78A2", "78A²"), =HYPERLINK("CSG16.html#group78A16", "78A¹⁶"), =HYPERLINK("CSG7.html#group156B7", "156B⁷"), =HYPERLINK("CSG23.html#group312B23", "312B²³"), =HYPERLINK("CSG10.html#group156A10", "156A¹⁰"), =HYPERLINK("CSG8.html#group78B8", "78B⁸"), =HYPERLINK("CSG5.html#group78C5", "78C⁵"), =HYPERLINK("CSG4.html#group39B4", "39B⁴"), =HYPERLINK("CSG22.html#group78A22", "78A²²"), =HYPERLINK("CSG19.html#group78A19", "78A¹⁹"), =HYPERLINK("CSG17.html#group156D17", "156D¹⁷"), =HYPERLINK("CSG13.html#group39B13", "39B¹³"), =HYPERLINK("CSG13.html#group78H13", "78H¹³"), =HYPERLINK("CSG23.html#group312D23", "312D²³"), =HYPERLINK("CSG23.html#group312C23", "312C²³"), =HYPERLINK("CSG16.html#group156B16", "156B¹⁶")</f>
        <v/>
      </c>
    </row>
    <row r="281">
      <c r="A281" t="inlineStr">
        <is>
          <t>40A¹</t>
        </is>
      </c>
      <c r="B281" t="inlineStr"/>
      <c r="C281" t="inlineStr">
        <is>
          <t>72</t>
        </is>
      </c>
      <c r="D281" t="inlineStr">
        <is>
          <t>2</t>
        </is>
      </c>
      <c r="E281" t="inlineStr">
        <is>
          <t>18</t>
        </is>
      </c>
      <c r="F281" t="inlineStr">
        <is>
          <t>4</t>
        </is>
      </c>
      <c r="G281" t="inlineStr">
        <is>
          <t>0</t>
        </is>
      </c>
      <c r="H281" t="inlineStr">
        <is>
          <t>1⁴, 5⁴, 8¹, 40¹</t>
        </is>
      </c>
      <c r="I281" t="n">
        <v>10</v>
      </c>
      <c r="J281" t="inlineStr">
        <is>
          <t>2⁶, 8³</t>
        </is>
      </c>
      <c r="K281">
        <f>HYPERLINK("CSG0.html#group20A0", "20A⁰")</f>
        <v/>
      </c>
      <c r="L281">
        <f>HYPERLINK("CSG3.html#group40J3", "40J³"), =HYPERLINK("CSG5.html#group40O5", "40O⁵"), =HYPERLINK("CSG7.html#group40AC7", "40AC⁷"), =HYPERLINK("CSG11.html#group120C11", "120C¹¹"), =HYPERLINK("CSG15.html#group40AJ15", "40AJ¹⁵"), =HYPERLINK("CSG15.html#group120M15", "120M¹⁵"), =HYPERLINK("CSG15.html#group200A15", "200A¹⁵")</f>
        <v/>
      </c>
      <c r="M281">
        <f>HYPERLINK("CSG0.html#group5B0", "5B⁰"), =HYPERLINK("CSG0.html#group10C0", "10C⁰"), =HYPERLINK("CSG0.html#group20A0", "20A⁰"), =HYPERLINK("CSG0.html#group2B0", "2B⁰"), =HYPERLINK("CSG0.html#group1A0", "1A⁰")</f>
        <v/>
      </c>
      <c r="N281">
        <f>HYPERLINK("CSG13.html#group40J13", "40J¹³"), =HYPERLINK("CSG17.html#group40AQ17", "40AQ¹⁷"), =HYPERLINK("CSG15.html#group200A15", "200A¹⁵"), =HYPERLINK("CSG15.html#group120M15", "120M¹⁵"), =HYPERLINK("CSG13.html#group40W13", "40W¹³"), =HYPERLINK("CSG11.html#group120C11", "120C¹¹"), =HYPERLINK("CSG23.html#group120S23", "120S²³"), =HYPERLINK("CSG5.html#group40O5", "40O⁵"), =HYPERLINK("CSG11.html#group40K11", "40K¹¹"), =HYPERLINK("CSG17.html#group40AR17", "40AR¹⁷"), =HYPERLINK("CSG7.html#group40AC7", "40AC⁷"), =HYPERLINK("CSG9.html#group40W9", "40W⁹"), =HYPERLINK("CSG3.html#group40J3", "40J³"), =HYPERLINK("CSG15.html#group40AJ15", "40AJ¹⁵"), =HYPERLINK("CSG15.html#group40AG15", "40AG¹⁵")</f>
        <v/>
      </c>
    </row>
    <row r="282">
      <c r="A282" t="inlineStr">
        <is>
          <t>42A¹</t>
        </is>
      </c>
      <c r="B282" t="inlineStr"/>
      <c r="C282" t="inlineStr">
        <is>
          <t>42</t>
        </is>
      </c>
      <c r="D282" t="inlineStr">
        <is>
          <t>2</t>
        </is>
      </c>
      <c r="E282" t="inlineStr">
        <is>
          <t>7</t>
        </is>
      </c>
      <c r="F282" t="inlineStr">
        <is>
          <t>12</t>
        </is>
      </c>
      <c r="G282" t="inlineStr">
        <is>
          <t>0</t>
        </is>
      </c>
      <c r="H282" t="inlineStr">
        <is>
          <t>42¹</t>
        </is>
      </c>
      <c r="I282" t="n">
        <v>1</v>
      </c>
      <c r="J282" t="inlineStr">
        <is>
          <t>2¹, 6²</t>
        </is>
      </c>
      <c r="K282">
        <f>HYPERLINK("CSG0.html#group14A0", "14A⁰"), =HYPERLINK("CSG0.html#group21A0", "21A⁰")</f>
        <v/>
      </c>
      <c r="L282">
        <f>HYPERLINK("CSG3.html#group42F3", "42F³"), =HYPERLINK("CSG5.html#group42E5", "42E⁵"), =HYPERLINK("CSG6.html#group126A6", "126A⁶"), =HYPERLINK("CSG7.html#group42A7", "42A⁷"), =HYPERLINK("CSG7.html#group42H7", "42H⁷"), =HYPERLINK("CSG7.html#group42I7", "42I⁷"), =HYPERLINK("CSG7.html#group42J7", "42J⁷"), =HYPERLINK("CSG7.html#group42N7", "42N⁷"), =HYPERLINK("CSG8.html#group84H8", "84H⁸"), =HYPERLINK("CSG15.html#group210A15", "210A¹⁵"), =HYPERLINK("CSG15.html#group210C15", "210C¹⁵")</f>
        <v/>
      </c>
      <c r="M282">
        <f>HYPERLINK("CSG0.html#group21A0", "21A⁰"), =HYPERLINK("CSG0.html#group14A0", "14A⁰"), =HYPERLINK("CSG0.html#group3A0", "3A⁰"), =HYPERLINK("CSG0.html#group1A0", "1A⁰"), =HYPERLINK("CSG0.html#group7A0", "7A⁰")</f>
        <v/>
      </c>
      <c r="N282">
        <f>HYPERLINK("CSG21.html#group84L21", "84L²¹"), =HYPERLINK("CSG13.html#group126J13", "126J¹³"), =HYPERLINK("CSG7.html#group42J7", "42J⁷"), =HYPERLINK("CSG13.html#group42B13", "42B¹³"), =HYPERLINK("CSG7.html#group42H7", "42H⁷"), =HYPERLINK("CSG17.html#group42D17", "42D¹⁷"), =HYPERLINK("CSG15.html#group210A15", "210A¹⁵"), =HYPERLINK("CSG15.html#group42G15", "42G¹⁵"), =HYPERLINK("CSG17.html#group42F17", "42F¹⁷"), =HYPERLINK("CSG17.html#group126F17", "126F¹⁷"), =HYPERLINK("CSG17.html#group126G17", "126G¹⁷"), =HYPERLINK("CSG15.html#group210C15", "210C¹⁵"), =HYPERLINK("CSG15.html#group42H15", "42H¹⁵"), =HYPERLINK("CSG21.html#group84K21", "84K²¹"), =HYPERLINK("CSG7.html#group42I7", "42I⁷"), =HYPERLINK("CSG13.html#group42J13", "42J¹³"), =HYPERLINK("CSG8.html#group84H8", "84H⁸"), =HYPERLINK("CSG21.html#group84I21", "84I²¹"), =HYPERLINK("CSG6.html#group126A6", "126A⁶"), =HYPERLINK("CSG5.html#group42E5", "42E⁵"), =HYPERLINK("CSG15.html#group126F15", "126F¹⁵"), =HYPERLINK("CSG19.html#group126C19", "126C¹⁹"), =HYPERLINK("CSG22.html#group168G22", "168G²²"), =HYPERLINK("CSG19.html#group42A19", "42A¹⁹"), =HYPERLINK("CSG19.html#group42F19", "42F¹⁹"), =HYPERLINK("CSG19.html#group42G19", "42G¹⁹"), =HYPERLINK("CSG22.html#group168H22", "168H²²"), =HYPERLINK("CSG21.html#group126C21", "126C²¹"), =HYPERLINK("CSG3.html#group42F3", "42F³"), =HYPERLINK("CSG17.html#group42H17", "42H¹⁷"), =HYPERLINK("CSG20.html#group84A20", "84A²⁰"), =HYPERLINK("CSG18.html#group126G18", "126G¹⁸"), =HYPERLINK("CSG16.html#group84G16", "84G¹⁶"), =HYPERLINK("CSG22.html#group168I22", "168I²²"), =HYPERLINK("CSG14.html#group84C14", "84C¹⁴"), =HYPERLINK("CSG17.html#group126B17", "126B¹⁷"), =HYPERLINK("CSG23.html#group84D23", "84D²³"), =HYPERLINK("CSG18.html#group84C18", "84C¹⁸"), =HYPERLINK("CSG21.html#group42B21", "42B²¹"), =HYPERLINK("CSG13.html#group42E13", "42E¹³"), =HYPERLINK("CSG17.html#group42E17", "42E¹⁷"), =HYPERLINK("CSG21.html#group84J21", "84J²¹"), =HYPERLINK("CSG17.html#group126I17", "126I¹⁷"), =HYPERLINK("CSG22.html#group168J22", "168J²²"), =HYPERLINK("CSG15.html#group42E15", "42E¹⁵"), =HYPERLINK("CSG23.html#group84A23", "84A²³"), =HYPERLINK("CSG15.html#group42I15", "42I¹⁵"), =HYPERLINK("CSG13.html#group126K13", "126K¹³"), =HYPERLINK("CSG24.html#group126C24", "126C²⁴"), =HYPERLINK("CSG7.html#group42A7", "42A⁷"), =HYPERLINK("CSG9.html#group42C9", "42C⁹"), =HYPERLINK("CSG19.html#group126B19", "126B¹⁹"), =HYPERLINK("CSG19.html#group84L19", "84L¹⁹"), =HYPERLINK("CSG17.html#group42K17", "42K¹⁷"), =HYPERLINK("CSG7.html#group42N7", "42N⁷"), =HYPERLINK("CSG19.html#group42J19", "42J¹⁹")</f>
        <v/>
      </c>
    </row>
    <row r="283">
      <c r="A283" t="inlineStr">
        <is>
          <t>42B¹</t>
        </is>
      </c>
      <c r="B283" t="inlineStr"/>
      <c r="C283" t="inlineStr">
        <is>
          <t>42</t>
        </is>
      </c>
      <c r="D283" t="inlineStr">
        <is>
          <t>2</t>
        </is>
      </c>
      <c r="E283" t="inlineStr">
        <is>
          <t>21</t>
        </is>
      </c>
      <c r="F283" t="inlineStr">
        <is>
          <t>12</t>
        </is>
      </c>
      <c r="G283" t="inlineStr">
        <is>
          <t>0</t>
        </is>
      </c>
      <c r="H283" t="inlineStr">
        <is>
          <t>42¹</t>
        </is>
      </c>
      <c r="I283" t="n">
        <v>1</v>
      </c>
      <c r="J283" t="inlineStr">
        <is>
          <t>2¹, 4¹, 6², 12²</t>
        </is>
      </c>
      <c r="K283">
        <f>HYPERLINK("CSG0.html#group6B0", "6B⁰"), =HYPERLINK("CSG0.html#group21A0", "21A⁰")</f>
        <v/>
      </c>
      <c r="L283">
        <f>HYPERLINK("CSG3.html#group42F3", "42F³"), =HYPERLINK("CSG4.html#group42F4", "42F⁴"), =HYPERLINK("CSG4.html#group42G4", "42G⁴"), =HYPERLINK("CSG4.html#group42H4", "42H⁴"), =HYPERLINK("CSG5.html#group42F5", "42F⁵"), =HYPERLINK("CSG5.html#group42H5", "42H⁵"), =HYPERLINK("CSG5.html#group126A5", "126A⁵"), =HYPERLINK("CSG5.html#group126B5", "126B⁵"), =HYPERLINK("CSG7.html#group42C7", "42C⁷"), =HYPERLINK("CSG7.html#group42L7", "42L⁷"), =HYPERLINK("CSG8.html#group84I8", "84I⁸"), =HYPERLINK("CSG8.html#group126A8", "126A⁸"), =HYPERLINK("CSG8.html#group126D8", "126D⁸"), =HYPERLINK("CSG9.html#group42B9", "42B⁹"), =HYPERLINK("CSG15.html#group210B15", "210B¹⁵"), =HYPERLINK("CSG15.html#group210D15", "210D¹⁵")</f>
        <v/>
      </c>
      <c r="M283">
        <f>HYPERLINK("CSG0.html#group21A0", "21A⁰"), =HYPERLINK("CSG0.html#group6B0", "6B⁰"), =HYPERLINK("CSG0.html#group3A0", "3A⁰"), =HYPERLINK("CSG0.html#group1A0", "1A⁰"), =HYPERLINK("CSG0.html#group7A0", "7A⁰")</f>
        <v/>
      </c>
      <c r="N283">
        <f>HYPERLINK("CSG22.html#group168N22", "168N²²"), =HYPERLINK("CSG15.html#group210D15", "210D¹⁵"), =HYPERLINK("CSG5.html#group42F5", "42F⁵"), =HYPERLINK("CSG16.html#group126D16", "126D¹⁶"), =HYPERLINK("CSG18.html#group126E18", "126E¹⁸"), =HYPERLINK("CSG16.html#group126C16", "126C¹⁶"), =HYPERLINK("CSG17.html#group84M17", "84M¹⁷"), =HYPERLINK("CSG14.html#group42E14", "42E¹⁴"), =HYPERLINK("CSG17.html#group126G17", "126G¹⁷"), =HYPERLINK("CSG17.html#group84N17", "84N¹⁷"), =HYPERLINK("CSG14.html#group42F14", "42F¹⁴"), =HYPERLINK("CSG15.html#group42H15", "42H¹⁵"), =HYPERLINK("CSG17.html#group84I17", "84I¹⁷"), =HYPERLINK("CSG16.html#group42H16", "42H¹⁶"), =HYPERLINK("CSG19.html#group126E19", "126E¹⁹"), =HYPERLINK("CSG22.html#group168L22", "168L²²"), =HYPERLINK("CSG19.html#group42E19", "42E¹⁹"), =HYPERLINK("CSG5.html#group42H5", "42H⁵"), =HYPERLINK("CSG23.html#group84E23", "84E²³"), =HYPERLINK("CSG16.html#group42I16", "42I¹⁶"), =HYPERLINK("CSG22.html#group126A22", "126A²²"), =HYPERLINK("CSG11.html#group42L11", "42L¹¹"), =HYPERLINK("CSG18.html#group126J18", "126J¹⁸"), =HYPERLINK("CSG3.html#group42F3", "42F³"), =HYPERLINK("CSG8.html#group126D8", "126D⁸"), =HYPERLINK("CSG17.html#group126C17", "126C¹⁷"), =HYPERLINK("CSG13.html#group42D13", "42D¹³"), =HYPERLINK("CSG13.html#group42C13", "42C¹³"), =HYPERLINK("CSG21.html#group126A21", "126A²¹"), =HYPERLINK("CSG22.html#group168K22", "168K²²"), =HYPERLINK("CSG21.html#group126G21", "126G²¹"), =HYPERLINK("CSG17.html#group84J17", "84J¹⁷"), =HYPERLINK("CSG8.html#group84I8", "84I⁸"), =HYPERLINK("CSG21.html#group126B21", "126B²¹"), =HYPERLINK("CSG16.html#group126B16", "126B¹⁶"), =HYPERLINK("CSG8.html#group126A8", "126A⁸"), =HYPERLINK("CSG14.html#group42D14", "42D¹⁴"), =HYPERLINK("CSG11.html#group42B11", "42B¹¹"), =HYPERLINK("CSG17.html#group42G17", "42G¹⁷"), =HYPERLINK("CSG22.html#group168M22", "168M²²"), =HYPERLINK("CSG21.html#group84N21", "84N²¹"), =HYPERLINK("CSG17.html#group126I17", "126I¹⁷"), =HYPERLINK("CSG14.html#group42A14", "42A¹⁴"), =HYPERLINK("CSG21.html#group42E21", "42E²¹"), =HYPERLINK("CSG4.html#group42G4", "42G⁴"), =HYPERLINK("CSG17.html#group126H17", "126H¹⁷"), =HYPERLINK("CSG18.html#group126H18", "126H¹⁸"), =HYPERLINK("CSG18.html#group126D18", "126D¹⁸"), =HYPERLINK("CSG16.html#group84H16", "84H¹⁶"), =HYPERLINK("CSG17.html#group42K17", "42K¹⁷"), =HYPERLINK("CSG22.html#group168Q22", "168Q²²"), =HYPERLINK("CSG20.html#group126E20", "126E²⁰"), =HYPERLINK("CSG18.html#group126K18", "126K¹⁸"), =HYPERLINK("CSG14.html#group84D14", "84D¹⁴"), =HYPERLINK("CSG14.html#group126E14", "126E¹⁴"), =HYPERLINK("CSG18.html#group126C18", "126C¹⁸"), =HYPERLINK("CSG4.html#group42F4", "42F⁴"), =HYPERLINK("CSG13.html#group126J13", "126J¹³"), =HYPERLINK("CSG4.html#group42H4", "42H⁴"), =HYPERLINK("CSG15.html#group210B15", "210B¹⁵"), =HYPERLINK("CSG15.html#group42G15", "42G¹⁵"), =HYPERLINK("CSG18.html#group126B18", "126B¹⁸"), =HYPERLINK("CSG17.html#group126F17", "126F¹⁷"), =HYPERLINK("CSG5.html#group126A5", "126A⁵"), =HYPERLINK("CSG21.html#group126H21", "126H²¹"), =HYPERLINK("CSG21.html#group84P21", "84P²¹"), =HYPERLINK("CSG23.html#group42K23", "42K²³"), =HYPERLINK("CSG13.html#group42I13", "42I¹³"), =HYPERLINK("CSG5.html#group126B5", "126B⁵"), =HYPERLINK("CSG21.html#group84O21", "84O²¹"), =HYPERLINK("CSG22.html#group168R22", "168R²²"), =HYPERLINK("CSG12.html#group126J12", "126J¹²"), =HYPERLINK("CSG16.html#group42E16", "42E¹⁶"), =HYPERLINK("CSG16.html#group126A16", "126A¹⁶"), =HYPERLINK("CSG22.html#group168P22", "168P²²"), =HYPERLINK("CSG18.html#group84D18", "84D¹⁸"), =HYPERLINK("CSG19.html#group126A19", "126A¹⁹"), =HYPERLINK("CSG9.html#group42B9", "42B⁹"), =HYPERLINK("CSG22.html#group168O22", "168O²²"), =HYPERLINK("CSG17.html#group126D17", "126D¹⁷"), =HYPERLINK("CSG17.html#group126B17", "126B¹⁷"), =HYPERLINK("CSG19.html#group42L19", "42L¹⁹"), =HYPERLINK("CSG13.html#group42E13", "42E¹³"), =HYPERLINK("CSG17.html#group126E17", "126E¹⁷"), =HYPERLINK("CSG21.html#group126R21", "126R²¹"), =HYPERLINK("CSG14.html#group126F14", "126F¹⁴"), =HYPERLINK("CSG11.html#group84F11", "84F¹¹"), =HYPERLINK("CSG18.html#group126I18", "126I¹⁸"), =HYPERLINK("CSG23.html#group84A23", "84A²³"), =HYPERLINK("CSG9.html#group42C9", "42C⁹"), =HYPERLINK("CSG17.html#group42B17", "42B¹⁷"), =HYPERLINK("CSG13.html#group126K13", "126K¹³"), =HYPERLINK("CSG7.html#group42L7", "42L⁷"), =HYPERLINK("CSG15.html#group42I15", "42I¹⁵"), =HYPERLINK("CSG21.html#group42A21", "42A²¹"), =HYPERLINK("CSG19.html#group84L19", "84L¹⁹"), =HYPERLINK("CSG7.html#group42C7", "42C⁷"), =HYPERLINK("CSG11.html#group84E11", "84E¹¹"), =HYPERLINK("CSG20.html#group84G20", "84G²⁰")</f>
        <v/>
      </c>
    </row>
    <row r="284">
      <c r="A284" t="inlineStr">
        <is>
          <t>49A¹</t>
        </is>
      </c>
      <c r="B284" t="inlineStr">
        <is>
          <t>Γ₀(49)</t>
        </is>
      </c>
      <c r="C284" t="inlineStr">
        <is>
          <t>56</t>
        </is>
      </c>
      <c r="D284" t="inlineStr">
        <is>
          <t>1</t>
        </is>
      </c>
      <c r="E284" t="inlineStr">
        <is>
          <t>56</t>
        </is>
      </c>
      <c r="F284" t="inlineStr">
        <is>
          <t>0</t>
        </is>
      </c>
      <c r="G284" t="inlineStr">
        <is>
          <t>2</t>
        </is>
      </c>
      <c r="H284" t="inlineStr">
        <is>
          <t>1⁷, 49¹</t>
        </is>
      </c>
      <c r="I284" t="n">
        <v>8</v>
      </c>
      <c r="J284" t="inlineStr">
        <is>
          <t>1², 6², 42¹</t>
        </is>
      </c>
      <c r="K284">
        <f>HYPERLINK("CSG0.html#group7B0", "7B⁰")</f>
        <v/>
      </c>
      <c r="L284">
        <f>HYPERLINK("CSG3.html#group49A3", "49A³"), =HYPERLINK("CSG5.html#group98A5", "98A⁵"), =HYPERLINK("CSG7.html#group98A7", "98A⁷"), =HYPERLINK("CSG10.html#group147A10", "147A¹⁰"), =HYPERLINK("CSG11.html#group147A11", "147A¹¹"), =HYPERLINK("CSG11.html#group147B11", "147B¹¹"), =HYPERLINK("CSG15.html#group196A15", "196A¹⁵"), =HYPERLINK("CSG19.html#group49C19", "49C¹⁹"), =HYPERLINK("CSG19.html#group245A19", "245A¹⁹"), =HYPERLINK("CSG21.html#group245A21", "245A²¹")</f>
        <v/>
      </c>
      <c r="M284">
        <f>HYPERLINK("CSG0.html#group1A0", "1A⁰"), =HYPERLINK("CSG0.html#group7B0", "7B⁰")</f>
        <v/>
      </c>
      <c r="N284">
        <f>HYPERLINK("CSG15.html#group196A15", "196A¹⁵"), =HYPERLINK("CSG5.html#group98A5", "98A⁵"), =HYPERLINK("CSG17.html#group98A17", "98A¹⁷"), =HYPERLINK("CSG23.html#group294B23", "294B²³"), =HYPERLINK("CSG17.html#group196A17", "196A¹⁷"), =HYPERLINK("CSG17.html#group98B17", "98B¹⁷"), =HYPERLINK("CSG15.html#group98A15", "98A¹⁵"), =HYPERLINK("CSG23.html#group294A23", "294A²³"), =HYPERLINK("CSG11.html#group147A11", "147A¹¹"), =HYPERLINK("CSG10.html#group147A10", "147A¹⁰"), =HYPERLINK("CSG19.html#group245A19", "245A¹⁹"), =HYPERLINK("CSG3.html#group49A3", "49A³"), =HYPERLINK("CSG11.html#group147B11", "147B¹¹"), =HYPERLINK("CSG7.html#group98A7", "98A⁷"), =HYPERLINK("CSG21.html#group245A21", "245A²¹"), =HYPERLINK("CSG19.html#group49C19", "49C¹⁹"), =HYPERLINK("CSG21.html#group147B21", "147B²¹"), =HYPERLINK("CSG13.html#group196A13", "196A¹³"), =HYPERLINK("CSG19.html#group98A19", "98A¹⁹"), =HYPERLINK("CSG24.html#group294A24", "294A²⁴"), =HYPERLINK("CSG21.html#group147A21", "147A²¹"), =HYPERLINK("CSG21.html#group196A21", "196A²¹")</f>
        <v/>
      </c>
    </row>
    <row r="285">
      <c r="A285" t="inlineStr">
        <is>
          <t>52A¹</t>
        </is>
      </c>
      <c r="B285" t="inlineStr"/>
      <c r="C285" t="inlineStr">
        <is>
          <t>56</t>
        </is>
      </c>
      <c r="D285" t="inlineStr">
        <is>
          <t>2</t>
        </is>
      </c>
      <c r="E285" t="inlineStr">
        <is>
          <t>14</t>
        </is>
      </c>
      <c r="F285" t="inlineStr">
        <is>
          <t>4</t>
        </is>
      </c>
      <c r="G285" t="inlineStr">
        <is>
          <t>8</t>
        </is>
      </c>
      <c r="H285" t="inlineStr">
        <is>
          <t>4¹, 52¹</t>
        </is>
      </c>
      <c r="I285" t="n">
        <v>2</v>
      </c>
      <c r="J285" t="inlineStr">
        <is>
          <t>2², 24¹</t>
        </is>
      </c>
      <c r="K285">
        <f>HYPERLINK("CSG0.html#group26A0", "26A⁰")</f>
        <v/>
      </c>
      <c r="L285">
        <f>HYPERLINK("CSG3.html#group52B3", "52B³"), =HYPERLINK("CSG7.html#group156A7", "156A⁷"), =HYPERLINK("CSG7.html#group156B7", "156B⁷"), =HYPERLINK("CSG9.html#group52D9", "52D⁹"), =HYPERLINK("CSG11.html#group52G11", "52G¹¹"), =HYPERLINK("CSG11.html#group52H11", "52H¹¹"), =HYPERLINK("CSG11.html#group156B11", "156B¹¹"), =HYPERLINK("CSG15.html#group156C15", "156C¹⁵"), =HYPERLINK("CSG17.html#group260A17", "260A¹⁷")</f>
        <v/>
      </c>
      <c r="M285">
        <f>HYPERLINK("CSG0.html#group13A0", "13A⁰"), =HYPERLINK("CSG0.html#group1A0", "1A⁰"), =HYPERLINK("CSG0.html#group26A0", "26A⁰")</f>
        <v/>
      </c>
      <c r="N285">
        <f>HYPERLINK("CSG3.html#group52B3", "52B³"), =HYPERLINK("CSG11.html#group52H11", "52H¹¹"), =HYPERLINK("CSG17.html#group260A17", "260A¹⁷"), =HYPERLINK("CSG23.html#group52A23", "52A²³"), =HYPERLINK("CSG19.html#group156E19", "156E¹⁹"), =HYPERLINK("CSG15.html#group156C15", "156C¹⁵"), =HYPERLINK("CSG11.html#group156B11", "156B¹¹"), =HYPERLINK("CSG9.html#group52D9", "52D⁹"), =HYPERLINK("CSG7.html#group156B7", "156B⁷"), =HYPERLINK("CSG23.html#group156H23", "156H²³"), =HYPERLINK("CSG21.html#group52F21", "52F²¹"), =HYPERLINK("CSG23.html#group52B23", "52B²³"), =HYPERLINK("CSG11.html#group52G11", "52G¹¹"), =HYPERLINK("CSG15.html#group52A15", "52A¹⁵"), =HYPERLINK("CSG7.html#group156A7", "156A⁷"), =HYPERLINK("CSG23.html#group156G23", "156G²³"), =HYPERLINK("CSG19.html#group156D19", "156D¹⁹"), =HYPERLINK("CSG23.html#group52H23", "52H²³")</f>
        <v/>
      </c>
    </row>
    <row r="286">
      <c r="A286" t="inlineStr">
        <is>
          <t>8A²</t>
        </is>
      </c>
      <c r="B286" t="inlineStr"/>
      <c r="C286" t="inlineStr">
        <is>
          <t>48</t>
        </is>
      </c>
      <c r="D286" t="inlineStr">
        <is>
          <t>1</t>
        </is>
      </c>
      <c r="E286" t="inlineStr">
        <is>
          <t>1</t>
        </is>
      </c>
      <c r="F286" t="inlineStr">
        <is>
          <t>0</t>
        </is>
      </c>
      <c r="G286" t="inlineStr">
        <is>
          <t>0</t>
        </is>
      </c>
      <c r="H286" t="inlineStr">
        <is>
          <t>8⁶</t>
        </is>
      </c>
      <c r="I286" t="n">
        <v>6</v>
      </c>
      <c r="J286" t="inlineStr">
        <is>
          <t>1¹</t>
        </is>
      </c>
      <c r="K286">
        <f>HYPERLINK("CSG0.html#group4G0", "4G⁰"), =HYPERLINK("CSG0.html#group8E0", "8E⁰"), =HYPERLINK("CSG1.html#group8D1", "8D¹")</f>
        <v/>
      </c>
      <c r="L286">
        <f>HYPERLINK("CSG3.html#group8B3", "8B³"), =HYPERLINK("CSG6.html#group16A6", "16A⁶"), =HYPERLINK("CSG10.html#group24A10", "24A¹⁰"), =HYPERLINK("CSG11.html#group24B11", "24B¹¹"), =HYPERLINK("CSG18.html#group40A18", "40A¹⁸"), =HYPERLINK("CSG19.html#group40B19", "40B¹⁹")</f>
        <v/>
      </c>
      <c r="M286">
        <f>HYPERLINK("CSG0.html#group2A0", "2A⁰"), =HYPERLINK("CSG0.html#group4A0", "4A⁰"), =HYPERLINK("CSG0.html#group4D0", "4D⁰"), =HYPERLINK("CSG0.html#group2C0", "2C⁰"), =HYPERLINK("CSG0.html#group4C0", "4C⁰"), =HYPERLINK("CSG0.html#group8A0", "8A⁰"), =HYPERLINK("CSG0.html#group8E0", "8E⁰"), =HYPERLINK("CSG0.html#group4G0", "4G⁰"), =HYPERLINK("CSG0.html#group2B0", "2B⁰"), =HYPERLINK("CSG0.html#group4E0", "4E⁰"), =HYPERLINK("CSG0.html#group4F0", "4F⁰"), =HYPERLINK("CSG0.html#group4B0", "4B⁰"), =HYPERLINK("CSG0.html#group1A0", "1A⁰"), =HYPERLINK("CSG1.html#group8D1", "8D¹")</f>
        <v/>
      </c>
      <c r="N286">
        <f>HYPERLINK("CSG10.html#group24A10", "24A¹⁰"), =HYPERLINK("CSG9.html#group16D9", "16D⁹"), =HYPERLINK("CSG3.html#group8B3", "8B³"), =HYPERLINK("CSG9.html#group16C9", "16C⁹"), =HYPERLINK("CSG11.html#group16A11", "16A¹¹"), =HYPERLINK("CSG21.html#group16D21", "16D²¹"), =HYPERLINK("CSG21.html#group24B21", "24B²¹"), =HYPERLINK("CSG7.html#group16B7", "16B⁷"), =HYPERLINK("CSG21.html#group32A21", "32A²¹"), =HYPERLINK("CSG22.html#group48B22", "48B²²"), =HYPERLINK("CSG21.html#group32B21", "32B²¹"), =HYPERLINK("CSG6.html#group16A6", "16A⁶"), =HYPERLINK("CSG5.html#group8A5", "8A⁵"), =HYPERLINK("CSG17.html#group16A17", "16A¹⁷"), =HYPERLINK("CSG22.html#group48A22", "48A²²"), =HYPERLINK("CSG21.html#group24C21", "24C²¹"), =HYPERLINK("CSG13.html#group16B13", "16B¹³"), =HYPERLINK("CSG11.html#group24B11", "24B¹¹"), =HYPERLINK("CSG21.html#group24G21", "24G²¹"), =HYPERLINK("CSG19.html#group24C19", "24C¹⁹"), =HYPERLINK("CSG19.html#group24I19", "24I¹⁹"), =HYPERLINK("CSG21.html#group16B21", "16B²¹"), =HYPERLINK("CSG19.html#group32A19", "32A¹⁹"), =HYPERLINK("CSG21.html#group32D21", "32D²¹"), =HYPERLINK("CSG19.html#group40B19", "40B¹⁹"), =HYPERLINK("CSG19.html#group24D19", "24D¹⁹"), =HYPERLINK("CSG21.html#group16E21", "16E²¹"), =HYPERLINK("CSG18.html#group40A18", "40A¹⁸")</f>
        <v/>
      </c>
    </row>
    <row r="287">
      <c r="A287" t="inlineStr">
        <is>
          <t>8B²</t>
        </is>
      </c>
      <c r="B287" t="inlineStr"/>
      <c r="C287" t="inlineStr">
        <is>
          <t>48</t>
        </is>
      </c>
      <c r="D287" t="inlineStr">
        <is>
          <t>1</t>
        </is>
      </c>
      <c r="E287" t="inlineStr">
        <is>
          <t>12</t>
        </is>
      </c>
      <c r="F287" t="inlineStr">
        <is>
          <t>0</t>
        </is>
      </c>
      <c r="G287" t="inlineStr">
        <is>
          <t>0</t>
        </is>
      </c>
      <c r="H287" t="inlineStr">
        <is>
          <t>8⁶</t>
        </is>
      </c>
      <c r="I287" t="n">
        <v>6</v>
      </c>
      <c r="J287" t="inlineStr">
        <is>
          <t>2², 4²</t>
        </is>
      </c>
      <c r="K287">
        <f>HYPERLINK("CSG0.html#group8K0", "8K⁰"), =HYPERLINK("CSG1.html#group8C1", "8C¹"), =HYPERLINK("CSG1.html#group8D1", "8D¹")</f>
        <v/>
      </c>
      <c r="L287">
        <f>HYPERLINK("CSG3.html#group8B3", "8B³"), =HYPERLINK("CSG4.html#group16A4", "16A⁴"), =HYPERLINK("CSG5.html#group16H5", "16H⁵"), =HYPERLINK("CSG6.html#group16B6", "16B⁶"), =HYPERLINK("CSG10.html#group24C10", "24C¹⁰"), =HYPERLINK("CSG11.html#group24G11", "24G¹¹"), =HYPERLINK("CSG18.html#group40C18", "40C¹⁸"), =HYPERLINK("CSG19.html#group40G19", "40G¹⁹")</f>
        <v/>
      </c>
      <c r="M287">
        <f>HYPERLINK("CSG1.html#group8C1", "8C¹"), =HYPERLINK("CSG1.html#group8A1", "8A¹"), =HYPERLINK("CSG0.html#group8D0", "8D⁰"), =HYPERLINK("CSG0.html#group4A0", "4A⁰"), =HYPERLINK("CSG0.html#group4C0", "4C⁰"), =HYPERLINK("CSG0.html#group8A0", "8A⁰"), =HYPERLINK("CSG0.html#group1A0", "1A⁰"), =HYPERLINK("CSG0.html#group2B0", "2B⁰"), =HYPERLINK("CSG0.html#group4F0", "4F⁰"), =HYPERLINK("CSG0.html#group8K0", "8K⁰"), =HYPERLINK("CSG1.html#group8D1", "8D¹")</f>
        <v/>
      </c>
      <c r="N287">
        <f>HYPERLINK("CSG10.html#group24C10", "24C¹⁰"), =HYPERLINK("CSG9.html#group16D9", "16D⁹"), =HYPERLINK("CSG3.html#group8B3", "8B³"), =HYPERLINK("CSG6.html#group16B6", "16B⁶"), =HYPERLINK("CSG4.html#group16A4", "16A⁴"), =HYPERLINK("CSG19.html#group24P19", "24P¹⁹"), =HYPERLINK("CSG11.html#group16A11", "16A¹¹"), =HYPERLINK("CSG21.html#group48AQ21", "48AQ²¹"), =HYPERLINK("CSG7.html#group16B7", "16B⁷"), =HYPERLINK("CSG21.html#group32A21", "32A²¹"), =HYPERLINK("CSG20.html#group48B20", "48B²⁰"), =HYPERLINK("CSG21.html#group48BL21", "48BL²¹"), =HYPERLINK("CSG21.html#group32B21", "32B²¹"), =HYPERLINK("CSG22.html#group48D22", "48D²²"), =HYPERLINK("CSG17.html#group16A17", "16A¹⁷"), =HYPERLINK("CSG18.html#group40C18", "40C¹⁸"), =HYPERLINK("CSG23.html#group64A23", "64A²³"), =HYPERLINK("CSG13.html#group16B13", "16B¹³"), =HYPERLINK("CSG11.html#group24G11", "24G¹¹"), =HYPERLINK("CSG22.html#group48C22", "48C²²"), =HYPERLINK("CSG13.html#group32P13", "32P¹³"), =HYPERLINK("CSG23.html#group48A23", "48A²³"), =HYPERLINK("CSG20.html#group48A20", "48A²⁰"), =HYPERLINK("CSG21.html#group16B21", "16B²¹"), =HYPERLINK("CSG11.html#group16D11", "16D¹¹"), =HYPERLINK("CSG9.html#group16C9", "16C⁹"), =HYPERLINK("CSG5.html#group16H5", "16H⁵"), =HYPERLINK("CSG21.html#group16D21", "16D²¹"), =HYPERLINK("CSG19.html#group40G19", "40G¹⁹"), =HYPERLINK("CSG11.html#group32H11", "32H¹¹"), =HYPERLINK("CSG23.html#group48D23", "48D²³"), =HYPERLINK("CSG5.html#group8A5", "8A⁵"), =HYPERLINK("CSG23.html#group32F23", "32F²³"), =HYPERLINK("CSG21.html#group24G21", "24G²¹"), =HYPERLINK("CSG19.html#group24Q19", "24Q¹⁹"), =HYPERLINK("CSG19.html#group32A19", "32A¹⁹"), =HYPERLINK("CSG21.html#group32D21", "32D²¹"), =HYPERLINK("CSG19.html#group24D19", "24D¹⁹"), =HYPERLINK("CSG21.html#group16E21", "16E²¹"), =HYPERLINK("CSG21.html#group24I21", "24I²¹")</f>
        <v/>
      </c>
    </row>
    <row r="288">
      <c r="A288" t="inlineStr">
        <is>
          <t>8C²</t>
        </is>
      </c>
      <c r="B288" t="inlineStr"/>
      <c r="C288" t="inlineStr">
        <is>
          <t>96</t>
        </is>
      </c>
      <c r="D288" t="inlineStr">
        <is>
          <t>1</t>
        </is>
      </c>
      <c r="E288" t="inlineStr">
        <is>
          <t>24</t>
        </is>
      </c>
      <c r="F288" t="inlineStr">
        <is>
          <t>4</t>
        </is>
      </c>
      <c r="G288" t="inlineStr">
        <is>
          <t>0</t>
        </is>
      </c>
      <c r="H288" t="inlineStr">
        <is>
          <t>8¹²</t>
        </is>
      </c>
      <c r="I288" t="n">
        <v>12</v>
      </c>
      <c r="J288" t="inlineStr">
        <is>
          <t>2², 4⁵</t>
        </is>
      </c>
      <c r="K288">
        <f>HYPERLINK("CSG0.html#group8M0", "8M⁰"), =HYPERLINK("CSG0.html#group8P0", "8P⁰"), =HYPERLINK("CSG1.html#group8H1", "8H¹"), =HYPERLINK("CSG1.html#group8I1", "8I¹")</f>
        <v/>
      </c>
      <c r="L288">
        <f>HYPERLINK("CSG5.html#group8A5", "8A⁵"), =HYPERLINK("CSG6.html#group16C6", "16C⁶"), =HYPERLINK("CSG7.html#group16D7", "16D⁷"), =HYPERLINK("CSG9.html#group16H9", "16H⁹"), =HYPERLINK("CSG10.html#group16C10", "16C¹⁰"), =HYPERLINK("CSG16.html#group24A16", "24A¹⁶"), =HYPERLINK("CSG21.html#group24J21", "24J²¹")</f>
        <v/>
      </c>
      <c r="M288">
        <f>HYPERLINK("CSG0.html#group8D0", "8D⁰"), =HYPERLINK("CSG0.html#group4C0", "4C⁰"), =HYPERLINK("CSG0.html#group8A0", "8A⁰"), =HYPERLINK("CSG0.html#group8B0", "8B⁰"), =HYPERLINK("CSG0.html#group8L0", "8L⁰"), =HYPERLINK("CSG0.html#group2B0", "2B⁰"), =HYPERLINK("CSG0.html#group1A0", "1A⁰"), =HYPERLINK("CSG0.html#group8K0", "8K⁰"), =HYPERLINK("CSG1.html#group8H1", "8H¹"), =HYPERLINK("CSG1.html#group8D1", "8D¹"), =HYPERLINK("CSG0.html#group8H0", "8H⁰"), =HYPERLINK("CSG0.html#group8F0", "8F⁰"), =HYPERLINK("CSG0.html#group4A0", "4A⁰"), =HYPERLINK("CSG1.html#group8I1", "8I¹"), =HYPERLINK("CSG0.html#group4F0", "4F⁰"), =HYPERLINK("CSG0.html#group8M0", "8M⁰"), =HYPERLINK("CSG0.html#group8P0", "8P⁰")</f>
        <v/>
      </c>
      <c r="N288">
        <f>HYPERLINK("CSG19.html#group16B19", "16B¹⁹"), =HYPERLINK("CSG19.html#group16A19", "16A¹⁹"), =HYPERLINK("CSG19.html#group32D19", "32D¹⁹"), =HYPERLINK("CSG21.html#group32M21", "32M²¹"), =HYPERLINK("CSG18.html#group32B18", "32B¹⁸"), =HYPERLINK("CSG16.html#group24A16", "24A¹⁶"), =HYPERLINK("CSG10.html#group16C10", "16C¹⁰"), =HYPERLINK("CSG5.html#group8A5", "8A⁵"), =HYPERLINK("CSG21.html#group24J21", "24J²¹"), =HYPERLINK("CSG17.html#group16A17", "16A¹⁷"), =HYPERLINK("CSG21.html#group16F21", "16F²¹"), =HYPERLINK("CSG23.html#group32E23", "32E²³"), =HYPERLINK("CSG15.html#group16A15", "16A¹⁵"), =HYPERLINK("CSG13.html#group16B13", "16B¹³"), =HYPERLINK("CSG19.html#group32E19", "32E¹⁹"), =HYPERLINK("CSG7.html#group16D7", "16D⁷"), =HYPERLINK("CSG9.html#group16H9", "16H⁹"), =HYPERLINK("CSG21.html#group16B21", "16B²¹"), =HYPERLINK("CSG18.html#group32A18", "32A¹⁸"), =HYPERLINK("CSG6.html#group16C6", "16C⁶"), =HYPERLINK("CSG21.html#group32P21", "32P²¹")</f>
        <v/>
      </c>
    </row>
    <row r="289">
      <c r="A289" t="inlineStr">
        <is>
          <t>9A²</t>
        </is>
      </c>
      <c r="B289" t="inlineStr"/>
      <c r="C289" t="inlineStr">
        <is>
          <t>36</t>
        </is>
      </c>
      <c r="D289" t="inlineStr">
        <is>
          <t>1</t>
        </is>
      </c>
      <c r="E289" t="inlineStr">
        <is>
          <t>3</t>
        </is>
      </c>
      <c r="F289" t="inlineStr">
        <is>
          <t>0</t>
        </is>
      </c>
      <c r="G289" t="inlineStr">
        <is>
          <t>0</t>
        </is>
      </c>
      <c r="H289" t="inlineStr">
        <is>
          <t>9⁴</t>
        </is>
      </c>
      <c r="I289" t="n">
        <v>4</v>
      </c>
      <c r="J289" t="inlineStr">
        <is>
          <t>1¹, 2¹</t>
        </is>
      </c>
      <c r="K289">
        <f>HYPERLINK("CSG0.html#group3D0", "3D⁰"), =HYPERLINK("CSG0.html#group9D0", "9D⁰"), =HYPERLINK("CSG1.html#group9B1", "9B¹")</f>
        <v/>
      </c>
      <c r="L289">
        <f>HYPERLINK("CSG4.html#group9A4", "9A⁴"), =HYPERLINK("CSG4.html#group9B4", "9B⁴"), =HYPERLINK("CSG5.html#group18A5", "18A⁵"), =HYPERLINK("CSG6.html#group18A6", "18A⁶"), =HYPERLINK("CSG11.html#group36C11", "36C¹¹"), =HYPERLINK("CSG14.html#group45A14", "45A¹⁴"), =HYPERLINK("CSG15.html#group45A15", "45A¹⁵"), =HYPERLINK("CSG20.html#group63A20", "63A²⁰"), =HYPERLINK("CSG21.html#group63A21", "63A²¹")</f>
        <v/>
      </c>
      <c r="M289">
        <f>HYPERLINK("CSG0.html#group3B0", "3B⁰"), =HYPERLINK("CSG0.html#group9D0", "9D⁰"), =HYPERLINK("CSG0.html#group9A0", "9A⁰"), =HYPERLINK("CSG0.html#group3C0", "3C⁰"), =HYPERLINK("CSG0.html#group3A0", "3A⁰"), =HYPERLINK("CSG0.html#group1A0", "1A⁰"), =HYPERLINK("CSG1.html#group9B1", "9B¹"), =HYPERLINK("CSG0.html#group3D0", "3D⁰")</f>
        <v/>
      </c>
      <c r="N289">
        <f>HYPERLINK("CSG11.html#group36C11", "36C¹¹"), =HYPERLINK("CSG13.html#group18C13", "18C¹³"), =HYPERLINK("CSG19.html#group27E19", "27E¹⁹"), =HYPERLINK("CSG5.html#group18A5", "18A⁵"), =HYPERLINK("CSG22.html#group27B22", "27B²²"), =HYPERLINK("CSG14.html#group45A14", "45A¹⁴"), =HYPERLINK("CSG15.html#group36A15", "36A¹⁵"), =HYPERLINK("CSG16.html#group18A16", "18A¹⁶"), =HYPERLINK("CSG13.html#group18H13", "18H¹³"), =HYPERLINK("CSG16.html#group18B16", "18B¹⁶"), =HYPERLINK("CSG23.html#group72F23", "72F²³"), =HYPERLINK("CSG11.html#group36A11", "36A¹¹"), =HYPERLINK("CSG10.html#group9A10", "9A¹⁰"), =HYPERLINK("CSG4.html#group9B4", "9B⁴"), =HYPERLINK("CSG6.html#group18A6", "18A⁶"), =HYPERLINK("CSG21.html#group36A21", "36A²¹"), =HYPERLINK("CSG22.html#group27A22", "27A²²"), =HYPERLINK("CSG13.html#group18F13", "18F¹³"), =HYPERLINK("CSG16.html#group27A16", "27A¹⁶"), =HYPERLINK("CSG15.html#group45A15", "45A¹⁵"), =HYPERLINK("CSG13.html#group36C13", "36C¹³"), =HYPERLINK("CSG21.html#group63A21", "63A²¹"), =HYPERLINK("CSG13.html#group18A13", "18A¹³"), =HYPERLINK("CSG13.html#group18B13", "18B¹³"), =HYPERLINK("CSG4.html#group9A4", "9A⁴"), =HYPERLINK("CSG20.html#group63A20", "63A²⁰"), =HYPERLINK("CSG16.html#group27B16", "27B¹⁶")</f>
        <v/>
      </c>
    </row>
    <row r="290">
      <c r="A290" t="inlineStr">
        <is>
          <t>9B²</t>
        </is>
      </c>
      <c r="B290" t="inlineStr"/>
      <c r="C290" t="inlineStr">
        <is>
          <t>54</t>
        </is>
      </c>
      <c r="D290" t="inlineStr">
        <is>
          <t>1</t>
        </is>
      </c>
      <c r="E290" t="inlineStr">
        <is>
          <t>27</t>
        </is>
      </c>
      <c r="F290" t="inlineStr">
        <is>
          <t>2</t>
        </is>
      </c>
      <c r="G290" t="inlineStr">
        <is>
          <t>0</t>
        </is>
      </c>
      <c r="H290" t="inlineStr">
        <is>
          <t>9⁶</t>
        </is>
      </c>
      <c r="I290" t="n">
        <v>6</v>
      </c>
      <c r="J290" t="inlineStr">
        <is>
          <t>3¹, 6⁴</t>
        </is>
      </c>
      <c r="K290">
        <f>HYPERLINK("CSG0.html#group9E0", "9E⁰"), =HYPERLINK("CSG0.html#group9G0", "9G⁰"), =HYPERLINK("CSG1.html#group9B1", "9B¹")</f>
        <v/>
      </c>
      <c r="L290">
        <f>HYPERLINK("CSG4.html#group9A4", "9A⁴"), =HYPERLINK("CSG4.html#group9C4", "9C⁴"), =HYPERLINK("CSG6.html#group18B6", "18B⁶"), =HYPERLINK("CSG7.html#group18C7", "18C⁷"), =HYPERLINK("CSG8.html#group18A8", "18A⁸"), =HYPERLINK("CSG8.html#group27A8", "27A⁸"), =HYPERLINK("CSG11.html#group27A11", "27A¹¹"), =HYPERLINK("CSG15.html#group36F15", "36F¹⁵"), =HYPERLINK("CSG20.html#group45A20", "45A²⁰"), =HYPERLINK("CSG21.html#group45A21", "45A²¹")</f>
        <v/>
      </c>
      <c r="M290">
        <f>HYPERLINK("CSG0.html#group3C0", "3C⁰"), =HYPERLINK("CSG0.html#group9A0", "9A⁰"), =HYPERLINK("CSG0.html#group9E0", "9E⁰"), =HYPERLINK("CSG0.html#group3A0", "3A⁰"), =HYPERLINK("CSG0.html#group1A0", "1A⁰"), =HYPERLINK("CSG1.html#group9B1", "9B¹"), =HYPERLINK("CSG0.html#group9G0", "9G⁰")</f>
        <v/>
      </c>
      <c r="N290">
        <f>HYPERLINK("CSG20.html#group45A20", "45A²⁰"), =HYPERLINK("CSG16.html#group18C16", "18C¹⁶"), =HYPERLINK("CSG11.html#group27A11", "27A¹¹"), =HYPERLINK("CSG6.html#group18B6", "18B⁶"), =HYPERLINK("CSG22.html#group27B22", "27B²²"), =HYPERLINK("CSG19.html#group18B19", "18B¹⁹"), =HYPERLINK("CSG8.html#group27A8", "27A⁸"), =HYPERLINK("CSG18.html#group36A18", "36A¹⁸"), =HYPERLINK("CSG16.html#group18A16", "18A¹⁶"), =HYPERLINK("CSG18.html#group18A18", "18A¹⁸"), =HYPERLINK("CSG21.html#group54A21", "54A²¹"), =HYPERLINK("CSG21.html#group45A21", "45A²¹"), =HYPERLINK("CSG7.html#group18C7", "18C⁷"), =HYPERLINK("CSG22.html#group36C22", "36C²²"), =HYPERLINK("CSG21.html#group36C21", "36C²¹"), =HYPERLINK("CSG8.html#group18A8", "18A⁸"), =HYPERLINK("CSG10.html#group9A10", "9A¹⁰"), =HYPERLINK("CSG22.html#group27C22", "27C²²"), =HYPERLINK("CSG4.html#group9C4", "9C⁴"), =HYPERLINK("CSG15.html#group36E15", "36E¹⁵"), =HYPERLINK("CSG19.html#group36O19", "36O¹⁹"), =HYPERLINK("CSG24.html#group54B24", "54B²⁴"), =HYPERLINK("CSG15.html#group36F15", "36F¹⁵"), =HYPERLINK("CSG16.html#group27A16", "27A¹⁶"), =HYPERLINK("CSG21.html#group54B21", "54B²¹"), =HYPERLINK("CSG19.html#group18D19", "18D¹⁹"), =HYPERLINK("CSG13.html#group18A13", "18A¹³"), =HYPERLINK("CSG22.html#group54H22", "54H²²"), =HYPERLINK("CSG19.html#group18C19", "18C¹⁹"), =HYPERLINK("CSG4.html#group9A4", "9A⁴"), =HYPERLINK("CSG22.html#group18A22", "18A²²"), =HYPERLINK("CSG24.html#group54A24", "54A²⁴")</f>
        <v/>
      </c>
    </row>
    <row r="291">
      <c r="A291" t="inlineStr">
        <is>
          <t>10A²</t>
        </is>
      </c>
      <c r="B291" t="inlineStr"/>
      <c r="C291" t="inlineStr">
        <is>
          <t>30</t>
        </is>
      </c>
      <c r="D291" t="inlineStr">
        <is>
          <t>1</t>
        </is>
      </c>
      <c r="E291" t="inlineStr">
        <is>
          <t>5</t>
        </is>
      </c>
      <c r="F291" t="inlineStr">
        <is>
          <t>0</t>
        </is>
      </c>
      <c r="G291" t="inlineStr">
        <is>
          <t>0</t>
        </is>
      </c>
      <c r="H291" t="inlineStr">
        <is>
          <t>10³</t>
        </is>
      </c>
      <c r="I291" t="n">
        <v>3</v>
      </c>
      <c r="J291" t="inlineStr">
        <is>
          <t>1¹, 4¹</t>
        </is>
      </c>
      <c r="K291">
        <f>HYPERLINK("CSG0.html#group5E0", "5E⁰"), =HYPERLINK("CSG0.html#group10A0", "10A⁰")</f>
        <v/>
      </c>
      <c r="L291">
        <f>HYPERLINK("CSG3.html#group10B3", "10B³"), =HYPERLINK("CSG4.html#group10A4", "10A⁴"), =HYPERLINK("CSG7.html#group30A7", "30A⁷"), =HYPERLINK("CSG7.html#group30C7", "30C⁷"), =HYPERLINK("CSG8.html#group20B8", "20B⁸"), =HYPERLINK("CSG8.html#group30A8", "30A⁸"), =HYPERLINK("CSG10.html#group50A10", "50A¹⁰"), =HYPERLINK("CSG17.html#group70B17", "70B¹⁷"), =HYPERLINK("CSG18.html#group70A18", "70A¹⁸")</f>
        <v/>
      </c>
      <c r="M291">
        <f>HYPERLINK("CSG0.html#group5E0", "5E⁰"), =HYPERLINK("CSG0.html#group2A0", "2A⁰"), =HYPERLINK("CSG0.html#group5A0", "5A⁰"), =HYPERLINK("CSG0.html#group10A0", "10A⁰"), =HYPERLINK("CSG0.html#group1A0", "1A⁰")</f>
        <v/>
      </c>
      <c r="N291">
        <f>HYPERLINK("CSG22.html#group30A22", "30A²²"), =HYPERLINK("CSG13.html#group10A13", "10A¹³"), =HYPERLINK("CSG15.html#group20F15", "20F¹⁵"), =HYPERLINK("CSG19.html#group50C19", "50C¹⁹"), =HYPERLINK("CSG5.html#group10A5", "10A⁵"), =HYPERLINK("CSG22.html#group20C22", "20C²²"), =HYPERLINK("CSG22.html#group40A22", "40A²²"), =HYPERLINK("CSG13.html#group30D13", "30D¹³"), =HYPERLINK("CSG23.html#group50B23", "50B²³"), =HYPERLINK("CSG10.html#group50A10", "50A¹⁰"), =HYPERLINK("CSG7.html#group30C7", "30C⁷"), =HYPERLINK("CSG10.html#group20A10", "20A¹⁰"), =HYPERLINK("CSG8.html#group30A8", "30A⁸"), =HYPERLINK("CSG19.html#group20D19", "20D¹⁹"), =HYPERLINK("CSG18.html#group60A18", "60A¹⁸"), =HYPERLINK("CSG13.html#group30E13", "30E¹³"), =HYPERLINK("CSG15.html#group20A15", "20A¹⁵"), =HYPERLINK("CSG18.html#group40B18", "40B¹⁸"), =HYPERLINK("CSG10.html#group20D10", "20D¹⁰"), =HYPERLINK("CSG18.html#group60C18", "60C¹⁸"), =HYPERLINK("CSG22.html#group40E22", "40E²²"), =HYPERLINK("CSG19.html#group50A19", "50A¹⁹"), =HYPERLINK("CSG19.html#group50D19", "50D¹⁹"), =HYPERLINK("CSG22.html#group20B22", "20B²²"), =HYPERLINK("CSG13.html#group30B13", "30B¹³"), =HYPERLINK("CSG22.html#group40C22", "40C²²"), =HYPERLINK("CSG4.html#group10A4", "10A⁴"), =HYPERLINK("CSG7.html#group30A7", "30A⁷"), =HYPERLINK("CSG22.html#group90A22", "90A²²"), =HYPERLINK("CSG7.html#group10A7", "10A⁷"), =HYPERLINK("CSG19.html#group30A19", "30A¹⁹"), =HYPERLINK("CSG19.html#group20C19", "20C¹⁹"), =HYPERLINK("CSG18.html#group70A18", "70A¹⁸"), =HYPERLINK("CSG15.html#group30C15", "30C¹⁵"), =HYPERLINK("CSG8.html#group20B8", "20B⁸"), =HYPERLINK("CSG22.html#group20A22", "20A²²"), =HYPERLINK("CSG21.html#group50E21", "50E²¹"), =HYPERLINK("CSG13.html#group30G13", "30G¹³"), =HYPERLINK("CSG18.html#group40D18", "40D¹⁸"), =HYPERLINK("CSG22.html#group40L22", "40L²²"), =HYPERLINK("CSG3.html#group10B3", "10B³"), =HYPERLINK("CSG17.html#group70B17", "70B¹⁷")</f>
        <v/>
      </c>
    </row>
    <row r="292">
      <c r="A292" t="inlineStr">
        <is>
          <t>10B²</t>
        </is>
      </c>
      <c r="B292" t="inlineStr"/>
      <c r="C292" t="inlineStr">
        <is>
          <t>30</t>
        </is>
      </c>
      <c r="D292" t="inlineStr">
        <is>
          <t>1</t>
        </is>
      </c>
      <c r="E292" t="inlineStr">
        <is>
          <t>5</t>
        </is>
      </c>
      <c r="F292" t="inlineStr">
        <is>
          <t>0</t>
        </is>
      </c>
      <c r="G292" t="inlineStr">
        <is>
          <t>0</t>
        </is>
      </c>
      <c r="H292" t="inlineStr">
        <is>
          <t>10³</t>
        </is>
      </c>
      <c r="I292" t="n">
        <v>3</v>
      </c>
      <c r="J292" t="inlineStr">
        <is>
          <t>1¹, 4¹</t>
        </is>
      </c>
      <c r="K292">
        <f>HYPERLINK("CSG0.html#group2C0", "2C⁰"), =HYPERLINK("CSG0.html#group10A0", "10A⁰"), =HYPERLINK("CSG1.html#group10B1", "10B¹")</f>
        <v/>
      </c>
      <c r="L292">
        <f>HYPERLINK("CSG4.html#group10A4", "10A⁴"), =HYPERLINK("CSG4.html#group20A4", "20A⁴"), =HYPERLINK("CSG5.html#group10B5", "10B⁵"), =HYPERLINK("CSG7.html#group30B7", "30B⁷"), =HYPERLINK("CSG7.html#group30E7", "30E⁷"), =HYPERLINK("CSG8.html#group30B8", "30B⁸"), =HYPERLINK("CSG17.html#group70C17", "70C¹⁷"), =HYPERLINK("CSG18.html#group70C18", "70C¹⁸")</f>
        <v/>
      </c>
      <c r="M292">
        <f>HYPERLINK("CSG0.html#group2A0", "2A⁰"), =HYPERLINK("CSG0.html#group5A0", "5A⁰"), =HYPERLINK("CSG0.html#group10A0", "10A⁰"), =HYPERLINK("CSG1.html#group10B1", "10B¹"), =HYPERLINK("CSG0.html#group2B0", "2B⁰"), =HYPERLINK("CSG0.html#group1A0", "1A⁰"), =HYPERLINK("CSG0.html#group2C0", "2C⁰")</f>
        <v/>
      </c>
      <c r="N292">
        <f>HYPERLINK("CSG22.html#group30A22", "30A²²"), =HYPERLINK("CSG13.html#group10A13", "10A¹³"), =HYPERLINK("CSG14.html#group60E14", "60E¹⁴"), =HYPERLINK("CSG14.html#group60A14", "60A¹⁴"), =HYPERLINK("CSG11.html#group20B11", "20B¹¹"), =HYPERLINK("CSG22.html#group20C22", "20C²²"), =HYPERLINK("CSG22.html#group40A22", "40A²²"), =HYPERLINK("CSG16.html#group40B16", "40B¹⁶"), =HYPERLINK("CSG7.html#group30B7", "30B⁷"), =HYPERLINK("CSG8.html#group40A8", "40A⁸"), =HYPERLINK("CSG16.html#group60A16", "60A¹⁶"), =HYPERLINK("CSG13.html#group30C13", "30C¹³"), =HYPERLINK("CSG5.html#group10B5", "10B⁵"), =HYPERLINK("CSG16.html#group80A16", "80A¹⁶"), =HYPERLINK("CSG13.html#group20A13", "20A¹³"), =HYPERLINK("CSG10.html#group20A10", "20A¹⁰"), =HYPERLINK("CSG9.html#group40A9", "40A⁹"), =HYPERLINK("CSG18.html#group80A18", "80A¹⁸"), =HYPERLINK("CSG19.html#group20D19", "20D¹⁹"), =HYPERLINK("CSG17.html#group60B17", "60B¹⁷"), =HYPERLINK("CSG18.html#group70C18", "70C¹⁸"), =HYPERLINK("CSG10.html#group20D10", "20D¹⁰"), =HYPERLINK("CSG22.html#group40E22", "40E²²"), =HYPERLINK("CSG17.html#group40G17", "40G¹⁷"), =HYPERLINK("CSG22.html#group20B22", "20B²²"), =HYPERLINK("CSG22.html#group90B22", "90B²²"), =HYPERLINK("CSG22.html#group40C22", "40C²²"), =HYPERLINK("CSG18.html#group60B18", "60B¹⁸"), =HYPERLINK("CSG4.html#group10A4", "10A⁴"), =HYPERLINK("CSG7.html#group10A7", "10A⁷"), =HYPERLINK("CSG19.html#group30A19", "30A¹⁹"), =HYPERLINK("CSG19.html#group20C19", "20C¹⁹"), =HYPERLINK("CSG19.html#group80A19", "80A¹⁹"), =HYPERLINK("CSG8.html#group40D8", "40D⁸"), =HYPERLINK("CSG17.html#group70C17", "70C¹⁷"), =HYPERLINK("CSG19.html#group80F19", "80F¹⁹"), =HYPERLINK("CSG22.html#group20A22", "20A²²"), =HYPERLINK("CSG8.html#group30B8", "30B⁸"), =HYPERLINK("CSG16.html#group40A16", "40A¹⁶"), =HYPERLINK("CSG7.html#group30E7", "30E⁷"), =HYPERLINK("CSG22.html#group40L22", "40L²²"), =HYPERLINK("CSG4.html#group20A4", "20A⁴"), =HYPERLINK("CSG14.html#group60F14", "60F¹⁴"), =HYPERLINK("CSG8.html#group20A8", "20A⁸"), =HYPERLINK("CSG17.html#group40A17", "40A¹⁷"), =HYPERLINK("CSG15.html#group20C15", "20C¹⁵"), =HYPERLINK("CSG19.html#group80B19", "80B¹⁹"), =HYPERLINK("CSG17.html#group80A17", "80A¹⁷"), =HYPERLINK("CSG18.html#group40A18", "40A¹⁸")</f>
        <v/>
      </c>
    </row>
    <row r="293">
      <c r="A293" t="inlineStr">
        <is>
          <t>10C²</t>
        </is>
      </c>
      <c r="B293" t="inlineStr"/>
      <c r="C293" t="inlineStr">
        <is>
          <t>60</t>
        </is>
      </c>
      <c r="D293" t="inlineStr">
        <is>
          <t>1</t>
        </is>
      </c>
      <c r="E293" t="inlineStr">
        <is>
          <t>15</t>
        </is>
      </c>
      <c r="F293" t="inlineStr">
        <is>
          <t>4</t>
        </is>
      </c>
      <c r="G293" t="inlineStr">
        <is>
          <t>0</t>
        </is>
      </c>
      <c r="H293" t="inlineStr">
        <is>
          <t>10⁶</t>
        </is>
      </c>
      <c r="I293" t="n">
        <v>6</v>
      </c>
      <c r="J293" t="inlineStr">
        <is>
          <t>1¹, 2¹, 4³</t>
        </is>
      </c>
      <c r="K293">
        <f>HYPERLINK("CSG0.html#group5G0", "5G⁰"), =HYPERLINK("CSG0.html#group10B0", "10B⁰"), =HYPERLINK("CSG0.html#group10D0", "10D⁰"), =HYPERLINK("CSG1.html#group10E1", "10E¹")</f>
        <v/>
      </c>
      <c r="L293">
        <f>HYPERLINK("CSG5.html#group10A5", "10A⁵"), =HYPERLINK("CSG6.html#group10A6", "10A⁶"), =HYPERLINK("CSG7.html#group20E7", "20E⁷"), =HYPERLINK("CSG10.html#group30B10", "30B¹⁰"), =HYPERLINK("CSG13.html#group20B13", "20B¹³"), =HYPERLINK("CSG14.html#group50A14", "50A¹⁴"), =HYPERLINK("CSG15.html#group30B15", "30B¹⁵"), =HYPERLINK("CSG18.html#group50A18", "50A¹⁸"), =HYPERLINK("CSG18.html#group50B18", "50B¹⁸"), =HYPERLINK("CSG20.html#group50A20", "50A²⁰"), =HYPERLINK("CSG22.html#group50B22", "50B²²")</f>
        <v/>
      </c>
      <c r="M293">
        <f>HYPERLINK("CSG0.html#group5A0", "5A⁰"), =HYPERLINK("CSG0.html#group10D0", "10D⁰"), =HYPERLINK("CSG0.html#group5C0", "5C⁰"), =HYPERLINK("CSG0.html#group5B0", "5B⁰"), =HYPERLINK("CSG0.html#group5E0", "5E⁰"), =HYPERLINK("CSG1.html#group10E1", "10E¹"), =HYPERLINK("CSG0.html#group1A0", "1A⁰"), =HYPERLINK("CSG0.html#group5G0", "5G⁰"), =HYPERLINK("CSG0.html#group10B0", "10B⁰")</f>
        <v/>
      </c>
      <c r="N293">
        <f>HYPERLINK("CSG17.html#group20B17", "20B¹⁷"), =HYPERLINK("CSG13.html#group10A13", "10A¹³"), =HYPERLINK("CSG5.html#group10A5", "10A⁵"), =HYPERLINK("CSG10.html#group30B10", "30B¹⁰"), =HYPERLINK("CSG21.html#group30B21", "30B²¹"), =HYPERLINK("CSG14.html#group50A14", "50A¹⁴"), =HYPERLINK("CSG15.html#group20I15", "20I¹⁵"), =HYPERLINK("CSG21.html#group20A21", "20A²¹"), =HYPERLINK("CSG18.html#group50B18", "50B¹⁸"), =HYPERLINK("CSG19.html#group20B19", "20B¹⁹"), =HYPERLINK("CSG13.html#group20B13", "20B¹³"), =HYPERLINK("CSG7.html#group20E7", "20E⁷"), =HYPERLINK("CSG18.html#group50A18", "50A¹⁸"), =HYPERLINK("CSG20.html#group50A20", "50A²⁰"), =HYPERLINK("CSG15.html#group30B15", "30B¹⁵"), =HYPERLINK("CSG15.html#group20A15", "20A¹⁵"), =HYPERLINK("CSG23.html#group30C23", "30C²³"), =HYPERLINK("CSG6.html#group10A6", "10A⁶"), =HYPERLINK("CSG22.html#group50B22", "50B²²")</f>
        <v/>
      </c>
    </row>
    <row r="294">
      <c r="A294" t="inlineStr">
        <is>
          <t>10D²</t>
        </is>
      </c>
      <c r="B294" t="inlineStr"/>
      <c r="C294" t="inlineStr">
        <is>
          <t>60</t>
        </is>
      </c>
      <c r="D294" t="inlineStr">
        <is>
          <t>1</t>
        </is>
      </c>
      <c r="E294" t="inlineStr">
        <is>
          <t>30</t>
        </is>
      </c>
      <c r="F294" t="inlineStr">
        <is>
          <t>0</t>
        </is>
      </c>
      <c r="G294" t="inlineStr">
        <is>
          <t>0</t>
        </is>
      </c>
      <c r="H294" t="inlineStr">
        <is>
          <t>5⁴, 10⁴</t>
        </is>
      </c>
      <c r="I294" t="n">
        <v>8</v>
      </c>
      <c r="J294" t="inlineStr">
        <is>
          <t>2³, 4⁶</t>
        </is>
      </c>
      <c r="K294">
        <f>HYPERLINK("CSG0.html#group5F0", "5F⁰"), =HYPERLINK("CSG1.html#group10B1", "10B¹"), =HYPERLINK("CSG1.html#group10F1", "10F¹")</f>
        <v/>
      </c>
      <c r="L294">
        <f>HYPERLINK("CSG4.html#group10B4", "10B⁴"), =HYPERLINK("CSG5.html#group10B5", "10B⁵"), =HYPERLINK("CSG5.html#group20E5", "20E⁵"), =HYPERLINK("CSG7.html#group20D7", "20D⁷"), =HYPERLINK("CSG12.html#group30B12", "30B¹²"), =HYPERLINK("CSG12.html#group30F12", "30F¹²"), =HYPERLINK("CSG13.html#group30N13", "30N¹³"), =HYPERLINK("CSG22.html#group50A22", "50A²²")</f>
        <v/>
      </c>
      <c r="M294">
        <f>HYPERLINK("CSG0.html#group5A0", "5A⁰"), =HYPERLINK("CSG1.html#group10B1", "10B¹"), =HYPERLINK("CSG0.html#group5C0", "5C⁰"), =HYPERLINK("CSG0.html#group5F0", "5F⁰"), =HYPERLINK("CSG0.html#group2B0", "2B⁰"), =HYPERLINK("CSG0.html#group1A0", "1A⁰"), =HYPERLINK("CSG1.html#group10F1", "10F¹")</f>
        <v/>
      </c>
      <c r="N294">
        <f>HYPERLINK("CSG7.html#group20D7", "20D⁷"), =HYPERLINK("CSG19.html#group20A19", "20A¹⁹"), =HYPERLINK("CSG13.html#group10A13", "10A¹³"), =HYPERLINK("CSG17.html#group40E17", "40E¹⁷"), =HYPERLINK("CSG5.html#group20E5", "20E⁵"), =HYPERLINK("CSG11.html#group20B11", "20B¹¹"), =HYPERLINK("CSG12.html#group30F12", "30F¹²"), =HYPERLINK("CSG22.html#group50A22", "50A²²"), =HYPERLINK("CSG11.html#group20C11", "20C¹¹"), =HYPERLINK("CSG12.html#group30B12", "30B¹²"), =HYPERLINK("CSG17.html#group40F17", "40F¹⁷"), =HYPERLINK("CSG15.html#group20G15", "20G¹⁵"), =HYPERLINK("CSG23.html#group30F23", "30F²³"), =HYPERLINK("CSG11.html#group40J11", "40J¹¹"), =HYPERLINK("CSG5.html#group10B5", "10B⁵"), =HYPERLINK("CSG13.html#group20A13", "20A¹³"), =HYPERLINK("CSG13.html#group20G13", "20G¹³"), =HYPERLINK("CSG15.html#group40D15", "40D¹⁵"), =HYPERLINK("CSG13.html#group40G13", "40G¹³"), =HYPERLINK("CSG13.html#group30N13", "30N¹³"), =HYPERLINK("CSG4.html#group10B4", "10B⁴"), =HYPERLINK("CSG15.html#group40A15", "40A¹⁵"), =HYPERLINK("CSG15.html#group20C15", "20C¹⁵")</f>
        <v/>
      </c>
    </row>
    <row r="295">
      <c r="A295" t="inlineStr">
        <is>
          <t>10E²</t>
        </is>
      </c>
      <c r="B295" t="inlineStr"/>
      <c r="C295" t="inlineStr">
        <is>
          <t>60</t>
        </is>
      </c>
      <c r="D295" t="inlineStr">
        <is>
          <t>1</t>
        </is>
      </c>
      <c r="E295" t="inlineStr">
        <is>
          <t>30</t>
        </is>
      </c>
      <c r="F295" t="inlineStr">
        <is>
          <t>4</t>
        </is>
      </c>
      <c r="G295" t="inlineStr">
        <is>
          <t>0</t>
        </is>
      </c>
      <c r="H295" t="inlineStr">
        <is>
          <t>10⁶</t>
        </is>
      </c>
      <c r="I295" t="n">
        <v>6</v>
      </c>
      <c r="J295" t="inlineStr">
        <is>
          <t>2³, 4⁶</t>
        </is>
      </c>
      <c r="K295">
        <f>HYPERLINK("CSG0.html#group10D0", "10D⁰"), =HYPERLINK("CSG1.html#group10F1", "10F¹")</f>
        <v/>
      </c>
      <c r="L295">
        <f>HYPERLINK("CSG5.html#group10B5", "10B⁵"), =HYPERLINK("CSG5.html#group20F5", "20F⁵"), =HYPERLINK("CSG5.html#group20G5", "20G⁵"), =HYPERLINK("CSG6.html#group10A6", "10A⁶"), =HYPERLINK("CSG7.html#group20A7", "20A⁷"), =HYPERLINK("CSG7.html#group20I7", "20I⁷"), =HYPERLINK("CSG10.html#group30C10", "30C¹⁰"), =HYPERLINK("CSG15.html#group30E15", "30E¹⁵"), =HYPERLINK("CSG22.html#group50C22", "50C²²")</f>
        <v/>
      </c>
      <c r="M295">
        <f>HYPERLINK("CSG0.html#group1A0", "1A⁰"), =HYPERLINK("CSG0.html#group2B0", "2B⁰"), =HYPERLINK("CSG0.html#group5C0", "5C⁰"), =HYPERLINK("CSG0.html#group10D0", "10D⁰"), =HYPERLINK("CSG1.html#group10F1", "10F¹")</f>
        <v/>
      </c>
      <c r="N295">
        <f>HYPERLINK("CSG17.html#group20B17", "20B¹⁷"), =HYPERLINK("CSG15.html#group20H15", "20H¹⁵"), =HYPERLINK("CSG13.html#group10A13", "10A¹³"), =HYPERLINK("CSG11.html#group20B11", "20B¹¹"), =HYPERLINK("CSG15.html#group40E15", "40E¹⁵"), =HYPERLINK("CSG17.html#group40I17", "40I¹⁷"), =HYPERLINK("CSG10.html#group30C10", "30C¹⁰"), =HYPERLINK("CSG5.html#group10B5", "10B⁵"), =HYPERLINK("CSG13.html#group20A13", "20A¹³"), =HYPERLINK("CSG5.html#group20F5", "20F⁵"), =HYPERLINK("CSG5.html#group20G5", "20G⁵"), =HYPERLINK("CSG11.html#group20D11", "20D¹¹"), =HYPERLINK("CSG23.html#group60M23", "60M²³"), =HYPERLINK("CSG13.html#group40I13", "40I¹³"), =HYPERLINK("CSG23.html#group60K23", "60K²³"), =HYPERLINK("CSG6.html#group10A6", "10A⁶"), =HYPERLINK("CSG13.html#group20C13", "20C¹³"), =HYPERLINK("CSG15.html#group20I15", "20I¹⁵"), =HYPERLINK("CSG7.html#group20I7", "20I⁷"), =HYPERLINK("CSG13.html#group40H13", "40H¹³"), =HYPERLINK("CSG17.html#group40B17", "40B¹⁷"), =HYPERLINK("CSG21.html#group20A21", "20A²¹"), =HYPERLINK("CSG21.html#group30D21", "30D²¹"), =HYPERLINK("CSG22.html#group50C22", "50C²²"), =HYPERLINK("CSG23.html#group30H23", "30H²³"), =HYPERLINK("CSG19.html#group20B19", "20B¹⁹"), =HYPERLINK("CSG13.html#group20D13", "20D¹³"), =HYPERLINK("CSG7.html#group20A7", "20A⁷"), =HYPERLINK("CSG15.html#group20C15", "20C¹⁵"), =HYPERLINK("CSG15.html#group40J15", "40J¹⁵"), =HYPERLINK("CSG23.html#group60F23", "60F²³"), =HYPERLINK("CSG13.html#group40F13", "40F¹³"), =HYPERLINK("CSG15.html#group30E15", "30E¹⁵"), =HYPERLINK("CSG21.html#group60U21", "60U²¹")</f>
        <v/>
      </c>
    </row>
    <row r="296">
      <c r="A296" t="inlineStr">
        <is>
          <t>10F²</t>
        </is>
      </c>
      <c r="B296" t="inlineStr"/>
      <c r="C296" t="inlineStr">
        <is>
          <t>90</t>
        </is>
      </c>
      <c r="D296" t="inlineStr">
        <is>
          <t>1</t>
        </is>
      </c>
      <c r="E296" t="inlineStr">
        <is>
          <t>45</t>
        </is>
      </c>
      <c r="F296" t="inlineStr">
        <is>
          <t>2</t>
        </is>
      </c>
      <c r="G296" t="inlineStr">
        <is>
          <t>0</t>
        </is>
      </c>
      <c r="H296" t="inlineStr">
        <is>
          <t>5⁶, 10⁶</t>
        </is>
      </c>
      <c r="I296" t="n">
        <v>12</v>
      </c>
      <c r="J296" t="inlineStr">
        <is>
          <t>1³, 2³, 4⁹</t>
        </is>
      </c>
      <c r="K296">
        <f>HYPERLINK("CSG0.html#group5G0", "5G⁰"), =HYPERLINK("CSG0.html#group10C0", "10C⁰"), =HYPERLINK("CSG1.html#group10F1", "10F¹"), =HYPERLINK("CSG1.html#group10I1", "10I¹")</f>
        <v/>
      </c>
      <c r="L296">
        <f>HYPERLINK("CSG4.html#group10B4", "10B⁴"), =HYPERLINK("CSG6.html#group10A6", "10A⁶"), =HYPERLINK("CSG6.html#group20D6", "20D⁶"), =HYPERLINK("CSG7.html#group10A7", "10A⁷"), =HYPERLINK("CSG7.html#group20P7", "20P⁷"), =HYPERLINK("CSG9.html#group20B9", "20B⁹"), =HYPERLINK("CSG10.html#group20E10", "20E¹⁰"), =HYPERLINK("CSG16.html#group30C16", "30C¹⁶"), =HYPERLINK("CSG19.html#group30B19", "30B¹⁹"), =HYPERLINK("CSG22.html#group50D22", "50D²²"), =HYPERLINK("CSG24.html#group50A24", "50A²⁴"), =HYPERLINK("CSG24.html#group50B24", "50B²⁴")</f>
        <v/>
      </c>
      <c r="M296">
        <f>HYPERLINK("CSG0.html#group5A0", "5A⁰"), =HYPERLINK("CSG1.html#group10I1", "10I¹"), =HYPERLINK("CSG1.html#group10B1", "10B¹"), =HYPERLINK("CSG0.html#group5C0", "5C⁰"), =HYPERLINK("CSG0.html#group5B0", "5B⁰"), =HYPERLINK("CSG0.html#group10C0", "10C⁰"), =HYPERLINK("CSG0.html#group5E0", "5E⁰"), =HYPERLINK("CSG0.html#group2B0", "2B⁰"), =HYPERLINK("CSG0.html#group1A0", "1A⁰"), =HYPERLINK("CSG0.html#group5G0", "5G⁰"), =HYPERLINK("CSG1.html#group10F1", "10F¹")</f>
        <v/>
      </c>
      <c r="N296">
        <f>HYPERLINK("CSG17.html#group20B17", "20B¹⁷"), =HYPERLINK("CSG19.html#group20A19", "20A¹⁹"), =HYPERLINK("CSG16.html#group30C16", "30C¹⁶"), =HYPERLINK("CSG13.html#group10A13", "10A¹³"), =HYPERLINK("CSG21.html#group20B21", "20B²¹"), =HYPERLINK("CSG24.html#group50A24", "50A²⁴"), =HYPERLINK("CSG21.html#group20C21", "20C²¹"), =HYPERLINK("CSG7.html#group10A7", "10A⁷"), =HYPERLINK("CSG10.html#group20E10", "20E¹⁰"), =HYPERLINK("CSG24.html#group50B24", "50B²⁴"), =HYPERLINK("CSG19.html#group20C19", "20C¹⁹"), =HYPERLINK("CSG9.html#group20B9", "20B⁹"), =HYPERLINK("CSG15.html#group20I15", "20I¹⁵"), =HYPERLINK("CSG21.html#group40I21", "40I²¹"), =HYPERLINK("CSG21.html#group40H21", "40H²¹"), =HYPERLINK("CSG22.html#group50D22", "50D²²"), =HYPERLINK("CSG15.html#group40AJ15", "40AJ¹⁵"), =HYPERLINK("CSG21.html#group20A21", "20A²¹"), =HYPERLINK("CSG19.html#group30B19", "30B¹⁹"), =HYPERLINK("CSG19.html#group40M19", "40M¹⁹"), =HYPERLINK("CSG6.html#group20D6", "20D⁶"), =HYPERLINK("CSG19.html#group20B19", "20B¹⁹"), =HYPERLINK("CSG13.html#group20G13", "20G¹³"), =HYPERLINK("CSG19.html#group20D19", "20D¹⁹"), =HYPERLINK("CSG19.html#group40L19", "40L¹⁹"), =HYPERLINK("CSG21.html#group40G21", "40G²¹"), =HYPERLINK("CSG4.html#group10B4", "10B⁴"), =HYPERLINK("CSG7.html#group20P7", "20P⁷"), =HYPERLINK("CSG23.html#group40C23", "40C²³"), =HYPERLINK("CSG23.html#group40D23", "40D²³"), =HYPERLINK("CSG6.html#group10A6", "10A⁶")</f>
        <v/>
      </c>
    </row>
    <row r="297">
      <c r="A297" t="inlineStr">
        <is>
          <t>11A²</t>
        </is>
      </c>
      <c r="B297" t="inlineStr"/>
      <c r="C297" t="inlineStr">
        <is>
          <t>66</t>
        </is>
      </c>
      <c r="D297" t="inlineStr">
        <is>
          <t>1</t>
        </is>
      </c>
      <c r="E297" t="inlineStr">
        <is>
          <t>66</t>
        </is>
      </c>
      <c r="F297" t="inlineStr">
        <is>
          <t>6</t>
        </is>
      </c>
      <c r="G297" t="inlineStr">
        <is>
          <t>0</t>
        </is>
      </c>
      <c r="H297" t="inlineStr">
        <is>
          <t>11⁶</t>
        </is>
      </c>
      <c r="I297" t="n">
        <v>6</v>
      </c>
      <c r="J297" t="inlineStr">
        <is>
          <t>1¹, 5¹, 10⁶</t>
        </is>
      </c>
      <c r="K297">
        <f>HYPERLINK("CSG0.html#group11A0", "11A⁰")</f>
        <v/>
      </c>
      <c r="L297">
        <f>HYPERLINK("CSG6.html#group11A6", "11A⁶"), =HYPERLINK("CSG6.html#group22B6", "22B⁶"), =HYPERLINK("CSG9.html#group22A9", "22A⁹"), =HYPERLINK("CSG10.html#group22A10", "22A¹⁰"), =HYPERLINK("CSG10.html#group33C10", "33C¹⁰"), =HYPERLINK("CSG12.html#group11A12", "11A¹²"), =HYPERLINK("CSG17.html#group33A17", "33A¹⁷"), =HYPERLINK("CSG17.html#group44C17", "44C¹⁷"), =HYPERLINK("CSG24.html#group55A24", "55A²⁴")</f>
        <v/>
      </c>
      <c r="M297">
        <f>HYPERLINK("CSG0.html#group11A0", "11A⁰"), =HYPERLINK("CSG0.html#group1A0", "1A⁰")</f>
        <v/>
      </c>
      <c r="N297">
        <f>HYPERLINK("CSG10.html#group33C10", "33C¹⁰"), =HYPERLINK("CSG22.html#group66E22", "66E²²"), =HYPERLINK("CSG22.html#group44C22", "44C²²"), =HYPERLINK("CSG22.html#group22B22", "22B²²"), =HYPERLINK("CSG24.html#group55A24", "55A²⁴"), =HYPERLINK("CSG17.html#group44B17", "44B¹⁷"), =HYPERLINK("CSG22.html#group22A22", "22A²²"), =HYPERLINK("CSG6.html#group11A6", "11A⁶"), =HYPERLINK("CSG22.html#group33C22", "33C²²"), =HYPERLINK("CSG9.html#group22A9", "22A⁹"), =HYPERLINK("CSG17.html#group44C17", "44C¹⁷"), =HYPERLINK("CSG17.html#group33A17", "33A¹⁷"), =HYPERLINK("CSG17.html#group44A17", "44A¹⁷"), =HYPERLINK("CSG17.html#group22A17", "22A¹⁷"), =HYPERLINK("CSG12.html#group11A12", "11A¹²"), =HYPERLINK("CSG6.html#group22B6", "22B⁶"), =HYPERLINK("CSG10.html#group22A10", "22A¹⁰")</f>
        <v/>
      </c>
    </row>
    <row r="298">
      <c r="A298" t="inlineStr">
        <is>
          <t>12A²</t>
        </is>
      </c>
      <c r="B298" t="inlineStr"/>
      <c r="C298" t="inlineStr">
        <is>
          <t>24</t>
        </is>
      </c>
      <c r="D298" t="inlineStr">
        <is>
          <t>1</t>
        </is>
      </c>
      <c r="E298" t="inlineStr">
        <is>
          <t>4</t>
        </is>
      </c>
      <c r="F298" t="inlineStr">
        <is>
          <t>0</t>
        </is>
      </c>
      <c r="G298" t="inlineStr">
        <is>
          <t>0</t>
        </is>
      </c>
      <c r="H298" t="inlineStr">
        <is>
          <t>12²</t>
        </is>
      </c>
      <c r="I298" t="n">
        <v>2</v>
      </c>
      <c r="J298" t="inlineStr">
        <is>
          <t>2²</t>
        </is>
      </c>
      <c r="K298">
        <f>HYPERLINK("CSG0.html#group4D0", "4D⁰"), =HYPERLINK("CSG0.html#group12A0", "12A⁰"), =HYPERLINK("CSG1.html#group6A1", "6A¹")</f>
        <v/>
      </c>
      <c r="L298">
        <f>HYPERLINK("CSG3.html#group12C3", "12C³"), =HYPERLINK("CSG4.html#group12A4", "12A⁴"), =HYPERLINK("CSG4.html#group24A4", "24A⁴"), =HYPERLINK("CSG4.html#group24B4", "24B⁴"), =HYPERLINK("CSG6.html#group36A6", "36A⁶"), =HYPERLINK("CSG7.html#group24C7", "24C⁷"), =HYPERLINK("CSG10.html#group60A10", "60A¹⁰"), =HYPERLINK("CSG11.html#group60E11", "60E¹¹"), =HYPERLINK("CSG14.html#group84A14", "84A¹⁴"), =HYPERLINK("CSG15.html#group84C15", "84C¹⁵"), =HYPERLINK("CSG19.html#group60E19", "60E¹⁹"), =HYPERLINK("CSG22.html#group132A22", "132A²²"), =HYPERLINK("CSG23.html#group132C23", "132C²³")</f>
        <v/>
      </c>
      <c r="M298">
        <f>HYPERLINK("CSG0.html#group2A0", "2A⁰"), =HYPERLINK("CSG0.html#group12A0", "12A⁰"), =HYPERLINK("CSG0.html#group4A0", "4A⁰"), =HYPERLINK("CSG0.html#group4D0", "4D⁰"), =HYPERLINK("CSG1.html#group6A1", "6A¹"), =HYPERLINK("CSG0.html#group3A0", "3A⁰"), =HYPERLINK("CSG0.html#group1A0", "1A⁰")</f>
        <v/>
      </c>
      <c r="N298">
        <f>HYPERLINK("CSG11.html#group60E11", "60E¹¹"), =HYPERLINK("CSG21.html#group36B21", "36B²¹"), =HYPERLINK("CSG13.html#group24E13", "24E¹³"), =HYPERLINK("CSG14.html#group84A14", "84A¹⁴"), =HYPERLINK("CSG21.html#group48L21", "48L²¹"), =HYPERLINK("CSG6.html#group36A6", "36A⁶"), =HYPERLINK("CSG5.html#group12A5", "12A⁵"), =HYPERLINK("CSG23.html#group120B23", "120B²³"), =HYPERLINK("CSG4.html#group12A4", "12A⁴"), =HYPERLINK("CSG22.html#group48A22", "48A²²"), =HYPERLINK("CSG15.html#group48A15", "48A¹⁵"), =HYPERLINK("CSG23.html#group72G23", "72G²³"), =HYPERLINK("CSG21.html#group72M21", "72M²¹"), =HYPERLINK("CSG21.html#group36A21", "36A²¹"), =HYPERLINK("CSG23.html#group72C23", "72C²³"), =HYPERLINK("CSG23.html#group120F23", "120F²³"), =HYPERLINK("CSG19.html#group24I19", "24I¹⁹"), =HYPERLINK("CSG11.html#group36D11", "36D¹¹"), =HYPERLINK("CSG21.html#group60M21", "60M²¹"), =HYPERLINK("CSG24.html#group144B24", "144B²⁴"), =HYPERLINK("CSG12.html#group72C12", "72C¹²"), =HYPERLINK("CSG21.html#group48F21", "48F²¹"), =HYPERLINK("CSG15.html#group24A15", "24A¹⁵"), =HYPERLINK("CSG19.html#group60G19", "60G¹⁹"), =HYPERLINK("CSG11.html#group36E11", "36E¹¹"), =HYPERLINK("CSG13.html#group24F13", "24F¹³"), =HYPERLINK("CSG17.html#group36C17", "36C¹⁷"), =HYPERLINK("CSG17.html#group24W17", "24W¹⁷"), =HYPERLINK("CSG20.html#group120A20", "120A²⁰"), =HYPERLINK("CSG19.html#group24A19", "24A¹⁹"), =HYPERLINK("CSG8.html#group24A8", "24A⁸"), =HYPERLINK("CSG23.html#group72A23", "72A²³"), =HYPERLINK("CSG17.html#group24G17", "24G¹⁷"), =HYPERLINK("CSG23.html#group120A23", "120A²³"), =HYPERLINK("CSG3.html#group12C3", "12C³"), =HYPERLINK("CSG18.html#group48B18", "48B¹⁸"), =HYPERLINK("CSG22.html#group48B22", "48B²²"), =HYPERLINK("CSG17.html#group24J17", "24J¹⁷"), =HYPERLINK("CSG19.html#group24H19", "24H¹⁹"), =HYPERLINK("CSG8.html#group48B8", "48B⁸"), =HYPERLINK("CSG23.html#group120E23", "120E²³"), =HYPERLINK("CSG16.html#group36D16", "36D¹⁶"), =HYPERLINK("CSG8.html#group24C8", "24C⁸"), =HYPERLINK("CSG17.html#group24R17", "24R¹⁷"), =HYPERLINK("CSG16.html#group36A16", "36A¹⁶"), =HYPERLINK("CSG12.html#group72A12", "72A¹²"), =HYPERLINK("CSG23.html#group72E23", "72E²³"), =HYPERLINK("CSG23.html#group72D23", "72D²³"), =HYPERLINK("CSG19.html#group24G19", "24G¹⁹"), =HYPERLINK("CSG21.html#group48Q21", "48Q²¹"), =HYPERLINK("CSG9.html#group24C9", "24C⁹"), =HYPERLINK("CSG18.html#group48G18", "48G¹⁸"), =HYPERLINK("CSG23.html#group132C23", "132C²³"), =HYPERLINK("CSG10.html#group24A10", "24A¹⁰"), =HYPERLINK("CSG19.html#group60E19", "60E¹⁹"), =HYPERLINK("CSG8.html#group48A8", "48A⁸"), =HYPERLINK("CSG13.html#group24D13", "24D¹³"), =HYPERLINK("CSG19.html#group24F19", "24F¹⁹"), =HYPERLINK("CSG17.html#group24F17", "24F¹⁷"), =HYPERLINK("CSG19.html#group24B19", "24B¹⁹"), =HYPERLINK("CSG19.html#group48A19", "48A¹⁹"), =HYPERLINK("CSG9.html#group12A9", "12A⁹"), =HYPERLINK("CSG24.html#group144A24", "144A²⁴"), =HYPERLINK("CSG15.html#group84C15", "84C¹⁵"), =HYPERLINK("CSG23.html#group72H23", "72H²³"), =HYPERLINK("CSG7.html#group24C7", "24C⁷"), =HYPERLINK("CSG10.html#group60A10", "60A¹⁰"), =HYPERLINK("CSG17.html#group36E17", "36E¹⁷"), =HYPERLINK("CSG13.html#group12A13", "12A¹³"), =HYPERLINK("CSG15.html#group48C15", "48C¹⁵"), =HYPERLINK("CSG15.html#group48B15", "48B¹⁵"), =HYPERLINK("CSG15.html#group24B15", "24B¹⁵"), =HYPERLINK("CSG19.html#group24E19", "24E¹⁹"), =HYPERLINK("CSG4.html#group24B4", "24B⁴"), =HYPERLINK("CSG7.html#group12B7", "12B⁷"), =HYPERLINK("CSG21.html#group60F21", "60F²¹"), =HYPERLINK("CSG10.html#group24B10", "24B¹⁰"), =HYPERLINK("CSG12.html#group72B12", "72B¹²"), =HYPERLINK("CSG9.html#group36J9", "36J⁹"), =HYPERLINK("CSG9.html#group24H9", "24H⁹"), =HYPERLINK("CSG19.html#group48G19", "48G¹⁹"), =HYPERLINK("CSG17.html#group24B17", "24B¹⁷"), =HYPERLINK("CSG20.html#group120B20", "120B²⁰"), =HYPERLINK("CSG11.html#group36F11", "36F¹¹"), =HYPERLINK("CSG13.html#group24B13", "24B¹³"), =HYPERLINK("CSG21.html#group72N21", "72N²¹"), =HYPERLINK("CSG4.html#group24A4", "24A⁴"), =HYPERLINK("CSG19.html#group24S19", "24S¹⁹"), =HYPERLINK("CSG13.html#group24A13", "24A¹³"), =HYPERLINK("CSG7.html#group24A7", "24A⁷"), =HYPERLINK("CSG23.html#group72B23", "72B²³"), =HYPERLINK("CSG19.html#group36H19", "36H¹⁹"), =HYPERLINK("CSG19.html#group48B19", "48B¹⁹"), =HYPERLINK("CSG19.html#group36E19", "36E¹⁹"), =HYPERLINK("CSG24.html#group144C24", "144C²⁴"), =HYPERLINK("CSG19.html#group24C19", "24C¹⁹"), =HYPERLINK("CSG21.html#group48E21", "48E²¹"), =HYPERLINK("CSG19.html#group48D19", "48D¹⁹"), =HYPERLINK("CSG22.html#group132A22", "132A²²"), =HYPERLINK("CSG21.html#group60O21", "60O²¹"), =HYPERLINK("CSG19.html#group24D19", "24D¹⁹"), =HYPERLINK("CSG7.html#group24B7", "24B⁷")</f>
        <v/>
      </c>
    </row>
    <row r="299">
      <c r="A299" t="inlineStr">
        <is>
          <t>12B²</t>
        </is>
      </c>
      <c r="B299" t="inlineStr"/>
      <c r="C299" t="inlineStr">
        <is>
          <t>36</t>
        </is>
      </c>
      <c r="D299" t="inlineStr">
        <is>
          <t>1</t>
        </is>
      </c>
      <c r="E299" t="inlineStr">
        <is>
          <t>3</t>
        </is>
      </c>
      <c r="F299" t="inlineStr">
        <is>
          <t>0</t>
        </is>
      </c>
      <c r="G299" t="inlineStr">
        <is>
          <t>0</t>
        </is>
      </c>
      <c r="H299" t="inlineStr">
        <is>
          <t>6², 12²</t>
        </is>
      </c>
      <c r="I299" t="n">
        <v>4</v>
      </c>
      <c r="J299" t="inlineStr">
        <is>
          <t>1³</t>
        </is>
      </c>
      <c r="K299">
        <f>HYPERLINK("CSG0.html#group4E0", "4E⁰"), =HYPERLINK("CSG0.html#group12C0", "12C⁰"), =HYPERLINK("CSG1.html#group6C1", "6C¹"), =HYPERLINK("CSG1.html#group12B1", "12B¹")</f>
        <v/>
      </c>
      <c r="L299">
        <f>HYPERLINK("CSG3.html#group12G3", "12G³"), =HYPERLINK("CSG4.html#group12A4", "12A⁴"), =HYPERLINK("CSG4.html#group12C4", "12C⁴"), =HYPERLINK("CSG4.html#group24D4", "24D⁴"), =HYPERLINK("CSG4.html#group24E4", "24E⁴"), =HYPERLINK("CSG4.html#group24G4", "24G⁴"), =HYPERLINK("CSG4.html#group24N4", "24N⁴"), =HYPERLINK("CSG5.html#group24A5", "24A⁵"), =HYPERLINK("CSG5.html#group24F5", "24F⁵"), =HYPERLINK("CSG8.html#group36B8", "36B⁸"), =HYPERLINK("CSG14.html#group60A14", "60A¹⁴"), =HYPERLINK("CSG15.html#group60D15", "60D¹⁵"), =HYPERLINK("CSG20.html#group84C20", "84C²⁰"), =HYPERLINK("CSG21.html#group84A21", "84A²¹")</f>
        <v/>
      </c>
      <c r="M299">
        <f>HYPERLINK("CSG0.html#group2A0", "2A⁰"), =HYPERLINK("CSG0.html#group12C0", "12C⁰"), =HYPERLINK("CSG0.html#group6A0", "6A⁰"), =HYPERLINK("CSG0.html#group4B0", "4B⁰"), =HYPERLINK("CSG1.html#group6C1", "6C¹"), =HYPERLINK("CSG0.html#group4C0", "4C⁰"), =HYPERLINK("CSG1.html#group12B1", "12B¹"), =HYPERLINK("CSG0.html#group4E0", "4E⁰"), =HYPERLINK("CSG0.html#group2B0", "2B⁰"), =HYPERLINK("CSG1.html#group6A1", "6A¹"), =HYPERLINK("CSG0.html#group3A0", "3A⁰"), =HYPERLINK("CSG0.html#group1A0", "1A⁰"), =HYPERLINK("CSG0.html#group2C0", "2C⁰"), =HYPERLINK("CSG0.html#group6D0", "6D⁰")</f>
        <v/>
      </c>
      <c r="N299">
        <f>HYPERLINK("CSG14.html#group60A14", "60A¹⁴"), =HYPERLINK("CSG23.html#group96O23", "96O²³"), =HYPERLINK("CSG21.html#group48I21", "48I²¹"), =HYPERLINK("CSG18.html#group96A18", "96A¹⁸"), =HYPERLINK("CSG5.html#group24A5", "24A⁵"), =HYPERLINK("CSG17.html#group24I17", "24I¹⁷"), =HYPERLINK("CSG3.html#group12G3", "12G³"), =HYPERLINK("CSG4.html#group12A4", "12A⁴"), =HYPERLINK("CSG21.html#group48AH21", "48AH²¹"), =HYPERLINK("CSG16.html#group36E16", "36E¹⁶"), =HYPERLINK("CSG17.html#group48U17", "48U¹⁷"), =HYPERLINK("CSG19.html#group48AX19", "48AX¹⁹"), =HYPERLINK("CSG21.html#group48O21", "48O²¹"), =HYPERLINK("CSG8.html#group24H8", "24H⁸"), =HYPERLINK("CSG8.html#group24J8", "24J⁸"), =HYPERLINK("CSG21.html#group48AN21", "48AN²¹"), =HYPERLINK("CSG22.html#group96A22", "96A²²"), =HYPERLINK("CSG21.html#group48J21", "48J²¹"), =HYPERLINK("CSG13.html#group24O13", "24O¹³"), =HYPERLINK("CSG21.html#group48BS21", "48BS²¹"), =HYPERLINK("CSG17.html#group24W17", "24W¹⁷"), =HYPERLINK("CSG11.html#group48I11", "48I¹¹"), =HYPERLINK("CSG15.html#group48F15", "48F¹⁵"), =HYPERLINK("CSG21.html#group48AK21", "48AK²¹"), =HYPERLINK("CSG8.html#group24A8", "24A⁸"), =HYPERLINK("CSG7.html#group24V7", "24V⁷"), =HYPERLINK("CSG22.html#group36F22", "36F²²"), =HYPERLINK("CSG9.html#group24S9", "24S⁹"), =HYPERLINK("CSG18.html#group48B18", "48B¹⁸"), =HYPERLINK("CSG23.html#group96E23", "96E²³"), =HYPERLINK("CSG19.html#group48I19", "48I¹⁹"), =HYPERLINK("CSG22.html#group48B22", "48B²²"), =HYPERLINK("CSG17.html#group24J17", "24J¹⁷"), =HYPERLINK("CSG21.html#group96E21", "96E²¹"), =HYPERLINK("CSG13.html#group24K13", "24K¹³"), =HYPERLINK("CSG8.html#group24G8", "24G⁸"), =HYPERLINK("CSG19.html#group48O19", "48O¹⁹"), =HYPERLINK("CSG15.html#group24I15", "24I¹⁵"), =HYPERLINK("CSG11.html#group48A11", "48A¹¹"), =HYPERLINK("CSG23.html#group96P23", "96P²³"), =HYPERLINK("CSG19.html#group48M19", "48M¹⁹"), =HYPERLINK("CSG19.html#group48F19", "48F¹⁹"), =HYPERLINK("CSG19.html#group48E19", "48E¹⁹"), =HYPERLINK("CSG9.html#group24I9", "24I⁹"), =HYPERLINK("CSG19.html#group96E19", "96E¹⁹"), =HYPERLINK("CSG21.html#group48AM21", "48AM²¹"), =HYPERLINK("CSG9.html#group24Z9", "24Z⁹"), =HYPERLINK("CSG8.html#group48C8", "48C⁸"), =HYPERLINK("CSG19.html#group24G19", "24G¹⁹"), =HYPERLINK("CSG21.html#group48Q21", "48Q²¹"), =HYPERLINK("CSG9.html#group24C9", "24C⁹"), =HYPERLINK("CSG18.html#group48G18", "48G¹⁸"), =HYPERLINK("CSG21.html#group48BQ21", "48BQ²¹"), =HYPERLINK("CSG10.html#group24A10", "24A¹⁰"), =HYPERLINK("CSG16.html#group72I16", "72I¹⁶"), =HYPERLINK("CSG19.html#group48R19", "48R¹⁹"), =HYPERLINK("CSG16.html#group72B16", "72B¹⁶"), =HYPERLINK("CSG21.html#group48S21", "48S²¹"), =HYPERLINK("CSG17.html#group72K17", "72K¹⁷"), =HYPERLINK("CSG17.html#group24F17", "24F¹⁷"), =HYPERLINK("CSG19.html#group24B19", "24B¹⁹"), =HYPERLINK("CSG19.html#group48A19", "48A¹⁹"), =HYPERLINK("CSG15.html#group24F15", "24F¹⁵"), =HYPERLINK("CSG19.html#group48P19", "48P¹⁹"), =HYPERLINK("CSG11.html#group48B11", "48B¹¹"), =HYPERLINK("CSG19.html#group48AW19", "48AW¹⁹"), =HYPERLINK("CSG21.html#group48AU21", "48AU²¹"), =HYPERLINK("CSG13.html#group12A13", "12A¹³"), =HYPERLINK("CSG11.html#group48D11", "48D¹¹"), =HYPERLINK("CSG4.html#group24N4", "24N⁴"), =HYPERLINK("CSG16.html#group72H16", "72H¹⁶"), =HYPERLINK("CSG15.html#group24D15", "24D¹⁵"), =HYPERLINK("CSG23.html#group96D23", "96D²³"), =HYPERLINK("CSG10.html#group24B10", "24B¹⁰"), =HYPERLINK("CSG23.html#group96G23", "96G²³"), =HYPERLINK("CSG21.html#group48BR21", "48BR²¹"), =HYPERLINK("CSG23.html#group96C23", "96C²³"), =HYPERLINK("CSG17.html#group48H17", "48H¹⁷"), =HYPERLINK("CSG23.html#group96J23", "96J²³"), =HYPERLINK("CSG19.html#group48G19", "48G¹⁹"), =HYPERLINK("CSG17.html#group24U17", "24U¹⁷"), =HYPERLINK("CSG21.html#group36E21", "36E²¹"), =HYPERLINK("CSG18.html#group96C18", "96C¹⁸"), =HYPERLINK("CSG17.html#group24H17", "24H¹⁷"), =HYPERLINK("CSG19.html#group24S19", "24S¹⁹"), =HYPERLINK("CSG7.html#group24W7", "24W⁷"), =HYPERLINK("CSG9.html#group48A9", "48A⁹"), =HYPERLINK("CSG21.html#group48N21", "48N²¹"), =HYPERLINK("CSG7.html#group12D7", "12D⁷"), =HYPERLINK("CSG16.html#group36B16", "36B¹⁶"), =HYPERLINK("CSG9.html#group24U9", "24U⁹"), =HYPERLINK("CSG19.html#group48B19", "48B¹⁹"), =HYPERLINK("CSG21.html#group48K21", "48K²¹"), =HYPERLINK("CSG19.html#group24C19", "24C¹⁹"), =HYPERLINK("CSG8.html#group48D8", "48D⁸"), =HYPERLINK("CSG15.html#group24E15", "24E¹⁵"), =HYPERLINK("CSG4.html#group12C4", "12C⁴"), =HYPERLINK("CSG21.html#group48AG21", "48AG²¹"), =HYPERLINK("CSG21.html#group48AP21", "48AP²¹"), =HYPERLINK("CSG19.html#group48N19", "48N¹⁹"), =HYPERLINK("CSG17.html#group24C17", "24C¹⁷"), =HYPERLINK("CSG19.html#group48H19", "48H¹⁹"), =HYPERLINK("CSG4.html#group24G4", "24G⁴"), =HYPERLINK("CSG18.html#group48D18", "48D¹⁸"), =HYPERLINK("CSG9.html#group24F9", "24F⁹"), =HYPERLINK("CSG21.html#group48AO21", "48AO²¹"), =HYPERLINK("CSG16.html#group72G16", "72G¹⁶"), =HYPERLINK("CSG11.html#group48M11", "48M¹¹"), =HYPERLINK("CSG15.html#group36K15", "36K¹⁵"), =HYPERLINK("CSG10.html#group48A10", "48A¹⁰"), =HYPERLINK("CSG19.html#group96H19", "96H¹⁹"), =HYPERLINK("CSG21.html#group96H21", "96H²¹"), =HYPERLINK("CSG21.html#group96A21", "96A²¹"), =HYPERLINK("CSG7.html#group24J7", "24J⁷"), =HYPERLINK("CSG21.html#group48L21", "48L²¹"), =HYPERLINK("CSG17.html#group24AJ17", "24AJ¹⁷"), =HYPERLINK("CSG21.html#group48R21", "48R²¹"), =HYPERLINK("CSG23.html#group96K23", "96K²³"), =HYPERLINK("CSG8.html#group24I8", "24I⁸"), =HYPERLINK("CSG5.html#group24F5", "24F⁵"), =HYPERLINK("CSG22.html#group48A22", "48A²²"), =HYPERLINK("CSG17.html#group24Z17", "24Z¹⁷"), =HYPERLINK("CSG17.html#group72C17", "72C¹⁷"), =HYPERLINK("CSG17.html#group48E17", "48E¹⁷"), =HYPERLINK("CSG17.html#group48J17", "48J¹⁷"), =HYPERLINK("CSG21.html#group48Y21", "48Y²¹"), =HYPERLINK("CSG15.html#group48E15", "48E¹⁵"), =HYPERLINK("CSG17.html#group24P17", "24P¹⁷"), =HYPERLINK("CSG19.html#group24I19", "24I¹⁹"), =HYPERLINK("CSG19.html#group24K19", "24K¹⁹"), =HYPERLINK("CSG13.html#group24J13", "24J¹³"), =HYPERLINK("CSG19.html#group96A19", "96A¹⁹"), =HYPERLINK("CSG21.html#group48F21", "48F²¹"), =HYPERLINK("CSG15.html#group24A15", "24A¹⁵"), =HYPERLINK("CSG19.html#group48AR19", "48AR¹⁹"), =HYPERLINK("CSG15.html#group48K15", "48K¹⁵"), =HYPERLINK("CSG21.html#group48Z21", "48Z²¹"), =HYPERLINK("CSG19.html#group24A19", "24A¹⁹"), =HYPERLINK("CSG9.html#group48E9", "48E⁹"), =HYPERLINK("CSG16.html#group72Q16", "72Q¹⁶"), =HYPERLINK("CSG19.html#group48K19", "48K¹⁹"), =HYPERLINK("CSG17.html#group48K17", "48K¹⁷"), =HYPERLINK("CSG17.html#group24G17", "24G¹⁷"), =HYPERLINK("CSG17.html#group24Q17", "24Q¹⁷"), =HYPERLINK("CSG18.html#group48I18", "48I¹⁸"), =HYPERLINK("CSG8.html#group36B8", "36B⁸"), =HYPERLINK("CSG19.html#group24H19", "24H¹⁹"), =HYPERLINK("CSG4.html#group24D4", "24D⁴"), =HYPERLINK("CSG21.html#group48AL21", "48AL²¹"), =HYPERLINK("CSG15.html#group24J15", "24J¹⁵"), =HYPERLINK("CSG9.html#group24D9", "24D⁹"), =HYPERLINK("CSG8.html#group24C8", "24C⁸"), =HYPERLINK("CSG21.html#group48AJ21", "48AJ²¹"), =HYPERLINK("CSG17.html#group24R17", "24R¹⁷"), =HYPERLINK("CSG16.html#group36A16", "36A¹⁶"), =HYPERLINK("CSG17.html#group24T17", "24T¹⁷"), =HYPERLINK("CSG17.html#group24Y17", "24Y¹⁷"), =HYPERLINK("CSG19.html#group48C19", "48C¹⁹"), =HYPERLINK("CSG23.html#group96B23", "96B²³"), =HYPERLINK("CSG19.html#group96B19", "96B¹⁹"), =HYPERLINK("CSG17.html#group48I17", "48I¹⁷"), =HYPERLINK("CSG23.html#group96I23", "96I²³"), =HYPERLINK("CSG5.html#group12B5", "12B⁵"), =HYPERLINK("CSG21.html#group96B21", "96B²¹"), =HYPERLINK("CSG17.html#group48D17", "48D¹⁷"), =HYPERLINK("CSG16.html#group72A16", "72A¹⁶"), =HYPERLINK("CSG15.html#group36D15", "36D¹⁵"), =HYPERLINK("CSG9.html#group24G9", "24G⁹"), =HYPERLINK("CSG19.html#group24F19", "24F¹⁹"), =HYPERLINK("CSG21.html#group48P21", "48P²¹"), =HYPERLINK("CSG17.html#group48BP17", "48BP¹⁷"), =HYPERLINK("CSG15.html#group24B15", "24B¹⁵"), =HYPERLINK("CSG19.html#group24E19", "24E¹⁹"), =HYPERLINK("CSG7.html#group12B7", "12B⁷"), =HYPERLINK("CSG21.html#group48AI21", "48AI²¹"), =HYPERLINK("CSG7.html#group24I7", "24I⁷"), =HYPERLINK("CSG11.html#group36N11", "36N¹¹"), =HYPERLINK("CSG9.html#group24J9", "24J⁹"), =HYPERLINK("CSG17.html#group24A17", "24A¹⁷"), =HYPERLINK("CSG11.html#group48F11", "48F¹¹"), =HYPERLINK("CSG9.html#group24H9", "24H⁹"), =HYPERLINK("CSG17.html#group24V17", "24V¹⁷"), =HYPERLINK("CSG17.html#group24B17", "24B¹⁷"), =HYPERLINK("CSG8.html#group24D8", "24D⁸"), =HYPERLINK("CSG21.html#group84A21", "84A²¹"), =HYPERLINK("CSG9.html#group12B9", "12B⁹"), =HYPERLINK("CSG8.html#group24B8", "24B⁸"), =HYPERLINK("CSG19.html#group48L19", "48L¹⁹"), =HYPERLINK("CSG13.html#group12B13", "12B¹³"), =HYPERLINK("CSG23.html#group96F23", "96F²³"), =HYPERLINK("CSG10.html#group48B10", "48B¹⁰"), =HYPERLINK("CSG17.html#group24S17", "24S¹⁷"), =HYPERLINK("CSG17.html#group72E17", "72E¹⁷"), =HYPERLINK("CSG22.html#group96C22", "96C²²"), =HYPERLINK("CSG20.html#group84C20", "84C²⁰"), =HYPERLINK("CSG15.html#group60D15", "60D¹⁵"), =HYPERLINK("CSG21.html#group48E21", "48E²¹"), =HYPERLINK("CSG9.html#group24T9", "24T⁹"), =HYPERLINK("CSG19.html#group48D19", "48D¹⁹"), =HYPERLINK("CSG4.html#group24E4", "24E⁴"), =HYPERLINK("CSG13.html#group24P13", "24P¹³"), =HYPERLINK("CSG23.html#group96L23", "96L²³"), =HYPERLINK("CSG19.html#group24D19", "24D¹⁹")</f>
        <v/>
      </c>
    </row>
    <row r="300">
      <c r="A300" t="inlineStr">
        <is>
          <t>12C²</t>
        </is>
      </c>
      <c r="B300" t="inlineStr"/>
      <c r="C300" t="inlineStr">
        <is>
          <t>36</t>
        </is>
      </c>
      <c r="D300" t="inlineStr">
        <is>
          <t>1</t>
        </is>
      </c>
      <c r="E300" t="inlineStr">
        <is>
          <t>9</t>
        </is>
      </c>
      <c r="F300" t="inlineStr">
        <is>
          <t>0</t>
        </is>
      </c>
      <c r="G300" t="inlineStr">
        <is>
          <t>0</t>
        </is>
      </c>
      <c r="H300" t="inlineStr">
        <is>
          <t>6², 12²</t>
        </is>
      </c>
      <c r="I300" t="n">
        <v>4</v>
      </c>
      <c r="J300" t="inlineStr">
        <is>
          <t>1³, 2³</t>
        </is>
      </c>
      <c r="K300">
        <f>HYPERLINK("CSG0.html#group6G0", "6G⁰"), =HYPERLINK("CSG1.html#group12C1", "12C¹")</f>
        <v/>
      </c>
      <c r="L300">
        <f>HYPERLINK("CSG3.html#group12D3", "12D³"), =HYPERLINK("CSG3.html#group12E3", "12E³"), =HYPERLINK("CSG3.html#group12F3", "12F³"), =HYPERLINK("CSG6.html#group36D6", "36D⁶"), =HYPERLINK("CSG8.html#group36A8", "36A⁸"), =HYPERLINK("CSG8.html#group36E8", "36E⁸"), =HYPERLINK("CSG14.html#group60C14", "60C¹⁴"), =HYPERLINK("CSG15.html#group60E15", "60E¹⁵"), =HYPERLINK("CSG20.html#group84D20", "84D²⁰"), =HYPERLINK("CSG21.html#group84B21", "84B²¹")</f>
        <v/>
      </c>
      <c r="M300">
        <f>HYPERLINK("CSG0.html#group6G0", "6G⁰"), =HYPERLINK("CSG0.html#group3C0", "3C⁰"), =HYPERLINK("CSG0.html#group2B0", "2B⁰"), =HYPERLINK("CSG1.html#group12C1", "12C¹"), =HYPERLINK("CSG0.html#group3A0", "3A⁰"), =HYPERLINK("CSG0.html#group1A0", "1A⁰"), =HYPERLINK("CSG0.html#group6D0", "6D⁰")</f>
        <v/>
      </c>
      <c r="N300">
        <f>HYPERLINK("CSG7.html#group24M7", "24M⁷"), =HYPERLINK("CSG15.html#group36I15", "36I¹⁵"), =HYPERLINK("CSG3.html#group12F3", "12F³"), =HYPERLINK("CSG21.html#group84B21", "84B²¹"), =HYPERLINK("CSG21.html#group48H21", "48H²¹"), =HYPERLINK("CSG17.html#group24I17", "24I¹⁷"), =HYPERLINK("CSG17.html#group48G17", "48G¹⁷"), =HYPERLINK("CSG15.html#group24C15", "24C¹⁵"), =HYPERLINK("CSG19.html#group48AA19", "48AA¹⁹"), =HYPERLINK("CSG17.html#group24L17", "24L¹⁷"), =HYPERLINK("CSG11.html#group36I11", "36I¹¹"), =HYPERLINK("CSG15.html#group24G15", "24G¹⁵"), =HYPERLINK("CSG15.html#group36B15", "36B¹⁵"), =HYPERLINK("CSG9.html#group24A9", "24A⁹"), =HYPERLINK("CSG21.html#group48A21", "48A²¹"), =HYPERLINK("CSG13.html#group24J13", "24J¹³"), =HYPERLINK("CSG19.html#group24K19", "24K¹⁹"), =HYPERLINK("CSG9.html#group24L9", "24L⁹"), =HYPERLINK("CSG13.html#group24O13", "24O¹³"), =HYPERLINK("CSG17.html#group24K17", "24K¹⁷"), =HYPERLINK("CSG15.html#group36J15", "36J¹⁵"), =HYPERLINK("CSG14.html#group60C14", "60C¹⁴"), =HYPERLINK("CSG15.html#group36C15", "36C¹⁵"), =HYPERLINK("CSG21.html#group48X21", "48X²¹"), =HYPERLINK("CSG9.html#group24B9", "24B⁹"), =HYPERLINK("CSG13.html#group36D13", "36D¹³"), =HYPERLINK("CSG13.html#group24K13", "24K¹³"), =HYPERLINK("CSG21.html#group48B21", "48B²¹"), =HYPERLINK("CSG15.html#group24J15", "24J¹⁵"), =HYPERLINK("CSG3.html#group12D3", "12D³"), =HYPERLINK("CSG20.html#group84D20", "84D²⁰"), =HYPERLINK("CSG21.html#group48D21", "48D²¹"), =HYPERLINK("CSG3.html#group12E3", "12E³"), =HYPERLINK("CSG15.html#group60E15", "60E¹⁵"), =HYPERLINK("CSG17.html#group24Y17", "24Y¹⁷"), =HYPERLINK("CSG8.html#group36E8", "36E⁸"), =HYPERLINK("CSG17.html#group48V17", "48V¹⁷"), =HYPERLINK("CSG5.html#group12B5", "12B⁵"), =HYPERLINK("CSG17.html#group24X17", "24X¹⁷"), =HYPERLINK("CSG7.html#group12E7", "12E⁷"), =HYPERLINK("CSG15.html#group36A15", "36A¹⁵"), =HYPERLINK("CSG15.html#group24H15", "24H¹⁵"), =HYPERLINK("CSG15.html#group24F15", "24F¹⁵"), =HYPERLINK("CSG19.html#group48J19", "48J¹⁹"), =HYPERLINK("CSG22.html#group36A22", "36A²²"), =HYPERLINK("CSG21.html#group48C21", "48C²¹"), =HYPERLINK("CSG11.html#group36M11", "36M¹¹"), =HYPERLINK("CSG13.html#group12A13", "12A¹³"), =HYPERLINK("CSG17.html#group24D17", "24D¹⁷"), =HYPERLINK("CSG21.html#group48G21", "48G²¹"), =HYPERLINK("CSG17.html#group24E17", "24E¹⁷"), =HYPERLINK("CSG17.html#group24A17", "24A¹⁷"), =HYPERLINK("CSG21.html#group36E21", "36E²¹"), =HYPERLINK("CSG15.html#group48G15", "48G¹⁵"), =HYPERLINK("CSG11.html#group36L11", "36L¹¹"), =HYPERLINK("CSG9.html#group12B9", "12B⁹"), =HYPERLINK("CSG7.html#group24N7", "24N⁷"), =HYPERLINK("CSG17.html#group24H17", "24H¹⁷"), =HYPERLINK("CSG13.html#group12B13", "12B¹³"), =HYPERLINK("CSG6.html#group36D6", "36D⁶"), =HYPERLINK("CSG19.html#group24J19", "24J¹⁹"), =HYPERLINK("CSG22.html#group36C22", "36C²²"), =HYPERLINK("CSG17.html#group48F17", "48F¹⁷"), =HYPERLINK("CSG8.html#group36A8", "36A⁸"), =HYPERLINK("CSG21.html#group48W21", "48W²¹"), =HYPERLINK("CSG7.html#group12D7", "12D⁷"), =HYPERLINK("CSG15.html#group48R15", "48R¹⁵"), =HYPERLINK("CSG22.html#group36H22", "36H²²"), =HYPERLINK("CSG9.html#group24K9", "24K⁹"), =HYPERLINK("CSG7.html#group12C7", "12C⁷"), =HYPERLINK("CSG13.html#group24P13", "24P¹³"), =HYPERLINK("CSG7.html#group24H7", "24H⁷"), =HYPERLINK("CSG17.html#group24C17", "24C¹⁷")</f>
        <v/>
      </c>
    </row>
    <row r="301">
      <c r="A301" t="inlineStr">
        <is>
          <t>12D²</t>
        </is>
      </c>
      <c r="B301" t="inlineStr"/>
      <c r="C301" t="inlineStr">
        <is>
          <t>36</t>
        </is>
      </c>
      <c r="D301" t="inlineStr">
        <is>
          <t>1</t>
        </is>
      </c>
      <c r="E301" t="inlineStr">
        <is>
          <t>9</t>
        </is>
      </c>
      <c r="F301" t="inlineStr">
        <is>
          <t>0</t>
        </is>
      </c>
      <c r="G301" t="inlineStr">
        <is>
          <t>0</t>
        </is>
      </c>
      <c r="H301" t="inlineStr">
        <is>
          <t>6², 12²</t>
        </is>
      </c>
      <c r="I301" t="n">
        <v>4</v>
      </c>
      <c r="J301" t="inlineStr">
        <is>
          <t>1³, 2³</t>
        </is>
      </c>
      <c r="K301">
        <f>HYPERLINK("CSG0.html#group6H0", "6H⁰"), =HYPERLINK("CSG1.html#group12B1", "12B¹"), =HYPERLINK("CSG1.html#group12C1", "12C¹")</f>
        <v/>
      </c>
      <c r="L301">
        <f>HYPERLINK("CSG3.html#group12E3", "12E³"), =HYPERLINK("CSG3.html#group12G3", "12G³"), =HYPERLINK("CSG4.html#group24I4", "24I⁴"), =HYPERLINK("CSG4.html#group24J4", "24J⁴"), =HYPERLINK("CSG8.html#group36C8", "36C⁸"), =HYPERLINK("CSG8.html#group36F8", "36F⁸"), =HYPERLINK("CSG14.html#group60D14", "60D¹⁴"), =HYPERLINK("CSG15.html#group60M15", "60M¹⁵"), =HYPERLINK("CSG20.html#group84G20", "84G²⁰"), =HYPERLINK("CSG21.html#group84E21", "84E²¹")</f>
        <v/>
      </c>
      <c r="M301">
        <f>HYPERLINK("CSG0.html#group6B0", "6B⁰"), =HYPERLINK("CSG1.html#group12C1", "12C¹"), =HYPERLINK("CSG0.html#group4B0", "4B⁰"), =HYPERLINK("CSG1.html#group12B1", "12B¹"), =HYPERLINK("CSG0.html#group2B0", "2B⁰"), =HYPERLINK("CSG0.html#group6H0", "6H⁰"), =HYPERLINK("CSG0.html#group3A0", "3A⁰"), =HYPERLINK("CSG0.html#group1A0", "1A⁰"), =HYPERLINK("CSG0.html#group6D0", "6D⁰")</f>
        <v/>
      </c>
      <c r="N301">
        <f>HYPERLINK("CSG21.html#group48AO21", "48AO²¹"), =HYPERLINK("CSG17.html#group48W17", "48W¹⁷"), =HYPERLINK("CSG15.html#group36K15", "36K¹⁵"), =HYPERLINK("CSG8.html#group36C8", "36C⁸"), =HYPERLINK("CSG19.html#group96G19", "96G¹⁹"), =HYPERLINK("CSG15.html#group36I15", "36I¹⁵"), =HYPERLINK("CSG7.html#group24J7", "24J⁷"), =HYPERLINK("CSG17.html#group24I17", "24I¹⁷"), =HYPERLINK("CSG17.html#group48G17", "48G¹⁷"), =HYPERLINK("CSG17.html#group48BT17", "48BT¹⁷"), =HYPERLINK("CSG3.html#group12G3", "12G³"), =HYPERLINK("CSG19.html#group48AA19", "48AA¹⁹"), =HYPERLINK("CSG17.html#group48E17", "48E¹⁷"), =HYPERLINK("CSG17.html#group24Z17", "24Z¹⁷"), =HYPERLINK("CSG17.html#group48U17", "48U¹⁷"), =HYPERLINK("CSG15.html#group24G15", "24G¹⁵"), =HYPERLINK("CSG17.html#group48AC17", "48AC¹⁷"), =HYPERLINK("CSG15.html#group36B15", "36B¹⁵"), =HYPERLINK("CSG21.html#group96AQ21", "96AQ²¹"), =HYPERLINK("CSG21.html#group48O21", "48O²¹"), =HYPERLINK("CSG21.html#group96L21", "96L²¹"), =HYPERLINK("CSG15.html#group48E15", "48E¹⁵"), =HYPERLINK("CSG21.html#group48Y21", "48Y²¹"), =HYPERLINK("CSG13.html#group24J13", "24J¹³"), =HYPERLINK("CSG19.html#group24K19", "24K¹⁹"), =HYPERLINK("CSG8.html#group48M8", "48M⁸"), =HYPERLINK("CSG8.html#group24E8", "24E⁸"), =HYPERLINK("CSG9.html#group24L9", "24L⁹"), =HYPERLINK("CSG9.html#group48G9", "48G⁹"), =HYPERLINK("CSG9.html#group48F9", "48F⁹"), =HYPERLINK("CSG13.html#group24O13", "24O¹³"), =HYPERLINK("CSG10.html#group48E10", "48E¹⁰"), =HYPERLINK("CSG19.html#group96S19", "96S¹⁹"), =HYPERLINK("CSG15.html#group24A15", "24A¹⁵"), =HYPERLINK("CSG15.html#group48K15", "48K¹⁵"), =HYPERLINK("CSG21.html#group48Z21", "48Z²¹"), =HYPERLINK("CSG15.html#group48F15", "48F¹⁵"), =HYPERLINK("CSG19.html#group48K19", "48K¹⁹"), =HYPERLINK("CSG17.html#group48K17", "48K¹⁷"), =HYPERLINK("CSG7.html#group24V7", "24V⁷"), =HYPERLINK("CSG17.html#group24G17", "24G¹⁷"), =HYPERLINK("CSG4.html#group24J4", "24J⁴"), =HYPERLINK("CSG17.html#group24J17", "24J¹⁷"), =HYPERLINK("CSG13.html#group24K13", "24K¹³"), =HYPERLINK("CSG16.html#group72J16", "72J¹⁶"), =HYPERLINK("CSG19.html#group96AW19", "96AW¹⁹"), =HYPERLINK("CSG15.html#group24E15", "24E¹⁵"), =HYPERLINK("CSG15.html#group24J15", "24J¹⁵"), =HYPERLINK("CSG15.html#group24I15", "24I¹⁵"), =HYPERLINK("CSG19.html#group48F19", "48F¹⁹"), =HYPERLINK("CSG17.html#group24T17", "24T¹⁷"), =HYPERLINK("CSG19.html#group48E19", "48E¹⁹"), =HYPERLINK("CSG15.html#group60M15", "60M¹⁵"), =HYPERLINK("CSG3.html#group12E3", "12E³"), =HYPERLINK("CSG17.html#group24Y17", "24Y¹⁷"), =HYPERLINK("CSG8.html#group36F8", "36F⁸"), =HYPERLINK("CSG22.html#group36D22", "36D²²"), =HYPERLINK("CSG16.html#group72D16", "72D¹⁶"), =HYPERLINK("CSG4.html#group24I4", "24I⁴"), =HYPERLINK("CSG17.html#group48V17", "48V¹⁷"), =HYPERLINK("CSG21.html#group96K21", "96K²¹"), =HYPERLINK("CSG17.html#group48AD17", "48AD¹⁷"), =HYPERLINK("CSG5.html#group12B5", "12B⁵"), =HYPERLINK("CSG17.html#group24X17", "24X¹⁷"), =HYPERLINK("CSG7.html#group12E7", "12E⁷"), =HYPERLINK("CSG15.html#group24H15", "24H¹⁵"), =HYPERLINK("CSG15.html#group36D15", "36D¹⁵"), =HYPERLINK("CSG9.html#group24G9", "24G⁹"), =HYPERLINK("CSG21.html#group48S21", "48S²¹"), =HYPERLINK("CSG19.html#group96I19", "96I¹⁹"), =HYPERLINK("CSG19.html#group24B19", "24B¹⁹"), =HYPERLINK("CSG15.html#group24F15", "24F¹⁵"), =HYPERLINK("CSG21.html#group96T21", "96T²¹"), =HYPERLINK("CSG21.html#group96O21", "96O²¹"), =HYPERLINK("CSG21.html#group48AU21", "48AU²¹"), =HYPERLINK("CSG8.html#group48L8", "48L⁸"), =HYPERLINK("CSG13.html#group12A13", "12A¹³"), =HYPERLINK("CSG21.html#group48P21", "48P²¹"), =HYPERLINK("CSG16.html#group72K16", "72K¹⁶"), =HYPERLINK("CSG15.html#group24B15", "24B¹⁵"), =HYPERLINK("CSG15.html#group24D15", "24D¹⁵"), =HYPERLINK("CSG7.html#group12B7", "12B⁷"), =HYPERLINK("CSG7.html#group24I7", "24I⁷"), =HYPERLINK("CSG11.html#group36N11", "36N¹¹"), =HYPERLINK("CSG9.html#group24J9", "24J⁹"), =HYPERLINK("CSG17.html#group24A17", "24A¹⁷"), =HYPERLINK("CSG11.html#group36L11", "36L¹¹"), =HYPERLINK("CSG21.html#group36E21", "36E²¹"), =HYPERLINK("CSG17.html#group24V17", "24V¹⁷"), =HYPERLINK("CSG9.html#group12B9", "12B⁹"), =HYPERLINK("CSG7.html#group24N7", "24N⁷"), =HYPERLINK("CSG17.html#group24H17", "24H¹⁷"), =HYPERLINK("CSG13.html#group24P13", "24P¹³"), =HYPERLINK("CSG13.html#group12B13", "12B¹³"), =HYPERLINK("CSG7.html#group24W7", "24W⁷"), =HYPERLINK("CSG17.html#group48F17", "48F¹⁷"), =HYPERLINK("CSG9.html#group48AA9", "48AA⁹"), =HYPERLINK("CSG17.html#group48X17", "48X¹⁷"), =HYPERLINK("CSG17.html#group48BS17", "48BS¹⁷"), =HYPERLINK("CSG19.html#group96O19", "96O¹⁹"), =HYPERLINK("CSG16.html#group72C16", "72C¹⁶"), =HYPERLINK("CSG21.html#group84E21", "84E²¹"), =HYPERLINK("CSG7.html#group12D7", "12D⁷"), =HYPERLINK("CSG8.html#group24F8", "24F⁸"), =HYPERLINK("CSG22.html#group36I22", "36I²²"), =HYPERLINK("CSG15.html#group48R15", "48R¹⁵"), =HYPERLINK("CSG21.html#group48K21", "48K²¹"), =HYPERLINK("CSG19.html#group24C19", "24C¹⁹"), =HYPERLINK("CSG14.html#group60D14", "60D¹⁴"), =HYPERLINK("CSG21.html#group48AP21", "48AP²¹"), =HYPERLINK("CSG17.html#group24C17", "24C¹⁷"), =HYPERLINK("CSG20.html#group84G20", "84G²⁰")</f>
        <v/>
      </c>
    </row>
    <row r="302">
      <c r="A302" t="inlineStr">
        <is>
          <t>12E²</t>
        </is>
      </c>
      <c r="B302" t="inlineStr"/>
      <c r="C302" t="inlineStr">
        <is>
          <t>36</t>
        </is>
      </c>
      <c r="D302" t="inlineStr">
        <is>
          <t>1</t>
        </is>
      </c>
      <c r="E302" t="inlineStr">
        <is>
          <t>9</t>
        </is>
      </c>
      <c r="F302" t="inlineStr">
        <is>
          <t>0</t>
        </is>
      </c>
      <c r="G302" t="inlineStr">
        <is>
          <t>0</t>
        </is>
      </c>
      <c r="H302" t="inlineStr">
        <is>
          <t>6², 12²</t>
        </is>
      </c>
      <c r="I302" t="n">
        <v>4</v>
      </c>
      <c r="J302" t="inlineStr">
        <is>
          <t>1³, 2³</t>
        </is>
      </c>
      <c r="K302">
        <f>HYPERLINK("CSG0.html#group12D0", "12D⁰"), =HYPERLINK("CSG1.html#group6C1", "6C¹"), =HYPERLINK("CSG1.html#group12C1", "12C¹")</f>
        <v/>
      </c>
      <c r="L302">
        <f>HYPERLINK("CSG3.html#group12F3", "12F³"), =HYPERLINK("CSG3.html#group12G3", "12G³"), =HYPERLINK("CSG4.html#group12B4", "12B⁴"), =HYPERLINK("CSG4.html#group12C4", "12C⁴"), =HYPERLINK("CSG8.html#group36D8", "36D⁸"), =HYPERLINK("CSG8.html#group36G8", "36G⁸"), =HYPERLINK("CSG14.html#group60E14", "60E¹⁴"), =HYPERLINK("CSG15.html#group60N15", "60N¹⁵"), =HYPERLINK("CSG20.html#group84H20", "84H²⁰"), =HYPERLINK("CSG21.html#group84F21", "84F²¹")</f>
        <v/>
      </c>
      <c r="M302">
        <f>HYPERLINK("CSG0.html#group2A0", "2A⁰"), =HYPERLINK("CSG1.html#group12C1", "12C¹"), =HYPERLINK("CSG0.html#group6A0", "6A⁰"), =HYPERLINK("CSG1.html#group6C1", "6C¹"), =HYPERLINK("CSG0.html#group2B0", "2B⁰"), =HYPERLINK("CSG0.html#group12D0", "12D⁰"), =HYPERLINK("CSG1.html#group6A1", "6A¹"), =HYPERLINK("CSG0.html#group3A0", "3A⁰"), =HYPERLINK("CSG0.html#group1A0", "1A⁰"), =HYPERLINK("CSG0.html#group2C0", "2C⁰"), =HYPERLINK("CSG0.html#group6D0", "6D⁰")</f>
        <v/>
      </c>
      <c r="N302">
        <f>HYPERLINK("CSG9.html#group24F9", "24F⁹"), =HYPERLINK("CSG21.html#group48AO21", "48AO²¹"), =HYPERLINK("CSG7.html#group24M7", "24M⁷"), =HYPERLINK("CSG15.html#group36K15", "36K¹⁵"), =HYPERLINK("CSG3.html#group12F3", "12F³"), =HYPERLINK("CSG7.html#group24J7", "24J⁷"), =HYPERLINK("CSG17.html#group24I17", "24I¹⁷"), =HYPERLINK("CSG21.html#group48R21", "48R²¹"), =HYPERLINK("CSG17.html#group24AJ17", "24AJ¹⁷"), =HYPERLINK("CSG8.html#group36G8", "36G⁸"), =HYPERLINK("CSG3.html#group12G3", "12G³"), =HYPERLINK("CSG8.html#group24I8", "24I⁸"), =HYPERLINK("CSG16.html#group36E16", "36E¹⁶"), =HYPERLINK("CSG17.html#group48E17", "48E¹⁷"), =HYPERLINK("CSG17.html#group24Z17", "24Z¹⁷"), =HYPERLINK("CSG17.html#group48U17", "48U¹⁷"), =HYPERLINK("CSG21.html#group48O21", "48O²¹"), =HYPERLINK("CSG21.html#group48Y21", "48Y²¹"), =HYPERLINK("CSG4.html#group12C4", "12C⁴"), =HYPERLINK("CSG15.html#group48E15", "48E¹⁵"), =HYPERLINK("CSG13.html#group24J13", "24J¹³"), =HYPERLINK("CSG19.html#group24K19", "24K¹⁹"), =HYPERLINK("CSG8.html#group24J8", "24J⁸"), =HYPERLINK("CSG21.html#group48AN21", "48AN²¹"), =HYPERLINK("CSG17.html#group24P17", "24P¹⁷"), =HYPERLINK("CSG13.html#group24O13", "24O¹³"), =HYPERLINK("CSG15.html#group36J15", "36J¹⁵"), =HYPERLINK("CSG15.html#group24A15", "24A¹⁵"), =HYPERLINK("CSG15.html#group48K15", "48K¹⁵"), =HYPERLINK("CSG21.html#group48Z21", "48Z²¹"), =HYPERLINK("CSG15.html#group48F15", "48F¹⁵"), =HYPERLINK("CSG19.html#group48K19", "48K¹⁹"), =HYPERLINK("CSG7.html#group24V7", "24V⁷"), =HYPERLINK("CSG17.html#group48K17", "48K¹⁷"), =HYPERLINK("CSG17.html#group24G17", "24G¹⁷"), =HYPERLINK("CSG15.html#group36C15", "36C¹⁵"), =HYPERLINK("CSG17.html#group24Q17", "24Q¹⁷"), =HYPERLINK("CSG19.html#group48I19", "48I¹⁹"), =HYPERLINK("CSG17.html#group24J17", "24J¹⁷"), =HYPERLINK("CSG13.html#group24K13", "24K¹³"), =HYPERLINK("CSG15.html#group24E15", "24E¹⁵"), =HYPERLINK("CSG8.html#group36D8", "36D⁸"), =HYPERLINK("CSG15.html#group24J15", "24J¹⁵"), =HYPERLINK("CSG15.html#group24I15", "24I¹⁵"), =HYPERLINK("CSG19.html#group48F19", "48F¹⁹"), =HYPERLINK("CSG17.html#group24T17", "24T¹⁷"), =HYPERLINK("CSG9.html#group24I9", "24I⁹"), =HYPERLINK("CSG19.html#group48E19", "48E¹⁹"), =HYPERLINK("CSG9.html#group24Z9", "24Z⁹"), =HYPERLINK("CSG17.html#group24Y17", "24Y¹⁷"), =HYPERLINK("CSG16.html#group36C16", "36C¹⁶"), =HYPERLINK("CSG21.html#group48BQ21", "48BQ²¹"), =HYPERLINK("CSG14.html#group60E14", "60E¹⁴"), =HYPERLINK("CSG20.html#group84H20", "84H²⁰"), =HYPERLINK("CSG5.html#group12B5", "12B⁵"), =HYPERLINK("CSG10.html#group24D10", "24D¹⁰"), =HYPERLINK("CSG4.html#group12B4", "12B⁴"), =HYPERLINK("CSG15.html#group60N15", "60N¹⁵"), =HYPERLINK("CSG9.html#group24G9", "24G⁹"), =HYPERLINK("CSG15.html#group36D15", "36D¹⁵"), =HYPERLINK("CSG21.html#group48S21", "48S²¹"), =HYPERLINK("CSG19.html#group24B19", "24B¹⁹"), =HYPERLINK("CSG15.html#group24F15", "24F¹⁵"), =HYPERLINK("CSG19.html#group48P19", "48P¹⁹"), =HYPERLINK("CSG19.html#group48AW19", "48AW¹⁹"), =HYPERLINK("CSG21.html#group48AU21", "48AU²¹"), =HYPERLINK("CSG11.html#group36M11", "36M¹¹"), =HYPERLINK("CSG13.html#group12A13", "12A¹³"), =HYPERLINK("CSG21.html#group48P21", "48P²¹"), =HYPERLINK("CSG15.html#group24B15", "24B¹⁵"), =HYPERLINK("CSG22.html#group36E22", "36E²²"), =HYPERLINK("CSG15.html#group24D15", "24D¹⁵"), =HYPERLINK("CSG7.html#group12B7", "12B⁷"), =HYPERLINK("CSG7.html#group24I7", "24I⁷"), =HYPERLINK("CSG11.html#group36N11", "36N¹¹"), =HYPERLINK("CSG9.html#group24J9", "24J⁹"), =HYPERLINK("CSG17.html#group24A17", "24A¹⁷"), =HYPERLINK("CSG21.html#group36E21", "36E²¹"), =HYPERLINK("CSG17.html#group24U17", "24U¹⁷"), =HYPERLINK("CSG17.html#group24V17", "24V¹⁷"), =HYPERLINK("CSG9.html#group12B9", "12B⁹"), =HYPERLINK("CSG17.html#group24H17", "24H¹⁷"), =HYPERLINK("CSG13.html#group12B13", "12B¹³"), =HYPERLINK("CSG19.html#group48L19", "48L¹⁹"), =HYPERLINK("CSG7.html#group24W7", "24W⁷"), =HYPERLINK("CSG17.html#group24S17", "24S¹⁷"), =HYPERLINK("CSG21.html#group48N21", "48N²¹"), =HYPERLINK("CSG7.html#group12D7", "12D⁷"), =HYPERLINK("CSG16.html#group36B16", "36B¹⁶"), =HYPERLINK("CSG22.html#group36J22", "36J²²"), =HYPERLINK("CSG21.html#group84F21", "84F²¹"), =HYPERLINK("CSG21.html#group48K21", "48K²¹"), =HYPERLINK("CSG19.html#group24C19", "24C¹⁹"), =HYPERLINK("CSG9.html#group24K9", "24K⁹"), =HYPERLINK("CSG21.html#group48AP21", "48AP²¹"), =HYPERLINK("CSG13.html#group24P13", "24P¹³"), =HYPERLINK("CSG21.html#group48AG21", "48AG²¹"), =HYPERLINK("CSG17.html#group24C17", "24C¹⁷"), =HYPERLINK("CSG19.html#group48H19", "48H¹⁹")</f>
        <v/>
      </c>
    </row>
    <row r="303">
      <c r="A303" t="inlineStr">
        <is>
          <t>12F²</t>
        </is>
      </c>
      <c r="B303" t="inlineStr"/>
      <c r="C303" t="inlineStr">
        <is>
          <t>48</t>
        </is>
      </c>
      <c r="D303" t="inlineStr">
        <is>
          <t>1</t>
        </is>
      </c>
      <c r="E303" t="inlineStr">
        <is>
          <t>4</t>
        </is>
      </c>
      <c r="F303" t="inlineStr">
        <is>
          <t>0</t>
        </is>
      </c>
      <c r="G303" t="inlineStr">
        <is>
          <t>0</t>
        </is>
      </c>
      <c r="H303" t="inlineStr">
        <is>
          <t>4³, 12³</t>
        </is>
      </c>
      <c r="I303" t="n">
        <v>6</v>
      </c>
      <c r="J303" t="inlineStr">
        <is>
          <t>1², 2¹</t>
        </is>
      </c>
      <c r="K303">
        <f>HYPERLINK("CSG0.html#group6I0", "6I⁰"), =HYPERLINK("CSG0.html#group12B0", "12B⁰")</f>
        <v/>
      </c>
      <c r="L303">
        <f>HYPERLINK("CSG3.html#group12L3", "12L³"), =HYPERLINK("CSG7.html#group12A7", "12A⁷"), =HYPERLINK("CSG7.html#group36H7", "36H⁷"), =HYPERLINK("CSG10.html#group36A10", "36A¹⁰"), =HYPERLINK("CSG10.html#group36B10", "36B¹⁰"), =HYPERLINK("CSG18.html#group60B18", "60B¹⁸"), =HYPERLINK("CSG19.html#group60L19", "60L¹⁹")</f>
        <v/>
      </c>
      <c r="M303">
        <f>HYPERLINK("CSG0.html#group3B0", "3B⁰"), =HYPERLINK("CSG0.html#group2A0", "2A⁰"), =HYPERLINK("CSG0.html#group6I0", "6I⁰"), =HYPERLINK("CSG0.html#group6C0", "6C⁰"), =HYPERLINK("CSG0.html#group1A0", "1A⁰"), =HYPERLINK("CSG0.html#group2B0", "2B⁰"), =HYPERLINK("CSG0.html#group6F0", "6F⁰"), =HYPERLINK("CSG0.html#group2C0", "2C⁰"), =HYPERLINK("CSG0.html#group12B0", "12B⁰")</f>
        <v/>
      </c>
      <c r="N303">
        <f>HYPERLINK("CSG9.html#group24AE9", "24AE⁹"), =HYPERLINK("CSG18.html#group60B18", "60B¹⁸"), =HYPERLINK("CSG19.html#group60L19", "60L¹⁹"), =HYPERLINK("CSG21.html#group48CC21", "48CC²¹"), =HYPERLINK("CSG21.html#group24B21", "24B²¹"), =HYPERLINK("CSG13.html#group12B13", "12B¹³"), =HYPERLINK("CSG17.html#group24AS17", "24AS¹⁷"), =HYPERLINK("CSG7.html#group36H7", "36H⁷"), =HYPERLINK("CSG9.html#group24AD9", "24AD⁹"), =HYPERLINK("CSG13.html#group24AB13", "24AB¹³"), =HYPERLINK("CSG5.html#group12E5", "12E⁵"), =HYPERLINK("CSG19.html#group36C19", "36C¹⁹"), =HYPERLINK("CSG10.html#group36B10", "36B¹⁰"), =HYPERLINK("CSG7.html#group12A7", "12A⁷"), =HYPERLINK("CSG13.html#group36U13", "36U¹³"), =HYPERLINK("CSG7.html#group24AL7", "24AL⁷"), =HYPERLINK("CSG17.html#group24AP17", "24AP¹⁷"), =HYPERLINK("CSG10.html#group36A10", "36A¹⁰"), =HYPERLINK("CSG3.html#group12L3", "12L³"), =HYPERLINK("CSG17.html#group24AR17", "24AR¹⁷"), =HYPERLINK("CSG19.html#group36D19", "36D¹⁹"), =HYPERLINK("CSG21.html#group48CJ21", "48CJ²¹"), =HYPERLINK("CSG21.html#group48CA21", "48CA²¹")</f>
        <v/>
      </c>
    </row>
    <row r="304">
      <c r="A304" t="inlineStr">
        <is>
          <t>12G²</t>
        </is>
      </c>
      <c r="B304" t="inlineStr"/>
      <c r="C304" t="inlineStr">
        <is>
          <t>48</t>
        </is>
      </c>
      <c r="D304" t="inlineStr">
        <is>
          <t>1</t>
        </is>
      </c>
      <c r="E304" t="inlineStr">
        <is>
          <t>24</t>
        </is>
      </c>
      <c r="F304" t="inlineStr">
        <is>
          <t>0</t>
        </is>
      </c>
      <c r="G304" t="inlineStr">
        <is>
          <t>0</t>
        </is>
      </c>
      <c r="H304" t="inlineStr">
        <is>
          <t>4³, 12³</t>
        </is>
      </c>
      <c r="I304" t="n">
        <v>6</v>
      </c>
      <c r="J304" t="inlineStr">
        <is>
          <t>1⁴, 2⁶, 4²</t>
        </is>
      </c>
      <c r="K304">
        <f>HYPERLINK("CSG0.html#group4F0", "4F⁰"), =HYPERLINK("CSG1.html#group12A1", "12A¹"), =HYPERLINK("CSG1.html#group12F1", "12F¹")</f>
        <v/>
      </c>
      <c r="L304">
        <f>HYPERLINK("CSG3.html#group12K3", "12K³"), =HYPERLINK("CSG4.html#group24R4", "24R⁴"), =HYPERLINK("CSG5.html#group24J5", "24J⁵"), =HYPERLINK("CSG5.html#group24K5", "24K⁵"), =HYPERLINK("CSG6.html#group24B6", "24B⁶"), =HYPERLINK("CSG7.html#group12C7", "12C⁷"), =HYPERLINK("CSG7.html#group36I7", "36I⁷"), =HYPERLINK("CSG10.html#group36J10", "36J¹⁰"), =HYPERLINK("CSG10.html#group36K10", "36K¹⁰"), =HYPERLINK("CSG18.html#group60G18", "60G¹⁸"), =HYPERLINK("CSG19.html#group60N19", "60N¹⁹")</f>
        <v/>
      </c>
      <c r="M304">
        <f>HYPERLINK("CSG0.html#group3B0", "3B⁰"), =HYPERLINK("CSG1.html#group12F1", "12F¹"), =HYPERLINK("CSG0.html#group4A0", "4A⁰"), =HYPERLINK("CSG1.html#group12A1", "12A¹"), =HYPERLINK("CSG0.html#group4C0", "4C⁰"), =HYPERLINK("CSG0.html#group6F0", "6F⁰"), =HYPERLINK("CSG0.html#group2B0", "2B⁰"), =HYPERLINK("CSG0.html#group4F0", "4F⁰"), =HYPERLINK("CSG0.html#group1A0", "1A⁰")</f>
        <v/>
      </c>
      <c r="N304">
        <f>HYPERLINK("CSG21.html#group72F21", "72F²¹"), =HYPERLINK("CSG23.html#group96AI23", "96AI²³"), =HYPERLINK("CSG10.html#group36J10", "36J¹⁰"), =HYPERLINK("CSG21.html#group72E21", "72E²¹"), =HYPERLINK("CSG14.html#group48A14", "48A¹⁴"), =HYPERLINK("CSG21.html#group72H21", "72H²¹"), =HYPERLINK("CSG15.html#group24C15", "24C¹⁵"), =HYPERLINK("CSG5.html#group12E5", "12E⁵"), =HYPERLINK("CSG11.html#group24F11", "24F¹¹"), =HYPERLINK("CSG21.html#group24D21", "24D²¹"), =HYPERLINK("CSG7.html#group36I7", "36I⁷"), =HYPERLINK("CSG17.html#group24AP17", "24AP¹⁷"), =HYPERLINK("CSG10.html#group48I10", "48I¹⁰"), =HYPERLINK("CSG9.html#group24AJ9", "24AJ⁹"), =HYPERLINK("CSG10.html#group48H10", "48H¹⁰"), =HYPERLINK("CSG19.html#group48BP19", "48BP¹⁹"), =HYPERLINK("CSG11.html#group24B11", "24B¹¹"), =HYPERLINK("CSG11.html#group48Z11", "48Z¹¹"), =HYPERLINK("CSG23.html#group48A23", "48A²³"), =HYPERLINK("CSG21.html#group48CF21", "48CF²¹"), =HYPERLINK("CSG21.html#group48CO21", "48CO²¹"), =HYPERLINK("CSG6.html#group24B6", "24B⁶"), =HYPERLINK("CSG23.html#group96AJ23", "96AJ²³"), =HYPERLINK("CSG13.html#group48L13", "48L¹³"), =HYPERLINK("CSG9.html#group24AC9", "24AC⁹"), =HYPERLINK("CSG17.html#group24AO17", "24AO¹⁷"), =HYPERLINK("CSG21.html#group48CE21", "48CE²¹"), =HYPERLINK("CSG21.html#group72G21", "72G²¹"), =HYPERLINK("CSG7.html#group24AF7", "24AF⁷"), =HYPERLINK("CSG19.html#group48BO19", "48BO¹⁹"), =HYPERLINK("CSG11.html#group48Y11", "48Y¹¹"), =HYPERLINK("CSG7.html#group24AG7", "24AG⁷"), =HYPERLINK("CSG11.html#group24A11", "24A¹¹"), =HYPERLINK("CSG23.html#group96AK23", "96AK²³"), =HYPERLINK("CSG10.html#group36K10", "36K¹⁰"), =HYPERLINK("CSG15.html#group72Y15", "72Y¹⁵"), =HYPERLINK("CSG20.html#group72B20", "72B²⁰"), =HYPERLINK("CSG13.html#group48F13", "48F¹³"), =HYPERLINK("CSG23.html#group48B23", "48B²³"), =HYPERLINK("CSG21.html#group48CD21", "48CD²¹"), =HYPERLINK("CSG4.html#group24R4", "24R⁴"), =HYPERLINK("CSG18.html#group60G18", "60G¹⁸"), =HYPERLINK("CSG9.html#group24AI9", "24AI⁹"), =HYPERLINK("CSG19.html#group72O19", "72O¹⁹"), =HYPERLINK("CSG3.html#group12K3", "12K³"), =HYPERLINK("CSG21.html#group48CN21", "48CN²¹"), =HYPERLINK("CSG13.html#group48E13", "48E¹³"), =HYPERLINK("CSG21.html#group24C21", "24C²¹"), =HYPERLINK("CSG21.html#group24G21", "24G²¹"), =HYPERLINK("CSG23.html#group96AL23", "96AL²³"), =HYPERLINK("CSG11.html#group24I11", "24I¹¹"), =HYPERLINK("CSG17.html#group24AT17", "24AT¹⁷"), =HYPERLINK("CSG21.html#group24F21", "24F²¹"), =HYPERLINK("CSG20.html#group72A20", "72A²⁰"), =HYPERLINK("CSG21.html#group24E21", "24E²¹"), =HYPERLINK("CSG21.html#group24B21", "24B²¹"), =HYPERLINK("CSG17.html#group72Q17", "72Q¹⁷"), =HYPERLINK("CSG21.html#group24A21", "24A²¹"), =HYPERLINK("CSG13.html#group24AB13", "24AB¹³"), =HYPERLINK("CSG21.html#group48CB21", "48CB²¹"), =HYPERLINK("CSG19.html#group36B19", "36B¹⁹"), =HYPERLINK("CSG23.html#group48C23", "48C²³"), =HYPERLINK("CSG13.html#group48H13", "48H¹³"), =HYPERLINK("CSG13.html#group12A13", "12A¹³"), =HYPERLINK("CSG11.html#group24G11", "24G¹¹"), =HYPERLINK("CSG17.html#group24D17", "24D¹⁷"), =HYPERLINK("CSG19.html#group36A19", "36A¹⁹"), =HYPERLINK("CSG17.html#group24E17", "24E¹⁷"), =HYPERLINK("CSG11.html#group48AB11", "48AB¹¹"), =HYPERLINK("CSG13.html#group48G13", "48G¹³"), =HYPERLINK("CSG5.html#group24K5", "24K⁵"), =HYPERLINK("CSG11.html#group24H11", "24H¹¹"), =HYPERLINK("CSG11.html#group48AA11", "48AA¹¹"), =HYPERLINK("CSG13.html#group48K13", "48K¹³"), =HYPERLINK("CSG23.html#group48D23", "48D²³"), =HYPERLINK("CSG22.html#group72A22", "72A²²"), =HYPERLINK("CSG22.html#group72B22", "72B²²"), =HYPERLINK("CSG19.html#group24J19", "24J¹⁹"), =HYPERLINK("CSG17.html#group24AN17", "24AN¹⁷"), =HYPERLINK("CSG21.html#group24J21", "24J²¹"), =HYPERLINK("CSG19.html#group60N19", "60N¹⁹"), =HYPERLINK("CSG17.html#group72R17", "72R¹⁷"), =HYPERLINK("CSG13.html#group36T13", "36T¹³"), =HYPERLINK("CSG7.html#group12C7", "12C⁷"), =HYPERLINK("CSG5.html#group24J5", "24J⁵"), =HYPERLINK("CSG9.html#group24AF9", "24AF⁹"), =HYPERLINK("CSG21.html#group24I21", "24I²¹")</f>
        <v/>
      </c>
    </row>
    <row r="305">
      <c r="A305" t="inlineStr">
        <is>
          <t>12H²</t>
        </is>
      </c>
      <c r="B305" t="inlineStr"/>
      <c r="C305" t="inlineStr">
        <is>
          <t>72</t>
        </is>
      </c>
      <c r="D305" t="inlineStr">
        <is>
          <t>1</t>
        </is>
      </c>
      <c r="E305" t="inlineStr">
        <is>
          <t>18</t>
        </is>
      </c>
      <c r="F305" t="inlineStr">
        <is>
          <t>8</t>
        </is>
      </c>
      <c r="G305" t="inlineStr">
        <is>
          <t>0</t>
        </is>
      </c>
      <c r="H305" t="inlineStr">
        <is>
          <t>12⁶</t>
        </is>
      </c>
      <c r="I305" t="n">
        <v>6</v>
      </c>
      <c r="J305" t="inlineStr">
        <is>
          <t>2⁵, 4²</t>
        </is>
      </c>
      <c r="K305">
        <f>HYPERLINK("CSG0.html#group12H0", "12H⁰"), =HYPERLINK("CSG1.html#group12M1", "12M¹")</f>
        <v/>
      </c>
      <c r="L305">
        <f>HYPERLINK("CSG5.html#group12D5", "12D⁵"), =HYPERLINK("CSG5.html#group24V5", "24V⁵"), =HYPERLINK("CSG6.html#group24J6", "24J⁶"), =HYPERLINK("CSG7.html#group12D7", "12D⁷"), =HYPERLINK("CSG7.html#group24AD7", "24AD⁷"), =HYPERLINK("CSG8.html#group24O8", "24O⁸"), =HYPERLINK("CSG9.html#group24M9", "24M⁹"), =HYPERLINK("CSG12.html#group36E12", "36E¹²"), =HYPERLINK("CSG14.html#group36A14", "36A¹⁴")</f>
        <v/>
      </c>
      <c r="M305">
        <f>HYPERLINK("CSG0.html#group6B0", "6B⁰"), =HYPERLINK("CSG0.html#group12C0", "12C⁰"), =HYPERLINK("CSG0.html#group3A0", "3A⁰"), =HYPERLINK("CSG0.html#group4C0", "4C⁰"), =HYPERLINK("CSG1.html#group12M1", "12M¹"), =HYPERLINK("CSG0.html#group2B0", "2B⁰"), =HYPERLINK("CSG0.html#group12D0", "12D⁰"), =HYPERLINK("CSG0.html#group6H0", "6H⁰"), =HYPERLINK("CSG0.html#group12H0", "12H⁰"), =HYPERLINK("CSG0.html#group1A0", "1A⁰"), =HYPERLINK("CSG0.html#group6D0", "6D⁰")</f>
        <v/>
      </c>
      <c r="N305">
        <f>HYPERLINK("CSG15.html#group24T15", "24T¹⁵"), =HYPERLINK("CSG13.html#group48AA13", "48AA¹³"), =HYPERLINK("CSG13.html#group24R13", "24R¹³"), =HYPERLINK("CSG17.html#group24AA17", "24AA¹⁷"), =HYPERLINK("CSG9.html#group24M9", "24M⁹"), =HYPERLINK("CSG17.html#group24I17", "24I¹⁷"), =HYPERLINK("CSG15.html#group24L15", "24L¹⁵"), =HYPERLINK("CSG19.html#group48AQ19", "48AQ¹⁹"), =HYPERLINK("CSG13.html#group24AA13", "24AA¹³"), =HYPERLINK("CSG11.html#group12A11", "12A¹¹"), =HYPERLINK("CSG15.html#group24F15", "24F¹⁵"), =HYPERLINK("CSG5.html#group24V5", "24V⁵"), =HYPERLINK("CSG13.html#group12A13", "12A¹³"), =HYPERLINK("CSG19.html#group24R19", "24R¹⁹"), =HYPERLINK("CSG14.html#group36A14", "36A¹⁴"), =HYPERLINK("CSG19.html#group24K19", "24K¹⁹"), =HYPERLINK("CSG15.html#group48AB15", "48AB¹⁵"), =HYPERLINK("CSG15.html#group24S15", "24S¹⁵"), =HYPERLINK("CSG7.html#group24AD7", "24AD⁷"), =HYPERLINK("CSG21.html#group48AA21", "48AA²¹"), =HYPERLINK("CSG13.html#group24T13", "24T¹³"), =HYPERLINK("CSG17.html#group48BD17", "48BD¹⁷"), =HYPERLINK("CSG17.html#group24AM17", "24AM¹⁷"), =HYPERLINK("CSG13.html#group24U13", "24U¹³"), =HYPERLINK("CSG5.html#group12D5", "12D⁵"), =HYPERLINK("CSG17.html#group24H17", "24H¹⁷"), =HYPERLINK("CSG21.html#group48BK21", "48BK²¹"), =HYPERLINK("CSG6.html#group24J6", "24J⁶"), =HYPERLINK("CSG17.html#group24N17", "24N¹⁷"), =HYPERLINK("CSG15.html#group24J15", "24J¹⁵"), =HYPERLINK("CSG23.html#group36D23", "36D²³"), =HYPERLINK("CSG17.html#group48BQ17", "48BQ¹⁷"), =HYPERLINK("CSG7.html#group12D7", "12D⁷"), =HYPERLINK("CSG17.html#group48BV17", "48BV¹⁷"), =HYPERLINK("CSG17.html#group48BC17", "48BC¹⁷"), =HYPERLINK("CSG19.html#group48BN19", "48BN¹⁹"), =HYPERLINK("CSG8.html#group24O8", "24O⁸"), =HYPERLINK("CSG15.html#group48AC15", "48AC¹⁵"), =HYPERLINK("CSG12.html#group36E12", "36E¹²"), =HYPERLINK("CSG17.html#group24AE17", "24AE¹⁷"), =HYPERLINK("CSG17.html#group24Y17", "24Y¹⁷"), =HYPERLINK("CSG17.html#group48BU17", "48BU¹⁷"), =HYPERLINK("CSG21.html#group48BJ21", "48BJ²¹"), =HYPERLINK("CSG13.html#group24Z13", "24Z¹³")</f>
        <v/>
      </c>
    </row>
    <row r="306">
      <c r="A306" t="inlineStr">
        <is>
          <t>12I²</t>
        </is>
      </c>
      <c r="B306" t="inlineStr"/>
      <c r="C306" t="inlineStr">
        <is>
          <t>72</t>
        </is>
      </c>
      <c r="D306" t="inlineStr">
        <is>
          <t>1</t>
        </is>
      </c>
      <c r="E306" t="inlineStr">
        <is>
          <t>18</t>
        </is>
      </c>
      <c r="F306" t="inlineStr">
        <is>
          <t>8</t>
        </is>
      </c>
      <c r="G306" t="inlineStr">
        <is>
          <t>0</t>
        </is>
      </c>
      <c r="H306" t="inlineStr">
        <is>
          <t>12⁶</t>
        </is>
      </c>
      <c r="I306" t="n">
        <v>6</v>
      </c>
      <c r="J306" t="inlineStr">
        <is>
          <t>1², 2⁴, 4²</t>
        </is>
      </c>
      <c r="K306">
        <f>HYPERLINK("CSG0.html#group12F0", "12F⁰"), =HYPERLINK("CSG0.html#group12H0", "12H⁰"), =HYPERLINK("CSG1.html#group12J1", "12J¹"), =HYPERLINK("CSG1.html#group12M1", "12M¹")</f>
        <v/>
      </c>
      <c r="L306">
        <f>HYPERLINK("CSG5.html#group12D5", "12D⁵"), =HYPERLINK("CSG5.html#group24W5", "24W⁵"), =HYPERLINK("CSG6.html#group24E6", "24E⁶"), =HYPERLINK("CSG6.html#group24F6", "24F⁶"), =HYPERLINK("CSG7.html#group12B7", "12B⁷"), =HYPERLINK("CSG7.html#group24AE7", "24AE⁷"), =HYPERLINK("CSG8.html#group24M8", "24M⁸"), =HYPERLINK("CSG8.html#group24N8", "24N⁸"), =HYPERLINK("CSG9.html#group24Q9", "24Q⁹"), =HYPERLINK("CSG12.html#group36F12", "36F¹²"), =HYPERLINK("CSG14.html#group36B14", "36B¹⁴")</f>
        <v/>
      </c>
      <c r="M306">
        <f>HYPERLINK("CSG0.html#group6B0", "6B⁰"), =HYPERLINK("CSG0.html#group12C0", "12C⁰"), =HYPERLINK("CSG0.html#group4C0", "4C⁰"), =HYPERLINK("CSG0.html#group12F0", "12F⁰"), =HYPERLINK("CSG1.html#group12M1", "12M¹"), =HYPERLINK("CSG0.html#group2B0", "2B⁰"), =HYPERLINK("CSG0.html#group12H0", "12H⁰"), =HYPERLINK("CSG0.html#group1A0", "1A⁰"), =HYPERLINK("CSG0.html#group12A0", "12A⁰"), =HYPERLINK("CSG0.html#group4A0", "4A⁰"), =HYPERLINK("CSG1.html#group12J1", "12J¹"), =HYPERLINK("CSG0.html#group12D0", "12D⁰"), =HYPERLINK("CSG0.html#group4F0", "4F⁰"), =HYPERLINK("CSG0.html#group6H0", "6H⁰"), =HYPERLINK("CSG0.html#group3A0", "3A⁰"), =HYPERLINK("CSG0.html#group6D0", "6D⁰")</f>
        <v/>
      </c>
      <c r="N306">
        <f>HYPERLINK("CSG20.html#group48I20", "48I²⁰"), =HYPERLINK("CSG19.html#group24P19", "24P¹⁹"), =HYPERLINK("CSG15.html#group48U15", "48U¹⁵"), =HYPERLINK("CSG21.html#group48AY21", "48AY²¹"), =HYPERLINK("CSG19.html#group48Y19", "48Y¹⁹"), =HYPERLINK("CSG13.html#group24R13", "24R¹³"), =HYPERLINK("CSG20.html#group48G20", "48G²⁰"), =HYPERLINK("CSG6.html#group24F6", "24F⁶"), =HYPERLINK("CSG17.html#group24AA17", "24AA¹⁷"), =HYPERLINK("CSG16.html#group48C16", "48C¹⁶"), =HYPERLINK("CSG16.html#group48B16", "48B¹⁶"), =HYPERLINK("CSG13.html#group24V13", "24V¹³"), =HYPERLINK("CSG16.html#group48J16", "48J¹⁶"), =HYPERLINK("CSG15.html#group24L15", "24L¹⁵"), =HYPERLINK("CSG8.html#group24M8", "24M⁸"), =HYPERLINK("CSG5.html#group24W5", "24W⁵"), =HYPERLINK("CSG19.html#group24B19", "24B¹⁹"), =HYPERLINK("CSG11.html#group12A11", "12A¹¹"), =HYPERLINK("CSG15.html#group48V15", "48V¹⁵"), =HYPERLINK("CSG9.html#group24Q9", "24Q⁹"), =HYPERLINK("CSG15.html#group24Q15", "24Q¹⁵"), =HYPERLINK("CSG19.html#group48BM19", "48BM¹⁹"), =HYPERLINK("CSG16.html#group48D16", "48D¹⁶"), =HYPERLINK("CSG21.html#group48AE21", "48AE²¹"), =HYPERLINK("CSG13.html#group12A13", "12A¹³"), =HYPERLINK("CSG17.html#group48BR17", "48BR¹⁷"), =HYPERLINK("CSG7.html#group24AE7", "24AE⁷"), =HYPERLINK("CSG15.html#group24B15", "24B¹⁵"), =HYPERLINK("CSG8.html#group24N8", "24N⁸"), =HYPERLINK("CSG15.html#group24P15", "24P¹⁵"), =HYPERLINK("CSG20.html#group48F20", "48F²⁰"), =HYPERLINK("CSG7.html#group12B7", "12B⁷"), =HYPERLINK("CSG13.html#group24X13", "24X¹³"), =HYPERLINK("CSG19.html#group48U19", "48U¹⁹"), =HYPERLINK("CSG12.html#group36F12", "36F¹²"), =HYPERLINK("CSG15.html#group24A15", "24A¹⁵"), =HYPERLINK("CSG13.html#group24T13", "24T¹³"), =HYPERLINK("CSG6.html#group24E6", "24E⁶"), =HYPERLINK("CSG16.html#group48E16", "48E¹⁶"), =HYPERLINK("CSG17.html#group24G17", "24G¹⁷"), =HYPERLINK("CSG13.html#group24U13", "24U¹³"), =HYPERLINK("CSG5.html#group12D5", "12D⁵"), =HYPERLINK("CSG20.html#group48E20", "48E²⁰"), =HYPERLINK("CSG17.html#group24J17", "24J¹⁷"), =HYPERLINK("CSG17.html#group24AK17", "24AK¹⁷"), =HYPERLINK("CSG21.html#group48AT21", "48AT²¹"), =HYPERLINK("CSG17.html#group24N17", "24N¹⁷"), =HYPERLINK("CSG15.html#group48S15", "48S¹⁵"), =HYPERLINK("CSG15.html#group24O15", "24O¹⁵"), =HYPERLINK("CSG17.html#group48CI17", "48CI¹⁷"), =HYPERLINK("CSG23.html#group36D23", "36D²³"), =HYPERLINK("CSG14.html#group36B14", "36B¹⁴"), =HYPERLINK("CSG15.html#group48T15", "48T¹⁵"), =HYPERLINK("CSG17.html#group48AQ17", "48AQ¹⁷"), =HYPERLINK("CSG17.html#group24AL17", "24AL¹⁷"), =HYPERLINK("CSG19.html#group24C19", "24C¹⁹"), =HYPERLINK("CSG17.html#group24AE17", "24AE¹⁷"), =HYPERLINK("CSG13.html#group48AB13", "48AB¹³"), =HYPERLINK("CSG15.html#group24R15", "24R¹⁵"), =HYPERLINK("CSG17.html#group48AS17", "48AS¹⁷"), =HYPERLINK("CSG19.html#group24L19", "24L¹⁹")</f>
        <v/>
      </c>
    </row>
    <row r="307">
      <c r="A307" t="inlineStr">
        <is>
          <t>13A²</t>
        </is>
      </c>
      <c r="B307" t="inlineStr">
        <is>
          <t>Γ₁(13)</t>
        </is>
      </c>
      <c r="C307" t="inlineStr">
        <is>
          <t>84</t>
        </is>
      </c>
      <c r="D307" t="inlineStr">
        <is>
          <t>1</t>
        </is>
      </c>
      <c r="E307" t="inlineStr">
        <is>
          <t>14</t>
        </is>
      </c>
      <c r="F307" t="inlineStr">
        <is>
          <t>0</t>
        </is>
      </c>
      <c r="G307" t="inlineStr">
        <is>
          <t>0</t>
        </is>
      </c>
      <c r="H307" t="inlineStr">
        <is>
          <t>1⁶, 13⁶</t>
        </is>
      </c>
      <c r="I307" t="n">
        <v>12</v>
      </c>
      <c r="J307" t="inlineStr">
        <is>
          <t>1², 12¹</t>
        </is>
      </c>
      <c r="K307">
        <f>HYPERLINK("CSG0.html#group13B0", "13B⁰"), =HYPERLINK("CSG0.html#group13C0", "13C⁰")</f>
        <v/>
      </c>
      <c r="L307">
        <f>HYPERLINK("CSG9.html#group26A9", "26A⁹"), =HYPERLINK("CSG10.html#group26D10", "26D¹⁰"), =HYPERLINK("CSG16.html#group39A16", "39A¹⁶"), =HYPERLINK("CSG17.html#group39A17", "39A¹⁷"), =HYPERLINK("CSG23.html#group52E23", "52E²³")</f>
        <v/>
      </c>
      <c r="M307">
        <f>HYPERLINK("CSG0.html#group13A0", "13A⁰"), =HYPERLINK("CSG0.html#group13C0", "13C⁰"), =HYPERLINK("CSG0.html#group13B0", "13B⁰"), =HYPERLINK("CSG0.html#group1A0", "1A⁰")</f>
        <v/>
      </c>
      <c r="N307">
        <f>HYPERLINK("CSG9.html#group26A9", "26A⁹"), =HYPERLINK("CSG23.html#group52A23", "52A²³"), =HYPERLINK("CSG16.html#group39A16", "39A¹⁶"), =HYPERLINK("CSG10.html#group26D10", "26D¹⁰"), =HYPERLINK("CSG23.html#group52E23", "52E²³"), =HYPERLINK("CSG17.html#group39A17", "39A¹⁷")</f>
        <v/>
      </c>
    </row>
    <row r="308">
      <c r="A308" t="inlineStr">
        <is>
          <t>14A²</t>
        </is>
      </c>
      <c r="B308" t="inlineStr"/>
      <c r="C308" t="inlineStr">
        <is>
          <t>42</t>
        </is>
      </c>
      <c r="D308" t="inlineStr">
        <is>
          <t>2</t>
        </is>
      </c>
      <c r="E308" t="inlineStr">
        <is>
          <t>21</t>
        </is>
      </c>
      <c r="F308" t="inlineStr">
        <is>
          <t>2</t>
        </is>
      </c>
      <c r="G308" t="inlineStr">
        <is>
          <t>0</t>
        </is>
      </c>
      <c r="H308" t="inlineStr">
        <is>
          <t>7², 14²</t>
        </is>
      </c>
      <c r="I308" t="n">
        <v>4</v>
      </c>
      <c r="J308" t="inlineStr">
        <is>
          <t>2³, 6⁶</t>
        </is>
      </c>
      <c r="K308">
        <f>HYPERLINK("CSG0.html#group7C0", "7C⁰"), =HYPERLINK("CSG1.html#group14B1", "14B¹")</f>
        <v/>
      </c>
      <c r="L308">
        <f>HYPERLINK("CSG4.html#group14A4", "14A⁴"), =HYPERLINK("CSG5.html#group14D5", "14D⁵"), =HYPERLINK("CSG5.html#group28A5", "28A⁵"), =HYPERLINK("CSG5.html#group28B5", "28B⁵"), =HYPERLINK("CSG7.html#group14C7", "14C⁷"), =HYPERLINK("CSG8.html#group42A8", "42A⁸"), =HYPERLINK("CSG8.html#group42B8", "42B⁸"), =HYPERLINK("CSG11.html#group42C11", "42C¹¹"), =HYPERLINK("CSG16.html#group70A16", "70A¹⁶"), =HYPERLINK("CSG17.html#group70E17", "70E¹⁷")</f>
        <v/>
      </c>
      <c r="M308">
        <f>HYPERLINK("CSG0.html#group2B0", "2B⁰"), =HYPERLINK("CSG1.html#group14B1", "14B¹"), =HYPERLINK("CSG0.html#group1A0", "1A⁰"), =HYPERLINK("CSG0.html#group7C0", "7C⁰"), =HYPERLINK("CSG0.html#group7A0", "7A⁰")</f>
        <v/>
      </c>
      <c r="N308">
        <f>HYPERLINK("CSG23.html#group56F23", "56F²³"), =HYPERLINK("CSG23.html#group56D23", "56D²³"), =HYPERLINK("CSG17.html#group84G17", "84G¹⁷"), =HYPERLINK("CSG16.html#group70A16", "70A¹⁶"), =HYPERLINK("CSG8.html#group42A8", "42A⁸"), =HYPERLINK("CSG23.html#group28E23", "28E²³"), =HYPERLINK("CSG13.html#group28E13", "28E¹³"), =HYPERLINK("CSG13.html#group28D13", "28D¹³"), =HYPERLINK("CSG23.html#group56G23", "56G²³"), =HYPERLINK("CSG17.html#group70E17", "70E¹⁷"), =HYPERLINK("CSG11.html#group14A11", "14A¹¹"), =HYPERLINK("CSG23.html#group14A23", "14A²³"), =HYPERLINK("CSG15.html#group28G15", "28G¹⁵"), =HYPERLINK("CSG23.html#group28C23", "28C²³"), =HYPERLINK("CSG17.html#group28A17", "28A¹⁷"), =HYPERLINK("CSG17.html#group84D17", "84D¹⁷"), =HYPERLINK("CSG19.html#group42G19", "42G¹⁹"), =HYPERLINK("CSG23.html#group112A23", "112A²³"), =HYPERLINK("CSG21.html#group28E21", "28E²¹"), =HYPERLINK("CSG23.html#group112F23", "112F²³"), =HYPERLINK("CSG23.html#group56E23", "56E²³"), =HYPERLINK("CSG4.html#group14A4", "14A⁴"), =HYPERLINK("CSG22.html#group42C22", "42C²²"), =HYPERLINK("CSG17.html#group84E17", "84E¹⁷"), =HYPERLINK("CSG19.html#group84A19", "84A¹⁹"), =HYPERLINK("CSG11.html#group56A11", "56A¹¹"), =HYPERLINK("CSG8.html#group42B8", "42B⁸"), =HYPERLINK("CSG9.html#group14C9", "14C⁹"), =HYPERLINK("CSG11.html#group56C11", "56C¹¹"), =HYPERLINK("CSG5.html#group14D5", "14D⁵"), =HYPERLINK("CSG7.html#group14C7", "14C⁷"), =HYPERLINK("CSG23.html#group42F23", "42F²³"), =HYPERLINK("CSG13.html#group56B13", "56B¹³"), =HYPERLINK("CSG19.html#group84B19", "84B¹⁹"), =HYPERLINK("CSG11.html#group42C11", "42C¹¹"), =HYPERLINK("CSG13.html#group14C13", "14C¹³"), =HYPERLINK("CSG11.html#group28C11", "28C¹¹"), =HYPERLINK("CSG19.html#group84F19", "84F¹⁹"), =HYPERLINK("CSG5.html#group28A5", "28A⁵"), =HYPERLINK("CSG5.html#group28B5", "28B⁵"), =HYPERLINK("CSG23.html#group56A23", "56A²³"), =HYPERLINK("CSG11.html#group56B11", "56B¹¹"), =HYPERLINK("CSG17.html#group42C17", "42C¹⁷"), =HYPERLINK("CSG17.html#group42G17", "42G¹⁷"), =HYPERLINK("CSG23.html#group112G23", "112G²³"), =HYPERLINK("CSG11.html#group28D11", "28D¹¹"), =HYPERLINK("CSG19.html#group42I19", "42I¹⁹"), =HYPERLINK("CSG23.html#group56H23", "56H²³"), =HYPERLINK("CSG19.html#group14A19", "14A¹⁹"), =HYPERLINK("CSG11.html#group28I11", "28I¹¹"), =HYPERLINK("CSG23.html#group112B23", "112B²³"), =HYPERLINK("CSG17.html#group14B17", "14B¹⁷"), =HYPERLINK("CSG23.html#group84B23", "84B²³")</f>
        <v/>
      </c>
    </row>
    <row r="309">
      <c r="A309" t="inlineStr">
        <is>
          <t>14B²</t>
        </is>
      </c>
      <c r="B309" t="inlineStr"/>
      <c r="C309" t="inlineStr">
        <is>
          <t>42</t>
        </is>
      </c>
      <c r="D309" t="inlineStr">
        <is>
          <t>2</t>
        </is>
      </c>
      <c r="E309" t="inlineStr">
        <is>
          <t>21</t>
        </is>
      </c>
      <c r="F309" t="inlineStr">
        <is>
          <t>4</t>
        </is>
      </c>
      <c r="G309" t="inlineStr">
        <is>
          <t>0</t>
        </is>
      </c>
      <c r="H309" t="inlineStr">
        <is>
          <t>14³</t>
        </is>
      </c>
      <c r="I309" t="n">
        <v>3</v>
      </c>
      <c r="J309" t="inlineStr">
        <is>
          <t>6⁷</t>
        </is>
      </c>
      <c r="K309">
        <f>HYPERLINK("CSG0.html#group7D0", "7D⁰"), =HYPERLINK("CSG0.html#group14A0", "14A⁰")</f>
        <v/>
      </c>
      <c r="L309">
        <f>HYPERLINK("CSG3.html#group14F3", "14F³"), =HYPERLINK("CSG5.html#group14A5", "14A⁵"), =HYPERLINK("CSG5.html#group14C5", "14C⁵"), =HYPERLINK("CSG6.html#group14A6", "14A⁶"), =HYPERLINK("CSG7.html#group42H7", "42H⁷"), =HYPERLINK("CSG10.html#group28B10", "28B¹⁰"), =HYPERLINK("CSG12.html#group42F12", "42F¹²"), =HYPERLINK("CSG16.html#group70B16", "70B¹⁶"), =HYPERLINK("CSG17.html#group70F17", "70F¹⁷"), =HYPERLINK("CSG23.html#group98A23", "98A²³")</f>
        <v/>
      </c>
      <c r="M309">
        <f>HYPERLINK("CSG0.html#group14A0", "14A⁰"), =HYPERLINK("CSG0.html#group7D0", "7D⁰"), =HYPERLINK("CSG0.html#group1A0", "1A⁰"), =HYPERLINK("CSG0.html#group7A0", "7A⁰")</f>
        <v/>
      </c>
      <c r="N309">
        <f>HYPERLINK("CSG24.html#group56M24", "56M²⁴"), =HYPERLINK("CSG16.html#group28E16", "28E¹⁶"), =HYPERLINK("CSG7.html#group42H7", "42H⁷"), =HYPERLINK("CSG17.html#group42D17", "42D¹⁷"), =HYPERLINK("CSG15.html#group42G15", "42G¹⁵"), =HYPERLINK("CSG5.html#group14C5", "14C⁵"), =HYPERLINK("CSG9.html#group14A9", "14A⁹"), =HYPERLINK("CSG14.html#group28B14", "28B¹⁴"), =HYPERLINK("CSG6.html#group14A6", "14A⁶"), =HYPERLINK("CSG13.html#group42J13", "42J¹³"), =HYPERLINK("CSG11.html#group14A11", "14A¹¹"), =HYPERLINK("CSG23.html#group98A23", "98A²³"), =HYPERLINK("CSG23.html#group14A23", "14A²³"), =HYPERLINK("CSG19.html#group28C19", "28C¹⁹"), =HYPERLINK("CSG24.html#group56N24", "56N²⁴"), =HYPERLINK("CSG3.html#group14F3", "14F³"), =HYPERLINK("CSG12.html#group42F12", "42F¹²"), =HYPERLINK("CSG19.html#group42A19", "42A¹⁹"), =HYPERLINK("CSG19.html#group42F19", "42F¹⁹"), =HYPERLINK("CSG24.html#group56L24", "56L²⁴"), =HYPERLINK("CSG23.html#group42E23", "42E²³"), =HYPERLINK("CSG10.html#group28B10", "28B¹⁰"), =HYPERLINK("CSG23.html#group42C23", "42C²³"), =HYPERLINK("CSG7.html#group14B7", "14B⁷"), =HYPERLINK("CSG17.html#group14A17", "14A¹⁷"), =HYPERLINK("CSG13.html#group14B13", "14B¹³"), =HYPERLINK("CSG17.html#group70F17", "70F¹⁷"), =HYPERLINK("CSG13.html#group14C13", "14C¹³"), =HYPERLINK("CSG16.html#group28D16", "28D¹⁶"), =HYPERLINK("CSG14.html#group28C14", "28C¹⁴"), =HYPERLINK("CSG16.html#group70B16", "70B¹⁶"), =HYPERLINK("CSG23.html#group28D23", "28D²³"), =HYPERLINK("CSG17.html#group42E17", "42E¹⁷"), =HYPERLINK("CSG23.html#group42I23", "42I²³"), =HYPERLINK("CSG19.html#group42H19", "42H¹⁹"), =HYPERLINK("CSG24.html#group56K24", "56K²⁴"), =HYPERLINK("CSG5.html#group14A5", "14A⁵"), =HYPERLINK("CSG15.html#group42E15", "42E¹⁵"), =HYPERLINK("CSG21.html#group28A21", "28A²¹"), =HYPERLINK("CSG23.html#group28A23", "28A²³")</f>
        <v/>
      </c>
    </row>
    <row r="310">
      <c r="A310" t="inlineStr">
        <is>
          <t>14C²</t>
        </is>
      </c>
      <c r="B310" t="inlineStr"/>
      <c r="C310" t="inlineStr">
        <is>
          <t>42</t>
        </is>
      </c>
      <c r="D310" t="inlineStr">
        <is>
          <t>2</t>
        </is>
      </c>
      <c r="E310" t="inlineStr">
        <is>
          <t>21</t>
        </is>
      </c>
      <c r="F310" t="inlineStr">
        <is>
          <t>4</t>
        </is>
      </c>
      <c r="G310" t="inlineStr">
        <is>
          <t>0</t>
        </is>
      </c>
      <c r="H310" t="inlineStr">
        <is>
          <t>14³</t>
        </is>
      </c>
      <c r="I310" t="n">
        <v>3</v>
      </c>
      <c r="J310" t="inlineStr">
        <is>
          <t>2³, 6⁶</t>
        </is>
      </c>
      <c r="K310">
        <f>HYPERLINK("CSG0.html#group14A0", "14A⁰"), =HYPERLINK("CSG1.html#group14B1", "14B¹")</f>
        <v/>
      </c>
      <c r="L310">
        <f>HYPERLINK("CSG4.html#group28C4", "28C⁴"), =HYPERLINK("CSG5.html#group14D5", "14D⁵"), =HYPERLINK("CSG6.html#group14A6", "14A⁶"), =HYPERLINK("CSG6.html#group28A6", "28A⁶"), =HYPERLINK("CSG7.html#group14D7", "14D⁷"), =HYPERLINK("CSG7.html#group42I7", "42I⁷"), =HYPERLINK("CSG12.html#group42G12", "42G¹²"), =HYPERLINK("CSG16.html#group70C16", "70C¹⁶"), =HYPERLINK("CSG17.html#group70G17", "70G¹⁷")</f>
        <v/>
      </c>
      <c r="M310">
        <f>HYPERLINK("CSG0.html#group14A0", "14A⁰"), =HYPERLINK("CSG0.html#group2B0", "2B⁰"), =HYPERLINK("CSG1.html#group14B1", "14B¹"), =HYPERLINK("CSG0.html#group1A0", "1A⁰"), =HYPERLINK("CSG0.html#group7A0", "7A⁰")</f>
        <v/>
      </c>
      <c r="N310">
        <f>HYPERLINK("CSG22.html#group112A22", "112A²²"), =HYPERLINK("CSG16.html#group28E16", "28E¹⁶"), =HYPERLINK("CSG24.html#group112H24", "112H²⁴"), =HYPERLINK("CSG4.html#group28C4", "28C⁴"), =HYPERLINK("CSG17.html#group42F17", "42F¹⁷"), =HYPERLINK("CSG23.html#group56F23", "56F²³"), =HYPERLINK("CSG24.html#group56J24", "56J²⁴"), =HYPERLINK("CSG7.html#group14D7", "14D⁷"), =HYPERLINK("CSG17.html#group28B17", "28B¹⁷"), =HYPERLINK("CSG9.html#group56B9", "56B⁹"), =HYPERLINK("CSG14.html#group28B14", "28B¹⁴"), =HYPERLINK("CSG10.html#group56A10", "56A¹⁰"), =HYPERLINK("CSG6.html#group14A6", "14A⁶"), =HYPERLINK("CSG15.html#group42H15", "42H¹⁵"), =HYPERLINK("CSG7.html#group42I7", "42I⁷"), =HYPERLINK("CSG21.html#group28B21", "28B²¹"), =HYPERLINK("CSG11.html#group14A11", "14A¹¹"), =HYPERLINK("CSG23.html#group14A23", "14A²³"), =HYPERLINK("CSG23.html#group112C23", "112C²³"), =HYPERLINK("CSG24.html#group56E24", "56E²⁴"), =HYPERLINK("CSG12.html#group56C12", "56C¹²"), =HYPERLINK("CSG23.html#group28C23", "28C²³"), =HYPERLINK("CSG19.html#group42G19", "42G¹⁹"), =HYPERLINK("CSG21.html#group56J21", "56J²¹"), =HYPERLINK("CSG21.html#group28G21", "28G²¹"), =HYPERLINK("CSG20.html#group84A20", "84A²⁰"), =HYPERLINK("CSG22.html#group56C22", "56C²²"), =HYPERLINK("CSG5.html#group14D5", "14D⁵"), =HYPERLINK("CSG23.html#group42F23", "42F²³"), =HYPERLINK("CSG16.html#group84G16", "84G¹⁶"), =HYPERLINK("CSG19.html#group112A19", "112A¹⁹"), =HYPERLINK("CSG14.html#group84C14", "84C¹⁴"), =HYPERLINK("CSG13.html#group14B13", "14B¹³"), =HYPERLINK("CSG11.html#group28C11", "28C¹¹"), =HYPERLINK("CSG13.html#group14C13", "14C¹³"), =HYPERLINK("CSG14.html#group28C14", "28C¹⁴"), =HYPERLINK("CSG16.html#group28D16", "28D¹⁶"), =HYPERLINK("CSG18.html#group84C18", "84C¹⁸"), =HYPERLINK("CSG21.html#group28H21", "28H²¹"), =HYPERLINK("CSG23.html#group112L23", "112L²³"), =HYPERLINK("CSG23.html#group56A23", "56A²³"), =HYPERLINK("CSG12.html#group42G12", "42G¹²"), =HYPERLINK("CSG10.html#group28A10", "28A¹⁰"), =HYPERLINK("CSG19.html#group42I19", "42I¹⁹"), =HYPERLINK("CSG17.html#group28C17", "28C¹⁷"), =HYPERLINK("CSG17.html#group70G17", "70G¹⁷"), =HYPERLINK("CSG13.html#group56A13", "56A¹³"), =HYPERLINK("CSG6.html#group28A6", "28A⁶"), =HYPERLINK("CSG16.html#group70C16", "70C¹⁶"), =HYPERLINK("CSG17.html#group14B17", "14B¹⁷"), =HYPERLINK("CSG24.html#group112G24", "112G²⁴"), =HYPERLINK("CSG21.html#group56K21", "56K²¹"), =HYPERLINK("CSG17.html#group28D17", "28D¹⁷")</f>
        <v/>
      </c>
    </row>
    <row r="311">
      <c r="A311" t="inlineStr">
        <is>
          <t>14D²</t>
        </is>
      </c>
      <c r="B311" t="inlineStr"/>
      <c r="C311" t="inlineStr">
        <is>
          <t>48</t>
        </is>
      </c>
      <c r="D311" t="inlineStr">
        <is>
          <t>1</t>
        </is>
      </c>
      <c r="E311" t="inlineStr">
        <is>
          <t>8</t>
        </is>
      </c>
      <c r="F311" t="inlineStr">
        <is>
          <t>0</t>
        </is>
      </c>
      <c r="G311" t="inlineStr">
        <is>
          <t>0</t>
        </is>
      </c>
      <c r="H311" t="inlineStr">
        <is>
          <t>2³, 14³</t>
        </is>
      </c>
      <c r="I311" t="n">
        <v>6</v>
      </c>
      <c r="J311" t="inlineStr">
        <is>
          <t>1², 6¹</t>
        </is>
      </c>
      <c r="K311">
        <f>HYPERLINK("CSG0.html#group7E0", "7E⁰"), =HYPERLINK("CSG0.html#group14B0", "14B⁰")</f>
        <v/>
      </c>
      <c r="L311">
        <f>HYPERLINK("CSG4.html#group14B4", "14B⁴"), =HYPERLINK("CSG6.html#group28D6", "28D⁶"), =HYPERLINK("CSG10.html#group42D10", "42D¹⁰"), =HYPERLINK("CSG10.html#group42F10", "42F¹⁰"), =HYPERLINK("CSG11.html#group28G11", "28G¹¹"), =HYPERLINK("CSG11.html#group42F11", "42F¹¹"), =HYPERLINK("CSG17.html#group14A17", "14A¹⁷"), =HYPERLINK("CSG17.html#group98A17", "98A¹⁷"), =HYPERLINK("CSG18.html#group70B18", "70B¹⁸"), =HYPERLINK("CSG19.html#group70F19", "70F¹⁹")</f>
        <v/>
      </c>
      <c r="M311">
        <f>HYPERLINK("CSG0.html#group2A0", "2A⁰"), =HYPERLINK("CSG0.html#group7E0", "7E⁰"), =HYPERLINK("CSG0.html#group1A0", "1A⁰"), =HYPERLINK("CSG0.html#group7B0", "7B⁰"), =HYPERLINK("CSG0.html#group14B0", "14B⁰")</f>
        <v/>
      </c>
      <c r="N311">
        <f>HYPERLINK("CSG21.html#group28N21", "28N²¹"), =HYPERLINK("CSG17.html#group14A17", "14A¹⁷"), =HYPERLINK("CSG17.html#group98A17", "98A¹⁷"), =HYPERLINK("CSG19.html#group42O19", "42O¹⁹"), =HYPERLINK("CSG6.html#group28D6", "28D⁶"), =HYPERLINK("CSG4.html#group14B4", "14B⁴"), =HYPERLINK("CSG11.html#group42F11", "42F¹¹"), =HYPERLINK("CSG18.html#group70B18", "70B¹⁸"), =HYPERLINK("CSG16.html#group28G16", "28G¹⁶"), =HYPERLINK("CSG22.html#group84E22", "84E²²"), =HYPERLINK("CSG19.html#group70F19", "70F¹⁹"), =HYPERLINK("CSG22.html#group84B22", "84B²²"), =HYPERLINK("CSG10.html#group42D10", "42D¹⁰"), =HYPERLINK("CSG21.html#group42G21", "42G²¹"), =HYPERLINK("CSG13.html#group28F13", "28F¹³"), =HYPERLINK("CSG10.html#group42F10", "42F¹⁰"), =HYPERLINK("CSG22.html#group84C22", "84C²²"), =HYPERLINK("CSG11.html#group28G11", "28G¹¹"), =HYPERLINK("CSG10.html#group28C10", "28C¹⁰")</f>
        <v/>
      </c>
    </row>
    <row r="312">
      <c r="A312" t="inlineStr">
        <is>
          <t>14E²</t>
        </is>
      </c>
      <c r="B312" t="inlineStr"/>
      <c r="C312" t="inlineStr">
        <is>
          <t>48</t>
        </is>
      </c>
      <c r="D312" t="inlineStr">
        <is>
          <t>1</t>
        </is>
      </c>
      <c r="E312" t="inlineStr">
        <is>
          <t>8</t>
        </is>
      </c>
      <c r="F312" t="inlineStr">
        <is>
          <t>0</t>
        </is>
      </c>
      <c r="G312" t="inlineStr">
        <is>
          <t>0</t>
        </is>
      </c>
      <c r="H312" t="inlineStr">
        <is>
          <t>2³, 14³</t>
        </is>
      </c>
      <c r="I312" t="n">
        <v>6</v>
      </c>
      <c r="J312" t="inlineStr">
        <is>
          <t>1², 6¹</t>
        </is>
      </c>
      <c r="K312">
        <f>HYPERLINK("CSG0.html#group2C0", "2C⁰"), =HYPERLINK("CSG0.html#group14B0", "14B⁰"), =HYPERLINK("CSG1.html#group14C1", "14C¹")</f>
        <v/>
      </c>
      <c r="L312">
        <f>HYPERLINK("CSG4.html#group14B4", "14B⁴"), =HYPERLINK("CSG4.html#group28D4", "28D⁴"), =HYPERLINK("CSG5.html#group28E5", "28E⁵"), =HYPERLINK("CSG6.html#group28E6", "28E⁶"), =HYPERLINK("CSG10.html#group42E10", "42E¹⁰"), =HYPERLINK("CSG10.html#group42J10", "42J¹⁰"), =HYPERLINK("CSG11.html#group42G11", "42G¹¹"), =HYPERLINK("CSG17.html#group14B17", "14B¹⁷"), =HYPERLINK("CSG17.html#group98B17", "98B¹⁷"), =HYPERLINK("CSG18.html#group70C18", "70C¹⁸"), =HYPERLINK("CSG19.html#group70G19", "70G¹⁹")</f>
        <v/>
      </c>
      <c r="M312">
        <f>HYPERLINK("CSG0.html#group2A0", "2A⁰"), =HYPERLINK("CSG0.html#group7B0", "7B⁰"), =HYPERLINK("CSG0.html#group14B0", "14B⁰"), =HYPERLINK("CSG1.html#group14C1", "14C¹"), =HYPERLINK("CSG0.html#group2B0", "2B⁰"), =HYPERLINK("CSG0.html#group1A0", "1A⁰"), =HYPERLINK("CSG0.html#group2C0", "2C⁰")</f>
        <v/>
      </c>
      <c r="N312">
        <f>HYPERLINK("CSG23.html#group112P23", "112P²³"), =HYPERLINK("CSG23.html#group56O23", "56O²³"), =HYPERLINK("CSG23.html#group56V23", "56V²³"), =HYPERLINK("CSG4.html#group14B4", "14B⁴"), =HYPERLINK("CSG19.html#group42P19", "42P¹⁹"), =HYPERLINK("CSG23.html#group56P23", "56P²³"), =HYPERLINK("CSG22.html#group84K22", "84K²²"), =HYPERLINK("CSG20.html#group84I20", "84I²⁰"), =HYPERLINK("CSG21.html#group28M21", "28M²¹"), =HYPERLINK("CSG4.html#group28D4", "28D⁴"), =HYPERLINK("CSG11.html#group56M11", "56M¹¹"), =HYPERLINK("CSG20.html#group84K20", "84K²⁰"), =HYPERLINK("CSG11.html#group56Q11", "56Q¹¹"), =HYPERLINK("CSG16.html#group28G16", "28G¹⁶"), =HYPERLINK("CSG5.html#group28E5", "28E⁵"), =HYPERLINK("CSG21.html#group56N21", "56N²¹"), =HYPERLINK("CSG18.html#group70C18", "70C¹⁸"), =HYPERLINK("CSG11.html#group56R11", "56R¹¹"), =HYPERLINK("CSG10.html#group28C10", "28C¹⁰"), =HYPERLINK("CSG11.html#group42G11", "42G¹¹"), =HYPERLINK("CSG22.html#group84F22", "84F²²"), =HYPERLINK("CSG21.html#group42H21", "42H²¹"), =HYPERLINK("CSG10.html#group42J10", "42J¹⁰"), =HYPERLINK("CSG22.html#group84A22", "84A²²"), =HYPERLINK("CSG23.html#group112O23", "112O²³"), =HYPERLINK("CSG11.html#group28F11", "28F¹¹"), =HYPERLINK("CSG21.html#group84A21", "84A²¹"), =HYPERLINK("CSG23.html#group84J23", "84J²³"), =HYPERLINK("CSG17.html#group98B17", "98B¹⁷"), =HYPERLINK("CSG11.html#group56L11", "56L¹¹"), =HYPERLINK("CSG10.html#group42E10", "42E¹⁰"), =HYPERLINK("CSG23.html#group56W23", "56W²³"), =HYPERLINK("CSG6.html#group28E6", "28E⁶"), =HYPERLINK("CSG21.html#group56L21", "56L²¹"), =HYPERLINK("CSG11.html#group28E11", "28E¹¹"), =HYPERLINK("CSG23.html#group84I23", "84I²³"), =HYPERLINK("CSG9.html#group28F9", "28F⁹"), =HYPERLINK("CSG21.html#group84F21", "84F²¹"), =HYPERLINK("CSG13.html#group56G13", "56G¹³"), =HYPERLINK("CSG21.html#group84G21", "84G²¹"), =HYPERLINK("CSG13.html#group28F13", "28F¹³"), =HYPERLINK("CSG23.html#group56R23", "56R²³"), =HYPERLINK("CSG20.html#group84M20", "84M²⁰"), =HYPERLINK("CSG17.html#group14B17", "14B¹⁷"), =HYPERLINK("CSG23.html#group56Q23", "56Q²³"), =HYPERLINK("CSG19.html#group70G19", "70G¹⁹"), =HYPERLINK("CSG13.html#group56H13", "56H¹³")</f>
        <v/>
      </c>
    </row>
    <row r="313">
      <c r="A313" t="inlineStr">
        <is>
          <t>14F²</t>
        </is>
      </c>
      <c r="B313" t="inlineStr"/>
      <c r="C313" t="inlineStr">
        <is>
          <t>63</t>
        </is>
      </c>
      <c r="D313" t="inlineStr">
        <is>
          <t>1</t>
        </is>
      </c>
      <c r="E313" t="inlineStr">
        <is>
          <t>63</t>
        </is>
      </c>
      <c r="F313" t="inlineStr">
        <is>
          <t>5</t>
        </is>
      </c>
      <c r="G313" t="inlineStr">
        <is>
          <t>0</t>
        </is>
      </c>
      <c r="H313" t="inlineStr">
        <is>
          <t>7³, 14³</t>
        </is>
      </c>
      <c r="I313" t="n">
        <v>6</v>
      </c>
      <c r="J313" t="inlineStr">
        <is>
          <t>3³, 6⁹</t>
        </is>
      </c>
      <c r="K313">
        <f>HYPERLINK("CSG0.html#group7D0", "7D⁰"), =HYPERLINK("CSG1.html#group14B1", "14B¹")</f>
        <v/>
      </c>
      <c r="L313">
        <f>HYPERLINK("CSG4.html#group14A4", "14A⁴"), =HYPERLINK("CSG5.html#group14F5", "14F⁵"), =HYPERLINK("CSG5.html#group14G5", "14G⁵"), =HYPERLINK("CSG5.html#group28H5", "28H⁵"), =HYPERLINK("CSG6.html#group14A6", "14A⁶"), =HYPERLINK("CSG6.html#group28I6", "28I⁶"), =HYPERLINK("CSG6.html#group28J6", "28J⁶"), =HYPERLINK("CSG7.html#group14A7", "14A⁷"), =HYPERLINK("CSG7.html#group28B7", "28B⁷"), =HYPERLINK("CSG7.html#group28C7", "28C⁷"), =HYPERLINK("CSG8.html#group28A8", "28A⁸"), =HYPERLINK("CSG10.html#group42K10", "42K¹⁰"), =HYPERLINK("CSG16.html#group42A16", "42A¹⁶"), =HYPERLINK("CSG23.html#group70A23", "70A²³"), =HYPERLINK("CSG24.html#group70A24", "70A²⁴")</f>
        <v/>
      </c>
      <c r="M313">
        <f>HYPERLINK("CSG0.html#group2B0", "2B⁰"), =HYPERLINK("CSG0.html#group7D0", "7D⁰"), =HYPERLINK("CSG1.html#group14B1", "14B¹"), =HYPERLINK("CSG0.html#group1A0", "1A⁰"), =HYPERLINK("CSG0.html#group7A0", "7A⁰")</f>
        <v/>
      </c>
      <c r="N313">
        <f>HYPERLINK("CSG22.html#group84M22", "84M²²"), =HYPERLINK("CSG16.html#group28B16", "28B¹⁶"), =HYPERLINK("CSG16.html#group28E16", "28E¹⁶"), =HYPERLINK("CSG10.html#group42K10", "42K¹⁰"), =HYPERLINK("CSG24.html#group42D24", "42D²⁴"), =HYPERLINK("CSG24.html#group42C24", "42C²⁴"), =HYPERLINK("CSG14.html#group56G14", "56G¹⁴"), =HYPERLINK("CSG12.html#group28D12", "28D¹²"), =HYPERLINK("CSG13.html#group28E13", "28E¹³"), =HYPERLINK("CSG6.html#group28I6", "28I⁶"), =HYPERLINK("CSG17.html#group56B17", "56B¹⁷"), =HYPERLINK("CSG13.html#group28D13", "28D¹³"), =HYPERLINK("CSG23.html#group28E23", "28E²³"), =HYPERLINK("CSG6.html#group14A6", "14A⁶"), =HYPERLINK("CSG14.html#group28B14", "28B¹⁴"), =HYPERLINK("CSG16.html#group56B16", "56B¹⁶"), =HYPERLINK("CSG24.html#group70A24", "70A²⁴"), =HYPERLINK("CSG19.html#group56A19", "56A¹⁹"), =HYPERLINK("CSG11.html#group14A11", "14A¹¹"), =HYPERLINK("CSG15.html#group28D15", "28D¹⁵"), =HYPERLINK("CSG23.html#group14A23", "14A²³"), =HYPERLINK("CSG5.html#group14G5", "14G⁵"), =HYPERLINK("CSG23.html#group42K23", "42K²³"), =HYPERLINK("CSG15.html#group28H15", "28H¹⁵"), =HYPERLINK("CSG15.html#group56G15", "56G¹⁵"), =HYPERLINK("CSG18.html#group56A18", "56A¹⁸"), =HYPERLINK("CSG13.html#group28C13", "28C¹³"), =HYPERLINK("CSG5.html#group28H5", "28H⁵"), =HYPERLINK("CSG24.html#group84E24", "84E²⁴"), =HYPERLINK("CSG15.html#group28G15", "28G¹⁵"), =HYPERLINK("CSG16.html#group28F16", "28F¹⁶"), =HYPERLINK("CSG15.html#group28F15", "28F¹⁵"), =HYPERLINK("CSG15.html#group28C15", "28C¹⁵"), =HYPERLINK("CSG15.html#group56H15", "56H¹⁵"), =HYPERLINK("CSG7.html#group28C7", "28C⁷"), =HYPERLINK("CSG15.html#group56F15", "56F¹⁵"), =HYPERLINK("CSG22.html#group42B22", "42B²²"), =HYPERLINK("CSG15.html#group28E15", "28E¹⁵"), =HYPERLINK("CSG4.html#group14A4", "14A⁴"), =HYPERLINK("CSG22.html#group42C22", "42C²²"), =HYPERLINK("CSG14.html#group28A14", "28A¹⁴"), =HYPERLINK("CSG13.html#group28B13", "28B¹³"), =HYPERLINK("CSG9.html#group14C9", "14C⁹"), =HYPERLINK("CSG8.html#group28A8", "28A⁸"), =HYPERLINK("CSG16.html#group56C16", "56C¹⁶"), =HYPERLINK("CSG13.html#group14B13", "14B¹³"), =HYPERLINK("CSG23.html#group70A23", "70A²³"), =HYPERLINK("CSG16.html#group28C16", "28C¹⁶"), =HYPERLINK("CSG16.html#group28D16", "28D¹⁶"), =HYPERLINK("CSG14.html#group28C14", "28C¹⁴"), =HYPERLINK("CSG5.html#group14F5", "14F⁵"), =HYPERLINK("CSG13.html#group14C13", "14C¹³"), =HYPERLINK("CSG16.html#group28A16", "28A¹⁶"), =HYPERLINK("CSG16.html#group42A16", "42A¹⁶"), =HYPERLINK("CSG16.html#group56A16", "56A¹⁶"), =HYPERLINK("CSG7.html#group14A7", "14A⁷"), =HYPERLINK("CSG13.html#group14A13", "14A¹³"), =HYPERLINK("CSG6.html#group28J6", "28J⁶"), =HYPERLINK("CSG15.html#group56E15", "56E¹⁵"), =HYPERLINK("CSG22.html#group42A22", "42A²²"), =HYPERLINK("CSG23.html#group84F23", "84F²³"), =HYPERLINK("CSG19.html#group14A19", "14A¹⁹"), =HYPERLINK("CSG11.html#group28I11", "28I¹¹"), =HYPERLINK("CSG16.html#group56D16", "56D¹⁶"), =HYPERLINK("CSG7.html#group28B7", "28B⁷"), =HYPERLINK("CSG22.html#group84N22", "84N²²"), =HYPERLINK("CSG23.html#group42L23", "42L²³")</f>
        <v/>
      </c>
    </row>
    <row r="314">
      <c r="A314" t="inlineStr">
        <is>
          <t>15A²</t>
        </is>
      </c>
      <c r="B314" t="inlineStr"/>
      <c r="C314" t="inlineStr">
        <is>
          <t>30</t>
        </is>
      </c>
      <c r="D314" t="inlineStr">
        <is>
          <t>1</t>
        </is>
      </c>
      <c r="E314" t="inlineStr">
        <is>
          <t>15</t>
        </is>
      </c>
      <c r="F314" t="inlineStr">
        <is>
          <t>2</t>
        </is>
      </c>
      <c r="G314" t="inlineStr">
        <is>
          <t>0</t>
        </is>
      </c>
      <c r="H314" t="inlineStr">
        <is>
          <t>15²</t>
        </is>
      </c>
      <c r="I314" t="n">
        <v>2</v>
      </c>
      <c r="J314" t="inlineStr">
        <is>
          <t>1¹, 2¹, 4¹, 8¹</t>
        </is>
      </c>
      <c r="K314">
        <f>HYPERLINK("CSG0.html#group3C0", "3C⁰"), =HYPERLINK("CSG1.html#group15A1", "15A¹")</f>
        <v/>
      </c>
      <c r="L314">
        <f>HYPERLINK("CSG4.html#group15A4", "15A⁴"), =HYPERLINK("CSG4.html#group15C4", "15C⁴"), =HYPERLINK("CSG4.html#group30A4", "30A⁴"), =HYPERLINK("CSG5.html#group30B5", "30B⁵"), =HYPERLINK("CSG6.html#group30A6", "30A⁶"), =HYPERLINK("CSG6.html#group45A6", "45A⁶"), =HYPERLINK("CSG6.html#group45B6", "45B⁶"), =HYPERLINK("CSG6.html#group45C6", "45C⁶"), =HYPERLINK("CSG7.html#group15B7", "15B⁷"), =HYPERLINK("CSG7.html#group45A7", "45A⁷"), =HYPERLINK("CSG9.html#group60C9", "60C⁹"), =HYPERLINK("CSG16.html#group105B16", "105B¹⁶"), =HYPERLINK("CSG19.html#group105B19", "105B¹⁹")</f>
        <v/>
      </c>
      <c r="M314">
        <f>HYPERLINK("CSG0.html#group3C0", "3C⁰"), =HYPERLINK("CSG0.html#group5A0", "5A⁰"), =HYPERLINK("CSG0.html#group3A0", "3A⁰"), =HYPERLINK("CSG0.html#group1A0", "1A⁰"), =HYPERLINK("CSG1.html#group15A1", "15A¹")</f>
        <v/>
      </c>
      <c r="N314">
        <f>HYPERLINK("CSG6.html#group45C6", "45C⁶"), =HYPERLINK("CSG20.html#group45A20", "45A²⁰"), =HYPERLINK("CSG14.html#group45B14", "45B¹⁴"), =HYPERLINK("CSG19.html#group15A19", "15A¹⁹"), =HYPERLINK("CSG21.html#group90B21", "90B²¹"), =HYPERLINK("CSG16.html#group105B16", "105B¹⁶"), =HYPERLINK("CSG15.html#group90B15", "90B¹⁵"), =HYPERLINK("CSG13.html#group30F13", "30F¹³"), =HYPERLINK("CSG4.html#group30A4", "30A⁴"), =HYPERLINK("CSG12.html#group30A12", "30A¹²"), =HYPERLINK("CSG17.html#group30E17", "30E¹⁷"), =HYPERLINK("CSG9.html#group15A9", "15A⁹"), =HYPERLINK("CSG19.html#group90G19", "90G¹⁹"), =HYPERLINK("CSG6.html#group45B6", "45B⁶"), =HYPERLINK("CSG17.html#group15A17", "15A¹⁷"), =HYPERLINK("CSG14.html#group90H14", "90H¹⁴"), =HYPERLINK("CSG12.html#group45E12", "45E¹²"), =HYPERLINK("CSG13.html#group45I13", "45I¹³"), =HYPERLINK("CSG16.html#group30B16", "30B¹⁶"), =HYPERLINK("CSG12.html#group45A12", "45A¹²"), =HYPERLINK("CSG23.html#group30B23", "30B²³"), =HYPERLINK("CSG13.html#group45C13", "45C¹³"), =HYPERLINK("CSG12.html#group60B12", "60B¹²"), =HYPERLINK("CSG19.html#group60G19", "60G¹⁹"), =HYPERLINK("CSG13.html#group30B13", "30B¹³"), =HYPERLINK("CSG8.html#group15A8", "15A⁸"), =HYPERLINK("CSG14.html#group60C14", "60C¹⁴"), =HYPERLINK("CSG19.html#group45A19", "45A¹⁹"), =HYPERLINK("CSG13.html#group90C13", "90C¹³"), =HYPERLINK("CSG10.html#group15B10", "15B¹⁰"), =HYPERLINK("CSG20.html#group90A20", "90A²⁰"), =HYPERLINK("CSG15.html#group90C15", "90C¹⁵"), =HYPERLINK("CSG19.html#group105B19", "105B¹⁹"), =HYPERLINK("CSG19.html#group120C19", "120C¹⁹"), =HYPERLINK("CSG19.html#group15B19", "15B¹⁹"), =HYPERLINK("CSG14.html#group90D14", "90D¹⁴"), =HYPERLINK("CSG11.html#group30A11", "30A¹¹"), =HYPERLINK("CSG4.html#group15A4", "15A⁴"), =HYPERLINK("CSG7.html#group15B7", "15B⁷"), =HYPERLINK("CSG23.html#group45C23", "45C²³"), =HYPERLINK("CSG6.html#group45A6", "45A⁶"), =HYPERLINK("CSG13.html#group60D13", "60D¹³"), =HYPERLINK("CSG14.html#group45A14", "45A¹⁴"), =HYPERLINK("CSG23.html#group30E23", "30E²³"), =HYPERLINK("CSG12.html#group30E12", "30E¹²"), =HYPERLINK("CSG12.html#group90A12", "90A¹²"), =HYPERLINK("CSG23.html#group30D23", "30D²³"), =HYPERLINK("CSG5.html#group30B5", "30B⁵"), =HYPERLINK("CSG13.html#group30C13", "30C¹³"), =HYPERLINK("CSG19.html#group45E19", "45E¹⁹"), =HYPERLINK("CSG15.html#group90D15", "90D¹⁵"), =HYPERLINK("CSG13.html#group60C13", "60C¹³"), =HYPERLINK("CSG19.html#group120D19", "120D¹⁹"), =HYPERLINK("CSG6.html#group30A6", "30A⁶"), =HYPERLINK("CSG21.html#group30A21", "30A²¹"), =HYPERLINK("CSG9.html#group30A9", "30A⁹"), =HYPERLINK("CSG9.html#group60C9", "60C⁹"), =HYPERLINK("CSG13.html#group90A13", "90A¹³"), =HYPERLINK("CSG12.html#group90B12", "90B¹²"), =HYPERLINK("CSG16.html#group45B16", "45B¹⁶"), =HYPERLINK("CSG10.html#group30A10", "30A¹⁰"), =HYPERLINK("CSG19.html#group45D19", "45D¹⁹"), =HYPERLINK("CSG17.html#group60E17", "60E¹⁷"), =HYPERLINK("CSG7.html#group45A7", "45A⁷"), =HYPERLINK("CSG14.html#group90C14", "90C¹⁴"), =HYPERLINK("CSG19.html#group45B19", "45B¹⁹"), =HYPERLINK("CSG9.html#group60A9", "60A⁹"), =HYPERLINK("CSG15.html#group90A15", "90A¹⁵"), =HYPERLINK("CSG23.html#group30F23", "30F²³"), =HYPERLINK("CSG16.html#group45C16", "45C¹⁶"), =HYPERLINK("CSG4.html#group15C4", "15C⁴"), =HYPERLINK("CSG19.html#group45C19", "45C¹⁹"), =HYPERLINK("CSG17.html#group30D17", "30D¹⁷"), =HYPERLINK("CSG19.html#group60C19", "60C¹⁹"), =HYPERLINK("CSG15.html#group90F15", "90F¹⁵"), =HYPERLINK("CSG13.html#group15A13", "15A¹³"), =HYPERLINK("CSG19.html#group60A19", "60A¹⁹"), =HYPERLINK("CSG12.html#group30C12", "30C¹²"), =HYPERLINK("CSG23.html#group30C23", "30C²³"), =HYPERLINK("CSG20.html#group90B20", "90B²⁰")</f>
        <v/>
      </c>
    </row>
    <row r="315">
      <c r="A315" t="inlineStr">
        <is>
          <t>15B²</t>
        </is>
      </c>
      <c r="B315" t="inlineStr"/>
      <c r="C315" t="inlineStr">
        <is>
          <t>36</t>
        </is>
      </c>
      <c r="D315" t="inlineStr">
        <is>
          <t>1</t>
        </is>
      </c>
      <c r="E315" t="inlineStr">
        <is>
          <t>6</t>
        </is>
      </c>
      <c r="F315" t="inlineStr">
        <is>
          <t>0</t>
        </is>
      </c>
      <c r="G315" t="inlineStr">
        <is>
          <t>0</t>
        </is>
      </c>
      <c r="H315" t="inlineStr">
        <is>
          <t>3², 15²</t>
        </is>
      </c>
      <c r="I315" t="n">
        <v>4</v>
      </c>
      <c r="J315" t="inlineStr">
        <is>
          <t>1², 4¹</t>
        </is>
      </c>
      <c r="K315">
        <f>HYPERLINK("CSG0.html#group5D0", "5D⁰"), =HYPERLINK("CSG0.html#group15B0", "15B⁰")</f>
        <v/>
      </c>
      <c r="L315">
        <f>HYPERLINK("CSG3.html#group15F3", "15F³"), =HYPERLINK("CSG5.html#group30C5", "30C⁵"), =HYPERLINK("CSG5.html#group30G5", "30G⁵"), =HYPERLINK("CSG6.html#group30C6", "30C⁶"), =HYPERLINK("CSG8.html#group45A8", "45A⁸"), =HYPERLINK("CSG10.html#group15A10", "15A¹⁰"), =HYPERLINK("CSG10.html#group75A10", "75A¹⁰"), =HYPERLINK("CSG11.html#group60D11", "60D¹¹"), =HYPERLINK("CSG14.html#group75A14", "75A¹⁴"), =HYPERLINK("CSG14.html#group75B14", "75B¹⁴"), =HYPERLINK("CSG14.html#group75C14", "75C¹⁴"), =HYPERLINK("CSG14.html#group75D14", "75D¹⁴"), =HYPERLINK("CSG20.html#group105A20", "105A²⁰"), =HYPERLINK("CSG21.html#group105B21", "105B²¹")</f>
        <v/>
      </c>
      <c r="M315">
        <f>HYPERLINK("CSG0.html#group5B0", "5B⁰"), =HYPERLINK("CSG0.html#group5D0", "5D⁰"), =HYPERLINK("CSG0.html#group15B0", "15B⁰"), =HYPERLINK("CSG0.html#group3A0", "3A⁰"), =HYPERLINK("CSG0.html#group1A0", "1A⁰")</f>
        <v/>
      </c>
      <c r="N315">
        <f>HYPERLINK("CSG5.html#group30C5", "30C⁵"), =HYPERLINK("CSG11.html#group60C11", "60C¹¹"), =HYPERLINK("CSG17.html#group90G17", "90G¹⁷"), =HYPERLINK("CSG14.html#group75B14", "75B¹⁴"), =HYPERLINK("CSG11.html#group60A11", "60A¹¹"), =HYPERLINK("CSG21.html#group60N21", "60N²¹"), =HYPERLINK("CSG19.html#group15A19", "15A¹⁹"), =HYPERLINK("CSG8.html#group45A8", "45A⁸"), =HYPERLINK("CSG6.html#group30C6", "30C⁶"), =HYPERLINK("CSG22.html#group45B22", "45B²²"), =HYPERLINK("CSG5.html#group30G5", "30G⁵"), =HYPERLINK("CSG21.html#group60L21", "60L²¹"), =HYPERLINK("CSG11.html#group30H11", "30H¹¹"), =HYPERLINK("CSG13.html#group30L13", "30L¹³"), =HYPERLINK("CSG15.html#group45C15", "45C¹⁵"), =HYPERLINK("CSG10.html#group15A10", "15A¹⁰"), =HYPERLINK("CSG15.html#group60J15", "60J¹⁵"), =HYPERLINK("CSG15.html#group60A15", "60A¹⁵"), =HYPERLINK("CSG13.html#group60S13", "60S¹³"), =HYPERLINK("CSG9.html#group30J9", "30J⁹"), =HYPERLINK("CSG17.html#group90F17", "90F¹⁷"), =HYPERLINK("CSG11.html#group45H11", "45H¹¹"), =HYPERLINK("CSG9.html#group30K9", "30K⁹"), =HYPERLINK("CSG21.html#group60F21", "60F²¹"), =HYPERLINK("CSG23.html#group120I23", "120I²³"), =HYPERLINK("CSG21.html#group30G21", "30G²¹"), =HYPERLINK("CSG13.html#group30H13", "30H¹³"), =HYPERLINK("CSG17.html#group90D17", "90D¹⁷"), =HYPERLINK("CSG9.html#group15C9", "15C⁹"), =HYPERLINK("CSG11.html#group60D11", "60D¹¹"), =HYPERLINK("CSG21.html#group45E21", "45E²¹"), =HYPERLINK("CSG10.html#group75A10", "75A¹⁰"), =HYPERLINK("CSG14.html#group75D14", "75D¹⁴"), =HYPERLINK("CSG23.html#group120J23", "120J²³"), =HYPERLINK("CSG13.html#group60N13", "60N¹³"), =HYPERLINK("CSG3.html#group15F3", "15F³"), =HYPERLINK("CSG14.html#group75A14", "75A¹⁴"), =HYPERLINK("CSG19.html#group75C19", "75C¹⁹"), =HYPERLINK("CSG21.html#group60D21", "60D²¹"), =HYPERLINK("CSG21.html#group60G21", "60G²¹"), =HYPERLINK("CSG20.html#group105A20", "105A²⁰"), =HYPERLINK("CSG5.html#group15C5", "15C⁵"), =HYPERLINK("CSG21.html#group105B21", "105B²¹"), =HYPERLINK("CSG17.html#group30H17", "30H¹⁷"), =HYPERLINK("CSG14.html#group75C14", "75C¹⁴"), =HYPERLINK("CSG15.html#group45B15", "45B¹⁵"), =HYPERLINK("CSG17.html#group90J17", "90J¹⁷"), =HYPERLINK("CSG24.html#group90A24", "90A²⁴"), =HYPERLINK("CSG17.html#group30G17", "30G¹⁷"), =HYPERLINK("CSG21.html#group60C21", "60C²¹")</f>
        <v/>
      </c>
    </row>
    <row r="316">
      <c r="A316" t="inlineStr">
        <is>
          <t>15C²</t>
        </is>
      </c>
      <c r="B316" t="inlineStr"/>
      <c r="C316" t="inlineStr">
        <is>
          <t>40</t>
        </is>
      </c>
      <c r="D316" t="inlineStr">
        <is>
          <t>1</t>
        </is>
      </c>
      <c r="E316" t="inlineStr">
        <is>
          <t>40</t>
        </is>
      </c>
      <c r="F316" t="inlineStr">
        <is>
          <t>0</t>
        </is>
      </c>
      <c r="G316" t="inlineStr">
        <is>
          <t>1</t>
        </is>
      </c>
      <c r="H316" t="inlineStr">
        <is>
          <t>5², 15²</t>
        </is>
      </c>
      <c r="I316" t="n">
        <v>4</v>
      </c>
      <c r="J316" t="inlineStr">
        <is>
          <t>2², 4⁵, 8²</t>
        </is>
      </c>
      <c r="K316">
        <f>HYPERLINK("CSG0.html#group3B0", "3B⁰"), =HYPERLINK("CSG0.html#group5C0", "5C⁰")</f>
        <v/>
      </c>
      <c r="L316">
        <f>HYPERLINK("CSG3.html#group15G3", "15G³"), =HYPERLINK("CSG5.html#group15B5", "15B⁵"), =HYPERLINK("CSG5.html#group30I5", "30I⁵"), =HYPERLINK("CSG5.html#group30J5", "30J⁵"), =HYPERLINK("CSG7.html#group15A7", "15A⁷"), =HYPERLINK("CSG7.html#group30L7", "30L⁷"), =HYPERLINK("CSG7.html#group45C7", "45C⁷"), =HYPERLINK("CSG8.html#group45B8", "45B⁸"), =HYPERLINK("CSG9.html#group45A9", "45A⁹"), =HYPERLINK("CSG12.html#group60A12", "60A¹²"), =HYPERLINK("CSG14.html#group75E14", "75E¹⁴"), =HYPERLINK("CSG22.html#group105A22", "105A²²"), =HYPERLINK("CSG23.html#group105A23", "105A²³")</f>
        <v/>
      </c>
      <c r="M316">
        <f>HYPERLINK("CSG0.html#group3B0", "3B⁰"), =HYPERLINK("CSG0.html#group5C0", "5C⁰"), =HYPERLINK("CSG0.html#group1A0", "1A⁰")</f>
        <v/>
      </c>
      <c r="N316">
        <f>HYPERLINK("CSG22.html#group105A22", "105A²²"), =HYPERLINK("CSG15.html#group30A15", "30A¹⁵"), =HYPERLINK("CSG17.html#group30K17", "30K¹⁷"), =HYPERLINK("CSG23.html#group45A23", "45A²³"), =HYPERLINK("CSG15.html#group60V15", "60V¹⁵"), =HYPERLINK("CSG9.html#group30M9", "30M⁹"), =HYPERLINK("CSG23.html#group45B23", "45B²³"), =HYPERLINK("CSG16.html#group30A16", "30A¹⁶"), =HYPERLINK("CSG8.html#group45B8", "45B⁸"), =HYPERLINK("CSG17.html#group30B17", "30B¹⁷"), =HYPERLINK("CSG21.html#group60R21", "60R²¹"), =HYPERLINK("CSG18.html#group90A18", "90A¹⁸"), =HYPERLINK("CSG7.html#group45C7", "45C⁷"), =HYPERLINK("CSG17.html#group90N17", "90N¹⁷"), =HYPERLINK("CSG7.html#group30L7", "30L⁷"), =HYPERLINK("CSG19.html#group90A19", "90A¹⁹"), =HYPERLINK("CSG17.html#group45B17", "45B¹⁷"), =HYPERLINK("CSG19.html#group90C19", "90C¹⁹"), =HYPERLINK("CSG5.html#group30I5", "30I⁵"), =HYPERLINK("CSG17.html#group90M17", "90M¹⁷"), =HYPERLINK("CSG16.html#group90A16", "90A¹⁶"), =HYPERLINK("CSG23.html#group135A23", "135A²³"), =HYPERLINK("CSG9.html#group45A9", "45A⁹"), =HYPERLINK("CSG23.html#group60B23", "60B²³"), =HYPERLINK("CSG23.html#group105A23", "105A²³"), =HYPERLINK("CSG14.html#group75E14", "75E¹⁴"), =HYPERLINK("CSG3.html#group15G3", "15G³"), =HYPERLINK("CSG19.html#group90B19", "90B¹⁹"), =HYPERLINK("CSG5.html#group15D5", "15D⁵"), =HYPERLINK("CSG12.html#group15A12", "15A¹²"), =HYPERLINK("CSG15.html#group60U15", "60U¹⁵"), =HYPERLINK("CSG23.html#group30A23", "30A²³"), =HYPERLINK("CSG17.html#group60F17", "60F¹⁷"), =HYPERLINK("CSG23.html#group45E23", "45E²³"), =HYPERLINK("CSG13.html#group45O13", "45O¹³"), =HYPERLINK("CSG9.html#group30N9", "30N⁹"), =HYPERLINK("CSG5.html#group30J5", "30J⁵"), =HYPERLINK("CSG17.html#group90L17", "90L¹⁷"), =HYPERLINK("CSG17.html#group60G17", "60G¹⁷"), =HYPERLINK("CSG17.html#group90O17", "90O¹⁷"), =HYPERLINK("CSG23.html#group60A23", "60A²³"), =HYPERLINK("CSG23.html#group60C23", "60C²³"), =HYPERLINK("CSG7.html#group15A7", "15A⁷"), =HYPERLINK("CSG12.html#group60A12", "60A¹²"), =HYPERLINK("CSG24.html#group45A24", "45A²⁴"), =HYPERLINK("CSG11.html#group60H11", "60H¹¹"), =HYPERLINK("CSG9.html#group15B9", "15B⁹"), =HYPERLINK("CSG15.html#group30C15", "30C¹⁵"), =HYPERLINK("CSG15.html#group45D15", "45D¹⁵"), =HYPERLINK("CSG23.html#group15A23", "15A²³"), =HYPERLINK("CSG17.html#group15B17", "15B¹⁷"), =HYPERLINK("CSG16.html#group45A16", "45A¹⁶"), =HYPERLINK("CSG21.html#group60S21", "60S²¹"), =HYPERLINK("CSG19.html#group45H19", "45H¹⁹"), =HYPERLINK("CSG12.html#group45H12", "45H¹²"), =HYPERLINK("CSG19.html#group30B19", "30B¹⁹"), =HYPERLINK("CSG23.html#group90E23", "90E²³"), =HYPERLINK("CSG11.html#group60K11", "60K¹¹"), =HYPERLINK("CSG13.html#group15A13", "15A¹³"), =HYPERLINK("CSG15.html#group30B15", "30B¹⁵"), =HYPERLINK("CSG11.html#group60I11", "60I¹¹"), =HYPERLINK("CSG19.html#group15B19", "15B¹⁹"), =HYPERLINK("CSG13.html#group30N13", "30N¹³"), =HYPERLINK("CSG14.html#group30A14", "30A¹⁴"), =HYPERLINK("CSG15.html#group30E15", "30E¹⁵"), =HYPERLINK("CSG5.html#group15B5", "15B⁵"), =HYPERLINK("CSG17.html#group30A17", "30A¹⁷"), =HYPERLINK("CSG17.html#group45A17", "45A¹⁷")</f>
        <v/>
      </c>
    </row>
    <row r="317">
      <c r="A317" t="inlineStr">
        <is>
          <t>15D²</t>
        </is>
      </c>
      <c r="B317" t="inlineStr"/>
      <c r="C317" t="inlineStr">
        <is>
          <t>60</t>
        </is>
      </c>
      <c r="D317" t="inlineStr">
        <is>
          <t>1</t>
        </is>
      </c>
      <c r="E317" t="inlineStr">
        <is>
          <t>30</t>
        </is>
      </c>
      <c r="F317" t="inlineStr">
        <is>
          <t>8</t>
        </is>
      </c>
      <c r="G317" t="inlineStr">
        <is>
          <t>0</t>
        </is>
      </c>
      <c r="H317" t="inlineStr">
        <is>
          <t>15⁴</t>
        </is>
      </c>
      <c r="I317" t="n">
        <v>4</v>
      </c>
      <c r="J317" t="inlineStr">
        <is>
          <t>2¹, 4³, 8²</t>
        </is>
      </c>
      <c r="K317">
        <f>HYPERLINK("CSG1.html#group15D1", "15D¹")</f>
        <v/>
      </c>
      <c r="L317">
        <f>HYPERLINK("CSG5.html#group15A5", "15A⁵"), =HYPERLINK("CSG5.html#group30Q5", "30Q⁵"), =HYPERLINK("CSG7.html#group15B7", "15B⁷"), =HYPERLINK("CSG7.html#group30N7", "30N⁷"), =HYPERLINK("CSG8.html#group15B8", "15B⁸"), =HYPERLINK("CSG9.html#group30D9", "30D⁹"), =HYPERLINK("CSG10.html#group30H10", "30H¹⁰"), =HYPERLINK("CSG10.html#group45D10", "45D¹⁰"), =HYPERLINK("CSG12.html#group45F12", "45F¹²"), =HYPERLINK("CSG12.html#group45G12", "45G¹²"), =HYPERLINK("CSG15.html#group60W15", "60W¹⁵"), =HYPERLINK("CSG22.html#group75A22", "75A²²")</f>
        <v/>
      </c>
      <c r="M317">
        <f>HYPERLINK("CSG0.html#group3A0", "3A⁰"), =HYPERLINK("CSG0.html#group5C0", "5C⁰"), =HYPERLINK("CSG1.html#group15D1", "15D¹"), =HYPERLINK("CSG0.html#group1A0", "1A⁰")</f>
        <v/>
      </c>
      <c r="N317">
        <f>HYPERLINK("CSG7.html#group15B7", "15B⁷"), =HYPERLINK("CSG15.html#group60W15", "60W¹⁵"), =HYPERLINK("CSG23.html#group45C23", "45C²³"), =HYPERLINK("CSG19.html#group15A19", "15A¹⁹"), =HYPERLINK("CSG5.html#group15A5", "15A⁵"), =HYPERLINK("CSG15.html#group60S15", "60S¹⁵"), =HYPERLINK("CSG22.html#group75A22", "75A²²"), =HYPERLINK("CSG17.html#group30E17", "30E¹⁷"), =HYPERLINK("CSG10.html#group45D10", "45D¹⁰"), =HYPERLINK("CSG12.html#group45F12", "45F¹²"), =HYPERLINK("CSG21.html#group30E21", "30E²¹"), =HYPERLINK("CSG12.html#group45G12", "45G¹²"), =HYPERLINK("CSG11.html#group15A11", "15A¹¹"), =HYPERLINK("CSG17.html#group15A17", "15A¹⁷"), =HYPERLINK("CSG23.html#group60L23", "60L²³"), =HYPERLINK("CSG21.html#group45D21", "45D²¹"), =HYPERLINK("CSG23.html#group30K23", "30K²³"), =HYPERLINK("CSG7.html#group30N7", "30N⁷"), =HYPERLINK("CSG23.html#group90F23", "90F²³"), =HYPERLINK("CSG15.html#group60R15", "60R¹⁵"), =HYPERLINK("CSG10.html#group30H10", "30H¹⁰"), =HYPERLINK("CSG21.html#group30B21", "30B²¹"), =HYPERLINK("CSG23.html#group30F23", "30F²³"), =HYPERLINK("CSG21.html#group30D21", "30D²¹"), =HYPERLINK("CSG15.html#group60Z15", "60Z¹⁵"), =HYPERLINK("CSG21.html#group45B21", "45B²¹"), =HYPERLINK("CSG21.html#group90M21", "90M²¹"), =HYPERLINK("CSG21.html#group45C21", "45C²¹"), =HYPERLINK("CSG5.html#group30Q5", "30Q⁵"), =HYPERLINK("CSG13.html#group30M13", "30M¹³"), =HYPERLINK("CSG15.html#group30D15", "30D¹⁵"), =HYPERLINK("CSG17.html#group30D17", "30D¹⁷"), =HYPERLINK("CSG13.html#group15A13", "15A¹³"), =HYPERLINK("CSG23.html#group60G23", "60G²³"), =HYPERLINK("CSG9.html#group30D9", "30D⁹"), =HYPERLINK("CSG23.html#group30J23", "30J²³"), =HYPERLINK("CSG17.html#group30C17", "30C¹⁷"), =HYPERLINK("CSG21.html#group60V21", "60V²¹"), =HYPERLINK("CSG8.html#group15B8", "15B⁸"), =HYPERLINK("CSG21.html#group30C21", "30C²¹")</f>
        <v/>
      </c>
    </row>
    <row r="318">
      <c r="A318" t="inlineStr">
        <is>
          <t>15E²</t>
        </is>
      </c>
      <c r="B318" t="inlineStr"/>
      <c r="C318" t="inlineStr">
        <is>
          <t>60</t>
        </is>
      </c>
      <c r="D318" t="inlineStr">
        <is>
          <t>2</t>
        </is>
      </c>
      <c r="E318" t="inlineStr">
        <is>
          <t>60</t>
        </is>
      </c>
      <c r="F318" t="inlineStr">
        <is>
          <t>4</t>
        </is>
      </c>
      <c r="G318" t="inlineStr">
        <is>
          <t>3</t>
        </is>
      </c>
      <c r="H318" t="inlineStr">
        <is>
          <t>15⁴</t>
        </is>
      </c>
      <c r="I318" t="n">
        <v>4</v>
      </c>
      <c r="J318" t="inlineStr">
        <is>
          <t>8¹⁵</t>
        </is>
      </c>
      <c r="K318">
        <f>HYPERLINK("CSG0.html#group15A0", "15A⁰")</f>
        <v/>
      </c>
      <c r="L318">
        <f>HYPERLINK("CSG4.html#group15E4", "15E⁴"), =HYPERLINK("CSG6.html#group30F6", "30F⁶"), =HYPERLINK("CSG7.html#group15C7", "15C⁷"), =HYPERLINK("CSG7.html#group30O7", "30O⁷"), =HYPERLINK("CSG11.html#group30F11", "30F¹¹"), =HYPERLINK("CSG12.html#group15A12", "15A¹²"), =HYPERLINK("CSG16.html#group60C16", "60C¹⁶")</f>
        <v/>
      </c>
      <c r="M318">
        <f>HYPERLINK("CSG0.html#group1A0", "1A⁰"), =HYPERLINK("CSG0.html#group5A0", "5A⁰"), =HYPERLINK("CSG0.html#group15A0", "15A⁰")</f>
        <v/>
      </c>
      <c r="N318">
        <f>HYPERLINK("CSG7.html#group15C7", "15C⁷"), =HYPERLINK("CSG22.html#group30G22", "30G²²"), =HYPERLINK("CSG24.html#group60B24", "60B²⁴"), =HYPERLINK("CSG24.html#group30A24", "30A²⁴"), =HYPERLINK("CSG4.html#group15E4", "15E⁴"), =HYPERLINK("CSG16.html#group60C16", "60C¹⁶"), =HYPERLINK("CSG16.html#group15A16", "15A¹⁶"), =HYPERLINK("CSG22.html#group30F22", "30F²²"), =HYPERLINK("CSG23.html#group15A23", "15A²³"), =HYPERLINK("CSG7.html#group30O7", "30O⁷"), =HYPERLINK("CSG21.html#group30F21", "30F²¹"), =HYPERLINK("CSG11.html#group30F11", "30F¹¹"), =HYPERLINK("CSG6.html#group30F6", "30F⁶"), =HYPERLINK("CSG17.html#group15A17", "15A¹⁷"), =HYPERLINK("CSG12.html#group15A12", "15A¹²"), =HYPERLINK("CSG13.html#group30O13", "30O¹³"), =HYPERLINK("CSG22.html#group30E22", "30E²²")</f>
        <v/>
      </c>
    </row>
    <row r="319">
      <c r="A319" t="inlineStr">
        <is>
          <t>16A²</t>
        </is>
      </c>
      <c r="B319" t="inlineStr"/>
      <c r="C319" t="inlineStr">
        <is>
          <t>24</t>
        </is>
      </c>
      <c r="D319" t="inlineStr">
        <is>
          <t>1</t>
        </is>
      </c>
      <c r="E319" t="inlineStr">
        <is>
          <t>3</t>
        </is>
      </c>
      <c r="F319" t="inlineStr">
        <is>
          <t>0</t>
        </is>
      </c>
      <c r="G319" t="inlineStr">
        <is>
          <t>0</t>
        </is>
      </c>
      <c r="H319" t="inlineStr">
        <is>
          <t>8¹, 16¹</t>
        </is>
      </c>
      <c r="I319" t="n">
        <v>2</v>
      </c>
      <c r="J319" t="inlineStr">
        <is>
          <t>1³</t>
        </is>
      </c>
      <c r="K319">
        <f>HYPERLINK("CSG0.html#group8B0", "8B⁰")</f>
        <v/>
      </c>
      <c r="L319">
        <f>HYPERLINK("CSG3.html#group16B3", "16B³"), =HYPERLINK("CSG3.html#group16C3", "16C³"), =HYPERLINK("CSG3.html#group16F3", "16F³"), =HYPERLINK("CSG6.html#group48A6", "48A⁶"), =HYPERLINK("CSG7.html#group48D7", "48D⁷"), =HYPERLINK("CSG10.html#group80A10", "80A¹⁰"), =HYPERLINK("CSG11.html#group80B11", "80B¹¹"), =HYPERLINK("CSG14.html#group112A14", "112A¹⁴"), =HYPERLINK("CSG15.html#group112D15", "112D¹⁵"), =HYPERLINK("CSG19.html#group80E19", "80E¹⁹"), =HYPERLINK("CSG22.html#group176A22", "176A²²"), =HYPERLINK("CSG23.html#group176D23", "176D²³")</f>
        <v/>
      </c>
      <c r="M319">
        <f>HYPERLINK("CSG0.html#group8B0", "8B⁰"), =HYPERLINK("CSG0.html#group1A0", "1A⁰"), =HYPERLINK("CSG0.html#group2B0", "2B⁰"), =HYPERLINK("CSG0.html#group4C0", "4C⁰")</f>
        <v/>
      </c>
      <c r="N319">
        <f>HYPERLINK("CSG5.html#group16F5", "16F⁵"), =HYPERLINK("CSG13.html#group48P13", "48P¹³"), =HYPERLINK("CSG5.html#group16D5", "16D⁵"), =HYPERLINK("CSG21.html#group80F21", "80F²¹"), =HYPERLINK("CSG21.html#group80AB21", "80AB²¹"), =HYPERLINK("CSG15.html#group96A15", "96A¹⁵"), =HYPERLINK("CSG17.html#group16B17", "16B¹⁷"), =HYPERLINK("CSG21.html#group48AE21", "48AE²¹"), =HYPERLINK("CSG21.html#group48BI21", "48BI²¹"), =HYPERLINK("CSG11.html#group80B11", "80B¹¹"), =HYPERLINK("CSG13.html#group32Q13", "32Q¹³"), =HYPERLINK("CSG21.html#group80I21", "80I²¹"), =HYPERLINK("CSG21.html#group48BF21", "48BF²¹"), =HYPERLINK("CSG21.html#group48J21", "48J²¹"), =HYPERLINK("CSG23.html#group96V23", "96V²³"), =HYPERLINK("CSG21.html#group48F21", "48F²¹"), =HYPERLINK("CSG21.html#group48V21", "48V²¹"), =HYPERLINK("CSG21.html#group32P21", "32P²¹"), =HYPERLINK("CSG11.html#group16B11", "16B¹¹"), =HYPERLINK("CSG15.html#group64H15", "64H¹⁵"), =HYPERLINK("CSG9.html#group16C9", "16C⁹"), =HYPERLINK("CSG21.html#group48AA21", "48AA²¹"), =HYPERLINK("CSG11.html#group32C11", "32C¹¹"), =HYPERLINK("CSG21.html#group48AK21", "48AK²¹"), =HYPERLINK("CSG11.html#group48K11", "48K¹¹"), =HYPERLINK("CSG3.html#group16B3", "16B³"), =HYPERLINK("CSG22.html#group176A22", "176A²²"), =HYPERLINK("CSG21.html#group48AB21", "48AB²¹"), =HYPERLINK("CSG19.html#group80C19", "80C¹⁹"), =HYPERLINK("CSG13.html#group32G13", "32G¹³"), =HYPERLINK("CSG7.html#group48D7", "48D⁷"), =HYPERLINK("CSG9.html#group16G9", "16G⁹"), =HYPERLINK("CSG13.html#group32H13", "32H¹³"), =HYPERLINK("CSG21.html#group16F21", "16F²¹"), =HYPERLINK("CSG23.html#group32G23", "32G²³"), =HYPERLINK("CSG21.html#group48AX21", "48AX²¹"), =HYPERLINK("CSG21.html#group48BG21", "48BG²¹"), =HYPERLINK("CSG23.html#group96P23", "96P²³"), =HYPERLINK("CSG13.html#group32M13", "32M¹³"), =HYPERLINK("CSG21.html#group32E21", "32E²¹"), =HYPERLINK("CSG3.html#group16F3", "16F³"), =HYPERLINK("CSG15.html#group96B15", "96B¹⁵"), =HYPERLINK("CSG21.html#group48D21", "48D²¹"), =HYPERLINK("CSG9.html#group16H9", "16H⁹"), =HYPERLINK("CSG21.html#group80E21", "80E²¹"), =HYPERLINK("CSG19.html#group80E19", "80E¹⁹"), =HYPERLINK("CSG21.html#group48BH21", "48BH²¹"), =HYPERLINK("CSG15.html#group64J15", "64J¹⁵"), =HYPERLINK("CSG13.html#group32A13", "32A¹³"), =HYPERLINK("CSG6.html#group48A6", "48A⁶"), =HYPERLINK("CSG19.html#group80B19", "80B¹⁹"), =HYPERLINK("CSG9.html#group16E9", "16E⁹"), =HYPERLINK("CSG11.html#group48C11", "48C¹¹"), =HYPERLINK("CSG13.html#group32B13", "32B¹³"), =HYPERLINK("CSG7.html#group32G7", "32G⁷"), =HYPERLINK("CSG11.html#group48G11", "48G¹¹"), =HYPERLINK("CSG23.html#group144H23", "144H²³"), =HYPERLINK("CSG21.html#group48AW21", "48AW²¹"), =HYPERLINK("CSG23.html#group176D23", "176D²³"), =HYPERLINK("CSG21.html#group16A21", "16A²¹"), =HYPERLINK("CSG21.html#group80O21", "80O²¹"), =HYPERLINK("CSG21.html#group32A21", "32A²¹"), =HYPERLINK("CSG7.html#group32J7", "32J⁷"), =HYPERLINK("CSG11.html#group32D11", "32D¹¹"), =HYPERLINK("CSG21.html#group48S21", "48S²¹"), =HYPERLINK("CSG21.html#group32B21", "32B²¹"), =HYPERLINK("CSG10.html#group80A10", "80A¹⁰"), =HYPERLINK("CSG11.html#group48H11", "48H¹¹"), =HYPERLINK("CSG13.html#group48H13", "48H¹³"), =HYPERLINK("CSG17.html#group16A17", "16A¹⁷"), =HYPERLINK("CSG21.html#group48U21", "48U²¹"), =HYPERLINK("CSG23.html#group64B23", "64B²³"), =HYPERLINK("CSG21.html#group48AF21", "48AF²¹"), =HYPERLINK("CSG23.html#group96N23", "96N²³"), =HYPERLINK("CSG11.html#group48B11", "48B¹¹"), =HYPERLINK("CSG7.html#group32I7", "32I⁷"), =HYPERLINK("CSG21.html#group32R21", "32R²¹"), =HYPERLINK("CSG19.html#group80H19", "80H¹⁹"), =HYPERLINK("CSG23.html#group96G23", "96G²³"), =HYPERLINK("CSG14.html#group112A14", "112A¹⁴"), =HYPERLINK("CSG15.html#group64G15", "64G¹⁵"), =HYPERLINK("CSG18.html#group144A18", "144A¹⁸"), =HYPERLINK("CSG21.html#group48BU21", "48BU²¹"), =HYPERLINK("CSG21.html#group48M21", "48M²¹"), =HYPERLINK("CSG3.html#group16C3", "16C³"), =HYPERLINK("CSG21.html#group48AS21", "48AS²¹"), =HYPERLINK("CSG13.html#group48D13", "48D¹³"), =HYPERLINK("CSG23.html#group96M23", "96M²³"), =HYPERLINK("CSG5.html#group16G5", "16G⁵"), =HYPERLINK("CSG21.html#group80V21", "80V²¹"), =HYPERLINK("CSG21.html#group80K21", "80K²¹"), =HYPERLINK("CSG21.html#group48T21", "48T²¹"), =HYPERLINK("CSG21.html#group16C21", "16C²¹"), =HYPERLINK("CSG15.html#group64I15", "64I¹⁵"), =HYPERLINK("CSG5.html#group16B5", "16B⁵"), =HYPERLINK("CSG21.html#group48N21", "48N²¹"), =HYPERLINK("CSG15.html#group112D15", "112D¹⁵"), =HYPERLINK("CSG9.html#group16B9", "16B⁹"), =HYPERLINK("CSG11.html#group48L11", "48L¹¹"), =HYPERLINK("CSG21.html#group48BB21", "48BB²¹"), =HYPERLINK("CSG21.html#group48AR21", "48AR²¹"), =HYPERLINK("CSG23.html#group144G23", "144G²³"), =HYPERLINK("CSG23.html#group96U23", "96U²³"), =HYPERLINK("CSG11.html#group16C11", "16C¹¹"), =HYPERLINK("CSG11.html#group48Q11", "48Q¹¹"), =HYPERLINK("CSG5.html#group16E5", "16E⁵"), =HYPERLINK("CSG21.html#group16E21", "16E²¹"), =HYPERLINK("CSG21.html#group144D21", "144D²¹")</f>
        <v/>
      </c>
    </row>
    <row r="320">
      <c r="A320" t="inlineStr">
        <is>
          <t>16B²</t>
        </is>
      </c>
      <c r="B320" t="inlineStr"/>
      <c r="C320" t="inlineStr">
        <is>
          <t>24</t>
        </is>
      </c>
      <c r="D320" t="inlineStr">
        <is>
          <t>1</t>
        </is>
      </c>
      <c r="E320" t="inlineStr">
        <is>
          <t>12</t>
        </is>
      </c>
      <c r="F320" t="inlineStr">
        <is>
          <t>0</t>
        </is>
      </c>
      <c r="G320" t="inlineStr">
        <is>
          <t>0</t>
        </is>
      </c>
      <c r="H320" t="inlineStr">
        <is>
          <t>8¹, 16¹</t>
        </is>
      </c>
      <c r="I320" t="n">
        <v>2</v>
      </c>
      <c r="J320" t="inlineStr">
        <is>
          <t>1⁴, 2², 4¹</t>
        </is>
      </c>
      <c r="K320">
        <f>HYPERLINK("CSG1.html#group8A1", "8A¹")</f>
        <v/>
      </c>
      <c r="L320">
        <f>HYPERLINK("CSG3.html#group16D3", "16D³"), =HYPERLINK("CSG3.html#group16E3", "16E³"), =HYPERLINK("CSG4.html#group32B4", "32B⁴"), =HYPERLINK("CSG4.html#group32A4", "32A⁴"), =HYPERLINK("CSG6.html#group48B6", "48B⁶"), =HYPERLINK("CSG7.html#group48H7", "48H⁷"), =HYPERLINK("CSG10.html#group80B10", "80B¹⁰"), =HYPERLINK("CSG11.html#group80D11", "80D¹¹"), =HYPERLINK("CSG14.html#group112C14", "112C¹⁴"), =HYPERLINK("CSG15.html#group112H15", "112H¹⁵"), =HYPERLINK("CSG19.html#group80J19", "80J¹⁹"), =HYPERLINK("CSG22.html#group176B22", "176B²²"), =HYPERLINK("CSG23.html#group176H23", "176H²³")</f>
        <v/>
      </c>
      <c r="M320">
        <f>HYPERLINK("CSG0.html#group1A0", "1A⁰"), =HYPERLINK("CSG0.html#group4C0", "4C⁰"), =HYPERLINK("CSG0.html#group2B0", "2B⁰"), =HYPERLINK("CSG1.html#group8A1", "8A¹")</f>
        <v/>
      </c>
      <c r="N320">
        <f>HYPERLINK("CSG5.html#group16D5", "16D⁵"), =HYPERLINK("CSG21.html#group48I21", "48I²¹"), =HYPERLINK("CSG7.html#group48H7", "48H⁷"), =HYPERLINK("CSG21.html#group48AY21", "48AY²¹"), =HYPERLINK("CSG11.html#group80D11", "80D¹¹"), =HYPERLINK("CSG11.html#group48R11", "48R¹¹"), =HYPERLINK("CSG23.html#group96AG23", "96AG²³"), =HYPERLINK("CSG15.html#group64A15", "64A¹⁵"), =HYPERLINK("CSG13.html#group32L13", "32L¹³"), =HYPERLINK("CSG23.html#group96K23", "96K²³"), =HYPERLINK("CSG4.html#group32A4", "32A⁴"), =HYPERLINK("CSG15.html#group96E15", "96E¹⁵"), =HYPERLINK("CSG4.html#group32B4", "32B⁴"), =HYPERLINK("CSG13.html#group32C13", "32C¹³"), =HYPERLINK("CSG17.html#group16B17", "16B¹⁷"), =HYPERLINK("CSG12.html#group96B12", "96B¹²"), =HYPERLINK("CSG23.html#group144O23", "144O²³"), =HYPERLINK("CSG23.html#group160C23", "160C²³"), =HYPERLINK("CSG9.html#group16F9", "16F⁹"), =HYPERLINK("CSG20.html#group160A20", "160A²⁰"), =HYPERLINK("CSG21.html#group48AZ21", "48AZ²¹"), =HYPERLINK("CSG23.html#group64A23", "64A²³"), =HYPERLINK("CSG6.html#group48B6", "48B⁶"), =HYPERLINK("CSG13.html#group32E13", "32E¹³"), =HYPERLINK("CSG23.html#group96S23", "96S²³"), =HYPERLINK("CSG21.html#group48AN21", "48AN²¹"), =HYPERLINK("CSG21.html#group48J21", "48J²¹"), =HYPERLINK("CSG13.html#group48S13", "48S¹³"), =HYPERLINK("CSG21.html#group80Q21", "80Q²¹"), =HYPERLINK("CSG13.html#group48L13", "48L¹³"), =HYPERLINK("CSG13.html#group32F13", "32F¹³"), =HYPERLINK("CSG18.html#group144B18", "144B¹⁸"), =HYPERLINK("CSG15.html#group64L15", "64L¹⁵"), =HYPERLINK("CSG11.html#group48J11", "48J¹¹"), =HYPERLINK("CSG15.html#group96F15", "96F¹⁵"), =HYPERLINK("CSG5.html#group16H5", "16H⁵"), =HYPERLINK("CSG22.html#group176B22", "176B²²"), =HYPERLINK("CSG21.html#group16D21", "16D²¹"), =HYPERLINK("CSG23.html#group96E23", "96E²³"), =HYPERLINK("CSG23.html#group96Q23", "96Q²³"), =HYPERLINK("CSG21.html#group48X21", "48X²¹"), =HYPERLINK("CSG21.html#group48BK21", "48BK²¹"), =HYPERLINK("CSG11.html#group32H11", "32H¹¹"), =HYPERLINK("CSG7.html#group32C7", "32C⁷"), =HYPERLINK("CSG19.html#group80F19", "80F¹⁹"), =HYPERLINK("CSG23.html#group144P23", "144P²³"), =HYPERLINK("CSG21.html#group48BJ21", "48BJ²¹"), =HYPERLINK("CSG21.html#group80AE21", "80AE²¹"), =HYPERLINK("CSG23.html#group96AE23", "96AE²³"), =HYPERLINK("CSG13.html#group32G13", "32G¹³"), =HYPERLINK("CSG23.html#group96AC23", "96AC²³"), =HYPERLINK("CSG9.html#group16G9", "16G⁹"), =HYPERLINK("CSG21.html#group32F21", "32F²¹"), =HYPERLINK("CSG15.html#group64B15", "64B¹⁵"), =HYPERLINK("CSG19.html#group80G19", "80G¹⁹"), =HYPERLINK("CSG13.html#group32H13", "32H¹³"), =HYPERLINK("CSG21.html#group48AJ21", "48AJ²¹"), =HYPERLINK("CSG9.html#group16A9", "16A⁹"), =HYPERLINK("CSG13.html#group32M13", "32M¹³"), =HYPERLINK("CSG10.html#group80B10", "80B¹⁰"), =HYPERLINK("CSG23.html#group96AF23", "96AF²³"), =HYPERLINK("CSG11.html#group48V11", "48V¹¹"), =HYPERLINK("CSG7.html#group32D7", "32D⁷"), =HYPERLINK("CSG13.html#group32D13", "32D¹³"), =HYPERLINK("CSG21.html#group48AM21", "48AM²¹"), =HYPERLINK("CSG23.html#group96R23", "96R²³"), =HYPERLINK("CSG21.html#group80Y21", "80Y²¹"), =HYPERLINK("CSG15.html#group64C15", "64C¹⁵"), =HYPERLINK("CSG23.html#group96B23", "96B²³"), =HYPERLINK("CSG21.html#group80T21", "80T²¹"), =HYPERLINK("CSG23.html#group160D23", "160D²³"), =HYPERLINK("CSG9.html#group16E9", "16E⁹"), =HYPERLINK("CSG21.html#group32Q21", "32Q²¹"), =HYPERLINK("CSG12.html#group96C12", "96C¹²"), =HYPERLINK("CSG9.html#group16D9", "16D⁹"), =HYPERLINK("CSG23.html#group96I23", "96I²³"), =HYPERLINK("CSG23.html#group96Z23", "96Z²³"), =HYPERLINK("CSG5.html#group16C5", "16C⁵"), =HYPERLINK("CSG15.html#group112H15", "112H¹⁵"), =HYPERLINK("CSG13.html#group48J13", "48J¹³"), =HYPERLINK("CSG21.html#group48AQ21", "48AQ²¹"), =HYPERLINK("CSG21.html#group48BE21", "48BE²¹"), =HYPERLINK("CSG7.html#group32E7", "32E⁷"), =HYPERLINK("CSG7.html#group32K7", "32K⁷"), =HYPERLINK("CSG21.html#group80Z21", "80Z²¹"), =HYPERLINK("CSG15.html#group64F15", "64F¹⁵"), =HYPERLINK("CSG23.html#group96AH23", "96AH²³"), =HYPERLINK("CSG17.html#group16A17", "16A¹⁷"), =HYPERLINK("CSG13.html#group48M13", "48M¹³"), =HYPERLINK("CSG23.html#group96X23", "96X²³"), =HYPERLINK("CSG20.html#group160B20", "160B²⁰"), =HYPERLINK("CSG23.html#group96W23", "96W²³"), =HYPERLINK("CSG11.html#group48D11", "48D¹¹"), =HYPERLINK("CSG23.html#group96AD23", "96AD²³"), =HYPERLINK("CSG23.html#group96T23", "96T²³"), =HYPERLINK("CSG21.html#group48BN21", "48BN²¹"), =HYPERLINK("CSG13.html#group32P13", "32P¹³"), =HYPERLINK("CSG23.html#group96D23", "96D²³"), =HYPERLINK("CSG21.html#group32R21", "32R²¹"), =HYPERLINK("CSG21.html#group48BT21", "48BT²¹"), =HYPERLINK("CSG23.html#group176H23", "176H²³"), =HYPERLINK("CSG23.html#group96C23", "96C²³"), =HYPERLINK("CSG11.html#group16D11", "16D¹¹"), =HYPERLINK("CSG3.html#group16E3", "16E³"), =HYPERLINK("CSG13.html#group48N13", "48N¹³"), =HYPERLINK("CSG23.html#group96J23", "96J²³"), =HYPERLINK("CSG19.html#group80J19", "80J¹⁹"), =HYPERLINK("CSG3.html#group16D3", "16D³"), =HYPERLINK("CSG15.html#group64E15", "64E¹⁵"), =HYPERLINK("CSG15.html#group96K15", "96K¹⁵"), =HYPERLINK("CSG15.html#group64D15", "64D¹⁵"), =HYPERLINK("CSG12.html#group96A12", "96A¹²"), =HYPERLINK("CSG23.html#group96Y23", "96Y²³"), =HYPERLINK("CSG23.html#group160A23", "160A²³"), =HYPERLINK("CSG21.html#group16C21", "16C²¹"), =HYPERLINK("CSG21.html#group144L21", "144L²¹"), =HYPERLINK("CSG15.html#group96L15", "96L¹⁵"), =HYPERLINK("CSG12.html#group96D12", "96D¹²"), =HYPERLINK("CSG23.html#group32F23", "32F²³"), =HYPERLINK("CSG5.html#group16A5", "16A⁵"), =HYPERLINK("CSG21.html#group48E21", "48E²¹"), =HYPERLINK("CSG7.html#group32B7", "32B⁷"), =HYPERLINK("CSG21.html#group48AP21", "48AP²¹"), =HYPERLINK("CSG14.html#group112C14", "112C¹⁴"), =HYPERLINK("CSG21.html#group32D21", "32D²¹"), =HYPERLINK("CSG23.html#group96L23", "96L²³"), =HYPERLINK("CSG11.html#group48S11", "48S¹¹"), =HYPERLINK("CSG15.html#group64K15", "64K¹⁵"), =HYPERLINK("CSG23.html#group160B23", "160B²³")</f>
        <v/>
      </c>
    </row>
    <row r="321">
      <c r="A321" t="inlineStr">
        <is>
          <t>16C²</t>
        </is>
      </c>
      <c r="B321" t="inlineStr"/>
      <c r="C321" t="inlineStr">
        <is>
          <t>48</t>
        </is>
      </c>
      <c r="D321" t="inlineStr">
        <is>
          <t>1</t>
        </is>
      </c>
      <c r="E321" t="inlineStr">
        <is>
          <t>3</t>
        </is>
      </c>
      <c r="F321" t="inlineStr">
        <is>
          <t>0</t>
        </is>
      </c>
      <c r="G321" t="inlineStr">
        <is>
          <t>0</t>
        </is>
      </c>
      <c r="H321" t="inlineStr">
        <is>
          <t>4⁴, 16²</t>
        </is>
      </c>
      <c r="I321" t="n">
        <v>6</v>
      </c>
      <c r="J321" t="inlineStr">
        <is>
          <t>1³</t>
        </is>
      </c>
      <c r="K321">
        <f>HYPERLINK("CSG0.html#group8G0", "8G⁰"), =HYPERLINK("CSG1.html#group16C1", "16C¹")</f>
        <v/>
      </c>
      <c r="L321">
        <f>HYPERLINK("CSG3.html#group16I3", "16I³"), =HYPERLINK("CSG3.html#group16J3", "16J³"), =HYPERLINK("CSG6.html#group32A6", "32A⁶"), =HYPERLINK("CSG10.html#group48A10", "48A¹⁰"), =HYPERLINK("CSG11.html#group48X11", "48X¹¹"), =HYPERLINK("CSG18.html#group80A18", "80A¹⁸"), =HYPERLINK("CSG19.html#group80M19", "80M¹⁹")</f>
        <v/>
      </c>
      <c r="M321">
        <f>HYPERLINK("CSG0.html#group2A0", "2A⁰"), =HYPERLINK("CSG0.html#group8G0", "8G⁰"), =HYPERLINK("CSG0.html#group8D0", "8D⁰"), =HYPERLINK("CSG1.html#group16C1", "16C¹"), =HYPERLINK("CSG0.html#group4C0", "4C⁰"), =HYPERLINK("CSG0.html#group8C0", "8C⁰"), =HYPERLINK("CSG0.html#group4E0", "4E⁰"), =HYPERLINK("CSG0.html#group2B0", "2B⁰"), =HYPERLINK("CSG0.html#group4B0", "4B⁰"), =HYPERLINK("CSG0.html#group1A0", "1A⁰"), =HYPERLINK("CSG0.html#group2C0", "2C⁰")</f>
        <v/>
      </c>
      <c r="N321">
        <f>HYPERLINK("CSG9.html#group16D9", "16D⁹"), =HYPERLINK("CSG10.html#group48A10", "48A¹⁰"), =HYPERLINK("CSG9.html#group32C9", "32C⁹"), =HYPERLINK("CSG21.html#group16A21", "16A²¹"), =HYPERLINK("CSG5.html#group16M5", "16M⁵"), =HYPERLINK("CSG9.html#group32D9", "32D⁹"), =HYPERLINK("CSG11.html#group32B11", "32B¹¹"), =HYPERLINK("CSG17.html#group32A17", "32A¹⁷"), =HYPERLINK("CSG3.html#group16J3", "16J³"), =HYPERLINK("CSG21.html#group48CG21", "48CG²¹"), =HYPERLINK("CSG17.html#group16A17", "16A¹⁷"), =HYPERLINK("CSG21.html#group64B21", "64B²¹"), =HYPERLINK("CSG18.html#group80A18", "80A¹⁸"), =HYPERLINK("CSG13.html#group32T13", "32T¹³"), =HYPERLINK("CSG21.html#group48BZ21", "48BZ²¹"), =HYPERLINK("CSG21.html#group48CF21", "48CF²¹"), =HYPERLINK("CSG22.html#group96A22", "96A²²"), =HYPERLINK("CSG21.html#group48CK21", "48CK²¹"), =HYPERLINK("CSG19.html#group80M19", "80M¹⁹"), =HYPERLINK("CSG11.html#group32A11", "32A¹¹"), =HYPERLINK("CSG7.html#group32L7", "32L⁷"), =HYPERLINK("CSG21.html#group48CA21", "48CA²¹"), =HYPERLINK("CSG21.html#group32G21", "32G²¹"), =HYPERLINK("CSG21.html#group16D21", "16D²¹"), =HYPERLINK("CSG21.html#group32C21", "32C²¹"), =HYPERLINK("CSG21.html#group64A21", "64A²¹"), =HYPERLINK("CSG19.html#group48I19", "48I¹⁹"), =HYPERLINK("CSG21.html#group64E21", "64E²¹"), =HYPERLINK("CSG21.html#group32H21", "32H²¹"), =HYPERLINK("CSG7.html#group16C7", "16C⁷"), =HYPERLINK("CSG6.html#group32A6", "32A⁶"), =HYPERLINK("CSG3.html#group16I3", "16I³"), =HYPERLINK("CSG21.html#group16C21", "16C²¹"), =HYPERLINK("CSG19.html#group48O19", "48O¹⁹"), =HYPERLINK("CSG19.html#group48F19", "48F¹⁹"), =HYPERLINK("CSG19.html#group48B19", "48B¹⁹"), =HYPERLINK("CSG22.html#group96C22", "96C²²"), =HYPERLINK("CSG19.html#group32C19", "32C¹⁹"), =HYPERLINK("CSG21.html#group32E21", "32E²¹"), =HYPERLINK("CSG9.html#group16B9", "16B⁹"), =HYPERLINK("CSG11.html#group48X11", "48X¹¹"), =HYPERLINK("CSG19.html#group48C19", "48C¹⁹"), =HYPERLINK("CSG13.html#group16C13", "16C¹³"), =HYPERLINK("CSG21.html#group32D21", "32D²¹"), =HYPERLINK("CSG19.html#group64A19", "64A¹⁹")</f>
        <v/>
      </c>
    </row>
    <row r="322">
      <c r="A322" t="inlineStr">
        <is>
          <t>16D²</t>
        </is>
      </c>
      <c r="B322" t="inlineStr"/>
      <c r="C322" t="inlineStr">
        <is>
          <t>48</t>
        </is>
      </c>
      <c r="D322" t="inlineStr">
        <is>
          <t>1</t>
        </is>
      </c>
      <c r="E322" t="inlineStr">
        <is>
          <t>12</t>
        </is>
      </c>
      <c r="F322" t="inlineStr">
        <is>
          <t>0</t>
        </is>
      </c>
      <c r="G322" t="inlineStr">
        <is>
          <t>0</t>
        </is>
      </c>
      <c r="H322" t="inlineStr">
        <is>
          <t>4⁴, 16²</t>
        </is>
      </c>
      <c r="I322" t="n">
        <v>6</v>
      </c>
      <c r="J322" t="inlineStr">
        <is>
          <t>1², 2¹, 4²</t>
        </is>
      </c>
      <c r="K322">
        <f>HYPERLINK("CSG0.html#group16E0", "16E⁰"), =HYPERLINK("CSG1.html#group8C1", "8C¹"), =HYPERLINK("CSG1.html#group16C1", "16C¹")</f>
        <v/>
      </c>
      <c r="L322">
        <f>HYPERLINK("CSG3.html#group16I3", "16I³"), =HYPERLINK("CSG4.html#group32C4", "32C⁴"), =HYPERLINK("CSG5.html#group16H5", "16H⁵"), =HYPERLINK("CSG6.html#group32B6", "32B⁶"), =HYPERLINK("CSG10.html#group48C10", "48C¹⁰"), =HYPERLINK("CSG11.html#group48AB11", "48AB¹¹"), =HYPERLINK("CSG18.html#group80B18", "80B¹⁸"), =HYPERLINK("CSG19.html#group80S19", "80S¹⁹")</f>
        <v/>
      </c>
      <c r="M322">
        <f>HYPERLINK("CSG0.html#group16E0", "16E⁰"), =HYPERLINK("CSG1.html#group8C1", "8C¹"), =HYPERLINK("CSG1.html#group8A1", "8A¹"), =HYPERLINK("CSG0.html#group8D0", "8D⁰"), =HYPERLINK("CSG0.html#group4A0", "4A⁰"), =HYPERLINK("CSG1.html#group16C1", "16C¹"), =HYPERLINK("CSG0.html#group4C0", "4C⁰"), =HYPERLINK("CSG0.html#group2B0", "2B⁰"), =HYPERLINK("CSG0.html#group4F0", "4F⁰"), =HYPERLINK("CSG0.html#group1A0", "1A⁰")</f>
        <v/>
      </c>
      <c r="N322">
        <f>HYPERLINK("CSG9.html#group16D9", "16D⁹"), =HYPERLINK("CSG19.html#group80S19", "80S¹⁹"), =HYPERLINK("CSG21.html#group48AQ21", "48AQ²¹"), =HYPERLINK("CSG19.html#group48Y19", "48Y¹⁹"), =HYPERLINK("CSG21.html#group16A21", "16A²¹"), =HYPERLINK("CSG5.html#group16M5", "16M⁵"), =HYPERLINK("CSG17.html#group32A17", "32A¹⁷"), =HYPERLINK("CSG21.html#group48BM21", "48BM²¹"), =HYPERLINK("CSG17.html#group16A17", "16A¹⁷"), =HYPERLINK("CSG20.html#group96B20", "96B²⁰"), =HYPERLINK("CSG13.html#group32T13", "32T¹³"), =HYPERLINK("CSG23.html#group64A23", "64A²³"), =HYPERLINK("CSG19.html#group48Z19", "48Z¹⁹"), =HYPERLINK("CSG13.html#group32P13", "32P¹³"), =HYPERLINK("CSG21.html#group48CF21", "48CF²¹"), =HYPERLINK("CSG10.html#group48C10", "48C¹⁰"), =HYPERLINK("CSG23.html#group96AJ23", "96AJ²³"), =HYPERLINK("CSG11.html#group48AB11", "48AB¹¹"), =HYPERLINK("CSG11.html#group32A11", "32A¹¹"), =HYPERLINK("CSG7.html#group32L7", "32L⁷"), =HYPERLINK("CSG22.html#group96D22", "96D²²"), =HYPERLINK("CSG22.html#group96B22", "96B²²"), =HYPERLINK("CSG11.html#group16D11", "16D¹¹"), =HYPERLINK("CSG20.html#group96A20", "96A²⁰"), =HYPERLINK("CSG4.html#group32C4", "32C⁴"), =HYPERLINK("CSG5.html#group16H5", "16H⁵"), =HYPERLINK("CSG21.html#group16D21", "16D²¹"), =HYPERLINK("CSG21.html#group32C21", "32C²¹"), =HYPERLINK("CSG11.html#group32H11", "32H¹¹"), =HYPERLINK("CSG23.html#group96AK23", "96AK²³"), =HYPERLINK("CSG3.html#group16I3", "16I³"), =HYPERLINK("CSG21.html#group16C21", "16C²¹"), =HYPERLINK("CSG18.html#group80B18", "80B¹⁸"), =HYPERLINK("CSG9.html#group16B9", "16B⁹"), =HYPERLINK("CSG19.html#group48B19", "48B¹⁹"), =HYPERLINK("CSG21.html#group32E21", "32E²¹"), =HYPERLINK("CSG23.html#group32F23", "32F²³"), =HYPERLINK("CSG13.html#group16C13", "16C¹³"), =HYPERLINK("CSG6.html#group32B6", "32B⁶"), =HYPERLINK("CSG21.html#group48CN21", "48CN²¹"), =HYPERLINK("CSG21.html#group32D21", "32D²¹"), =HYPERLINK("CSG19.html#group64A19", "64A¹⁹")</f>
        <v/>
      </c>
    </row>
    <row r="323">
      <c r="A323" t="inlineStr">
        <is>
          <t>16E²</t>
        </is>
      </c>
      <c r="B323" t="inlineStr"/>
      <c r="C323" t="inlineStr">
        <is>
          <t>48</t>
        </is>
      </c>
      <c r="D323" t="inlineStr">
        <is>
          <t>1</t>
        </is>
      </c>
      <c r="E323" t="inlineStr">
        <is>
          <t>12</t>
        </is>
      </c>
      <c r="F323" t="inlineStr">
        <is>
          <t>4</t>
        </is>
      </c>
      <c r="G323" t="inlineStr">
        <is>
          <t>0</t>
        </is>
      </c>
      <c r="H323" t="inlineStr">
        <is>
          <t>8², 16²</t>
        </is>
      </c>
      <c r="I323" t="n">
        <v>4</v>
      </c>
      <c r="J323" t="inlineStr">
        <is>
          <t>2⁶</t>
        </is>
      </c>
      <c r="K323">
        <f>HYPERLINK("CSG0.html#group8H0", "8H⁰"), =HYPERLINK("CSG1.html#group16D1", "16D¹")</f>
        <v/>
      </c>
      <c r="L323">
        <f>HYPERLINK("CSG3.html#group16M3", "16M³"), =HYPERLINK("CSG4.html#group16C4", "16C⁴"), =HYPERLINK("CSG4.html#group16B4", "16B⁴"), =HYPERLINK("CSG5.html#group16A5", "16A⁵"), =HYPERLINK("CSG5.html#group16G5", "16G⁵"), =HYPERLINK("CSG6.html#group32C6", "32C⁶"), =HYPERLINK("CSG6.html#group32D6", "32D⁶"), =HYPERLINK("CSG8.html#group48F8", "48F⁸"), =HYPERLINK("CSG13.html#group48K13", "48K¹³"), =HYPERLINK("CSG18.html#group80C18", "80C¹⁸"), =HYPERLINK("CSG19.html#group80V19", "80V¹⁹"), =HYPERLINK("CSG24.html#group112L24", "112L²⁴")</f>
        <v/>
      </c>
      <c r="M323">
        <f>HYPERLINK("CSG0.html#group8H0", "8H⁰"), =HYPERLINK("CSG1.html#group16D1", "16D¹"), =HYPERLINK("CSG0.html#group8D0", "8D⁰"), =HYPERLINK("CSG0.html#group4A0", "4A⁰"), =HYPERLINK("CSG0.html#group4C0", "4C⁰"), =HYPERLINK("CSG0.html#group8B0", "8B⁰"), =HYPERLINK("CSG0.html#group2B0", "2B⁰"), =HYPERLINK("CSG0.html#group4F0", "4F⁰"), =HYPERLINK("CSG0.html#group1A0", "1A⁰")</f>
        <v/>
      </c>
      <c r="N323">
        <f>HYPERLINK("CSG19.html#group16B19", "16B¹⁹"), =HYPERLINK("CSG21.html#group32M21", "32M²¹"), =HYPERLINK("CSG20.html#group96N20", "96N²⁰"), =HYPERLINK("CSG21.html#group32Y21", "32Y²¹"), =HYPERLINK("CSG13.html#group32C13", "32C¹³"), =HYPERLINK("CSG17.html#group16B17", "16B¹⁷"), =HYPERLINK("CSG4.html#group16B4", "16B⁴"), =HYPERLINK("CSG13.html#group32Q13", "32Q¹³"), =HYPERLINK("CSG14.html#group64D14", "64D¹⁴"), =HYPERLINK("CSG13.html#group32F13", "32F¹³"), =HYPERLINK("CSG21.html#group48V21", "48V²¹"), =HYPERLINK("CSG21.html#group32P21", "32P²¹"), =HYPERLINK("CSG18.html#group48E18", "48E¹⁸"), =HYPERLINK("CSG18.html#group48O18", "48O¹⁸"), =HYPERLINK("CSG23.html#group32H23", "32H²³"), =HYPERLINK("CSG20.html#group96H20", "96H²⁰"), =HYPERLINK("CSG9.html#group32H9", "32H⁹"), =HYPERLINK("CSG11.html#group32K11", "32K¹¹"), =HYPERLINK("CSG21.html#group16D21", "16D²¹"), =HYPERLINK("CSG6.html#group32D6", "32D⁶"), =HYPERLINK("CSG19.html#group48AL19", "48AL¹⁹"), =HYPERLINK("CSG22.html#group64A22", "64A²²"), =HYPERLINK("CSG21.html#group32F21", "32F²¹"), =HYPERLINK("CSG10.html#group32C10", "32C¹⁰"), =HYPERLINK("CSG18.html#group48F18", "48F¹⁸"), =HYPERLINK("CSG6.html#group32C6", "32C⁶"), =HYPERLINK("CSG21.html#group16F21", "16F²¹"), =HYPERLINK("CSG23.html#group32E23", "32E²³"), =HYPERLINK("CSG24.html#group32A24", "32A²⁴"), =HYPERLINK("CSG12.html#group32B12", "32B¹²"), =HYPERLINK("CSG15.html#group16A15", "16A¹⁵"), =HYPERLINK("CSG9.html#group16A9", "16A⁹"), =HYPERLINK("CSG4.html#group16C4", "16C⁴"), =HYPERLINK("CSG9.html#group16H9", "16H⁹"), =HYPERLINK("CSG24.html#group32B24", "32B²⁴"), =HYPERLINK("CSG18.html#group80C18", "80C¹⁸"), =HYPERLINK("CSG17.html#group48AS17", "48AS¹⁷"), =HYPERLINK("CSG9.html#group16E9", "16E⁹"), =HYPERLINK("CSG9.html#group16D9", "16D⁹"), =HYPERLINK("CSG13.html#group32K13", "32K¹³"), =HYPERLINK("CSG21.html#group64I21", "64I²¹"), =HYPERLINK("CSG22.html#group32A22", "32A²²"), =HYPERLINK("CSG8.html#group48F8", "48F⁸"), =HYPERLINK("CSG19.html#group48AK19", "48AK¹⁹"), =HYPERLINK("CSG17.html#group48AU17", "48AU¹⁷"), =HYPERLINK("CSG19.html#group32D19", "32D¹⁹"), =HYPERLINK("CSG7.html#group16E7", "16E⁷"), =HYPERLINK("CSG17.html#group16A17", "16A¹⁷"), =HYPERLINK("CSG10.html#group16A10", "16A¹⁰"), =HYPERLINK("CSG12.html#group32C12", "32C¹²"), =HYPERLINK("CSG10.html#group16B10", "16B¹⁰"), =HYPERLINK("CSG14.html#group64A14", "64A¹⁴"), =HYPERLINK("CSG14.html#group64C14", "64C¹⁴"), =HYPERLINK("CSG19.html#group80V19", "80V¹⁹"), =HYPERLINK("CSG19.html#group32E19", "32E¹⁹"), =HYPERLINK("CSG7.html#group16D7", "16D⁷"), =HYPERLINK("CSG18.html#group48Q18", "48Q¹⁸"), =HYPERLINK("CSG14.html#group64B14", "64B¹⁴"), =HYPERLINK("CSG19.html#group16A19", "16A¹⁹"), =HYPERLINK("CSG24.html#group112L24", "112L²⁴"), =HYPERLINK("CSG24.html#group32C24", "32C²⁴"), =HYPERLINK("CSG3.html#group16M3", "16M³"), =HYPERLINK("CSG13.html#group48K13", "48K¹³"), =HYPERLINK("CSG15.html#group48J15", "48J¹⁵"), =HYPERLINK("CSG5.html#group16G5", "16G⁵"), =HYPERLINK("CSG12.html#group32A12", "32A¹²"), =HYPERLINK("CSG24.html#group32D24", "32D²⁴"), =HYPERLINK("CSG21.html#group16C21", "16C²¹"), =HYPERLINK("CSG22.html#group32B22", "32B²²"), =HYPERLINK("CSG20.html#group96G20", "96G²⁰"), =HYPERLINK("CSG10.html#group32B10", "32B¹⁰"), =HYPERLINK("CSG5.html#group16A5", "16A⁵"), =HYPERLINK("CSG21.html#group48E21", "48E²¹"), =HYPERLINK("CSG11.html#group32G11", "32G¹¹"), =HYPERLINK("CSG20.html#group96O20", "96O²⁰"), =HYPERLINK("CSG22.html#group64B22", "64B²²"), =HYPERLINK("CSG21.html#group32D21", "32D²¹")</f>
        <v/>
      </c>
    </row>
    <row r="324">
      <c r="A324" t="inlineStr">
        <is>
          <t>16F²</t>
        </is>
      </c>
      <c r="B324" t="inlineStr"/>
      <c r="C324" t="inlineStr">
        <is>
          <t>48</t>
        </is>
      </c>
      <c r="D324" t="inlineStr">
        <is>
          <t>2</t>
        </is>
      </c>
      <c r="E324" t="inlineStr">
        <is>
          <t>12</t>
        </is>
      </c>
      <c r="F324" t="inlineStr">
        <is>
          <t>4</t>
        </is>
      </c>
      <c r="G324" t="inlineStr">
        <is>
          <t>0</t>
        </is>
      </c>
      <c r="H324" t="inlineStr">
        <is>
          <t>8², 16²</t>
        </is>
      </c>
      <c r="I324" t="n">
        <v>4</v>
      </c>
      <c r="J324" t="inlineStr">
        <is>
          <t>2⁸, 4²</t>
        </is>
      </c>
      <c r="K324">
        <f>HYPERLINK("CSG0.html#group8L0", "8L⁰"), =HYPERLINK("CSG1.html#group16B1", "16B¹"), =HYPERLINK("CSG1.html#group16D1", "16D¹")</f>
        <v/>
      </c>
      <c r="L324">
        <f>HYPERLINK("CSG3.html#group16M3", "16M³"), =HYPERLINK("CSG5.html#group16C5", "16C⁵"), =HYPERLINK("CSG5.html#group16G5", "16G⁵"), =HYPERLINK("CSG6.html#group32E6", "32E⁶"), =HYPERLINK("CSG6.html#group32F6", "32F⁶"), =HYPERLINK("CSG8.html#group48X8", "48X⁸"), =HYPERLINK("CSG13.html#group48T13", "48T¹³"), =HYPERLINK("CSG18.html#group80E18", "80E¹⁸"), =HYPERLINK("CSG19.html#group80AE19", "80AE¹⁹"), =HYPERLINK("CSG24.html#group112U24", "112U²⁴"), =HYPERLINK("CSG24.html#group112V24", "112V²⁴")</f>
        <v/>
      </c>
      <c r="M324">
        <f>HYPERLINK("CSG0.html#group8B0", "8B⁰"), =HYPERLINK("CSG1.html#group16B1", "16B¹"), =HYPERLINK("CSG0.html#group8L0", "8L⁰"), =HYPERLINK("CSG0.html#group2B0", "2B⁰"), =HYPERLINK("CSG1.html#group16D1", "16D¹"), =HYPERLINK("CSG0.html#group1A0", "1A⁰"), =HYPERLINK("CSG0.html#group4C0", "4C⁰")</f>
        <v/>
      </c>
      <c r="N324">
        <f>HYPERLINK("CSG13.html#group32K13", "32K¹³"), =HYPERLINK("CSG21.html#group64I21", "64I²¹"), =HYPERLINK("CSG6.html#group32F6", "32F⁶"), =HYPERLINK("CSG19.html#group16B19", "16B¹⁹"), =HYPERLINK("CSG5.html#group16C5", "16C⁵"), =HYPERLINK("CSG8.html#group48X8", "48X⁸"), =HYPERLINK("CSG19.html#group80AE19", "80AE¹⁹"), =HYPERLINK("CSG21.html#group48I21", "48I²¹"), =HYPERLINK("CSG19.html#group32D19", "32D¹⁹"), =HYPERLINK("CSG14.html#group64E14", "64E¹⁴"), =HYPERLINK("CSG21.html#group32M21", "32M²¹"), =HYPERLINK("CSG19.html#group48BG19", "48BG¹⁹"), =HYPERLINK("CSG24.html#group112V24", "112V²⁴"), =HYPERLINK("CSG14.html#group64G14", "64G¹⁴"), =HYPERLINK("CSG13.html#group48T13", "48T¹³"), =HYPERLINK("CSG13.html#group32L13", "32L¹³"), =HYPERLINK("CSG7.html#group16E7", "16E⁷"), =HYPERLINK("CSG21.html#group32Y21", "32Y²¹"), =HYPERLINK("CSG17.html#group16A17", "16A¹⁷"), =HYPERLINK("CSG17.html#group16B17", "16B¹⁷"), =HYPERLINK("CSG9.html#group16F9", "16F⁹"), =HYPERLINK("CSG17.html#group48CA17", "48CA¹⁷"), =HYPERLINK("CSG13.html#group32E13", "32E¹³"), =HYPERLINK("CSG18.html#group80E18", "80E¹⁸"), =HYPERLINK("CSG13.html#group32Q13", "32Q¹³"), =HYPERLINK("CSG14.html#group64H14", "64H¹⁴"), =HYPERLINK("CSG19.html#group32E19", "32E¹⁹"), =HYPERLINK("CSG7.html#group16D7", "16D⁷"), =HYPERLINK("CSG21.html#group48V21", "48V²¹"), =HYPERLINK("CSG21.html#group32P21", "32P²¹"), =HYPERLINK("CSG23.html#group32H23", "32H²³"), =HYPERLINK("CSG9.html#group32H9", "32H⁹"), =HYPERLINK("CSG11.html#group32K11", "32K¹¹"), =HYPERLINK("CSG20.html#group96I20", "96I²⁰"), =HYPERLINK("CSG20.html#group96Q20", "96Q²⁰"), =HYPERLINK("CSG19.html#group16A19", "16A¹⁹"), =HYPERLINK("CSG3.html#group16M3", "16M³"), =HYPERLINK("CSG14.html#group64F14", "64F¹⁴"), =HYPERLINK("CSG15.html#group48J15", "48J¹⁵"), =HYPERLINK("CSG5.html#group16G5", "16G⁵"), =HYPERLINK("CSG20.html#group96P20", "96P²⁰"), =HYPERLINK("CSG6.html#group32E6", "32E⁶"), =HYPERLINK("CSG23.html#group32E23", "32E²³"), =HYPERLINK("CSG21.html#group16F21", "16F²¹"), =HYPERLINK("CSG15.html#group16A15", "16A¹⁵"), =HYPERLINK("CSG24.html#group112U24", "112U²⁴"), =HYPERLINK("CSG20.html#group96J20", "96J²⁰"), =HYPERLINK("CSG13.html#group32D13", "32D¹³"), =HYPERLINK("CSG9.html#group16H9", "16H⁹"), =HYPERLINK("CSG11.html#group32G11", "32G¹¹"), =HYPERLINK("CSG19.html#group48BF19", "48BF¹⁹"), =HYPERLINK("CSG17.html#group48CB17", "48CB¹⁷"), =HYPERLINK("CSG9.html#group16E9", "16E⁹"), =HYPERLINK("CSG21.html#group32Q21", "32Q²¹")</f>
        <v/>
      </c>
    </row>
    <row r="325">
      <c r="A325" t="inlineStr">
        <is>
          <t>16G²</t>
        </is>
      </c>
      <c r="B325" t="inlineStr"/>
      <c r="C325" t="inlineStr">
        <is>
          <t>64</t>
        </is>
      </c>
      <c r="D325" t="inlineStr">
        <is>
          <t>1</t>
        </is>
      </c>
      <c r="E325" t="inlineStr">
        <is>
          <t>64</t>
        </is>
      </c>
      <c r="F325" t="inlineStr">
        <is>
          <t>8</t>
        </is>
      </c>
      <c r="G325" t="inlineStr">
        <is>
          <t>1</t>
        </is>
      </c>
      <c r="H325" t="inlineStr">
        <is>
          <t>16⁴</t>
        </is>
      </c>
      <c r="I325" t="n">
        <v>4</v>
      </c>
      <c r="J325" t="inlineStr">
        <is>
          <t>8⁸</t>
        </is>
      </c>
      <c r="K325">
        <f>HYPERLINK("CSG0.html#group8F0", "8F⁰")</f>
        <v/>
      </c>
      <c r="L325">
        <f>HYPERLINK("CSG5.html#group16L5", "16L⁵"), =HYPERLINK("CSG7.html#group16A7", "16A⁷"), =HYPERLINK("CSG9.html#group16L9", "16L⁹"), =HYPERLINK("CSG9.html#group48AP9", "48AP⁹"), =HYPERLINK("CSG14.html#group32A14", "32A¹⁴"), =HYPERLINK("CSG18.html#group48A18", "48A¹⁸"), =HYPERLINK("CSG23.html#group80D23", "80D²³")</f>
        <v/>
      </c>
      <c r="M325">
        <f>HYPERLINK("CSG0.html#group1A0", "1A⁰"), =HYPERLINK("CSG0.html#group4A0", "4A⁰"), =HYPERLINK("CSG0.html#group8F0", "8F⁰")</f>
        <v/>
      </c>
      <c r="N325">
        <f>HYPERLINK("CSG11.html#group16E11", "16E¹¹"), =HYPERLINK("CSG14.html#group32A14", "32A¹⁴"), =HYPERLINK("CSG21.html#group48CR21", "48CR²¹"), =HYPERLINK("CSG23.html#group48E23", "48E²³"), =HYPERLINK("CSG21.html#group32L21", "32L²¹"), =HYPERLINK("CSG19.html#group16B19", "16B¹⁹"), =HYPERLINK("CSG23.html#group32D23", "32D²³"), =HYPERLINK("CSG7.html#group16A7", "16A⁷"), =HYPERLINK("CSG18.html#group48A18", "48A¹⁸"), =HYPERLINK("CSG23.html#group80D23", "80D²³"), =HYPERLINK("CSG5.html#group16L5", "16L⁵"), =HYPERLINK("CSG9.html#group48AP9", "48AP⁹"), =HYPERLINK("CSG13.html#group16A13", "16A¹³"), =HYPERLINK("CSG21.html#group16A21", "16A²¹"), =HYPERLINK("CSG23.html#group48F23", "48F²³"), =HYPERLINK("CSG9.html#group16L9", "16L⁹")</f>
        <v/>
      </c>
    </row>
    <row r="326">
      <c r="A326" t="inlineStr">
        <is>
          <t>16H²</t>
        </is>
      </c>
      <c r="B326" t="inlineStr"/>
      <c r="C326" t="inlineStr">
        <is>
          <t>64</t>
        </is>
      </c>
      <c r="D326" t="inlineStr">
        <is>
          <t>2</t>
        </is>
      </c>
      <c r="E326" t="inlineStr">
        <is>
          <t>32</t>
        </is>
      </c>
      <c r="F326" t="inlineStr">
        <is>
          <t>4</t>
        </is>
      </c>
      <c r="G326" t="inlineStr">
        <is>
          <t>4</t>
        </is>
      </c>
      <c r="H326" t="inlineStr">
        <is>
          <t>16⁴</t>
        </is>
      </c>
      <c r="I326" t="n">
        <v>4</v>
      </c>
      <c r="J326" t="inlineStr">
        <is>
          <t>8⁸</t>
        </is>
      </c>
      <c r="K326">
        <f>HYPERLINK("CSG0.html#group8M0", "8M⁰"), =HYPERLINK("CSG0.html#group16A0", "16A⁰")</f>
        <v/>
      </c>
      <c r="L326">
        <f>HYPERLINK("CSG5.html#group16K5", "16K⁵"), =HYPERLINK("CSG6.html#group32G6", "32G⁶"), =HYPERLINK("CSG10.html#group16C10", "16C¹⁰"), =HYPERLINK("CSG11.html#group16E11", "16E¹¹"), =HYPERLINK("CSG12.html#group48A12", "48A¹²"), =HYPERLINK("CSG17.html#group48A17", "48A¹⁷"), =HYPERLINK("CSG22.html#group80A22", "80A²²")</f>
        <v/>
      </c>
      <c r="M326">
        <f>HYPERLINK("CSG0.html#group8A0", "8A⁰"), =HYPERLINK("CSG0.html#group8F0", "8F⁰"), =HYPERLINK("CSG0.html#group16A0", "16A⁰"), =HYPERLINK("CSG0.html#group8M0", "8M⁰"), =HYPERLINK("CSG0.html#group1A0", "1A⁰"), =HYPERLINK("CSG0.html#group4A0", "4A⁰")</f>
        <v/>
      </c>
      <c r="N326">
        <f>HYPERLINK("CSG11.html#group16E11", "16E¹¹"), =HYPERLINK("CSG21.html#group16F21", "16F²¹"), =HYPERLINK("CSG19.html#group16A19", "16A¹⁹"), =HYPERLINK("CSG12.html#group48A12", "48A¹²"), =HYPERLINK("CSG17.html#group48A17", "48A¹⁷"), =HYPERLINK("CSG14.html#group64I14", "64I¹⁴"), =HYPERLINK("CSG21.html#group16B21", "16B²¹"), =HYPERLINK("CSG10.html#group16C10", "16C¹⁰"), =HYPERLINK("CSG13.html#group32S13", "32S¹³"), =HYPERLINK("CSG5.html#group16K5", "16K⁵"), =HYPERLINK("CSG6.html#group32G6", "32G⁶"), =HYPERLINK("CSG22.html#group80A22", "80A²²")</f>
        <v/>
      </c>
    </row>
    <row r="327">
      <c r="A327" t="inlineStr">
        <is>
          <t>16I²</t>
        </is>
      </c>
      <c r="B327" t="inlineStr"/>
      <c r="C327" t="inlineStr">
        <is>
          <t>96</t>
        </is>
      </c>
      <c r="D327" t="inlineStr">
        <is>
          <t>1</t>
        </is>
      </c>
      <c r="E327" t="inlineStr">
        <is>
          <t>12</t>
        </is>
      </c>
      <c r="F327" t="inlineStr">
        <is>
          <t>0</t>
        </is>
      </c>
      <c r="G327" t="inlineStr">
        <is>
          <t>0</t>
        </is>
      </c>
      <c r="H327" t="inlineStr">
        <is>
          <t>4⁸, 8⁴, 16²</t>
        </is>
      </c>
      <c r="I327" t="n">
        <v>14</v>
      </c>
      <c r="J327" t="inlineStr">
        <is>
          <t>1⁴, 2⁴</t>
        </is>
      </c>
      <c r="K327">
        <f>HYPERLINK("CSG0.html#group8N0", "8N⁰"), =HYPERLINK("CSG1.html#group16K1", "16K¹"), =HYPERLINK("CSG1.html#group16L1", "16L¹")</f>
        <v/>
      </c>
      <c r="L327">
        <f>HYPERLINK("CSG5.html#group16O5", "16O⁵"), =HYPERLINK("CSG7.html#group16B7", "16B⁷"), =HYPERLINK("CSG18.html#group48B18", "48B¹⁸"), =HYPERLINK("CSG19.html#group48BP19", "48BP¹⁹")</f>
        <v/>
      </c>
      <c r="M327">
        <f>HYPERLINK("CSG0.html#group2A0", "2A⁰"), =HYPERLINK("CSG0.html#group8N0", "8N⁰"), =HYPERLINK("CSG0.html#group4C0", "4C⁰"), =HYPERLINK("CSG0.html#group4G0", "4G⁰"), =HYPERLINK("CSG0.html#group2B0", "2B⁰"), =HYPERLINK("CSG0.html#group4E0", "4E⁰"), =HYPERLINK("CSG0.html#group4B0", "4B⁰"), =HYPERLINK("CSG0.html#group8K0", "8K⁰"), =HYPERLINK("CSG0.html#group1A0", "1A⁰"), =HYPERLINK("CSG1.html#group16L1", "16L¹"), =HYPERLINK("CSG0.html#group4A0", "4A⁰"), =HYPERLINK("CSG0.html#group4D0", "4D⁰"), =HYPERLINK("CSG0.html#group4F0", "4F⁰"), =HYPERLINK("CSG0.html#group8J0", "8J⁰"), =HYPERLINK("CSG0.html#group2C0", "2C⁰"), =HYPERLINK("CSG1.html#group16K1", "16K¹")</f>
        <v/>
      </c>
      <c r="N327">
        <f>HYPERLINK("CSG17.html#group32E17", "32E¹⁷"), =HYPERLINK("CSG19.html#group48BP19", "48BP¹⁹"), =HYPERLINK("CSG13.html#group16B13", "16B¹³"), =HYPERLINK("CSG5.html#group16O5", "16O⁵"), =HYPERLINK("CSG21.html#group16D21", "16D²¹"), =HYPERLINK("CSG18.html#group48B18", "48B¹⁸"), =HYPERLINK("CSG7.html#group16B7", "16B⁷"), =HYPERLINK("CSG13.html#group16C13", "16C¹³"), =HYPERLINK("CSG19.html#group32A19", "32A¹⁹"), =HYPERLINK("CSG21.html#group16E21", "16E²¹"), =HYPERLINK("CSG17.html#group16B17", "16B¹⁷")</f>
        <v/>
      </c>
    </row>
    <row r="328">
      <c r="A328" t="inlineStr">
        <is>
          <t>16J²</t>
        </is>
      </c>
      <c r="B328" t="inlineStr">
        <is>
          <t>Γ₁(16)</t>
        </is>
      </c>
      <c r="C328" t="inlineStr">
        <is>
          <t>96</t>
        </is>
      </c>
      <c r="D328" t="inlineStr">
        <is>
          <t>1</t>
        </is>
      </c>
      <c r="E328" t="inlineStr">
        <is>
          <t>24</t>
        </is>
      </c>
      <c r="F328" t="inlineStr">
        <is>
          <t>0</t>
        </is>
      </c>
      <c r="G328" t="inlineStr">
        <is>
          <t>0</t>
        </is>
      </c>
      <c r="H328" t="inlineStr">
        <is>
          <t>1⁴, 2², 4², 8², 16⁴</t>
        </is>
      </c>
      <c r="I328" t="n">
        <v>14</v>
      </c>
      <c r="J328" t="inlineStr">
        <is>
          <t>1⁴, 2², 4², 8¹</t>
        </is>
      </c>
      <c r="K328">
        <f>HYPERLINK("CSG0.html#group16H0", "16H⁰")</f>
        <v/>
      </c>
      <c r="L328">
        <f>HYPERLINK("CSG5.html#group16N5", "16N⁵"), =HYPERLINK("CSG5.html#group32O5", "32O⁵"), =HYPERLINK("CSG7.html#group32M7", "32M⁷"), =HYPERLINK("CSG18.html#group48C18", "48C¹⁸"), =HYPERLINK("CSG19.html#group48BR19", "48BR¹⁹")</f>
        <v/>
      </c>
      <c r="M328">
        <f>HYPERLINK("CSG0.html#group16C0", "16C⁰"), =HYPERLINK("CSG0.html#group16D0", "16D⁰"), =HYPERLINK("CSG0.html#group8C0", "8C⁰"), =HYPERLINK("CSG0.html#group2B0", "2B⁰"), =HYPERLINK("CSG0.html#group8I0", "8I⁰"), =HYPERLINK("CSG0.html#group4B0", "4B⁰"), =HYPERLINK("CSG0.html#group1A0", "1A⁰"), =HYPERLINK("CSG0.html#group16H0", "16H⁰")</f>
        <v/>
      </c>
      <c r="N328">
        <f>HYPERLINK("CSG19.html#group32B19", "32B¹⁹"), =HYPERLINK("CSG17.html#group32D17", "32D¹⁷"), =HYPERLINK("CSG17.html#group64C17", "64C¹⁷"), =HYPERLINK("CSG17.html#group32B17", "32B¹⁷"), =HYPERLINK("CSG5.html#group16N5", "16N⁵"), =HYPERLINK("CSG13.html#group64W13", "64W¹³"), =HYPERLINK("CSG21.html#group64K21", "64K²¹"), =HYPERLINK("CSG19.html#group48BR19", "48BR¹⁹"), =HYPERLINK("CSG18.html#group48C18", "48C¹⁸"), =HYPERLINK("CSG5.html#group32O5", "32O⁵"), =HYPERLINK("CSG7.html#group32M7", "32M⁷"), =HYPERLINK("CSG13.html#group16C13", "16C¹³"), =HYPERLINK("CSG17.html#group64B17", "64B¹⁷"), =HYPERLINK("CSG21.html#group64J21", "64J²¹"), =HYPERLINK("CSG19.html#group64B19", "64B¹⁹"), =HYPERLINK("CSG17.html#group32C17", "32C¹⁷"), =HYPERLINK("CSG13.html#group32U13", "32U¹³")</f>
        <v/>
      </c>
    </row>
    <row r="329">
      <c r="A329" t="inlineStr">
        <is>
          <t>16K²</t>
        </is>
      </c>
      <c r="B329" t="inlineStr"/>
      <c r="C329" t="inlineStr">
        <is>
          <t>96</t>
        </is>
      </c>
      <c r="D329" t="inlineStr">
        <is>
          <t>1</t>
        </is>
      </c>
      <c r="E329" t="inlineStr">
        <is>
          <t>24</t>
        </is>
      </c>
      <c r="F329" t="inlineStr">
        <is>
          <t>0</t>
        </is>
      </c>
      <c r="G329" t="inlineStr">
        <is>
          <t>0</t>
        </is>
      </c>
      <c r="H329" t="inlineStr">
        <is>
          <t>2⁴, 4², 8⁶, 16²</t>
        </is>
      </c>
      <c r="I329" t="n">
        <v>14</v>
      </c>
      <c r="J329" t="inlineStr">
        <is>
          <t>1⁸, 2⁴, 4²</t>
        </is>
      </c>
      <c r="K329">
        <f>HYPERLINK("CSG0.html#group8O0", "8O⁰")</f>
        <v/>
      </c>
      <c r="L329">
        <f>HYPERLINK("CSG5.html#group16N5", "16N⁵"), =HYPERLINK("CSG5.html#group16O5", "16O⁵"), =HYPERLINK("CSG7.html#group16C7", "16C⁷"), =HYPERLINK("CSG18.html#group48D18", "48D¹⁸"), =HYPERLINK("CSG19.html#group48BT19", "48BT¹⁹")</f>
        <v/>
      </c>
      <c r="M329">
        <f>HYPERLINK("CSG0.html#group2A0", "2A⁰"), =HYPERLINK("CSG0.html#group8G0", "8G⁰"), =HYPERLINK("CSG0.html#group8D0", "8D⁰"), =HYPERLINK("CSG0.html#group4C0", "4C⁰"), =HYPERLINK("CSG0.html#group2B0", "2B⁰"), =HYPERLINK("CSG0.html#group4E0", "4E⁰"), =HYPERLINK("CSG0.html#group8I0", "8I⁰"), =HYPERLINK("CSG0.html#group8C0", "8C⁰"), =HYPERLINK("CSG0.html#group4B0", "4B⁰"), =HYPERLINK("CSG0.html#group1A0", "1A⁰"), =HYPERLINK("CSG0.html#group2C0", "2C⁰"), =HYPERLINK("CSG0.html#group8J0", "8J⁰"), =HYPERLINK("CSG0.html#group8O0", "8O⁰")</f>
        <v/>
      </c>
      <c r="N329">
        <f>HYPERLINK("CSG17.html#group32D17", "32D¹⁷"), =HYPERLINK("CSG17.html#group32B17", "32B¹⁷"), =HYPERLINK("CSG5.html#group16N5", "16N⁵"), =HYPERLINK("CSG17.html#group32E17", "32E¹⁷"), =HYPERLINK("CSG19.html#group32C19", "32C¹⁹"), =HYPERLINK("CSG13.html#group16B13", "16B¹³"), =HYPERLINK("CSG21.html#group32G21", "32G²¹"), =HYPERLINK("CSG5.html#group16O5", "16O⁵"), =HYPERLINK("CSG19.html#group48BT19", "48BT¹⁹"), =HYPERLINK("CSG13.html#group16C13", "16C¹³"), =HYPERLINK("CSG7.html#group16C7", "16C⁷"), =HYPERLINK("CSG21.html#group32H21", "32H²¹"), =HYPERLINK("CSG18.html#group48D18", "48D¹⁸"), =HYPERLINK("CSG13.html#group32U13", "32U¹³"), =HYPERLINK("CSG17.html#group16B17", "16B¹⁷")</f>
        <v/>
      </c>
    </row>
    <row r="330">
      <c r="A330" t="inlineStr">
        <is>
          <t>16L²</t>
        </is>
      </c>
      <c r="B330" t="inlineStr"/>
      <c r="C330" t="inlineStr">
        <is>
          <t>96</t>
        </is>
      </c>
      <c r="D330" t="inlineStr">
        <is>
          <t>1</t>
        </is>
      </c>
      <c r="E330" t="inlineStr">
        <is>
          <t>24</t>
        </is>
      </c>
      <c r="F330" t="inlineStr">
        <is>
          <t>4</t>
        </is>
      </c>
      <c r="G330" t="inlineStr">
        <is>
          <t>0</t>
        </is>
      </c>
      <c r="H330" t="inlineStr">
        <is>
          <t>4⁸, 16⁴</t>
        </is>
      </c>
      <c r="I330" t="n">
        <v>12</v>
      </c>
      <c r="J330" t="inlineStr">
        <is>
          <t>2², 4⁵</t>
        </is>
      </c>
      <c r="K330">
        <f>HYPERLINK("CSG0.html#group8P0", "8P⁰"), =HYPERLINK("CSG1.html#group16H1", "16H¹"), =HYPERLINK("CSG1.html#group16I1", "16I¹")</f>
        <v/>
      </c>
      <c r="L330">
        <f>HYPERLINK("CSG5.html#group16M5", "16M⁵"), =HYPERLINK("CSG6.html#group32H6", "32H⁶"), =HYPERLINK("CSG7.html#group16D7", "16D⁷"), =HYPERLINK("CSG9.html#group16H9", "16H⁹"), =HYPERLINK("CSG10.html#group32A10", "32A¹⁰"), =HYPERLINK("CSG16.html#group48A16", "48A¹⁶"), =HYPERLINK("CSG21.html#group48CO21", "48CO²¹")</f>
        <v/>
      </c>
      <c r="M330">
        <f>HYPERLINK("CSG0.html#group8H0", "8H⁰"), =HYPERLINK("CSG0.html#group16E0", "16E⁰"), =HYPERLINK("CSG1.html#group16I1", "16I¹"), =HYPERLINK("CSG0.html#group8D0", "8D⁰"), =HYPERLINK("CSG0.html#group4A0", "4A⁰"), =HYPERLINK("CSG1.html#group16C1", "16C¹"), =HYPERLINK("CSG0.html#group4C0", "4C⁰"), =HYPERLINK("CSG0.html#group8B0", "8B⁰"), =HYPERLINK("CSG0.html#group8L0", "8L⁰"), =HYPERLINK("CSG0.html#group2B0", "2B⁰"), =HYPERLINK("CSG0.html#group1A0", "1A⁰"), =HYPERLINK("CSG0.html#group4F0", "4F⁰"), =HYPERLINK("CSG0.html#group8P0", "8P⁰"), =HYPERLINK("CSG1.html#group16H1", "16H¹")</f>
        <v/>
      </c>
      <c r="N330">
        <f>HYPERLINK("CSG19.html#group16B19", "16B¹⁹"), =HYPERLINK("CSG19.html#group16A19", "16A¹⁹"), =HYPERLINK("CSG19.html#group32D19", "32D¹⁹"), =HYPERLINK("CSG21.html#group32M21", "32M²¹"), =HYPERLINK("CSG18.html#group64B18", "64B¹⁸"), =HYPERLINK("CSG5.html#group16M5", "16M⁵"), =HYPERLINK("CSG21.html#group32C21", "32C²¹"), =HYPERLINK("CSG16.html#group48A16", "48A¹⁶"), =HYPERLINK("CSG17.html#group32A17", "32A¹⁷"), =HYPERLINK("CSG17.html#group16A17", "16A¹⁷"), =HYPERLINK("CSG13.html#group32T13", "32T¹³"), =HYPERLINK("CSG21.html#group16F21", "16F²¹"), =HYPERLINK("CSG23.html#group32E23", "32E²³"), =HYPERLINK("CSG18.html#group64A18", "64A¹⁸"), =HYPERLINK("CSG15.html#group16A15", "16A¹⁵"), =HYPERLINK("CSG10.html#group32A10", "32A¹⁰"), =HYPERLINK("CSG19.html#group32E19", "32E¹⁹"), =HYPERLINK("CSG7.html#group16D7", "16D⁷"), =HYPERLINK("CSG9.html#group16H9", "16H⁹"), =HYPERLINK("CSG21.html#group48CO21", "48CO²¹"), =HYPERLINK("CSG13.html#group16C13", "16C¹³"), =HYPERLINK("CSG6.html#group32H6", "32H⁶"), =HYPERLINK("CSG21.html#group32P21", "32P²¹")</f>
        <v/>
      </c>
    </row>
    <row r="331">
      <c r="A331" t="inlineStr">
        <is>
          <t>18A²</t>
        </is>
      </c>
      <c r="B331" t="inlineStr"/>
      <c r="C331" t="inlineStr">
        <is>
          <t>18</t>
        </is>
      </c>
      <c r="D331" t="inlineStr">
        <is>
          <t>1</t>
        </is>
      </c>
      <c r="E331" t="inlineStr">
        <is>
          <t>9</t>
        </is>
      </c>
      <c r="F331" t="inlineStr">
        <is>
          <t>0</t>
        </is>
      </c>
      <c r="G331" t="inlineStr">
        <is>
          <t>0</t>
        </is>
      </c>
      <c r="H331" t="inlineStr">
        <is>
          <t>18¹</t>
        </is>
      </c>
      <c r="I331" t="n">
        <v>1</v>
      </c>
      <c r="J331" t="inlineStr">
        <is>
          <t>1¹, 2¹, 6¹</t>
        </is>
      </c>
      <c r="K331">
        <f>HYPERLINK("CSG0.html#group9A0", "9A⁰"), =HYPERLINK("CSG1.html#group6A1", "6A¹")</f>
        <v/>
      </c>
      <c r="L331">
        <f>HYPERLINK("CSG3.html#group18A3", "18A³"), =HYPERLINK("CSG3.html#group18C3", "18C³"), =HYPERLINK("CSG4.html#group18A4", "18A⁴"), =HYPERLINK("CSG4.html#group18B4", "18B⁴"), =HYPERLINK("CSG6.html#group36A6", "36A⁶"), =HYPERLINK("CSG8.html#group90A8", "90A⁸"), =HYPERLINK("CSG9.html#group90A9", "90A⁹"), =HYPERLINK("CSG11.html#group126A11", "126A¹¹"), =HYPERLINK("CSG12.html#group126B12", "126B¹²"), =HYPERLINK("CSG15.html#group90E15", "90E¹⁵"), =HYPERLINK("CSG17.html#group198A17", "198A¹⁷"), =HYPERLINK("CSG18.html#group198B18", "198B¹⁸"), =HYPERLINK("CSG21.html#group234A21", "234A²¹")</f>
        <v/>
      </c>
      <c r="M331">
        <f>HYPERLINK("CSG0.html#group2A0", "2A⁰"), =HYPERLINK("CSG1.html#group6A1", "6A¹"), =HYPERLINK("CSG0.html#group3A0", "3A⁰"), =HYPERLINK("CSG0.html#group1A0", "1A⁰"), =HYPERLINK("CSG0.html#group9A0", "9A⁰")</f>
        <v/>
      </c>
      <c r="N331">
        <f>HYPERLINK("CSG16.html#group72G16", "72G¹⁶"), =HYPERLINK("CSG15.html#group36K15", "36K¹⁵"), =HYPERLINK("CSG7.html#group18E7", "18E⁷"), =HYPERLINK("CSG17.html#group90K17", "90K¹⁷"), =HYPERLINK("CSG3.html#group18A3", "18A³"), =HYPERLINK("CSG8.html#group90A8", "90A⁸"), =HYPERLINK("CSG6.html#group36A6", "36A⁶"), =HYPERLINK("CSG8.html#group36G8", "36G⁸"), =HYPERLINK("CSG17.html#group198A17", "198A¹⁷"), =HYPERLINK("CSG16.html#group36E16", "36E¹⁶"), =HYPERLINK("CSG17.html#group72C17", "72C¹⁷"), =HYPERLINK("CSG23.html#group72G23", "72G²³"), =HYPERLINK("CSG21.html#group36A21", "36A²¹"), =HYPERLINK("CSG22.html#group90C22", "90C²²"), =HYPERLINK("CSG13.html#group18A13", "18A¹³"), =HYPERLINK("CSG22.html#group54H22", "54H²²"), =HYPERLINK("CSG11.html#group36D11", "36D¹¹"), =HYPERLINK("CSG24.html#group144B24", "144B²⁴"), =HYPERLINK("CSG12.html#group72C12", "72C¹²"), =HYPERLINK("CSG15.html#group36J15", "36J¹⁵"), =HYPERLINK("CSG21.html#group126C21", "126C²¹"), =HYPERLINK("CSG21.html#group126A21", "126A²¹"), =HYPERLINK("CSG13.html#group54A13", "54A¹³"), =HYPERLINK("CSG16.html#group72Q16", "72Q¹⁶"), =HYPERLINK("CSG21.html#group126G21", "126G²¹"), =HYPERLINK("CSG21.html#group126F21", "126F²¹"), =HYPERLINK("CSG23.html#group126B23", "126B²³"), =HYPERLINK("CSG13.html#group18C13", "18C¹³"), =HYPERLINK("CSG23.html#group72A23", "72A²³"), =HYPERLINK("CSG7.html#group18G7", "18G⁷"), =HYPERLINK("CSG22.html#group36F22", "36F²²"), =HYPERLINK("CSG15.html#group36C15", "36C¹⁵"), =HYPERLINK("CSG19.html#group18B19", "18B¹⁹"), =HYPERLINK("CSG24.html#group252B24", "252B²⁴"), =HYPERLINK("CSG8.html#group36B8", "36B⁸"), =HYPERLINK("CSG17.html#group90E17", "90E¹⁷"), =HYPERLINK("CSG13.html#group18H13", "18H¹³"), =HYPERLINK("CSG8.html#group36D8", "36D⁸"), =HYPERLINK("CSG11.html#group36A11", "36A¹¹"), =HYPERLINK("CSG16.html#group36D16", "36D¹⁶"), =HYPERLINK("CSG16.html#group36A16", "36A¹⁶"), =HYPERLINK("CSG12.html#group72A12", "72A¹²"), =HYPERLINK("CSG23.html#group72E23", "72E²³"), =HYPERLINK("CSG16.html#group36C16", "36C¹⁶"), =HYPERLINK("CSG15.html#group90E15", "90E¹⁵"), =HYPERLINK("CSG22.html#group90D22", "90D²²"), =HYPERLINK("CSG13.html#group18B13", "18B¹³"), =HYPERLINK("CSG21.html#group126E21", "126E²¹"), =HYPERLINK("CSG10.html#group18C10", "18C¹⁰"), =HYPERLINK("CSG7.html#group18A7", "18A⁷"), =HYPERLINK("CSG21.html#group126D21", "126D²¹"), =HYPERLINK("CSG16.html#group72I16", "72I¹⁶"), =HYPERLINK("CSG24.html#group252D24", "252D²⁴"), =HYPERLINK("CSG5.html#group18A5", "18A⁵"), =HYPERLINK("CSG9.html#group90A9", "90A⁹"), =HYPERLINK("CSG16.html#group72B16", "72B¹⁶"), =HYPERLINK("CSG16.html#group72A16", "72A¹⁶"), =HYPERLINK("CSG15.html#group36D15", "36D¹⁵"), =HYPERLINK("CSG17.html#group72K17", "72K¹⁷"), =HYPERLINK("CSG22.html#group54I22", "54I²²"), =HYPERLINK("CSG7.html#group18C7", "18C⁷"), =HYPERLINK("CSG10.html#group18B10", "18B¹⁰"), =HYPERLINK("CSG24.html#group144A24", "144A²⁴"), =HYPERLINK("CSG21.html#group126H21", "126H²¹"), =HYPERLINK("CSG23.html#group72H23", "72H²³"), =HYPERLINK("CSG23.html#group126H23", "126H²³"), =HYPERLINK("CSG4.html#group18A4", "18A⁴"), =HYPERLINK("CSG22.html#group36E22", "36E²²"), =HYPERLINK("CSG16.html#group72H16", "72H¹⁶"), =HYPERLINK("CSG19.html#group18D19", "18D¹⁹"), =HYPERLINK("CSG19.html#group18C19", "18C¹⁹"), =HYPERLINK("CSG12.html#group72B12", "72B¹²"), =HYPERLINK("CSG11.html#group126A11", "126A¹¹"), =HYPERLINK("CSG18.html#group198B18", "198B¹⁸"), =HYPERLINK("CSG17.html#group90D17", "90D¹⁷"), =HYPERLINK("CSG22.html#group90B22", "90B²²"), =HYPERLINK("CSG4.html#group18B4", "18B⁴"), =HYPERLINK("CSG17.html#group90B17", "90B¹⁷"), =HYPERLINK("CSG11.html#group36F11", "36F¹¹"), =HYPERLINK("CSG22.html#group90A22", "90A²²"), =HYPERLINK("CSG19.html#group18E19", "18E¹⁹"), =HYPERLINK("CSG7.html#group18B7", "18B⁷"), =HYPERLINK("CSG24.html#group252A24", "252A²⁴"), =HYPERLINK("CSG15.html#group90A15", "90A¹⁵"), =HYPERLINK("CSG23.html#group72B23", "72B²³"), =HYPERLINK("CSG17.html#group72E17", "72E¹⁷"), =HYPERLINK("CSG12.html#group126B12", "126B¹²"), =HYPERLINK("CSG22.html#group36J22", "36J²²"), =HYPERLINK("CSG16.html#group36B16", "36B¹⁶"), =HYPERLINK("CSG21.html#group234A21", "234A²¹"), =HYPERLINK("CSG15.html#group90F15", "90F¹⁵"), =HYPERLINK("CSG13.html#group18F13", "18F¹³"), =HYPERLINK("CSG24.html#group144C24", "144C²⁴"), =HYPERLINK("CSG3.html#group18C3", "18C³"), =HYPERLINK("CSG7.html#group18F7", "18F⁷"), =HYPERLINK("CSG19.html#group18A19", "18A¹⁹"), =HYPERLINK("CSG17.html#group90H17", "90H¹⁷")</f>
        <v/>
      </c>
    </row>
    <row r="332">
      <c r="A332" t="inlineStr">
        <is>
          <t>18B²</t>
        </is>
      </c>
      <c r="B332" t="inlineStr"/>
      <c r="C332" t="inlineStr">
        <is>
          <t>24</t>
        </is>
      </c>
      <c r="D332" t="inlineStr">
        <is>
          <t>1</t>
        </is>
      </c>
      <c r="E332" t="inlineStr">
        <is>
          <t>4</t>
        </is>
      </c>
      <c r="F332" t="inlineStr">
        <is>
          <t>0</t>
        </is>
      </c>
      <c r="G332" t="inlineStr">
        <is>
          <t>0</t>
        </is>
      </c>
      <c r="H332" t="inlineStr">
        <is>
          <t>6¹, 18¹</t>
        </is>
      </c>
      <c r="I332" t="n">
        <v>2</v>
      </c>
      <c r="J332" t="inlineStr">
        <is>
          <t>1², 2¹</t>
        </is>
      </c>
      <c r="K332">
        <f>HYPERLINK("CSG0.html#group6C0", "6C⁰"), =HYPERLINK("CSG1.html#group9A1", "9A¹")</f>
        <v/>
      </c>
      <c r="L332">
        <f>HYPERLINK("CSG4.html#group18D4", "18D⁴"), =HYPERLINK("CSG4.html#group18E4", "18E⁴"), =HYPERLINK("CSG4.html#group18F4", "18F⁴"), =HYPERLINK("CSG4.html#group18I4", "18I⁴"), =HYPERLINK("CSG4.html#group18J4", "18J⁴"), =HYPERLINK("CSG4.html#group36A4", "36A⁴"), =HYPERLINK("CSG7.html#group36A7", "36A⁷"), =HYPERLINK("CSG10.html#group90A10", "90A¹⁰"), =HYPERLINK("CSG11.html#group90D11", "90D¹¹"), =HYPERLINK("CSG14.html#group126B14", "126B¹⁴"), =HYPERLINK("CSG15.html#group126B15", "126B¹⁵"), =HYPERLINK("CSG19.html#group90B19", "90B¹⁹"), =HYPERLINK("CSG22.html#group198A22", "198A²²"), =HYPERLINK("CSG23.html#group198D23", "198D²³")</f>
        <v/>
      </c>
      <c r="M332">
        <f>HYPERLINK("CSG0.html#group3B0", "3B⁰"), =HYPERLINK("CSG0.html#group2A0", "2A⁰"), =HYPERLINK("CSG0.html#group1A0", "1A⁰"), =HYPERLINK("CSG0.html#group6C0", "6C⁰"), =HYPERLINK("CSG1.html#group9A1", "9A¹")</f>
        <v/>
      </c>
      <c r="N332">
        <f>HYPERLINK("CSG10.html#group36I10", "36I¹⁰"), =HYPERLINK("CSG11.html#group90D11", "90D¹¹"), =HYPERLINK("CSG16.html#group54N16", "54N¹⁶"), =HYPERLINK("CSG21.html#group72D21", "72D²¹"), =HYPERLINK("CSG19.html#group72B19", "72B¹⁹"), =HYPERLINK("CSG4.html#group18F4", "18F⁴"), =HYPERLINK("CSG8.html#group36I8", "36I⁸"), =HYPERLINK("CSG17.html#group36B17", "36B¹⁷"), =HYPERLINK("CSG13.html#group18G13", "18G¹³"), =HYPERLINK("CSG16.html#group54K16", "54K¹⁶"), =HYPERLINK("CSG10.html#group36G10", "36G¹⁰"), =HYPERLINK("CSG19.html#group36B19", "36B¹⁹"), =HYPERLINK("CSG13.html#group54E13", "54E¹³"), =HYPERLINK("CSG23.html#group198D23", "198D²³"), =HYPERLINK("CSG7.html#group36A7", "36A⁷"), =HYPERLINK("CSG10.html#group18J10", "18J¹⁰"), =HYPERLINK("CSG10.html#group36B10", "36B¹⁰"), =HYPERLINK("CSG9.html#group36D9", "36D⁹"), =HYPERLINK("CSG19.html#group72N19", "72N¹⁹"), =HYPERLINK("CSG22.html#group36K22", "36K²²"), =HYPERLINK("CSG15.html#group72B15", "72B¹⁵"), =HYPERLINK("CSG19.html#group90B19", "90B¹⁹"), =HYPERLINK("CSG10.html#group18H10", "18H¹⁰"), =HYPERLINK("CSG19.html#group36F19", "36F¹⁹"), =HYPERLINK("CSG16.html#group54H16", "54H¹⁶"), =HYPERLINK("CSG4.html#group18E4", "18E⁴"), =HYPERLINK("CSG4.html#group18I4", "18I⁴"), =HYPERLINK("CSG22.html#group198A22", "198A²²"), =HYPERLINK("CSG19.html#group36J19", "36J¹⁹"), =HYPERLINK("CSG16.html#group54O16", "54O¹⁶"), =HYPERLINK("CSG10.html#group36C10", "36C¹⁰"), =HYPERLINK("CSG22.html#group36O22", "36O²²"), =HYPERLINK("CSG13.html#group54I13", "54I¹³"), =HYPERLINK("CSG15.html#group72A15", "72A¹⁵"), =HYPERLINK("CSG13.html#group36A13", "36A¹³"), =HYPERLINK("CSG20.html#group180A20", "180A²⁰"), =HYPERLINK("CSG13.html#group18C13", "18C¹³"), =HYPERLINK("CSG10.html#group18E10", "18E¹⁰"), =HYPERLINK("CSG15.html#group126B15", "126B¹⁵"), =HYPERLINK("CSG23.html#group180D23", "180D²³"), =HYPERLINK("CSG14.html#group126B14", "126B¹⁴"), =HYPERLINK("CSG10.html#group18D10", "18D¹⁰"), =HYPERLINK("CSG16.html#group54A16", "54A¹⁶"), =HYPERLINK("CSG16.html#group54G16", "54G¹⁶"), =HYPERLINK("CSG19.html#group72D19", "72D¹⁹"), =HYPERLINK("CSG21.html#group72B21", "72B²¹"), =HYPERLINK("CSG21.html#group90F21", "90F²¹"), =HYPERLINK("CSG10.html#group36D10", "36D¹⁰"), =HYPERLINK("CSG19.html#group72L19", "72L¹⁹"), =HYPERLINK("CSG4.html#group18J4", "18J⁴"), =HYPERLINK("CSG10.html#group90A10", "90A¹⁰"), =HYPERLINK("CSG23.html#group180B23", "180B²³"), =HYPERLINK("CSG19.html#group36E19", "36E¹⁹"), =HYPERLINK("CSG19.html#group36I19", "36I¹⁹"), =HYPERLINK("CSG4.html#group36A4", "36A⁴"), =HYPERLINK("CSG4.html#group18D4", "18D⁴"), =HYPERLINK("CSG19.html#group36D19", "36D¹⁹"), =HYPERLINK("CSG10.html#group18F10", "18F¹⁰")</f>
        <v/>
      </c>
    </row>
    <row r="333">
      <c r="A333" t="inlineStr">
        <is>
          <t>18C²</t>
        </is>
      </c>
      <c r="B333" t="inlineStr"/>
      <c r="C333" t="inlineStr">
        <is>
          <t>24</t>
        </is>
      </c>
      <c r="D333" t="inlineStr">
        <is>
          <t>1</t>
        </is>
      </c>
      <c r="E333" t="inlineStr">
        <is>
          <t>8</t>
        </is>
      </c>
      <c r="F333" t="inlineStr">
        <is>
          <t>0</t>
        </is>
      </c>
      <c r="G333" t="inlineStr">
        <is>
          <t>0</t>
        </is>
      </c>
      <c r="H333" t="inlineStr">
        <is>
          <t>6¹, 18¹</t>
        </is>
      </c>
      <c r="I333" t="n">
        <v>2</v>
      </c>
      <c r="J333" t="inlineStr">
        <is>
          <t>2⁴</t>
        </is>
      </c>
      <c r="K333">
        <f>HYPERLINK("CSG0.html#group6C0", "6C⁰")</f>
        <v/>
      </c>
      <c r="L333">
        <f>HYPERLINK("CSG4.html#group18C4", "18C⁴"), =HYPERLINK("CSG4.html#group18F4", "18F⁴"), =HYPERLINK("CSG4.html#group18G4", "18G⁴"), =HYPERLINK("CSG4.html#group18H4", "18H⁴"), =HYPERLINK("CSG4.html#group36B4", "36B⁴"), =HYPERLINK("CSG7.html#group36B7", "36B⁷"), =HYPERLINK("CSG10.html#group90B10", "90B¹⁰"), =HYPERLINK("CSG11.html#group90F11", "90F¹¹"), =HYPERLINK("CSG14.html#group126C14", "126C¹⁴"), =HYPERLINK("CSG15.html#group126C15", "126C¹⁵"), =HYPERLINK("CSG19.html#group90C19", "90C¹⁹"), =HYPERLINK("CSG22.html#group198B22", "198B²²"), =HYPERLINK("CSG23.html#group198F23", "198F²³")</f>
        <v/>
      </c>
      <c r="M333">
        <f>HYPERLINK("CSG0.html#group3B0", "3B⁰"), =HYPERLINK("CSG0.html#group2A0", "2A⁰"), =HYPERLINK("CSG0.html#group1A0", "1A⁰"), =HYPERLINK("CSG0.html#group6C0", "6C⁰")</f>
        <v/>
      </c>
      <c r="N333">
        <f>HYPERLINK("CSG22.html#group198B22", "198B²²"), =HYPERLINK("CSG16.html#group54E16", "54E¹⁶"), =HYPERLINK("CSG7.html#group36B7", "36B⁷"), =HYPERLINK("CSG11.html#group90F11", "90F¹¹"), =HYPERLINK("CSG19.html#group72C19", "72C¹⁹"), =HYPERLINK("CSG4.html#group18F4", "18F⁴"), =HYPERLINK("CSG13.html#group18G13", "18G¹³"), =HYPERLINK("CSG13.html#group36B13", "36B¹³"), =HYPERLINK("CSG13.html#group54J13", "54J¹³"), =HYPERLINK("CSG19.html#group90C19", "90C¹⁹"), =HYPERLINK("CSG4.html#group18G4", "18G⁴"), =HYPERLINK("CSG16.html#group54D16", "54D¹⁶"), =HYPERLINK("CSG10.html#group18J10", "18J¹⁰"), =HYPERLINK("CSG10.html#group18I10", "18I¹⁰"), =HYPERLINK("CSG22.html#group36K22", "36K²²"), =HYPERLINK("CSG10.html#group18K10", "18K¹⁰"), =HYPERLINK("CSG15.html#group126C15", "126C¹⁵"), =HYPERLINK("CSG19.html#group36F19", "36F¹⁹"), =HYPERLINK("CSG16.html#group54F16", "54F¹⁶"), =HYPERLINK("CSG19.html#group36A19", "36A¹⁹"), =HYPERLINK("CSG13.html#group54H13", "54H¹³"), =HYPERLINK("CSG10.html#group90B10", "90B¹⁰"), =HYPERLINK("CSG21.html#group72C21", "72C²¹"), =HYPERLINK("CSG22.html#group36N22", "36N²²"), =HYPERLINK("CSG17.html#group36A17", "36A¹⁷"), =HYPERLINK("CSG14.html#group126C14", "126C¹⁴"), =HYPERLINK("CSG19.html#group72K19", "72K¹⁹"), =HYPERLINK("CSG20.html#group180B20", "180B²⁰"), =HYPERLINK("CSG19.html#group72A19", "72A¹⁹"), =HYPERLINK("CSG10.html#group18G10", "18G¹⁰"), =HYPERLINK("CSG10.html#group18E10", "18E¹⁰"), =HYPERLINK("CSG10.html#group36E10", "36E¹⁰"), =HYPERLINK("CSG19.html#group72M19", "72M¹⁹"), =HYPERLINK("CSG19.html#group36G19", "36G¹⁹"), =HYPERLINK("CSG21.html#group72A21", "72A²¹"), =HYPERLINK("CSG15.html#group72C15", "72C¹⁵"), =HYPERLINK("CSG23.html#group180H23", "180H²³"), =HYPERLINK("CSG4.html#group18H4", "18H⁴"), =HYPERLINK("CSG19.html#group36C19", "36C¹⁹"), =HYPERLINK("CSG13.html#group54K13", "54K¹³"), =HYPERLINK("CSG9.html#group36C9", "36C⁹"), =HYPERLINK("CSG10.html#group36D10", "36D¹⁰"), =HYPERLINK("CSG19.html#group36H19", "36H¹⁹"), =HYPERLINK("CSG23.html#group198F23", "198F²³"), =HYPERLINK("CSG8.html#group36H8", "36H⁸"), =HYPERLINK("CSG10.html#group36A10", "36A¹⁰"), =HYPERLINK("CSG10.html#group36F10", "36F¹⁰"), =HYPERLINK("CSG13.html#group18F13", "18F¹³"), =HYPERLINK("CSG15.html#group72D15", "72D¹⁵"), =HYPERLINK("CSG4.html#group36B4", "36B⁴"), =HYPERLINK("CSG13.html#group18D13", "18D¹³"), =HYPERLINK("CSG21.html#group90H21", "90H²¹"), =HYPERLINK("CSG23.html#group180F23", "180F²³"), =HYPERLINK("CSG4.html#group18C4", "18C⁴")</f>
        <v/>
      </c>
    </row>
    <row r="334">
      <c r="A334" t="inlineStr">
        <is>
          <t>18D²</t>
        </is>
      </c>
      <c r="B334" t="inlineStr"/>
      <c r="C334" t="inlineStr">
        <is>
          <t>36</t>
        </is>
      </c>
      <c r="D334" t="inlineStr">
        <is>
          <t>1</t>
        </is>
      </c>
      <c r="E334" t="inlineStr">
        <is>
          <t>12</t>
        </is>
      </c>
      <c r="F334" t="inlineStr">
        <is>
          <t>0</t>
        </is>
      </c>
      <c r="G334" t="inlineStr">
        <is>
          <t>0</t>
        </is>
      </c>
      <c r="H334" t="inlineStr">
        <is>
          <t>3¹, 6¹, 9¹, 18¹</t>
        </is>
      </c>
      <c r="I334" t="n">
        <v>4</v>
      </c>
      <c r="J334" t="inlineStr">
        <is>
          <t>1⁶, 2³</t>
        </is>
      </c>
      <c r="K334">
        <f>HYPERLINK("CSG0.html#group6F0", "6F⁰"), =HYPERLINK("CSG0.html#group9C0", "9C⁰")</f>
        <v/>
      </c>
      <c r="L334">
        <f>HYPERLINK("CSG4.html#group18C4", "18C⁴"), =HYPERLINK("CSG4.html#group18M4", "18M⁴"), =HYPERLINK("CSG4.html#group18P4", "18P⁴"), =HYPERLINK("CSG4.html#group36F4", "36F⁴"), =HYPERLINK("CSG5.html#group36A5", "36A⁵"), =HYPERLINK("CSG8.html#group54A8", "54A⁸"), =HYPERLINK("CSG8.html#group54B8", "54B⁸"), =HYPERLINK("CSG8.html#group54C8", "54C⁸"), =HYPERLINK("CSG14.html#group90A14", "90A¹⁴"), =HYPERLINK("CSG15.html#group90G15", "90G¹⁵"), =HYPERLINK("CSG20.html#group126C20", "126C²⁰"), =HYPERLINK("CSG21.html#group126J21", "126J²¹")</f>
        <v/>
      </c>
      <c r="M334">
        <f>HYPERLINK("CSG0.html#group3B0", "3B⁰"), =HYPERLINK("CSG0.html#group1A0", "1A⁰"), =HYPERLINK("CSG0.html#group2B0", "2B⁰"), =HYPERLINK("CSG0.html#group9C0", "9C⁰"), =HYPERLINK("CSG0.html#group6F0", "6F⁰")</f>
        <v/>
      </c>
      <c r="N334">
        <f>HYPERLINK("CSG22.html#group54B22", "54B²²"), =HYPERLINK("CSG10.html#group18M10", "18M¹⁰"), =HYPERLINK("CSG10.html#group36J10", "36J¹⁰"), =HYPERLINK("CSG21.html#group72E21", "72E²¹"), =HYPERLINK("CSG19.html#group72C19", "72C¹⁹"), =HYPERLINK("CSG19.html#group144E19", "144E¹⁹"), =HYPERLINK("CSG16.html#group18B16", "18B¹⁶"), =HYPERLINK("CSG17.html#group108B17", "108B¹⁷"), =HYPERLINK("CSG17.html#group108A17", "108A¹⁷"), =HYPERLINK("CSG23.html#group144O23", "144O²³"), =HYPERLINK("CSG16.html#group54D16", "54D¹⁶"), =HYPERLINK("CSG22.html#group36L22", "36L²²"), =HYPERLINK("CSG16.html#group108A16", "108A¹⁶"), =HYPERLINK("CSG16.html#group54U16", "54U¹⁶"), =HYPERLINK("CSG19.html#group72E19", "72E¹⁹"), =HYPERLINK("CSG8.html#group54B8", "54B⁸"), =HYPERLINK("CSG22.html#group54D22", "54D²²"), =HYPERLINK("CSG21.html#group72C21", "72C²¹"), =HYPERLINK("CSG22.html#group72M22", "72M²²"), =HYPERLINK("CSG19.html#group72G19", "72G¹⁹"), =HYPERLINK("CSG22.html#group36N22", "36N²²"), =HYPERLINK("CSG19.html#group72K19", "72K¹⁹"), =HYPERLINK("CSG17.html#group36A17", "36A¹⁷"), =HYPERLINK("CSG19.html#group144A19", "144A¹⁹"), =HYPERLINK("CSG19.html#group72A19", "72A¹⁹"), =HYPERLINK("CSG21.html#group72G21", "72G²¹"), =HYPERLINK("CSG10.html#group72A10", "72A¹⁰"), =HYPERLINK("CSG21.html#group126J21", "126J²¹"), =HYPERLINK("CSG16.html#group108C16", "108C¹⁶"), =HYPERLINK("CSG23.html#group144A23", "144A²³"), =HYPERLINK("CSG11.html#group72C11", "72C¹¹"), =HYPERLINK("CSG10.html#group18E10", "18E¹⁰"), =HYPERLINK("CSG16.html#group54T16", "54T¹⁶"), =HYPERLINK("CSG19.html#group72M19", "72M¹⁹"), =HYPERLINK("CSG13.html#group36D13", "36D¹³"), =HYPERLINK("CSG23.html#group144I23", "144I²³"), =HYPERLINK("CSG23.html#group144M23", "144M²³"), =HYPERLINK("CSG19.html#group36C19", "36C¹⁹"), =HYPERLINK("CSG13.html#group36J13", "36J¹³"), =HYPERLINK("CSG4.html#group18P4", "18P⁴"), =HYPERLINK("CSG22.html#group54C22", "54C²²"), =HYPERLINK("CSG22.html#group36P22", "36P²²"), =HYPERLINK("CSG19.html#group144C19", "144C¹⁹"), =HYPERLINK("CSG14.html#group90A14", "90A¹⁴"), =HYPERLINK("CSG22.html#group144A22", "144A²²"), =HYPERLINK("CSG10.html#group36A10", "36A¹⁰"), =HYPERLINK("CSG22.html#group54F22", "54F²²"), =HYPERLINK("CSG23.html#group144C23", "144C²³"), =HYPERLINK("CSG19.html#group72I19", "72I¹⁹"), =HYPERLINK("CSG22.html#group72L22", "72L²²"), =HYPERLINK("CSG9.html#group72D9", "72D⁹"), =HYPERLINK("CSG15.html#group90G15", "90G¹⁵"), =HYPERLINK("CSG22.html#group54A22", "54A²²"), =HYPERLINK("CSG20.html#group72A20", "72A²⁰"), =HYPERLINK("CSG23.html#group144E23", "144E²³"), =HYPERLINK("CSG16.html#group54E16", "54E¹⁶"), =HYPERLINK("CSG21.html#group72I21", "72I²¹"), =HYPERLINK("CSG5.html#group36A5", "36A⁵"), =HYPERLINK("CSG22.html#group36K22", "36K²²"), =HYPERLINK("CSG23.html#group144K23", "144K²³"), =HYPERLINK("CSG16.html#group54F16", "54F¹⁶"), =HYPERLINK("CSG8.html#group54C8", "54C⁸"), =HYPERLINK("CSG19.html#group36A19", "36A¹⁹"), =HYPERLINK("CSG16.html#group108B16", "108B¹⁶"), =HYPERLINK("CSG8.html#group36J8", "36J⁸"), =HYPERLINK("CSG17.html#group108C17", "108C¹⁷"), =HYPERLINK("CSG10.html#group36Q10", "36Q¹⁰"), =HYPERLINK("CSG17.html#group72O17", "72O¹⁷"), =HYPERLINK("CSG10.html#group18G10", "18G¹⁰"), =HYPERLINK("CSG22.html#group72A22", "72A²²"), =HYPERLINK("CSG4.html#group36F4", "36F⁴"), =HYPERLINK("CSG21.html#group72A21", "72A²¹"), =HYPERLINK("CSG21.html#group72K21", "72K²¹"), =HYPERLINK("CSG9.html#group36C9", "36C⁹"), =HYPERLINK("CSG21.html#group144E21", "144E²¹"), =HYPERLINK("CSG21.html#group144G21", "144G²¹"), =HYPERLINK("CSG8.html#group36H8", "36H⁸"), =HYPERLINK("CSG16.html#group18E16", "18E¹⁶"), =HYPERLINK("CSG19.html#group144G19", "144G¹⁹"), =HYPERLINK("CSG10.html#group72C10", "72C¹⁰"), =HYPERLINK("CSG20.html#group126C20", "126C²⁰"), =HYPERLINK("CSG10.html#group36R10", "36R¹⁰"), =HYPERLINK("CSG11.html#group72A11", "72A¹¹"), =HYPERLINK("CSG20.html#group144A20", "144A²⁰"), =HYPERLINK("CSG23.html#group144G23", "144G²³"), =HYPERLINK("CSG4.html#group18M4", "18M⁴"), =HYPERLINK("CSG22.html#group54E22", "54E²²"), =HYPERLINK("CSG8.html#group72F8", "72F⁸"), =HYPERLINK("CSG8.html#group54A8", "54A⁸"), =HYPERLINK("CSG4.html#group18C4", "18C⁴")</f>
        <v/>
      </c>
    </row>
    <row r="335">
      <c r="A335" t="inlineStr">
        <is>
          <t>18E²</t>
        </is>
      </c>
      <c r="B335" t="inlineStr"/>
      <c r="C335" t="inlineStr">
        <is>
          <t>36</t>
        </is>
      </c>
      <c r="D335" t="inlineStr">
        <is>
          <t>1</t>
        </is>
      </c>
      <c r="E335" t="inlineStr">
        <is>
          <t>12</t>
        </is>
      </c>
      <c r="F335" t="inlineStr">
        <is>
          <t>0</t>
        </is>
      </c>
      <c r="G335" t="inlineStr">
        <is>
          <t>0</t>
        </is>
      </c>
      <c r="H335" t="inlineStr">
        <is>
          <t>3¹, 6¹, 9¹, 18¹</t>
        </is>
      </c>
      <c r="I335" t="n">
        <v>4</v>
      </c>
      <c r="J335" t="inlineStr">
        <is>
          <t>1⁶, 2³</t>
        </is>
      </c>
      <c r="K335">
        <f>HYPERLINK("CSG0.html#group6F0", "6F⁰"), =HYPERLINK("CSG1.html#group9A1", "9A¹")</f>
        <v/>
      </c>
      <c r="L335">
        <f>HYPERLINK("CSG4.html#group18D4", "18D⁴"), =HYPERLINK("CSG4.html#group18M4", "18M⁴"), =HYPERLINK("CSG4.html#group18Q4", "18Q⁴"), =HYPERLINK("CSG4.html#group36G4", "36G⁴"), =HYPERLINK("CSG5.html#group36B5", "36B⁵"), =HYPERLINK("CSG14.html#group90B14", "90B¹⁴"), =HYPERLINK("CSG15.html#group90H15", "90H¹⁵"), =HYPERLINK("CSG20.html#group126D20", "126D²⁰"), =HYPERLINK("CSG21.html#group126K21", "126K²¹")</f>
        <v/>
      </c>
      <c r="M335">
        <f>HYPERLINK("CSG0.html#group3B0", "3B⁰"), =HYPERLINK("CSG0.html#group1A0", "1A⁰"), =HYPERLINK("CSG0.html#group2B0", "2B⁰"), =HYPERLINK("CSG0.html#group6F0", "6F⁰"), =HYPERLINK("CSG1.html#group9A1", "9A¹")</f>
        <v/>
      </c>
      <c r="N335">
        <f>HYPERLINK("CSG9.html#group72E9", "72E⁹"), =HYPERLINK("CSG19.html#group72H19", "72H¹⁹"), =HYPERLINK("CSG21.html#group72F21", "72F²¹"), =HYPERLINK("CSG22.html#group144B22", "144B²²"), =HYPERLINK("CSG10.html#group18M10", "18M¹⁰"), =HYPERLINK("CSG19.html#group72J19", "72J¹⁹"), =HYPERLINK("CSG17.html#group36B17", "36B¹⁷"), =HYPERLINK("CSG21.html#group72H21", "72H²¹"), =HYPERLINK("CSG16.html#group18B16", "18B¹⁶"), =HYPERLINK("CSG20.html#group126D20", "126D²⁰"), =HYPERLINK("CSG19.html#group144D19", "144D¹⁹"), =HYPERLINK("CSG20.html#group144B20", "144B²⁰"), =HYPERLINK("CSG22.html#group36L22", "36L²²"), =HYPERLINK("CSG15.html#group90H15", "90H¹⁵"), =HYPERLINK("CSG8.html#group36K8", "36K⁸"), =HYPERLINK("CSG19.html#group72F19", "72F¹⁹"), =HYPERLINK("CSG10.html#group18H10", "18H¹⁰"), =HYPERLINK("CSG21.html#group126K21", "126K²¹"), =HYPERLINK("CSG23.html#group144D23", "144D²³"), =HYPERLINK("CSG23.html#group144N23", "144N²³"), =HYPERLINK("CSG21.html#group144F21", "144F²¹"), =HYPERLINK("CSG10.html#group18E10", "18E¹⁰"), =HYPERLINK("CSG16.html#group54T16", "54T¹⁶"), =HYPERLINK("CSG5.html#group36B5", "36B⁵"), =HYPERLINK("CSG13.html#group36D13", "36D¹³"), =HYPERLINK("CSG10.html#group36K10", "36K¹⁰"), =HYPERLINK("CSG13.html#group36K13", "36K¹³"), =HYPERLINK("CSG21.html#group72B21", "72B²¹"), =HYPERLINK("CSG20.html#group72B20", "72B²⁰"), =HYPERLINK("CSG23.html#group144B23", "144B²³"), =HYPERLINK("CSG19.html#group72L19", "72L¹⁹"), =HYPERLINK("CSG10.html#group72D10", "72D¹⁰"), =HYPERLINK("CSG4.html#group18Q4", "18Q⁴"), =HYPERLINK("CSG19.html#group36D19", "36D¹⁹"), =HYPERLINK("CSG22.html#group72L22", "72L²²"), =HYPERLINK("CSG9.html#group36D9", "36D⁹"), =HYPERLINK("CSG17.html#group72P17", "72P¹⁷"), =HYPERLINK("CSG23.html#group144H23", "144H²³"), =HYPERLINK("CSG22.html#group54A22", "54A²²"), =HYPERLINK("CSG19.html#group144H19", "144H¹⁹"), =HYPERLINK("CSG21.html#group72D21", "72D²¹"), =HYPERLINK("CSG22.html#group36Q22", "36Q²²"), =HYPERLINK("CSG19.html#group72B19", "72B¹⁹"), =HYPERLINK("CSG8.html#group36I8", "36I⁸"), =HYPERLINK("CSG10.html#group36S10", "36S¹⁰"), =HYPERLINK("CSG10.html#group72B10", "72B¹⁰"), =HYPERLINK("CSG19.html#group36B19", "36B¹⁹"), =HYPERLINK("CSG10.html#group36B10", "36B¹⁰"), =HYPERLINK("CSG19.html#group72N19", "72N¹⁹"), =HYPERLINK("CSG22.html#group36K22", "36K²²"), =HYPERLINK("CSG23.html#group144L23", "144L²³"), =HYPERLINK("CSG14.html#group90B14", "90B¹⁴"), =HYPERLINK("CSG22.html#group54G22", "54G²²"), =HYPERLINK("CSG23.html#group144J23", "144J²³"), =HYPERLINK("CSG8.html#group72G8", "72G⁸"), =HYPERLINK("CSG22.html#group36O22", "36O²²"), =HYPERLINK("CSG21.html#group72J21", "72J²¹"), =HYPERLINK("CSG10.html#group36Q10", "36Q¹⁰"), =HYPERLINK("CSG4.html#group36G4", "36G⁴"), =HYPERLINK("CSG22.html#group72B22", "72B²²"), =HYPERLINK("CSG19.html#group72D19", "72D¹⁹"), =HYPERLINK("CSG23.html#group144F23", "144F²³"), =HYPERLINK("CSG21.html#group144H21", "144H²¹"), =HYPERLINK("CSG11.html#group72D11", "72D¹¹"), =HYPERLINK("CSG19.html#group144F19", "144F¹⁹"), =HYPERLINK("CSG21.html#group72L21", "72L²¹"), =HYPERLINK("CSG19.html#group144B19", "144B¹⁹"), =HYPERLINK("CSG4.html#group18D4", "18D⁴"), =HYPERLINK("CSG22.html#group72N22", "72N²²"), =HYPERLINK("CSG4.html#group18M4", "18M⁴"), =HYPERLINK("CSG23.html#group144P23", "144P²³"), =HYPERLINK("CSG22.html#group54E22", "54E²²"), =HYPERLINK("CSG11.html#group72B11", "72B¹¹")</f>
        <v/>
      </c>
    </row>
    <row r="336">
      <c r="A336" t="inlineStr">
        <is>
          <t>18F²</t>
        </is>
      </c>
      <c r="B336" t="inlineStr"/>
      <c r="C336" t="inlineStr">
        <is>
          <t>36</t>
        </is>
      </c>
      <c r="D336" t="inlineStr">
        <is>
          <t>1</t>
        </is>
      </c>
      <c r="E336" t="inlineStr">
        <is>
          <t>18</t>
        </is>
      </c>
      <c r="F336" t="inlineStr">
        <is>
          <t>0</t>
        </is>
      </c>
      <c r="G336" t="inlineStr">
        <is>
          <t>0</t>
        </is>
      </c>
      <c r="H336" t="inlineStr">
        <is>
          <t>6³, 18¹</t>
        </is>
      </c>
      <c r="I336" t="n">
        <v>4</v>
      </c>
      <c r="J336" t="inlineStr">
        <is>
          <t>1¹, 2¹, 3¹, 6²</t>
        </is>
      </c>
      <c r="K336">
        <f>HYPERLINK("CSG0.html#group9E0", "9E⁰"), =HYPERLINK("CSG1.html#group6B1", "6B¹")</f>
        <v/>
      </c>
      <c r="L336">
        <f>HYPERLINK("CSG3.html#group18F3", "18F³"), =HYPERLINK("CSG4.html#group18N4", "18N⁴"), =HYPERLINK("CSG7.html#group18B7", "18B⁷"), =HYPERLINK("CSG7.html#group18C7", "18C⁷"), =HYPERLINK("CSG7.html#group18D7", "18D⁷"), =HYPERLINK("CSG9.html#group36J9", "36J⁹"), =HYPERLINK("CSG14.html#group90C14", "90C¹⁴"), =HYPERLINK("CSG15.html#group90J15", "90J¹⁵"), =HYPERLINK("CSG20.html#group126E20", "126E²⁰"), =HYPERLINK("CSG21.html#group126M21", "126M²¹")</f>
        <v/>
      </c>
      <c r="M336">
        <f>HYPERLINK("CSG0.html#group2A0", "2A⁰"), =HYPERLINK("CSG0.html#group6B0", "6B⁰"), =HYPERLINK("CSG1.html#group6B1", "6B¹"), =HYPERLINK("CSG0.html#group3C0", "3C⁰"), =HYPERLINK("CSG1.html#group6A1", "6A¹"), =HYPERLINK("CSG0.html#group9E0", "9E⁰"), =HYPERLINK("CSG0.html#group3A0", "3A⁰"), =HYPERLINK("CSG0.html#group1A0", "1A⁰")</f>
        <v/>
      </c>
      <c r="N336">
        <f>HYPERLINK("CSG17.html#group36C17", "36C¹⁷"), =HYPERLINK("CSG7.html#group18N7", "18N⁷"), =HYPERLINK("CSG15.html#group90J15", "90J¹⁵"), =HYPERLINK("CSG21.html#group36E21", "36E²¹"), =HYPERLINK("CSG9.html#group36A9", "36A⁹"), =HYPERLINK("CSG13.html#group18C13", "18C¹³"), =HYPERLINK("CSG14.html#group90C14", "90C¹⁴"), =HYPERLINK("CSG21.html#group72N21", "72N²¹"), =HYPERLINK("CSG9.html#group36J9", "36J⁹"), =HYPERLINK("CSG17.html#group36I17", "36I¹⁷"), =HYPERLINK("CSG19.html#group18B19", "18B¹⁹"), =HYPERLINK("CSG7.html#group18B7", "18B⁷"), =HYPERLINK("CSG10.html#group18D10", "18D¹⁰"), =HYPERLINK("CSG22.html#group54I22", "54I²²"), =HYPERLINK("CSG7.html#group18C7", "18C⁷"), =HYPERLINK("CSG7.html#group18D7", "18D⁷"), =HYPERLINK("CSG3.html#group18F3", "18F³"), =HYPERLINK("CSG10.html#group18K10", "18K¹⁰"), =HYPERLINK("CSG4.html#group18N4", "18N⁴"), =HYPERLINK("CSG11.html#group36M11", "36M¹¹"), =HYPERLINK("CSG13.html#group18D13", "18D¹³"), =HYPERLINK("CSG21.html#group72M21", "72M²¹"), =HYPERLINK("CSG19.html#group18D19", "18D¹⁹"), =HYPERLINK("CSG13.html#group18A13", "18A¹³"), =HYPERLINK("CSG11.html#group36N11", "36N¹¹"), =HYPERLINK("CSG13.html#group18E13", "18E¹³"), =HYPERLINK("CSG19.html#group18C19", "18C¹⁹"), =HYPERLINK("CSG22.html#group54H22", "54H²²"), =HYPERLINK("CSG19.html#group18A19", "18A¹⁹"), =HYPERLINK("CSG20.html#group126E20", "126E²⁰"), =HYPERLINK("CSG21.html#group126M21", "126M²¹")</f>
        <v/>
      </c>
    </row>
    <row r="337">
      <c r="A337" t="inlineStr">
        <is>
          <t>18G²</t>
        </is>
      </c>
      <c r="B337" t="inlineStr"/>
      <c r="C337" t="inlineStr">
        <is>
          <t>36</t>
        </is>
      </c>
      <c r="D337" t="inlineStr">
        <is>
          <t>2</t>
        </is>
      </c>
      <c r="E337" t="inlineStr">
        <is>
          <t>9</t>
        </is>
      </c>
      <c r="F337" t="inlineStr">
        <is>
          <t>4</t>
        </is>
      </c>
      <c r="G337" t="inlineStr">
        <is>
          <t>0</t>
        </is>
      </c>
      <c r="H337" t="inlineStr">
        <is>
          <t>18²</t>
        </is>
      </c>
      <c r="I337" t="n">
        <v>2</v>
      </c>
      <c r="J337" t="inlineStr">
        <is>
          <t>2³, 6²</t>
        </is>
      </c>
      <c r="K337">
        <f>HYPERLINK("CSG0.html#group6E0", "6E⁰"), =HYPERLINK("CSG0.html#group18A0", "18A⁰"), =HYPERLINK("CSG1.html#group9B1", "9B¹"), =HYPERLINK("CSG1.html#group18A1", "18A¹")</f>
        <v/>
      </c>
      <c r="L337">
        <f>HYPERLINK("CSG4.html#group18S4", "18S⁴"), =HYPERLINK("CSG5.html#group18A5", "18A⁵"), =HYPERLINK("CSG5.html#group36C5", "36C⁵"), =HYPERLINK("CSG6.html#group18B6", "18B⁶"), =HYPERLINK("CSG6.html#group18D6", "18D⁶"), =HYPERLINK("CSG6.html#group18E6", "18E⁶"), =HYPERLINK("CSG9.html#group36K9", "36K⁹"), =HYPERLINK("CSG14.html#group90D14", "90D¹⁴"), =HYPERLINK("CSG15.html#group90N15", "90N¹⁵"), =HYPERLINK("CSG18.html#group126D18", "126D¹⁸"), =HYPERLINK("CSG18.html#group126E18", "126E¹⁸"), =HYPERLINK("CSG23.html#group126G23", "126G²³")</f>
        <v/>
      </c>
      <c r="M337">
        <f>HYPERLINK("CSG0.html#group6B0", "6B⁰"), =HYPERLINK("CSG0.html#group6E0", "6E⁰"), =HYPERLINK("CSG1.html#group9B1", "9B¹"), =HYPERLINK("CSG0.html#group9A0", "9A⁰"), =HYPERLINK("CSG0.html#group3C0", "3C⁰"), =HYPERLINK("CSG0.html#group3A0", "3A⁰"), =HYPERLINK("CSG0.html#group1A0", "1A⁰"), =HYPERLINK("CSG0.html#group18A0", "18A⁰"), =HYPERLINK("CSG1.html#group18A1", "18A¹")</f>
        <v/>
      </c>
      <c r="N337">
        <f>HYPERLINK("CSG4.html#group18S4", "18S⁴"), =HYPERLINK("CSG15.html#group90N15", "90N¹⁵"), =HYPERLINK("CSG16.html#group18C16", "18C¹⁶"), =HYPERLINK("CSG13.html#group36S13", "36S¹³"), =HYPERLINK("CSG5.html#group18A5", "18A⁵"), =HYPERLINK("CSG18.html#group126E18", "126E¹⁸"), =HYPERLINK("CSG15.html#group36I15", "36I¹⁵"), =HYPERLINK("CSG9.html#group36K9", "36K⁹"), =HYPERLINK("CSG18.html#group18A18", "18A¹⁸"), =HYPERLINK("CSG21.html#group72Q21", "72Q²¹"), =HYPERLINK("CSG15.html#group36E15", "36E¹⁵"), =HYPERLINK("CSG23.html#group126G23", "126G²³"), =HYPERLINK("CSG16.html#group54V16", "54V¹⁶"), =HYPERLINK("CSG21.html#group36A21", "36A²¹"), =HYPERLINK("CSG15.html#group36L15", "36L¹⁵"), =HYPERLINK("CSG13.html#group18A13", "18A¹³"), =HYPERLINK("CSG6.html#group18E6", "18E⁶"), =HYPERLINK("CSG13.html#group18C13", "18C¹³"), =HYPERLINK("CSG6.html#group18B6", "18B⁶"), =HYPERLINK("CSG16.html#group18H16", "18H¹⁶"), =HYPERLINK("CSG21.html#group72S21", "72S²¹"), =HYPERLINK("CSG21.html#group54A21", "54A²¹"), =HYPERLINK("CSG13.html#group18H13", "18H¹³"), =HYPERLINK("CSG13.html#group36P13", "36P¹³"), =HYPERLINK("CSG11.html#group36A11", "36A¹¹"), =HYPERLINK("CSG15.html#group36O15", "36O¹⁵"), =HYPERLINK("CSG6.html#group18D6", "18D⁶"), =HYPERLINK("CSG5.html#group36C5", "36C⁵"), =HYPERLINK("CSG16.html#group18G16", "18G¹⁶"), =HYPERLINK("CSG24.html#group54B24", "54B²⁴"), =HYPERLINK("CSG13.html#group18F13", "18F¹³"), =HYPERLINK("CSG22.html#group54K22", "54K²²"), =HYPERLINK("CSG22.html#group54J22", "54J²²"), =HYPERLINK("CSG18.html#group126D18", "126D¹⁸"), =HYPERLINK("CSG21.html#group54B21", "54B²¹"), =HYPERLINK("CSG21.html#group72P21", "72P²¹"), =HYPERLINK("CSG13.html#group18B13", "18B¹³"), =HYPERLINK("CSG14.html#group90D14", "90D¹⁴"), =HYPERLINK("CSG19.html#group36K19", "36K¹⁹"), =HYPERLINK("CSG13.html#group36O13", "36O¹³"), =HYPERLINK("CSG24.html#group54A24", "54A²⁴")</f>
        <v/>
      </c>
    </row>
    <row r="338">
      <c r="A338" t="inlineStr">
        <is>
          <t>18H²</t>
        </is>
      </c>
      <c r="B338" t="inlineStr"/>
      <c r="C338" t="inlineStr">
        <is>
          <t>36</t>
        </is>
      </c>
      <c r="D338" t="inlineStr">
        <is>
          <t>2</t>
        </is>
      </c>
      <c r="E338" t="inlineStr">
        <is>
          <t>18</t>
        </is>
      </c>
      <c r="F338" t="inlineStr">
        <is>
          <t>4</t>
        </is>
      </c>
      <c r="G338" t="inlineStr">
        <is>
          <t>0</t>
        </is>
      </c>
      <c r="H338" t="inlineStr">
        <is>
          <t>18²</t>
        </is>
      </c>
      <c r="I338" t="n">
        <v>2</v>
      </c>
      <c r="J338" t="inlineStr">
        <is>
          <t>2⁶, 6⁴</t>
        </is>
      </c>
      <c r="K338">
        <f>HYPERLINK("CSG0.html#group6E0", "6E⁰"), =HYPERLINK("CSG1.html#group18B1", "18B¹")</f>
        <v/>
      </c>
      <c r="L338">
        <f>HYPERLINK("CSG4.html#group18T4", "18T⁴"), =HYPERLINK("CSG5.html#group18B5", "18B⁵"), =HYPERLINK("CSG5.html#group36D5", "36D⁵"), =HYPERLINK("CSG6.html#group18C6", "18C⁶"), =HYPERLINK("CSG6.html#group18D6", "18D⁶"), =HYPERLINK("CSG6.html#group18E6", "18E⁶"), =HYPERLINK("CSG9.html#group36L9", "36L⁹"), =HYPERLINK("CSG14.html#group90H14", "90H¹⁴"), =HYPERLINK("CSG15.html#group90P15", "90P¹⁵"), =HYPERLINK("CSG18.html#group126J18", "126J¹⁸"), =HYPERLINK("CSG18.html#group126K18", "126K¹⁸"), =HYPERLINK("CSG23.html#group126I23", "126I²³")</f>
        <v/>
      </c>
      <c r="M338">
        <f>HYPERLINK("CSG1.html#group18B1", "18B¹"), =HYPERLINK("CSG0.html#group3C0", "3C⁰"), =HYPERLINK("CSG0.html#group6B0", "6B⁰"), =HYPERLINK("CSG0.html#group3A0", "3A⁰"), =HYPERLINK("CSG0.html#group6E0", "6E⁰"), =HYPERLINK("CSG0.html#group1A0", "1A⁰")</f>
        <v/>
      </c>
      <c r="N338">
        <f>HYPERLINK("CSG6.html#group18E6", "18E⁶"), =HYPERLINK("CSG15.html#group36H15", "36H¹⁵"), =HYPERLINK("CSG21.html#group36B21", "36B²¹"), =HYPERLINK("CSG13.html#group36S13", "36S¹³"), =HYPERLINK("CSG19.html#group36L19", "36L¹⁹"), =HYPERLINK("CSG16.html#group18H16", "18H¹⁶"), =HYPERLINK("CSG15.html#group36I15", "36I¹⁵"), =HYPERLINK("CSG15.html#group90P15", "90P¹⁵"), =HYPERLINK("CSG13.html#group18G13", "18G¹³"), =HYPERLINK("CSG18.html#group18A18", "18A¹⁸"), =HYPERLINK("CSG13.html#group18H13", "18H¹³"), =HYPERLINK("CSG15.html#group36G15", "36G¹⁵"), =HYPERLINK("CSG21.html#group72T21", "72T²¹"), =HYPERLINK("CSG13.html#group36P13", "36P¹³"), =HYPERLINK("CSG6.html#group18C6", "18C⁶"), =HYPERLINK("CSG6.html#group18D6", "18D⁶"), =HYPERLINK("CSG15.html#group36O15", "36O¹⁵"), =HYPERLINK("CSG16.html#group18F16", "18F¹⁶"), =HYPERLINK("CSG16.html#group18G16", "18G¹⁶"), =HYPERLINK("CSG21.html#group72V21", "72V²¹"), =HYPERLINK("CSG23.html#group126I23", "126I²³"), =HYPERLINK("CSG14.html#group90H14", "90H¹⁴"), =HYPERLINK("CSG5.html#group36D5", "36D⁵"), =HYPERLINK("CSG13.html#group18D13", "18D¹³"), =HYPERLINK("CSG5.html#group18B5", "18B⁵"), =HYPERLINK("CSG4.html#group18T4", "18T⁴"), =HYPERLINK("CSG18.html#group126J18", "126J¹⁸"), =HYPERLINK("CSG13.html#group18E13", "18E¹³"), =HYPERLINK("CSG15.html#group36L15", "36L¹⁵"), =HYPERLINK("CSG13.html#group18B13", "18B¹³"), =HYPERLINK("CSG13.html#group36Q13", "36Q¹³"), =HYPERLINK("CSG9.html#group36L9", "36L⁹"), =HYPERLINK("CSG11.html#group36B11", "36B¹¹"), =HYPERLINK("CSG21.html#group72U21", "72U²¹"), =HYPERLINK("CSG18.html#group126K18", "126K¹⁸")</f>
        <v/>
      </c>
    </row>
    <row r="339">
      <c r="A339" t="inlineStr">
        <is>
          <t>18I²</t>
        </is>
      </c>
      <c r="B339" t="inlineStr"/>
      <c r="C339" t="inlineStr">
        <is>
          <t>54</t>
        </is>
      </c>
      <c r="D339" t="inlineStr">
        <is>
          <t>1</t>
        </is>
      </c>
      <c r="E339" t="inlineStr">
        <is>
          <t>9</t>
        </is>
      </c>
      <c r="F339" t="inlineStr">
        <is>
          <t>6</t>
        </is>
      </c>
      <c r="G339" t="inlineStr">
        <is>
          <t>0</t>
        </is>
      </c>
      <c r="H339" t="inlineStr">
        <is>
          <t>9², 18²</t>
        </is>
      </c>
      <c r="I339" t="n">
        <v>4</v>
      </c>
      <c r="J339" t="inlineStr">
        <is>
          <t>1³, 2³</t>
        </is>
      </c>
      <c r="K339">
        <f>HYPERLINK("CSG0.html#group6G0", "6G⁰"), =HYPERLINK("CSG0.html#group9D0", "9D⁰"), =HYPERLINK("CSG1.html#group18E1", "18E¹")</f>
        <v/>
      </c>
      <c r="L339">
        <f>HYPERLINK("CSG4.html#group18L4", "18L⁴"), =HYPERLINK("CSG4.html#group36P4", "36P⁴"), =HYPERLINK("CSG5.html#group36H5", "36H⁵"), =HYPERLINK("CSG6.html#group18A6", "18A⁶"), =HYPERLINK("CSG7.html#group18A7", "18A⁷"), =HYPERLINK("CSG7.html#group18I7", "18I⁷"), =HYPERLINK("CSG7.html#group18M7", "18M⁷"), =HYPERLINK("CSG7.html#group36C7", "36C⁷"), =HYPERLINK("CSG8.html#group36A8", "36A⁸"), =HYPERLINK("CSG20.html#group90A20", "90A²⁰"), =HYPERLINK("CSG21.html#group90I21", "90I²¹")</f>
        <v/>
      </c>
      <c r="M339">
        <f>HYPERLINK("CSG0.html#group9D0", "9D⁰"), =HYPERLINK("CSG0.html#group9A0", "9A⁰"), =HYPERLINK("CSG0.html#group6G0", "6G⁰"), =HYPERLINK("CSG0.html#group3C0", "3C⁰"), =HYPERLINK("CSG0.html#group2B0", "2B⁰"), =HYPERLINK("CSG1.html#group18E1", "18E¹"), =HYPERLINK("CSG0.html#group3A0", "3A⁰"), =HYPERLINK("CSG0.html#group1A0", "1A⁰"), =HYPERLINK("CSG0.html#group6D0", "6D⁰")</f>
        <v/>
      </c>
      <c r="N339">
        <f>HYPERLINK("CSG15.html#group72G15", "72G¹⁵"), =HYPERLINK("CSG7.html#group18A7", "18A⁷"), =HYPERLINK("CSG13.html#group72F13", "72F¹³"), =HYPERLINK("CSG13.html#group36H13", "36H¹³"), =HYPERLINK("CSG21.html#group90I21", "90I²¹"), =HYPERLINK("CSG15.html#group72F15", "72F¹⁵"), =HYPERLINK("CSG15.html#group36A15", "36A¹⁵"), =HYPERLINK("CSG7.html#group18I7", "18I⁷"), =HYPERLINK("CSG15.html#group36D15", "36D¹⁵"), =HYPERLINK("CSG17.html#group72B17", "72B¹⁷"), =HYPERLINK("CSG13.html#group36G13", "36G¹³"), =HYPERLINK("CSG13.html#group72H13", "72H¹³"), =HYPERLINK("CSG11.html#group72M11", "72M¹¹"), =HYPERLINK("CSG16.html#group18B16", "18B¹⁶"), =HYPERLINK("CSG22.html#group18A22", "18A²²"), =HYPERLINK("CSG19.html#group36N19", "36N¹⁹"), =HYPERLINK("CSG15.html#group36B15", "36B¹⁵"), =HYPERLINK("CSG22.html#group36A22", "36A²²"), =HYPERLINK("CSG23.html#group144W23", "144W²³"), =HYPERLINK("CSG23.html#group36A23", "36A²³"), =HYPERLINK("CSG13.html#group36C13", "36C¹³"), =HYPERLINK("CSG19.html#group36R19", "36R¹⁹"), =HYPERLINK("CSG11.html#group72N11", "72N¹¹"), =HYPERLINK("CSG11.html#group72O11", "72O¹¹"), =HYPERLINK("CSG4.html#group18L4", "18L⁴"), =HYPERLINK("CSG13.html#group36I13", "36I¹³"), =HYPERLINK("CSG4.html#group36P4", "36P⁴"), =HYPERLINK("CSG7.html#group18M7", "18M⁷"), =HYPERLINK("CSG15.html#group36C15", "36C¹⁵"), =HYPERLINK("CSG19.html#group18E19", "18E¹⁹"), =HYPERLINK("CSG9.html#group36O9", "36O⁹"), =HYPERLINK("CSG5.html#group36H5", "36H⁵"), =HYPERLINK("CSG11.html#group36J11", "36J¹¹"), =HYPERLINK("CSG16.html#group18A16", "18A¹⁶"), =HYPERLINK("CSG17.html#group72A17", "72A¹⁷"), =HYPERLINK("CSG20.html#group90A20", "90A²⁰"), =HYPERLINK("CSG21.html#group72AA21", "72AA²¹"), =HYPERLINK("CSG8.html#group36A8", "36A⁸"), =HYPERLINK("CSG16.html#group18G16", "18G¹⁶"), =HYPERLINK("CSG7.html#group36C7", "36C⁷"), =HYPERLINK("CSG16.html#group18D16", "18D¹⁶"), =HYPERLINK("CSG16.html#group36G16", "36G¹⁶"), =HYPERLINK("CSG23.html#group144X23", "144X²³"), =HYPERLINK("CSG6.html#group18A6", "18A⁶"), =HYPERLINK("CSG19.html#group36Q19", "36Q¹⁹"), =HYPERLINK("CSG22.html#group36H22", "36H²²"), =HYPERLINK("CSG13.html#group18B13", "18B¹³"), =HYPERLINK("CSG13.html#group72G13", "72G¹³"), =HYPERLINK("CSG19.html#group36M19", "36M¹⁹"), =HYPERLINK("CSG16.html#group36I16", "36I¹⁶"), =HYPERLINK("CSG19.html#group18A19", "18A¹⁹")</f>
        <v/>
      </c>
    </row>
    <row r="340">
      <c r="A340" t="inlineStr">
        <is>
          <t>18J²</t>
        </is>
      </c>
      <c r="B340" t="inlineStr"/>
      <c r="C340" t="inlineStr">
        <is>
          <t>54</t>
        </is>
      </c>
      <c r="D340" t="inlineStr">
        <is>
          <t>1</t>
        </is>
      </c>
      <c r="E340" t="inlineStr">
        <is>
          <t>27</t>
        </is>
      </c>
      <c r="F340" t="inlineStr">
        <is>
          <t>0</t>
        </is>
      </c>
      <c r="G340" t="inlineStr">
        <is>
          <t>6</t>
        </is>
      </c>
      <c r="H340" t="inlineStr">
        <is>
          <t>18³</t>
        </is>
      </c>
      <c r="I340" t="n">
        <v>3</v>
      </c>
      <c r="J340" t="inlineStr">
        <is>
          <t>3¹, 6⁴</t>
        </is>
      </c>
      <c r="K340">
        <f>HYPERLINK("CSG0.html#group2A0", "2A⁰"), =HYPERLINK("CSG0.html#group9F0", "9F⁰")</f>
        <v/>
      </c>
      <c r="L340">
        <f>HYPERLINK("CSG7.html#group18H7", "18H⁷"), =HYPERLINK("CSG10.html#group18A10", "18A¹⁰"), =HYPERLINK("CSG10.html#group18B10", "18B¹⁰"), =HYPERLINK("CSG11.html#group18A11", "18A¹¹"), =HYPERLINK("CSG14.html#group36C14", "36C¹⁴"), =HYPERLINK("CSG18.html#group90B18", "90B¹⁸")</f>
        <v/>
      </c>
      <c r="M340">
        <f>HYPERLINK("CSG0.html#group2A0", "2A⁰"), =HYPERLINK("CSG0.html#group1A0", "1A⁰"), =HYPERLINK("CSG0.html#group9F0", "9F⁰")</f>
        <v/>
      </c>
      <c r="N340">
        <f>HYPERLINK("CSG19.html#group18B19", "18B¹⁹"), =HYPERLINK("CSG22.html#group36B22", "36B²²"), =HYPERLINK("CSG14.html#group36C14", "36C¹⁴"), =HYPERLINK("CSG10.html#group18B10", "18B¹⁰"), =HYPERLINK("CSG11.html#group18A11", "18A¹¹"), =HYPERLINK("CSG18.html#group90B18", "90B¹⁸"), =HYPERLINK("CSG7.html#group18H7", "18H⁷"), =HYPERLINK("CSG10.html#group18A10", "18A¹⁰")</f>
        <v/>
      </c>
    </row>
    <row r="341">
      <c r="A341" t="inlineStr">
        <is>
          <t>18K²</t>
        </is>
      </c>
      <c r="B341" t="inlineStr"/>
      <c r="C341" t="inlineStr">
        <is>
          <t>54</t>
        </is>
      </c>
      <c r="D341" t="inlineStr">
        <is>
          <t>2</t>
        </is>
      </c>
      <c r="E341" t="inlineStr">
        <is>
          <t>27</t>
        </is>
      </c>
      <c r="F341" t="inlineStr">
        <is>
          <t>8</t>
        </is>
      </c>
      <c r="G341" t="inlineStr">
        <is>
          <t>0</t>
        </is>
      </c>
      <c r="H341" t="inlineStr">
        <is>
          <t>18³</t>
        </is>
      </c>
      <c r="I341" t="n">
        <v>3</v>
      </c>
      <c r="J341" t="inlineStr">
        <is>
          <t>6⁹</t>
        </is>
      </c>
      <c r="K341">
        <f>HYPERLINK("CSG0.html#group9G0", "9G⁰"), =HYPERLINK("CSG0.html#group18A0", "18A⁰"), =HYPERLINK("CSG1.html#group18A1", "18A¹")</f>
        <v/>
      </c>
      <c r="L341">
        <f>HYPERLINK("CSG4.html#group18S4", "18S⁴"), =HYPERLINK("CSG6.html#group18B6", "18B⁶"), =HYPERLINK("CSG7.html#group18F7", "18F⁷"), =HYPERLINK("CSG7.html#group18J7", "18J⁷"), =HYPERLINK("CSG8.html#group18B8", "18B⁸"), =HYPERLINK("CSG8.html#group54D8", "54D⁸"), =HYPERLINK("CSG11.html#group54A11", "54A¹¹"), =HYPERLINK("CSG11.html#group54B11", "54B¹¹"), =HYPERLINK("CSG12.html#group36G12", "36G¹²"), =HYPERLINK("CSG20.html#group90C20", "90C²⁰"), =HYPERLINK("CSG21.html#group90J21", "90J²¹")</f>
        <v/>
      </c>
      <c r="M341">
        <f>HYPERLINK("CSG0.html#group6B0", "6B⁰"), =HYPERLINK("CSG0.html#group9A0", "9A⁰"), =HYPERLINK("CSG0.html#group9G0", "9G⁰"), =HYPERLINK("CSG0.html#group3A0", "3A⁰"), =HYPERLINK("CSG0.html#group1A0", "1A⁰"), =HYPERLINK("CSG0.html#group18A0", "18A⁰"), =HYPERLINK("CSG1.html#group18A1", "18A¹")</f>
        <v/>
      </c>
      <c r="N341">
        <f>HYPERLINK("CSG4.html#group18S4", "18S⁴"), =HYPERLINK("CSG21.html#group90J21", "90J²¹"), =HYPERLINK("CSG16.html#group18C16", "18C¹⁶"), =HYPERLINK("CSG6.html#group18B6", "18B⁶"), =HYPERLINK("CSG16.html#group18H16", "18H¹⁶"), =HYPERLINK("CSG8.html#group54D8", "54D⁸"), =HYPERLINK("CSG24.html#group54A24", "54A²⁴"), =HYPERLINK("CSG19.html#group18B19", "18B¹⁹"), =HYPERLINK("CSG19.html#group18E19", "18E¹⁹"), =HYPERLINK("CSG18.html#group18A18", "18A¹⁸"), =HYPERLINK("CSG21.html#group54A21", "54A²¹"), =HYPERLINK("CSG21.html#group36D21", "36D²¹"), =HYPERLINK("CSG18.html#group36B18", "36B¹⁸"), =HYPERLINK("CSG20.html#group90C20", "90C²⁰"), =HYPERLINK("CSG16.html#group18G16", "18G¹⁶"), =HYPERLINK("CSG15.html#group36E15", "36E¹⁵"), =HYPERLINK("CSG16.html#group54V16", "54V¹⁶"), =HYPERLINK("CSG24.html#group54B24", "54B²⁴"), =HYPERLINK("CSG22.html#group54K22", "54K²²"), =HYPERLINK("CSG22.html#group54J22", "54J²²"), =HYPERLINK("CSG21.html#group54B21", "54B²¹"), =HYPERLINK("CSG22.html#group36I22", "36I²²"), =HYPERLINK("CSG12.html#group36G12", "36G¹²"), =HYPERLINK("CSG13.html#group18A13", "18A¹³"), =HYPERLINK("CSG19.html#group36T19", "36T¹⁹"), =HYPERLINK("CSG8.html#group18B8", "18B⁸"), =HYPERLINK("CSG7.html#group18F7", "18F⁷"), =HYPERLINK("CSG7.html#group18J7", "18J⁷"), =HYPERLINK("CSG13.html#group36O13", "36O¹³"), =HYPERLINK("CSG11.html#group54A11", "54A¹¹"), =HYPERLINK("CSG11.html#group54B11", "54B¹¹")</f>
        <v/>
      </c>
    </row>
    <row r="342">
      <c r="A342" t="inlineStr">
        <is>
          <t>18L²</t>
        </is>
      </c>
      <c r="B342" t="inlineStr"/>
      <c r="C342" t="inlineStr">
        <is>
          <t>54</t>
        </is>
      </c>
      <c r="D342" t="inlineStr">
        <is>
          <t>2</t>
        </is>
      </c>
      <c r="E342" t="inlineStr">
        <is>
          <t>27</t>
        </is>
      </c>
      <c r="F342" t="inlineStr">
        <is>
          <t>8</t>
        </is>
      </c>
      <c r="G342" t="inlineStr">
        <is>
          <t>0</t>
        </is>
      </c>
      <c r="H342" t="inlineStr">
        <is>
          <t>18³</t>
        </is>
      </c>
      <c r="I342" t="n">
        <v>3</v>
      </c>
      <c r="J342" t="inlineStr">
        <is>
          <t>2⁹, 6⁶</t>
        </is>
      </c>
      <c r="K342">
        <f>HYPERLINK("CSG0.html#group6H0", "6H⁰"), =HYPERLINK("CSG0.html#group18A0", "18A⁰"), =HYPERLINK("CSG1.html#group18E1", "18E¹")</f>
        <v/>
      </c>
      <c r="L342">
        <f>HYPERLINK("CSG4.html#group18L4", "18L⁴"), =HYPERLINK("CSG4.html#group36R4", "36R⁴"), =HYPERLINK("CSG5.html#group36K5", "36K⁵"), =HYPERLINK("CSG6.html#group18D6", "18D⁶"), =HYPERLINK("CSG7.html#group18E7", "18E⁷"), =HYPERLINK("CSG7.html#group18K7", "18K⁷"), =HYPERLINK("CSG7.html#group36F7", "36F⁷"), =HYPERLINK("CSG8.html#group18B8", "18B⁸"), =HYPERLINK("CSG8.html#group36F8", "36F⁸"), =HYPERLINK("CSG20.html#group90D20", "90D²⁰"), =HYPERLINK("CSG21.html#group90K21", "90K²¹")</f>
        <v/>
      </c>
      <c r="M342">
        <f>HYPERLINK("CSG0.html#group6B0", "6B⁰"), =HYPERLINK("CSG0.html#group6H0", "6H⁰"), =HYPERLINK("CSG0.html#group9A0", "9A⁰"), =HYPERLINK("CSG0.html#group2B0", "2B⁰"), =HYPERLINK("CSG1.html#group18E1", "18E¹"), =HYPERLINK("CSG0.html#group3A0", "3A⁰"), =HYPERLINK("CSG0.html#group1A0", "1A⁰"), =HYPERLINK("CSG0.html#group18A0", "18A⁰"), =HYPERLINK("CSG0.html#group6D0", "6D⁰")</f>
        <v/>
      </c>
      <c r="N342">
        <f>HYPERLINK("CSG17.html#group72H17", "72H¹⁷"), =HYPERLINK("CSG15.html#group36K15", "36K¹⁵"), =HYPERLINK("CSG16.html#group72R16", "72R¹⁶"), =HYPERLINK("CSG7.html#group18E7", "18E⁷"), =HYPERLINK("CSG13.html#group36S13", "36S¹³"), =HYPERLINK("CSG15.html#group36I15", "36I¹⁵"), =HYPERLINK("CSG21.html#group90K21", "90K²¹"), =HYPERLINK("CSG20.html#group90D20", "90D²⁰"), =HYPERLINK("CSG4.html#group36R4", "36R⁴"), =HYPERLINK("CSG18.html#group18A18", "18A¹⁸"), =HYPERLINK("CSG13.html#group36G13", "36G¹³"), =HYPERLINK("CSG21.html#group36D21", "36D²¹"), =HYPERLINK("CSG9.html#group72H9", "72H⁹"), =HYPERLINK("CSG15.html#group36B15", "36B¹⁵"), =HYPERLINK("CSG19.html#group36S19", "36S¹⁹"), =HYPERLINK("CSG14.html#group72K14", "72K¹⁴"), =HYPERLINK("CSG16.html#group72K16", "72K¹⁶"), =HYPERLINK("CSG23.html#group36A23", "36A²³"), =HYPERLINK("CSG15.html#group36L15", "36L¹⁵"), =HYPERLINK("CSG8.html#group18B8", "18B⁸"), =HYPERLINK("CSG19.html#group18C19", "18C¹⁹"), =HYPERLINK("CSG12.html#group36F12", "36F¹²"), =HYPERLINK("CSG15.html#group36J15", "36J¹⁵"), =HYPERLINK("CSG15.html#group72P15", "72P¹⁵"), =HYPERLINK("CSG7.html#group18K7", "18K⁷"), =HYPERLINK("CSG4.html#group18L4", "18L⁴"), =HYPERLINK("CSG12.html#group72L12", "72L¹²"), =HYPERLINK("CSG5.html#group36K5", "36K⁵"), =HYPERLINK("CSG11.html#group72R11", "72R¹¹"), =HYPERLINK("CSG23.html#group144Y23", "144Y²³"), =HYPERLINK("CSG19.html#group18E19", "18E¹⁹"), =HYPERLINK("CSG9.html#group36O9", "36O⁹"), =HYPERLINK("CSG11.html#group36J11", "36J¹¹"), =HYPERLINK("CSG16.html#group72J16", "72J¹⁶"), =HYPERLINK("CSG16.html#group36H16", "36H¹⁶"), =HYPERLINK("CSG7.html#group36F7", "36F⁷"), =HYPERLINK("CSG18.html#group36B18", "36B¹⁸"), =HYPERLINK("CSG13.html#group36P13", "36P¹³"), =HYPERLINK("CSG21.html#group72AA21", "72AA²¹"), =HYPERLINK("CSG6.html#group18D6", "18D⁶"), =HYPERLINK("CSG16.html#group18G16", "18G¹⁶"), =HYPERLINK("CSG16.html#group18D16", "18D¹⁶"), =HYPERLINK("CSG22.html#group36I22", "36I²²"), =HYPERLINK("CSG12.html#group36E12", "36E¹²"), =HYPERLINK("CSG19.html#group36T19", "36T¹⁹"), =HYPERLINK("CSG12.html#group72M12", "72M¹²"), =HYPERLINK("CSG8.html#group36F8", "36F⁸"), =HYPERLINK("CSG13.html#group18B13", "18B¹³"), =HYPERLINK("CSG22.html#group36D22", "36D²²"), =HYPERLINK("CSG19.html#group144J19", "144J¹⁹")</f>
        <v/>
      </c>
    </row>
    <row r="343">
      <c r="A343" t="inlineStr">
        <is>
          <t>18M²</t>
        </is>
      </c>
      <c r="B343" t="inlineStr"/>
      <c r="C343" t="inlineStr">
        <is>
          <t>54</t>
        </is>
      </c>
      <c r="D343" t="inlineStr">
        <is>
          <t>2</t>
        </is>
      </c>
      <c r="E343" t="inlineStr">
        <is>
          <t>54</t>
        </is>
      </c>
      <c r="F343" t="inlineStr">
        <is>
          <t>8</t>
        </is>
      </c>
      <c r="G343" t="inlineStr">
        <is>
          <t>0</t>
        </is>
      </c>
      <c r="H343" t="inlineStr">
        <is>
          <t>18³</t>
        </is>
      </c>
      <c r="I343" t="n">
        <v>3</v>
      </c>
      <c r="J343" t="inlineStr">
        <is>
          <t>6¹⁸</t>
        </is>
      </c>
      <c r="K343">
        <f>HYPERLINK("CSG0.html#group18A0", "18A⁰"), =HYPERLINK("CSG1.html#group18B1", "18B¹")</f>
        <v/>
      </c>
      <c r="L343">
        <f>HYPERLINK("CSG4.html#group18T4", "18T⁴"), =HYPERLINK("CSG6.html#group18E6", "18E⁶"), =HYPERLINK("CSG7.html#group18G7", "18G⁷"), =HYPERLINK("CSG7.html#group18L7", "18L⁷"), =HYPERLINK("CSG8.html#group18B8", "18B⁸"), =HYPERLINK("CSG12.html#group36H12", "36H¹²"), =HYPERLINK("CSG20.html#group90E20", "90E²⁰"), =HYPERLINK("CSG21.html#group90L21", "90L²¹")</f>
        <v/>
      </c>
      <c r="M343">
        <f>HYPERLINK("CSG1.html#group18B1", "18B¹"), =HYPERLINK("CSG0.html#group6B0", "6B⁰"), =HYPERLINK("CSG0.html#group3A0", "3A⁰"), =HYPERLINK("CSG0.html#group1A0", "1A⁰"), =HYPERLINK("CSG0.html#group18A0", "18A⁰"), =HYPERLINK("CSG0.html#group9A0", "9A⁰")</f>
        <v/>
      </c>
      <c r="N343">
        <f>HYPERLINK("CSG6.html#group18E6", "18E⁶"), =HYPERLINK("CSG7.html#group18G7", "18G⁷"), =HYPERLINK("CSG16.html#group18H16", "18H¹⁶"), =HYPERLINK("CSG12.html#group36H12", "36H¹²"), =HYPERLINK("CSG19.html#group18E19", "18E¹⁹"), =HYPERLINK("CSG21.html#group90L21", "90L²¹"), =HYPERLINK("CSG18.html#group18A18", "18A¹⁸"), =HYPERLINK("CSG21.html#group36D21", "36D²¹"), =HYPERLINK("CSG13.html#group18H13", "18H¹³"), =HYPERLINK("CSG18.html#group36B18", "36B¹⁸"), =HYPERLINK("CSG7.html#group18L7", "18L⁷"), =HYPERLINK("CSG20.html#group90E20", "90E²⁰"), =HYPERLINK("CSG15.html#group36O15", "36O¹⁵"), =HYPERLINK("CSG16.html#group18F16", "18F¹⁶"), =HYPERLINK("CSG16.html#group18G16", "18G¹⁶"), =HYPERLINK("CSG22.html#group36I22", "36I²²"), =HYPERLINK("CSG19.html#group18D19", "18D¹⁹"), =HYPERLINK("CSG13.html#group36Q13", "36Q¹³"), =HYPERLINK("CSG4.html#group18T4", "18T⁴"), =HYPERLINK("CSG8.html#group18B8", "18B⁸"), =HYPERLINK("CSG19.html#group36T19", "36T¹⁹")</f>
        <v/>
      </c>
    </row>
    <row r="344">
      <c r="A344" t="inlineStr">
        <is>
          <t>18N²</t>
        </is>
      </c>
      <c r="B344" t="inlineStr"/>
      <c r="C344" t="inlineStr">
        <is>
          <t>72</t>
        </is>
      </c>
      <c r="D344" t="inlineStr">
        <is>
          <t>1</t>
        </is>
      </c>
      <c r="E344" t="inlineStr">
        <is>
          <t>12</t>
        </is>
      </c>
      <c r="F344" t="inlineStr">
        <is>
          <t>0</t>
        </is>
      </c>
      <c r="G344" t="inlineStr">
        <is>
          <t>6</t>
        </is>
      </c>
      <c r="H344" t="inlineStr">
        <is>
          <t>6³, 18³</t>
        </is>
      </c>
      <c r="I344" t="n">
        <v>6</v>
      </c>
      <c r="J344" t="inlineStr">
        <is>
          <t>1², 2², 6¹</t>
        </is>
      </c>
      <c r="K344">
        <f>HYPERLINK("CSG0.html#group9J0", "9J⁰"), =HYPERLINK("CSG0.html#group18B0", "18B⁰")</f>
        <v/>
      </c>
      <c r="L344">
        <f>HYPERLINK("CSG6.html#group36J6", "36J⁶"), =HYPERLINK("CSG7.html#group18P7", "18P⁷"), =HYPERLINK("CSG10.html#group18D10", "18D¹⁰"), =HYPERLINK("CSG10.html#group18G10", "18G¹⁰"), =HYPERLINK("CSG10.html#group54C10", "54C¹⁰"), =HYPERLINK("CSG11.html#group18A11", "18A¹¹"), =HYPERLINK("CSG11.html#group18B11", "18B¹¹"), =HYPERLINK("CSG11.html#group54C11", "54C¹¹"), =HYPERLINK("CSG11.html#group54D11", "54D¹¹"), =HYPERLINK("CSG13.html#group54N13", "54N¹³"), =HYPERLINK("CSG13.html#group54O13", "54O¹³"), =HYPERLINK("CSG14.html#group54A14", "54A¹⁴"), =HYPERLINK("CSG14.html#group54B14", "54B¹⁴"), =HYPERLINK("CSG16.html#group54B16", "54B¹⁶"), =HYPERLINK("CSG16.html#group54C16", "54C¹⁶"), =HYPERLINK("CSG16.html#group54I16", "54I¹⁶"), =HYPERLINK("CSG17.html#group36F17", "36F¹⁷"), =HYPERLINK("CSG24.html#group90D24", "90D²⁴")</f>
        <v/>
      </c>
      <c r="M344">
        <f>HYPERLINK("CSG0.html#group3B0", "3B⁰"), =HYPERLINK("CSG0.html#group2A0", "2A⁰"), =HYPERLINK("CSG0.html#group9J0", "9J⁰"), =HYPERLINK("CSG0.html#group9C0", "9C⁰"), =HYPERLINK("CSG0.html#group1A0", "1A⁰"), =HYPERLINK("CSG0.html#group18B0", "18B⁰"), =HYPERLINK("CSG0.html#group6C0", "6C⁰")</f>
        <v/>
      </c>
      <c r="N344">
        <f>HYPERLINK("CSG11.html#group54C11", "54C¹¹"), =HYPERLINK("CSG22.html#group108B22", "108B²²"), =HYPERLINK("CSG10.html#group18G10", "18G¹⁰"), =HYPERLINK("CSG11.html#group54D11", "54D¹¹"), =HYPERLINK("CSG16.html#group54I16", "54I¹⁶"), =HYPERLINK("CSG10.html#group18D10", "18D¹⁰"), =HYPERLINK("CSG13.html#group54N13", "54N¹³"), =HYPERLINK("CSG14.html#group54B14", "54B¹⁴"), =HYPERLINK("CSG24.html#group90D24", "90D²⁴"), =HYPERLINK("CSG16.html#group54C16", "54C¹⁶"), =HYPERLINK("CSG14.html#group54A14", "54A¹⁴"), =HYPERLINK("CSG13.html#group54O13", "54O¹³"), =HYPERLINK("CSG11.html#group18B11", "18B¹¹"), =HYPERLINK("CSG10.html#group54C10", "54C¹⁰"), =HYPERLINK("CSG17.html#group36F17", "36F¹⁷"), =HYPERLINK("CSG6.html#group36J6", "36J⁶"), =HYPERLINK("CSG16.html#group54B16", "54B¹⁶"), =HYPERLINK("CSG22.html#group36M22", "36M²²"), =HYPERLINK("CSG7.html#group18P7", "18P⁷"), =HYPERLINK("CSG22.html#group36N22", "36N²²"), =HYPERLINK("CSG11.html#group18A11", "18A¹¹")</f>
        <v/>
      </c>
    </row>
    <row r="345">
      <c r="A345" t="inlineStr">
        <is>
          <t>18O²</t>
        </is>
      </c>
      <c r="B345" t="inlineStr"/>
      <c r="C345" t="inlineStr">
        <is>
          <t>72</t>
        </is>
      </c>
      <c r="D345" t="inlineStr">
        <is>
          <t>1</t>
        </is>
      </c>
      <c r="E345" t="inlineStr">
        <is>
          <t>24</t>
        </is>
      </c>
      <c r="F345" t="inlineStr">
        <is>
          <t>0</t>
        </is>
      </c>
      <c r="G345" t="inlineStr">
        <is>
          <t>6</t>
        </is>
      </c>
      <c r="H345" t="inlineStr">
        <is>
          <t>6³, 18³</t>
        </is>
      </c>
      <c r="I345" t="n">
        <v>6</v>
      </c>
      <c r="J345" t="inlineStr">
        <is>
          <t>1⁴, 2⁴, 6²</t>
        </is>
      </c>
      <c r="K345">
        <f>HYPERLINK("CSG0.html#group18B0", "18B⁰")</f>
        <v/>
      </c>
      <c r="L345">
        <f>HYPERLINK("CSG6.html#group36K6", "36K⁶"), =HYPERLINK("CSG7.html#group18P7", "18P⁷"), =HYPERLINK("CSG10.html#group18F10", "18F¹⁰"), =HYPERLINK("CSG10.html#group18G10", "18G¹⁰"), =HYPERLINK("CSG10.html#group54G10", "54G¹⁰"), =HYPERLINK("CSG13.html#group54S13", "54S¹³"), =HYPERLINK("CSG13.html#group54T13", "54T¹³"), =HYPERLINK("CSG16.html#group54L16", "54L¹⁶"), =HYPERLINK("CSG16.html#group54M16", "54M¹⁶"), =HYPERLINK("CSG16.html#group54P16", "54P¹⁶"), =HYPERLINK("CSG17.html#group36H17", "36H¹⁷"), =HYPERLINK("CSG24.html#group90G24", "90G²⁴")</f>
        <v/>
      </c>
      <c r="M345">
        <f>HYPERLINK("CSG0.html#group3B0", "3B⁰"), =HYPERLINK("CSG0.html#group2A0", "2A⁰"), =HYPERLINK("CSG0.html#group9C0", "9C⁰"), =HYPERLINK("CSG0.html#group1A0", "1A⁰"), =HYPERLINK("CSG0.html#group18B0", "18B⁰"), =HYPERLINK("CSG0.html#group6C0", "6C⁰")</f>
        <v/>
      </c>
      <c r="N345">
        <f>HYPERLINK("CSG22.html#group108D22", "108D²²"), =HYPERLINK("CSG16.html#group54P16", "54P¹⁶"), =HYPERLINK("CSG10.html#group54G10", "54G¹⁰"), =HYPERLINK("CSG13.html#group54T13", "54T¹³"), =HYPERLINK("CSG24.html#group90G24", "90G²⁴"), =HYPERLINK("CSG10.html#group18G10", "18G¹⁰"), =HYPERLINK("CSG17.html#group36H17", "36H¹⁷"), =HYPERLINK("CSG22.html#group36M22", "36M²²"), =HYPERLINK("CSG6.html#group36K6", "36K⁶"), =HYPERLINK("CSG13.html#group54S13", "54S¹³"), =HYPERLINK("CSG16.html#group54L16", "54L¹⁶"), =HYPERLINK("CSG7.html#group18P7", "18P⁷"), =HYPERLINK("CSG16.html#group54M16", "54M¹⁶"), =HYPERLINK("CSG22.html#group36N22", "36N²²"), =HYPERLINK("CSG10.html#group18F10", "18F¹⁰")</f>
        <v/>
      </c>
    </row>
    <row r="346">
      <c r="A346" t="inlineStr">
        <is>
          <t>18P²</t>
        </is>
      </c>
      <c r="B346" t="inlineStr"/>
      <c r="C346" t="inlineStr">
        <is>
          <t>108</t>
        </is>
      </c>
      <c r="D346" t="inlineStr">
        <is>
          <t>1</t>
        </is>
      </c>
      <c r="E346" t="inlineStr">
        <is>
          <t>18</t>
        </is>
      </c>
      <c r="F346" t="inlineStr">
        <is>
          <t>0</t>
        </is>
      </c>
      <c r="G346" t="inlineStr">
        <is>
          <t>0</t>
        </is>
      </c>
      <c r="H346" t="inlineStr">
        <is>
          <t>3⁶, 6⁶, 9², 18²</t>
        </is>
      </c>
      <c r="I346" t="n">
        <v>16</v>
      </c>
      <c r="J346" t="inlineStr">
        <is>
          <t>1⁶, 2⁶</t>
        </is>
      </c>
      <c r="K346">
        <f>HYPERLINK("CSG0.html#group6K0", "6K⁰"), =HYPERLINK("CSG0.html#group9H0", "9H⁰"), =HYPERLINK("CSG1.html#group18I1", "18I¹")</f>
        <v/>
      </c>
      <c r="L346">
        <f>HYPERLINK("CSG7.html#group18N7", "18N⁷"), =HYPERLINK("CSG7.html#group36N7", "36N⁷"), =HYPERLINK("CSG10.html#group18M10", "18M¹⁰"), =HYPERLINK("CSG11.html#group36I11", "36I¹¹"), =HYPERLINK("CSG16.html#group18A16", "18A¹⁶"), =HYPERLINK("CSG16.html#group18B16", "18B¹⁶")</f>
        <v/>
      </c>
      <c r="M346">
        <f>HYPERLINK("CSG0.html#group3B0", "3B⁰"), =HYPERLINK("CSG1.html#group18I1", "18I¹"), =HYPERLINK("CSG0.html#group6G0", "6G⁰"), =HYPERLINK("CSG0.html#group3C0", "3C⁰"), =HYPERLINK("CSG0.html#group6K0", "6K⁰"), =HYPERLINK("CSG0.html#group2B0", "2B⁰"), =HYPERLINK("CSG0.html#group9H0", "9H⁰"), =HYPERLINK("CSG0.html#group1A0", "1A⁰"), =HYPERLINK("CSG0.html#group9E0", "9E⁰"), =HYPERLINK("CSG0.html#group3A0", "3A⁰"), =HYPERLINK("CSG0.html#group6F0", "6F⁰"), =HYPERLINK("CSG0.html#group6D0", "6D⁰"), =HYPERLINK("CSG0.html#group3D0", "3D⁰")</f>
        <v/>
      </c>
      <c r="N346">
        <f>HYPERLINK("CSG7.html#group18N7", "18N⁷"), =HYPERLINK("CSG21.html#group36E21", "36E²¹"), =HYPERLINK("CSG10.html#group18M10", "18M¹⁰"), =HYPERLINK("CSG7.html#group36N7", "36N⁷"), =HYPERLINK("CSG21.html#group72AB21", "72AB²¹"), =HYPERLINK("CSG17.html#group72X17", "72X¹⁷"), =HYPERLINK("CSG17.html#group36I17", "36I¹⁷"), =HYPERLINK("CSG16.html#group18A16", "18A¹⁶"), =HYPERLINK("CSG17.html#group36K17", "36K¹⁷"), =HYPERLINK("CSG16.html#group18B16", "18B¹⁶"), =HYPERLINK("CSG11.html#group36I11", "36I¹¹")</f>
        <v/>
      </c>
    </row>
    <row r="347">
      <c r="A347" t="inlineStr">
        <is>
          <t>18Q²</t>
        </is>
      </c>
      <c r="B347" t="inlineStr">
        <is>
          <t>Γ₁(18)</t>
        </is>
      </c>
      <c r="C347" t="inlineStr">
        <is>
          <t>108</t>
        </is>
      </c>
      <c r="D347" t="inlineStr">
        <is>
          <t>1</t>
        </is>
      </c>
      <c r="E347" t="inlineStr">
        <is>
          <t>36</t>
        </is>
      </c>
      <c r="F347" t="inlineStr">
        <is>
          <t>0</t>
        </is>
      </c>
      <c r="G347" t="inlineStr">
        <is>
          <t>0</t>
        </is>
      </c>
      <c r="H347" t="inlineStr">
        <is>
          <t>1³, 2³, 3², 6², 9³, 18³</t>
        </is>
      </c>
      <c r="I347" t="n">
        <v>16</v>
      </c>
      <c r="J347" t="inlineStr">
        <is>
          <t>1⁶, 2⁶, 6³</t>
        </is>
      </c>
      <c r="K347">
        <f>HYPERLINK("CSG0.html#group9I0", "9I⁰"), =HYPERLINK("CSG0.html#group18E0", "18E⁰")</f>
        <v/>
      </c>
      <c r="L347">
        <f>HYPERLINK("CSG7.html#group18O7", "18O⁷"), =HYPERLINK("CSG7.html#group36O7", "36O⁷"), =HYPERLINK("CSG10.html#group18M10", "18M¹⁰"), =HYPERLINK("CSG10.html#group54I10", "54I¹⁰"), =HYPERLINK("CSG11.html#group36K11", "36K¹¹"), =HYPERLINK("CSG16.html#group54R16", "54R¹⁶"), =HYPERLINK("CSG16.html#group54S16", "54S¹⁶")</f>
        <v/>
      </c>
      <c r="M347">
        <f>HYPERLINK("CSG0.html#group3B0", "3B⁰"), =HYPERLINK("CSG0.html#group18E0", "18E⁰"), =HYPERLINK("CSG0.html#group6F0", "6F⁰"), =HYPERLINK("CSG0.html#group9I0", "9I⁰"), =HYPERLINK("CSG0.html#group9B0", "9B⁰"), =HYPERLINK("CSG0.html#group2B0", "2B⁰"), =HYPERLINK("CSG0.html#group1A0", "1A⁰")</f>
        <v/>
      </c>
      <c r="N347">
        <f>HYPERLINK("CSG21.html#group72AC21", "72AC²¹"), =HYPERLINK("CSG17.html#group72Y17", "72Y¹⁷"), =HYPERLINK("CSG7.html#group18O7", "18O⁷"), =HYPERLINK("CSG16.html#group54S16", "54S¹⁶"), =HYPERLINK("CSG10.html#group18M10", "18M¹⁰"), =HYPERLINK("CSG16.html#group54R16", "54R¹⁶"), =HYPERLINK("CSG17.html#group36L17", "36L¹⁷"), =HYPERLINK("CSG17.html#group36J17", "36J¹⁷"), =HYPERLINK("CSG11.html#group36K11", "36K¹¹"), =HYPERLINK("CSG21.html#group36F21", "36F²¹"), =HYPERLINK("CSG10.html#group54I10", "54I¹⁰"), =HYPERLINK("CSG7.html#group36O7", "36O⁷")</f>
        <v/>
      </c>
    </row>
    <row r="348">
      <c r="A348" t="inlineStr">
        <is>
          <t>19A²</t>
        </is>
      </c>
      <c r="B348" t="inlineStr"/>
      <c r="C348" t="inlineStr">
        <is>
          <t>57</t>
        </is>
      </c>
      <c r="D348" t="inlineStr">
        <is>
          <t>2</t>
        </is>
      </c>
      <c r="E348" t="inlineStr">
        <is>
          <t>57</t>
        </is>
      </c>
      <c r="F348" t="inlineStr">
        <is>
          <t>5</t>
        </is>
      </c>
      <c r="G348" t="inlineStr">
        <is>
          <t>3</t>
        </is>
      </c>
      <c r="H348" t="inlineStr">
        <is>
          <t>19³</t>
        </is>
      </c>
      <c r="I348" t="n">
        <v>3</v>
      </c>
      <c r="J348" t="inlineStr">
        <is>
          <t>6¹, 18⁶</t>
        </is>
      </c>
      <c r="K348">
        <f>HYPERLINK("CSG0.html#group1A0", "1A⁰")</f>
        <v/>
      </c>
      <c r="L348">
        <f>HYPERLINK("CSG7.html#group38A7", "38A⁷"), =HYPERLINK("CSG10.html#group57A10", "57A¹⁰"), =HYPERLINK("CSG11.html#group38A11", "38A¹¹"), =HYPERLINK("CSG14.html#group19A14", "19A¹⁴"), =HYPERLINK("CSG15.html#group76A15", "76A¹⁵"), =HYPERLINK("CSG16.html#group57A16", "57A¹⁶"), =HYPERLINK("CSG18.html#group19A18", "19A¹⁸"), =HYPERLINK("CSG20.html#group95A20", "95A²⁰"), =HYPERLINK("CSG24.html#group95A24", "95A²⁴")</f>
        <v/>
      </c>
      <c r="M348">
        <f>HYPERLINK("CSG0.html#group1A0", "1A⁰")</f>
        <v/>
      </c>
      <c r="N348">
        <f>HYPERLINK("CSG7.html#group38A7", "38A⁷"), =HYPERLINK("CSG10.html#group57A10", "57A¹⁰"), =HYPERLINK("CSG16.html#group57A16", "57A¹⁶"), =HYPERLINK("CSG14.html#group19A14", "19A¹⁴"), =HYPERLINK("CSG23.html#group114A23", "114A²³"), =HYPERLINK("CSG11.html#group38A11", "38A¹¹"), =HYPERLINK("CSG18.html#group19A18", "19A¹⁸"), =HYPERLINK("CSG20.html#group95A20", "95A²⁰"), =HYPERLINK("CSG15.html#group76A15", "76A¹⁵"), =HYPERLINK("CSG24.html#group76A24", "76A²⁴"), =HYPERLINK("CSG24.html#group95A24", "95A²⁴"), =HYPERLINK("CSG24.html#group57A24", "57A²⁴")</f>
        <v/>
      </c>
    </row>
    <row r="349">
      <c r="A349" t="inlineStr">
        <is>
          <t>20A²</t>
        </is>
      </c>
      <c r="B349" t="inlineStr"/>
      <c r="C349" t="inlineStr">
        <is>
          <t>30</t>
        </is>
      </c>
      <c r="D349" t="inlineStr">
        <is>
          <t>1</t>
        </is>
      </c>
      <c r="E349" t="inlineStr">
        <is>
          <t>15</t>
        </is>
      </c>
      <c r="F349" t="inlineStr">
        <is>
          <t>0</t>
        </is>
      </c>
      <c r="G349" t="inlineStr">
        <is>
          <t>0</t>
        </is>
      </c>
      <c r="H349" t="inlineStr">
        <is>
          <t>5², 20¹</t>
        </is>
      </c>
      <c r="I349" t="n">
        <v>3</v>
      </c>
      <c r="J349" t="inlineStr">
        <is>
          <t>1³, 4³</t>
        </is>
      </c>
      <c r="K349">
        <f>HYPERLINK("CSG0.html#group4B0", "4B⁰"), =HYPERLINK("CSG1.html#group10B1", "10B¹")</f>
        <v/>
      </c>
      <c r="L349">
        <f>HYPERLINK("CSG4.html#group20A4", "20A⁴"), =HYPERLINK("CSG4.html#group20D4", "20D⁴"), =HYPERLINK("CSG4.html#group40B4", "40B⁴"), =HYPERLINK("CSG5.html#group20E5", "20E⁵"), =HYPERLINK("CSG7.html#group60A7", "60A⁷"), =HYPERLINK("CSG7.html#group60C7", "60C⁷"), =HYPERLINK("CSG8.html#group60C8", "60C⁸"), =HYPERLINK("CSG17.html#group140A17", "140A¹⁷"), =HYPERLINK("CSG18.html#group140A18", "140A¹⁸")</f>
        <v/>
      </c>
      <c r="M349">
        <f>HYPERLINK("CSG0.html#group5A0", "5A⁰"), =HYPERLINK("CSG0.html#group2B0", "2B⁰"), =HYPERLINK("CSG0.html#group4B0", "4B⁰"), =HYPERLINK("CSG0.html#group1A0", "1A⁰"), =HYPERLINK("CSG1.html#group10B1", "10B¹")</f>
        <v/>
      </c>
      <c r="N349">
        <f>HYPERLINK("CSG17.html#group140A17", "140A¹⁷"), =HYPERLINK("CSG4.html#group20D4", "20D⁴"), =HYPERLINK("CSG14.html#group60A14", "60A¹⁴"), =HYPERLINK("CSG22.html#group20C22", "20C²²"), =HYPERLINK("CSG8.html#group40A8", "40A⁸"), =HYPERLINK("CSG22.html#group40H22", "40H²²"), =HYPERLINK("CSG9.html#group40A9", "40A⁹"), =HYPERLINK("CSG18.html#group80A18", "80A¹⁸"), =HYPERLINK("CSG8.html#group80B8", "80B⁸"), =HYPERLINK("CSG17.html#group60B17", "60B¹⁷"), =HYPERLINK("CSG14.html#group120D14", "120D¹⁴"), =HYPERLINK("CSG10.html#group20C10", "20C¹⁰"), =HYPERLINK("CSG22.html#group80G22", "80G²²"), =HYPERLINK("CSG7.html#group20P7", "20P⁷"), =HYPERLINK("CSG8.html#group40C8", "40C⁸"), =HYPERLINK("CSG18.html#group120A18", "120A¹⁸"), =HYPERLINK("CSG17.html#group120D17", "120D¹⁷"), =HYPERLINK("CSG22.html#group80C22", "80C²²"), =HYPERLINK("CSG22.html#group40C22", "40C²²"), =HYPERLINK("CSG18.html#group140A18", "140A¹⁸"), =HYPERLINK("CSG16.html#group60B16", "60B¹⁶"), =HYPERLINK("CSG11.html#group20C11", "20C¹¹"), =HYPERLINK("CSG8.html#group40D8", "40D⁸"), =HYPERLINK("CSG19.html#group80F19", "80F¹⁹"), =HYPERLINK("CSG11.html#group40J11", "40J¹¹"), =HYPERLINK("CSG7.html#group60A7", "60A⁷"), =HYPERLINK("CSG22.html#group20A22", "20A²²"), =HYPERLINK("CSG22.html#group80D22", "80D²²"), =HYPERLINK("CSG16.html#group40A16", "40A¹⁶"), =HYPERLINK("CSG14.html#group120A14", "120A¹⁴"), =HYPERLINK("CSG22.html#group40L22", "40L²²"), =HYPERLINK("CSG19.html#group160A19", "160A¹⁹"), =HYPERLINK("CSG14.html#group60F14", "60F¹⁴"), =HYPERLINK("CSG17.html#group40A17", "40A¹⁷"), =HYPERLINK("CSG19.html#group80B19", "80B¹⁹"), =HYPERLINK("CSG10.html#group40F10", "40F¹⁰"), =HYPERLINK("CSG18.html#group40A18", "40A¹⁸"), =HYPERLINK("CSG8.html#group80C8", "80C⁸"), =HYPERLINK("CSG22.html#group40A22", "40A²²"), =HYPERLINK("CSG16.html#group40B16", "40B¹⁶"), =HYPERLINK("CSG22.html#group80F22", "80F²²"), =HYPERLINK("CSG16.html#group80B16", "80B¹⁶"), =HYPERLINK("CSG22.html#group40D22", "40D²²"), =HYPERLINK("CSG16.html#group80A16", "80A¹⁶"), =HYPERLINK("CSG13.html#group20A13", "20A¹³"), =HYPERLINK("CSG17.html#group80C17", "80C¹⁷"), =HYPERLINK("CSG10.html#group20A10", "20A¹⁰"), =HYPERLINK("CSG19.html#group20D19", "20D¹⁹"), =HYPERLINK("CSG22.html#group40K22", "40K²²"), =HYPERLINK("CSG19.html#group60H19", "60H¹⁹"), =HYPERLINK("CSG9.html#group80A9", "80A⁹"), =HYPERLINK("CSG8.html#group60C8", "60C⁸"), =HYPERLINK("CSG13.html#group60C13", "60C¹³"), =HYPERLINK("CSG16.html#group120B16", "120B¹⁶"), =HYPERLINK("CSG18.html#group160A18", "160A¹⁸"), =HYPERLINK("CSG19.html#group160C19", "160C¹⁹"), =HYPERLINK("CSG19.html#group160B19", "160B¹⁹"), =HYPERLINK("CSG22.html#group40E22", "40E²²"), =HYPERLINK("CSG17.html#group40G17", "40G¹⁷"), =HYPERLINK("CSG7.html#group60C7", "60C⁷"), =HYPERLINK("CSG22.html#group60A22", "60A²²"), =HYPERLINK("CSG22.html#group40I22", "40I²²"), =HYPERLINK("CSG5.html#group20E5", "20E⁵"), =HYPERLINK("CSG19.html#group80A19", "80A¹⁹"), =HYPERLINK("CSG22.html#group180A22", "180A²²"), =HYPERLINK("CSG4.html#group40B4", "40B⁴"), =HYPERLINK("CSG19.html#group40M19", "40M¹⁹"), =HYPERLINK("CSG19.html#group20B19", "20B¹⁹"), =HYPERLINK("CSG13.html#group20G13", "20G¹³"), =HYPERLINK("CSG19.html#group40L19", "40L¹⁹"), =HYPERLINK("CSG14.html#group120C14", "120C¹⁴"), =HYPERLINK("CSG17.html#group160A17", "160A¹⁷"), =HYPERLINK("CSG13.html#group40G13", "40G¹³"), =HYPERLINK("CSG4.html#group20A4", "20A⁴"), =HYPERLINK("CSG8.html#group20A8", "20A⁸"), =HYPERLINK("CSG15.html#group40A15", "40A¹⁵"), =HYPERLINK("CSG14.html#group60D14", "60D¹⁴"), =HYPERLINK("CSG10.html#group40D10", "40D¹⁰"), =HYPERLINK("CSG17.html#group80A17", "80A¹⁷"), =HYPERLINK("CSG16.html#group160A16", "160A¹⁶")</f>
        <v/>
      </c>
    </row>
    <row r="350">
      <c r="A350" t="inlineStr">
        <is>
          <t>20B²</t>
        </is>
      </c>
      <c r="B350" t="inlineStr"/>
      <c r="C350" t="inlineStr">
        <is>
          <t>30</t>
        </is>
      </c>
      <c r="D350" t="inlineStr">
        <is>
          <t>1</t>
        </is>
      </c>
      <c r="E350" t="inlineStr">
        <is>
          <t>15</t>
        </is>
      </c>
      <c r="F350" t="inlineStr">
        <is>
          <t>2</t>
        </is>
      </c>
      <c r="G350" t="inlineStr">
        <is>
          <t>0</t>
        </is>
      </c>
      <c r="H350" t="inlineStr">
        <is>
          <t>10¹, 20¹</t>
        </is>
      </c>
      <c r="I350" t="n">
        <v>2</v>
      </c>
      <c r="J350" t="inlineStr">
        <is>
          <t>1³, 4³</t>
        </is>
      </c>
      <c r="K350">
        <f>HYPERLINK("CSG0.html#group4C0", "4C⁰"), =HYPERLINK("CSG1.html#group10B1", "10B¹")</f>
        <v/>
      </c>
      <c r="L350">
        <f>HYPERLINK("CSG4.html#group20A4", "20A⁴"), =HYPERLINK("CSG4.html#group20C4", "20C⁴"), =HYPERLINK("CSG4.html#group20E4", "20E⁴"), =HYPERLINK("CSG4.html#group40A4", "40A⁴"), =HYPERLINK("CSG4.html#group40C4", "40C⁴"), =HYPERLINK("CSG5.html#group40A5", "40A⁵"), =HYPERLINK("CSG6.html#group60B6", "60B⁶"), =HYPERLINK("CSG6.html#group60D6", "60D⁶"), =HYPERLINK("CSG7.html#group20D7", "20D⁷"), =HYPERLINK("CSG9.html#group60B9", "60B⁹"), =HYPERLINK("CSG16.html#group140B16", "140B¹⁶"), =HYPERLINK("CSG19.html#group140A19", "140A¹⁹")</f>
        <v/>
      </c>
      <c r="M350">
        <f>HYPERLINK("CSG0.html#group5A0", "5A⁰"), =HYPERLINK("CSG0.html#group2B0", "2B⁰"), =HYPERLINK("CSG0.html#group1A0", "1A⁰"), =HYPERLINK("CSG1.html#group10B1", "10B¹"), =HYPERLINK("CSG0.html#group4C0", "4C⁰")</f>
        <v/>
      </c>
      <c r="N350">
        <f>HYPERLINK("CSG19.html#group20A19", "20A¹⁹"), =HYPERLINK("CSG14.html#group60A14", "60A¹⁴"), =HYPERLINK("CSG17.html#group80G17", "80G¹⁷"), =HYPERLINK("CSG9.html#group80D9", "80D⁹"), =HYPERLINK("CSG8.html#group40A8", "40A⁸"), =HYPERLINK("CSG20.html#group20A20", "20A²⁰"), =HYPERLINK("CSG22.html#group80H22", "80H²²"), =HYPERLINK("CSG20.html#group180F20", "180F²⁰"), =HYPERLINK("CSG16.html#group140B16", "140B¹⁶"), =HYPERLINK("CSG10.html#group20F10", "20F¹⁰"), =HYPERLINK("CSG8.html#group40E8", "40E⁸"), =HYPERLINK("CSG10.html#group40E10", "40E¹⁰"), =HYPERLINK("CSG18.html#group80A18", "80A¹⁸"), =HYPERLINK("CSG9.html#group40A9", "40A⁹"), =HYPERLINK("CSG17.html#group80F17", "80F¹⁷"), =HYPERLINK("CSG20.html#group160A20", "160A²⁰"), =HYPERLINK("CSG17.html#group60B17", "60B¹⁷"), =HYPERLINK("CSG13.html#group60G13", "60G¹³"), =HYPERLINK("CSG9.html#group40E9", "40E⁹"), =HYPERLINK("CSG21.html#group20B21", "20B²¹"), =HYPERLINK("CSG17.html#group160C17", "160C¹⁷"), =HYPERLINK("CSG20.html#group40A20", "40A²⁰"), =HYPERLINK("CSG9.html#group60B9", "60B⁹"), =HYPERLINK("CSG17.html#group80L17", "80L¹⁷"), =HYPERLINK("CSG6.html#group60B6", "60B⁶"), =HYPERLINK("CSG4.html#group20C4", "20C⁴"), =HYPERLINK("CSG20.html#group20B20", "20B²⁰"), =HYPERLINK("CSG8.html#group20C8", "20C⁸"), =HYPERLINK("CSG21.html#group40F21", "40F²¹"), =HYPERLINK("CSG16.html#group40A16", "40A¹⁶"), =HYPERLINK("CSG22.html#group40L22", "40L²²"), =HYPERLINK("CSG18.html#group60G18", "60G¹⁸"), =HYPERLINK("CSG17.html#group40A17", "40A¹⁷"), =HYPERLINK("CSG19.html#group80B19", "80B¹⁹"), =HYPERLINK("CSG13.html#group60F13", "60F¹³"), =HYPERLINK("CSG17.html#group160D17", "160D¹⁷"), =HYPERLINK("CSG13.html#group60B13", "60B¹³"), =HYPERLINK("CSG6.html#group60D6", "60D⁶"), =HYPERLINK("CSG4.html#group40A4", "40A⁴"), =HYPERLINK("CSG19.html#group140A19", "140A¹⁹"), =HYPERLINK("CSG17.html#group40E17", "40E¹⁷"), =HYPERLINK("CSG16.html#group40B16", "40B¹⁶"), =HYPERLINK("CSG24.html#group80A24", "80A²⁴"), =HYPERLINK("CSG21.html#group40I21", "40I²¹"), =HYPERLINK("CSG24.html#group40D24", "40D²⁴"), =HYPERLINK("CSG11.html#group40E11", "40E¹¹"), =HYPERLINK("CSG13.html#group20A13", "20A¹³"), =HYPERLINK("CSG4.html#group40C4", "40C⁴"), =HYPERLINK("CSG20.html#group160B20", "160B²⁰"), =HYPERLINK("CSG22.html#group40N22", "40N²²"), =HYPERLINK("CSG13.html#group120B13", "120B¹³"), =HYPERLINK("CSG10.html#group20B10", "20B¹⁰"), =HYPERLINK("CSG17.html#group40G17", "40G¹⁷"), =HYPERLINK("CSG10.html#group40G10", "40G¹⁰"), =HYPERLINK("CSG13.html#group120C13", "120C¹³"), =HYPERLINK("CSG8.html#group80A8", "80A⁸"), =HYPERLINK("CSG22.html#group40F22", "40F²²"), =HYPERLINK("CSG16.html#group40C16", "40C¹⁶"), =HYPERLINK("CSG9.html#group40B9", "40B⁹"), =HYPERLINK("CSG22.html#group40M22", "40M²²"), =HYPERLINK("CSG17.html#group40O17", "40O¹⁷"), =HYPERLINK("CSG19.html#group120B19", "120B¹⁹"), =HYPERLINK("CSG21.html#group40H21", "40H²¹"), =HYPERLINK("CSG23.html#group40E23", "40E²³"), =HYPERLINK("CSG8.html#group40F8", "40F⁸"), =HYPERLINK("CSG12.html#group120C12", "120C¹²"), =HYPERLINK("CSG17.html#group160B17", "160B¹⁷"), =HYPERLINK("CSG4.html#group20A4", "20A⁴"), =HYPERLINK("CSG18.html#group120D18", "120D¹⁸"), =HYPERLINK("CSG12.html#group60C12", "60C¹²"), =HYPERLINK("CSG17.html#group80A17", "80A¹⁷"), =HYPERLINK("CSG12.html#group120B12", "120B¹²"), =HYPERLINK("CSG17.html#group20B17", "20B¹⁷"), =HYPERLINK("CSG7.html#group20D7", "20D⁷"), =HYPERLINK("CSG23.html#group40I23", "40I²³"), =HYPERLINK("CSG22.html#group20C22", "20C²²"), =HYPERLINK("CSG17.html#group80K17", "80K¹⁷"), =HYPERLINK("CSG19.html#group80K19", "80K¹⁹"), =HYPERLINK("CSG13.html#group40A13", "40A¹³"), =HYPERLINK("CSG18.html#group40C18", "40C¹⁸"), =HYPERLINK("CSG12.html#group40A12", "40A¹²"), =HYPERLINK("CSG22.html#group40J22", "40J²²"), =HYPERLINK("CSG18.html#group80E18", "80E¹⁸"), =HYPERLINK("CSG20.html#group40B20", "40B²⁰"), =HYPERLINK("CSG19.html#group160E19", "160E¹⁹"), =HYPERLINK("CSG19.html#group120A19", "120A¹⁹"), =HYPERLINK("CSG19.html#group160D19", "160D¹⁹"), =HYPERLINK("CSG22.html#group40C22", "40C²²"), =HYPERLINK("CSG23.html#group40G23", "40G²³"), =HYPERLINK("CSG22.html#group80B22", "80B²²"), =HYPERLINK("CSG8.html#group40D8", "40D⁸"), =HYPERLINK("CSG9.html#group20B9", "20B⁹"), =HYPERLINK("CSG19.html#group80F19", "80F¹⁹"), =HYPERLINK("CSG15.html#group20G15", "20G¹⁵"), =HYPERLINK("CSG22.html#group40G22", "40G²²"), =HYPERLINK("CSG24.html#group240B24", "240B²⁴"), =HYPERLINK("CSG19.html#group80C19", "80C¹⁹"), =HYPERLINK("CSG23.html#group40F23", "40F²³"), =HYPERLINK("CSG22.html#group20A22", "20A²²"), =HYPERLINK("CSG14.html#group120B14", "120B¹⁴"), =HYPERLINK("CSG19.html#group80G19", "80G¹⁹"), =HYPERLINK("CSG10.html#group40C10", "40C¹⁰"), =HYPERLINK("CSG10.html#group80B10", "80B¹⁰"), =HYPERLINK("CSG23.html#group40J23", "40J²³"), =HYPERLINK("CSG24.html#group40C24", "40C²⁴"), =HYPERLINK("CSG15.html#group120A15", "120A¹⁵"), =HYPERLINK("CSG14.html#group60F14", "60F¹⁴"), =HYPERLINK("CSG23.html#group40H23", "40H²³"), =HYPERLINK("CSG18.html#group80C18", "80C¹⁸"), =HYPERLINK("CSG23.html#group40D23", "40D²³"), =HYPERLINK("CSG24.html#group240C24", "240C²⁴"), =HYPERLINK("CSG9.html#group80C9", "80C⁹"), =HYPERLINK("CSG18.html#group40A18", "40A¹⁸"), =HYPERLINK("CSG8.html#group40B8", "40B⁸"), =HYPERLINK("CSG4.html#group20E4", "20E⁴"), =HYPERLINK("CSG21.html#group20C21", "20C²¹"), =HYPERLINK("CSG13.html#group60D13", "60D¹³"), =HYPERLINK("CSG22.html#group40A22", "40A²²"), =HYPERLINK("CSG15.html#group120B15", "120B¹⁵"), =HYPERLINK("CSG17.html#group40F17", "40F¹⁷"), =HYPERLINK("CSG13.html#group120A13", "120A¹³"), =HYPERLINK("CSG10.html#group80A10", "80A¹⁰"), =HYPERLINK("CSG22.html#group40B22", "40B²²"), =HYPERLINK("CSG16.html#group80A16", "80A¹⁶"), =HYPERLINK("CSG10.html#group20A10", "20A¹⁰"), =HYPERLINK("CSG19.html#group160H19", "160H¹⁹"), =HYPERLINK("CSG19.html#group20D19", "20D¹⁹"), =HYPERLINK("CSG8.html#group80D8", "80D⁸"), =HYPERLINK("CSG19.html#group80H19", "80H¹⁹"), =HYPERLINK("CSG19.html#group160F19", "160F¹⁹"), =HYPERLINK("CSG22.html#group40E22", "40E²²"), =HYPERLINK("CSG5.html#group40A5", "40A⁵"), =HYPERLINK("CSG22.html#group80E22", "80E²²"), =HYPERLINK("CSG13.html#group120D13", "120D¹³"), =HYPERLINK("CSG24.html#group40B24", "40B²⁴"), =HYPERLINK("CSG24.html#group40A24", "40A²⁴"), =HYPERLINK("CSG16.html#group60D16", "60D¹⁶"), =HYPERLINK("CSG19.html#group80A19", "80A¹⁹"), =HYPERLINK("CSG17.html#group80B17", "80B¹⁷"), =HYPERLINK("CSG19.html#group160G19", "160G¹⁹"), =HYPERLINK("CSG18.html#group80B18", "80B¹⁸"), =HYPERLINK("CSG15.html#group40D15", "40D¹⁵"), =HYPERLINK("CSG8.html#group20A8", "20A⁸"), =HYPERLINK("CSG17.html#group40N17", "40N¹⁷"), =HYPERLINK("CSG23.html#group40C23", "40C²³"), =HYPERLINK("CSG9.html#group80B9", "80B⁹"), =HYPERLINK("CSG19.html#group160I19", "160I¹⁹"), =HYPERLINK("CSG17.html#group80J17", "80J¹⁷")</f>
        <v/>
      </c>
    </row>
    <row r="351">
      <c r="A351" t="inlineStr">
        <is>
          <t>20C²</t>
        </is>
      </c>
      <c r="B351" t="inlineStr"/>
      <c r="C351" t="inlineStr">
        <is>
          <t>36</t>
        </is>
      </c>
      <c r="D351" t="inlineStr">
        <is>
          <t>1</t>
        </is>
      </c>
      <c r="E351" t="inlineStr">
        <is>
          <t>18</t>
        </is>
      </c>
      <c r="F351" t="inlineStr">
        <is>
          <t>0</t>
        </is>
      </c>
      <c r="G351" t="inlineStr">
        <is>
          <t>0</t>
        </is>
      </c>
      <c r="H351" t="inlineStr">
        <is>
          <t>2¹, 4¹, 10¹, 20¹</t>
        </is>
      </c>
      <c r="I351" t="n">
        <v>4</v>
      </c>
      <c r="J351" t="inlineStr">
        <is>
          <t>1⁶, 4³</t>
        </is>
      </c>
      <c r="K351">
        <f>HYPERLINK("CSG0.html#group10C0", "10C⁰")</f>
        <v/>
      </c>
      <c r="L351">
        <f>HYPERLINK("CSG3.html#group20H3", "20H³"), =HYPERLINK("CSG3.html#group20G3", "20G³"), =HYPERLINK("CSG3.html#group20I3", "20I³"), =HYPERLINK("CSG8.html#group60A8", "60A⁸"), =HYPERLINK("CSG9.html#group60G9", "60G⁹"), =HYPERLINK("CSG10.html#group20E10", "20E¹⁰"), =HYPERLINK("CSG10.html#group100A10", "100A¹⁰"), =HYPERLINK("CSG14.html#group100A14", "100A¹⁴"), =HYPERLINK("CSG14.html#group100D14", "100D¹⁴"), =HYPERLINK("CSG14.html#group100B14", "100B¹⁴"), =HYPERLINK("CSG14.html#group100C14", "100C¹⁴"), =HYPERLINK("CSG20.html#group140A20", "140A²⁰"), =HYPERLINK("CSG21.html#group140B21", "140B²¹")</f>
        <v/>
      </c>
      <c r="M351">
        <f>HYPERLINK("CSG0.html#group5B0", "5B⁰"), =HYPERLINK("CSG0.html#group10C0", "10C⁰"), =HYPERLINK("CSG0.html#group1A0", "1A⁰"), =HYPERLINK("CSG0.html#group2B0", "2B⁰")</f>
        <v/>
      </c>
      <c r="N351">
        <f>HYPERLINK("CSG19.html#group20A19", "20A¹⁹"), =HYPERLINK("CSG19.html#group100O19", "100O¹⁹"), =HYPERLINK("CSG7.html#group20L7", "20L⁷"), =HYPERLINK("CSG13.html#group40R13", "40R¹³"), =HYPERLINK("CSG21.html#group80F21", "80F²¹"), =HYPERLINK("CSG10.html#group20E10", "20E¹⁰"), =HYPERLINK("CSG5.html#group20I5", "20I⁵"), =HYPERLINK("CSG13.html#group40K13", "40K¹³"), =HYPERLINK("CSG21.html#group80AA21", "80AA²¹"), =HYPERLINK("CSG15.html#group60C15", "60C¹⁵"), =HYPERLINK("CSG7.html#group40AC7", "40AC⁷"), =HYPERLINK("CSG14.html#group100D14", "100D¹⁴"), =HYPERLINK("CSG20.html#group140A20", "140A²⁰"), =HYPERLINK("CSG3.html#group20H3", "20H³"), =HYPERLINK("CSG13.html#group20F13", "20F¹³"), =HYPERLINK("CSG17.html#group80X17", "80X¹⁷"), =HYPERLINK("CSG15.html#group60G15", "60G¹⁵"), =HYPERLINK("CSG14.html#group100A14", "100A¹⁴"), =HYPERLINK("CSG15.html#group60A15", "60A¹⁵"), =HYPERLINK("CSG15.html#group40Z15", "40Z¹⁵"), =HYPERLINK("CSG7.html#group20N7", "20N⁷"), =HYPERLINK("CSG21.html#group80A21", "80A²¹"), =HYPERLINK("CSG15.html#group60I15", "60I¹⁵"), =HYPERLINK("CSG17.html#group40AR17", "40AR¹⁷"), =HYPERLINK("CSG19.html#group80O19", "80O¹⁹"), =HYPERLINK("CSG9.html#group40K9", "40K⁹"), =HYPERLINK("CSG15.html#group40AD15", "40AD¹⁵"), =HYPERLINK("CSG9.html#group40H9", "40H⁹"), =HYPERLINK("CSG3.html#group20G3", "20G³"), =HYPERLINK("CSG15.html#group40AA15", "40AA¹⁵"), =HYPERLINK("CSG15.html#group60H15", "60H¹⁵"), =HYPERLINK("CSG17.html#group80Y17", "80Y¹⁷"), =HYPERLINK("CSG14.html#group100B14", "100B¹⁴"), =HYPERLINK("CSG17.html#group60Q17", "60Q¹⁷"), =HYPERLINK("CSG3.html#group20I3", "20I³"), =HYPERLINK("CSG17.html#group40AB17", "40AB¹⁷"), =HYPERLINK("CSG15.html#group40Y15", "40Y¹⁵"), =HYPERLINK("CSG21.html#group80J21", "80J²¹"), =HYPERLINK("CSG13.html#group20E13", "20E¹³"), =HYPERLINK("CSG17.html#group40AS17", "40AS¹⁷"), =HYPERLINK("CSG21.html#group80Z21", "80Z²¹"), =HYPERLINK("CSG21.html#group140B21", "140B²¹"), =HYPERLINK("CSG17.html#group40Y17", "40Y¹⁷"), =HYPERLINK("CSG7.html#group40N7", "40N⁷"), =HYPERLINK("CSG17.html#group40T17", "40T¹⁷"), =HYPERLINK("CSG14.html#group100C14", "100C¹⁴"), =HYPERLINK("CSG15.html#group60B15", "60B¹⁵"), =HYPERLINK("CSG19.html#group40C19", "40C¹⁹"), =HYPERLINK("CSG15.html#group40AC15", "40AC¹⁵"), =HYPERLINK("CSG17.html#group60R17", "60R¹⁷"), =HYPERLINK("CSG13.html#group40Q13", "40Q¹³"), =HYPERLINK("CSG17.html#group60S17", "60S¹⁷"), =HYPERLINK("CSG19.html#group100N19", "100N¹⁹"), =HYPERLINK("CSG17.html#group40W17", "40W¹⁷"), =HYPERLINK("CSG21.html#group80N21", "80N²¹"), =HYPERLINK("CSG7.html#group20M7", "20M⁷"), =HYPERLINK("CSG21.html#group80B21", "80B²¹"), =HYPERLINK("CSG21.html#group120E21", "120E²¹"), =HYPERLINK("CSG19.html#group20C19", "20C¹⁹"), =HYPERLINK("CSG17.html#group40AA17", "40AA¹⁷"), =HYPERLINK("CSG7.html#group40O7", "40O⁷"), =HYPERLINK("CSG17.html#group40AF17", "40AF¹⁷"), =HYPERLINK("CSG17.html#group40V17", "40V¹⁷"), =HYPERLINK("CSG15.html#group60F15", "60F¹⁵"), =HYPERLINK("CSG9.html#group60G9", "60G⁹"), =HYPERLINK("CSG19.html#group100P19", "100P¹⁹"), =HYPERLINK("CSG10.html#group100A10", "100A¹⁰"), =HYPERLINK("CSG19.html#group40H19", "40H¹⁹"), =HYPERLINK("CSG9.html#group40L9", "40L⁹"), =HYPERLINK("CSG21.html#group80H21", "80H²¹"), =HYPERLINK("CSG13.html#group40J13", "40J¹³"), =HYPERLINK("CSG19.html#group20B19", "20B¹⁹"), =HYPERLINK("CSG17.html#group80BE17", "80BE¹⁷"), =HYPERLINK("CSG19.html#group80T19", "80T¹⁹"), =HYPERLINK("CSG21.html#group120F21", "120F²¹"), =HYPERLINK("CSG17.html#group40AG17", "40AG¹⁷"), =HYPERLINK("CSG15.html#group80U15", "80U¹⁵"), =HYPERLINK("CSG9.html#group20F9", "20F⁹"), =HYPERLINK("CSG15.html#group80V15", "80V¹⁵"), =HYPERLINK("CSG8.html#group60A8", "60A⁸"), =HYPERLINK("CSG9.html#group40G9", "40G⁹")</f>
        <v/>
      </c>
    </row>
    <row r="352">
      <c r="A352" t="inlineStr">
        <is>
          <t>20D²</t>
        </is>
      </c>
      <c r="B352" t="inlineStr"/>
      <c r="C352" t="inlineStr">
        <is>
          <t>40</t>
        </is>
      </c>
      <c r="D352" t="inlineStr">
        <is>
          <t>1</t>
        </is>
      </c>
      <c r="E352" t="inlineStr">
        <is>
          <t>20</t>
        </is>
      </c>
      <c r="F352" t="inlineStr">
        <is>
          <t>0</t>
        </is>
      </c>
      <c r="G352" t="inlineStr">
        <is>
          <t>4</t>
        </is>
      </c>
      <c r="H352" t="inlineStr">
        <is>
          <t>20²</t>
        </is>
      </c>
      <c r="I352" t="n">
        <v>2</v>
      </c>
      <c r="J352" t="inlineStr">
        <is>
          <t>2², 8²</t>
        </is>
      </c>
      <c r="K352">
        <f>HYPERLINK("CSG0.html#group4D0", "4D⁰"), =HYPERLINK("CSG0.html#group10A0", "10A⁰"), =HYPERLINK("CSG1.html#group20A1", "20A¹")</f>
        <v/>
      </c>
      <c r="L352">
        <f>HYPERLINK("CSG4.html#group40D4", "40D⁴"), =HYPERLINK("CSG6.html#group20A6", "20A⁶"), =HYPERLINK("CSG8.html#group20A8", "20A⁸"), =HYPERLINK("CSG8.html#group20B8", "20B⁸"), =HYPERLINK("CSG8.html#group60B8", "60B⁸"), =HYPERLINK("CSG8.html#group60F8", "60F⁸"), =HYPERLINK("CSG9.html#group20A9", "20A⁹"), =HYPERLINK("CSG9.html#group60D9", "60D⁹"), =HYPERLINK("CSG10.html#group60A10", "60A¹⁰"), =HYPERLINK("CSG11.html#group40C11", "40C¹¹"), =HYPERLINK("CSG11.html#group60J11", "60J¹¹"), =HYPERLINK("CSG22.html#group140A22", "140A²²"), =HYPERLINK("CSG23.html#group140C23", "140C²³")</f>
        <v/>
      </c>
      <c r="M352">
        <f>HYPERLINK("CSG0.html#group2A0", "2A⁰"), =HYPERLINK("CSG0.html#group5A0", "5A⁰"), =HYPERLINK("CSG0.html#group10A0", "10A⁰"), =HYPERLINK("CSG0.html#group4A0", "4A⁰"), =HYPERLINK("CSG0.html#group4D0", "4D⁰"), =HYPERLINK("CSG1.html#group20A1", "20A¹"), =HYPERLINK("CSG0.html#group1A0", "1A⁰")</f>
        <v/>
      </c>
      <c r="N352">
        <f>HYPERLINK("CSG21.html#group40B21", "40B²¹"), =HYPERLINK("CSG17.html#group20A17", "20A¹⁷"), =HYPERLINK("CSG20.html#group120A20", "120A²⁰"), =HYPERLINK("CSG4.html#group40D4", "40D⁴"), =HYPERLINK("CSG15.html#group20F15", "20F¹⁵"), =HYPERLINK("CSG23.html#group120L23", "120L²³"), =HYPERLINK("CSG20.html#group120B20", "120B²⁰"), =HYPERLINK("CSG22.html#group140A22", "140A²²"), =HYPERLINK("CSG23.html#group140C23", "140C²³"), =HYPERLINK("CSG8.html#group80E8", "80E⁸"), =HYPERLINK("CSG11.html#group40C11", "40C¹¹"), =HYPERLINK("CSG8.html#group60B8", "60B⁸"), =HYPERLINK("CSG21.html#group40C21", "40C²¹"), =HYPERLINK("CSG18.html#group40A18", "40A¹⁸"), =HYPERLINK("CSG18.html#group120E18", "120E¹⁸"), =HYPERLINK("CSG8.html#group20B8", "20B⁸"), =HYPERLINK("CSG16.html#group120A16", "120A¹⁶"), =HYPERLINK("CSG21.html#group40A21", "40A²¹"), =HYPERLINK("CSG22.html#group20A22", "20A²²"), =HYPERLINK("CSG10.html#group60A10", "60A¹⁰"), =HYPERLINK("CSG21.html#group60T21", "60T²¹"), =HYPERLINK("CSG9.html#group20A9", "20A⁹"), =HYPERLINK("CSG16.html#group40A16", "40A¹⁶"), =HYPERLINK("CSG8.html#group60F8", "60F⁸"), =HYPERLINK("CSG18.html#group40D18", "40D¹⁸"), =HYPERLINK("CSG18.html#group40B18", "40B¹⁸"), =HYPERLINK("CSG16.html#group120D16", "120D¹⁶"), =HYPERLINK("CSG8.html#group20A8", "20A⁸"), =HYPERLINK("CSG17.html#group40A17", "40A¹⁷"), =HYPERLINK("CSG23.html#group120K23", "120K²³"), =HYPERLINK("CSG9.html#group60D9", "60D⁹"), =HYPERLINK("CSG11.html#group60J11", "60J¹¹"), =HYPERLINK("CSG19.html#group60G19", "60G¹⁹"), =HYPERLINK("CSG14.html#group40A14", "40A¹⁴"), =HYPERLINK("CSG6.html#group20A6", "20A⁶")</f>
        <v/>
      </c>
    </row>
    <row r="353">
      <c r="A353" t="inlineStr">
        <is>
          <t>20E²</t>
        </is>
      </c>
      <c r="B353" t="inlineStr"/>
      <c r="C353" t="inlineStr">
        <is>
          <t>40</t>
        </is>
      </c>
      <c r="D353" t="inlineStr">
        <is>
          <t>1</t>
        </is>
      </c>
      <c r="E353" t="inlineStr">
        <is>
          <t>40</t>
        </is>
      </c>
      <c r="F353" t="inlineStr">
        <is>
          <t>4</t>
        </is>
      </c>
      <c r="G353" t="inlineStr">
        <is>
          <t>1</t>
        </is>
      </c>
      <c r="H353" t="inlineStr">
        <is>
          <t>20²</t>
        </is>
      </c>
      <c r="I353" t="n">
        <v>2</v>
      </c>
      <c r="J353" t="inlineStr">
        <is>
          <t>4², 8⁴</t>
        </is>
      </c>
      <c r="K353">
        <f>HYPERLINK("CSG0.html#group4A0", "4A⁰"), =HYPERLINK("CSG0.html#group5C0", "5C⁰")</f>
        <v/>
      </c>
      <c r="L353">
        <f>HYPERLINK("CSG3.html#group20O3", "20O³"), =HYPERLINK("CSG5.html#group20A5", "20A⁵"), =HYPERLINK("CSG5.html#group20B5", "20B⁵"), =HYPERLINK("CSG5.html#group40E5", "40E⁵"), =HYPERLINK("CSG5.html#group40F5", "40F⁵"), =HYPERLINK("CSG7.html#group20F7", "20F⁷"), =HYPERLINK("CSG7.html#group20H7", "20H⁷"), =HYPERLINK("CSG7.html#group60J7", "60J⁷"), =HYPERLINK("CSG10.html#group40A10", "40A¹⁰"), =HYPERLINK("CSG12.html#group60A12", "60A¹²"), =HYPERLINK("CSG14.html#group100E14", "100E¹⁴"), =HYPERLINK("CSG20.html#group140C20", "140C²⁰")</f>
        <v/>
      </c>
      <c r="M353">
        <f>HYPERLINK("CSG0.html#group5C0", "5C⁰"), =HYPERLINK("CSG0.html#group4A0", "4A⁰"), =HYPERLINK("CSG0.html#group1A0", "1A⁰")</f>
        <v/>
      </c>
      <c r="N353">
        <f>HYPERLINK("CSG7.html#group60J7", "60J⁷"), =HYPERLINK("CSG18.html#group60E18", "60E¹⁸"), =HYPERLINK("CSG23.html#group40A23", "40A²³"), =HYPERLINK("CSG5.html#group20B5", "20B⁵"), =HYPERLINK("CSG15.html#group20B15", "20B¹⁵"), =HYPERLINK("CSG21.html#group40D21", "40D²¹"), =HYPERLINK("CSG23.html#group80E23", "80E²³"), =HYPERLINK("CSG15.html#group40H15", "40H¹⁵"), =HYPERLINK("CSG19.html#group40I19", "40I¹⁹"), =HYPERLINK("CSG5.html#group40E5", "40E⁵"), =HYPERLINK("CSG19.html#group60F19", "60F¹⁹"), =HYPERLINK("CSG13.html#group20B13", "20B¹³"), =HYPERLINK("CSG15.html#group40P15", "40P¹⁵"), =HYPERLINK("CSG23.html#group60B23", "60B²³"), =HYPERLINK("CSG9.html#group20A9", "20A⁹"), =HYPERLINK("CSG15.html#group40I15", "40I¹⁵"), =HYPERLINK("CSG17.html#group40P17", "40P¹⁷"), =HYPERLINK("CSG9.html#group40T9", "40T⁹"), =HYPERLINK("CSG17.html#group40M17", "40M¹⁷"), =HYPERLINK("CSG17.html#group20A17", "20A¹⁷"), =HYPERLINK("CSG11.html#group40B11", "40B¹¹"), =HYPERLINK("CSG13.html#group60AH13", "60AH¹³"), =HYPERLINK("CSG23.html#group60A23", "60A²³"), =HYPERLINK("CSG23.html#group60C23", "60C²³"), =HYPERLINK("CSG15.html#group20D15", "20D¹⁵"), =HYPERLINK("CSG15.html#group20G15", "20G¹⁵"), =HYPERLINK("CSG10.html#group40A10", "40A¹⁰"), =HYPERLINK("CSG19.html#group40K19", "40K¹⁹"), =HYPERLINK("CSG15.html#group40Q15", "40Q¹⁵"), =HYPERLINK("CSG23.html#group80A23", "80A²³"), =HYPERLINK("CSG21.html#group80AH21", "80AH²¹"), =HYPERLINK("CSG11.html#group80F11", "80F¹¹"), =HYPERLINK("CSG5.html#group40F5", "40F⁵"), =HYPERLINK("CSG19.html#group60E19", "60E¹⁹"), =HYPERLINK("CSG9.html#group40S9", "40S⁹"), =HYPERLINK("CSG17.html#group120E17", "120E¹⁷"), =HYPERLINK("CSG15.html#group20F15", "20F¹⁵"), =HYPERLINK("CSG15.html#group60W15", "60W¹⁵"), =HYPERLINK("CSG21.html#group20C21", "20C²¹"), =HYPERLINK("CSG21.html#group40E21", "40E²¹"), =HYPERLINK("CSG12.html#group20A12", "20A¹²"), =HYPERLINK("CSG9.html#group40U9", "40U⁹"), =HYPERLINK("CSG11.html#group40D11", "40D¹¹"), =HYPERLINK("CSG17.html#group40R17", "40R¹⁷"), =HYPERLINK("CSG17.html#group120G17", "120G¹⁷"), =HYPERLINK("CSG18.html#group60F18", "60F¹⁸"), =HYPERLINK("CSG7.html#group20F7", "20F⁷"), =HYPERLINK("CSG17.html#group40Q17", "40Q¹⁷"), =HYPERLINK("CSG17.html#group60I17", "60I¹⁷"), =HYPERLINK("CSG17.html#group40L17", "40L¹⁷"), =HYPERLINK("CSG19.html#group40J19", "40J¹⁹"), =HYPERLINK("CSG7.html#group20H7", "20H⁷"), =HYPERLINK("CSG17.html#group40S17", "40S¹⁷"), =HYPERLINK("CSG17.html#group60H17", "60H¹⁷"), =HYPERLINK("CSG21.html#group40B21", "40B²¹"), =HYPERLINK("CSG11.html#group80E11", "80E¹¹"), =HYPERLINK("CSG13.html#group20C13", "20C¹³"), =HYPERLINK("CSG21.html#group80AI21", "80AI²¹"), =HYPERLINK("CSG3.html#group20O3", "20O³"), =HYPERLINK("CSG20.html#group140C20", "140C²⁰"), =HYPERLINK("CSG17.html#group120F17", "120F¹⁷"), =HYPERLINK("CSG12.html#group60A12", "60A¹²"), =HYPERLINK("CSG23.html#group80C23", "80C²³"), =HYPERLINK("CSG5.html#group20A5", "20A⁵"), =HYPERLINK("CSG23.html#group40B23", "40B²³"), =HYPERLINK("CSG21.html#group40A21", "40A²¹"), =HYPERLINK("CSG14.html#group100E14", "100E¹⁴"), =HYPERLINK("CSG23.html#group80B23", "80B²³"), =HYPERLINK("CSG15.html#group60X15", "60X¹⁵"), =HYPERLINK("CSG17.html#group120H17", "120H¹⁷"), =HYPERLINK("CSG7.html#group20O7", "20O⁷"), =HYPERLINK("CSG11.html#group40A11", "40A¹¹")</f>
        <v/>
      </c>
    </row>
    <row r="354">
      <c r="A354" t="inlineStr">
        <is>
          <t>20F²</t>
        </is>
      </c>
      <c r="B354" t="inlineStr"/>
      <c r="C354" t="inlineStr">
        <is>
          <t>60</t>
        </is>
      </c>
      <c r="D354" t="inlineStr">
        <is>
          <t>1</t>
        </is>
      </c>
      <c r="E354" t="inlineStr">
        <is>
          <t>30</t>
        </is>
      </c>
      <c r="F354" t="inlineStr">
        <is>
          <t>4</t>
        </is>
      </c>
      <c r="G354" t="inlineStr">
        <is>
          <t>0</t>
        </is>
      </c>
      <c r="H354" t="inlineStr">
        <is>
          <t>5⁴, 20²</t>
        </is>
      </c>
      <c r="I354" t="n">
        <v>6</v>
      </c>
      <c r="J354" t="inlineStr">
        <is>
          <t>2³, 4⁶</t>
        </is>
      </c>
      <c r="K354">
        <f>HYPERLINK("CSG1.html#group10F1", "10F¹")</f>
        <v/>
      </c>
      <c r="L354">
        <f>HYPERLINK("CSG5.html#group20E5", "20E⁵"), =HYPERLINK("CSG5.html#group20F5", "20F⁵"), =HYPERLINK("CSG5.html#group40K5", "40K⁵"), =HYPERLINK("CSG6.html#group20D6", "20D⁶"), =HYPERLINK("CSG7.html#group20B7", "20B⁷"), =HYPERLINK("CSG7.html#group40J7", "40J⁷"), =HYPERLINK("CSG10.html#group60C10", "60C¹⁰"), =HYPERLINK("CSG15.html#group60U15", "60U¹⁵"), =HYPERLINK("CSG22.html#group100A22", "100A²²")</f>
        <v/>
      </c>
      <c r="M354">
        <f>HYPERLINK("CSG0.html#group5C0", "5C⁰"), =HYPERLINK("CSG0.html#group1A0", "1A⁰"), =HYPERLINK("CSG0.html#group2B0", "2B⁰"), =HYPERLINK("CSG1.html#group10F1", "10F¹")</f>
        <v/>
      </c>
      <c r="N354">
        <f>HYPERLINK("CSG17.html#group20B17", "20B¹⁷"), =HYPERLINK("CSG23.html#group60E23", "60E²³"), =HYPERLINK("CSG15.html#group40T15", "40T¹⁵"), =HYPERLINK("CSG7.html#group40J7", "40J⁷"), =HYPERLINK("CSG13.html#group20A13", "20A¹³"), =HYPERLINK("CSG6.html#group20D6", "20D⁶"), =HYPERLINK("CSG5.html#group20F5", "20F⁵"), =HYPERLINK("CSG23.html#group120O23", "120O²³"), =HYPERLINK("CSG15.html#group60U15", "60U¹⁵"), =HYPERLINK("CSG21.html#group40G21", "40G²¹"), =HYPERLINK("CSG11.html#group20D11", "20D¹¹"), =HYPERLINK("CSG13.html#group40I13", "40I¹³"), =HYPERLINK("CSG23.html#group120P23", "120P²³"), =HYPERLINK("CSG13.html#group20C13", "20C¹³"), =HYPERLINK("CSG7.html#group20B7", "20B⁷"), =HYPERLINK("CSG5.html#group20E5", "20E⁵"), =HYPERLINK("CSG17.html#group40H17", "40H¹⁷"), =HYPERLINK("CSG19.html#group20C19", "20C¹⁹"), =HYPERLINK("CSG22.html#group100A22", "100A²²"), =HYPERLINK("CSG11.html#group20C11", "20C¹¹"), =HYPERLINK("CSG15.html#group20E15", "20E¹⁵"), =HYPERLINK("CSG13.html#group40H13", "40H¹³"), =HYPERLINK("CSG17.html#group40B17", "40B¹⁷"), =HYPERLINK("CSG15.html#group40AJ15", "40AJ¹⁵"), =HYPERLINK("CSG11.html#group40J11", "40J¹¹"), =HYPERLINK("CSG23.html#group60H23", "60H²³"), =HYPERLINK("CSG13.html#group20G13", "20G¹³"), =HYPERLINK("CSG13.html#group20D13", "20D¹³"), =HYPERLINK("CSG13.html#group40G13", "40G¹³"), =HYPERLINK("CSG15.html#group40A15", "40A¹⁵"), =HYPERLINK("CSG21.html#group60V21", "60V²¹"), =HYPERLINK("CSG15.html#group40J15", "40J¹⁵"), =HYPERLINK("CSG5.html#group40K5", "40K⁵"), =HYPERLINK("CSG13.html#group40F13", "40F¹³"), =HYPERLINK("CSG10.html#group60C10", "60C¹⁰"), =HYPERLINK("CSG21.html#group60U21", "60U²¹")</f>
        <v/>
      </c>
    </row>
    <row r="355">
      <c r="A355" t="inlineStr">
        <is>
          <t>21A²</t>
        </is>
      </c>
      <c r="B355" t="inlineStr"/>
      <c r="C355" t="inlineStr">
        <is>
          <t>24</t>
        </is>
      </c>
      <c r="D355" t="inlineStr">
        <is>
          <t>1</t>
        </is>
      </c>
      <c r="E355" t="inlineStr">
        <is>
          <t>8</t>
        </is>
      </c>
      <c r="F355" t="inlineStr">
        <is>
          <t>0</t>
        </is>
      </c>
      <c r="G355" t="inlineStr">
        <is>
          <t>0</t>
        </is>
      </c>
      <c r="H355" t="inlineStr">
        <is>
          <t>3¹, 21¹</t>
        </is>
      </c>
      <c r="I355" t="n">
        <v>2</v>
      </c>
      <c r="J355" t="inlineStr">
        <is>
          <t>1², 6¹</t>
        </is>
      </c>
      <c r="K355">
        <f>HYPERLINK("CSG0.html#group3A0", "3A⁰"), =HYPERLINK("CSG0.html#group7B0", "7B⁰")</f>
        <v/>
      </c>
      <c r="L355">
        <f>HYPERLINK("CSG3.html#group21A3", "21A³"), =HYPERLINK("CSG4.html#group21A4", "21A⁴"), =HYPERLINK("CSG4.html#group42B4", "42B⁴"), =HYPERLINK("CSG4.html#group42C4", "42C⁴"), =HYPERLINK("CSG5.html#group42A5", "42A⁵"), =HYPERLINK("CSG6.html#group63A6", "63A⁶"), =HYPERLINK("CSG8.html#group84C8", "84C⁸"), =HYPERLINK("CSG10.html#group105A10", "105A¹⁰"), =HYPERLINK("CSG11.html#group21A11", "21A¹¹"), =HYPERLINK("CSG11.html#group105B11", "105B¹¹"), =HYPERLINK("CSG11.html#group147A11", "147A¹¹"), =HYPERLINK("CSG19.html#group105A19", "105A¹⁹"), =HYPERLINK("CSG22.html#group231A22", "231A²²"), =HYPERLINK("CSG23.html#group231A23", "231A²³")</f>
        <v/>
      </c>
      <c r="M355">
        <f>HYPERLINK("CSG0.html#group3A0", "3A⁰"), =HYPERLINK("CSG0.html#group1A0", "1A⁰"), =HYPERLINK("CSG0.html#group7B0", "7B⁰")</f>
        <v/>
      </c>
      <c r="N355">
        <f>HYPERLINK("CSG23.html#group168D23", "168D²³"), =HYPERLINK("CSG21.html#group84C21", "84C²¹"), =HYPERLINK("CSG19.html#group42Q19", "42Q¹⁹"), =HYPERLINK("CSG10.html#group42G10", "42G¹⁰"), =HYPERLINK("CSG21.html#group84B21", "84B²¹"), =HYPERLINK("CSG19.html#group42P19", "42P¹⁹"), =HYPERLINK("CSG4.html#group21A4", "21A⁴"), =HYPERLINK("CSG11.html#group147A11", "147A¹¹"), =HYPERLINK("CSG20.html#group84I20", "84I²⁰"), =HYPERLINK("CSG9.html#group63C9", "63C⁹"), =HYPERLINK("CSG20.html#group84J20", "84J²⁰"), =HYPERLINK("CSG22.html#group84E22", "84E²²"), =HYPERLINK("CSG8.html#group84A8", "84A⁸"), =HYPERLINK("CSG23.html#group168C23", "168C²³"), =HYPERLINK("CSG23.html#group126G23", "126G²³"), =HYPERLINK("CSG11.html#group63B11", "63B¹¹"), =HYPERLINK("CSG17.html#group63H17", "63H¹⁷"), =HYPERLINK("CSG21.html#group105D21", "105D²¹"), =HYPERLINK("CSG11.html#group21A11", "21A¹¹"), =HYPERLINK("CSG15.html#group84B15", "84B¹⁵"), =HYPERLINK("CSG19.html#group42R19", "42R¹⁹"), =HYPERLINK("CSG11.html#group84A11", "84A¹¹"), =HYPERLINK("CSG8.html#group84B8", "84B⁸"), =HYPERLINK("CSG22.html#group168B22", "168B²²"), =HYPERLINK("CSG21.html#group147A21", "147A²¹"), =HYPERLINK("CSG11.html#group84B11", "84B¹¹"), =HYPERLINK("CSG21.html#group105C21", "105C²¹"), =HYPERLINK("CSG15.html#group84F15", "84F¹⁵"), =HYPERLINK("CSG7.html#group42E7", "42E⁷"), =HYPERLINK("CSG13.html#group42F13", "42F¹³"), =HYPERLINK("CSG23.html#group126F23", "126F²³"), =HYPERLINK("CSG15.html#group84D15", "84D¹⁵"), =HYPERLINK("CSG19.html#group63I19", "63I¹⁹"), =HYPERLINK("CSG6.html#group63A6", "63A⁶"), =HYPERLINK("CSG12.html#group126D12", "126D¹²"), =HYPERLINK("CSG22.html#group84A22", "84A²²"), =HYPERLINK("CSG23.html#group126B23", "126B²³"), =HYPERLINK("CSG13.html#group42G13", "42G¹³"), =HYPERLINK("CSG10.html#group84C10", "84C¹⁰"), =HYPERLINK("CSG20.html#group210A20", "210A²⁰"), =HYPERLINK("CSG22.html#group231A22", "231A²²"), =HYPERLINK("CSG22.html#group84I22", "84I²²"), =HYPERLINK("CSG19.html#group84K19", "84K¹⁹"), =HYPERLINK("CSG16.html#group63B16", "63B¹⁶"), =HYPERLINK("CSG24.html#group252B24", "252B²⁴"), =HYPERLINK("CSG17.html#group126A17", "126A¹⁷"), =HYPERLINK("CSG10.html#group42E10", "42E¹⁰"), =HYPERLINK("CSG22.html#group168A22", "168A²²"), =HYPERLINK("CSG22.html#group84D22", "84D²²"), =HYPERLINK("CSG20.html#group168F20", "168F²⁰"), =HYPERLINK("CSG23.html#group210D23", "210D²³"), =HYPERLINK("CSG19.html#group84J19", "84J¹⁹"), =HYPERLINK("CSG23.html#group210E23", "210E²³"), =HYPERLINK("CSG21.html#group168B21", "168B²¹"), =HYPERLINK("CSG19.html#group105B19", "105B¹⁹"), =HYPERLINK("CSG8.html#group84C8", "84C⁸"), =HYPERLINK("CSG22.html#group84B22", "84B²²"), =HYPERLINK("CSG10.html#group42D10", "42D¹⁰"), =HYPERLINK("CSG10.html#group42H10", "42H¹⁰"), =HYPERLINK("CSG21.html#group105B21", "105B²¹"), =HYPERLINK("CSG12.html#group126C12", "126C¹²"), =HYPERLINK("CSG9.html#group21D9", "21D⁹"), =HYPERLINK("CSG16.html#group168B16", "168B¹⁶"), =HYPERLINK("CSG21.html#group126M21", "126M²¹"), =HYPERLINK("CSG21.html#group168C21", "168C²¹"), =HYPERLINK("CSG23.html#group210B23", "210B²³"), =HYPERLINK("CSG7.html#group42D7", "42D⁷"), =HYPERLINK("CSG19.html#group105A19", "105A¹⁹"), =HYPERLINK("CSG21.html#group21B21", "21B²¹"), =HYPERLINK("CSG24.html#group252D24", "252D²⁴"), =HYPERLINK("CSG19.html#group63O19", "63O¹⁹"), =HYPERLINK("CSG23.html#group126C23", "126C²³"), =HYPERLINK("CSG19.html#group42O19", "42O¹⁹"), =HYPERLINK("CSG21.html#group126N21", "126N²¹"), =HYPERLINK("CSG20.html#group168E20", "168E²⁰"), =HYPERLINK("CSG17.html#group42I17", "42I¹⁷"), =HYPERLINK("CSG10.html#group105A10", "105A¹⁰"), =HYPERLINK("CSG3.html#group21A3", "21A³"), =HYPERLINK("CSG9.html#group42A9", "42A⁹"), =HYPERLINK("CSG23.html#group126A23", "126A²³"), =HYPERLINK("CSG20.html#group84K20", "84K²⁰"), =HYPERLINK("CSG22.html#group84G22", "84G²²"), =HYPERLINK("CSG15.html#group84C15", "84C¹⁵"), =HYPERLINK("CSG23.html#group126D23", "126D²³"), =HYPERLINK("CSG21.html#group126L21", "126L²¹"), =HYPERLINK("CSG22.html#group84J22", "84J²²"), =HYPERLINK("CSG10.html#group84B10", "84B¹⁰"), =HYPERLINK("CSG23.html#group231A23", "231A²³"), =HYPERLINK("CSG5.html#group42A5", "42A⁵"), =HYPERLINK("CSG23.html#group126H23", "126H²³"), =HYPERLINK("CSG16.html#group63A16", "63A¹⁶"), =HYPERLINK("CSG21.html#group84D21", "84D²¹"), =HYPERLINK("CSG23.html#group210A23", "210A²³"), =HYPERLINK("CSG15.html#group84A15", "84A¹⁵"), =HYPERLINK("CSG23.html#group126I23", "126I²³"), =HYPERLINK("CSG11.html#group105B11", "105B¹¹"), =HYPERLINK("CSG16.html#group168A16", "168A¹⁶"), =HYPERLINK("CSG22.html#group84F22", "84F²²"), =HYPERLINK("CSG12.html#group126A12", "126A¹²"), =HYPERLINK("CSG19.html#group42N19", "42N¹⁹"), =HYPERLINK("CSG21.html#group84A21", "84A²¹"), =HYPERLINK("CSG23.html#group168B23", "168B²³"), =HYPERLINK("CSG23.html#group126E23", "126E²³"), =HYPERLINK("CSG10.html#group42I10", "42I¹⁰"), =HYPERLINK("CSG23.html#group168A23", "168A²³"), =HYPERLINK("CSG21.html#group63B21", "63B²¹"), =HYPERLINK("CSG24.html#group252A24", "252A²⁴"), =HYPERLINK("CSG4.html#group42C4", "42C⁴"), =HYPERLINK("CSG20.html#group84L20", "84L²⁰"), =HYPERLINK("CSG24.html#group252C24", "252C²⁴"), =HYPERLINK("CSG20.html#group210B20", "210B²⁰"), =HYPERLINK("CSG22.html#group168C22", "168C²²"), =HYPERLINK("CSG7.html#group21B7", "21B⁷"), =HYPERLINK("CSG13.html#group42H13", "42H¹³"), =HYPERLINK("CSG22.html#group168D22", "168D²²"), =HYPERLINK("CSG12.html#group126B12", "126B¹²"), =HYPERLINK("CSG4.html#group42B4", "42B⁴"), =HYPERLINK("CSG21.html#group84F21", "84F²¹"), =HYPERLINK("CSG21.html#group84E21", "84E²¹"), =HYPERLINK("CSG5.html#group21C5", "21C⁵"), =HYPERLINK("CSG21.html#group84H21", "84H²¹"), =HYPERLINK("CSG22.html#group84H22", "84H²²"), =HYPERLINK("CSG11.html#group63A11", "63A¹¹"), =HYPERLINK("CSG15.html#group84E15", "84E¹⁵"), =HYPERLINK("CSG17.html#group63D17", "63D¹⁷"), =HYPERLINK("CSG21.html#group63A21", "63A²¹"), =HYPERLINK("CSG11.html#group63C11", "63C¹¹"), =HYPERLINK("CSG13.html#group21C13", "21C¹³")</f>
        <v/>
      </c>
    </row>
    <row r="356">
      <c r="A356" t="inlineStr">
        <is>
          <t>21B²</t>
        </is>
      </c>
      <c r="B356" t="inlineStr"/>
      <c r="C356" t="inlineStr">
        <is>
          <t>28</t>
        </is>
      </c>
      <c r="D356" t="inlineStr">
        <is>
          <t>2</t>
        </is>
      </c>
      <c r="E356" t="inlineStr">
        <is>
          <t>28</t>
        </is>
      </c>
      <c r="F356" t="inlineStr">
        <is>
          <t>0</t>
        </is>
      </c>
      <c r="G356" t="inlineStr">
        <is>
          <t>1</t>
        </is>
      </c>
      <c r="H356" t="inlineStr">
        <is>
          <t>7¹, 21¹</t>
        </is>
      </c>
      <c r="I356" t="n">
        <v>2</v>
      </c>
      <c r="J356" t="inlineStr">
        <is>
          <t>2², 4¹, 6⁴, 12²</t>
        </is>
      </c>
      <c r="K356">
        <f>HYPERLINK("CSG0.html#group3B0", "3B⁰"), =HYPERLINK("CSG0.html#group7A0", "7A⁰")</f>
        <v/>
      </c>
      <c r="L356">
        <f>HYPERLINK("CSG3.html#group21B3", "21B³"), =HYPERLINK("CSG4.html#group42D4", "42D⁴"), =HYPERLINK("CSG4.html#group42E4", "42E⁴"), =HYPERLINK("CSG5.html#group21A5", "21A⁵"), =HYPERLINK("CSG6.html#group21A6", "21A⁶"), =HYPERLINK("CSG6.html#group21B6", "21B⁶"), =HYPERLINK("CSG6.html#group42C6", "42C⁶"), =HYPERLINK("CSG6.html#group63B6", "63B⁶"), =HYPERLINK("CSG6.html#group63C6", "63C⁶"), =HYPERLINK("CSG7.html#group63A7", "63A⁷"), =HYPERLINK("CSG9.html#group84A9", "84A⁹"), =HYPERLINK("CSG11.html#group105A11", "105A¹¹"), =HYPERLINK("CSG13.html#group105A13", "105A¹³"), =HYPERLINK("CSG22.html#group105A22", "105A²²")</f>
        <v/>
      </c>
      <c r="M356">
        <f>HYPERLINK("CSG0.html#group3B0", "3B⁰"), =HYPERLINK("CSG0.html#group1A0", "1A⁰"), =HYPERLINK("CSG0.html#group7A0", "7A⁰")</f>
        <v/>
      </c>
      <c r="N356">
        <f>HYPERLINK("CSG22.html#group105A22", "105A²²"), =HYPERLINK("CSG21.html#group21C21", "21C²¹"), =HYPERLINK("CSG18.html#group63E18", "63E¹⁸"), =HYPERLINK("CSG19.html#group63C19", "63C¹⁹"), =HYPERLINK("CSG24.html#group126A24", "126A²⁴"), =HYPERLINK("CSG12.html#group42B12", "42B¹²"), =HYPERLINK("CSG15.html#group42B15", "42B¹⁵"), =HYPERLINK("CSG18.html#group168C18", "168C¹⁸"), =HYPERLINK("CSG7.html#group42F7", "42F⁷"), =HYPERLINK("CSG20.html#group189B20", "189B²⁰"), =HYPERLINK("CSG6.html#group63B6", "63B⁶"), =HYPERLINK("CSG19.html#group189A19", "189A¹⁹"), =HYPERLINK("CSG20.html#group126D20", "126D²⁰"), =HYPERLINK("CSG13.html#group126B13", "126B¹³"), =HYPERLINK("CSG23.html#group42H23", "42H²³"), =HYPERLINK("CSG9.html#group84A9", "84A⁹"), =HYPERLINK("CSG17.html#group84B17", "84B¹⁷"), =HYPERLINK("CSG6.html#group63C6", "63C⁶"), =HYPERLINK("CSG22.html#group210A22", "210A²²"), =HYPERLINK("CSG6.html#group42C6", "42C⁶"), =HYPERLINK("CSG19.html#group63F19", "63F¹⁹"), =HYPERLINK("CSG18.html#group168B18", "168B¹⁸"), =HYPERLINK("CSG21.html#group42C21", "42C²¹"), =HYPERLINK("CSG19.html#group63A19", "63A¹⁹"), =HYPERLINK("CSG20.html#group189A20", "189A²⁰"), =HYPERLINK("CSG12.html#group42C12", "42C¹²"), =HYPERLINK("CSG15.html#group84G15", "84G¹⁵"), =HYPERLINK("CSG14.html#group126A14", "126A¹⁴"), =HYPERLINK("CSG11.html#group63D11", "63D¹¹"), =HYPERLINK("CSG21.html#group105A21", "105A²¹"), =HYPERLINK("CSG20.html#group63A20", "63A²⁰"), =HYPERLINK("CSG3.html#group21B3", "21B³"), =HYPERLINK("CSG8.html#group84D8", "84D⁸"), =HYPERLINK("CSG12.html#group126G12", "126G¹²"), =HYPERLINK("CSG16.html#group63C16", "63C¹⁶"), =HYPERLINK("CSG13.html#group42C13", "42C¹³"), =HYPERLINK("CSG21.html#group21A21", "21A²¹"), =HYPERLINK("CSG22.html#group210B22", "210B²²"), =HYPERLINK("CSG10.html#group63A10", "63A¹⁰"), =HYPERLINK("CSG18.html#group168D18", "168D¹⁸"), =HYPERLINK("CSG11.html#group42D11", "42D¹¹"), =HYPERLINK("CSG10.html#group21B10", "21B¹⁰"), =HYPERLINK("CSG5.html#group21A5", "21A⁵"), =HYPERLINK("CSG12.html#group63A12", "63A¹²"), =HYPERLINK("CSG19.html#group189B19", "189B¹⁹"), =HYPERLINK("CSG21.html#group42D21", "42D²¹"), =HYPERLINK("CSG16.html#group42A16", "42A¹⁶"), =HYPERLINK("CSG12.html#group42G12", "42G¹²"), =HYPERLINK("CSG13.html#group126A13", "126A¹³"), =HYPERLINK("CSG18.html#group42B18", "42B¹⁸"), =HYPERLINK("CSG12.html#group42D12", "42D¹²"), =HYPERLINK("CSG19.html#group63B19", "63B¹⁹"), =HYPERLINK("CSG16.html#group21A16", "21A¹⁶"), =HYPERLINK("CSG24.html#group63A24", "63A²⁴"), =HYPERLINK("CSG23.html#group126K23", "126K²³"), =HYPERLINK("CSG24.html#group84D24", "84D²⁴"), =HYPERLINK("CSG23.html#group42G23", "42G²³"), =HYPERLINK("CSG12.html#group126E12", "126E¹²"), =HYPERLINK("CSG13.html#group126C13", "126C¹³"), =HYPERLINK("CSG23.html#group126J23", "126J²³"), =HYPERLINK("CSG13.html#group84C13", "84C¹³"), =HYPERLINK("CSG12.html#group84B12", "84B¹²"), =HYPERLINK("CSG18.html#group168A18", "168A¹⁸"), =HYPERLINK("CSG13.html#group42B13", "42B¹³"), =HYPERLINK("CSG13.html#group63A13", "63A¹³"), =HYPERLINK("CSG24.html#group42B24", "42B²⁴"), =HYPERLINK("CSG17.html#group84C17", "84C¹⁷"), =HYPERLINK("CSG15.html#group42A15", "42A¹⁵"), =HYPERLINK("CSG24.html#group252E24", "252E²⁴"), =HYPERLINK("CSG24.html#group84B24", "84B²⁴"), =HYPERLINK("CSG8.html#group84E8", "84E⁸"), =HYPERLINK("CSG6.html#group21B6", "21B⁶"), =HYPERLINK("CSG7.html#group63A7", "63A⁷"), =HYPERLINK("CSG11.html#group63E11", "63E¹¹"), =HYPERLINK("CSG24.html#group84C24", "84C²⁴"), =HYPERLINK("CSG21.html#group189A21", "189A²¹"), =HYPERLINK("CSG13.html#group105A13", "105A¹³"), =HYPERLINK("CSG18.html#group189A18", "189A¹⁸"), =HYPERLINK("CSG24.html#group168B24", "168B²⁴"), =HYPERLINK("CSG11.html#group105A11", "105A¹¹"), =HYPERLINK("CSG24.html#group84A24", "84A²⁴"), =HYPERLINK("CSG4.html#group42D4", "42D⁴"), =HYPERLINK("CSG12.html#group126F12", "126F¹²"), =HYPERLINK("CSG13.html#group84B13", "84B¹³"), =HYPERLINK("CSG12.html#group42F12", "42F¹²"), =HYPERLINK("CSG9.html#group21C9", "21C⁹"), =HYPERLINK("CSG17.html#group84A17", "84A¹⁷"), =HYPERLINK("CSG23.html#group126L23", "126L²³"), =HYPERLINK("CSG13.html#group63B13", "63B¹³"), =HYPERLINK("CSG14.html#group126C14", "126C¹⁴"), =HYPERLINK("CSG21.html#group63C21", "63C²¹"), =HYPERLINK("CSG23.html#group42E23", "42E²³"), =HYPERLINK("CSG11.html#group21B11", "21B¹¹"), =HYPERLINK("CSG23.html#group42C23", "42C²³"), =HYPERLINK("CSG17.html#group21A17", "21A¹⁷"), =HYPERLINK("CSG9.html#group21A9", "21A⁹"), =HYPERLINK("CSG23.html#group42F23", "42F²³"), =HYPERLINK("CSG14.html#group126B14", "126B¹⁴"), =HYPERLINK("CSG11.html#group42C11", "42C¹¹"), =HYPERLINK("CSG12.html#group42E12", "42E¹²"), =HYPERLINK("CSG18.html#group63D18", "63D¹⁸"), =HYPERLINK("CSG24.html#group252F24", "252F²⁴"), =HYPERLINK("CSG6.html#group21A6", "21A⁶"), =HYPERLINK("CSG12.html#group84A12", "84A¹²"), =HYPERLINK("CSG23.html#group42I23", "42I²³"), =HYPERLINK("CSG18.html#group63A18", "63A¹⁸"), =HYPERLINK("CSG20.html#group126C20", "126C²⁰"), =HYPERLINK("CSG4.html#group42E4", "42E⁴"), =HYPERLINK("CSG24.html#group168A24", "168A²⁴"), =HYPERLINK("CSG23.html#group42D23", "42D²³"), =HYPERLINK("CSG18.html#group126F18", "126F¹⁸"), =HYPERLINK("CSG23.html#group84B23", "84B²³"), =HYPERLINK("CSG11.html#group21C11", "21C¹¹")</f>
        <v/>
      </c>
    </row>
    <row r="357">
      <c r="A357" t="inlineStr">
        <is>
          <t>21C²</t>
        </is>
      </c>
      <c r="B357" t="inlineStr"/>
      <c r="C357" t="inlineStr">
        <is>
          <t>42</t>
        </is>
      </c>
      <c r="D357" t="inlineStr">
        <is>
          <t>2</t>
        </is>
      </c>
      <c r="E357" t="inlineStr">
        <is>
          <t>7</t>
        </is>
      </c>
      <c r="F357" t="inlineStr">
        <is>
          <t>6</t>
        </is>
      </c>
      <c r="G357" t="inlineStr">
        <is>
          <t>0</t>
        </is>
      </c>
      <c r="H357" t="inlineStr">
        <is>
          <t>21²</t>
        </is>
      </c>
      <c r="I357" t="n">
        <v>2</v>
      </c>
      <c r="J357" t="inlineStr">
        <is>
          <t>2¹, 6²</t>
        </is>
      </c>
      <c r="K357">
        <f>HYPERLINK("CSG0.html#group7C0", "7C⁰"), =HYPERLINK("CSG0.html#group21A0", "21A⁰")</f>
        <v/>
      </c>
      <c r="L357">
        <f>HYPERLINK("CSG4.html#group21E4", "21E⁴"), =HYPERLINK("CSG5.html#group21B5", "21B⁵"), =HYPERLINK("CSG5.html#group42F5", "42F⁵"), =HYPERLINK("CSG7.html#group42A7", "42A⁷"), =HYPERLINK("CSG8.html#group42A8", "42A⁸"), =HYPERLINK("CSG8.html#group63A8", "63A⁸"), =HYPERLINK("CSG11.html#group21A11", "21A¹¹"), =HYPERLINK("CSG11.html#group84D11", "84D¹¹"), =HYPERLINK("CSG16.html#group105A16", "105A¹⁶"), =HYPERLINK("CSG17.html#group105A17", "105A¹⁷")</f>
        <v/>
      </c>
      <c r="M357">
        <f>HYPERLINK("CSG0.html#group21A0", "21A⁰"), =HYPERLINK("CSG0.html#group3A0", "3A⁰"), =HYPERLINK("CSG0.html#group1A0", "1A⁰"), =HYPERLINK("CSG0.html#group7C0", "7C⁰"), =HYPERLINK("CSG0.html#group7A0", "7A⁰")</f>
        <v/>
      </c>
      <c r="N357">
        <f>HYPERLINK("CSG5.html#group42F5", "42F⁵"), =HYPERLINK("CSG21.html#group21B21", "21B²¹"), =HYPERLINK("CSG16.html#group105A16", "105A¹⁶"), =HYPERLINK("CSG17.html#group84G17", "84G¹⁷"), =HYPERLINK("CSG17.html#group63A17", "63A¹⁷"), =HYPERLINK("CSG8.html#group42A8", "42A⁸"), =HYPERLINK("CSG17.html#group63B17", "63B¹⁷"), =HYPERLINK("CSG13.html#group21B13", "21B¹³"), =HYPERLINK("CSG13.html#group42J13", "42J¹³"), =HYPERLINK("CSG8.html#group63A8", "63A⁸"), =HYPERLINK("CSG19.html#group126E19", "126E¹⁹"), =HYPERLINK("CSG22.html#group63B22", "63B²²"), =HYPERLINK("CSG13.html#group42I13", "42I¹³"), =HYPERLINK("CSG11.html#group21A11", "21A¹¹"), =HYPERLINK("CSG17.html#group63C17", "63C¹⁷"), =HYPERLINK("CSG23.html#group84E23", "84E²³"), =HYPERLINK("CSG19.html#group42F19", "42F¹⁹"), =HYPERLINK("CSG17.html#group84D17", "84D¹⁷"), =HYPERLINK("CSG19.html#group42G19", "42G¹⁹"), =HYPERLINK("CSG21.html#group126C21", "126C²¹"), =HYPERLINK("CSG17.html#group126C17", "126C¹⁷"), =HYPERLINK("CSG13.html#group21A13", "21A¹³"), =HYPERLINK("CSG17.html#group105A17", "105A¹⁷"), =HYPERLINK("CSG11.html#group21B11", "21B¹¹"), =HYPERLINK("CSG19.html#group84A19", "84A¹⁹"), =HYPERLINK("CSG22.html#group42C22", "42C²²"), =HYPERLINK("CSG5.html#group21B5", "21B⁵"), =HYPERLINK("CSG19.html#group126A19", "126A¹⁹"), =HYPERLINK("CSG11.html#group21D11", "21D¹¹"), =HYPERLINK("CSG15.html#group42F15", "42F¹⁵"), =HYPERLINK("CSG17.html#group126D17", "126D¹⁷"), =HYPERLINK("CSG19.html#group84F19", "84F¹⁹"), =HYPERLINK("CSG11.html#group84D11", "84D¹¹"), =HYPERLINK("CSG13.html#group42E13", "42E¹³"), =HYPERLINK("CSG17.html#group42C17", "42C¹⁷"), =HYPERLINK("CSG11.html#group42B11", "42B¹¹"), =HYPERLINK("CSG17.html#group42G17", "42G¹⁷"), =HYPERLINK("CSG19.html#group63E19", "63E¹⁹"), =HYPERLINK("CSG7.html#group42A7", "42A⁷"), =HYPERLINK("CSG19.html#group63D19", "63D¹⁹"), =HYPERLINK("CSG19.html#group42J19", "42J¹⁹"), =HYPERLINK("CSG4.html#group21E4", "21E⁴")</f>
        <v/>
      </c>
    </row>
    <row r="358">
      <c r="A358" t="inlineStr">
        <is>
          <t>21D²</t>
        </is>
      </c>
      <c r="B358" t="inlineStr"/>
      <c r="C358" t="inlineStr">
        <is>
          <t>42</t>
        </is>
      </c>
      <c r="D358" t="inlineStr">
        <is>
          <t>2</t>
        </is>
      </c>
      <c r="E358" t="inlineStr">
        <is>
          <t>21</t>
        </is>
      </c>
      <c r="F358" t="inlineStr">
        <is>
          <t>6</t>
        </is>
      </c>
      <c r="G358" t="inlineStr">
        <is>
          <t>0</t>
        </is>
      </c>
      <c r="H358" t="inlineStr">
        <is>
          <t>21²</t>
        </is>
      </c>
      <c r="I358" t="n">
        <v>2</v>
      </c>
      <c r="J358" t="inlineStr">
        <is>
          <t>2¹, 4¹, 6², 12²</t>
        </is>
      </c>
      <c r="K358">
        <f>HYPERLINK("CSG0.html#group3C0", "3C⁰"), =HYPERLINK("CSG0.html#group21A0", "21A⁰")</f>
        <v/>
      </c>
      <c r="L358">
        <f>HYPERLINK("CSG4.html#group21B4", "21B⁴"), =HYPERLINK("CSG4.html#group42F4", "42F⁴"), =HYPERLINK("CSG5.html#group21B5", "21B⁵"), =HYPERLINK("CSG5.html#group42E5", "42E⁵"), =HYPERLINK("CSG6.html#group21A6", "21A⁶"), =HYPERLINK("CSG6.html#group21C6", "21C⁶"), =HYPERLINK("CSG6.html#group42A6", "42A⁶"), =HYPERLINK("CSG6.html#group63E6", "63E⁶"), =HYPERLINK("CSG7.html#group42C7", "42C⁷"), =HYPERLINK("CSG8.html#group42C8", "42C⁸"), =HYPERLINK("CSG8.html#group63B8", "63B⁸"), =HYPERLINK("CSG9.html#group21B9", "21B⁹"), =HYPERLINK("CSG9.html#group63B9", "63B⁹"), =HYPERLINK("CSG9.html#group63A9", "63A⁹"), =HYPERLINK("CSG11.html#group84G11", "84G¹¹"), =HYPERLINK("CSG16.html#group105B16", "105B¹⁶"), =HYPERLINK("CSG17.html#group105C17", "105C¹⁷")</f>
        <v/>
      </c>
      <c r="M358">
        <f>HYPERLINK("CSG0.html#group21A0", "21A⁰"), =HYPERLINK("CSG0.html#group3C0", "3C⁰"), =HYPERLINK("CSG0.html#group3A0", "3A⁰"), =HYPERLINK("CSG0.html#group1A0", "1A⁰"), =HYPERLINK("CSG0.html#group7A0", "7A⁰")</f>
        <v/>
      </c>
      <c r="N358">
        <f>HYPERLINK("CSG19.html#group63C19", "63C¹⁹"), =HYPERLINK("CSG17.html#group21B17", "21B¹⁷"), =HYPERLINK("CSG18.html#group126E18", "126E¹⁸"), =HYPERLINK("CSG16.html#group105B16", "105B¹⁶"), =HYPERLINK("CSG15.html#group21B15", "21B¹⁵"), =HYPERLINK("CSG17.html#group42F17", "42F¹⁷"), =HYPERLINK("CSG11.html#group84G11", "84G¹¹"), =HYPERLINK("CSG12.html#group21A12", "21A¹²"), =HYPERLINK("CSG13.html#group21B13", "21B¹³"), =HYPERLINK("CSG16.html#group63D16", "63D¹⁶"), =HYPERLINK("CSG19.html#group42E19", "42E¹⁹"), =HYPERLINK("CSG15.html#group126F15", "126F¹⁵"), =HYPERLINK("CSG18.html#group126J18", "126J¹⁸"), =HYPERLINK("CSG18.html#group63C18", "63C¹⁸"), =HYPERLINK("CSG20.html#group63A20", "63A²⁰"), =HYPERLINK("CSG17.html#group42H17", "42H¹⁷"), =HYPERLINK("CSG18.html#group63G18", "63G¹⁸"), =HYPERLINK("CSG18.html#group126A18", "126A¹⁸"), =HYPERLINK("CSG13.html#group42D13", "42D¹³"), =HYPERLINK("CSG13.html#group42C13", "42C¹³"), =HYPERLINK("CSG21.html#group126A21", "126A²¹"), =HYPERLINK("CSG21.html#group21A21", "21A²¹"), =HYPERLINK("CSG21.html#group126G21", "126G²¹"), =HYPERLINK("CSG5.html#group21B5", "21B⁵"), =HYPERLINK("CSG15.html#group42C15", "42C¹⁵"), =HYPERLINK("CSG21.html#group126B21", "126B²¹"), =HYPERLINK("CSG23.html#group84D23", "84D²³"), =HYPERLINK("CSG24.html#group63C24", "63C²⁴"), =HYPERLINK("CSG17.html#group42E17", "42E¹⁷"), =HYPERLINK("CSG16.html#group84C16", "84C¹⁶"), =HYPERLINK("CSG17.html#group42C17", "42C¹⁷"), =HYPERLINK("CSG11.html#group42B11", "42B¹¹"), =HYPERLINK("CSG21.html#group84N21", "84N²¹"), =HYPERLINK("CSG6.html#group21C6", "21C⁶"), =HYPERLINK("CSG14.html#group42A14", "42A¹⁴"), =HYPERLINK("CSG17.html#group84F17", "84F¹⁷"), =HYPERLINK("CSG20.html#group84D20", "84D²⁰"), =HYPERLINK("CSG17.html#group126H17", "126H¹⁷"), =HYPERLINK("CSG18.html#group42B18", "42B¹⁸"), =HYPERLINK("CSG19.html#group63E19", "63E¹⁹"), =HYPERLINK("CSG16.html#group21A16", "21A¹⁶"), =HYPERLINK("CSG18.html#group126D18", "126D¹⁸"), =HYPERLINK("CSG18.html#group42A18", "42A¹⁸"), =HYPERLINK("CSG19.html#group84G19", "84G¹⁹"), =HYPERLINK("CSG9.html#group21B9", "21B⁹"), =HYPERLINK("CSG20.html#group126E20", "126E²⁰"), =HYPERLINK("CSG18.html#group126K18", "126K¹⁸"), =HYPERLINK("CSG18.html#group63B18", "63B¹⁸"), =HYPERLINK("CSG4.html#group42F4", "42F⁴"), =HYPERLINK("CSG21.html#group21B21", "21B²¹"), =HYPERLINK("CSG13.html#group42B13", "42B¹³"), =HYPERLINK("CSG6.html#group63E6", "63E⁶"), =HYPERLINK("CSG24.html#group42C24", "42C²⁴"), =HYPERLINK("CSG17.html#group63A17", "63A¹⁷"), =HYPERLINK("CSG17.html#group105C17", "105C¹⁷"), =HYPERLINK("CSG17.html#group63B17", "63B¹⁷"), =HYPERLINK("CSG21.html#group126H21", "126H²¹"), =HYPERLINK("CSG14.html#group63B14", "63B¹⁴"), =HYPERLINK("CSG18.html#group84B18", "84B¹⁸"), =HYPERLINK("CSG19.html#group126D19", "126D¹⁹"), =HYPERLINK("CSG6.html#group42A6", "42A⁶"), =HYPERLINK("CSG5.html#group42E5", "42E⁵"), =HYPERLINK("CSG17.html#group63C17", "63C¹⁷"), =HYPERLINK("CSG16.html#group42C16", "42C¹⁶"), =HYPERLINK("CSG19.html#group126C19", "126C¹⁹"), =HYPERLINK("CSG22.html#group63A22", "63A²²"), =HYPERLINK("CSG19.html#group84D19", "84D¹⁹"), =HYPERLINK("CSG4.html#group21B4", "21B⁴"), =HYPERLINK("CSG8.html#group63B8", "63B⁸"), =HYPERLINK("CSG12.html#group126J12", "126J¹²"), =HYPERLINK("CSG17.html#group84H17", "84H¹⁷"), =HYPERLINK("CSG9.html#group63A9", "63A⁹"), =HYPERLINK("CSG18.html#group63F18", "63F¹⁸"), =HYPERLINK("CSG11.html#group21B11", "21B¹¹"), =HYPERLINK("CSG16.html#group42E16", "42E¹⁶"), =HYPERLINK("CSG18.html#group126G18", "126G¹⁸"), =HYPERLINK("CSG16.html#group63E16", "63E¹⁶"), =HYPERLINK("CSG20.html#group126B20", "126B²⁰"), =HYPERLINK("CSG16.html#group42D16", "42D¹⁶"), =HYPERLINK("CSG9.html#group63B9", "63B⁹"), =HYPERLINK("CSG6.html#group21A6", "21A⁶"), =HYPERLINK("CSG13.html#group42E13", "42E¹³"), =HYPERLINK("CSG21.html#group42B21", "42B²¹"), =HYPERLINK("CSG17.html#group126E17", "126E¹⁷"), =HYPERLINK("CSG18.html#group42C18", "42C¹⁸"), =HYPERLINK("CSG19.html#group42L19", "42L¹⁹"), =HYPERLINK("CSG23.html#group84C23", "84C²³"), =HYPERLINK("CSG14.html#group21A14", "21A¹⁴"), =HYPERLINK("CSG18.html#group63A18", "63A¹⁸"), =HYPERLINK("CSG11.html#group84F11", "84F¹¹"), =HYPERLINK("CSG23.html#group84A23", "84A²³"), =HYPERLINK("CSG9.html#group42C9", "42C⁹"), =HYPERLINK("CSG19.html#group63D19", "63D¹⁹"), =HYPERLINK("CSG19.html#group126B19", "126B¹⁹"), =HYPERLINK("CSG20.html#group126A20", "126A²⁰"), =HYPERLINK("CSG8.html#group42C8", "42C⁸"), =HYPERLINK("CSG21.html#group42A21", "42A²¹"), =HYPERLINK("CSG18.html#group84A18", "84A¹⁸"), =HYPERLINK("CSG7.html#group42C7", "42C⁷"), =HYPERLINK("CSG11.html#group84E11", "84E¹¹")</f>
        <v/>
      </c>
    </row>
    <row r="359">
      <c r="A359" t="inlineStr">
        <is>
          <t>22A²</t>
        </is>
      </c>
      <c r="B359" t="inlineStr"/>
      <c r="C359" t="inlineStr">
        <is>
          <t>24</t>
        </is>
      </c>
      <c r="D359" t="inlineStr">
        <is>
          <t>1</t>
        </is>
      </c>
      <c r="E359" t="inlineStr">
        <is>
          <t>12</t>
        </is>
      </c>
      <c r="F359" t="inlineStr">
        <is>
          <t>0</t>
        </is>
      </c>
      <c r="G359" t="inlineStr">
        <is>
          <t>0</t>
        </is>
      </c>
      <c r="H359" t="inlineStr">
        <is>
          <t>2¹, 22¹</t>
        </is>
      </c>
      <c r="I359" t="n">
        <v>2</v>
      </c>
      <c r="J359" t="inlineStr">
        <is>
          <t>1², 10¹</t>
        </is>
      </c>
      <c r="K359">
        <f>HYPERLINK("CSG0.html#group2A0", "2A⁰"), =HYPERLINK("CSG1.html#group11A1", "11A¹")</f>
        <v/>
      </c>
      <c r="L359">
        <f>HYPERLINK("CSG4.html#group22A4", "22A⁴"), =HYPERLINK("CSG4.html#group44A4", "44A⁴"), =HYPERLINK("CSG6.html#group22A6", "22A⁶"), =HYPERLINK("CSG6.html#group66B6", "66B⁶"), =HYPERLINK("CSG6.html#group66C6", "66C⁶"), =HYPERLINK("CSG7.html#group44A7", "44A⁷"), =HYPERLINK("CSG7.html#group66B7", "66B⁷"), =HYPERLINK("CSG10.html#group110A10", "110A¹⁰"), =HYPERLINK("CSG11.html#group110C11", "110C¹¹"), =HYPERLINK("CSG14.html#group154B14", "154B¹⁴"), =HYPERLINK("CSG15.html#group154B15", "154B¹⁵"), =HYPERLINK("CSG17.html#group22A17", "22A¹⁷"), =HYPERLINK("CSG17.html#group242A17", "242A¹⁷"), =HYPERLINK("CSG19.html#group110B19", "110B¹⁹")</f>
        <v/>
      </c>
      <c r="M359">
        <f>HYPERLINK("CSG0.html#group2A0", "2A⁰"), =HYPERLINK("CSG0.html#group1A0", "1A⁰"), =HYPERLINK("CSG1.html#group11A1", "11A¹")</f>
        <v/>
      </c>
      <c r="N359">
        <f>HYPERLINK("CSG19.html#group88B19", "88B¹⁹"), =HYPERLINK("CSG19.html#group88G19", "88G¹⁹"), =HYPERLINK("CSG19.html#group110B19", "110B¹⁹"), =HYPERLINK("CSG15.html#group88B15", "88B¹⁵"), =HYPERLINK("CSG15.html#group132B15", "132B¹⁵"), =HYPERLINK("CSG15.html#group154B15", "154B¹⁵"), =HYPERLINK("CSG23.html#group198E23", "198E²³"), =HYPERLINK("CSG12.html#group132B12", "132B¹²"), =HYPERLINK("CSG21.html#group88C21", "88C²¹"), =HYPERLINK("CSG9.html#group44B9", "44B⁹"), =HYPERLINK("CSG15.html#group132A15", "132A¹⁵"), =HYPERLINK("CSG23.html#group198D23", "198D²³"), =HYPERLINK("CSG23.html#group220A23", "220A²³"), =HYPERLINK("CSG13.html#group44A13", "44A¹³"), =HYPERLINK("CSG8.html#group44A8", "44A⁸"), =HYPERLINK("CSG4.html#group44A4", "44A⁴"), =HYPERLINK("CSG19.html#group44B19", "44B¹⁹"), =HYPERLINK("CSG19.html#group44A19", "44A¹⁹"), =HYPERLINK("CSG20.html#group220A20", "220A²⁰"), =HYPERLINK("CSG16.html#group44A16", "44A¹⁶"), =HYPERLINK("CSG6.html#group66B6", "66B⁶"), =HYPERLINK("CSG6.html#group22A6", "22A⁶"), =HYPERLINK("CSG23.html#group132E23", "132E²³"), =HYPERLINK("CSG23.html#group132H23", "132H²³"), =HYPERLINK("CSG21.html#group198C21", "198C²¹"), =HYPERLINK("CSG18.html#group198B18", "198B¹⁸"), =HYPERLINK("CSG23.html#group132A23", "132A²³"), =HYPERLINK("CSG21.html#group110C21", "110C²¹"), =HYPERLINK("CSG19.html#group66B19", "66B¹⁹"), =HYPERLINK("CSG10.html#group110A10", "110A¹⁰"), =HYPERLINK("CSG23.html#group198C23", "198C²³"), =HYPERLINK("CSG15.html#group88A15", "88A¹⁵"), =HYPERLINK("CSG19.html#group88C19", "88C¹⁹"), =HYPERLINK("CSG19.html#group88H19", "88H¹⁹"), =HYPERLINK("CSG21.html#group198D21", "198D²¹"), =HYPERLINK("CSG14.html#group154B14", "154B¹⁴"), =HYPERLINK("CSG12.html#group132C12", "132C¹²"), =HYPERLINK("CSG4.html#group22A4", "22A⁴"), =HYPERLINK("CSG21.html#group66C21", "66C²¹"), =HYPERLINK("CSG17.html#group44D17", "44D¹⁷"), =HYPERLINK("CSG10.html#group44B10", "44B¹⁰"), =HYPERLINK("CSG16.html#group22A16", "22A¹⁶"), =HYPERLINK("CSG21.html#group66D21", "66D²¹"), =HYPERLINK("CSG21.html#group88D21", "88D²¹"), =HYPERLINK("CSG23.html#group132B23", "132B²³"), =HYPERLINK("CSG23.html#group198F23", "198F²³"), =HYPERLINK("CSG17.html#group22A17", "22A¹⁷"), =HYPERLINK("CSG11.html#group110C11", "110C¹¹"), =HYPERLINK("CSG12.html#group132A12", "132A¹²"), =HYPERLINK("CSG23.html#group132C23", "132C²³"), =HYPERLINK("CSG6.html#group66C6", "66C⁶"), =HYPERLINK("CSG11.html#group66C11", "66C¹¹"), =HYPERLINK("CSG7.html#group44A7", "44A⁷"), =HYPERLINK("CSG16.html#group66B16", "66B¹⁶"), =HYPERLINK("CSG17.html#group242A17", "242A¹⁷"), =HYPERLINK("CSG23.html#group220B23", "220B²³"), =HYPERLINK("CSG13.html#group66A13", "66A¹³"), =HYPERLINK("CSG7.html#group66B7", "66B⁷")</f>
        <v/>
      </c>
    </row>
    <row r="360">
      <c r="A360" t="inlineStr">
        <is>
          <t>22B²</t>
        </is>
      </c>
      <c r="B360" t="inlineStr"/>
      <c r="C360" t="inlineStr">
        <is>
          <t>33</t>
        </is>
      </c>
      <c r="D360" t="inlineStr">
        <is>
          <t>2</t>
        </is>
      </c>
      <c r="E360" t="inlineStr">
        <is>
          <t>33</t>
        </is>
      </c>
      <c r="F360" t="inlineStr">
        <is>
          <t>3</t>
        </is>
      </c>
      <c r="G360" t="inlineStr">
        <is>
          <t>0</t>
        </is>
      </c>
      <c r="H360" t="inlineStr">
        <is>
          <t>11¹, 22¹</t>
        </is>
      </c>
      <c r="I360" t="n">
        <v>2</v>
      </c>
      <c r="J360" t="inlineStr">
        <is>
          <t>2³, 10⁶</t>
        </is>
      </c>
      <c r="K360">
        <f>HYPERLINK("CSG0.html#group2B0", "2B⁰"), =HYPERLINK("CSG0.html#group11A0", "11A⁰")</f>
        <v/>
      </c>
      <c r="L360">
        <f>HYPERLINK("CSG4.html#group44C4", "44C⁴"), =HYPERLINK("CSG5.html#group22A5", "22A⁵"), =HYPERLINK("CSG5.html#group44A5", "44A⁵"), =HYPERLINK("CSG6.html#group66F6", "66F⁶"), =HYPERLINK("CSG9.html#group22B9", "22B⁹"), =HYPERLINK("CSG10.html#group22A10", "22A¹⁰"), =HYPERLINK("CSG10.html#group66A10", "66A¹⁰"), =HYPERLINK("CSG13.html#group110A13", "110A¹³"), =HYPERLINK("CSG14.html#group110B14", "110B¹⁴"), =HYPERLINK("CSG17.html#group22D17", "22D¹⁷"), =HYPERLINK("CSG17.html#group154A17", "154A¹⁷"), =HYPERLINK("CSG17.html#group154B17", "154B¹⁷"), =HYPERLINK("CSG21.html#group154A21", "154A²¹")</f>
        <v/>
      </c>
      <c r="M360">
        <f>HYPERLINK("CSG0.html#group11A0", "11A⁰"), =HYPERLINK("CSG0.html#group1A0", "1A⁰"), =HYPERLINK("CSG0.html#group2B0", "2B⁰")</f>
        <v/>
      </c>
      <c r="N360">
        <f>HYPERLINK("CSG20.html#group66A20", "66A²⁰"), =HYPERLINK("CSG10.html#group44A10", "44A¹⁰"), =HYPERLINK("CSG20.html#group88C20", "88C²⁰"), =HYPERLINK("CSG20.html#group176B20", "176B²⁰"), =HYPERLINK("CSG16.html#group132A16", "132A¹⁶"), =HYPERLINK("CSG21.html#group154A21", "154A²¹"), =HYPERLINK("CSG16.html#group176B16", "176B¹⁶"), =HYPERLINK("CSG20.html#group132B20", "132B²⁰"), =HYPERLINK("CSG21.html#group88B21", "88B²¹"), =HYPERLINK("CSG21.html#group88A21", "88A²¹"), =HYPERLINK("CSG12.html#group132F12", "132F¹²"), =HYPERLINK("CSG22.html#group22B22", "22B²²"), =HYPERLINK("CSG14.html#group110B14", "110B¹⁴"), =HYPERLINK("CSG10.html#group66A10", "66A¹⁰"), =HYPERLINK("CSG8.html#group88B8", "88B⁸"), =HYPERLINK("CSG9.html#group88A9", "88A⁹"), =HYPERLINK("CSG13.html#group66B13", "66B¹³"), =HYPERLINK("CSG20.html#group88D20", "88D²⁰"), =HYPERLINK("CSG5.html#group22A5", "22A⁵"), =HYPERLINK("CSG22.html#group44A22", "44A²²"), =HYPERLINK("CSG20.html#group88B20", "88B²⁰"), =HYPERLINK("CSG13.html#group132A13", "132A¹³"), =HYPERLINK("CSG21.html#group22C21", "22C²¹"), =HYPERLINK("CSG9.html#group44A9", "44A⁹"), =HYPERLINK("CSG21.html#group198E21", "198E²¹"), =HYPERLINK("CSG19.html#group176C19", "176C¹⁹"), =HYPERLINK("CSG10.html#group22A10", "22A¹⁰"), =HYPERLINK("CSG13.html#group110A13", "110A¹³"), =HYPERLINK("CSG21.html#group176A21", "176A²¹"), =HYPERLINK("CSG16.html#group66A16", "66A¹⁶"), =HYPERLINK("CSG19.html#group176B19", "176B¹⁹"), =HYPERLINK("CSG20.html#group88A20", "88A²⁰"), =HYPERLINK("CSG22.html#group44C22", "44C²²"), =HYPERLINK("CSG4.html#group44C4", "44C⁴"), =HYPERLINK("CSG24.html#group264C24", "264C²⁴"), =HYPERLINK("CSG18.html#group88A18", "88A¹⁸"), =HYPERLINK("CSG22.html#group176B22", "176B²²"), =HYPERLINK("CSG20.html#group176C20", "176C²⁰"), =HYPERLINK("CSG21.html#group44B21", "44B²¹"), =HYPERLINK("CSG10.html#group88A10", "88A¹⁰"), =HYPERLINK("CSG19.html#group176A19", "176A¹⁹"), =HYPERLINK("CSG5.html#group44A5", "44A⁵"), =HYPERLINK("CSG22.html#group176A22", "176A²²"), =HYPERLINK("CSG9.html#group22B9", "22B⁹"), =HYPERLINK("CSG22.html#group22A22", "22A²²"), =HYPERLINK("CSG18.html#group88B18", "88B¹⁸"), =HYPERLINK("CSG20.html#group176A20", "176A²⁰"), =HYPERLINK("CSG17.html#group154A17", "154A¹⁷"), =HYPERLINK("CSG17.html#group154B17", "154B¹⁷"), =HYPERLINK("CSG19.html#group88A19", "88A¹⁹"), =HYPERLINK("CSG11.html#group88A11", "88A¹¹"), =HYPERLINK("CSG20.html#group44A20", "44A²⁰"), =HYPERLINK("CSG15.html#group132D15", "132D¹⁵"), =HYPERLINK("CSG21.html#group132A21", "132A²¹"), =HYPERLINK("CSG14.html#group66A14", "66A¹⁴"), =HYPERLINK("CSG6.html#group66F6", "66F⁶"), =HYPERLINK("CSG17.html#group22D17", "22D¹⁷")</f>
        <v/>
      </c>
    </row>
    <row r="361">
      <c r="A361" t="inlineStr">
        <is>
          <t>22C²</t>
        </is>
      </c>
      <c r="B361" t="inlineStr">
        <is>
          <t>Γ₀(22)</t>
        </is>
      </c>
      <c r="C361" t="inlineStr">
        <is>
          <t>36</t>
        </is>
      </c>
      <c r="D361" t="inlineStr">
        <is>
          <t>1</t>
        </is>
      </c>
      <c r="E361" t="inlineStr">
        <is>
          <t>36</t>
        </is>
      </c>
      <c r="F361" t="inlineStr">
        <is>
          <t>0</t>
        </is>
      </c>
      <c r="G361" t="inlineStr">
        <is>
          <t>0</t>
        </is>
      </c>
      <c r="H361" t="inlineStr">
        <is>
          <t>1¹, 2¹, 11¹, 22¹</t>
        </is>
      </c>
      <c r="I361" t="n">
        <v>4</v>
      </c>
      <c r="J361" t="inlineStr">
        <is>
          <t>1⁶, 10³</t>
        </is>
      </c>
      <c r="K361">
        <f>HYPERLINK("CSG0.html#group2B0", "2B⁰"), =HYPERLINK("CSG1.html#group11A1", "11A¹")</f>
        <v/>
      </c>
      <c r="L361">
        <f>HYPERLINK("CSG4.html#group22A4", "22A⁴"), =HYPERLINK("CSG4.html#group44D4", "44D⁴"), =HYPERLINK("CSG5.html#group44B5", "44B⁵"), =HYPERLINK("CSG6.html#group22C6", "22C⁶"), =HYPERLINK("CSG8.html#group66A8", "66A⁸"), =HYPERLINK("CSG9.html#group66A9", "66A⁹"), =HYPERLINK("CSG14.html#group110A14", "110A¹⁴"), =HYPERLINK("CSG15.html#group110A15", "110A¹⁵"), =HYPERLINK("CSG20.html#group154A20", "154A²⁰"), =HYPERLINK("CSG21.html#group154B21", "154B²¹"), =HYPERLINK("CSG22.html#group22A22", "22A²²"), =HYPERLINK("CSG22.html#group242A22", "242A²²")</f>
        <v/>
      </c>
      <c r="M361">
        <f>HYPERLINK("CSG0.html#group1A0", "1A⁰"), =HYPERLINK("CSG1.html#group11A1", "11A¹"), =HYPERLINK("CSG0.html#group2B0", "2B⁰")</f>
        <v/>
      </c>
      <c r="N361">
        <f>HYPERLINK("CSG8.html#group66A8", "66A⁸"), =HYPERLINK("CSG19.html#group88G19", "88G¹⁹"), =HYPERLINK("CSG17.html#group66A17", "66A¹⁷"), =HYPERLINK("CSG17.html#group132B17", "132B¹⁷"), =HYPERLINK("CSG23.html#group176G23", "176G²³"), =HYPERLINK("CSG21.html#group88G21", "88G²¹"), =HYPERLINK("CSG21.html#group88C21", "88C²¹"), =HYPERLINK("CSG16.html#group44C16", "44C¹⁶"), =HYPERLINK("CSG19.html#group88D19", "88D¹⁹"), =HYPERLINK("CSG19.html#group176E19", "176E¹⁹"), =HYPERLINK("CSG19.html#group132D19", "132D¹⁹"), =HYPERLINK("CSG19.html#group176D19", "176D¹⁹"), =HYPERLINK("CSG19.html#group176F19", "176F¹⁹"), =HYPERLINK("CSG16.html#group66C16", "66C¹⁶"), =HYPERLINK("CSG21.html#group176B21", "176B²¹"), =HYPERLINK("CSG10.html#group88B10", "88B¹⁰"), =HYPERLINK("CSG19.html#group88C19", "88C¹⁹"), =HYPERLINK("CSG15.html#group66A15", "66A¹⁵"), =HYPERLINK("CSG6.html#group22C6", "22C⁶"), =HYPERLINK("CSG5.html#group44B5", "44B⁵"), =HYPERLINK("CSG22.html#group88A22", "88A²²"), =HYPERLINK("CSG10.html#group44B10", "44B¹⁰"), =HYPERLINK("CSG16.html#group22A16", "22A¹⁶"), =HYPERLINK("CSG21.html#group88E21", "88E²¹"), =HYPERLINK("CSG17.html#group88A17", "88A¹⁷"), =HYPERLINK("CSG19.html#group132C19", "132C¹⁹"), =HYPERLINK("CSG21.html#group132C21", "132C²¹"), =HYPERLINK("CSG22.html#group242A22", "242A²²"), =HYPERLINK("CSG16.html#group66B16", "66B¹⁶"), =HYPERLINK("CSG16.html#group132C16", "132C¹⁶"), =HYPERLINK("CSG19.html#group66B19", "66B¹⁹"), =HYPERLINK("CSG21.html#group88H21", "88H²¹"), =HYPERLINK("CSG20.html#group88E20", "88E²⁰"), =HYPERLINK("CSG19.html#group88B19", "88B¹⁹"), =HYPERLINK("CSG20.html#group176D20", "176D²⁰"), =HYPERLINK("CSG23.html#group176D23", "176D²³"), =HYPERLINK("CSG11.html#group88B11", "88B¹¹"), =HYPERLINK("CSG21.html#group44C21", "44C²¹"), =HYPERLINK("CSG23.html#group176C23", "176C²³"), =HYPERLINK("CSG20.html#group154A20", "154A²⁰"), =HYPERLINK("CSG9.html#group44B9", "44B⁹"), =HYPERLINK("CSG4.html#group44D4", "44D⁴"), =HYPERLINK("CSG8.html#group44B8", "44B⁸"), =HYPERLINK("CSG23.html#group176B23", "176B²³"), =HYPERLINK("CSG8.html#group44A8", "44A⁸"), =HYPERLINK("CSG21.html#group88F21", "88F²¹"), =HYPERLINK("CSG19.html#group44B19", "44B¹⁹"), =HYPERLINK("CSG19.html#group44A19", "44A¹⁹"), =HYPERLINK("CSG21.html#group176C21", "176C²¹"), =HYPERLINK("CSG9.html#group66A9", "66A⁹"), =HYPERLINK("CSG23.html#group176F23", "176F²³"), =HYPERLINK("CSG16.html#group132B16", "132B¹⁶"), =HYPERLINK("CSG11.html#group88C11", "88C¹¹"), =HYPERLINK("CSG23.html#group176H23", "176H²³"), =HYPERLINK("CSG19.html#group88F19", "88F¹⁹"), =HYPERLINK("CSG17.html#group132A17", "132A¹⁷"), =HYPERLINK("CSG21.html#group154B21", "154B²¹"), =HYPERLINK("CSG10.html#group44C10", "44C¹⁰"), =HYPERLINK("CSG21.html#group132B21", "132B²¹"), =HYPERLINK("CSG19.html#group176G19", "176G¹⁹"), =HYPERLINK("CSG19.html#group88H19", "88H¹⁹"), =HYPERLINK("CSG14.html#group110A14", "110A¹⁴"), =HYPERLINK("CSG9.html#group88B9", "88B⁹"), =HYPERLINK("CSG4.html#group22A4", "22A⁴"), =HYPERLINK("CSG15.html#group110A15", "110A¹⁵"), =HYPERLINK("CSG17.html#group44D17", "44D¹⁷"), =HYPERLINK("CSG23.html#group176A23", "176A²³"), =HYPERLINK("CSG19.html#group66C19", "66C¹⁹"), =HYPERLINK("CSG22.html#group22A22", "22A²²"), =HYPERLINK("CSG8.html#group88C8", "88C⁸"), =HYPERLINK("CSG21.html#group88D21", "88D²¹"), =HYPERLINK("CSG22.html#group176C22", "176C²²"), =HYPERLINK("CSG19.html#group88E19", "88E¹⁹"), =HYPERLINK("CSG23.html#group176E23", "176E²³"), =HYPERLINK("CSG10.html#group88C10", "88C¹⁰")</f>
        <v/>
      </c>
    </row>
    <row r="362">
      <c r="A362" t="inlineStr">
        <is>
          <t>23A²</t>
        </is>
      </c>
      <c r="B362" t="inlineStr">
        <is>
          <t>Γ₀(23)</t>
        </is>
      </c>
      <c r="C362" t="inlineStr">
        <is>
          <t>24</t>
        </is>
      </c>
      <c r="D362" t="inlineStr">
        <is>
          <t>1</t>
        </is>
      </c>
      <c r="E362" t="inlineStr">
        <is>
          <t>24</t>
        </is>
      </c>
      <c r="F362" t="inlineStr">
        <is>
          <t>0</t>
        </is>
      </c>
      <c r="G362" t="inlineStr">
        <is>
          <t>0</t>
        </is>
      </c>
      <c r="H362" t="inlineStr">
        <is>
          <t>1¹, 23¹</t>
        </is>
      </c>
      <c r="I362" t="n">
        <v>2</v>
      </c>
      <c r="J362" t="inlineStr">
        <is>
          <t>1², 22¹</t>
        </is>
      </c>
      <c r="K362">
        <f>HYPERLINK("CSG0.html#group1A0", "1A⁰")</f>
        <v/>
      </c>
      <c r="L362">
        <f>HYPERLINK("CSG4.html#group46A4", "46A⁴"), =HYPERLINK("CSG5.html#group46A5", "46A⁵"), =HYPERLINK("CSG6.html#group69A6", "69A⁶"), =HYPERLINK("CSG7.html#group69A7", "69A⁷"), =HYPERLINK("CSG8.html#group92B8", "92B⁸"), =HYPERLINK("CSG10.html#group115A10", "115A¹⁰"), =HYPERLINK("CSG11.html#group115A11", "115A¹¹"), =HYPERLINK("CSG12.html#group23A12", "23A¹²"), =HYPERLINK("CSG14.html#group161A14", "161A¹⁴"), =HYPERLINK("CSG15.html#group161A15", "161A¹⁵"), =HYPERLINK("CSG19.html#group115A19", "115A¹⁹"), =HYPERLINK("CSG22.html#group253A22", "253A²²"), =HYPERLINK("CSG23.html#group253A23", "253A²³")</f>
        <v/>
      </c>
      <c r="M362">
        <f>HYPERLINK("CSG0.html#group1A0", "1A⁰")</f>
        <v/>
      </c>
      <c r="N362">
        <f>HYPERLINK("CSG10.html#group92A10", "92A¹⁰"), =HYPERLINK("CSG21.html#group138A21", "138A²¹"), =HYPERLINK("CSG21.html#group207A21", "207A²¹"), =HYPERLINK("CSG19.html#group115A19", "115A¹⁹"), =HYPERLINK("CSG7.html#group69A7", "69A⁷"), =HYPERLINK("CSG23.html#group138B23", "138B²³"), =HYPERLINK("CSG13.html#group69A13", "69A¹³"), =HYPERLINK("CSG18.html#group207A18", "207A¹⁸"), =HYPERLINK("CSG22.html#group92A22", "92A²²"), =HYPERLINK("CSG24.html#group276A24", "276A²⁴"), =HYPERLINK("CSG20.html#group92B20", "92B²⁰"), =HYPERLINK("CSG20.html#group230A20", "230A²⁰"), =HYPERLINK("CSG24.html#group276B24", "276B²⁴"), =HYPERLINK("CSG23.html#group184A23", "184A²³"), =HYPERLINK("CSG22.html#group184B22", "184B²²"), =HYPERLINK("CSG12.html#group138B12", "138B¹²"), =HYPERLINK("CSG23.html#group184B23", "184B²³"), =HYPERLINK("CSG12.html#group23A12", "23A¹²"), =HYPERLINK("CSG23.html#group207B23", "207B²³"), =HYPERLINK("CSG4.html#group46A4", "46A⁴"), =HYPERLINK("CSG17.html#group138A17", "138A¹⁷"), =HYPERLINK("CSG22.html#group92B22", "92B²²"), =HYPERLINK("CSG20.html#group92A20", "92A²⁰"), =HYPERLINK("CSG12.html#group138A12", "138A¹²"), =HYPERLINK("CSG11.html#group92A11", "92A¹¹"), =HYPERLINK("CSG24.html#group276D24", "276D²⁴"), =HYPERLINK("CSG23.html#group253A23", "253A²³"), =HYPERLINK("CSG20.html#group184A20", "184A²⁰"), =HYPERLINK("CSG5.html#group46A5", "46A⁵"), =HYPERLINK("CSG22.html#group253A22", "253A²²"), =HYPERLINK("CSG23.html#group230B23", "230B²³"), =HYPERLINK("CSG8.html#group92B8", "92B⁸"), =HYPERLINK("CSG12.html#group138C12", "138C¹²"), =HYPERLINK("CSG8.html#group92A8", "92A⁸"), =HYPERLINK("CSG21.html#group115A21", "115A²¹"), =HYPERLINK("CSG10.html#group46A10", "46A¹⁰"), =HYPERLINK("CSG15.html#group138B15", "138B¹⁵"), =HYPERLINK("CSG11.html#group69A11", "69A¹¹"), =HYPERLINK("CSG23.html#group230A23", "230A²³"), =HYPERLINK("CSG23.html#group138A23", "138A²³"), =HYPERLINK("CSG21.html#group69A21", "69A²¹"), =HYPERLINK("CSG24.html#group276C24", "276C²⁴"), =HYPERLINK("CSG21.html#group92A21", "92A²¹"), =HYPERLINK("CSG22.html#group184A22", "184A²²"), =HYPERLINK("CSG15.html#group92A15", "92A¹⁵"), =HYPERLINK("CSG6.html#group69A6", "69A⁶"), =HYPERLINK("CSG15.html#group161A15", "161A¹⁵"), =HYPERLINK("CSG23.html#group207A23", "207A²³"), =HYPERLINK("CSG21.html#group184A21", "184A²¹"), =HYPERLINK("CSG14.html#group161A14", "161A¹⁴"), =HYPERLINK("CSG10.html#group115A10", "115A¹⁰"), =HYPERLINK("CSG15.html#group138A15", "138A¹⁵"), =HYPERLINK("CSG16.html#group184A16", "184A¹⁶"), =HYPERLINK("CSG11.html#group115A11", "115A¹¹")</f>
        <v/>
      </c>
    </row>
    <row r="363">
      <c r="A363" t="inlineStr">
        <is>
          <t>24A²</t>
        </is>
      </c>
      <c r="B363" t="inlineStr"/>
      <c r="C363" t="inlineStr">
        <is>
          <t>32</t>
        </is>
      </c>
      <c r="D363" t="inlineStr">
        <is>
          <t>2</t>
        </is>
      </c>
      <c r="E363" t="inlineStr">
        <is>
          <t>16</t>
        </is>
      </c>
      <c r="F363" t="inlineStr">
        <is>
          <t>0</t>
        </is>
      </c>
      <c r="G363" t="inlineStr">
        <is>
          <t>2</t>
        </is>
      </c>
      <c r="H363" t="inlineStr">
        <is>
          <t>8¹, 24¹</t>
        </is>
      </c>
      <c r="I363" t="n">
        <v>2</v>
      </c>
      <c r="J363" t="inlineStr">
        <is>
          <t>4⁴, 8²</t>
        </is>
      </c>
      <c r="K363">
        <f>HYPERLINK("CSG0.html#group8A0", "8A⁰"), =HYPERLINK("CSG1.html#group12A1", "12A¹")</f>
        <v/>
      </c>
      <c r="L363">
        <f>HYPERLINK("CSG3.html#group24G3", "24G³"), =HYPERLINK("CSG4.html#group48A4", "48A⁴"), =HYPERLINK("CSG6.html#group24B6", "24B⁶"), =HYPERLINK("CSG6.html#group72A6", "72A⁶"), =HYPERLINK("CSG7.html#group24D7", "24D⁷"), =HYPERLINK("CSG7.html#group24F7", "24F⁷"), =HYPERLINK("CSG7.html#group72A7", "72A⁷"), =HYPERLINK("CSG8.html#group72A8", "72A⁸"), =HYPERLINK("CSG12.html#group120A12", "120A¹²"), =HYPERLINK("CSG15.html#group120D15", "120D¹⁵"), =HYPERLINK("CSG18.html#group168C18", "168C¹⁸"), =HYPERLINK("CSG18.html#group168D18", "168D¹⁸"), =HYPERLINK("CSG19.html#group168B19", "168B¹⁹")</f>
        <v/>
      </c>
      <c r="M363">
        <f>HYPERLINK("CSG0.html#group8A0", "8A⁰"), =HYPERLINK("CSG0.html#group3B0", "3B⁰"), =HYPERLINK("CSG0.html#group1A0", "1A⁰"), =HYPERLINK("CSG0.html#group4A0", "4A⁰"), =HYPERLINK("CSG1.html#group12A1", "12A¹")</f>
        <v/>
      </c>
      <c r="N363">
        <f>HYPERLINK("CSG21.html#group72Z21", "72Z²¹"), =HYPERLINK("CSG21.html#group72O21", "72O²¹"), =HYPERLINK("CSG15.html#group48D15", "48D¹⁵"), =HYPERLINK("CSG18.html#group168C18", "168C¹⁸"), =HYPERLINK("CSG11.html#group72J11", "72J¹¹"), =HYPERLINK("CSG21.html#group24B21", "24B²¹"), =HYPERLINK("CSG8.html#group72A8", "72A⁸"), =HYPERLINK("CSG7.html#group24D7", "24D⁷"), =HYPERLINK("CSG11.html#group72L11", "72L¹¹"), =HYPERLINK("CSG14.html#group48A14", "48A¹⁴"), =HYPERLINK("CSG22.html#group72D22", "72D²²"), =HYPERLINK("CSG23.html#group72F23", "72F²³"), =HYPERLINK("CSG22.html#group72C22", "72C²²"), =HYPERLINK("CSG23.html#group48C23", "48C²³"), =HYPERLINK("CSG11.html#group24F11", "24F¹¹"), =HYPERLINK("CSG7.html#group48L7", "48L⁷"), =HYPERLINK("CSG7.html#group72A7", "72A⁷"), =HYPERLINK("CSG22.html#group216A22", "216A²²"), =HYPERLINK("CSG15.html#group72B15", "72B¹⁵"), =HYPERLINK("CSG15.html#group144A15", "144A¹⁵"), =HYPERLINK("CSG22.html#group216B22", "216B²²"), =HYPERLINK("CSG11.html#group24B11", "24B¹¹"), =HYPERLINK("CSG11.html#group24G11", "24G¹¹"), =HYPERLINK("CSG23.html#group48A23", "48A²³"), =HYPERLINK("CSG6.html#group24B6", "24B⁶"), =HYPERLINK("CSG13.html#group72D13", "72D¹³"), =HYPERLINK("CSG13.html#group24I13", "24I¹³"), =HYPERLINK("CSG6.html#group72A6", "72A⁶"), =HYPERLINK("CSG20.html#group72C20", "72C²⁰"), =HYPERLINK("CSG23.html#group120L23", "120L²³"), =HYPERLINK("CSG7.html#group48K7", "48K⁷"), =HYPERLINK("CSG23.html#group144V23", "144V²³"), =HYPERLINK("CSG21.html#group72Y21", "72Y²¹"), =HYPERLINK("CSG18.html#group168D18", "168D¹⁸"), =HYPERLINK("CSG21.html#group216A21", "216A²¹"), =HYPERLINK("CSG13.html#group24B13", "24B¹³"), =HYPERLINK("CSG22.html#group72A22", "72A²²"), =HYPERLINK("CSG16.html#group144A16", "144A¹⁶"), =HYPERLINK("CSG23.html#group48D23", "48D²³"), =HYPERLINK("CSG24.html#group216A24", "216A²⁴"), =HYPERLINK("CSG3.html#group24G3", "24G³"), =HYPERLINK("CSG15.html#group120D15", "120D¹⁵"), =HYPERLINK("CSG11.html#group24D11", "24D¹¹"), =HYPERLINK("CSG22.html#group72B22", "72B²²"), =HYPERLINK("CSG19.html#group24J19", "24J¹⁹"), =HYPERLINK("CSG24.html#group240A24", "240A²⁴"), =HYPERLINK("CSG21.html#group24J21", "24J²¹"), =HYPERLINK("CSG23.html#group48B23", "48B²³"), =HYPERLINK("CSG23.html#group216A23", "216A²³"), =HYPERLINK("CSG12.html#group120A12", "120A¹²"), =HYPERLINK("CSG13.html#group48U13", "48U¹³"), =HYPERLINK("CSG21.html#group72R21", "72R²¹"), =HYPERLINK("CSG21.html#group24H21", "24H²¹"), =HYPERLINK("CSG12.html#group144A12", "144A¹²"), =HYPERLINK("CSG20.html#group216A20", "216A²⁰"), =HYPERLINK("CSG17.html#group48A17", "48A¹⁷"), =HYPERLINK("CSG15.html#group72D15", "72D¹⁵"), =HYPERLINK("CSG7.html#group24F7", "24F⁷"), =HYPERLINK("CSG23.html#group144U23", "144U²³"), =HYPERLINK("CSG19.html#group168B19", "168B¹⁹"), =HYPERLINK("CSG19.html#group72O19", "72O¹⁹"), =HYPERLINK("CSG4.html#group48A4", "48A⁴"), =HYPERLINK("CSG5.html#group24Q5", "24Q⁵"), =HYPERLINK("CSG13.html#group72B13", "72B¹³"), =HYPERLINK("CSG21.html#group24C21", "24C²¹"), =HYPERLINK("CSG21.html#group24G21", "24G²¹"), =HYPERLINK("CSG21.html#group24I21", "24I²¹")</f>
        <v/>
      </c>
    </row>
    <row r="364">
      <c r="A364" t="inlineStr">
        <is>
          <t>24B²</t>
        </is>
      </c>
      <c r="B364" t="inlineStr"/>
      <c r="C364" t="inlineStr">
        <is>
          <t>36</t>
        </is>
      </c>
      <c r="D364" t="inlineStr">
        <is>
          <t>1</t>
        </is>
      </c>
      <c r="E364" t="inlineStr">
        <is>
          <t>6</t>
        </is>
      </c>
      <c r="F364" t="inlineStr">
        <is>
          <t>0</t>
        </is>
      </c>
      <c r="G364" t="inlineStr">
        <is>
          <t>0</t>
        </is>
      </c>
      <c r="H364" t="inlineStr">
        <is>
          <t>3², 6¹, 24¹</t>
        </is>
      </c>
      <c r="I364" t="n">
        <v>4</v>
      </c>
      <c r="J364" t="inlineStr">
        <is>
          <t>1⁴, 2¹</t>
        </is>
      </c>
      <c r="K364">
        <f>HYPERLINK("CSG0.html#group8C0", "8C⁰"), =HYPERLINK("CSG1.html#group12B1", "12B¹")</f>
        <v/>
      </c>
      <c r="L364">
        <f>HYPERLINK("CSG3.html#group24L3", "24L³"), =HYPERLINK("CSG4.html#group24D4", "24D⁴"), =HYPERLINK("CSG4.html#group24F4", "24F⁴"), =HYPERLINK("CSG4.html#group24J4", "24J⁴"), =HYPERLINK("CSG4.html#group24M4", "24M⁴"), =HYPERLINK("CSG4.html#group48B4", "48B⁴"), =HYPERLINK("CSG4.html#group48D4", "48D⁴"), =HYPERLINK("CSG4.html#group48F4", "48F⁴"), =HYPERLINK("CSG4.html#group48G4", "48G⁴"), =HYPERLINK("CSG5.html#group48A5", "48A⁵"), =HYPERLINK("CSG5.html#group48B5", "48B⁵"), =HYPERLINK("CSG8.html#group72B8", "72B⁸"), =HYPERLINK("CSG14.html#group120A14", "120A¹⁴"), =HYPERLINK("CSG15.html#group120F15", "120F¹⁵"), =HYPERLINK("CSG20.html#group168B20", "168B²⁰"), =HYPERLINK("CSG21.html#group168B21", "168B²¹")</f>
        <v/>
      </c>
      <c r="M364">
        <f>HYPERLINK("CSG0.html#group3A0", "3A⁰"), =HYPERLINK("CSG0.html#group8C0", "8C⁰"), =HYPERLINK("CSG1.html#group12B1", "12B¹"), =HYPERLINK("CSG0.html#group2B0", "2B⁰"), =HYPERLINK("CSG0.html#group4B0", "4B⁰"), =HYPERLINK("CSG0.html#group1A0", "1A⁰"), =HYPERLINK("CSG0.html#group6D0", "6D⁰")</f>
        <v/>
      </c>
      <c r="N364">
        <f>HYPERLINK("CSG20.html#group168B20", "168B²⁰"), =HYPERLINK("CSG23.html#group192E23", "192E²³"), =HYPERLINK("CSG21.html#group72AB21", "72AB²¹"), =HYPERLINK("CSG18.html#group96A18", "96A¹⁸"), =HYPERLINK("CSG18.html#group48C18", "48C¹⁸"), =HYPERLINK("CSG21.html#group96U21", "96U²¹"), =HYPERLINK("CSG16.html#group72E16", "72E¹⁶"), =HYPERLINK("CSG17.html#group48G17", "48G¹⁷"), =HYPERLINK("CSG13.html#group48W13", "48W¹³"), =HYPERLINK("CSG9.html#group48AC9", "48AC⁹"), =HYPERLINK("CSG19.html#group48Q19", "48Q¹⁹"), =HYPERLINK("CSG18.html#group192B18", "192B¹⁸"), =HYPERLINK("CSG19.html#group48AX19", "48AX¹⁹"), =HYPERLINK("CSG21.html#group96W21", "96W²¹"), =HYPERLINK("CSG18.html#group48H18", "48H¹⁸"), =HYPERLINK("CSG17.html#group96L17", "96L¹⁷"), =HYPERLINK("CSG21.html#group96L21", "96L²¹"), =HYPERLINK("CSG5.html#group24R5", "24R⁵"), =HYPERLINK("CSG22.html#group96A22", "96A²²"), =HYPERLINK("CSG8.html#group48J8", "48J⁸"), =HYPERLINK("CSG21.html#group192A21", "192A²¹"), =HYPERLINK("CSG19.html#group96S19", "96S¹⁹"), =HYPERLINK("CSG9.html#group24AP9", "24AP⁹"), =HYPERLINK("CSG11.html#group96C11", "96C¹¹"), =HYPERLINK("CSG17.html#group96I17", "96I¹⁷"), =HYPERLINK("CSG23.html#group192K23", "192K²³"), =HYPERLINK("CSG15.html#group48F15", "48F¹⁵"), =HYPERLINK("CSG21.html#group96C21", "96C²¹"), =HYPERLINK("CSG21.html#group96E21", "96E²¹"), =HYPERLINK("CSG19.html#group48I19", "48I¹⁹"), =HYPERLINK("CSG17.html#group24J17", "24J¹⁷"), =HYPERLINK("CSG13.html#group24K13", "24K¹³"), =HYPERLINK("CSG21.html#group96Q21", "96Q²¹"), =HYPERLINK("CSG19.html#group96AW19", "96AW¹⁹"), =HYPERLINK("CSG19.html#group96N19", "96N¹⁹"), =HYPERLINK("CSG21.html#group96M21", "96M²¹"), =HYPERLINK("CSG16.html#group144H16", "144H¹⁶"), =HYPERLINK("CSG23.html#group192H23", "192H²³"), =HYPERLINK("CSG19.html#group48M19", "48M¹⁹"), =HYPERLINK("CSG19.html#group48O19", "48O¹⁹"), =HYPERLINK("CSG16.html#group144C16", "144C¹⁶"), =HYPERLINK("CSG13.html#group48Y13", "48Y¹³"), =HYPERLINK("CSG19.html#group48F19", "48F¹⁹"), =HYPERLINK("CSG14.html#group120A14", "120A¹⁴"), =HYPERLINK("CSG19.html#group48E19", "48E¹⁹"), =HYPERLINK("CSG9.html#group24I9", "24I⁹"), =HYPERLINK("CSG19.html#group96E19", "96E¹⁹"), =HYPERLINK("CSG8.html#group48C8", "48C⁸"), =HYPERLINK("CSG9.html#group48O9", "48O⁹"), =HYPERLINK("CSG19.html#group24G19", "24G¹⁹"), =HYPERLINK("CSG21.html#group48Q21", "48Q²¹"), =HYPERLINK("CSG9.html#group24C9", "24C⁹"), =HYPERLINK("CSG16.html#group72D16", "72D¹⁶"), =HYPERLINK("CSG11.html#group96D11", "96D¹¹"), =HYPERLINK("CSG21.html#group96K21", "96K²¹"), =HYPERLINK("CSG21.html#group96X21", "96X²¹"), =HYPERLINK("CSG17.html#group48AD17", "48AD¹⁷"), =HYPERLINK("CSG19.html#group48AP19", "48AP¹⁹"), =HYPERLINK("CSG17.html#group24X17", "24X¹⁷"), =HYPERLINK("CSG21.html#group96N21", "96N²¹"), =HYPERLINK("CSG23.html#group192J23", "192J²³"), =HYPERLINK("CSG16.html#group72F16", "72F¹⁶"), =HYPERLINK("CSG19.html#group96I19", "96I¹⁹"), =HYPERLINK("CSG21.html#group96I21", "96I²¹"), =HYPERLINK("CSG17.html#group48AA17", "48AA¹⁷"), =HYPERLINK("CSG17.html#group24F17", "24F¹⁷"), =HYPERLINK("CSG9.html#group96G9", "96G⁹"), =HYPERLINK("CSG19.html#group48A19", "48A¹⁹"), =HYPERLINK("CSG19.html#group48P19", "48P¹⁹"), =HYPERLINK("CSG15.html#group96P15", "96P¹⁵"), =HYPERLINK("CSG19.html#group48AW19", "48AW¹⁹"), =HYPERLINK("CSG7.html#group48R7", "48R⁷"), =HYPERLINK("CSG8.html#group48L8", "48L⁸"), =HYPERLINK("CSG16.html#group72K16", "72K¹⁶"), =HYPERLINK("CSG4.html#group24M4", "24M⁴"), =HYPERLINK("CSG13.html#group48Z13", "48Z¹³"), =HYPERLINK("CSG19.html#group96P19", "96P¹⁹"), =HYPERLINK("CSG15.html#group24D15", "24D¹⁵"), =HYPERLINK("CSG23.html#group192A23", "192A²³"), =HYPERLINK("CSG7.html#group48X7", "48X⁷"), =HYPERLINK("CSG17.html#group48H17", "48H¹⁷"), =HYPERLINK("CSG17.html#group144C17", "144C¹⁷"), =HYPERLINK("CSG4.html#group24F4", "24F⁴"), =HYPERLINK("CSG19.html#group48G19", "48G¹⁹"), =HYPERLINK("CSG18.html#group96C18", "96C¹⁸"), =HYPERLINK("CSG11.html#group96A11", "96A¹¹"), =HYPERLINK("CSG9.html#group96A9", "96A⁹"), =HYPERLINK("CSG19.html#group96K19", "96K¹⁹"), =HYPERLINK("CSG7.html#group24N7", "24N⁷"), =HYPERLINK("CSG17.html#group24H17", "24H¹⁷"), =HYPERLINK("CSG19.html#group96D19", "96D¹⁹"), =HYPERLINK("CSG8.html#group48Y8", "48Y⁸"), =HYPERLINK("CSG9.html#group48D9", "48D⁹"), =HYPERLINK("CSG21.html#group192B21", "192B²¹"), =HYPERLINK("CSG15.html#group96M15", "96M¹⁵"), =HYPERLINK("CSG4.html#group48B4", "48B⁴"), =HYPERLINK("CSG21.html#group96V21", "96V²¹"), =HYPERLINK("CSG9.html#group48A9", "48A⁹"), =HYPERLINK("CSG21.html#group96AR21", "96AR²¹"), =HYPERLINK("CSG9.html#group48AA9", "48AA⁹"), =HYPERLINK("CSG9.html#group48P9", "48P⁹"), =HYPERLINK("CSG17.html#group48B17", "48B¹⁷"), =HYPERLINK("CSG11.html#group96F11", "96F¹¹"), =HYPERLINK("CSG19.html#group48B19", "48B¹⁹"), =HYPERLINK("CSG15.html#group48N15", "48N¹⁵"), =HYPERLINK("CSG8.html#group24F8", "24F⁸"), =HYPERLINK("CSG8.html#group48D8", "48D⁸"), =HYPERLINK("CSG15.html#group48R15", "48R¹⁵"), =HYPERLINK("CSG15.html#group96N15", "96N¹⁵"), =HYPERLINK("CSG22.html#group192B22", "192B²²"), =HYPERLINK("CSG15.html#group24E15", "24E¹⁵"), =HYPERLINK("CSG19.html#group48N19", "48N¹⁹"), =HYPERLINK("CSG19.html#group192B19", "192B¹⁹"), =HYPERLINK("CSG19.html#group96H19", "96H¹⁹"), =HYPERLINK("CSG18.html#group48D18", "48D¹⁸"), =HYPERLINK("CSG19.html#group48H19", "48H¹⁹"), =HYPERLINK("CSG21.html#group96H21", "96H²¹"), =HYPERLINK("CSG21.html#group96D21", "96D²¹"), =HYPERLINK("CSG8.html#group48I8", "48I⁸"), =HYPERLINK("CSG17.html#group48W17", "48W¹⁷"), =HYPERLINK("CSG10.html#group48A10", "48A¹⁰"), =HYPERLINK("CSG19.html#group96Q19", "96Q¹⁹"), =HYPERLINK("CSG9.html#group48B9", "48B⁹"), =HYPERLINK("CSG15.html#group48Q15", "48Q¹⁵"), =HYPERLINK("CSG21.html#group96A21", "96A²¹"), =HYPERLINK("CSG7.html#group24T7", "24T⁷"), =HYPERLINK("CSG16.html#group72P16", "72P¹⁶"), =HYPERLINK("CSG19.html#group96G19", "96G¹⁹"), =HYPERLINK("CSG11.html#group72Q11", "72Q¹¹"), =HYPERLINK("CSG4.html#group48F4", "48F⁴"), =HYPERLINK("CSG16.html#group144D16", "144D¹⁶"), =HYPERLINK("CSG21.html#group96S21", "96S²¹"), =HYPERLINK("CSG7.html#group24J7", "24J⁷"), =HYPERLINK("CSG21.html#group192D21", "192D²¹"), =HYPERLINK("CSG17.html#group48Y17", "48Y¹⁷"), =HYPERLINK("CSG21.html#group48L21", "48L²¹"), =HYPERLINK("CSG17.html#group48BT17", "48BT¹⁷"), =HYPERLINK("CSG19.html#group48AA19", "48AA¹⁹"), =HYPERLINK("CSG17.html#group48E17", "48E¹⁷"), =HYPERLINK("CSG19.html#group24D19", "24D¹⁹"), =HYPERLINK("CSG17.html#group48AC17", "48AC¹⁷"), =HYPERLINK("CSG21.html#group96G21", "96G²¹"), =HYPERLINK("CSG15.html#group24G15", "24G¹⁵"), =HYPERLINK("CSG18.html#group192A18", "192A¹⁸"), =HYPERLINK("CSG17.html#group48J17", "48J¹⁷"), =HYPERLINK("CSG21.html#group96AQ21", "96AQ²¹"), =HYPERLINK("CSG15.html#group48E15", "48E¹⁵"), =HYPERLINK("CSG17.html#group24P17", "24P¹⁷"), =HYPERLINK("CSG13.html#group48V13", "48V¹³"), =HYPERLINK("CSG8.html#group48M8", "48M⁸"), =HYPERLINK("CSG17.html#group96M17", "96M¹⁷"), =HYPERLINK("CSG23.html#group192I23", "192I²³"), =HYPERLINK("CSG8.html#group24E8", "24E⁸"), =HYPERLINK("CSG9.html#group48G9", "48G⁹"), =HYPERLINK("CSG19.html#group96A19", "96A¹⁹"), =HYPERLINK("CSG9.html#group48F9", "48F⁹"), =HYPERLINK("CSG8.html#group96A8", "96A⁸"), =HYPERLINK("CSG21.html#group48F21", "48F²¹"), =HYPERLINK("CSG4.html#group48D4", "48D⁴"), =HYPERLINK("CSG5.html#group48B5", "48B⁵"), =HYPERLINK("CSG17.html#group144A17", "144A¹⁷"), =HYPERLINK("CSG5.html#group48A5", "48A⁵"), =HYPERLINK("CSG19.html#group96C19", "96C¹⁹"), =HYPERLINK("CSG9.html#group48E9", "48E⁹"), =HYPERLINK("CSG19.html#group24A19", "24A¹⁹"), =HYPERLINK("CSG13.html#group24N13", "24N¹³"), =HYPERLINK("CSG17.html#group48K17", "48K¹⁷"), =HYPERLINK("CSG8.html#group48K8", "48K⁸"), =HYPERLINK("CSG19.html#group96AX19", "96AX¹⁹"), =HYPERLINK("CSG4.html#group24J4", "24J⁴"), =HYPERLINK("CSG18.html#group48I18", "48I¹⁸"), =HYPERLINK("CSG21.html#group96F21", "96F²¹"), =HYPERLINK("CSG15.html#group120F15", "120F¹⁵"), =HYPERLINK("CSG4.html#group24D4", "24D⁴"), =HYPERLINK("CSG21.html#group168B21", "168B²¹"), =HYPERLINK("CSG19.html#group96R19", "96R¹⁹"), =HYPERLINK("CSG23.html#group192D23", "192D²³"), =HYPERLINK("CSG17.html#group48AB17", "48AB¹⁷"), =HYPERLINK("CSG21.html#group96J21", "96J²¹"), =HYPERLINK("CSG16.html#group144B16", "144B¹⁶"), =HYPERLINK("CSG9.html#group48C9", "48C⁹"), =HYPERLINK("CSG19.html#group192D19", "192D¹⁹"), =HYPERLINK("CSG13.html#group24M13", "24M¹³"), =HYPERLINK("CSG19.html#group48C19", "48C¹⁹"), =HYPERLINK("CSG15.html#group48O15", "48O¹⁵"), =HYPERLINK("CSG23.html#group192B23", "192B²³"), =HYPERLINK("CSG15.html#group48P15", "48P¹⁵"), =HYPERLINK("CSG3.html#group24L3", "24L³"), =HYPERLINK("CSG19.html#group96B19", "96B¹⁹"), =HYPERLINK("CSG17.html#group48I17", "48I¹⁷"), =HYPERLINK("CSG16.html#group144E16", "144E¹⁶"), =HYPERLINK("CSG23.html#group192C23", "192C²³"), =HYPERLINK("CSG15.html#group72G15", "72G¹⁵"), =HYPERLINK("CSG17.html#group48V17", "48V¹⁷"), =HYPERLINK("CSG17.html#group48Z17", "48Z¹⁷"), =HYPERLINK("CSG9.html#group48Q9", "48Q⁹"), =HYPERLINK("CSG21.html#group96B21", "96B²¹"), =HYPERLINK("CSG22.html#group192A22", "192A²²"), =HYPERLINK("CSG8.html#group72B8", "72B⁸"), =HYPERLINK("CSG17.html#group48D17", "48D¹⁷"), =HYPERLINK("CSG11.html#group96E11", "96E¹¹"), =HYPERLINK("CSG22.html#group72G22", "72G²²"), =HYPERLINK("CSG15.html#group24H15", "24H¹⁵"), =HYPERLINK("CSG21.html#group96R21", "96R²¹"), =HYPERLINK("CSG16.html#group72A16", "72A¹⁶"), =HYPERLINK("CSG10.html#group96A10", "96A¹⁰"), =HYPERLINK("CSG19.html#group24F19", "24F¹⁹"), =HYPERLINK("CSG17.html#group96S17", "96S¹⁷"), =HYPERLINK("CSG17.html#group96A17", "96A¹⁷"), =HYPERLINK("CSG7.html#group48Y7", "48Y⁷"), =HYPERLINK("CSG19.html#group96Z19", "96Z¹⁹"), =HYPERLINK("CSG21.html#group96T21", "96T²¹"), =HYPERLINK("CSG23.html#group192G23", "192G²³"), =HYPERLINK("CSG21.html#group96O21", "96O²¹"), =HYPERLINK("CSG18.html#group96B18", "96B¹⁸"), =HYPERLINK("CSG17.html#group48BP17", "48BP¹⁷"), =HYPERLINK("CSG8.html#group48E8", "48E⁸"), =HYPERLINK("CSG11.html#group96B11", "96B¹¹"), =HYPERLINK("CSG17.html#group144B17", "144B¹⁷"), =HYPERLINK("CSG17.html#group96J17", "96J¹⁷"), =HYPERLINK("CSG15.html#group72S15", "72S¹⁵"), =HYPERLINK("CSG16.html#group144G16", "144G¹⁶"), =HYPERLINK("CSG19.html#group96F19", "96F¹⁹"), =HYPERLINK("CSG7.html#group24U7", "24U⁷"), =HYPERLINK("CSG19.html#group192A19", "192A¹⁹"), =HYPERLINK("CSG17.html#group24B17", "24B¹⁷"), =HYPERLINK("CSG8.html#group24D8", "24D⁸"), =HYPERLINK("CSG19.html#group192C19", "192C¹⁹"), =HYPERLINK("CSG21.html#group96AB21", "96AB²¹"), =HYPERLINK("CSG23.html#group192F23", "192F²³"), =HYPERLINK("CSG8.html#group24B8", "24B⁸"), =HYPERLINK("CSG17.html#group96K17", "96K¹⁷"), =HYPERLINK("CSG19.html#group48L19", "48L¹⁹"), =HYPERLINK("CSG18.html#group96D18", "96D¹⁸"), =HYPERLINK("CSG21.html#group192C21", "192C²¹"), =HYPERLINK("CSG10.html#group48B10", "48B¹⁰"), =HYPERLINK("CSG17.html#group48F17", "48F¹⁷"), =HYPERLINK("CSG4.html#group48G4", "48G⁴"), =HYPERLINK("CSG17.html#group24S17", "24S¹⁷"), =HYPERLINK("CSG7.html#group48Q7", "48Q⁷"), =HYPERLINK("CSG13.html#group24L13", "24L¹³"), =HYPERLINK("CSG17.html#group48X17", "48X¹⁷"), =HYPERLINK("CSG17.html#group48BS17", "48BS¹⁷"), =HYPERLINK("CSG19.html#group96O19", "96O¹⁹"), =HYPERLINK("CSG17.html#group48C17", "48C¹⁷"), =HYPERLINK("CSG22.html#group96C22", "96C²²"), =HYPERLINK("CSG8.html#group96B8", "96B⁸"), =HYPERLINK("CSG23.html#group192L23", "192L²³"), =HYPERLINK("CSG21.html#group48E21", "48E²¹"), =HYPERLINK("CSG19.html#group48D19", "48D¹⁹"), =HYPERLINK("CSG17.html#group96AC17", "96AC¹⁷"), =HYPERLINK("CSG21.html#group96AS21", "96AS²¹"), =HYPERLINK("CSG10.html#group96B10", "96B¹⁰"), =HYPERLINK("CSG21.html#group96P21", "96P²¹")</f>
        <v/>
      </c>
    </row>
    <row r="365">
      <c r="A365" t="inlineStr">
        <is>
          <t>24C²</t>
        </is>
      </c>
      <c r="B365" t="inlineStr"/>
      <c r="C365" t="inlineStr">
        <is>
          <t>36</t>
        </is>
      </c>
      <c r="D365" t="inlineStr">
        <is>
          <t>1</t>
        </is>
      </c>
      <c r="E365" t="inlineStr">
        <is>
          <t>9</t>
        </is>
      </c>
      <c r="F365" t="inlineStr">
        <is>
          <t>4</t>
        </is>
      </c>
      <c r="G365" t="inlineStr">
        <is>
          <t>0</t>
        </is>
      </c>
      <c r="H365" t="inlineStr">
        <is>
          <t>12¹, 24¹</t>
        </is>
      </c>
      <c r="I365" t="n">
        <v>2</v>
      </c>
      <c r="J365" t="inlineStr">
        <is>
          <t>1³, 2³</t>
        </is>
      </c>
      <c r="K365">
        <f>HYPERLINK("CSG0.html#group12C0", "12C⁰")</f>
        <v/>
      </c>
      <c r="L365">
        <f>HYPERLINK("CSG3.html#group24I3", "24I³"), =HYPERLINK("CSG3.html#group24S3", "24S³"), =HYPERLINK("CSG4.html#group24K4", "24K⁴"), =HYPERLINK("CSG4.html#group24L4", "24L⁴"), =HYPERLINK("CSG4.html#group24P4", "24P⁴"), =HYPERLINK("CSG5.html#group24C5", "24C⁵"), =HYPERLINK("CSG5.html#group24D5", "24D⁵"), =HYPERLINK("CSG5.html#group24F5", "24F⁵"), =HYPERLINK("CSG6.html#group72B6", "72B⁶"), =HYPERLINK("CSG8.html#group72D8", "72D⁸"), =HYPERLINK("CSG14.html#group120B14", "120B¹⁴"), =HYPERLINK("CSG15.html#group120H15", "120H¹⁵"), =HYPERLINK("CSG18.html#group168F18", "168F¹⁸"), =HYPERLINK("CSG23.html#group168D23", "168D²³")</f>
        <v/>
      </c>
      <c r="M365">
        <f>HYPERLINK("CSG0.html#group2B0", "2B⁰"), =HYPERLINK("CSG0.html#group12C0", "12C⁰"), =HYPERLINK("CSG0.html#group3A0", "3A⁰"), =HYPERLINK("CSG0.html#group1A0", "1A⁰"), =HYPERLINK("CSG0.html#group6D0", "6D⁰"), =HYPERLINK("CSG0.html#group4C0", "4C⁰")</f>
        <v/>
      </c>
      <c r="N365">
        <f>HYPERLINK("CSG23.html#group168D23", "168D²³"), =HYPERLINK("CSG21.html#group96Y21", "96Y²¹"), =HYPERLINK("CSG13.html#group72K13", "72K¹³"), =HYPERLINK("CSG19.html#group48BE19", "48BE¹⁹"), =HYPERLINK("CSG19.html#group96AJ19", "96AJ¹⁹"), =HYPERLINK("CSG21.html#group48AY21", "48AY²¹"), =HYPERLINK("CSG17.html#group48O17", "48O¹⁷"), =HYPERLINK("CSG9.html#group48M9", "48M⁹"), =HYPERLINK("CSG11.html#group48R11", "48R¹¹"), =HYPERLINK("CSG13.html#group24R13", "24R¹³"), =HYPERLINK("CSG21.html#group96AG21", "96AG²¹"), =HYPERLINK("CSG21.html#group48H21", "48H²¹"), =HYPERLINK("CSG17.html#group24I17", "24I¹⁷"), =HYPERLINK("CSG14.html#group72H14", "72H¹⁴"), =HYPERLINK("CSG17.html#group48AK17", "48AK¹⁷"), =HYPERLINK("CSG9.html#group24O9", "24O⁹"), =HYPERLINK("CSG7.html#group24R7", "24R⁷"), =HYPERLINK("CSG21.html#group48O21", "48O²¹"), =HYPERLINK("CSG19.html#group48AT19", "48AT¹⁹"), =HYPERLINK("CSG3.html#group24S3", "24S³"), =HYPERLINK("CSG23.html#group144W23", "144W²³"), =HYPERLINK("CSG14.html#group72E14", "72E¹⁴"), =HYPERLINK("CSG9.html#group24AA9", "24AA⁹"), =HYPERLINK("CSG13.html#group24Q13", "24Q¹³"), =HYPERLINK("CSG17.html#group48Q17", "48Q¹⁷"), =HYPERLINK("CSG17.html#group24AD17", "24AD¹⁷"), =HYPERLINK("CSG18.html#group168F18", "168F¹⁸"), =HYPERLINK("CSG11.html#group48N11", "48N¹¹"), =HYPERLINK("CSG9.html#group24P9", "24P⁹"), =HYPERLINK("CSG7.html#group24AD7", "24AD⁷"), =HYPERLINK("CSG17.html#group24W17", "24W¹⁷"), =HYPERLINK("CSG15.html#group72P15", "72P¹⁵"), =HYPERLINK("CSG21.html#group48AD21", "48AD²¹"), =HYPERLINK("CSG17.html#group48R17", "48R¹⁷"), =HYPERLINK("CSG17.html#group48M17", "48M¹⁷"), =HYPERLINK("CSG19.html#group48AL19", "48AL¹⁹"), =HYPERLINK("CSG21.html#group48BK21", "48BK²¹"), =HYPERLINK("CSG15.html#group24N15", "24N¹⁵"), =HYPERLINK("CSG17.html#group24J17", "24J¹⁷"), =HYPERLINK("CSG21.html#group96AF21", "96AF²¹"), =HYPERLINK("CSG17.html#group48P17", "48P¹⁷"), =HYPERLINK("CSG16.html#group72L16", "72L¹⁶"), =HYPERLINK("CSG19.html#group48I19", "48I¹⁹"), =HYPERLINK("CSG21.html#group48AT21", "48AT²¹"), =HYPERLINK("CSG21.html#group48AB21", "48AB²¹"), =HYPERLINK("CSG21.html#group48BC21", "48BC²¹"), =HYPERLINK("CSG23.html#group96AA23", "96AA²³"), =HYPERLINK("CSG19.html#group48BD19", "48BD¹⁹"), =HYPERLINK("CSG9.html#group24I9", "24I⁹"), =HYPERLINK("CSG4.html#group24K4", "24K⁴"), =HYPERLINK("CSG9.html#group24Z9", "24Z⁹"), =HYPERLINK("CSG19.html#group96AZ19", "96AZ¹⁹"), =HYPERLINK("CSG13.html#group24S13", "24S¹³"), =HYPERLINK("CSG21.html#group48AV21", "48AV²¹"), =HYPERLINK("CSG21.html#group48BE21", "48BE²¹"), =HYPERLINK("CSG19.html#group48Y19", "48Y¹⁹"), =HYPERLINK("CSG21.html#group48BO21", "48BO²¹"), =HYPERLINK("CSG19.html#group48BG19", "48BG¹⁹"), =HYPERLINK("CSG9.html#group24M9", "24M⁹"), =HYPERLINK("CSG21.html#group48S21", "48S²¹"), =HYPERLINK("CSG11.html#group48E11", "48E¹¹"), =HYPERLINK("CSG14.html#group72D14", "72D¹⁴"), =HYPERLINK("CSG17.html#group72K17", "72K¹⁷"), =HYPERLINK("CSG19.html#group96AB19", "96AB¹⁹"), =HYPERLINK("CSG21.html#group96AE21", "96AE²¹"), =HYPERLINK("CSG19.html#group48P19", "48P¹⁹"), =HYPERLINK("CSG23.html#group96X23", "96X²³"), =HYPERLINK("CSG21.html#group48AF21", "48AF²¹"), =HYPERLINK("CSG17.html#group72D17", "72D¹⁷"), =HYPERLINK("CSG19.html#group48BM19", "48BM¹⁹"), =HYPERLINK("CSG21.html#group48AU21", "48AU²¹"), =HYPERLINK("CSG21.html#group48BP21", "48BP²¹"), =HYPERLINK("CSG19.html#group48AW19", "48AW¹⁹"), =HYPERLINK("CSG19.html#group24O19", "24O¹⁹"), =HYPERLINK("CSG17.html#group24D17", "24D¹⁷"), =HYPERLINK("CSG21.html#group96AP21", "96AP²¹"), =HYPERLINK("CSG17.html#group24AH17", "24AH¹⁷"), =HYPERLINK("CSG9.html#group48W9", "48W⁹"), =HYPERLINK("CSG17.html#group48AV17", "48AV¹⁷"), =HYPERLINK("CSG22.html#group72J22", "72J²²"), =HYPERLINK("CSG21.html#group48M21", "48M²¹"), =HYPERLINK("CSG17.html#group48AW17", "48AW¹⁷"), =HYPERLINK("CSG9.html#group48T9", "48T⁹"), =HYPERLINK("CSG7.html#group24O7", "24O⁷"), =HYPERLINK("CSG9.html#group48J9", "48J⁹"), =HYPERLINK("CSG17.html#group24H17", "24H¹⁷"), =HYPERLINK("CSG9.html#group48U9", "48U⁹"), =HYPERLINK("CSG19.html#group24S19", "24S¹⁹"), =HYPERLINK("CSG17.html#group24AK17", "24AK¹⁷"), =HYPERLINK("CSG17.html#group24N17", "24N¹⁷"), =HYPERLINK("CSG17.html#group24O17", "24O¹⁷"), =HYPERLINK("CSG16.html#group72N16", "72N¹⁶"), =HYPERLINK("CSG17.html#group96Q17", "96Q¹⁷"), =HYPERLINK("CSG19.html#group48W19", "48W¹⁹"), =HYPERLINK("CSG17.html#group48AX17", "48AX¹⁷"), =HYPERLINK("CSG15.html#group72O15", "72O¹⁵"), =HYPERLINK("CSG17.html#group24AF17", "24AF¹⁷"), =HYPERLINK("CSG9.html#group24U9", "24U⁹"), =HYPERLINK("CSG21.html#group48K21", "48K²¹"), =HYPERLINK("CSG19.html#group96AA19", "96AA¹⁹"), =HYPERLINK("CSG17.html#group48AZ17", "48AZ¹⁷"), =HYPERLINK("CSG17.html#group48BU17", "48BU¹⁷"), =HYPERLINK("CSG21.html#group48AP21", "48AP²¹"), =HYPERLINK("CSG19.html#group24L19", "24L¹⁹"), =HYPERLINK("CSG4.html#group24L4", "24L⁴"), =HYPERLINK("CSG17.html#group24C17", "24C¹⁷"), =HYPERLINK("CSG24.html#group72A24", "72A²⁴"), =HYPERLINK("CSG17.html#group48AR17", "48AR¹⁷"), =HYPERLINK("CSG19.html#group48H19", "48H¹⁹"), =HYPERLINK("CSG21.html#group48AO21", "48AO²¹"), =HYPERLINK("CSG9.html#group48AD9", "48AD⁹"), =HYPERLINK("CSG19.html#group24P19", "24P¹⁹"), =HYPERLINK("CSG21.html#group96AC21", "96AC²¹"), =HYPERLINK("CSG7.html#group24AA7", "24AA⁷"), =HYPERLINK("CSG4.html#group24P4", "24P⁴"), =HYPERLINK("CSG9.html#group48AF9", "48AF⁹"), =HYPERLINK("CSG21.html#group96AD21", "96AD²¹"), =HYPERLINK("CSG21.html#group96AN21", "96AN²¹"), =HYPERLINK("CSG15.html#group120H15", "120H¹⁵"), =HYPERLINK("CSG17.html#group24AJ17", "24AJ¹⁷"), =HYPERLINK("CSG19.html#group48AQ19", "48AQ¹⁹"), =HYPERLINK("CSG21.html#group96AO21", "96AO²¹"), =HYPERLINK("CSG5.html#group24F5", "24F⁵"), =HYPERLINK("CSG17.html#group24L17", "24L¹⁷"), =HYPERLINK("CSG17.html#group24Z17", "24Z¹⁷"), =HYPERLINK("CSG9.html#group24A9", "24A⁹"), =HYPERLINK("CSG21.html#group48Y21", "48Y²¹"), =HYPERLINK("CSG7.html#group24AE7", "24AE⁷"), =HYPERLINK("CSG16.html#group72O16", "72O¹⁶"), =HYPERLINK("CSG17.html#group48AE17", "48AE¹⁷"), =HYPERLINK("CSG19.html#group48AS19", "48AS¹⁹"), =HYPERLINK("CSG17.html#group24P17", "24P¹⁷"), =HYPERLINK("CSG19.html#group24I19", "24I¹⁹"), =HYPERLINK("CSG23.html#group96AB23", "96AB²³"), =HYPERLINK("CSG11.html#group72N11", "72N¹¹"), =HYPERLINK("CSG17.html#group24AG17", "24AG¹⁷"), =HYPERLINK("CSG21.html#group48AC21", "48AC²¹"), =HYPERLINK("CSG13.html#group24Y13", "24Y¹³"), =HYPERLINK("CSG21.html#group48Z21", "48Z²¹"), =HYPERLINK("CSG21.html#group96AH21", "96AH²¹"), =HYPERLINK("CSG11.html#group72R11", "72R¹¹"), =HYPERLINK("CSG17.html#group24AM17", "24AM¹⁷"), =HYPERLINK("CSG23.html#group96Q23", "96Q²³"), =HYPERLINK("CSG17.html#group24G17", "24G¹⁷"), =HYPERLINK("CSG19.html#group24H19", "24H¹⁹"), =HYPERLINK("CSG9.html#group24W9", "24W⁹"), =HYPERLINK("CSG6.html#group72B6", "72B⁶"), =HYPERLINK("CSG15.html#group72H15", "72H¹⁵"), =HYPERLINK("CSG21.html#group48BD21", "48BD²¹"), =HYPERLINK("CSG17.html#group48CI17", "48CI¹⁷"), =HYPERLINK("CSG14.html#group120B14", "120B¹⁴"), =HYPERLINK("CSG21.html#group72AA21", "72AA²¹"), =HYPERLINK("CSG21.html#group48BG21", "48BG²¹"), =HYPERLINK("CSG21.html#group96AA21", "96AA²¹"), =HYPERLINK("CSG17.html#group48AF17", "48AF¹⁷"), =HYPERLINK("CSG23.html#group144X23", "144X²³"), =HYPERLINK("CSG21.html#group96AW21", "96AW²¹"), =HYPERLINK("CSG5.html#group24C5", "24C⁵"), =HYPERLINK("CSG17.html#group24T17", "24T¹⁷"), =HYPERLINK("CSG17.html#group24R17", "24R¹⁷"), =HYPERLINK("CSG21.html#group48D21", "48D²¹"), =HYPERLINK("CSG23.html#group96R23", "96R²³"), =HYPERLINK("CSG8.html#group72D8", "72D⁸"), =HYPERLINK("CSG17.html#group48L17", "48L¹⁷"), =HYPERLINK("CSG9.html#group24E9", "24E⁹"), =HYPERLINK("CSG17.html#group72H17", "72H¹⁷"), =HYPERLINK("CSG21.html#group48BX21", "48BX²¹"), =HYPERLINK("CSG16.html#group72M16", "72M¹⁶"), =HYPERLINK("CSG17.html#group72I17", "72I¹⁷"), =HYPERLINK("CSG19.html#group96AI19", "96AI¹⁹"), =HYPERLINK("CSG17.html#group48N17", "48N¹⁷"), =HYPERLINK("CSG9.html#group48Z9", "48Z⁹"), =HYPERLINK("CSG3.html#group24I3", "24I³"), =HYPERLINK("CSG9.html#group24G9", "24G⁹"), =HYPERLINK("CSG19.html#group24F19", "24F¹⁹"), =HYPERLINK("CSG11.html#group48H11", "48H¹¹"), =HYPERLINK("CSG21.html#group96AM21", "96AM²¹"), =HYPERLINK("CSG9.html#group24Q9", "24Q⁹"), =HYPERLINK("CSG23.html#group96W23", "96W²³"), =HYPERLINK("CSG21.html#group48C21", "48C²¹"), =HYPERLINK("CSG21.html#group48P21", "48P²¹"), =HYPERLINK("CSG7.html#group48M7", "48M⁷"), =HYPERLINK("CSG19.html#group24R19", "24R¹⁹"), =HYPERLINK("CSG17.html#group96P17", "96P¹⁷"), =HYPERLINK("CSG17.html#group24M17", "24M¹⁷"), =HYPERLINK("CSG19.html#group24E19", "24E¹⁹"), =HYPERLINK("CSG5.html#group24S5", "24S⁵"), =HYPERLINK("CSG9.html#group24J9", "24J⁹"), =HYPERLINK("CSG19.html#group48U19", "48U¹⁹"), =HYPERLINK("CSG15.html#group24U15", "24U¹⁵"), =HYPERLINK("CSG17.html#group48AY17", "48AY¹⁷"), =HYPERLINK("CSG15.html#group72Q15", "72Q¹⁵"), =HYPERLINK("CSG19.html#group48BL19", "48BL¹⁹"), =HYPERLINK("CSG9.html#group24H9", "24H⁹"), =HYPERLINK("CSG17.html#group24V17", "24V¹⁷"), =HYPERLINK("CSG19.html#group48X19", "48X¹⁹"), =HYPERLINK("CSG19.html#group48BC19", "48BC¹⁹"), =HYPERLINK("CSG7.html#group24Z7", "24Z⁷"), =HYPERLINK("CSG19.html#group48BB19", "48BB¹⁹"), =HYPERLINK("CSG19.html#group24N19", "24N¹⁹"), =HYPERLINK("CSG17.html#group48AL17", "48AL¹⁷"), =HYPERLINK("CSG19.html#group48L19", "48L¹⁹"), =HYPERLINK("CSG17.html#group24S17", "24S¹⁷"), =HYPERLINK("CSG17.html#group72A17", "72A¹⁷"), =HYPERLINK("CSG17.html#group72E17", "72E¹⁷"), =HYPERLINK("CSG21.html#group48W21", "48W²¹"), =HYPERLINK("CSG5.html#group24D5", "24D⁵"), =HYPERLINK("CSG17.html#group48BV17", "48BV¹⁷"), =HYPERLINK("CSG19.html#group48BN19", "48BN¹⁹"), =HYPERLINK("CSG21.html#group48BB21", "48BB²¹"), =HYPERLINK("CSG7.html#group48N7", "48N⁷"), =HYPERLINK("CSG17.html#group24AL17", "24AL¹⁷"), =HYPERLINK("CSG13.html#group24W13", "24W¹³"), =HYPERLINK("CSG13.html#group48X13", "48X¹³"), =HYPERLINK("CSG9.html#group24X9", "24X⁹"), =HYPERLINK("CSG9.html#group24T9", "24T⁹"), =HYPERLINK("CSG19.html#group48AM19", "48AM¹⁹"), =HYPERLINK("CSG21.html#group48BJ21", "48BJ²¹"), =HYPERLINK("CSG15.html#group24M15", "24M¹⁵")</f>
        <v/>
      </c>
    </row>
    <row r="366">
      <c r="A366" t="inlineStr">
        <is>
          <t>24D²</t>
        </is>
      </c>
      <c r="B366" t="inlineStr"/>
      <c r="C366" t="inlineStr">
        <is>
          <t>36</t>
        </is>
      </c>
      <c r="D366" t="inlineStr">
        <is>
          <t>1</t>
        </is>
      </c>
      <c r="E366" t="inlineStr">
        <is>
          <t>18</t>
        </is>
      </c>
      <c r="F366" t="inlineStr">
        <is>
          <t>0</t>
        </is>
      </c>
      <c r="G366" t="inlineStr">
        <is>
          <t>0</t>
        </is>
      </c>
      <c r="H366" t="inlineStr">
        <is>
          <t>3², 6¹, 24¹</t>
        </is>
      </c>
      <c r="I366" t="n">
        <v>4</v>
      </c>
      <c r="J366" t="inlineStr">
        <is>
          <t>1⁴, 2⁵, 4¹</t>
        </is>
      </c>
      <c r="K366">
        <f>HYPERLINK("CSG1.html#group12B1", "12B¹")</f>
        <v/>
      </c>
      <c r="L366">
        <f>HYPERLINK("CSG3.html#group24K3", "24K³"), =HYPERLINK("CSG3.html#group24L3", "24L³"), =HYPERLINK("CSG4.html#group24E4", "24E⁴"), =HYPERLINK("CSG4.html#group24I4", "24I⁴"), =HYPERLINK("CSG4.html#group24J4", "24J⁴"), =HYPERLINK("CSG8.html#group72C8", "72C⁸"), =HYPERLINK("CSG8.html#group72E8", "72E⁸"), =HYPERLINK("CSG14.html#group120C14", "120C¹⁴"), =HYPERLINK("CSG15.html#group120J15", "120J¹⁵"), =HYPERLINK("CSG20.html#group168D20", "168D²⁰"), =HYPERLINK("CSG21.html#group168C21", "168C²¹")</f>
        <v/>
      </c>
      <c r="M366">
        <f>HYPERLINK("CSG1.html#group12B1", "12B¹"), =HYPERLINK("CSG0.html#group2B0", "2B⁰"), =HYPERLINK("CSG0.html#group3A0", "3A⁰"), =HYPERLINK("CSG0.html#group4B0", "4B⁰"), =HYPERLINK("CSG0.html#group1A0", "1A⁰"), =HYPERLINK("CSG0.html#group6D0", "6D⁰")</f>
        <v/>
      </c>
      <c r="N366">
        <f>HYPERLINK("CSG21.html#group72AB21", "72AB²¹"), =HYPERLINK("CSG9.html#group48N9", "48N⁹"), =HYPERLINK("CSG17.html#group24I17", "24I¹⁷"), =HYPERLINK("CSG17.html#group48G17", "48G¹⁷"), =HYPERLINK("CSG13.html#group48W13", "48W¹³"), =HYPERLINK("CSG17.html#group48U17", "48U¹⁷"), =HYPERLINK("CSG21.html#group96L21", "96L²¹"), =HYPERLINK("CSG8.html#group24H8", "24H⁸"), =HYPERLINK("CSG21.html#group48AN21", "48AN²¹"), =HYPERLINK("CSG5.html#group24R5", "24R⁵"), =HYPERLINK("CSG3.html#group24K3", "24K³"), =HYPERLINK("CSG19.html#group96S19", "96S¹⁹"), =HYPERLINK("CSG9.html#group24AP9", "24AP⁹"), =HYPERLINK("CSG17.html#group24W17", "24W¹⁷"), =HYPERLINK("CSG17.html#group96I17", "96I¹⁷"), =HYPERLINK("CSG15.html#group48F15", "48F¹⁵"), =HYPERLINK("CSG17.html#group24J17", "24J¹⁷"), =HYPERLINK("CSG13.html#group24K13", "24K¹³"), =HYPERLINK("CSG19.html#group96AW19", "96AW¹⁹"), =HYPERLINK("CSG19.html#group96N19", "96N¹⁹"), =HYPERLINK("CSG21.html#group96M21", "96M²¹"), =HYPERLINK("CSG15.html#group72R15", "72R¹⁵"), =HYPERLINK("CSG8.html#group24G8", "24G⁸"), =HYPERLINK("CSG15.html#group24I15", "24I¹⁵"), =HYPERLINK("CSG13.html#group48Y13", "48Y¹³"), =HYPERLINK("CSG19.html#group48F19", "48F¹⁹"), =HYPERLINK("CSG19.html#group48E19", "48E¹⁹"), =HYPERLINK("CSG9.html#group24Z9", "24Z⁹"), =HYPERLINK("CSG21.html#group48BQ21", "48BQ²¹"), =HYPERLINK("CSG16.html#group72D16", "72D¹⁶"), =HYPERLINK("CSG21.html#group168C21", "168C²¹"), =HYPERLINK("CSG21.html#group96P21", "96P²¹"), =HYPERLINK("CSG21.html#group96K21", "96K²¹"), =HYPERLINK("CSG17.html#group48AD17", "48AD¹⁷"), =HYPERLINK("CSG16.html#group72I16", "72I¹⁶"), =HYPERLINK("CSG17.html#group24X17", "24X¹⁷"), =HYPERLINK("CSG21.html#group96N21", "96N²¹"), =HYPERLINK("CSG20.html#group168D20", "168D²⁰"), =HYPERLINK("CSG16.html#group72B16", "72B¹⁶"), =HYPERLINK("CSG19.html#group96I19", "96I¹⁹"), =HYPERLINK("CSG17.html#group48AA17", "48AA¹⁷"), =HYPERLINK("CSG21.html#group96I21", "96I²¹"), =HYPERLINK("CSG15.html#group96P15", "96P¹⁵"), =HYPERLINK("CSG7.html#group48R7", "48R⁷"), =HYPERLINK("CSG8.html#group48L8", "48L⁸"), =HYPERLINK("CSG16.html#group72K16", "72K¹⁶"), =HYPERLINK("CSG15.html#group24D15", "24D¹⁵"), =HYPERLINK("CSG13.html#group48Z13", "48Z¹³"), =HYPERLINK("CSG7.html#group48X7", "48X⁷"), =HYPERLINK("CSG17.html#group24U17", "24U¹⁷"), =HYPERLINK("CSG7.html#group24N7", "24N⁷"), =HYPERLINK("CSG17.html#group24H17", "24H¹⁷"), =HYPERLINK("CSG19.html#group96D19", "96D¹⁹"), =HYPERLINK("CSG19.html#group24S19", "24S¹⁹"), =HYPERLINK("CSG9.html#group48D9", "48D⁹"), =HYPERLINK("CSG15.html#group96M15", "96M¹⁵"), =HYPERLINK("CSG21.html#group48N21", "48N²¹"), =HYPERLINK("CSG9.html#group48AA9", "48AA⁹"), =HYPERLINK("CSG17.html#group48B17", "48B¹⁷"), =HYPERLINK("CSG14.html#group120C14", "120C¹⁴"), =HYPERLINK("CSG15.html#group48N15", "48N¹⁵"), =HYPERLINK("CSG8.html#group72C8", "72C⁸"), =HYPERLINK("CSG8.html#group24F8", "24F⁸"), =HYPERLINK("CSG22.html#group72H22", "72H²²"), =HYPERLINK("CSG15.html#group48R15", "48R¹⁵"), =HYPERLINK("CSG15.html#group96N15", "96N¹⁵"), =HYPERLINK("CSG15.html#group24E15", "24E¹⁵"), =HYPERLINK("CSG21.html#group48AG21", "48AG²¹"), =HYPERLINK("CSG9.html#group24F9", "24F⁹"), =HYPERLINK("CSG17.html#group48W17", "48W¹⁷"), =HYPERLINK("CSG7.html#group24T7", "24T⁷"), =HYPERLINK("CSG11.html#group72Q11", "72Q¹¹"), =HYPERLINK("CSG19.html#group96G19", "96G¹⁹"), =HYPERLINK("CSG15.html#group48Q15", "48Q¹⁵"), =HYPERLINK("CSG21.html#group96S21", "96S²¹"), =HYPERLINK("CSG7.html#group24J7", "24J⁷"), =HYPERLINK("CSG21.html#group48R21", "48R²¹"), =HYPERLINK("CSG17.html#group24AJ17", "24AJ¹⁷"), =HYPERLINK("CSG17.html#group48BT17", "48BT¹⁷"), =HYPERLINK("CSG17.html#group48Y17", "48Y¹⁷"), =HYPERLINK("CSG19.html#group48AA19", "48AA¹⁹"), =HYPERLINK("CSG17.html#group48AC17", "48AC¹⁷"), =HYPERLINK("CSG15.html#group24G15", "24G¹⁵"), =HYPERLINK("CSG21.html#group96G21", "96G²¹"), =HYPERLINK("CSG21.html#group96AQ21", "96AQ²¹"), =HYPERLINK("CSG15.html#group48E15", "48E¹⁵"), =HYPERLINK("CSG19.html#group24I19", "24I¹⁹"), =HYPERLINK("CSG8.html#group48M8", "48M⁸"), =HYPERLINK("CSG8.html#group24E8", "24E⁸"), =HYPERLINK("CSG13.html#group48V13", "48V¹³"), =HYPERLINK("CSG11.html#group72P11", "72P¹¹"), =HYPERLINK("CSG9.html#group48G9", "48G⁹"), =HYPERLINK("CSG9.html#group48F9", "48F⁹"), =HYPERLINK("CSG10.html#group48E10", "48E¹⁰"), =HYPERLINK("CSG15.html#group48K15", "48K¹⁵"), =HYPERLINK("CSG7.html#group48W7", "48W⁷"), =HYPERLINK("CSG8.html#group72E8", "72E⁸"), =HYPERLINK("CSG19.html#group48K19", "48K¹⁹"), =HYPERLINK("CSG13.html#group24N13", "24N¹³"), =HYPERLINK("CSG17.html#group48K17", "48K¹⁷"), =HYPERLINK("CSG17.html#group24G17", "24G¹⁷"), =HYPERLINK("CSG4.html#group24J4", "24J⁴"), =HYPERLINK("CSG17.html#group24Q17", "24Q¹⁷"), =HYPERLINK("CSG19.html#group24H19", "24H¹⁹"), =HYPERLINK("CSG16.html#group72J16", "72J¹⁶"), =HYPERLINK("CSG21.html#group96F21", "96F²¹"), =HYPERLINK("CSG17.html#group48AB17", "48AB¹⁷"), =HYPERLINK("CSG21.html#group96J21", "96J²¹"), =HYPERLINK("CSG9.html#group48C9", "48C⁹"), =HYPERLINK("CSG22.html#group72K22", "72K²²"), =HYPERLINK("CSG17.html#group24R17", "24R¹⁷"), =HYPERLINK("CSG13.html#group24M13", "24M¹³"), =HYPERLINK("CSG15.html#group48O15", "48O¹⁵"), =HYPERLINK("CSG15.html#group48P15", "48P¹⁵"), =HYPERLINK("CSG3.html#group24L3", "24L³"), =HYPERLINK("CSG4.html#group24I4", "24I⁴"), =HYPERLINK("CSG17.html#group48V17", "48V¹⁷"), =HYPERLINK("CSG15.html#group72G15", "72G¹⁵"), =HYPERLINK("CSG17.html#group48Z17", "48Z¹⁷"), =HYPERLINK("CSG15.html#group72F15", "72F¹⁵"), =HYPERLINK("CSG15.html#group120J15", "120J¹⁵"), =HYPERLINK("CSG15.html#group24H15", "24H¹⁵"), =HYPERLINK("CSG19.html#group24F19", "24F¹⁹"), =HYPERLINK("CSG17.html#group96S17", "96S¹⁷"), =HYPERLINK("CSG7.html#group48Y7", "48Y⁷"), =HYPERLINK("CSG21.html#group96T21", "96T²¹"), =HYPERLINK("CSG21.html#group96O21", "96O²¹"), =HYPERLINK("CSG19.html#group24E19", "24E¹⁹"), =HYPERLINK("CSG7.html#group24I7", "24I⁷"), =HYPERLINK("CSG15.html#group72S15", "72S¹⁵"), =HYPERLINK("CSG17.html#group96J17", "96J¹⁷"), =HYPERLINK("CSG19.html#group96F19", "96F¹⁹"), =HYPERLINK("CSG7.html#group24U7", "24U⁷"), =HYPERLINK("CSG9.html#group24H9", "24H⁹"), =HYPERLINK("CSG21.html#group96AB21", "96AB²¹"), =HYPERLINK("CSG17.html#group48F17", "48F¹⁷"), =HYPERLINK("CSG7.html#group48Q7", "48Q⁷"), =HYPERLINK("CSG13.html#group24L13", "24L¹³"), =HYPERLINK("CSG17.html#group48X17", "48X¹⁷"), =HYPERLINK("CSG17.html#group48BS17", "48BS¹⁷"), =HYPERLINK("CSG19.html#group96O19", "96O¹⁹"), =HYPERLINK("CSG16.html#group72C16", "72C¹⁶"), =HYPERLINK("CSG17.html#group48C17", "48C¹⁷"), =HYPERLINK("CSG4.html#group24E4", "24E⁴"), =HYPERLINK("CSG17.html#group48E17", "48E¹⁷")</f>
        <v/>
      </c>
    </row>
    <row r="367">
      <c r="A367" t="inlineStr">
        <is>
          <t>24E²</t>
        </is>
      </c>
      <c r="B367" t="inlineStr"/>
      <c r="C367" t="inlineStr">
        <is>
          <t>48</t>
        </is>
      </c>
      <c r="D367" t="inlineStr">
        <is>
          <t>1</t>
        </is>
      </c>
      <c r="E367" t="inlineStr">
        <is>
          <t>8</t>
        </is>
      </c>
      <c r="F367" t="inlineStr">
        <is>
          <t>0</t>
        </is>
      </c>
      <c r="G367" t="inlineStr">
        <is>
          <t>6</t>
        </is>
      </c>
      <c r="H367" t="inlineStr">
        <is>
          <t>24²</t>
        </is>
      </c>
      <c r="I367" t="n">
        <v>2</v>
      </c>
      <c r="J367" t="inlineStr">
        <is>
          <t>4²</t>
        </is>
      </c>
      <c r="K367">
        <f>HYPERLINK("CSG0.html#group8E0", "8E⁰"), =HYPERLINK("CSG1.html#group12E1", "12E¹")</f>
        <v/>
      </c>
      <c r="L367">
        <f>HYPERLINK("CSG4.html#group48I4", "48I⁴"), =HYPERLINK("CSG10.html#group24A10", "24A¹⁰"), =HYPERLINK("CSG11.html#group24C11", "24C¹¹"), =HYPERLINK("CSG11.html#group24D11", "24D¹¹"), =HYPERLINK("CSG11.html#group24J11", "24J¹¹"), =HYPERLINK("CSG16.html#group120A16", "120A¹⁶"), =HYPERLINK("CSG23.html#group120D23", "120D²³")</f>
        <v/>
      </c>
      <c r="M367">
        <f>HYPERLINK("CSG0.html#group2A0", "2A⁰"), =HYPERLINK("CSG0.html#group6A0", "6A⁰"), =HYPERLINK("CSG0.html#group4A0", "4A⁰"), =HYPERLINK("CSG0.html#group4D0", "4D⁰"), =HYPERLINK("CSG1.html#group12E1", "12E¹"), =HYPERLINK("CSG0.html#group8A0", "8A⁰"), =HYPERLINK("CSG0.html#group8E0", "8E⁰"), =HYPERLINK("CSG0.html#group1A0", "1A⁰")</f>
        <v/>
      </c>
      <c r="N367">
        <f>HYPERLINK("CSG10.html#group24A10", "24A¹⁰"), =HYPERLINK("CSG23.html#group120D23", "120D²³"), =HYPERLINK("CSG16.html#group120A16", "120A¹⁶"), =HYPERLINK("CSG22.html#group48A22", "48A²²"), =HYPERLINK("CSG19.html#group24D19", "24D¹⁹"), =HYPERLINK("CSG21.html#group24H21", "24H²¹"), =HYPERLINK("CSG11.html#group24C11", "24C¹¹"), =HYPERLINK("CSG19.html#group24C19", "24C¹⁹"), =HYPERLINK("CSG19.html#group24I19", "24I¹⁹"), =HYPERLINK("CSG22.html#group48B22", "48B²²"), =HYPERLINK("CSG11.html#group24D11", "24D¹¹"), =HYPERLINK("CSG4.html#group48I4", "48I⁴"), =HYPERLINK("CSG11.html#group24J11", "24J¹¹")</f>
        <v/>
      </c>
    </row>
    <row r="368">
      <c r="A368" t="inlineStr">
        <is>
          <t>24F²</t>
        </is>
      </c>
      <c r="B368" t="inlineStr"/>
      <c r="C368" t="inlineStr">
        <is>
          <t>48</t>
        </is>
      </c>
      <c r="D368" t="inlineStr">
        <is>
          <t>1</t>
        </is>
      </c>
      <c r="E368" t="inlineStr">
        <is>
          <t>12</t>
        </is>
      </c>
      <c r="F368" t="inlineStr">
        <is>
          <t>0</t>
        </is>
      </c>
      <c r="G368" t="inlineStr">
        <is>
          <t>0</t>
        </is>
      </c>
      <c r="H368" t="inlineStr">
        <is>
          <t>2², 6², 8¹, 24¹</t>
        </is>
      </c>
      <c r="I368" t="n">
        <v>6</v>
      </c>
      <c r="J368" t="inlineStr">
        <is>
          <t>1⁶, 2³</t>
        </is>
      </c>
      <c r="K368">
        <f>HYPERLINK("CSG0.html#group12E0", "12E⁰")</f>
        <v/>
      </c>
      <c r="L368">
        <f>HYPERLINK("CSG3.html#group24U3", "24U³"), =HYPERLINK("CSG3.html#group24W3", "24W³"), =HYPERLINK("CSG7.html#group24G7", "24G⁷"), =HYPERLINK("CSG7.html#group72C7", "72C⁷"), =HYPERLINK("CSG10.html#group72A10", "72A¹⁰"), =HYPERLINK("CSG10.html#group72B10", "72B¹⁰"), =HYPERLINK("CSG18.html#group120A18", "120A¹⁸"), =HYPERLINK("CSG19.html#group120F19", "120F¹⁹")</f>
        <v/>
      </c>
      <c r="M368">
        <f>HYPERLINK("CSG0.html#group6F0", "6F⁰"), =HYPERLINK("CSG0.html#group3B0", "3B⁰"), =HYPERLINK("CSG0.html#group2B0", "2B⁰"), =HYPERLINK("CSG0.html#group4B0", "4B⁰"), =HYPERLINK("CSG0.html#group1A0", "1A⁰"), =HYPERLINK("CSG0.html#group12E0", "12E⁰")</f>
        <v/>
      </c>
      <c r="N368">
        <f>HYPERLINK("CSG7.html#group24AK7", "24AK⁷"), =HYPERLINK("CSG17.html#group24AT17", "24AT¹⁷"), =HYPERLINK("CSG21.html#group24F21", "24F²¹"), =HYPERLINK("CSG13.html#group48AG13", "48AG¹³"), =HYPERLINK("CSG9.html#group48AJ9", "48AJ⁹"), =HYPERLINK("CSG21.html#group24E21", "24E²¹"), =HYPERLINK("CSG19.html#group72B19", "72B¹⁹"), =HYPERLINK("CSG9.html#group24AD9", "24AD⁹"), =HYPERLINK("CSG10.html#group72B10", "72B¹⁰"), =HYPERLINK("CSG19.html#group120F19", "120F¹⁹"), =HYPERLINK("CSG5.html#group24Z5", "24Z⁵"), =HYPERLINK("CSG3.html#group24U3", "24U³"), =HYPERLINK("CSG17.html#group24AP17", "24AP¹⁷"), =HYPERLINK("CSG21.html#group48BZ21", "48BZ²¹"), =HYPERLINK("CSG7.html#group48AQ7", "48AQ⁷"), =HYPERLINK("CSG7.html#group72C7", "72C⁷"), =HYPERLINK("CSG19.html#group72E19", "72E¹⁹"), =HYPERLINK("CSG19.html#group72F19", "72F¹⁹"), =HYPERLINK("CSG13.html#group24J13", "24J¹³"), =HYPERLINK("CSG7.html#group24G7", "24G⁷"), =HYPERLINK("CSG9.html#group24AC9", "24AC⁹"), =HYPERLINK("CSG18.html#group120A18", "120A¹⁸"), =HYPERLINK("CSG13.html#group72S13", "72S¹³"), =HYPERLINK("CSG19.html#group72A19", "72A¹⁹"), =HYPERLINK("CSG10.html#group72A10", "72A¹⁰"), =HYPERLINK("CSG21.html#group96BC21", "96BC²¹"), =HYPERLINK("CSG21.html#group96BJ21", "96BJ²¹"), =HYPERLINK("CSG17.html#group24AS17", "24AS¹⁷"), =HYPERLINK("CSG17.html#group48CP17", "48CP¹⁷"), =HYPERLINK("CSG13.html#group24L13", "24L¹³"), =HYPERLINK("CSG17.html#group48CQ17", "48CQ¹⁷"), =HYPERLINK("CSG9.html#group48AI9", "48AI⁹"), =HYPERLINK("CSG21.html#group96BE21", "96BE²¹"), =HYPERLINK("CSG3.html#group24W3", "24W³"), =HYPERLINK("CSG17.html#group48CN17", "48CN¹⁷"), =HYPERLINK("CSG7.html#group24AJ7", "24AJ⁷"), =HYPERLINK("CSG13.html#group24AC13", "24AC¹³"), =HYPERLINK("CSG13.html#group72Q13", "72Q¹³"), =HYPERLINK("CSG21.html#group24C21", "24C²¹")</f>
        <v/>
      </c>
    </row>
    <row r="369">
      <c r="A369" t="inlineStr">
        <is>
          <t>24G²</t>
        </is>
      </c>
      <c r="B369" t="inlineStr"/>
      <c r="C369" t="inlineStr">
        <is>
          <t>48</t>
        </is>
      </c>
      <c r="D369" t="inlineStr">
        <is>
          <t>1</t>
        </is>
      </c>
      <c r="E369" t="inlineStr">
        <is>
          <t>12</t>
        </is>
      </c>
      <c r="F369" t="inlineStr">
        <is>
          <t>8</t>
        </is>
      </c>
      <c r="G369" t="inlineStr">
        <is>
          <t>0</t>
        </is>
      </c>
      <c r="H369" t="inlineStr">
        <is>
          <t>24²</t>
        </is>
      </c>
      <c r="I369" t="n">
        <v>2</v>
      </c>
      <c r="J369" t="inlineStr">
        <is>
          <t>4², 8²</t>
        </is>
      </c>
      <c r="K369">
        <f>HYPERLINK("CSG0.html#group12F0", "12F⁰"), =HYPERLINK("CSG1.html#group24B1", "24B¹")</f>
        <v/>
      </c>
      <c r="L369">
        <f>HYPERLINK("CSG5.html#group24P5", "24P⁵"), =HYPERLINK("CSG6.html#group48E6", "48E⁶"), =HYPERLINK("CSG7.html#group24A7", "24A⁷"), =HYPERLINK("CSG8.html#group24M8", "24M⁸"), =HYPERLINK("CSG8.html#group72H8", "72H⁸"), =HYPERLINK("CSG9.html#group24AM9", "24AM⁹"), =HYPERLINK("CSG10.html#group72E10", "72E¹⁰"), =HYPERLINK("CSG10.html#group72G10", "72G¹⁰"), =HYPERLINK("CSG18.html#group120B18", "120B¹⁸"), =HYPERLINK("CSG19.html#group120I19", "120I¹⁹"), =HYPERLINK("CSG22.html#group168O22", "168O²²")</f>
        <v/>
      </c>
      <c r="M369">
        <f>HYPERLINK("CSG0.html#group12F0", "12F⁰"), =HYPERLINK("CSG1.html#group24B1", "24B¹"), =HYPERLINK("CSG0.html#group12A0", "12A⁰"), =HYPERLINK("CSG0.html#group6B0", "6B⁰"), =HYPERLINK("CSG0.html#group3A0", "3A⁰"), =HYPERLINK("CSG0.html#group1A0", "1A⁰"), =HYPERLINK("CSG0.html#group4A0", "4A⁰")</f>
        <v/>
      </c>
      <c r="N369">
        <f>HYPERLINK("CSG22.html#group144E22", "144E²²"), =HYPERLINK("CSG10.html#group72E10", "72E¹⁰"), =HYPERLINK("CSG8.html#group24M8", "24M⁸"), =HYPERLINK("CSG10.html#group72G10", "72G¹⁰"), =HYPERLINK("CSG19.html#group24B19", "24B¹⁹"), =HYPERLINK("CSG21.html#group72Q21", "72Q²¹"), =HYPERLINK("CSG23.html#group72G23", "72G²³"), =HYPERLINK("CSG21.html#group72M21", "72M²¹"), =HYPERLINK("CSG15.html#group48C15", "48C¹⁵"), =HYPERLINK("CSG20.html#group48F20", "48F²⁰"), =HYPERLINK("CSG5.html#group24P5", "24P⁵"), =HYPERLINK("CSG9.html#group24AM9", "24AM⁹"), =HYPERLINK("CSG19.html#group120I19", "120I¹⁹"), =HYPERLINK("CSG23.html#group72A23", "72A²³"), =HYPERLINK("CSG8.html#group72H8", "72H⁸"), =HYPERLINK("CSG13.html#group24B13", "24B¹³"), =HYPERLINK("CSG19.html#group72T19", "72T¹⁹"), =HYPERLINK("CSG20.html#group48E20", "48E²⁰"), =HYPERLINK("CSG22.html#group168O22", "168O²²"), =HYPERLINK("CSG13.html#group48Q13", "48Q¹³"), =HYPERLINK("CSG6.html#group48E6", "48E⁶"), =HYPERLINK("CSG7.html#group24A7", "24A⁷"), =HYPERLINK("CSG21.html#group72T21", "72T²¹"), =HYPERLINK("CSG15.html#group24O15", "24O¹⁵"), =HYPERLINK("CSG22.html#group144D22", "144D²²"), =HYPERLINK("CSG13.html#group48R13", "48R¹³"), =HYPERLINK("CSG11.html#group24K11", "24K¹¹"), =HYPERLINK("CSG21.html#group72U21", "72U²¹"), =HYPERLINK("CSG21.html#group24M21", "24M²¹"), =HYPERLINK("CSG22.html#group144C22", "144C²²"), =HYPERLINK("CSG21.html#group72P21", "72P²¹"), =HYPERLINK("CSG17.html#group24AL17", "24AL¹⁷"), =HYPERLINK("CSG23.html#group72D23", "72D²³"), =HYPERLINK("CSG17.html#group24AE17", "24AE¹⁷"), =HYPERLINK("CSG18.html#group120B18", "120B¹⁸"), =HYPERLINK("CSG19.html#group24L19", "24L¹⁹"), =HYPERLINK("CSG19.html#group72V19", "72V¹⁹"), =HYPERLINK("CSG17.html#group72W17", "72W¹⁷"), =HYPERLINK("CSG20.html#group144G20", "144G²⁰")</f>
        <v/>
      </c>
    </row>
    <row r="370">
      <c r="A370" t="inlineStr">
        <is>
          <t>24H²</t>
        </is>
      </c>
      <c r="B370" t="inlineStr"/>
      <c r="C370" t="inlineStr">
        <is>
          <t>48</t>
        </is>
      </c>
      <c r="D370" t="inlineStr">
        <is>
          <t>1</t>
        </is>
      </c>
      <c r="E370" t="inlineStr">
        <is>
          <t>12</t>
        </is>
      </c>
      <c r="F370" t="inlineStr">
        <is>
          <t>8</t>
        </is>
      </c>
      <c r="G370" t="inlineStr">
        <is>
          <t>0</t>
        </is>
      </c>
      <c r="H370" t="inlineStr">
        <is>
          <t>24²</t>
        </is>
      </c>
      <c r="I370" t="n">
        <v>2</v>
      </c>
      <c r="J370" t="inlineStr">
        <is>
          <t>4², 8²</t>
        </is>
      </c>
      <c r="K370">
        <f>HYPERLINK("CSG0.html#group12F0", "12F⁰"), =HYPERLINK("CSG1.html#group24B1", "24B¹")</f>
        <v/>
      </c>
      <c r="L370">
        <f>HYPERLINK("CSG5.html#group24P5", "24P⁵"), =HYPERLINK("CSG6.html#group48F6", "48F⁶"), =HYPERLINK("CSG7.html#group24A7", "24A⁷"), =HYPERLINK("CSG8.html#group24M8", "24M⁸"), =HYPERLINK("CSG8.html#group72I8", "72I⁸"), =HYPERLINK("CSG9.html#group24AN9", "24AN⁹"), =HYPERLINK("CSG10.html#group72F10", "72F¹⁰"), =HYPERLINK("CSG10.html#group72H10", "72H¹⁰"), =HYPERLINK("CSG18.html#group120C18", "120C¹⁸"), =HYPERLINK("CSG19.html#group120J19", "120J¹⁹"), =HYPERLINK("CSG22.html#group168P22", "168P²²")</f>
        <v/>
      </c>
      <c r="M370">
        <f>HYPERLINK("CSG0.html#group12F0", "12F⁰"), =HYPERLINK("CSG1.html#group24B1", "24B¹"), =HYPERLINK("CSG0.html#group12A0", "12A⁰"), =HYPERLINK("CSG0.html#group6B0", "6B⁰"), =HYPERLINK("CSG0.html#group3A0", "3A⁰"), =HYPERLINK("CSG0.html#group1A0", "1A⁰"), =HYPERLINK("CSG0.html#group4A0", "4A⁰")</f>
        <v/>
      </c>
      <c r="N370">
        <f>HYPERLINK("CSG20.html#group144H20", "144H²⁰"), =HYPERLINK("CSG10.html#group72F10", "72F¹⁰"), =HYPERLINK("CSG18.html#group120C18", "120C¹⁸"), =HYPERLINK("CSG8.html#group24M8", "24M⁸"), =HYPERLINK("CSG19.html#group24B19", "24B¹⁹"), =HYPERLINK("CSG6.html#group48F6", "48F⁶"), =HYPERLINK("CSG22.html#group144G22", "144G²²"), =HYPERLINK("CSG21.html#group72Q21", "72Q²¹"), =HYPERLINK("CSG23.html#group72G23", "72G²³"), =HYPERLINK("CSG21.html#group72M21", "72M²¹"), =HYPERLINK("CSG15.html#group48C15", "48C¹⁵"), =HYPERLINK("CSG20.html#group48F20", "48F²⁰"), =HYPERLINK("CSG22.html#group144F22", "144F²²"), =HYPERLINK("CSG5.html#group24P5", "24P⁵"), =HYPERLINK("CSG10.html#group72H10", "72H¹⁰"), =HYPERLINK("CSG22.html#group168P22", "168P²²"), =HYPERLINK("CSG23.html#group72A23", "72A²³"), =HYPERLINK("CSG19.html#group72T19", "72T¹⁹"), =HYPERLINK("CSG13.html#group24B13", "24B¹³"), =HYPERLINK("CSG9.html#group24AN9", "24AN⁹"), =HYPERLINK("CSG22.html#group144H22", "144H²²"), =HYPERLINK("CSG20.html#group48E20", "48E²⁰"), =HYPERLINK("CSG13.html#group48Q13", "48Q¹³"), =HYPERLINK("CSG7.html#group24A7", "24A⁷"), =HYPERLINK("CSG21.html#group72T21", "72T²¹"), =HYPERLINK("CSG15.html#group24O15", "24O¹⁵"), =HYPERLINK("CSG8.html#group72I8", "72I⁸"), =HYPERLINK("CSG13.html#group48R13", "48R¹³"), =HYPERLINK("CSG11.html#group24K11", "24K¹¹"), =HYPERLINK("CSG21.html#group72U21", "72U²¹"), =HYPERLINK("CSG21.html#group24M21", "24M²¹"), =HYPERLINK("CSG21.html#group72P21", "72P²¹"), =HYPERLINK("CSG17.html#group24AL17", "24AL¹⁷"), =HYPERLINK("CSG23.html#group72D23", "72D²³"), =HYPERLINK("CSG17.html#group24AE17", "24AE¹⁷"), =HYPERLINK("CSG19.html#group120J19", "120J¹⁹"), =HYPERLINK("CSG19.html#group24L19", "24L¹⁹"), =HYPERLINK("CSG19.html#group72V19", "72V¹⁹"), =HYPERLINK("CSG17.html#group72W17", "72W¹⁷")</f>
        <v/>
      </c>
    </row>
    <row r="371">
      <c r="A371" t="inlineStr">
        <is>
          <t>24I²</t>
        </is>
      </c>
      <c r="B371" t="inlineStr"/>
      <c r="C371" t="inlineStr">
        <is>
          <t>48</t>
        </is>
      </c>
      <c r="D371" t="inlineStr">
        <is>
          <t>1</t>
        </is>
      </c>
      <c r="E371" t="inlineStr">
        <is>
          <t>24</t>
        </is>
      </c>
      <c r="F371" t="inlineStr">
        <is>
          <t>0</t>
        </is>
      </c>
      <c r="G371" t="inlineStr">
        <is>
          <t>0</t>
        </is>
      </c>
      <c r="H371" t="inlineStr">
        <is>
          <t>2², 6², 8¹, 24¹</t>
        </is>
      </c>
      <c r="I371" t="n">
        <v>6</v>
      </c>
      <c r="J371" t="inlineStr">
        <is>
          <t>1⁴, 2⁶, 4²</t>
        </is>
      </c>
      <c r="K371">
        <f>HYPERLINK("CSG0.html#group8D0", "8D⁰"), =HYPERLINK("CSG1.html#group12F1", "12F¹")</f>
        <v/>
      </c>
      <c r="L371">
        <f>HYPERLINK("CSG3.html#group24V3", "24V³"), =HYPERLINK("CSG4.html#group48J4", "48J⁴"), =HYPERLINK("CSG5.html#group24J5", "24J⁵"), =HYPERLINK("CSG5.html#group24K5", "24K⁵"), =HYPERLINK("CSG6.html#group48D6", "48D⁶"), =HYPERLINK("CSG7.html#group24H7", "24H⁷"), =HYPERLINK("CSG7.html#group72D7", "72D⁷"), =HYPERLINK("CSG10.html#group72C10", "72C¹⁰"), =HYPERLINK("CSG10.html#group72D10", "72D¹⁰"), =HYPERLINK("CSG18.html#group120D18", "120D¹⁸"), =HYPERLINK("CSG19.html#group120L19", "120L¹⁹")</f>
        <v/>
      </c>
      <c r="M371">
        <f>HYPERLINK("CSG0.html#group3B0", "3B⁰"), =HYPERLINK("CSG0.html#group8D0", "8D⁰"), =HYPERLINK("CSG1.html#group12F1", "12F¹"), =HYPERLINK("CSG0.html#group4C0", "4C⁰"), =HYPERLINK("CSG0.html#group6F0", "6F⁰"), =HYPERLINK("CSG0.html#group2B0", "2B⁰"), =HYPERLINK("CSG0.html#group1A0", "1A⁰")</f>
        <v/>
      </c>
      <c r="N371">
        <f>HYPERLINK("CSG21.html#group72F21", "72F²¹"), =HYPERLINK("CSG9.html#group24AE9", "24AE⁹"), =HYPERLINK("CSG23.html#group96AI23", "96AI²³"), =HYPERLINK("CSG22.html#group144B22", "144B²²"), =HYPERLINK("CSG19.html#group48BS19", "48BS¹⁹"), =HYPERLINK("CSG6.html#group48D6", "48D⁶"), =HYPERLINK("CSG21.html#group72E21", "72E²¹"), =HYPERLINK("CSG19.html#group72C19", "72C¹⁹"), =HYPERLINK("CSG19.html#group96BC19", "96BC¹⁹"), =HYPERLINK("CSG21.html#group72H21", "72H²¹"), =HYPERLINK("CSG17.html#group48CK17", "48CK¹⁷"), =HYPERLINK("CSG21.html#group48CG21", "48CG²¹"), =HYPERLINK("CSG21.html#group24D21", "24D²¹"), =HYPERLINK("CSG20.html#group144B20", "144B²⁰"), =HYPERLINK("CSG11.html#group24F11", "24F¹¹"), =HYPERLINK("CSG7.html#group48AL7", "48AL⁷"), =HYPERLINK("CSG9.html#group48AH9", "48AH⁹"), =HYPERLINK("CSG17.html#group24AP17", "24AP¹⁷"), =HYPERLINK("CSG9.html#group24AJ9", "24AJ⁹"), =HYPERLINK("CSG11.html#group48Z11", "48Z¹¹"), =HYPERLINK("CSG23.html#group48A23", "48A²³"), =HYPERLINK("CSG21.html#group48CF21", "48CF²¹"), =HYPERLINK("CSG21.html#group48CO21", "48CO²¹"), =HYPERLINK("CSG21.html#group48CK21", "48CK²¹"), =HYPERLINK("CSG9.html#group48AK9", "48AK⁹"), =HYPERLINK("CSG23.html#group96AJ23", "96AJ²³"), =HYPERLINK("CSG13.html#group72R13", "72R¹³"), =HYPERLINK("CSG13.html#group48L13", "48L¹³"), =HYPERLINK("CSG21.html#group48CA21", "48CA²¹"), =HYPERLINK("CSG17.html#group24AO17", "24AO¹⁷"), =HYPERLINK("CSG21.html#group48CE21", "48CE²¹"), =HYPERLINK("CSG21.html#group72G21", "72G²¹"), =HYPERLINK("CSG21.html#group96BF21", "96BF²¹"), =HYPERLINK("CSG17.html#group48CJ17", "48CJ¹⁷"), =HYPERLINK("CSG11.html#group48Y11", "48Y¹¹"), =HYPERLINK("CSG19.html#group48BT19", "48BT¹⁹"), =HYPERLINK("CSG19.html#group144I19", "144I¹⁹"), =HYPERLINK("CSG13.html#group24K13", "24K¹³"), =HYPERLINK("CSG23.html#group96AK23", "96AK²³"), =HYPERLINK("CSG21.html#group48CI21", "48CI²¹"), =HYPERLINK("CSG13.html#group48F13", "48F¹³"), =HYPERLINK("CSG23.html#group48B23", "48B²³"), =HYPERLINK("CSG21.html#group48CD21", "48CD²¹"), =HYPERLINK("CSG21.html#group48CH21", "48CH²¹"), =HYPERLINK("CSG13.html#group24AC13", "24AC¹³"), =HYPERLINK("CSG11.html#group48W11", "48W¹¹"), =HYPERLINK("CSG22.html#group144A22", "144A²²"), =HYPERLINK("CSG4.html#group48J4", "48J⁴"), =HYPERLINK("CSG10.html#group72D10", "72D¹⁰"), =HYPERLINK("CSG9.html#group24AI9", "24AI⁹"), =HYPERLINK("CSG21.html#group48CN21", "48CN²¹"), =HYPERLINK("CSG13.html#group48E13", "48E¹³"), =HYPERLINK("CSG21.html#group48CJ21", "48CJ²¹"), =HYPERLINK("CSG21.html#group24G21", "24G²¹"), =HYPERLINK("CSG23.html#group96AL23", "96AL²³"), =HYPERLINK("CSG11.html#group24I11", "24I¹¹"), =HYPERLINK("CSG3.html#group24V3", "24V³"), =HYPERLINK("CSG21.html#group24F21", "24F²¹"), =HYPERLINK("CSG13.html#group48AG13", "48AG¹³"), =HYPERLINK("CSG21.html#group48CC21", "48CC²¹"), =HYPERLINK("CSG7.html#group24AH7", "24AH⁷"), =HYPERLINK("CSG21.html#group24A21", "24A²¹"), =HYPERLINK("CSG19.html#group96BD19", "96BD¹⁹"), =HYPERLINK("CSG17.html#group72Q17", "72Q¹⁷"), =HYPERLINK("CSG21.html#group48CB21", "48CB²¹"), =HYPERLINK("CSG15.html#group144E15", "144E¹⁵"), =HYPERLINK("CSG23.html#group48C23", "48C²³"), =HYPERLINK("CSG10.html#group96F10", "96F¹⁰"), =HYPERLINK("CSG13.html#group48H13", "48H¹³"), =HYPERLINK("CSG5.html#group24Z5", "24Z⁵"), =HYPERLINK("CSG19.html#group48J19", "48J¹⁹"), =HYPERLINK("CSG21.html#group48BZ21", "48BZ²¹"), =HYPERLINK("CSG11.html#group24G11", "24G¹¹"), =HYPERLINK("CSG21.html#group96AZ21", "96AZ²¹"), =HYPERLINK("CSG17.html#group24D17", "24D¹⁷"), =HYPERLINK("CSG17.html#group24AR17", "24AR¹⁷"), =HYPERLINK("CSG7.html#group72D7", "72D⁷"), =HYPERLINK("CSG17.html#group48CL17", "48CL¹⁷"), =HYPERLINK("CSG10.html#group96E10", "96E¹⁰"), =HYPERLINK("CSG17.html#group24E17", "24E¹⁷"), =HYPERLINK("CSG11.html#group48AB11", "48AB¹¹"), =HYPERLINK("CSG13.html#group48G13", "48G¹³"), =HYPERLINK("CSG19.html#group120L19", "120L¹⁹"), =HYPERLINK("CSG15.html#group48G15", "48G¹⁵"), =HYPERLINK("CSG5.html#group24K5", "24K⁵"), =HYPERLINK("CSG11.html#group24H11", "24H¹¹"), =HYPERLINK("CSG11.html#group48AA11", "48AA¹¹"), =HYPERLINK("CSG21.html#group96BA21", "96BA²¹"), =HYPERLINK("CSG13.html#group48K13", "48K¹³"), =HYPERLINK("CSG23.html#group48D23", "48D²³"), =HYPERLINK("CSG14.html#group96A14", "96A¹⁴"), =HYPERLINK("CSG19.html#group72D19", "72D¹⁹"), =HYPERLINK("CSG17.html#group24AN17", "24AN¹⁷"), =HYPERLINK("CSG21.html#group96BD21", "96BD²¹"), =HYPERLINK("CSG21.html#group24J21", "24J²¹"), =HYPERLINK("CSG7.html#group48AK7", "48AK⁷"), =HYPERLINK("CSG17.html#group48CM17", "48CM¹⁷"), =HYPERLINK("CSG10.html#group72C10", "72C¹⁰"), =HYPERLINK("CSG20.html#group144A20", "144A²⁰"), =HYPERLINK("CSG17.html#group72R17", "72R¹⁷"), =HYPERLINK("CSG11.html#group48X11", "48X¹¹"), =HYPERLINK("CSG18.html#group120D18", "120D¹⁸"), =HYPERLINK("CSG5.html#group24J5", "24J⁵"), =HYPERLINK("CSG17.html#group48CN17", "48CN¹⁷"), =HYPERLINK("CSG7.html#group24H7", "24H⁷"), =HYPERLINK("CSG7.html#group24AI7", "24AI⁷"), =HYPERLINK("CSG9.html#group24AF9", "24AF⁹"), =HYPERLINK("CSG21.html#group24I21", "24I²¹")</f>
        <v/>
      </c>
    </row>
    <row r="372">
      <c r="A372" t="inlineStr">
        <is>
          <t>24J²</t>
        </is>
      </c>
      <c r="B372" t="inlineStr"/>
      <c r="C372" t="inlineStr">
        <is>
          <t>48</t>
        </is>
      </c>
      <c r="D372" t="inlineStr">
        <is>
          <t>1</t>
        </is>
      </c>
      <c r="E372" t="inlineStr">
        <is>
          <t>24</t>
        </is>
      </c>
      <c r="F372" t="inlineStr">
        <is>
          <t>0</t>
        </is>
      </c>
      <c r="G372" t="inlineStr">
        <is>
          <t>6</t>
        </is>
      </c>
      <c r="H372" t="inlineStr">
        <is>
          <t>24²</t>
        </is>
      </c>
      <c r="I372" t="n">
        <v>2</v>
      </c>
      <c r="J372" t="inlineStr">
        <is>
          <t>4⁶</t>
        </is>
      </c>
      <c r="K372">
        <f>HYPERLINK("CSG1.html#group12H1", "12H¹")</f>
        <v/>
      </c>
      <c r="L372">
        <f>HYPERLINK("CSG10.html#group24D10", "24D¹⁰"), =HYPERLINK("CSG11.html#group24E11", "24E¹¹"), =HYPERLINK("CSG16.html#group120C16", "120C¹⁶"), =HYPERLINK("CSG23.html#group120H23", "120H²³")</f>
        <v/>
      </c>
      <c r="M372">
        <f>HYPERLINK("CSG0.html#group2A0", "2A⁰"), =HYPERLINK("CSG0.html#group1A0", "1A⁰"), =HYPERLINK("CSG1.html#group12H1", "12H¹"), =HYPERLINK("CSG0.html#group6A0", "6A⁰")</f>
        <v/>
      </c>
      <c r="N372">
        <f>HYPERLINK("CSG19.html#group24K19", "24K¹⁹"), =HYPERLINK("CSG21.html#group24H21", "24H²¹"), =HYPERLINK("CSG16.html#group120C16", "120C¹⁶"), =HYPERLINK("CSG23.html#group120H23", "120H²³"), =HYPERLINK("CSG10.html#group24D10", "24D¹⁰"), =HYPERLINK("CSG11.html#group24E11", "24E¹¹")</f>
        <v/>
      </c>
    </row>
    <row r="373">
      <c r="A373" t="inlineStr">
        <is>
          <t>24K²</t>
        </is>
      </c>
      <c r="B373" t="inlineStr"/>
      <c r="C373" t="inlineStr">
        <is>
          <t>48</t>
        </is>
      </c>
      <c r="D373" t="inlineStr">
        <is>
          <t>2</t>
        </is>
      </c>
      <c r="E373" t="inlineStr">
        <is>
          <t>12</t>
        </is>
      </c>
      <c r="F373" t="inlineStr">
        <is>
          <t>8</t>
        </is>
      </c>
      <c r="G373" t="inlineStr">
        <is>
          <t>0</t>
        </is>
      </c>
      <c r="H373" t="inlineStr">
        <is>
          <t>24²</t>
        </is>
      </c>
      <c r="I373" t="n">
        <v>2</v>
      </c>
      <c r="J373" t="inlineStr">
        <is>
          <t>4², 8²</t>
        </is>
      </c>
      <c r="K373">
        <f>HYPERLINK("CSG0.html#group12F0", "12F⁰"), =HYPERLINK("CSG1.html#group24A1", "24A¹"), =HYPERLINK("CSG1.html#group24B1", "24B¹")</f>
        <v/>
      </c>
      <c r="L373">
        <f>HYPERLINK("CSG5.html#group24P5", "24P⁵"), =HYPERLINK("CSG6.html#group48G6", "48G⁶"), =HYPERLINK("CSG6.html#group48H6", "48H⁶"), =HYPERLINK("CSG7.html#group24B7", "24B⁷"), =HYPERLINK("CSG8.html#group24N8", "24N⁸"), =HYPERLINK("CSG8.html#group72J8", "72J⁸"), =HYPERLINK("CSG8.html#group72K8", "72K⁸"), =HYPERLINK("CSG9.html#group24AO9", "24AO⁹"), =HYPERLINK("CSG10.html#group72I10", "72I¹⁰"), =HYPERLINK("CSG10.html#group72L10", "72L¹⁰"), =HYPERLINK("CSG18.html#group120F18", "120F¹⁸"), =HYPERLINK("CSG19.html#group120Q19", "120Q¹⁹"), =HYPERLINK("CSG22.html#group168Q22", "168Q²²"), =HYPERLINK("CSG22.html#group168R22", "168R²²")</f>
        <v/>
      </c>
      <c r="M373">
        <f>HYPERLINK("CSG0.html#group12A0", "12A⁰"), =HYPERLINK("CSG1.html#group24A1", "24A¹"), =HYPERLINK("CSG0.html#group6B0", "6B⁰"), =HYPERLINK("CSG0.html#group4A0", "4A⁰"), =HYPERLINK("CSG0.html#group12F0", "12F⁰"), =HYPERLINK("CSG0.html#group8A0", "8A⁰"), =HYPERLINK("CSG1.html#group24B1", "24B¹"), =HYPERLINK("CSG0.html#group3A0", "3A⁰"), =HYPERLINK("CSG0.html#group1A0", "1A⁰")</f>
        <v/>
      </c>
      <c r="N373">
        <f>HYPERLINK("CSG20.html#group48I20", "48I²⁰"), =HYPERLINK("CSG19.html#group24P19", "24P¹⁹"), =HYPERLINK("CSG9.html#group24AO9", "24AO⁹"), =HYPERLINK("CSG22.html#group144N22", "144N²²"), =HYPERLINK("CSG20.html#group144F20", "144F²⁰"), =HYPERLINK("CSG20.html#group48G20", "48G²⁰"), =HYPERLINK("CSG10.html#group72I10", "72I¹⁰"), =HYPERLINK("CSG22.html#group144J22", "144J²²"), =HYPERLINK("CSG8.html#group72K8", "72K⁸"), =HYPERLINK("CSG20.html#group144D20", "144D²⁰"), =HYPERLINK("CSG23.html#group72H23", "72H²³"), =HYPERLINK("CSG21.html#group72Q21", "72Q²¹"), =HYPERLINK("CSG15.html#group48A15", "48A¹⁵"), =HYPERLINK("CSG15.html#group48B15", "48B¹⁵"), =HYPERLINK("CSG23.html#group72C23", "72C²³"), =HYPERLINK("CSG20.html#group144E20", "144E²⁰"), =HYPERLINK("CSG8.html#group24N8", "24N⁸"), =HYPERLINK("CSG15.html#group24P15", "24P¹⁵"), =HYPERLINK("CSG22.html#group144M22", "144M²²"), =HYPERLINK("CSG22.html#group168R22", "168R²²"), =HYPERLINK("CSG5.html#group24P5", "24P⁵"), =HYPERLINK("CSG8.html#group72J8", "72J⁸"), =HYPERLINK("CSG19.html#group72T19", "72T¹⁹"), =HYPERLINK("CSG13.html#group24B13", "24B¹³"), =HYPERLINK("CSG21.html#group72N21", "72N²¹"), =HYPERLINK("CSG6.html#group48H6", "48H⁶"), =HYPERLINK("CSG19.html#group120Q19", "120Q¹⁹"), =HYPERLINK("CSG13.html#group48Q13", "48Q¹³"), =HYPERLINK("CSG17.html#group24AK17", "24AK¹⁷"), =HYPERLINK("CSG21.html#group72T21", "72T²¹"), =HYPERLINK("CSG6.html#group48G6", "48G⁶"), =HYPERLINK("CSG20.html#group144C20", "144C²⁰"), =HYPERLINK("CSG22.html#group144I22", "144I²²"), =HYPERLINK("CSG23.html#group72B23", "72B²³"), =HYPERLINK("CSG13.html#group48R13", "48R¹³"), =HYPERLINK("CSG11.html#group24K11", "24K¹¹"), =HYPERLINK("CSG21.html#group72U21", "72U²¹"), =HYPERLINK("CSG21.html#group24M21", "24M²¹"), =HYPERLINK("CSG21.html#group72P21", "72P²¹"), =HYPERLINK("CSG19.html#group24C19", "24C¹⁹"), =HYPERLINK("CSG17.html#group24AE17", "24AE¹⁷"), =HYPERLINK("CSG18.html#group120F18", "120F¹⁸"), =HYPERLINK("CSG10.html#group72L10", "72L¹⁰"), =HYPERLINK("CSG22.html#group168Q22", "168Q²²"), =HYPERLINK("CSG19.html#group72V19", "72V¹⁹"), =HYPERLINK("CSG17.html#group72W17", "72W¹⁷"), =HYPERLINK("CSG7.html#group24B7", "24B⁷")</f>
        <v/>
      </c>
    </row>
    <row r="374">
      <c r="A374" t="inlineStr">
        <is>
          <t>24L²</t>
        </is>
      </c>
      <c r="B374" t="inlineStr"/>
      <c r="C374" t="inlineStr">
        <is>
          <t>72</t>
        </is>
      </c>
      <c r="D374" t="inlineStr">
        <is>
          <t>1</t>
        </is>
      </c>
      <c r="E374" t="inlineStr">
        <is>
          <t>6</t>
        </is>
      </c>
      <c r="F374" t="inlineStr">
        <is>
          <t>12</t>
        </is>
      </c>
      <c r="G374" t="inlineStr">
        <is>
          <t>0</t>
        </is>
      </c>
      <c r="H374" t="inlineStr">
        <is>
          <t>12², 24²</t>
        </is>
      </c>
      <c r="I374" t="n">
        <v>4</v>
      </c>
      <c r="J374" t="inlineStr">
        <is>
          <t>1², 2²</t>
        </is>
      </c>
      <c r="K374">
        <f>HYPERLINK("CSG0.html#group8H0", "8H⁰"), =HYPERLINK("CSG0.html#group24A0", "24A⁰"), =HYPERLINK("CSG1.html#group12J1", "12J¹"), =HYPERLINK("CSG1.html#group24C1", "24C¹")</f>
        <v/>
      </c>
      <c r="L374">
        <f>HYPERLINK("CSG5.html#group24W5", "24W⁵"), =HYPERLINK("CSG5.html#group48E5", "48E⁵"), =HYPERLINK("CSG6.html#group24D6", "24D⁶"), =HYPERLINK("CSG6.html#group24G6", "24G⁶"), =HYPERLINK("CSG7.html#group24K7", "24K⁷"), =HYPERLINK("CSG7.html#group24L7", "24L⁷"), =HYPERLINK("CSG7.html#group24R7", "24R⁷"), =HYPERLINK("CSG7.html#group24AB7", "24AB⁷"), =HYPERLINK("CSG7.html#group24AC7", "24AC⁷"), =HYPERLINK("CSG7.html#group48O7", "48O⁷"), =HYPERLINK("CSG7.html#group48P7", "48P⁷"), =HYPERLINK("CSG7.html#group48U7", "48U⁷"), =HYPERLINK("CSG7.html#group48AB7", "48AB⁷"), =HYPERLINK("CSG7.html#group48AC7", "48AC⁷"), =HYPERLINK("CSG8.html#group48F8", "48F⁸"), =HYPERLINK("CSG8.html#group48R8", "48R⁸"), =HYPERLINK("CSG9.html#group24C9", "24C⁹"), =HYPERLINK("CSG9.html#group48K9", "48K⁹"), =HYPERLINK("CSG11.html#group48C11", "48C¹¹"), =HYPERLINK("CSG12.html#group72F12", "72F¹²")</f>
        <v/>
      </c>
      <c r="M374">
        <f>HYPERLINK("CSG0.html#group12C0", "12C⁰"), =HYPERLINK("CSG0.html#group8D0", "8D⁰"), =HYPERLINK("CSG0.html#group4C0", "4C⁰"), =HYPERLINK("CSG0.html#group8B0", "8B⁰"), =HYPERLINK("CSG0.html#group2B0", "2B⁰"), =HYPERLINK("CSG0.html#group1A0", "1A⁰"), =HYPERLINK("CSG0.html#group8H0", "8H⁰"),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374">
        <f>HYPERLINK("CSG7.html#group24AC7", "24AC⁷"), =HYPERLINK("CSG20.html#group96N20", "96N²⁰"), =HYPERLINK("CSG13.html#group24R13", "24R¹³"), =HYPERLINK("CSG17.html#group48AK17", "48AK¹⁷"), =HYPERLINK("CSG18.html#group48L18", "48L¹⁸"), =HYPERLINK("CSG15.html#group48V15", "48V¹⁵"), =HYPERLINK("CSG21.html#group48AE21", "48AE²¹"), =HYPERLINK("CSG7.html#group24R7", "24R⁷"), =HYPERLINK("CSG15.html#group96O15", "96O¹⁵"), =HYPERLINK("CSG17.html#group48Q17", "48Q¹⁷"), =HYPERLINK("CSG17.html#group24AD17", "24AD¹⁷"), =HYPERLINK("CSG21.html#group48V21", "48V²¹"), =HYPERLINK("CSG18.html#group48E18", "48E¹⁸"), =HYPERLINK("CSG18.html#group48O18", "48O¹⁸"), =HYPERLINK("CSG19.html#group96L19", "96L¹⁹"), =HYPERLINK("CSG5.html#group48E5", "48E⁵"), =HYPERLINK("CSG20.html#group96H20", "96H²⁰"), =HYPERLINK("CSG21.html#group48AD21", "48AD²¹"), =HYPERLINK("CSG17.html#group48BW17", "48BW¹⁷"), =HYPERLINK("CSG17.html#group48AM17", "48AM¹⁷"), =HYPERLINK("CSG17.html#group96R17", "96R¹⁷"), =HYPERLINK("CSG9.html#group48K9", "48K⁹"), =HYPERLINK("CSG19.html#group48AL19", "48AL¹⁹"), =HYPERLINK("CSG15.html#group24N15", "24N¹⁵"), =HYPERLINK("CSG17.html#group24J17", "24J¹⁷"), =HYPERLINK("CSG17.html#group48P17", "48P¹⁷"), =HYPERLINK("CSG15.html#group48Y15", "48Y¹⁵"), =HYPERLINK("CSG19.html#group96M19", "96M¹⁹"), =HYPERLINK("CSG19.html#group48AZ19", "48AZ¹⁹"), =HYPERLINK("CSG19.html#group48AV19", "48AV¹⁹"), =HYPERLINK("CSG15.html#group24O15", "24O¹⁵"), =HYPERLINK("CSG17.html#group96E17", "96E¹⁷"), =HYPERLINK("CSG17.html#group48S17", "48S¹⁷"), =HYPERLINK("CSG18.html#group48F18", "48F¹⁸"), =HYPERLINK("CSG16.html#group24C16", "24C¹⁶"), =HYPERLINK("CSG21.html#group48AX21", "48AX²¹"), =HYPERLINK("CSG17.html#group48AQ17", "48AQ¹⁷"), =HYPERLINK("CSG19.html#group48AY19", "48AY¹⁹"), =HYPERLINK("CSG16.html#group48H16", "48H¹⁶"), =HYPERLINK("CSG19.html#group24G19", "24G¹⁹"), =HYPERLINK("CSG21.html#group48Q21", "48Q²¹"), =HYPERLINK("CSG9.html#group24C9", "24C⁹"), =HYPERLINK("CSG7.html#group48U7", "48U⁷"), =HYPERLINK("CSG11.html#group48C11", "48C¹¹"), =HYPERLINK("CSG15.html#group48W15", "48W¹⁵"), =HYPERLINK("CSG6.html#group24D6", "24D⁶"), =HYPERLINK("CSG16.html#group24E16", "24E¹⁶"), =HYPERLINK("CSG17.html#group48AU17", "48AU¹⁷"), =HYPERLINK("CSG15.html#group48U15", "48U¹⁵"), =HYPERLINK("CSG17.html#group96B17", "96B¹⁷"), =HYPERLINK("CSG16.html#group24B16", "24B¹⁶"), =HYPERLINK("CSG13.html#group24V13", "24V¹³"), =HYPERLINK("CSG16.html#group48A16", "48A¹⁶"), =HYPERLINK("CSG17.html#group96F17", "96F¹⁷"), =HYPERLINK("CSG17.html#group24F17", "24F¹⁷"), =HYPERLINK("CSG19.html#group48A19", "48A¹⁹"), =HYPERLINK("CSG18.html#group48S18", "48S¹⁸"), =HYPERLINK("CSG18.html#group48T18", "48T¹⁸"), =HYPERLINK("CSG21.html#group48U21", "48U²¹"), =HYPERLINK("CSG21.html#group48AF21", "48AF²¹"), =HYPERLINK("CSG17.html#group48BR17", "48BR¹⁷"), =HYPERLINK("CSG17.html#group48AP17", "48AP¹⁷"), =HYPERLINK("CSG17.html#group24D17", "24D¹⁷"), =HYPERLINK("CSG13.html#group24X13", "24X¹³"), =HYPERLINK("CSG16.html#group24D16", "24D¹⁶"), =HYPERLINK("CSG18.html#group48Q18", "48Q¹⁸"), =HYPERLINK("CSG17.html#group24AH17", "24AH¹⁷"), =HYPERLINK("CSG15.html#group48X15", "48X¹⁵"), =HYPERLINK("CSG11.html#group96I11", "96I¹¹"), =HYPERLINK("CSG17.html#group48BO17", "48BO¹⁷"), =HYPERLINK("CSG19.html#group48AD19", "48AD¹⁹"), =HYPERLINK("CSG19.html#group48G19", "48G¹⁹"), =HYPERLINK("CSG15.html#group48J15", "48J¹⁵"), =HYPERLINK("CSG17.html#group96O17", "96O¹⁷"), =HYPERLINK("CSG6.html#group24G6", "24G⁶"), =HYPERLINK("CSG7.html#group48AB7", "48AB⁷"), =HYPERLINK("CSG16.html#group48I16", "48I¹⁶"), =HYPERLINK("CSG17.html#group24AF17", "24AF¹⁷"), =HYPERLINK("CSG17.html#group48BZ17", "48BZ¹⁷"), =HYPERLINK("CSG19.html#group96AD19", "96AD¹⁹"), =HYPERLINK("CSG19.html#group48B19", "48B¹⁹"), =HYPERLINK("CSG20.html#group96G20", "96G²⁰"), =HYPERLINK("CSG12.html#group72F12", "72F¹²"), =HYPERLINK("CSG19.html#group48AE19", "48AE¹⁹"), =HYPERLINK("CSG17.html#group48T17", "48T¹⁷"), =HYPERLINK("CSG20.html#group96O20", "96O²⁰"), =HYPERLINK("CSG19.html#group48AU19", "48AU¹⁹"), =HYPERLINK("CSG19.html#group96AC19", "96AC¹⁹"), =HYPERLINK("CSG8.html#group48R8", "48R⁸"), =HYPERLINK("CSG7.html#group48AC7", "48AC⁷"), =HYPERLINK("CSG7.html#group48P7", "48P⁷"), =HYPERLINK("CSG21.html#group48L21", "48L²¹"), =HYPERLINK("CSG19.html#group48S19", "48S¹⁹"), =HYPERLINK("CSG5.html#group24W5", "24W⁵"), =HYPERLINK("CSG18.html#group48M18", "48M¹⁸"), =HYPERLINK("CSG17.html#group96X17", "96X¹⁷"), =HYPERLINK("CSG15.html#group24Q15", "24Q¹⁵"), =HYPERLINK("CSG17.html#group48AE17", "48AE¹⁷"), =HYPERLINK("CSG15.html#group24P15", "24P¹⁵"), =HYPERLINK("CSG7.html#group24L7", "24L⁷"), =HYPERLINK("CSG17.html#group48BX17", "48BX¹⁷"), =HYPERLINK("CSG23.html#group96A23", "96A²³"), =HYPERLINK("CSG21.html#group48F21", "48F²¹"), =HYPERLINK("CSG17.html#group96N17", "96N¹⁷"), =HYPERLINK("CSG7.html#group24K7", "24K⁷"), =HYPERLINK("CSG17.html#group24AG17", "24AG¹⁷"), =HYPERLINK("CSG17.html#group48AT17", "48AT¹⁷"), =HYPERLINK("CSG19.html#group24A19", "24A¹⁹"), =HYPERLINK("CSG17.html#group48BN17", "48BN¹⁷"), =HYPERLINK("CSG19.html#group96J19", "96J¹⁹"), =HYPERLINK("CSG15.html#group48I15", "48I¹⁵"), =HYPERLINK("CSG15.html#group48T15", "48T¹⁵"), =HYPERLINK("CSG17.html#group48AF17", "48AF¹⁷"), =HYPERLINK("CSG19.html#group48BA19", "48BA¹⁹"), =HYPERLINK("CSG18.html#group48N18", "48N¹⁸"), =HYPERLINK("CSG15.html#group24R15", "24R¹⁵"), =HYPERLINK("CSG16.html#group48G16", "48G¹⁶"), =HYPERLINK("CSG17.html#group48AS17", "48AS¹⁷"), =HYPERLINK("CSG7.html#group48O7", "48O⁷"), =HYPERLINK("CSG17.html#group48AN17", "48AN¹⁷"), =HYPERLINK("CSG19.html#group48AK19", "48AK¹⁹"), =HYPERLINK("CSG8.html#group48F8", "48F⁸"), =HYPERLINK("CSG16.html#group24A16", "24A¹⁶"), =HYPERLINK("CSG17.html#group48AO17", "48AO¹⁷"), =HYPERLINK("CSG17.html#group96D17", "96D¹⁷"), =HYPERLINK("CSG19.html#group24F19", "24F¹⁹"), =HYPERLINK("CSG17.html#group96C17", "96C¹⁷"), =HYPERLINK("CSG7.html#group24AB7", "24AB⁷"), =HYPERLINK("CSG19.html#group48AC19", "48AC¹⁹"), =HYPERLINK("CSG18.html#group48P18", "48P¹⁸"), =HYPERLINK("CSG19.html#group48T19", "48T¹⁹"), =HYPERLINK("CSG17.html#group24B17", "24B¹⁷"), =HYPERLINK("CSG21.html#group48AS21", "48AS²¹"), =HYPERLINK("CSG15.html#group48H15", "48H¹⁵"), =HYPERLINK("CSG17.html#group48AL17", "48AL¹⁷"), =HYPERLINK("CSG21.html#group48T21", "48T²¹"), =HYPERLINK("CSG15.html#group48S15", "48S¹⁵"), =HYPERLINK("CSG16.html#group48F16", "48F¹⁶"), =HYPERLINK("CSG19.html#group48AJ19", "48AJ¹⁹"), =HYPERLINK("CSG17.html#group96Y17", "96Y¹⁷"), =HYPERLINK("CSG21.html#group48E21", "48E²¹"), =HYPERLINK("CSG13.html#group48AB13", "48AB¹³"), =HYPERLINK("CSG19.html#group48D19", "48D¹⁹"), =HYPERLINK("CSG21.html#group48AR21", "48AR²¹"), =HYPERLINK("CSG19.html#group48AB19", "48AB¹⁹"), =HYPERLINK("CSG19.html#group48AM19", "48AM¹⁹"), =HYPERLINK("CSG19.html#group24D19", "24D¹⁹"), =HYPERLINK("CSG15.html#group24M15", "24M¹⁵")</f>
        <v/>
      </c>
    </row>
    <row r="375">
      <c r="A375" t="inlineStr">
        <is>
          <t>24M²</t>
        </is>
      </c>
      <c r="B375" t="inlineStr"/>
      <c r="C375" t="inlineStr">
        <is>
          <t>72</t>
        </is>
      </c>
      <c r="D375" t="inlineStr">
        <is>
          <t>1</t>
        </is>
      </c>
      <c r="E375" t="inlineStr">
        <is>
          <t>12</t>
        </is>
      </c>
      <c r="F375" t="inlineStr">
        <is>
          <t>12</t>
        </is>
      </c>
      <c r="G375" t="inlineStr">
        <is>
          <t>0</t>
        </is>
      </c>
      <c r="H375" t="inlineStr">
        <is>
          <t>12², 24²</t>
        </is>
      </c>
      <c r="I375" t="n">
        <v>4</v>
      </c>
      <c r="J375" t="inlineStr">
        <is>
          <t>1⁴, 2², 4¹</t>
        </is>
      </c>
      <c r="K375">
        <f>HYPERLINK("CSG0.html#group8L0", "8L⁰"), =HYPERLINK("CSG0.html#group24A0", "24A⁰")</f>
        <v/>
      </c>
      <c r="L375">
        <f>HYPERLINK("CSG5.html#group24Y5", "24Y⁵"), =HYPERLINK("CSG5.html#group48F5", "48F⁵"), =HYPERLINK("CSG6.html#group24D6", "24D⁶"), =HYPERLINK("CSG6.html#group24K6", "24K⁶"), =HYPERLINK("CSG7.html#group24AA7", "24AA⁷"), =HYPERLINK("CSG7.html#group48AF7", "48AF⁷"), =HYPERLINK("CSG8.html#group48X8", "48X⁸"), =HYPERLINK("CSG8.html#group48AA8", "48AA⁸"), =HYPERLINK("CSG9.html#group24D9", "24D⁹"), =HYPERLINK("CSG9.html#group48X9", "48X⁹"), =HYPERLINK("CSG11.html#group48K11", "48K¹¹"), =HYPERLINK("CSG12.html#group72J12", "72J¹²")</f>
        <v/>
      </c>
      <c r="M375">
        <f>HYPERLINK("CSG0.html#group12C0", "12C⁰"), =HYPERLINK("CSG0.html#group24A0", "24A⁰"), =HYPERLINK("CSG0.html#group4C0", "4C⁰"), =HYPERLINK("CSG0.html#group8B0", "8B⁰"), =HYPERLINK("CSG0.html#group8L0", "8L⁰"), =HYPERLINK("CSG0.html#group2B0", "2B⁰"), =HYPERLINK("CSG0.html#group3A0", "3A⁰"), =HYPERLINK("CSG0.html#group1A0", "1A⁰"), =HYPERLINK("CSG0.html#group6D0", "6D⁰")</f>
        <v/>
      </c>
      <c r="N375">
        <f>HYPERLINK("CSG7.html#group24AA7", "24AA⁷"), =HYPERLINK("CSG19.html#group48BE19", "48BE¹⁹"), =HYPERLINK("CSG21.html#group48I21", "48I²¹"), =HYPERLINK("CSG19.html#group48BJ19", "48BJ¹⁹"), =HYPERLINK("CSG17.html#group96AA17", "96AA¹⁷"), =HYPERLINK("CSG19.html#group48BK19", "48BK¹⁹"), =HYPERLINK("CSG17.html#group24L17", "24L¹⁷"), =HYPERLINK("CSG23.html#group96H23", "96H²³"), =HYPERLINK("CSG21.html#group48AH21", "48AH²¹"), =HYPERLINK("CSG17.html#group48CA17", "48CA¹⁷"), =HYPERLINK("CSG15.html#group48M15", "48M¹⁵"), =HYPERLINK("CSG21.html#group48BF21", "48BF²¹"), =HYPERLINK("CSG17.html#group96AB17", "96AB¹⁷"), =HYPERLINK("CSG9.html#group48X9", "48X⁹"), =HYPERLINK("CSG6.html#group24K6", "24K⁶"), =HYPERLINK("CSG21.html#group48J21", "48J²¹"), =HYPERLINK("CSG23.html#group96V23", "96V²³"), =HYPERLINK("CSG11.html#group96J11", "96J¹¹"), =HYPERLINK("CSG21.html#group48V21", "48V²¹"), =HYPERLINK("CSG17.html#group48CH17", "48CH¹⁷"), =HYPERLINK("CSG19.html#group48AR19", "48AR¹⁹"), =HYPERLINK("CSG17.html#group48AT17", "48AT¹⁷"), =HYPERLINK("CSG13.html#group24Y13", "24Y¹³"), =HYPERLINK("CSG20.html#group96I20", "96I²⁰"), =HYPERLINK("CSG20.html#group96Q20", "96Q²⁰"), =HYPERLINK("CSG17.html#group48CG17", "48CG¹⁷"), =HYPERLINK("CSG17.html#group48CD17", "48CD¹⁷"), =HYPERLINK("CSG11.html#group48K11", "48K¹¹"), =HYPERLINK("CSG15.html#group48L15", "48L¹⁵"), =HYPERLINK("CSG5.html#group24Y5", "24Y⁵"), =HYPERLINK("CSG15.html#group24M15", "24M¹⁵"), =HYPERLINK("CSG21.html#group48BD21", "48BD²¹"), =HYPERLINK("CSG17.html#group96Z17", "96Z¹⁷"), =HYPERLINK("CSG15.html#group48AD15", "48AD¹⁵"), =HYPERLINK("CSG21.html#group48AL21", "48AL²¹"), =HYPERLINK("CSG9.html#group24D9", "24D⁹"), =HYPERLINK("CSG21.html#group48BG21", "48BG²¹"), =HYPERLINK("CSG19.html#group96W19", "96W¹⁹"), =HYPERLINK("CSG17.html#group48BG17", "48BG¹⁷"), =HYPERLINK("CSG15.html#group96S15", "96S¹⁵"), =HYPERLINK("CSG17.html#group48CB17", "48CB¹⁷"), =HYPERLINK("CSG20.html#group96J20", "96J²⁰"), =HYPERLINK("CSG8.html#group48AA8", "48AA⁸"), =HYPERLINK("CSG17.html#group48BH17", "48BH¹⁷"), =HYPERLINK("CSG13.html#group24Z13", "24Z¹³"), =HYPERLINK("CSG6.html#group24D6", "24D⁶"), =HYPERLINK("CSG8.html#group48X8", "48X⁸"), =HYPERLINK("CSG16.html#group24B16", "24B¹⁶"), =HYPERLINK("CSG16.html#group24A16", "24A¹⁶"), =HYPERLINK("CSG17.html#group96H17", "96H¹⁷"), =HYPERLINK("CSG19.html#group48R19", "48R¹⁹"), =HYPERLINK("CSG19.html#group48BG19", "48BG¹⁹"), =HYPERLINK("CSG16.html#group48A16", "48A¹⁶"), =HYPERLINK("CSG13.html#group24AA13", "24AA¹³"), =HYPERLINK("CSG23.html#group96N23", "96N²³"), =HYPERLINK("CSG15.html#group48AF15", "48AF¹⁵"), =HYPERLINK("CSG13.html#group24X13", "24X¹³"), =HYPERLINK("CSG15.html#group24U15", "24U¹⁵"), =HYPERLINK("CSG17.html#group48AY17", "48AY¹⁷"), =HYPERLINK("CSG5.html#group48F5", "48F⁵"), =HYPERLINK("CSG21.html#group48BU21", "48BU²¹"), =HYPERLINK("CSG17.html#group24U17", "24U¹⁷"), =HYPERLINK("CSG17.html#group24V17", "24V¹⁷"), =HYPERLINK("CSG17.html#group24B17", "24B¹⁷"), =HYPERLINK("CSG15.html#group48J15", "48J¹⁵"), =HYPERLINK("CSG23.html#group96M23", "96M²³"), =HYPERLINK("CSG17.html#group96G17", "96G¹⁷"), =HYPERLINK("CSG15.html#group48AE15", "48AE¹⁵"), =HYPERLINK("CSG20.html#group96P20", "96P²⁰"), =HYPERLINK("CSG16.html#group48F16", "48F¹⁶"), =HYPERLINK("CSG19.html#group48AJ19", "48AJ¹⁹"), =HYPERLINK("CSG13.html#group48AF13", "48AF¹³"), =HYPERLINK("CSG23.html#group96U23", "96U²³"), =HYPERLINK("CSG17.html#group48AZ17", "48AZ¹⁷"), =HYPERLINK("CSG17.html#group96AE17", "96AE¹⁷"), =HYPERLINK("CSG19.html#group48BF19", "48BF¹⁹"), =HYPERLINK("CSG7.html#group48AF7", "48AF⁷"), =HYPERLINK("CSG12.html#group72J12", "72J¹²")</f>
        <v/>
      </c>
    </row>
    <row r="376">
      <c r="A376" t="inlineStr">
        <is>
          <t>24N²</t>
        </is>
      </c>
      <c r="B376" t="inlineStr"/>
      <c r="C376" t="inlineStr">
        <is>
          <t>72</t>
        </is>
      </c>
      <c r="D376" t="inlineStr">
        <is>
          <t>1</t>
        </is>
      </c>
      <c r="E376" t="inlineStr">
        <is>
          <t>18</t>
        </is>
      </c>
      <c r="F376" t="inlineStr">
        <is>
          <t>8</t>
        </is>
      </c>
      <c r="G376" t="inlineStr">
        <is>
          <t>0</t>
        </is>
      </c>
      <c r="H376" t="inlineStr">
        <is>
          <t>6⁴, 24²</t>
        </is>
      </c>
      <c r="I376" t="n">
        <v>6</v>
      </c>
      <c r="J376" t="inlineStr">
        <is>
          <t>2⁵, 4²</t>
        </is>
      </c>
      <c r="K376">
        <f>HYPERLINK("CSG0.html#group12H0", "12H⁰"), =HYPERLINK("CSG1.html#group24E1", "24E¹")</f>
        <v/>
      </c>
      <c r="L376">
        <f>HYPERLINK("CSG5.html#group24U5", "24U⁵"), =HYPERLINK("CSG5.html#group24V5", "24V⁵"), =HYPERLINK("CSG6.html#group48K6", "48K⁶"), =HYPERLINK("CSG7.html#group24I7", "24I⁷"), =HYPERLINK("CSG7.html#group24AE7", "24AE⁷"), =HYPERLINK("CSG8.html#group48W8", "48W⁸"), =HYPERLINK("CSG9.html#group24M9", "24M⁹"), =HYPERLINK("CSG12.html#group72L12", "72L¹²"), =HYPERLINK("CSG14.html#group72B14", "72B¹⁴")</f>
        <v/>
      </c>
      <c r="M376">
        <f>HYPERLINK("CSG1.html#group24E1", "24E¹"), =HYPERLINK("CSG0.html#group6B0", "6B⁰"), =HYPERLINK("CSG0.html#group12C0", "12C⁰"), =HYPERLINK("CSG0.html#group3A0", "3A⁰"), =HYPERLINK("CSG0.html#group4C0", "4C⁰"), =HYPERLINK("CSG0.html#group2B0", "2B⁰"), =HYPERLINK("CSG0.html#group12D0", "12D⁰"), =HYPERLINK("CSG0.html#group6H0", "6H⁰"), =HYPERLINK("CSG0.html#group12H0", "12H⁰"), =HYPERLINK("CSG0.html#group1A0", "1A⁰"), =HYPERLINK("CSG0.html#group6D0", "6D⁰")</f>
        <v/>
      </c>
      <c r="N376">
        <f>HYPERLINK("CSG15.html#group24T15", "24T¹⁵"), =HYPERLINK("CSG14.html#group72B14", "72B¹⁴"), =HYPERLINK("CSG13.html#group48AA13", "48AA¹³"), =HYPERLINK("CSG13.html#group24R13", "24R¹³"), =HYPERLINK("CSG11.html#group24N11", "24N¹¹"), =HYPERLINK("CSG9.html#group24M9", "24M⁹"), =HYPERLINK("CSG17.html#group24I17", "24I¹⁷"), =HYPERLINK("CSG6.html#group48K6", "48K⁶"), =HYPERLINK("CSG19.html#group48AQ19", "48AQ¹⁹"), =HYPERLINK("CSG13.html#group24AA13", "24AA¹³"), =HYPERLINK("CSG17.html#group48U17", "48U¹⁷"), =HYPERLINK("CSG5.html#group24V5", "24V⁵"), =HYPERLINK("CSG19.html#group48BM19", "48BM¹⁹"), =HYPERLINK("CSG19.html#group24R19", "24R¹⁹"), =HYPERLINK("CSG7.html#group24AE7", "24AE⁷"), =HYPERLINK("CSG17.html#group48AG17", "48AG¹⁷"), =HYPERLINK("CSG15.html#group24K15", "24K¹⁵"), =HYPERLINK("CSG5.html#group24U5", "24U⁵"), =HYPERLINK("CSG7.html#group24I7", "24I⁷"), =HYPERLINK("CSG15.html#group48AB15", "48AB¹⁵"), =HYPERLINK("CSG15.html#group24S15", "24S¹⁵"), =HYPERLINK("CSG15.html#group48K15", "48K¹⁵"), =HYPERLINK("CSG21.html#group48AA21", "48AA²¹"), =HYPERLINK("CSG17.html#group48BD17", "48BD¹⁷"), =HYPERLINK("CSG19.html#group48K19", "48K¹⁹"), =HYPERLINK("CSG12.html#group72L12", "72L¹²"), =HYPERLINK("CSG8.html#group48W8", "48W⁸"), =HYPERLINK("CSG17.html#group24G17", "24G¹⁷"), =HYPERLINK("CSG17.html#group48AH17", "48AH¹⁷"), =HYPERLINK("CSG21.html#group48BK21", "48BK²¹"), =HYPERLINK("CSG13.html#group24K13", "24K¹³"), =HYPERLINK("CSG17.html#group24AK17", "24AK¹⁷"), =HYPERLINK("CSG13.html#group48AD13", "48AD¹³"), =HYPERLINK("CSG17.html#group24N17", "24N¹⁷"), =HYPERLINK("CSG17.html#group48CI17", "48CI¹⁷"), =HYPERLINK("CSG17.html#group48BQ17", "48BQ¹⁷"), =HYPERLINK("CSG15.html#group24I15", "24I¹⁵"), =HYPERLINK("CSG23.html#group72K23", "72K²³"), =HYPERLINK("CSG17.html#group48BC17", "48BC¹⁷"), =HYPERLINK("CSG13.html#group48AC13", "48AC¹³"), =HYPERLINK("CSG17.html#group24AL17", "24AL¹⁷"), =HYPERLINK("CSG15.html#group48AC15", "48AC¹⁵"), =HYPERLINK("CSG21.html#group48BJ21", "48BJ²¹"), =HYPERLINK("CSG13.html#group24Z13", "24Z¹³")</f>
        <v/>
      </c>
    </row>
    <row r="377">
      <c r="A377" t="inlineStr">
        <is>
          <t>24O²</t>
        </is>
      </c>
      <c r="B377" t="inlineStr"/>
      <c r="C377" t="inlineStr">
        <is>
          <t>72</t>
        </is>
      </c>
      <c r="D377" t="inlineStr">
        <is>
          <t>1</t>
        </is>
      </c>
      <c r="E377" t="inlineStr">
        <is>
          <t>18</t>
        </is>
      </c>
      <c r="F377" t="inlineStr">
        <is>
          <t>8</t>
        </is>
      </c>
      <c r="G377" t="inlineStr">
        <is>
          <t>0</t>
        </is>
      </c>
      <c r="H377" t="inlineStr">
        <is>
          <t>6⁴, 24²</t>
        </is>
      </c>
      <c r="I377" t="n">
        <v>6</v>
      </c>
      <c r="J377" t="inlineStr">
        <is>
          <t>1², 2⁴, 4²</t>
        </is>
      </c>
      <c r="K377">
        <f>HYPERLINK("CSG0.html#group12H0", "12H⁰"), =HYPERLINK("CSG1.html#group24C1", "24C¹"), =HYPERLINK("CSG1.html#group24E1", "24E¹")</f>
        <v/>
      </c>
      <c r="L377">
        <f>HYPERLINK("CSG5.html#group24U5", "24U⁵"), =HYPERLINK("CSG5.html#group24W5", "24W⁵"), =HYPERLINK("CSG6.html#group48I6", "48I⁶"), =HYPERLINK("CSG6.html#group48J6", "48J⁶"), =HYPERLINK("CSG7.html#group24J7", "24J⁷"), =HYPERLINK("CSG7.html#group24AD7", "24AD⁷"), =HYPERLINK("CSG8.html#group48N8", "48N⁸"), =HYPERLINK("CSG8.html#group48O8", "48O⁸"), =HYPERLINK("CSG9.html#group24Q9", "24Q⁹"), =HYPERLINK("CSG12.html#group72M12", "72M¹²"), =HYPERLINK("CSG14.html#group72C14", "72C¹⁴")</f>
        <v/>
      </c>
      <c r="M377">
        <f>HYPERLINK("CSG1.html#group24E1", "24E¹"), =HYPERLINK("CSG0.html#group6B0", "6B⁰"), =HYPERLINK("CSG0.html#group12C0", "12C⁰"), =HYPERLINK("CSG0.html#group3A0", "3A⁰"), =HYPERLINK("CSG0.html#group8D0", "8D⁰"), =HYPERLINK("CSG0.html#group4C0", "4C⁰"), =HYPERLINK("CSG1.html#group24C1", "24C¹"), =HYPERLINK("CSG0.html#group2B0", "2B⁰"), =HYPERLINK("CSG0.html#group12D0", "12D⁰"), =HYPERLINK("CSG0.html#group6H0", "6H⁰"), =HYPERLINK("CSG0.html#group12H0", "12H⁰"), =HYPERLINK("CSG0.html#group1A0", "1A⁰"), =HYPERLINK("CSG0.html#group6D0", "6D⁰")</f>
        <v/>
      </c>
      <c r="N377">
        <f>HYPERLINK("CSG19.html#group24P19", "24P¹⁹"), =HYPERLINK("CSG16.html#group96B16", "96B¹⁶"), =HYPERLINK("CSG20.html#group96L20", "96L²⁰"), =HYPERLINK("CSG15.html#group48U15", "48U¹⁵"), =HYPERLINK("CSG21.html#group48AY21", "48AY²¹"), =HYPERLINK("CSG19.html#group48Y19", "48Y¹⁹"), =HYPERLINK("CSG8.html#group48O8", "48O⁸"), =HYPERLINK("CSG13.html#group24R13", "24R¹³"), =HYPERLINK("CSG16.html#group96C16", "96C¹⁶"), =HYPERLINK("CSG13.html#group24V13", "24V¹³"), =HYPERLINK("CSG11.html#group24N11", "24N¹¹"), =HYPERLINK("CSG7.html#group24J7", "24J⁷"), =HYPERLINK("CSG5.html#group24W5", "24W⁵"), =HYPERLINK("CSG15.html#group48V15", "48V¹⁵"), =HYPERLINK("CSG9.html#group24Q9", "24Q⁹"), =HYPERLINK("CSG15.html#group24Q15", "24Q¹⁵"), =HYPERLINK("CSG21.html#group48AE21", "48AE²¹"), =HYPERLINK("CSG17.html#group48BR17", "48BR¹⁷"), =HYPERLINK("CSG15.html#group48E15", "48E¹⁵"), =HYPERLINK("CSG15.html#group24K15", "24K¹⁵"), =HYPERLINK("CSG17.html#group48AG17", "48AG¹⁷"), =HYPERLINK("CSG5.html#group24U5", "24U⁵"), =HYPERLINK("CSG15.html#group24D15", "24D¹⁵"), =HYPERLINK("CSG15.html#group24P15", "24P¹⁵"), =HYPERLINK("CSG13.html#group24X13", "24X¹³"), =HYPERLINK("CSG14.html#group72C14", "72C¹⁴"), =HYPERLINK("CSG20.html#group96F20", "96F²⁰"), =HYPERLINK("CSG8.html#group48N8", "48N⁸"), =HYPERLINK("CSG19.html#group48U19", "48U¹⁹"), =HYPERLINK("CSG7.html#group24AD7", "24AD⁷"), =HYPERLINK("CSG16.html#group96E16", "96E¹⁶"), =HYPERLINK("CSG15.html#group48F15", "48F¹⁵"), =HYPERLINK("CSG6.html#group48I6", "48I⁶"), =HYPERLINK("CSG17.html#group48K17", "48K¹⁷"), =HYPERLINK("CSG20.html#group96E20", "96E²⁰"), =HYPERLINK("CSG20.html#group96K20", "96K²⁰"), =HYPERLINK("CSG17.html#group24AM17", "24AM¹⁷"), =HYPERLINK("CSG17.html#group24H17", "24H¹⁷"), =HYPERLINK("CSG17.html#group48AH17", "48AH¹⁷"), =HYPERLINK("CSG17.html#group24J17", "24J¹⁷"), =HYPERLINK("CSG13.html#group24K13", "24K¹³"), =HYPERLINK("CSG13.html#group48AD13", "48AD¹³"), =HYPERLINK("CSG17.html#group24N17", "24N¹⁷"), =HYPERLINK("CSG21.html#group48AT21", "48AT²¹"), =HYPERLINK("CSG15.html#group24E15", "24E¹⁵"), =HYPERLINK("CSG15.html#group48S15", "48S¹⁵"), =HYPERLINK("CSG15.html#group24O15", "24O¹⁵"), =HYPERLINK("CSG15.html#group48T15", "48T¹⁵"), =HYPERLINK("CSG17.html#group48BV17", "48BV¹⁷"), =HYPERLINK("CSG23.html#group72K23", "72K²³"), =HYPERLINK("CSG19.html#group48F19", "48F¹⁹"), =HYPERLINK("CSG16.html#group96A16", "96A¹⁶"), =HYPERLINK("CSG19.html#group48BN19", "48BN¹⁹"), =HYPERLINK("CSG13.html#group48AC13", "48AC¹³"), =HYPERLINK("CSG6.html#group48J6", "48J⁶"), =HYPERLINK("CSG16.html#group96D16", "96D¹⁶"), =HYPERLINK("CSG19.html#group48E19", "48E¹⁹"), =HYPERLINK("CSG17.html#group48AQ17", "48AQ¹⁷"), =HYPERLINK("CSG12.html#group72M12", "72M¹²"), =HYPERLINK("CSG13.html#group48AB13", "48AB¹³"), =HYPERLINK("CSG15.html#group24R15", "24R¹⁵"), =HYPERLINK("CSG17.html#group48BU17", "48BU¹⁷"), =HYPERLINK("CSG17.html#group48AS17", "48AS¹⁷"), =HYPERLINK("CSG19.html#group24L19", "24L¹⁹"), =HYPERLINK("CSG17.html#group48E17", "48E¹⁷")</f>
        <v/>
      </c>
    </row>
    <row r="378">
      <c r="A378" t="inlineStr">
        <is>
          <t>24P²</t>
        </is>
      </c>
      <c r="B378" t="inlineStr"/>
      <c r="C378" t="inlineStr">
        <is>
          <t>72</t>
        </is>
      </c>
      <c r="D378" t="inlineStr">
        <is>
          <t>1</t>
        </is>
      </c>
      <c r="E378" t="inlineStr">
        <is>
          <t>18</t>
        </is>
      </c>
      <c r="F378" t="inlineStr">
        <is>
          <t>12</t>
        </is>
      </c>
      <c r="G378" t="inlineStr">
        <is>
          <t>0</t>
        </is>
      </c>
      <c r="H378" t="inlineStr">
        <is>
          <t>12², 24²</t>
        </is>
      </c>
      <c r="I378" t="n">
        <v>4</v>
      </c>
      <c r="J378" t="inlineStr">
        <is>
          <t>1², 2⁴, 4²</t>
        </is>
      </c>
      <c r="K378">
        <f>HYPERLINK("CSG0.html#group24A0", "24A⁰"), =HYPERLINK("CSG1.html#group12M1", "12M¹"), =HYPERLINK("CSG1.html#group24E1", "24E¹")</f>
        <v/>
      </c>
      <c r="L378">
        <f>HYPERLINK("CSG5.html#group24V5", "24V⁵"), =HYPERLINK("CSG5.html#group24W5", "24W⁵"), =HYPERLINK("CSG5.html#group48G5", "48G⁵"), =HYPERLINK("CSG6.html#group24H6", "24H⁶"), =HYPERLINK("CSG6.html#group24I6", "24I⁶"), =HYPERLINK("CSG6.html#group24K6", "24K⁶"), =HYPERLINK("CSG7.html#group24O7", "24O⁷"), =HYPERLINK("CSG7.html#group24R7", "24R⁷"), =HYPERLINK("CSG7.html#group48V7", "48V⁷"), =HYPERLINK("CSG7.html#group48AI7", "48AI⁷"), =HYPERLINK("CSG8.html#group48S8", "48S⁸"), =HYPERLINK("CSG8.html#group48T8", "48T⁸"), =HYPERLINK("CSG8.html#group48AB8", "48AB⁸"), =HYPERLINK("CSG9.html#group24F9", "24F⁹"), =HYPERLINK("CSG9.html#group48L9", "48L⁹"), =HYPERLINK("CSG9.html#group48AB9", "48AB⁹"), =HYPERLINK("CSG11.html#group48L11", "48L¹¹"), =HYPERLINK("CSG12.html#group72G12", "72G¹²"), =HYPERLINK("CSG12.html#group72N12", "72N¹²")</f>
        <v/>
      </c>
      <c r="M378">
        <f>HYPERLINK("CSG1.html#group24E1", "24E¹"), =HYPERLINK("CSG0.html#group12C0", "12C⁰"), =HYPERLINK("CSG0.html#group24A0", "24A⁰"), =HYPERLINK("CSG0.html#group4C0", "4C⁰"), =HYPERLINK("CSG0.html#group8B0", "8B⁰"), =HYPERLINK("CSG1.html#group12M1", "12M¹"), =HYPERLINK("CSG0.html#group2B0", "2B⁰"), =HYPERLINK("CSG0.html#group3A0", "3A⁰"), =HYPERLINK("CSG0.html#group1A0", "1A⁰"), =HYPERLINK("CSG0.html#group6D0", "6D⁰")</f>
        <v/>
      </c>
      <c r="N378">
        <f>HYPERLINK("CSG8.html#group48AB8", "48AB⁸"), =HYPERLINK("CSG9.html#group24F9", "24F⁹"), =HYPERLINK("CSG15.html#group24T15", "24T¹⁵"), =HYPERLINK("CSG15.html#group96R15", "96R¹⁵"), =HYPERLINK("CSG13.html#group48AA13", "48AA¹³"), =HYPERLINK("CSG17.html#group48O17", "48O¹⁷"), =HYPERLINK("CSG13.html#group24R13", "24R¹³"), =HYPERLINK("CSG19.html#group48BJ19", "48BJ¹⁹"), =HYPERLINK("CSG21.html#group96Z21", "96Z²¹"), =HYPERLINK("CSG17.html#group24I17", "24I¹⁷"), =HYPERLINK("CSG21.html#group48R21", "48R²¹"), =HYPERLINK("CSG17.html#group48AK17", "48AK¹⁷"), =HYPERLINK("CSG19.html#group48BK19", "48BK¹⁹"), =HYPERLINK("CSG5.html#group24W5", "24W⁵"), =HYPERLINK("CSG20.html#group96AC20", "96AC²⁰"), =HYPERLINK("CSG8.html#group48S8", "48S⁸"), =HYPERLINK("CSG19.html#group48AN19", "48AN¹⁹"), =HYPERLINK("CSG17.html#group48CE17", "48CE¹⁷"), =HYPERLINK("CSG15.html#group48V15", "48V¹⁵"), =HYPERLINK("CSG15.html#group24Q15", "24Q¹⁵"), =HYPERLINK("CSG20.html#group96R20", "96R²⁰"), =HYPERLINK("CSG21.html#group48AE21", "48AE²¹"), =HYPERLINK("CSG7.html#group24R7", "24R⁷"), =HYPERLINK("CSG21.html#group48BI21", "48BI²¹"), =HYPERLINK("CSG13.html#group96G13", "96G¹³"), =HYPERLINK("CSG15.html#group48Z15", "48Z¹⁵"), =HYPERLINK("CSG17.html#group48AE17", "48AE¹⁷"), =HYPERLINK("CSG20.html#group96AA20", "96AA²⁰"), =HYPERLINK("CSG20.html#group96AB20", "96AB²⁰"), =HYPERLINK("CSG15.html#group24P15", "24P¹⁵"), =HYPERLINK("CSG21.html#group48AN21", "48AN²¹"), =HYPERLINK("CSG19.html#group48BI19", "48BI¹⁹"), =HYPERLINK("CSG19.html#group48AM19", "48AM¹⁹"), =HYPERLINK("CSG6.html#group24K6", "24K⁶"), =HYPERLINK("CSG20.html#group96S20", "96S²⁰"), =HYPERLINK("CSG17.html#group48Q17", "48Q¹⁷"), =HYPERLINK("CSG17.html#group24AD17", "24AD¹⁷"), =HYPERLINK("CSG17.html#group48CH17", "48CH¹⁷"), =HYPERLINK("CSG17.html#group24AG17", "24AG¹⁷"), =HYPERLINK("CSG7.html#group48AI7", "48AI⁷"), =HYPERLINK("CSG6.html#group24I6", "24I⁶"), =HYPERLINK("CSG21.html#group48AA21", "48AA²¹"), =HYPERLINK("CSG21.html#group48AD21", "48AD²¹"), =HYPERLINK("CSG21.html#group48AC21", "48AC²¹"), =HYPERLINK("CSG17.html#group48CG17", "48CG¹⁷"), =HYPERLINK("CSG19.html#group48AL19", "48AL¹⁹"), =HYPERLINK("CSG17.html#group24Q17", "24Q¹⁷"), =HYPERLINK("CSG8.html#group48T8", "48T⁸"), =HYPERLINK("CSG15.html#group24N15", "24N¹⁵"), =HYPERLINK("CSG17.html#group24J17", "24J¹⁷"), =HYPERLINK("CSG17.html#group48P17", "48P¹⁷"), =HYPERLINK("CSG20.html#group96Z20", "96Z²⁰"), =HYPERLINK("CSG21.html#group48AB21", "48AB²¹"), =HYPERLINK("CSG15.html#group24O15", "24O¹⁵"), =HYPERLINK("CSG7.html#group48V7", "48V⁷"), =HYPERLINK("CSG15.html#group48T15", "48T¹⁵"), =HYPERLINK("CSG17.html#group48AF17", "48AF¹⁷"), =HYPERLINK("CSG17.html#group48BC17", "48BC¹⁷"), =HYPERLINK("CSG17.html#group48AQ17", "48AQ¹⁷"), =HYPERLINK("CSG21.html#group48BH21", "48BH²¹"), =HYPERLINK("CSG15.html#group48AC15", "48AC¹⁵"), =HYPERLINK("CSG19.html#group48BH19", "48BH¹⁹"), =HYPERLINK("CSG15.html#group24R15", "24R¹⁵"), =HYPERLINK("CSG21.html#group48BQ21", "48BQ²¹"), =HYPERLINK("CSG17.html#group48AS17", "48AS¹⁷"), =HYPERLINK("CSG17.html#group48CB17", "48CB¹⁷"), =HYPERLINK("CSG13.html#group24Z13", "24Z¹³"), =HYPERLINK("CSG17.html#group48CF17", "48CF¹⁷"), =HYPERLINK("CSG15.html#group48U15", "48U¹⁵"), =HYPERLINK("CSG17.html#group48N17", "48N¹⁷"), =HYPERLINK("CSG13.html#group24V13", "24V¹³"), =HYPERLINK("CSG12.html#group72N12", "72N¹²"), =HYPERLINK("CSG15.html#group96Q15", "96Q¹⁵"), =HYPERLINK("CSG13.html#group24AA13", "24AA¹³"), =HYPERLINK("CSG17.html#group48BB17", "48BB¹⁷"), =HYPERLINK("CSG5.html#group24V5", "24V⁵"), =HYPERLINK("CSG21.html#group48AF21", "48AF²¹"), =HYPERLINK("CSG20.html#group96U20", "96U²⁰"), =HYPERLINK("CSG17.html#group48BR17", "48BR¹⁷"), =HYPERLINK("CSG9.html#group48AB9", "48AB⁹"), =HYPERLINK("CSG6.html#group24H6", "24H⁶"), =HYPERLINK("CSG13.html#group24X13", "24X¹³"), =HYPERLINK("CSG17.html#group24D17", "24D¹⁷"), =HYPERLINK("CSG15.html#group48AB15", "48AB¹⁵"), =HYPERLINK("CSG17.html#group24AH17", "24AH¹⁷"), =HYPERLINK("CSG19.html#group96V19", "96V¹⁹"), =HYPERLINK("CSG15.html#group24U15", "24U¹⁵"), =HYPERLINK("CSG20.html#group96T20", "96T²⁰"), =HYPERLINK("CSG15.html#group24S15", "24S¹⁵"), =HYPERLINK("CSG21.html#group48BU21", "48BU²¹"), =HYPERLINK("CSG17.html#group24U17", "24U¹⁷"), =HYPERLINK("CSG17.html#group48BD17", "48BD¹⁷"), =HYPERLINK("CSG7.html#group24O7", "24O⁷"), =HYPERLINK("CSG15.html#group48AA15", "48AA¹⁵"), =HYPERLINK("CSG19.html#group48AO19", "48AO¹⁹"), =HYPERLINK("CSG19.html#group48BB19", "48BB¹⁹"), =HYPERLINK("CSG17.html#group48AL17", "48AL¹⁷"), =HYPERLINK("CSG5.html#group48G5", "48G⁵"), =HYPERLINK("CSG15.html#group48S15", "48S¹⁵"), =HYPERLINK("CSG12.html#group72G12", "72G¹²"), =HYPERLINK("CSG21.html#group48N21", "48N²¹"), =HYPERLINK("CSG9.html#group48L9", "48L⁹"), =HYPERLINK("CSG17.html#group48BQ17", "48BQ¹⁷"), =HYPERLINK("CSG17.html#group24AF17", "24AF¹⁷"), =HYPERLINK("CSG17.html#group48BA17", "48BA¹⁷"), =HYPERLINK("CSG11.html#group48L11", "48L¹¹"), =HYPERLINK("CSG19.html#group96T19", "96T¹⁹"), =HYPERLINK("CSG13.html#group48AB13", "48AB¹³"), =HYPERLINK("CSG17.html#group96AD17", "96AD¹⁷"), =HYPERLINK("CSG19.html#group48BF19", "48BF¹⁹"), =HYPERLINK("CSG21.html#group48AG21", "48AG²¹"), =HYPERLINK("CSG15.html#group48AF15", "48AF¹⁵"), =HYPERLINK("CSG15.html#group24M15", "24M¹⁵")</f>
        <v/>
      </c>
    </row>
    <row r="379">
      <c r="A379" t="inlineStr">
        <is>
          <t>24Q²</t>
        </is>
      </c>
      <c r="B379" t="inlineStr"/>
      <c r="C379" t="inlineStr">
        <is>
          <t>72</t>
        </is>
      </c>
      <c r="D379" t="inlineStr">
        <is>
          <t>1</t>
        </is>
      </c>
      <c r="E379" t="inlineStr">
        <is>
          <t>36</t>
        </is>
      </c>
      <c r="F379" t="inlineStr">
        <is>
          <t>12</t>
        </is>
      </c>
      <c r="G379" t="inlineStr">
        <is>
          <t>0</t>
        </is>
      </c>
      <c r="H379" t="inlineStr">
        <is>
          <t>12², 24²</t>
        </is>
      </c>
      <c r="I379" t="n">
        <v>4</v>
      </c>
      <c r="J379" t="inlineStr">
        <is>
          <t>1⁴, 2⁶, 4³, 8¹</t>
        </is>
      </c>
      <c r="K379">
        <f>HYPERLINK("CSG0.html#group24A0", "24A⁰")</f>
        <v/>
      </c>
      <c r="L379">
        <f>HYPERLINK("CSG5.html#group24X5", "24X⁵"), =HYPERLINK("CSG5.html#group24Y5", "24Y⁵"), =HYPERLINK("CSG5.html#group48H5", "48H⁵"), =HYPERLINK("CSG6.html#group24G6", "24G⁶"), =HYPERLINK("CSG6.html#group24H6", "24H⁶"), =HYPERLINK("CSG6.html#group24I6", "24I⁶"), =HYPERLINK("CSG6.html#group24K6", "24K⁶"), =HYPERLINK("CSG7.html#group24Z7", "24Z⁷"), =HYPERLINK("CSG7.html#group24AA7", "24AA⁷"), =HYPERLINK("CSG7.html#group48AG7", "48AG⁷"), =HYPERLINK("CSG7.html#group48AJ7", "48AJ⁷"), =HYPERLINK("CSG8.html#group48AC8", "48AC⁸"), =HYPERLINK("CSG8.html#group48AD8", "48AD⁸"), =HYPERLINK("CSG8.html#group48AE8", "48AE⁸"), =HYPERLINK("CSG8.html#group48AF8", "48AF⁸"), =HYPERLINK("CSG9.html#group24S9", "24S⁹"), =HYPERLINK("CSG9.html#group48Y9", "48Y⁹"), =HYPERLINK("CSG9.html#group48AE9", "48AE⁹"), =HYPERLINK("CSG11.html#group48Q11", "48Q¹¹"), =HYPERLINK("CSG12.html#group72K12", "72K¹²"), =HYPERLINK("CSG12.html#group72O12", "72O¹²")</f>
        <v/>
      </c>
      <c r="M379">
        <f>HYPERLINK("CSG0.html#group12C0", "12C⁰"), =HYPERLINK("CSG0.html#group24A0", "24A⁰"), =HYPERLINK("CSG0.html#group4C0", "4C⁰"), =HYPERLINK("CSG0.html#group8B0", "8B⁰"), =HYPERLINK("CSG0.html#group2B0", "2B⁰"), =HYPERLINK("CSG0.html#group3A0", "3A⁰"), =HYPERLINK("CSG0.html#group1A0", "1A⁰"), =HYPERLINK("CSG0.html#group6D0", "6D⁰")</f>
        <v/>
      </c>
      <c r="N379">
        <f>HYPERLINK("CSG5.html#group24X5", "24X⁵"), =HYPERLINK("CSG7.html#group24AA7", "24AA⁷"), =HYPERLINK("CSG19.html#group48BE19", "48BE¹⁹"), =HYPERLINK("CSG12.html#group72K12", "72K¹²"), =HYPERLINK("CSG21.html#group96AI21", "96AI²¹"), =HYPERLINK("CSG19.html#group48BJ19", "48BJ¹⁹"), =HYPERLINK("CSG20.html#group96AG20", "96AG²⁰"), =HYPERLINK("CSG19.html#group48BK19", "48BK¹⁹"), =HYPERLINK("CSG17.html#group24L17", "24L¹⁷"), =HYPERLINK("CSG19.html#group48AN19", "48AN¹⁹"), =HYPERLINK("CSG17.html#group48CE17", "48CE¹⁷"), =HYPERLINK("CSG15.html#group96T15", "96T¹⁵"), =HYPERLINK("CSG17.html#group48CA17", "48CA¹⁷"), =HYPERLINK("CSG19.html#group96BA19", "96BA¹⁹"), =HYPERLINK("CSG21.html#group48BI21", "48BI²¹"), =HYPERLINK("CSG15.html#group48Z15", "48Z¹⁵"), =HYPERLINK("CSG21.html#group48BF21", "48BF²¹"), =HYPERLINK("CSG6.html#group24K6", "24K⁶"), =HYPERLINK("CSG8.html#group48AC8", "48AC⁸"), =HYPERLINK("CSG15.html#group96W15", "96W¹⁵"), =HYPERLINK("CSG17.html#group48CH17", "48CH¹⁷"), =HYPERLINK("CSG21.html#group48BS21", "48BS²¹"), =HYPERLINK("CSG7.html#group48AG7", "48AG⁷"), =HYPERLINK("CSG6.html#group24I6", "24I⁶"), =HYPERLINK("CSG13.html#group24Y13", "24Y¹³"), =HYPERLINK("CSG17.html#group48CG17", "48CG¹⁷"), =HYPERLINK("CSG21.html#group48AK21", "48AK²¹"), =HYPERLINK("CSG17.html#group48BY17", "48BY¹⁷"), =HYPERLINK("CSG13.html#group96H13", "96H¹³"), =HYPERLINK("CSG17.html#group48CD17", "48CD¹⁷"), =HYPERLINK("CSG20.html#group96AF20", "96AF²⁰"), =HYPERLINK("CSG9.html#group24S9", "24S⁹"), =HYPERLINK("CSG17.html#group24Q17", "24Q¹⁷"), =HYPERLINK("CSG15.html#group24N15", "24N¹⁵"), =HYPERLINK("CSG5.html#group48H5", "48H⁵"), =HYPERLINK("CSG5.html#group24Y5", "24Y⁵"), =HYPERLINK("CSG7.html#group48AJ7", "48AJ⁷"), =HYPERLINK("CSG15.html#group48Y15", "48Y¹⁵"), =HYPERLINK("CSG19.html#group96Y19", "96Y¹⁹"), =HYPERLINK("CSG21.html#group48BC21", "48BC²¹"), =HYPERLINK("CSG21.html#group48BD21", "48BD²¹"), =HYPERLINK("CSG20.html#group96X20", "96X²⁰"), =HYPERLINK("CSG21.html#group96AL21", "96AL²¹"), =HYPERLINK("CSG13.html#group48AE13", "48AE¹³"), =HYPERLINK("CSG19.html#group96X19", "96X¹⁹"), =HYPERLINK("CSG19.html#group96BB19", "96BB¹⁹"), =HYPERLINK("CSG21.html#group48BG21", "48BG²¹"), =HYPERLINK("CSG19.html#group96AY19", "96AY¹⁹"), =HYPERLINK("CSG19.html#group48BA19", "48BA¹⁹"), =HYPERLINK("CSG19.html#group48BD19", "48BD¹⁹"), =HYPERLINK("CSG21.html#group48AX21", "48AX²¹"), =HYPERLINK("CSG17.html#group24T17", "24T¹⁷"), =HYPERLINK("CSG21.html#group48BH21", "48BH²¹"), =HYPERLINK("CSG12.html#group72O12", "72O¹²"), =HYPERLINK("CSG21.html#group48AJ21", "48AJ²¹"), =HYPERLINK("CSG16.html#group24C16", "24C¹⁶"), =HYPERLINK("CSG21.html#group48AM21", "48AM²¹"), =HYPERLINK("CSG19.html#group48BH19", "48BH¹⁹"), =HYPERLINK("CSG9.html#group48AE9", "48AE⁹"), =HYPERLINK("CSG16.html#group48H16", "48H¹⁶"), =HYPERLINK("CSG17.html#group48BG17", "48BG¹⁷"), =HYPERLINK("CSG20.html#group96V20", "96V²⁰"), =HYPERLINK("CSG16.html#group48G16", "48G¹⁶"), =HYPERLINK("CSG17.html#group48CB17", "48CB¹⁷"), =HYPERLINK("CSG17.html#group48BH17", "48BH¹⁷"), =HYPERLINK("CSG13.html#group24Z13", "24Z¹³"), =HYPERLINK("CSG19.html#group96AR19", "96AR¹⁹"), =HYPERLINK("CSG19.html#group96AO19", "96AO¹⁹"), =HYPERLINK("CSG15.html#group96U15", "96U¹⁵"), =HYPERLINK("CSG17.html#group48BF17", "48BF¹⁷"), =HYPERLINK("CSG21.html#group48AW21", "48AW²¹"), =HYPERLINK("CSG19.html#group48AK19", "48AK¹⁹"), =HYPERLINK("CSG16.html#group24E16", "24E¹⁶"), =HYPERLINK("CSG17.html#group48AU17", "48AU¹⁷"), =HYPERLINK("CSG8.html#group48AF8", "48AF⁸"), =HYPERLINK("CSG17.html#group48CF17", "48CF¹⁷"), =HYPERLINK("CSG13.html#group24V13", "24V¹³"), =HYPERLINK("CSG19.html#group48BG19", "48BG¹⁹"), =HYPERLINK("CSG20.html#group96AD20", "96AD²⁰"), =HYPERLINK("CSG21.html#group96AT21", "96AT²¹"), =HYPERLINK("CSG17.html#group24F17", "24F¹⁷"), =HYPERLINK("CSG8.html#group48AE8", "48AE⁸"), =HYPERLINK("CSG21.html#group96AJ21", "96AJ²¹"), =HYPERLINK("CSG13.html#group24AA13", "24AA¹³"), =HYPERLINK("CSG17.html#group48BB17", "48BB¹⁷"), =HYPERLINK("CSG21.html#group96AX21", "96AX²¹"), =HYPERLINK("CSG17.html#group96AG17", "96AG¹⁷"), =HYPERLINK("CSG21.html#group96AY21", "96AY²¹"), =HYPERLINK("CSG21.html#group96AK21", "96AK²¹"), =HYPERLINK("CSG6.html#group24H6", "24H⁶"), =HYPERLINK("CSG13.html#group24X13", "24X¹³"), =HYPERLINK("CSG21.html#group48AI21", "48AI²¹"), =HYPERLINK("CSG16.html#group24D16", "24D¹⁶"), =HYPERLINK("CSG15.html#group24U15", "24U¹⁵"), =HYPERLINK("CSG21.html#group48BR21", "48BR²¹"), =HYPERLINK("CSG17.html#group48AY17", "48AY¹⁷"), =HYPERLINK("CSG17.html#group48CC17", "48CC¹⁷"), =HYPERLINK("CSG17.html#group96AF17", "96AF¹⁷"), =HYPERLINK("CSG21.html#group48BU21", "48BU²¹"), =HYPERLINK("CSG17.html#group24U17", "24U¹⁷"), =HYPERLINK("CSG17.html#group48AW17", "48AW¹⁷"), =HYPERLINK("CSG17.html#group24V17", "24V¹⁷"), =HYPERLINK("CSG19.html#group48BC19", "48BC¹⁹"), =HYPERLINK("CSG7.html#group24Z7", "24Z⁷"), =HYPERLINK("CSG15.html#group48AA15", "48AA¹⁵"), =HYPERLINK("CSG19.html#group48AO19", "48AO¹⁹"), =HYPERLINK("CSG19.html#group96AP19", "96AP¹⁹"), =HYPERLINK("CSG20.html#group96W20", "96W²⁰"), =HYPERLINK("CSG20.html#group96Y20", "96Y²⁰"), =HYPERLINK("CSG8.html#group48AD8", "48AD⁸"), =HYPERLINK("CSG17.html#group48AX17", "48AX¹⁷"), =HYPERLINK("CSG6.html#group24G6", "24G⁶"), =HYPERLINK("CSG9.html#group48Y9", "48Y⁹"), =HYPERLINK("CSG19.html#group96AQ19", "96AQ¹⁹"), =HYPERLINK("CSG17.html#group48BA17", "48BA¹⁷"), =HYPERLINK("CSG17.html#group48BZ17", "48BZ¹⁷"), =HYPERLINK("CSG16.html#group48I16", "48I¹⁶"), =HYPERLINK("CSG21.html#group48BB21", "48BB²¹"), =HYPERLINK("CSG17.html#group48BE17", "48BE¹⁷"), =HYPERLINK("CSG13.html#group48AF13", "48AF¹³"), =HYPERLINK("CSG20.html#group96AE20", "96AE²⁰"), =HYPERLINK("CSG11.html#group48Q11", "48Q¹¹"), =HYPERLINK("CSG17.html#group48AZ17", "48AZ¹⁷"), =HYPERLINK("CSG19.html#group48BF19", "48BF¹⁹"), =HYPERLINK("CSG19.html#group48BI19", "48BI¹⁹"), =HYPERLINK("CSG15.html#group48AF15", "48AF¹⁵"), =HYPERLINK("CSG15.html#group24M15", "24M¹⁵")</f>
        <v/>
      </c>
    </row>
    <row r="380">
      <c r="A380" t="inlineStr">
        <is>
          <t>25A²</t>
        </is>
      </c>
      <c r="B380" t="inlineStr"/>
      <c r="C380" t="inlineStr">
        <is>
          <t>30</t>
        </is>
      </c>
      <c r="D380" t="inlineStr">
        <is>
          <t>1</t>
        </is>
      </c>
      <c r="E380" t="inlineStr">
        <is>
          <t>30</t>
        </is>
      </c>
      <c r="F380" t="inlineStr">
        <is>
          <t>2</t>
        </is>
      </c>
      <c r="G380" t="inlineStr">
        <is>
          <t>0</t>
        </is>
      </c>
      <c r="H380" t="inlineStr">
        <is>
          <t>5¹, 25¹</t>
        </is>
      </c>
      <c r="I380" t="n">
        <v>2</v>
      </c>
      <c r="J380" t="inlineStr">
        <is>
          <t>2², 4⁴, 20²</t>
        </is>
      </c>
      <c r="K380">
        <f>HYPERLINK("CSG0.html#group5B0", "5B⁰")</f>
        <v/>
      </c>
      <c r="L380">
        <f>HYPERLINK("CSG4.html#group25A4", "25A⁴"), =HYPERLINK("CSG4.html#group50A4", "50A⁴"), =HYPERLINK("CSG5.html#group50A5", "50A⁵"), =HYPERLINK("CSG6.html#group25A6", "25A⁶"), =HYPERLINK("CSG6.html#group50A6", "50A⁶"), =HYPERLINK("CSG6.html#group75A6", "75A⁶"), =HYPERLINK("CSG8.html#group25A8", "25A⁸"), =HYPERLINK("CSG9.html#group75A9", "75A⁹"), =HYPERLINK("CSG9.html#group100A9", "100A⁹"), =HYPERLINK("CSG16.html#group175A16", "175A¹⁶"), =HYPERLINK("CSG19.html#group175A19", "175A¹⁹")</f>
        <v/>
      </c>
      <c r="M380">
        <f>HYPERLINK("CSG0.html#group5B0", "5B⁰"), =HYPERLINK("CSG0.html#group1A0", "1A⁰")</f>
        <v/>
      </c>
      <c r="N380">
        <f>HYPERLINK("CSG19.html#group150A19", "150A¹⁹"), =HYPERLINK("CSG19.html#group200A19", "200A¹⁹"), =HYPERLINK("CSG13.html#group75A13", "75A¹³"), =HYPERLINK("CSG17.html#group75A17", "75A¹⁷"), =HYPERLINK("CSG12.html#group150A12", "150A¹²"), =HYPERLINK("CSG5.html#group50A5", "50A⁵"), =HYPERLINK("CSG12.html#group75A12", "75A¹²"), =HYPERLINK("CSG20.html#group225A20", "225A²⁰"), =HYPERLINK("CSG19.html#group200E19", "200E¹⁹"), =HYPERLINK("CSG17.html#group100A17", "100A¹⁷"), =HYPERLINK("CSG19.html#group150E19", "150E¹⁹"), =HYPERLINK("CSG4.html#group25A4", "25A⁴"), =HYPERLINK("CSG16.html#group25A16", "25A¹⁶"), =HYPERLINK("CSG9.html#group50A9", "50A⁹"), =HYPERLINK("CSG6.html#group50A6", "50A⁶"), =HYPERLINK("CSG13.html#group100A13", "100A¹³"), =HYPERLINK("CSG8.html#group25A8", "25A⁸"), =HYPERLINK("CSG12.html#group100A12", "100A¹²"), =HYPERLINK("CSG14.html#group100A14", "100A¹⁴"), =HYPERLINK("CSG19.html#group100I19", "100I¹⁹"), =HYPERLINK("CSG15.html#group150A15", "150A¹⁵"), =HYPERLINK("CSG16.html#group25B16", "25B¹⁶"), =HYPERLINK("CSG9.html#group75A9", "75A⁹"), =HYPERLINK("CSG16.html#group50A16", "50A¹⁶"), =HYPERLINK("CSG6.html#group25A6", "25A⁶"), =HYPERLINK("CSG9.html#group100A9", "100A⁹"), =HYPERLINK("CSG12.html#group50E12", "50E¹²"), =HYPERLINK("CSG14.html#group150A14", "150A¹⁴"), =HYPERLINK("CSG19.html#group100E19", "100E¹⁹"), =HYPERLINK("CSG14.html#group75A14", "75A¹⁴"), =HYPERLINK("CSG13.html#group50A13", "50A¹³"), =HYPERLINK("CSG15.html#group150E15", "150E¹⁵"), =HYPERLINK("CSG20.html#group150A20", "150A²⁰"), =HYPERLINK("CSG21.html#group50A21", "50A²¹"), =HYPERLINK("CSG21.html#group50E21", "50E²¹"), =HYPERLINK("CSG12.html#group50A12", "50A¹²"), =HYPERLINK("CSG9.html#group100E9", "100E⁹"), =HYPERLINK("CSG20.html#group50A20", "50A²⁰"), =HYPERLINK("CSG16.html#group175A16", "175A¹⁶"), =HYPERLINK("CSG13.html#group100E13", "100E¹³"), =HYPERLINK("CSG19.html#group100A19", "100A¹⁹"), =HYPERLINK("CSG19.html#group175A19", "175A¹⁹"), =HYPERLINK("CSG6.html#group75A6", "75A⁶"), =HYPERLINK("CSG4.html#group50A4", "50A⁴"), =HYPERLINK("CSG13.html#group150C13", "150C¹³")</f>
        <v/>
      </c>
    </row>
    <row r="381">
      <c r="A381" t="inlineStr">
        <is>
          <t>25B²</t>
        </is>
      </c>
      <c r="B381" t="inlineStr"/>
      <c r="C381" t="inlineStr">
        <is>
          <t>30</t>
        </is>
      </c>
      <c r="D381" t="inlineStr">
        <is>
          <t>1</t>
        </is>
      </c>
      <c r="E381" t="inlineStr">
        <is>
          <t>30</t>
        </is>
      </c>
      <c r="F381" t="inlineStr">
        <is>
          <t>2</t>
        </is>
      </c>
      <c r="G381" t="inlineStr">
        <is>
          <t>0</t>
        </is>
      </c>
      <c r="H381" t="inlineStr">
        <is>
          <t>5¹, 25¹</t>
        </is>
      </c>
      <c r="I381" t="n">
        <v>2</v>
      </c>
      <c r="J381" t="inlineStr">
        <is>
          <t>2², 4⁴, 20²</t>
        </is>
      </c>
      <c r="K381">
        <f>HYPERLINK("CSG0.html#group5B0", "5B⁰")</f>
        <v/>
      </c>
      <c r="L381">
        <f>HYPERLINK("CSG4.html#group25B4", "25B⁴"), =HYPERLINK("CSG4.html#group50B4", "50B⁴"), =HYPERLINK("CSG5.html#group50B5", "50B⁵"), =HYPERLINK("CSG6.html#group25B6", "25B⁶"), =HYPERLINK("CSG6.html#group50B6", "50B⁶"), =HYPERLINK("CSG6.html#group75B6", "75B⁶"), =HYPERLINK("CSG8.html#group25A8", "25A⁸"), =HYPERLINK("CSG9.html#group75B9", "75B⁹"), =HYPERLINK("CSG9.html#group100B9", "100B⁹"), =HYPERLINK("CSG16.html#group175B16", "175B¹⁶"), =HYPERLINK("CSG19.html#group175B19", "175B¹⁹")</f>
        <v/>
      </c>
      <c r="M381">
        <f>HYPERLINK("CSG0.html#group5B0", "5B⁰"), =HYPERLINK("CSG0.html#group1A0", "1A⁰")</f>
        <v/>
      </c>
      <c r="N381">
        <f>HYPERLINK("CSG12.html#group150B12", "150B¹²"), =HYPERLINK("CSG20.html#group225B20", "225B²⁰"), =HYPERLINK("CSG16.html#group50B16", "50B¹⁶"), =HYPERLINK("CSG13.html#group50B13", "50B¹³"), =HYPERLINK("CSG14.html#group75B14", "75B¹⁴"), =HYPERLINK("CSG19.html#group100B19", "100B¹⁹"), =HYPERLINK("CSG4.html#group25B4", "25B⁴"), =HYPERLINK("CSG13.html#group75B13", "75B¹³"), =HYPERLINK("CSG19.html#group200F19", "200F¹⁹"), =HYPERLINK("CSG13.html#group100F13", "100F¹³"), =HYPERLINK("CSG16.html#group25A16", "25A¹⁶"), =HYPERLINK("CSG15.html#group150F15", "150F¹⁵"), =HYPERLINK("CSG12.html#group100B12", "100B¹²"), =HYPERLINK("CSG9.html#group50B9", "50B⁹"), =HYPERLINK("CSG12.html#group75B12", "75B¹²"), =HYPERLINK("CSG6.html#group25B6", "25B⁶"), =HYPERLINK("CSG8.html#group25A8", "25A⁸"), =HYPERLINK("CSG5.html#group50B5", "50B⁵"), =HYPERLINK("CSG12.html#group50B12", "50B¹²"), =HYPERLINK("CSG21.html#group50B21", "50B²¹"), =HYPERLINK("CSG15.html#group150B15", "150B¹⁵"), =HYPERLINK("CSG17.html#group75B17", "75B¹⁷"), =HYPERLINK("CSG9.html#group75B9", "75B⁹"), =HYPERLINK("CSG4.html#group50B4", "50B⁴"), =HYPERLINK("CSG17.html#group100B17", "100B¹⁷"), =HYPERLINK("CSG16.html#group175B16", "175B¹⁶"), =HYPERLINK("CSG13.html#group150D13", "150D¹³"), =HYPERLINK("CSG19.html#group100F19", "100F¹⁹"), =HYPERLINK("CSG19.html#group175B19", "175B¹⁹"), =HYPERLINK("CSG6.html#group50B6", "50B⁶"), =HYPERLINK("CSG6.html#group75B6", "75B⁶"), =HYPERLINK("CSG19.html#group150F19", "150F¹⁹"), =HYPERLINK("CSG13.html#group100B13", "100B¹³"), =HYPERLINK("CSG9.html#group100F9", "100F⁹"), =HYPERLINK("CSG21.html#group50E21", "50E²¹"), =HYPERLINK("CSG19.html#group200B19", "200B¹⁹"), =HYPERLINK("CSG12.html#group50F12", "50F¹²"), =HYPERLINK("CSG20.html#group50A20", "50A²⁰"), =HYPERLINK("CSG19.html#group100J19", "100J¹⁹"), =HYPERLINK("CSG9.html#group100B9", "100B⁹"), =HYPERLINK("CSG14.html#group150B14", "150B¹⁴"), =HYPERLINK("CSG14.html#group100B14", "100B¹⁴"), =HYPERLINK("CSG19.html#group150B19", "150B¹⁹"), =HYPERLINK("CSG16.html#group25C16", "25C¹⁶"), =HYPERLINK("CSG20.html#group150B20", "150B²⁰")</f>
        <v/>
      </c>
    </row>
    <row r="382">
      <c r="A382" t="inlineStr">
        <is>
          <t>25C²</t>
        </is>
      </c>
      <c r="B382" t="inlineStr"/>
      <c r="C382" t="inlineStr">
        <is>
          <t>30</t>
        </is>
      </c>
      <c r="D382" t="inlineStr">
        <is>
          <t>1</t>
        </is>
      </c>
      <c r="E382" t="inlineStr">
        <is>
          <t>30</t>
        </is>
      </c>
      <c r="F382" t="inlineStr">
        <is>
          <t>2</t>
        </is>
      </c>
      <c r="G382" t="inlineStr">
        <is>
          <t>0</t>
        </is>
      </c>
      <c r="H382" t="inlineStr">
        <is>
          <t>5¹, 25¹</t>
        </is>
      </c>
      <c r="I382" t="n">
        <v>2</v>
      </c>
      <c r="J382" t="inlineStr">
        <is>
          <t>2², 4⁴, 20²</t>
        </is>
      </c>
      <c r="K382">
        <f>HYPERLINK("CSG0.html#group5B0", "5B⁰")</f>
        <v/>
      </c>
      <c r="L382">
        <f>HYPERLINK("CSG4.html#group25C4", "25C⁴"), =HYPERLINK("CSG4.html#group50C4", "50C⁴"), =HYPERLINK("CSG5.html#group50C5", "50C⁵"), =HYPERLINK("CSG6.html#group25C6", "25C⁶"), =HYPERLINK("CSG6.html#group50C6", "50C⁶"), =HYPERLINK("CSG6.html#group75C6", "75C⁶"), =HYPERLINK("CSG8.html#group25A8", "25A⁸"), =HYPERLINK("CSG9.html#group75C9", "75C⁹"), =HYPERLINK("CSG9.html#group100C9", "100C⁹"), =HYPERLINK("CSG16.html#group175C16", "175C¹⁶"), =HYPERLINK("CSG19.html#group175C19", "175C¹⁹")</f>
        <v/>
      </c>
      <c r="M382">
        <f>HYPERLINK("CSG0.html#group5B0", "5B⁰"), =HYPERLINK("CSG0.html#group1A0", "1A⁰")</f>
        <v/>
      </c>
      <c r="N382">
        <f>HYPERLINK("CSG6.html#group25C6", "25C⁶"), =HYPERLINK("CSG9.html#group75C9", "75C⁹"), =HYPERLINK("CSG19.html#group100G19", "100G¹⁹"), =HYPERLINK("CSG16.html#group25D16", "25D¹⁶"), =HYPERLINK("CSG17.html#group75C17", "75C¹⁷"), =HYPERLINK("CSG16.html#group175C16", "175C¹⁶"), =HYPERLINK("CSG20.html#group150C20", "150C²⁰"), =HYPERLINK("CSG19.html#group175C19", "175C¹⁹"), =HYPERLINK("CSG13.html#group100C13", "100C¹³"), =HYPERLINK("CSG16.html#group25A16", "25A¹⁶"), =HYPERLINK("CSG16.html#group50C16", "50C¹⁶"), =HYPERLINK("CSG14.html#group100C14", "100C¹⁴"), =HYPERLINK("CSG8.html#group25A8", "25A⁸"), =HYPERLINK("CSG17.html#group100C17", "100C¹⁷"), =HYPERLINK("CSG12.html#group100C12", "100C¹²"), =HYPERLINK("CSG15.html#group150G15", "150G¹⁵"), =HYPERLINK("CSG19.html#group200G19", "200G¹⁹"), =HYPERLINK("CSG5.html#group50C5", "50C⁵"), =HYPERLINK("CSG20.html#group225C20", "225C²⁰"), =HYPERLINK("CSG9.html#group50C9", "50C⁹"), =HYPERLINK("CSG19.html#group100K19", "100K¹⁹"), =HYPERLINK("CSG13.html#group150E13", "150E¹³"), =HYPERLINK("CSG12.html#group150C12", "150C¹²"), =HYPERLINK("CSG13.html#group100G13", "100G¹³"), =HYPERLINK("CSG12.html#group75C12", "75C¹²"), =HYPERLINK("CSG12.html#group50C12", "50C¹²"), =HYPERLINK("CSG14.html#group150C14", "150C¹⁴"), =HYPERLINK("CSG4.html#group50C4", "50C⁴"), =HYPERLINK("CSG21.html#group50C21", "50C²¹"), =HYPERLINK("CSG19.html#group100C19", "100C¹⁹"), =HYPERLINK("CSG9.html#group100C9", "100C⁹"), =HYPERLINK("CSG21.html#group50E21", "50E²¹"), =HYPERLINK("CSG19.html#group150C19", "150C¹⁹"), =HYPERLINK("CSG6.html#group50C6", "50C⁶"), =HYPERLINK("CSG20.html#group50A20", "50A²⁰"), =HYPERLINK("CSG12.html#group50G12", "50G¹²"), =HYPERLINK("CSG6.html#group75C6", "75C⁶"), =HYPERLINK("CSG19.html#group200C19", "200C¹⁹"), =HYPERLINK("CSG13.html#group75C13", "75C¹³"), =HYPERLINK("CSG19.html#group150G19", "150G¹⁹"), =HYPERLINK("CSG14.html#group75C14", "75C¹⁴"), =HYPERLINK("CSG9.html#group100G9", "100G⁹"), =HYPERLINK("CSG15.html#group150C15", "150C¹⁵"), =HYPERLINK("CSG13.html#group50C13", "50C¹³"), =HYPERLINK("CSG4.html#group25C4", "25C⁴")</f>
        <v/>
      </c>
    </row>
    <row r="383">
      <c r="A383" t="inlineStr">
        <is>
          <t>25D²</t>
        </is>
      </c>
      <c r="B383" t="inlineStr"/>
      <c r="C383" t="inlineStr">
        <is>
          <t>30</t>
        </is>
      </c>
      <c r="D383" t="inlineStr">
        <is>
          <t>1</t>
        </is>
      </c>
      <c r="E383" t="inlineStr">
        <is>
          <t>30</t>
        </is>
      </c>
      <c r="F383" t="inlineStr">
        <is>
          <t>2</t>
        </is>
      </c>
      <c r="G383" t="inlineStr">
        <is>
          <t>0</t>
        </is>
      </c>
      <c r="H383" t="inlineStr">
        <is>
          <t>5¹, 25¹</t>
        </is>
      </c>
      <c r="I383" t="n">
        <v>2</v>
      </c>
      <c r="J383" t="inlineStr">
        <is>
          <t>2², 4⁴, 20²</t>
        </is>
      </c>
      <c r="K383">
        <f>HYPERLINK("CSG0.html#group5B0", "5B⁰")</f>
        <v/>
      </c>
      <c r="L383">
        <f>HYPERLINK("CSG4.html#group25D4", "25D⁴"), =HYPERLINK("CSG4.html#group50D4", "50D⁴"), =HYPERLINK("CSG5.html#group50D5", "50D⁵"), =HYPERLINK("CSG6.html#group25D6", "25D⁶"), =HYPERLINK("CSG6.html#group50D6", "50D⁶"), =HYPERLINK("CSG6.html#group75D6", "75D⁶"), =HYPERLINK("CSG8.html#group25A8", "25A⁸"), =HYPERLINK("CSG9.html#group75D9", "75D⁹"), =HYPERLINK("CSG9.html#group100D9", "100D⁹"), =HYPERLINK("CSG16.html#group175D16", "175D¹⁶"), =HYPERLINK("CSG19.html#group175D19", "175D¹⁹")</f>
        <v/>
      </c>
      <c r="M383">
        <f>HYPERLINK("CSG0.html#group5B0", "5B⁰"), =HYPERLINK("CSG0.html#group1A0", "1A⁰")</f>
        <v/>
      </c>
      <c r="N383">
        <f>HYPERLINK("CSG19.html#group150H19", "150H¹⁹"), =HYPERLINK("CSG16.html#group175D16", "175D¹⁶"), =HYPERLINK("CSG20.html#group225D20", "225D²⁰"), =HYPERLINK("CSG14.html#group100D14", "100D¹⁴"), =HYPERLINK("CSG9.html#group50D9", "50D⁹"), =HYPERLINK("CSG4.html#group25D4", "25D⁴"), =HYPERLINK("CSG13.html#group100H13", "100H¹³"), =HYPERLINK("CSG13.html#group100D13", "100D¹³"), =HYPERLINK("CSG16.html#group25A16", "25A¹⁶"), =HYPERLINK("CSG21.html#group50D21", "50D²¹"), =HYPERLINK("CSG8.html#group25A8", "25A⁸"), =HYPERLINK("CSG19.html#group100L19", "100L¹⁹"), =HYPERLINK("CSG19.html#group200D19", "200D¹⁹"), =HYPERLINK("CSG19.html#group100H19", "100H¹⁹"), =HYPERLINK("CSG19.html#group175D19", "175D¹⁹"), =HYPERLINK("CSG9.html#group75D9", "75D⁹"), =HYPERLINK("CSG19.html#group200H19", "200H¹⁹"), =HYPERLINK("CSG19.html#group150D19", "150D¹⁹"), =HYPERLINK("CSG6.html#group75D6", "75D⁶"), =HYPERLINK("CSG12.html#group50D12", "50D¹²"), =HYPERLINK("CSG6.html#group25D6", "25D⁶"), =HYPERLINK("CSG19.html#group100D19", "100D¹⁹"), =HYPERLINK("CSG17.html#group100D17", "100D¹⁷"), =HYPERLINK("CSG13.html#group50D13", "50D¹³"), =HYPERLINK("CSG20.html#group150D20", "150D²⁰"), =HYPERLINK("CSG16.html#group50D16", "50D¹⁶"), =HYPERLINK("CSG15.html#group150H15", "150H¹⁵"), =HYPERLINK("CSG14.html#group150D14", "150D¹⁴"), =HYPERLINK("CSG14.html#group75D14", "75D¹⁴"), =HYPERLINK("CSG9.html#group100H9", "100H⁹"), =HYPERLINK("CSG5.html#group50D5", "50D⁵"), =HYPERLINK("CSG12.html#group100D12", "100D¹²"), =HYPERLINK("CSG17.html#group75D17", "75D¹⁷"), =HYPERLINK("CSG12.html#group150D12", "150D¹²"), =HYPERLINK("CSG21.html#group50E21", "50E²¹"), =HYPERLINK("CSG6.html#group50D6", "50D⁶"), =HYPERLINK("CSG20.html#group50A20", "50A²⁰"), =HYPERLINK("CSG12.html#group50H12", "50H¹²"), =HYPERLINK("CSG13.html#group150F13", "150F¹³"), =HYPERLINK("CSG12.html#group75D12", "75D¹²"), =HYPERLINK("CSG9.html#group100D9", "100D⁹"), =HYPERLINK("CSG15.html#group150D15", "150D¹⁵"), =HYPERLINK("CSG16.html#group25E16", "25E¹⁶"), =HYPERLINK("CSG4.html#group50D4", "50D⁴"), =HYPERLINK("CSG13.html#group75D13", "75D¹³")</f>
        <v/>
      </c>
    </row>
    <row r="384">
      <c r="A384" t="inlineStr">
        <is>
          <t>25E²</t>
        </is>
      </c>
      <c r="B384" t="inlineStr"/>
      <c r="C384" t="inlineStr">
        <is>
          <t>50</t>
        </is>
      </c>
      <c r="D384" t="inlineStr">
        <is>
          <t>1</t>
        </is>
      </c>
      <c r="E384" t="inlineStr">
        <is>
          <t>50</t>
        </is>
      </c>
      <c r="F384" t="inlineStr">
        <is>
          <t>2</t>
        </is>
      </c>
      <c r="G384" t="inlineStr">
        <is>
          <t>5</t>
        </is>
      </c>
      <c r="H384" t="inlineStr">
        <is>
          <t>25²</t>
        </is>
      </c>
      <c r="I384" t="n">
        <v>2</v>
      </c>
      <c r="J384" t="inlineStr">
        <is>
          <t>2¹, 4², 20²</t>
        </is>
      </c>
      <c r="K384">
        <f>HYPERLINK("CSG0.html#group5C0", "5C⁰")</f>
        <v/>
      </c>
      <c r="L384">
        <f>HYPERLINK("CSG4.html#group25E4", "25E⁴"), =HYPERLINK("CSG4.html#group50E4", "50E⁴"), =HYPERLINK("CSG5.html#group50E5", "50E⁵"), =HYPERLINK("CSG10.html#group25A10", "25A¹⁰"), =HYPERLINK("CSG11.html#group50A11", "50A¹¹"), =HYPERLINK("CSG11.html#group75A11", "75A¹¹"), =HYPERLINK("CSG14.html#group75E14", "75E¹⁴"), =HYPERLINK("CSG14.html#group100E14", "100E¹⁴")</f>
        <v/>
      </c>
      <c r="M384">
        <f>HYPERLINK("CSG0.html#group5C0", "5C⁰"), =HYPERLINK("CSG0.html#group1A0", "1A⁰")</f>
        <v/>
      </c>
      <c r="N384">
        <f>HYPERLINK("CSG23.html#group100A23", "100A²³"), =HYPERLINK("CSG20.html#group150E20", "150E²⁰"), =HYPERLINK("CSG24.html#group150A24", "150A²⁴"), =HYPERLINK("CSG22.html#group150A22", "150A²²"), =HYPERLINK("CSG22.html#group50A22", "50A²²"), =HYPERLINK("CSG4.html#group25E4", "25E⁴"), =HYPERLINK("CSG20.html#group25A20", "25A²⁰"), =HYPERLINK("CSG23.html#group100B23", "100B²³"), =HYPERLINK("CSG22.html#group100A22", "100A²²"), =HYPERLINK("CSG11.html#group50A11", "50A¹¹"), =HYPERLINK("CSG24.html#group100A24", "100A²⁴"), =HYPERLINK("CSG22.html#group50C22", "50C²²"), =HYPERLINK("CSG23.html#group50B23", "50B²³"), =HYPERLINK("CSG17.html#group50A17", "50A¹⁷"), =HYPERLINK("CSG22.html#group75A22", "75A²²"), =HYPERLINK("CSG23.html#group150A23", "150A²³"), =HYPERLINK("CSG14.html#group100E14", "100E¹⁴"), =HYPERLINK("CSG9.html#group100J9", "100J⁹"), =HYPERLINK("CSG5.html#group50E5", "50E⁵"), =HYPERLINK("CSG10.html#group25A10", "25A¹⁰"), =HYPERLINK("CSG23.html#group50A23", "50A²³"), =HYPERLINK("CSG22.html#group50B22", "50B²²"), =HYPERLINK("CSG14.html#group75E14", "75E¹⁴"), =HYPERLINK("CSG24.html#group75A24", "75A²⁴"), =HYPERLINK("CSG19.html#group100R19", "100R¹⁹"), =HYPERLINK("CSG23.html#group75A23", "75A²³"), =HYPERLINK("CSG4.html#group50E4", "50E⁴"), =HYPERLINK("CSG11.html#group75A11", "75A¹¹"), =HYPERLINK("CSG9.html#group50F9", "50F⁹"), =HYPERLINK("CSG19.html#group75A19", "75A¹⁹")</f>
        <v/>
      </c>
    </row>
    <row r="385">
      <c r="A385" t="inlineStr">
        <is>
          <t>25F²</t>
        </is>
      </c>
      <c r="B385" t="inlineStr"/>
      <c r="C385" t="inlineStr">
        <is>
          <t>75</t>
        </is>
      </c>
      <c r="D385" t="inlineStr">
        <is>
          <t>1</t>
        </is>
      </c>
      <c r="E385" t="inlineStr">
        <is>
          <t>75</t>
        </is>
      </c>
      <c r="F385" t="inlineStr">
        <is>
          <t>7</t>
        </is>
      </c>
      <c r="G385" t="inlineStr">
        <is>
          <t>0</t>
        </is>
      </c>
      <c r="H385" t="inlineStr">
        <is>
          <t>5⁵, 25²</t>
        </is>
      </c>
      <c r="I385" t="n">
        <v>7</v>
      </c>
      <c r="J385" t="inlineStr">
        <is>
          <t>2¹, 4², 5¹, 20³</t>
        </is>
      </c>
      <c r="K385">
        <f>HYPERLINK("CSG0.html#group5E0", "5E⁰")</f>
        <v/>
      </c>
      <c r="L385">
        <f>HYPERLINK("CSG4.html#group25F4", "25F⁴"), =HYPERLINK("CSG6.html#group25E6", "25E⁶"), =HYPERLINK("CSG6.html#group25F6", "25F⁶"), =HYPERLINK("CSG7.html#group50A7", "50A⁷"), =HYPERLINK("CSG7.html#group50B7", "50B⁷"), =HYPERLINK("CSG9.html#group50E9", "50E⁹"), =HYPERLINK("CSG10.html#group50A10", "50A¹⁰"), =HYPERLINK("CSG11.html#group50B11", "50B¹¹"), =HYPERLINK("CSG11.html#group75B11", "75B¹¹"), =HYPERLINK("CSG19.html#group75B19", "75B¹⁹"), =HYPERLINK("CSG19.html#group100M19", "100M¹⁹"), =HYPERLINK("CSG22.html#group25A22", "25A²²")</f>
        <v/>
      </c>
      <c r="M385">
        <f>HYPERLINK("CSG0.html#group5E0", "5E⁰"), =HYPERLINK("CSG0.html#group1A0", "1A⁰"), =HYPERLINK("CSG0.html#group5A0", "5A⁰")</f>
        <v/>
      </c>
      <c r="N385">
        <f>HYPERLINK("CSG4.html#group25F4", "25F⁴"), =HYPERLINK("CSG19.html#group75B19", "75B¹⁹"), =HYPERLINK("CSG19.html#group50C19", "50C¹⁹"), =HYPERLINK("CSG24.html#group50A24", "50A²⁴"), =HYPERLINK("CSG24.html#group50B24", "50B²⁴"), =HYPERLINK("CSG22.html#group25A22", "25A²²"), =HYPERLINK("CSG14.html#group50A14", "50A¹⁴"), =HYPERLINK("CSG6.html#group25E6", "25E⁶"), =HYPERLINK("CSG19.html#group100M19", "100M¹⁹"), =HYPERLINK("CSG22.html#group50D22", "50D²²"), =HYPERLINK("CSG18.html#group50B18", "50B¹⁸"), =HYPERLINK("CSG11.html#group50B11", "50B¹¹"), =HYPERLINK("CSG10.html#group50A10", "50A¹⁰"), =HYPERLINK("CSG7.html#group50B7", "50B⁷"), =HYPERLINK("CSG18.html#group50A18", "50A¹⁸"), =HYPERLINK("CSG24.html#group75B24", "75B²⁴"), =HYPERLINK("CSG12.html#group25A12", "25A¹²"), =HYPERLINK("CSG6.html#group25F6", "25F⁶"), =HYPERLINK("CSG9.html#group50E9", "50E⁹"), =HYPERLINK("CSG11.html#group75B11", "75B¹¹"), =HYPERLINK("CSG7.html#group50A7", "50A⁷"), =HYPERLINK("CSG19.html#group50A19", "50A¹⁹"), =HYPERLINK("CSG19.html#group50D19", "50D¹⁹")</f>
        <v/>
      </c>
    </row>
    <row r="386">
      <c r="A386" t="inlineStr">
        <is>
          <t>26A²</t>
        </is>
      </c>
      <c r="B386" t="inlineStr">
        <is>
          <t>Γ₀(26)</t>
        </is>
      </c>
      <c r="C386" t="inlineStr">
        <is>
          <t>42</t>
        </is>
      </c>
      <c r="D386" t="inlineStr">
        <is>
          <t>1</t>
        </is>
      </c>
      <c r="E386" t="inlineStr">
        <is>
          <t>42</t>
        </is>
      </c>
      <c r="F386" t="inlineStr">
        <is>
          <t>2</t>
        </is>
      </c>
      <c r="G386" t="inlineStr">
        <is>
          <t>0</t>
        </is>
      </c>
      <c r="H386" t="inlineStr">
        <is>
          <t>1¹, 2¹, 13¹, 26¹</t>
        </is>
      </c>
      <c r="I386" t="n">
        <v>4</v>
      </c>
      <c r="J386" t="inlineStr">
        <is>
          <t>1⁶, 12³</t>
        </is>
      </c>
      <c r="K386">
        <f>HYPERLINK("CSG0.html#group2B0", "2B⁰"), =HYPERLINK("CSG0.html#group13A0", "13A⁰")</f>
        <v/>
      </c>
      <c r="L386">
        <f>HYPERLINK("CSG4.html#group26A4", "26A⁴"), =HYPERLINK("CSG4.html#group26B4", "26B⁴"), =HYPERLINK("CSG4.html#group26C4", "26C⁴"), =HYPERLINK("CSG4.html#group52A4", "52A⁴"), =HYPERLINK("CSG5.html#group26B5", "26B⁵"), =HYPERLINK("CSG5.html#group52A5", "52A⁵"), =HYPERLINK("CSG5.html#group52B5", "52B⁵"), =HYPERLINK("CSG6.html#group52A6", "52A⁶"), =HYPERLINK("CSG8.html#group78A8", "78A⁸"), =HYPERLINK("CSG8.html#group78B8", "78B⁸"), =HYPERLINK("CSG11.html#group78C11", "78C¹¹"), =HYPERLINK("CSG16.html#group130A16", "130A¹⁶"), =HYPERLINK("CSG17.html#group130A17", "130A¹⁷"), =HYPERLINK("CSG22.html#group182A22", "182A²²")</f>
        <v/>
      </c>
      <c r="M386">
        <f>HYPERLINK("CSG0.html#group13A0", "13A⁰"), =HYPERLINK("CSG0.html#group1A0", "1A⁰"), =HYPERLINK("CSG0.html#group2B0", "2B⁰")</f>
        <v/>
      </c>
      <c r="N386">
        <f>HYPERLINK("CSG23.html#group104I23", "104I²³"), =HYPERLINK("CSG11.html#group52B11", "52B¹¹"), =HYPERLINK("CSG18.html#group78A18", "78A¹⁸"), =HYPERLINK("CSG19.html#group78E19", "78E¹⁹"), =HYPERLINK("CSG23.html#group104M23", "104M²³"), =HYPERLINK("CSG18.html#group156B18", "156B¹⁸"), =HYPERLINK("CSG23.html#group104O23", "104O²³"), =HYPERLINK("CSG13.html#group52B13", "52B¹³"), =HYPERLINK("CSG11.html#group52A11", "52A¹¹"), =HYPERLINK("CSG17.html#group78B17", "78B¹⁷"), =HYPERLINK("CSG23.html#group78F23", "78F²³"), =HYPERLINK("CSG23.html#group104F23", "104F²³"), =HYPERLINK("CSG9.html#group104A9", "104A⁹"), =HYPERLINK("CSG13.html#group52C13", "52C¹³"), =HYPERLINK("CSG18.html#group78B18", "78B¹⁸"), =HYPERLINK("CSG4.html#group26B4", "26B⁴"), =HYPERLINK("CSG13.html#group104B13", "104B¹³"), =HYPERLINK("CSG18.html#group78C18", "78C¹⁸"), =HYPERLINK("CSG23.html#group208B23", "208B²³"), =HYPERLINK("CSG11.html#group78C11", "78C¹¹"), =HYPERLINK("CSG22.html#group182A22", "182A²²"), =HYPERLINK("CSG13.html#group26B13", "26B¹³"), =HYPERLINK("CSG10.html#group52A10", "52A¹⁰"), =HYPERLINK("CSG21.html#group104A21", "104A²¹"), =HYPERLINK("CSG23.html#group104J23", "104J²³"), =HYPERLINK("CSG11.html#group104E11", "104E¹¹"), =HYPERLINK("CSG5.html#group52A5", "52A⁵"), =HYPERLINK("CSG11.html#group104B11", "104B¹¹"), =HYPERLINK("CSG23.html#group104E23", "104E²³"), =HYPERLINK("CSG16.html#group156B16", "156B¹⁶"), =HYPERLINK("CSG9.html#group52E9", "52E⁹"), =HYPERLINK("CSG23.html#group104G23", "104G²³"), =HYPERLINK("CSG23.html#group208H23", "208H²³"), =HYPERLINK("CSG19.html#group78B19", "78B¹⁹"), =HYPERLINK("CSG23.html#group208A23", "208A²³"), =HYPERLINK("CSG22.html#group78A22", "78A²²"), =HYPERLINK("CSG21.html#group104D21", "104D²¹"), =HYPERLINK("CSG11.html#group52F11", "52F¹¹"), =HYPERLINK("CSG23.html#group104H23", "104H²³"), =HYPERLINK("CSG9.html#group26B9", "26B⁹"), =HYPERLINK("CSG11.html#group52G11", "52G¹¹"), =HYPERLINK("CSG17.html#group130A17", "130A¹⁷"), =HYPERLINK("CSG21.html#group52C21", "52C²¹"), =HYPERLINK("CSG5.html#group52B5", "52B⁵"), =HYPERLINK("CSG23.html#group104A23", "104A²³"), =HYPERLINK("CSG23.html#group104K23", "104K²³"), =HYPERLINK("CSG23.html#group104S23", "104S²³"), =HYPERLINK("CSG17.html#group78A17", "78A¹⁷"), =HYPERLINK("CSG23.html#group208E23", "208E²³"), =HYPERLINK("CSG19.html#group52B19", "52B¹⁹"), =HYPERLINK("CSG23.html#group104R23", "104R²³"), =HYPERLINK("CSG23.html#group104P23", "104P²³"), =HYPERLINK("CSG16.html#group78B16", "78B¹⁶"), =HYPERLINK("CSG17.html#group156C17", "156C¹⁷"), =HYPERLINK("CSG19.html#group156C19", "156C¹⁹"), =HYPERLINK("CSG23.html#group208C23", "208C²³"), =HYPERLINK("CSG11.html#group52E11", "52E¹¹"), =HYPERLINK("CSG23.html#group156C23", "156C²³"), =HYPERLINK("CSG11.html#group104D11", "104D¹¹"), =HYPERLINK("CSG16.html#group52A16", "52A¹⁶"), =HYPERLINK("CSG20.html#group156A20", "156A²⁰"), =HYPERLINK("CSG19.html#group52A19", "52A¹⁹"), =HYPERLINK("CSG21.html#group104B21", "104B²¹"), =HYPERLINK("CSG19.html#group52C19", "52C¹⁹"), =HYPERLINK("CSG21.html#group78C21", "78C²¹"), =HYPERLINK("CSG23.html#group52D23", "52D²³"), =HYPERLINK("CSG4.html#group26A4", "26A⁴"), =HYPERLINK("CSG8.html#group78A8", "78A⁸"), =HYPERLINK("CSG5.html#group26B5", "26B⁵"), =HYPERLINK("CSG16.html#group78C16", "78C¹⁶"), =HYPERLINK("CSG21.html#group52D21", "52D²¹"), =HYPERLINK("CSG6.html#group52A6", "52A⁶"), =HYPERLINK("CSG23.html#group52C23", "52C²³"), =HYPERLINK("CSG23.html#group52B23", "52B²³"), =HYPERLINK("CSG20.html#group156B20", "156B²⁰"), =HYPERLINK("CSG10.html#group26D10", "26D¹⁰"), =HYPERLINK("CSG9.html#group52A9", "52A⁹"), =HYPERLINK("CSG11.html#group52D11", "52D¹¹"), =HYPERLINK("CSG23.html#group104N23", "104N²³"), =HYPERLINK("CSG19.html#group156B19", "156B¹⁹"), =HYPERLINK("CSG11.html#group52C11", "52C¹¹"), =HYPERLINK("CSG23.html#group52H23", "52H²³"), =HYPERLINK("CSG23.html#group156D23", "156D²³"), =HYPERLINK("CSG19.html#group156A19", "156A¹⁹"), =HYPERLINK("CSG10.html#group26E10", "26E¹⁰"), =HYPERLINK("CSG16.html#group78E16", "78E¹⁶"), =HYPERLINK("CSG23.html#group208G23", "208G²³"), =HYPERLINK("CSG11.html#group104G11", "104G¹¹"), =HYPERLINK("CSG17.html#group156B17", "156B¹⁷"), =HYPERLINK("CSG11.html#group104A11", "104A¹¹"), =HYPERLINK("CSG23.html#group104B23", "104B²³"), =HYPERLINK("CSG19.html#group104A19", "104A¹⁹"), =HYPERLINK("CSG4.html#group26C4", "26C⁴"), =HYPERLINK("CSG23.html#group78C23", "78C²³"), =HYPERLINK("CSG23.html#group208D23", "208D²³"), =HYPERLINK("CSG23.html#group208F23", "208F²³"), =HYPERLINK("CSG8.html#group78B8", "78B⁸"), =HYPERLINK("CSG23.html#group104L23", "104L²³"), =HYPERLINK("CSG11.html#group104C11", "104C¹¹"), =HYPERLINK("CSG21.html#group52F21", "52F²¹"), =HYPERLINK("CSG23.html#group104Q23", "104Q²³"), =HYPERLINK("CSG23.html#group104C23", "104C²³"), =HYPERLINK("CSG11.html#group104F11", "104F¹¹"), =HYPERLINK("CSG23.html#group104D23", "104D²³"), =HYPERLINK("CSG9.html#group52B9", "52B⁹"), =HYPERLINK("CSG16.html#group130A16", "130A¹⁶"), =HYPERLINK("CSG21.html#group104C21", "104C²¹"), =HYPERLINK("CSG17.html#group156D17", "156D¹⁷"), =HYPERLINK("CSG16.html#group156A16", "156A¹⁶"), =HYPERLINK("CSG23.html#group208I23", "208I²³"), =HYPERLINK("CSG23.html#group52G23", "52G²³"), =HYPERLINK("CSG18.html#group156A18", "156A¹⁸"), =HYPERLINK("CSG4.html#group52A4", "52A⁴"), =HYPERLINK("CSG13.html#group104A13", "104A¹³")</f>
        <v/>
      </c>
    </row>
    <row r="387">
      <c r="A387" t="inlineStr">
        <is>
          <t>26B²</t>
        </is>
      </c>
      <c r="B387" t="inlineStr"/>
      <c r="C387" t="inlineStr">
        <is>
          <t>84</t>
        </is>
      </c>
      <c r="D387" t="inlineStr">
        <is>
          <t>1</t>
        </is>
      </c>
      <c r="E387" t="inlineStr">
        <is>
          <t>14</t>
        </is>
      </c>
      <c r="F387" t="inlineStr">
        <is>
          <t>12</t>
        </is>
      </c>
      <c r="G387" t="inlineStr">
        <is>
          <t>0</t>
        </is>
      </c>
      <c r="H387" t="inlineStr">
        <is>
          <t>2³, 26³</t>
        </is>
      </c>
      <c r="I387" t="n">
        <v>6</v>
      </c>
      <c r="J387" t="inlineStr">
        <is>
          <t>1², 12¹</t>
        </is>
      </c>
      <c r="K387">
        <f>HYPERLINK("CSG0.html#group13C0", "13C⁰"), =HYPERLINK("CSG0.html#group26A0", "26A⁰")</f>
        <v/>
      </c>
      <c r="L387">
        <f>HYPERLINK("CSG9.html#group26A9", "26A⁹"), =HYPERLINK("CSG9.html#group52D9", "52D⁹"), =HYPERLINK("CSG10.html#group26E10", "26E¹⁰"), =HYPERLINK("CSG10.html#group78A10", "78A¹⁰"), =HYPERLINK("CSG17.html#group52A17", "52A¹⁷"), =HYPERLINK("CSG23.html#group78A23", "78A²³")</f>
        <v/>
      </c>
      <c r="M387">
        <f>HYPERLINK("CSG0.html#group13A0", "13A⁰"), =HYPERLINK("CSG0.html#group13C0", "13C⁰"), =HYPERLINK("CSG0.html#group26A0", "26A⁰"), =HYPERLINK("CSG0.html#group1A0", "1A⁰")</f>
        <v/>
      </c>
      <c r="N387">
        <f>HYPERLINK("CSG10.html#group26E10", "26E¹⁰"), =HYPERLINK("CSG9.html#group26A9", "26A⁹"), =HYPERLINK("CSG10.html#group78A10", "78A¹⁰"), =HYPERLINK("CSG23.html#group52A23", "52A²³"), =HYPERLINK("CSG23.html#group78A23", "78A²³"), =HYPERLINK("CSG9.html#group52D9", "52D⁹"), =HYPERLINK("CSG17.html#group52A17", "52A¹⁷")</f>
        <v/>
      </c>
    </row>
    <row r="388">
      <c r="A388" t="inlineStr">
        <is>
          <t>27A²</t>
        </is>
      </c>
      <c r="B388" t="inlineStr"/>
      <c r="C388" t="inlineStr">
        <is>
          <t>36</t>
        </is>
      </c>
      <c r="D388" t="inlineStr">
        <is>
          <t>1</t>
        </is>
      </c>
      <c r="E388" t="inlineStr">
        <is>
          <t>12</t>
        </is>
      </c>
      <c r="F388" t="inlineStr">
        <is>
          <t>0</t>
        </is>
      </c>
      <c r="G388" t="inlineStr">
        <is>
          <t>0</t>
        </is>
      </c>
      <c r="H388" t="inlineStr">
        <is>
          <t>3³, 27¹</t>
        </is>
      </c>
      <c r="I388" t="n">
        <v>4</v>
      </c>
      <c r="J388" t="inlineStr">
        <is>
          <t>1², 2², 6¹</t>
        </is>
      </c>
      <c r="K388">
        <f>HYPERLINK("CSG0.html#group9B0", "9B⁰")</f>
        <v/>
      </c>
      <c r="L388">
        <f>HYPERLINK("CSG4.html#group27A4", "27A⁴"), =HYPERLINK("CSG4.html#group27B4", "27B⁴"), =HYPERLINK("CSG4.html#group27C4", "27C⁴"), =HYPERLINK("CSG5.html#group54A5", "54A⁵"), =HYPERLINK("CSG6.html#group54B6", "54B⁶"), =HYPERLINK("CSG11.html#group108C11", "108C¹¹"), =HYPERLINK("CSG14.html#group135A14", "135A¹⁴"), =HYPERLINK("CSG15.html#group135B15", "135B¹⁵"), =HYPERLINK("CSG20.html#group189A20", "189A²⁰"), =HYPERLINK("CSG21.html#group189B21", "189B²¹")</f>
        <v/>
      </c>
      <c r="M388">
        <f>HYPERLINK("CSG0.html#group3B0", "3B⁰"), =HYPERLINK("CSG0.html#group9B0", "9B⁰"), =HYPERLINK("CSG0.html#group1A0", "1A⁰")</f>
        <v/>
      </c>
      <c r="N388">
        <f>HYPERLINK("CSG4.html#group27B4", "27B⁴"), =HYPERLINK("CSG10.html#group27B10", "27B¹⁰"), =HYPERLINK("CSG13.html#group54C13", "54C¹³"), =HYPERLINK("CSG19.html#group27E19", "27E¹⁹"), =HYPERLINK("CSG14.html#group135A14", "135A¹⁴"), =HYPERLINK("CSG19.html#group81E19", "81E¹⁹"), =HYPERLINK("CSG13.html#group54E13", "54E¹³"), =HYPERLINK("CSG16.html#group81B16", "81B¹⁶"), =HYPERLINK("CSG19.html#group81C19", "81C¹⁹"), =HYPERLINK("CSG15.html#group135B15", "135B¹⁵"), =HYPERLINK("CSG11.html#group108A11", "108A¹¹"), =HYPERLINK("CSG22.html#group81D22", "81D²²"), =HYPERLINK("CSG13.html#group54M13", "54M¹³"), =HYPERLINK("CSG20.html#group189A20", "189A²⁰"), =HYPERLINK("CSG13.html#group54Q13", "54Q¹³"), =HYPERLINK("CSG13.html#group108B13", "108B¹³"), =HYPERLINK("CSG16.html#group54S16", "54S¹⁶"), =HYPERLINK("CSG4.html#group27C4", "27C⁴"), =HYPERLINK("CSG6.html#group54B6", "54B⁶"), =HYPERLINK("CSG21.html#group189B21", "189B²¹"), =HYPERLINK("CSG16.html#group54T16", "54T¹⁶"), =HYPERLINK("CSG16.html#group27C16", "27C¹⁶"), =HYPERLINK("CSG5.html#group54A5", "54A⁵"), =HYPERLINK("CSG4.html#group27A4", "27A⁴"), =HYPERLINK("CSG13.html#group54K13", "54K¹³"), =HYPERLINK("CSG21.html#group108A21", "108A²¹"), =HYPERLINK("CSG23.html#group216A23", "216A²³"), =HYPERLINK("CSG16.html#group27D16", "27D¹⁶"), =HYPERLINK("CSG13.html#group54D13", "54D¹³"), =HYPERLINK("CSG13.html#group54B13", "54B¹³"), =HYPERLINK("CSG22.html#group81A22", "81A²²"), =HYPERLINK("CSG22.html#group81B22", "81B²²"), =HYPERLINK("CSG11.html#group108C11", "108C¹¹"), =HYPERLINK("CSG15.html#group108A15", "108A¹⁵"), =HYPERLINK("CSG16.html#group81A16", "81A¹⁶"), =HYPERLINK("CSG16.html#group54R16", "54R¹⁶")</f>
        <v/>
      </c>
    </row>
    <row r="389">
      <c r="A389" t="inlineStr">
        <is>
          <t>27B²</t>
        </is>
      </c>
      <c r="B389" t="inlineStr"/>
      <c r="C389" t="inlineStr">
        <is>
          <t>36</t>
        </is>
      </c>
      <c r="D389" t="inlineStr">
        <is>
          <t>1</t>
        </is>
      </c>
      <c r="E389" t="inlineStr">
        <is>
          <t>12</t>
        </is>
      </c>
      <c r="F389" t="inlineStr">
        <is>
          <t>0</t>
        </is>
      </c>
      <c r="G389" t="inlineStr">
        <is>
          <t>3</t>
        </is>
      </c>
      <c r="H389" t="inlineStr">
        <is>
          <t>9¹, 27¹</t>
        </is>
      </c>
      <c r="I389" t="n">
        <v>2</v>
      </c>
      <c r="J389" t="inlineStr">
        <is>
          <t>1², 2², 6¹</t>
        </is>
      </c>
      <c r="K389">
        <f>HYPERLINK("CSG0.html#group9C0", "9C⁰")</f>
        <v/>
      </c>
      <c r="L389">
        <f>HYPERLINK("CSG4.html#group27D4", "27D⁴"), =HYPERLINK("CSG4.html#group54B4", "54B⁴"), =HYPERLINK("CSG7.html#group27C7", "27C⁷"), =HYPERLINK("CSG7.html#group27D7", "27D⁷"), =HYPERLINK("CSG8.html#group54B8", "54B⁸"), =HYPERLINK("CSG11.html#group108D11", "108D¹¹"), =HYPERLINK("CSG13.html#group135B13", "135B¹³"), =HYPERLINK("CSG17.html#group135B17", "135B¹⁷"), =HYPERLINK("CSG20.html#group189B20", "189B²⁰"), =HYPERLINK("CSG21.html#group189C21", "189C²¹")</f>
        <v/>
      </c>
      <c r="M389">
        <f>HYPERLINK("CSG0.html#group3B0", "3B⁰"), =HYPERLINK("CSG0.html#group1A0", "1A⁰"), =HYPERLINK("CSG0.html#group9C0", "9C⁰")</f>
        <v/>
      </c>
      <c r="N389">
        <f>HYPERLINK("CSG22.html#group108B22", "108B²²"), =HYPERLINK("CSG22.html#group54B22", "54B²²"), =HYPERLINK("CSG22.html#group81C22", "81C²²"), =HYPERLINK("CSG19.html#group81D19", "81D¹⁹"), =HYPERLINK("CSG19.html#group27E19", "27E¹⁹"), =HYPERLINK("CSG4.html#group54B4", "54B⁴"), =HYPERLINK("CSG20.html#group189B20", "189B²⁰"), =HYPERLINK("CSG7.html#group27C7", "27C⁷"), =HYPERLINK("CSG17.html#group135B17", "135B¹⁷"), =HYPERLINK("CSG21.html#group189C21", "189C²¹"), =HYPERLINK("CSG11.html#group108D11", "108D¹¹"), =HYPERLINK("CSG16.html#group54G16", "54G¹⁶"), =HYPERLINK("CSG13.html#group135B13", "135B¹³"), =HYPERLINK("CSG16.html#group54C16", "54C¹⁶"), =HYPERLINK("CSG13.html#group54P13", "54P¹³"), =HYPERLINK("CSG8.html#group108A8", "108A⁸"), =HYPERLINK("CSG10.html#group54C10", "54C¹⁰"), =HYPERLINK("CSG17.html#group108B17", "108B¹⁷"), =HYPERLINK("CSG16.html#group27E16", "27E¹⁶"), =HYPERLINK("CSG19.html#group27D19", "27D¹⁹"), =HYPERLINK("CSG4.html#group27D4", "27D⁴"), =HYPERLINK("CSG13.html#group54T13", "54T¹³"), =HYPERLINK("CSG22.html#group216B22", "216B²²"), =HYPERLINK("CSG19.html#group27B19", "27B¹⁹"), =HYPERLINK("CSG16.html#group54F16", "54F¹⁶"), =HYPERLINK("CSG7.html#group27D7", "27D⁷"), =HYPERLINK("CSG8.html#group54B8", "54B⁸"), =HYPERLINK("CSG16.html#group54L16", "54L¹⁶"), =HYPERLINK("CSG22.html#group54D22", "54D²²"), =HYPERLINK("CSG21.html#group108B21", "108B²¹"), =HYPERLINK("CSG22.html#group54E22", "54E²²"), =HYPERLINK("CSG16.html#group108B16", "108B¹⁶")</f>
        <v/>
      </c>
    </row>
    <row r="390">
      <c r="A390" t="inlineStr">
        <is>
          <t>28A²</t>
        </is>
      </c>
      <c r="B390" t="inlineStr"/>
      <c r="C390" t="inlineStr">
        <is>
          <t>32</t>
        </is>
      </c>
      <c r="D390" t="inlineStr">
        <is>
          <t>1</t>
        </is>
      </c>
      <c r="E390" t="inlineStr">
        <is>
          <t>32</t>
        </is>
      </c>
      <c r="F390" t="inlineStr">
        <is>
          <t>0</t>
        </is>
      </c>
      <c r="G390" t="inlineStr">
        <is>
          <t>2</t>
        </is>
      </c>
      <c r="H390" t="inlineStr">
        <is>
          <t>4¹, 28¹</t>
        </is>
      </c>
      <c r="I390" t="n">
        <v>2</v>
      </c>
      <c r="J390" t="inlineStr">
        <is>
          <t>2⁴, 12²</t>
        </is>
      </c>
      <c r="K390">
        <f>HYPERLINK("CSG0.html#group4A0", "4A⁰"), =HYPERLINK("CSG0.html#group7B0", "7B⁰")</f>
        <v/>
      </c>
      <c r="L390">
        <f>HYPERLINK("CSG3.html#group28E3", "28E³"), =HYPERLINK("CSG4.html#group56A4", "56A⁴"), =HYPERLINK("CSG6.html#group28F6", "28F⁶"), =HYPERLINK("CSG6.html#group28G6", "28G⁶"), =HYPERLINK("CSG7.html#group84A7", "84A⁷"), =HYPERLINK("CSG8.html#group84C8", "84C⁸"), =HYPERLINK("CSG9.html#group56A9", "56A⁹"), =HYPERLINK("CSG9.html#group84D9", "84D⁹"), =HYPERLINK("CSG12.html#group140A12", "140A¹²"), =HYPERLINK("CSG15.html#group28B15", "28B¹⁵"), =HYPERLINK("CSG15.html#group140C15", "140C¹⁵"), =HYPERLINK("CSG15.html#group196A15", "196A¹⁵")</f>
        <v/>
      </c>
      <c r="M390">
        <f>HYPERLINK("CSG0.html#group7B0", "7B⁰"), =HYPERLINK("CSG0.html#group1A0", "1A⁰"), =HYPERLINK("CSG0.html#group4A0", "4A⁰")</f>
        <v/>
      </c>
      <c r="N390">
        <f>HYPERLINK("CSG14.html#group56B14", "56B¹⁴"), =HYPERLINK("CSG9.html#group84D9", "84D⁹"), =HYPERLINK("CSG14.html#group84B14", "84B¹⁴"), =HYPERLINK("CSG23.html#group56O23", "56O²³"), =HYPERLINK("CSG23.html#group140C23", "140C²³"), =HYPERLINK("CSG12.html#group56L12", "56L¹²"), =HYPERLINK("CSG23.html#group56P23", "56P²³"), =HYPERLINK("CSG5.html#group28I5", "28I⁵"), =HYPERLINK("CSG3.html#group28E3", "28E³"), =HYPERLINK("CSG6.html#group28G6", "28G⁶"), =HYPERLINK("CSG12.html#group140A12", "140A¹²"), =HYPERLINK("CSG14.html#group168A14", "168A¹⁴"), =HYPERLINK("CSG21.html#group28M21", "28M²¹"), =HYPERLINK("CSG22.html#group84G22", "84G²²"), =HYPERLINK("CSG15.html#group84C15", "84C¹⁵"), =HYPERLINK("CSG9.html#group28G9", "28G⁹"), =HYPERLINK("CSG23.html#group56T23", "56T²³"), =HYPERLINK("CSG19.html#group168A19", "168A¹⁹"), =HYPERLINK("CSG23.html#group56S23", "56S²³"), =HYPERLINK("CSG13.html#group56I13", "56I¹³"), =HYPERLINK("CSG13.html#group56J13", "56J¹³"), =HYPERLINK("CSG11.html#group28G11", "28G¹¹"), =HYPERLINK("CSG16.html#group168A16", "168A¹⁶"), =HYPERLINK("CSG17.html#group84P17", "84P¹⁷"), =HYPERLINK("CSG15.html#group84F15", "84F¹⁵"), =HYPERLINK("CSG14.html#group168B14", "168B¹⁴"), =HYPERLINK("CSG13.html#group56N13", "56N¹³"), =HYPERLINK("CSG15.html#group196A15", "196A¹⁵"), =HYPERLINK("CSG21.html#group28N21", "28N²¹"), =HYPERLINK("CSG8.html#group112A8", "112A⁸"), =HYPERLINK("CSG7.html#group56F7", "56F⁷"), =HYPERLINK("CSG15.html#group112L15", "112L¹⁵"), =HYPERLINK("CSG15.html#group112K15", "112K¹⁵"), =HYPERLINK("CSG22.html#group84I22", "84I²²"), =HYPERLINK("CSG13.html#group84I13", "84I¹³"), =HYPERLINK("CSG17.html#group84O17", "84O¹⁷"), =HYPERLINK("CSG7.html#group84A7", "84A⁷"), =HYPERLINK("CSG15.html#group140C15", "140C¹⁵"), =HYPERLINK("CSG9.html#group56A9", "56A⁹"), =HYPERLINK("CSG24.html#group252C24", "252C²⁴"), =HYPERLINK("CSG14.html#group56A14", "56A¹⁴"), =HYPERLINK("CSG22.html#group84L22", "84L²²"), =HYPERLINK("CSG4.html#group56A4", "56A⁴"), =HYPERLINK("CSG7.html#group56G7", "56G⁷"), =HYPERLINK("CSG6.html#group28F6", "28F⁶"), =HYPERLINK("CSG15.html#group28B15", "28B¹⁵"), =HYPERLINK("CSG11.html#group28E11", "28E¹¹"), =HYPERLINK("CSG17.html#group28E17", "28E¹⁷"), =HYPERLINK("CSG16.html#group28H16", "28H¹⁶"), =HYPERLINK("CSG8.html#group84C8", "84C⁸"), =HYPERLINK("CSG15.html#group84E15", "84E¹⁵"), =HYPERLINK("CSG19.html#group168B19", "168B¹⁹"), =HYPERLINK("CSG24.html#group280A24", "280A²⁴"), =HYPERLINK("CSG17.html#group84Q17", "84Q¹⁷"), =HYPERLINK("CSG17.html#group56D17", "56D¹⁷"), =HYPERLINK("CSG16.html#group168B16", "168B¹⁶"), =HYPERLINK("CSG13.html#group84E13", "84E¹³"), =HYPERLINK("CSG17.html#group56C17", "56C¹⁷")</f>
        <v/>
      </c>
    </row>
    <row r="391">
      <c r="A391" t="inlineStr">
        <is>
          <t>28B²</t>
        </is>
      </c>
      <c r="B391" t="inlineStr"/>
      <c r="C391" t="inlineStr">
        <is>
          <t>42</t>
        </is>
      </c>
      <c r="D391" t="inlineStr">
        <is>
          <t>2</t>
        </is>
      </c>
      <c r="E391" t="inlineStr">
        <is>
          <t>21</t>
        </is>
      </c>
      <c r="F391" t="inlineStr">
        <is>
          <t>4</t>
        </is>
      </c>
      <c r="G391" t="inlineStr">
        <is>
          <t>0</t>
        </is>
      </c>
      <c r="H391" t="inlineStr">
        <is>
          <t>7², 28¹</t>
        </is>
      </c>
      <c r="I391" t="n">
        <v>3</v>
      </c>
      <c r="J391" t="inlineStr">
        <is>
          <t>2³, 6⁶</t>
        </is>
      </c>
      <c r="K391">
        <f>HYPERLINK("CSG1.html#group14B1", "14B¹")</f>
        <v/>
      </c>
      <c r="L391">
        <f>HYPERLINK("CSG4.html#group28C4", "28C⁴"), =HYPERLINK("CSG5.html#group28A5", "28A⁵"), =HYPERLINK("CSG6.html#group28B6", "28B⁶"), =HYPERLINK("CSG6.html#group28J6", "28J⁶"), =HYPERLINK("CSG7.html#group28E7", "28E⁷"), =HYPERLINK("CSG7.html#group84B7", "84B⁷"), =HYPERLINK("CSG12.html#group84A12", "84A¹²"), =HYPERLINK("CSG16.html#group140A16", "140A¹⁶"), =HYPERLINK("CSG17.html#group140C17", "140C¹⁷")</f>
        <v/>
      </c>
      <c r="M391">
        <f>HYPERLINK("CSG1.html#group14B1", "14B¹"), =HYPERLINK("CSG0.html#group1A0", "1A⁰"), =HYPERLINK("CSG0.html#group2B0", "2B⁰"), =HYPERLINK("CSG0.html#group7A0", "7A⁰")</f>
        <v/>
      </c>
      <c r="N391">
        <f>HYPERLINK("CSG22.html#group112A22", "112A²²"), =HYPERLINK("CSG24.html#group112H24", "112H²⁴"), =HYPERLINK("CSG6.html#group28B6", "28B⁶"), =HYPERLINK("CSG4.html#group28C4", "28C⁴"), =HYPERLINK("CSG17.html#group56E17", "56E¹⁷"), =HYPERLINK("CSG17.html#group140C17", "140C¹⁷"), =HYPERLINK("CSG16.html#group140A16", "140A¹⁶"), =HYPERLINK("CSG23.html#group56F23", "56F²³"), =HYPERLINK("CSG24.html#group56J24", "56J²⁴"), =HYPERLINK("CSG23.html#group28E23", "28E²³"), =HYPERLINK("CSG13.html#group28D13", "28D¹³"), =HYPERLINK("CSG9.html#group56B9", "56B⁹"), =HYPERLINK("CSG10.html#group56A10", "56A¹⁰"), =HYPERLINK("CSG24.html#group56G24", "56G²⁴"), =HYPERLINK("CSG23.html#group112C23", "112C²³"), =HYPERLINK("CSG21.html#group56B21", "56B²¹"), =HYPERLINK("CSG16.html#group28F16", "28F¹⁶"), =HYPERLINK("CSG17.html#group28A17", "28A¹⁷"), =HYPERLINK("CSG23.html#group28C23", "28C²³"), =HYPERLINK("CSG23.html#group112F23", "112F²³"), =HYPERLINK("CSG21.html#group56J21", "56J²¹"), =HYPERLINK("CSG23.html#group56E23", "56E²³"), =HYPERLINK("CSG19.html#group84A19", "84A¹⁹"), =HYPERLINK("CSG7.html#group28E7", "28E⁷"), =HYPERLINK("CSG14.html#group28A14", "28A¹⁴"), =HYPERLINK("CSG22.html#group56C22", "56C²²"), =HYPERLINK("CSG13.html#group28B13", "28B¹³"), =HYPERLINK("CSG18.html#group84E18", "84E¹⁸"), =HYPERLINK("CSG20.html#group84B20", "84B²⁰"), =HYPERLINK("CSG19.html#group112A19", "112A¹⁹"), =HYPERLINK("CSG14.html#group84C14", "84C¹⁴"), =HYPERLINK("CSG19.html#group84B19", "84B¹⁹"), =HYPERLINK("CSG15.html#group84H15", "84H¹⁵"), =HYPERLINK("CSG16.html#group28D16", "28D¹⁶"), =HYPERLINK("CSG14.html#group28C14", "28C¹⁴"), =HYPERLINK("CSG5.html#group28A5", "28A⁵"), =HYPERLINK("CSG12.html#group84A12", "84A¹²"), =HYPERLINK("CSG11.html#group28C11", "28C¹¹"), =HYPERLINK("CSG23.html#group84B23", "84B²³"), =HYPERLINK("CSG23.html#group56A23", "56A²³"), =HYPERLINK("CSG23.html#group112L23", "112L²³"), =HYPERLINK("CSG10.html#group28A10", "28A¹⁰"), =HYPERLINK("CSG21.html#group28C21", "28C²¹"), =HYPERLINK("CSG11.html#group56B11", "56B¹¹"), =HYPERLINK("CSG6.html#group28J6", "28J⁶"), =HYPERLINK("CSG7.html#group84B7", "84B⁷"), =HYPERLINK("CSG21.html#group56A21", "56A²¹"), =HYPERLINK("CSG17.html#group84F17", "84F¹⁷"), =HYPERLINK("CSG13.html#group56A13", "56A¹³"), =HYPERLINK("CSG11.html#group28I11", "28I¹¹"), =HYPERLINK("CSG12.html#group28C12", "28C¹²"), =HYPERLINK("CSG16.html#group84H16", "84H¹⁶"), =HYPERLINK("CSG23.html#group112B23", "112B²³"), =HYPERLINK("CSG21.html#group56K21", "56K²¹"), =HYPERLINK("CSG17.html#group28D17", "28D¹⁷"), =HYPERLINK("CSG17.html#group56F17", "56F¹⁷")</f>
        <v/>
      </c>
    </row>
    <row r="392">
      <c r="A392" t="inlineStr">
        <is>
          <t>28C²</t>
        </is>
      </c>
      <c r="B392" t="inlineStr"/>
      <c r="C392" t="inlineStr">
        <is>
          <t>42</t>
        </is>
      </c>
      <c r="D392" t="inlineStr">
        <is>
          <t>2</t>
        </is>
      </c>
      <c r="E392" t="inlineStr">
        <is>
          <t>21</t>
        </is>
      </c>
      <c r="F392" t="inlineStr">
        <is>
          <t>6</t>
        </is>
      </c>
      <c r="G392" t="inlineStr">
        <is>
          <t>0</t>
        </is>
      </c>
      <c r="H392" t="inlineStr">
        <is>
          <t>14¹, 28¹</t>
        </is>
      </c>
      <c r="I392" t="n">
        <v>2</v>
      </c>
      <c r="J392" t="inlineStr">
        <is>
          <t>2³, 6⁶</t>
        </is>
      </c>
      <c r="K392">
        <f>HYPERLINK("CSG0.html#group4C0", "4C⁰"), =HYPERLINK("CSG1.html#group14B1", "14B¹")</f>
        <v/>
      </c>
      <c r="L392">
        <f>HYPERLINK("CSG4.html#group28C4", "28C⁴"), =HYPERLINK("CSG4.html#group56B4", "56B⁴"), =HYPERLINK("CSG5.html#group28B5", "28B⁵"), =HYPERLINK("CSG5.html#group28C5", "28C⁵"), =HYPERLINK("CSG5.html#group28D5", "28D⁵"), =HYPERLINK("CSG5.html#group56A5", "56A⁵"), =HYPERLINK("CSG5.html#group56B5", "56B⁵"), =HYPERLINK("CSG5.html#group56C5", "56C⁵"), =HYPERLINK("CSG6.html#group28C6", "28C⁶"), =HYPERLINK("CSG6.html#group28I6", "28I⁶"), =HYPERLINK("CSG6.html#group56A6", "56A⁶"), =HYPERLINK("CSG6.html#group84B6", "84B⁶"), =HYPERLINK("CSG7.html#group56A7", "56A⁷"), =HYPERLINK("CSG9.html#group28B9", "28B⁹"), =HYPERLINK("CSG13.html#group84C13", "84C¹³"), =HYPERLINK("CSG16.html#group140B16", "140B¹⁶"), =HYPERLINK("CSG17.html#group140D17", "140D¹⁷")</f>
        <v/>
      </c>
      <c r="M392">
        <f>HYPERLINK("CSG0.html#group2B0", "2B⁰"), =HYPERLINK("CSG0.html#group7A0", "7A⁰"), =HYPERLINK("CSG1.html#group14B1", "14B¹"), =HYPERLINK("CSG0.html#group1A0", "1A⁰"), =HYPERLINK("CSG0.html#group4C0", "4C⁰")</f>
        <v/>
      </c>
      <c r="N392">
        <f>HYPERLINK("CSG24.html#group224C24", "224C²⁴"), =HYPERLINK("CSG24.html#group336I24", "336I²⁴"), =HYPERLINK("CSG21.html#group56H21", "56H²¹"), =HYPERLINK("CSG7.html#group56A7", "56A⁷"), =HYPERLINK("CSG4.html#group28C4", "28C⁴"), =HYPERLINK("CSG11.html#group112D11", "112D¹¹"), =HYPERLINK("CSG23.html#group56J23", "56J²³"), =HYPERLINK("CSG16.html#group84F16", "84F¹⁶"), =HYPERLINK("CSG16.html#group168E16", "168E¹⁶"), =HYPERLINK("CSG12.html#group28B12", "28B¹²"), =HYPERLINK("CSG24.html#group112V24", "112V²⁴"), =HYPERLINK("CSG14.html#group56G14", "56G¹⁴"), =HYPERLINK("CSG24.html#group224F24", "224F²⁴"), =HYPERLINK("CSG24.html#group56G24", "56G²⁴"), =HYPERLINK("CSG12.html#group56H12", "56H¹²"), =HYPERLINK("CSG16.html#group140B16", "140B¹⁶"), =HYPERLINK("CSG24.html#group112W24", "112W²⁴"), =HYPERLINK("CSG23.html#group224A23", "224A²³"), =HYPERLINK("CSG24.html#group112Q24", "112Q²⁴"), =HYPERLINK("CSG17.html#group140D17", "140D¹⁷"), =HYPERLINK("CSG24.html#group56H24", "56H²⁴"), =HYPERLINK("CSG15.html#group56G15", "56G¹⁵"), =HYPERLINK("CSG18.html#group56A18", "56A¹⁸"), =HYPERLINK("CSG24.html#group112R24", "112R²⁴"), =HYPERLINK("CSG12.html#group56E12", "56E¹²"), =HYPERLINK("CSG22.html#group56D22", "56D²²"), =HYPERLINK("CSG15.html#group56H15", "56H¹⁵"), =HYPERLINK("CSG16.html#group84A16", "84A¹⁶"), =HYPERLINK("CSG8.html#group112B8", "112B⁸"), =HYPERLINK("CSG18.html#group168E18", "168E¹⁸"), =HYPERLINK("CSG24.html#group56I24", "56I²⁴"), =HYPERLINK("CSG15.html#group56F15", "56F¹⁵"), =HYPERLINK("CSG18.html#group168F18", "168F¹⁸"), =HYPERLINK("CSG11.html#group112A11", "112A¹¹"), =HYPERLINK("CSG21.html#group28E21", "28E²¹"), =HYPERLINK("CSG21.html#group56J21", "56J²¹"), =HYPERLINK("CSG12.html#group56A12", "56A¹²"), =HYPERLINK("CSG10.html#group56B10", "56B¹⁰"), =HYPERLINK("CSG19.html#group112A19", "112A¹⁹"), =HYPERLINK("CSG14.html#group84C14", "84C¹⁴"), =HYPERLINK("CSG12.html#group56J12", "56J¹²"), =HYPERLINK("CSG10.html#group56D10", "56D¹⁰"), =HYPERLINK("CSG16.html#group84J16", "84J¹⁶"), =HYPERLINK("CSG16.html#group84B16", "84B¹⁶"), =HYPERLINK("CSG23.html#group112E23", "112E²³"), =HYPERLINK("CSG23.html#group112L23", "112L²³"), =HYPERLINK("CSG10.html#group28A10", "28A¹⁰"), =HYPERLINK("CSG17.html#group168A17", "168A¹⁷"), =HYPERLINK("CSG11.html#group28D11", "28D¹¹"), =HYPERLINK("CSG23.html#group112H23", "112H²³"), =HYPERLINK("CSG24.html#group112U24", "112U²⁴"), =HYPERLINK("CSG5.html#group28D5", "28D⁵"), =HYPERLINK("CSG12.html#group28C12", "28C¹²"), =HYPERLINK("CSG23.html#group112M23", "112M²³"), =HYPERLINK("CSG12.html#group56D12", "56D¹²"), =HYPERLINK("CSG24.html#group112B24", "112B²⁴"), =HYPERLINK("CSG11.html#group112F11", "112F¹¹"), =HYPERLINK("CSG21.html#group56K21", "56K²¹"), =HYPERLINK("CSG13.html#group56D13", "56D¹³"), =HYPERLINK("CSG5.html#group56B5", "56B⁵"), =HYPERLINK("CSG22.html#group112A22", "112A²²"), =HYPERLINK("CSG11.html#group56G11", "56G¹¹"), =HYPERLINK("CSG24.html#group56D24", "56D²⁴"), =HYPERLINK("CSG12.html#group56I12", "56I¹²"), =HYPERLINK("CSG23.html#group56F23", "56F²³"), =HYPERLINK("CSG24.html#group56J24", "56J²⁴"), =HYPERLINK("CSG22.html#group56G22", "56G²²"), =HYPERLINK("CSG5.html#group28C5", "28C⁵"), =HYPERLINK("CSG21.html#group28J21", "28J²¹"), =HYPERLINK("CSG10.html#group56A10", "56A¹⁰"), =HYPERLINK("CSG6.html#group56A6", "56A⁶"), =HYPERLINK("CSG11.html#group56E11", "56E¹¹"), =HYPERLINK("CSG13.html#group56E13", "56E¹³"), =HYPERLINK("CSG15.html#group28D15", "28D¹⁵"), =HYPERLINK("CSG24.html#group112Z24", "112Z²⁴"), =HYPERLINK("CSG21.html#group224A21", "224A²¹"), =HYPERLINK("CSG15.html#group28H15", "28H¹⁵"), =HYPERLINK("CSG24.html#group56B24", "56B²⁴"), =HYPERLINK("CSG12.html#group112G12", "112G¹²"), =HYPERLINK("CSG13.html#group56F13", "56F¹³"), =HYPERLINK("CSG23.html#group112J23", "112J²³"), =HYPERLINK("CSG15.html#group28F15", "28F¹⁵"), =HYPERLINK("CSG11.html#group112C11", "112C¹¹"), =HYPERLINK("CSG24.html#group112A24", "112A²⁴"), =HYPERLINK("CSG15.html#group168B15", "168B¹⁵"), =HYPERLINK("CSG22.html#group56F22", "56F²²"), =HYPERLINK("CSG24.html#group56F24", "56F²⁴"), =HYPERLINK("CSG17.html#group84H17", "84H¹⁷"), =HYPERLINK("CSG15.html#group28E15", "28E¹⁵"), =HYPERLINK("CSG11.html#group56A11", "56A¹¹"), =HYPERLINK("CSG24.html#group224E24", "224E²⁴"), =HYPERLINK("CSG17.html#group84E17", "84E¹⁷"), =HYPERLINK("CSG24.html#group112P24", "112P²⁴"), =HYPERLINK("CSG24.html#group112S24", "112S²⁴"), =HYPERLINK("CSG16.html#group168G16", "168G¹⁶"), =HYPERLINK("CSG16.html#group84I16", "84I¹⁶"), =HYPERLINK("CSG21.html#group112A21", "112A²¹"), =HYPERLINK("CSG14.html#group28C14", "28C¹⁴"), =HYPERLINK("CSG19.html#group224A19", "224A¹⁹"), =HYPERLINK("CSG13.html#group56A13", "56A¹³"), =HYPERLINK("CSG12.html#group112F12", "112F¹²"), =HYPERLINK("CSG10.html#group112A10", "112A¹⁰"), =HYPERLINK("CSG22.html#group84N22", "84N²²"), =HYPERLINK("CSG5.html#group56A5", "56A⁵"), =HYPERLINK("CSG24.html#group112H24", "112H²⁴"), =HYPERLINK("CSG24.html#group112X24", "112X²⁴"), =HYPERLINK("CSG23.html#group56D23", "56D²³"), =HYPERLINK("CSG21.html#group56C21", "56C²¹"), =HYPERLINK("CSG12.html#group28D12", "28D¹²"), =HYPERLINK("CSG6.html#group28I6", "28I⁶"), =HYPERLINK("CSG9.html#group56B9", "56B⁹"), =HYPERLINK("CSG24.html#group112N24", "112N²⁴"), =HYPERLINK("CSG19.html#group56A19", "56A¹⁹"), =HYPERLINK("CSG23.html#group112D23", "112D²³"), =HYPERLINK("CSG16.html#group168F16", "168F¹⁶"), =HYPERLINK("CSG11.html#group56D11", "56D¹¹"), =HYPERLINK("CSG23.html#group28C23", "28C²³"), =HYPERLINK("CSG24.html#group112Y24", "112Y²⁴"), =HYPERLINK("CSG10.html#group56E10", "56E¹⁰"), =HYPERLINK("CSG24.html#group252G24", "252G²⁴"), =HYPERLINK("CSG9.html#group28B9", "28B⁹"), =HYPERLINK("CSG21.html#group56G21", "56G²¹"), =HYPERLINK("CSG21.html#group112D21", "112D²¹"), =HYPERLINK("CSG24.html#group112T24", "112T²⁴"), =HYPERLINK("CSG23.html#group112I23", "112I²³"), =HYPERLINK("CSG21.html#group28D21", "28D²¹"), =HYPERLINK("CSG16.html#group28C16", "28C¹⁶"), =HYPERLINK("CSG11.html#group28C11", "28C¹¹"), =HYPERLINK("CSG21.html#group112C21", "112C²¹"), =HYPERLINK("CSG23.html#group56H23", "56H²³"), =HYPERLINK("CSG11.html#group112E11", "112E¹¹"), =HYPERLINK("CSG22.html#group56E22", "56E²²"), =HYPERLINK("CSG16.html#group168D16", "168D¹⁶"), =HYPERLINK("CSG21.html#group28I21", "28I²¹"), =HYPERLINK("CSG11.html#group112B11", "112B¹¹"), =HYPERLINK("CSG24.html#group112I24", "112I²⁴"), =HYPERLINK("CSG24.html#group56C24", "56C²⁴"), =HYPERLINK("CSG24.html#group224D24", "224D²⁴"), =HYPERLINK("CSG12.html#group56K12", "56K¹²"), =HYPERLINK("CSG16.html#group168C16", "168C¹⁶"), =HYPERLINK("CSG14.html#group84D14", "84D¹⁴"), =HYPERLINK("CSG5.html#group56C5", "56C⁵"), =HYPERLINK("CSG13.html#group84C13", "84C¹³"), =HYPERLINK("CSG21.html#group112B21", "112B²¹"), =HYPERLINK("CSG14.html#group112B14", "112B¹⁴"), =HYPERLINK("CSG23.html#group112K23", "112K²³"), =HYPERLINK("CSG12.html#group168A12", "168A¹²"), =HYPERLINK("CSG12.html#group112A12", "112A¹²"), =HYPERLINK("CSG17.html#group56B17", "56B¹⁷"), =HYPERLINK("CSG13.html#group28E13", "28E¹³"), =HYPERLINK("CSG23.html#group56G23", "56G²³"), =HYPERLINK("CSG24.html#group112M24", "112M²⁴"), =HYPERLINK("CSG10.html#group56C10", "56C¹⁰"), =HYPERLINK("CSG23.html#group56N23", "56N²³"), =HYPERLINK("CSG13.html#group56C13", "56C¹³"), =HYPERLINK("CSG11.html#group56F11", "56F¹¹"), =HYPERLINK("CSG23.html#group112C23", "112C²³"), =HYPERLINK("CSG23.html#group112N23", "112N²³"), =HYPERLINK("CSG6.html#group28C6", "28C⁶"), =HYPERLINK("CSG17.html#group84D17", "84D¹⁷"), =HYPERLINK("CSG24.html#group112K24", "112K²⁴"), =HYPERLINK("CSG23.html#group112A23", "112A²³"), =HYPERLINK("CSG6.html#group84B6", "84B⁶"), =HYPERLINK("CSG14.html#group112A14", "112A¹⁴"), =HYPERLINK("CSG15.html#group168A15", "168A¹⁵"), =HYPERLINK("CSG11.html#group56C11", "56C¹¹"), =HYPERLINK("CSG13.html#group56B13", "56B¹³"), =HYPERLINK("CSG22.html#group56C22", "56C²²"), =HYPERLINK("CSG24.html#group112L24", "112L²⁴"), =HYPERLINK("CSG24.html#group112J24", "112J²⁴"), =HYPERLINK("CSG12.html#group56B12", "56B¹²"), =HYPERLINK("CSG21.html#group168A21", "168A²¹"), =HYPERLINK("CSG16.html#group56C16", "56C¹⁶"), =HYPERLINK("CSG23.html#group56I23", "56I²³"), =HYPERLINK("CSG5.html#group28B5", "28B⁵"), =HYPERLINK("CSG24.html#group56A24", "56A²⁴"), =HYPERLINK("CSG23.html#group56A23", "56A²³"), =HYPERLINK("CSG24.html#group112O24", "112O²⁴"), =HYPERLINK("CSG15.html#group84I15", "84I¹⁵"), =HYPERLINK("CSG23.html#group112G23", "112G²³"), =HYPERLINK("CSG15.html#group56E15", "56E¹⁵"), =HYPERLINK("CSG20.html#group84C20", "84C²⁰"), =HYPERLINK("CSG23.html#group56M23", "56M²³"), =HYPERLINK("CSG21.html#group56D21", "56D²¹"), =HYPERLINK("CSG14.html#group112C14", "112C¹⁴"), =HYPERLINK("CSG17.html#group28D17", "28D¹⁷"), =HYPERLINK("CSG4.html#group56B4", "56B⁴")</f>
        <v/>
      </c>
    </row>
    <row r="393">
      <c r="A393" t="inlineStr">
        <is>
          <t>28D²</t>
        </is>
      </c>
      <c r="B393" t="inlineStr">
        <is>
          <t>Γ₀(28)</t>
        </is>
      </c>
      <c r="C393" t="inlineStr">
        <is>
          <t>48</t>
        </is>
      </c>
      <c r="D393" t="inlineStr">
        <is>
          <t>1</t>
        </is>
      </c>
      <c r="E393" t="inlineStr">
        <is>
          <t>24</t>
        </is>
      </c>
      <c r="F393" t="inlineStr">
        <is>
          <t>0</t>
        </is>
      </c>
      <c r="G393" t="inlineStr">
        <is>
          <t>0</t>
        </is>
      </c>
      <c r="H393" t="inlineStr">
        <is>
          <t>1², 4¹, 7², 28¹</t>
        </is>
      </c>
      <c r="I393" t="n">
        <v>6</v>
      </c>
      <c r="J393" t="inlineStr">
        <is>
          <t>1⁶, 6³</t>
        </is>
      </c>
      <c r="K393">
        <f>HYPERLINK("CSG0.html#group4B0", "4B⁰"), =HYPERLINK("CSG1.html#group14C1", "14C¹")</f>
        <v/>
      </c>
      <c r="L393">
        <f>HYPERLINK("CSG4.html#group28E4", "28E⁴"), =HYPERLINK("CSG4.html#group28F4", "28F⁴"), =HYPERLINK("CSG4.html#group56C4", "56C⁴"), =HYPERLINK("CSG5.html#group28E5", "28E⁵"), =HYPERLINK("CSG5.html#group56D5", "56D⁵"), =HYPERLINK("CSG6.html#group56D6", "56D⁶"), =HYPERLINK("CSG10.html#group84B10", "84B¹⁰"), =HYPERLINK("CSG10.html#group84D10", "84D¹⁰"), =HYPERLINK("CSG11.html#group84I11", "84I¹¹"), =HYPERLINK("CSG17.html#group28A17", "28A¹⁷"), =HYPERLINK("CSG17.html#group196A17", "196A¹⁷"), =HYPERLINK("CSG18.html#group140A18", "140A¹⁸"), =HYPERLINK("CSG19.html#group140I19", "140I¹⁹")</f>
        <v/>
      </c>
      <c r="M393">
        <f>HYPERLINK("CSG0.html#group2B0", "2B⁰"), =HYPERLINK("CSG0.html#group4B0", "4B⁰"), =HYPERLINK("CSG0.html#group1A0", "1A⁰"), =HYPERLINK("CSG0.html#group7B0", "7B⁰"), =HYPERLINK("CSG1.html#group14C1", "14C¹")</f>
        <v/>
      </c>
      <c r="N393">
        <f>HYPERLINK("CSG21.html#group56M21", "56M²¹"), =HYPERLINK("CSG23.html#group56U23", "56U²³"), =HYPERLINK("CSG13.html#group56O13", "56O¹³"), =HYPERLINK("CSG17.html#group196A17", "196A¹⁷"), =HYPERLINK("CSG23.html#group112R23", "112R²³"), =HYPERLINK("CSG20.html#group84N20", "84N²⁰"), =HYPERLINK("CSG21.html#group28M21", "28M²¹"), =HYPERLINK("CSG11.html#group56Q11", "56Q¹¹"), =HYPERLINK("CSG20.html#group84J20", "84J²⁰"), =HYPERLINK("CSG21.html#group56N21", "56N²¹"), =HYPERLINK("CSG13.html#group112C13", "112C¹³"), =HYPERLINK("CSG21.html#group112F21", "112F²¹"), =HYPERLINK("CSG23.html#group112Q23", "112Q²³"), =HYPERLINK("CSG20.html#group168G20", "168G²⁰"), =HYPERLINK("CSG17.html#group28A17", "28A¹⁷"), =HYPERLINK("CSG11.html#group56P11", "56P¹¹"), =HYPERLINK("CSG11.html#group56N11", "56N¹¹"), =HYPERLINK("CSG10.html#group84D10", "84D¹⁰"), =HYPERLINK("CSG16.html#group56E16", "56E¹⁶"), =HYPERLINK("CSG11.html#group112J11", "112J¹¹"), =HYPERLINK("CSG18.html#group140A18", "140A¹⁸"), =HYPERLINK("CSG11.html#group28F11", "28F¹¹"), =HYPERLINK("CSG21.html#group112E21", "112E²¹"), =HYPERLINK("CSG11.html#group56O11", "56O¹¹"), =HYPERLINK("CSG19.html#group84K19", "84K¹⁹"), =HYPERLINK("CSG21.html#group168D21", "168D²¹"), =HYPERLINK("CSG9.html#group56C9", "56C⁹"), =HYPERLINK("CSG22.html#group168A22", "168A²²"), =HYPERLINK("CSG20.html#group168F20", "168F²⁰"), =HYPERLINK("CSG23.html#group84L23", "84L²³"), =HYPERLINK("CSG11.html#group84I11", "84I¹¹"), =HYPERLINK("CSG21.html#group168B21", "168B²¹"), =HYPERLINK("CSG21.html#group56L21", "56L²¹"), =HYPERLINK("CSG4.html#group28E4", "28E⁴"), =HYPERLINK("CSG23.html#group168Q23", "168Q²³"), =HYPERLINK("CSG4.html#group56C4", "56C⁴"), =HYPERLINK("CSG9.html#group28F9", "28F⁹"), =HYPERLINK("CSG13.html#group56G13", "56G¹³"), =HYPERLINK("CSG13.html#group28F13", "28F¹³"), =HYPERLINK("CSG23.html#group56V23", "56V²³"), =HYPERLINK("CSG23.html#group56Q23", "56Q²³"), =HYPERLINK("CSG13.html#group56H13", "56H¹³"), =HYPERLINK("CSG21.html#group168C21", "168C²¹"), =HYPERLINK("CSG11.html#group112H11", "112H¹¹"), =HYPERLINK("CSG23.html#group112P23", "112P²³"), =HYPERLINK("CSG23.html#group56O23", "56O²³"), =HYPERLINK("CSG23.html#group56P23", "56P²³"), =HYPERLINK("CSG20.html#group168E20", "168E²⁰"), =HYPERLINK("CSG5.html#group56D5", "56D⁵"), =HYPERLINK("CSG23.html#group224C23", "224C²³"), =HYPERLINK("CSG11.html#group56M11", "56M¹¹"), =HYPERLINK("CSG11.html#group112G11", "112G¹¹"), =HYPERLINK("CSG5.html#group28E5", "28E⁵"), =HYPERLINK("CSG10.html#group56F10", "56F¹⁰"), =HYPERLINK("CSG10.html#group84B10", "84B¹⁰"), =HYPERLINK("CSG23.html#group112S23", "112S²³"), =HYPERLINK("CSG23.html#group112U23", "112U²³"), =HYPERLINK("CSG11.html#group56R11", "56R¹¹"), =HYPERLINK("CSG19.html#group140I19", "140I¹⁹"), =HYPERLINK("CSG21.html#group84Q21", "84Q²¹"), =HYPERLINK("CSG4.html#group28F4", "28F⁴"), =HYPERLINK("CSG23.html#group112O23", "112O²³"), =HYPERLINK("CSG21.html#group84A21", "84A²¹"), =HYPERLINK("CSG13.html#group112D13", "112D¹³"), =HYPERLINK("CSG11.html#group56L11", "56L¹¹"), =HYPERLINK("CSG23.html#group56W23", "56W²³"), =HYPERLINK("CSG20.html#group84L20", "84L²⁰"), =HYPERLINK("CSG22.html#group168C22", "168C²²"), =HYPERLINK("CSG23.html#group112T23", "112T²³"), =HYPERLINK("CSG11.html#group28E11", "28E¹¹"), =HYPERLINK("CSG23.html#group168R23", "168R²³"), =HYPERLINK("CSG6.html#group56D6", "56D⁶"), =HYPERLINK("CSG21.html#group84E21", "84E²¹"), =HYPERLINK("CSG10.html#group28D10", "28D¹⁰"), =HYPERLINK("CSG23.html#group224B23", "224B²³"), =HYPERLINK("CSG21.html#group84G21", "84G²¹"), =HYPERLINK("CSG23.html#group56R23", "56R²³"), =HYPERLINK("CSG22.html#group168E22", "168E²²"), =HYPERLINK("CSG23.html#group84K23", "84K²³"), =HYPERLINK("CSG11.html#group112I11", "112I¹¹")</f>
        <v/>
      </c>
    </row>
    <row r="394">
      <c r="A394" t="inlineStr">
        <is>
          <t>28E²</t>
        </is>
      </c>
      <c r="B394" t="inlineStr"/>
      <c r="C394" t="inlineStr">
        <is>
          <t>56</t>
        </is>
      </c>
      <c r="D394" t="inlineStr">
        <is>
          <t>2</t>
        </is>
      </c>
      <c r="E394" t="inlineStr">
        <is>
          <t>28</t>
        </is>
      </c>
      <c r="F394" t="inlineStr">
        <is>
          <t>8</t>
        </is>
      </c>
      <c r="G394" t="inlineStr">
        <is>
          <t>2</t>
        </is>
      </c>
      <c r="H394" t="inlineStr">
        <is>
          <t>28²</t>
        </is>
      </c>
      <c r="I394" t="n">
        <v>2</v>
      </c>
      <c r="J394" t="inlineStr">
        <is>
          <t>4², 12⁴</t>
        </is>
      </c>
      <c r="K394">
        <f>HYPERLINK("CSG0.html#group14A0", "14A⁰"), =HYPERLINK("CSG1.html#group28A1", "28A¹")</f>
        <v/>
      </c>
      <c r="L394">
        <f>HYPERLINK("CSG6.html#group56F6", "56F⁶"), =HYPERLINK("CSG6.html#group56G6", "56G⁶"), =HYPERLINK("CSG7.html#group28A7", "28A⁷"), =HYPERLINK("CSG8.html#group84H8", "84H⁸"), =HYPERLINK("CSG9.html#group28E9", "28E⁹"), =HYPERLINK("CSG10.html#group28A10", "28A¹⁰"), =HYPERLINK("CSG10.html#group28B10", "28B¹⁰"), =HYPERLINK("CSG11.html#group28H11", "28H¹¹"), =HYPERLINK("CSG13.html#group56M13", "56M¹³"), =HYPERLINK("CSG17.html#group84A17", "84A¹⁷"), =HYPERLINK("CSG20.html#group140B20", "140B²⁰"), =HYPERLINK("CSG23.html#group140H23", "140H²³")</f>
        <v/>
      </c>
      <c r="M394">
        <f>HYPERLINK("CSG0.html#group14A0", "14A⁰"), =HYPERLINK("CSG1.html#group28A1", "28A¹"), =HYPERLINK("CSG0.html#group1A0", "1A⁰"), =HYPERLINK("CSG0.html#group4A0", "4A⁰"), =HYPERLINK("CSG0.html#group7A0", "7A⁰")</f>
        <v/>
      </c>
      <c r="N394">
        <f>HYPERLINK("CSG24.html#group56M24", "56M²⁴"), =HYPERLINK("CSG23.html#group140H23", "140H²³"), =HYPERLINK("CSG24.html#group56J24", "56J²⁴"), =HYPERLINK("CSG13.html#group56M13", "56M¹³"), =HYPERLINK("CSG8.html#group84H8", "84H⁸"), =HYPERLINK("CSG19.html#group28C19", "28C¹⁹"), =HYPERLINK("CSG24.html#group56N24", "56N²⁴"), =HYPERLINK("CSG22.html#group168G22", "168G²²"), =HYPERLINK("CSG23.html#group28C23", "28C²³"), =HYPERLINK("CSG17.html#group84A17", "84A¹⁷"), =HYPERLINK("CSG22.html#group56L22", "56L²²"), =HYPERLINK("CSG22.html#group168H22", "168H²²"), =HYPERLINK("CSG6.html#group56F6", "56F⁶"), =HYPERLINK("CSG24.html#group56L24", "56L²⁴"), =HYPERLINK("CSG21.html#group56J21", "56J²¹"), =HYPERLINK("CSG9.html#group28E9", "28E⁹"), =HYPERLINK("CSG10.html#group28B10", "28B¹⁰"), =HYPERLINK("CSG22.html#group56C22", "56C²²"), =HYPERLINK("CSG14.html#group112F14", "112F¹⁴"), =HYPERLINK("CSG22.html#group168I22", "168I²²"), =HYPERLINK("CSG23.html#group84D23", "84D²³"), =HYPERLINK("CSG22.html#group56K22", "56K²²"), =HYPERLINK("CSG11.html#group28H11", "28H¹¹"), =HYPERLINK("CSG6.html#group56G6", "56G⁶"), =HYPERLINK("CSG23.html#group28D23", "28D²³"), =HYPERLINK("CSG10.html#group28A10", "28A¹⁰"), =HYPERLINK("CSG15.html#group56A15", "56A¹⁵"), =HYPERLINK("CSG24.html#group56K24", "56K²⁴"), =HYPERLINK("CSG22.html#group168J22", "168J²²"), =HYPERLINK("CSG7.html#group28A7", "28A⁷"), =HYPERLINK("CSG20.html#group140B20", "140B²⁰"), =HYPERLINK("CSG19.html#group84L19", "84L¹⁹"), =HYPERLINK("CSG14.html#group112E14", "112E¹⁴"), =HYPERLINK("CSG23.html#group28A23", "28A²³"), =HYPERLINK("CSG21.html#group28K21", "28K²¹")</f>
        <v/>
      </c>
    </row>
    <row r="395">
      <c r="A395" t="inlineStr">
        <is>
          <t>28F²</t>
        </is>
      </c>
      <c r="B395" t="inlineStr"/>
      <c r="C395" t="inlineStr">
        <is>
          <t>96</t>
        </is>
      </c>
      <c r="D395" t="inlineStr">
        <is>
          <t>1</t>
        </is>
      </c>
      <c r="E395" t="inlineStr">
        <is>
          <t>16</t>
        </is>
      </c>
      <c r="F395" t="inlineStr">
        <is>
          <t>0</t>
        </is>
      </c>
      <c r="G395" t="inlineStr">
        <is>
          <t>12</t>
        </is>
      </c>
      <c r="H395" t="inlineStr">
        <is>
          <t>4³, 28³</t>
        </is>
      </c>
      <c r="I395" t="n">
        <v>6</v>
      </c>
      <c r="J395" t="inlineStr">
        <is>
          <t>1⁴, 6²</t>
        </is>
      </c>
      <c r="K395">
        <f>HYPERLINK("CSG0.html#group14C0", "14C⁰"), =HYPERLINK("CSG0.html#group28A0", "28A⁰")</f>
        <v/>
      </c>
      <c r="L395">
        <f>HYPERLINK("CSG16.html#group28G16", "28G¹⁶"), =HYPERLINK("CSG16.html#group84K16", "84K¹⁶"), =HYPERLINK("CSG17.html#group28E17", "28E¹⁷"), =HYPERLINK("CSG22.html#group84D22", "84D²²"), =HYPERLINK("CSG23.html#group84H23", "84H²³")</f>
        <v/>
      </c>
      <c r="M395">
        <f>HYPERLINK("CSG0.html#group2A0", "2A⁰"), =HYPERLINK("CSG0.html#group28A0", "28A⁰"), =HYPERLINK("CSG0.html#group14C0", "14C⁰"), =HYPERLINK("CSG0.html#group1A0", "1A⁰"), =HYPERLINK("CSG0.html#group7B0", "7B⁰"), =HYPERLINK("CSG0.html#group14B0", "14B⁰")</f>
        <v/>
      </c>
      <c r="N395">
        <f>HYPERLINK("CSG16.html#group28G16", "28G¹⁶"), =HYPERLINK("CSG17.html#group28E17", "28E¹⁷"), =HYPERLINK("CSG23.html#group84H23", "84H²³"), =HYPERLINK("CSG22.html#group84D22", "84D²²"), =HYPERLINK("CSG16.html#group84K16", "84K¹⁶")</f>
        <v/>
      </c>
    </row>
    <row r="396">
      <c r="A396" t="inlineStr">
        <is>
          <t>29A²</t>
        </is>
      </c>
      <c r="B396" t="inlineStr">
        <is>
          <t>Γ₀(29)</t>
        </is>
      </c>
      <c r="C396" t="inlineStr">
        <is>
          <t>30</t>
        </is>
      </c>
      <c r="D396" t="inlineStr">
        <is>
          <t>1</t>
        </is>
      </c>
      <c r="E396" t="inlineStr">
        <is>
          <t>30</t>
        </is>
      </c>
      <c r="F396" t="inlineStr">
        <is>
          <t>2</t>
        </is>
      </c>
      <c r="G396" t="inlineStr">
        <is>
          <t>0</t>
        </is>
      </c>
      <c r="H396" t="inlineStr">
        <is>
          <t>1¹, 29¹</t>
        </is>
      </c>
      <c r="I396" t="n">
        <v>2</v>
      </c>
      <c r="J396" t="inlineStr">
        <is>
          <t>1², 28¹</t>
        </is>
      </c>
      <c r="K396">
        <f>HYPERLINK("CSG0.html#group1A0", "1A⁰")</f>
        <v/>
      </c>
      <c r="L396">
        <f>HYPERLINK("CSG4.html#group29A4", "29A⁴"), =HYPERLINK("CSG4.html#group58A4", "58A⁴"), =HYPERLINK("CSG5.html#group58A5", "58A⁵"), =HYPERLINK("CSG6.html#group58A6", "58A⁶"), =HYPERLINK("CSG6.html#group87A6", "87A⁶"), =HYPERLINK("CSG8.html#group29A8", "29A⁸"), =HYPERLINK("CSG9.html#group87A9", "87A⁹"), =HYPERLINK("CSG9.html#group116A9", "116A⁹"), =HYPERLINK("CSG12.html#group145A12", "145A¹²"), =HYPERLINK("CSG13.html#group145A13", "145A¹³"), =HYPERLINK("CSG16.html#group203A16", "203A¹⁶"), =HYPERLINK("CSG19.html#group203A19", "203A¹⁹"), =HYPERLINK("CSG23.html#group145A23", "145A²³")</f>
        <v/>
      </c>
      <c r="M396">
        <f>HYPERLINK("CSG0.html#group1A0", "1A⁰")</f>
        <v/>
      </c>
      <c r="N396">
        <f>HYPERLINK("CSG14.html#group87A14", "87A¹⁴"), =HYPERLINK("CSG20.html#group261A20", "261A²⁰"), =HYPERLINK("CSG6.html#group87A6", "87A⁶"), =HYPERLINK("CSG23.html#group145A23", "145A²³"), =HYPERLINK("CSG12.html#group58B12", "58B¹²"), =HYPERLINK("CSG5.html#group58A5", "58A⁵"), =HYPERLINK("CSG16.html#group203A16", "203A¹⁶"), =HYPERLINK("CSG13.html#group116A13", "116A¹³"), =HYPERLINK("CSG13.html#group145A13", "145A¹³"), =HYPERLINK("CSG12.html#group174A12", "174A¹²"), =HYPERLINK("CSG14.html#group174A14", "174A¹⁴"), =HYPERLINK("CSG9.html#group87A9", "87A⁹"), =HYPERLINK("CSG15.html#group174A15", "174A¹⁵"), =HYPERLINK("CSG12.html#group145A12", "145A¹²"), =HYPERLINK("CSG13.html#group174A13", "174A¹³"), =HYPERLINK("CSG9.html#group116A9", "116A⁹"), =HYPERLINK("CSG13.html#group87A13", "87A¹³"), =HYPERLINK("CSG19.html#group116C19", "116C¹⁹"), =HYPERLINK("CSG20.html#group174A20", "174A²⁰"), =HYPERLINK("CSG9.html#group116B9", "116B⁹"), =HYPERLINK("CSG19.html#group203A19", "203A¹⁹"), =HYPERLINK("CSG24.html#group145A24", "145A²⁴"), =HYPERLINK("CSG4.html#group58A4", "58A⁴"), =HYPERLINK("CSG22.html#group58A22", "58A²²"), =HYPERLINK("CSG19.html#group232B19", "232B¹⁹"), =HYPERLINK("CSG8.html#group29A8", "29A⁸"), =HYPERLINK("CSG9.html#group58A9", "58A⁹"), =HYPERLINK("CSG13.html#group58A13", "58A¹³"), =HYPERLINK("CSG22.html#group29A22", "29A²²"), =HYPERLINK("CSG17.html#group87A17", "87A¹⁷"), =HYPERLINK("CSG19.html#group174B19", "174B¹⁹"), =HYPERLINK("CSG15.html#group174B15", "174B¹⁵"), =HYPERLINK("CSG12.html#group58A12", "58A¹²"), =HYPERLINK("CSG19.html#group116B19", "116B¹⁹"), =HYPERLINK("CSG12.html#group116A12", "116A¹²"), =HYPERLINK("CSG12.html#group87A12", "87A¹²"), =HYPERLINK("CSG4.html#group29A4", "29A⁴"), =HYPERLINK("CSG19.html#group232A19", "232A¹⁹"), =HYPERLINK("CSG6.html#group58A6", "58A⁶"), =HYPERLINK("CSG19.html#group116A19", "116A¹⁹"), =HYPERLINK("CSG19.html#group174A19", "174A¹⁹"), =HYPERLINK("CSG14.html#group116A14", "116A¹⁴"), =HYPERLINK("CSG24.html#group290A24", "290A²⁴"), =HYPERLINK("CSG17.html#group116A17", "116A¹⁷"), =HYPERLINK("CSG13.html#group116B13", "116B¹³")</f>
        <v/>
      </c>
    </row>
    <row r="397">
      <c r="A397" t="inlineStr">
        <is>
          <t>30A²</t>
        </is>
      </c>
      <c r="B397" t="inlineStr"/>
      <c r="C397" t="inlineStr">
        <is>
          <t>30</t>
        </is>
      </c>
      <c r="D397" t="inlineStr">
        <is>
          <t>1</t>
        </is>
      </c>
      <c r="E397" t="inlineStr">
        <is>
          <t>15</t>
        </is>
      </c>
      <c r="F397" t="inlineStr">
        <is>
          <t>4</t>
        </is>
      </c>
      <c r="G397" t="inlineStr">
        <is>
          <t>0</t>
        </is>
      </c>
      <c r="H397" t="inlineStr">
        <is>
          <t>30¹</t>
        </is>
      </c>
      <c r="I397" t="n">
        <v>1</v>
      </c>
      <c r="J397" t="inlineStr">
        <is>
          <t>1¹, 2¹, 4¹, 8¹</t>
        </is>
      </c>
      <c r="K397">
        <f>HYPERLINK("CSG0.html#group6B0", "6B⁰"), =HYPERLINK("CSG1.html#group15A1", "15A¹")</f>
        <v/>
      </c>
      <c r="L397">
        <f>HYPERLINK("CSG4.html#group30A4", "30A⁴"), =HYPERLINK("CSG4.html#group30E4", "30E⁴"), =HYPERLINK("CSG5.html#group30B5", "30B⁵"), =HYPERLINK("CSG6.html#group30B6", "30B⁶"), =HYPERLINK("CSG6.html#group90A6", "90A⁶"), =HYPERLINK("CSG7.html#group90A7", "90A⁷"), =HYPERLINK("CSG7.html#group90B7", "90B⁷"), =HYPERLINK("CSG8.html#group60D8", "60D⁸"), =HYPERLINK("CSG9.html#group30F9", "30F⁹"), =HYPERLINK("CSG15.html#group210B15", "210B¹⁵"), =HYPERLINK("CSG20.html#group210B20", "210B²⁰")</f>
        <v/>
      </c>
      <c r="M397">
        <f>HYPERLINK("CSG0.html#group5A0", "5A⁰"), =HYPERLINK("CSG0.html#group6B0", "6B⁰"), =HYPERLINK("CSG0.html#group3A0", "3A⁰"), =HYPERLINK("CSG0.html#group1A0", "1A⁰"), =HYPERLINK("CSG1.html#group15A1", "15A¹")</f>
        <v/>
      </c>
      <c r="N397">
        <f>HYPERLINK("CSG13.html#group60H13", "60H¹³"), =HYPERLINK("CSG10.html#group30I10", "30I¹⁰"), =HYPERLINK("CSG15.html#group210B15", "210B¹⁵"), =HYPERLINK("CSG20.html#group90D20", "90D²⁰"), =HYPERLINK("CSG12.html#group30E12", "30E¹²"), =HYPERLINK("CSG22.html#group60B22", "60B²²"), =HYPERLINK("CSG15.html#group90B15", "90B¹⁵"), =HYPERLINK("CSG13.html#group30F13", "30F¹³"), =HYPERLINK("CSG12.html#group90A12", "90A¹²"), =HYPERLINK("CSG4.html#group30A4", "30A⁴"), =HYPERLINK("CSG6.html#group30B6", "30B⁶"), =HYPERLINK("CSG18.html#group120C18", "120C¹⁸"), =HYPERLINK("CSG9.html#group30O9", "30O⁹"), =HYPERLINK("CSG5.html#group30B5", "30B⁵"), =HYPERLINK("CSG20.html#group90C20", "90C²⁰"), =HYPERLINK("CSG20.html#group90E20", "90E²⁰"), =HYPERLINK("CSG13.html#group30C13", "30C¹³"), =HYPERLINK("CSG17.html#group30E17", "30E¹⁷"), =HYPERLINK("CSG15.html#group90D15", "90D¹⁵"), =HYPERLINK("CSG4.html#group30E4", "30E⁴"), =HYPERLINK("CSG14.html#group90H14", "90H¹⁴"), =HYPERLINK("CSG19.html#group90F19", "90F¹⁹"), =HYPERLINK("CSG23.html#group30B23", "30B²³"), =HYPERLINK("CSG21.html#group30A21", "30A²¹"), =HYPERLINK("CSG9.html#group30A9", "30A⁹"), =HYPERLINK("CSG11.html#group30B11", "30B¹¹"), =HYPERLINK("CSG19.html#group60G19", "60G¹⁹"), =HYPERLINK("CSG13.html#group90A13", "90A¹³"), =HYPERLINK("CSG14.html#group60D14", "60D¹⁴"), =HYPERLINK("CSG13.html#group30B13", "30B¹³"), =HYPERLINK("CSG16.html#group30D16", "30D¹⁶"), =HYPERLINK("CSG12.html#group90B12", "90B¹²"), =HYPERLINK("CSG6.html#group90A6", "90A⁶"), =HYPERLINK("CSG10.html#group30A10", "30A¹⁰"), =HYPERLINK("CSG21.html#group90A21", "90A²¹"), =HYPERLINK("CSG8.html#group60D8", "60D⁸"), =HYPERLINK("CSG17.html#group60E17", "60E¹⁷"), =HYPERLINK("CSG14.html#group90C14", "90C¹⁴"), =HYPERLINK("CSG7.html#group90B7", "90B⁷"), =HYPERLINK("CSG16.html#group90B16", "90B¹⁶"), =HYPERLINK("CSG21.html#group30B21", "30B²¹"), =HYPERLINK("CSG13.html#group90C13", "90C¹³"), =HYPERLINK("CSG9.html#group60A9", "60A⁹"), =HYPERLINK("CSG15.html#group90A15", "90A¹⁵"), =HYPERLINK("CSG20.html#group210B20", "210B²⁰"), =HYPERLINK("CSG21.html#group30F21", "30F²¹"), =HYPERLINK("CSG19.html#group90D19", "90D¹⁹"), =HYPERLINK("CSG7.html#group90A7", "90A⁷"), =HYPERLINK("CSG15.html#group90F15", "90F¹⁵"), =HYPERLINK("CSG15.html#group90C15", "90C¹⁵"), =HYPERLINK("CSG17.html#group30D17", "30D¹⁷"), =HYPERLINK("CSG19.html#group60A19", "60A¹⁹"), =HYPERLINK("CSG18.html#group120F18", "120F¹⁸"), =HYPERLINK("CSG23.html#group30J23", "30J²³"), =HYPERLINK("CSG18.html#group120B18", "120B¹⁸"), =HYPERLINK("CSG12.html#group60C12", "60C¹²"), =HYPERLINK("CSG9.html#group30F9", "30F⁹"), =HYPERLINK("CSG19.html#group90E19", "90E¹⁹"), =HYPERLINK("CSG14.html#group90D14", "90D¹⁴")</f>
        <v/>
      </c>
    </row>
    <row r="398">
      <c r="A398" t="inlineStr">
        <is>
          <t>30B²</t>
        </is>
      </c>
      <c r="B398" t="inlineStr"/>
      <c r="C398" t="inlineStr">
        <is>
          <t>30</t>
        </is>
      </c>
      <c r="D398" t="inlineStr">
        <is>
          <t>2</t>
        </is>
      </c>
      <c r="E398" t="inlineStr">
        <is>
          <t>10</t>
        </is>
      </c>
      <c r="F398" t="inlineStr">
        <is>
          <t>0</t>
        </is>
      </c>
      <c r="G398" t="inlineStr">
        <is>
          <t>3</t>
        </is>
      </c>
      <c r="H398" t="inlineStr">
        <is>
          <t>30¹</t>
        </is>
      </c>
      <c r="I398" t="n">
        <v>1</v>
      </c>
      <c r="J398" t="inlineStr">
        <is>
          <t>4¹, 8²</t>
        </is>
      </c>
      <c r="K398">
        <f>HYPERLINK("CSG0.html#group10A0", "10A⁰")</f>
        <v/>
      </c>
      <c r="L398">
        <f>HYPERLINK("CSG4.html#group30G4", "30G⁴"), =HYPERLINK("CSG7.html#group30C7", "30C⁷"), =HYPERLINK("CSG7.html#group30D7", "30D⁷"), =HYPERLINK("CSG7.html#group30E7", "30E⁷"), =HYPERLINK("CSG8.html#group30C8", "30C⁸"), =HYPERLINK("CSG8.html#group30E8", "30E⁸"), =HYPERLINK("CSG9.html#group60D9", "60D⁹"), =HYPERLINK("CSG17.html#group210A17", "210A¹⁷"), =HYPERLINK("CSG17.html#group210B17", "210B¹⁷"), =HYPERLINK("CSG18.html#group210D18", "210D¹⁸")</f>
        <v/>
      </c>
      <c r="M398">
        <f>HYPERLINK("CSG0.html#group2A0", "2A⁰"), =HYPERLINK("CSG0.html#group1A0", "1A⁰"), =HYPERLINK("CSG0.html#group5A0", "5A⁰"), =HYPERLINK("CSG0.html#group10A0", "10A⁰")</f>
        <v/>
      </c>
      <c r="N398">
        <f>HYPERLINK("CSG8.html#group30E8", "30E⁸"), =HYPERLINK("CSG17.html#group60A17", "60A¹⁷"), =HYPERLINK("CSG22.html#group30D22", "30D²²"), =HYPERLINK("CSG17.html#group60L17", "60L¹⁷"), =HYPERLINK("CSG19.html#group30A19", "30A¹⁹"), =HYPERLINK("CSG22.html#group30F22", "30F²²"), =HYPERLINK("CSG17.html#group210A17", "210A¹⁷"), =HYPERLINK("CSG13.html#group30F13", "30F¹³"), =HYPERLINK("CSG18.html#group120E18", "120E¹⁸"), =HYPERLINK("CSG18.html#group210D18", "210D¹⁸"), =HYPERLINK("CSG7.html#group30C7", "30C⁷"), =HYPERLINK("CSG17.html#group210B17", "210B¹⁷"), =HYPERLINK("CSG8.html#group30C8", "30C⁸"), =HYPERLINK("CSG22.html#group30B22", "30B²²"), =HYPERLINK("CSG7.html#group30E7", "30E⁷"), =HYPERLINK("CSG13.html#group30E13", "30E¹³"), =HYPERLINK("CSG7.html#group30D7", "30D⁷"), =HYPERLINK("CSG22.html#group90C22", "90C²²"), =HYPERLINK("CSG14.html#group60F14", "60F¹⁴"), =HYPERLINK("CSG4.html#group30G4", "30G⁴"), =HYPERLINK("CSG9.html#group60D9", "60D⁹")</f>
        <v/>
      </c>
    </row>
    <row r="399">
      <c r="A399" t="inlineStr">
        <is>
          <t>30C²</t>
        </is>
      </c>
      <c r="B399" t="inlineStr"/>
      <c r="C399" t="inlineStr">
        <is>
          <t>36</t>
        </is>
      </c>
      <c r="D399" t="inlineStr">
        <is>
          <t>1</t>
        </is>
      </c>
      <c r="E399" t="inlineStr">
        <is>
          <t>18</t>
        </is>
      </c>
      <c r="F399" t="inlineStr">
        <is>
          <t>4</t>
        </is>
      </c>
      <c r="G399" t="inlineStr">
        <is>
          <t>0</t>
        </is>
      </c>
      <c r="H399" t="inlineStr">
        <is>
          <t>6¹, 30¹</t>
        </is>
      </c>
      <c r="I399" t="n">
        <v>2</v>
      </c>
      <c r="J399" t="inlineStr">
        <is>
          <t>1², 2², 4¹, 8¹</t>
        </is>
      </c>
      <c r="K399">
        <f>HYPERLINK("CSG0.html#group15B0", "15B⁰")</f>
        <v/>
      </c>
      <c r="L399">
        <f>HYPERLINK("CSG3.html#group30J3", "30J³"), =HYPERLINK("CSG3.html#group30L3", "30L³"), =HYPERLINK("CSG5.html#group30E5", "30E⁵"), =HYPERLINK("CSG5.html#group30F5", "30F⁵"), =HYPERLINK("CSG5.html#group30G5", "30G⁵"), =HYPERLINK("CSG6.html#group30D6", "30D⁶"), =HYPERLINK("CSG6.html#group90B6", "90B⁶"), =HYPERLINK("CSG8.html#group90B8", "90B⁸"), =HYPERLINK("CSG9.html#group60I9", "60I⁹"), =HYPERLINK("CSG12.html#group30D12", "30D¹²"), =HYPERLINK("CSG12.html#group150E12", "150E¹²"), =HYPERLINK("CSG14.html#group150C14", "150C¹⁴"), =HYPERLINK("CSG14.html#group150B14", "150B¹⁴"), =HYPERLINK("CSG14.html#group150D14", "150D¹⁴"), =HYPERLINK("CSG14.html#group150A14", "150A¹⁴"), =HYPERLINK("CSG18.html#group210G18", "210G¹⁸"), =HYPERLINK("CSG23.html#group210D23", "210D²³")</f>
        <v/>
      </c>
      <c r="M399">
        <f>HYPERLINK("CSG0.html#group3A0", "3A⁰"), =HYPERLINK("CSG0.html#group5B0", "5B⁰"), =HYPERLINK("CSG0.html#group1A0", "1A⁰"), =HYPERLINK("CSG0.html#group15B0", "15B⁰")</f>
        <v/>
      </c>
      <c r="N399">
        <f>HYPERLINK("CSG3.html#group30J3", "30J³"), =HYPERLINK("CSG21.html#group60N21", "60N²¹"), =HYPERLINK("CSG15.html#group90L15", "90L¹⁵"), =HYPERLINK("CSG5.html#group30G5", "30G⁵"), =HYPERLINK("CSG17.html#group60Y17", "60Y¹⁷"), =HYPERLINK("CSG21.html#group60C21", "60C²¹"), =HYPERLINK("CSG12.html#group150E12", "150E¹²"), =HYPERLINK("CSG9.html#group60I9", "60I⁹"), =HYPERLINK("CSG13.html#group60W13", "60W¹³"), =HYPERLINK("CSG6.html#group30D6", "30D⁶"), =HYPERLINK("CSG12.html#group30D12", "30D¹²"), =HYPERLINK("CSG21.html#group90N21", "90N²¹"), =HYPERLINK("CSG9.html#group60K9", "60K⁹"), =HYPERLINK("CSG9.html#group30J9", "30J⁹"), =HYPERLINK("CSG17.html#group90F17", "90F¹⁷"), =HYPERLINK("CSG15.html#group60I15", "60I¹⁵"), =HYPERLINK("CSG9.html#group30I9", "30I⁹"), =HYPERLINK("CSG11.html#group30K11", "30K¹¹"), =HYPERLINK("CSG15.html#group60K15", "60K¹⁵"), =HYPERLINK("CSG21.html#group60Q21", "60Q²¹"), =HYPERLINK("CSG21.html#group60M21", "60M²¹"), =HYPERLINK("CSG17.html#group30I17", "30I¹⁷"), =HYPERLINK("CSG13.html#group60AE13", "60AE¹³"), =HYPERLINK("CSG21.html#group120I21", "120I²¹"), =HYPERLINK("CSG3.html#group30L3", "30L³"), =HYPERLINK("CSG15.html#group90O15", "90O¹⁵"), =HYPERLINK("CSG14.html#group150A14", "150A¹⁴"), =HYPERLINK("CSG21.html#group60K21", "60K²¹"), =HYPERLINK("CSG24.html#group90C24", "90C²⁴"), =HYPERLINK("CSG23.html#group210D23", "210D²³"), =HYPERLINK("CSG17.html#group90E17", "90E¹⁷"), =HYPERLINK("CSG22.html#group90H22", "90H²²"), =HYPERLINK("CSG5.html#group30R5", "30R⁵"), =HYPERLINK("CSG5.html#group30E5", "30E⁵"), =HYPERLINK("CSG14.html#group150B14", "150B¹⁴"), =HYPERLINK("CSG11.html#group90I11", "90I¹¹"), =HYPERLINK("CSG23.html#group150D23", "150D²³"), =HYPERLINK("CSG23.html#group30J23", "30J²³"), =HYPERLINK("CSG21.html#group120J21", "120J²¹"), =HYPERLINK("CSG11.html#group30J11", "30J¹¹"), =HYPERLINK("CSG6.html#group90B6", "90B⁶"), =HYPERLINK("CSG17.html#group90G17", "90G¹⁷"), =HYPERLINK("CSG15.html#group90M15", "90M¹⁵"), =HYPERLINK("CSG9.html#group60L9", "60L⁹"), =HYPERLINK("CSG15.html#group90K15", "90K¹⁵"), =HYPERLINK("CSG13.html#group90F13", "90F¹³"), =HYPERLINK("CSG24.html#group90B24", "90B²⁴"), =HYPERLINK("CSG17.html#group90A17", "90A¹⁷"), =HYPERLINK("CSG13.html#group30K13", "30K¹³"), =HYPERLINK("CSG13.html#group30L13", "30L¹³"), =HYPERLINK("CSG5.html#group30F5", "30F⁵"), =HYPERLINK("CSG15.html#group90I15", "90I¹⁵"), =HYPERLINK("CSG8.html#group90B8", "90B⁸"), =HYPERLINK("CSG17.html#group60W17", "60W¹⁷"), =HYPERLINK("CSG17.html#group60N17", "60N¹⁷"), =HYPERLINK("CSG9.html#group30K9", "30K⁹"), =HYPERLINK("CSG21.html#group120N21", "120N²¹"), =HYPERLINK("CSG22.html#group90G22", "90G²²"), =HYPERLINK("CSG21.html#group30H21", "30H²¹"), =HYPERLINK("CSG13.html#group60X13", "60X¹³"), =HYPERLINK("CSG14.html#group150D14", "150D¹⁴"), =HYPERLINK("CSG14.html#group150C14", "150C¹⁴"), =HYPERLINK("CSG13.html#group30Q13", "30Q¹³"), =HYPERLINK("CSG11.html#group90K11", "90K¹¹"), =HYPERLINK("CSG9.html#group30G9", "30G⁹"), =HYPERLINK("CSG21.html#group60D21", "60D²¹"), =HYPERLINK("CSG13.html#group30I13", "30I¹³"), =HYPERLINK("CSG21.html#group60G21", "60G²¹"), =HYPERLINK("CSG17.html#group90I17", "90I¹⁷"), =HYPERLINK("CSG21.html#group120M21", "120M²¹"), =HYPERLINK("CSG17.html#group30H17", "30H¹⁷"), =HYPERLINK("CSG18.html#group210G18", "210G¹⁸"), =HYPERLINK("CSG23.html#group150C23", "150C²³"), =HYPERLINK("CSG23.html#group30C23", "30C²³"), =HYPERLINK("CSG17.html#group90J17", "90J¹⁷"), =HYPERLINK("CSG17.html#group60X17", "60X¹⁷"), =HYPERLINK("CSG15.html#group60O15", "60O¹⁵"), =HYPERLINK("CSG17.html#group90H17", "90H¹⁷")</f>
        <v/>
      </c>
    </row>
    <row r="400">
      <c r="A400" t="inlineStr">
        <is>
          <t>30D²</t>
        </is>
      </c>
      <c r="B400" t="inlineStr"/>
      <c r="C400" t="inlineStr">
        <is>
          <t>40</t>
        </is>
      </c>
      <c r="D400" t="inlineStr">
        <is>
          <t>1</t>
        </is>
      </c>
      <c r="E400" t="inlineStr">
        <is>
          <t>20</t>
        </is>
      </c>
      <c r="F400" t="inlineStr">
        <is>
          <t>0</t>
        </is>
      </c>
      <c r="G400" t="inlineStr">
        <is>
          <t>4</t>
        </is>
      </c>
      <c r="H400" t="inlineStr">
        <is>
          <t>10¹, 30¹</t>
        </is>
      </c>
      <c r="I400" t="n">
        <v>2</v>
      </c>
      <c r="J400" t="inlineStr">
        <is>
          <t>1², 2¹, 4², 8¹</t>
        </is>
      </c>
      <c r="K400">
        <f>HYPERLINK("CSG0.html#group6C0", "6C⁰"), =HYPERLINK("CSG0.html#group10A0", "10A⁰"), =HYPERLINK("CSG1.html#group15B1", "15B¹")</f>
        <v/>
      </c>
      <c r="L400">
        <f>HYPERLINK("CSG4.html#group60B4", "60B⁴"), =HYPERLINK("CSG6.html#group30E6", "30E⁶"), =HYPERLINK("CSG6.html#group90C6", "90C⁶"), =HYPERLINK("CSG7.html#group30K7", "30K⁷"), =HYPERLINK("CSG7.html#group30M7", "30M⁷"), =HYPERLINK("CSG7.html#group90E7", "90E⁷"), =HYPERLINK("CSG7.html#group90F7", "90F⁷"), =HYPERLINK("CSG8.html#group30A8", "30A⁸"), =HYPERLINK("CSG8.html#group30B8", "30B⁸"), =HYPERLINK("CSG8.html#group30E8", "30E⁸"), =HYPERLINK("CSG8.html#group90C8", "90C⁸"), =HYPERLINK("CSG8.html#group90D8", "90D⁸"), =HYPERLINK("CSG8.html#group90E8", "90E⁸"), =HYPERLINK("CSG8.html#group90F8", "90F⁸"), =HYPERLINK("CSG9.html#group30A9", "30A⁹"), =HYPERLINK("CSG9.html#group30N9", "30N⁹"), =HYPERLINK("CSG9.html#group90B9", "90B⁹"), =HYPERLINK("CSG9.html#group90C9", "90C⁹"), =HYPERLINK("CSG10.html#group90A10", "90A¹⁰"), =HYPERLINK("CSG10.html#group90B10", "90B¹⁰"), =HYPERLINK("CSG10.html#group90C10", "90C¹⁰"), =HYPERLINK("CSG11.html#group60J11", "60J¹¹"), =HYPERLINK("CSG22.html#group210B22", "210B²²"), =HYPERLINK("CSG23.html#group210J23", "210J²³")</f>
        <v/>
      </c>
      <c r="M400">
        <f>HYPERLINK("CSG0.html#group3B0", "3B⁰"), =HYPERLINK("CSG0.html#group2A0", "2A⁰"), =HYPERLINK("CSG0.html#group5A0", "5A⁰"), =HYPERLINK("CSG0.html#group10A0", "10A⁰"), =HYPERLINK("CSG0.html#group6C0", "6C⁰"), =HYPERLINK("CSG1.html#group15B1", "15B¹"), =HYPERLINK("CSG0.html#group1A0", "1A⁰")</f>
        <v/>
      </c>
      <c r="N400">
        <f>HYPERLINK("CSG8.html#group90F8", "90F⁸"), =HYPERLINK("CSG22.html#group30A22", "30A²²"), =HYPERLINK("CSG22.html#group90K22", "90K²²"), =HYPERLINK("CSG22.html#group30D22", "30D²²"), =HYPERLINK("CSG6.html#group30E6", "30E⁶"), =HYPERLINK("CSG17.html#group30K17", "30K¹⁷"), =HYPERLINK("CSG24.html#group90H24", "90H²⁴"), =HYPERLINK("CSG17.html#group60L17", "60L¹⁷"), =HYPERLINK("CSG8.html#group90E8", "90E⁸"), =HYPERLINK("CSG16.html#group180B16", "180B¹⁶"), =HYPERLINK("CSG7.html#group30K7", "30K⁷"), =HYPERLINK("CSG4.html#group60B4", "60B⁴"), =HYPERLINK("CSG21.html#group60R21", "60R²¹"), =HYPERLINK("CSG8.html#group90D8", "90D⁸"), =HYPERLINK("CSG16.html#group60A16", "60A¹⁶"), =HYPERLINK("CSG19.html#group180A19", "180A¹⁹"), =HYPERLINK("CSG22.html#group270A22", "270A²²"), =HYPERLINK("CSG24.html#group270A24", "270A²⁴"), =HYPERLINK("CSG7.html#group90F7", "90F⁷"), =HYPERLINK("CSG24.html#group90I24", "90I²⁴"), =HYPERLINK("CSG23.html#group210J23", "210J²³"), =HYPERLINK("CSG8.html#group30A8", "30A⁸"), =HYPERLINK("CSG15.html#group60T15", "60T¹⁵"), =HYPERLINK("CSG21.html#group60T21", "60T²¹"), =HYPERLINK("CSG22.html#group90I22", "90I²²"), =HYPERLINK("CSG22.html#group90L22", "90L²²"), =HYPERLINK("CSG18.html#group60A18", "60A¹⁸"), =HYPERLINK("CSG17.html#group60B17", "60B¹⁷"), =HYPERLINK("CSG18.html#group60C18", "60C¹⁸"), =HYPERLINK("CSG10.html#group90B10", "90B¹⁰"), =HYPERLINK("CSG23.html#group120K23", "120K²³"), =HYPERLINK("CSG17.html#group180A17", "180A¹⁷"), =HYPERLINK("CSG9.html#group30A9", "30A⁹"), =HYPERLINK("CSG8.html#group90C8", "90C⁸"), =HYPERLINK("CSG22.html#group90J22", "90J²²"), =HYPERLINK("CSG9.html#group30N9", "30N⁹"), =HYPERLINK("CSG9.html#group90B9", "90B⁹"), =HYPERLINK("CSG8.html#group30E8", "30E⁸"), =HYPERLINK("CSG20.html#group180B20", "180B²⁰"), =HYPERLINK("CSG18.html#group60B18", "60B¹⁸"), =HYPERLINK("CSG22.html#group210B22", "210B²²"), =HYPERLINK("CSG23.html#group120L23", "120L²³"), =HYPERLINK("CSG20.html#group180A20", "180A²⁰"), =HYPERLINK("CSG20.html#group180D20", "180D²⁰"), =HYPERLINK("CSG24.html#group90F24", "90F²⁴"), =HYPERLINK("CSG24.html#group270B24", "270B²⁴"), =HYPERLINK("CSG24.html#group90D24", "90D²⁴"), =HYPERLINK("CSG18.html#group180B18", "180B¹⁸"), =HYPERLINK("CSG15.html#group30C15", "30C¹⁵"), =HYPERLINK("CSG15.html#group180A15", "180A¹⁵"), =HYPERLINK("CSG21.html#group60S21", "60S²¹"), =HYPERLINK("CSG10.html#group90C10", "90C¹⁰"), =HYPERLINK("CSG7.html#group90E7", "90E⁷"), =HYPERLINK("CSG16.html#group180C16", "180C¹⁶"), =HYPERLINK("CSG8.html#group30B8", "30B⁸"), =HYPERLINK("CSG9.html#group90C9", "90C⁹"), =HYPERLINK("CSG10.html#group90A10", "90A¹⁰"), =HYPERLINK("CSG15.html#group180B15", "180B¹⁵"), =HYPERLINK("CSG24.html#group90G24", "90G²⁴"), =HYPERLINK("CSG6.html#group90C6", "90C⁶"), =HYPERLINK("CSG15.html#group60Y15", "60Y¹⁵"), =HYPERLINK("CSG19.html#group60A19", "60A¹⁹"), =HYPERLINK("CSG24.html#group90E24", "90E²⁴"), =HYPERLINK("CSG16.html#group180A16", "180A¹⁶"), =HYPERLINK("CSG7.html#group30M7", "30M⁷"), =HYPERLINK("CSG14.html#group60G14", "60G¹⁴"), =HYPERLINK("CSG12.html#group180A12", "180A¹²"), =HYPERLINK("CSG11.html#group60J11", "60J¹¹")</f>
        <v/>
      </c>
    </row>
    <row r="401">
      <c r="A401" t="inlineStr">
        <is>
          <t>30E²</t>
        </is>
      </c>
      <c r="B401" t="inlineStr"/>
      <c r="C401" t="inlineStr">
        <is>
          <t>54</t>
        </is>
      </c>
      <c r="D401" t="inlineStr">
        <is>
          <t>1</t>
        </is>
      </c>
      <c r="E401" t="inlineStr">
        <is>
          <t>18</t>
        </is>
      </c>
      <c r="F401" t="inlineStr">
        <is>
          <t>6</t>
        </is>
      </c>
      <c r="G401" t="inlineStr">
        <is>
          <t>0</t>
        </is>
      </c>
      <c r="H401" t="inlineStr">
        <is>
          <t>3¹, 6¹, 15¹, 30¹</t>
        </is>
      </c>
      <c r="I401" t="n">
        <v>4</v>
      </c>
      <c r="J401" t="inlineStr">
        <is>
          <t>1⁶, 4³</t>
        </is>
      </c>
      <c r="K401">
        <f>HYPERLINK("CSG0.html#group6D0", "6D⁰"), =HYPERLINK("CSG0.html#group10C0", "10C⁰"), =HYPERLINK("CSG0.html#group15B0", "15B⁰")</f>
        <v/>
      </c>
      <c r="L401">
        <f>HYPERLINK("CSG4.html#group30H4", "30H⁴"), =HYPERLINK("CSG4.html#group30I4", "30I⁴"), =HYPERLINK("CSG4.html#group60C4", "60C⁴"), =HYPERLINK("CSG5.html#group30O5", "30O⁵"), =HYPERLINK("CSG5.html#group30P5", "30P⁵"), =HYPERLINK("CSG5.html#group60A5", "60A⁵"), =HYPERLINK("CSG5.html#group60B5", "60B⁵"), =HYPERLINK("CSG6.html#group30C6", "30C⁶"), =HYPERLINK("CSG6.html#group30D6", "30D⁶"), =HYPERLINK("CSG6.html#group60E6", "60E⁶"), =HYPERLINK("CSG6.html#group60F6", "60F⁶"), =HYPERLINK("CSG7.html#group30F7", "30F⁷"), =HYPERLINK("CSG7.html#group60H7", "60H⁷"), =HYPERLINK("CSG7.html#group60I7", "60I⁷"), =HYPERLINK("CSG8.html#group60A8", "60A⁸"), =HYPERLINK("CSG10.html#group90E10", "90E¹⁰"), =HYPERLINK("CSG16.html#group30C16", "30C¹⁶"), =HYPERLINK("CSG16.html#group150A16", "150A¹⁶"), =HYPERLINK("CSG20.html#group150A20", "150A²⁰"), =HYPERLINK("CSG20.html#group150D20", "150D²⁰"), =HYPERLINK("CSG20.html#group150B20", "150B²⁰"), =HYPERLINK("CSG20.html#group150C20", "150C²⁰")</f>
        <v/>
      </c>
      <c r="M401">
        <f>HYPERLINK("CSG0.html#group15B0", "15B⁰"), =HYPERLINK("CSG0.html#group5B0", "5B⁰"), =HYPERLINK("CSG0.html#group10C0", "10C⁰"), =HYPERLINK("CSG0.html#group2B0", "2B⁰"), =HYPERLINK("CSG0.html#group3A0", "3A⁰"), =HYPERLINK("CSG0.html#group1A0", "1A⁰"), =HYPERLINK("CSG0.html#group6D0", "6D⁰")</f>
        <v/>
      </c>
      <c r="N401">
        <f>HYPERLINK("CSG15.html#group120I15", "120I¹⁵"), =HYPERLINK("CSG16.html#group30C16", "30C¹⁶"), =HYPERLINK("CSG23.html#group30L23", "30L²³"), =HYPERLINK("CSG24.html#group180B24", "180B²⁴"), =HYPERLINK("CSG7.html#group60H7", "60H⁷"), =HYPERLINK("CSG23.html#group120S23", "120S²³"), =HYPERLINK("CSG21.html#group90K21", "90K²¹"), =HYPERLINK("CSG21.html#group60W21", "60W²¹"), =HYPERLINK("CSG6.html#group30C6", "30C⁶"), =HYPERLINK("CSG10.html#group90E10", "90E¹⁰"), =HYPERLINK("CSG11.html#group60O11", "60O¹¹"), =HYPERLINK("CSG20.html#group150C20", "150C²⁰"), =HYPERLINK("CSG15.html#group60C15", "60C¹⁵"), =HYPERLINK("CSG23.html#group60Q23", "60Q²³"), =HYPERLINK("CSG5.html#group30O5", "30O⁵"), =HYPERLINK("CSG11.html#group30H11", "30H¹¹"), =HYPERLINK("CSG11.html#group120D11", "120D¹¹"), =HYPERLINK("CSG11.html#group120B11", "120B¹¹"), =HYPERLINK("CSG15.html#group120H15", "120H¹⁵"), =HYPERLINK("CSG5.html#group30P5", "30P⁵"), =HYPERLINK("CSG21.html#group120O21", "120O²¹"), =HYPERLINK("CSG20.html#group180H20", "180H²⁰"), =HYPERLINK("CSG13.html#group60W13", "60W¹³"), =HYPERLINK("CSG17.html#group120B17", "120B¹⁷"), =HYPERLINK("CSG11.html#group60T11", "60T¹¹"), =HYPERLINK("CSG15.html#group60G15", "60G¹⁵"), =HYPERLINK("CSG15.html#group60A15", "60A¹⁵"), =HYPERLINK("CSG13.html#group120K13", "120K¹³"), =HYPERLINK("CSG6.html#group30D6", "30D⁶"), =HYPERLINK("CSG15.html#group120G15", "120G¹⁵"), =HYPERLINK("CSG5.html#group60A5", "60A⁵"), =HYPERLINK("CSG15.html#group60I15", "60I¹⁵"), =HYPERLINK("CSG9.html#group60M9", "60M⁹"), =HYPERLINK("CSG15.html#group60K15", "60K¹⁵"), =HYPERLINK("CSG11.html#group60Q11", "60Q¹¹"), =HYPERLINK("CSG13.html#group60Q13", "60Q¹³"), =HYPERLINK("CSG11.html#group30K11", "30K¹¹"), =HYPERLINK("CSG23.html#group60S23", "60S²³"), =HYPERLINK("CSG13.html#group120F13", "120F¹³"), =HYPERLINK("CSG17.html#group120A17", "120A¹⁷"), =HYPERLINK("CSG13.html#group120H13", "120H¹³"), =HYPERLINK("CSG13.html#group30J13", "30J¹³"), =HYPERLINK("CSG13.html#group60AG13", "60AG¹³"), =HYPERLINK("CSG13.html#group60AE13", "60AE¹³"), =HYPERLINK("CSG21.html#group60X21", "60X²¹"), =HYPERLINK("CSG11.html#group60U11", "60U¹¹"), =HYPERLINK("CSG20.html#group90F20", "90F²⁰"), =HYPERLINK("CSG19.html#group30C19", "30C¹⁹"), =HYPERLINK("CSG13.html#group120L13", "120L¹³"), =HYPERLINK("CSG22.html#group180D22", "180D²²"), =HYPERLINK("CSG24.html#group90C24", "90C²⁴"), =HYPERLINK("CSG13.html#group60N13", "60N¹³"), =HYPERLINK("CSG13.html#group60AB13", "60AB¹³"), =HYPERLINK("CSG23.html#group90A23", "90A²³"), =HYPERLINK("CSG15.html#group60H15", "60H¹⁵"), =HYPERLINK("CSG23.html#group240A23", "240A²³"), =HYPERLINK("CSG15.html#group60L15", "60L¹⁵"), =HYPERLINK("CSG20.html#group150A20", "150A²⁰"), =HYPERLINK("CSG15.html#group120F15", "120F¹⁵"), =HYPERLINK("CSG13.html#group120E13", "120E¹³"), =HYPERLINK("CSG13.html#group120I13", "120I¹³"), =HYPERLINK("CSG7.html#group30F7", "30F⁷"), =HYPERLINK("CSG23.html#group120Q23", "120Q²³"), =HYPERLINK("CSG13.html#group60AA13", "60AA¹³"), =HYPERLINK("CSG15.html#group60M15", "60M¹⁵"), =HYPERLINK("CSG19.html#group90K19", "90K¹⁹"), =HYPERLINK("CSG15.html#group60E15", "60E¹⁵"), =HYPERLINK("CSG4.html#group30H4", "30H⁴"), =HYPERLINK("CSG21.html#group180I21", "180I²¹"), =HYPERLINK("CSG23.html#group90B23", "90B²³"), =HYPERLINK("CSG13.html#group60U13", "60U¹³"), =HYPERLINK("CSG13.html#group60AF13", "60AF¹³"), =HYPERLINK("CSG20.html#group150B20", "150B²⁰"), =HYPERLINK("CSG11.html#group30J11", "30J¹¹"), =HYPERLINK("CSG6.html#group60F6", "60F⁶"), =HYPERLINK("CSG11.html#group120C11", "120C¹¹"), =HYPERLINK("CSG11.html#group60N11", "60N¹¹"), =HYPERLINK("CSG15.html#group60O15", "60O¹⁵"), =HYPERLINK("CSG9.html#group30R9", "30R⁹"), =HYPERLINK("CSG21.html#group90I21", "90I²¹"), =HYPERLINK("CSG4.html#group60C4", "60C⁴"), =HYPERLINK("CSG15.html#group120J15", "120J¹⁵"), =HYPERLINK("CSG23.html#group120R23", "120R²³"), =HYPERLINK("CSG24.html#group180A24", "180A²⁴"), =HYPERLINK("CSG9.html#group60N9", "60N⁹"), =HYPERLINK("CSG13.html#group30K13", "30K¹³"), =HYPERLINK("CSG13.html#group30L13", "30L¹³"), =HYPERLINK("CSG15.html#group60N15", "60N¹⁵"), =HYPERLINK("CSG23.html#group60N23", "60N²³"), =HYPERLINK("CSG13.html#group60R13", "60R¹³"), =HYPERLINK("CSG23.html#group60O23", "60O²³"), =HYPERLINK("CSG15.html#group60J15", "60J¹⁵"), =HYPERLINK("CSG15.html#group60B15", "60B¹⁵"), =HYPERLINK("CSG22.html#group90E22", "90E²²"), =HYPERLINK("CSG13.html#group60S13", "60S¹³"), =HYPERLINK("CSG7.html#group60I7", "60I⁷"), =HYPERLINK("CSG11.html#group60S11", "60S¹¹"), =HYPERLINK("CSG11.html#group60P11", "60P¹¹"), =HYPERLINK("CSG13.html#group60O13", "60O¹³"), =HYPERLINK("CSG21.html#group30G21", "30G²¹"), =HYPERLINK("CSG13.html#group60T13", "60T¹³"), =HYPERLINK("CSG11.html#group30I11", "30I¹¹"), =HYPERLINK("CSG13.html#group30H13", "30H¹³"), =HYPERLINK("CSG22.html#group90G22", "90G²²"), =HYPERLINK("CSG23.html#group240B23", "240B²³"), =HYPERLINK("CSG20.html#group150D20", "150D²⁰"), =HYPERLINK("CSG11.html#group30G11", "30G¹¹"), =HYPERLINK("CSG11.html#group120A11", "120A¹¹"), =HYPERLINK("CSG15.html#group120E15", "120E¹⁵"), =HYPERLINK("CSG6.html#group60E6", "60E⁶"), =HYPERLINK("CSG23.html#group60R23", "60R²³"), =HYPERLINK("CSG21.html#group30H21", "30H²¹"), =HYPERLINK("CSG20.html#group90G20", "90G²⁰"), =HYPERLINK("CSG13.html#group60X13", "60X¹³"), =HYPERLINK("CSG11.html#group60R11", "60R¹¹"), =HYPERLINK("CSG13.html#group60AD13", "60AD¹³"), =HYPERLINK("CSG15.html#group60F15", "60F¹⁵"), =HYPERLINK("CSG21.html#group180J21", "180J²¹"), =HYPERLINK("CSG13.html#group120J13", "120J¹³"), =HYPERLINK("CSG13.html#group60Z13", "60Z¹³"), =HYPERLINK("CSG13.html#group60P13", "60P¹³"), =HYPERLINK("CSG13.html#group30I13", "30I¹³"), =HYPERLINK("CSG23.html#group180N23", "180N²³"), =HYPERLINK("CSG16.html#group150A16", "150A¹⁶"), =HYPERLINK("CSG13.html#group60AC13", "60AC¹³"), =HYPERLINK("CSG13.html#group60Y13", "60Y¹³"), =HYPERLINK("CSG23.html#group60P23", "60P²³"), =HYPERLINK("CSG9.html#group30Q9", "30Q⁹"), =HYPERLINK("CSG15.html#group60D15", "60D¹⁵"), =HYPERLINK("CSG11.html#group60V11", "60V¹¹"), =HYPERLINK("CSG4.html#group30I4", "30I⁴"), =HYPERLINK("CSG13.html#group120G13", "120G¹³"), =HYPERLINK("CSG24.html#group90A24", "90A²⁴"), =HYPERLINK("CSG23.html#group180M23", "180M²³"), =HYPERLINK("CSG13.html#group60V13", "60V¹³"), =HYPERLINK("CSG8.html#group60A8", "60A⁸"), =HYPERLINK("CSG5.html#group60B5", "60B⁵"), =HYPERLINK("CSG22.html#group180C22", "180C²²")</f>
        <v/>
      </c>
    </row>
    <row r="402">
      <c r="A402" t="inlineStr">
        <is>
          <t>30F²</t>
        </is>
      </c>
      <c r="B402" t="inlineStr"/>
      <c r="C402" t="inlineStr">
        <is>
          <t>60</t>
        </is>
      </c>
      <c r="D402" t="inlineStr">
        <is>
          <t>1</t>
        </is>
      </c>
      <c r="E402" t="inlineStr">
        <is>
          <t>10</t>
        </is>
      </c>
      <c r="F402" t="inlineStr">
        <is>
          <t>12</t>
        </is>
      </c>
      <c r="G402" t="inlineStr">
        <is>
          <t>0</t>
        </is>
      </c>
      <c r="H402" t="inlineStr">
        <is>
          <t>30²</t>
        </is>
      </c>
      <c r="I402" t="n">
        <v>2</v>
      </c>
      <c r="J402" t="inlineStr">
        <is>
          <t>2¹, 4²</t>
        </is>
      </c>
      <c r="K402">
        <f>HYPERLINK("CSG0.html#group10D0", "10D⁰"), =HYPERLINK("CSG1.html#group15D1", "15D¹")</f>
        <v/>
      </c>
      <c r="L402">
        <f>HYPERLINK("CSG5.html#group30Q5", "30Q⁵"), =HYPERLINK("CSG7.html#group30J7", "30J⁷"), =HYPERLINK("CSG7.html#group60K7", "60K⁷"), =HYPERLINK("CSG7.html#group60L7", "60L⁷"), =HYPERLINK("CSG9.html#group30B9", "30B⁹"), =HYPERLINK("CSG10.html#group30B10", "30B¹⁰"), =HYPERLINK("CSG10.html#group30C10", "30C¹⁰"), =HYPERLINK("CSG10.html#group30G10", "30G¹⁰"), =HYPERLINK("CSG10.html#group90F10", "90F¹⁰"), =HYPERLINK("CSG13.html#group60AH13", "60AH¹³"), =HYPERLINK("CSG22.html#group150A22", "150A²²")</f>
        <v/>
      </c>
      <c r="M402">
        <f>HYPERLINK("CSG1.html#group15D1", "15D¹"), =HYPERLINK("CSG0.html#group1A0", "1A⁰"), =HYPERLINK("CSG0.html#group3A0", "3A⁰"), =HYPERLINK("CSG0.html#group5C0", "5C⁰"), =HYPERLINK("CSG0.html#group10D0", "10D⁰")</f>
        <v/>
      </c>
      <c r="N402">
        <f>HYPERLINK("CSG22.html#group150A22", "150A²²"), =HYPERLINK("CSG10.html#group30B10", "30B¹⁰"), =HYPERLINK("CSG15.html#group60S15", "60S¹⁵"), =HYPERLINK("CSG17.html#group60K17", "60K¹⁷"), =HYPERLINK("CSG10.html#group30C10", "30C¹⁰"), =HYPERLINK("CSG7.html#group30J7", "30J⁷"), =HYPERLINK("CSG23.html#group90D23", "90D²³"), =HYPERLINK("CSG17.html#group30E17", "30E¹⁷"), =HYPERLINK("CSG19.html#group60D19", "60D¹⁹"), =HYPERLINK("CSG21.html#group30E21", "30E²¹"), =HYPERLINK("CSG17.html#group60J17", "60J¹⁷"), =HYPERLINK("CSG7.html#group60K7", "60K⁷"), =HYPERLINK("CSG10.html#group90F10", "90F¹⁰"), =HYPERLINK("CSG10.html#group30G10", "30G¹⁰"), =HYPERLINK("CSG23.html#group60M23", "60M²³"), =HYPERLINK("CSG23.html#group60K23", "60K²³"), =HYPERLINK("CSG13.html#group60AH13", "60AH¹³"), =HYPERLINK("CSG15.html#group60R15", "60R¹⁵"), =HYPERLINK("CSG9.html#group30B9", "30B⁹"), =HYPERLINK("CSG21.html#group30B21", "30B²¹"), =HYPERLINK("CSG23.html#group30I23", "30I²³"), =HYPERLINK("CSG19.html#group60B19", "60B¹⁹"), =HYPERLINK("CSG21.html#group30D21", "30D²¹"), =HYPERLINK("CSG15.html#group60Z15", "60Z¹⁵"), =HYPERLINK("CSG7.html#group60L7", "60L⁷"), =HYPERLINK("CSG21.html#group90M21", "90M²¹"), =HYPERLINK("CSG23.html#group30H23", "30H²³"), =HYPERLINK("CSG5.html#group30Q5", "30Q⁵"), =HYPERLINK("CSG13.html#group30M13", "30M¹³"), =HYPERLINK("CSG23.html#group30C23", "30C²³"), =HYPERLINK("CSG23.html#group60F23", "60F²³"), =HYPERLINK("CSG17.html#group30A17", "30A¹⁷"), =HYPERLINK("CSG21.html#group60U21", "60U²¹")</f>
        <v/>
      </c>
    </row>
    <row r="403">
      <c r="A403" t="inlineStr">
        <is>
          <t>31A²</t>
        </is>
      </c>
      <c r="B403" t="inlineStr">
        <is>
          <t>Γ₀(31)</t>
        </is>
      </c>
      <c r="C403" t="inlineStr">
        <is>
          <t>32</t>
        </is>
      </c>
      <c r="D403" t="inlineStr">
        <is>
          <t>1</t>
        </is>
      </c>
      <c r="E403" t="inlineStr">
        <is>
          <t>32</t>
        </is>
      </c>
      <c r="F403" t="inlineStr">
        <is>
          <t>0</t>
        </is>
      </c>
      <c r="G403" t="inlineStr">
        <is>
          <t>2</t>
        </is>
      </c>
      <c r="H403" t="inlineStr">
        <is>
          <t>1¹, 31¹</t>
        </is>
      </c>
      <c r="I403" t="n">
        <v>2</v>
      </c>
      <c r="J403" t="inlineStr">
        <is>
          <t>1², 30¹</t>
        </is>
      </c>
      <c r="K403">
        <f>HYPERLINK("CSG0.html#group1A0", "1A⁰")</f>
        <v/>
      </c>
      <c r="L403">
        <f>HYPERLINK("CSG4.html#group62A4", "62A⁴"), =HYPERLINK("CSG6.html#group31A6", "31A⁶"), =HYPERLINK("CSG6.html#group31B6", "31B⁶"), =HYPERLINK("CSG7.html#group62A7", "62A⁷"), =HYPERLINK("CSG7.html#group93A7", "93A⁷"), =HYPERLINK("CSG8.html#group93A8", "93A⁸"), =HYPERLINK("CSG9.html#group93A9", "93A⁹"), =HYPERLINK("CSG10.html#group124A10", "124A¹⁰"), =HYPERLINK("CSG12.html#group155A12", "155A¹²"), =HYPERLINK("CSG15.html#group155A15", "155A¹⁵"), =HYPERLINK("CSG18.html#group217A18", "217A¹⁸"), =HYPERLINK("CSG19.html#group217A19", "217A¹⁹")</f>
        <v/>
      </c>
      <c r="M403">
        <f>HYPERLINK("CSG0.html#group1A0", "1A⁰")</f>
        <v/>
      </c>
      <c r="N403">
        <f>HYPERLINK("CSG16.html#group186A16", "186A¹⁶"), =HYPERLINK("CSG19.html#group124A19", "124A¹⁹"), =HYPERLINK("CSG9.html#group93A9", "93A⁹"), =HYPERLINK("CSG6.html#group31B6", "31B⁶"), =HYPERLINK("CSG7.html#group62A7", "62A⁷"), =HYPERLINK("CSG22.html#group93A22", "93A²²"), =HYPERLINK("CSG19.html#group217A19", "217A¹⁹"), =HYPERLINK("CSG14.html#group124A14", "124A¹⁴"), =HYPERLINK("CSG10.html#group124A10", "124A¹⁰"), =HYPERLINK("CSG8.html#group124A8", "124A⁸"), =HYPERLINK("CSG24.html#group279A24", "279A²⁴"), =HYPERLINK("CSG14.html#group186B14", "186B¹⁴"), =HYPERLINK("CSG15.html#group124A15", "124A¹⁵"), =HYPERLINK("CSG14.html#group62A14", "62A¹⁴"), =HYPERLINK("CSG20.html#group248A20", "248A²⁰"), =HYPERLINK("CSG14.html#group186A14", "186A¹⁴"), =HYPERLINK("CSG23.html#group186B23", "186B²³"), =HYPERLINK("CSG6.html#group31A6", "31A⁶"), =HYPERLINK("CSG24.html#group310A24", "310A²⁴"), =HYPERLINK("CSG23.html#group186A23", "186A²³"), =HYPERLINK("CSG12.html#group62A12", "62A¹²"), =HYPERLINK("CSG18.html#group217A18", "217A¹⁸"), =HYPERLINK("CSG19.html#group186B19", "186B¹⁹"), =HYPERLINK("CSG14.html#group62B14", "62B¹⁴"), =HYPERLINK("CSG4.html#group62A4", "62A⁴"), =HYPERLINK("CSG7.html#group93A7", "93A⁷"), =HYPERLINK("CSG12.html#group155A12", "155A¹²"), =HYPERLINK("CSG15.html#group186A15", "186A¹⁵"), =HYPERLINK("CSG19.html#group62A19", "62A¹⁹"), =HYPERLINK("CSG15.html#group155A15", "155A¹⁵"), =HYPERLINK("CSG16.html#group62A16", "62A¹⁶"), =HYPERLINK("CSG15.html#group93A15", "93A¹⁵"), =HYPERLINK("CSG19.html#group186A19", "186A¹⁹"), =HYPERLINK("CSG8.html#group93A8", "93A⁸"), =HYPERLINK("CSG16.html#group186B16", "186B¹⁶"), =HYPERLINK("CSG17.html#group93A17", "93A¹⁷")</f>
        <v/>
      </c>
    </row>
    <row r="404">
      <c r="A404" t="inlineStr">
        <is>
          <t>32A²</t>
        </is>
      </c>
      <c r="B404" t="inlineStr"/>
      <c r="C404" t="inlineStr">
        <is>
          <t>48</t>
        </is>
      </c>
      <c r="D404" t="inlineStr">
        <is>
          <t>1</t>
        </is>
      </c>
      <c r="E404" t="inlineStr">
        <is>
          <t>6</t>
        </is>
      </c>
      <c r="F404" t="inlineStr">
        <is>
          <t>0</t>
        </is>
      </c>
      <c r="G404" t="inlineStr">
        <is>
          <t>0</t>
        </is>
      </c>
      <c r="H404" t="inlineStr">
        <is>
          <t>2⁴, 8¹, 32¹</t>
        </is>
      </c>
      <c r="I404" t="n">
        <v>6</v>
      </c>
      <c r="J404" t="inlineStr">
        <is>
          <t>1⁴, 2¹</t>
        </is>
      </c>
      <c r="K404">
        <f>HYPERLINK("CSG0.html#group16C0", "16C⁰")</f>
        <v/>
      </c>
      <c r="L404">
        <f>HYPERLINK("CSG3.html#group32K3", "32K³"), =HYPERLINK("CSG3.html#group32M3", "32M³"), =HYPERLINK("CSG6.html#group64A6", "64A⁶"), =HYPERLINK("CSG10.html#group96A10", "96A¹⁰"), =HYPERLINK("CSG11.html#group96H11", "96H¹¹"), =HYPERLINK("CSG18.html#group160A18", "160A¹⁸"), =HYPERLINK("CSG19.html#group160K19", "160K¹⁹")</f>
        <v/>
      </c>
      <c r="M404">
        <f>HYPERLINK("CSG0.html#group8C0", "8C⁰"), =HYPERLINK("CSG0.html#group2B0", "2B⁰"), =HYPERLINK("CSG0.html#group4B0", "4B⁰"), =HYPERLINK("CSG0.html#group1A0", "1A⁰"), =HYPERLINK("CSG0.html#group16C0", "16C⁰")</f>
        <v/>
      </c>
      <c r="N404">
        <f>HYPERLINK("CSG9.html#group64D9", "64D⁹"), =HYPERLINK("CSG22.html#group192A22", "192A²²"), =HYPERLINK("CSG3.html#group32M3", "32M³"), =HYPERLINK("CSG21.html#group64C21", "64C²¹"), =HYPERLINK("CSG9.html#group32D9", "32D⁹"), =HYPERLINK("CSG10.html#group96A10", "96A¹⁰"), =HYPERLINK("CSG7.html#group32M7", "32M⁷"), =HYPERLINK("CSG19.html#group64B19", "64B¹⁹"), =HYPERLINK("CSG19.html#group160K19", "160K¹⁹"), =HYPERLINK("CSG17.html#group32A17", "32A¹⁷"), =HYPERLINK("CSG19.html#group96I19", "96I¹⁹"), =HYPERLINK("CSG21.html#group32B21", "32B²¹"), =HYPERLINK("CSG11.html#group96H11", "96H¹¹"), =HYPERLINK("CSG5.html#group32M5", "32M⁵"), =HYPERLINK("CSG18.html#group160A18", "160A¹⁸"), =HYPERLINK("CSG21.html#group128C21", "128C²¹"), =HYPERLINK("CSG21.html#group64D21", "64D²¹"), =HYPERLINK("CSG21.html#group64K21", "64K²¹"), =HYPERLINK("CSG21.html#group96BG21", "96BG²¹"), =HYPERLINK("CSG19.html#group96F19", "96F¹⁹"), =HYPERLINK("CSG13.html#group32U13", "32U¹³"), =HYPERLINK("CSG21.html#group128B21", "128B²¹"), =HYPERLINK("CSG19.html#group96C19", "96C¹⁹"), =HYPERLINK("CSG13.html#group64V13", "64V¹³"), =HYPERLINK("CSG21.html#group96BK21", "96BK²¹"), =HYPERLINK("CSG21.html#group96BC21", "96BC²¹"), =HYPERLINK("CSG21.html#group96BF21", "96BF²¹"), =HYPERLINK("CSG11.html#group64B11", "64B¹¹"), =HYPERLINK("CSG21.html#group64E21", "64E²¹"), =HYPERLINK("CSG21.html#group64J21", "64J²¹"), =HYPERLINK("CSG21.html#group32H21", "32H²¹"), =HYPERLINK("CSG3.html#group32K3", "32K³"), =HYPERLINK("CSG19.html#group128A19", "128A¹⁹"), =HYPERLINK("CSG6.html#group64A6", "64A⁶"), =HYPERLINK("CSG21.html#group128E21", "128E²¹"), =HYPERLINK("CSG19.html#group96R19", "96R¹⁹"), =HYPERLINK("CSG21.html#group32F21", "32F²¹"), =HYPERLINK("CSG9.html#group64E9", "64E⁹"), =HYPERLINK("CSG17.html#group64A17", "64A¹⁷"), =HYPERLINK("CSG22.html#group192B22", "192B²²"), =HYPERLINK("CSG7.html#group64K7", "64K⁷"), =HYPERLINK("CSG9.html#group32B9", "32B⁹"), =HYPERLINK("CSG21.html#group96BB21", "96BB²¹"), =HYPERLINK("CSG19.html#group32B19", "32B¹⁹"), =HYPERLINK("CSG19.html#group96B19", "96B¹⁹"), =HYPERLINK("CSG11.html#group64A11", "64A¹¹")</f>
        <v/>
      </c>
    </row>
    <row r="405">
      <c r="A405" t="inlineStr">
        <is>
          <t>32B²</t>
        </is>
      </c>
      <c r="B405" t="inlineStr"/>
      <c r="C405" t="inlineStr">
        <is>
          <t>96</t>
        </is>
      </c>
      <c r="D405" t="inlineStr">
        <is>
          <t>1</t>
        </is>
      </c>
      <c r="E405" t="inlineStr">
        <is>
          <t>12</t>
        </is>
      </c>
      <c r="F405" t="inlineStr">
        <is>
          <t>0</t>
        </is>
      </c>
      <c r="G405" t="inlineStr">
        <is>
          <t>0</t>
        </is>
      </c>
      <c r="H405" t="inlineStr">
        <is>
          <t>2⁸, 4⁴, 32²</t>
        </is>
      </c>
      <c r="I405" t="n">
        <v>14</v>
      </c>
      <c r="J405" t="inlineStr">
        <is>
          <t>2⁶</t>
        </is>
      </c>
      <c r="K405">
        <f>HYPERLINK("CSG0.html#group16G0", "16G⁰"), =HYPERLINK("CSG1.html#group32C1", "32C¹"), =HYPERLINK("CSG1.html#group32D1", "32D¹")</f>
        <v/>
      </c>
      <c r="L405">
        <f>HYPERLINK("CSG5.html#group32N5", "32N⁵"), =HYPERLINK("CSG7.html#group32L7", "32L⁷"), =HYPERLINK("CSG18.html#group96A18", "96A¹⁸"), =HYPERLINK("CSG19.html#group96BD19", "96BD¹⁹")</f>
        <v/>
      </c>
      <c r="M405">
        <f>HYPERLINK("CSG0.html#group16G0", "16G⁰"), =HYPERLINK("CSG0.html#group2A0", "2A⁰"), =HYPERLINK("CSG0.html#group16E0", "16E⁰"), =HYPERLINK("CSG1.html#group32C1", "32C¹"), =HYPERLINK("CSG0.html#group8G0", "8G⁰"), =HYPERLINK("CSG0.html#group8D0", "8D⁰"), =HYPERLINK("CSG0.html#group16D0", "16D⁰"), =HYPERLINK("CSG0.html#group4C0", "4C⁰"), =HYPERLINK("CSG1.html#group32D1", "32D¹"), =HYPERLINK("CSG0.html#group8C0", "8C⁰"), =HYPERLINK("CSG0.html#group4E0", "4E⁰"), =HYPERLINK("CSG0.html#group2B0", "2B⁰"), =HYPERLINK("CSG0.html#group4B0", "4B⁰"), =HYPERLINK("CSG0.html#group1A0", "1A⁰"), =HYPERLINK("CSG0.html#group2C0", "2C⁰")</f>
        <v/>
      </c>
      <c r="N405">
        <f>HYPERLINK("CSG17.html#group32B17", "32B¹⁷"), =HYPERLINK("CSG13.html#group32T13", "32T¹³"), =HYPERLINK("CSG5.html#group32N5", "32N⁵"), =HYPERLINK("CSG21.html#group32E21", "32E²¹"), =HYPERLINK("CSG18.html#group96A18", "96A¹⁸"), =HYPERLINK("CSG19.html#group96BD19", "96BD¹⁹"), =HYPERLINK("CSG17.html#group64D17", "64D¹⁷"), =HYPERLINK("CSG21.html#group32D21", "32D²¹"), =HYPERLINK("CSG7.html#group32L7", "32L⁷"), =HYPERLINK("CSG19.html#group64A19", "64A¹⁹"), =HYPERLINK("CSG13.html#group32U13", "32U¹³")</f>
        <v/>
      </c>
    </row>
    <row r="406">
      <c r="A406" t="inlineStr">
        <is>
          <t>32C²</t>
        </is>
      </c>
      <c r="B406" t="inlineStr"/>
      <c r="C406" t="inlineStr">
        <is>
          <t>96</t>
        </is>
      </c>
      <c r="D406" t="inlineStr">
        <is>
          <t>1</t>
        </is>
      </c>
      <c r="E406" t="inlineStr">
        <is>
          <t>24</t>
        </is>
      </c>
      <c r="F406" t="inlineStr">
        <is>
          <t>0</t>
        </is>
      </c>
      <c r="G406" t="inlineStr">
        <is>
          <t>0</t>
        </is>
      </c>
      <c r="H406" t="inlineStr">
        <is>
          <t>1⁴, 2², 4⁶, 32²</t>
        </is>
      </c>
      <c r="I406" t="n">
        <v>14</v>
      </c>
      <c r="J406" t="inlineStr">
        <is>
          <t>1⁴, 2², 4², 8¹</t>
        </is>
      </c>
      <c r="K406">
        <f>HYPERLINK("CSG0.html#group16H0", "16H⁰")</f>
        <v/>
      </c>
      <c r="L406">
        <f>HYPERLINK("CSG5.html#group32N5", "32N⁵"), =HYPERLINK("CSG5.html#group32O5", "32O⁵"), =HYPERLINK("CSG7.html#group32M7", "32M⁷"), =HYPERLINK("CSG18.html#group96B18", "96B¹⁸"), =HYPERLINK("CSG19.html#group96BF19", "96BF¹⁹")</f>
        <v/>
      </c>
      <c r="M406">
        <f>HYPERLINK("CSG0.html#group16C0", "16C⁰"), =HYPERLINK("CSG0.html#group16D0", "16D⁰"), =HYPERLINK("CSG0.html#group8C0", "8C⁰"), =HYPERLINK("CSG0.html#group2B0", "2B⁰"), =HYPERLINK("CSG0.html#group8I0", "8I⁰"), =HYPERLINK("CSG0.html#group4B0", "4B⁰"), =HYPERLINK("CSG0.html#group1A0", "1A⁰"), =HYPERLINK("CSG0.html#group16H0", "16H⁰")</f>
        <v/>
      </c>
      <c r="N406">
        <f>HYPERLINK("CSG19.html#group32B19", "32B¹⁹"), =HYPERLINK("CSG17.html#group64C17", "64C¹⁷"), =HYPERLINK("CSG17.html#group32B17", "32B¹⁷"), =HYPERLINK("CSG13.html#group32T13", "32T¹³"), =HYPERLINK("CSG18.html#group96B18", "96B¹⁸"), =HYPERLINK("CSG13.html#group64W13", "64W¹³"), =HYPERLINK("CSG5.html#group32N5", "32N⁵"), =HYPERLINK("CSG21.html#group64K21", "64K²¹"), =HYPERLINK("CSG5.html#group32O5", "32O⁵"), =HYPERLINK("CSG19.html#group96BF19", "96BF¹⁹"), =HYPERLINK("CSG7.html#group32M7", "32M⁷"), =HYPERLINK("CSG17.html#group64B17", "64B¹⁷"), =HYPERLINK("CSG21.html#group64J21", "64J²¹"), =HYPERLINK("CSG19.html#group64B19", "64B¹⁹"), =HYPERLINK("CSG17.html#group32C17", "32C¹⁷"), =HYPERLINK("CSG17.html#group64D17", "64D¹⁷"), =HYPERLINK("CSG13.html#group32U13", "32U¹³")</f>
        <v/>
      </c>
    </row>
    <row r="407">
      <c r="A407" t="inlineStr">
        <is>
          <t>35A²</t>
        </is>
      </c>
      <c r="B407" t="inlineStr"/>
      <c r="C407" t="inlineStr">
        <is>
          <t>35</t>
        </is>
      </c>
      <c r="D407" t="inlineStr">
        <is>
          <t>2</t>
        </is>
      </c>
      <c r="E407" t="inlineStr">
        <is>
          <t>35</t>
        </is>
      </c>
      <c r="F407" t="inlineStr">
        <is>
          <t>3</t>
        </is>
      </c>
      <c r="G407" t="inlineStr">
        <is>
          <t>2</t>
        </is>
      </c>
      <c r="H407" t="inlineStr">
        <is>
          <t>35¹</t>
        </is>
      </c>
      <c r="I407" t="n">
        <v>1</v>
      </c>
      <c r="J407" t="inlineStr">
        <is>
          <t>2¹, 6², 8¹, 24²</t>
        </is>
      </c>
      <c r="K407">
        <f>HYPERLINK("CSG0.html#group5A0", "5A⁰"), =HYPERLINK("CSG0.html#group7A0", "7A⁰")</f>
        <v/>
      </c>
      <c r="L407">
        <f>HYPERLINK("CSG4.html#group35A4", "35A⁴"), =HYPERLINK("CSG4.html#group70A4", "70A⁴"), =HYPERLINK("CSG5.html#group70A5", "70A⁵"), =HYPERLINK("CSG6.html#group35B6", "35B⁶"), =HYPERLINK("CSG6.html#group105A6", "105A⁶"), =HYPERLINK("CSG6.html#group105B6", "105B⁶"), =HYPERLINK("CSG7.html#group35A7", "35A⁷"), =HYPERLINK("CSG7.html#group105A7", "105A⁷"), =HYPERLINK("CSG8.html#group70A8", "70A⁸"), =HYPERLINK("CSG9.html#group35A9", "35A⁹"), =HYPERLINK("CSG10.html#group35A10", "35A¹⁰"), =HYPERLINK("CSG10.html#group140A10", "140A¹⁰"), =HYPERLINK("CSG11.html#group105A11", "105A¹¹")</f>
        <v/>
      </c>
      <c r="M407">
        <f>HYPERLINK("CSG0.html#group1A0", "1A⁰"), =HYPERLINK("CSG0.html#group5A0", "5A⁰"), =HYPERLINK("CSG0.html#group7A0", "7A⁰")</f>
        <v/>
      </c>
      <c r="N407">
        <f>HYPERLINK("CSG17.html#group140A17", "140A¹⁷"), =HYPERLINK("CSG6.html#group105A6", "105A⁶"), =HYPERLINK("CSG4.html#group70A4", "70A⁴"), =HYPERLINK("CSG16.html#group105A16", "105A¹⁶"), =HYPERLINK("CSG16.html#group140A16", "140A¹⁶"), =HYPERLINK("CSG16.html#group105B16", "105B¹⁶"), =HYPERLINK("CSG19.html#group35A19", "35A¹⁹"), =HYPERLINK("CSG19.html#group70C19", "70C¹⁹"), =HYPERLINK("CSG16.html#group140B16", "140B¹⁶"), =HYPERLINK("CSG14.html#group70C14", "70C¹⁴"), =HYPERLINK("CSG22.html#group210A22", "210A²²"), =HYPERLINK("CSG14.html#group70A14", "70A¹⁴"), =HYPERLINK("CSG17.html#group70A17", "70A¹⁷"), =HYPERLINK("CSG15.html#group70A15", "70A¹⁵"), =HYPERLINK("CSG21.html#group280D21", "280D²¹"), =HYPERLINK("CSG22.html#group105C22", "105C²²"), =HYPERLINK("CSG24.html#group210C24", "210C²⁴"), =HYPERLINK("CSG21.html#group105A21", "105A²¹"), =HYPERLINK("CSG10.html#group35A10", "35A¹⁰"), =HYPERLINK("CSG14.html#group35A14", "35A¹⁴"), =HYPERLINK("CSG22.html#group210B22", "210B²²"), =HYPERLINK("CSG22.html#group105B22", "105B²²"), =HYPERLINK("CSG17.html#group210A17", "210A¹⁷"), =HYPERLINK("CSG23.html#group70A23", "70A²³"), =HYPERLINK("CSG16.html#group70B16", "70B¹⁶"), =HYPERLINK("CSG12.html#group35A12", "35A¹²"), =HYPERLINK("CSG7.html#group105A7", "105A⁷"), =HYPERLINK("CSG21.html#group140A21", "140A²¹"), =HYPERLINK("CSG13.html#group210B13", "210B¹³"), =HYPERLINK("CSG14.html#group105B14", "105B¹⁴"), =HYPERLINK("CSG17.html#group210B17", "210B¹⁷"), =HYPERLINK("CSG14.html#group105C14", "105C¹⁴"), =HYPERLINK("CSG22.html#group70A22", "70A²²"), =HYPERLINK("CSG19.html#group105C19", "105C¹⁹"), =HYPERLINK("CSG16.html#group210C16", "210C¹⁶"), =HYPERLINK("CSG8.html#group70A8", "70A⁸"), =HYPERLINK("CSG16.html#group70C16", "70C¹⁶"), =HYPERLINK("CSG20.html#group140B20", "140B²⁰"), =HYPERLINK("CSG19.html#group35C19", "35C¹⁹"), =HYPERLINK("CSG17.html#group70B17", "70B¹⁷"), =HYPERLINK("CSG19.html#group35B19", "35B¹⁹"), =HYPERLINK("CSG14.html#group105A14", "105A¹⁴"), =HYPERLINK("CSG21.html#group280A21", "280A²¹"), =HYPERLINK("CSG16.html#group210A16", "210A¹⁶"), =HYPERLINK("CSG15.html#group210A15", "210A¹⁵"), =HYPERLINK("CSG15.html#group210B15", "210B¹⁵"), =HYPERLINK("CSG13.html#group35B13", "35B¹³"), =HYPERLINK("CSG16.html#group210D16", "210D¹⁶"), =HYPERLINK("CSG16.html#group70A16", "70A¹⁶"), =HYPERLINK("CSG21.html#group280C21", "280C²¹"), =HYPERLINK("CSG24.html#group210A24", "210A²⁴"), =HYPERLINK("CSG18.html#group210A18", "210A¹⁸"), =HYPERLINK("CSG11.html#group105A11", "105A¹¹"), =HYPERLINK("CSG5.html#group70A5", "70A⁵"), =HYPERLINK("CSG7.html#group35A7", "35A⁷"), =HYPERLINK("CSG14.html#group70B14", "70B¹⁴"), =HYPERLINK("CSG17.html#group140B17", "140B¹⁷"), =HYPERLINK("CSG23.html#group315A23", "315A²³"), =HYPERLINK("CSG15.html#group105C15", "105C¹⁵"), =HYPERLINK("CSG10.html#group140A10", "140A¹⁰"), =HYPERLINK("CSG13.html#group210A13", "210A¹³"), =HYPERLINK("CSG9.html#group35A9", "35A⁹"), =HYPERLINK("CSG6.html#group105B6", "105B⁶"), =HYPERLINK("CSG15.html#group70B15", "70B¹⁵"), =HYPERLINK("CSG15.html#group105B15", "105B¹⁵"), =HYPERLINK("CSG15.html#group35A15", "35A¹⁵"), =HYPERLINK("CSG14.html#group35C14", "35C¹⁴"), =HYPERLINK("CSG22.html#group140A22", "140A²²"), =HYPERLINK("CSG17.html#group70C17", "70C¹⁷"), =HYPERLINK("CSG24.html#group210B24", "210B²⁴"), =HYPERLINK("CSG15.html#group105A15", "105A¹⁵"), =HYPERLINK("CSG9.html#group70B9", "70B⁹"), =HYPERLINK("CSG14.html#group35B14", "35B¹⁴"), =HYPERLINK("CSG16.html#group210B16", "210B¹⁶"), =HYPERLINK("CSG15.html#group70C15", "70C¹⁵"), =HYPERLINK("CSG21.html#group70A21", "70A²¹"), =HYPERLINK("CSG21.html#group280B21", "280B²¹"), =HYPERLINK("CSG4.html#group35A4", "35A⁴"), =HYPERLINK("CSG21.html#group70D21", "70D²¹"), =HYPERLINK("CSG6.html#group35B6", "35B⁶"), =HYPERLINK("CSG21.html#group70E21", "70E²¹")</f>
        <v/>
      </c>
    </row>
    <row r="408">
      <c r="A408" t="inlineStr">
        <is>
          <t>35B²</t>
        </is>
      </c>
      <c r="B408" t="inlineStr"/>
      <c r="C408" t="inlineStr">
        <is>
          <t>40</t>
        </is>
      </c>
      <c r="D408" t="inlineStr">
        <is>
          <t>1</t>
        </is>
      </c>
      <c r="E408" t="inlineStr">
        <is>
          <t>40</t>
        </is>
      </c>
      <c r="F408" t="inlineStr">
        <is>
          <t>0</t>
        </is>
      </c>
      <c r="G408" t="inlineStr">
        <is>
          <t>4</t>
        </is>
      </c>
      <c r="H408" t="inlineStr">
        <is>
          <t>5¹, 35¹</t>
        </is>
      </c>
      <c r="I408" t="n">
        <v>2</v>
      </c>
      <c r="J408" t="inlineStr">
        <is>
          <t>1², 4², 6¹, 24¹</t>
        </is>
      </c>
      <c r="K408">
        <f>HYPERLINK("CSG0.html#group5A0", "5A⁰"), =HYPERLINK("CSG0.html#group7B0", "7B⁰")</f>
        <v/>
      </c>
      <c r="L408">
        <f>HYPERLINK("CSG4.html#group70B4", "70B⁴"), =HYPERLINK("CSG6.html#group35C6", "35C⁶"), =HYPERLINK("CSG6.html#group35D6", "35D⁶"), =HYPERLINK("CSG8.html#group35A8", "35A⁸"), =HYPERLINK("CSG8.html#group35B8", "35B⁸"), =HYPERLINK("CSG8.html#group105A8", "105A⁸"), =HYPERLINK("CSG8.html#group105B8", "105B⁸"), =HYPERLINK("CSG9.html#group35C9", "35C⁹"), =HYPERLINK("CSG9.html#group70A9", "70A⁹"), =HYPERLINK("CSG9.html#group105A9", "105A⁹"), =HYPERLINK("CSG9.html#group105B9", "105B⁹"), =HYPERLINK("CSG10.html#group105A10", "105A¹⁰"), =HYPERLINK("CSG11.html#group105D11", "105D¹¹"), =HYPERLINK("CSG12.html#group140A12", "140A¹²"), =HYPERLINK("CSG19.html#group35A19", "35A¹⁹"), =HYPERLINK("CSG19.html#group245A19", "245A¹⁹")</f>
        <v/>
      </c>
      <c r="M408">
        <f>HYPERLINK("CSG0.html#group7B0", "7B⁰"), =HYPERLINK("CSG0.html#group1A0", "1A⁰"), =HYPERLINK("CSG0.html#group5A0", "5A⁰")</f>
        <v/>
      </c>
      <c r="N408">
        <f>HYPERLINK("CSG19.html#group140A19", "140A¹⁹"), =HYPERLINK("CSG6.html#group35D6", "35D⁶"), =HYPERLINK("CSG23.html#group140C23", "140C²³"), =HYPERLINK("CSG17.html#group210D17", "210D¹⁷"), =HYPERLINK("CSG21.html#group70F21", "70F²¹"), =HYPERLINK("CSG8.html#group105B8", "105B⁸"), =HYPERLINK("CSG10.html#group105A10", "105A¹⁰"), =HYPERLINK("CSG12.html#group140A12", "140A¹²"), =HYPERLINK("CSG19.html#group35A19", "35A¹⁹"), =HYPERLINK("CSG19.html#group245A19", "245A¹⁹"), =HYPERLINK("CSG8.html#group140A8", "140A⁸"), =HYPERLINK("CSG18.html#group210D18", "210D¹⁸"), =HYPERLINK("CSG23.html#group210J23", "210J²³"), =HYPERLINK("CSG16.html#group70E16", "70E¹⁶"), =HYPERLINK("CSG21.html#group105F21", "105F²¹"), =HYPERLINK("CSG23.html#group210I23", "210I²³"), =HYPERLINK("CSG4.html#group70B4", "70B⁴"), =HYPERLINK("CSG16.html#group210F16", "210F¹⁶"), =HYPERLINK("CSG18.html#group70C18", "70C¹⁸"), =HYPERLINK("CSG9.html#group105A9", "105A⁹"), =HYPERLINK("CSG6.html#group35C6", "35C⁶"), =HYPERLINK("CSG14.html#group70G14", "70G¹⁴"), =HYPERLINK("CSG15.html#group35C15", "35C¹⁵"), =HYPERLINK("CSG11.html#group105D11", "105D¹¹"), =HYPERLINK("CSG14.html#group70D14", "70D¹⁴"), =HYPERLINK("CSG16.html#group210E16", "210E¹⁶"), =HYPERLINK("CSG18.html#group140A18", "140A¹⁸"), =HYPERLINK("CSG9.html#group70A9", "70A⁹"), =HYPERLINK("CSG18.html#group210B18", "210B¹⁸"), =HYPERLINK("CSG22.html#group35A22", "35A²²"), =HYPERLINK("CSG8.html#group105A8", "105A⁸"), =HYPERLINK("CSG18.html#group210C18", "210C¹⁸"), =HYPERLINK("CSG20.html#group210A20", "210A²⁰"), =HYPERLINK("CSG21.html#group70G21", "70G²¹"), =HYPERLINK("CSG18.html#group70B18", "70B¹⁸"), =HYPERLINK("CSG18.html#group70A18", "70A¹⁸"), =HYPERLINK("CSG8.html#group35A8", "35A⁸"), =HYPERLINK("CSG16.html#group70D16", "70D¹⁶"), =HYPERLINK("CSG18.html#group70D18", "70D¹⁸"), =HYPERLINK("CSG20.html#group210B20", "210B²⁰"), =HYPERLINK("CSG14.html#group70F14", "70F¹⁴"), =HYPERLINK("CSG17.html#group210C17", "210C¹⁷"), =HYPERLINK("CSG9.html#group105B9", "105B⁹"), =HYPERLINK("CSG9.html#group35C9", "35C⁹"), =HYPERLINK("CSG8.html#group35B8", "35B⁸"), =HYPERLINK("CSG16.html#group210G16", "210G¹⁶"), =HYPERLINK("CSG19.html#group105B19", "105B¹⁹"), =HYPERLINK("CSG17.html#group35A17", "35A¹⁷"), =HYPERLINK("CSG14.html#group70E14", "70E¹⁴"), =HYPERLINK("CSG24.html#group280A24", "280A²⁴"), =HYPERLINK("CSG18.html#group210E18", "210E¹⁸")</f>
        <v/>
      </c>
    </row>
    <row r="409">
      <c r="A409" t="inlineStr">
        <is>
          <t>35C²</t>
        </is>
      </c>
      <c r="B409" t="inlineStr"/>
      <c r="C409" t="inlineStr">
        <is>
          <t>42</t>
        </is>
      </c>
      <c r="D409" t="inlineStr">
        <is>
          <t>2</t>
        </is>
      </c>
      <c r="E409" t="inlineStr">
        <is>
          <t>42</t>
        </is>
      </c>
      <c r="F409" t="inlineStr">
        <is>
          <t>6</t>
        </is>
      </c>
      <c r="G409" t="inlineStr">
        <is>
          <t>0</t>
        </is>
      </c>
      <c r="H409" t="inlineStr">
        <is>
          <t>7¹, 35¹</t>
        </is>
      </c>
      <c r="I409" t="n">
        <v>2</v>
      </c>
      <c r="J409" t="inlineStr">
        <is>
          <t>2², 6⁴, 8¹, 24²</t>
        </is>
      </c>
      <c r="K409">
        <f>HYPERLINK("CSG0.html#group5B0", "5B⁰"), =HYPERLINK("CSG0.html#group7A0", "7A⁰")</f>
        <v/>
      </c>
      <c r="L409">
        <f>HYPERLINK("CSG4.html#group35C4", "35C⁴"), =HYPERLINK("CSG4.html#group70C4", "70C⁴"), =HYPERLINK("CSG5.html#group35B5", "35B⁵"), =HYPERLINK("CSG5.html#group70B5", "70B⁵"), =HYPERLINK("CSG6.html#group35A6", "35A⁶"), =HYPERLINK("CSG6.html#group35E6", "35E⁶"), =HYPERLINK("CSG6.html#group70A6", "70A⁶"), =HYPERLINK("CSG6.html#group105C6", "105C⁶"), =HYPERLINK("CSG7.html#group70A7", "70A⁷"), =HYPERLINK("CSG8.html#group70B8", "70B⁸"), =HYPERLINK("CSG9.html#group35D9", "35D⁹"), =HYPERLINK("CSG11.html#group140E11", "140E¹¹"), =HYPERLINK("CSG13.html#group105A13", "105A¹³"), =HYPERLINK("CSG14.html#group35C14", "35C¹⁴"), =HYPERLINK("CSG14.html#group175A14", "175A¹⁴"), =HYPERLINK("CSG16.html#group175C16", "175C¹⁶"), =HYPERLINK("CSG16.html#group175B16", "175B¹⁶"), =HYPERLINK("CSG16.html#group175D16", "175D¹⁶"), =HYPERLINK("CSG16.html#group175A16", "175A¹⁶")</f>
        <v/>
      </c>
      <c r="M409">
        <f>HYPERLINK("CSG0.html#group5B0", "5B⁰"), =HYPERLINK("CSG0.html#group1A0", "1A⁰"), =HYPERLINK("CSG0.html#group7A0", "7A⁰")</f>
        <v/>
      </c>
      <c r="N409">
        <f>HYPERLINK("CSG13.html#group70D13", "70D¹³"), =HYPERLINK("CSG15.html#group210D15", "210D¹⁵"), =HYPERLINK("CSG16.html#group140C16", "140C¹⁶"), =HYPERLINK("CSG16.html#group175D16", "175D¹⁶"), =HYPERLINK("CSG4.html#group35C4", "35C⁴"), =HYPERLINK("CSG21.html#group70I21", "70I²¹"), =HYPERLINK("CSG14.html#group105E14", "105E¹⁴"), =HYPERLINK("CSG16.html#group175C16", "175C¹⁶"), =HYPERLINK("CSG19.html#group70B19", "70B¹⁹"), =HYPERLINK("CSG20.html#group140A20", "140A²⁰"), =HYPERLINK("CSG11.html#group140A11", "140A¹¹"), =HYPERLINK("CSG6.html#group70A6", "70A⁶"), =HYPERLINK("CSG11.html#group140E11", "140E¹¹"), =HYPERLINK("CSG14.html#group105D14", "105D¹⁴"), =HYPERLINK("CSG18.html#group140C18", "140C¹⁸"), =HYPERLINK("CSG17.html#group140D17", "140D¹⁷"), =HYPERLINK("CSG4.html#group70C4", "70C⁴"), =HYPERLINK("CSG11.html#group35A11", "35A¹¹"), =HYPERLINK("CSG14.html#group35D14", "35D¹⁴"), =HYPERLINK("CSG7.html#group70A7", "70A⁷"), =HYPERLINK("CSG5.html#group35B5", "35B⁵"), =HYPERLINK("CSG18.html#group70F18", "70F¹⁸"), =HYPERLINK("CSG16.html#group105C16", "105C¹⁶"), =HYPERLINK("CSG15.html#group35D15", "35D¹⁵"), =HYPERLINK("CSG16.html#group175B16", "175B¹⁶"), =HYPERLINK("CSG14.html#group70H14", "70H¹⁴"), =HYPERLINK("CSG11.html#group70D11", "70D¹¹"), =HYPERLINK("CSG12.html#group210A12", "210A¹²"), =HYPERLINK("CSG9.html#group70E9", "70E⁹"), =HYPERLINK("CSG18.html#group140B18", "140B¹⁸"), =HYPERLINK("CSG21.html#group35A21", "35A²¹"), =HYPERLINK("CSG14.html#group175A14", "175A¹⁴"), =HYPERLINK("CSG16.html#group70G16", "70G¹⁶"), =HYPERLINK("CSG21.html#group70H21", "70H²¹"), =HYPERLINK("CSG16.html#group35A16", "35A¹⁶"), =HYPERLINK("CSG12.html#group35B12", "35B¹²"), =HYPERLINK("CSG16.html#group175A16", "175A¹⁶"), =HYPERLINK("CSG17.html#group70G17", "70G¹⁷"), =HYPERLINK("CSG19.html#group140B19", "140B¹⁹"), =HYPERLINK("CSG21.html#group35B21", "35B²¹"), =HYPERLINK("CSG11.html#group140D11", "140D¹¹"), =HYPERLINK("CSG15.html#group70E15", "70E¹⁵"), =HYPERLINK("CSG16.html#group210H16", "210H¹⁶"), =HYPERLINK("CSG24.html#group315A24", "315A²⁴"), =HYPERLINK("CSG6.html#group35E6", "35E⁶"), =HYPERLINK("CSG23.html#group140E23", "140E²³"), =HYPERLINK("CSG17.html#group140C17", "140C¹⁷"), =HYPERLINK("CSG23.html#group140H23", "140H²³"), =HYPERLINK("CSG8.html#group70B8", "70B⁸"), =HYPERLINK("CSG17.html#group35B17", "35B¹⁷"), =HYPERLINK("CSG21.html#group140D21", "140D²¹"), =HYPERLINK("CSG5.html#group70B5", "70B⁵"), =HYPERLINK("CSG11.html#group140B11", "140B¹¹"), =HYPERLINK("CSG17.html#group105C17", "105C¹⁷"), =HYPERLINK("CSG18.html#group70E18", "70E¹⁸"), =HYPERLINK("CSG15.html#group210C15", "210C¹⁵"), =HYPERLINK("CSG6.html#group35A6", "35A⁶"), =HYPERLINK("CSG9.html#group35D9", "35D⁹"), =HYPERLINK("CSG24.html#group70A24", "70A²⁴"), =HYPERLINK("CSG17.html#group70E17", "70E¹⁷"), =HYPERLINK("CSG13.html#group35C13", "35C¹³"), =HYPERLINK("CSG21.html#group210B21", "210B²¹"), =HYPERLINK("CSG13.html#group105A13", "105A¹³"), =HYPERLINK("CSG19.html#group140C19", "140C¹⁹"), =HYPERLINK("CSG6.html#group105C6", "105C⁶"), =HYPERLINK("CSG22.html#group105D22", "105D²²"), =HYPERLINK("CSG19.html#group70A19", "70A¹⁹"), =HYPERLINK("CSG21.html#group210A21", "210A²¹"), =HYPERLINK("CSG23.html#group140F23", "140F²³"), =HYPERLINK("CSG17.html#group105B17", "105B¹⁷"), =HYPERLINK("CSG23.html#group140G23", "140G²³"), =HYPERLINK("CSG17.html#group105A17", "105A¹⁷"), =HYPERLINK("CSG13.html#group70B13", "70B¹³"), =HYPERLINK("CSG18.html#group210F18", "210F¹⁸"), =HYPERLINK("CSG15.html#group105D15", "105D¹⁵"), =HYPERLINK("CSG14.html#group35C14", "35C¹⁴"), =HYPERLINK("CSG16.html#group70H16", "70H¹⁶"), =HYPERLINK("CSG17.html#group70F17", "70F¹⁷"), =HYPERLINK("CSG11.html#group140C11", "140C¹¹"), =HYPERLINK("CSG17.html#group210E17", "210E¹⁷"), =HYPERLINK("CSG20.html#group105A20", "105A²⁰"), =HYPERLINK("CSG18.html#group210G18", "210G¹⁸"), =HYPERLINK("CSG16.html#group70F16", "70F¹⁶"), =HYPERLINK("CSG18.html#group70G18", "70G¹⁸"), =HYPERLINK("CSG13.html#group70C13", "70C¹³"), =HYPERLINK("CSG17.html#group70H17", "70H¹⁷"), =HYPERLINK("CSG13.html#group70A13", "70A¹³")</f>
        <v/>
      </c>
    </row>
    <row r="410">
      <c r="A410" t="inlineStr">
        <is>
          <t>36A²</t>
        </is>
      </c>
      <c r="B410" t="inlineStr"/>
      <c r="C410" t="inlineStr">
        <is>
          <t>48</t>
        </is>
      </c>
      <c r="D410" t="inlineStr">
        <is>
          <t>1</t>
        </is>
      </c>
      <c r="E410" t="inlineStr">
        <is>
          <t>8</t>
        </is>
      </c>
      <c r="F410" t="inlineStr">
        <is>
          <t>0</t>
        </is>
      </c>
      <c r="G410" t="inlineStr">
        <is>
          <t>6</t>
        </is>
      </c>
      <c r="H410" t="inlineStr">
        <is>
          <t>12¹, 36¹</t>
        </is>
      </c>
      <c r="I410" t="n">
        <v>2</v>
      </c>
      <c r="J410" t="inlineStr">
        <is>
          <t>2⁴</t>
        </is>
      </c>
      <c r="K410">
        <f>HYPERLINK("CSG0.html#group12B0", "12B⁰"), =HYPERLINK("CSG1.html#group18D1", "18D¹")</f>
        <v/>
      </c>
      <c r="L410">
        <f>HYPERLINK("CSG4.html#group36S4", "36S⁴"), =HYPERLINK("CSG10.html#group36B10", "36B¹⁰"), =HYPERLINK("CSG10.html#group36E10", "36E¹⁰"), =HYPERLINK("CSG10.html#group36F10", "36F¹⁰"), =HYPERLINK("CSG11.html#group36H11", "36H¹¹"), =HYPERLINK("CSG16.html#group180A16", "180A¹⁶"), =HYPERLINK("CSG23.html#group180G23", "180G²³")</f>
        <v/>
      </c>
      <c r="M410">
        <f>HYPERLINK("CSG0.html#group3B0", "3B⁰"), =HYPERLINK("CSG0.html#group2A0", "2A⁰"), =HYPERLINK("CSG0.html#group12B0", "12B⁰"), =HYPERLINK("CSG0.html#group1A0", "1A⁰"), =HYPERLINK("CSG0.html#group6C0", "6C⁰"), =HYPERLINK("CSG1.html#group18D1", "18D¹")</f>
        <v/>
      </c>
      <c r="N410">
        <f>HYPERLINK("CSG23.html#group180G23", "180G²³"), =HYPERLINK("CSG10.html#group36B10", "36B¹⁰"), =HYPERLINK("CSG4.html#group36S4", "36S⁴"), =HYPERLINK("CSG11.html#group36H11", "36H¹¹"), =HYPERLINK("CSG10.html#group36F10", "36F¹⁰"), =HYPERLINK("CSG10.html#group36E10", "36E¹⁰"), =HYPERLINK("CSG22.html#group36M22", "36M²²"), =HYPERLINK("CSG16.html#group180A16", "180A¹⁶"), =HYPERLINK("CSG19.html#group36D19", "36D¹⁹"), =HYPERLINK("CSG22.html#group108C22", "108C²²")</f>
        <v/>
      </c>
    </row>
    <row r="411">
      <c r="A411" t="inlineStr">
        <is>
          <t>36B²</t>
        </is>
      </c>
      <c r="B411" t="inlineStr"/>
      <c r="C411" t="inlineStr">
        <is>
          <t>54</t>
        </is>
      </c>
      <c r="D411" t="inlineStr">
        <is>
          <t>1</t>
        </is>
      </c>
      <c r="E411" t="inlineStr">
        <is>
          <t>27</t>
        </is>
      </c>
      <c r="F411" t="inlineStr">
        <is>
          <t>10</t>
        </is>
      </c>
      <c r="G411" t="inlineStr">
        <is>
          <t>0</t>
        </is>
      </c>
      <c r="H411" t="inlineStr">
        <is>
          <t>18¹, 36¹</t>
        </is>
      </c>
      <c r="I411" t="n">
        <v>2</v>
      </c>
      <c r="J411" t="inlineStr">
        <is>
          <t>1³, 2³, 6³</t>
        </is>
      </c>
      <c r="K411">
        <f>HYPERLINK("CSG0.html#group12C0", "12C⁰"), =HYPERLINK("CSG1.html#group18E1", "18E¹")</f>
        <v/>
      </c>
      <c r="L411">
        <f>HYPERLINK("CSG4.html#group36R4", "36R⁴"), =HYPERLINK("CSG4.html#group72E4", "72E⁴"), =HYPERLINK("CSG5.html#group36H5", "36H⁵"), =HYPERLINK("CSG5.html#group72A5", "72A⁵"), =HYPERLINK("CSG6.html#group36C6", "36C⁶"), =HYPERLINK("CSG6.html#group36E6", "36E⁶"), =HYPERLINK("CSG6.html#group36F6", "36F⁶"), =HYPERLINK("CSG6.html#group36I6", "36I⁶"), =HYPERLINK("CSG6.html#group72B6", "72B⁶"), =HYPERLINK("CSG6.html#group72C6", "72C⁶"), =HYPERLINK("CSG6.html#group72D6", "72D⁶"), =HYPERLINK("CSG6.html#group72E6", "72E⁶"), =HYPERLINK("CSG7.html#group36E7", "36E⁷"), =HYPERLINK("CSG7.html#group72B7", "72B⁷"), =HYPERLINK("CSG8.html#group36B8", "36B⁸"), =HYPERLINK("CSG8.html#group36L8", "36L⁸"), =HYPERLINK("CSG8.html#group72D8", "72D⁸"), =HYPERLINK("CSG9.html#group72A9", "72A⁹"), =HYPERLINK("CSG20.html#group180F20", "180F²⁰"), =HYPERLINK("CSG21.html#group180I21", "180I²¹"), =HYPERLINK("CSG24.html#group252G24", "252G²⁴")</f>
        <v/>
      </c>
      <c r="M411">
        <f>HYPERLINK("CSG0.html#group12C0", "12C⁰"), =HYPERLINK("CSG0.html#group9A0", "9A⁰"), =HYPERLINK("CSG0.html#group4C0", "4C⁰"), =HYPERLINK("CSG0.html#group2B0", "2B⁰"), =HYPERLINK("CSG1.html#group18E1", "18E¹"), =HYPERLINK("CSG0.html#group3A0", "3A⁰"), =HYPERLINK("CSG0.html#group1A0", "1A⁰"), =HYPERLINK("CSG0.html#group6D0", "6D⁰")</f>
        <v/>
      </c>
      <c r="N411">
        <f>HYPERLINK("CSG9.html#group72A9", "72A⁹"), =HYPERLINK("CSG8.html#group36L8", "36L⁸"), =HYPERLINK("CSG13.html#group144B13", "144B¹³"), =HYPERLINK("CSG13.html#group72P13", "72P¹³"), =HYPERLINK("CSG14.html#group72F14", "72F¹⁴"), =HYPERLINK("CSG14.html#group72H14", "72H¹⁴"), =HYPERLINK("CSG13.html#group72H13", "72H¹³"), =HYPERLINK("CSG20.html#group180F20", "180F²⁰"), =HYPERLINK("CSG16.html#group36E16", "36E¹⁶"), =HYPERLINK("CSG15.html#group72L15", "72L¹⁵"), =HYPERLINK("CSG6.html#group36I6", "36I⁶"), =HYPERLINK("CSG23.html#group144W23", "144W²³"), =HYPERLINK("CSG21.html#group288A21", "288A²¹"), =HYPERLINK("CSG19.html#group36R19", "36R¹⁹"), =HYPERLINK("CSG7.html#group36E7", "36E⁷"), =HYPERLINK("CSG14.html#group72J14", "72J¹⁴"), =HYPERLINK("CSG14.html#group72E14", "72E¹⁴"), =HYPERLINK("CSG23.html#group288A23", "288A²³"), =HYPERLINK("CSG15.html#group144B15", "144B¹⁵"), =HYPERLINK("CSG15.html#group36N15", "36N¹⁵"), =HYPERLINK("CSG15.html#group72P15", "72P¹⁵"), =HYPERLINK("CSG17.html#group72L17", "72L¹⁷"), =HYPERLINK("CSG6.html#group36E6", "36E⁶"), =HYPERLINK("CSG22.html#group36F22", "36F²²"), =HYPERLINK("CSG20.html#group72D20", "72D²⁰"), =HYPERLINK("CSG9.html#group36O9", "36O⁹"), =HYPERLINK("CSG13.html#group144A13", "144A¹³"), =HYPERLINK("CSG16.html#group72L16", "72L¹⁶"), =HYPERLINK("CSG16.html#group36H16", "36H¹⁶"), =HYPERLINK("CSG13.html#group36P13", "36P¹³"), =HYPERLINK("CSG14.html#group36B14", "36B¹⁴"), =HYPERLINK("CSG14.html#group72G14", "72G¹⁴"), =HYPERLINK("CSG18.html#group72E18", "72E¹⁸"), =HYPERLINK("CSG10.html#group144E10", "144E¹⁰"), =HYPERLINK("CSG12.html#group72M12", "72M¹²"), =HYPERLINK("CSG15.html#group72V15", "72V¹⁵"), =HYPERLINK("CSG16.html#group72I16", "72I¹⁶"), =HYPERLINK("CSG4.html#group36R4", "36R⁴"), =HYPERLINK("CSG15.html#group36A15", "36A¹⁵"), =HYPERLINK("CSG16.html#group72B16", "72B¹⁶"), =HYPERLINK("CSG17.html#group72K17", "72K¹⁷"), =HYPERLINK("CSG14.html#group72D14", "72D¹⁴"), =HYPERLINK("CSG6.html#group36F6", "36F⁶"), =HYPERLINK("CSG17.html#group72D17", "72D¹⁷"), =HYPERLINK("CSG6.html#group72E6", "72E⁶"), =HYPERLINK("CSG23.html#group36A23", "36A²³"), =HYPERLINK("CSG17.html#group72J17", "72J¹⁷"), =HYPERLINK("CSG16.html#group72H16", "72H¹⁶"), =HYPERLINK("CSG12.html#group36F12", "36F¹²"), =HYPERLINK("CSG20.html#group72F20", "72F²⁰"), =HYPERLINK("CSG13.html#group72N13", "72N¹³"), =HYPERLINK("CSG22.html#group72J22", "72J²²"), =HYPERLINK("CSG14.html#group144A14", "144A¹⁴"), =HYPERLINK("CSG4.html#group72E4", "72E⁴"), =HYPERLINK("CSG5.html#group72A5", "72A⁵"), =HYPERLINK("CSG5.html#group36H5", "36H⁵"), =HYPERLINK("CSG16.html#group72N16", "72N¹⁶"), =HYPERLINK("CSG18.html#group144D18", "144D¹⁸"), =HYPERLINK("CSG20.html#group36A20", "36A²⁰"), =HYPERLINK("CSG15.html#group72O15", "72O¹⁵"), =HYPERLINK("CSG15.html#group72J15", "72J¹⁵"), =HYPERLINK("CSG21.html#group72X21", "72X²¹"), =HYPERLINK("CSG16.html#group36B16", "36B¹⁶"), =HYPERLINK("CSG12.html#group72F12", "72F¹²"), =HYPERLINK("CSG17.html#group72F17", "72F¹⁷"), =HYPERLINK("CSG15.html#group72M15", "72M¹⁵"), =HYPERLINK("CSG17.html#group72G17", "72G¹⁷"), =HYPERLINK("CSG12.html#group36E12", "36E¹²"), =HYPERLINK("CSG13.html#group72G13", "72G¹³"), =HYPERLINK("CSG19.html#group144J19", "144J¹⁹"), =HYPERLINK("CSG20.html#group36B20", "36B²⁰"), =HYPERLINK("CSG12.html#group72G12", "72G¹²"), =HYPERLINK("CSG24.html#group72A24", "72A²⁴"), =HYPERLINK("CSG16.html#group72G16", "72G¹⁶"), =HYPERLINK("CSG15.html#group36K15", "36K¹⁵"), =HYPERLINK("CSG12.html#group72K12", "72K¹²"), =HYPERLINK("CSG15.html#group36M15", "36M¹⁵"), =HYPERLINK("CSG16.html#group144F16", "144F¹⁶"), =HYPERLINK("CSG15.html#group72K15", "72K¹⁵"), =HYPERLINK("CSG17.html#group72C17", "72C¹⁷"), =HYPERLINK("CSG13.html#group72I13", "72I¹³"), =HYPERLINK("CSG16.html#group72O16", "72O¹⁶"), =HYPERLINK("CSG8.html#group144A8", "144A⁸"), =HYPERLINK("CSG14.html#group72C14", "72C¹⁴"), =HYPERLINK("CSG18.html#group144B18", "144B¹⁸"), =HYPERLINK("CSG11.html#group72N11", "72N¹¹"), =HYPERLINK("CSG15.html#group72X15", "72X¹⁵"), =HYPERLINK("CSG12.html#group144B12", "144B¹²"), =HYPERLINK("CSG24.html#group252G24", "252G²⁴"), =HYPERLINK("CSG16.html#group72Q16", "72Q¹⁶"), =HYPERLINK("CSG11.html#group72R11", "72R¹¹"), =HYPERLINK("CSG20.html#group36C20", "36C²⁰"), =HYPERLINK("CSG23.html#group144Y23", "144Y²³"), =HYPERLINK("CSG14.html#group144B14", "144B¹⁴"), =HYPERLINK("CSG8.html#group36B8", "36B⁸"), =HYPERLINK("CSG6.html#group72B6", "72B⁶"), =HYPERLINK("CSG15.html#group144C15", "144C¹⁵"), =HYPERLINK("CSG18.html#group36B18", "36B¹⁸"), =HYPERLINK("CSG20.html#group72E20", "72E²⁰"), =HYPERLINK("CSG21.html#group72AA21", "72AA²¹"), =HYPERLINK("CSG15.html#group72N15", "72N¹⁵"), =HYPERLINK("CSG23.html#group144X23", "144X²³"), =HYPERLINK("CSG6.html#group72D6", "72D⁶"), =HYPERLINK("CSG16.html#group36A16", "36A¹⁶"), =HYPERLINK("CSG6.html#group36C6", "36C⁶"), =HYPERLINK("CSG12.html#group72O12", "72O¹²"), =HYPERLINK("CSG7.html#group72B7", "72B⁷"), =HYPERLINK("CSG13.html#group144F13", "144F¹³"), =HYPERLINK("CSG13.html#group144E13", "144E¹³"), =HYPERLINK("CSG8.html#group72D8", "72D⁸"), =HYPERLINK("CSG21.html#group180I21", "180I²¹"), =HYPERLINK("CSG21.html#group36C21", "36C²¹"), =HYPERLINK("CSG17.html#group72H17", "72H¹⁷"), =HYPERLINK("CSG14.html#group72B14", "72B¹⁴"), =HYPERLINK("CSG16.html#group72M16", "72M¹⁶"), =HYPERLINK("CSG19.html#group72W19", "72W¹⁹"), =HYPERLINK("CSG13.html#group144C13", "144C¹³"), =HYPERLINK("CSG17.html#group72I17", "72I¹⁷"), =HYPERLINK("CSG13.html#group36H13", "36H¹³"), =HYPERLINK("CSG16.html#group72A16", "72A¹⁶"), =HYPERLINK("CSG15.html#group72U15", "72U¹⁵"), =HYPERLINK("CSG17.html#group72B17", "72B¹⁷"), =HYPERLINK("CSG12.html#group72N12", "72N¹²"), =HYPERLINK("CSG15.html#group36D15", "36D¹⁵"), =HYPERLINK("CSG11.html#group72M11", "72M¹¹"), =HYPERLINK("CSG13.html#group72O13", "72O¹³"), =HYPERLINK("CSG19.html#group36N19", "36N¹⁹"), =HYPERLINK("CSG9.html#group72H9", "72H⁹"), =HYPERLINK("CSG14.html#group36A14", "36A¹⁴"), =HYPERLINK("CSG14.html#group144C14", "144C¹⁴"), =HYPERLINK("CSG15.html#group72W15", "72W¹⁵"), =HYPERLINK("CSG13.html#group144D13", "144D¹³"), =HYPERLINK("CSG15.html#group72Q15", "72Q¹⁵"), =HYPERLINK("CSG18.html#group144A18", "144A¹⁸"), =HYPERLINK("CSG15.html#group144D15", "144D¹⁵"), =HYPERLINK("CSG13.html#group36I13", "36I¹³"), =HYPERLINK("CSG12.html#group72L12", "72L¹²"), =HYPERLINK("CSG14.html#group144D14", "144D¹⁴"), =HYPERLINK("CSG13.html#group72M13", "72M¹³"), =HYPERLINK("CSG17.html#group72A17", "72A¹⁷"), =HYPERLINK("CSG17.html#group72E17", "72E¹⁷"), =HYPERLINK("CSG6.html#group72C6", "72C⁶"), =HYPERLINK("CSG18.html#group144C18", "144C¹⁸"), =HYPERLINK("CSG12.html#group72J12", "72J¹²")</f>
        <v/>
      </c>
    </row>
    <row r="412">
      <c r="A412" t="inlineStr">
        <is>
          <t>36C²</t>
        </is>
      </c>
      <c r="B412" t="inlineStr"/>
      <c r="C412" t="inlineStr">
        <is>
          <t>54</t>
        </is>
      </c>
      <c r="D412" t="inlineStr">
        <is>
          <t>2</t>
        </is>
      </c>
      <c r="E412" t="inlineStr">
        <is>
          <t>27</t>
        </is>
      </c>
      <c r="F412" t="inlineStr">
        <is>
          <t>8</t>
        </is>
      </c>
      <c r="G412" t="inlineStr">
        <is>
          <t>0</t>
        </is>
      </c>
      <c r="H412" t="inlineStr">
        <is>
          <t>9², 36¹</t>
        </is>
      </c>
      <c r="I412" t="n">
        <v>3</v>
      </c>
      <c r="J412" t="inlineStr">
        <is>
          <t>2⁹, 6⁶</t>
        </is>
      </c>
      <c r="K412">
        <f>HYPERLINK("CSG0.html#group12D0", "12D⁰"), =HYPERLINK("CSG1.html#group18E1", "18E¹")</f>
        <v/>
      </c>
      <c r="L412">
        <f>HYPERLINK("CSG4.html#group36P4", "36P⁴"), =HYPERLINK("CSG4.html#group36R4", "36R⁴"), =HYPERLINK("CSG5.html#group36K5", "36K⁵"), =HYPERLINK("CSG6.html#group36H6", "36H⁶"), =HYPERLINK("CSG7.html#group36D7", "36D⁷"), =HYPERLINK("CSG7.html#group36G7", "36G⁷"), =HYPERLINK("CSG7.html#group36L7", "36L⁷"), =HYPERLINK("CSG8.html#group36G8", "36G⁸"), =HYPERLINK("CSG8.html#group36M8", "36M⁸"), =HYPERLINK("CSG20.html#group180G20", "180G²⁰"), =HYPERLINK("CSG21.html#group180J21", "180J²¹")</f>
        <v/>
      </c>
      <c r="M412">
        <f>HYPERLINK("CSG0.html#group9A0", "9A⁰"), =HYPERLINK("CSG0.html#group2B0", "2B⁰"), =HYPERLINK("CSG0.html#group12D0", "12D⁰"), =HYPERLINK("CSG1.html#group18E1", "18E¹"), =HYPERLINK("CSG0.html#group3A0", "3A⁰"), =HYPERLINK("CSG0.html#group1A0", "1A⁰"), =HYPERLINK("CSG0.html#group6D0", "6D⁰")</f>
        <v/>
      </c>
      <c r="N412">
        <f>HYPERLINK("CSG17.html#group72H17", "72H¹⁷"), =HYPERLINK("CSG15.html#group36K15", "36K¹⁵"), =HYPERLINK("CSG13.html#group72F13", "72F¹³"), =HYPERLINK("CSG15.html#group36I15", "36I¹⁵"), =HYPERLINK("CSG4.html#group36R4", "36R⁴"), =HYPERLINK("CSG18.html#group36A18", "36A¹⁸"), =HYPERLINK("CSG21.html#group36D21", "36D²¹"), =HYPERLINK("CSG8.html#group36G8", "36G⁸"), =HYPERLINK("CSG15.html#group72T15", "72T¹⁵"), =HYPERLINK("CSG6.html#group36H6", "36H⁶"), =HYPERLINK("CSG20.html#group180G20", "180G²⁰"), =HYPERLINK("CSG16.html#group36E16", "36E¹⁶"), =HYPERLINK("CSG9.html#group72H9", "72H⁹"), =HYPERLINK("CSG19.html#group36S19", "36S¹⁹"), =HYPERLINK("CSG14.html#group72K14", "72K¹⁴"), =HYPERLINK("CSG22.html#group36E22", "36E²²"), =HYPERLINK("CSG23.html#group36A23", "36A²³"), =HYPERLINK("CSG13.html#group36C13", "36C¹³"), =HYPERLINK("CSG12.html#group36F12", "36F¹²"), =HYPERLINK("CSG15.html#group72S15", "72S¹⁵"), =HYPERLINK("CSG7.html#group36G7", "36G⁷"), =HYPERLINK("CSG15.html#group36J15", "36J¹⁵"), =HYPERLINK("CSG15.html#group72P15", "72P¹⁵"), =HYPERLINK("CSG11.html#group72O11", "72O¹¹"), =HYPERLINK("CSG12.html#group72L12", "72L¹²"), =HYPERLINK("CSG16.html#group72S16", "72S¹⁶"), =HYPERLINK("CSG5.html#group36K5", "36K⁵"), =HYPERLINK("CSG11.html#group72R11", "72R¹¹"), =HYPERLINK("CSG4.html#group36P4", "36P⁴"), =HYPERLINK("CSG15.html#group36C15", "36C¹⁵"), =HYPERLINK("CSG23.html#group144Y23", "144Y²³"), =HYPERLINK("CSG21.html#group180J21", "180J²¹"), =HYPERLINK("CSG9.html#group36O9", "36O⁹"), =HYPERLINK("CSG7.html#group36D7", "36D⁷"), =HYPERLINK("CSG16.html#group36H16", "36H¹⁶"), =HYPERLINK("CSG18.html#group36B18", "36B¹⁸"), =HYPERLINK("CSG13.html#group36P13", "36P¹³"), =HYPERLINK("CSG7.html#group36L7", "36L⁷"), =HYPERLINK("CSG8.html#group36M8", "36M⁸"), =HYPERLINK("CSG21.html#group72AA21", "72AA²¹"), =HYPERLINK("CSG13.html#group72L13", "72L¹³"), =HYPERLINK("CSG15.html#group72R15", "72R¹⁵"), =HYPERLINK("CSG16.html#group36G16", "36G¹⁶"), =HYPERLINK("CSG22.html#group36J22", "36J²²"), =HYPERLINK("CSG19.html#group36O19", "36O¹⁹"), =HYPERLINK("CSG19.html#group36Q19", "36Q¹⁹"), =HYPERLINK("CSG12.html#group36E12", "36E¹²"), =HYPERLINK("CSG19.html#group36T19", "36T¹⁹"), =HYPERLINK("CSG12.html#group72M12", "72M¹²"), =HYPERLINK("CSG16.html#group36C16", "36C¹⁶"), =HYPERLINK("CSG19.html#group144J19", "144J¹⁹"), =HYPERLINK("CSG16.html#group36I16", "36I¹⁶")</f>
        <v/>
      </c>
    </row>
    <row r="413">
      <c r="A413" t="inlineStr">
        <is>
          <t>36D²</t>
        </is>
      </c>
      <c r="B413" t="inlineStr"/>
      <c r="C413" t="inlineStr">
        <is>
          <t>72</t>
        </is>
      </c>
      <c r="D413" t="inlineStr">
        <is>
          <t>2</t>
        </is>
      </c>
      <c r="E413" t="inlineStr">
        <is>
          <t>36</t>
        </is>
      </c>
      <c r="F413" t="inlineStr">
        <is>
          <t>16</t>
        </is>
      </c>
      <c r="G413" t="inlineStr">
        <is>
          <t>0</t>
        </is>
      </c>
      <c r="H413" t="inlineStr">
        <is>
          <t>36²</t>
        </is>
      </c>
      <c r="I413" t="n">
        <v>2</v>
      </c>
      <c r="J413" t="inlineStr">
        <is>
          <t>4⁶, 12⁴</t>
        </is>
      </c>
      <c r="K413">
        <f>HYPERLINK("CSG0.html#group12F0", "12F⁰"), =HYPERLINK("CSG0.html#group18A0", "18A⁰"), =HYPERLINK("CSG1.html#group36A1", "36A¹")</f>
        <v/>
      </c>
      <c r="L413">
        <f>HYPERLINK("CSG5.html#group36M5", "36M⁵"), =HYPERLINK("CSG8.html#group72H8", "72H⁸"), =HYPERLINK("CSG8.html#group72I8", "72I⁸"), =HYPERLINK("CSG8.html#group72J8", "72J⁸"), =HYPERLINK("CSG8.html#group72K8", "72K⁸"), =HYPERLINK("CSG9.html#group36K9", "36K⁹"), =HYPERLINK("CSG10.html#group36T10", "36T¹⁰"), =HYPERLINK("CSG11.html#group36F11", "36F¹¹"), =HYPERLINK("CSG12.html#group36F12", "36F¹²"), =HYPERLINK("CSG12.html#group36G12", "36G¹²"), =HYPERLINK("CSG12.html#group36H12", "36H¹²"), =HYPERLINK("CSG15.html#group72Z15", "72Z¹⁵")</f>
        <v/>
      </c>
      <c r="M413">
        <f>HYPERLINK("CSG1.html#group36A1", "36A¹"), =HYPERLINK("CSG0.html#group12A0", "12A⁰"), =HYPERLINK("CSG0.html#group6B0", "6B⁰"), =HYPERLINK("CSG0.html#group4A0", "4A⁰"), =HYPERLINK("CSG0.html#group9A0", "9A⁰"), =HYPERLINK("CSG0.html#group12F0", "12F⁰"), =HYPERLINK("CSG0.html#group3A0", "3A⁰"), =HYPERLINK("CSG0.html#group1A0", "1A⁰"), =HYPERLINK("CSG0.html#group18A0", "18A⁰")</f>
        <v/>
      </c>
      <c r="N413">
        <f>HYPERLINK("CSG20.html#group144H20", "144H²⁰"), =HYPERLINK("CSG8.html#group72J8", "72J⁸"), =HYPERLINK("CSG11.html#group36F11", "36F¹¹"), =HYPERLINK("CSG15.html#group36P15", "36P¹⁵"), =HYPERLINK("CSG8.html#group72H8", "72H⁸"), =HYPERLINK("CSG20.html#group144F20", "144F²⁰"), =HYPERLINK("CSG12.html#group36H12", "36H¹²"), =HYPERLINK("CSG9.html#group36K9", "36K⁹"), =HYPERLINK("CSG21.html#group72S21", "72S²¹"), =HYPERLINK("CSG10.html#group36T10", "36T¹⁰"), =HYPERLINK("CSG15.html#group72Z15", "72Z¹⁵"), =HYPERLINK("CSG20.html#group144C20", "144C²⁰"), =HYPERLINK("CSG17.html#group72S17", "72S¹⁷"), =HYPERLINK("CSG8.html#group72K8", "72K⁸"), =HYPERLINK("CSG8.html#group72I8", "72I⁸"), =HYPERLINK("CSG20.html#group144D20", "144D²⁰"), =HYPERLINK("CSG23.html#group72H23", "72H²³"), =HYPERLINK("CSG21.html#group72Q21", "72Q²¹"), =HYPERLINK("CSG23.html#group72G23", "72G²³"), =HYPERLINK("CSG21.html#group36A21", "36A²¹"), =HYPERLINK("CSG20.html#group144E20", "144E²⁰"), =HYPERLINK("CSG21.html#group72P21", "72P²¹"), =HYPERLINK("CSG5.html#group36M5", "36M⁵"), =HYPERLINK("CSG12.html#group36G12", "36G¹²"), =HYPERLINK("CSG12.html#group36F12", "36F¹²"), =HYPERLINK("CSG19.html#group36K19", "36K¹⁹"), =HYPERLINK("CSG17.html#group72W17", "72W¹⁷"), =HYPERLINK("CSG20.html#group144G20", "144G²⁰")</f>
        <v/>
      </c>
    </row>
    <row r="414">
      <c r="A414" t="inlineStr">
        <is>
          <t>37A²</t>
        </is>
      </c>
      <c r="B414" t="inlineStr">
        <is>
          <t>Γ₀(37)</t>
        </is>
      </c>
      <c r="C414" t="inlineStr">
        <is>
          <t>38</t>
        </is>
      </c>
      <c r="D414" t="inlineStr">
        <is>
          <t>1</t>
        </is>
      </c>
      <c r="E414" t="inlineStr">
        <is>
          <t>38</t>
        </is>
      </c>
      <c r="F414" t="inlineStr">
        <is>
          <t>2</t>
        </is>
      </c>
      <c r="G414" t="inlineStr">
        <is>
          <t>2</t>
        </is>
      </c>
      <c r="H414" t="inlineStr">
        <is>
          <t>1¹, 37¹</t>
        </is>
      </c>
      <c r="I414" t="n">
        <v>2</v>
      </c>
      <c r="J414" t="inlineStr">
        <is>
          <t>1², 36¹</t>
        </is>
      </c>
      <c r="K414">
        <f>HYPERLINK("CSG0.html#group1A0", "1A⁰")</f>
        <v/>
      </c>
      <c r="L414">
        <f>HYPERLINK("CSG4.html#group37A4", "37A⁴"), =HYPERLINK("CSG4.html#group37B4", "37B⁴"), =HYPERLINK("CSG4.html#group74A4", "74A⁴"), =HYPERLINK("CSG5.html#group74A5", "74A⁵"), =HYPERLINK("CSG8.html#group74A8", "74A⁸"), =HYPERLINK("CSG8.html#group111A8", "111A⁸"), =HYPERLINK("CSG8.html#group111B8", "111B⁸"), =HYPERLINK("CSG11.html#group111A11", "111A¹¹"), =HYPERLINK("CSG11.html#group148A11", "148A¹¹"), =HYPERLINK("CSG14.html#group185A14", "185A¹⁴"), =HYPERLINK("CSG17.html#group185A17", "185A¹⁷"), =HYPERLINK("CSG20.html#group259A20", "259A²⁰"), =HYPERLINK("CSG23.html#group259A23", "259A²³")</f>
        <v/>
      </c>
      <c r="M414">
        <f>HYPERLINK("CSG0.html#group1A0", "1A⁰")</f>
        <v/>
      </c>
      <c r="N414">
        <f>HYPERLINK("CSG18.html#group111B18", "111B¹⁸"), =HYPERLINK("CSG16.html#group222B16", "222B¹⁶"), =HYPERLINK("CSG19.html#group222A19", "222A¹⁹"), =HYPERLINK("CSG11.html#group148A11", "148A¹¹"), =HYPERLINK("CSG16.html#group222A16", "222A¹⁶"), =HYPERLINK("CSG16.html#group74B16", "74B¹⁶"), =HYPERLINK("CSG5.html#group74A5", "74A⁵"), =HYPERLINK("CSG17.html#group148B17", "148B¹⁷"), =HYPERLINK("CSG4.html#group37B4", "37B⁴"), =HYPERLINK("CSG21.html#group148A21", "148A²¹"), =HYPERLINK("CSG16.html#group37A16", "37A¹⁶"), =HYPERLINK("CSG22.html#group74A22", "74A²²"), =HYPERLINK("CSG22.html#group111A22", "111A²²"), =HYPERLINK("CSG17.html#group74A17", "74A¹⁷"), =HYPERLINK("CSG23.html#group222B23", "222B²³"), =HYPERLINK("CSG17.html#group222A17", "222A¹⁷"), =HYPERLINK("CSG18.html#group148A18", "148A¹⁸"), =HYPERLINK("CSG17.html#group74B17", "74B¹⁷"), =HYPERLINK("CSG13.html#group74A13", "74A¹³"), =HYPERLINK("CSG21.html#group111A21", "111A²¹"), =HYPERLINK("CSG23.html#group222A23", "222A²³"), =HYPERLINK("CSG8.html#group111B8", "111B⁸"), =HYPERLINK("CSG23.html#group296B23", "296B²³"), =HYPERLINK("CSG18.html#group222A18", "222A¹⁸"), =HYPERLINK("CSG16.html#group148A16", "148A¹⁶"), =HYPERLINK("CSG4.html#group74A4", "74A⁴"), =HYPERLINK("CSG10.html#group37A10", "37A¹⁰"), =HYPERLINK("CSG11.html#group111A11", "111A¹¹"), =HYPERLINK("CSG10.html#group74A10", "74A¹⁰"), =HYPERLINK("CSG17.html#group148A17", "148A¹⁷"), =HYPERLINK("CSG17.html#group222C17", "222C¹⁷"), =HYPERLINK("CSG17.html#group111A17", "111A¹⁷"), =HYPERLINK("CSG23.html#group259A23", "259A²³"), =HYPERLINK("CSG19.html#group222B19", "222B¹⁹"), =HYPERLINK("CSG19.html#group111A19", "111A¹⁹"), =HYPERLINK("CSG17.html#group222B17", "222B¹⁷"), =HYPERLINK("CSG23.html#group148A23", "148A²³"), =HYPERLINK("CSG4.html#group37A4", "37A⁴"), =HYPERLINK("CSG17.html#group185A17", "185A¹⁷"), =HYPERLINK("CSG20.html#group259A20", "259A²⁰"), =HYPERLINK("CSG9.html#group74A9", "74A⁹"), =HYPERLINK("CSG18.html#group111A18", "111A¹⁸"), =HYPERLINK("CSG19.html#group148A19", "148A¹⁹"), =HYPERLINK("CSG9.html#group148A9", "148A⁹"), =HYPERLINK("CSG23.html#group296A23", "296A²³"), =HYPERLINK("CSG8.html#group111A8", "111A⁸"), =HYPERLINK("CSG23.html#group148B23", "148B²³"), =HYPERLINK("CSG8.html#group74A8", "74A⁸"), =HYPERLINK("CSG16.html#group74A16", "74A¹⁶"), =HYPERLINK("CSG16.html#group111A16", "111A¹⁶"), =HYPERLINK("CSG14.html#group185A14", "185A¹⁴")</f>
        <v/>
      </c>
    </row>
    <row r="415">
      <c r="A415" t="inlineStr">
        <is>
          <t>38A²</t>
        </is>
      </c>
      <c r="B415" t="inlineStr"/>
      <c r="C415" t="inlineStr">
        <is>
          <t>40</t>
        </is>
      </c>
      <c r="D415" t="inlineStr">
        <is>
          <t>1</t>
        </is>
      </c>
      <c r="E415" t="inlineStr">
        <is>
          <t>20</t>
        </is>
      </c>
      <c r="F415" t="inlineStr">
        <is>
          <t>0</t>
        </is>
      </c>
      <c r="G415" t="inlineStr">
        <is>
          <t>4</t>
        </is>
      </c>
      <c r="H415" t="inlineStr">
        <is>
          <t>2¹, 38¹</t>
        </is>
      </c>
      <c r="I415" t="n">
        <v>2</v>
      </c>
      <c r="J415" t="inlineStr">
        <is>
          <t>1², 18¹</t>
        </is>
      </c>
      <c r="K415">
        <f>HYPERLINK("CSG0.html#group2A0", "2A⁰"), =HYPERLINK("CSG1.html#group19A1", "19A¹")</f>
        <v/>
      </c>
      <c r="L415">
        <f>HYPERLINK("CSG4.html#group38B4", "38B⁴"), =HYPERLINK("CSG4.html#group76A4", "76A⁴"), =HYPERLINK("CSG8.html#group38A8", "38A⁸"), =HYPERLINK("CSG8.html#group38B8", "38B⁸"), =HYPERLINK("CSG8.html#group114A8", "114A⁸"), =HYPERLINK("CSG8.html#group114B8", "114B⁸"), =HYPERLINK("CSG10.html#group114A10", "114A¹⁰"), =HYPERLINK("CSG10.html#group114C10", "114C¹⁰"), =HYPERLINK("CSG11.html#group76A11", "76A¹¹"), =HYPERLINK("CSG11.html#group114B11", "114B¹¹"), =HYPERLINK("CSG14.html#group190A14", "190A¹⁴"), =HYPERLINK("CSG19.html#group190B19", "190B¹⁹"), =HYPERLINK("CSG22.html#group266B22", "266B²²"), =HYPERLINK("CSG23.html#group266B23", "266B²³")</f>
        <v/>
      </c>
      <c r="M415">
        <f>HYPERLINK("CSG0.html#group2A0", "2A⁰"), =HYPERLINK("CSG0.html#group1A0", "1A⁰"), =HYPERLINK("CSG1.html#group19A1", "19A¹")</f>
        <v/>
      </c>
      <c r="N415">
        <f>HYPERLINK("CSG21.html#group76A21", "76A²¹"), =HYPERLINK("CSG23.html#group228B23", "228B²³"), =HYPERLINK("CSG22.html#group38B22", "38B²²"), =HYPERLINK("CSG22.html#group114A22", "114A²²"), =HYPERLINK("CSG22.html#group266B22", "266B²²"), =HYPERLINK("CSG4.html#group38B4", "38B⁴"), =HYPERLINK("CSG21.html#group114A21", "114A²¹"), =HYPERLINK("CSG19.html#group114B19", "114B¹⁹"), =HYPERLINK("CSG14.html#group190A14", "190A¹⁴"), =HYPERLINK("CSG17.html#group76A17", "76A¹⁷"), =HYPERLINK("CSG8.html#group114A8", "114A⁸"), =HYPERLINK("CSG20.html#group228A20", "228A²⁰"), =HYPERLINK("CSG10.html#group114A10", "114A¹⁰"), =HYPERLINK("CSG23.html#group266B23", "266B²³"), =HYPERLINK("CSG20.html#group228B20", "228B²⁰"), =HYPERLINK("CSG10.html#group76A10", "76A¹⁰"), =HYPERLINK("CSG16.html#group38A16", "38A¹⁶"), =HYPERLINK("CSG8.html#group38B8", "38B⁸"), =HYPERLINK("CSG8.html#group114B8", "114B⁸"), =HYPERLINK("CSG22.html#group114B22", "114B²²"), =HYPERLINK("CSG11.html#group76A11", "76A¹¹"), =HYPERLINK("CSG22.html#group38C22", "38C²²"), =HYPERLINK("CSG20.html#group228D20", "228D²⁰"), =HYPERLINK("CSG18.html#group76A18", "76A¹⁸"), =HYPERLINK("CSG4.html#group76A4", "76A⁴"), =HYPERLINK("CSG11.html#group114B11", "114B¹¹"), =HYPERLINK("CSG19.html#group190B19", "190B¹⁹"), =HYPERLINK("CSG23.html#group152B23", "152B²³"), =HYPERLINK("CSG8.html#group38A8", "38A⁸"), =HYPERLINK("CSG10.html#group114C10", "114C¹⁰"), =HYPERLINK("CSG16.html#group228B16", "228B¹⁶"), =HYPERLINK("CSG23.html#group228A23", "228A²³"), =HYPERLINK("CSG16.html#group228A16", "228A¹⁶"), =HYPERLINK("CSG16.html#group76A16", "76A¹⁶"), =HYPERLINK("CSG18.html#group76B18", "76B¹⁸"), =HYPERLINK("CSG23.html#group152A23", "152A²³")</f>
        <v/>
      </c>
    </row>
    <row r="416">
      <c r="A416" t="inlineStr">
        <is>
          <t>39A²</t>
        </is>
      </c>
      <c r="B416" t="inlineStr"/>
      <c r="C416" t="inlineStr">
        <is>
          <t>42</t>
        </is>
      </c>
      <c r="D416" t="inlineStr">
        <is>
          <t>1</t>
        </is>
      </c>
      <c r="E416" t="inlineStr">
        <is>
          <t>14</t>
        </is>
      </c>
      <c r="F416" t="inlineStr">
        <is>
          <t>6</t>
        </is>
      </c>
      <c r="G416" t="inlineStr">
        <is>
          <t>0</t>
        </is>
      </c>
      <c r="H416" t="inlineStr">
        <is>
          <t>3¹, 39¹</t>
        </is>
      </c>
      <c r="I416" t="n">
        <v>2</v>
      </c>
      <c r="J416" t="inlineStr">
        <is>
          <t>1², 12¹</t>
        </is>
      </c>
      <c r="K416">
        <f>HYPERLINK("CSG0.html#group3A0", "3A⁰"), =HYPERLINK("CSG0.html#group13A0", "13A⁰")</f>
        <v/>
      </c>
      <c r="L416">
        <f>HYPERLINK("CSG4.html#group39A4", "39A⁴"), =HYPERLINK("CSG4.html#group39C4", "39C⁴"), =HYPERLINK("CSG4.html#group78A4", "78A⁴"), =HYPERLINK("CSG5.html#group39A5", "39A⁵"), =HYPERLINK("CSG5.html#group78B5", "78B⁵"), =HYPERLINK("CSG6.html#group39A6", "39A⁶"), =HYPERLINK("CSG6.html#group78A6", "78A⁶"), =HYPERLINK("CSG7.html#group78A7", "78A⁷"), =HYPERLINK("CSG8.html#group78A8", "78A⁸"), =HYPERLINK("CSG8.html#group117A8", "117A⁸"), =HYPERLINK("CSG11.html#group156A11", "156A¹¹"), =HYPERLINK("CSG16.html#group195A16", "195A¹⁶"), =HYPERLINK("CSG17.html#group195A17", "195A¹⁷"), =HYPERLINK("CSG20.html#group273A20", "273A²⁰")</f>
        <v/>
      </c>
      <c r="M416">
        <f>HYPERLINK("CSG0.html#group3A0", "3A⁰"), =HYPERLINK("CSG0.html#group13A0", "13A⁰"), =HYPERLINK("CSG0.html#group1A0", "1A⁰")</f>
        <v/>
      </c>
      <c r="N416">
        <f>HYPERLINK("CSG13.html#group78B13", "78B¹³"), =HYPERLINK("CSG18.html#group78A18", "78A¹⁸"), =HYPERLINK("CSG9.html#group39A9", "39A⁹"), =HYPERLINK("CSG13.html#group78D13", "78D¹³"), =HYPERLINK("CSG18.html#group156B18", "156B¹⁸"), =HYPERLINK("CSG16.html#group234A16", "234A¹⁶"), =HYPERLINK("CSG17.html#group78B17", "78B¹⁷"), =HYPERLINK("CSG20.html#group273A20", "273A²⁰"), =HYPERLINK("CSG19.html#group117A19", "117A¹⁹"), =HYPERLINK("CSG17.html#group117B17", "117B¹⁷"), =HYPERLINK("CSG21.html#group156A21", "156A²¹"), =HYPERLINK("CSG23.html#group156B23", "156B²³"), =HYPERLINK("CSG18.html#group78B18", "78B¹⁸"), =HYPERLINK("CSG4.html#group39C4", "39C⁴"), =HYPERLINK("CSG16.html#group117A16", "117A¹⁶"), =HYPERLINK("CSG16.html#group78A16", "78A¹⁶"), =HYPERLINK("CSG11.html#group39A11", "39A¹¹"), =HYPERLINK("CSG23.html#group156H23", "156H²³"), =HYPERLINK("CSG13.html#group78E13", "78E¹³"), =HYPERLINK("CSG19.html#group78B19", "78B¹⁹"), =HYPERLINK("CSG22.html#group78A22", "78A²²"), =HYPERLINK("CSG7.html#group78A7", "78A⁷"), =HYPERLINK("CSG13.html#group39B13", "39B¹³"), =HYPERLINK("CSG9.html#group78B9", "78B⁹"), =HYPERLINK("CSG11.html#group156C11", "156C¹¹"), =HYPERLINK("CSG17.html#group78A17", "78A¹⁷"), =HYPERLINK("CSG16.html#group78B16", "78B¹⁶"), =HYPERLINK("CSG17.html#group117A17", "117A¹⁷"), =HYPERLINK("CSG10.html#group39B10", "39B¹⁰"), =HYPERLINK("CSG17.html#group156C17", "156C¹⁷"), =HYPERLINK("CSG4.html#group78A4", "78A⁴"), =HYPERLINK("CSG21.html#group39B21", "39B²¹"), =HYPERLINK("CSG5.html#group78B5", "78B⁵"), =HYPERLINK("CSG20.html#group156A20", "156A²⁰"), =HYPERLINK("CSG11.html#group156B11", "156B¹¹"), =HYPERLINK("CSG6.html#group39A6", "39A⁶"), =HYPERLINK("CSG19.html#group78D19", "78D¹⁹"), =HYPERLINK("CSG17.html#group234A17", "234A¹⁷"), =HYPERLINK("CSG8.html#group78A8", "78A⁸"), =HYPERLINK("CSG11.html#group78A11", "78A¹¹"), =HYPERLINK("CSG16.html#group78C16", "78C¹⁶"), =HYPERLINK("CSG19.html#group39A19", "39A¹⁹"), =HYPERLINK("CSG23.html#group78D23", "78D²³"), =HYPERLINK("CSG5.html#group39A5", "39A⁵"), =HYPERLINK("CSG10.html#group78A10", "78A¹⁰"), =HYPERLINK("CSG20.html#group234A20", "234A²⁰"), =HYPERLINK("CSG17.html#group117C17", "117C¹⁷"), =HYPERLINK("CSG16.html#group39A16", "39A¹⁶"), =HYPERLINK("CSG19.html#group156B19", "156B¹⁹"), =HYPERLINK("CSG23.html#group156E23", "156E²³"), =HYPERLINK("CSG19.html#group156A19", "156A¹⁹"), =HYPERLINK("CSG13.html#group78A13", "78A¹³"), =HYPERLINK("CSG18.html#group234A18", "234A¹⁸"), =HYPERLINK("CSG17.html#group156B17", "156B¹⁷"), =HYPERLINK("CSG22.html#group117A22", "117A²²"), =HYPERLINK("CSG16.html#group195A16", "195A¹⁶"), =HYPERLINK("CSG13.html#group78C13", "78C¹³"), =HYPERLINK("CSG11.html#group78E11", "78E¹¹"), =HYPERLINK("CSG17.html#group195A17", "195A¹⁷"), =HYPERLINK("CSG19.html#group234B19", "234B¹⁹"), =HYPERLINK("CSG18.html#group117A18", "117A¹⁸"), =HYPERLINK("CSG8.html#group117A8", "117A⁸"), =HYPERLINK("CSG11.html#group156A11", "156A¹¹"), =HYPERLINK("CSG19.html#group234A19", "234A¹⁹"), =HYPERLINK("CSG21.html#group234A21", "234A²¹"), =HYPERLINK("CSG19.html#group78A19", "78A¹⁹"), =HYPERLINK("CSG16.html#group156A16", "156A¹⁶"), =HYPERLINK("CSG23.html#group156F23", "156F²³"), =HYPERLINK("CSG21.html#group78A21", "78A²¹"), =HYPERLINK("CSG11.html#group78B11", "78B¹¹"), =HYPERLINK("CSG13.html#group78H13", "78H¹³"), =HYPERLINK("CSG23.html#group156A23", "156A²³"), =HYPERLINK("CSG18.html#group156A18", "156A¹⁸"), =HYPERLINK("CSG11.html#group39B11", "39B¹¹"), =HYPERLINK("CSG4.html#group39A4", "39A⁴"), =HYPERLINK("CSG6.html#group78A6", "78A⁶"), =HYPERLINK("CSG20.html#group117A20", "117A²⁰")</f>
        <v/>
      </c>
    </row>
    <row r="417">
      <c r="A417" t="inlineStr">
        <is>
          <t>40A²</t>
        </is>
      </c>
      <c r="B417" t="inlineStr"/>
      <c r="C417" t="inlineStr">
        <is>
          <t>40</t>
        </is>
      </c>
      <c r="D417" t="inlineStr">
        <is>
          <t>2</t>
        </is>
      </c>
      <c r="E417" t="inlineStr">
        <is>
          <t>20</t>
        </is>
      </c>
      <c r="F417" t="inlineStr">
        <is>
          <t>2</t>
        </is>
      </c>
      <c r="G417" t="inlineStr">
        <is>
          <t>4</t>
        </is>
      </c>
      <c r="H417" t="inlineStr">
        <is>
          <t>40¹</t>
        </is>
      </c>
      <c r="I417" t="n">
        <v>1</v>
      </c>
      <c r="J417" t="inlineStr">
        <is>
          <t>4², 16²</t>
        </is>
      </c>
      <c r="K417">
        <f>HYPERLINK("CSG0.html#group8A0", "8A⁰"), =HYPERLINK("CSG1.html#group20A1", "20A¹")</f>
        <v/>
      </c>
      <c r="L417">
        <f>HYPERLINK("CSG4.html#group40D4", "40D⁴"), =HYPERLINK("CSG4.html#group80A4", "80A⁴"), =HYPERLINK("CSG7.html#group120A7", "120A⁷"), =HYPERLINK("CSG7.html#group120B7", "120B⁷"), =HYPERLINK("CSG8.html#group40G8", "40G⁸"), =HYPERLINK("CSG9.html#group40E9", "40E⁹"), =HYPERLINK("CSG9.html#group120A9", "120A⁹"), =HYPERLINK("CSG10.html#group40B10", "40B¹⁰"), =HYPERLINK("CSG11.html#group40D11", "40D¹¹"), =HYPERLINK("CSG12.html#group120A12", "120A¹²"), =HYPERLINK("CSG21.html#group280C21", "280C²¹"), =HYPERLINK("CSG21.html#group280D21", "280D²¹"), =HYPERLINK("CSG24.html#group280A24", "280A²⁴")</f>
        <v/>
      </c>
      <c r="M417">
        <f>HYPERLINK("CSG0.html#group8A0", "8A⁰"), =HYPERLINK("CSG1.html#group20A1", "20A¹"), =HYPERLINK("CSG0.html#group5A0", "5A⁰"), =HYPERLINK("CSG0.html#group1A0", "1A⁰"), =HYPERLINK("CSG0.html#group4A0", "4A⁰")</f>
        <v/>
      </c>
      <c r="N417">
        <f>HYPERLINK("CSG9.html#group120A9", "120A⁹"), =HYPERLINK("CSG4.html#group40D4", "40D⁴"), =HYPERLINK("CSG4.html#group80A4", "80A⁴"), =HYPERLINK("CSG8.html#group40G8", "40G⁸"), =HYPERLINK("CSG11.html#group40D11", "40D¹¹"), =HYPERLINK("CSG19.html#group80K19", "80K¹⁹"), =HYPERLINK("CSG21.html#group280C21", "280C²¹"), =HYPERLINK("CSG21.html#group40C21", "40C²¹"), =HYPERLINK("CSG23.html#group80E23", "80E²³"), =HYPERLINK("CSG18.html#group80D18", "80D¹⁸"), =HYPERLINK("CSG18.html#group40C18", "40C¹⁸"), =HYPERLINK("CSG18.html#group40B18", "40B¹⁸"), =HYPERLINK("CSG17.html#group40S17", "40S¹⁷"), =HYPERLINK("CSG19.html#group120D19", "120D¹⁹"), =HYPERLINK("CSG19.html#group240A19", "240A¹⁹"), =HYPERLINK("CSG18.html#group80F18", "80F¹⁸"), =HYPERLINK("CSG9.html#group40E9", "40E⁹"), =HYPERLINK("CSG21.html#group280D21", "280D²¹"), =HYPERLINK("CSG22.html#group80A22", "80A²²"), =HYPERLINK("CSG21.html#group40B21", "40B²¹"), =HYPERLINK("CSG7.html#group120A7", "120A⁷"), =HYPERLINK("CSG20.html#group120A20", "120A²⁰"), =HYPERLINK("CSG23.html#group120L23", "120L²³"), =HYPERLINK("CSG8.html#group80E8", "80E⁸"), =HYPERLINK("CSG19.html#group240B19", "240B¹⁹"), =HYPERLINK("CSG10.html#group40B10", "40B¹⁰"), =HYPERLINK("CSG18.html#group120E18", "120E¹⁸"), =HYPERLINK("CSG16.html#group120A16", "120A¹⁶"), =HYPERLINK("CSG24.html#group240A24", "240A²⁴"), =HYPERLINK("CSG15.html#group240B15", "240B¹⁵"), =HYPERLINK("CSG12.html#group120A12", "120A¹²"), =HYPERLINK("CSG7.html#group120B7", "120B⁷"), =HYPERLINK("CSG15.html#group240A15", "240A¹⁵"), =HYPERLINK("CSG24.html#group280A24", "280A²⁴"), =HYPERLINK("CSG16.html#group120D16", "120D¹⁶"), =HYPERLINK("CSG18.html#group120F18", "120F¹⁸"), =HYPERLINK("CSG17.html#group40N17", "40N¹⁷"), =HYPERLINK("CSG14.html#group40A14", "40A¹⁴"), =HYPERLINK("CSG16.html#group40E16", "40E¹⁶"), =HYPERLINK("CSG18.html#group40A18", "40A¹⁸")</f>
        <v/>
      </c>
    </row>
    <row r="418">
      <c r="A418" t="inlineStr">
        <is>
          <t>42A²</t>
        </is>
      </c>
      <c r="B418" t="inlineStr"/>
      <c r="C418" t="inlineStr">
        <is>
          <t>42</t>
        </is>
      </c>
      <c r="D418" t="inlineStr">
        <is>
          <t>2</t>
        </is>
      </c>
      <c r="E418" t="inlineStr">
        <is>
          <t>21</t>
        </is>
      </c>
      <c r="F418" t="inlineStr">
        <is>
          <t>8</t>
        </is>
      </c>
      <c r="G418" t="inlineStr">
        <is>
          <t>0</t>
        </is>
      </c>
      <c r="H418" t="inlineStr">
        <is>
          <t>42¹</t>
        </is>
      </c>
      <c r="I418" t="n">
        <v>1</v>
      </c>
      <c r="J418" t="inlineStr">
        <is>
          <t>2¹, 4¹, 6², 12²</t>
        </is>
      </c>
      <c r="K418">
        <f>HYPERLINK("CSG0.html#group21A0", "21A⁰")</f>
        <v/>
      </c>
      <c r="L418">
        <f>HYPERLINK("CSG4.html#group42G4", "42G⁴"), =HYPERLINK("CSG4.html#group42H4", "42H⁴"), =HYPERLINK("CSG5.html#group42E5", "42E⁵"), =HYPERLINK("CSG5.html#group42F5", "42F⁵"), =HYPERLINK("CSG6.html#group42A6", "42A⁶"), =HYPERLINK("CSG6.html#group42D6", "42D⁶"), =HYPERLINK("CSG7.html#group42B7", "42B⁷"), =HYPERLINK("CSG7.html#group126A7", "126A⁷"), =HYPERLINK("CSG8.html#group42D8", "42D⁸"), =HYPERLINK("CSG8.html#group126B8", "126B⁸"), =HYPERLINK("CSG8.html#group126C8", "126C⁸"), =HYPERLINK("CSG10.html#group84F10", "84F¹⁰"), =HYPERLINK("CSG11.html#group42A11", "42A¹¹"), =HYPERLINK("CSG16.html#group210D16", "210D¹⁶"), =HYPERLINK("CSG17.html#group210E17", "210E¹⁷")</f>
        <v/>
      </c>
      <c r="M418">
        <f>HYPERLINK("CSG0.html#group3A0", "3A⁰"), =HYPERLINK("CSG0.html#group21A0", "21A⁰"), =HYPERLINK("CSG0.html#group1A0", "1A⁰"), =HYPERLINK("CSG0.html#group7A0", "7A⁰")</f>
        <v/>
      </c>
      <c r="N418">
        <f>HYPERLINK("CSG5.html#group42F5", "42F⁵"), =HYPERLINK("CSG17.html#group84K17", "84K¹⁷"), =HYPERLINK("CSG16.html#group126D16", "126D¹⁶"), =HYPERLINK("CSG24.html#group168H24", "168H²⁴"), =HYPERLINK("CSG16.html#group84F16", "84F¹⁶"), =HYPERLINK("CSG24.html#group126D24", "126D²⁴"), =HYPERLINK("CSG17.html#group42F17", "42F¹⁷"), =HYPERLINK("CSG16.html#group126C16", "126C¹⁶"), =HYPERLINK("CSG24.html#group42D24", "42D²⁴"), =HYPERLINK("CSG14.html#group42E14", "42E¹⁴"), =HYPERLINK("CSG19.html#group84I19", "84I¹⁹"), =HYPERLINK("CSG19.html#group84H19", "84H¹⁹"), =HYPERLINK("CSG14.html#group42F14", "42F¹⁴"), =HYPERLINK("CSG16.html#group42H16", "42H¹⁶"), =HYPERLINK("CSG24.html#group168F24", "168F²⁴"), =HYPERLINK("CSG19.html#group126E19", "126E¹⁹"), =HYPERLINK("CSG24.html#group168I24", "168I²⁴"), =HYPERLINK("CSG16.html#group42I16", "42I¹⁶"), =HYPERLINK("CSG15.html#group126F15", "126F¹⁵"), =HYPERLINK("CSG23.html#group84E23", "84E²³"), =HYPERLINK("CSG17.html#group42H17", "42H¹⁷"), =HYPERLINK("CSG17.html#group126C17", "126C¹⁷"), =HYPERLINK("CSG18.html#group126A18", "126A¹⁸"), =HYPERLINK("CSG13.html#group42D13", "42D¹³"), =HYPERLINK("CSG24.html#group126E24", "126E²⁴"), =HYPERLINK("CSG24.html#group168E24", "168E²⁴"), =HYPERLINK("CSG21.html#group126F21", "126F²¹"), =HYPERLINK("CSG6.html#group42D6", "42D⁶"), =HYPERLINK("CSG17.html#group42A17", "42A¹⁷"), =HYPERLINK("CSG16.html#group126B16", "126B¹⁶"), =HYPERLINK("CSG23.html#group84D23", "84D²³"), =HYPERLINK("CSG24.html#group168J24", "168J²⁴"), =HYPERLINK("CSG24.html#group168D24", "168D²⁴"), =HYPERLINK("CSG17.html#group42E17", "42E¹⁷"), =HYPERLINK("CSG11.html#group42A11", "42A¹¹"), =HYPERLINK("CSG8.html#group126C8", "126C⁸"), =HYPERLINK("CSG11.html#group42B11", "42B¹¹"), =HYPERLINK("CSG17.html#group42G17", "42G¹⁷"), =HYPERLINK("CSG17.html#group84L17", "84L¹⁷"), =HYPERLINK("CSG21.html#group42E21", "42E²¹"), =HYPERLINK("CSG15.html#group42E15", "42E¹⁵"), =HYPERLINK("CSG4.html#group42G4", "42G⁴"), =HYPERLINK("CSG18.html#group126H18", "126H¹⁸"), =HYPERLINK("CSG16.html#group42F16", "42F¹⁶"), =HYPERLINK("CSG21.html#group126I21", "126I²¹"), =HYPERLINK("CSG24.html#group168G24", "168G²⁴"), =HYPERLINK("CSG21.html#group126E21", "126E²¹"), =HYPERLINK("CSG18.html#group84F18", "84F¹⁸"), =HYPERLINK("CSG14.html#group126E14", "126E¹⁴"), =HYPERLINK("CSG7.html#group126A7", "126A⁷"), =HYPERLINK("CSG21.html#group126D21", "126D²¹"), =HYPERLINK("CSG18.html#group126C18", "126C¹⁸"), =HYPERLINK("CSG16.html#group42G16", "42G¹⁶"), =HYPERLINK("CSG4.html#group42H4", "42H⁴"), =HYPERLINK("CSG13.html#group42B13", "42B¹³"), =HYPERLINK("CSG19.html#group42M19", "42M¹⁹"), =HYPERLINK("CSG18.html#group126B18", "126B¹⁸"), =HYPERLINK("CSG16.html#group210D16", "210D¹⁶"), =HYPERLINK("CSG24.html#group168C24", "168C²⁴"), =HYPERLINK("CSG7.html#group42B7", "42B⁷"), =HYPERLINK("CSG21.html#group84P21", "84P²¹"), =HYPERLINK("CSG19.html#group126D19", "126D¹⁹"), =HYPERLINK("CSG6.html#group42A6", "42A⁶"), =HYPERLINK("CSG13.html#group42I13", "42I¹³"), =HYPERLINK("CSG5.html#group42E5", "42E⁵"), =HYPERLINK("CSG21.html#group84O21", "84O²¹"), =HYPERLINK("CSG19.html#group126C19", "126C¹⁹"), =HYPERLINK("CSG20.html#group84E20", "84E²⁰"), =HYPERLINK("CSG19.html#group42K19", "42K¹⁹"), =HYPERLINK("CSG14.html#group42B14", "42B¹⁴"), =HYPERLINK("CSG8.html#group42D8", "42D⁸"), =HYPERLINK("CSG16.html#group126A16", "126A¹⁶"), =HYPERLINK("CSG18.html#group126G18", "126G¹⁸"), =HYPERLINK("CSG19.html#group126A19", "126A¹⁹"), =HYPERLINK("CSG18.html#group84E18", "84E¹⁸"), =HYPERLINK("CSG15.html#group42F15", "42F¹⁵"), =HYPERLINK("CSG17.html#group126D17", "126D¹⁷"), =HYPERLINK("CSG20.html#group126B20", "126B²⁰"), =HYPERLINK("CSG16.html#group42D16", "42D¹⁶"), =HYPERLINK("CSG21.html#group42B21", "42B²¹"), =HYPERLINK("CSG14.html#group42C14", "42C¹⁴"), =HYPERLINK("CSG13.html#group42E13", "42E¹³"), =HYPERLINK("CSG17.html#group210E17", "210E¹⁷"), =HYPERLINK("CSG18.html#group42C18", "42C¹⁸"), =HYPERLINK("CSG14.html#group126F14", "126F¹⁴"), =HYPERLINK("CSG13.html#group42K13", "42K¹³"), =HYPERLINK("CSG10.html#group84F10", "84F¹⁰"), =HYPERLINK("CSG18.html#group126I18", "126I¹⁸"), =HYPERLINK("CSG23.html#group84A23", "84A²³"), =HYPERLINK("CSG9.html#group42C9", "42C⁹"), =HYPERLINK("CSG19.html#group126B19", "126B¹⁹"), =HYPERLINK("CSG20.html#group126A20", "126A²⁰"), =HYPERLINK("CSG8.html#group126B8", "126B⁸")</f>
        <v/>
      </c>
    </row>
    <row r="419">
      <c r="A419" t="inlineStr">
        <is>
          <t>42B²</t>
        </is>
      </c>
      <c r="B419" t="inlineStr"/>
      <c r="C419" t="inlineStr">
        <is>
          <t>48</t>
        </is>
      </c>
      <c r="D419" t="inlineStr">
        <is>
          <t>1</t>
        </is>
      </c>
      <c r="E419" t="inlineStr">
        <is>
          <t>16</t>
        </is>
      </c>
      <c r="F419" t="inlineStr">
        <is>
          <t>0</t>
        </is>
      </c>
      <c r="G419" t="inlineStr">
        <is>
          <t>6</t>
        </is>
      </c>
      <c r="H419" t="inlineStr">
        <is>
          <t>6¹, 42¹</t>
        </is>
      </c>
      <c r="I419" t="n">
        <v>2</v>
      </c>
      <c r="J419" t="inlineStr">
        <is>
          <t>2², 12¹</t>
        </is>
      </c>
      <c r="K419">
        <f>HYPERLINK("CSG0.html#group6A0", "6A⁰"), =HYPERLINK("CSG0.html#group14B0", "14B⁰")</f>
        <v/>
      </c>
      <c r="L419">
        <f>HYPERLINK("CSG4.html#group84A4", "84A⁴"), =HYPERLINK("CSG7.html#group42M7", "42M⁷"), =HYPERLINK("CSG10.html#group42E10", "42E¹⁰"), =HYPERLINK("CSG10.html#group42F10", "42F¹⁰"), =HYPERLINK("CSG11.html#group42H11", "42H¹¹"), =HYPERLINK("CSG13.html#group84E13", "84E¹³"), =HYPERLINK("CSG13.html#group84H13", "84H¹³"), =HYPERLINK("CSG16.html#group210E16", "210E¹⁶"), =HYPERLINK("CSG23.html#group42A23", "42A²³"), =HYPERLINK("CSG23.html#group210C23", "210C²³"), =HYPERLINK("CSG23.html#group294A23", "294A²³")</f>
        <v/>
      </c>
      <c r="M419">
        <f>HYPERLINK("CSG0.html#group2A0", "2A⁰"), =HYPERLINK("CSG0.html#group6A0", "6A⁰"), =HYPERLINK("CSG0.html#group1A0", "1A⁰"), =HYPERLINK("CSG0.html#group7B0", "7B⁰"), =HYPERLINK("CSG0.html#group14B0", "14B⁰")</f>
        <v/>
      </c>
      <c r="N419">
        <f>HYPERLINK("CSG16.html#group210E16", "210E¹⁶"), =HYPERLINK("CSG11.html#group42H11", "42H¹¹"), =HYPERLINK("CSG22.html#group84A22", "84A²²"), =HYPERLINK("CSG23.html#group210C23", "210C²³"), =HYPERLINK("CSG16.html#group84K16", "84K¹⁶"), =HYPERLINK("CSG21.html#group84A21", "84A²¹"), =HYPERLINK("CSG7.html#group42M7", "42M⁷"), =HYPERLINK("CSG23.html#group294A23", "294A²³"), =HYPERLINK("CSG19.html#group42P19", "42P¹⁹"), =HYPERLINK("CSG10.html#group42E10", "42E¹⁰"), =HYPERLINK("CSG4.html#group84A4", "84A⁴"), =HYPERLINK("CSG21.html#group42I21", "42I²¹"), =HYPERLINK("CSG20.html#group84I20", "84I²⁰"), =HYPERLINK("CSG23.html#group42A23", "42A²³"), =HYPERLINK("CSG20.html#group84K20", "84K²⁰"), =HYPERLINK("CSG21.html#group84F21", "84F²¹"), =HYPERLINK("CSG13.html#group84H13", "84H¹³"), =HYPERLINK("CSG10.html#group42F10", "42F¹⁰"), =HYPERLINK("CSG22.html#group84C22", "84C²²"), =HYPERLINK("CSG13.html#group84E13", "84E¹³"), =HYPERLINK("CSG22.html#group84F22", "84F²²")</f>
        <v/>
      </c>
    </row>
    <row r="420">
      <c r="A420" t="inlineStr">
        <is>
          <t>42C²</t>
        </is>
      </c>
      <c r="B420" t="inlineStr"/>
      <c r="C420" t="inlineStr">
        <is>
          <t>48</t>
        </is>
      </c>
      <c r="D420" t="inlineStr">
        <is>
          <t>2</t>
        </is>
      </c>
      <c r="E420" t="inlineStr">
        <is>
          <t>8</t>
        </is>
      </c>
      <c r="F420" t="inlineStr">
        <is>
          <t>0</t>
        </is>
      </c>
      <c r="G420" t="inlineStr">
        <is>
          <t>6</t>
        </is>
      </c>
      <c r="H420" t="inlineStr">
        <is>
          <t>6¹, 42¹</t>
        </is>
      </c>
      <c r="I420" t="n">
        <v>2</v>
      </c>
      <c r="J420" t="inlineStr">
        <is>
          <t>2², 12¹</t>
        </is>
      </c>
      <c r="K420">
        <f>HYPERLINK("CSG0.html#group14B0", "14B⁰"), =HYPERLINK("CSG1.html#group21A1", "21A¹")</f>
        <v/>
      </c>
      <c r="L420">
        <f>HYPERLINK("CSG4.html#group84B4", "84B⁴"), =HYPERLINK("CSG7.html#group42M7", "42M⁷"), =HYPERLINK("CSG10.html#group42D10", "42D¹⁰"), =HYPERLINK("CSG10.html#group42J10", "42J¹⁰"), =HYPERLINK("CSG11.html#group42K11", "42K¹¹"), =HYPERLINK("CSG13.html#group84I13", "84I¹³"), =HYPERLINK("CSG16.html#group210G16", "210G¹⁶"), =HYPERLINK("CSG23.html#group42B23", "42B²³"), =HYPERLINK("CSG23.html#group210G23", "210G²³"), =HYPERLINK("CSG23.html#group294B23", "294B²³")</f>
        <v/>
      </c>
      <c r="M420">
        <f>HYPERLINK("CSG0.html#group2A0", "2A⁰"), =HYPERLINK("CSG0.html#group14B0", "14B⁰"), =HYPERLINK("CSG0.html#group1A0", "1A⁰"), =HYPERLINK("CSG0.html#group7B0", "7B⁰"), =HYPERLINK("CSG1.html#group21A1", "21A¹")</f>
        <v/>
      </c>
      <c r="N420">
        <f>HYPERLINK("CSG10.html#group42J10", "42J¹⁰"), =HYPERLINK("CSG23.html#group210G23", "210G²³"), =HYPERLINK("CSG16.html#group84K16", "84K¹⁶"), =HYPERLINK("CSG19.html#group42O19", "42O¹⁹"), =HYPERLINK("CSG23.html#group294B23", "294B²³"), =HYPERLINK("CSG7.html#group42M7", "42M⁷"), =HYPERLINK("CSG21.html#group42J21", "42J²¹"), =HYPERLINK("CSG13.html#group84I13", "84I¹³"), =HYPERLINK("CSG11.html#group42K11", "42K¹¹"), =HYPERLINK("CSG22.html#group84K22", "84K²²"), =HYPERLINK("CSG4.html#group84B4", "84B⁴"), =HYPERLINK("CSG22.html#group84E22", "84E²²"), =HYPERLINK("CSG23.html#group42B23", "42B²³"), =HYPERLINK("CSG16.html#group210G16", "210G¹⁶"), =HYPERLINK("CSG22.html#group84B22", "84B²²"), =HYPERLINK("CSG10.html#group42D10", "42D¹⁰"), =HYPERLINK("CSG21.html#group84G21", "84G²¹"), =HYPERLINK("CSG20.html#group84M20", "84M²⁰")</f>
        <v/>
      </c>
    </row>
    <row r="421">
      <c r="A421" t="inlineStr">
        <is>
          <t>44A²</t>
        </is>
      </c>
      <c r="B421" t="inlineStr"/>
      <c r="C421" t="inlineStr">
        <is>
          <t>44</t>
        </is>
      </c>
      <c r="D421" t="inlineStr">
        <is>
          <t>2</t>
        </is>
      </c>
      <c r="E421" t="inlineStr">
        <is>
          <t>44</t>
        </is>
      </c>
      <c r="F421" t="inlineStr">
        <is>
          <t>6</t>
        </is>
      </c>
      <c r="G421" t="inlineStr">
        <is>
          <t>2</t>
        </is>
      </c>
      <c r="H421" t="inlineStr">
        <is>
          <t>44¹</t>
        </is>
      </c>
      <c r="I421" t="n">
        <v>1</v>
      </c>
      <c r="J421" t="inlineStr">
        <is>
          <t>4², 20⁴</t>
        </is>
      </c>
      <c r="K421">
        <f>HYPERLINK("CSG0.html#group4A0", "4A⁰"), =HYPERLINK("CSG0.html#group11A0", "11A⁰")</f>
        <v/>
      </c>
      <c r="L421">
        <f>HYPERLINK("CSG5.html#group88A5", "88A⁵"), =HYPERLINK("CSG5.html#group88B5", "88B⁵"), =HYPERLINK("CSG6.html#group44A6", "44A⁶"), =HYPERLINK("CSG7.html#group132A7", "132A⁷"), =HYPERLINK("CSG9.html#group44A9", "44A⁹"), =HYPERLINK("CSG11.html#group88D11", "88D¹¹"), =HYPERLINK("CSG14.html#group44A14", "44A¹⁴"), =HYPERLINK("CSG14.html#group132A14", "132A¹⁴"), =HYPERLINK("CSG16.html#group220A16", "220A¹⁶"), =HYPERLINK("CSG17.html#group44C17", "44C¹⁷"), =HYPERLINK("CSG19.html#group220C19", "220C¹⁹"), =HYPERLINK("CSG21.html#group308A21", "308A²¹"), =HYPERLINK("CSG21.html#group308B21", "308B²¹")</f>
        <v/>
      </c>
      <c r="M421">
        <f>HYPERLINK("CSG0.html#group11A0", "11A⁰"), =HYPERLINK("CSG0.html#group1A0", "1A⁰"), =HYPERLINK("CSG0.html#group4A0", "4A⁰")</f>
        <v/>
      </c>
      <c r="N421">
        <f>HYPERLINK("CSG18.html#group264C18", "264C¹⁸"), =HYPERLINK("CSG20.html#group132A20", "132A²⁰"), =HYPERLINK("CSG16.html#group132D16", "132D¹⁶"), =HYPERLINK("CSG18.html#group264B18", "264B¹⁸"), =HYPERLINK("CSG18.html#group264A18", "264A¹⁸"), =HYPERLINK("CSG18.html#group88A18", "88A¹⁸"), =HYPERLINK("CSG18.html#group264D18", "264D¹⁸"), =HYPERLINK("CSG21.html#group308B21", "308B²¹"), =HYPERLINK("CSG11.html#group176B11", "176B¹¹"), =HYPERLINK("CSG21.html#group88B21", "88B²¹"), =HYPERLINK("CSG11.html#group176A11", "176A¹¹"), =HYPERLINK("CSG11.html#group88D11", "88D¹¹"), =HYPERLINK("CSG14.html#group44A14", "44A¹⁴"), =HYPERLINK("CSG24.html#group88A24", "88A²⁴"), =HYPERLINK("CSG24.html#group176A24", "176A²⁴"), =HYPERLINK("CSG19.html#group220C19", "220C¹⁹"), =HYPERLINK("CSG6.html#group44A6", "44A⁶"), =HYPERLINK("CSG14.html#group132A14", "132A¹⁴"), =HYPERLINK("CSG7.html#group132A7", "132A⁷"), =HYPERLINK("CSG17.html#group44C17", "44C¹⁷"), =HYPERLINK("CSG19.html#group88A19", "88A¹⁹"), =HYPERLINK("CSG19.html#group132B19", "132B¹⁹"), =HYPERLINK("CSG20.html#group44A20", "44A²⁰"), =HYPERLINK("CSG20.html#group88D20", "88D²⁰"), =HYPERLINK("CSG12.html#group88A12", "88A¹²"), =HYPERLINK("CSG24.html#group88B24", "88B²⁴"), =HYPERLINK("CSG5.html#group88B5", "88B⁵"), =HYPERLINK("CSG22.html#group132A22", "132A²²"), =HYPERLINK("CSG5.html#group88A5", "88A⁵"), =HYPERLINK("CSG9.html#group44A9", "44A⁹"), =HYPERLINK("CSG16.html#group220A16", "220A¹⁶"), =HYPERLINK("CSG21.html#group308A21", "308A²¹")</f>
        <v/>
      </c>
    </row>
    <row r="422">
      <c r="A422" t="inlineStr">
        <is>
          <t>45A²</t>
        </is>
      </c>
      <c r="B422" t="inlineStr"/>
      <c r="C422" t="inlineStr">
        <is>
          <t>54</t>
        </is>
      </c>
      <c r="D422" t="inlineStr">
        <is>
          <t>1</t>
        </is>
      </c>
      <c r="E422" t="inlineStr">
        <is>
          <t>54</t>
        </is>
      </c>
      <c r="F422" t="inlineStr">
        <is>
          <t>10</t>
        </is>
      </c>
      <c r="G422" t="inlineStr">
        <is>
          <t>0</t>
        </is>
      </c>
      <c r="H422" t="inlineStr">
        <is>
          <t>9¹, 45¹</t>
        </is>
      </c>
      <c r="I422" t="n">
        <v>2</v>
      </c>
      <c r="J422" t="inlineStr">
        <is>
          <t>1², 2², 4¹, 6², 8¹, 24¹</t>
        </is>
      </c>
      <c r="K422">
        <f>HYPERLINK("CSG0.html#group9A0", "9A⁰"), =HYPERLINK("CSG0.html#group15B0", "15B⁰")</f>
        <v/>
      </c>
      <c r="L422">
        <f>HYPERLINK("CSG4.html#group45C4", "45C⁴"), =HYPERLINK("CSG4.html#group90A4", "90A⁴"), =HYPERLINK("CSG5.html#group45F5", "45F⁵"), =HYPERLINK("CSG5.html#group90A5", "90A⁵"), =HYPERLINK("CSG6.html#group45D6", "45D⁶"), =HYPERLINK("CSG6.html#group90B6", "90B⁶"), =HYPERLINK("CSG7.html#group45B7", "45B⁷"), =HYPERLINK("CSG7.html#group90C7", "90C⁷"), =HYPERLINK("CSG8.html#group45A8", "45A⁸"), =HYPERLINK("CSG8.html#group45D8", "45D⁸"), =HYPERLINK("CSG8.html#group90B8", "90B⁸"), =HYPERLINK("CSG9.html#group90A9", "90A⁹"), =HYPERLINK("CSG10.html#group90E10", "90E¹⁰"), =HYPERLINK("CSG13.html#group180B13", "180B¹³"), =HYPERLINK("CSG18.html#group45A18", "45A¹⁸"), =HYPERLINK("CSG18.html#group225A18", "225A¹⁸"), =HYPERLINK("CSG20.html#group225C20", "225C²⁰"), =HYPERLINK("CSG20.html#group225B20", "225B²⁰"), =HYPERLINK("CSG20.html#group225D20", "225D²⁰"), =HYPERLINK("CSG20.html#group225A20", "225A²⁰"), =HYPERLINK("CSG24.html#group315A24", "315A²⁴")</f>
        <v/>
      </c>
      <c r="M422">
        <f>HYPERLINK("CSG0.html#group5B0", "5B⁰"), =HYPERLINK("CSG0.html#group15B0", "15B⁰"), =HYPERLINK("CSG0.html#group3A0", "3A⁰"), =HYPERLINK("CSG0.html#group1A0", "1A⁰"), =HYPERLINK("CSG0.html#group9A0", "9A⁰")</f>
        <v/>
      </c>
      <c r="N422">
        <f>HYPERLINK("CSG20.html#group225B20", "225B²⁰"), =HYPERLINK("CSG21.html#group90J21", "90J²¹"), =HYPERLINK("CSG5.html#group45F5", "45F⁵"), =HYPERLINK("CSG24.html#group180B24", "180B²⁴"), =HYPERLINK("CSG6.html#group45D6", "45D⁶"), =HYPERLINK("CSG20.html#group225A20", "225A²⁰"), =HYPERLINK("CSG17.html#group90K17", "90K¹⁷"), =HYPERLINK("CSG21.html#group90K21", "90K²¹"), =HYPERLINK("CSG8.html#group45A8", "45A⁸"), =HYPERLINK("CSG10.html#group90E10", "90E¹⁰"), =HYPERLINK("CSG20.html#group225D20", "225D²⁰"), =HYPERLINK("CSG15.html#group90L15", "90L¹⁵"), =HYPERLINK("CSG18.html#group90D18", "90D¹⁸"), =HYPERLINK("CSG13.html#group180D13", "180D¹³"), =HYPERLINK("CSG20.html#group180H20", "180H²⁰"), =HYPERLINK("CSG15.html#group45C15", "45C¹⁵"), =HYPERLINK("CSG21.html#group90N21", "90N²¹"), =HYPERLINK("CSG17.html#group90F17", "90F¹⁷"), =HYPERLINK("CSG8.html#group45D8", "45D⁸"), =HYPERLINK("CSG20.html#group225C20", "225C²⁰"), =HYPERLINK("CSG19.html#group45F19", "45F¹⁹"), =HYPERLINK("CSG18.html#group45A18", "45A¹⁸"), =HYPERLINK("CSG20.html#group90F20", "90F²⁰"), =HYPERLINK("CSG22.html#group180D22", "180D²²"), =HYPERLINK("CSG24.html#group90C24", "90C²⁴"), =HYPERLINK("CSG17.html#group90E17", "90E¹⁷"), =HYPERLINK("CSG23.html#group90A23", "90A²³"), =HYPERLINK("CSG13.html#group180C13", "180C¹³"), =HYPERLINK("CSG21.html#group90L21", "90L²¹"), =HYPERLINK("CSG22.html#group90H22", "90H²²"), =HYPERLINK("CSG9.html#group90G9", "90G⁹"), =HYPERLINK("CSG7.html#group90C7", "90C⁷"), =HYPERLINK("CSG15.html#group45A15", "45A¹⁵"), =HYPERLINK("CSG11.html#group90I11", "90I¹¹"), =HYPERLINK("CSG21.html#group180I21", "180I²¹"), =HYPERLINK("CSG23.html#group90B23", "90B²³"), =HYPERLINK("CSG6.html#group90B6", "90B⁶"), =HYPERLINK("CSG15.html#group90N15", "90N¹⁵"), =HYPERLINK("CSG24.html#group315A24", "315A²⁴"), =HYPERLINK("CSG15.html#group90M15", "90M¹⁵"), =HYPERLINK("CSG15.html#group90K15", "90K¹⁵"), =HYPERLINK("CSG21.html#group90I21", "90I²¹"), =HYPERLINK("CSG9.html#group90A9", "90A⁹"), =HYPERLINK("CSG22.html#group45B22", "45B²²"), =HYPERLINK("CSG24.html#group90B24", "90B²⁴"), =HYPERLINK("CSG17.html#group90A17", "90A¹⁷"), =HYPERLINK("CSG24.html#group180A24", "180A²⁴"), =HYPERLINK("CSG21.html#group45A21", "45A²¹"), =HYPERLINK("CSG16.html#group45E16", "45E¹⁶"), =HYPERLINK("CSG19.html#group45G19", "45G¹⁹"), =HYPERLINK("CSG13.html#group90E13", "90E¹³"), =HYPERLINK("CSG8.html#group90B8", "90B⁸"), =HYPERLINK("CSG22.html#group90E22", "90E²²"), =HYPERLINK("CSG13.html#group180F13", "180F¹³"), =HYPERLINK("CSG13.html#group180E13", "180E¹³"), =HYPERLINK("CSG11.html#group90H11", "90H¹¹"), =HYPERLINK("CSG7.html#group45B7", "45B⁷"), =HYPERLINK("CSG22.html#group90G22", "90G²²"), =HYPERLINK("CSG18.html#group225A18", "225A¹⁸"), =HYPERLINK("CSG17.html#group90D17", "90D¹⁷"), =HYPERLINK("CSG18.html#group45C18", "45C¹⁸"), =HYPERLINK("CSG4.html#group90A4", "90A⁴"), =HYPERLINK("CSG17.html#group90B17", "90B¹⁷"), =HYPERLINK("CSG13.html#group45N13", "45N¹³"), =HYPERLINK("CSG20.html#group90G20", "90G²⁰"), =HYPERLINK("CSG19.html#group90J19", "90J¹⁹"), =HYPERLINK("CSG5.html#group90A5", "90A⁵"), =HYPERLINK("CSG21.html#group180J21", "180J²¹"), =HYPERLINK("CSG11.html#group90K11", "90K¹¹"), =HYPERLINK("CSG13.html#group180B13", "180B¹³"), =HYPERLINK("CSG23.html#group180N23", "180N²³"), =HYPERLINK("CSG22.html#group180C22", "180C²²"), =HYPERLINK("CSG17.html#group90I17", "90I¹⁷"), =HYPERLINK("CSG4.html#group45C4", "45C⁴"), =HYPERLINK("CSG9.html#group45E9", "45E⁹"), =HYPERLINK("CSG15.html#group45B15", "45B¹⁵"), =HYPERLINK("CSG23.html#group45D23", "45D²³"), =HYPERLINK("CSG17.html#group90J17", "90J¹⁷"), =HYPERLINK("CSG24.html#group90A24", "90A²⁴"), =HYPERLINK("CSG23.html#group180M23", "180M²³"), =HYPERLINK("CSG17.html#group90H17", "90H¹⁷")</f>
        <v/>
      </c>
    </row>
    <row r="423">
      <c r="A423" t="inlineStr">
        <is>
          <t>48A²</t>
        </is>
      </c>
      <c r="B423" t="inlineStr"/>
      <c r="C423" t="inlineStr">
        <is>
          <t>72</t>
        </is>
      </c>
      <c r="D423" t="inlineStr">
        <is>
          <t>1</t>
        </is>
      </c>
      <c r="E423" t="inlineStr">
        <is>
          <t>9</t>
        </is>
      </c>
      <c r="F423" t="inlineStr">
        <is>
          <t>16</t>
        </is>
      </c>
      <c r="G423" t="inlineStr">
        <is>
          <t>0</t>
        </is>
      </c>
      <c r="H423" t="inlineStr">
        <is>
          <t>24¹, 48¹</t>
        </is>
      </c>
      <c r="I423" t="n">
        <v>2</v>
      </c>
      <c r="J423" t="inlineStr">
        <is>
          <t>1³, 2³</t>
        </is>
      </c>
      <c r="K423">
        <f>HYPERLINK("CSG0.html#group24A0", "24A⁰")</f>
        <v/>
      </c>
      <c r="L423">
        <f>HYPERLINK("CSG3.html#group48M3", "48M³"), =HYPERLINK("CSG7.html#group48M7", "48M⁷"), =HYPERLINK("CSG7.html#group48U7", "48U⁷"), =HYPERLINK("CSG7.html#group48V7", "48V⁷"), =HYPERLINK("CSG7.html#group48AF7", "48AF⁷"), =HYPERLINK("CSG7.html#group48AG7", "48AG⁷"), =HYPERLINK("CSG7.html#group48AH7", "48AH⁷"), =HYPERLINK("CSG7.html#group48AI7", "48AI⁷"), =HYPERLINK("CSG7.html#group48AJ7", "48AJ⁷"), =HYPERLINK("CSG10.html#group144E10", "144E¹⁰"), =HYPERLINK("CSG11.html#group48H11", "48H¹¹"), =HYPERLINK("CSG11.html#group48I11", "48I¹¹"), =HYPERLINK("CSG14.html#group144A14", "144A¹⁴")</f>
        <v/>
      </c>
      <c r="M423">
        <f>HYPERLINK("CSG0.html#group12C0", "12C⁰"), =HYPERLINK("CSG0.html#group24A0", "24A⁰"), =HYPERLINK("CSG0.html#group4C0", "4C⁰"), =HYPERLINK("CSG0.html#group8B0", "8B⁰"), =HYPERLINK("CSG0.html#group2B0", "2B⁰"), =HYPERLINK("CSG0.html#group3A0", "3A⁰"), =HYPERLINK("CSG0.html#group1A0", "1A⁰"), =HYPERLINK("CSG0.html#group6D0", "6D⁰")</f>
        <v/>
      </c>
      <c r="N423">
        <f>HYPERLINK("CSG13.html#group48AA13", "48AA¹³"), =HYPERLINK("CSG19.html#group96AJ19", "96AJ¹⁹"), =HYPERLINK("CSG17.html#group48O17", "48O¹⁷"), =HYPERLINK("CSG21.html#group48R21", "48R²¹"), =HYPERLINK("CSG17.html#group48CE17", "48CE¹⁷"), =HYPERLINK("CSG19.html#group96BA19", "96BA¹⁹"), =HYPERLINK("CSG21.html#group48O21", "48O²¹"), =HYPERLINK("CSG23.html#group144W23", "144W²³"), =HYPERLINK("CSG17.html#group48BX17", "48BX¹⁷"), =HYPERLINK("CSG17.html#group48CH17", "48CH¹⁷"), =HYPERLINK("CSG7.html#group48AH7", "48AH⁷"), =HYPERLINK("CSG7.html#group48AG7", "48AG⁷"), =HYPERLINK("CSG7.html#group48AI7", "48AI⁷"), =HYPERLINK("CSG15.html#group96V15", "96V¹⁵"), =HYPERLINK("CSG11.html#group48I11", "48I¹¹"), =HYPERLINK("CSG17.html#group48AT17", "48AT¹⁷"), =HYPERLINK("CSG17.html#group48BW17", "48BW¹⁷"), =HYPERLINK("CSG17.html#group48CG17", "48CG¹⁷"), =HYPERLINK("CSG17.html#group48AM17", "48AM¹⁷"), =HYPERLINK("CSG17.html#group48CD17", "48CD¹⁷"), =HYPERLINK("CSG23.html#group144Y23", "144Y²³"), =HYPERLINK("CSG7.html#group48AJ7", "48AJ⁷"), =HYPERLINK("CSG17.html#group48P17", "48P¹⁷"), =HYPERLINK("CSG21.html#group48AB21", "48AB²¹"), =HYPERLINK("CSG21.html#group48AL21", "48AL²¹"), =HYPERLINK("CSG13.html#group48AE13", "48AE¹³"), =HYPERLINK("CSG7.html#group48V7", "48V⁷"), =HYPERLINK("CSG19.html#group96BB19", "96BB¹⁹"), =HYPERLINK("CSG21.html#group48BG21", "48BG²¹"), =HYPERLINK("CSG19.html#group96U19", "96U¹⁹"), =HYPERLINK("CSG21.html#group48D21", "48D²¹"), =HYPERLINK("CSG10.html#group144E10", "144E¹⁰"), =HYPERLINK("CSG21.html#group48AM21", "48AM²¹"), =HYPERLINK("CSG21.html#group48Q21", "48Q²¹"), =HYPERLINK("CSG21.html#group48BQ21", "48BQ²¹"), =HYPERLINK("CSG17.html#group48AN17", "48AN¹⁷"), =HYPERLINK("CSG17.html#group48CB17", "48CB¹⁷"), =HYPERLINK("CSG7.html#group48U7", "48U⁷"), =HYPERLINK("CSG19.html#group96AO19", "96AO¹⁹"), =HYPERLINK("CSG19.html#group96AR19", "96AR¹⁹"), =HYPERLINK("CSG17.html#group48AU17", "48AU¹⁷"), =HYPERLINK("CSG17.html#group48CF17", "48CF¹⁷"), =HYPERLINK("CSG19.html#group96AI19", "96AI¹⁹"), =HYPERLINK("CSG17.html#group48AO17", "48AO¹⁷"), =HYPERLINK("CSG21.html#group48S21", "48S²¹"), =HYPERLINK("CSG11.html#group48H11", "48H¹¹"), =HYPERLINK("CSG17.html#group48BB17", "48BB¹⁷"), =HYPERLINK("CSG21.html#group48AF21", "48AF²¹"), =HYPERLINK("CSG7.html#group48M7", "48M⁷"), =HYPERLINK("CSG17.html#group48BR17", "48BR¹⁷"), =HYPERLINK("CSG17.html#group48AP17", "48AP¹⁷"), =HYPERLINK("CSG21.html#group48BR21", "48BR²¹"), =HYPERLINK("CSG17.html#group48AY17", "48AY¹⁷"), =HYPERLINK("CSG17.html#group48CC17", "48CC¹⁷"), =HYPERLINK("CSG21.html#group48M21", "48M²¹"), =HYPERLINK("CSG14.html#group144A14", "144A¹⁴"), =HYPERLINK("CSG19.html#group96AP19", "96AP¹⁹"), =HYPERLINK("CSG17.html#group48AX17", "48AX¹⁷"), =HYPERLINK("CSG17.html#group48BQ17", "48BQ¹⁷"), =HYPERLINK("CSG19.html#group96AQ19", "96AQ¹⁹"), =HYPERLINK("CSG17.html#group48BA17", "48BA¹⁷"), =HYPERLINK("CSG17.html#group48BZ17", "48BZ¹⁷"), =HYPERLINK("CSG11.html#group96K11", "96K¹¹"), =HYPERLINK("CSG3.html#group48M3", "48M³"), =HYPERLINK("CSG21.html#group48BB21", "48BB²¹"), =HYPERLINK("CSG13.html#group48X13", "48X¹³"), =HYPERLINK("CSG13.html#group48AF13", "48AF¹³"), =HYPERLINK("CSG13.html#group48AB13", "48AB¹³"), =HYPERLINK("CSG19.html#group144J19", "144J¹⁹"), =HYPERLINK("CSG7.html#group48AF7", "48AF⁷")</f>
        <v/>
      </c>
    </row>
    <row r="424">
      <c r="A424" t="inlineStr">
        <is>
          <t>50A²</t>
        </is>
      </c>
      <c r="B424" t="inlineStr"/>
      <c r="C424" t="inlineStr">
        <is>
          <t>60</t>
        </is>
      </c>
      <c r="D424" t="inlineStr">
        <is>
          <t>1</t>
        </is>
      </c>
      <c r="E424" t="inlineStr">
        <is>
          <t>30</t>
        </is>
      </c>
      <c r="F424" t="inlineStr">
        <is>
          <t>4</t>
        </is>
      </c>
      <c r="G424" t="inlineStr">
        <is>
          <t>0</t>
        </is>
      </c>
      <c r="H424" t="inlineStr">
        <is>
          <t>2⁵, 50¹</t>
        </is>
      </c>
      <c r="I424" t="n">
        <v>6</v>
      </c>
      <c r="J424" t="inlineStr">
        <is>
          <t>1², 4², 20¹</t>
        </is>
      </c>
      <c r="K424">
        <f>HYPERLINK("CSG0.html#group10B0", "10B⁰"), =HYPERLINK("CSG0.html#group25A0", "25A⁰")</f>
        <v/>
      </c>
      <c r="L424">
        <f>HYPERLINK("CSG5.html#group50F5", "50F⁵"), =HYPERLINK("CSG6.html#group50E6", "50E⁶"), =HYPERLINK("CSG7.html#group100B7", "100B⁷"), =HYPERLINK("CSG10.html#group150A10", "150A¹⁰"), =HYPERLINK("CSG13.html#group100I13", "100I¹³"), =HYPERLINK("CSG14.html#group50B14", "50B¹⁴"), =HYPERLINK("CSG15.html#group150I15", "150I¹⁵"), =HYPERLINK("CSG18.html#group250A18", "250A¹⁸"), =HYPERLINK("CSG18.html#group250B18", "250B¹⁸"), =HYPERLINK("CSG20.html#group50A20", "50A²⁰"), =HYPERLINK("CSG20.html#group250A20", "250A²⁰"), =HYPERLINK("CSG22.html#group250A22", "250A²²"), =HYPERLINK("CSG22.html#group250B22", "250B²²")</f>
        <v/>
      </c>
      <c r="M424">
        <f>HYPERLINK("CSG0.html#group25A0", "25A⁰"), =HYPERLINK("CSG0.html#group5B0", "5B⁰"), =HYPERLINK("CSG0.html#group1A0", "1A⁰"), =HYPERLINK("CSG0.html#group10B0", "10B⁰")</f>
        <v/>
      </c>
      <c r="N424">
        <f>HYPERLINK("CSG19.html#group100O19", "100O¹⁹"), =HYPERLINK("CSG7.html#group100B7", "100B⁷"), =HYPERLINK("CSG10.html#group150A10", "150A¹⁰"), =HYPERLINK("CSG22.html#group250B22", "250B²²"), =HYPERLINK("CSG22.html#group250A22", "250A²²"), =HYPERLINK("CSG21.html#group150A21", "150A²¹"), =HYPERLINK("CSG5.html#group50F5", "50F⁵"), =HYPERLINK("CSG18.html#group250A18", "250A¹⁸"), =HYPERLINK("CSG15.html#group150I15", "150I¹⁵"), =HYPERLINK("CSG13.html#group100I13", "100I¹³"), =HYPERLINK("CSG15.html#group100D15", "100D¹⁵"), =HYPERLINK("CSG6.html#group50E6", "50E⁶"), =HYPERLINK("CSG18.html#group250B18", "250B¹⁸"), =HYPERLINK("CSG20.html#group50A20", "50A²⁰"), =HYPERLINK("CSG21.html#group100C21", "100C²¹"), =HYPERLINK("CSG20.html#group250A20", "250A²⁰"), =HYPERLINK("CSG23.html#group150C23", "150C²³"), =HYPERLINK("CSG17.html#group100E17", "100E¹⁷"), =HYPERLINK("CSG13.html#group50E13", "50E¹³"), =HYPERLINK("CSG14.html#group50B14", "50B¹⁴"), =HYPERLINK("CSG15.html#group100A15", "100A¹⁵")</f>
        <v/>
      </c>
    </row>
    <row r="425">
      <c r="A425" t="inlineStr">
        <is>
          <t>50B²</t>
        </is>
      </c>
      <c r="B425" t="inlineStr">
        <is>
          <t>Γ₀(50)</t>
        </is>
      </c>
      <c r="C425" t="inlineStr">
        <is>
          <t>90</t>
        </is>
      </c>
      <c r="D425" t="inlineStr">
        <is>
          <t>1</t>
        </is>
      </c>
      <c r="E425" t="inlineStr">
        <is>
          <t>90</t>
        </is>
      </c>
      <c r="F425" t="inlineStr">
        <is>
          <t>2</t>
        </is>
      </c>
      <c r="G425" t="inlineStr">
        <is>
          <t>0</t>
        </is>
      </c>
      <c r="H425" t="inlineStr">
        <is>
          <t>1⁵, 2⁵, 25¹, 50¹</t>
        </is>
      </c>
      <c r="I425" t="n">
        <v>12</v>
      </c>
      <c r="J425" t="inlineStr">
        <is>
          <t>1⁶, 4⁶, 20³</t>
        </is>
      </c>
      <c r="K425">
        <f>HYPERLINK("CSG0.html#group10C0", "10C⁰"), =HYPERLINK("CSG0.html#group25A0", "25A⁰")</f>
        <v/>
      </c>
      <c r="L425">
        <f>HYPERLINK("CSG4.html#group50F4", "50F⁴"), =HYPERLINK("CSG6.html#group50E6", "50E⁶"), =HYPERLINK("CSG6.html#group100A6", "100A⁶"), =HYPERLINK("CSG7.html#group50C7", "50C⁷"), =HYPERLINK("CSG7.html#group100C7", "100C⁷"), =HYPERLINK("CSG9.html#group100I9", "100I⁹"), =HYPERLINK("CSG10.html#group100A10", "100A¹⁰"), =HYPERLINK("CSG16.html#group150A16", "150A¹⁶"), =HYPERLINK("CSG19.html#group150I19", "150I¹⁹"), =HYPERLINK("CSG22.html#group50E22", "50E²²"), =HYPERLINK("CSG24.html#group250A24", "250A²⁴"), =HYPERLINK("CSG24.html#group250B24", "250B²⁴")</f>
        <v/>
      </c>
      <c r="M425">
        <f>HYPERLINK("CSG0.html#group25A0", "25A⁰"), =HYPERLINK("CSG0.html#group10C0", "10C⁰"), =HYPERLINK("CSG0.html#group5B0", "5B⁰"), =HYPERLINK("CSG0.html#group2B0", "2B⁰"), =HYPERLINK("CSG0.html#group1A0", "1A⁰")</f>
        <v/>
      </c>
      <c r="N425">
        <f>HYPERLINK("CSG19.html#group100O19", "100O¹⁹"), =HYPERLINK("CSG15.html#group200A15", "200A¹⁵"), =HYPERLINK("CSG6.html#group100A6", "100A⁶"), =HYPERLINK("CSG4.html#group50F4", "50F⁴"), =HYPERLINK("CSG13.html#group100J13", "100J¹³"), =HYPERLINK("CSG7.html#group50C7", "50C⁷"), =HYPERLINK("CSG19.html#group100P19", "100P¹⁹"), =HYPERLINK("CSG21.html#group200B21", "200B²¹"), =HYPERLINK("CSG21.html#group200A21", "200A²¹"), =HYPERLINK("CSG10.html#group100A10", "100A¹⁰"), =HYPERLINK("CSG19.html#group200I19", "200I¹⁹"), =HYPERLINK("CSG22.html#group50E22", "50E²²"), =HYPERLINK("CSG19.html#group150I19", "150I¹⁹"), =HYPERLINK("CSG7.html#group100C7", "100C⁷"), =HYPERLINK("CSG15.html#group100D15", "100D¹⁵"), =HYPERLINK("CSG16.html#group150A16", "150A¹⁶"), =HYPERLINK("CSG21.html#group100B21", "100B²¹"), =HYPERLINK("CSG23.html#group200A23", "200A²³"), =HYPERLINK("CSG23.html#group200B23", "200B²³"), =HYPERLINK("CSG6.html#group50E6", "50E⁶"), =HYPERLINK("CSG9.html#group100I9", "100I⁹"), =HYPERLINK("CSG24.html#group250A24", "250A²⁴"), =HYPERLINK("CSG21.html#group100A21", "100A²¹"), =HYPERLINK("CSG21.html#group100C21", "100C²¹"), =HYPERLINK("CSG17.html#group100E17", "100E¹⁷"), =HYPERLINK("CSG13.html#group50E13", "50E¹³"), =HYPERLINK("CSG19.html#group100Q19", "100Q¹⁹"), =HYPERLINK("CSG19.html#group200J19", "200J¹⁹"), =HYPERLINK("CSG21.html#group200C21", "200C²¹"), =HYPERLINK("CSG19.html#group100N19", "100N¹⁹"), =HYPERLINK("CSG24.html#group250B24", "250B²⁴")</f>
        <v/>
      </c>
    </row>
    <row r="426">
      <c r="A426" t="inlineStr">
        <is>
          <t>54A²</t>
        </is>
      </c>
      <c r="B426" t="inlineStr"/>
      <c r="C426" t="inlineStr">
        <is>
          <t>72</t>
        </is>
      </c>
      <c r="D426" t="inlineStr">
        <is>
          <t>1</t>
        </is>
      </c>
      <c r="E426" t="inlineStr">
        <is>
          <t>12</t>
        </is>
      </c>
      <c r="F426" t="inlineStr">
        <is>
          <t>0</t>
        </is>
      </c>
      <c r="G426" t="inlineStr">
        <is>
          <t>12</t>
        </is>
      </c>
      <c r="H426" t="inlineStr">
        <is>
          <t>18¹, 54¹</t>
        </is>
      </c>
      <c r="I426" t="n">
        <v>2</v>
      </c>
      <c r="J426" t="inlineStr">
        <is>
          <t>1², 2², 6¹</t>
        </is>
      </c>
      <c r="K426">
        <f>HYPERLINK("CSG0.html#group18B0", "18B⁰"), =HYPERLINK("CSG1.html#group27B1", "27B¹")</f>
        <v/>
      </c>
      <c r="L426">
        <f>HYPERLINK("CSG4.html#group108A4", "108A⁴"), =HYPERLINK("CSG10.html#group54C10", "54C¹⁰"), =HYPERLINK("CSG10.html#group54F10", "54F¹⁰"), =HYPERLINK("CSG10.html#group54G10", "54G¹⁰"), =HYPERLINK("CSG13.html#group54S13", "54S¹³"), =HYPERLINK("CSG16.html#group54B16", "54B¹⁶"), =HYPERLINK("CSG16.html#group54D16", "54D¹⁶"), =HYPERLINK("CSG16.html#group54G16", "54G¹⁶"), =HYPERLINK("CSG19.html#group108B19", "108B¹⁹"), =HYPERLINK("CSG22.html#group270A22", "270A²²")</f>
        <v/>
      </c>
      <c r="M426">
        <f>HYPERLINK("CSG0.html#group3B0", "3B⁰"), =HYPERLINK("CSG0.html#group2A0", "2A⁰"), =HYPERLINK("CSG0.html#group18B0", "18B⁰"), =HYPERLINK("CSG0.html#group6C0", "6C⁰"), =HYPERLINK("CSG1.html#group27B1", "27B¹"), =HYPERLINK("CSG0.html#group9C0", "9C⁰"), =HYPERLINK("CSG0.html#group1A0", "1A⁰")</f>
        <v/>
      </c>
      <c r="N426">
        <f>HYPERLINK("CSG22.html#group108D22", "108D²²"), =HYPERLINK("CSG22.html#group108B22", "108B²²"), =HYPERLINK("CSG10.html#group54F10", "54F¹⁰"), =HYPERLINK("CSG10.html#group54G10", "54G¹⁰"), =HYPERLINK("CSG16.html#group54B16", "54B¹⁶"), =HYPERLINK("CSG13.html#group54S13", "54S¹³"), =HYPERLINK("CSG4.html#group108A4", "108A⁴"), =HYPERLINK("CSG16.html#group54G16", "54G¹⁶"), =HYPERLINK("CSG22.html#group108C22", "108C²²"), =HYPERLINK("CSG19.html#group108B19", "108B¹⁹"), =HYPERLINK("CSG22.html#group270A22", "270A²²"), =HYPERLINK("CSG10.html#group54C10", "54C¹⁰"), =HYPERLINK("CSG16.html#group54D16", "54D¹⁶")</f>
        <v/>
      </c>
    </row>
    <row r="427">
      <c r="A427" t="inlineStr">
        <is>
          <t>54B²</t>
        </is>
      </c>
      <c r="B427" t="inlineStr"/>
      <c r="C427" t="inlineStr">
        <is>
          <t>108</t>
        </is>
      </c>
      <c r="D427" t="inlineStr">
        <is>
          <t>1</t>
        </is>
      </c>
      <c r="E427" t="inlineStr">
        <is>
          <t>36</t>
        </is>
      </c>
      <c r="F427" t="inlineStr">
        <is>
          <t>0</t>
        </is>
      </c>
      <c r="G427" t="inlineStr">
        <is>
          <t>0</t>
        </is>
      </c>
      <c r="H427" t="inlineStr">
        <is>
          <t>1⁶, 2⁶, 3¹, 6¹, 27¹, 54¹</t>
        </is>
      </c>
      <c r="I427" t="n">
        <v>16</v>
      </c>
      <c r="J427" t="inlineStr">
        <is>
          <t>1⁶, 2⁶, 6³</t>
        </is>
      </c>
      <c r="K427">
        <f>HYPERLINK("CSG0.html#group18E0", "18E⁰"), =HYPERLINK("CSG0.html#group27A0", "27A⁰")</f>
        <v/>
      </c>
      <c r="L427">
        <f>HYPERLINK("CSG7.html#group54B7", "54B⁷"), =HYPERLINK("CSG7.html#group108A7", "108A⁷"), =HYPERLINK("CSG10.html#group54I10", "54I¹⁰"), =HYPERLINK("CSG11.html#group108E11", "108E¹¹"), =HYPERLINK("CSG16.html#group54R16", "54R¹⁶"), =HYPERLINK("CSG16.html#group54T16", "54T¹⁶")</f>
        <v/>
      </c>
      <c r="M427">
        <f>HYPERLINK("CSG0.html#group3B0", "3B⁰"), =HYPERLINK("CSG0.html#group18E0", "18E⁰"), =HYPERLINK("CSG0.html#group6F0", "6F⁰"), =HYPERLINK("CSG0.html#group27A0", "27A⁰"), =HYPERLINK("CSG0.html#group9B0", "9B⁰"), =HYPERLINK("CSG0.html#group2B0", "2B⁰"), =HYPERLINK("CSG0.html#group1A0", "1A⁰")</f>
        <v/>
      </c>
      <c r="N427">
        <f>HYPERLINK("CSG21.html#group108E21", "108E²¹"), =HYPERLINK("CSG17.html#group108G17", "108G¹⁷"), =HYPERLINK("CSG17.html#group216A17", "216A¹⁷"), =HYPERLINK("CSG21.html#group216B21", "216B²¹"), =HYPERLINK("CSG7.html#group108A7", "108A⁷"), =HYPERLINK("CSG7.html#group54B7", "54B⁷"), =HYPERLINK("CSG16.html#group54T16", "54T¹⁶"), =HYPERLINK("CSG11.html#group108E11", "108E¹¹"), =HYPERLINK("CSG10.html#group54I10", "54I¹⁰"), =HYPERLINK("CSG17.html#group108F17", "108F¹⁷"), =HYPERLINK("CSG16.html#group54R16", "54R¹⁶")</f>
        <v/>
      </c>
    </row>
    <row r="428">
      <c r="A428" t="inlineStr">
        <is>
          <t>63A²</t>
        </is>
      </c>
      <c r="B428" t="inlineStr"/>
      <c r="C428" t="inlineStr">
        <is>
          <t>63</t>
        </is>
      </c>
      <c r="D428" t="inlineStr">
        <is>
          <t>2</t>
        </is>
      </c>
      <c r="E428" t="inlineStr">
        <is>
          <t>63</t>
        </is>
      </c>
      <c r="F428" t="inlineStr">
        <is>
          <t>15</t>
        </is>
      </c>
      <c r="G428" t="inlineStr">
        <is>
          <t>0</t>
        </is>
      </c>
      <c r="H428" t="inlineStr">
        <is>
          <t>63¹</t>
        </is>
      </c>
      <c r="I428" t="n">
        <v>1</v>
      </c>
      <c r="J428" t="inlineStr">
        <is>
          <t>2¹, 4¹, 6², 12³, 36²</t>
        </is>
      </c>
      <c r="K428">
        <f>HYPERLINK("CSG0.html#group9A0", "9A⁰"), =HYPERLINK("CSG0.html#group21A0", "21A⁰")</f>
        <v/>
      </c>
      <c r="L428">
        <f>HYPERLINK("CSG5.html#group126A5", "126A⁵"), =HYPERLINK("CSG5.html#group126B5", "126B⁵"), =HYPERLINK("CSG6.html#group63E6", "63E⁶"), =HYPERLINK("CSG6.html#group63F6", "63F⁶"), =HYPERLINK("CSG6.html#group63G6", "63G⁶"), =HYPERLINK("CSG6.html#group126A6", "126A⁶"), =HYPERLINK("CSG7.html#group63D7", "63D⁷"), =HYPERLINK("CSG7.html#group126A7", "126A⁷"), =HYPERLINK("CSG8.html#group63A8", "63A⁸"), =HYPERLINK("CSG8.html#group126A8", "126A⁸"), =HYPERLINK("CSG8.html#group126B8", "126B⁸"), =HYPERLINK("CSG8.html#group126C8", "126C⁸"), =HYPERLINK("CSG9.html#group63B9", "63B⁹"), =HYPERLINK("CSG9.html#group63A9", "63A⁹"), =HYPERLINK("CSG9.html#group63D9", "63D⁹"), =HYPERLINK("CSG10.html#group63B10", "63B¹⁰"), =HYPERLINK("CSG11.html#group126A11", "126A¹¹"), =HYPERLINK("CSG12.html#group126H12", "126H¹²"), =HYPERLINK("CSG14.html#group252A14", "252A¹⁴"), =HYPERLINK("CSG15.html#group63A15", "63A¹⁵"), =HYPERLINK("CSG23.html#group315A23", "315A²³"), =HYPERLINK("CSG24.html#group315A24", "315A²⁴")</f>
        <v/>
      </c>
      <c r="M428">
        <f>HYPERLINK("CSG0.html#group21A0", "21A⁰"), =HYPERLINK("CSG0.html#group3A0", "3A⁰"), =HYPERLINK("CSG0.html#group1A0", "1A⁰"), =HYPERLINK("CSG0.html#group9A0", "9A⁰"), =HYPERLINK("CSG0.html#group7A0", "7A⁰")</f>
        <v/>
      </c>
      <c r="N428">
        <f>HYPERLINK("CSG24.html#group126D24", "126D²⁴"), =HYPERLINK("CSG18.html#group126E18", "126E¹⁸"), =HYPERLINK("CSG8.html#group63A8", "63A⁸"), =HYPERLINK("CSG24.html#group63I24", "63I²⁴"), =HYPERLINK("CSG6.html#group126A6", "126A⁶"), =HYPERLINK("CSG15.html#group126F15", "126F¹⁵"), =HYPERLINK("CSG22.html#group126A22", "126A²²"), =HYPERLINK("CSG24.html#group63E24", "63E²⁴"), =HYPERLINK("CSG24.html#group63D24", "63D²⁴"), =HYPERLINK("CSG24.html#group63B24", "63B²⁴"), =HYPERLINK("CSG21.html#group126C21", "126C²¹"), =HYPERLINK("CSG20.html#group63A20", "63A²⁰"), =HYPERLINK("CSG7.html#group63D7", "63D⁷"), =HYPERLINK("CSG17.html#group126C17", "126C¹⁷"), =HYPERLINK("CSG18.html#group126A18", "126A¹⁸"), =HYPERLINK("CSG21.html#group126A21", "126A²¹"), =HYPERLINK("CSG24.html#group126E24", "126E²⁴"), =HYPERLINK("CSG10.html#group63B10", "63B¹⁰"), =HYPERLINK("CSG21.html#group126G21", "126G²¹"), =HYPERLINK("CSG6.html#group63F6", "63F⁶"), =HYPERLINK("CSG21.html#group126F21", "126F²¹"), =HYPERLINK("CSG24.html#group252G24", "252G²⁴"), =HYPERLINK("CSG16.html#group126B16", "126B¹⁶"), =HYPERLINK("CSG8.html#group126A8", "126A⁸"), =HYPERLINK("CSG8.html#group126C8", "126C⁸"), =HYPERLINK("CSG15.html#group63A15", "63A¹⁵"), =HYPERLINK("CSG24.html#group63G24", "63G²⁴"), =HYPERLINK("CSG19.html#group63E19", "63E¹⁹"), =HYPERLINK("CSG18.html#group126D18", "126D¹⁸"), =HYPERLINK("CSG24.html#group63F24", "63F²⁴"), =HYPERLINK("CSG23.html#group63A23", "63A²³"), =HYPERLINK("CSG21.html#group126E21", "126E²¹"), =HYPERLINK("CSG23.html#group63B23", "63B²³"), =HYPERLINK("CSG13.html#group126J13", "126J¹³"), =HYPERLINK("CSG14.html#group126E14", "126E¹⁴"), =HYPERLINK("CSG7.html#group126A7", "126A⁷"), =HYPERLINK("CSG24.html#group315A24", "315A²⁴"), =HYPERLINK("CSG21.html#group126D21", "126D²¹"), =HYPERLINK("CSG18.html#group63B18", "63B¹⁸"), =HYPERLINK("CSG18.html#group126C18", "126C¹⁸"), =HYPERLINK("CSG18.html#group126B18", "126B¹⁸"), =HYPERLINK("CSG6.html#group63E6", "63E⁶"), =HYPERLINK("CSG6.html#group63G6", "63G⁶"), =HYPERLINK("CSG17.html#group63A17", "63A¹⁷"), =HYPERLINK("CSG14.html#group252A14", "252A¹⁴"), =HYPERLINK("CSG5.html#group126A5", "126A⁵"), =HYPERLINK("CSG21.html#group63D21", "63D²¹"), =HYPERLINK("CSG21.html#group126H21", "126H²¹"), =HYPERLINK("CSG14.html#group63B14", "63B¹⁴"), =HYPERLINK("CSG22.html#group63B22", "63B²²"), =HYPERLINK("CSG5.html#group126B5", "126B⁵"), =HYPERLINK("CSG19.html#group126C19", "126C¹⁹"), =HYPERLINK("CSG24.html#group63H24", "63H²⁴"), =HYPERLINK("CSG22.html#group63A22", "63A²²"), =HYPERLINK("CSG11.html#group126A11", "126A¹¹"), =HYPERLINK("CSG12.html#group126J12", "126J¹²"), =HYPERLINK("CSG23.html#group315A23", "315A²³"), =HYPERLINK("CSG9.html#group63A9", "63A⁹"), =HYPERLINK("CSG16.html#group126A16", "126A¹⁶"), =HYPERLINK("CSG19.html#group126A19", "126A¹⁹"), =HYPERLINK("CSG17.html#group126B17", "126B¹⁷"), =HYPERLINK("CSG17.html#group126D17", "126D¹⁷"), =HYPERLINK("CSG20.html#group126B20", "126B²⁰"), =HYPERLINK("CSG18.html#group63C18", "63C¹⁸"), =HYPERLINK("CSG9.html#group63B9", "63B⁹"), =HYPERLINK("CSG24.html#group126B24", "126B²⁴"), =HYPERLINK("CSG21.html#group126R21", "126R²¹"), =HYPERLINK("CSG9.html#group63D9", "63D⁹"), =HYPERLINK("CSG14.html#group126F14", "126F¹⁴"), =HYPERLINK("CSG21.html#group126Q21", "126Q²¹"), =HYPERLINK("CSG13.html#group126K13", "126K¹³"), =HYPERLINK("CSG24.html#group126C24", "126C²⁴"), =HYPERLINK("CSG19.html#group63D19", "63D¹⁹"), =HYPERLINK("CSG19.html#group126B19", "126B¹⁹"), =HYPERLINK("CSG20.html#group126A20", "126A²⁰"), =HYPERLINK("CSG8.html#group126B8", "126B⁸"), =HYPERLINK("CSG12.html#group126H12", "126H¹²")</f>
        <v/>
      </c>
    </row>
    <row r="429">
      <c r="A429" t="inlineStr">
        <is>
          <t>64A²</t>
        </is>
      </c>
      <c r="B429" t="inlineStr"/>
      <c r="C429" t="inlineStr">
        <is>
          <t>96</t>
        </is>
      </c>
      <c r="D429" t="inlineStr">
        <is>
          <t>1</t>
        </is>
      </c>
      <c r="E429" t="inlineStr">
        <is>
          <t>24</t>
        </is>
      </c>
      <c r="F429" t="inlineStr">
        <is>
          <t>0</t>
        </is>
      </c>
      <c r="G429" t="inlineStr">
        <is>
          <t>0</t>
        </is>
      </c>
      <c r="H429" t="inlineStr">
        <is>
          <t>1⁸, 2⁴, 16¹, 64¹</t>
        </is>
      </c>
      <c r="I429" t="n">
        <v>14</v>
      </c>
      <c r="J429" t="inlineStr">
        <is>
          <t>2⁸, 8¹</t>
        </is>
      </c>
      <c r="K429">
        <f>HYPERLINK("CSG0.html#group32A0", "32A⁰")</f>
        <v/>
      </c>
      <c r="L429">
        <f>HYPERLINK("CSG5.html#group64D5", "64D⁵"), =HYPERLINK("CSG7.html#group64K7", "64K⁷"), =HYPERLINK("CSG18.html#group192A18", "192A¹⁸"), =HYPERLINK("CSG19.html#group192F19", "192F¹⁹")</f>
        <v/>
      </c>
      <c r="M429">
        <f>HYPERLINK("CSG0.html#group8C0", "8C⁰"), =HYPERLINK("CSG0.html#group2B0", "2B⁰"), =HYPERLINK("CSG0.html#group4B0", "4B⁰"), =HYPERLINK("CSG0.html#group1A0", "1A⁰"), =HYPERLINK("CSG0.html#group16C0", "16C⁰"), =HYPERLINK("CSG0.html#group32A0", "32A⁰")</f>
        <v/>
      </c>
      <c r="N429">
        <f>HYPERLINK("CSG18.html#group192A18", "192A¹⁸"), =HYPERLINK("CSG13.html#group64V13", "64V¹³"), =HYPERLINK("CSG13.html#group64W13", "64W¹³"), =HYPERLINK("CSG17.html#group128B17", "128B¹⁷"), =HYPERLINK("CSG21.html#group64E21", "64E²¹"), =HYPERLINK("CSG7.html#group64K7", "64K⁷"), =HYPERLINK("CSG5.html#group64D5", "64D⁵"), =HYPERLINK("CSG21.html#group64D21", "64D²¹"), =HYPERLINK("CSG19.html#group192F19", "192F¹⁹"), =HYPERLINK("CSG17.html#group64B17", "64B¹⁷"), =HYPERLINK("CSG19.html#group128A19", "128A¹⁹")</f>
        <v/>
      </c>
    </row>
    <row r="430">
      <c r="A430" t="inlineStr">
        <is>
          <t>78A²</t>
        </is>
      </c>
      <c r="B430" t="inlineStr"/>
      <c r="C430" t="inlineStr">
        <is>
          <t>84</t>
        </is>
      </c>
      <c r="D430" t="inlineStr">
        <is>
          <t>2</t>
        </is>
      </c>
      <c r="E430" t="inlineStr">
        <is>
          <t>14</t>
        </is>
      </c>
      <c r="F430" t="inlineStr">
        <is>
          <t>12</t>
        </is>
      </c>
      <c r="G430" t="inlineStr">
        <is>
          <t>6</t>
        </is>
      </c>
      <c r="H430" t="inlineStr">
        <is>
          <t>6¹, 78¹</t>
        </is>
      </c>
      <c r="I430" t="n">
        <v>2</v>
      </c>
      <c r="J430" t="inlineStr">
        <is>
          <t>2², 24¹</t>
        </is>
      </c>
      <c r="K430">
        <f>HYPERLINK("CSG0.html#group26A0", "26A⁰"), =HYPERLINK("CSG1.html#group39A1", "39A¹")</f>
        <v/>
      </c>
      <c r="L430">
        <f>HYPERLINK("CSG7.html#group156A7", "156A⁷"), =HYPERLINK("CSG7.html#group156B7", "156B⁷"), =HYPERLINK("CSG9.html#group78C9", "78C⁹"), =HYPERLINK("CSG10.html#group78A10", "78A¹⁰"), =HYPERLINK("CSG16.html#group78E16", "78E¹⁶"), =HYPERLINK("CSG19.html#group156F19", "156F¹⁹"), =HYPERLINK("CSG23.html#group78G23", "78G²³")</f>
        <v/>
      </c>
      <c r="M430">
        <f>HYPERLINK("CSG0.html#group13A0", "13A⁰"), =HYPERLINK("CSG0.html#group26A0", "26A⁰"), =HYPERLINK("CSG1.html#group39A1", "39A¹"), =HYPERLINK("CSG0.html#group1A0", "1A⁰")</f>
        <v/>
      </c>
      <c r="N430">
        <f>HYPERLINK("CSG9.html#group78C9", "78C⁹"), =HYPERLINK("CSG16.html#group78E16", "78E¹⁶"), =HYPERLINK("CSG19.html#group156E19", "156E¹⁹"), =HYPERLINK("CSG23.html#group78G23", "78G²³"), =HYPERLINK("CSG10.html#group78A10", "78A¹⁰"), =HYPERLINK("CSG7.html#group156B7", "156B⁷"), =HYPERLINK("CSG7.html#group156A7", "156A⁷"), =HYPERLINK("CSG19.html#group156F19", "156F¹⁹")</f>
        <v/>
      </c>
    </row>
    <row r="431">
      <c r="A431" t="inlineStr">
        <is>
          <t>7A³</t>
        </is>
      </c>
      <c r="B431" t="inlineStr">
        <is>
          <t>Γ(7)</t>
        </is>
      </c>
      <c r="C431" t="inlineStr">
        <is>
          <t>168</t>
        </is>
      </c>
      <c r="D431" t="inlineStr">
        <is>
          <t>1</t>
        </is>
      </c>
      <c r="E431" t="inlineStr">
        <is>
          <t>1</t>
        </is>
      </c>
      <c r="F431" t="inlineStr">
        <is>
          <t>0</t>
        </is>
      </c>
      <c r="G431" t="inlineStr">
        <is>
          <t>0</t>
        </is>
      </c>
      <c r="H431" t="inlineStr">
        <is>
          <t>7²⁴</t>
        </is>
      </c>
      <c r="I431" t="n">
        <v>24</v>
      </c>
      <c r="J431" t="inlineStr">
        <is>
          <t>1¹</t>
        </is>
      </c>
      <c r="K431">
        <f>HYPERLINK("CSG0.html#group7E0", "7E⁰"), =HYPERLINK("CSG1.html#group7B1", "7B¹"), =HYPERLINK("CSG1.html#group7C1", "7C¹")</f>
        <v/>
      </c>
      <c r="L431">
        <f>HYPERLINK("CSG17.html#group14A17", "14A¹⁷"), =HYPERLINK("CSG19.html#group14A19", "14A¹⁹")</f>
        <v/>
      </c>
      <c r="M431">
        <f>HYPERLINK("CSG0.html#group7D0", "7D⁰"), =HYPERLINK("CSG0.html#group7B0", "7B⁰"), =HYPERLINK("CSG0.html#group7C0", "7C⁰"), =HYPERLINK("CSG1.html#group7A1", "7A¹"), =HYPERLINK("CSG0.html#group7F0", "7F⁰"), =HYPERLINK("CSG0.html#group7E0", "7E⁰"), =HYPERLINK("CSG0.html#group7G0", "7G⁰"), =HYPERLINK("CSG1.html#group7C1", "7C¹"), =HYPERLINK("CSG0.html#group1A0", "1A⁰"), =HYPERLINK("CSG1.html#group7B1", "7B¹"), =HYPERLINK("CSG0.html#group7A0", "7A⁰")</f>
        <v/>
      </c>
      <c r="N431">
        <f>HYPERLINK("CSG17.html#group14A17", "14A¹⁷"), =HYPERLINK("CSG19.html#group14A19", "14A¹⁹")</f>
        <v/>
      </c>
    </row>
    <row r="432">
      <c r="A432" t="inlineStr">
        <is>
          <t>8A³</t>
        </is>
      </c>
      <c r="B432" t="inlineStr"/>
      <c r="C432" t="inlineStr">
        <is>
          <t>96</t>
        </is>
      </c>
      <c r="D432" t="inlineStr">
        <is>
          <t>1</t>
        </is>
      </c>
      <c r="E432" t="inlineStr">
        <is>
          <t>1</t>
        </is>
      </c>
      <c r="F432" t="inlineStr">
        <is>
          <t>0</t>
        </is>
      </c>
      <c r="G432" t="inlineStr">
        <is>
          <t>0</t>
        </is>
      </c>
      <c r="H432" t="inlineStr">
        <is>
          <t>8¹²</t>
        </is>
      </c>
      <c r="I432" t="n">
        <v>12</v>
      </c>
      <c r="J432" t="inlineStr">
        <is>
          <t>1¹</t>
        </is>
      </c>
      <c r="K432">
        <f>HYPERLINK("CSG1.html#group8E1", "8E¹"), =HYPERLINK("CSG1.html#group8F1", "8F¹"), =HYPERLINK("CSG1.html#group8I1", "8I¹")</f>
        <v/>
      </c>
      <c r="L432">
        <f>HYPERLINK("CSG5.html#group8A5", "8A⁵"), =HYPERLINK("CSG9.html#group16A9", "16A⁹"), =HYPERLINK("CSG9.html#group16B9", "16B⁹"), =HYPERLINK("CSG19.html#group24A19", "24A¹⁹"), =HYPERLINK("CSG21.html#group24A21", "24A²¹")</f>
        <v/>
      </c>
      <c r="M432">
        <f>HYPERLINK("CSG0.html#group2A0", "2A⁰"), =HYPERLINK("CSG1.html#group8A1", "8A¹"), =HYPERLINK("CSG0.html#group8D0", "8D⁰"), =HYPERLINK("CSG0.html#group4C0", "4C⁰"), =HYPERLINK("CSG0.html#group8B0", "8B⁰"), =HYPERLINK("CSG0.html#group4G0", "4G⁰"), =HYPERLINK("CSG0.html#group2B0", "2B⁰"), =HYPERLINK("CSG1.html#group8B1", "8B¹"), =HYPERLINK("CSG0.html#group8C0", "8C⁰"), =HYPERLINK("CSG1.html#group8E1", "8E¹"), =HYPERLINK("CSG0.html#group4E0", "4E⁰"), =HYPERLINK("CSG1.html#group8F1", "8F¹"), =HYPERLINK("CSG0.html#group4B0", "4B⁰"), =HYPERLINK("CSG0.html#group1A0", "1A⁰"), =HYPERLINK("CSG0.html#group8H0", "8H⁰"), =HYPERLINK("CSG0.html#group8F0", "8F⁰"), =HYPERLINK("CSG1.html#group8C1", "8C¹"), =HYPERLINK("CSG0.html#group8G0", "8G⁰"), =HYPERLINK("CSG0.html#group4A0", "4A⁰"), =HYPERLINK("CSG1.html#group8I1", "8I¹"), =HYPERLINK("CSG0.html#group4D0", "4D⁰"), =HYPERLINK("CSG0.html#group4F0", "4F⁰"), =HYPERLINK("CSG0.html#group2C0", "2C⁰")</f>
        <v/>
      </c>
      <c r="N432">
        <f>HYPERLINK("CSG21.html#group16C21", "16C²¹"), =HYPERLINK("CSG21.html#group32F21", "32F²¹"), =HYPERLINK("CSG19.html#group24A19", "24A¹⁹"), =HYPERLINK("CSG9.html#group16B9", "16B⁹"), =HYPERLINK("CSG9.html#group16A9", "16A⁹"), =HYPERLINK("CSG21.html#group16A21", "16A²¹"), =HYPERLINK("CSG21.html#group32E21", "32E²¹"), =HYPERLINK("CSG13.html#group16B13", "16B¹³"), =HYPERLINK("CSG21.html#group24A21", "24A²¹"), =HYPERLINK("CSG21.html#group16B21", "16B²¹"), =HYPERLINK("CSG5.html#group8A5", "8A⁵"), =HYPERLINK("CSG17.html#group16A17", "16A¹⁷")</f>
        <v/>
      </c>
    </row>
    <row r="433">
      <c r="A433" t="inlineStr">
        <is>
          <t>8B³</t>
        </is>
      </c>
      <c r="B433" t="inlineStr"/>
      <c r="C433" t="inlineStr">
        <is>
          <t>96</t>
        </is>
      </c>
      <c r="D433" t="inlineStr">
        <is>
          <t>1</t>
        </is>
      </c>
      <c r="E433" t="inlineStr">
        <is>
          <t>3</t>
        </is>
      </c>
      <c r="F433" t="inlineStr">
        <is>
          <t>0</t>
        </is>
      </c>
      <c r="G433" t="inlineStr">
        <is>
          <t>0</t>
        </is>
      </c>
      <c r="H433" t="inlineStr">
        <is>
          <t>8¹²</t>
        </is>
      </c>
      <c r="I433" t="n">
        <v>12</v>
      </c>
      <c r="J433" t="inlineStr">
        <is>
          <t>1³</t>
        </is>
      </c>
      <c r="K433">
        <f>HYPERLINK("CSG0.html#group8N0", "8N⁰"), =HYPERLINK("CSG1.html#group8F1", "8F¹"), =HYPERLINK("CSG1.html#group8H1", "8H¹"), =HYPERLINK("CSG2.html#group8A2", "8A²"), =HYPERLINK("CSG2.html#group8B2", "8B²")</f>
        <v/>
      </c>
      <c r="L433">
        <f>HYPERLINK("CSG5.html#group8A5", "8A⁵"), =HYPERLINK("CSG7.html#group16B7", "16B⁷"), =HYPERLINK("CSG9.html#group16D9", "16D⁹"), =HYPERLINK("CSG9.html#group16C9", "16C⁹"), =HYPERLINK("CSG11.html#group16A11", "16A¹¹"), =HYPERLINK("CSG19.html#group24D19", "24D¹⁹"), =HYPERLINK("CSG21.html#group24G21", "24G²¹")</f>
        <v/>
      </c>
      <c r="M433">
        <f>HYPERLINK("CSG0.html#group2A0", "2A⁰"), =HYPERLINK("CSG0.html#group8N0", "8N⁰"), =HYPERLINK("CSG1.html#group8A1", "8A¹"), =HYPERLINK("CSG0.html#group8D0", "8D⁰"), =HYPERLINK("CSG0.html#group4C0", "4C⁰"), =HYPERLINK("CSG2.html#group8B2", "8B²"), =HYPERLINK("CSG0.html#group8A0", "8A⁰"), =HYPERLINK("CSG0.html#group8B0", "8B⁰"), =HYPERLINK("CSG0.html#group8E0", "8E⁰"), =HYPERLINK("CSG0.html#group4G0", "4G⁰"), =HYPERLINK("CSG0.html#group2B0", "2B⁰"), =HYPERLINK("CSG0.html#group4E0", "4E⁰"), =HYPERLINK("CSG0.html#group8C0", "8C⁰"), =HYPERLINK("CSG1.html#group8B1", "8B¹"), =HYPERLINK("CSG0.html#group4B0", "4B⁰"), =HYPERLINK("CSG1.html#group8F1", "8F¹"), =HYPERLINK("CSG0.html#group1A0", "1A⁰"), =HYPERLINK("CSG1.html#group8D1", "8D¹"), =HYPERLINK("CSG1.html#group8H1", "8H¹"), =HYPERLINK("CSG0.html#group8K0", "8K⁰"), =HYPERLINK("CSG0.html#group8H0", "8H⁰"), =HYPERLINK("CSG2.html#group8A2", "8A²"), =HYPERLINK("CSG1.html#group8C1", "8C¹"), =HYPERLINK("CSG0.html#group8G0", "8G⁰"), =HYPERLINK("CSG0.html#group4A0", "4A⁰"), =HYPERLINK("CSG0.html#group4D0", "4D⁰"), =HYPERLINK("CSG0.html#group4F0", "4F⁰"), =HYPERLINK("CSG0.html#group8J0", "8J⁰"), =HYPERLINK("CSG0.html#group2C0", "2C⁰")</f>
        <v/>
      </c>
      <c r="N433">
        <f>HYPERLINK("CSG9.html#group16D9", "16D⁹"), =HYPERLINK("CSG9.html#group16C9", "16C⁹"), =HYPERLINK("CSG11.html#group16A11", "16A¹¹"), =HYPERLINK("CSG21.html#group16D21", "16D²¹"), =HYPERLINK("CSG7.html#group16B7", "16B⁷"), =HYPERLINK("CSG21.html#group32A21", "32A²¹"), =HYPERLINK("CSG21.html#group32B21", "32B²¹"), =HYPERLINK("CSG5.html#group8A5", "8A⁵"), =HYPERLINK("CSG17.html#group16A17", "16A¹⁷"), =HYPERLINK("CSG19.html#group24D19", "24D¹⁹"), =HYPERLINK("CSG13.html#group16B13", "16B¹³"), =HYPERLINK("CSG21.html#group16B21", "16B²¹"), =HYPERLINK("CSG19.html#group32A19", "32A¹⁹"), =HYPERLINK("CSG21.html#group32D21", "32D²¹"), =HYPERLINK("CSG21.html#group24G21", "24G²¹"), =HYPERLINK("CSG21.html#group16E21", "16E²¹")</f>
        <v/>
      </c>
    </row>
    <row r="434">
      <c r="A434" t="inlineStr">
        <is>
          <t>9A³</t>
        </is>
      </c>
      <c r="B434" t="inlineStr"/>
      <c r="C434" t="inlineStr">
        <is>
          <t>108</t>
        </is>
      </c>
      <c r="D434" t="inlineStr">
        <is>
          <t>1</t>
        </is>
      </c>
      <c r="E434" t="inlineStr">
        <is>
          <t>36</t>
        </is>
      </c>
      <c r="F434" t="inlineStr">
        <is>
          <t>0</t>
        </is>
      </c>
      <c r="G434" t="inlineStr">
        <is>
          <t>3</t>
        </is>
      </c>
      <c r="H434" t="inlineStr">
        <is>
          <t>9¹²</t>
        </is>
      </c>
      <c r="I434" t="n">
        <v>12</v>
      </c>
      <c r="J434" t="inlineStr">
        <is>
          <t>3², 6⁵</t>
        </is>
      </c>
      <c r="K434">
        <f>HYPERLINK("CSG0.html#group9F0", "9F⁰"), =HYPERLINK("CSG0.html#group9J0", "9J⁰")</f>
        <v/>
      </c>
      <c r="L434">
        <f>HYPERLINK("CSG10.html#group9A10", "9A¹⁰"), =HYPERLINK("CSG11.html#group18A11", "18A¹¹"), =HYPERLINK("CSG16.html#group18E16", "18E¹⁶"), =HYPERLINK("CSG16.html#group27E16", "27E¹⁶"), =HYPERLINK("CSG19.html#group27D19", "27D¹⁹"), =HYPERLINK("CSG19.html#group27C19", "27C¹⁹")</f>
        <v/>
      </c>
      <c r="M434">
        <f>HYPERLINK("CSG0.html#group3B0", "3B⁰"), =HYPERLINK("CSG0.html#group9J0", "9J⁰"), =HYPERLINK("CSG0.html#group9C0", "9C⁰"), =HYPERLINK("CSG0.html#group9F0", "9F⁰"), =HYPERLINK("CSG0.html#group1A0", "1A⁰")</f>
        <v/>
      </c>
      <c r="N434">
        <f>HYPERLINK("CSG16.html#group27E16", "27E¹⁶"), =HYPERLINK("CSG19.html#group27D19", "27D¹⁹"), =HYPERLINK("CSG10.html#group9A10", "9A¹⁰"), =HYPERLINK("CSG19.html#group27C19", "27C¹⁹"), =HYPERLINK("CSG16.html#group18E16", "18E¹⁶"), =HYPERLINK("CSG11.html#group18A11", "18A¹¹")</f>
        <v/>
      </c>
    </row>
    <row r="435">
      <c r="A435" t="inlineStr">
        <is>
          <t>10A³</t>
        </is>
      </c>
      <c r="B435" t="inlineStr"/>
      <c r="C435" t="inlineStr">
        <is>
          <t>60</t>
        </is>
      </c>
      <c r="D435" t="inlineStr">
        <is>
          <t>1</t>
        </is>
      </c>
      <c r="E435" t="inlineStr">
        <is>
          <t>10</t>
        </is>
      </c>
      <c r="F435" t="inlineStr">
        <is>
          <t>0</t>
        </is>
      </c>
      <c r="G435" t="inlineStr">
        <is>
          <t>0</t>
        </is>
      </c>
      <c r="H435" t="inlineStr">
        <is>
          <t>10⁶</t>
        </is>
      </c>
      <c r="I435" t="n">
        <v>6</v>
      </c>
      <c r="J435" t="inlineStr">
        <is>
          <t>2¹, 4²</t>
        </is>
      </c>
      <c r="K435">
        <f>HYPERLINK("CSG0.html#group2C0", "2C⁰"), =HYPERLINK("CSG1.html#group10C1", "10C¹"), =HYPERLINK("CSG1.html#group10F1", "10F¹")</f>
        <v/>
      </c>
      <c r="L435">
        <f>HYPERLINK("CSG5.html#group10B5", "10B⁵"), =HYPERLINK("CSG7.html#group10A7", "10A⁷"), =HYPERLINK("CSG7.html#group20B7", "20B⁷"), =HYPERLINK("CSG7.html#group20C7", "20C⁷"), =HYPERLINK("CSG13.html#group30A13", "30A¹³"), =HYPERLINK("CSG15.html#group30A15", "30A¹⁵"), =HYPERLINK("CSG23.html#group50A23", "50A²³")</f>
        <v/>
      </c>
      <c r="M435">
        <f>HYPERLINK("CSG0.html#group2A0", "2A⁰"), =HYPERLINK("CSG0.html#group5C0", "5C⁰"), =HYPERLINK("CSG1.html#group10C1", "10C¹"), =HYPERLINK("CSG0.html#group2B0", "2B⁰"), =HYPERLINK("CSG0.html#group1A0", "1A⁰"), =HYPERLINK("CSG0.html#group2C0", "2C⁰"), =HYPERLINK("CSG1.html#group10F1", "10F¹")</f>
        <v/>
      </c>
      <c r="N435">
        <f>HYPERLINK("CSG15.html#group30A15", "30A¹⁵"), =HYPERLINK("CSG13.html#group10A13", "10A¹³"), =HYPERLINK("CSG15.html#group40N15", "40N¹⁵"), =HYPERLINK("CSG7.html#group20B7", "20B⁷"), =HYPERLINK("CSG11.html#group20B11", "20B¹¹"), =HYPERLINK("CSG13.html#group30A13", "30A¹³"), =HYPERLINK("CSG17.html#group40H17", "40H¹⁷"), =HYPERLINK("CSG7.html#group10A7", "10A⁷"), =HYPERLINK("CSG19.html#group20C19", "20C¹⁹"), =HYPERLINK("CSG17.html#group40C17", "40C¹⁷"), =HYPERLINK("CSG15.html#group20D15", "20D¹⁵"), =HYPERLINK("CSG15.html#group20E15", "20E¹⁵"), =HYPERLINK("CSG15.html#group40B15", "40B¹⁵"), =HYPERLINK("CSG15.html#group40C15", "40C¹⁵"), =HYPERLINK("CSG5.html#group10B5", "10B⁵"), =HYPERLINK("CSG13.html#group20A13", "20A¹³"), =HYPERLINK("CSG15.html#group40O15", "40O¹⁵"), =HYPERLINK("CSG19.html#group20D19", "20D¹⁹"), =HYPERLINK("CSG23.html#group50A23", "50A²³"), =HYPERLINK("CSG7.html#group20C7", "20C⁷"), =HYPERLINK("CSG15.html#group20C15", "20C¹⁵"), =HYPERLINK("CSG15.html#group40T15", "40T¹⁵"), =HYPERLINK("CSG17.html#group40D17", "40D¹⁷")</f>
        <v/>
      </c>
    </row>
    <row r="436">
      <c r="A436" t="inlineStr">
        <is>
          <t>10B³</t>
        </is>
      </c>
      <c r="B436" t="inlineStr"/>
      <c r="C436" t="inlineStr">
        <is>
          <t>60</t>
        </is>
      </c>
      <c r="D436" t="inlineStr">
        <is>
          <t>1</t>
        </is>
      </c>
      <c r="E436" t="inlineStr">
        <is>
          <t>15</t>
        </is>
      </c>
      <c r="F436" t="inlineStr">
        <is>
          <t>0</t>
        </is>
      </c>
      <c r="G436" t="inlineStr">
        <is>
          <t>0</t>
        </is>
      </c>
      <c r="H436" t="inlineStr">
        <is>
          <t>10⁶</t>
        </is>
      </c>
      <c r="I436" t="n">
        <v>6</v>
      </c>
      <c r="J436" t="inlineStr">
        <is>
          <t>1¹, 2¹, 4³</t>
        </is>
      </c>
      <c r="K436">
        <f>HYPERLINK("CSG0.html#group5G0", "5G⁰"), =HYPERLINK("CSG1.html#group10A1", "10A¹"), =HYPERLINK("CSG1.html#group10C1", "10C¹"), =HYPERLINK("CSG1.html#group10E1", "10E¹"), =HYPERLINK("CSG2.html#group10A2", "10A²")</f>
        <v/>
      </c>
      <c r="L436">
        <f>HYPERLINK("CSG5.html#group10A5", "10A⁵"), =HYPERLINK("CSG7.html#group10A7", "10A⁷"), =HYPERLINK("CSG13.html#group30D13", "30D¹³"), =HYPERLINK("CSG13.html#group30E13", "30E¹³"), =HYPERLINK("CSG15.html#group20F15", "20F¹⁵"), =HYPERLINK("CSG15.html#group30C15", "30C¹⁵"), =HYPERLINK("CSG19.html#group50A19", "50A¹⁹"), =HYPERLINK("CSG19.html#group50C19", "50C¹⁹"), =HYPERLINK("CSG19.html#group50D19", "50D¹⁹"), =HYPERLINK("CSG21.html#group50E21", "50E²¹"), =HYPERLINK("CSG23.html#group50B23", "50B²³")</f>
        <v/>
      </c>
      <c r="M436">
        <f>HYPERLINK("CSG0.html#group2A0", "2A⁰"), =HYPERLINK("CSG0.html#group5A0", "5A⁰"), =HYPERLINK("CSG2.html#group10A2", "10A²"), =HYPERLINK("CSG0.html#group10A0", "10A⁰"), =HYPERLINK("CSG0.html#group5C0", "5C⁰"), =HYPERLINK("CSG0.html#group5B0", "5B⁰"), =HYPERLINK("CSG0.html#group5E0", "5E⁰"), =HYPERLINK("CSG1.html#group10A1", "10A¹"), =HYPERLINK("CSG1.html#group10C1", "10C¹"), =HYPERLINK("CSG1.html#group10E1", "10E¹"), =HYPERLINK("CSG0.html#group1A0", "1A⁰"), =HYPERLINK("CSG0.html#group5G0", "5G⁰")</f>
        <v/>
      </c>
      <c r="N436">
        <f>HYPERLINK("CSG13.html#group10A13", "10A¹³"), =HYPERLINK("CSG15.html#group20F15", "20F¹⁵"), =HYPERLINK("CSG21.html#group50E21", "50E²¹"), =HYPERLINK("CSG19.html#group50C19", "50C¹⁹"), =HYPERLINK("CSG5.html#group10A5", "10A⁵"), =HYPERLINK("CSG19.html#group20D19", "20D¹⁹"), =HYPERLINK("CSG13.html#group30E13", "30E¹³"), =HYPERLINK("CSG7.html#group10A7", "10A⁷"), =HYPERLINK("CSG19.html#group20C19", "20C¹⁹"), =HYPERLINK("CSG15.html#group20A15", "20A¹⁵"), =HYPERLINK("CSG13.html#group30D13", "30D¹³"), =HYPERLINK("CSG15.html#group30C15", "30C¹⁵"), =HYPERLINK("CSG23.html#group50B23", "50B²³"), =HYPERLINK("CSG19.html#group50A19", "50A¹⁹"), =HYPERLINK("CSG19.html#group50D19", "50D¹⁹")</f>
        <v/>
      </c>
    </row>
    <row r="437">
      <c r="A437" t="inlineStr">
        <is>
          <t>10C³</t>
        </is>
      </c>
      <c r="B437" t="inlineStr"/>
      <c r="C437" t="inlineStr">
        <is>
          <t>90</t>
        </is>
      </c>
      <c r="D437" t="inlineStr">
        <is>
          <t>1</t>
        </is>
      </c>
      <c r="E437" t="inlineStr">
        <is>
          <t>45</t>
        </is>
      </c>
      <c r="F437" t="inlineStr">
        <is>
          <t>4</t>
        </is>
      </c>
      <c r="G437" t="inlineStr">
        <is>
          <t>0</t>
        </is>
      </c>
      <c r="H437" t="inlineStr">
        <is>
          <t>10⁹</t>
        </is>
      </c>
      <c r="I437" t="n">
        <v>9</v>
      </c>
      <c r="J437" t="inlineStr">
        <is>
          <t>1³, 2³, 4⁹</t>
        </is>
      </c>
      <c r="K437">
        <f>HYPERLINK("CSG1.html#group10E1", "10E¹"), =HYPERLINK("CSG1.html#group10I1", "10I¹")</f>
        <v/>
      </c>
      <c r="L437">
        <f>HYPERLINK("CSG6.html#group10A6", "10A⁶"), =HYPERLINK("CSG7.html#group10A7", "10A⁷"), =HYPERLINK("CSG8.html#group20C8", "20C⁸"), =HYPERLINK("CSG9.html#group20C9", "20C⁹"), =HYPERLINK("CSG9.html#group20D9", "20D⁹"), =HYPERLINK("CSG10.html#group20C10", "20C¹⁰"), =HYPERLINK("CSG16.html#group30E16", "30E¹⁶"), =HYPERLINK("CSG22.html#group30C22", "30C²²")</f>
        <v/>
      </c>
      <c r="M437">
        <f>HYPERLINK("CSG0.html#group5A0", "5A⁰"), =HYPERLINK("CSG1.html#group10I1", "10I¹"), =HYPERLINK("CSG1.html#group10B1", "10B¹"), =HYPERLINK("CSG0.html#group5E0", "5E⁰"), =HYPERLINK("CSG0.html#group2B0", "2B⁰"), =HYPERLINK("CSG1.html#group10E1", "10E¹"), =HYPERLINK("CSG0.html#group1A0", "1A⁰")</f>
        <v/>
      </c>
      <c r="N437">
        <f>HYPERLINK("CSG9.html#group20D9", "20D⁹"), =HYPERLINK("CSG17.html#group20B17", "20B¹⁷"), =HYPERLINK("CSG13.html#group10A13", "10A¹³"), =HYPERLINK("CSG22.html#group40I22", "40I²²"), =HYPERLINK("CSG20.html#group40A20", "40A²⁰"), =HYPERLINK("CSG24.html#group40E24", "40E²⁴"), =HYPERLINK("CSG22.html#group30C22", "30C²²"), =HYPERLINK("CSG7.html#group10A7", "10A⁷"), =HYPERLINK("CSG19.html#group20C19", "20C¹⁹"), =HYPERLINK("CSG24.html#group40F24", "40F²⁴"), =HYPERLINK("CSG15.html#group20I15", "20I¹⁵"), =HYPERLINK("CSG21.html#group20A21", "20A²¹"), =HYPERLINK("CSG20.html#group20A20", "20A²⁰"), =HYPERLINK("CSG20.html#group20B20", "20B²⁰"), =HYPERLINK("CSG23.html#group40E23", "40E²³"), =HYPERLINK("CSG8.html#group20C8", "20C⁸"), =HYPERLINK("CSG9.html#group20C9", "20C⁹"), =HYPERLINK("CSG22.html#group40H22", "40H²²"), =HYPERLINK("CSG23.html#group40F23", "40F²³"), =HYPERLINK("CSG21.html#group40F21", "40F²¹"), =HYPERLINK("CSG19.html#group20B19", "20B¹⁹"), =HYPERLINK("CSG19.html#group20D19", "20D¹⁹"), =HYPERLINK("CSG10.html#group20C10", "20C¹⁰"), =HYPERLINK("CSG20.html#group40B20", "40B²⁰"), =HYPERLINK("CSG16.html#group30E16", "30E¹⁶"), =HYPERLINK("CSG6.html#group10A6", "10A⁶")</f>
        <v/>
      </c>
    </row>
    <row r="438">
      <c r="A438" t="inlineStr">
        <is>
          <t>10D³</t>
        </is>
      </c>
      <c r="B438" t="inlineStr"/>
      <c r="C438" t="inlineStr">
        <is>
          <t>120</t>
        </is>
      </c>
      <c r="D438" t="inlineStr">
        <is>
          <t>1</t>
        </is>
      </c>
      <c r="E438" t="inlineStr">
        <is>
          <t>20</t>
        </is>
      </c>
      <c r="F438" t="inlineStr">
        <is>
          <t>0</t>
        </is>
      </c>
      <c r="G438" t="inlineStr">
        <is>
          <t>6</t>
        </is>
      </c>
      <c r="H438" t="inlineStr">
        <is>
          <t>10¹²</t>
        </is>
      </c>
      <c r="I438" t="n">
        <v>12</v>
      </c>
      <c r="J438" t="inlineStr">
        <is>
          <t>4⁵</t>
        </is>
      </c>
      <c r="K438">
        <f>HYPERLINK("CSG0.html#group10E0", "10E⁰"), =HYPERLINK("CSG1.html#group10H1", "10H¹"), =HYPERLINK("CSG1.html#group10J1", "10J¹")</f>
        <v/>
      </c>
      <c r="L438">
        <f>HYPERLINK("CSG11.html#group20A11", "20A¹¹"), =HYPERLINK("CSG13.html#group10A13", "10A¹³"), =HYPERLINK("CSG22.html#group30B22", "30B²²")</f>
        <v/>
      </c>
      <c r="M438">
        <f>HYPERLINK("CSG1.html#group10H1", "10H¹"), =HYPERLINK("CSG0.html#group2A0", "2A⁰"), =HYPERLINK("CSG1.html#group10J1", "10J¹"), =HYPERLINK("CSG0.html#group5A0", "5A⁰"), =HYPERLINK("CSG0.html#group10A0", "10A⁰"), =HYPERLINK("CSG0.html#group10E0", "10E⁰"), =HYPERLINK("CSG0.html#group10D0", "10D⁰"), =HYPERLINK("CSG0.html#group5F0", "5F⁰"), =HYPERLINK("CSG1.html#group10C1", "10C¹"), =HYPERLINK("CSG0.html#group1A0", "1A⁰"), =HYPERLINK("CSG0.html#group5C0", "5C⁰")</f>
        <v/>
      </c>
      <c r="N438">
        <f>HYPERLINK("CSG11.html#group20A11", "20A¹¹"), =HYPERLINK("CSG13.html#group10A13", "10A¹³"), =HYPERLINK("CSG22.html#group30B22", "30B²²")</f>
        <v/>
      </c>
    </row>
    <row r="439">
      <c r="A439" t="inlineStr">
        <is>
          <t>11A³</t>
        </is>
      </c>
      <c r="B439" t="inlineStr"/>
      <c r="C439" t="inlineStr">
        <is>
          <t>110</t>
        </is>
      </c>
      <c r="D439" t="inlineStr">
        <is>
          <t>2</t>
        </is>
      </c>
      <c r="E439" t="inlineStr">
        <is>
          <t>55</t>
        </is>
      </c>
      <c r="F439" t="inlineStr">
        <is>
          <t>6</t>
        </is>
      </c>
      <c r="G439" t="inlineStr">
        <is>
          <t>2</t>
        </is>
      </c>
      <c r="H439" t="inlineStr">
        <is>
          <t>11¹⁰</t>
        </is>
      </c>
      <c r="I439" t="n">
        <v>10</v>
      </c>
      <c r="J439" t="inlineStr">
        <is>
          <t>10¹¹</t>
        </is>
      </c>
      <c r="K439">
        <f>HYPERLINK("CSG0.html#group11A0", "11A⁰"), =HYPERLINK("CSG1.html#group11C1", "11C¹")</f>
        <v/>
      </c>
      <c r="L439">
        <f>HYPERLINK("CSG8.html#group11A8", "11A⁸"), =HYPERLINK("CSG10.html#group22B10", "22B¹⁰"), =HYPERLINK("CSG12.html#group11A12", "11A¹²"), =HYPERLINK("CSG13.html#group22B13", "22B¹³"), =HYPERLINK("CSG17.html#group22D17", "22D¹⁷"), =HYPERLINK("CSG19.html#group33A19", "33A¹⁹")</f>
        <v/>
      </c>
      <c r="M439">
        <f>HYPERLINK("CSG0.html#group11A0", "11A⁰"), =HYPERLINK("CSG1.html#group11C1", "11C¹"), =HYPERLINK("CSG0.html#group1A0", "1A⁰")</f>
        <v/>
      </c>
      <c r="N439">
        <f>HYPERLINK("CSG8.html#group11A8", "11A⁸"), =HYPERLINK("CSG12.html#group11A12", "11A¹²"), =HYPERLINK("CSG19.html#group33A19", "33A¹⁹"), =HYPERLINK("CSG13.html#group22B13", "22B¹³"), =HYPERLINK("CSG10.html#group22B10", "22B¹⁰"), =HYPERLINK("CSG17.html#group22D17", "22D¹⁷")</f>
        <v/>
      </c>
    </row>
    <row r="440">
      <c r="A440" t="inlineStr">
        <is>
          <t>12A³</t>
        </is>
      </c>
      <c r="B440" t="inlineStr"/>
      <c r="C440" t="inlineStr">
        <is>
          <t>48</t>
        </is>
      </c>
      <c r="D440" t="inlineStr">
        <is>
          <t>1</t>
        </is>
      </c>
      <c r="E440" t="inlineStr">
        <is>
          <t>1</t>
        </is>
      </c>
      <c r="F440" t="inlineStr">
        <is>
          <t>0</t>
        </is>
      </c>
      <c r="G440" t="inlineStr">
        <is>
          <t>0</t>
        </is>
      </c>
      <c r="H440" t="inlineStr">
        <is>
          <t>12⁴</t>
        </is>
      </c>
      <c r="I440" t="n">
        <v>4</v>
      </c>
      <c r="J440" t="inlineStr">
        <is>
          <t>1¹</t>
        </is>
      </c>
      <c r="K440">
        <f>HYPERLINK("CSG0.html#group12B0", "12B⁰"), =HYPERLINK("CSG1.html#group6D1", "6D¹"), =HYPERLINK("CSG1.html#group12D1", "12D¹")</f>
        <v/>
      </c>
      <c r="L440">
        <f>HYPERLINK("CSG7.html#group12A7", "12A⁷"), =HYPERLINK("CSG9.html#group12A9", "12A⁹"), =HYPERLINK("CSG9.html#group36A9", "36A⁹"), =HYPERLINK("CSG9.html#group36E9", "36E⁹"), =HYPERLINK("CSG10.html#group36C10", "36C¹⁰"), =HYPERLINK("CSG10.html#group36F10", "36F¹⁰"), =HYPERLINK("CSG11.html#group36A11", "36A¹¹"), =HYPERLINK("CSG11.html#group36B11", "36B¹¹"), =HYPERLINK("CSG19.html#group60A19", "60A¹⁹"), =HYPERLINK("CSG21.html#group60B21", "60B²¹")</f>
        <v/>
      </c>
      <c r="M440">
        <f>HYPERLINK("CSG0.html#group3B0", "3B⁰"), =HYPERLINK("CSG0.html#group2A0", "2A⁰"), =HYPERLINK("CSG1.html#group12D1", "12D¹"), =HYPERLINK("CSG0.html#group6B0", "6B⁰"), =HYPERLINK("CSG1.html#group6D1", "6D¹"), =HYPERLINK("CSG0.html#group6E0", "6E⁰"), =HYPERLINK("CSG1.html#group6B1", "6B¹"), =HYPERLINK("CSG0.html#group6C0", "6C⁰"), =HYPERLINK("CSG0.html#group3C0", "3C⁰"), =HYPERLINK("CSG1.html#group6A1", "6A¹"), =HYPERLINK("CSG0.html#group3A0", "3A⁰"), =HYPERLINK("CSG0.html#group1A0", "1A⁰"), =HYPERLINK("CSG0.html#group3D0", "3D⁰"), =HYPERLINK("CSG0.html#group12B0", "12B⁰")</f>
        <v/>
      </c>
      <c r="N440">
        <f>HYPERLINK("CSG7.html#group12A7", "12A⁷"), =HYPERLINK("CSG21.html#group60B21", "60B²¹"), =HYPERLINK("CSG9.html#group36A9", "36A⁹"), =HYPERLINK("CSG11.html#group36A11", "36A¹¹"), =HYPERLINK("CSG10.html#group36F10", "36F¹⁰"), =HYPERLINK("CSG19.html#group60A19", "60A¹⁹"), =HYPERLINK("CSG13.html#group12B13", "12B¹³"), =HYPERLINK("CSG9.html#group36E9", "36E⁹"), =HYPERLINK("CSG11.html#group36B11", "36B¹¹"), =HYPERLINK("CSG10.html#group36C10", "36C¹⁰"), =HYPERLINK("CSG9.html#group12A9", "12A⁹")</f>
        <v/>
      </c>
    </row>
    <row r="441">
      <c r="A441" t="inlineStr">
        <is>
          <t>12B³</t>
        </is>
      </c>
      <c r="B441" t="inlineStr"/>
      <c r="C441" t="inlineStr">
        <is>
          <t>48</t>
        </is>
      </c>
      <c r="D441" t="inlineStr">
        <is>
          <t>1</t>
        </is>
      </c>
      <c r="E441" t="inlineStr">
        <is>
          <t>4</t>
        </is>
      </c>
      <c r="F441" t="inlineStr">
        <is>
          <t>0</t>
        </is>
      </c>
      <c r="G441" t="inlineStr">
        <is>
          <t>0</t>
        </is>
      </c>
      <c r="H441" t="inlineStr">
        <is>
          <t>12⁴</t>
        </is>
      </c>
      <c r="I441" t="n">
        <v>4</v>
      </c>
      <c r="J441" t="inlineStr">
        <is>
          <t>2²</t>
        </is>
      </c>
      <c r="K441">
        <f>HYPERLINK("CSG0.html#group3D0", "3D⁰"), =HYPERLINK("CSG1.html#group12A1", "12A¹"), =HYPERLINK("CSG1.html#group12G1", "12G¹")</f>
        <v/>
      </c>
      <c r="L441">
        <f>HYPERLINK("CSG5.html#group12A5", "12A⁵"), =HYPERLINK("CSG7.html#group12C7", "12C⁷"), =HYPERLINK("CSG7.html#group24D7", "24D⁷"), =HYPERLINK("CSG9.html#group36G9", "36G⁹"), =HYPERLINK("CSG10.html#group36H10", "36H¹⁰"), =HYPERLINK("CSG11.html#group36C11", "36C¹¹"), =HYPERLINK("CSG13.html#group24C13", "24C¹³"), =HYPERLINK("CSG19.html#group60C19", "60C¹⁹"), =HYPERLINK("CSG21.html#group60E21", "60E²¹")</f>
        <v/>
      </c>
      <c r="M441">
        <f>HYPERLINK("CSG1.html#group12G1", "12G¹"), =HYPERLINK("CSG0.html#group3B0", "3B⁰"), =HYPERLINK("CSG0.html#group12A0", "12A⁰"), =HYPERLINK("CSG0.html#group4A0", "4A⁰"), =HYPERLINK("CSG1.html#group12A1", "12A¹"), =HYPERLINK("CSG0.html#group3C0", "3C⁰"), =HYPERLINK("CSG0.html#group1A0", "1A⁰"), =HYPERLINK("CSG0.html#group3A0", "3A⁰"), =HYPERLINK("CSG0.html#group3D0", "3D⁰")</f>
        <v/>
      </c>
      <c r="N441">
        <f>HYPERLINK("CSG17.html#group36C17", "36C¹⁷"), =HYPERLINK("CSG9.html#group36G9", "36G⁹"), =HYPERLINK("CSG11.html#group36C11", "36C¹¹"), =HYPERLINK("CSG21.html#group36B21", "36B²¹"), =HYPERLINK("CSG21.html#group72O21", "72O²¹"), =HYPERLINK("CSG15.html#group48D15", "48D¹⁵"), =HYPERLINK("CSG10.html#group36H10", "36H¹⁰"), =HYPERLINK("CSG13.html#group24B13", "24B¹³"), =HYPERLINK("CSG7.html#group24D7", "24D⁷"), =HYPERLINK("CSG13.html#group24A13", "24A¹³"), =HYPERLINK("CSG5.html#group12A5", "12A⁵"), =HYPERLINK("CSG19.html#group24J19", "24J¹⁹"), =HYPERLINK("CSG23.html#group72F23", "72F²³"), =HYPERLINK("CSG22.html#group72C22", "72C²²"), =HYPERLINK("CSG15.html#group24C15", "24C¹⁵"), =HYPERLINK("CSG9.html#group12A9", "12A⁹"), =HYPERLINK("CSG19.html#group36H19", "36H¹⁹"), =HYPERLINK("CSG17.html#group36E17", "36E¹⁷"), =HYPERLINK("CSG13.html#group12A13", "12A¹³"), =HYPERLINK("CSG19.html#group60C19", "60C¹⁹"), =HYPERLINK("CSG21.html#group36A21", "36A²¹"), =HYPERLINK("CSG19.html#group36E19", "36E¹⁹"), =HYPERLINK("CSG17.html#group24D17", "24D¹⁷"), =HYPERLINK("CSG21.html#group60E21", "60E²¹"), =HYPERLINK("CSG7.html#group12C7", "12C⁷"), =HYPERLINK("CSG17.html#group24E17", "24E¹⁷"), =HYPERLINK("CSG13.html#group24C13", "24C¹³")</f>
        <v/>
      </c>
    </row>
    <row r="442">
      <c r="A442" t="inlineStr">
        <is>
          <t>12C³</t>
        </is>
      </c>
      <c r="B442" t="inlineStr"/>
      <c r="C442" t="inlineStr">
        <is>
          <t>48</t>
        </is>
      </c>
      <c r="D442" t="inlineStr">
        <is>
          <t>1</t>
        </is>
      </c>
      <c r="E442" t="inlineStr">
        <is>
          <t>12</t>
        </is>
      </c>
      <c r="F442" t="inlineStr">
        <is>
          <t>0</t>
        </is>
      </c>
      <c r="G442" t="inlineStr">
        <is>
          <t>0</t>
        </is>
      </c>
      <c r="H442" t="inlineStr">
        <is>
          <t>12⁴</t>
        </is>
      </c>
      <c r="I442" t="n">
        <v>4</v>
      </c>
      <c r="J442" t="inlineStr">
        <is>
          <t>2², 4²</t>
        </is>
      </c>
      <c r="K442">
        <f>HYPERLINK("CSG0.html#group12F0", "12F⁰"), =HYPERLINK("CSG1.html#group6B1", "6B¹"), =HYPERLINK("CSG1.html#group12G1", "12G¹"), =HYPERLINK("CSG2.html#group12A2", "12A²")</f>
        <v/>
      </c>
      <c r="L442">
        <f>HYPERLINK("CSG5.html#group12A5", "12A⁵"), =HYPERLINK("CSG7.html#group12B7", "12B⁷"), =HYPERLINK("CSG7.html#group24A7", "24A⁷"), =HYPERLINK("CSG7.html#group24B7", "24B⁷"), =HYPERLINK("CSG9.html#group36J9", "36J⁹"), =HYPERLINK("CSG11.html#group36D11", "36D¹¹"), =HYPERLINK("CSG11.html#group36E11", "36E¹¹"), =HYPERLINK("CSG11.html#group36F11", "36F¹¹"), =HYPERLINK("CSG13.html#group24F13", "24F¹³"), =HYPERLINK("CSG19.html#group60G19", "60G¹⁹"), =HYPERLINK("CSG21.html#group60O21", "60O²¹")</f>
        <v/>
      </c>
      <c r="M442">
        <f>HYPERLINK("CSG1.html#group12G1", "12G¹"), =HYPERLINK("CSG0.html#group2A0", "2A⁰"), =HYPERLINK("CSG0.html#group12A0", "12A⁰"), =HYPERLINK("CSG0.html#group6B0", "6B⁰"), =HYPERLINK("CSG1.html#group6B1", "6B¹"), =HYPERLINK("CSG0.html#group4A0", "4A⁰"), =HYPERLINK("CSG0.html#group4D0", "4D⁰"), =HYPERLINK("CSG0.html#group12F0", "12F⁰"), =HYPERLINK("CSG2.html#group12A2", "12A²"), =HYPERLINK("CSG0.html#group3C0", "3C⁰"), =HYPERLINK("CSG1.html#group6A1", "6A¹"), =HYPERLINK("CSG0.html#group3A0", "3A⁰"), =HYPERLINK("CSG0.html#group1A0", "1A⁰")</f>
        <v/>
      </c>
      <c r="N442">
        <f>HYPERLINK("CSG21.html#group36B21", "36B²¹"), =HYPERLINK("CSG5.html#group12A5", "12A⁵"), =HYPERLINK("CSG19.html#group24B19", "24B¹⁹"), =HYPERLINK("CSG9.html#group12A9", "12A⁹"), =HYPERLINK("CSG23.html#group72H23", "72H²³"), =HYPERLINK("CSG15.html#group48A15", "48A¹⁵"), =HYPERLINK("CSG23.html#group72G23", "72G²³"), =HYPERLINK("CSG21.html#group72M21", "72M²¹"), =HYPERLINK("CSG13.html#group12A13", "12A¹³"), =HYPERLINK("CSG15.html#group48C15", "48C¹⁵"), =HYPERLINK("CSG21.html#group36A21", "36A²¹"), =HYPERLINK("CSG23.html#group72C23", "72C²³"), =HYPERLINK("CSG15.html#group24B15", "24B¹⁵"), =HYPERLINK("CSG17.html#group36E17", "36E¹⁷"), =HYPERLINK("CSG15.html#group48B15", "48B¹⁵"), =HYPERLINK("CSG7.html#group12B7", "12B⁷"), =HYPERLINK("CSG11.html#group36D11", "36D¹¹"), =HYPERLINK("CSG9.html#group36J9", "36J⁹"), =HYPERLINK("CSG11.html#group36E11", "36E¹¹"), =HYPERLINK("CSG19.html#group60G19", "60G¹⁹"), =HYPERLINK("CSG15.html#group24A15", "24A¹⁵"), =HYPERLINK("CSG13.html#group24F13", "24F¹³"), =HYPERLINK("CSG17.html#group36C17", "36C¹⁷"), =HYPERLINK("CSG11.html#group36F11", "36F¹¹"), =HYPERLINK("CSG23.html#group72A23", "72A²³"), =HYPERLINK("CSG13.html#group24B13", "24B¹³"), =HYPERLINK("CSG17.html#group24G17", "24G¹⁷"), =HYPERLINK("CSG21.html#group72N21", "72N²¹"), =HYPERLINK("CSG17.html#group24J17", "24J¹⁷"), =HYPERLINK("CSG13.html#group24A13", "24A¹³"), =HYPERLINK("CSG7.html#group24A7", "24A⁷"), =HYPERLINK("CSG23.html#group72B23", "72B²³"), =HYPERLINK("CSG19.html#group36H19", "36H¹⁹"), =HYPERLINK("CSG19.html#group36E19", "36E¹⁹"), =HYPERLINK("CSG19.html#group24C19", "24C¹⁹"), =HYPERLINK("CSG23.html#group72D23", "72D²³"), =HYPERLINK("CSG21.html#group60O21", "60O²¹"), =HYPERLINK("CSG7.html#group24B7", "24B⁷")</f>
        <v/>
      </c>
    </row>
    <row r="443">
      <c r="A443" t="inlineStr">
        <is>
          <t>12D³</t>
        </is>
      </c>
      <c r="B443" t="inlineStr"/>
      <c r="C443" t="inlineStr">
        <is>
          <t>72</t>
        </is>
      </c>
      <c r="D443" t="inlineStr">
        <is>
          <t>1</t>
        </is>
      </c>
      <c r="E443" t="inlineStr">
        <is>
          <t>3</t>
        </is>
      </c>
      <c r="F443" t="inlineStr">
        <is>
          <t>0</t>
        </is>
      </c>
      <c r="G443" t="inlineStr">
        <is>
          <t>0</t>
        </is>
      </c>
      <c r="H443" t="inlineStr">
        <is>
          <t>6⁴, 12⁴</t>
        </is>
      </c>
      <c r="I443" t="n">
        <v>8</v>
      </c>
      <c r="J443" t="inlineStr">
        <is>
          <t>1³</t>
        </is>
      </c>
      <c r="K443">
        <f>HYPERLINK("CSG0.html#group6K0", "6K⁰"), =HYPERLINK("CSG1.html#group12F1", "12F¹"), =HYPERLINK("CSG1.html#group12L1", "12L¹"), =HYPERLINK("CSG2.html#group12C2", "12C²")</f>
        <v/>
      </c>
      <c r="L443">
        <f>HYPERLINK("CSG5.html#group12B5", "12B⁵"), =HYPERLINK("CSG7.html#group12C7", "12C⁷"), =HYPERLINK("CSG7.html#group24H7", "24H⁷"), =HYPERLINK("CSG9.html#group24A9", "24A⁹"), =HYPERLINK("CSG9.html#group24B9", "24B⁹"), =HYPERLINK("CSG11.html#group36I11", "36I¹¹"), =HYPERLINK("CSG13.html#group36D13", "36D¹³"), =HYPERLINK("CSG15.html#group36A15", "36A¹⁵")</f>
        <v/>
      </c>
      <c r="M443">
        <f>HYPERLINK("CSG0.html#group3B0", "3B⁰"), =HYPERLINK("CSG0.html#group12C0", "12C⁰"), =HYPERLINK("CSG1.html#group12F1", "12F¹"), =HYPERLINK("CSG0.html#group4C0", "4C⁰"), =HYPERLINK("CSG0.html#group6G0", "6G⁰"), =HYPERLINK("CSG0.html#group2B0", "2B⁰"), =HYPERLINK("CSG0.html#group1A0", "1A⁰"), =HYPERLINK("CSG1.html#group12L1", "12L¹"), =HYPERLINK("CSG0.html#group3D0", "3D⁰"), =HYPERLINK("CSG1.html#group12C1", "12C¹"), =HYPERLINK("CSG0.html#group6F0", "6F⁰"), =HYPERLINK("CSG0.html#group3C0", "3C⁰"), =HYPERLINK("CSG0.html#group6K0", "6K⁰"), =HYPERLINK("CSG0.html#group3A0", "3A⁰"), =HYPERLINK("CSG2.html#group12C2", "12C²"), =HYPERLINK("CSG0.html#group6D0", "6D⁰")</f>
        <v/>
      </c>
      <c r="N443">
        <f>HYPERLINK("CSG21.html#group36E21", "36E²¹"), =HYPERLINK("CSG15.html#group48G15", "48G¹⁵"), =HYPERLINK("CSG5.html#group12B5", "12B⁵"), =HYPERLINK("CSG9.html#group12B9", "12B⁹"), =HYPERLINK("CSG21.html#group48X21", "48X²¹"), =HYPERLINK("CSG9.html#group24B9", "24B⁹"), =HYPERLINK("CSG15.html#group36A15", "36A¹⁵"), =HYPERLINK("CSG21.html#group48H21", "48H²¹"), =HYPERLINK("CSG13.html#group12B13", "12B¹³"), =HYPERLINK("CSG13.html#group36D13", "36D¹³"), =HYPERLINK("CSG13.html#group24K13", "24K¹³"), =HYPERLINK("CSG17.html#group24E17", "24E¹⁷"), =HYPERLINK("CSG19.html#group24J19", "24J¹⁹"), =HYPERLINK("CSG15.html#group24C15", "24C¹⁵"), =HYPERLINK("CSG17.html#group24L17", "24L¹⁷"), =HYPERLINK("CSG11.html#group36I11", "36I¹¹"), =HYPERLINK("CSG21.html#group48B21", "48B²¹"), =HYPERLINK("CSG21.html#group48W21", "48W²¹"), =HYPERLINK("CSG19.html#group48J19", "48J¹⁹"), =HYPERLINK("CSG21.html#group48C21", "48C²¹"), =HYPERLINK("CSG9.html#group24A9", "24A⁹"), =HYPERLINK("CSG13.html#group12A13", "12A¹³"), =HYPERLINK("CSG17.html#group24K17", "24K¹⁷"), =HYPERLINK("CSG21.html#group48A21", "48A²¹"), =HYPERLINK("CSG21.html#group48D21", "48D²¹"), =HYPERLINK("CSG17.html#group24D17", "24D¹⁷"), =HYPERLINK("CSG13.html#group24J13", "24J¹³"), =HYPERLINK("CSG21.html#group48G21", "48G²¹"), =HYPERLINK("CSG7.html#group12C7", "12C⁷"), =HYPERLINK("CSG13.html#group24O13", "24O¹³"), =HYPERLINK("CSG13.html#group24P13", "24P¹³"), =HYPERLINK("CSG17.html#group24A17", "24A¹⁷"), =HYPERLINK("CSG7.html#group24H7", "24H⁷"), =HYPERLINK("CSG17.html#group24C17", "24C¹⁷")</f>
        <v/>
      </c>
    </row>
    <row r="444">
      <c r="A444" t="inlineStr">
        <is>
          <t>12E³</t>
        </is>
      </c>
      <c r="B444" t="inlineStr"/>
      <c r="C444" t="inlineStr">
        <is>
          <t>72</t>
        </is>
      </c>
      <c r="D444" t="inlineStr">
        <is>
          <t>1</t>
        </is>
      </c>
      <c r="E444" t="inlineStr">
        <is>
          <t>9</t>
        </is>
      </c>
      <c r="F444" t="inlineStr">
        <is>
          <t>0</t>
        </is>
      </c>
      <c r="G444" t="inlineStr">
        <is>
          <t>0</t>
        </is>
      </c>
      <c r="H444" t="inlineStr">
        <is>
          <t>6⁴, 12⁴</t>
        </is>
      </c>
      <c r="I444" t="n">
        <v>8</v>
      </c>
      <c r="J444" t="inlineStr">
        <is>
          <t>1³, 2³</t>
        </is>
      </c>
      <c r="K444">
        <f>HYPERLINK("CSG0.html#group6L0", "6L⁰"), =HYPERLINK("CSG1.html#group12K1", "12K¹"), =HYPERLINK("CSG1.html#group12N1", "12N¹"), =HYPERLINK("CSG2.html#group12C2", "12C²"), =HYPERLINK("CSG2.html#group12D2", "12D²")</f>
        <v/>
      </c>
      <c r="L444">
        <f>HYPERLINK("CSG5.html#group12B5", "12B⁵"), =HYPERLINK("CSG7.html#group12E7", "12E⁷"), =HYPERLINK("CSG7.html#group24N7", "24N⁷"), =HYPERLINK("CSG9.html#group24L9", "24L⁹"), =HYPERLINK("CSG11.html#group36L11", "36L¹¹"), =HYPERLINK("CSG15.html#group36B15", "36B¹⁵"), =HYPERLINK("CSG15.html#group36I15", "36I¹⁵")</f>
        <v/>
      </c>
      <c r="M444">
        <f>HYPERLINK("CSG0.html#group6B0", "6B⁰"), =HYPERLINK("CSG1.html#group12K1", "12K¹"), =HYPERLINK("CSG2.html#group12D2", "12D²"), =HYPERLINK("CSG0.html#group6G0", "6G⁰"), =HYPERLINK("CSG0.html#group2B0", "2B⁰"), =HYPERLINK("CSG1.html#group12N1", "12N¹"), =HYPERLINK("CSG0.html#group4B0", "4B⁰"), =HYPERLINK("CSG0.html#group1A0", "1A⁰"), =HYPERLINK("CSG1.html#group12C1", "12C¹"), =HYPERLINK("CSG0.html#group6E0", "6E⁰"), =HYPERLINK("CSG0.html#group6L0", "6L⁰"), =HYPERLINK("CSG0.html#group3C0", "3C⁰"), =HYPERLINK("CSG1.html#group12B1", "12B¹"), =HYPERLINK("CSG0.html#group12D0", "12D⁰"), =HYPERLINK("CSG0.html#group6H0", "6H⁰"), =HYPERLINK("CSG0.html#group3A0", "3A⁰"), =HYPERLINK("CSG2.html#group12C2", "12C²"), =HYPERLINK("CSG0.html#group6D0", "6D⁰")</f>
        <v/>
      </c>
      <c r="N444">
        <f>HYPERLINK("CSG17.html#group48V17", "48V¹⁷"), =HYPERLINK("CSG11.html#group36L11", "36L¹¹"), =HYPERLINK("CSG21.html#group36E21", "36E²¹"), =HYPERLINK("CSG5.html#group12B5", "12B⁵"), =HYPERLINK("CSG9.html#group12B9", "12B⁹"), =HYPERLINK("CSG15.html#group36I15", "36I¹⁵"), =HYPERLINK("CSG7.html#group24N7", "24N⁷"), =HYPERLINK("CSG17.html#group24X17", "24X¹⁷"), =HYPERLINK("CSG7.html#group12E7", "12E⁷"), =HYPERLINK("CSG13.html#group12B13", "12B¹³"), =HYPERLINK("CSG15.html#group24H15", "24H¹⁵"), =HYPERLINK("CSG13.html#group24K13", "24K¹³"), =HYPERLINK("CSG17.html#group48G17", "48G¹⁷"), =HYPERLINK("CSG17.html#group48F17", "48F¹⁷"), =HYPERLINK("CSG19.html#group48AA19", "48AA¹⁹"), =HYPERLINK("CSG15.html#group24G15", "24G¹⁵"), =HYPERLINK("CSG15.html#group36B15", "36B¹⁵"), =HYPERLINK("CSG13.html#group12A13", "12A¹³"), =HYPERLINK("CSG13.html#group24J13", "24J¹³"), =HYPERLINK("CSG15.html#group48R15", "48R¹⁵"), =HYPERLINK("CSG9.html#group24L9", "24L⁹"), =HYPERLINK("CSG13.html#group24O13", "24O¹³"), =HYPERLINK("CSG13.html#group24P13", "24P¹³"), =HYPERLINK("CSG17.html#group24A17", "24A¹⁷"), =HYPERLINK("CSG17.html#group24C17", "24C¹⁷")</f>
        <v/>
      </c>
    </row>
    <row r="445">
      <c r="A445" t="inlineStr">
        <is>
          <t>12F³</t>
        </is>
      </c>
      <c r="B445" t="inlineStr"/>
      <c r="C445" t="inlineStr">
        <is>
          <t>72</t>
        </is>
      </c>
      <c r="D445" t="inlineStr">
        <is>
          <t>1</t>
        </is>
      </c>
      <c r="E445" t="inlineStr">
        <is>
          <t>9</t>
        </is>
      </c>
      <c r="F445" t="inlineStr">
        <is>
          <t>0</t>
        </is>
      </c>
      <c r="G445" t="inlineStr">
        <is>
          <t>0</t>
        </is>
      </c>
      <c r="H445" t="inlineStr">
        <is>
          <t>6⁴, 12⁴</t>
        </is>
      </c>
      <c r="I445" t="n">
        <v>8</v>
      </c>
      <c r="J445" t="inlineStr">
        <is>
          <t>1³, 2³</t>
        </is>
      </c>
      <c r="K445">
        <f>HYPERLINK("CSG0.html#group12G0", "12G⁰"), =HYPERLINK("CSG1.html#group6E1", "6E¹"), =HYPERLINK("CSG1.html#group12N1", "12N¹"), =HYPERLINK("CSG2.html#group12C2", "12C²"), =HYPERLINK("CSG2.html#group12E2", "12E²")</f>
        <v/>
      </c>
      <c r="L445">
        <f>HYPERLINK("CSG5.html#group12B5", "12B⁵"), =HYPERLINK("CSG7.html#group12D7", "12D⁷"), =HYPERLINK("CSG7.html#group24M7", "24M⁷"), =HYPERLINK("CSG9.html#group24K9", "24K⁹"), =HYPERLINK("CSG11.html#group36M11", "36M¹¹"), =HYPERLINK("CSG15.html#group36C15", "36C¹⁵"), =HYPERLINK("CSG15.html#group36J15", "36J¹⁵")</f>
        <v/>
      </c>
      <c r="M445">
        <f>HYPERLINK("CSG1.html#group6E1", "6E¹"), =HYPERLINK("CSG0.html#group2A0", "2A⁰"), =HYPERLINK("CSG0.html#group6B0", "6B⁰"), =HYPERLINK("CSG1.html#group6C1", "6C¹"), =HYPERLINK("CSG2.html#group12E2", "12E²"), =HYPERLINK("CSG0.html#group6G0", "6G⁰"), =HYPERLINK("CSG0.html#group2B0", "2B⁰"), =HYPERLINK("CSG1.html#group12N1", "12N¹"), =HYPERLINK("CSG0.html#group1A0", "1A⁰"), =HYPERLINK("CSG0.html#group12G0", "12G⁰"), =HYPERLINK("CSG0.html#group6A0", "6A⁰"), =HYPERLINK("CSG1.html#group12C1", "12C¹"), =HYPERLINK("CSG1.html#group6B1", "6B¹"), =HYPERLINK("CSG0.html#group3C0", "3C⁰"), =HYPERLINK("CSG1.html#group6A1", "6A¹"), =HYPERLINK("CSG0.html#group12D0", "12D⁰"), =HYPERLINK("CSG0.html#group6H0", "6H⁰"), =HYPERLINK("CSG0.html#group3A0", "3A⁰"), =HYPERLINK("CSG2.html#group12C2", "12C²"), =HYPERLINK("CSG0.html#group2C0", "2C⁰"), =HYPERLINK("CSG0.html#group6D0", "6D⁰")</f>
        <v/>
      </c>
      <c r="N445">
        <f>HYPERLINK("CSG7.html#group24M7", "24M⁷"), =HYPERLINK("CSG21.html#group36E21", "36E²¹"), =HYPERLINK("CSG5.html#group12B5", "12B⁵"), =HYPERLINK("CSG9.html#group12B9", "12B⁹"), =HYPERLINK("CSG15.html#group36C15", "36C¹⁵"), =HYPERLINK("CSG17.html#group24H17", "24H¹⁷"), =HYPERLINK("CSG13.html#group12B13", "12B¹³"), =HYPERLINK("CSG17.html#group24I17", "24I¹⁷"), =HYPERLINK("CSG13.html#group24K13", "24K¹³"), =HYPERLINK("CSG15.html#group24F15", "24F¹⁵"), =HYPERLINK("CSG15.html#group24J15", "24J¹⁵"), =HYPERLINK("CSG7.html#group12D7", "12D⁷"), =HYPERLINK("CSG11.html#group36M11", "36M¹¹"), =HYPERLINK("CSG13.html#group12A13", "12A¹³"), =HYPERLINK("CSG13.html#group24J13", "24J¹³"), =HYPERLINK("CSG19.html#group24K19", "24K¹⁹"), =HYPERLINK("CSG9.html#group24K9", "24K⁹"), =HYPERLINK("CSG17.html#group24Y17", "24Y¹⁷"), =HYPERLINK("CSG13.html#group24O13", "24O¹³"), =HYPERLINK("CSG13.html#group24P13", "24P¹³"), =HYPERLINK("CSG17.html#group24A17", "24A¹⁷"), =HYPERLINK("CSG15.html#group36J15", "36J¹⁵"), =HYPERLINK("CSG17.html#group24C17", "24C¹⁷")</f>
        <v/>
      </c>
    </row>
    <row r="446">
      <c r="A446" t="inlineStr">
        <is>
          <t>12G³</t>
        </is>
      </c>
      <c r="B446" t="inlineStr"/>
      <c r="C446" t="inlineStr">
        <is>
          <t>72</t>
        </is>
      </c>
      <c r="D446" t="inlineStr">
        <is>
          <t>1</t>
        </is>
      </c>
      <c r="E446" t="inlineStr">
        <is>
          <t>9</t>
        </is>
      </c>
      <c r="F446" t="inlineStr">
        <is>
          <t>0</t>
        </is>
      </c>
      <c r="G446" t="inlineStr">
        <is>
          <t>0</t>
        </is>
      </c>
      <c r="H446" t="inlineStr">
        <is>
          <t>6⁴, 12⁴</t>
        </is>
      </c>
      <c r="I446" t="n">
        <v>8</v>
      </c>
      <c r="J446" t="inlineStr">
        <is>
          <t>1³, 2³</t>
        </is>
      </c>
      <c r="K446">
        <f>HYPERLINK("CSG0.html#group12H0", "12H⁰"), =HYPERLINK("CSG1.html#group6E1", "6E¹"), =HYPERLINK("CSG1.html#group12K1", "12K¹"), =HYPERLINK("CSG1.html#group12L1", "12L¹"), =HYPERLINK("CSG2.html#group12B2", "12B²"), =HYPERLINK("CSG2.html#group12D2", "12D²"), =HYPERLINK("CSG2.html#group12E2", "12E²")</f>
        <v/>
      </c>
      <c r="L446">
        <f>HYPERLINK("CSG5.html#group12B5", "12B⁵"), =HYPERLINK("CSG7.html#group12B7", "12B⁷"), =HYPERLINK("CSG7.html#group12D7", "12D⁷"), =HYPERLINK("CSG7.html#group24I7", "24I⁷"), =HYPERLINK("CSG7.html#group24J7", "24J⁷"), =HYPERLINK("CSG7.html#group24V7", "24V⁷"), =HYPERLINK("CSG7.html#group24W7", "24W⁷"), =HYPERLINK("CSG9.html#group24G9", "24G⁹"), =HYPERLINK("CSG9.html#group24J9", "24J⁹"), =HYPERLINK("CSG11.html#group36N11", "36N¹¹"), =HYPERLINK("CSG15.html#group36D15", "36D¹⁵"), =HYPERLINK("CSG15.html#group36K15", "36K¹⁵")</f>
        <v/>
      </c>
      <c r="M446">
        <f>HYPERLINK("CSG1.html#group6E1", "6E¹"), =HYPERLINK("CSG0.html#group2A0", "2A⁰"), =HYPERLINK("CSG0.html#group6B0", "6B⁰"), =HYPERLINK("CSG1.html#group12K1", "12K¹"), =HYPERLINK("CSG0.html#group3A0", "3A⁰"), =HYPERLINK("CSG0.html#group12C0", "12C⁰"), =HYPERLINK("CSG2.html#group12D2", "12D²"), =HYPERLINK("CSG1.html#group6C1", "6C¹"), =HYPERLINK("CSG0.html#group4C0", "4C⁰"), =HYPERLINK("CSG2.html#group12B2", "12B²"), =HYPERLINK("CSG2.html#group12E2", "12E²"), =HYPERLINK("CSG0.html#group6G0", "6G⁰"), =HYPERLINK("CSG0.html#group2B0", "2B⁰"), =HYPERLINK("CSG0.html#group4E0", "4E⁰"), =HYPERLINK("CSG0.html#group4B0", "4B⁰"), =HYPERLINK("CSG1.html#group12L1", "12L¹"), =HYPERLINK("CSG0.html#group1A0", "1A⁰"), =HYPERLINK("CSG0.html#group6A0", "6A⁰"), =HYPERLINK("CSG1.html#group12C1", "12C¹"), =HYPERLINK("CSG1.html#group6B1", "6B¹"), =HYPERLINK("CSG0.html#group3C0", "3C⁰"), =HYPERLINK("CSG1.html#group6A1", "6A¹"), =HYPERLINK("CSG1.html#group12B1", "12B¹"), =HYPERLINK("CSG0.html#group12D0", "12D⁰"), =HYPERLINK("CSG0.html#group6H0", "6H⁰"), =HYPERLINK("CSG0.html#group12H0", "12H⁰"), =HYPERLINK("CSG0.html#group2C0", "2C⁰"), =HYPERLINK("CSG0.html#group6D0", "6D⁰")</f>
        <v/>
      </c>
      <c r="N446">
        <f>HYPERLINK("CSG21.html#group48AO21", "48AO²¹"), =HYPERLINK("CSG15.html#group36K15", "36K¹⁵"), =HYPERLINK("CSG5.html#group12B5", "12B⁵"), =HYPERLINK("CSG7.html#group24J7", "24J⁷"), =HYPERLINK("CSG9.html#group24G9", "24G⁹"), =HYPERLINK("CSG15.html#group36D15", "36D¹⁵"), =HYPERLINK("CSG17.html#group24I17", "24I¹⁷"), =HYPERLINK("CSG21.html#group48S21", "48S²¹"), =HYPERLINK("CSG19.html#group24B19", "24B¹⁹"), =HYPERLINK("CSG15.html#group24F15", "24F¹⁵"), =HYPERLINK("CSG17.html#group24Z17", "24Z¹⁷"), =HYPERLINK("CSG17.html#group48U17", "48U¹⁷"), =HYPERLINK("CSG21.html#group48AU21", "48AU²¹"), =HYPERLINK("CSG21.html#group48P21", "48P²¹"), =HYPERLINK("CSG13.html#group12A13", "12A¹³"), =HYPERLINK("CSG21.html#group48O21", "48O²¹"), =HYPERLINK("CSG21.html#group48Y21", "48Y²¹"), =HYPERLINK("CSG15.html#group48E15", "48E¹⁵"), =HYPERLINK("CSG15.html#group24B15", "24B¹⁵"), =HYPERLINK("CSG13.html#group24J13", "24J¹³"), =HYPERLINK("CSG7.html#group12B7", "12B⁷"), =HYPERLINK("CSG7.html#group24I7", "24I⁷"), =HYPERLINK("CSG19.html#group24K19", "24K¹⁹"), =HYPERLINK("CSG11.html#group36N11", "36N¹¹"), =HYPERLINK("CSG9.html#group24J9", "24J⁹"), =HYPERLINK("CSG15.html#group24D15", "24D¹⁵"), =HYPERLINK("CSG13.html#group24O13", "24O¹³"), =HYPERLINK("CSG17.html#group24A17", "24A¹⁷"), =HYPERLINK("CSG15.html#group24A15", "24A¹⁵"), =HYPERLINK("CSG15.html#group48K15", "48K¹⁵"), =HYPERLINK("CSG21.html#group36E21", "36E²¹"), =HYPERLINK("CSG21.html#group48Z21", "48Z²¹"), =HYPERLINK("CSG15.html#group48F15", "48F¹⁵"), =HYPERLINK("CSG17.html#group24V17", "24V¹⁷"), =HYPERLINK("CSG19.html#group48K19", "48K¹⁹"), =HYPERLINK("CSG7.html#group24V7", "24V⁷"), =HYPERLINK("CSG9.html#group12B9", "12B⁹"), =HYPERLINK("CSG17.html#group48K17", "48K¹⁷"), =HYPERLINK("CSG17.html#group24G17", "24G¹⁷"), =HYPERLINK("CSG17.html#group24H17", "24H¹⁷"), =HYPERLINK("CSG13.html#group12B13", "12B¹³"), =HYPERLINK("CSG17.html#group24J17", "24J¹⁷"), =HYPERLINK("CSG13.html#group24K13", "24K¹³"), =HYPERLINK("CSG7.html#group24W7", "24W⁷"), =HYPERLINK("CSG15.html#group24E15", "24E¹⁵"), =HYPERLINK("CSG15.html#group24J15", "24J¹⁵"), =HYPERLINK("CSG15.html#group24I15", "24I¹⁵"), =HYPERLINK("CSG7.html#group12D7", "12D⁷"), =HYPERLINK("CSG19.html#group48F19", "48F¹⁹"), =HYPERLINK("CSG17.html#group24T17", "24T¹⁷"), =HYPERLINK("CSG19.html#group48E19", "48E¹⁹"), =HYPERLINK("CSG21.html#group48K21", "48K²¹"), =HYPERLINK("CSG19.html#group24C19", "24C¹⁹"), =HYPERLINK("CSG17.html#group24Y17", "24Y¹⁷"), =HYPERLINK("CSG13.html#group24P13", "24P¹³"), =HYPERLINK("CSG21.html#group48AP21", "48AP²¹"), =HYPERLINK("CSG17.html#group24C17", "24C¹⁷"), =HYPERLINK("CSG17.html#group48E17", "48E¹⁷")</f>
        <v/>
      </c>
    </row>
    <row r="447">
      <c r="A447" t="inlineStr">
        <is>
          <t>12H³</t>
        </is>
      </c>
      <c r="B447" t="inlineStr"/>
      <c r="C447" t="inlineStr">
        <is>
          <t>72</t>
        </is>
      </c>
      <c r="D447" t="inlineStr">
        <is>
          <t>1</t>
        </is>
      </c>
      <c r="E447" t="inlineStr">
        <is>
          <t>18</t>
        </is>
      </c>
      <c r="F447" t="inlineStr">
        <is>
          <t>4</t>
        </is>
      </c>
      <c r="G447" t="inlineStr">
        <is>
          <t>0</t>
        </is>
      </c>
      <c r="H447" t="inlineStr">
        <is>
          <t>12⁶</t>
        </is>
      </c>
      <c r="I447" t="n">
        <v>6</v>
      </c>
      <c r="J447" t="inlineStr">
        <is>
          <t>2³, 4³</t>
        </is>
      </c>
      <c r="K447">
        <f>HYPERLINK("CSG0.html#group6L0", "6L⁰"), =HYPERLINK("CSG1.html#group12D1", "12D¹")</f>
        <v/>
      </c>
      <c r="L447">
        <f>HYPERLINK("CSG5.html#group12C5", "12C⁵"), =HYPERLINK("CSG7.html#group12A7", "12A⁷"), =HYPERLINK("CSG7.html#group12E7", "12E⁷"), =HYPERLINK("CSG12.html#group36A12", "36A¹²"), =HYPERLINK("CSG12.html#group36B12", "36B¹²"), =HYPERLINK("CSG13.html#group36G13", "36G¹³"), =HYPERLINK("CSG15.html#group36L15", "36L¹⁵")</f>
        <v/>
      </c>
      <c r="M447">
        <f>HYPERLINK("CSG1.html#group12D1", "12D¹"), =HYPERLINK("CSG0.html#group6B0", "6B⁰"), =HYPERLINK("CSG0.html#group6E0", "6E⁰"), =HYPERLINK("CSG0.html#group6L0", "6L⁰"), =HYPERLINK("CSG0.html#group6G0", "6G⁰"), =HYPERLINK("CSG0.html#group3C0", "3C⁰"), =HYPERLINK("CSG0.html#group2B0", "2B⁰"), =HYPERLINK("CSG0.html#group6H0", "6H⁰"), =HYPERLINK("CSG0.html#group3A0", "3A⁰"), =HYPERLINK("CSG0.html#group1A0", "1A⁰"), =HYPERLINK("CSG0.html#group6D0", "6D⁰")</f>
        <v/>
      </c>
      <c r="N447">
        <f>HYPERLINK("CSG7.html#group12A7", "12A⁷"), =HYPERLINK("CSG12.html#group36A12", "36A¹²"), =HYPERLINK("CSG12.html#group36B12", "36B¹²"), =HYPERLINK("CSG5.html#group12C5", "12C⁵"), =HYPERLINK("CSG23.html#group36C23", "36C²³"), =HYPERLINK("CSG17.html#group24M17", "24M¹⁷"), =HYPERLINK("CSG15.html#group24K15", "24K¹⁵"), =HYPERLINK("CSG17.html#group24X17", "24X¹⁷"), =HYPERLINK("CSG7.html#group12E7", "12E⁷"), =HYPERLINK("CSG15.html#group36L15", "36L¹⁵"), =HYPERLINK("CSG13.html#group12B13", "12B¹³"), =HYPERLINK("CSG13.html#group24Q13", "24Q¹³"), =HYPERLINK("CSG13.html#group36G13", "36G¹³"), =HYPERLINK("CSG23.html#group36B23", "36B²³"), =HYPERLINK("CSG11.html#group12A11", "12A¹¹")</f>
        <v/>
      </c>
    </row>
    <row r="448">
      <c r="A448" t="inlineStr">
        <is>
          <t>12I³</t>
        </is>
      </c>
      <c r="B448" t="inlineStr"/>
      <c r="C448" t="inlineStr">
        <is>
          <t>72</t>
        </is>
      </c>
      <c r="D448" t="inlineStr">
        <is>
          <t>1</t>
        </is>
      </c>
      <c r="E448" t="inlineStr">
        <is>
          <t>18</t>
        </is>
      </c>
      <c r="F448" t="inlineStr">
        <is>
          <t>4</t>
        </is>
      </c>
      <c r="G448" t="inlineStr">
        <is>
          <t>0</t>
        </is>
      </c>
      <c r="H448" t="inlineStr">
        <is>
          <t>12⁶</t>
        </is>
      </c>
      <c r="I448" t="n">
        <v>6</v>
      </c>
      <c r="J448" t="inlineStr">
        <is>
          <t>1², 2⁴, 4²</t>
        </is>
      </c>
      <c r="K448">
        <f>HYPERLINK("CSG1.html#group12L1", "12L¹"), =HYPERLINK("CSG1.html#group12M1", "12M¹")</f>
        <v/>
      </c>
      <c r="L448">
        <f>HYPERLINK("CSG5.html#group12D5", "12D⁵"), =HYPERLINK("CSG7.html#group12C7", "12C⁷"), =HYPERLINK("CSG7.html#group12D7", "12D⁷"), =HYPERLINK("CSG7.html#group24O7", "24O⁷"), =HYPERLINK("CSG7.html#group24P7", "24P⁷"), =HYPERLINK("CSG9.html#group24O9", "24O⁹"), =HYPERLINK("CSG9.html#group24N9", "24N⁹"), =HYPERLINK("CSG12.html#group36C12", "36C¹²"), =HYPERLINK("CSG13.html#group36H13", "36H¹³"), =HYPERLINK("CSG15.html#group36M15", "36M¹⁵")</f>
        <v/>
      </c>
      <c r="M448">
        <f>HYPERLINK("CSG0.html#group12C0", "12C⁰"), =HYPERLINK("CSG1.html#group12C1", "12C¹"), =HYPERLINK("CSG0.html#group4C0", "4C⁰"), =HYPERLINK("CSG0.html#group6G0", "6G⁰"), =HYPERLINK("CSG0.html#group3C0", "3C⁰"), =HYPERLINK("CSG0.html#group1A0", "1A⁰"), =HYPERLINK("CSG1.html#group12M1", "12M¹"), =HYPERLINK("CSG0.html#group2B0", "2B⁰"), =HYPERLINK("CSG0.html#group3A0", "3A⁰"), =HYPERLINK("CSG1.html#group12L1", "12L¹"), =HYPERLINK("CSG0.html#group6D0", "6D⁰")</f>
        <v/>
      </c>
      <c r="N448">
        <f>HYPERLINK("CSG17.html#group48O17", "48O¹⁷"), =HYPERLINK("CSG17.html#group48N17", "48N¹⁷"), =HYPERLINK("CSG13.html#group36H13", "36H¹³"), =HYPERLINK("CSG13.html#group24R13", "24R¹³"), =HYPERLINK("CSG17.html#group48AI17", "48AI¹⁷"), =HYPERLINK("CSG15.html#group36M15", "36M¹⁵"), =HYPERLINK("CSG17.html#group24AA17", "24AA¹⁷"), =HYPERLINK("CSG17.html#group24I17", "24I¹⁷"), =HYPERLINK("CSG15.html#group24L15", "24L¹⁵"), =HYPERLINK("CSG15.html#group24C15", "24C¹⁵"), =HYPERLINK("CSG17.html#group48AJ17", "48AJ¹⁷"), =HYPERLINK("CSG9.html#group24O9", "24O⁹"), =HYPERLINK("CSG17.html#group24AI17", "24AI¹⁷"), =HYPERLINK("CSG15.html#group24F15", "24F¹⁵"), =HYPERLINK("CSG11.html#group12A11", "12A¹¹"), =HYPERLINK("CSG13.html#group12A13", "12A¹³"), =HYPERLINK("CSG17.html#group24D17", "24D¹⁷"), =HYPERLINK("CSG19.html#group24K19", "24K¹⁹"), =HYPERLINK("CSG12.html#group36C12", "36C¹²"), =HYPERLINK("CSG21.html#group48BT21", "48BT²¹"), =HYPERLINK("CSG15.html#group24U15", "24U¹⁵"), =HYPERLINK("CSG17.html#group24E17", "24E¹⁷"), =HYPERLINK("CSG7.html#group24P7", "24P⁷"), =HYPERLINK("CSG21.html#group48AC21", "48AC²¹"), =HYPERLINK("CSG13.html#group24T13", "24T¹³"), =HYPERLINK("CSG7.html#group24O7", "24O⁷"), =HYPERLINK("CSG19.html#group48X19", "48X¹⁹"), =HYPERLINK("CSG13.html#group24U13", "24U¹³"), =HYPERLINK("CSG5.html#group12D5", "12D⁵"), =HYPERLINK("CSG17.html#group24H17", "24H¹⁷"), =HYPERLINK("CSG19.html#group48AF19", "48AF¹⁹"), =HYPERLINK("CSG19.html#group48BB19", "48BB¹⁹"), =HYPERLINK("CSG17.html#group24N17", "24N¹⁷"), =HYPERLINK("CSG19.html#group48AG19", "48AG¹⁹"), =HYPERLINK("CSG21.html#group48AB21", "48AB²¹"), =HYPERLINK("CSG19.html#group24J19", "24J¹⁹"), =HYPERLINK("CSG19.html#group48W19", "48W¹⁹"), =HYPERLINK("CSG15.html#group24J15", "24J¹⁵"), =HYPERLINK("CSG23.html#group36D23", "36D²³"), =HYPERLINK("CSG7.html#group12D7", "12D⁷"), =HYPERLINK("CSG17.html#group24AE17", "24AE¹⁷"), =HYPERLINK("CSG17.html#group24Y17", "24Y¹⁷"), =HYPERLINK("CSG7.html#group12C7", "12C⁷"), =HYPERLINK("CSG9.html#group24N9", "24N⁹")</f>
        <v/>
      </c>
    </row>
    <row r="449">
      <c r="A449" t="inlineStr">
        <is>
          <t>12J³</t>
        </is>
      </c>
      <c r="B449" t="inlineStr"/>
      <c r="C449" t="inlineStr">
        <is>
          <t>72</t>
        </is>
      </c>
      <c r="D449" t="inlineStr">
        <is>
          <t>1</t>
        </is>
      </c>
      <c r="E449" t="inlineStr">
        <is>
          <t>18</t>
        </is>
      </c>
      <c r="F449" t="inlineStr">
        <is>
          <t>4</t>
        </is>
      </c>
      <c r="G449" t="inlineStr">
        <is>
          <t>0</t>
        </is>
      </c>
      <c r="H449" t="inlineStr">
        <is>
          <t>12⁶</t>
        </is>
      </c>
      <c r="I449" t="n">
        <v>6</v>
      </c>
      <c r="J449" t="inlineStr">
        <is>
          <t>1², 2⁴, 4²</t>
        </is>
      </c>
      <c r="K449">
        <f>HYPERLINK("CSG1.html#group12G1", "12G¹"), =HYPERLINK("CSG1.html#group12J1", "12J¹"), =HYPERLINK("CSG1.html#group12L1", "12L¹"), =HYPERLINK("CSG1.html#group12M1", "12M¹")</f>
        <v/>
      </c>
      <c r="L449">
        <f>HYPERLINK("CSG5.html#group12D5", "12D⁵"), =HYPERLINK("CSG7.html#group12B7", "12B⁷"), =HYPERLINK("CSG7.html#group12C7", "12C⁷"), =HYPERLINK("CSG7.html#group24Q7", "24Q⁷"), =HYPERLINK("CSG7.html#group24R7", "24R⁷"), =HYPERLINK("CSG7.html#group24X7", "24X⁷"), =HYPERLINK("CSG7.html#group24Y7", "24Y⁷"), =HYPERLINK("CSG9.html#group24P9", "24P⁹"), =HYPERLINK("CSG9.html#group24R9", "24R⁹"), =HYPERLINK("CSG9.html#group24V9", "24V⁹"), =HYPERLINK("CSG9.html#group24Y9", "24Y⁹"), =HYPERLINK("CSG12.html#group36D12", "36D¹²"), =HYPERLINK("CSG13.html#group36I13", "36I¹³"), =HYPERLINK("CSG15.html#group36N15", "36N¹⁵")</f>
        <v/>
      </c>
      <c r="M449">
        <f>HYPERLINK("CSG1.html#group12G1", "12G¹"), =HYPERLINK("CSG0.html#group12C0", "12C⁰"), =HYPERLINK("CSG0.html#group4C0", "4C⁰"), =HYPERLINK("CSG0.html#group6G0", "6G⁰"), =HYPERLINK("CSG1.html#group12M1", "12M¹"), =HYPERLINK("CSG0.html#group2B0", "2B⁰"), =HYPERLINK("CSG0.html#group1A0", "1A⁰"), =HYPERLINK("CSG1.html#group12L1", "12L¹"), =HYPERLINK("CSG0.html#group12A0", "12A⁰"), =HYPERLINK("CSG1.html#group12C1", "12C¹"), =HYPERLINK("CSG0.html#group4A0", "4A⁰"), =HYPERLINK("CSG0.html#group3C0", "3C⁰"), =HYPERLINK("CSG1.html#group12J1", "12J¹"), =HYPERLINK("CSG0.html#group4F0", "4F⁰"), =HYPERLINK("CSG0.html#group3A0", "3A⁰"), =HYPERLINK("CSG0.html#group6D0", "6D⁰")</f>
        <v/>
      </c>
      <c r="N449">
        <f>HYPERLINK("CSG17.html#group48BM17", "48BM¹⁷"), =HYPERLINK("CSG13.html#group24R13", "24R¹³"), =HYPERLINK("CSG7.html#group24X7", "24X⁷"), =HYPERLINK("CSG12.html#group36D12", "36D¹²"), =HYPERLINK("CSG19.html#group24M19", "24M¹⁹"), =HYPERLINK("CSG17.html#group24AA17", "24AA¹⁷"), =HYPERLINK("CSG19.html#group48AI19", "48AI¹⁹"), =HYPERLINK("CSG17.html#group48AK17", "48AK¹⁷"), =HYPERLINK("CSG15.html#group24L15", "24L¹⁵"), =HYPERLINK("CSG15.html#group24C15", "24C¹⁵"), =HYPERLINK("CSG19.html#group24B19", "24B¹⁹"), =HYPERLINK("CSG11.html#group12A11", "12A¹¹"), =HYPERLINK("CSG17.html#group24AB17", "24AB¹⁷"), =HYPERLINK("CSG21.html#group48AF21", "48AF²¹"), =HYPERLINK("CSG7.html#group24R7", "24R⁷"), =HYPERLINK("CSG21.html#group48AZ21", "48AZ²¹"), =HYPERLINK("CSG13.html#group12A13", "12A¹³"), =HYPERLINK("CSG19.html#group48Z19", "48Z¹⁹"), =HYPERLINK("CSG17.html#group48AE17", "48AE¹⁷"), =HYPERLINK("CSG19.html#group24O19", "24O¹⁹"), =HYPERLINK("CSG15.html#group24B15", "24B¹⁵"), =HYPERLINK("CSG17.html#group24D17", "24D¹⁷"), =HYPERLINK("CSG7.html#group12B7", "12B⁷"), =HYPERLINK("CSG9.html#group24Y9", "24Y⁹"), =HYPERLINK("CSG17.html#group24AH17", "24AH¹⁷"), =HYPERLINK("CSG17.html#group48Q17", "48Q¹⁷"), =HYPERLINK("CSG17.html#group24AC17", "24AC¹⁷"), =HYPERLINK("CSG17.html#group24E17", "24E¹⁷"), =HYPERLINK("CSG17.html#group24AD17", "24AD¹⁷"), =HYPERLINK("CSG15.html#group24A15", "24A¹⁵"), =HYPERLINK("CSG9.html#group24P9", "24P⁹"), =HYPERLINK("CSG17.html#group24AG17", "24AG¹⁷"), =HYPERLINK("CSG15.html#group36N15", "36N¹⁵"), =HYPERLINK("CSG13.html#group24T13", "24T¹³"), =HYPERLINK("CSG21.html#group48AD21", "48AD²¹"), =HYPERLINK("CSG13.html#group36I13", "36I¹³"), =HYPERLINK("CSG17.html#group24G17", "24G¹⁷"), =HYPERLINK("CSG19.html#group48AL19", "48AL¹⁹"), =HYPERLINK("CSG13.html#group24U13", "24U¹³"), =HYPERLINK("CSG5.html#group12D5", "12D⁵"), =HYPERLINK("CSG15.html#group24N15", "24N¹⁵"), =HYPERLINK("CSG17.html#group48BL17", "48BL¹⁷"), =HYPERLINK("CSG17.html#group24J17", "24J¹⁷"), =HYPERLINK("CSG17.html#group48P17", "48P¹⁷"), =HYPERLINK("CSG17.html#group48AL17", "48AL¹⁷"), =HYPERLINK("CSG7.html#group24Q7", "24Q⁷"), =HYPERLINK("CSG19.html#group24N19", "24N¹⁹"), =HYPERLINK("CSG17.html#group24N17", "24N¹⁷"), =HYPERLINK("CSG19.html#group24J19", "24J¹⁹"), =HYPERLINK("CSG21.html#group48BW21", "48BW²¹"), =HYPERLINK("CSG19.html#group48AH19", "48AH¹⁹"), =HYPERLINK("CSG9.html#group24R9", "24R⁹"), =HYPERLINK("CSG23.html#group36D23", "36D²³"), =HYPERLINK("CSG17.html#group24AF17", "24AF¹⁷"), =HYPERLINK("CSG17.html#group48AF17", "48AF¹⁷"), =HYPERLINK("CSG19.html#group48V19", "48V¹⁹"), =HYPERLINK("CSG21.html#group48BA21", "48BA²¹"), =HYPERLINK("CSG9.html#group24V9", "24V⁹"), =HYPERLINK("CSG19.html#group24C19", "24C¹⁹"), =HYPERLINK("CSG17.html#group48BK17", "48BK¹⁷"), =HYPERLINK("CSG17.html#group24AE17", "24AE¹⁷"), =HYPERLINK("CSG17.html#group48BJ17", "48BJ¹⁷"), =HYPERLINK("CSG17.html#group48BI17", "48BI¹⁷"), =HYPERLINK("CSG7.html#group12C7", "12C⁷"), =HYPERLINK("CSG19.html#group24Q19", "24Q¹⁹"), =HYPERLINK("CSG21.html#group48BY21", "48BY²¹"), =HYPERLINK("CSG19.html#group48AM19", "48AM¹⁹"), =HYPERLINK("CSG7.html#group24Y7", "24Y⁷"), =HYPERLINK("CSG15.html#group24M15", "24M¹⁵")</f>
        <v/>
      </c>
    </row>
    <row r="450">
      <c r="A450" t="inlineStr">
        <is>
          <t>12K³</t>
        </is>
      </c>
      <c r="B450" t="inlineStr"/>
      <c r="C450" t="inlineStr">
        <is>
          <t>96</t>
        </is>
      </c>
      <c r="D450" t="inlineStr">
        <is>
          <t>1</t>
        </is>
      </c>
      <c r="E450" t="inlineStr">
        <is>
          <t>4</t>
        </is>
      </c>
      <c r="F450" t="inlineStr">
        <is>
          <t>0</t>
        </is>
      </c>
      <c r="G450" t="inlineStr">
        <is>
          <t>0</t>
        </is>
      </c>
      <c r="H450" t="inlineStr">
        <is>
          <t>4⁶, 12⁶</t>
        </is>
      </c>
      <c r="I450" t="n">
        <v>12</v>
      </c>
      <c r="J450" t="inlineStr">
        <is>
          <t>1², 2¹</t>
        </is>
      </c>
      <c r="K450">
        <f>HYPERLINK("CSG0.html#group4G0", "4G⁰"), =HYPERLINK("CSG1.html#group12I1", "12I¹"), =HYPERLINK("CSG1.html#group12P1", "12P¹"), =HYPERLINK("CSG2.html#group12G2", "12G²")</f>
        <v/>
      </c>
      <c r="L450">
        <f>HYPERLINK("CSG5.html#group12E5", "12E⁵"), =HYPERLINK("CSG7.html#group24AF7", "24AF⁷"), =HYPERLINK("CSG7.html#group24AG7", "24AG⁷"), =HYPERLINK("CSG9.html#group24AC9", "24AC⁹"), =HYPERLINK("CSG9.html#group24AF9", "24AF⁹"), =HYPERLINK("CSG11.html#group24A11", "24A¹¹"), =HYPERLINK("CSG11.html#group24B11", "24B¹¹"), =HYPERLINK("CSG13.html#group12A13", "12A¹³"), =HYPERLINK("CSG13.html#group36T13", "36T¹³"), =HYPERLINK("CSG19.html#group36A19", "36A¹⁹"), =HYPERLINK("CSG19.html#group36B19", "36B¹⁹")</f>
        <v/>
      </c>
      <c r="M450">
        <f>HYPERLINK("CSG0.html#group2A0", "2A⁰"), =HYPERLINK("CSG0.html#group3B0", "3B⁰"), =HYPERLINK("CSG1.html#group12I1", "12I¹"), =HYPERLINK("CSG1.html#group12F1", "12F¹"), =HYPERLINK("CSG0.html#group6I0", "6I⁰"), =HYPERLINK("CSG0.html#group4C0", "4C⁰"), =HYPERLINK("CSG0.html#group6C0", "6C⁰"), =HYPERLINK("CSG0.html#group4G0", "4G⁰"), =HYPERLINK("CSG0.html#group2B0", "2B⁰"), =HYPERLINK("CSG0.html#group4E0", "4E⁰"), =HYPERLINK("CSG1.html#group12P1", "12P¹"), =HYPERLINK("CSG0.html#group4B0", "4B⁰"), =HYPERLINK("CSG0.html#group1A0", "1A⁰"), =HYPERLINK("CSG0.html#group4A0", "4A⁰"), =HYPERLINK("CSG0.html#group4D0", "4D⁰"), =HYPERLINK("CSG1.html#group12A1", "12A¹"), =HYPERLINK("CSG2.html#group12G2", "12G²"), =HYPERLINK("CSG0.html#group4F0", "4F⁰"), =HYPERLINK("CSG0.html#group6F0", "6F⁰"), =HYPERLINK("CSG0.html#group2C0", "2C⁰"), =HYPERLINK("CSG0.html#group12E0", "12E⁰")</f>
        <v/>
      </c>
      <c r="N450">
        <f>HYPERLINK("CSG21.html#group48CE21", "48CE²¹"), =HYPERLINK("CSG17.html#group24AT17", "24AT¹⁷"), =HYPERLINK("CSG7.html#group24AF7", "24AF⁷"), =HYPERLINK("CSG21.html#group24F21", "24F²¹"), =HYPERLINK("CSG19.html#group48BO19", "48BO¹⁹"), =HYPERLINK("CSG21.html#group24B21", "24B²¹"), =HYPERLINK("CSG21.html#group24E21", "24E²¹"), =HYPERLINK("CSG7.html#group24AG7", "24AG⁷"), =HYPERLINK("CSG21.html#group24A21", "24A²¹"), =HYPERLINK("CSG13.html#group24AB13", "24AB¹³"), =HYPERLINK("CSG11.html#group24A11", "24A¹¹"), =HYPERLINK("CSG19.html#group36B19", "36B¹⁹"), =HYPERLINK("CSG21.html#group48CB21", "48CB²¹"), =HYPERLINK("CSG5.html#group12E5", "12E⁵"), =HYPERLINK("CSG17.html#group24AN17", "24AN¹⁷"), =HYPERLINK("CSG21.html#group24D21", "24D²¹"), =HYPERLINK("CSG21.html#group48CD21", "48CD²¹"), =HYPERLINK("CSG17.html#group24AP17", "24AP¹⁷"), =HYPERLINK("CSG13.html#group12A13", "12A¹³"), =HYPERLINK("CSG19.html#group48BP19", "48BP¹⁹"), =HYPERLINK("CSG11.html#group24B11", "24B¹¹"), =HYPERLINK("CSG19.html#group36A19", "36A¹⁹"), =HYPERLINK("CSG13.html#group36T13", "36T¹³"), =HYPERLINK("CSG21.html#group48CF21", "48CF²¹"), =HYPERLINK("CSG9.html#group24AC9", "24AC⁹"), =HYPERLINK("CSG21.html#group24C21", "24C²¹"), =HYPERLINK("CSG21.html#group24G21", "24G²¹"), =HYPERLINK("CSG9.html#group24AF9", "24AF⁹"), =HYPERLINK("CSG17.html#group24AO17", "24AO¹⁷")</f>
        <v/>
      </c>
    </row>
    <row r="451">
      <c r="A451" t="inlineStr">
        <is>
          <t>12L³</t>
        </is>
      </c>
      <c r="B451" t="inlineStr"/>
      <c r="C451" t="inlineStr">
        <is>
          <t>96</t>
        </is>
      </c>
      <c r="D451" t="inlineStr">
        <is>
          <t>1</t>
        </is>
      </c>
      <c r="E451" t="inlineStr">
        <is>
          <t>12</t>
        </is>
      </c>
      <c r="F451" t="inlineStr">
        <is>
          <t>0</t>
        </is>
      </c>
      <c r="G451" t="inlineStr">
        <is>
          <t>0</t>
        </is>
      </c>
      <c r="H451" t="inlineStr">
        <is>
          <t>4⁶, 12⁶</t>
        </is>
      </c>
      <c r="I451" t="n">
        <v>12</v>
      </c>
      <c r="J451" t="inlineStr">
        <is>
          <t>1⁶, 2³</t>
        </is>
      </c>
      <c r="K451">
        <f>HYPERLINK("CSG0.html#group12I0", "12I⁰"), =HYPERLINK("CSG1.html#group12P1", "12P¹"), =HYPERLINK("CSG2.html#group12F2", "12F²")</f>
        <v/>
      </c>
      <c r="L451">
        <f>HYPERLINK("CSG5.html#group12E5", "12E⁵"), =HYPERLINK("CSG7.html#group24AL7", "24AL⁷"), =HYPERLINK("CSG9.html#group24AE9", "24AE⁹"), =HYPERLINK("CSG9.html#group24AD9", "24AD⁹"), =HYPERLINK("CSG13.html#group12B13", "12B¹³"), =HYPERLINK("CSG13.html#group36U13", "36U¹³"), =HYPERLINK("CSG19.html#group36D19", "36D¹⁹"), =HYPERLINK("CSG19.html#group36C19", "36C¹⁹")</f>
        <v/>
      </c>
      <c r="M451">
        <f>HYPERLINK("CSG0.html#group3B0", "3B⁰"), =HYPERLINK("CSG0.html#group2A0", "2A⁰"), =HYPERLINK("CSG0.html#group6I0", "6I⁰"), =HYPERLINK("CSG1.html#group12F1", "12F¹"), =HYPERLINK("CSG0.html#group6C0", "6C⁰"), =HYPERLINK("CSG0.html#group12I0", "12I⁰"), =HYPERLINK("CSG0.html#group4C0", "4C⁰"), =HYPERLINK("CSG0.html#group2B0", "2B⁰"), =HYPERLINK("CSG0.html#group4E0", "4E⁰"), =HYPERLINK("CSG1.html#group12P1", "12P¹"), =HYPERLINK("CSG0.html#group4B0", "4B⁰"), =HYPERLINK("CSG0.html#group1A0", "1A⁰"), =HYPERLINK("CSG2.html#group12F2", "12F²"), =HYPERLINK("CSG0.html#group6F0", "6F⁰"), =HYPERLINK("CSG0.html#group2C0", "2C⁰"), =HYPERLINK("CSG0.html#group12E0", "12E⁰"), =HYPERLINK("CSG0.html#group12B0", "12B⁰")</f>
        <v/>
      </c>
      <c r="N451">
        <f>HYPERLINK("CSG21.html#group48CA21", "48CA²¹"), =HYPERLINK("CSG9.html#group24AE9", "24AE⁹"), =HYPERLINK("CSG13.html#group36U13", "36U¹³"), =HYPERLINK("CSG21.html#group48CJ21", "48CJ²¹"), =HYPERLINK("CSG7.html#group24AL7", "24AL⁷"), =HYPERLINK("CSG17.html#group24AP17", "24AP¹⁷"), =HYPERLINK("CSG21.html#group48CC21", "48CC²¹"), =HYPERLINK("CSG21.html#group24B21", "24B²¹"), =HYPERLINK("CSG17.html#group24AR17", "24AR¹⁷"), =HYPERLINK("CSG13.html#group12B13", "12B¹³"), =HYPERLINK("CSG19.html#group36D19", "36D¹⁹"), =HYPERLINK("CSG9.html#group24AD9", "24AD⁹"), =HYPERLINK("CSG17.html#group24AS17", "24AS¹⁷"), =HYPERLINK("CSG13.html#group24AB13", "24AB¹³"), =HYPERLINK("CSG5.html#group12E5", "12E⁵"), =HYPERLINK("CSG19.html#group36C19", "36C¹⁹")</f>
        <v/>
      </c>
    </row>
    <row r="452">
      <c r="A452" t="inlineStr">
        <is>
          <t>12M³</t>
        </is>
      </c>
      <c r="B452" t="inlineStr"/>
      <c r="C452" t="inlineStr">
        <is>
          <t>96</t>
        </is>
      </c>
      <c r="D452" t="inlineStr">
        <is>
          <t>1</t>
        </is>
      </c>
      <c r="E452" t="inlineStr">
        <is>
          <t>24</t>
        </is>
      </c>
      <c r="F452" t="inlineStr">
        <is>
          <t>8</t>
        </is>
      </c>
      <c r="G452" t="inlineStr">
        <is>
          <t>0</t>
        </is>
      </c>
      <c r="H452" t="inlineStr">
        <is>
          <t>12⁸</t>
        </is>
      </c>
      <c r="I452" t="n">
        <v>8</v>
      </c>
      <c r="J452" t="inlineStr">
        <is>
          <t>4⁶</t>
        </is>
      </c>
      <c r="K452">
        <f>HYPERLINK("CSG1.html#group12D1", "12D¹"), =HYPERLINK("CSG1.html#group12Q1", "12Q¹")</f>
        <v/>
      </c>
      <c r="L452">
        <f>HYPERLINK("CSG9.html#group12A9", "12A⁹"), =HYPERLINK("CSG11.html#group12A11", "12A¹¹"), =HYPERLINK("CSG11.html#group24K11", "24K¹¹"), =HYPERLINK("CSG15.html#group36P15", "36P¹⁵"), =HYPERLINK("CSG15.html#group36Q15", "36Q¹⁵"), =HYPERLINK("CSG15.html#group36R15", "36R¹⁵"), =HYPERLINK("CSG15.html#group36S15", "36S¹⁵"), =HYPERLINK("CSG15.html#group36T15", "36T¹⁵"), =HYPERLINK("CSG19.html#group36K19", "36K¹⁹"), =HYPERLINK("CSG19.html#group36L19", "36L¹⁹"), =HYPERLINK("CSG21.html#group24K21", "24K²¹")</f>
        <v/>
      </c>
      <c r="M452">
        <f>HYPERLINK("CSG1.html#group12G1", "12G¹"), =HYPERLINK("CSG1.html#group12D1", "12D¹"), =HYPERLINK("CSG0.html#group12A0", "12A⁰"), =HYPERLINK("CSG0.html#group6B0", "6B⁰"), =HYPERLINK("CSG0.html#group6E0", "6E⁰"), =HYPERLINK("CSG0.html#group4A0", "4A⁰"), =HYPERLINK("CSG0.html#group12F0", "12F⁰"), =HYPERLINK("CSG1.html#group12Q1", "12Q¹"), =HYPERLINK("CSG0.html#group3C0", "3C⁰"), =HYPERLINK("CSG0.html#group3A0", "3A⁰"), =HYPERLINK("CSG0.html#group1A0", "1A⁰")</f>
        <v/>
      </c>
      <c r="N452">
        <f>HYPERLINK("CSG11.html#group24K11", "24K¹¹"), =HYPERLINK("CSG15.html#group36S15", "36S¹⁵"), =HYPERLINK("CSG15.html#group36P15", "36P¹⁵"), =HYPERLINK("CSG21.html#group24K21", "24K²¹"), =HYPERLINK("CSG15.html#group36T15", "36T¹⁵"), =HYPERLINK("CSG15.html#group36Q15", "36Q¹⁵"), =HYPERLINK("CSG19.html#group36K19", "36K¹⁹"), =HYPERLINK("CSG19.html#group36L19", "36L¹⁹"), =HYPERLINK("CSG15.html#group36R15", "36R¹⁵"), =HYPERLINK("CSG11.html#group12A11", "12A¹¹"), =HYPERLINK("CSG9.html#group12A9", "12A⁹")</f>
        <v/>
      </c>
    </row>
    <row r="453">
      <c r="A453" t="inlineStr">
        <is>
          <t>12N³</t>
        </is>
      </c>
      <c r="B453" t="inlineStr"/>
      <c r="C453" t="inlineStr">
        <is>
          <t>144</t>
        </is>
      </c>
      <c r="D453" t="inlineStr">
        <is>
          <t>1</t>
        </is>
      </c>
      <c r="E453" t="inlineStr">
        <is>
          <t>3</t>
        </is>
      </c>
      <c r="F453" t="inlineStr">
        <is>
          <t>0</t>
        </is>
      </c>
      <c r="G453" t="inlineStr">
        <is>
          <t>0</t>
        </is>
      </c>
      <c r="H453" t="inlineStr">
        <is>
          <t>6¹⁶, 12⁴</t>
        </is>
      </c>
      <c r="I453" t="n">
        <v>20</v>
      </c>
      <c r="J453" t="inlineStr">
        <is>
          <t>1³</t>
        </is>
      </c>
      <c r="K453">
        <f>HYPERLINK("CSG0.html#group12I0", "12I⁰"), =HYPERLINK("CSG1.html#group6F1", "6F¹"), =HYPERLINK("CSG1.html#group12U1", "12U¹")</f>
        <v/>
      </c>
      <c r="L453">
        <f>HYPERLINK("CSG9.html#group12B9", "12B⁹"), =HYPERLINK("CSG13.html#group12B13", "12B¹³"), =HYPERLINK("CSG17.html#group36I17", "36I¹⁷"), =HYPERLINK("CSG22.html#group36K22", "36K²²")</f>
        <v/>
      </c>
      <c r="M453">
        <f>HYPERLINK("CSG0.html#group2A0", "2A⁰"), =HYPERLINK("CSG1.html#group6C1", "6C¹"), =HYPERLINK("CSG0.html#group12I0", "12I⁰"), =HYPERLINK("CSG0.html#group6G0", "6G⁰"), =HYPERLINK("CSG0.html#group2B0", "2B⁰"), =HYPERLINK("CSG0.html#group1A0", "1A⁰"), =HYPERLINK("CSG1.html#group6B1", "6B¹"), =HYPERLINK("CSG0.html#group3C0", "3C⁰"), =HYPERLINK("CSG0.html#group6K0", "6K⁰"), =HYPERLINK("CSG1.html#group6A1", "6A¹"), =HYPERLINK("CSG0.html#group6H0", "6H⁰"), =HYPERLINK("CSG0.html#group3A0", "3A⁰"), =HYPERLINK("CSG0.html#group6F0", "6F⁰"), =HYPERLINK("CSG1.html#group6E1", "6E¹"), =HYPERLINK("CSG0.html#group3B0", "3B⁰"), =HYPERLINK("CSG1.html#group12U1", "12U¹"), =HYPERLINK("CSG0.html#group6B0", "6B⁰"), =HYPERLINK("CSG0.html#group6I0", "6I⁰"), =HYPERLINK("CSG1.html#group6F1", "6F¹"), =HYPERLINK("CSG0.html#group6C0", "6C⁰"), =HYPERLINK("CSG1.html#group6D1", "6D¹"), =HYPERLINK("CSG0.html#group6A0", "6A⁰"), =HYPERLINK("CSG0.html#group6E0", "6E⁰"), =HYPERLINK("CSG0.html#group6L0", "6L⁰"), =HYPERLINK("CSG0.html#group6J0", "6J⁰"), =HYPERLINK("CSG0.html#group3D0", "3D⁰"), =HYPERLINK("CSG0.html#group2C0", "2C⁰"), =HYPERLINK("CSG0.html#group6D0", "6D⁰")</f>
        <v/>
      </c>
      <c r="N453">
        <f>HYPERLINK("CSG17.html#group36I17", "36I¹⁷"), =HYPERLINK("CSG13.html#group12B13", "12B¹³"), =HYPERLINK("CSG9.html#group12B9", "12B⁹"), =HYPERLINK("CSG22.html#group36K22", "36K²²")</f>
        <v/>
      </c>
    </row>
    <row r="454">
      <c r="A454" t="inlineStr">
        <is>
          <t>12O³</t>
        </is>
      </c>
      <c r="B454" t="inlineStr"/>
      <c r="C454" t="inlineStr">
        <is>
          <t>144</t>
        </is>
      </c>
      <c r="D454" t="inlineStr">
        <is>
          <t>1</t>
        </is>
      </c>
      <c r="E454" t="inlineStr">
        <is>
          <t>6</t>
        </is>
      </c>
      <c r="F454" t="inlineStr">
        <is>
          <t>0</t>
        </is>
      </c>
      <c r="G454" t="inlineStr">
        <is>
          <t>0</t>
        </is>
      </c>
      <c r="H454" t="inlineStr">
        <is>
          <t>3⁸, 6⁴, 12⁸</t>
        </is>
      </c>
      <c r="I454" t="n">
        <v>20</v>
      </c>
      <c r="J454" t="inlineStr">
        <is>
          <t>1⁴, 2¹</t>
        </is>
      </c>
      <c r="K454">
        <f>HYPERLINK("CSG0.html#group12J0", "12J⁰"), =HYPERLINK("CSG1.html#group12S1", "12S¹")</f>
        <v/>
      </c>
      <c r="L454">
        <f>HYPERLINK("CSG9.html#group12B9", "12B⁹"), =HYPERLINK("CSG9.html#group24AP9", "24AP⁹"), =HYPERLINK("CSG13.html#group24L13", "24L¹³"), =HYPERLINK("CSG17.html#group36K17", "36K¹⁷"), =HYPERLINK("CSG22.html#group36L22", "36L²²")</f>
        <v/>
      </c>
      <c r="M454">
        <f>HYPERLINK("CSG0.html#group3B0", "3B⁰"), =HYPERLINK("CSG1.html#group12K1", "12K¹"), =HYPERLINK("CSG0.html#group12J0", "12J⁰"), =HYPERLINK("CSG0.html#group6G0", "6G⁰"), =HYPERLINK("CSG1.html#group12S1", "12S¹"), =HYPERLINK("CSG0.html#group2B0", "2B⁰"), =HYPERLINK("CSG0.html#group4B0", "4B⁰"), =HYPERLINK("CSG0.html#group1A0", "1A⁰"), =HYPERLINK("CSG0.html#group3D0", "3D⁰"), =HYPERLINK("CSG0.html#group12G0", "12G⁰"), =HYPERLINK("CSG0.html#group6D0", "6D⁰"), =HYPERLINK("CSG0.html#group3C0", "3C⁰"), =HYPERLINK("CSG0.html#group6K0", "6K⁰"), =HYPERLINK("CSG1.html#group12B1", "12B¹"), =HYPERLINK("CSG0.html#group12D0", "12D⁰"), =HYPERLINK("CSG0.html#group3A0", "3A⁰"), =HYPERLINK("CSG0.html#group6F0", "6F⁰"), =HYPERLINK("CSG0.html#group12E0", "12E⁰")</f>
        <v/>
      </c>
      <c r="N454">
        <f>HYPERLINK("CSG22.html#group36L22", "36L²²"), =HYPERLINK("CSG13.html#group24L13", "24L¹³"), =HYPERLINK("CSG17.html#group36K17", "36K¹⁷"), =HYPERLINK("CSG9.html#group12B9", "12B⁹"), =HYPERLINK("CSG9.html#group24AP9", "24AP⁹")</f>
        <v/>
      </c>
    </row>
    <row r="455">
      <c r="A455" t="inlineStr">
        <is>
          <t>12P³</t>
        </is>
      </c>
      <c r="B455" t="inlineStr"/>
      <c r="C455" t="inlineStr">
        <is>
          <t>144</t>
        </is>
      </c>
      <c r="D455" t="inlineStr">
        <is>
          <t>1</t>
        </is>
      </c>
      <c r="E455" t="inlineStr">
        <is>
          <t>18</t>
        </is>
      </c>
      <c r="F455" t="inlineStr">
        <is>
          <t>8</t>
        </is>
      </c>
      <c r="G455" t="inlineStr">
        <is>
          <t>0</t>
        </is>
      </c>
      <c r="H455" t="inlineStr">
        <is>
          <t>6⁸, 12⁸</t>
        </is>
      </c>
      <c r="I455" t="n">
        <v>16</v>
      </c>
      <c r="J455" t="inlineStr">
        <is>
          <t>2⁷, 4¹</t>
        </is>
      </c>
      <c r="K455">
        <f>HYPERLINK("CSG1.html#group12T1", "12T¹")</f>
        <v/>
      </c>
      <c r="L455">
        <f>HYPERLINK("CSG9.html#group12B9", "12B⁹"), =HYPERLINK("CSG11.html#group12A11", "12A¹¹"), =HYPERLINK("CSG11.html#group24N11", "24N¹¹"), =HYPERLINK("CSG13.html#group24S13", "24S¹³"), =HYPERLINK("CSG17.html#group24O17", "24O¹⁷"), =HYPERLINK("CSG19.html#group36U19", "36U¹⁹"), =HYPERLINK("CSG23.html#group36A23", "36A²³")</f>
        <v/>
      </c>
      <c r="M455">
        <f>HYPERLINK("CSG1.html#group12T1", "12T¹"), =HYPERLINK("CSG0.html#group6B0", "6B⁰"), =HYPERLINK("CSG0.html#group12C0", "12C⁰"), =HYPERLINK("CSG0.html#group3A0", "3A⁰"), =HYPERLINK("CSG0.html#group4C0", "4C⁰"), =HYPERLINK("CSG0.html#group6G0", "6G⁰"), =HYPERLINK("CSG0.html#group2B0", "2B⁰"), =HYPERLINK("CSG1.html#group12N1", "12N¹"), =HYPERLINK("CSG0.html#group1A0", "1A⁰"), =HYPERLINK("CSG1.html#group12L1", "12L¹"), =HYPERLINK("CSG0.html#group12G0", "12G⁰"), =HYPERLINK("CSG1.html#group12C1", "12C¹"), =HYPERLINK("CSG0.html#group6E0", "6E⁰"), =HYPERLINK("CSG0.html#group6L0", "6L⁰"), =HYPERLINK("CSG0.html#group3C0", "3C⁰"), =HYPERLINK("CSG0.html#group12D0", "12D⁰"), =HYPERLINK("CSG0.html#group6H0", "6H⁰"), =HYPERLINK("CSG0.html#group12H0", "12H⁰"), =HYPERLINK("CSG0.html#group6D0", "6D⁰")</f>
        <v/>
      </c>
      <c r="N455">
        <f>HYPERLINK("CSG11.html#group24N11", "24N¹¹"), =HYPERLINK("CSG13.html#group24S13", "24S¹³"), =HYPERLINK("CSG19.html#group36U19", "36U¹⁹"), =HYPERLINK("CSG17.html#group24O17", "24O¹⁷"), =HYPERLINK("CSG9.html#group12B9", "12B⁹"), =HYPERLINK("CSG23.html#group36A23", "36A²³"), =HYPERLINK("CSG11.html#group12A11", "12A¹¹")</f>
        <v/>
      </c>
    </row>
    <row r="456">
      <c r="A456" t="inlineStr">
        <is>
          <t>13A³</t>
        </is>
      </c>
      <c r="B456" t="inlineStr"/>
      <c r="C456" t="inlineStr">
        <is>
          <t>78</t>
        </is>
      </c>
      <c r="D456" t="inlineStr">
        <is>
          <t>1</t>
        </is>
      </c>
      <c r="E456" t="inlineStr">
        <is>
          <t>78</t>
        </is>
      </c>
      <c r="F456" t="inlineStr">
        <is>
          <t>6</t>
        </is>
      </c>
      <c r="G456" t="inlineStr">
        <is>
          <t>0</t>
        </is>
      </c>
      <c r="H456" t="inlineStr">
        <is>
          <t>13⁶</t>
        </is>
      </c>
      <c r="I456" t="n">
        <v>6</v>
      </c>
      <c r="J456" t="inlineStr">
        <is>
          <t>6¹, 12⁶</t>
        </is>
      </c>
      <c r="K456">
        <f>HYPERLINK("CSG0.html#group1A0", "1A⁰")</f>
        <v/>
      </c>
      <c r="L456">
        <f>HYPERLINK("CSG8.html#group13A8", "13A⁸"), =HYPERLINK("CSG8.html#group26A8", "26A⁸"), =HYPERLINK("CSG11.html#group26A11", "26A¹¹"), =HYPERLINK("CSG13.html#group26A13", "26A¹³"), =HYPERLINK("CSG13.html#group39A13", "39A¹³"), =HYPERLINK("CSG21.html#group39A21", "39A²¹"), =HYPERLINK("CSG21.html#group52A21", "52A²¹"), =HYPERLINK("CSG24.html#group13A24", "13A²⁴")</f>
        <v/>
      </c>
      <c r="M456">
        <f>HYPERLINK("CSG0.html#group1A0", "1A⁰")</f>
        <v/>
      </c>
      <c r="N456">
        <f>HYPERLINK("CSG21.html#group52A21", "52A²¹"), =HYPERLINK("CSG13.html#group26A13", "26A¹³"), =HYPERLINK("CSG21.html#group52B21", "52B²¹"), =HYPERLINK("CSG8.html#group26A8", "26A⁸"), =HYPERLINK("CSG11.html#group26A11", "26A¹¹"), =HYPERLINK("CSG21.html#group39A21", "39A²¹"), =HYPERLINK("CSG8.html#group13A8", "13A⁸"), =HYPERLINK("CSG21.html#group26A21", "26A²¹"), =HYPERLINK("CSG13.html#group39A13", "39A¹³"), =HYPERLINK("CSG24.html#group13A24", "13A²⁴")</f>
        <v/>
      </c>
    </row>
    <row r="457">
      <c r="A457" t="inlineStr">
        <is>
          <t>13B³</t>
        </is>
      </c>
      <c r="B457" t="inlineStr"/>
      <c r="C457" t="inlineStr">
        <is>
          <t>91</t>
        </is>
      </c>
      <c r="D457" t="inlineStr">
        <is>
          <t>1</t>
        </is>
      </c>
      <c r="E457" t="inlineStr">
        <is>
          <t>91</t>
        </is>
      </c>
      <c r="F457" t="inlineStr">
        <is>
          <t>3</t>
        </is>
      </c>
      <c r="G457" t="inlineStr">
        <is>
          <t>4</t>
        </is>
      </c>
      <c r="H457" t="inlineStr">
        <is>
          <t>13⁷</t>
        </is>
      </c>
      <c r="I457" t="n">
        <v>7</v>
      </c>
      <c r="J457" t="inlineStr">
        <is>
          <t>3¹, 4¹, 12⁷</t>
        </is>
      </c>
      <c r="K457">
        <f>HYPERLINK("CSG0.html#group1A0", "1A⁰")</f>
        <v/>
      </c>
      <c r="L457">
        <f>HYPERLINK("CSG10.html#group26A10", "26A¹⁰"), =HYPERLINK("CSG11.html#group13A11", "13A¹¹"), =HYPERLINK("CSG16.html#group13A16", "13A¹⁶"), =HYPERLINK("CSG16.html#group26A16", "26A¹⁶"), =HYPERLINK("CSG16.html#group39B16", "39B¹⁶"), =HYPERLINK("CSG18.html#group39A18", "39A¹⁸"), =HYPERLINK("CSG23.html#group39A23", "39A²³")</f>
        <v/>
      </c>
      <c r="M457">
        <f>HYPERLINK("CSG0.html#group1A0", "1A⁰")</f>
        <v/>
      </c>
      <c r="N457">
        <f>HYPERLINK("CSG11.html#group13A11", "13A¹¹"), =HYPERLINK("CSG10.html#group26A10", "26A¹⁰"), =HYPERLINK("CSG16.html#group26A16", "26A¹⁶"), =HYPERLINK("CSG23.html#group39A23", "39A²³"), =HYPERLINK("CSG16.html#group13A16", "13A¹⁶"), =HYPERLINK("CSG16.html#group39B16", "39B¹⁶"), =HYPERLINK("CSG18.html#group39A18", "39A¹⁸"), =HYPERLINK("CSG24.html#group13A24", "13A²⁴")</f>
        <v/>
      </c>
    </row>
    <row r="458">
      <c r="A458" t="inlineStr">
        <is>
          <t>13C³</t>
        </is>
      </c>
      <c r="B458" t="inlineStr"/>
      <c r="C458" t="inlineStr">
        <is>
          <t>91</t>
        </is>
      </c>
      <c r="D458" t="inlineStr">
        <is>
          <t>1</t>
        </is>
      </c>
      <c r="E458" t="inlineStr">
        <is>
          <t>91</t>
        </is>
      </c>
      <c r="F458" t="inlineStr">
        <is>
          <t>7</t>
        </is>
      </c>
      <c r="G458" t="inlineStr">
        <is>
          <t>1</t>
        </is>
      </c>
      <c r="H458" t="inlineStr">
        <is>
          <t>13⁷</t>
        </is>
      </c>
      <c r="I458" t="n">
        <v>7</v>
      </c>
      <c r="J458" t="inlineStr">
        <is>
          <t>1¹, 6¹, 12⁷</t>
        </is>
      </c>
      <c r="K458">
        <f>HYPERLINK("CSG0.html#group1A0", "1A⁰")</f>
        <v/>
      </c>
      <c r="L458">
        <f>HYPERLINK("CSG7.html#group13A7", "13A⁷"), =HYPERLINK("CSG7.html#group13B7", "13B⁷"), =HYPERLINK("CSG8.html#group13B8", "13B⁸"), =HYPERLINK("CSG9.html#group26C9", "26C⁹"), =HYPERLINK("CSG10.html#group26B10", "26B¹⁰"), =HYPERLINK("CSG10.html#group26C10", "26C¹⁰"), =HYPERLINK("CSG11.html#group13A11", "13A¹¹"), =HYPERLINK("CSG12.html#group26A12", "26A¹²"), =HYPERLINK("CSG15.html#group26A15", "26A¹⁵"), =HYPERLINK("CSG15.html#group39A15", "39A¹⁵"), =HYPERLINK("CSG24.html#group39A24", "39A²⁴"), =HYPERLINK("CSG24.html#group52A24", "52A²⁴")</f>
        <v/>
      </c>
      <c r="M458">
        <f>HYPERLINK("CSG0.html#group1A0", "1A⁰")</f>
        <v/>
      </c>
      <c r="N458">
        <f>HYPERLINK("CSG23.html#group26A23", "26A²³"), =HYPERLINK("CSG23.html#group26C23", "26C²³"), =HYPERLINK("CSG16.html#group13A16", "13A¹⁶"), =HYPERLINK("CSG7.html#group13A7", "13A⁷"), =HYPERLINK("CSG15.html#group39A15", "39A¹⁵"), =HYPERLINK("CSG24.html#group39A24", "39A²⁴"), =HYPERLINK("CSG12.html#group26A12", "26A¹²"), =HYPERLINK("CSG20.html#group26A20", "26A²⁰"), =HYPERLINK("CSG24.html#group52A24", "52A²⁴"), =HYPERLINK("CSG7.html#group13B7", "13B⁷"), =HYPERLINK("CSG10.html#group26C10", "26C¹⁰"), =HYPERLINK("CSG8.html#group13B8", "13B⁸"), =HYPERLINK("CSG9.html#group26C9", "26C⁹"), =HYPERLINK("CSG10.html#group26B10", "26B¹⁰"), =HYPERLINK("CSG22.html#group26A22", "26A²²"), =HYPERLINK("CSG11.html#group13A11", "13A¹¹"), =HYPERLINK("CSG20.html#group26B20", "26B²⁰"), =HYPERLINK("CSG23.html#group26B23", "26B²³"), =HYPERLINK("CSG15.html#group26A15", "26A¹⁵"), =HYPERLINK("CSG24.html#group13A24", "13A²⁴")</f>
        <v/>
      </c>
    </row>
    <row r="459">
      <c r="A459" t="inlineStr">
        <is>
          <t>14A³</t>
        </is>
      </c>
      <c r="B459" t="inlineStr"/>
      <c r="C459" t="inlineStr">
        <is>
          <t>42</t>
        </is>
      </c>
      <c r="D459" t="inlineStr">
        <is>
          <t>1</t>
        </is>
      </c>
      <c r="E459" t="inlineStr">
        <is>
          <t>21</t>
        </is>
      </c>
      <c r="F459" t="inlineStr">
        <is>
          <t>0</t>
        </is>
      </c>
      <c r="G459" t="inlineStr">
        <is>
          <t>0</t>
        </is>
      </c>
      <c r="H459" t="inlineStr">
        <is>
          <t>14³</t>
        </is>
      </c>
      <c r="I459" t="n">
        <v>3</v>
      </c>
      <c r="J459" t="inlineStr">
        <is>
          <t>3¹, 6³</t>
        </is>
      </c>
      <c r="K459">
        <f>HYPERLINK("CSG0.html#group7D0", "7D⁰"), =HYPERLINK("CSG1.html#group14A1", "14A¹")</f>
        <v/>
      </c>
      <c r="L459">
        <f>HYPERLINK("CSG5.html#group14B5", "14B⁵"), =HYPERLINK("CSG5.html#group14C5", "14C⁵"), =HYPERLINK("CSG7.html#group14A7", "14A⁷"), =HYPERLINK("CSG10.html#group42A10", "42A¹⁰"), =HYPERLINK("CSG10.html#group42B10", "42B¹⁰"), =HYPERLINK("CSG12.html#group28A12", "28A¹²"), =HYPERLINK("CSG12.html#group42C12", "42C¹²"), =HYPERLINK("CSG17.html#group70A17", "70A¹⁷"), =HYPERLINK("CSG19.html#group70A19", "70A¹⁹"), =HYPERLINK("CSG24.html#group98A24", "98A²⁴")</f>
        <v/>
      </c>
      <c r="M459">
        <f>HYPERLINK("CSG0.html#group2A0", "2A⁰"), =HYPERLINK("CSG0.html#group7A0", "7A⁰"), =HYPERLINK("CSG0.html#group7D0", "7D⁰"), =HYPERLINK("CSG0.html#group1A0", "1A⁰"), =HYPERLINK("CSG1.html#group14A1", "14A¹")</f>
        <v/>
      </c>
      <c r="N459">
        <f>HYPERLINK("CSG23.html#group42E23", "42E²³"), =HYPERLINK("CSG16.html#group28B16", "28B¹⁶"), =HYPERLINK("CSG17.html#group14A17", "14A¹⁷"), =HYPERLINK("CSG19.html#group42D19", "42D¹⁹"), =HYPERLINK("CSG19.html#group42M19", "42M¹⁹"), =HYPERLINK("CSG19.html#group42C19", "42C¹⁹"), =HYPERLINK("CSG23.html#group28B23", "28B²³"), =HYPERLINK("CSG5.html#group14C5", "14C⁵"), =HYPERLINK("CSG24.html#group98A24", "98A²⁴"), =HYPERLINK("CSG5.html#group14B5", "14B⁵"), =HYPERLINK("CSG12.html#group28A12", "28A¹²"), =HYPERLINK("CSG13.html#group14C13", "14C¹³"), =HYPERLINK("CSG9.html#group14A9", "14A⁹"), =HYPERLINK("CSG16.html#group28C16", "28C¹⁶"), =HYPERLINK("CSG23.html#group28D23", "28D²³"), =HYPERLINK("CSG7.html#group14A7", "14A⁷"), =HYPERLINK("CSG19.html#group42H19", "42H¹⁹"), =HYPERLINK("CSG10.html#group42B10", "42B¹⁰"), =HYPERLINK("CSG13.html#group14A13", "14A¹³"), =HYPERLINK("CSG10.html#group42A10", "42A¹⁰"), =HYPERLINK("CSG19.html#group42B19", "42B¹⁹"), =HYPERLINK("CSG17.html#group70A17", "70A¹⁷"), =HYPERLINK("CSG19.html#group70A19", "70A¹⁹"), =HYPERLINK("CSG19.html#group42E19", "42E¹⁹"), =HYPERLINK("CSG23.html#group42D23", "42D²³"), =HYPERLINK("CSG16.html#group28F16", "28F¹⁶"), =HYPERLINK("CSG12.html#group42C12", "42C¹²"), =HYPERLINK("CSG19.html#group42F19", "42F¹⁹")</f>
        <v/>
      </c>
    </row>
    <row r="460">
      <c r="A460" t="inlineStr">
        <is>
          <t>14B³</t>
        </is>
      </c>
      <c r="B460" t="inlineStr"/>
      <c r="C460" t="inlineStr">
        <is>
          <t>42</t>
        </is>
      </c>
      <c r="D460" t="inlineStr">
        <is>
          <t>2</t>
        </is>
      </c>
      <c r="E460" t="inlineStr">
        <is>
          <t>7</t>
        </is>
      </c>
      <c r="F460" t="inlineStr">
        <is>
          <t>0</t>
        </is>
      </c>
      <c r="G460" t="inlineStr">
        <is>
          <t>0</t>
        </is>
      </c>
      <c r="H460" t="inlineStr">
        <is>
          <t>14³</t>
        </is>
      </c>
      <c r="I460" t="n">
        <v>3</v>
      </c>
      <c r="J460" t="inlineStr">
        <is>
          <t>2¹, 6²</t>
        </is>
      </c>
      <c r="K460">
        <f>HYPERLINK("CSG0.html#group2C0", "2C⁰"), =HYPERLINK("CSG1.html#group14A1", "14A¹"), =HYPERLINK("CSG1.html#group14B1", "14B¹")</f>
        <v/>
      </c>
      <c r="L460">
        <f>HYPERLINK("CSG5.html#group14D5", "14D⁵"), =HYPERLINK("CSG6.html#group28B6", "28B⁶"), =HYPERLINK("CSG6.html#group28C6", "28C⁶"), =HYPERLINK("CSG7.html#group14A7", "14A⁷"), =HYPERLINK("CSG9.html#group14B9", "14B⁹"), =HYPERLINK("CSG10.html#group42C10", "42C¹⁰"), =HYPERLINK("CSG12.html#group42D12", "42D¹²"), =HYPERLINK("CSG17.html#group70C17", "70C¹⁷"), =HYPERLINK("CSG19.html#group70B19", "70B¹⁹")</f>
        <v/>
      </c>
      <c r="M460">
        <f>HYPERLINK("CSG0.html#group2A0", "2A⁰"), =HYPERLINK("CSG1.html#group14B1", "14B¹"), =HYPERLINK("CSG1.html#group14A1", "14A¹"), =HYPERLINK("CSG0.html#group2B0", "2B⁰"), =HYPERLINK("CSG0.html#group1A0", "1A⁰"), =HYPERLINK("CSG0.html#group2C0", "2C⁰"), =HYPERLINK("CSG0.html#group7A0", "7A⁰")</f>
        <v/>
      </c>
      <c r="N460">
        <f>HYPERLINK("CSG13.html#group56D13", "56D¹³"), =HYPERLINK("CSG16.html#group28B16", "28B¹⁶"), =HYPERLINK("CSG6.html#group28B6", "28B⁶"), =HYPERLINK("CSG20.html#group84H20", "84H²⁰"), =HYPERLINK("CSG12.html#group28B12", "28B¹²"), =HYPERLINK("CSG12.html#group56I12", "56I¹²"), =HYPERLINK("CSG24.html#group56D24", "56D²⁴"), =HYPERLINK("CSG23.html#group56F23", "56F²³"), =HYPERLINK("CSG24.html#group84B24", "84B²⁴"), =HYPERLINK("CSG19.html#group70B19", "70B¹⁹"), =HYPERLINK("CSG24.html#group56G24", "56G²⁴"), =HYPERLINK("CSG10.html#group42C10", "42C¹⁰"), =HYPERLINK("CSG12.html#group56H12", "56H¹²"), =HYPERLINK("CSG20.html#group84F20", "84F²⁰"), =HYPERLINK("CSG13.html#group56C13", "56C¹³"), =HYPERLINK("CSG24.html#group84A24", "84A²⁴"), =HYPERLINK("CSG24.html#group56B24", "56B²⁴"), =HYPERLINK("CSG16.html#group28F16", "28F¹⁶"), =HYPERLINK("CSG23.html#group28C23", "28C²³"), =HYPERLINK("CSG6.html#group28C6", "28C⁶"), =HYPERLINK("CSG24.html#group112A24", "112A²⁴"), =HYPERLINK("CSG19.html#group42G19", "42G¹⁹"), =HYPERLINK("CSG19.html#group42K19", "42K¹⁹"), =HYPERLINK("CSG24.html#group56F24", "56F²⁴"), =HYPERLINK("CSG12.html#group56A12", "56A¹²"), =HYPERLINK("CSG5.html#group14D5", "14D⁵"), =HYPERLINK("CSG20.html#group84B20", "84B²⁰"), =HYPERLINK("CSG23.html#group42F23", "42F²³"), =HYPERLINK("CSG12.html#group56B12", "56B¹²"), =HYPERLINK("CSG17.html#group70C17", "70C¹⁷"), =HYPERLINK("CSG21.html#group28D21", "28D²¹"), =HYPERLINK("CSG11.html#group28C11", "28C¹¹"), =HYPERLINK("CSG13.html#group14C13", "14C¹³"), =HYPERLINK("CSG16.html#group28C16", "28C¹⁶"), =HYPERLINK("CSG24.html#group56A24", "56A²⁴"), =HYPERLINK("CSG19.html#group42L19", "42L¹⁹"), =HYPERLINK("CSG23.html#group56A23", "56A²³"), =HYPERLINK("CSG7.html#group14A7", "14A⁷"), =HYPERLINK("CSG13.html#group14A13", "14A¹³"), =HYPERLINK("CSG21.html#group28C21", "28C²¹"), =HYPERLINK("CSG19.html#group42I19", "42I¹⁹"), =HYPERLINK("CSG20.html#group84C20", "84C²⁰"), =HYPERLINK("CSG12.html#group42D12", "42D¹²"), =HYPERLINK("CSG24.html#group56C24", "56C²⁴"), =HYPERLINK("CSG9.html#group14B9", "14B⁹"), =HYPERLINK("CSG12.html#group28C12", "28C¹²"), =HYPERLINK("CSG24.html#group112B24", "112B²⁴"), =HYPERLINK("CSG17.html#group14B17", "14B¹⁷")</f>
        <v/>
      </c>
    </row>
    <row r="461">
      <c r="A461" t="inlineStr">
        <is>
          <t>14C³</t>
        </is>
      </c>
      <c r="B461" t="inlineStr"/>
      <c r="C461" t="inlineStr">
        <is>
          <t>56</t>
        </is>
      </c>
      <c r="D461" t="inlineStr">
        <is>
          <t>1</t>
        </is>
      </c>
      <c r="E461" t="inlineStr">
        <is>
          <t>28</t>
        </is>
      </c>
      <c r="F461" t="inlineStr">
        <is>
          <t>0</t>
        </is>
      </c>
      <c r="G461" t="inlineStr">
        <is>
          <t>2</t>
        </is>
      </c>
      <c r="H461" t="inlineStr">
        <is>
          <t>14⁴</t>
        </is>
      </c>
      <c r="I461" t="n">
        <v>4</v>
      </c>
      <c r="J461" t="inlineStr">
        <is>
          <t>1¹, 3¹, 6⁴</t>
        </is>
      </c>
      <c r="K461">
        <f>HYPERLINK("CSG0.html#group7F0", "7F⁰"), =HYPERLINK("CSG1.html#group14A1", "14A¹")</f>
        <v/>
      </c>
      <c r="L461">
        <f>HYPERLINK("CSG5.html#group14E5", "14E⁵"), =HYPERLINK("CSG9.html#group14A9", "14A⁹"), =HYPERLINK("CSG9.html#group14B9", "14B⁹"), =HYPERLINK("CSG12.html#group42A12", "42A¹²"), =HYPERLINK("CSG13.html#group42A13", "42A¹³"), =HYPERLINK("CSG15.html#group28A15", "28A¹⁵"), =HYPERLINK("CSG15.html#group42B15", "42B¹⁵"), =HYPERLINK("CSG21.html#group70A21", "70A²¹"), =HYPERLINK("CSG24.html#group98B24", "98B²⁴")</f>
        <v/>
      </c>
      <c r="M461">
        <f>HYPERLINK("CSG0.html#group7F0", "7F⁰"), =HYPERLINK("CSG0.html#group2A0", "2A⁰"), =HYPERLINK("CSG0.html#group7A0", "7A⁰"), =HYPERLINK("CSG0.html#group1A0", "1A⁰"), =HYPERLINK("CSG1.html#group14A1", "14A¹")</f>
        <v/>
      </c>
      <c r="N461">
        <f>HYPERLINK("CSG17.html#group14B17", "14B¹⁷"), =HYPERLINK("CSG24.html#group98B24", "98B²⁴"), =HYPERLINK("CSG15.html#group42B15", "42B¹⁵"), =HYPERLINK("CSG17.html#group14A17", "14A¹⁷"), =HYPERLINK("CSG24.html#group42A24", "42A²⁴"), =HYPERLINK("CSG15.html#group28A15", "28A¹⁵"), =HYPERLINK("CSG21.html#group28D21", "28D²¹"), =HYPERLINK("CSG9.html#group14A9", "14A⁹"), =HYPERLINK("CSG23.html#group42A23", "42A²³"), =HYPERLINK("CSG21.html#group28C21", "28C²¹"), =HYPERLINK("CSG5.html#group14E5", "14E⁵"), =HYPERLINK("CSG21.html#group70A21", "70A²¹"), =HYPERLINK("CSG23.html#group42B23", "42B²³"), =HYPERLINK("CSG12.html#group42A12", "42A¹²"), =HYPERLINK("CSG9.html#group14B9", "14B⁹"), =HYPERLINK("CSG13.html#group42A13", "42A¹³"), =HYPERLINK("CSG15.html#group14A15", "14A¹⁵"), =HYPERLINK("CSG13.html#group28A13", "28A¹³")</f>
        <v/>
      </c>
    </row>
    <row r="462">
      <c r="A462" t="inlineStr">
        <is>
          <t>14D³</t>
        </is>
      </c>
      <c r="B462" t="inlineStr"/>
      <c r="C462" t="inlineStr">
        <is>
          <t>84</t>
        </is>
      </c>
      <c r="D462" t="inlineStr">
        <is>
          <t>1</t>
        </is>
      </c>
      <c r="E462" t="inlineStr">
        <is>
          <t>84</t>
        </is>
      </c>
      <c r="F462" t="inlineStr">
        <is>
          <t>4</t>
        </is>
      </c>
      <c r="G462" t="inlineStr">
        <is>
          <t>0</t>
        </is>
      </c>
      <c r="H462" t="inlineStr">
        <is>
          <t>7⁴, 14⁴</t>
        </is>
      </c>
      <c r="I462" t="n">
        <v>8</v>
      </c>
      <c r="J462" t="inlineStr">
        <is>
          <t>1³, 3³, 6¹²</t>
        </is>
      </c>
      <c r="K462">
        <f>HYPERLINK("CSG0.html#group7F0", "7F⁰"), =HYPERLINK("CSG1.html#group14B1", "14B¹")</f>
        <v/>
      </c>
      <c r="L462">
        <f>HYPERLINK("CSG7.html#group14C7", "14C⁷"), =HYPERLINK("CSG7.html#group14D7", "14D⁷"), =HYPERLINK("CSG7.html#group28E7", "28E⁷"), =HYPERLINK("CSG9.html#group14B9", "14B⁹"), =HYPERLINK("CSG9.html#group14C9", "14C⁹"), =HYPERLINK("CSG9.html#group28A9", "28A⁹"), =HYPERLINK("CSG9.html#group28B9", "28B⁹"), =HYPERLINK("CSG11.html#group28A11", "28A¹¹"), =HYPERLINK("CSG15.html#group42D15", "42D¹⁵"), =HYPERLINK("CSG21.html#group42C21", "42C²¹")</f>
        <v/>
      </c>
      <c r="M462">
        <f>HYPERLINK("CSG0.html#group7F0", "7F⁰"), =HYPERLINK("CSG0.html#group2B0", "2B⁰"), =HYPERLINK("CSG1.html#group14B1", "14B¹"), =HYPERLINK("CSG0.html#group1A0", "1A⁰"), =HYPERLINK("CSG0.html#group7A0", "7A⁰")</f>
        <v/>
      </c>
      <c r="N462">
        <f>HYPERLINK("CSG21.html#group56H21", "56H²¹"), =HYPERLINK("CSG17.html#group56E17", "56E¹⁷"), =HYPERLINK("CSG21.html#group28J21", "28J²¹"), =HYPERLINK("CSG21.html#group56C21", "56C²¹"), =HYPERLINK("CSG7.html#group14D7", "14D⁷"), =HYPERLINK("CSG17.html#group28B17", "28B¹⁷"), =HYPERLINK("CSG23.html#group28E23", "28E²³"), =HYPERLINK("CSG15.html#group42D15", "42D¹⁵"), =HYPERLINK("CSG21.html#group28B21", "28B²¹"), =HYPERLINK("CSG11.html#group28A11", "28A¹¹"), =HYPERLINK("CSG23.html#group14A23", "14A²³"), =HYPERLINK("CSG21.html#group42C21", "42C²¹"), =HYPERLINK("CSG21.html#group56B21", "56B²¹"), =HYPERLINK("CSG17.html#group28A17", "28A¹⁷"), =HYPERLINK("CSG21.html#group28E21", "28E²¹"), =HYPERLINK("CSG7.html#group28E7", "28E⁷"), =HYPERLINK("CSG9.html#group14C9", "14C⁹"), =HYPERLINK("CSG9.html#group28B9", "28B⁹"), =HYPERLINK("CSG21.html#group56G21", "56G²¹"), =HYPERLINK("CSG7.html#group14C7", "14C⁷"), =HYPERLINK("CSG21.html#group56E21", "56E²¹"), =HYPERLINK("CSG21.html#group28D21", "28D²¹"), =HYPERLINK("CSG21.html#group28H21", "28H²¹"), =HYPERLINK("CSG21.html#group28C21", "28C²¹"), =HYPERLINK("CSG21.html#group56F21", "56F²¹"), =HYPERLINK("CSG17.html#group28C17", "28C¹⁷"), =HYPERLINK("CSG21.html#group56A21", "56A²¹"), =HYPERLINK("CSG19.html#group14A19", "14A¹⁹"), =HYPERLINK("CSG21.html#group28I21", "28I²¹"), =HYPERLINK("CSG21.html#group56D21", "56D²¹"), =HYPERLINK("CSG9.html#group14B9", "14B⁹"), =HYPERLINK("CSG17.html#group14B17", "14B¹⁷"), =HYPERLINK("CSG21.html#group28G21", "28G²¹"), =HYPERLINK("CSG17.html#group28D17", "28D¹⁷"), =HYPERLINK("CSG17.html#group56F17", "56F¹⁷"), =HYPERLINK("CSG9.html#group28A9", "28A⁹")</f>
        <v/>
      </c>
    </row>
    <row r="463">
      <c r="A463" t="inlineStr">
        <is>
          <t>14E³</t>
        </is>
      </c>
      <c r="B463" t="inlineStr"/>
      <c r="C463" t="inlineStr">
        <is>
          <t>84</t>
        </is>
      </c>
      <c r="D463" t="inlineStr">
        <is>
          <t>2</t>
        </is>
      </c>
      <c r="E463" t="inlineStr">
        <is>
          <t>14</t>
        </is>
      </c>
      <c r="F463" t="inlineStr">
        <is>
          <t>0</t>
        </is>
      </c>
      <c r="G463" t="inlineStr">
        <is>
          <t>6</t>
        </is>
      </c>
      <c r="H463" t="inlineStr">
        <is>
          <t>14⁶</t>
        </is>
      </c>
      <c r="I463" t="n">
        <v>6</v>
      </c>
      <c r="J463" t="inlineStr">
        <is>
          <t>2², 6⁴</t>
        </is>
      </c>
      <c r="K463">
        <f>HYPERLINK("CSG1.html#group14D1", "14D¹"), =HYPERLINK("CSG1.html#group14F1", "14F¹")</f>
        <v/>
      </c>
      <c r="L463">
        <f>HYPERLINK("CSG13.html#group14C13", "14C¹³"), =HYPERLINK("CSG15.html#group14A15", "14A¹⁵"), =HYPERLINK("CSG16.html#group42B16", "42B¹⁶"), =HYPERLINK("CSG19.html#group42J19", "42J¹⁹"), =HYPERLINK("CSG21.html#group28K21", "28K²¹"), =HYPERLINK("CSG21.html#group28L21", "28L²¹"), =HYPERLINK("CSG21.html#group42D21", "42D²¹")</f>
        <v/>
      </c>
      <c r="M463">
        <f>HYPERLINK("CSG0.html#group2A0", "2A⁰"), =HYPERLINK("CSG0.html#group14A0", "14A⁰"), =HYPERLINK("CSG1.html#group14F1", "14F¹"), =HYPERLINK("CSG0.html#group7C0", "7C⁰"), =HYPERLINK("CSG1.html#group14A1", "14A¹"), =HYPERLINK("CSG0.html#group1A0", "1A⁰"), =HYPERLINK("CSG1.html#group14D1", "14D¹"), =HYPERLINK("CSG0.html#group7A0", "7A⁰")</f>
        <v/>
      </c>
      <c r="N463">
        <f>HYPERLINK("CSG21.html#group28K21", "28K²¹"), =HYPERLINK("CSG13.html#group14C13", "14C¹³"), =HYPERLINK("CSG15.html#group14A15", "14A¹⁵"), =HYPERLINK("CSG21.html#group28L21", "28L²¹"), =HYPERLINK("CSG21.html#group42D21", "42D²¹"), =HYPERLINK("CSG16.html#group42B16", "42B¹⁶"), =HYPERLINK("CSG19.html#group42J19", "42J¹⁹")</f>
        <v/>
      </c>
    </row>
    <row r="464">
      <c r="A464" t="inlineStr">
        <is>
          <t>14F³</t>
        </is>
      </c>
      <c r="B464" t="inlineStr"/>
      <c r="C464" t="inlineStr">
        <is>
          <t>84</t>
        </is>
      </c>
      <c r="D464" t="inlineStr">
        <is>
          <t>2</t>
        </is>
      </c>
      <c r="E464" t="inlineStr">
        <is>
          <t>21</t>
        </is>
      </c>
      <c r="F464" t="inlineStr">
        <is>
          <t>8</t>
        </is>
      </c>
      <c r="G464" t="inlineStr">
        <is>
          <t>0</t>
        </is>
      </c>
      <c r="H464" t="inlineStr">
        <is>
          <t>14⁶</t>
        </is>
      </c>
      <c r="I464" t="n">
        <v>6</v>
      </c>
      <c r="J464" t="inlineStr">
        <is>
          <t>6⁷</t>
        </is>
      </c>
      <c r="K464">
        <f>HYPERLINK("CSG0.html#group7G0", "7G⁰"), =HYPERLINK("CSG1.html#group14E1", "14E¹"), =HYPERLINK("CSG2.html#group14B2", "14B²")</f>
        <v/>
      </c>
      <c r="L464">
        <f>HYPERLINK("CSG7.html#group14B7", "14B⁷"), =HYPERLINK("CSG9.html#group14A9", "14A⁹"), =HYPERLINK("CSG11.html#group14A11", "14A¹¹"), =HYPERLINK("CSG13.html#group42J13", "42J¹³"), =HYPERLINK("CSG19.html#group28C19", "28C¹⁹"), =HYPERLINK("CSG23.html#group42I23", "42I²³")</f>
        <v/>
      </c>
      <c r="M464">
        <f>HYPERLINK("CSG0.html#group14A0", "14A⁰"), =HYPERLINK("CSG1.html#group14E1", "14E¹"), =HYPERLINK("CSG2.html#group14B2", "14B²"), =HYPERLINK("CSG0.html#group7D0", "7D⁰"), =HYPERLINK("CSG0.html#group7C0", "7C⁰"), =HYPERLINK("CSG0.html#group7G0", "7G⁰"), =HYPERLINK("CSG0.html#group1A0", "1A⁰"), =HYPERLINK("CSG0.html#group7A0", "7A⁰")</f>
        <v/>
      </c>
      <c r="N464">
        <f>HYPERLINK("CSG11.html#group14A11", "14A¹¹"), =HYPERLINK("CSG23.html#group14A23", "14A²³"), =HYPERLINK("CSG7.html#group14B7", "14B⁷"), =HYPERLINK("CSG17.html#group14A17", "14A¹⁷"), =HYPERLINK("CSG19.html#group28C19", "28C¹⁹"), =HYPERLINK("CSG23.html#group42I23", "42I²³"), =HYPERLINK("CSG21.html#group28A21", "28A²¹"), =HYPERLINK("CSG9.html#group14A9", "14A⁹"), =HYPERLINK("CSG13.html#group42J13", "42J¹³")</f>
        <v/>
      </c>
    </row>
    <row r="465">
      <c r="A465" t="inlineStr">
        <is>
          <t>15A³</t>
        </is>
      </c>
      <c r="B465" t="inlineStr"/>
      <c r="C465" t="inlineStr">
        <is>
          <t>60</t>
        </is>
      </c>
      <c r="D465" t="inlineStr">
        <is>
          <t>1</t>
        </is>
      </c>
      <c r="E465" t="inlineStr">
        <is>
          <t>20</t>
        </is>
      </c>
      <c r="F465" t="inlineStr">
        <is>
          <t>0</t>
        </is>
      </c>
      <c r="G465" t="inlineStr">
        <is>
          <t>0</t>
        </is>
      </c>
      <c r="H465" t="inlineStr">
        <is>
          <t>5³, 15³</t>
        </is>
      </c>
      <c r="I465" t="n">
        <v>6</v>
      </c>
      <c r="J465" t="inlineStr">
        <is>
          <t>1², 2¹, 4², 8¹</t>
        </is>
      </c>
      <c r="K465">
        <f>HYPERLINK("CSG0.html#group5E0", "5E⁰"), =HYPERLINK("CSG1.html#group15B1", "15B¹")</f>
        <v/>
      </c>
      <c r="L465">
        <f>HYPERLINK("CSG5.html#group15B5", "15B⁵"), =HYPERLINK("CSG8.html#group30A8", "30A⁸"), =HYPERLINK("CSG8.html#group30D8", "30D⁸"), =HYPERLINK("CSG10.html#group15B10", "15B¹⁰"), =HYPERLINK("CSG10.html#group30F10", "30F¹⁰"), =HYPERLINK("CSG10.html#group45B10", "45B¹⁰"), =HYPERLINK("CSG13.html#group45A13", "45A¹³"), =HYPERLINK("CSG13.html#group45B13", "45B¹³"), =HYPERLINK("CSG18.html#group60D18", "60D¹⁸"), =HYPERLINK("CSG19.html#group75B19", "75B¹⁹")</f>
        <v/>
      </c>
      <c r="M465">
        <f>HYPERLINK("CSG0.html#group5E0", "5E⁰"), =HYPERLINK("CSG1.html#group15B1", "15B¹"), =HYPERLINK("CSG0.html#group5A0", "5A⁰"), =HYPERLINK("CSG0.html#group3B0", "3B⁰"), =HYPERLINK("CSG0.html#group1A0", "1A⁰")</f>
        <v/>
      </c>
      <c r="N465">
        <f>HYPERLINK("CSG22.html#group30A22", "30A²²"), =HYPERLINK("CSG22.html#group60D22", "60D²²"), =HYPERLINK("CSG19.html#group75B19", "75B¹⁹"), =HYPERLINK("CSG8.html#group30D8", "30D⁸"), =HYPERLINK("CSG10.html#group45B10", "45B¹⁰"), =HYPERLINK("CSG10.html#group30F10", "30F¹⁰"), =HYPERLINK("CSG22.html#group30C22", "30C²²"), =HYPERLINK("CSG9.html#group15B9", "15B⁹"), =HYPERLINK("CSG10.html#group15B10", "15B¹⁰"), =HYPERLINK("CSG18.html#group60D18", "60D¹⁸"), =HYPERLINK("CSG15.html#group30C15", "30C¹⁵"), =HYPERLINK("CSG13.html#group45A13", "45A¹³"), =HYPERLINK("CSG19.html#group45H19", "45H¹⁹"), =HYPERLINK("CSG17.html#group15B17", "15B¹⁷"), =HYPERLINK("CSG19.html#group30B19", "30B¹⁹"), =HYPERLINK("CSG8.html#group30A8", "30A⁸"), =HYPERLINK("CSG18.html#group60A18", "60A¹⁸"), =HYPERLINK("CSG15.html#group30B15", "30B¹⁵"), =HYPERLINK("CSG18.html#group60C18", "60C¹⁸"), =HYPERLINK("CSG19.html#group15B19", "15B¹⁹"), =HYPERLINK("CSG22.html#group60A22", "60A²²"), =HYPERLINK("CSG5.html#group15B5", "15B⁵"), =HYPERLINK("CSG13.html#group45B13", "45B¹³")</f>
        <v/>
      </c>
    </row>
    <row r="466">
      <c r="A466" t="inlineStr">
        <is>
          <t>15B³</t>
        </is>
      </c>
      <c r="B466" t="inlineStr"/>
      <c r="C466" t="inlineStr">
        <is>
          <t>60</t>
        </is>
      </c>
      <c r="D466" t="inlineStr">
        <is>
          <t>1</t>
        </is>
      </c>
      <c r="E466" t="inlineStr">
        <is>
          <t>20</t>
        </is>
      </c>
      <c r="F466" t="inlineStr">
        <is>
          <t>0</t>
        </is>
      </c>
      <c r="G466" t="inlineStr">
        <is>
          <t>3</t>
        </is>
      </c>
      <c r="H466" t="inlineStr">
        <is>
          <t>15⁴</t>
        </is>
      </c>
      <c r="I466" t="n">
        <v>4</v>
      </c>
      <c r="J466" t="inlineStr">
        <is>
          <t>4¹, 8²</t>
        </is>
      </c>
      <c r="K466">
        <f>HYPERLINK("CSG0.html#group5F0", "5F⁰"), =HYPERLINK("CSG0.html#group15A0", "15A⁰")</f>
        <v/>
      </c>
      <c r="L466">
        <f>HYPERLINK("CSG7.html#group30H7", "30H⁷"), =HYPERLINK("CSG10.html#group15A10", "15A¹⁰"), =HYPERLINK("CSG12.html#group15A12", "15A¹²"), =HYPERLINK("CSG12.html#group30F12", "30F¹²"), =HYPERLINK("CSG18.html#group60F18", "60F¹⁸"), =HYPERLINK("CSG19.html#group75A19", "75A¹⁹")</f>
        <v/>
      </c>
      <c r="M466">
        <f>HYPERLINK("CSG0.html#group5F0", "5F⁰"), =HYPERLINK("CSG0.html#group5A0", "5A⁰"), =HYPERLINK("CSG0.html#group1A0", "1A⁰"), =HYPERLINK("CSG0.html#group5C0", "5C⁰"), =HYPERLINK("CSG0.html#group15A0", "15A⁰")</f>
        <v/>
      </c>
      <c r="N466">
        <f>HYPERLINK("CSG10.html#group15A10", "15A¹⁰"), =HYPERLINK("CSG22.html#group30B22", "30B²²"), =HYPERLINK("CSG7.html#group30H7", "30H⁷"), =HYPERLINK("CSG12.html#group30F12", "30F¹²"), =HYPERLINK("CSG19.html#group15A19", "15A¹⁹"), =HYPERLINK("CSG15.html#group60Q15", "60Q¹⁵"), =HYPERLINK("CSG12.html#group15A12", "15A¹²"), =HYPERLINK("CSG18.html#group60F18", "60F¹⁸"), =HYPERLINK("CSG23.html#group15A23", "15A²³"), =HYPERLINK("CSG19.html#group75A19", "75A¹⁹")</f>
        <v/>
      </c>
    </row>
    <row r="467">
      <c r="A467" t="inlineStr">
        <is>
          <t>15C³</t>
        </is>
      </c>
      <c r="B467" t="inlineStr"/>
      <c r="C467" t="inlineStr">
        <is>
          <t>60</t>
        </is>
      </c>
      <c r="D467" t="inlineStr">
        <is>
          <t>1</t>
        </is>
      </c>
      <c r="E467" t="inlineStr">
        <is>
          <t>30</t>
        </is>
      </c>
      <c r="F467" t="inlineStr">
        <is>
          <t>4</t>
        </is>
      </c>
      <c r="G467" t="inlineStr">
        <is>
          <t>0</t>
        </is>
      </c>
      <c r="H467" t="inlineStr">
        <is>
          <t>15⁴</t>
        </is>
      </c>
      <c r="I467" t="n">
        <v>4</v>
      </c>
      <c r="J467" t="inlineStr">
        <is>
          <t>2¹, 4³, 8²</t>
        </is>
      </c>
      <c r="K467">
        <f>HYPERLINK("CSG0.html#group3C0", "3C⁰"), =HYPERLINK("CSG1.html#group15D1", "15D¹")</f>
        <v/>
      </c>
      <c r="L467">
        <f>HYPERLINK("CSG5.html#group15A5", "15A⁵"), =HYPERLINK("CSG7.html#group15A7", "15A⁷"), =HYPERLINK("CSG7.html#group15B7", "15B⁷"), =HYPERLINK("CSG7.html#group30I7", "30I⁷"), =HYPERLINK("CSG7.html#group30J7", "30J⁷"), =HYPERLINK("CSG9.html#group15A9", "15A⁹"), =HYPERLINK("CSG9.html#group30C9", "30C⁹"), =HYPERLINK("CSG9.html#group30E9", "30E⁹"), =HYPERLINK("CSG11.html#group30C11", "30C¹¹"), =HYPERLINK("CSG11.html#group45A11", "45A¹¹"), =HYPERLINK("CSG11.html#group45E11", "45E¹¹"), =HYPERLINK("CSG13.html#group45J13", "45J¹³"), =HYPERLINK("CSG17.html#group60I17", "60I¹⁷"), =HYPERLINK("CSG23.html#group75A23", "75A²³")</f>
        <v/>
      </c>
      <c r="M467">
        <f>HYPERLINK("CSG0.html#group3C0", "3C⁰"), =HYPERLINK("CSG1.html#group15D1", "15D¹"), =HYPERLINK("CSG0.html#group3A0", "3A⁰"), =HYPERLINK("CSG0.html#group1A0", "1A⁰"), =HYPERLINK("CSG0.html#group5C0", "5C⁰")</f>
        <v/>
      </c>
      <c r="N467">
        <f>HYPERLINK("CSG23.html#group60E23", "60E²³"), =HYPERLINK("CSG7.html#group15B7", "15B⁷"), =HYPERLINK("CSG23.html#group45C23", "45C²³"), =HYPERLINK("CSG23.html#group45A23", "45A²³"), =HYPERLINK("CSG19.html#group15A19", "15A¹⁹"), =HYPERLINK("CSG17.html#group30B17", "30B¹⁷"), =HYPERLINK("CSG5.html#group15A5", "15A⁵"), =HYPERLINK("CSG17.html#group60C17", "60C¹⁷"), =HYPERLINK("CSG17.html#group60K17", "60K¹⁷"), =HYPERLINK("CSG23.html#group30G23", "30G²³"), =HYPERLINK("CSG7.html#group30J7", "30J⁷"), =HYPERLINK("CSG17.html#group60I17", "60I¹⁷"), =HYPERLINK("CSG11.html#group45E11", "45E¹¹"), =HYPERLINK("CSG17.html#group30E17", "30E¹⁷"), =HYPERLINK("CSG9.html#group15A9", "15A⁹"), =HYPERLINK("CSG23.html#group90D23", "90D²³"), =HYPERLINK("CSG11.html#group15A11", "15A¹¹"), =HYPERLINK("CSG17.html#group15A17", "15A¹⁷"), =HYPERLINK("CSG21.html#group45D21", "45D²¹"), =HYPERLINK("CSG17.html#group60J17", "60J¹⁷"), =HYPERLINK("CSG13.html#group45J13", "45J¹³"), =HYPERLINK("CSG9.html#group30C9", "30C⁹"), =HYPERLINK("CSG23.html#group30A23", "30A²³"), =HYPERLINK("CSG23.html#group30B23", "30B²³"), =HYPERLINK("CSG9.html#group30E9", "30E⁹"), =HYPERLINK("CSG7.html#group30I7", "30I⁷"), =HYPERLINK("CSG23.html#group30I23", "30I²³"), =HYPERLINK("CSG23.html#group60D23", "60D²³"), =HYPERLINK("CSG7.html#group15A7", "15A⁷"), =HYPERLINK("CSG23.html#group30F23", "30F²³"), =HYPERLINK("CSG21.html#group45B21", "45B²¹"), =HYPERLINK("CSG17.html#group60D17", "60D¹⁷"), =HYPERLINK("CSG21.html#group45C21", "45C²¹"), =HYPERLINK("CSG23.html#group30H23", "30H²³"), =HYPERLINK("CSG11.html#group30C11", "30C¹¹"), =HYPERLINK("CSG11.html#group45A11", "45A¹¹"), =HYPERLINK("CSG13.html#group30M13", "30M¹³"), =HYPERLINK("CSG15.html#group30D15", "30D¹⁵"), =HYPERLINK("CSG17.html#group30D17", "30D¹⁷"), =HYPERLINK("CSG13.html#group15A13", "15A¹³"), =HYPERLINK("CSG23.html#group75A23", "75A²³"), =HYPERLINK("CSG19.html#group15B19", "15B¹⁹"), =HYPERLINK("CSG23.html#group30C23", "30C²³"), =HYPERLINK("CSG23.html#group90C23", "90C²³"), =HYPERLINK("CSG17.html#group30C17", "30C¹⁷"), =HYPERLINK("CSG21.html#group30C21", "30C²¹"), =HYPERLINK("CSG17.html#group30A17", "30A¹⁷")</f>
        <v/>
      </c>
    </row>
    <row r="468">
      <c r="A468" t="inlineStr">
        <is>
          <t>15D³</t>
        </is>
      </c>
      <c r="B468" t="inlineStr"/>
      <c r="C468" t="inlineStr">
        <is>
          <t>60</t>
        </is>
      </c>
      <c r="D468" t="inlineStr">
        <is>
          <t>2</t>
        </is>
      </c>
      <c r="E468" t="inlineStr">
        <is>
          <t>20</t>
        </is>
      </c>
      <c r="F468" t="inlineStr">
        <is>
          <t>0</t>
        </is>
      </c>
      <c r="G468" t="inlineStr">
        <is>
          <t>3</t>
        </is>
      </c>
      <c r="H468" t="inlineStr">
        <is>
          <t>15⁴</t>
        </is>
      </c>
      <c r="I468" t="n">
        <v>4</v>
      </c>
      <c r="J468" t="inlineStr">
        <is>
          <t>2², 4¹, 8⁴</t>
        </is>
      </c>
      <c r="K468">
        <f>HYPERLINK("CSG0.html#group15A0", "15A⁰"), =HYPERLINK("CSG1.html#group15B1", "15B¹")</f>
        <v/>
      </c>
      <c r="L468">
        <f>HYPERLINK("CSG7.html#group30M7", "30M⁷"), =HYPERLINK("CSG10.html#group15B10", "15B¹⁰"), =HYPERLINK("CSG10.html#group45C10", "45C¹⁰"), =HYPERLINK("CSG12.html#group15A12", "15A¹²"), =HYPERLINK("CSG12.html#group30H12", "30H¹²"), =HYPERLINK("CSG13.html#group45G13", "45G¹³"), =HYPERLINK("CSG13.html#group45H13", "45H¹³"), =HYPERLINK("CSG18.html#group60I18", "60I¹⁸")</f>
        <v/>
      </c>
      <c r="M468">
        <f>HYPERLINK("CSG1.html#group15B1", "15B¹"), =HYPERLINK("CSG0.html#group3B0", "3B⁰"), =HYPERLINK("CSG0.html#group5A0", "5A⁰"), =HYPERLINK("CSG0.html#group1A0", "1A⁰"), =HYPERLINK("CSG0.html#group15A0", "15A⁰")</f>
        <v/>
      </c>
      <c r="N468">
        <f>HYPERLINK("CSG13.html#group45G13", "45G¹³"), =HYPERLINK("CSG22.html#group90K22", "90K²²"), =HYPERLINK("CSG22.html#group30D22", "30D²²"), =HYPERLINK("CSG12.html#group30H12", "30H¹²"), =HYPERLINK("CSG13.html#group45H13", "45H¹³"), =HYPERLINK("CSG15.html#group60Y15", "60Y¹⁵"), =HYPERLINK("CSG18.html#group60I18", "60I¹⁸"), =HYPERLINK("CSG12.html#group15A12", "15A¹²"), =HYPERLINK("CSG19.html#group15B19", "15B¹⁹"), =HYPERLINK("CSG7.html#group30M7", "30M⁷"), =HYPERLINK("CSG10.html#group45C10", "45C¹⁰"), =HYPERLINK("CSG10.html#group15B10", "15B¹⁰"), =HYPERLINK("CSG23.html#group15A23", "15A²³")</f>
        <v/>
      </c>
    </row>
    <row r="469">
      <c r="A469" t="inlineStr">
        <is>
          <t>15E³</t>
        </is>
      </c>
      <c r="B469" t="inlineStr"/>
      <c r="C469" t="inlineStr">
        <is>
          <t>72</t>
        </is>
      </c>
      <c r="D469" t="inlineStr">
        <is>
          <t>1</t>
        </is>
      </c>
      <c r="E469" t="inlineStr">
        <is>
          <t>6</t>
        </is>
      </c>
      <c r="F469" t="inlineStr">
        <is>
          <t>0</t>
        </is>
      </c>
      <c r="G469" t="inlineStr">
        <is>
          <t>0</t>
        </is>
      </c>
      <c r="H469" t="inlineStr">
        <is>
          <t>3⁴, 15⁴</t>
        </is>
      </c>
      <c r="I469" t="n">
        <v>8</v>
      </c>
      <c r="J469" t="inlineStr">
        <is>
          <t>1², 4¹</t>
        </is>
      </c>
      <c r="K469">
        <f>HYPERLINK("CSG0.html#group3D0", "3D⁰"), =HYPERLINK("CSG1.html#group15C1", "15C¹"), =HYPERLINK("CSG1.html#group15E1", "15E¹")</f>
        <v/>
      </c>
      <c r="L469">
        <f>HYPERLINK("CSG5.html#group15C5", "15C⁵"), =HYPERLINK("CSG9.html#group30G9", "30G⁹"), =HYPERLINK("CSG9.html#group30H9", "30H⁹"), =HYPERLINK("CSG11.html#group30G11", "30G¹¹"), =HYPERLINK("CSG11.html#group45F11", "45F¹¹"), =HYPERLINK("CSG13.html#group45K13", "45K¹³"), =HYPERLINK("CSG15.html#group45A15", "45A¹⁵"), =HYPERLINK("CSG19.html#group15B19", "15B¹⁹"), =HYPERLINK("CSG19.html#group75D19", "75D¹⁹"), =HYPERLINK("CSG21.html#group60E21", "60E²¹")</f>
        <v/>
      </c>
      <c r="M469">
        <f>HYPERLINK("CSG1.html#group15C1", "15C¹"), =HYPERLINK("CSG0.html#group3B0", "3B⁰"), =HYPERLINK("CSG0.html#group15B0", "15B⁰"), =HYPERLINK("CSG1.html#group15E1", "15E¹"), =HYPERLINK("CSG0.html#group5B0", "5B⁰"), =HYPERLINK("CSG0.html#group3C0", "3C⁰"), =HYPERLINK("CSG0.html#group3A0", "3A⁰"), =HYPERLINK("CSG0.html#group1A0", "1A⁰"), =HYPERLINK("CSG0.html#group3D0", "3D⁰")</f>
        <v/>
      </c>
      <c r="N469">
        <f>HYPERLINK("CSG11.html#group30G11", "30G¹¹"), =HYPERLINK("CSG21.html#group60B21", "60B²¹"), =HYPERLINK("CSG21.html#group45E21", "45E²¹"), =HYPERLINK("CSG11.html#group45F11", "45F¹¹"), =HYPERLINK("CSG21.html#group60A21", "60A²¹"), =HYPERLINK("CSG9.html#group30G9", "30G⁹"), =HYPERLINK("CSG13.html#group45K13", "45K¹³"), =HYPERLINK("CSG19.html#group75D19", "75D¹⁹"), =HYPERLINK("CSG5.html#group15C5", "15C⁵"), =HYPERLINK("CSG17.html#group30H17", "30H¹⁷"), =HYPERLINK("CSG15.html#group45A15", "45A¹⁵"), =HYPERLINK("CSG19.html#group15B19", "15B¹⁹"), =HYPERLINK("CSG21.html#group60E21", "60E²¹"), =HYPERLINK("CSG21.html#group30G21", "30G²¹"), =HYPERLINK("CSG9.html#group30H9", "30H⁹"), =HYPERLINK("CSG17.html#group30G17", "30G¹⁷"), =HYPERLINK("CSG21.html#group60Q21", "60Q²¹"), =HYPERLINK("CSG9.html#group15C9", "15C⁹")</f>
        <v/>
      </c>
    </row>
    <row r="470">
      <c r="A470" t="inlineStr">
        <is>
          <t>15F³</t>
        </is>
      </c>
      <c r="B470" t="inlineStr"/>
      <c r="C470" t="inlineStr">
        <is>
          <t>72</t>
        </is>
      </c>
      <c r="D470" t="inlineStr">
        <is>
          <t>1</t>
        </is>
      </c>
      <c r="E470" t="inlineStr">
        <is>
          <t>18</t>
        </is>
      </c>
      <c r="F470" t="inlineStr">
        <is>
          <t>0</t>
        </is>
      </c>
      <c r="G470" t="inlineStr">
        <is>
          <t>0</t>
        </is>
      </c>
      <c r="H470" t="inlineStr">
        <is>
          <t>3⁴, 15⁴</t>
        </is>
      </c>
      <c r="I470" t="n">
        <v>8</v>
      </c>
      <c r="J470" t="inlineStr">
        <is>
          <t>1², 2², 4¹, 8¹</t>
        </is>
      </c>
      <c r="K470">
        <f>HYPERLINK("CSG0.html#group15C0", "15C⁰"), =HYPERLINK("CSG1.html#group15E1", "15E¹"), =HYPERLINK("CSG2.html#group15B2", "15B²")</f>
        <v/>
      </c>
      <c r="L470">
        <f>HYPERLINK("CSG5.html#group15C5", "15C⁵"), =HYPERLINK("CSG9.html#group30J9", "30J⁹"), =HYPERLINK("CSG9.html#group30K9", "30K⁹"), =HYPERLINK("CSG11.html#group30H11", "30H¹¹"), =HYPERLINK("CSG11.html#group45H11", "45H¹¹"), =HYPERLINK("CSG15.html#group45B15", "45B¹⁵"), =HYPERLINK("CSG15.html#group45C15", "45C¹⁵"), =HYPERLINK("CSG19.html#group15A19", "15A¹⁹"), =HYPERLINK("CSG19.html#group75C19", "75C¹⁹"), =HYPERLINK("CSG21.html#group60L21", "60L²¹")</f>
        <v/>
      </c>
      <c r="M470">
        <f>HYPERLINK("CSG0.html#group15B0", "15B⁰"), =HYPERLINK("CSG2.html#group15B2", "15B²"), =HYPERLINK("CSG0.html#group5B0", "5B⁰"), =HYPERLINK("CSG0.html#group5D0", "5D⁰"), =HYPERLINK("CSG0.html#group3C0", "3C⁰"), =HYPERLINK("CSG0.html#group15C0", "15C⁰"), =HYPERLINK("CSG0.html#group3A0", "3A⁰"), =HYPERLINK("CSG0.html#group1A0", "1A⁰"), =HYPERLINK("CSG1.html#group15E1", "15E¹")</f>
        <v/>
      </c>
      <c r="N470">
        <f>HYPERLINK("CSG21.html#group45E21", "45E²¹"), =HYPERLINK("CSG19.html#group15A19", "15A¹⁹"), =HYPERLINK("CSG21.html#group60L21", "60L²¹"), =HYPERLINK("CSG19.html#group75C19", "75C¹⁹"), =HYPERLINK("CSG11.html#group30H11", "30H¹¹"), =HYPERLINK("CSG21.html#group60D21", "60D²¹"), =HYPERLINK("CSG15.html#group45C15", "45C¹⁵"), =HYPERLINK("CSG21.html#group60G21", "60G²¹"), =HYPERLINK("CSG5.html#group15C5", "15C⁵"), =HYPERLINK("CSG9.html#group30J9", "30J⁹"), =HYPERLINK("CSG11.html#group45H11", "45H¹¹"), =HYPERLINK("CSG17.html#group30H17", "30H¹⁷"), =HYPERLINK("CSG9.html#group30K9", "30K⁹"), =HYPERLINK("CSG15.html#group45B15", "45B¹⁵"), =HYPERLINK("CSG17.html#group30G17", "30G¹⁷"), =HYPERLINK("CSG21.html#group30G21", "30G²¹"), =HYPERLINK("CSG21.html#group60C21", "60C²¹"), =HYPERLINK("CSG9.html#group15C9", "15C⁹")</f>
        <v/>
      </c>
    </row>
    <row r="471">
      <c r="A471" t="inlineStr">
        <is>
          <t>15G³</t>
        </is>
      </c>
      <c r="B471" t="inlineStr"/>
      <c r="C471" t="inlineStr">
        <is>
          <t>80</t>
        </is>
      </c>
      <c r="D471" t="inlineStr">
        <is>
          <t>1</t>
        </is>
      </c>
      <c r="E471" t="inlineStr">
        <is>
          <t>40</t>
        </is>
      </c>
      <c r="F471" t="inlineStr">
        <is>
          <t>0</t>
        </is>
      </c>
      <c r="G471" t="inlineStr">
        <is>
          <t>2</t>
        </is>
      </c>
      <c r="H471" t="inlineStr">
        <is>
          <t>5⁴, 15⁴</t>
        </is>
      </c>
      <c r="I471" t="n">
        <v>8</v>
      </c>
      <c r="J471" t="inlineStr">
        <is>
          <t>2², 4⁵, 8²</t>
        </is>
      </c>
      <c r="K471">
        <f>HYPERLINK("CSG0.html#group5F0", "5F⁰"), =HYPERLINK("CSG1.html#group15B1", "15B¹"), =HYPERLINK("CSG2.html#group15C2", "15C²")</f>
        <v/>
      </c>
      <c r="L471">
        <f>HYPERLINK("CSG5.html#group15D5", "15D⁵"), =HYPERLINK("CSG9.html#group15B9", "15B⁹"), =HYPERLINK("CSG9.html#group30M9", "30M⁹"), =HYPERLINK("CSG9.html#group30N9", "30N⁹"), =HYPERLINK("CSG12.html#group15A12", "15A¹²"), =HYPERLINK("CSG12.html#group45H12", "45H¹²"), =HYPERLINK("CSG13.html#group15A13", "15A¹³"), =HYPERLINK("CSG13.html#group30N13", "30N¹³"), =HYPERLINK("CSG13.html#group45O13", "45O¹³"), =HYPERLINK("CSG15.html#group45D15", "45D¹⁵"), =HYPERLINK("CSG16.html#group45A16", "45A¹⁶"), =HYPERLINK("CSG17.html#group45A17", "45A¹⁷"), =HYPERLINK("CSG17.html#group45B17", "45B¹⁷"), =HYPERLINK("CSG23.html#group60C23", "60C²³")</f>
        <v/>
      </c>
      <c r="M471">
        <f>HYPERLINK("CSG0.html#group3B0", "3B⁰"), =HYPERLINK("CSG0.html#group5A0", "5A⁰"), =HYPERLINK("CSG0.html#group5C0", "5C⁰"), =HYPERLINK("CSG1.html#group15B1", "15B¹"), =HYPERLINK("CSG0.html#group5F0", "5F⁰"), =HYPERLINK("CSG2.html#group15C2", "15C²"), =HYPERLINK("CSG0.html#group1A0", "1A⁰")</f>
        <v/>
      </c>
      <c r="N471">
        <f>HYPERLINK("CSG17.html#group30K17", "30K¹⁷"), =HYPERLINK("CSG9.html#group30M9", "30M⁹"), =HYPERLINK("CSG23.html#group60C23", "60C²³"), =HYPERLINK("CSG21.html#group60R21", "60R²¹"), =HYPERLINK("CSG9.html#group15B9", "15B⁹"), =HYPERLINK("CSG17.html#group45B17", "45B¹⁷"), =HYPERLINK("CSG15.html#group45D15", "45D¹⁵"), =HYPERLINK("CSG23.html#group15A23", "15A²³"), =HYPERLINK("CSG17.html#group15B17", "15B¹⁷"), =HYPERLINK("CSG16.html#group45A16", "45A¹⁶"), =HYPERLINK("CSG21.html#group60S21", "60S²¹"), =HYPERLINK("CSG12.html#group45H12", "45H¹²"), =HYPERLINK("CSG13.html#group15A13", "15A¹³"), =HYPERLINK("CSG5.html#group15D5", "15D⁵"), =HYPERLINK("CSG12.html#group15A12", "15A¹²"), =HYPERLINK("CSG13.html#group30N13", "30N¹³"), =HYPERLINK("CSG23.html#group45E23", "45E²³"), =HYPERLINK("CSG13.html#group45O13", "45O¹³"), =HYPERLINK("CSG9.html#group30N9", "30N⁹"), =HYPERLINK("CSG17.html#group45A17", "45A¹⁷")</f>
        <v/>
      </c>
    </row>
    <row r="472">
      <c r="A472" t="inlineStr">
        <is>
          <t>15H³</t>
        </is>
      </c>
      <c r="B472" t="inlineStr"/>
      <c r="C472" t="inlineStr">
        <is>
          <t>90</t>
        </is>
      </c>
      <c r="D472" t="inlineStr">
        <is>
          <t>1</t>
        </is>
      </c>
      <c r="E472" t="inlineStr">
        <is>
          <t>45</t>
        </is>
      </c>
      <c r="F472" t="inlineStr">
        <is>
          <t>10</t>
        </is>
      </c>
      <c r="G472" t="inlineStr">
        <is>
          <t>0</t>
        </is>
      </c>
      <c r="H472" t="inlineStr">
        <is>
          <t>15⁶</t>
        </is>
      </c>
      <c r="I472" t="n">
        <v>6</v>
      </c>
      <c r="J472" t="inlineStr">
        <is>
          <t>1¹, 2², 4⁴, 8³</t>
        </is>
      </c>
      <c r="K472">
        <f>HYPERLINK("CSG1.html#group15F1", "15F¹")</f>
        <v/>
      </c>
      <c r="L472">
        <f>HYPERLINK("CSG7.html#group15C7", "15C⁷"), =HYPERLINK("CSG8.html#group15A8", "15A⁸"), =HYPERLINK("CSG8.html#group15B8", "15B⁸"), =HYPERLINK("CSG9.html#group15A9", "15A⁹"), =HYPERLINK("CSG9.html#group30O9", "30O⁹"), =HYPERLINK("CSG10.html#group30D10", "30D¹⁰"), =HYPERLINK("CSG10.html#group30E10", "30E¹⁰"), =HYPERLINK("CSG10.html#group30I10", "30I¹⁰"), =HYPERLINK("CSG11.html#group30E11", "30E¹¹"), =HYPERLINK("CSG13.html#group30G13", "30G¹³"), =HYPERLINK("CSG15.html#group30F15", "30F¹⁵"), =HYPERLINK("CSG16.html#group45D16", "45D¹⁶"), =HYPERLINK("CSG17.html#group45C17", "45C¹⁷"), =HYPERLINK("CSG23.html#group60J23", "60J²³")</f>
        <v/>
      </c>
      <c r="M472">
        <f>HYPERLINK("CSG1.html#group15F1", "15F¹"), =HYPERLINK("CSG0.html#group5E0", "5E⁰"), =HYPERLINK("CSG0.html#group5A0", "5A⁰"), =HYPERLINK("CSG0.html#group3A0", "3A⁰"), =HYPERLINK("CSG0.html#group1A0", "1A⁰"), =HYPERLINK("CSG1.html#group15A1", "15A¹"), =HYPERLINK("CSG0.html#group15A0", "15A⁰")</f>
        <v/>
      </c>
      <c r="N472">
        <f>HYPERLINK("CSG7.html#group15C7", "15C⁷"), =HYPERLINK("CSG8.html#group15A8", "15A⁸"), =HYPERLINK("CSG10.html#group30I10", "30I¹⁰"), =HYPERLINK("CSG19.html#group15A19", "15A¹⁹"), =HYPERLINK("CSG21.html#group30B21", "30B²¹"), =HYPERLINK("CSG10.html#group30E10", "30E¹⁰"), =HYPERLINK("CSG16.html#group15A16", "15A¹⁶"), =HYPERLINK("CSG23.html#group30E23", "30E²³"), =HYPERLINK("CSG11.html#group30E11", "30E¹¹"), =HYPERLINK("CSG16.html#group45D16", "45D¹⁶"), =HYPERLINK("CSG23.html#group60J23", "60J²³"), =HYPERLINK("CSG9.html#group30O9", "30O⁹"), =HYPERLINK("CSG10.html#group30D10", "30D¹⁰"), =HYPERLINK("CSG23.html#group30D23", "30D²³"), =HYPERLINK("CSG9.html#group15A9", "15A⁹"), =HYPERLINK("CSG21.html#group30F21", "30F²¹"), =HYPERLINK("CSG13.html#group30G13", "30G¹³"), =HYPERLINK("CSG17.html#group15A17", "15A¹⁷"), =HYPERLINK("CSG21.html#group30A21", "30A²¹"), =HYPERLINK("CSG19.html#group15B19", "15B¹⁹"), =HYPERLINK("CSG23.html#group30C23", "30C²³"), =HYPERLINK("CSG23.html#group30J23", "30J²³"), =HYPERLINK("CSG23.html#group30B23", "30B²³"), =HYPERLINK("CSG8.html#group15B8", "15B⁸"), =HYPERLINK("CSG17.html#group45C17", "45C¹⁷"), =HYPERLINK("CSG15.html#group30F15", "30F¹⁵"), =HYPERLINK("CSG22.html#group30E22", "30E²²")</f>
        <v/>
      </c>
    </row>
    <row r="473">
      <c r="A473" t="inlineStr">
        <is>
          <t>15I³</t>
        </is>
      </c>
      <c r="B473" t="inlineStr"/>
      <c r="C473" t="inlineStr">
        <is>
          <t>144</t>
        </is>
      </c>
      <c r="D473" t="inlineStr">
        <is>
          <t>1</t>
        </is>
      </c>
      <c r="E473" t="inlineStr">
        <is>
          <t>36</t>
        </is>
      </c>
      <c r="F473" t="inlineStr">
        <is>
          <t>8</t>
        </is>
      </c>
      <c r="G473" t="inlineStr">
        <is>
          <t>0</t>
        </is>
      </c>
      <c r="H473" t="inlineStr">
        <is>
          <t>3⁸, 15⁸</t>
        </is>
      </c>
      <c r="I473" t="n">
        <v>16</v>
      </c>
      <c r="J473" t="inlineStr">
        <is>
          <t>2⁶, 8³</t>
        </is>
      </c>
      <c r="K473">
        <f>HYPERLINK("CSG1.html#group15H1", "15H¹")</f>
        <v/>
      </c>
      <c r="L473">
        <f>HYPERLINK("CSG9.html#group15C9", "15C⁹"), =HYPERLINK("CSG13.html#group30Q13", "30Q¹³"), =HYPERLINK("CSG17.html#group30I17", "30I¹⁷"), =HYPERLINK("CSG19.html#group30C19", "30C¹⁹"), =HYPERLINK("CSG19.html#group45I19", "45I¹⁹"), =HYPERLINK("CSG23.html#group45D23", "45D²³")</f>
        <v/>
      </c>
      <c r="M473">
        <f>HYPERLINK("CSG0.html#group15B0", "15B⁰"), =HYPERLINK("CSG1.html#group15E1", "15E¹"), =HYPERLINK("CSG0.html#group5B0", "5B⁰"), =HYPERLINK("CSG0.html#group3C0", "3C⁰"), =HYPERLINK("CSG0.html#group3A0", "3A⁰"), =HYPERLINK("CSG1.html#group15H1", "15H¹"), =HYPERLINK("CSG0.html#group1A0", "1A⁰"), =HYPERLINK("CSG0.html#group15C0", "15C⁰")</f>
        <v/>
      </c>
      <c r="N473">
        <f>HYPERLINK("CSG19.html#group45I19", "45I¹⁹"), =HYPERLINK("CSG23.html#group45D23", "45D²³"), =HYPERLINK("CSG13.html#group30Q13", "30Q¹³"), =HYPERLINK("CSG17.html#group30I17", "30I¹⁷"), =HYPERLINK("CSG19.html#group30C19", "30C¹⁹"), =HYPERLINK("CSG9.html#group15C9", "15C⁹")</f>
        <v/>
      </c>
    </row>
    <row r="474">
      <c r="A474" t="inlineStr">
        <is>
          <t>16A³</t>
        </is>
      </c>
      <c r="B474" t="inlineStr"/>
      <c r="C474" t="inlineStr">
        <is>
          <t>48</t>
        </is>
      </c>
      <c r="D474" t="inlineStr">
        <is>
          <t>1</t>
        </is>
      </c>
      <c r="E474" t="inlineStr">
        <is>
          <t>3</t>
        </is>
      </c>
      <c r="F474" t="inlineStr">
        <is>
          <t>0</t>
        </is>
      </c>
      <c r="G474" t="inlineStr">
        <is>
          <t>0</t>
        </is>
      </c>
      <c r="H474" t="inlineStr">
        <is>
          <t>8², 16²</t>
        </is>
      </c>
      <c r="I474" t="n">
        <v>4</v>
      </c>
      <c r="J474" t="inlineStr">
        <is>
          <t>1³</t>
        </is>
      </c>
      <c r="K474">
        <f>HYPERLINK("CSG1.html#group8B1", "8B¹"), =HYPERLINK("CSG1.html#group16B1", "16B¹")</f>
        <v/>
      </c>
      <c r="L474">
        <f>HYPERLINK("CSG5.html#group16B5", "16B⁵"), =HYPERLINK("CSG5.html#group16C5", "16C⁵"), =HYPERLINK("CSG7.html#group32F7", "32F⁷"), =HYPERLINK("CSG11.html#group48A11", "48A¹¹"), =HYPERLINK("CSG13.html#group48B13", "48B¹³"), =HYPERLINK("CSG19.html#group80A19", "80A¹⁹"), =HYPERLINK("CSG21.html#group80D21", "80D²¹")</f>
        <v/>
      </c>
      <c r="M474">
        <f>HYPERLINK("CSG0.html#group2A0", "2A⁰"), =HYPERLINK("CSG1.html#group8A1", "8A¹"), =HYPERLINK("CSG0.html#group4C0", "4C⁰"), =HYPERLINK("CSG0.html#group8B0", "8B⁰"), =HYPERLINK("CSG1.html#group16B1", "16B¹"), =HYPERLINK("CSG0.html#group2B0", "2B⁰"), =HYPERLINK("CSG1.html#group8B1", "8B¹"), =HYPERLINK("CSG0.html#group4E0", "4E⁰"), =HYPERLINK("CSG0.html#group4B0", "4B⁰"), =HYPERLINK("CSG0.html#group1A0", "1A⁰"), =HYPERLINK("CSG0.html#group2C0", "2C⁰")</f>
        <v/>
      </c>
      <c r="N474">
        <f>HYPERLINK("CSG13.html#group32B13", "32B¹³"), =HYPERLINK("CSG9.html#group16C9", "16C⁹"), =HYPERLINK("CSG7.html#group32F7", "32F⁷"), =HYPERLINK("CSG13.html#group48B13", "48B¹³"), =HYPERLINK("CSG5.html#group16C5", "16C⁵"), =HYPERLINK("CSG23.html#group96O23", "96O²³"), =HYPERLINK("CSG21.html#group48I21", "48I²¹"), =HYPERLINK("CSG19.html#group80A19", "80A¹⁹"), =HYPERLINK("CSG21.html#group16A21", "16A²¹"), =HYPERLINK("CSG21.html#group32A21", "32A²¹"), =HYPERLINK("CSG13.html#group32L13", "32L¹³"), =HYPERLINK("CSG21.html#group48R21", "48R²¹"), =HYPERLINK("CSG21.html#group32B21", "32B²¹"), =HYPERLINK("CSG23.html#group96F23", "96F²³"), =HYPERLINK("CSG17.html#group16A17", "16A¹⁷"), =HYPERLINK("CSG17.html#group16B17", "16B¹⁷"), =HYPERLINK("CSG21.html#group16C21", "16C²¹"), =HYPERLINK("CSG21.html#group32Q21", "32Q²¹"), =HYPERLINK("CSG9.html#group16F9", "16F⁹"), =HYPERLINK("CSG5.html#group16B5", "16B⁵"), =HYPERLINK("CSG11.html#group48A11", "48A¹¹"), =HYPERLINK("CSG21.html#group48P21", "48P²¹"), =HYPERLINK("CSG9.html#group16B9", "16B⁹"), =HYPERLINK("CSG13.html#group32E13", "32E¹³"), =HYPERLINK("CSG21.html#group32E21", "32E²¹"), =HYPERLINK("CSG21.html#group48AI21", "48AI²¹"), =HYPERLINK("CSG21.html#group80D21", "80D²¹"), =HYPERLINK("CSG13.html#group32D13", "32D¹³"), =HYPERLINK("CSG13.html#group32A13", "32A¹³"), =HYPERLINK("CSG21.html#group48F21", "48F²¹"), =HYPERLINK("CSG9.html#group16E9", "16E⁹"), =HYPERLINK("CSG21.html#group16E21", "16E²¹")</f>
        <v/>
      </c>
    </row>
    <row r="475">
      <c r="A475" t="inlineStr">
        <is>
          <t>16B³</t>
        </is>
      </c>
      <c r="B475" t="inlineStr"/>
      <c r="C475" t="inlineStr">
        <is>
          <t>48</t>
        </is>
      </c>
      <c r="D475" t="inlineStr">
        <is>
          <t>1</t>
        </is>
      </c>
      <c r="E475" t="inlineStr">
        <is>
          <t>3</t>
        </is>
      </c>
      <c r="F475" t="inlineStr">
        <is>
          <t>0</t>
        </is>
      </c>
      <c r="G475" t="inlineStr">
        <is>
          <t>0</t>
        </is>
      </c>
      <c r="H475" t="inlineStr">
        <is>
          <t>8², 16²</t>
        </is>
      </c>
      <c r="I475" t="n">
        <v>4</v>
      </c>
      <c r="J475" t="inlineStr">
        <is>
          <t>1³</t>
        </is>
      </c>
      <c r="K475">
        <f>HYPERLINK("CSG0.html#group16B0", "16B⁰"), =HYPERLINK("CSG1.html#group8B1", "8B¹"), =HYPERLINK("CSG2.html#group16A2", "16A²")</f>
        <v/>
      </c>
      <c r="L475">
        <f>HYPERLINK("CSG5.html#group16B5", "16B⁵"), =HYPERLINK("CSG5.html#group16D5", "16D⁵"), =HYPERLINK("CSG7.html#group32G7", "32G⁷"), =HYPERLINK("CSG11.html#group48B11", "48B¹¹"), =HYPERLINK("CSG13.html#group48D13", "48D¹³"), =HYPERLINK("CSG19.html#group80B19", "80B¹⁹"), =HYPERLINK("CSG21.html#group80I21", "80I²¹")</f>
        <v/>
      </c>
      <c r="M475">
        <f>HYPERLINK("CSG0.html#group2A0", "2A⁰"), =HYPERLINK("CSG1.html#group8A1", "8A¹"), =HYPERLINK("CSG0.html#group4C0", "4C⁰"), =HYPERLINK("CSG0.html#group8B0", "8B⁰"), =HYPERLINK("CSG0.html#group2B0", "2B⁰"), =HYPERLINK("CSG1.html#group8B1", "8B¹"), =HYPERLINK("CSG0.html#group4E0", "4E⁰"), =HYPERLINK("CSG0.html#group4B0", "4B⁰"), =HYPERLINK("CSG0.html#group1A0", "1A⁰"), =HYPERLINK("CSG2.html#group16A2", "16A²"), =HYPERLINK("CSG0.html#group16B0", "16B⁰"), =HYPERLINK("CSG0.html#group2C0", "2C⁰")</f>
        <v/>
      </c>
      <c r="N475">
        <f>HYPERLINK("CSG13.html#group32B13", "32B¹³"), =HYPERLINK("CSG7.html#group32G7", "32G⁷"), =HYPERLINK("CSG9.html#group16C9", "16C⁹"), =HYPERLINK("CSG5.html#group16D5", "16D⁵"), =HYPERLINK("CSG21.html#group48AK21", "48AK²¹"), =HYPERLINK("CSG13.html#group48D13", "48D¹³"), =HYPERLINK("CSG21.html#group16A21", "16A²¹"), =HYPERLINK("CSG21.html#group32A21", "32A²¹"), =HYPERLINK("CSG21.html#group48S21", "48S²¹"), =HYPERLINK("CSG21.html#group32B21", "32B²¹"), =HYPERLINK("CSG17.html#group16A17", "16A¹⁷"), =HYPERLINK("CSG17.html#group16B17", "16B¹⁷"), =HYPERLINK("CSG21.html#group16C21", "16C²¹"), =HYPERLINK("CSG9.html#group16G9", "16G⁹"), =HYPERLINK("CSG13.html#group32G13", "32G¹³"), =HYPERLINK("CSG5.html#group16B5", "16B⁵"), =HYPERLINK("CSG11.html#group48B11", "48B¹¹"), =HYPERLINK("CSG21.html#group48N21", "48N²¹"), =HYPERLINK("CSG13.html#group32A13", "32A¹³"), =HYPERLINK("CSG9.html#group16B9", "16B⁹"), =HYPERLINK("CSG23.html#group96P23", "96P²³"), =HYPERLINK("CSG13.html#group32H13", "32H¹³"), =HYPERLINK("CSG13.html#group32M13", "32M¹³"), =HYPERLINK("CSG21.html#group32E21", "32E²¹"), =HYPERLINK("CSG21.html#group80I21", "80I²¹"), =HYPERLINK("CSG21.html#group32R21", "32R²¹"), =HYPERLINK("CSG21.html#group48J21", "48J²¹"), =HYPERLINK("CSG23.html#group96G23", "96G²³"), =HYPERLINK("CSG19.html#group80B19", "80B¹⁹"), =HYPERLINK("CSG21.html#group48F21", "48F²¹"), =HYPERLINK("CSG9.html#group16E9", "16E⁹"), =HYPERLINK("CSG21.html#group16E21", "16E²¹")</f>
        <v/>
      </c>
    </row>
    <row r="476">
      <c r="A476" t="inlineStr">
        <is>
          <t>16C³</t>
        </is>
      </c>
      <c r="B476" t="inlineStr"/>
      <c r="C476" t="inlineStr">
        <is>
          <t>48</t>
        </is>
      </c>
      <c r="D476" t="inlineStr">
        <is>
          <t>1</t>
        </is>
      </c>
      <c r="E476" t="inlineStr">
        <is>
          <t>6</t>
        </is>
      </c>
      <c r="F476" t="inlineStr">
        <is>
          <t>0</t>
        </is>
      </c>
      <c r="G476" t="inlineStr">
        <is>
          <t>0</t>
        </is>
      </c>
      <c r="H476" t="inlineStr">
        <is>
          <t>8², 16²</t>
        </is>
      </c>
      <c r="I476" t="n">
        <v>4</v>
      </c>
      <c r="J476" t="inlineStr">
        <is>
          <t>1², 2²</t>
        </is>
      </c>
      <c r="K476">
        <f>HYPERLINK("CSG0.html#group8H0", "8H⁰"), =HYPERLINK("CSG1.html#group16B1", "16B¹"), =HYPERLINK("CSG2.html#group16A2", "16A²")</f>
        <v/>
      </c>
      <c r="L476">
        <f>HYPERLINK("CSG5.html#group16B5", "16B⁵"), =HYPERLINK("CSG5.html#group16E5", "16E⁵"), =HYPERLINK("CSG5.html#group16F5", "16F⁵"), =HYPERLINK("CSG5.html#group16G5", "16G⁵"), =HYPERLINK("CSG11.html#group48C11", "48C¹¹"), =HYPERLINK("CSG13.html#group48H13", "48H¹³"), =HYPERLINK("CSG19.html#group80C19", "80C¹⁹"), =HYPERLINK("CSG21.html#group80O21", "80O²¹")</f>
        <v/>
      </c>
      <c r="M476">
        <f>HYPERLINK("CSG0.html#group8H0", "8H⁰"), =HYPERLINK("CSG0.html#group8D0", "8D⁰"), =HYPERLINK("CSG0.html#group4A0", "4A⁰"), =HYPERLINK("CSG0.html#group4C0", "4C⁰"), =HYPERLINK("CSG0.html#group8B0", "8B⁰"), =HYPERLINK("CSG1.html#group16B1", "16B¹"), =HYPERLINK("CSG0.html#group2B0", "2B⁰"), =HYPERLINK("CSG0.html#group4F0", "4F⁰"), =HYPERLINK("CSG0.html#group1A0", "1A⁰"), =HYPERLINK("CSG2.html#group16A2", "16A²")</f>
        <v/>
      </c>
      <c r="N476">
        <f>HYPERLINK("CSG13.html#group32B13", "32B¹³"), =HYPERLINK("CSG5.html#group16F5", "16F⁵"), =HYPERLINK("CSG21.html#group16A21", "16A²¹"), =HYPERLINK("CSG21.html#group80O21", "80O²¹"), =HYPERLINK("CSG21.html#group32A21", "32A²¹"), =HYPERLINK("CSG11.html#group32D11", "32D¹¹"), =HYPERLINK("CSG21.html#group32B21", "32B²¹"), =HYPERLINK("CSG13.html#group48H13", "48H¹³"), =HYPERLINK("CSG17.html#group16A17", "16A¹⁷"), =HYPERLINK("CSG17.html#group16B17", "16B¹⁷"), =HYPERLINK("CSG21.html#group48U21", "48U²¹"), =HYPERLINK("CSG23.html#group64B23", "64B²³"), =HYPERLINK("CSG21.html#group48AF21", "48AF²¹"), =HYPERLINK("CSG21.html#group48AE21", "48AE²¹"), =HYPERLINK("CSG13.html#group32Q13", "32Q¹³"), =HYPERLINK("CSG21.html#group48F21", "48F²¹"), =HYPERLINK("CSG21.html#group48V21", "48V²¹"), =HYPERLINK("CSG21.html#group32P21", "32P²¹"), =HYPERLINK("CSG11.html#group16B11", "16B¹¹"), =HYPERLINK("CSG9.html#group16C9", "16C⁹"), =HYPERLINK("CSG11.html#group32C11", "32C¹¹"), =HYPERLINK("CSG21.html#group48AS21", "48AS²¹"), =HYPERLINK("CSG5.html#group16G5", "16G⁵"), =HYPERLINK("CSG21.html#group48T21", "48T²¹"), =HYPERLINK("CSG19.html#group80C19", "80C¹⁹"), =HYPERLINK("CSG21.html#group16C21", "16C²¹"), =HYPERLINK("CSG5.html#group16B5", "16B⁵"), =HYPERLINK("CSG21.html#group16F21", "16F²¹"), =HYPERLINK("CSG23.html#group32G23", "32G²³"), =HYPERLINK("CSG9.html#group16B9", "16B⁹"), =HYPERLINK("CSG21.html#group48AX21", "48AX²¹"), =HYPERLINK("CSG11.html#group48C11", "48C¹¹"), =HYPERLINK("CSG21.html#group32E21", "32E²¹"), =HYPERLINK("CSG9.html#group16H9", "16H⁹"), =HYPERLINK("CSG21.html#group48AR21", "48AR²¹"), =HYPERLINK("CSG11.html#group16C11", "16C¹¹"), =HYPERLINK("CSG13.html#group32A13", "32A¹³"), =HYPERLINK("CSG5.html#group16E5", "16E⁵"), =HYPERLINK("CSG9.html#group16E9", "16E⁹"), =HYPERLINK("CSG21.html#group16E21", "16E²¹")</f>
        <v/>
      </c>
    </row>
    <row r="477">
      <c r="A477" t="inlineStr">
        <is>
          <t>16D³</t>
        </is>
      </c>
      <c r="B477" t="inlineStr"/>
      <c r="C477" t="inlineStr">
        <is>
          <t>48</t>
        </is>
      </c>
      <c r="D477" t="inlineStr">
        <is>
          <t>1</t>
        </is>
      </c>
      <c r="E477" t="inlineStr">
        <is>
          <t>6</t>
        </is>
      </c>
      <c r="F477" t="inlineStr">
        <is>
          <t>0</t>
        </is>
      </c>
      <c r="G477" t="inlineStr">
        <is>
          <t>0</t>
        </is>
      </c>
      <c r="H477" t="inlineStr">
        <is>
          <t>8², 16²</t>
        </is>
      </c>
      <c r="I477" t="n">
        <v>4</v>
      </c>
      <c r="J477" t="inlineStr">
        <is>
          <t>1⁴, 2¹</t>
        </is>
      </c>
      <c r="K477">
        <f>HYPERLINK("CSG1.html#group8B1", "8B¹"), =HYPERLINK("CSG1.html#group16D1", "16D¹"), =HYPERLINK("CSG2.html#group16B2", "16B²")</f>
        <v/>
      </c>
      <c r="L477">
        <f>HYPERLINK("CSG5.html#group16A5", "16A⁵"), =HYPERLINK("CSG5.html#group16C5", "16C⁵"), =HYPERLINK("CSG5.html#group16D5", "16D⁵"), =HYPERLINK("CSG7.html#group32B7", "32B⁷"), =HYPERLINK("CSG7.html#group32C7", "32C⁷"), =HYPERLINK("CSG7.html#group32E7", "32E⁷"), =HYPERLINK("CSG7.html#group32D7", "32D⁷"), =HYPERLINK("CSG11.html#group48D11", "48D¹¹"), =HYPERLINK("CSG13.html#group48J13", "48J¹³"), =HYPERLINK("CSG19.html#group80F19", "80F¹⁹"), =HYPERLINK("CSG21.html#group80Q21", "80Q²¹")</f>
        <v/>
      </c>
      <c r="M477">
        <f>HYPERLINK("CSG0.html#group2A0", "2A⁰"), =HYPERLINK("CSG1.html#group16D1", "16D¹"), =HYPERLINK("CSG2.html#group16B2", "16B²"), =HYPERLINK("CSG1.html#group8A1", "8A¹"), =HYPERLINK("CSG0.html#group4C0", "4C⁰"), =HYPERLINK("CSG0.html#group8B0", "8B⁰"), =HYPERLINK("CSG0.html#group2B0", "2B⁰"), =HYPERLINK("CSG1.html#group8B1", "8B¹"), =HYPERLINK("CSG0.html#group4E0", "4E⁰"), =HYPERLINK("CSG0.html#group4B0", "4B⁰"), =HYPERLINK("CSG0.html#group1A0", "1A⁰"), =HYPERLINK("CSG0.html#group2C0", "2C⁰")</f>
        <v/>
      </c>
      <c r="N477">
        <f>HYPERLINK("CSG9.html#group16D9", "16D⁹"), =HYPERLINK("CSG23.html#group96I23", "96I²³"), =HYPERLINK("CSG5.html#group16D5", "16D⁵"), =HYPERLINK("CSG5.html#group16C5", "16C⁵"), =HYPERLINK("CSG21.html#group48I21", "48I²¹"), =HYPERLINK("CSG13.html#group48J13", "48J¹³"), =HYPERLINK("CSG7.html#group32E7", "32E⁷"), =HYPERLINK("CSG15.html#group64A15", "64A¹⁵"), =HYPERLINK("CSG13.html#group32L13", "32L¹³"), =HYPERLINK("CSG23.html#group96K23", "96K²³"), =HYPERLINK("CSG15.html#group64F15", "64F¹⁵"), =HYPERLINK("CSG17.html#group16A17", "16A¹⁷"), =HYPERLINK("CSG17.html#group16B17", "16B¹⁷"), =HYPERLINK("CSG13.html#group32C13", "32C¹³"), =HYPERLINK("CSG9.html#group16F9", "16F⁹"), =HYPERLINK("CSG13.html#group32E13", "32E¹³"), =HYPERLINK("CSG11.html#group48D11", "48D¹¹"), =HYPERLINK("CSG21.html#group48AN21", "48AN²¹"), =HYPERLINK("CSG23.html#group96D23", "96D²³"), =HYPERLINK("CSG21.html#group32R21", "32R²¹"), =HYPERLINK("CSG21.html#group48J21", "48J²¹"), =HYPERLINK("CSG21.html#group80Q21", "80Q²¹"), =HYPERLINK("CSG23.html#group96C23", "96C²³"), =HYPERLINK("CSG13.html#group32F13", "32F¹³"), =HYPERLINK("CSG21.html#group32D21", "32D²¹"), =HYPERLINK("CSG23.html#group96J23", "96J²³"), =HYPERLINK("CSG15.html#group64E15", "64E¹⁵"), =HYPERLINK("CSG21.html#group16D21", "16D²¹"), =HYPERLINK("CSG23.html#group96E23", "96E²³"), =HYPERLINK("CSG7.html#group32C7", "32C⁷"), =HYPERLINK("CSG19.html#group80F19", "80F¹⁹"), =HYPERLINK("CSG15.html#group64D15", "64D¹⁵"), =HYPERLINK("CSG13.html#group32G13", "32G¹³"), =HYPERLINK("CSG21.html#group16C21", "16C²¹"), =HYPERLINK("CSG9.html#group16G9", "16G⁹"), =HYPERLINK("CSG21.html#group32F21", "32F²¹"), =HYPERLINK("CSG15.html#group64B15", "64B¹⁵"), =HYPERLINK("CSG13.html#group32H13", "32H¹³"), =HYPERLINK("CSG21.html#group48AJ21", "48AJ²¹"), =HYPERLINK("CSG9.html#group16A9", "16A⁹"), =HYPERLINK("CSG13.html#group32M13", "32M¹³"), =HYPERLINK("CSG5.html#group16A5", "16A⁵"), =HYPERLINK("CSG7.html#group32D7", "32D⁷"), =HYPERLINK("CSG13.html#group32D13", "32D¹³"), =HYPERLINK("CSG21.html#group48E21", "48E²¹"), =HYPERLINK("CSG21.html#group48AM21", "48AM²¹"), =HYPERLINK("CSG7.html#group32B7", "32B⁷"), =HYPERLINK("CSG23.html#group96B23", "96B²³"), =HYPERLINK("CSG15.html#group64C15", "64C¹⁵"), =HYPERLINK("CSG21.html#group48AP21", "48AP²¹"), =HYPERLINK("CSG23.html#group96L23", "96L²³"), =HYPERLINK("CSG9.html#group16E9", "16E⁹"), =HYPERLINK("CSG21.html#group32Q21", "32Q²¹")</f>
        <v/>
      </c>
    </row>
    <row r="478">
      <c r="A478" t="inlineStr">
        <is>
          <t>16E³</t>
        </is>
      </c>
      <c r="B478" t="inlineStr"/>
      <c r="C478" t="inlineStr">
        <is>
          <t>48</t>
        </is>
      </c>
      <c r="D478" t="inlineStr">
        <is>
          <t>1</t>
        </is>
      </c>
      <c r="E478" t="inlineStr">
        <is>
          <t>12</t>
        </is>
      </c>
      <c r="F478" t="inlineStr">
        <is>
          <t>0</t>
        </is>
      </c>
      <c r="G478" t="inlineStr">
        <is>
          <t>0</t>
        </is>
      </c>
      <c r="H478" t="inlineStr">
        <is>
          <t>8², 16²</t>
        </is>
      </c>
      <c r="I478" t="n">
        <v>4</v>
      </c>
      <c r="J478" t="inlineStr">
        <is>
          <t>2⁶</t>
        </is>
      </c>
      <c r="K478">
        <f>HYPERLINK("CSG1.html#group8C1", "8C¹"), =HYPERLINK("CSG2.html#group16B2", "16B²")</f>
        <v/>
      </c>
      <c r="L478">
        <f>HYPERLINK("CSG5.html#group16A5", "16A⁵"), =HYPERLINK("CSG5.html#group16H5", "16H⁵"), =HYPERLINK("CSG7.html#group32K7", "32K⁷"), =HYPERLINK("CSG11.html#group48J11", "48J¹¹"), =HYPERLINK("CSG13.html#group48L13", "48L¹³"), =HYPERLINK("CSG19.html#group80G19", "80G¹⁹"), =HYPERLINK("CSG21.html#group80T21", "80T²¹")</f>
        <v/>
      </c>
      <c r="M478">
        <f>HYPERLINK("CSG2.html#group16B2", "16B²"), =HYPERLINK("CSG1.html#group8C1", "8C¹"), =HYPERLINK("CSG1.html#group8A1", "8A¹"), =HYPERLINK("CSG0.html#group8D0", "8D⁰"), =HYPERLINK("CSG0.html#group4A0", "4A⁰"), =HYPERLINK("CSG0.html#group4C0", "4C⁰"), =HYPERLINK("CSG0.html#group2B0", "2B⁰"), =HYPERLINK("CSG0.html#group4F0", "4F⁰"), =HYPERLINK("CSG0.html#group1A0", "1A⁰")</f>
        <v/>
      </c>
      <c r="N478">
        <f>HYPERLINK("CSG9.html#group16D9", "16D⁹"), =HYPERLINK("CSG11.html#group48J11", "48J¹¹"), =HYPERLINK("CSG5.html#group16H5", "16H⁵"), =HYPERLINK("CSG21.html#group48AQ21", "48AQ²¹"), =HYPERLINK("CSG21.html#group48AY21", "48AY²¹"), =HYPERLINK("CSG7.html#group32K7", "32K⁷"), =HYPERLINK("CSG21.html#group16D21", "16D²¹"), =HYPERLINK("CSG11.html#group32H11", "32H¹¹"), =HYPERLINK("CSG17.html#group16A17", "16A¹⁷"), =HYPERLINK("CSG13.html#group32C13", "32C¹³"), =HYPERLINK("CSG23.html#group96AC23", "96AC²³"), =HYPERLINK("CSG21.html#group16C21", "16C²¹"), =HYPERLINK("CSG21.html#group32F21", "32F²¹"), =HYPERLINK("CSG19.html#group80G19", "80G¹⁹"), =HYPERLINK("CSG17.html#group16B17", "16B¹⁷"), =HYPERLINK("CSG21.html#group48AZ21", "48AZ²¹"), =HYPERLINK("CSG23.html#group64A23", "64A²³"), =HYPERLINK("CSG9.html#group16A9", "16A⁹"), =HYPERLINK("CSG23.html#group32F23", "32F²³"), =HYPERLINK("CSG21.html#group48BN21", "48BN²¹"), =HYPERLINK("CSG5.html#group16A5", "16A⁵"), =HYPERLINK("CSG21.html#group48E21", "48E²¹"), =HYPERLINK("CSG13.html#group32P13", "32P¹³"), =HYPERLINK("CSG21.html#group80T21", "80T²¹"), =HYPERLINK("CSG9.html#group16E9", "16E⁹"), =HYPERLINK("CSG13.html#group48L13", "48L¹³"), =HYPERLINK("CSG23.html#group96AD23", "96AD²³"), =HYPERLINK("CSG13.html#group32F13", "32F¹³"), =HYPERLINK("CSG15.html#group64K15", "64K¹⁵"), =HYPERLINK("CSG21.html#group32D21", "32D²¹"), =HYPERLINK("CSG11.html#group16D11", "16D¹¹"), =HYPERLINK("CSG15.html#group64L15", "64L¹⁵")</f>
        <v/>
      </c>
    </row>
    <row r="479">
      <c r="A479" t="inlineStr">
        <is>
          <t>16F³</t>
        </is>
      </c>
      <c r="B479" t="inlineStr"/>
      <c r="C479" t="inlineStr">
        <is>
          <t>48</t>
        </is>
      </c>
      <c r="D479" t="inlineStr">
        <is>
          <t>1</t>
        </is>
      </c>
      <c r="E479" t="inlineStr">
        <is>
          <t>12</t>
        </is>
      </c>
      <c r="F479" t="inlineStr">
        <is>
          <t>0</t>
        </is>
      </c>
      <c r="G479" t="inlineStr">
        <is>
          <t>0</t>
        </is>
      </c>
      <c r="H479" t="inlineStr">
        <is>
          <t>8², 16²</t>
        </is>
      </c>
      <c r="I479" t="n">
        <v>4</v>
      </c>
      <c r="J479" t="inlineStr">
        <is>
          <t>1⁴, 2², 4¹</t>
        </is>
      </c>
      <c r="K479">
        <f>HYPERLINK("CSG0.html#group8L0", "8L⁰"), =HYPERLINK("CSG1.html#group16D1", "16D¹"), =HYPERLINK("CSG2.html#group16A2", "16A²")</f>
        <v/>
      </c>
      <c r="L479">
        <f>HYPERLINK("CSG5.html#group16D5", "16D⁵"), =HYPERLINK("CSG5.html#group16G5", "16G⁵"), =HYPERLINK("CSG7.html#group32I7", "32I⁷"), =HYPERLINK("CSG7.html#group32J7", "32J⁷"), =HYPERLINK("CSG11.html#group48K11", "48K¹¹"), =HYPERLINK("CSG13.html#group48P13", "48P¹³"), =HYPERLINK("CSG19.html#group80H19", "80H¹⁹"), =HYPERLINK("CSG21.html#group80AB21", "80AB²¹")</f>
        <v/>
      </c>
      <c r="M479">
        <f>HYPERLINK("CSG0.html#group8B0", "8B⁰"), =HYPERLINK("CSG0.html#group8L0", "8L⁰"), =HYPERLINK("CSG0.html#group2B0", "2B⁰"), =HYPERLINK("CSG1.html#group16D1", "16D¹"), =HYPERLINK("CSG0.html#group1A0", "1A⁰"), =HYPERLINK("CSG0.html#group4C0", "4C⁰"), =HYPERLINK("CSG2.html#group16A2", "16A²")</f>
        <v/>
      </c>
      <c r="N479">
        <f>HYPERLINK("CSG21.html#group48BU21", "48BU²¹"), =HYPERLINK("CSG21.html#group32P21", "32P²¹"), =HYPERLINK("CSG5.html#group16D5", "16D⁵"), =HYPERLINK("CSG13.html#group48P13", "48P¹³"), =HYPERLINK("CSG11.html#group48K11", "48K¹¹"), =HYPERLINK("CSG23.html#group96M23", "96M²³"), =HYPERLINK("CSG5.html#group16G5", "16G⁵"), =HYPERLINK("CSG7.html#group32J7", "32J⁷"), =HYPERLINK("CSG21.html#group80AB21", "80AB²¹"), =HYPERLINK("CSG17.html#group16A17", "16A¹⁷"), =HYPERLINK("CSG17.html#group16B17", "16B¹⁷"), =HYPERLINK("CSG13.html#group32G13", "32G¹³"), =HYPERLINK("CSG9.html#group16G9", "16G⁹"), =HYPERLINK("CSG15.html#group64I15", "64I¹⁵"), =HYPERLINK("CSG23.html#group96N23", "96N²³"), =HYPERLINK("CSG13.html#group32H13", "32H¹³"), =HYPERLINK("CSG21.html#group48BG21", "48BG²¹"), =HYPERLINK("CSG7.html#group32I7", "32I⁷"), =HYPERLINK("CSG21.html#group16F21", "16F²¹"), =HYPERLINK("CSG13.html#group32M13", "32M¹³"), =HYPERLINK("CSG13.html#group32Q13", "32Q¹³"), =HYPERLINK("CSG21.html#group48BF21", "48BF²¹"), =HYPERLINK("CSG9.html#group16H9", "16H⁹"), =HYPERLINK("CSG21.html#group32R21", "32R²¹"), =HYPERLINK("CSG23.html#group96U23", "96U²³"), =HYPERLINK("CSG19.html#group80H19", "80H¹⁹"), =HYPERLINK("CSG21.html#group48J21", "48J²¹"), =HYPERLINK("CSG23.html#group96V23", "96V²³"), =HYPERLINK("CSG15.html#group64J15", "64J¹⁵"), =HYPERLINK("CSG15.html#group64H15", "64H¹⁵"), =HYPERLINK("CSG9.html#group16E9", "16E⁹"), =HYPERLINK("CSG21.html#group48V21", "48V²¹"), =HYPERLINK("CSG15.html#group64G15", "64G¹⁵")</f>
        <v/>
      </c>
    </row>
    <row r="480">
      <c r="A480" t="inlineStr">
        <is>
          <t>16G³</t>
        </is>
      </c>
      <c r="B480" t="inlineStr"/>
      <c r="C480" t="inlineStr">
        <is>
          <t>48</t>
        </is>
      </c>
      <c r="D480" t="inlineStr">
        <is>
          <t>2</t>
        </is>
      </c>
      <c r="E480" t="inlineStr">
        <is>
          <t>24</t>
        </is>
      </c>
      <c r="F480" t="inlineStr">
        <is>
          <t>2</t>
        </is>
      </c>
      <c r="G480" t="inlineStr">
        <is>
          <t>0</t>
        </is>
      </c>
      <c r="H480" t="inlineStr">
        <is>
          <t>16³</t>
        </is>
      </c>
      <c r="I480" t="n">
        <v>3</v>
      </c>
      <c r="J480" t="inlineStr">
        <is>
          <t>8⁶</t>
        </is>
      </c>
      <c r="K480">
        <f>HYPERLINK("CSG0.html#group16A0", "16A⁰"), =HYPERLINK("CSG1.html#group8D1", "8D¹")</f>
        <v/>
      </c>
      <c r="L480">
        <f>HYPERLINK("CSG5.html#group16J5", "16J⁵"), =HYPERLINK("CSG6.html#group16A6", "16A⁶"), =HYPERLINK("CSG6.html#group16B6", "16B⁶"), =HYPERLINK("CSG10.html#group48F10", "48F¹⁰"), =HYPERLINK("CSG14.html#group48A14", "48A¹⁴"), =HYPERLINK("CSG19.html#group80K19", "80K¹⁹"), =HYPERLINK("CSG21.html#group80AG21", "80AG²¹")</f>
        <v/>
      </c>
      <c r="M480">
        <f>HYPERLINK("CSG0.html#group16A0", "16A⁰"), =HYPERLINK("CSG0.html#group4A0", "4A⁰"), =HYPERLINK("CSG0.html#group4C0", "4C⁰"), =HYPERLINK("CSG0.html#group8A0", "8A⁰"), =HYPERLINK("CSG0.html#group2B0", "2B⁰"), =HYPERLINK("CSG0.html#group4F0", "4F⁰"), =HYPERLINK("CSG0.html#group1A0", "1A⁰"), =HYPERLINK("CSG1.html#group8D1", "8D¹")</f>
        <v/>
      </c>
      <c r="N480">
        <f>HYPERLINK("CSG20.html#group48I20", "48I²⁰"), =HYPERLINK("CSG21.html#group48BX21", "48BX²¹"), =HYPERLINK("CSG6.html#group16B6", "16B⁶"), =HYPERLINK("CSG11.html#group16A11", "16A¹¹"), =HYPERLINK("CSG19.html#group48T19", "48T¹⁹"), =HYPERLINK("CSG19.html#group16A19", "16A¹⁹"), =HYPERLINK("CSG24.html#group32C24", "32C²⁴"), =HYPERLINK("CSG21.html#group16D21", "16D²¹"), =HYPERLINK("CSG20.html#group48H20", "48H²⁰"), =HYPERLINK("CSG21.html#group80AG21", "80AG²¹"), =HYPERLINK("CSG21.html#group32X21", "32X²¹"), =HYPERLINK("CSG14.html#group48A14", "48A¹⁴"), =HYPERLINK("CSG10.html#group48F10", "48F¹⁰"), =HYPERLINK("CSG19.html#group80K19", "80K¹⁹"), =HYPERLINK("CSG10.html#group16C10", "16C¹⁰"), =HYPERLINK("CSG24.html#group32D24", "32D²⁴"), =HYPERLINK("CSG6.html#group16A6", "16A⁶"), =HYPERLINK("CSG21.html#group32I21", "32I²¹"), =HYPERLINK("CSG11.html#group16B11", "16B¹¹"), =HYPERLINK("CSG22.html#group48A22", "48A²²"), =HYPERLINK("CSG21.html#group16E21", "16E²¹"), =HYPERLINK("CSG21.html#group16F21", "16F²¹"), =HYPERLINK("CSG23.html#group32G23", "32G²³"), =HYPERLINK("CSG10.html#group16B10", "16B¹⁰"), =HYPERLINK("CSG23.html#group32F23", "32F²³"), =HYPERLINK("CSG22.html#group48C22", "48C²²"), =HYPERLINK("CSG23.html#group32A23", "32A²³"), =HYPERLINK("CSG21.html#group16B21", "16B²¹"), =HYPERLINK("CSG21.html#group48BY21", "48BY²¹"), =HYPERLINK("CSG5.html#group16J5", "16J⁵"), =HYPERLINK("CSG9.html#group16I9", "16I⁹"), =HYPERLINK("CSG11.html#group16D11", "16D¹¹")</f>
        <v/>
      </c>
    </row>
    <row r="481">
      <c r="A481" t="inlineStr">
        <is>
          <t>16H³</t>
        </is>
      </c>
      <c r="B481" t="inlineStr"/>
      <c r="C481" t="inlineStr">
        <is>
          <t>96</t>
        </is>
      </c>
      <c r="D481" t="inlineStr">
        <is>
          <t>1</t>
        </is>
      </c>
      <c r="E481" t="inlineStr">
        <is>
          <t>3</t>
        </is>
      </c>
      <c r="F481" t="inlineStr">
        <is>
          <t>0</t>
        </is>
      </c>
      <c r="G481" t="inlineStr">
        <is>
          <t>0</t>
        </is>
      </c>
      <c r="H481" t="inlineStr">
        <is>
          <t>4⁸, 16⁴</t>
        </is>
      </c>
      <c r="I481" t="n">
        <v>12</v>
      </c>
      <c r="J481" t="inlineStr">
        <is>
          <t>1³</t>
        </is>
      </c>
      <c r="K481">
        <f>HYPERLINK("CSG1.html#group8F1", "8F¹"), =HYPERLINK("CSG1.html#group16E1", "16E¹"), =HYPERLINK("CSG1.html#group16H1", "16H¹")</f>
        <v/>
      </c>
      <c r="L481">
        <f>HYPERLINK("CSG5.html#group16M5", "16M⁵"), =HYPERLINK("CSG9.html#group16A9", "16A⁹"), =HYPERLINK("CSG9.html#group16C9", "16C⁹"), =HYPERLINK("CSG9.html#group32B9", "32B⁹"), =HYPERLINK("CSG9.html#group32A9", "32A⁹"), =HYPERLINK("CSG19.html#group48A19", "48A¹⁹"), =HYPERLINK("CSG21.html#group48CE21", "48CE²¹")</f>
        <v/>
      </c>
      <c r="M481">
        <f>HYPERLINK("CSG0.html#group2A0", "2A⁰"), =HYPERLINK("CSG1.html#group8A1", "8A¹"), =HYPERLINK("CSG0.html#group8D0", "8D⁰"), =HYPERLINK("CSG1.html#group16E1", "16E¹"), =HYPERLINK("CSG0.html#group4C0", "4C⁰"), =HYPERLINK("CSG0.html#group8B0", "8B⁰"), =HYPERLINK("CSG0.html#group4G0", "4G⁰"), =HYPERLINK("CSG0.html#group2B0", "2B⁰"), =HYPERLINK("CSG1.html#group8B1", "8B¹"), =HYPERLINK("CSG0.html#group8C0", "8C⁰"), =HYPERLINK("CSG0.html#group4E0", "4E⁰"), =HYPERLINK("CSG0.html#group4B0", "4B⁰"), =HYPERLINK("CSG1.html#group8F1", "8F¹"), =HYPERLINK("CSG0.html#group1A0", "1A⁰"), =HYPERLINK("CSG1.html#group16A1", "16A¹"), =HYPERLINK("CSG0.html#group8H0", "8H⁰"), =HYPERLINK("CSG1.html#group8C1", "8C¹"), =HYPERLINK("CSG0.html#group8G0", "8G⁰"), =HYPERLINK("CSG0.html#group4A0", "4A⁰"), =HYPERLINK("CSG0.html#group4D0", "4D⁰"), =HYPERLINK("CSG0.html#group16C0", "16C⁰"), =HYPERLINK("CSG0.html#group4F0", "4F⁰"), =HYPERLINK("CSG1.html#group16H1", "16H¹"), =HYPERLINK("CSG0.html#group2C0", "2C⁰")</f>
        <v/>
      </c>
      <c r="N481">
        <f>HYPERLINK("CSG21.html#group48CE21", "48CE²¹"), =HYPERLINK("CSG9.html#group16C9", "16C⁹"), =HYPERLINK("CSG5.html#group16M5", "16M⁵"), =HYPERLINK("CSG21.html#group64F21", "64F²¹"), =HYPERLINK("CSG9.html#group32A9", "32A⁹"), =HYPERLINK("CSG21.html#group32C21", "32C²¹"), =HYPERLINK("CSG21.html#group32A21", "32A²¹"), =HYPERLINK("CSG17.html#group32A17", "32A¹⁷"), =HYPERLINK("CSG21.html#group32B21", "32B²¹"), =HYPERLINK("CSG17.html#group16A17", "16A¹⁷"), =HYPERLINK("CSG19.html#group48A19", "48A¹⁹"), =HYPERLINK("CSG21.html#group16C21", "16C²¹"), =HYPERLINK("CSG21.html#group32F21", "32F²¹"), =HYPERLINK("CSG13.html#group32T13", "32T¹³"), =HYPERLINK("CSG9.html#group16A9", "16A⁹"), =HYPERLINK("CSG9.html#group32B9", "32B⁹"), =HYPERLINK("CSG13.html#group16C13", "16C¹³"), =HYPERLINK("CSG21.html#group64D21", "64D²¹"), =HYPERLINK("CSG21.html#group16E21", "16E²¹")</f>
        <v/>
      </c>
    </row>
    <row r="482">
      <c r="A482" t="inlineStr">
        <is>
          <t>16I³</t>
        </is>
      </c>
      <c r="B482" t="inlineStr"/>
      <c r="C482" t="inlineStr">
        <is>
          <t>96</t>
        </is>
      </c>
      <c r="D482" t="inlineStr">
        <is>
          <t>1</t>
        </is>
      </c>
      <c r="E482" t="inlineStr">
        <is>
          <t>3</t>
        </is>
      </c>
      <c r="F482" t="inlineStr">
        <is>
          <t>0</t>
        </is>
      </c>
      <c r="G482" t="inlineStr">
        <is>
          <t>0</t>
        </is>
      </c>
      <c r="H482" t="inlineStr">
        <is>
          <t>4⁸, 16⁴</t>
        </is>
      </c>
      <c r="I482" t="n">
        <v>12</v>
      </c>
      <c r="J482" t="inlineStr">
        <is>
          <t>1³</t>
        </is>
      </c>
      <c r="K482">
        <f>HYPERLINK("CSG0.html#group16G0", "16G⁰"), =HYPERLINK("CSG1.html#group8F1", "8F¹"), =HYPERLINK("CSG1.html#group16I1", "16I¹"), =HYPERLINK("CSG2.html#group16C2", "16C²"), =HYPERLINK("CSG2.html#group16D2", "16D²")</f>
        <v/>
      </c>
      <c r="L482">
        <f>HYPERLINK("CSG5.html#group16M5", "16M⁵"), =HYPERLINK("CSG7.html#group32L7", "32L⁷"), =HYPERLINK("CSG9.html#group16B9", "16B⁹"), =HYPERLINK("CSG9.html#group16D9", "16D⁹"), =HYPERLINK("CSG11.html#group32A11", "32A¹¹"), =HYPERLINK("CSG19.html#group48B19", "48B¹⁹"), =HYPERLINK("CSG21.html#group48CF21", "48CF²¹")</f>
        <v/>
      </c>
      <c r="M482">
        <f>HYPERLINK("CSG2.html#group16D2", "16D²"), =HYPERLINK("CSG0.html#group16G0", "16G⁰"), =HYPERLINK("CSG0.html#group2A0", "2A⁰"), =HYPERLINK("CSG1.html#group8A1", "8A¹"), =HYPERLINK("CSG2.html#group16C2", "16C²"), =HYPERLINK("CSG1.html#group16I1", "16I¹"), =HYPERLINK("CSG0.html#group8D0", "8D⁰"), =HYPERLINK("CSG0.html#group4C0", "4C⁰"), =HYPERLINK("CSG0.html#group8B0", "8B⁰"), =HYPERLINK("CSG0.html#group4G0", "4G⁰"), =HYPERLINK("CSG0.html#group2B0", "2B⁰"), =HYPERLINK("CSG0.html#group8C0", "8C⁰"), =HYPERLINK("CSG0.html#group4E0", "4E⁰"), =HYPERLINK("CSG1.html#group8B1", "8B¹"), =HYPERLINK("CSG0.html#group4B0", "4B⁰"), =HYPERLINK("CSG1.html#group8F1", "8F¹"), =HYPERLINK("CSG0.html#group1A0", "1A⁰"), =HYPERLINK("CSG0.html#group8H0", "8H⁰"), =HYPERLINK("CSG0.html#group16E0", "16E⁰"), =HYPERLINK("CSG1.html#group8C1", "8C¹"), =HYPERLINK("CSG0.html#group8G0", "8G⁰"), =HYPERLINK("CSG0.html#group4A0", "4A⁰"), =HYPERLINK("CSG0.html#group4D0", "4D⁰"), =HYPERLINK("CSG1.html#group16C1", "16C¹"), =HYPERLINK("CSG0.html#group16D0", "16D⁰"), =HYPERLINK("CSG0.html#group4F0", "4F⁰"), =HYPERLINK("CSG0.html#group2C0", "2C⁰")</f>
        <v/>
      </c>
      <c r="N482">
        <f>HYPERLINK("CSG9.html#group16D9", "16D⁹"), =HYPERLINK("CSG21.html#group16A21", "16A²¹"), =HYPERLINK("CSG5.html#group16M5", "16M⁵"), =HYPERLINK("CSG21.html#group16D21", "16D²¹"), =HYPERLINK("CSG21.html#group32C21", "32C²¹"), =HYPERLINK("CSG17.html#group32A17", "32A¹⁷"), =HYPERLINK("CSG17.html#group16A17", "16A¹⁷"), =HYPERLINK("CSG21.html#group16C21", "16C²¹"), =HYPERLINK("CSG13.html#group32T13", "32T¹³"), =HYPERLINK("CSG9.html#group16B9", "16B⁹"), =HYPERLINK("CSG19.html#group48B19", "48B¹⁹"), =HYPERLINK("CSG21.html#group32E21", "32E²¹"), =HYPERLINK("CSG21.html#group48CF21", "48CF²¹"), =HYPERLINK("CSG13.html#group16C13", "16C¹³"), =HYPERLINK("CSG21.html#group32D21", "32D²¹"), =HYPERLINK("CSG11.html#group32A11", "32A¹¹"), =HYPERLINK("CSG7.html#group32L7", "32L⁷"), =HYPERLINK("CSG19.html#group64A19", "64A¹⁹")</f>
        <v/>
      </c>
    </row>
    <row r="483">
      <c r="A483" t="inlineStr">
        <is>
          <t>16J³</t>
        </is>
      </c>
      <c r="B483" t="inlineStr"/>
      <c r="C483" t="inlineStr">
        <is>
          <t>96</t>
        </is>
      </c>
      <c r="D483" t="inlineStr">
        <is>
          <t>1</t>
        </is>
      </c>
      <c r="E483" t="inlineStr">
        <is>
          <t>6</t>
        </is>
      </c>
      <c r="F483" t="inlineStr">
        <is>
          <t>0</t>
        </is>
      </c>
      <c r="G483" t="inlineStr">
        <is>
          <t>0</t>
        </is>
      </c>
      <c r="H483" t="inlineStr">
        <is>
          <t>4⁸, 16⁴</t>
        </is>
      </c>
      <c r="I483" t="n">
        <v>12</v>
      </c>
      <c r="J483" t="inlineStr">
        <is>
          <t>1⁴, 2¹</t>
        </is>
      </c>
      <c r="K483">
        <f>HYPERLINK("CSG0.html#group8O0", "8O⁰"), =HYPERLINK("CSG1.html#group16E1", "16E¹"), =HYPERLINK("CSG2.html#group16C2", "16C²")</f>
        <v/>
      </c>
      <c r="L483">
        <f>HYPERLINK("CSG5.html#group16M5", "16M⁵"), =HYPERLINK("CSG7.html#group16C7", "16C⁷"), =HYPERLINK("CSG9.html#group32D9", "32D⁹"), =HYPERLINK("CSG9.html#group32C9", "32C⁹"), =HYPERLINK("CSG11.html#group32B11", "32B¹¹"), =HYPERLINK("CSG19.html#group48C19", "48C¹⁹"), =HYPERLINK("CSG21.html#group48CK21", "48CK²¹")</f>
        <v/>
      </c>
      <c r="M483">
        <f>HYPERLINK("CSG0.html#group2A0", "2A⁰"), =HYPERLINK("CSG2.html#group16C2", "16C²"), =HYPERLINK("CSG0.html#group8D0", "8D⁰"), =HYPERLINK("CSG1.html#group16E1", "16E¹"), =HYPERLINK("CSG0.html#group4C0", "4C⁰"), =HYPERLINK("CSG1.html#group16A1", "16A¹"), =HYPERLINK("CSG0.html#group8C0", "8C⁰"), =HYPERLINK("CSG0.html#group4E0", "4E⁰"), =HYPERLINK("CSG0.html#group2B0", "2B⁰"), =HYPERLINK("CSG0.html#group8I0", "8I⁰"), =HYPERLINK("CSG0.html#group4B0", "4B⁰"), =HYPERLINK("CSG0.html#group1A0", "1A⁰"), =HYPERLINK("CSG0.html#group8G0", "8G⁰"), =HYPERLINK("CSG0.html#group16C0", "16C⁰"), =HYPERLINK("CSG1.html#group16C1", "16C¹"), =HYPERLINK("CSG0.html#group8J0", "8J⁰"), =HYPERLINK("CSG0.html#group2C0", "2C⁰"), =HYPERLINK("CSG0.html#group8O0", "8O⁰")</f>
        <v/>
      </c>
      <c r="N483">
        <f>HYPERLINK("CSG9.html#group32C9", "32C⁹"), =HYPERLINK("CSG21.html#group32G21", "32G²¹"), =HYPERLINK("CSG5.html#group16M5", "16M⁵"), =HYPERLINK("CSG21.html#group64A21", "64A²¹"), =HYPERLINK("CSG21.html#group32C21", "32C²¹"), =HYPERLINK("CSG9.html#group32D9", "32D⁹"), =HYPERLINK("CSG21.html#group64E21", "64E²¹"), =HYPERLINK("CSG11.html#group32B11", "32B¹¹"), =HYPERLINK("CSG7.html#group16C7", "16C⁷"), =HYPERLINK("CSG17.html#group32A17", "32A¹⁷"), =HYPERLINK("CSG21.html#group32H21", "32H²¹"), =HYPERLINK("CSG17.html#group16A17", "16A¹⁷"), =HYPERLINK("CSG21.html#group64B21", "64B²¹"), =HYPERLINK("CSG13.html#group32T13", "32T¹³"), =HYPERLINK("CSG19.html#group32C19", "32C¹⁹"), =HYPERLINK("CSG19.html#group48C19", "48C¹⁹"), =HYPERLINK("CSG21.html#group48CK21", "48CK²¹"), =HYPERLINK("CSG13.html#group16C13", "16C¹³")</f>
        <v/>
      </c>
    </row>
    <row r="484">
      <c r="A484" t="inlineStr">
        <is>
          <t>16K³</t>
        </is>
      </c>
      <c r="B484" t="inlineStr"/>
      <c r="C484" t="inlineStr">
        <is>
          <t>96</t>
        </is>
      </c>
      <c r="D484" t="inlineStr">
        <is>
          <t>1</t>
        </is>
      </c>
      <c r="E484" t="inlineStr">
        <is>
          <t>12</t>
        </is>
      </c>
      <c r="F484" t="inlineStr">
        <is>
          <t>8</t>
        </is>
      </c>
      <c r="G484" t="inlineStr">
        <is>
          <t>0</t>
        </is>
      </c>
      <c r="H484" t="inlineStr">
        <is>
          <t>8⁴, 16⁴</t>
        </is>
      </c>
      <c r="I484" t="n">
        <v>8</v>
      </c>
      <c r="J484" t="inlineStr">
        <is>
          <t>2², 4²</t>
        </is>
      </c>
      <c r="K484">
        <f>HYPERLINK("CSG1.html#group8H1", "8H¹"), =HYPERLINK("CSG1.html#group16F1", "16F¹"), =HYPERLINK("CSG1.html#group16H1", "16H¹")</f>
        <v/>
      </c>
      <c r="L484">
        <f>HYPERLINK("CSG7.html#group16D7", "16D⁷"), =HYPERLINK("CSG9.html#group16C9", "16C⁹"), =HYPERLINK("CSG9.html#group16I9", "16I⁹"), =HYPERLINK("CSG9.html#group16J9", "16J⁹"), =HYPERLINK("CSG9.html#group32F9", "32F⁹"), =HYPERLINK("CSG9.html#group32K9", "32K⁹"), =HYPERLINK("CSG9.html#group32L9", "32L⁹"), =HYPERLINK("CSG11.html#group32E11", "32E¹¹"), =HYPERLINK("CSG13.html#group32I13", "32I¹³"), =HYPERLINK("CSG15.html#group48H15", "48H¹⁵")</f>
        <v/>
      </c>
      <c r="M484">
        <f>HYPERLINK("CSG0.html#group8H0", "8H⁰"), =HYPERLINK("CSG0.html#group16B0", "16B⁰"), =HYPERLINK("CSG0.html#group8D0", "8D⁰"), =HYPERLINK("CSG0.html#group4A0", "4A⁰"), =HYPERLINK("CSG0.html#group8K0", "8K⁰"), =HYPERLINK("CSG0.html#group4C0", "4C⁰"), =HYPERLINK("CSG0.html#group8B0", "8B⁰"), =HYPERLINK("CSG0.html#group8A0", "8A⁰"), =HYPERLINK("CSG1.html#group16B1", "16B¹"), =HYPERLINK("CSG0.html#group1A0", "1A⁰"), =HYPERLINK("CSG0.html#group2B0", "2B⁰"), =HYPERLINK("CSG0.html#group4F0", "4F⁰"), =HYPERLINK("CSG1.html#group16F1", "16F¹"), =HYPERLINK("CSG1.html#group16H1", "16H¹"), =HYPERLINK("CSG1.html#group8D1", "8D¹"), =HYPERLINK("CSG1.html#group8H1", "8H¹")</f>
        <v/>
      </c>
      <c r="N484">
        <f>HYPERLINK("CSG9.html#group16C9", "16C⁹"), =HYPERLINK("CSG19.html#group16B19", "16B¹⁹"), =HYPERLINK("CSG19.html#group16A19", "16A¹⁹"), =HYPERLINK("CSG9.html#group32F9", "32F⁹"), =HYPERLINK("CSG19.html#group32D19", "32D¹⁹"), =HYPERLINK("CSG21.html#group32M21", "32M²¹"), =HYPERLINK("CSG23.html#group32B23", "32B²³"), =HYPERLINK("CSG15.html#group48H15", "48H¹⁵"), =HYPERLINK("CSG21.html#group32A21", "32A²¹"), =HYPERLINK("CSG21.html#group32X21", "32X²¹"), =HYPERLINK("CSG21.html#group32B21", "32B²¹"), =HYPERLINK("CSG21.html#group32I21", "32I²¹"), =HYPERLINK("CSG9.html#group16J9", "16J⁹"), =HYPERLINK("CSG17.html#group16A17", "16A¹⁷"), =HYPERLINK("CSG9.html#group32K9", "32K⁹"), =HYPERLINK("CSG13.html#group32I13", "32I¹³"), =HYPERLINK("CSG11.html#group32E11", "32E¹¹"), =HYPERLINK("CSG23.html#group32E23", "32E²³"), =HYPERLINK("CSG21.html#group64G21", "64G²¹"), =HYPERLINK("CSG15.html#group16A15", "16A¹⁵"), =HYPERLINK("CSG19.html#group32E19", "32E¹⁹"), =HYPERLINK("CSG23.html#group32A23", "32A²³"), =HYPERLINK("CSG7.html#group16D7", "16D⁷"), =HYPERLINK("CSG21.html#group32J21", "32J²¹"), =HYPERLINK("CSG21.html#group32W21", "32W²¹"), =HYPERLINK("CSG9.html#group32L9", "32L⁹"), =HYPERLINK("CSG9.html#group16I9", "16I⁹"), =HYPERLINK("CSG21.html#group16E21", "16E²¹")</f>
        <v/>
      </c>
    </row>
    <row r="485">
      <c r="A485" t="inlineStr">
        <is>
          <t>16L³</t>
        </is>
      </c>
      <c r="B485" t="inlineStr"/>
      <c r="C485" t="inlineStr">
        <is>
          <t>96</t>
        </is>
      </c>
      <c r="D485" t="inlineStr">
        <is>
          <t>1</t>
        </is>
      </c>
      <c r="E485" t="inlineStr">
        <is>
          <t>12</t>
        </is>
      </c>
      <c r="F485" t="inlineStr">
        <is>
          <t>8</t>
        </is>
      </c>
      <c r="G485" t="inlineStr">
        <is>
          <t>0</t>
        </is>
      </c>
      <c r="H485" t="inlineStr">
        <is>
          <t>8⁴, 16⁴</t>
        </is>
      </c>
      <c r="I485" t="n">
        <v>8</v>
      </c>
      <c r="J485" t="inlineStr">
        <is>
          <t>1², 2¹, 4²</t>
        </is>
      </c>
      <c r="K485">
        <f>HYPERLINK("CSG1.html#group8I1", "8I¹"), =HYPERLINK("CSG1.html#group16F1", "16F¹"), =HYPERLINK("CSG1.html#group16I1", "16I¹")</f>
        <v/>
      </c>
      <c r="L485">
        <f>HYPERLINK("CSG7.html#group16D7", "16D⁷"), =HYPERLINK("CSG9.html#group16B9", "16B⁹"), =HYPERLINK("CSG9.html#group16K9", "16K⁹"), =HYPERLINK("CSG9.html#group16L9", "16L⁹"), =HYPERLINK("CSG9.html#group32G9", "32G⁹"), =HYPERLINK("CSG9.html#group32M9", "32M⁹"), =HYPERLINK("CSG9.html#group32N9", "32N⁹"), =HYPERLINK("CSG11.html#group32F11", "32F¹¹"), =HYPERLINK("CSG13.html#group32J13", "32J¹³"), =HYPERLINK("CSG15.html#group48I15", "48I¹⁵")</f>
        <v/>
      </c>
      <c r="M485">
        <f>HYPERLINK("CSG0.html#group8H0", "8H⁰"), =HYPERLINK("CSG0.html#group16B0", "16B⁰"), =HYPERLINK("CSG0.html#group16E0", "16E⁰"), =HYPERLINK("CSG0.html#group8F0", "8F⁰"), =HYPERLINK("CSG1.html#group16I1", "16I¹"), =HYPERLINK("CSG0.html#group8D0", "8D⁰"), =HYPERLINK("CSG0.html#group4A0", "4A⁰"), =HYPERLINK("CSG1.html#group8I1", "8I¹"), =HYPERLINK("CSG1.html#group16C1", "16C¹"), =HYPERLINK("CSG0.html#group4C0", "4C⁰"), =HYPERLINK("CSG0.html#group8B0", "8B⁰"), =HYPERLINK("CSG1.html#group16B1", "16B¹"), =HYPERLINK("CSG0.html#group2B0", "2B⁰"), =HYPERLINK("CSG0.html#group4F0", "4F⁰"), =HYPERLINK("CSG1.html#group16F1", "16F¹"), =HYPERLINK("CSG0.html#group1A0", "1A⁰")</f>
        <v/>
      </c>
      <c r="N485">
        <f>HYPERLINK("CSG23.html#group32C23", "32C²³"), =HYPERLINK("CSG19.html#group16B19", "16B¹⁹"), =HYPERLINK("CSG19.html#group16A19", "16A¹⁹"), =HYPERLINK("CSG19.html#group32D19", "32D¹⁹"), =HYPERLINK("CSG9.html#group32M9", "32M⁹"), =HYPERLINK("CSG21.html#group32M21", "32M²¹"), =HYPERLINK("CSG21.html#group16A21", "16A²¹"), =HYPERLINK("CSG21.html#group64Q21", "64Q²¹"), =HYPERLINK("CSG9.html#group16K9", "16K⁹"), =HYPERLINK("CSG13.html#group32J13", "32J¹³"), =HYPERLINK("CSG9.html#group32G9", "32G⁹"), =HYPERLINK("CSG11.html#group32F11", "32F¹¹"), =HYPERLINK("CSG9.html#group16L9", "16L⁹"), =HYPERLINK("CSG17.html#group16A17", "16A¹⁷"), =HYPERLINK("CSG15.html#group48I15", "48I¹⁵"), =HYPERLINK("CSG21.html#group16C21", "16C²¹"), =HYPERLINK("CSG21.html#group32K21", "32K²¹"), =HYPERLINK("CSG21.html#group32L21", "32L²¹"), =HYPERLINK("CSG23.html#group32E23", "32E²³"), =HYPERLINK("CSG9.html#group16B9", "16B⁹"), =HYPERLINK("CSG15.html#group16A15", "16A¹⁵"), =HYPERLINK("CSG21.html#group32E21", "32E²¹"), =HYPERLINK("CSG19.html#group32E19", "32E¹⁹"), =HYPERLINK("CSG21.html#group64P21", "64P²¹"), =HYPERLINK("CSG7.html#group16D7", "16D⁷"), =HYPERLINK("CSG9.html#group32N9", "32N⁹"), =HYPERLINK("CSG23.html#group32D23", "32D²³"), =HYPERLINK("CSG21.html#group64H21", "64H²¹")</f>
        <v/>
      </c>
    </row>
    <row r="486">
      <c r="A486" t="inlineStr">
        <is>
          <t>16M³</t>
        </is>
      </c>
      <c r="B486" t="inlineStr"/>
      <c r="C486" t="inlineStr">
        <is>
          <t>96</t>
        </is>
      </c>
      <c r="D486" t="inlineStr">
        <is>
          <t>1</t>
        </is>
      </c>
      <c r="E486" t="inlineStr">
        <is>
          <t>12</t>
        </is>
      </c>
      <c r="F486" t="inlineStr">
        <is>
          <t>8</t>
        </is>
      </c>
      <c r="G486" t="inlineStr">
        <is>
          <t>0</t>
        </is>
      </c>
      <c r="H486" t="inlineStr">
        <is>
          <t>8⁴, 16⁴</t>
        </is>
      </c>
      <c r="I486" t="n">
        <v>8</v>
      </c>
      <c r="J486" t="inlineStr">
        <is>
          <t>2⁶</t>
        </is>
      </c>
      <c r="K486">
        <f>HYPERLINK("CSG0.html#group8P0", "8P⁰"), =HYPERLINK("CSG1.html#group16F1", "16F¹"), =HYPERLINK("CSG1.html#group16J1", "16J¹"), =HYPERLINK("CSG2.html#group16E2", "16E²"), =HYPERLINK("CSG2.html#group16F2", "16F²")</f>
        <v/>
      </c>
      <c r="L486">
        <f>HYPERLINK("CSG7.html#group16D7", "16D⁷"), =HYPERLINK("CSG7.html#group16E7", "16E⁷"), =HYPERLINK("CSG9.html#group16E9", "16E⁹"), =HYPERLINK("CSG9.html#group32H9", "32H⁹"), =HYPERLINK("CSG11.html#group32G11", "32G¹¹"), =HYPERLINK("CSG11.html#group32K11", "32K¹¹"), =HYPERLINK("CSG13.html#group32K13", "32K¹³"), =HYPERLINK("CSG15.html#group48J15", "48J¹⁵")</f>
        <v/>
      </c>
      <c r="M486">
        <f>HYPERLINK("CSG0.html#group8D0", "8D⁰"), =HYPERLINK("CSG0.html#group4C0", "4C⁰"), =HYPERLINK("CSG0.html#group8B0", "8B⁰"), =HYPERLINK("CSG1.html#group16B1", "16B¹"), =HYPERLINK("CSG0.html#group8L0", "8L⁰"), =HYPERLINK("CSG0.html#group2B0", "2B⁰"), =HYPERLINK("CSG1.html#group16J1", "16J¹"), =HYPERLINK("CSG0.html#group1A0", "1A⁰"), =HYPERLINK("CSG2.html#group16E2", "16E²"), =HYPERLINK("CSG0.html#group16B0", "16B⁰"), =HYPERLINK("CSG0.html#group8H0", "8H⁰"), =HYPERLINK("CSG1.html#group16D1", "16D¹"), =HYPERLINK("CSG2.html#group16F2", "16F²"), =HYPERLINK("CSG0.html#group4A0", "4A⁰"), =HYPERLINK("CSG0.html#group4F0", "4F⁰"), =HYPERLINK("CSG1.html#group16F1", "16F¹"), =HYPERLINK("CSG0.html#group8P0", "8P⁰")</f>
        <v/>
      </c>
      <c r="N486">
        <f>HYPERLINK("CSG23.html#group32H23", "32H²³"), =HYPERLINK("CSG13.html#group32K13", "32K¹³"), =HYPERLINK("CSG21.html#group64I21", "64I²¹"), =HYPERLINK("CSG9.html#group32H9", "32H⁹"), =HYPERLINK("CSG11.html#group32K11", "32K¹¹"), =HYPERLINK("CSG19.html#group16B19", "16B¹⁹"), =HYPERLINK("CSG19.html#group16A19", "16A¹⁹"), =HYPERLINK("CSG19.html#group32D19", "32D¹⁹"), =HYPERLINK("CSG21.html#group32M21", "32M²¹"), =HYPERLINK("CSG15.html#group48J15", "48J¹⁵"), =HYPERLINK("CSG7.html#group16E7", "16E⁷"), =HYPERLINK("CSG21.html#group32Y21", "32Y²¹"), =HYPERLINK("CSG17.html#group16A17", "16A¹⁷"), =HYPERLINK("CSG17.html#group16B17", "16B¹⁷"), =HYPERLINK("CSG23.html#group32E23", "32E²³"), =HYPERLINK("CSG15.html#group16A15", "16A¹⁵"), =HYPERLINK("CSG19.html#group32E19", "32E¹⁹"), =HYPERLINK("CSG7.html#group16D7", "16D⁷"), =HYPERLINK("CSG11.html#group32G11", "32G¹¹"), =HYPERLINK("CSG9.html#group16E9", "16E⁹")</f>
        <v/>
      </c>
    </row>
    <row r="487">
      <c r="A487" t="inlineStr">
        <is>
          <t>16N³</t>
        </is>
      </c>
      <c r="B487" t="inlineStr"/>
      <c r="C487" t="inlineStr">
        <is>
          <t>96</t>
        </is>
      </c>
      <c r="D487" t="inlineStr">
        <is>
          <t>1</t>
        </is>
      </c>
      <c r="E487" t="inlineStr">
        <is>
          <t>24</t>
        </is>
      </c>
      <c r="F487" t="inlineStr">
        <is>
          <t>0</t>
        </is>
      </c>
      <c r="G487" t="inlineStr">
        <is>
          <t>0</t>
        </is>
      </c>
      <c r="H487" t="inlineStr">
        <is>
          <t>2⁴, 4², 8², 16⁴</t>
        </is>
      </c>
      <c r="I487" t="n">
        <v>12</v>
      </c>
      <c r="J487" t="inlineStr">
        <is>
          <t>1⁴, 2², 4², 8¹</t>
        </is>
      </c>
      <c r="K487">
        <f>HYPERLINK("CSG1.html#group16G1", "16G¹")</f>
        <v/>
      </c>
      <c r="L487">
        <f>HYPERLINK("CSG5.html#group16N5", "16N⁵"), =HYPERLINK("CSG9.html#group32I9", "32I⁹"), =HYPERLINK("CSG9.html#group32J9", "32J⁹"), =HYPERLINK("CSG19.html#group48Q19", "48Q¹⁹"), =HYPERLINK("CSG21.html#group48CM21", "48CM²¹")</f>
        <v/>
      </c>
      <c r="M487">
        <f>HYPERLINK("CSG1.html#group16G1", "16G¹"), =HYPERLINK("CSG0.html#group16D0", "16D⁰"), =HYPERLINK("CSG1.html#group16A1", "16A¹"), =HYPERLINK("CSG0.html#group8C0", "8C⁰"), =HYPERLINK("CSG0.html#group2B0", "2B⁰"), =HYPERLINK("CSG0.html#group8I0", "8I⁰"), =HYPERLINK("CSG0.html#group4B0", "4B⁰"), =HYPERLINK("CSG0.html#group1A0", "1A⁰")</f>
        <v/>
      </c>
      <c r="N487">
        <f>HYPERLINK("CSG17.html#group32D17", "32D¹⁷"), =HYPERLINK("CSG21.html#group32O21", "32O²¹"), =HYPERLINK("CSG17.html#group32B17", "32B¹⁷"), =HYPERLINK("CSG5.html#group16N5", "16N⁵"), =HYPERLINK("CSG9.html#group32J9", "32J⁹"), =HYPERLINK("CSG21.html#group48CM21", "48CM²¹"), =HYPERLINK("CSG21.html#group64N21", "64N²¹"), =HYPERLINK("CSG13.html#group16C13", "16C¹³"), =HYPERLINK("CSG21.html#group32N21", "32N²¹"), =HYPERLINK("CSG9.html#group32I9", "32I⁹"), =HYPERLINK("CSG21.html#group64O21", "64O²¹"), =HYPERLINK("CSG13.html#group32U13", "32U¹³"), =HYPERLINK("CSG19.html#group48Q19", "48Q¹⁹")</f>
        <v/>
      </c>
    </row>
    <row r="488">
      <c r="A488" t="inlineStr">
        <is>
          <t>16O³</t>
        </is>
      </c>
      <c r="B488" t="inlineStr"/>
      <c r="C488" t="inlineStr">
        <is>
          <t>96</t>
        </is>
      </c>
      <c r="D488" t="inlineStr">
        <is>
          <t>1</t>
        </is>
      </c>
      <c r="E488" t="inlineStr">
        <is>
          <t>24</t>
        </is>
      </c>
      <c r="F488" t="inlineStr">
        <is>
          <t>0</t>
        </is>
      </c>
      <c r="G488" t="inlineStr">
        <is>
          <t>0</t>
        </is>
      </c>
      <c r="H488" t="inlineStr">
        <is>
          <t>4⁴, 8⁶, 16²</t>
        </is>
      </c>
      <c r="I488" t="n">
        <v>12</v>
      </c>
      <c r="J488" t="inlineStr">
        <is>
          <t>1⁸, 2⁴, 4²</t>
        </is>
      </c>
      <c r="K488">
        <f>HYPERLINK("CSG1.html#group8G1", "8G¹")</f>
        <v/>
      </c>
      <c r="L488">
        <f>HYPERLINK("CSG5.html#group16O5", "16O⁵"), =HYPERLINK("CSG9.html#group16F9", "16F⁹"), =HYPERLINK("CSG9.html#group16G9", "16G⁹"), =HYPERLINK("CSG19.html#group48R19", "48R¹⁹"), =HYPERLINK("CSG21.html#group48CQ21", "48CQ²¹")</f>
        <v/>
      </c>
      <c r="M488">
        <f>HYPERLINK("CSG0.html#group2A0", "2A⁰"), =HYPERLINK("CSG1.html#group8A1", "8A¹"), =HYPERLINK("CSG1.html#group8G1", "8G¹"), =HYPERLINK("CSG0.html#group4C0", "4C⁰"), =HYPERLINK("CSG0.html#group8B0", "8B⁰"), =HYPERLINK("CSG0.html#group8L0", "8L⁰"), =HYPERLINK("CSG0.html#group2B0", "2B⁰"), =HYPERLINK("CSG1.html#group8B1", "8B¹"), =HYPERLINK("CSG0.html#group4E0", "4E⁰"), =HYPERLINK("CSG0.html#group4B0", "4B⁰"), =HYPERLINK("CSG0.html#group1A0", "1A⁰"), =HYPERLINK("CSG0.html#group2C0", "2C⁰"), =HYPERLINK("CSG0.html#group8J0", "8J⁰")</f>
        <v/>
      </c>
      <c r="N488">
        <f>HYPERLINK("CSG9.html#group16G9", "16G⁹"), =HYPERLINK("CSG9.html#group16F9", "16F⁹"), =HYPERLINK("CSG17.html#group32E17", "32E¹⁷"), =HYPERLINK("CSG13.html#group16B13", "16B¹³"), =HYPERLINK("CSG5.html#group16O5", "16O⁵"), =HYPERLINK("CSG19.html#group48R19", "48R¹⁹"), =HYPERLINK("CSG21.html#group48CQ21", "48CQ²¹"), =HYPERLINK("CSG21.html#group32R21", "32R²¹"), =HYPERLINK("CSG13.html#group16C13", "16C¹³"), =HYPERLINK("CSG21.html#group32Q21", "32Q²¹"), =HYPERLINK("CSG17.html#group16B17", "16B¹⁷")</f>
        <v/>
      </c>
    </row>
    <row r="489">
      <c r="A489" t="inlineStr">
        <is>
          <t>16P³</t>
        </is>
      </c>
      <c r="B489" t="inlineStr"/>
      <c r="C489" t="inlineStr">
        <is>
          <t>96</t>
        </is>
      </c>
      <c r="D489" t="inlineStr">
        <is>
          <t>1</t>
        </is>
      </c>
      <c r="E489" t="inlineStr">
        <is>
          <t>24</t>
        </is>
      </c>
      <c r="F489" t="inlineStr">
        <is>
          <t>4</t>
        </is>
      </c>
      <c r="G489" t="inlineStr">
        <is>
          <t>0</t>
        </is>
      </c>
      <c r="H489" t="inlineStr">
        <is>
          <t>8⁸, 16²</t>
        </is>
      </c>
      <c r="I489" t="n">
        <v>10</v>
      </c>
      <c r="J489" t="inlineStr">
        <is>
          <t>4², 8²</t>
        </is>
      </c>
      <c r="K489">
        <f>HYPERLINK("CSG1.html#group8H1", "8H¹")</f>
        <v/>
      </c>
      <c r="L489">
        <f>HYPERLINK("CSG6.html#group16C6", "16C⁶"), =HYPERLINK("CSG7.html#group16B7", "16B⁷"), =HYPERLINK("CSG9.html#group16I9", "16I⁹"), =HYPERLINK("CSG9.html#group32Q9", "32Q⁹"), =HYPERLINK("CSG9.html#group32R9", "32R⁹"), =HYPERLINK("CSG10.html#group16A10", "16A¹⁰"), =HYPERLINK("CSG11.html#group16B11", "16B¹¹"), =HYPERLINK("CSG17.html#group48S17", "48S¹⁷"), =HYPERLINK("CSG23.html#group48B23", "48B²³")</f>
        <v/>
      </c>
      <c r="M489">
        <f>HYPERLINK("CSG0.html#group8H0", "8H⁰"), =HYPERLINK("CSG0.html#group8D0", "8D⁰"), =HYPERLINK("CSG0.html#group4A0", "4A⁰"), =HYPERLINK("CSG0.html#group8K0", "8K⁰"), =HYPERLINK("CSG0.html#group4C0", "4C⁰"), =HYPERLINK("CSG0.html#group8B0", "8B⁰"), =HYPERLINK("CSG0.html#group8A0", "8A⁰"), =HYPERLINK("CSG0.html#group2B0", "2B⁰"), =HYPERLINK("CSG0.html#group4F0", "4F⁰"), =HYPERLINK("CSG0.html#group1A0", "1A⁰"), =HYPERLINK("CSG1.html#group8D1", "8D¹"), =HYPERLINK("CSG1.html#group8H1", "8H¹")</f>
        <v/>
      </c>
      <c r="N489">
        <f>HYPERLINK("CSG22.html#group32A22", "32A²²"), =HYPERLINK("CSG19.html#group16A19", "16A¹⁹"), =HYPERLINK("CSG21.html#group16D21", "16D²¹"), =HYPERLINK("CSG18.html#group32B18", "32B¹⁸"), =HYPERLINK("CSG7.html#group16B7", "16B⁷"), =HYPERLINK("CSG9.html#group32R9", "32R⁹"), =HYPERLINK("CSG21.html#group32X21", "32X²¹"), =HYPERLINK("CSG21.html#group32I21", "32I²¹"), =HYPERLINK("CSG10.html#group16A10", "16A¹⁰"), =HYPERLINK("CSG23.html#group48B23", "48B²³"), =HYPERLINK("CSG17.html#group48S17", "48S¹⁷"), =HYPERLINK("CSG21.html#group16E21", "16E²¹"), =HYPERLINK("CSG23.html#group32G23", "32G²³"), =HYPERLINK("CSG22.html#group32B22", "32B²²"), =HYPERLINK("CSG21.html#group16F21", "16F²¹"), =HYPERLINK("CSG24.html#group32A24", "32A²⁴"), =HYPERLINK("CSG13.html#group16B13", "16B¹³"), =HYPERLINK("CSG9.html#group32Q9", "32Q⁹"), =HYPERLINK("CSG23.html#group32A23", "32A²³"), =HYPERLINK("CSG24.html#group32B24", "32B²⁴"), =HYPERLINK("CSG18.html#group32A18", "32A¹⁸"), =HYPERLINK("CSG19.html#group32A19", "32A¹⁹"), =HYPERLINK("CSG6.html#group16C6", "16C⁶"), =HYPERLINK("CSG9.html#group16I9", "16I⁹"), =HYPERLINK("CSG11.html#group16B11", "16B¹¹")</f>
        <v/>
      </c>
    </row>
    <row r="490">
      <c r="A490" t="inlineStr">
        <is>
          <t>16Q³</t>
        </is>
      </c>
      <c r="B490" t="inlineStr"/>
      <c r="C490" t="inlineStr">
        <is>
          <t>96</t>
        </is>
      </c>
      <c r="D490" t="inlineStr">
        <is>
          <t>1</t>
        </is>
      </c>
      <c r="E490" t="inlineStr">
        <is>
          <t>24</t>
        </is>
      </c>
      <c r="F490" t="inlineStr">
        <is>
          <t>4</t>
        </is>
      </c>
      <c r="G490" t="inlineStr">
        <is>
          <t>0</t>
        </is>
      </c>
      <c r="H490" t="inlineStr">
        <is>
          <t>8⁸, 16²</t>
        </is>
      </c>
      <c r="I490" t="n">
        <v>10</v>
      </c>
      <c r="J490" t="inlineStr">
        <is>
          <t>4², 8²</t>
        </is>
      </c>
      <c r="K490">
        <f>HYPERLINK("CSG1.html#group8H1", "8H¹"), =HYPERLINK("CSG1.html#group16K1", "16K¹"), =HYPERLINK("CSG1.html#group16L1", "16L¹")</f>
        <v/>
      </c>
      <c r="L490">
        <f>HYPERLINK("CSG6.html#group16C6", "16C⁶"), =HYPERLINK("CSG7.html#group16B7", "16B⁷"), =HYPERLINK("CSG9.html#group16J9", "16J⁹"), =HYPERLINK("CSG10.html#group16B10", "16B¹⁰"), =HYPERLINK("CSG11.html#group16C11", "16C¹¹"), =HYPERLINK("CSG17.html#group48T17", "48T¹⁷"), =HYPERLINK("CSG23.html#group48C23", "48C²³")</f>
        <v/>
      </c>
      <c r="M490">
        <f>HYPERLINK("CSG0.html#group8H0", "8H⁰"), =HYPERLINK("CSG1.html#group16L1", "16L¹"), =HYPERLINK("CSG1.html#group8H1", "8H¹"), =HYPERLINK("CSG0.html#group8D0", "8D⁰"), =HYPERLINK("CSG0.html#group8K0", "8K⁰"), =HYPERLINK("CSG0.html#group4A0", "4A⁰"), =HYPERLINK("CSG0.html#group4C0", "4C⁰"), =HYPERLINK("CSG0.html#group8B0", "8B⁰"), =HYPERLINK("CSG0.html#group8A0", "8A⁰"), =HYPERLINK("CSG0.html#group2B0", "2B⁰"), =HYPERLINK("CSG0.html#group4F0", "4F⁰"), =HYPERLINK("CSG0.html#group1A0", "1A⁰"), =HYPERLINK("CSG1.html#group8D1", "8D¹"), =HYPERLINK("CSG1.html#group16K1", "16K¹")</f>
        <v/>
      </c>
      <c r="N490">
        <f>HYPERLINK("CSG19.html#group16A19", "16A¹⁹"), =HYPERLINK("CSG24.html#group32C24", "32C²⁴"), =HYPERLINK("CSG21.html#group16D21", "16D²¹"), =HYPERLINK("CSG18.html#group32B18", "32B¹⁸"), =HYPERLINK("CSG23.html#group32B23", "32B²³"), =HYPERLINK("CSG7.html#group16B7", "16B⁷"), =HYPERLINK("CSG24.html#group32D24", "32D²⁴"), =HYPERLINK("CSG23.html#group48C23", "48C²³"), =HYPERLINK("CSG9.html#group16J9", "16J⁹"), =HYPERLINK("CSG21.html#group16F21", "16F²¹"), =HYPERLINK("CSG10.html#group16B10", "16B¹⁰"), =HYPERLINK("CSG13.html#group16B13", "16B¹³"), =HYPERLINK("CSG21.html#group32W21", "32W²¹"), =HYPERLINK("CSG17.html#group48T17", "48T¹⁷"), =HYPERLINK("CSG18.html#group32A18", "32A¹⁸"), =HYPERLINK("CSG11.html#group16C11", "16C¹¹"), =HYPERLINK("CSG19.html#group32A19", "32A¹⁹"), =HYPERLINK("CSG6.html#group16C6", "16C⁶"), =HYPERLINK("CSG21.html#group32J21", "32J²¹"), =HYPERLINK("CSG21.html#group16E21", "16E²¹")</f>
        <v/>
      </c>
    </row>
    <row r="491">
      <c r="A491" t="inlineStr">
        <is>
          <t>16R³</t>
        </is>
      </c>
      <c r="B491" t="inlineStr"/>
      <c r="C491" t="inlineStr">
        <is>
          <t>96</t>
        </is>
      </c>
      <c r="D491" t="inlineStr">
        <is>
          <t>1</t>
        </is>
      </c>
      <c r="E491" t="inlineStr">
        <is>
          <t>24</t>
        </is>
      </c>
      <c r="F491" t="inlineStr">
        <is>
          <t>8</t>
        </is>
      </c>
      <c r="G491" t="inlineStr">
        <is>
          <t>0</t>
        </is>
      </c>
      <c r="H491" t="inlineStr">
        <is>
          <t>8⁴, 16⁴</t>
        </is>
      </c>
      <c r="I491" t="n">
        <v>8</v>
      </c>
      <c r="J491" t="inlineStr">
        <is>
          <t>2⁸, 8¹</t>
        </is>
      </c>
      <c r="K491">
        <f>HYPERLINK("CSG1.html#group16J1", "16J¹")</f>
        <v/>
      </c>
      <c r="L491">
        <f>HYPERLINK("CSG7.html#group16E7", "16E⁷"), =HYPERLINK("CSG9.html#group16G9", "16G⁹"), =HYPERLINK("CSG9.html#group32O9", "32O⁹"), =HYPERLINK("CSG11.html#group32I11", "32I¹¹"), =HYPERLINK("CSG13.html#group32N13", "32N¹³"), =HYPERLINK("CSG15.html#group48L15", "48L¹⁵")</f>
        <v/>
      </c>
      <c r="M491">
        <f>HYPERLINK("CSG0.html#group16B0", "16B⁰"), =HYPERLINK("CSG1.html#group16D1", "16D¹"), =HYPERLINK("CSG0.html#group4C0", "4C⁰"), =HYPERLINK("CSG0.html#group8B0", "8B⁰"), =HYPERLINK("CSG0.html#group8L0", "8L⁰"), =HYPERLINK("CSG0.html#group2B0", "2B⁰"), =HYPERLINK("CSG1.html#group16J1", "16J¹"), =HYPERLINK("CSG0.html#group1A0", "1A⁰")</f>
        <v/>
      </c>
      <c r="N491">
        <f>HYPERLINK("CSG23.html#group32H23", "32H²³"), =HYPERLINK("CSG9.html#group16G9", "16G⁹"), =HYPERLINK("CSG11.html#group32I11", "32I¹¹"), =HYPERLINK("CSG13.html#group32N13", "32N¹³"), =HYPERLINK("CSG15.html#group16A15", "16A¹⁵"), =HYPERLINK("CSG21.html#group32S21", "32S²¹"), =HYPERLINK("CSG21.html#group32R21", "32R²¹"), =HYPERLINK("CSG15.html#group48L15", "48L¹⁵"), =HYPERLINK("CSG7.html#group16E7", "16E⁷"), =HYPERLINK("CSG9.html#group32O9", "32O⁹"), =HYPERLINK("CSG21.html#group64L21", "64L²¹"), =HYPERLINK("CSG21.html#group32T21", "32T²¹"), =HYPERLINK("CSG21.html#group32Y21", "32Y²¹"), =HYPERLINK("CSG17.html#group16B17", "16B¹⁷")</f>
        <v/>
      </c>
    </row>
    <row r="492">
      <c r="A492" t="inlineStr">
        <is>
          <t>16S³</t>
        </is>
      </c>
      <c r="B492" t="inlineStr"/>
      <c r="C492" t="inlineStr">
        <is>
          <t>96</t>
        </is>
      </c>
      <c r="D492" t="inlineStr">
        <is>
          <t>1</t>
        </is>
      </c>
      <c r="E492" t="inlineStr">
        <is>
          <t>24</t>
        </is>
      </c>
      <c r="F492" t="inlineStr">
        <is>
          <t>8</t>
        </is>
      </c>
      <c r="G492" t="inlineStr">
        <is>
          <t>0</t>
        </is>
      </c>
      <c r="H492" t="inlineStr">
        <is>
          <t>8⁴, 16⁴</t>
        </is>
      </c>
      <c r="I492" t="n">
        <v>8</v>
      </c>
      <c r="J492" t="inlineStr">
        <is>
          <t>2⁸, 8¹</t>
        </is>
      </c>
      <c r="K492">
        <f>HYPERLINK("CSG1.html#group16J1", "16J¹")</f>
        <v/>
      </c>
      <c r="L492">
        <f>HYPERLINK("CSG7.html#group16E7", "16E⁷"), =HYPERLINK("CSG9.html#group16G9", "16G⁹"), =HYPERLINK("CSG9.html#group32P9", "32P⁹"), =HYPERLINK("CSG11.html#group32J11", "32J¹¹"), =HYPERLINK("CSG13.html#group32O13", "32O¹³"), =HYPERLINK("CSG15.html#group48M15", "48M¹⁵")</f>
        <v/>
      </c>
      <c r="M492">
        <f>HYPERLINK("CSG0.html#group16B0", "16B⁰"), =HYPERLINK("CSG1.html#group16D1", "16D¹"), =HYPERLINK("CSG0.html#group4C0", "4C⁰"), =HYPERLINK("CSG0.html#group8B0", "8B⁰"), =HYPERLINK("CSG0.html#group8L0", "8L⁰"), =HYPERLINK("CSG0.html#group2B0", "2B⁰"), =HYPERLINK("CSG1.html#group16J1", "16J¹"), =HYPERLINK("CSG0.html#group1A0", "1A⁰")</f>
        <v/>
      </c>
      <c r="N492">
        <f>HYPERLINK("CSG23.html#group32H23", "32H²³"), =HYPERLINK("CSG9.html#group16G9", "16G⁹"), =HYPERLINK("CSG9.html#group32P9", "32P⁹"), =HYPERLINK("CSG15.html#group48M15", "48M¹⁵"), =HYPERLINK("CSG15.html#group16A15", "16A¹⁵"), =HYPERLINK("CSG21.html#group32U21", "32U²¹"), =HYPERLINK("CSG21.html#group64M21", "64M²¹"), =HYPERLINK("CSG21.html#group32R21", "32R²¹"), =HYPERLINK("CSG13.html#group32O13", "32O¹³"), =HYPERLINK("CSG7.html#group16E7", "16E⁷"), =HYPERLINK("CSG21.html#group32V21", "32V²¹"), =HYPERLINK("CSG21.html#group32Y21", "32Y²¹"), =HYPERLINK("CSG11.html#group32J11", "32J¹¹"), =HYPERLINK("CSG17.html#group16B17", "16B¹⁷")</f>
        <v/>
      </c>
    </row>
    <row r="493">
      <c r="A493" t="inlineStr">
        <is>
          <t>18A³</t>
        </is>
      </c>
      <c r="B493" t="inlineStr"/>
      <c r="C493" t="inlineStr">
        <is>
          <t>36</t>
        </is>
      </c>
      <c r="D493" t="inlineStr">
        <is>
          <t>1</t>
        </is>
      </c>
      <c r="E493" t="inlineStr">
        <is>
          <t>3</t>
        </is>
      </c>
      <c r="F493" t="inlineStr">
        <is>
          <t>0</t>
        </is>
      </c>
      <c r="G493" t="inlineStr">
        <is>
          <t>0</t>
        </is>
      </c>
      <c r="H493" t="inlineStr">
        <is>
          <t>18²</t>
        </is>
      </c>
      <c r="I493" t="n">
        <v>2</v>
      </c>
      <c r="J493" t="inlineStr">
        <is>
          <t>1¹, 2¹</t>
        </is>
      </c>
      <c r="K493">
        <f>HYPERLINK("CSG0.html#group9D0", "9D⁰"), =HYPERLINK("CSG1.html#group6B1", "6B¹"), =HYPERLINK("CSG1.html#group18A1", "18A¹"), =HYPERLINK("CSG2.html#group18A2", "18A²")</f>
        <v/>
      </c>
      <c r="L493">
        <f>HYPERLINK("CSG5.html#group18A5", "18A⁵"), =HYPERLINK("CSG7.html#group18A7", "18A⁷"), =HYPERLINK("CSG7.html#group18B7", "18B⁷"), =HYPERLINK("CSG7.html#group18F7", "18F⁷"), =HYPERLINK("CSG11.html#group36D11", "36D¹¹"), =HYPERLINK("CSG15.html#group90A15", "90A¹⁵"), =HYPERLINK("CSG17.html#group90B17", "90B¹⁷"), =HYPERLINK("CSG21.html#group126A21", "126A²¹"), =HYPERLINK("CSG23.html#group126B23", "126B²³")</f>
        <v/>
      </c>
      <c r="M493">
        <f>HYPERLINK("CSG0.html#group2A0", "2A⁰"), =HYPERLINK("CSG0.html#group6B0", "6B⁰"), =HYPERLINK("CSG0.html#group9D0", "9D⁰"), =HYPERLINK("CSG1.html#group6B1", "6B¹"), =HYPERLINK("CSG0.html#group9A0", "9A⁰"), =HYPERLINK("CSG0.html#group3C0", "3C⁰"), =HYPERLINK("CSG1.html#group6A1", "6A¹"), =HYPERLINK("CSG2.html#group18A2", "18A²"), =HYPERLINK("CSG0.html#group3A0", "3A⁰"), =HYPERLINK("CSG0.html#group1A0", "1A⁰"), =HYPERLINK("CSG1.html#group18A1", "18A¹")</f>
        <v/>
      </c>
      <c r="N493">
        <f>HYPERLINK("CSG21.html#group126A21", "126A²¹"), =HYPERLINK("CSG7.html#group18A7", "18A⁷"), =HYPERLINK("CSG17.html#group90B17", "90B¹⁷"), =HYPERLINK("CSG23.html#group126B23", "126B²³"), =HYPERLINK("CSG13.html#group18C13", "18C¹³"), =HYPERLINK("CSG23.html#group72A23", "72A²³"), =HYPERLINK("CSG5.html#group18A5", "18A⁵"), =HYPERLINK("CSG15.html#group36C15", "36C¹⁵"), =HYPERLINK("CSG19.html#group18B19", "18B¹⁹"), =HYPERLINK("CSG19.html#group18E19", "18E¹⁹"), =HYPERLINK("CSG7.html#group18B7", "18B⁷"), =HYPERLINK("CSG15.html#group90A15", "90A¹⁵"), =HYPERLINK("CSG15.html#group36D15", "36D¹⁵"), =HYPERLINK("CSG22.html#group54I22", "54I²²"), =HYPERLINK("CSG13.html#group18H13", "18H¹³"), =HYPERLINK("CSG23.html#group72B23", "72B²³"), =HYPERLINK("CSG11.html#group36A11", "36A¹¹"), =HYPERLINK("CSG13.html#group18F13", "18F¹³"), =HYPERLINK("CSG21.html#group36A21", "36A²¹"), =HYPERLINK("CSG13.html#group18A13", "18A¹³"), =HYPERLINK("CSG11.html#group36D11", "36D¹¹"), =HYPERLINK("CSG7.html#group18F7", "18F⁷"), =HYPERLINK("CSG13.html#group18B13", "18B¹³"), =HYPERLINK("CSG19.html#group18A19", "18A¹⁹")</f>
        <v/>
      </c>
    </row>
    <row r="494">
      <c r="A494" t="inlineStr">
        <is>
          <t>18B³</t>
        </is>
      </c>
      <c r="B494" t="inlineStr"/>
      <c r="C494" t="inlineStr">
        <is>
          <t>36</t>
        </is>
      </c>
      <c r="D494" t="inlineStr">
        <is>
          <t>1</t>
        </is>
      </c>
      <c r="E494" t="inlineStr">
        <is>
          <t>6</t>
        </is>
      </c>
      <c r="F494" t="inlineStr">
        <is>
          <t>0</t>
        </is>
      </c>
      <c r="G494" t="inlineStr">
        <is>
          <t>0</t>
        </is>
      </c>
      <c r="H494" t="inlineStr">
        <is>
          <t>18²</t>
        </is>
      </c>
      <c r="I494" t="n">
        <v>2</v>
      </c>
      <c r="J494" t="inlineStr">
        <is>
          <t>2³</t>
        </is>
      </c>
      <c r="K494">
        <f>HYPERLINK("CSG1.html#group6B1", "6B¹"), =HYPERLINK("CSG1.html#group18B1", "18B¹")</f>
        <v/>
      </c>
      <c r="L494">
        <f>HYPERLINK("CSG5.html#group18B5", "18B⁵"), =HYPERLINK("CSG7.html#group18A7", "18A⁷"), =HYPERLINK("CSG7.html#group18D7", "18D⁷"), =HYPERLINK("CSG7.html#group18G7", "18G⁷"), =HYPERLINK("CSG11.html#group36E11", "36E¹¹"), =HYPERLINK("CSG15.html#group90C15", "90C¹⁵"), =HYPERLINK("CSG17.html#group90C17", "90C¹⁷"), =HYPERLINK("CSG21.html#group126B21", "126B²¹"), =HYPERLINK("CSG23.html#group126E23", "126E²³")</f>
        <v/>
      </c>
      <c r="M494">
        <f>HYPERLINK("CSG0.html#group2A0", "2A⁰"), =HYPERLINK("CSG0.html#group6B0", "6B⁰"), =HYPERLINK("CSG1.html#group6B1", "6B¹"), =HYPERLINK("CSG1.html#group18B1", "18B¹"), =HYPERLINK("CSG0.html#group3C0", "3C⁰"), =HYPERLINK("CSG1.html#group6A1", "6A¹"), =HYPERLINK("CSG0.html#group3A0", "3A⁰"), =HYPERLINK("CSG0.html#group1A0", "1A⁰")</f>
        <v/>
      </c>
      <c r="N494">
        <f>HYPERLINK("CSG7.html#group18A7", "18A⁷"), =HYPERLINK("CSG21.html#group36B21", "36B²¹"), =HYPERLINK("CSG7.html#group18G7", "18G⁷"), =HYPERLINK("CSG23.html#group126E23", "126E²³"), =HYPERLINK("CSG21.html#group126B21", "126B²¹"), =HYPERLINK("CSG15.html#group36C15", "36C¹⁵"), =HYPERLINK("CSG19.html#group18E19", "18E¹⁹"), =HYPERLINK("CSG15.html#group36D15", "36D¹⁵"), =HYPERLINK("CSG13.html#group18G13", "18G¹³"), =HYPERLINK("CSG17.html#group90C17", "90C¹⁷"), =HYPERLINK("CSG13.html#group18H13", "18H¹³"), =HYPERLINK("CSG7.html#group18D7", "18D⁷"), =HYPERLINK("CSG15.html#group90C15", "90C¹⁵"), =HYPERLINK("CSG23.html#group72C23", "72C²³"), =HYPERLINK("CSG23.html#group72D23", "72D²³"), =HYPERLINK("CSG19.html#group18D19", "18D¹⁹"), =HYPERLINK("CSG5.html#group18B5", "18B⁵"), =HYPERLINK("CSG13.html#group18B13", "18B¹³"), =HYPERLINK("CSG11.html#group36E11", "36E¹¹"), =HYPERLINK("CSG13.html#group18E13", "18E¹³"), =HYPERLINK("CSG19.html#group18A19", "18A¹⁹"), =HYPERLINK("CSG13.html#group18D13", "18D¹³"), =HYPERLINK("CSG11.html#group36B11", "36B¹¹")</f>
        <v/>
      </c>
    </row>
    <row r="495">
      <c r="A495" t="inlineStr">
        <is>
          <t>18C³</t>
        </is>
      </c>
      <c r="B495" t="inlineStr"/>
      <c r="C495" t="inlineStr">
        <is>
          <t>36</t>
        </is>
      </c>
      <c r="D495" t="inlineStr">
        <is>
          <t>2</t>
        </is>
      </c>
      <c r="E495" t="inlineStr">
        <is>
          <t>9</t>
        </is>
      </c>
      <c r="F495" t="inlineStr">
        <is>
          <t>0</t>
        </is>
      </c>
      <c r="G495" t="inlineStr">
        <is>
          <t>0</t>
        </is>
      </c>
      <c r="H495" t="inlineStr">
        <is>
          <t>18²</t>
        </is>
      </c>
      <c r="I495" t="n">
        <v>2</v>
      </c>
      <c r="J495" t="inlineStr">
        <is>
          <t>2³, 6²</t>
        </is>
      </c>
      <c r="K495">
        <f>HYPERLINK("CSG0.html#group18A0", "18A⁰"), =HYPERLINK("CSG1.html#group6B1", "6B¹"), =HYPERLINK("CSG1.html#group9B1", "9B¹"), =HYPERLINK("CSG2.html#group18A2", "18A²")</f>
        <v/>
      </c>
      <c r="L495">
        <f>HYPERLINK("CSG5.html#group18A5", "18A⁵"), =HYPERLINK("CSG7.html#group18C7", "18C⁷"), =HYPERLINK("CSG7.html#group18E7", "18E⁷"), =HYPERLINK("CSG7.html#group18F7", "18F⁷"), =HYPERLINK("CSG7.html#group18G7", "18G⁷"), =HYPERLINK("CSG11.html#group36F11", "36F¹¹"), =HYPERLINK("CSG15.html#group90F15", "90F¹⁵"), =HYPERLINK("CSG17.html#group90K17", "90K¹⁷"), =HYPERLINK("CSG21.html#group126G21", "126G²¹"), =HYPERLINK("CSG21.html#group126H21", "126H²¹"), =HYPERLINK("CSG23.html#group126H23", "126H²³")</f>
        <v/>
      </c>
      <c r="M495">
        <f>HYPERLINK("CSG0.html#group2A0", "2A⁰"), =HYPERLINK("CSG0.html#group6B0", "6B⁰"), =HYPERLINK("CSG1.html#group6B1", "6B¹"), =HYPERLINK("CSG1.html#group9B1", "9B¹"), =HYPERLINK("CSG0.html#group9A0", "9A⁰"), =HYPERLINK("CSG0.html#group3C0", "3C⁰"), =HYPERLINK("CSG1.html#group6A1", "6A¹"), =HYPERLINK("CSG2.html#group18A2", "18A²"), =HYPERLINK("CSG0.html#group3A0", "3A⁰"), =HYPERLINK("CSG0.html#group1A0", "1A⁰"), =HYPERLINK("CSG0.html#group18A0", "18A⁰")</f>
        <v/>
      </c>
      <c r="N495">
        <f>HYPERLINK("CSG15.html#group36K15", "36K¹⁵"), =HYPERLINK("CSG11.html#group36F11", "36F¹¹"), =HYPERLINK("CSG21.html#group126G21", "126G²¹"), =HYPERLINK("CSG7.html#group18E7", "18E⁷"), =HYPERLINK("CSG7.html#group18G7", "18G⁷"), =HYPERLINK("CSG13.html#group18C13", "18C¹³"), =HYPERLINK("CSG17.html#group90K17", "90K¹⁷"), =HYPERLINK("CSG5.html#group18A5", "18A⁵"), =HYPERLINK("CSG19.html#group18B19", "18B¹⁹"), =HYPERLINK("CSG19.html#group18E19", "18E¹⁹"), =HYPERLINK("CSG7.html#group18C7", "18C⁷"), =HYPERLINK("CSG13.html#group18H13", "18H¹³"), =HYPERLINK("CSG11.html#group36A11", "36A¹¹"), =HYPERLINK("CSG21.html#group126H21", "126H²¹"), =HYPERLINK("CSG23.html#group72H23", "72H²³"), =HYPERLINK("CSG23.html#group72G23", "72G²³"), =HYPERLINK("CSG15.html#group90F15", "90F¹⁵"), =HYPERLINK("CSG23.html#group126H23", "126H²³"), =HYPERLINK("CSG21.html#group36A21", "36A²¹"), =HYPERLINK("CSG13.html#group18F13", "18F¹³"), =HYPERLINK("CSG19.html#group18D19", "18D¹⁹"), =HYPERLINK("CSG13.html#group18A13", "18A¹³"), =HYPERLINK("CSG22.html#group54H22", "54H²²"), =HYPERLINK("CSG19.html#group18C19", "18C¹⁹"), =HYPERLINK("CSG7.html#group18F7", "18F⁷"), =HYPERLINK("CSG13.html#group18B13", "18B¹³"), =HYPERLINK("CSG15.html#group36J15", "36J¹⁵")</f>
        <v/>
      </c>
    </row>
    <row r="496">
      <c r="A496" t="inlineStr">
        <is>
          <t>18D³</t>
        </is>
      </c>
      <c r="B496" t="inlineStr"/>
      <c r="C496" t="inlineStr">
        <is>
          <t>54</t>
        </is>
      </c>
      <c r="D496" t="inlineStr">
        <is>
          <t>1</t>
        </is>
      </c>
      <c r="E496" t="inlineStr">
        <is>
          <t>27</t>
        </is>
      </c>
      <c r="F496" t="inlineStr">
        <is>
          <t>4</t>
        </is>
      </c>
      <c r="G496" t="inlineStr">
        <is>
          <t>0</t>
        </is>
      </c>
      <c r="H496" t="inlineStr">
        <is>
          <t>18³</t>
        </is>
      </c>
      <c r="I496" t="n">
        <v>3</v>
      </c>
      <c r="J496" t="inlineStr">
        <is>
          <t>1³, 2³, 6³</t>
        </is>
      </c>
      <c r="K496">
        <f>HYPERLINK("CSG0.html#group6H0", "6H⁰"), =HYPERLINK("CSG1.html#group18A1", "18A¹"), =HYPERLINK("CSG1.html#group18B1", "18B¹"), =HYPERLINK("CSG1.html#group18E1", "18E¹")</f>
        <v/>
      </c>
      <c r="L496">
        <f>HYPERLINK("CSG6.html#group18D6", "18D⁶"), =HYPERLINK("CSG6.html#group36C6", "36C⁶"), =HYPERLINK("CSG7.html#group18A7", "18A⁷"), =HYPERLINK("CSG7.html#group36G7", "36G⁷"), =HYPERLINK("CSG8.html#group18B8", "18B⁸"), =HYPERLINK("CSG8.html#group36C8", "36C⁸"), =HYPERLINK("CSG21.html#group90A21", "90A²¹"), =HYPERLINK("CSG23.html#group90A23", "90A²³")</f>
        <v/>
      </c>
      <c r="M496">
        <f>HYPERLINK("CSG0.html#group6B0", "6B⁰"), =HYPERLINK("CSG0.html#group6H0", "6H⁰"), =HYPERLINK("CSG0.html#group9A0", "9A⁰"), =HYPERLINK("CSG1.html#group18B1", "18B¹"), =HYPERLINK("CSG0.html#group2B0", "2B⁰"), =HYPERLINK("CSG1.html#group18E1", "18E¹"), =HYPERLINK("CSG0.html#group3A0", "3A⁰"), =HYPERLINK("CSG0.html#group1A0", "1A⁰"), =HYPERLINK("CSG1.html#group18A1", "18A¹"), =HYPERLINK("CSG0.html#group6D0", "6D⁰")</f>
        <v/>
      </c>
      <c r="N496">
        <f>HYPERLINK("CSG7.html#group18A7", "18A⁷"), =HYPERLINK("CSG14.html#group72B14", "72B¹⁴"), =HYPERLINK("CSG8.html#group36C8", "36C⁸"), =HYPERLINK("CSG13.html#group36S13", "36S¹³"), =HYPERLINK("CSG15.html#group36I15", "36I¹⁵"), =HYPERLINK("CSG15.html#group36D15", "36D¹⁵"), =HYPERLINK("CSG18.html#group18A18", "18A¹⁸"), =HYPERLINK("CSG21.html#group36D21", "36D²¹"), =HYPERLINK("CSG13.html#group72I13", "72I¹³"), =HYPERLINK("CSG17.html#group72D17", "72D¹⁷"), =HYPERLINK("CSG14.html#group36A14", "36A¹⁴"), =HYPERLINK("CSG19.html#group18A19", "18A¹⁹"), =HYPERLINK("CSG15.html#group36L15", "36L¹⁵"), =HYPERLINK("CSG14.html#group72C14", "72C¹⁴"), =HYPERLINK("CSG8.html#group18B8", "18B⁸"), =HYPERLINK("CSG7.html#group36G7", "36G⁷"), =HYPERLINK("CSG15.html#group72Q15", "72Q¹⁵"), =HYPERLINK("CSG21.html#group90A21", "90A²¹"), =HYPERLINK("CSG16.html#group72S16", "72S¹⁶"), =HYPERLINK("CSG15.html#group36C15", "36C¹⁵"), =HYPERLINK("CSG19.html#group18E19", "18E¹⁹"), =HYPERLINK("CSG23.html#group90A23", "90A²³"), =HYPERLINK("CSG18.html#group36B18", "36B¹⁸"), =HYPERLINK("CSG13.html#group36P13", "36P¹³"), =HYPERLINK("CSG6.html#group18D6", "18D⁶"), =HYPERLINK("CSG16.html#group18G16", "18G¹⁶"), =HYPERLINK("CSG14.html#group36B14", "36B¹⁴"), =HYPERLINK("CSG16.html#group72C16", "72C¹⁶"), =HYPERLINK("CSG6.html#group36C6", "36C⁶"), =HYPERLINK("CSG22.html#group36I22", "36I²²"), =HYPERLINK("CSG19.html#group36T19", "36T¹⁹"), =HYPERLINK("CSG13.html#group18B13", "18B¹³"), =HYPERLINK("CSG16.html#group72D16", "72D¹⁶")</f>
        <v/>
      </c>
    </row>
    <row r="497">
      <c r="A497" t="inlineStr">
        <is>
          <t>18E³</t>
        </is>
      </c>
      <c r="B497" t="inlineStr"/>
      <c r="C497" t="inlineStr">
        <is>
          <t>54</t>
        </is>
      </c>
      <c r="D497" t="inlineStr">
        <is>
          <t>2</t>
        </is>
      </c>
      <c r="E497" t="inlineStr">
        <is>
          <t>27</t>
        </is>
      </c>
      <c r="F497" t="inlineStr">
        <is>
          <t>2</t>
        </is>
      </c>
      <c r="G497" t="inlineStr">
        <is>
          <t>0</t>
        </is>
      </c>
      <c r="H497" t="inlineStr">
        <is>
          <t>9², 18²</t>
        </is>
      </c>
      <c r="I497" t="n">
        <v>4</v>
      </c>
      <c r="J497" t="inlineStr">
        <is>
          <t>2⁹, 6⁶</t>
        </is>
      </c>
      <c r="K497">
        <f>HYPERLINK("CSG0.html#group6G0", "6G⁰"), =HYPERLINK("CSG1.html#group9B1", "9B¹"), =HYPERLINK("CSG1.html#group18E1", "18E¹")</f>
        <v/>
      </c>
      <c r="L497">
        <f>HYPERLINK("CSG6.html#group18A6", "18A⁶"), =HYPERLINK("CSG6.html#group18D6", "18D⁶"), =HYPERLINK("CSG6.html#group36H6", "36H⁶"), =HYPERLINK("CSG7.html#group18E7", "18E⁷"), =HYPERLINK("CSG7.html#group18M7", "18M⁷"), =HYPERLINK("CSG7.html#group36D7", "36D⁷"), =HYPERLINK("CSG7.html#group36E7", "36E⁷"), =HYPERLINK("CSG8.html#group18A8", "18A⁸"), =HYPERLINK("CSG8.html#group36E8", "36E⁸"), =HYPERLINK("CSG21.html#group90B21", "90B²¹"), =HYPERLINK("CSG23.html#group90B23", "90B²³")</f>
        <v/>
      </c>
      <c r="M497">
        <f>HYPERLINK("CSG0.html#group9A0", "9A⁰"), =HYPERLINK("CSG0.html#group6G0", "6G⁰"), =HYPERLINK("CSG0.html#group3C0", "3C⁰"), =HYPERLINK("CSG0.html#group2B0", "2B⁰"), =HYPERLINK("CSG1.html#group18E1", "18E¹"), =HYPERLINK("CSG0.html#group3A0", "3A⁰"), =HYPERLINK("CSG0.html#group1A0", "1A⁰"), =HYPERLINK("CSG1.html#group9B1", "9B¹"), =HYPERLINK("CSG0.html#group6D0", "6D⁰")</f>
        <v/>
      </c>
      <c r="N497">
        <f>HYPERLINK("CSG8.html#group36E8", "36E⁸"), =HYPERLINK("CSG15.html#group72V15", "72V¹⁵"), =HYPERLINK("CSG15.html#group36K15", "36K¹⁵"), =HYPERLINK("CSG17.html#group72I17", "72I¹⁷"), =HYPERLINK("CSG7.html#group18E7", "18E⁷"), =HYPERLINK("CSG13.html#group36S13", "36S¹³"), =HYPERLINK("CSG21.html#group90B21", "90B²¹"), =HYPERLINK("CSG15.html#group36I15", "36I¹⁵"), =HYPERLINK("CSG15.html#group36A15", "36A¹⁵"), =HYPERLINK("CSG15.html#group36M15", "36M¹⁵"), =HYPERLINK("CSG15.html#group72U15", "72U¹⁵"), =HYPERLINK("CSG18.html#group36A18", "36A¹⁸"), =HYPERLINK("CSG18.html#group18A18", "18A¹⁸"), =HYPERLINK("CSG15.html#group72T15", "72T¹⁵"), =HYPERLINK("CSG16.html#group18B16", "18B¹⁶"), =HYPERLINK("CSG6.html#group36H6", "36H⁶"), =HYPERLINK("CSG19.html#group36R19", "36R¹⁹"), =HYPERLINK("CSG13.html#group36C13", "36C¹³"), =HYPERLINK("CSG17.html#group72J17", "72J¹⁷"), =HYPERLINK("CSG7.html#group36E7", "36E⁷"), =HYPERLINK("CSG15.html#group36L15", "36L¹⁵"), =HYPERLINK("CSG19.html#group18C19", "18C¹⁹"), =HYPERLINK("CSG15.html#group72S15", "72S¹⁵"), =HYPERLINK("CSG15.html#group36J15", "36J¹⁵"), =HYPERLINK("CSG15.html#group36N15", "36N¹⁵"), =HYPERLINK("CSG7.html#group18M7", "18M⁷"), =HYPERLINK("CSG19.html#group18E19", "18E¹⁹"), =HYPERLINK("CSG16.html#group18A16", "18A¹⁶"), =HYPERLINK("CSG7.html#group36D7", "36D⁷"), =HYPERLINK("CSG22.html#group36C22", "36C²²"), =HYPERLINK("CSG13.html#group36P13", "36P¹³"), =HYPERLINK("CSG8.html#group18A8", "18A⁸"), =HYPERLINK("CSG6.html#group18D6", "18D⁶"), =HYPERLINK("CSG15.html#group72O15", "72O¹⁵"), =HYPERLINK("CSG16.html#group18G16", "18G¹⁶"), =HYPERLINK("CSG15.html#group72R15", "72R¹⁵"), =HYPERLINK("CSG13.html#group72L13", "72L¹³"), =HYPERLINK("CSG15.html#group72N15", "72N¹⁵"), =HYPERLINK("CSG6.html#group18A6", "18A⁶"), =HYPERLINK("CSG19.html#group36Q19", "36Q¹⁹"), =HYPERLINK("CSG19.html#group36O19", "36O¹⁹"), =HYPERLINK("CSG22.html#group36H22", "36H²²"), =HYPERLINK("CSG13.html#group18B13", "18B¹³"), =HYPERLINK("CSG23.html#group90B23", "90B²³"), =HYPERLINK("CSG16.html#group36I16", "36I¹⁶"), =HYPERLINK("CSG22.html#group18A22", "18A²²"), =HYPERLINK("CSG21.html#group36C21", "36C²¹")</f>
        <v/>
      </c>
    </row>
    <row r="498">
      <c r="A498" t="inlineStr">
        <is>
          <t>18F³</t>
        </is>
      </c>
      <c r="B498" t="inlineStr"/>
      <c r="C498" t="inlineStr">
        <is>
          <t>72</t>
        </is>
      </c>
      <c r="D498" t="inlineStr">
        <is>
          <t>1</t>
        </is>
      </c>
      <c r="E498" t="inlineStr">
        <is>
          <t>6</t>
        </is>
      </c>
      <c r="F498" t="inlineStr">
        <is>
          <t>0</t>
        </is>
      </c>
      <c r="G498" t="inlineStr">
        <is>
          <t>0</t>
        </is>
      </c>
      <c r="H498" t="inlineStr">
        <is>
          <t>6⁶, 18²</t>
        </is>
      </c>
      <c r="I498" t="n">
        <v>8</v>
      </c>
      <c r="J498" t="inlineStr">
        <is>
          <t>1², 2²</t>
        </is>
      </c>
      <c r="K498">
        <f>HYPERLINK("CSG0.html#group9H0", "9H⁰"), =HYPERLINK("CSG1.html#group6D1", "6D¹"), =HYPERLINK("CSG1.html#group18F1", "18F¹"), =HYPERLINK("CSG2.html#group18F2", "18F²")</f>
        <v/>
      </c>
      <c r="L498">
        <f>HYPERLINK("CSG7.html#group18N7", "18N⁷"), =HYPERLINK("CSG9.html#group36A9", "36A⁹"), =HYPERLINK("CSG10.html#group18D10", "18D¹⁰"), =HYPERLINK("CSG10.html#group18K10", "18K¹⁰"), =HYPERLINK("CSG13.html#group18A13", "18A¹³"), =HYPERLINK("CSG13.html#group18C13", "18C¹³"), =HYPERLINK("CSG13.html#group18D13", "18D¹³"), =HYPERLINK("CSG13.html#group18E13", "18E¹³"), =HYPERLINK("CSG17.html#group36C17", "36C¹⁷")</f>
        <v/>
      </c>
      <c r="M498">
        <f>HYPERLINK("CSG2.html#group18F2", "18F²"), =HYPERLINK("CSG0.html#group2A0", "2A⁰"), =HYPERLINK("CSG0.html#group3B0", "3B⁰"), =HYPERLINK("CSG0.html#group6B0", "6B⁰"), =HYPERLINK("CSG0.html#group6C0", "6C⁰"), =HYPERLINK("CSG0.html#group9E0", "9E⁰"), =HYPERLINK("CSG0.html#group1A0", "1A⁰"), =HYPERLINK("CSG1.html#group6D1", "6D¹"), =HYPERLINK("CSG0.html#group6E0", "6E⁰"), =HYPERLINK("CSG1.html#group6B1", "6B¹"), =HYPERLINK("CSG0.html#group3C0", "3C⁰"), =HYPERLINK("CSG1.html#group6A1", "6A¹"), =HYPERLINK("CSG1.html#group18F1", "18F¹"), =HYPERLINK("CSG0.html#group9H0", "9H⁰"), =HYPERLINK("CSG0.html#group3A0", "3A⁰"), =HYPERLINK("CSG0.html#group3D0", "3D⁰")</f>
        <v/>
      </c>
      <c r="N498">
        <f>HYPERLINK("CSG17.html#group36C17", "36C¹⁷"), =HYPERLINK("CSG7.html#group18N7", "18N⁷"), =HYPERLINK("CSG21.html#group36E21", "36E²¹"), =HYPERLINK("CSG9.html#group36A9", "36A⁹"), =HYPERLINK("CSG10.html#group18K10", "18K¹⁰"), =HYPERLINK("CSG13.html#group18C13", "18C¹³"), =HYPERLINK("CSG17.html#group36I17", "36I¹⁷"), =HYPERLINK("CSG13.html#group18A13", "18A¹³"), =HYPERLINK("CSG10.html#group18D10", "18D¹⁰"), =HYPERLINK("CSG13.html#group18E13", "18E¹³"), =HYPERLINK("CSG13.html#group18D13", "18D¹³")</f>
        <v/>
      </c>
    </row>
    <row r="499">
      <c r="A499" t="inlineStr">
        <is>
          <t>18G³</t>
        </is>
      </c>
      <c r="B499" t="inlineStr"/>
      <c r="C499" t="inlineStr">
        <is>
          <t>72</t>
        </is>
      </c>
      <c r="D499" t="inlineStr">
        <is>
          <t>1</t>
        </is>
      </c>
      <c r="E499" t="inlineStr">
        <is>
          <t>12</t>
        </is>
      </c>
      <c r="F499" t="inlineStr">
        <is>
          <t>0</t>
        </is>
      </c>
      <c r="G499" t="inlineStr">
        <is>
          <t>0</t>
        </is>
      </c>
      <c r="H499" t="inlineStr">
        <is>
          <t>2³, 6², 18³</t>
        </is>
      </c>
      <c r="I499" t="n">
        <v>8</v>
      </c>
      <c r="J499" t="inlineStr">
        <is>
          <t>1², 2², 6¹</t>
        </is>
      </c>
      <c r="K499">
        <f>HYPERLINK("CSG0.html#group9I0", "9I⁰"), =HYPERLINK("CSG1.html#group18C1", "18C¹")</f>
        <v/>
      </c>
      <c r="L499">
        <f>HYPERLINK("CSG7.html#group18O7", "18O⁷"), =HYPERLINK("CSG9.html#group36B9", "36B⁹"), =HYPERLINK("CSG10.html#group18D10", "18D¹⁰"), =HYPERLINK("CSG10.html#group18I10", "18I¹⁰"), =HYPERLINK("CSG10.html#group54B10", "54B¹⁰"), =HYPERLINK("CSG10.html#group54D10", "54D¹⁰"), =HYPERLINK("CSG13.html#group54C13", "54C¹³"), =HYPERLINK("CSG13.html#group54D13", "54D¹³"), =HYPERLINK("CSG13.html#group54F13", "54F¹³"), =HYPERLINK("CSG13.html#group54G13", "54G¹³"), =HYPERLINK("CSG17.html#group36D17", "36D¹⁷")</f>
        <v/>
      </c>
      <c r="M499">
        <f>HYPERLINK("CSG0.html#group3B0", "3B⁰"), =HYPERLINK("CSG0.html#group2A0", "2A⁰"), =HYPERLINK("CSG1.html#group18C1", "18C¹"), =HYPERLINK("CSG0.html#group6C0", "6C⁰"), =HYPERLINK("CSG0.html#group9I0", "9I⁰"), =HYPERLINK("CSG0.html#group9B0", "9B⁰"), =HYPERLINK("CSG0.html#group1A0", "1A⁰")</f>
        <v/>
      </c>
      <c r="N499">
        <f>HYPERLINK("CSG10.html#group18I10", "18I¹⁰"), =HYPERLINK("CSG7.html#group18O7", "18O⁷"), =HYPERLINK("CSG13.html#group54D13", "54D¹³"), =HYPERLINK("CSG13.html#group54C13", "54C¹³"), =HYPERLINK("CSG13.html#group54G13", "54G¹³"), =HYPERLINK("CSG17.html#group36J17", "36J¹⁷"), =HYPERLINK("CSG21.html#group36F21", "36F²¹"), =HYPERLINK("CSG10.html#group18D10", "18D¹⁰"), =HYPERLINK("CSG9.html#group36B9", "36B⁹"), =HYPERLINK("CSG17.html#group36D17", "36D¹⁷"), =HYPERLINK("CSG13.html#group54F13", "54F¹³"), =HYPERLINK("CSG10.html#group54D10", "54D¹⁰"), =HYPERLINK("CSG10.html#group54B10", "54B¹⁰")</f>
        <v/>
      </c>
    </row>
    <row r="500">
      <c r="A500" t="inlineStr">
        <is>
          <t>18H³</t>
        </is>
      </c>
      <c r="B500" t="inlineStr"/>
      <c r="C500" t="inlineStr">
        <is>
          <t>72</t>
        </is>
      </c>
      <c r="D500" t="inlineStr">
        <is>
          <t>1</t>
        </is>
      </c>
      <c r="E500" t="inlineStr">
        <is>
          <t>12</t>
        </is>
      </c>
      <c r="F500" t="inlineStr">
        <is>
          <t>0</t>
        </is>
      </c>
      <c r="G500" t="inlineStr">
        <is>
          <t>0</t>
        </is>
      </c>
      <c r="H500" t="inlineStr">
        <is>
          <t>6⁶, 18²</t>
        </is>
      </c>
      <c r="I500" t="n">
        <v>8</v>
      </c>
      <c r="J500" t="inlineStr">
        <is>
          <t>1², 2⁵</t>
        </is>
      </c>
      <c r="K500">
        <f>HYPERLINK("CSG1.html#group6D1", "6D¹"), =HYPERLINK("CSG1.html#group18G1", "18G¹")</f>
        <v/>
      </c>
      <c r="L500">
        <f>HYPERLINK("CSG7.html#group18N7", "18N⁷"), =HYPERLINK("CSG9.html#group36E9", "36E⁹"), =HYPERLINK("CSG10.html#group18F10", "18F¹⁰"), =HYPERLINK("CSG10.html#group18K10", "18K¹⁰"), =HYPERLINK("CSG13.html#group18E13", "18E¹³"), =HYPERLINK("CSG13.html#group18F13", "18F¹³"), =HYPERLINK("CSG13.html#group18G13", "18G¹³"), =HYPERLINK("CSG13.html#group18H13", "18H¹³"), =HYPERLINK("CSG17.html#group36E17", "36E¹⁷")</f>
        <v/>
      </c>
      <c r="M500">
        <f>HYPERLINK("CSG0.html#group3B0", "3B⁰"), =HYPERLINK("CSG0.html#group2A0", "2A⁰"), =HYPERLINK("CSG0.html#group6B0", "6B⁰"), =HYPERLINK("CSG0.html#group6C0", "6C⁰"), =HYPERLINK("CSG0.html#group1A0", "1A⁰"), =HYPERLINK("CSG1.html#group6D1", "6D¹"), =HYPERLINK("CSG0.html#group6E0", "6E⁰"), =HYPERLINK("CSG1.html#group6B1", "6B¹"), =HYPERLINK("CSG0.html#group3C0", "3C⁰"), =HYPERLINK("CSG1.html#group6A1", "6A¹"), =HYPERLINK("CSG1.html#group18G1", "18G¹"), =HYPERLINK("CSG0.html#group3A0", "3A⁰"), =HYPERLINK("CSG0.html#group3D0", "3D⁰")</f>
        <v/>
      </c>
      <c r="N500">
        <f>HYPERLINK("CSG7.html#group18N7", "18N⁷"), =HYPERLINK("CSG21.html#group36E21", "36E²¹"), =HYPERLINK("CSG10.html#group18K10", "18K¹⁰"), =HYPERLINK("CSG17.html#group36E17", "36E¹⁷"), =HYPERLINK("CSG13.html#group18F13", "18F¹³"), =HYPERLINK("CSG17.html#group36I17", "36I¹⁷"), =HYPERLINK("CSG13.html#group18E13", "18E¹³"), =HYPERLINK("CSG13.html#group18G13", "18G¹³"), =HYPERLINK("CSG9.html#group36E9", "36E⁹"), =HYPERLINK("CSG13.html#group18H13", "18H¹³"), =HYPERLINK("CSG10.html#group18F10", "18F¹⁰")</f>
        <v/>
      </c>
    </row>
    <row r="501">
      <c r="A501" t="inlineStr">
        <is>
          <t>18I³</t>
        </is>
      </c>
      <c r="B501" t="inlineStr"/>
      <c r="C501" t="inlineStr">
        <is>
          <t>72</t>
        </is>
      </c>
      <c r="D501" t="inlineStr">
        <is>
          <t>1</t>
        </is>
      </c>
      <c r="E501" t="inlineStr">
        <is>
          <t>24</t>
        </is>
      </c>
      <c r="F501" t="inlineStr">
        <is>
          <t>0</t>
        </is>
      </c>
      <c r="G501" t="inlineStr">
        <is>
          <t>0</t>
        </is>
      </c>
      <c r="H501" t="inlineStr">
        <is>
          <t>2³, 6², 18³</t>
        </is>
      </c>
      <c r="I501" t="n">
        <v>8</v>
      </c>
      <c r="J501" t="inlineStr">
        <is>
          <t>1⁴, 2⁴, 6²</t>
        </is>
      </c>
      <c r="K501">
        <f>HYPERLINK("CSG1.html#group18C1", "18C¹")</f>
        <v/>
      </c>
      <c r="L501">
        <f>HYPERLINK("CSG7.html#group18O7", "18O⁷"), =HYPERLINK("CSG9.html#group36F9", "36F⁹"), =HYPERLINK("CSG10.html#group18F10", "18F¹⁰"), =HYPERLINK("CSG10.html#group18I10", "18I¹⁰"), =HYPERLINK("CSG10.html#group54E10", "54E¹⁰"), =HYPERLINK("CSG10.html#group54H10", "54H¹⁰"), =HYPERLINK("CSG13.html#group54L13", "54L¹³"), =HYPERLINK("CSG13.html#group54M13", "54M¹³"), =HYPERLINK("CSG13.html#group54Q13", "54Q¹³"), =HYPERLINK("CSG13.html#group54R13", "54R¹³"), =HYPERLINK("CSG17.html#group36G17", "36G¹⁷")</f>
        <v/>
      </c>
      <c r="M501">
        <f>HYPERLINK("CSG0.html#group3B0", "3B⁰"), =HYPERLINK("CSG0.html#group9B0", "9B⁰"), =HYPERLINK("CSG0.html#group2A0", "2A⁰"), =HYPERLINK("CSG0.html#group1A0", "1A⁰"), =HYPERLINK("CSG1.html#group18C1", "18C¹"), =HYPERLINK("CSG0.html#group6C0", "6C⁰")</f>
        <v/>
      </c>
      <c r="N501">
        <f>HYPERLINK("CSG10.html#group54H10", "54H¹⁰"), =HYPERLINK("CSG9.html#group36F9", "36F⁹"), =HYPERLINK("CSG7.html#group18O7", "18O⁷"), =HYPERLINK("CSG10.html#group18I10", "18I¹⁰"), =HYPERLINK("CSG13.html#group54Q13", "54Q¹³"), =HYPERLINK("CSG10.html#group54E10", "54E¹⁰"), =HYPERLINK("CSG13.html#group54M13", "54M¹³"), =HYPERLINK("CSG17.html#group36J17", "36J¹⁷"), =HYPERLINK("CSG13.html#group54L13", "54L¹³"), =HYPERLINK("CSG21.html#group36F21", "36F²¹"), =HYPERLINK("CSG17.html#group36G17", "36G¹⁷"), =HYPERLINK("CSG13.html#group54R13", "54R¹³"), =HYPERLINK("CSG10.html#group18F10", "18F¹⁰")</f>
        <v/>
      </c>
    </row>
    <row r="502">
      <c r="A502" t="inlineStr">
        <is>
          <t>18J³</t>
        </is>
      </c>
      <c r="B502" t="inlineStr"/>
      <c r="C502" t="inlineStr">
        <is>
          <t>81</t>
        </is>
      </c>
      <c r="D502" t="inlineStr">
        <is>
          <t>1</t>
        </is>
      </c>
      <c r="E502" t="inlineStr">
        <is>
          <t>81</t>
        </is>
      </c>
      <c r="F502" t="inlineStr">
        <is>
          <t>7</t>
        </is>
      </c>
      <c r="G502" t="inlineStr">
        <is>
          <t>0</t>
        </is>
      </c>
      <c r="H502" t="inlineStr">
        <is>
          <t>9³, 18³</t>
        </is>
      </c>
      <c r="I502" t="n">
        <v>6</v>
      </c>
      <c r="J502" t="inlineStr">
        <is>
          <t>3³, 6¹²</t>
        </is>
      </c>
      <c r="K502">
        <f>HYPERLINK("CSG0.html#group9G0", "9G⁰"), =HYPERLINK("CSG1.html#group18E1", "18E¹")</f>
        <v/>
      </c>
      <c r="L502">
        <f>HYPERLINK("CSG7.html#group18K7", "18K⁷"), =HYPERLINK("CSG7.html#group18M7", "18M⁷"), =HYPERLINK("CSG7.html#group36L7", "36L⁷"), =HYPERLINK("CSG8.html#group18A8", "18A⁸"), =HYPERLINK("CSG8.html#group18B8", "18B⁸"), =HYPERLINK("CSG8.html#group36L8", "36L⁸"), =HYPERLINK("CSG8.html#group36M8", "36M⁸"), =HYPERLINK("CSG10.html#group18C10", "18C¹⁰"), =HYPERLINK("CSG10.html#group18L10", "18L¹⁰"), =HYPERLINK("CSG10.html#group36N10", "36N¹⁰"), =HYPERLINK("CSG10.html#group36P10", "36P¹⁰"), =HYPERLINK("CSG11.html#group36G11", "36G¹¹"), =HYPERLINK("CSG15.html#group54A15", "54A¹⁵")</f>
        <v/>
      </c>
      <c r="M502">
        <f>HYPERLINK("CSG0.html#group9A0", "9A⁰"), =HYPERLINK("CSG0.html#group9G0", "9G⁰"), =HYPERLINK("CSG0.html#group2B0", "2B⁰"), =HYPERLINK("CSG1.html#group18E1", "18E¹"), =HYPERLINK("CSG0.html#group3A0", "3A⁰"), =HYPERLINK("CSG0.html#group1A0", "1A⁰"), =HYPERLINK("CSG0.html#group6D0", "6D⁰")</f>
        <v/>
      </c>
      <c r="N502">
        <f>HYPERLINK("CSG19.html#group72W19", "72W¹⁹"), =HYPERLINK("CSG10.html#group36N10", "36N¹⁰"), =HYPERLINK("CSG8.html#group36L8", "36L⁸"), =HYPERLINK("CSG22.html#group72G22", "72G²²"), =HYPERLINK("CSG18.html#group36A18", "36A¹⁸"), =HYPERLINK("CSG21.html#group36D21", "36D²¹"), =HYPERLINK("CSG18.html#group18A18", "18A¹⁸"), =HYPERLINK("CSG10.html#group36P10", "36P¹⁰"), =HYPERLINK("CSG19.html#group36S19", "36S¹⁹"), =HYPERLINK("CSG22.html#group36E22", "36E²²"), =HYPERLINK("CSG19.html#group36R19", "36R¹⁹"), =HYPERLINK("CSG8.html#group18B8", "18B⁸"), =HYPERLINK("CSG19.html#group18C19", "18C¹⁹"), =HYPERLINK("CSG16.html#group36I16", "36I¹⁶"), =HYPERLINK("CSG20.html#group72F20", "72F²⁰"), =HYPERLINK("CSG22.html#group72J22", "72J²²"), =HYPERLINK("CSG7.html#group18K7", "18K⁷"), =HYPERLINK("CSG22.html#group36F22", "36F²²"), =HYPERLINK("CSG20.html#group72D20", "72D²⁰"), =HYPERLINK("CSG7.html#group18M7", "18M⁷"), =HYPERLINK("CSG20.html#group36C20", "36C²⁰"), =HYPERLINK("CSG19.html#group18E19", "18E¹⁹"), =HYPERLINK("CSG16.html#group18A16", "18A¹⁶"), =HYPERLINK("CSG21.html#group36C21", "36C²¹"), =HYPERLINK("CSG16.html#group36H16", "36H¹⁶"), =HYPERLINK("CSG22.html#group36C22", "36C²²"), =HYPERLINK("CSG18.html#group36B18", "36B¹⁸"), =HYPERLINK("CSG20.html#group72E20", "72E²⁰"), =HYPERLINK("CSG7.html#group36L7", "36L⁷"), =HYPERLINK("CSG8.html#group36M8", "36M⁸"), =HYPERLINK("CSG8.html#group18A8", "18A⁸"), =HYPERLINK("CSG20.html#group36A20", "36A²⁰"), =HYPERLINK("CSG10.html#group18L10", "18L¹⁰"), =HYPERLINK("CSG16.html#group18G16", "18G¹⁶"), =HYPERLINK("CSG22.html#group36J22", "36J²²"), =HYPERLINK("CSG15.html#group54A15", "54A¹⁵"), =HYPERLINK("CSG19.html#group36O19", "36O¹⁹"), =HYPERLINK("CSG19.html#group36Q19", "36Q¹⁹"), =HYPERLINK("CSG22.html#group72K22", "72K²²"), =HYPERLINK("CSG21.html#group72X21", "72X²¹"), =HYPERLINK("CSG18.html#group72E18", "72E¹⁸"), =HYPERLINK("CSG22.html#group36I22", "36I²²"), =HYPERLINK("CSG11.html#group36G11", "36G¹¹"), =HYPERLINK("CSG22.html#group36H22", "36H²²"), =HYPERLINK("CSG19.html#group36T19", "36T¹⁹"), =HYPERLINK("CSG22.html#group72H22", "72H²²"), =HYPERLINK("CSG22.html#group36D22", "36D²²"), =HYPERLINK("CSG20.html#group36B20", "36B²⁰"), =HYPERLINK("CSG22.html#group18A22", "18A²²"), =HYPERLINK("CSG24.html#group72A24", "72A²⁴"), =HYPERLINK("CSG10.html#group18C10", "18C¹⁰")</f>
        <v/>
      </c>
    </row>
    <row r="503">
      <c r="A503" t="inlineStr">
        <is>
          <t>18K³</t>
        </is>
      </c>
      <c r="B503" t="inlineStr"/>
      <c r="C503" t="inlineStr">
        <is>
          <t>108</t>
        </is>
      </c>
      <c r="D503" t="inlineStr">
        <is>
          <t>1</t>
        </is>
      </c>
      <c r="E503" t="inlineStr">
        <is>
          <t>54</t>
        </is>
      </c>
      <c r="F503" t="inlineStr">
        <is>
          <t>4</t>
        </is>
      </c>
      <c r="G503" t="inlineStr">
        <is>
          <t>0</t>
        </is>
      </c>
      <c r="H503" t="inlineStr">
        <is>
          <t>6⁹, 18³</t>
        </is>
      </c>
      <c r="I503" t="n">
        <v>12</v>
      </c>
      <c r="J503" t="inlineStr">
        <is>
          <t>1³, 2³, 3³, 6⁶</t>
        </is>
      </c>
      <c r="K503">
        <f>HYPERLINK("CSG0.html#group6L0", "6L⁰"), =HYPERLINK("CSG1.html#group18F1", "18F¹"), =HYPERLINK("CSG1.html#group18G1", "18G¹"), =HYPERLINK("CSG1.html#group18I1", "18I¹")</f>
        <v/>
      </c>
      <c r="L503">
        <f>HYPERLINK("CSG7.html#group18N7", "18N⁷"), =HYPERLINK("CSG8.html#group36N8", "36N⁸"), =HYPERLINK("CSG8.html#group36O8", "36O⁸"), =HYPERLINK("CSG9.html#group36P9", "36P⁹"), =HYPERLINK("CSG11.html#group36L11", "36L¹¹"), =HYPERLINK("CSG12.html#group36A12", "36A¹²"), =HYPERLINK("CSG12.html#group36B12", "36B¹²"), =HYPERLINK("CSG16.html#group18D16", "18D¹⁶"), =HYPERLINK("CSG18.html#group18A18", "18A¹⁸")</f>
        <v/>
      </c>
      <c r="M503">
        <f>HYPERLINK("CSG0.html#group6B0", "6B⁰"), =HYPERLINK("CSG0.html#group9E0", "9E⁰"), =HYPERLINK("CSG0.html#group6E0", "6E⁰"), =HYPERLINK("CSG0.html#group6L0", "6L⁰"), =HYPERLINK("CSG1.html#group18I1", "18I¹"), =HYPERLINK("CSG0.html#group6G0", "6G⁰"), =HYPERLINK("CSG0.html#group3C0", "3C⁰"), =HYPERLINK("CSG0.html#group2B0", "2B⁰"), =HYPERLINK("CSG1.html#group18G1", "18G¹"), =HYPERLINK("CSG1.html#group18F1", "18F¹"), =HYPERLINK("CSG0.html#group6H0", "6H⁰"), =HYPERLINK("CSG0.html#group3A0", "3A⁰"), =HYPERLINK("CSG0.html#group1A0", "1A⁰"), =HYPERLINK("CSG0.html#group6D0", "6D⁰")</f>
        <v/>
      </c>
      <c r="N503">
        <f>HYPERLINK("CSG7.html#group18N7", "18N⁷"), =HYPERLINK("CSG11.html#group36L11", "36L¹¹"), =HYPERLINK("CSG21.html#group36E21", "36E²¹"), =HYPERLINK("CSG17.html#group36I17", "36I¹⁷"), =HYPERLINK("CSG18.html#group18A18", "18A¹⁸"), =HYPERLINK("CSG23.html#group36B23", "36B²³"), =HYPERLINK("CSG9.html#group36P9", "36P⁹"), =HYPERLINK("CSG12.html#group36A12", "36A¹²"), =HYPERLINK("CSG12.html#group36B12", "36B¹²"), =HYPERLINK("CSG23.html#group36D23", "36D²³"), =HYPERLINK("CSG23.html#group72J23", "72J²³"), =HYPERLINK("CSG16.html#group18D16", "18D¹⁶"), =HYPERLINK("CSG23.html#group72K23", "72K²³"), =HYPERLINK("CSG8.html#group36N8", "36N⁸"), =HYPERLINK("CSG23.html#group72I23", "72I²³"), =HYPERLINK("CSG8.html#group36O8", "36O⁸"), =HYPERLINK("CSG19.html#group36U19", "36U¹⁹"), =HYPERLINK("CSG23.html#group36C23", "36C²³")</f>
        <v/>
      </c>
    </row>
    <row r="504">
      <c r="A504" t="inlineStr">
        <is>
          <t>20A³</t>
        </is>
      </c>
      <c r="B504" t="inlineStr"/>
      <c r="C504" t="inlineStr">
        <is>
          <t>48</t>
        </is>
      </c>
      <c r="D504" t="inlineStr">
        <is>
          <t>1</t>
        </is>
      </c>
      <c r="E504" t="inlineStr">
        <is>
          <t>6</t>
        </is>
      </c>
      <c r="F504" t="inlineStr">
        <is>
          <t>0</t>
        </is>
      </c>
      <c r="G504" t="inlineStr">
        <is>
          <t>0</t>
        </is>
      </c>
      <c r="H504" t="inlineStr">
        <is>
          <t>4², 20²</t>
        </is>
      </c>
      <c r="I504" t="n">
        <v>4</v>
      </c>
      <c r="J504" t="inlineStr">
        <is>
          <t>1², 4¹</t>
        </is>
      </c>
      <c r="K504">
        <f>HYPERLINK("CSG1.html#group10D1", "10D¹"), =HYPERLINK("CSG1.html#group20C1", "20C¹")</f>
        <v/>
      </c>
      <c r="L504">
        <f>HYPERLINK("CSG7.html#group20J7", "20J⁷"), =HYPERLINK("CSG9.html#group20E9", "20E⁹"), =HYPERLINK("CSG11.html#group60A11", "60A¹¹"), =HYPERLINK("CSG11.html#group60B11", "60B¹¹"), =HYPERLINK("CSG13.html#group60I13", "60I¹³"), =HYPERLINK("CSG15.html#group20A15", "20A¹⁵"), =HYPERLINK("CSG15.html#group100A15", "100A¹⁵"), =HYPERLINK("CSG19.html#group100C19", "100C¹⁹"), =HYPERLINK("CSG19.html#group100B19", "100B¹⁹"), =HYPERLINK("CSG19.html#group100D19", "100D¹⁹"), =HYPERLINK("CSG19.html#group100A19", "100A¹⁹")</f>
        <v/>
      </c>
      <c r="M504">
        <f>HYPERLINK("CSG0.html#group2A0", "2A⁰"), =HYPERLINK("CSG1.html#group20C1", "20C¹"), =HYPERLINK("CSG0.html#group5B0", "5B⁰"), =HYPERLINK("CSG0.html#group5D0", "5D⁰"), =HYPERLINK("CSG1.html#group10A1", "10A¹"), =HYPERLINK("CSG1.html#group10D1", "10D¹"), =HYPERLINK("CSG0.html#group1A0", "1A⁰"), =HYPERLINK("CSG0.html#group10B0", "10B⁰")</f>
        <v/>
      </c>
      <c r="N504">
        <f>HYPERLINK("CSG9.html#group20E9", "20E⁹"), =HYPERLINK("CSG11.html#group60A11", "60A¹¹"), =HYPERLINK("CSG19.html#group100B19", "100B¹⁹"), =HYPERLINK("CSG15.html#group20A15", "20A¹⁵"), =HYPERLINK("CSG11.html#group60B11", "60B¹¹"), =HYPERLINK("CSG19.html#group100A19", "100A¹⁹"), =HYPERLINK("CSG7.html#group20J7", "20J⁷"), =HYPERLINK("CSG19.html#group100D19", "100D¹⁹"), =HYPERLINK("CSG13.html#group60I13", "60I¹³"), =HYPERLINK("CSG19.html#group100C19", "100C¹⁹"), =HYPERLINK("CSG21.html#group60D21", "60D²¹"), =HYPERLINK("CSG13.html#group20F13", "20F¹³"), =HYPERLINK("CSG15.html#group100A15", "100A¹⁵")</f>
        <v/>
      </c>
    </row>
    <row r="505">
      <c r="A505" t="inlineStr">
        <is>
          <t>20B³</t>
        </is>
      </c>
      <c r="B505" t="inlineStr"/>
      <c r="C505" t="inlineStr">
        <is>
          <t>48</t>
        </is>
      </c>
      <c r="D505" t="inlineStr">
        <is>
          <t>1</t>
        </is>
      </c>
      <c r="E505" t="inlineStr">
        <is>
          <t>24</t>
        </is>
      </c>
      <c r="F505" t="inlineStr">
        <is>
          <t>0</t>
        </is>
      </c>
      <c r="G505" t="inlineStr">
        <is>
          <t>0</t>
        </is>
      </c>
      <c r="H505" t="inlineStr">
        <is>
          <t>4², 20²</t>
        </is>
      </c>
      <c r="I505" t="n">
        <v>4</v>
      </c>
      <c r="J505" t="inlineStr">
        <is>
          <t>2⁴, 8²</t>
        </is>
      </c>
      <c r="K505">
        <f>HYPERLINK("CSG0.html#group5D0", "5D⁰"), =HYPERLINK("CSG1.html#group20B1", "20B¹")</f>
        <v/>
      </c>
      <c r="L505">
        <f>HYPERLINK("CSG5.html#group20D5", "20D⁵"), =HYPERLINK("CSG7.html#group20M7", "20M⁷"), =HYPERLINK("CSG7.html#group40C7", "40C⁷"), =HYPERLINK("CSG11.html#group60D11", "60D¹¹"), =HYPERLINK("CSG13.html#group40D13", "40D¹³"), =HYPERLINK("CSG13.html#group60K13", "60K¹³"), =HYPERLINK("CSG15.html#group20B15", "20B¹⁵"), =HYPERLINK("CSG15.html#group100B15", "100B¹⁵"), =HYPERLINK("CSG19.html#group100E19", "100E¹⁹"), =HYPERLINK("CSG19.html#group100F19", "100F¹⁹"), =HYPERLINK("CSG19.html#group100G19", "100G¹⁹"), =HYPERLINK("CSG19.html#group100H19", "100H¹⁹")</f>
        <v/>
      </c>
      <c r="M505">
        <f>HYPERLINK("CSG0.html#group5B0", "5B⁰"), =HYPERLINK("CSG0.html#group5D0", "5D⁰"), =HYPERLINK("CSG0.html#group1A0", "1A⁰"), =HYPERLINK("CSG0.html#group4A0", "4A⁰"), =HYPERLINK("CSG1.html#group20B1", "20B¹")</f>
        <v/>
      </c>
      <c r="N505">
        <f>HYPERLINK("CSG11.html#group60D11", "60D¹¹"), =HYPERLINK("CSG17.html#group40AB17", "40AB¹⁷"), =HYPERLINK("CSG7.html#group20M7", "20M⁷"), =HYPERLINK("CSG19.html#group100G19", "100G¹⁹"), =HYPERLINK("CSG7.html#group40C7", "40C⁷"), =HYPERLINK("CSG17.html#group40AA17", "40AA¹⁷"), =HYPERLINK("CSG21.html#group60N21", "60N²¹"), =HYPERLINK("CSG13.html#group60K13", "60K¹³"), =HYPERLINK("CSG23.html#group120J23", "120J²³"), =HYPERLINK("CSG13.html#group20E13", "20E¹³"), =HYPERLINK("CSG19.html#group100E19", "100E¹⁹"), =HYPERLINK("CSG19.html#group100F19", "100F¹⁹"), =HYPERLINK("CSG21.html#group60L21", "60L²¹"), =HYPERLINK("CSG15.html#group20B15", "20B¹⁵"), =HYPERLINK("CSG19.html#group40H19", "40H¹⁹"), =HYPERLINK("CSG21.html#group60H21", "60H²¹"), =HYPERLINK("CSG15.html#group100B15", "100B¹⁵"), =HYPERLINK("CSG9.html#group20E9", "20E⁹"), =HYPERLINK("CSG19.html#group100H19", "100H¹⁹"), =HYPERLINK("CSG15.html#group40AC15", "40AC¹⁵"), =HYPERLINK("CSG21.html#group60F21", "60F²¹"), =HYPERLINK("CSG23.html#group120I23", "120I²³"), =HYPERLINK("CSG13.html#group40C13", "40C¹³"), =HYPERLINK("CSG15.html#group80D15", "80D¹⁵"), =HYPERLINK("CSG5.html#group20D5", "20D⁵"), =HYPERLINK("CSG13.html#group40B13", "40B¹³"), =HYPERLINK("CSG13.html#group40D13", "40D¹³")</f>
        <v/>
      </c>
    </row>
    <row r="506">
      <c r="A506" t="inlineStr">
        <is>
          <t>20C³</t>
        </is>
      </c>
      <c r="B506" t="inlineStr"/>
      <c r="C506" t="inlineStr">
        <is>
          <t>48</t>
        </is>
      </c>
      <c r="D506" t="inlineStr">
        <is>
          <t>1</t>
        </is>
      </c>
      <c r="E506" t="inlineStr">
        <is>
          <t>24</t>
        </is>
      </c>
      <c r="F506" t="inlineStr">
        <is>
          <t>0</t>
        </is>
      </c>
      <c r="G506" t="inlineStr">
        <is>
          <t>0</t>
        </is>
      </c>
      <c r="H506" t="inlineStr">
        <is>
          <t>4², 20²</t>
        </is>
      </c>
      <c r="I506" t="n">
        <v>4</v>
      </c>
      <c r="J506" t="inlineStr">
        <is>
          <t>2⁴, 8²</t>
        </is>
      </c>
      <c r="K506">
        <f>HYPERLINK("CSG0.html#group4D0", "4D⁰"), =HYPERLINK("CSG1.html#group10A1", "10A¹"), =HYPERLINK("CSG1.html#group20B1", "20B¹")</f>
        <v/>
      </c>
      <c r="L506">
        <f>HYPERLINK("CSG5.html#group20D5", "20D⁵"), =HYPERLINK("CSG7.html#group20K7", "20K⁷"), =HYPERLINK("CSG7.html#group40A7", "40A⁷"), =HYPERLINK("CSG7.html#group40B7", "40B⁷"), =HYPERLINK("CSG11.html#group60E11", "60E¹¹"), =HYPERLINK("CSG11.html#group60F11", "60F¹¹"), =HYPERLINK("CSG13.html#group40E13", "40E¹³"), =HYPERLINK("CSG13.html#group60M13", "60M¹³"), =HYPERLINK("CSG15.html#group20F15", "20F¹⁵"), =HYPERLINK("CSG15.html#group100C15", "100C¹⁵"), =HYPERLINK("CSG19.html#group100L19", "100L¹⁹"), =HYPERLINK("CSG19.html#group100J19", "100J¹⁹"), =HYPERLINK("CSG19.html#group100I19", "100I¹⁹"), =HYPERLINK("CSG19.html#group100K19", "100K¹⁹")</f>
        <v/>
      </c>
      <c r="M506">
        <f>HYPERLINK("CSG0.html#group2A0", "2A⁰"), =HYPERLINK("CSG0.html#group4A0", "4A⁰"), =HYPERLINK("CSG0.html#group4D0", "4D⁰"), =HYPERLINK("CSG0.html#group5B0", "5B⁰"), =HYPERLINK("CSG1.html#group10A1", "10A¹"), =HYPERLINK("CSG0.html#group1A0", "1A⁰"), =HYPERLINK("CSG1.html#group20B1", "20B¹")</f>
        <v/>
      </c>
      <c r="N506">
        <f>HYPERLINK("CSG11.html#group60E11", "60E¹¹"), =HYPERLINK("CSG15.html#group20F15", "20F¹⁵"), =HYPERLINK("CSG15.html#group80C15", "80C¹⁵"), =HYPERLINK("CSG13.html#group20E13", "20E¹³"), =HYPERLINK("CSG17.html#group40X17", "40X¹⁷"), =HYPERLINK("CSG15.html#group40V15", "40V¹⁵"), =HYPERLINK("CSG19.html#group40A19", "40A¹⁹"), =HYPERLINK("CSG13.html#group60M13", "60M¹³"), =HYPERLINK("CSG23.html#group120C23", "120C²³"), =HYPERLINK("CSG21.html#group60H21", "60H²¹"), =HYPERLINK("CSG23.html#group120B23", "120B²³"), =HYPERLINK("CSG9.html#group20E9", "20E⁹"), =HYPERLINK("CSG19.html#group100I19", "100I¹⁹"), =HYPERLINK("CSG7.html#group20K7", "20K⁷"), =HYPERLINK("CSG19.html#group100L19", "100L¹⁹"), =HYPERLINK("CSG15.html#group80A15", "80A¹⁵"), =HYPERLINK("CSG23.html#group120F23", "120F²³"), =HYPERLINK("CSG21.html#group60F21", "60F²¹"), =HYPERLINK("CSG21.html#group60M21", "60M²¹"), =HYPERLINK("CSG19.html#group100K19", "100K¹⁹"), =HYPERLINK("CSG13.html#group40E13", "40E¹³"), =HYPERLINK("CSG23.html#group120D23", "120D²³"), =HYPERLINK("CSG13.html#group40B13", "40B¹³"), =HYPERLINK("CSG23.html#group120A23", "120A²³"), =HYPERLINK("CSG17.html#group40U17", "40U¹⁷"), =HYPERLINK("CSG11.html#group60F11", "60F¹¹"), =HYPERLINK("CSG15.html#group80B15", "80B¹⁵"), =HYPERLINK("CSG23.html#group120E23", "120E²³"), =HYPERLINK("CSG7.html#group40A7", "40A⁷"), =HYPERLINK("CSG15.html#group40U15", "40U¹⁵"), =HYPERLINK("CSG21.html#group60O21", "60O²¹"), =HYPERLINK("CSG15.html#group100C15", "100C¹⁵"), =HYPERLINK("CSG19.html#group100J19", "100J¹⁹"), =HYPERLINK("CSG7.html#group40B7", "40B⁷"), =HYPERLINK("CSG13.html#group40C13", "40C¹³"), =HYPERLINK("CSG5.html#group20D5", "20D⁵"), =HYPERLINK("CSG19.html#group40B19", "40B¹⁹")</f>
        <v/>
      </c>
    </row>
    <row r="507">
      <c r="A507" t="inlineStr">
        <is>
          <t>20D³</t>
        </is>
      </c>
      <c r="B507" t="inlineStr"/>
      <c r="C507" t="inlineStr">
        <is>
          <t>60</t>
        </is>
      </c>
      <c r="D507" t="inlineStr">
        <is>
          <t>1</t>
        </is>
      </c>
      <c r="E507" t="inlineStr">
        <is>
          <t>20</t>
        </is>
      </c>
      <c r="F507" t="inlineStr">
        <is>
          <t>6</t>
        </is>
      </c>
      <c r="G507" t="inlineStr">
        <is>
          <t>0</t>
        </is>
      </c>
      <c r="H507" t="inlineStr">
        <is>
          <t>20³</t>
        </is>
      </c>
      <c r="I507" t="n">
        <v>3</v>
      </c>
      <c r="J507" t="inlineStr">
        <is>
          <t>2², 8²</t>
        </is>
      </c>
      <c r="K507">
        <f>HYPERLINK("CSG0.html#group5E0", "5E⁰"), =HYPERLINK("CSG1.html#group20A1", "20A¹")</f>
        <v/>
      </c>
      <c r="L507">
        <f>HYPERLINK("CSG6.html#group20B6", "20B⁶"), =HYPERLINK("CSG7.html#group20F7", "20F⁷"), =HYPERLINK("CSG8.html#group20B8", "20B⁸"), =HYPERLINK("CSG8.html#group40G8", "40G⁸"), =HYPERLINK("CSG8.html#group40H8", "40H⁸"), =HYPERLINK("CSG10.html#group20B10", "20B¹⁰"), =HYPERLINK("CSG10.html#group60B10", "60B¹⁰"), =HYPERLINK("CSG15.html#group40K15", "40K¹⁵"), =HYPERLINK("CSG18.html#group60D18", "60D¹⁸"), =HYPERLINK("CSG19.html#group100M19", "100M¹⁹")</f>
        <v/>
      </c>
      <c r="M507">
        <f>HYPERLINK("CSG0.html#group5E0", "5E⁰"), =HYPERLINK("CSG0.html#group5A0", "5A⁰"), =HYPERLINK("CSG1.html#group20A1", "20A¹"), =HYPERLINK("CSG0.html#group1A0", "1A⁰"), =HYPERLINK("CSG0.html#group4A0", "4A⁰")</f>
        <v/>
      </c>
      <c r="N507">
        <f>HYPERLINK("CSG22.html#group40F22", "40F²²"), =HYPERLINK("CSG15.html#group20F15", "20F¹⁵"), =HYPERLINK("CSG23.html#group40G23", "40G²³"), =HYPERLINK("CSG24.html#group40A24", "40A²⁴"), =HYPERLINK("CSG21.html#group20C21", "20C²¹"), =HYPERLINK("CSG8.html#group40G8", "40G⁸"), =HYPERLINK("CSG16.html#group40D16", "40D¹⁶"), =HYPERLINK("CSG6.html#group20B6", "20B⁶"), =HYPERLINK("CSG22.html#group40M22", "40M²²"), =HYPERLINK("CSG22.html#group60B22", "60B²²"), =HYPERLINK("CSG15.html#group40K15", "40K¹⁵"), =HYPERLINK("CSG19.html#group100M19", "100M¹⁹"), =HYPERLINK("CSG17.html#group40R17", "40R¹⁷"), =HYPERLINK("CSG15.html#group20B15", "20B¹⁵"), =HYPERLINK("CSG7.html#group20F7", "20F⁷"), =HYPERLINK("CSG18.html#group60D18", "60D¹⁸"), =HYPERLINK("CSG23.html#group60J23", "60J²³"), =HYPERLINK("CSG8.html#group20B8", "20B⁸"), =HYPERLINK("CSG20.html#group20B20", "20B²⁰"), =HYPERLINK("CSG22.html#group40B22", "40B²²"), =HYPERLINK("CSG22.html#group20A22", "20A²²"), =HYPERLINK("CSG24.html#group60A24", "60A²⁴"), =HYPERLINK("CSG18.html#group80D18", "80D¹⁸"), =HYPERLINK("CSG13.html#group20B13", "20B¹³"), =HYPERLINK("CSG10.html#group60B10", "60B¹⁰"), =HYPERLINK("CSG18.html#group40D18", "40D¹⁸"), =HYPERLINK("CSG17.html#group40S17", "40S¹⁷"), =HYPERLINK("CSG18.html#group40B18", "40B¹⁸"), =HYPERLINK("CSG8.html#group40H8", "40H⁸"), =HYPERLINK("CSG18.html#group80F18", "80F¹⁸"), =HYPERLINK("CSG22.html#group60C22", "60C²²"), =HYPERLINK("CSG10.html#group20B10", "20B¹⁰"), =HYPERLINK("CSG16.html#group40E16", "40E¹⁶")</f>
        <v/>
      </c>
    </row>
    <row r="508">
      <c r="A508" t="inlineStr">
        <is>
          <t>20E³</t>
        </is>
      </c>
      <c r="B508" t="inlineStr"/>
      <c r="C508" t="inlineStr">
        <is>
          <t>60</t>
        </is>
      </c>
      <c r="D508" t="inlineStr">
        <is>
          <t>1</t>
        </is>
      </c>
      <c r="E508" t="inlineStr">
        <is>
          <t>30</t>
        </is>
      </c>
      <c r="F508" t="inlineStr">
        <is>
          <t>0</t>
        </is>
      </c>
      <c r="G508" t="inlineStr">
        <is>
          <t>0</t>
        </is>
      </c>
      <c r="H508" t="inlineStr">
        <is>
          <t>5⁴, 20²</t>
        </is>
      </c>
      <c r="I508" t="n">
        <v>6</v>
      </c>
      <c r="J508" t="inlineStr">
        <is>
          <t>2³, 4⁶</t>
        </is>
      </c>
      <c r="K508">
        <f>HYPERLINK("CSG0.html#group4B0", "4B⁰"), =HYPERLINK("CSG1.html#group10F1", "10F¹")</f>
        <v/>
      </c>
      <c r="L508">
        <f>HYPERLINK("CSG5.html#group20E5", "20E⁵"), =HYPERLINK("CSG7.html#group20A7", "20A⁷"), =HYPERLINK("CSG7.html#group20C7", "20C⁷"), =HYPERLINK("CSG7.html#group20P7", "20P⁷"), =HYPERLINK("CSG7.html#group40F7", "40F⁷"), =HYPERLINK("CSG7.html#group40G7", "40G⁷"), =HYPERLINK("CSG13.html#group60A13", "60A¹³"), =HYPERLINK("CSG15.html#group60V15", "60V¹⁵"), =HYPERLINK("CSG23.html#group100A23", "100A²³")</f>
        <v/>
      </c>
      <c r="M508">
        <f>HYPERLINK("CSG0.html#group2B0", "2B⁰"), =HYPERLINK("CSG0.html#group4B0", "4B⁰"), =HYPERLINK("CSG0.html#group1A0", "1A⁰"), =HYPERLINK("CSG0.html#group5C0", "5C⁰"), =HYPERLINK("CSG1.html#group10F1", "10F¹")</f>
        <v/>
      </c>
      <c r="N508">
        <f>HYPERLINK("CSG23.html#group100A23", "100A²³"), =HYPERLINK("CSG15.html#group20H15", "20H¹⁵"), =HYPERLINK("CSG7.html#group40G7", "40G⁷"), =HYPERLINK("CSG13.html#group60A13", "60A¹³"), =HYPERLINK("CSG15.html#group60V15", "60V¹⁵"), =HYPERLINK("CSG15.html#group80I15", "80I¹⁵"), =HYPERLINK("CSG15.html#group40E15", "40E¹⁵"), =HYPERLINK("CSG17.html#group40I17", "40I¹⁷"), =HYPERLINK("CSG17.html#group80E17", "80E¹⁷"), =HYPERLINK("CSG7.html#group40F7", "40F⁷"), =HYPERLINK("CSG13.html#group20A13", "20A¹³"), =HYPERLINK("CSG19.html#group20D19", "20D¹⁹"), =HYPERLINK("CSG17.html#group80S17", "80S¹⁷"), =HYPERLINK("CSG7.html#group20P7", "20P⁷"), =HYPERLINK("CSG15.html#group40N15", "40N¹⁵"), =HYPERLINK("CSG5.html#group20E5", "20E⁵"), =HYPERLINK("CSG15.html#group40M15", "40M¹⁵"), =HYPERLINK("CSG15.html#group80H15", "80H¹⁵"), =HYPERLINK("CSG15.html#group80J15", "80J¹⁵"), =HYPERLINK("CSG11.html#group20C11", "20C¹¹"), =HYPERLINK("CSG17.html#group40C17", "40C¹⁷"), =HYPERLINK("CSG15.html#group20D15", "20D¹⁵"), =HYPERLINK("CSG15.html#group80M15", "80M¹⁵"), =HYPERLINK("CSG15.html#group20E15", "20E¹⁵"), =HYPERLINK("CSG17.html#group80D17", "80D¹⁷"), =HYPERLINK("CSG15.html#group40L15", "40L¹⁵"), =HYPERLINK("CSG15.html#group40B15", "40B¹⁵"), =HYPERLINK("CSG11.html#group40J11", "40J¹¹"), =HYPERLINK("CSG15.html#group40C15", "40C¹⁵"), =HYPERLINK("CSG19.html#group40M19", "40M¹⁹"), =HYPERLINK("CSG19.html#group20B19", "20B¹⁹"), =HYPERLINK("CSG13.html#group20G13", "20G¹³"), =HYPERLINK("CSG15.html#group40O15", "40O¹⁵"), =HYPERLINK("CSG19.html#group40L19", "40L¹⁹"), =HYPERLINK("CSG15.html#group80G15", "80G¹⁵"), =HYPERLINK("CSG7.html#group20A7", "20A⁷"), =HYPERLINK("CSG13.html#group40G13", "40G¹³"), =HYPERLINK("CSG7.html#group20C7", "20C⁷"), =HYPERLINK("CSG15.html#group40A15", "40A¹⁵"), =HYPERLINK("CSG17.html#group40D17", "40D¹⁷")</f>
        <v/>
      </c>
    </row>
    <row r="509">
      <c r="A509" t="inlineStr">
        <is>
          <t>20F³</t>
        </is>
      </c>
      <c r="B509" t="inlineStr"/>
      <c r="C509" t="inlineStr">
        <is>
          <t>60</t>
        </is>
      </c>
      <c r="D509" t="inlineStr">
        <is>
          <t>1</t>
        </is>
      </c>
      <c r="E509" t="inlineStr">
        <is>
          <t>30</t>
        </is>
      </c>
      <c r="F509" t="inlineStr">
        <is>
          <t>4</t>
        </is>
      </c>
      <c r="G509" t="inlineStr">
        <is>
          <t>0</t>
        </is>
      </c>
      <c r="H509" t="inlineStr">
        <is>
          <t>10², 20²</t>
        </is>
      </c>
      <c r="I509" t="n">
        <v>4</v>
      </c>
      <c r="J509" t="inlineStr">
        <is>
          <t>2³, 4⁶</t>
        </is>
      </c>
      <c r="K509">
        <f>HYPERLINK("CSG0.html#group4C0", "4C⁰"), =HYPERLINK("CSG1.html#group10F1", "10F¹")</f>
        <v/>
      </c>
      <c r="L509">
        <f>HYPERLINK("CSG5.html#group20F5", "20F⁵"), =HYPERLINK("CSG7.html#group20C7", "20C⁷"), =HYPERLINK("CSG7.html#group20D7", "20D⁷"), =HYPERLINK("CSG7.html#group20G7", "20G⁷"), =HYPERLINK("CSG7.html#group20H7", "20H⁷"), =HYPERLINK("CSG7.html#group40D7", "40D⁷"), =HYPERLINK("CSG7.html#group40E7", "40E⁷"), =HYPERLINK("CSG7.html#group40H7", "40H⁷"), =HYPERLINK("CSG7.html#group40I7", "40I⁷"), =HYPERLINK("CSG9.html#group20B9", "20B⁹"), =HYPERLINK("CSG9.html#group40C9", "40C⁹"), =HYPERLINK("CSG9.html#group40D9", "40D⁹"), =HYPERLINK("CSG11.html#group60L11", "60L¹¹"), =HYPERLINK("CSG17.html#group60G17", "60G¹⁷"), =HYPERLINK("CSG23.html#group100B23", "100B²³")</f>
        <v/>
      </c>
      <c r="M509">
        <f>HYPERLINK("CSG0.html#group5C0", "5C⁰"), =HYPERLINK("CSG0.html#group2B0", "2B⁰"), =HYPERLINK("CSG0.html#group1A0", "1A⁰"), =HYPERLINK("CSG0.html#group4C0", "4C⁰"), =HYPERLINK("CSG1.html#group10F1", "10F¹")</f>
        <v/>
      </c>
      <c r="N509">
        <f>HYPERLINK("CSG17.html#group20B17", "20B¹⁷"), =HYPERLINK("CSG7.html#group20D7", "20D⁷"), =HYPERLINK("CSG19.html#group20A19", "20A¹⁹"), =HYPERLINK("CSG7.html#group40I7", "40I⁷"), =HYPERLINK("CSG17.html#group40J17", "40J¹⁷"), =HYPERLINK("CSG15.html#group80E15", "80E¹⁵"), =HYPERLINK("CSG15.html#group40H15", "40H¹⁵"), =HYPERLINK("CSG17.html#group80H17", "80H¹⁷"), =HYPERLINK("CSG17.html#group40D17", "40D¹⁷"), =HYPERLINK("CSG15.html#group40P15", "40P¹⁵"), =HYPERLINK("CSG15.html#group40I15", "40I¹⁵"), =HYPERLINK("CSG5.html#group20F5", "20F⁵"), =HYPERLINK("CSG7.html#group20G7", "20G⁷"), =HYPERLINK("CSG17.html#group40P17", "40P¹⁷"), =HYPERLINK("CSG11.html#group20D11", "20D¹¹"), =HYPERLINK("CSG17.html#group40M17", "40M¹⁷"), =HYPERLINK("CSG19.html#group80I19", "80I¹⁹"), =HYPERLINK("CSG17.html#group80R17", "80R¹⁷"), =HYPERLINK("CSG21.html#group20B21", "20B²¹"), =HYPERLINK("CSG17.html#group80T17", "80T¹⁷"), =HYPERLINK("CSG17.html#group40C17", "40C¹⁷"), =HYPERLINK("CSG15.html#group20D15", "20D¹⁵"), =HYPERLINK("CSG9.html#group20B9", "20B⁹"), =HYPERLINK("CSG9.html#group40D9", "40D⁹"), =HYPERLINK("CSG17.html#group80O17", "80O¹⁷"), =HYPERLINK("CSG15.html#group20G15", "20G¹⁵"), =HYPERLINK("CSG13.html#group40H13", "40H¹³"), =HYPERLINK("CSG15.html#group40R15", "40R¹⁵"), =HYPERLINK("CSG15.html#group40Q15", "40Q¹⁵"), =HYPERLINK("CSG13.html#group20D13", "20D¹³"), =HYPERLINK("CSG17.html#group80P17", "80P¹⁷"), =HYPERLINK("CSG15.html#group80K15", "80K¹⁵"), =HYPERLINK("CSG7.html#group20C7", "20C⁷"), =HYPERLINK("CSG17.html#group80N17", "80N¹⁷"), =HYPERLINK("CSG23.html#group40D23", "40D²³"), =HYPERLINK("CSG17.html#group40E17", "40E¹⁷"), =HYPERLINK("CSG21.html#group20C21", "20C²¹"), =HYPERLINK("CSG23.html#group100B23", "100B²³"), =HYPERLINK("CSG15.html#group80F15", "80F¹⁵"), =HYPERLINK("CSG17.html#group40F17", "40F¹⁷"), =HYPERLINK("CSG21.html#group40I21", "40I²¹"), =HYPERLINK("CSG17.html#group40Q17", "40Q¹⁷"), =HYPERLINK("CSG23.html#group120M23", "120M²³"), =HYPERLINK("CSG15.html#group40G15", "40G¹⁵"), =HYPERLINK("CSG13.html#group20A13", "20A¹³"), =HYPERLINK("CSG17.html#group40L17", "40L¹⁷"), =HYPERLINK("CSG19.html#group20D19", "20D¹⁹"), =HYPERLINK("CSG7.html#group20H7", "20H⁷"), =HYPERLINK("CSG17.html#group80M17", "80M¹⁷"), =HYPERLINK("CSG23.html#group60I23", "60I²³"), =HYPERLINK("CSG7.html#group40H7", "40H⁷"), =HYPERLINK("CSG17.html#group80Q17", "80Q¹⁷"), =HYPERLINK("CSG9.html#group40C9", "40C⁹"), =HYPERLINK("CSG13.html#group40I13", "40I¹³"), =HYPERLINK("CSG7.html#group40D7", "40D⁷"), =HYPERLINK("CSG23.html#group120N23", "120N²³"), =HYPERLINK("CSG15.html#group40N15", "40N¹⁵"), =HYPERLINK("CSG19.html#group80J19", "80J¹⁹"), =HYPERLINK("CSG13.html#group20C13", "20C¹³"), =HYPERLINK("CSG17.html#group60G17", "60G¹⁷"), =HYPERLINK("CSG15.html#group40F15", "40F¹⁵"), =HYPERLINK("CSG15.html#group20E15", "20E¹⁵"), =HYPERLINK("CSG17.html#group40B17", "40B¹⁷"), =HYPERLINK("CSG21.html#group40H21", "40H²¹"), =HYPERLINK("CSG15.html#group40B15", "40B¹⁵"), =HYPERLINK("CSG15.html#group40C15", "40C¹⁵"), =HYPERLINK("CSG15.html#group80L15", "80L¹⁵"), =HYPERLINK("CSG17.html#group80I17", "80I¹⁷"), =HYPERLINK("CSG7.html#group40E7", "40E⁷"), =HYPERLINK("CSG15.html#group40O15", "40O¹⁵"), =HYPERLINK("CSG15.html#group40S15", "40S¹⁵"), =HYPERLINK("CSG15.html#group40D15", "40D¹⁵"), =HYPERLINK("CSG19.html#group80D19", "80D¹⁹"), =HYPERLINK("CSG11.html#group60L11", "60L¹¹"), =HYPERLINK("CSG23.html#group60G23", "60G²³"), =HYPERLINK("CSG17.html#group40K17", "40K¹⁷"), =HYPERLINK("CSG23.html#group40C23", "40C²³"), =HYPERLINK("CSG15.html#group40J15", "40J¹⁵"), =HYPERLINK("CSG13.html#group40F13", "40F¹³"), =HYPERLINK("CSG19.html#group80E19", "80E¹⁹"), =HYPERLINK("CSG21.html#group60U21", "60U²¹")</f>
        <v/>
      </c>
    </row>
    <row r="510">
      <c r="A510" t="inlineStr">
        <is>
          <t>20G³</t>
        </is>
      </c>
      <c r="B510" t="inlineStr"/>
      <c r="C510" t="inlineStr">
        <is>
          <t>72</t>
        </is>
      </c>
      <c r="D510" t="inlineStr">
        <is>
          <t>1</t>
        </is>
      </c>
      <c r="E510" t="inlineStr">
        <is>
          <t>18</t>
        </is>
      </c>
      <c r="F510" t="inlineStr">
        <is>
          <t>0</t>
        </is>
      </c>
      <c r="G510" t="inlineStr">
        <is>
          <t>0</t>
        </is>
      </c>
      <c r="H510" t="inlineStr">
        <is>
          <t>2², 4², 10², 20²</t>
        </is>
      </c>
      <c r="I510" t="n">
        <v>8</v>
      </c>
      <c r="J510" t="inlineStr">
        <is>
          <t>1⁶, 4³</t>
        </is>
      </c>
      <c r="K510">
        <f>HYPERLINK("CSG0.html#group10F0", "10F⁰"), =HYPERLINK("CSG1.html#group20E1", "20E¹"), =HYPERLINK("CSG2.html#group20C2", "20C²")</f>
        <v/>
      </c>
      <c r="L510">
        <f>HYPERLINK("CSG5.html#group20I5", "20I⁵"), =HYPERLINK("CSG7.html#group20M7", "20M⁷"), =HYPERLINK("CSG7.html#group40N7", "40N⁷"), =HYPERLINK("CSG9.html#group40H9", "40H⁹"), =HYPERLINK("CSG9.html#group40G9", "40G⁹"), =HYPERLINK("CSG15.html#group60A15", "60A¹⁵"), =HYPERLINK("CSG17.html#group60Q17", "60Q¹⁷"), =HYPERLINK("CSG19.html#group20A19", "20A¹⁹"), =HYPERLINK("CSG19.html#group100N19", "100N¹⁹")</f>
        <v/>
      </c>
      <c r="M510">
        <f>HYPERLINK("CSG1.html#group20E1", "20E¹"), =HYPERLINK("CSG0.html#group4C0", "4C⁰"), =HYPERLINK("CSG0.html#group5B0", "5B⁰"), =HYPERLINK("CSG0.html#group10C0", "10C⁰"), =HYPERLINK("CSG0.html#group5D0", "5D⁰"), =HYPERLINK("CSG0.html#group10F0", "10F⁰"), =HYPERLINK("CSG0.html#group2B0", "2B⁰"), =HYPERLINK("CSG0.html#group1A0", "1A⁰"), =HYPERLINK("CSG2.html#group20C2", "20C²")</f>
        <v/>
      </c>
      <c r="N510">
        <f>HYPERLINK("CSG21.html#group80N21", "80N²¹"), =HYPERLINK("CSG19.html#group20A19", "20A¹⁹"), =HYPERLINK("CSG17.html#group40AB17", "40AB¹⁷"), =HYPERLINK("CSG7.html#group20M7", "20M⁷"), =HYPERLINK("CSG21.html#group80B21", "80B²¹"), =HYPERLINK("CSG13.html#group40R13", "40R¹³"), =HYPERLINK("CSG21.html#group80J21", "80J²¹"), =HYPERLINK("CSG21.html#group80F21", "80F²¹"), =HYPERLINK("CSG5.html#group20I5", "20I⁵"), =HYPERLINK("CSG17.html#group40AA17", "40AA¹⁷"), =HYPERLINK("CSG9.html#group40H9", "40H⁹"), =HYPERLINK("CSG13.html#group20E13", "20E¹³"), =HYPERLINK("CSG17.html#group40AF17", "40AF¹⁷"), =HYPERLINK("CSG13.html#group40K13", "40K¹³"), =HYPERLINK("CSG21.html#group80AA21", "80AA²¹"), =HYPERLINK("CSG21.html#group80Z21", "80Z²¹"), =HYPERLINK("CSG17.html#group40Y17", "40Y¹⁷"), =HYPERLINK("CSG19.html#group40H19", "40H¹⁹"), =HYPERLINK("CSG13.html#group20F13", "20F¹³"), =HYPERLINK("CSG21.html#group80H21", "80H²¹"), =HYPERLINK("CSG7.html#group40N7", "40N⁷"), =HYPERLINK("CSG13.html#group40J13", "40J¹³"), =HYPERLINK("CSG17.html#group40T17", "40T¹⁷"), =HYPERLINK("CSG15.html#group60A15", "60A¹⁵"), =HYPERLINK("CSG21.html#group80A21", "80A²¹"), =HYPERLINK("CSG15.html#group40AC15", "40AC¹⁵"), =HYPERLINK("CSG17.html#group60Q17", "60Q¹⁷"), =HYPERLINK("CSG17.html#group40AG17", "40AG¹⁷"), =HYPERLINK("CSG15.html#group80U15", "80U¹⁵"), =HYPERLINK("CSG9.html#group20F9", "20F⁹"), =HYPERLINK("CSG13.html#group40Q13", "40Q¹³"), =HYPERLINK("CSG19.html#group100N19", "100N¹⁹"), =HYPERLINK("CSG19.html#group80O19", "80O¹⁹"), =HYPERLINK("CSG9.html#group40G9", "40G⁹")</f>
        <v/>
      </c>
    </row>
    <row r="511">
      <c r="A511" t="inlineStr">
        <is>
          <t>20H³</t>
        </is>
      </c>
      <c r="B511" t="inlineStr"/>
      <c r="C511" t="inlineStr">
        <is>
          <t>72</t>
        </is>
      </c>
      <c r="D511" t="inlineStr">
        <is>
          <t>1</t>
        </is>
      </c>
      <c r="E511" t="inlineStr">
        <is>
          <t>18</t>
        </is>
      </c>
      <c r="F511" t="inlineStr">
        <is>
          <t>0</t>
        </is>
      </c>
      <c r="G511" t="inlineStr">
        <is>
          <t>0</t>
        </is>
      </c>
      <c r="H511" t="inlineStr">
        <is>
          <t>2², 4², 10², 20²</t>
        </is>
      </c>
      <c r="I511" t="n">
        <v>8</v>
      </c>
      <c r="J511" t="inlineStr">
        <is>
          <t>1⁶, 4³</t>
        </is>
      </c>
      <c r="K511">
        <f>HYPERLINK("CSG0.html#group10G0", "10G⁰"), =HYPERLINK("CSG1.html#group20D1", "20D¹"), =HYPERLINK("CSG2.html#group20C2", "20C²")</f>
        <v/>
      </c>
      <c r="L511">
        <f>HYPERLINK("CSG5.html#group20I5", "20I⁵"), =HYPERLINK("CSG7.html#group20N7", "20N⁷"), =HYPERLINK("CSG7.html#group40O7", "40O⁷"), =HYPERLINK("CSG9.html#group40L9", "40L⁹"), =HYPERLINK("CSG15.html#group60B15", "60B¹⁵"), =HYPERLINK("CSG17.html#group60R17", "60R¹⁷"), =HYPERLINK("CSG19.html#group20B19", "20B¹⁹"), =HYPERLINK("CSG19.html#group100O19", "100O¹⁹")</f>
        <v/>
      </c>
      <c r="M511">
        <f>HYPERLINK("CSG0.html#group10G0", "10G⁰"), =HYPERLINK("CSG0.html#group5B0", "5B⁰"), =HYPERLINK("CSG0.html#group10C0", "10C⁰"), =HYPERLINK("CSG1.html#group20D1", "20D¹"), =HYPERLINK("CSG0.html#group2B0", "2B⁰"), =HYPERLINK("CSG0.html#group4B0", "4B⁰"), =HYPERLINK("CSG0.html#group1A0", "1A⁰"), =HYPERLINK("CSG2.html#group20C2", "20C²"), =HYPERLINK("CSG0.html#group10B0", "10B⁰")</f>
        <v/>
      </c>
      <c r="N511">
        <f>HYPERLINK("CSG19.html#group100O19", "100O¹⁹"), =HYPERLINK("CSG13.html#group40R13", "40R¹³"), =HYPERLINK("CSG5.html#group20I5", "20I⁵"), =HYPERLINK("CSG7.html#group40O7", "40O⁷"), =HYPERLINK("CSG13.html#group20E13", "20E¹³"), =HYPERLINK("CSG17.html#group40AS17", "40AS¹⁷"), =HYPERLINK("CSG13.html#group40K13", "40K¹³"), =HYPERLINK("CSG15.html#group40AA15", "40AA¹⁵"), =HYPERLINK("CSG17.html#group40Y17", "40Y¹⁷"), =HYPERLINK("CSG9.html#group40L9", "40L⁹"), =HYPERLINK("CSG13.html#group20F13", "20F¹³"), =HYPERLINK("CSG17.html#group80Y17", "80Y¹⁷"), =HYPERLINK("CSG13.html#group40J13", "40J¹³"), =HYPERLINK("CSG17.html#group80X17", "80X¹⁷"), =HYPERLINK("CSG19.html#group20B19", "20B¹⁹"), =HYPERLINK("CSG17.html#group40T17", "40T¹⁷"), =HYPERLINK("CSG15.html#group60B15", "60B¹⁵"), =HYPERLINK("CSG17.html#group80BE17", "80BE¹⁷"), =HYPERLINK("CSG15.html#group40Z15", "40Z¹⁵"), =HYPERLINK("CSG7.html#group20N7", "20N⁷"), =HYPERLINK("CSG19.html#group80T19", "80T¹⁹"), =HYPERLINK("CSG17.html#group60R17", "60R¹⁷"), =HYPERLINK("CSG9.html#group20F9", "20F⁹"), =HYPERLINK("CSG15.html#group80V15", "80V¹⁵"), =HYPERLINK("CSG13.html#group40Q13", "40Q¹³")</f>
        <v/>
      </c>
    </row>
    <row r="512">
      <c r="A512" t="inlineStr">
        <is>
          <t>20I³</t>
        </is>
      </c>
      <c r="B512" t="inlineStr"/>
      <c r="C512" t="inlineStr">
        <is>
          <t>72</t>
        </is>
      </c>
      <c r="D512" t="inlineStr">
        <is>
          <t>1</t>
        </is>
      </c>
      <c r="E512" t="inlineStr">
        <is>
          <t>18</t>
        </is>
      </c>
      <c r="F512" t="inlineStr">
        <is>
          <t>0</t>
        </is>
      </c>
      <c r="G512" t="inlineStr">
        <is>
          <t>0</t>
        </is>
      </c>
      <c r="H512" t="inlineStr">
        <is>
          <t>2², 4², 10², 20²</t>
        </is>
      </c>
      <c r="I512" t="n">
        <v>8</v>
      </c>
      <c r="J512" t="inlineStr">
        <is>
          <t>1⁶, 4³</t>
        </is>
      </c>
      <c r="K512">
        <f>HYPERLINK("CSG0.html#group20A0", "20A⁰"), =HYPERLINK("CSG1.html#group10G1", "10G¹"), =HYPERLINK("CSG2.html#group20C2", "20C²")</f>
        <v/>
      </c>
      <c r="L512">
        <f>HYPERLINK("CSG5.html#group20I5", "20I⁵"), =HYPERLINK("CSG7.html#group20L7", "20L⁷"), =HYPERLINK("CSG7.html#group40AC7", "40AC⁷"), =HYPERLINK("CSG9.html#group40K9", "40K⁹"), =HYPERLINK("CSG15.html#group60C15", "60C¹⁵"), =HYPERLINK("CSG17.html#group60S17", "60S¹⁷"), =HYPERLINK("CSG19.html#group20C19", "20C¹⁹"), =HYPERLINK("CSG19.html#group100P19", "100P¹⁹")</f>
        <v/>
      </c>
      <c r="M512">
        <f>HYPERLINK("CSG0.html#group2A0", "2A⁰"), =HYPERLINK("CSG0.html#group20A0", "20A⁰"), =HYPERLINK("CSG0.html#group5B0", "5B⁰"), =HYPERLINK("CSG0.html#group10C0", "10C⁰"), =HYPERLINK("CSG1.html#group10A1", "10A¹"), =HYPERLINK("CSG0.html#group2B0", "2B⁰"), =HYPERLINK("CSG0.html#group1A0", "1A⁰"), =HYPERLINK("CSG0.html#group2C0", "2C⁰"), =HYPERLINK("CSG2.html#group20C2", "20C²"), =HYPERLINK("CSG1.html#group10G1", "10G¹")</f>
        <v/>
      </c>
      <c r="N512">
        <f>HYPERLINK("CSG7.html#group20L7", "20L⁷"), =HYPERLINK("CSG15.html#group40Y15", "40Y¹⁵"), =HYPERLINK("CSG13.html#group40R13", "40R¹³"), =HYPERLINK("CSG9.html#group40K9", "40K⁹"), =HYPERLINK("CSG5.html#group20I5", "20I⁵"), =HYPERLINK("CSG19.html#group20C19", "20C¹⁹"), =HYPERLINK("CSG15.html#group40AD15", "40AD¹⁵"), =HYPERLINK("CSG13.html#group20E13", "20E¹³"), =HYPERLINK("CSG7.html#group40AC7", "40AC⁷"), =HYPERLINK("CSG17.html#group40V17", "40V¹⁷"), =HYPERLINK("CSG15.html#group60C15", "60C¹⁵"), =HYPERLINK("CSG19.html#group100P19", "100P¹⁹"), =HYPERLINK("CSG13.html#group40K13", "40K¹³"), =HYPERLINK("CSG17.html#group40Y17", "40Y¹⁷"), =HYPERLINK("CSG13.html#group40Q13", "40Q¹³"), =HYPERLINK("CSG13.html#group20F13", "20F¹³"), =HYPERLINK("CSG13.html#group40J13", "40J¹³"), =HYPERLINK("CSG17.html#group40T17", "40T¹⁷"), =HYPERLINK("CSG19.html#group40C19", "40C¹⁹"), =HYPERLINK("CSG9.html#group20F9", "20F⁹"), =HYPERLINK("CSG17.html#group40AR17", "40AR¹⁷"), =HYPERLINK("CSG17.html#group60S17", "60S¹⁷"), =HYPERLINK("CSG17.html#group40W17", "40W¹⁷")</f>
        <v/>
      </c>
    </row>
    <row r="513">
      <c r="A513" t="inlineStr">
        <is>
          <t>20J³</t>
        </is>
      </c>
      <c r="B513" t="inlineStr"/>
      <c r="C513" t="inlineStr">
        <is>
          <t>72</t>
        </is>
      </c>
      <c r="D513" t="inlineStr">
        <is>
          <t>1</t>
        </is>
      </c>
      <c r="E513" t="inlineStr">
        <is>
          <t>18</t>
        </is>
      </c>
      <c r="F513" t="inlineStr">
        <is>
          <t>0</t>
        </is>
      </c>
      <c r="G513" t="inlineStr">
        <is>
          <t>0</t>
        </is>
      </c>
      <c r="H513" t="inlineStr">
        <is>
          <t>2², 4², 10², 20²</t>
        </is>
      </c>
      <c r="I513" t="n">
        <v>8</v>
      </c>
      <c r="J513" t="inlineStr">
        <is>
          <t>1⁶, 4³</t>
        </is>
      </c>
      <c r="K513">
        <f>HYPERLINK("CSG0.html#group4E0", "4E⁰"), =HYPERLINK("CSG1.html#group10G1", "10G¹"), =HYPERLINK("CSG1.html#group20D1", "20D¹"), =HYPERLINK("CSG1.html#group20E1", "20E¹")</f>
        <v/>
      </c>
      <c r="L513">
        <f>HYPERLINK("CSG5.html#group20I5", "20I⁵"), =HYPERLINK("CSG7.html#group20K7", "20K⁷"), =HYPERLINK("CSG7.html#group20L7", "20L⁷"), =HYPERLINK("CSG7.html#group40L7", "40L⁷"), =HYPERLINK("CSG7.html#group40M7", "40M⁷"), =HYPERLINK("CSG7.html#group40W7", "40W⁷"), =HYPERLINK("CSG7.html#group40X7", "40X⁷"), =HYPERLINK("CSG9.html#group40I9", "40I⁹"), =HYPERLINK("CSG9.html#group40J9", "40J⁹"), =HYPERLINK("CSG15.html#group60D15", "60D¹⁵"), =HYPERLINK("CSG17.html#group60T17", "60T¹⁷"), =HYPERLINK("CSG19.html#group20D19", "20D¹⁹"), =HYPERLINK("CSG19.html#group100Q19", "100Q¹⁹")</f>
        <v/>
      </c>
      <c r="M513">
        <f>HYPERLINK("CSG1.html#group20E1", "20E¹"), =HYPERLINK("CSG0.html#group2A0", "2A⁰"), =HYPERLINK("CSG0.html#group4C0", "4C⁰"), =HYPERLINK("CSG0.html#group5B0", "5B⁰"), =HYPERLINK("CSG0.html#group10C0", "10C⁰"), =HYPERLINK("CSG1.html#group10A1", "10A¹"), =HYPERLINK("CSG1.html#group20D1", "20D¹"), =HYPERLINK("CSG0.html#group4E0", "4E⁰"), =HYPERLINK("CSG0.html#group2B0", "2B⁰"), =HYPERLINK("CSG0.html#group4B0", "4B⁰"), =HYPERLINK("CSG0.html#group1A0", "1A⁰"), =HYPERLINK("CSG0.html#group2C0", "2C⁰"), =HYPERLINK("CSG1.html#group10G1", "10G¹")</f>
        <v/>
      </c>
      <c r="N513">
        <f>HYPERLINK("CSG17.html#group60T17", "60T¹⁷"), =HYPERLINK("CSG7.html#group20L7", "20L⁷"), =HYPERLINK("CSG7.html#group40L7", "40L⁷"), =HYPERLINK("CSG15.html#group40Y15", "40Y¹⁵"), =HYPERLINK("CSG13.html#group40R13", "40R¹³"), =HYPERLINK("CSG5.html#group20I5", "20I⁵"), =HYPERLINK("CSG13.html#group20E13", "20E¹³"), =HYPERLINK("CSG13.html#group40K13", "40K¹³"), =HYPERLINK("CSG7.html#group40X7", "40X⁷"), =HYPERLINK("CSG17.html#group40X17", "40X¹⁷"), =HYPERLINK("CSG15.html#group40V15", "40V¹⁵"), =HYPERLINK("CSG9.html#group40I9", "40I⁹"), =HYPERLINK("CSG17.html#group40Y17", "40Y¹⁷"), =HYPERLINK("CSG17.html#group40AE17", "40AE¹⁷"), =HYPERLINK("CSG19.html#group40A19", "40A¹⁹"), =HYPERLINK("CSG13.html#group20F13", "20F¹³"), =HYPERLINK("CSG17.html#group40T17", "40T¹⁷"), =HYPERLINK("CSG21.html#group80AD21", "80AD²¹"), =HYPERLINK("CSG7.html#group20K7", "20K⁷"), =HYPERLINK("CSG19.html#group20D19", "20D¹⁹"), =HYPERLINK("CSG19.html#group40C19", "40C¹⁹"), =HYPERLINK("CSG15.html#group40X15", "40X¹⁵"), =HYPERLINK("CSG17.html#group80W17", "80W¹⁷"), =HYPERLINK("CSG17.html#group80BD17", "80BD¹⁷"), =HYPERLINK("CSG21.html#group80I21", "80I²¹"), =HYPERLINK("CSG21.html#group80C21", "80C²¹"), =HYPERLINK("CSG21.html#group80AC21", "80AC²¹"), =HYPERLINK("CSG15.html#group80O15", "80O¹⁵"), =HYPERLINK("CSG17.html#group40AR17", "40AR¹⁷"), =HYPERLINK("CSG19.html#group80M19", "80M¹⁹"), =HYPERLINK("CSG13.html#group40Q13", "40Q¹³"), =HYPERLINK("CSG21.html#group80Q21", "80Q²¹"), =HYPERLINK("CSG17.html#group40W17", "40W¹⁷"), =HYPERLINK("CSG21.html#group80G21", "80G²¹"), =HYPERLINK("CSG17.html#group40AH17", "40AH¹⁷"), =HYPERLINK("CSG21.html#group80P21", "80P²¹"), =HYPERLINK("CSG21.html#group80R21", "80R²¹"), =HYPERLINK("CSG7.html#group40W7", "40W⁷"), =HYPERLINK("CSG15.html#group40AD15", "40AD¹⁵"), =HYPERLINK("CSG17.html#group40V17", "40V¹⁷"), =HYPERLINK("CSG15.html#group40AB15", "40AB¹⁵"), =HYPERLINK("CSG17.html#group40U17", "40U¹⁷"), =HYPERLINK("CSG9.html#group40J9", "40J⁹"), =HYPERLINK("CSG15.html#group40W15", "40W¹⁵"), =HYPERLINK("CSG15.html#group80P15", "80P¹⁵"), =HYPERLINK("CSG15.html#group40U15", "40U¹⁵"), =HYPERLINK("CSG13.html#group40J13", "40J¹³"), =HYPERLINK("CSG19.html#group80N19", "80N¹⁹"), =HYPERLINK("CSG17.html#group40AD17", "40AD¹⁷"), =HYPERLINK("CSG19.html#group80L19", "80L¹⁹"), =HYPERLINK("CSG7.html#group40M7", "40M⁷"), =HYPERLINK("CSG15.html#group60D15", "60D¹⁵"), =HYPERLINK("CSG21.html#group80D21", "80D²¹"), =HYPERLINK("CSG9.html#group20F9", "20F⁹"), =HYPERLINK("CSG19.html#group100Q19", "100Q¹⁹"), =HYPERLINK("CSG17.html#group80Z17", "80Z¹⁷"), =HYPERLINK("CSG19.html#group40B19", "40B¹⁹"), =HYPERLINK("CSG15.html#group80N15", "80N¹⁵")</f>
        <v/>
      </c>
    </row>
    <row r="514">
      <c r="A514" t="inlineStr">
        <is>
          <t>20K³</t>
        </is>
      </c>
      <c r="B514" t="inlineStr"/>
      <c r="C514" t="inlineStr">
        <is>
          <t>72</t>
        </is>
      </c>
      <c r="D514" t="inlineStr">
        <is>
          <t>1</t>
        </is>
      </c>
      <c r="E514" t="inlineStr">
        <is>
          <t>36</t>
        </is>
      </c>
      <c r="F514" t="inlineStr">
        <is>
          <t>4</t>
        </is>
      </c>
      <c r="G514" t="inlineStr">
        <is>
          <t>0</t>
        </is>
      </c>
      <c r="H514" t="inlineStr">
        <is>
          <t>4³, 20³</t>
        </is>
      </c>
      <c r="I514" t="n">
        <v>6</v>
      </c>
      <c r="J514" t="inlineStr">
        <is>
          <t>1⁴, 2⁴, 4², 8²</t>
        </is>
      </c>
      <c r="K514">
        <f>HYPERLINK("CSG1.html#group20E1", "20E¹")</f>
        <v/>
      </c>
      <c r="L514">
        <f>HYPERLINK("CSG5.html#group20J5", "20J⁵"), =HYPERLINK("CSG7.html#group20L7", "20L⁷"), =HYPERLINK("CSG7.html#group20M7", "20M⁷"), =HYPERLINK("CSG7.html#group40Q7", "40Q⁷"), =HYPERLINK("CSG7.html#group40P7", "40P⁷"), =HYPERLINK("CSG9.html#group40N9", "40N⁹"), =HYPERLINK("CSG9.html#group40M9", "40M⁹"), =HYPERLINK("CSG13.html#group60O13", "60O¹³"), =HYPERLINK("CSG19.html#group60M19", "60M¹⁹"), =HYPERLINK("CSG21.html#group20B21", "20B²¹"), =HYPERLINK("CSG21.html#group100A21", "100A²¹")</f>
        <v/>
      </c>
      <c r="M514">
        <f>HYPERLINK("CSG0.html#group5B0", "5B⁰"), =HYPERLINK("CSG1.html#group20E1", "20E¹"), =HYPERLINK("CSG0.html#group10C0", "10C⁰"), =HYPERLINK("CSG0.html#group2B0", "2B⁰"), =HYPERLINK("CSG0.html#group1A0", "1A⁰"), =HYPERLINK("CSG0.html#group4C0", "4C⁰")</f>
        <v/>
      </c>
      <c r="N514">
        <f>HYPERLINK("CSG13.html#group40M13", "40M¹³"), =HYPERLINK("CSG7.html#group20L7", "20L⁷"), =HYPERLINK("CSG15.html#group40Y15", "40Y¹⁵"), =HYPERLINK("CSG17.html#group40AB17", "40AB¹⁷"), =HYPERLINK("CSG7.html#group40Q7", "40Q⁷"), =HYPERLINK("CSG9.html#group40N9", "40N⁹"), =HYPERLINK("CSG17.html#group40AI17", "40AI¹⁷"), =HYPERLINK("CSG5.html#group20J5", "20J⁵"), =HYPERLINK("CSG19.html#group60M19", "60M¹⁹"), =HYPERLINK("CSG13.html#group20E13", "20E¹³"), =HYPERLINK("CSG19.html#group80AA19", "80AA¹⁹"), =HYPERLINK("CSG11.html#group20E11", "20E¹¹"), =HYPERLINK("CSG19.html#group80X19", "80X¹⁹"), =HYPERLINK("CSG17.html#group80AO17", "80AO¹⁷"), =HYPERLINK("CSG7.html#group40P7", "40P⁷"), =HYPERLINK("CSG17.html#group80AB17", "80AB¹⁷"), =HYPERLINK("CSG19.html#group80W19", "80W¹⁹"), =HYPERLINK("CSG19.html#group40C19", "40C¹⁹"), =HYPERLINK("CSG21.html#group100A21", "100A²¹"), =HYPERLINK("CSG15.html#group40AC15", "40AC¹⁵"), =HYPERLINK("CSG13.html#group60O13", "60O¹³"), =HYPERLINK("CSG17.html#group40AR17", "40AR¹⁷"), =HYPERLINK("CSG13.html#group40S13", "40S¹³"), =HYPERLINK("CSG21.html#group80L21", "80L²¹"), =HYPERLINK("CSG13.html#group40T13", "40T¹³"), =HYPERLINK("CSG17.html#group40W17", "40W¹⁷"), =HYPERLINK("CSG15.html#group40AG15", "40AG¹⁵"), =HYPERLINK("CSG17.html#group40AT17", "40AT¹⁷"), =HYPERLINK("CSG21.html#group20B21", "20B²¹"), =HYPERLINK("CSG7.html#group20M7", "20M⁷"), =HYPERLINK("CSG17.html#group40AA17", "40AA¹⁷"), =HYPERLINK("CSG15.html#group40AD15", "40AD¹⁵"), =HYPERLINK("CSG17.html#group40Z17", "40Z¹⁷"), =HYPERLINK("CSG17.html#group40V17", "40V¹⁷"), =HYPERLINK("CSG21.html#group80K21", "80K²¹"), =HYPERLINK("CSG21.html#group80AE21", "80AE²¹"), =HYPERLINK("CSG19.html#group80R19", "80R¹⁹"), =HYPERLINK("CSG9.html#group40M9", "40M⁹"), =HYPERLINK("CSG19.html#group40H19", "40H¹⁹"), =HYPERLINK("CSG15.html#group40AI15", "40AI¹⁵"), =HYPERLINK("CSG17.html#group80AC17", "80AC¹⁷"), =HYPERLINK("CSG19.html#group80P19", "80P¹⁹"), =HYPERLINK("CSG17.html#group80AP17", "80AP¹⁷"), =HYPERLINK("CSG17.html#group40AN17", "40AN¹⁷")</f>
        <v/>
      </c>
    </row>
    <row r="515">
      <c r="A515" t="inlineStr">
        <is>
          <t>20L³</t>
        </is>
      </c>
      <c r="B515" t="inlineStr"/>
      <c r="C515" t="inlineStr">
        <is>
          <t>72</t>
        </is>
      </c>
      <c r="D515" t="inlineStr">
        <is>
          <t>1</t>
        </is>
      </c>
      <c r="E515" t="inlineStr">
        <is>
          <t>36</t>
        </is>
      </c>
      <c r="F515" t="inlineStr">
        <is>
          <t>4</t>
        </is>
      </c>
      <c r="G515" t="inlineStr">
        <is>
          <t>0</t>
        </is>
      </c>
      <c r="H515" t="inlineStr">
        <is>
          <t>4³, 20³</t>
        </is>
      </c>
      <c r="I515" t="n">
        <v>6</v>
      </c>
      <c r="J515" t="inlineStr">
        <is>
          <t>1⁴, 2⁴, 4², 8²</t>
        </is>
      </c>
      <c r="K515">
        <f>HYPERLINK("CSG0.html#group4F0", "4F⁰"), =HYPERLINK("CSG1.html#group20B1", "20B¹"), =HYPERLINK("CSG1.html#group20E1", "20E¹")</f>
        <v/>
      </c>
      <c r="L515">
        <f>HYPERLINK("CSG5.html#group20J5", "20J⁵"), =HYPERLINK("CSG7.html#group20K7", "20K⁷"), =HYPERLINK("CSG7.html#group20M7", "20M⁷"), =HYPERLINK("CSG7.html#group40R7", "40R⁷"), =HYPERLINK("CSG7.html#group40S7", "40S⁷"), =HYPERLINK("CSG7.html#group40Y7", "40Y⁷"), =HYPERLINK("CSG7.html#group40Z7", "40Z⁷"), =HYPERLINK("CSG9.html#group40O9", "40O⁹"), =HYPERLINK("CSG9.html#group40P9", "40P⁹"), =HYPERLINK("CSG9.html#group40Q9", "40Q⁹"), =HYPERLINK("CSG9.html#group40R9", "40R⁹"), =HYPERLINK("CSG13.html#group60P13", "60P¹³"), =HYPERLINK("CSG19.html#group60N19", "60N¹⁹"), =HYPERLINK("CSG21.html#group20C21", "20C²¹"), =HYPERLINK("CSG21.html#group100B21", "100B²¹")</f>
        <v/>
      </c>
      <c r="M515">
        <f>HYPERLINK("CSG1.html#group20E1", "20E¹"), =HYPERLINK("CSG0.html#group4A0", "4A⁰"), =HYPERLINK("CSG0.html#group4C0", "4C⁰"), =HYPERLINK("CSG0.html#group5B0", "5B⁰"), =HYPERLINK("CSG0.html#group10C0", "10C⁰"), =HYPERLINK("CSG0.html#group2B0", "2B⁰"), =HYPERLINK("CSG0.html#group4F0", "4F⁰"), =HYPERLINK("CSG0.html#group1A0", "1A⁰"), =HYPERLINK("CSG1.html#group20B1", "20B¹")</f>
        <v/>
      </c>
      <c r="N515">
        <f>HYPERLINK("CSG13.html#group40M13", "40M¹³"), =HYPERLINK("CSG17.html#group40AO17", "40AO¹⁷"), =HYPERLINK("CSG17.html#group40AB17", "40AB¹⁷"), =HYPERLINK("CSG19.html#group40F19", "40F¹⁹"), =HYPERLINK("CSG17.html#group40AK17", "40AK¹⁷"), =HYPERLINK("CSG17.html#group40AP17", "40AP¹⁷"), =HYPERLINK("CSG21.html#group20C21", "20C²¹"), =HYPERLINK("CSG17.html#group80BF17", "80BF¹⁷"), =HYPERLINK("CSG5.html#group20J5", "20J⁵"), =HYPERLINK("CSG19.html#group40D19", "40D¹⁹"), =HYPERLINK("CSG21.html#group80M21", "80M²¹"), =HYPERLINK("CSG21.html#group80O21", "80O²¹"), =HYPERLINK("CSG13.html#group20E13", "20E¹³"), =HYPERLINK("CSG17.html#group80AR17", "80AR¹⁷"), =HYPERLINK("CSG19.html#group80S19", "80S¹⁹"), =HYPERLINK("CSG17.html#group40X17", "40X¹⁷"), =HYPERLINK("CSG11.html#group20E11", "20E¹¹"), =HYPERLINK("CSG15.html#group40V15", "40V¹⁵"), =HYPERLINK("CSG17.html#group40AL17", "40AL¹⁷"), =HYPERLINK("CSG21.html#group80AF21", "80AF²¹"), =HYPERLINK("CSG17.html#group80AZ17", "80AZ¹⁷"), =HYPERLINK("CSG17.html#group80AL17", "80AL¹⁷"), =HYPERLINK("CSG19.html#group40A19", "40A¹⁹"), =HYPERLINK("CSG17.html#group40AJ17", "40AJ¹⁷"), =HYPERLINK("CSG17.html#group40AM17", "40AM¹⁷"), =HYPERLINK("CSG7.html#group40S7", "40S⁷"), =HYPERLINK("CSG9.html#group40P9", "40P⁹"), =HYPERLINK("CSG21.html#group100B21", "100B²¹"), =HYPERLINK("CSG7.html#group20K7", "20K⁷"), =HYPERLINK("CSG17.html#group80BA17", "80BA¹⁷"), =HYPERLINK("CSG15.html#group40AC15", "40AC¹⁵"), =HYPERLINK("CSG19.html#group80V19", "80V¹⁹"), =HYPERLINK("CSG7.html#group40Z7", "40Z⁷"), =HYPERLINK("CSG15.html#group40AF15", "40AF¹⁵"), =HYPERLINK("CSG13.html#group40S13", "40S¹³"), =HYPERLINK("CSG13.html#group40T13", "40T¹³"), =HYPERLINK("CSG15.html#group40AG15", "40AG¹⁵"), =HYPERLINK("CSG19.html#group40E19", "40E¹⁹"), =HYPERLINK("CSG17.html#group80AE17", "80AE¹⁷"), =HYPERLINK("CSG7.html#group20M7", "20M⁷"), =HYPERLINK("CSG15.html#group40AE15", "40AE¹⁵"), =HYPERLINK("CSG9.html#group40O9", "40O⁹"), =HYPERLINK("CSG17.html#group40AA17", "40AA¹⁷"), =HYPERLINK("CSG19.html#group80U19", "80U¹⁹"), =HYPERLINK("CSG17.html#group80AK17", "80AK¹⁷"), =HYPERLINK("CSG17.html#group40Z17", "40Z¹⁷"), =HYPERLINK("CSG19.html#group40G19", "40G¹⁹"), =HYPERLINK("CSG21.html#group80AG21", "80AG²¹"), =HYPERLINK("CSG17.html#group80AD17", "80AD¹⁷"), =HYPERLINK("CSG17.html#group40U17", "40U¹⁷"), =HYPERLINK("CSG19.html#group80Z19", "80Z¹⁹"), =HYPERLINK("CSG19.html#group80Y19", "80Y¹⁹"), =HYPERLINK("CSG19.html#group80Q19", "80Q¹⁹"), =HYPERLINK("CSG13.html#group60P13", "60P¹³"), =HYPERLINK("CSG17.html#group80BB17", "80BB¹⁷"), =HYPERLINK("CSG19.html#group40H19", "40H¹⁹"), =HYPERLINK("CSG17.html#group80AY17", "80AY¹⁷"), =HYPERLINK("CSG15.html#group40U15", "40U¹⁵"), =HYPERLINK("CSG17.html#group80AQ17", "80AQ¹⁷"), =HYPERLINK("CSG9.html#group40Q9", "40Q⁹"), =HYPERLINK("CSG19.html#group60N19", "60N¹⁹"), =HYPERLINK("CSG17.html#group40AN17", "40AN¹⁷"), =HYPERLINK("CSG7.html#group40R7", "40R⁷"), =HYPERLINK("CSG7.html#group40Y7", "40Y⁷"), =HYPERLINK("CSG21.html#group80T21", "80T²¹"), =HYPERLINK("CSG9.html#group40R9", "40R⁹"), =HYPERLINK("CSG21.html#group80S21", "80S²¹"), =HYPERLINK("CSG19.html#group40B19", "40B¹⁹"), =HYPERLINK("CSG17.html#group40AI17", "40AI¹⁷")</f>
        <v/>
      </c>
    </row>
    <row r="516">
      <c r="A516" t="inlineStr">
        <is>
          <t>20M³</t>
        </is>
      </c>
      <c r="B516" t="inlineStr"/>
      <c r="C516" t="inlineStr">
        <is>
          <t>72</t>
        </is>
      </c>
      <c r="D516" t="inlineStr">
        <is>
          <t>2</t>
        </is>
      </c>
      <c r="E516" t="inlineStr">
        <is>
          <t>18</t>
        </is>
      </c>
      <c r="F516" t="inlineStr">
        <is>
          <t>4</t>
        </is>
      </c>
      <c r="G516" t="inlineStr">
        <is>
          <t>0</t>
        </is>
      </c>
      <c r="H516" t="inlineStr">
        <is>
          <t>4³, 20³</t>
        </is>
      </c>
      <c r="I516" t="n">
        <v>6</v>
      </c>
      <c r="J516" t="inlineStr">
        <is>
          <t>2⁶, 8³</t>
        </is>
      </c>
      <c r="K516">
        <f>HYPERLINK("CSG0.html#group10G0", "10G⁰"), =HYPERLINK("CSG1.html#group20C1", "20C¹")</f>
        <v/>
      </c>
      <c r="L516">
        <f>HYPERLINK("CSG5.html#group20K5", "20K⁵"), =HYPERLINK("CSG7.html#group20J7", "20J⁷"), =HYPERLINK("CSG7.html#group20N7", "20N⁷"), =HYPERLINK("CSG13.html#group60AB13", "60AB¹³"), =HYPERLINK("CSG19.html#group60O19", "60O¹⁹"), =HYPERLINK("CSG21.html#group20A21", "20A²¹"), =HYPERLINK("CSG21.html#group100C21", "100C²¹")</f>
        <v/>
      </c>
      <c r="M516">
        <f>HYPERLINK("CSG1.html#group20C1", "20C¹"), =HYPERLINK("CSG0.html#group10G0", "10G⁰"), =HYPERLINK("CSG0.html#group5B0", "5B⁰"), =HYPERLINK("CSG0.html#group10C0", "10C⁰"), =HYPERLINK("CSG0.html#group2B0", "2B⁰"), =HYPERLINK("CSG0.html#group1A0", "1A⁰"), =HYPERLINK("CSG0.html#group10B0", "10B⁰")</f>
        <v/>
      </c>
      <c r="N516">
        <f>HYPERLINK("CSG19.html#group60O19", "60O¹⁹"), =HYPERLINK("CSG13.html#group60AB13", "60AB¹³"), =HYPERLINK("CSG17.html#group40AQ17", "40AQ¹⁷"), =HYPERLINK("CSG5.html#group20K5", "20K⁵"), =HYPERLINK("CSG7.html#group20N7", "20N⁷"), =HYPERLINK("CSG13.html#group40W13", "40W¹³"), =HYPERLINK("CSG17.html#group40AS17", "40AS¹⁷"), =HYPERLINK("CSG7.html#group20J7", "20J⁷"), =HYPERLINK("CSG21.html#group100C21", "100C²¹"), =HYPERLINK("CSG11.html#group20E11", "20E¹¹"), =HYPERLINK("CSG21.html#group20A21", "20A²¹"), =HYPERLINK("CSG15.html#group40AH15", "40AH¹⁵"), =HYPERLINK("CSG13.html#group20F13", "20F¹³")</f>
        <v/>
      </c>
    </row>
    <row r="517">
      <c r="A517" t="inlineStr">
        <is>
          <t>20N³</t>
        </is>
      </c>
      <c r="B517" t="inlineStr"/>
      <c r="C517" t="inlineStr">
        <is>
          <t>80</t>
        </is>
      </c>
      <c r="D517" t="inlineStr">
        <is>
          <t>1</t>
        </is>
      </c>
      <c r="E517" t="inlineStr">
        <is>
          <t>10</t>
        </is>
      </c>
      <c r="F517" t="inlineStr">
        <is>
          <t>0</t>
        </is>
      </c>
      <c r="G517" t="inlineStr">
        <is>
          <t>8</t>
        </is>
      </c>
      <c r="H517" t="inlineStr">
        <is>
          <t>20⁴</t>
        </is>
      </c>
      <c r="I517" t="n">
        <v>4</v>
      </c>
      <c r="J517" t="inlineStr">
        <is>
          <t>2¹, 4²</t>
        </is>
      </c>
      <c r="K517">
        <f>HYPERLINK("CSG1.html#group10H1", "10H¹"), =HYPERLINK("CSG1.html#group20F1", "20F¹")</f>
        <v/>
      </c>
      <c r="L517">
        <f>HYPERLINK("CSG11.html#group20A11", "20A¹¹"), =HYPERLINK("CSG15.html#group20A15", "20A¹⁵"), =HYPERLINK("CSG15.html#group20C15", "20C¹⁵"), =HYPERLINK("CSG15.html#group60P15", "60P¹⁵"), =HYPERLINK("CSG15.html#group60Q15", "60Q¹⁵"), =HYPERLINK("CSG17.html#group20A17", "20A¹⁷"), =HYPERLINK("CSG17.html#group60A17", "60A¹⁷"), =HYPERLINK("CSG19.html#group60B19", "60B¹⁹"), =HYPERLINK("CSG19.html#group100R19", "100R¹⁹"), =HYPERLINK("CSG21.html#group60R21", "60R²¹")</f>
        <v/>
      </c>
      <c r="M517">
        <f>HYPERLINK("CSG1.html#group10H1", "10H¹"), =HYPERLINK("CSG0.html#group2A0", "2A⁰"), =HYPERLINK("CSG0.html#group5A0", "5A⁰"), =HYPERLINK("CSG0.html#group10A0", "10A⁰"), =HYPERLINK("CSG0.html#group10D0", "10D⁰"), =HYPERLINK("CSG0.html#group5F0", "5F⁰"), =HYPERLINK("CSG1.html#group10C1", "10C¹"), =HYPERLINK("CSG0.html#group1A0", "1A⁰"), =HYPERLINK("CSG0.html#group5C0", "5C⁰"), =HYPERLINK("CSG1.html#group20F1", "20F¹")</f>
        <v/>
      </c>
      <c r="N517">
        <f>HYPERLINK("CSG17.html#group20A17", "20A¹⁷"), =HYPERLINK("CSG17.html#group60A17", "60A¹⁷"), =HYPERLINK("CSG15.html#group60Q15", "60Q¹⁵"), =HYPERLINK("CSG15.html#group20A15", "20A¹⁵"), =HYPERLINK("CSG21.html#group60R21", "60R²¹"), =HYPERLINK("CSG15.html#group60P15", "60P¹⁵"), =HYPERLINK("CSG11.html#group20A11", "20A¹¹"), =HYPERLINK("CSG19.html#group100R19", "100R¹⁹"), =HYPERLINK("CSG19.html#group60B19", "60B¹⁹"), =HYPERLINK("CSG15.html#group20C15", "20C¹⁵")</f>
        <v/>
      </c>
    </row>
    <row r="518">
      <c r="A518" t="inlineStr">
        <is>
          <t>20O³</t>
        </is>
      </c>
      <c r="B518" t="inlineStr"/>
      <c r="C518" t="inlineStr">
        <is>
          <t>80</t>
        </is>
      </c>
      <c r="D518" t="inlineStr">
        <is>
          <t>1</t>
        </is>
      </c>
      <c r="E518" t="inlineStr">
        <is>
          <t>40</t>
        </is>
      </c>
      <c r="F518" t="inlineStr">
        <is>
          <t>8</t>
        </is>
      </c>
      <c r="G518" t="inlineStr">
        <is>
          <t>2</t>
        </is>
      </c>
      <c r="H518" t="inlineStr">
        <is>
          <t>20⁴</t>
        </is>
      </c>
      <c r="I518" t="n">
        <v>4</v>
      </c>
      <c r="J518" t="inlineStr">
        <is>
          <t>4², 8⁴</t>
        </is>
      </c>
      <c r="K518">
        <f>HYPERLINK("CSG0.html#group10D0", "10D⁰"), =HYPERLINK("CSG2.html#group20E2", "20E²")</f>
        <v/>
      </c>
      <c r="L518">
        <f>HYPERLINK("CSG7.html#group20O7", "20O⁷"), =HYPERLINK("CSG9.html#group20A9", "20A⁹"), =HYPERLINK("CSG9.html#group40S9", "40S⁹"), =HYPERLINK("CSG9.html#group40T9", "40T⁹"), =HYPERLINK("CSG9.html#group40U9", "40U⁹"), =HYPERLINK("CSG12.html#group20A12", "20A¹²"), =HYPERLINK("CSG13.html#group20B13", "20B¹³"), =HYPERLINK("CSG13.html#group20C13", "20C¹³"), =HYPERLINK("CSG13.html#group60AH13", "60AH¹³"), =HYPERLINK("CSG19.html#group40I19", "40I¹⁹"), =HYPERLINK("CSG23.html#group60A23", "60A²³")</f>
        <v/>
      </c>
      <c r="M518">
        <f>HYPERLINK("CSG0.html#group1A0", "1A⁰"), =HYPERLINK("CSG0.html#group4A0", "4A⁰"), =HYPERLINK("CSG0.html#group5C0", "5C⁰"), =HYPERLINK("CSG2.html#group20E2", "20E²"), =HYPERLINK("CSG0.html#group10D0", "10D⁰")</f>
        <v/>
      </c>
      <c r="N518">
        <f>HYPERLINK("CSG21.html#group40B21", "40B²¹"), =HYPERLINK("CSG17.html#group20A17", "20A¹⁷"), =HYPERLINK("CSG9.html#group40S9", "40S⁹"), =HYPERLINK("CSG13.html#group20C13", "20C¹³"), =HYPERLINK("CSG13.html#group60AH13", "60AH¹³"), =HYPERLINK("CSG21.html#group80AI21", "80AI²¹"), =HYPERLINK("CSG23.html#group60A23", "60A²³"), =HYPERLINK("CSG12.html#group20A12", "20A¹²"), =HYPERLINK("CSG9.html#group40U9", "40U⁹"), =HYPERLINK("CSG21.html#group40A21", "40A²¹"), =HYPERLINK("CSG19.html#group40I19", "40I¹⁹"), =HYPERLINK("CSG13.html#group20B13", "20B¹³"), =HYPERLINK("CSG19.html#group40K19", "40K¹⁹"), =HYPERLINK("CSG19.html#group40J19", "40J¹⁹"), =HYPERLINK("CSG9.html#group20A9", "20A⁹"), =HYPERLINK("CSG21.html#group80AH21", "80AH²¹"), =HYPERLINK("CSG7.html#group20O7", "20O⁷"), =HYPERLINK("CSG9.html#group40T9", "40T⁹")</f>
        <v/>
      </c>
    </row>
    <row r="519">
      <c r="A519" t="inlineStr">
        <is>
          <t>20P³</t>
        </is>
      </c>
      <c r="B519" t="inlineStr"/>
      <c r="C519" t="inlineStr">
        <is>
          <t>90</t>
        </is>
      </c>
      <c r="D519" t="inlineStr">
        <is>
          <t>1</t>
        </is>
      </c>
      <c r="E519" t="inlineStr">
        <is>
          <t>45</t>
        </is>
      </c>
      <c r="F519" t="inlineStr">
        <is>
          <t>4</t>
        </is>
      </c>
      <c r="G519" t="inlineStr">
        <is>
          <t>0</t>
        </is>
      </c>
      <c r="H519" t="inlineStr">
        <is>
          <t>5⁶, 20³</t>
        </is>
      </c>
      <c r="I519" t="n">
        <v>9</v>
      </c>
      <c r="J519" t="inlineStr">
        <is>
          <t>1³, 2³, 4⁹</t>
        </is>
      </c>
      <c r="K519">
        <f>HYPERLINK("CSG1.html#group10I1", "10I¹")</f>
        <v/>
      </c>
      <c r="L519">
        <f>HYPERLINK("CSG6.html#group20D6", "20D⁶"), =HYPERLINK("CSG7.html#group20P7", "20P⁷"), =HYPERLINK("CSG8.html#group20C8", "20C⁸"), =HYPERLINK("CSG9.html#group20C9", "20C⁹"), =HYPERLINK("CSG9.html#group20D9", "20D⁹"), =HYPERLINK("CSG10.html#group20D10", "20D¹⁰"), =HYPERLINK("CSG16.html#group60F16", "60F¹⁶"), =HYPERLINK("CSG22.html#group60D22", "60D²²")</f>
        <v/>
      </c>
      <c r="M519">
        <f>HYPERLINK("CSG0.html#group5E0", "5E⁰"), =HYPERLINK("CSG0.html#group5A0", "5A⁰"), =HYPERLINK("CSG0.html#group2B0", "2B⁰"), =HYPERLINK("CSG1.html#group10I1", "10I¹"), =HYPERLINK("CSG0.html#group1A0", "1A⁰"), =HYPERLINK("CSG1.html#group10B1", "10B¹")</f>
        <v/>
      </c>
      <c r="N519">
        <f>HYPERLINK("CSG9.html#group20D9", "20D⁹"), =HYPERLINK("CSG17.html#group20B17", "20B¹⁷"), =HYPERLINK("CSG22.html#group60D22", "60D²²"), =HYPERLINK("CSG22.html#group20B22", "20B²²"), =HYPERLINK("CSG20.html#group40A20", "40A²⁰"), =HYPERLINK("CSG24.html#group40E24", "40E²⁴"), =HYPERLINK("CSG19.html#group20C19", "20C¹⁹"), =HYPERLINK("CSG22.html#group20C22", "20C²²"), =HYPERLINK("CSG16.html#group60F16", "60F¹⁶"), =HYPERLINK("CSG24.html#group40F24", "40F²⁴"), =HYPERLINK("CSG20.html#group20A20", "20A²⁰"), =HYPERLINK("CSG15.html#group40AJ15", "40AJ¹⁵"), =HYPERLINK("CSG20.html#group20B20", "20B²⁰"), =HYPERLINK("CSG23.html#group40E23", "40E²³"), =HYPERLINK("CSG8.html#group20C8", "20C⁸"), =HYPERLINK("CSG9.html#group20C9", "20C⁹"), =HYPERLINK("CSG23.html#group40F23", "40F²³"), =HYPERLINK("CSG21.html#group40F21", "40F²¹"), =HYPERLINK("CSG19.html#group40M19", "40M¹⁹"), =HYPERLINK("CSG6.html#group20D6", "20D⁶"), =HYPERLINK("CSG19.html#group20B19", "20B¹⁹"), =HYPERLINK("CSG13.html#group20G13", "20G¹³"), =HYPERLINK("CSG19.html#group20D19", "20D¹⁹"), =HYPERLINK("CSG19.html#group40L19", "40L¹⁹"), =HYPERLINK("CSG10.html#group20D10", "20D¹⁰"), =HYPERLINK("CSG21.html#group40G21", "40G²¹"), =HYPERLINK("CSG20.html#group40B20", "40B²⁰"), =HYPERLINK("CSG7.html#group20P7", "20P⁷")</f>
        <v/>
      </c>
    </row>
    <row r="520">
      <c r="A520" t="inlineStr">
        <is>
          <t>20Q³</t>
        </is>
      </c>
      <c r="B520" t="inlineStr"/>
      <c r="C520" t="inlineStr">
        <is>
          <t>96</t>
        </is>
      </c>
      <c r="D520" t="inlineStr">
        <is>
          <t>2</t>
        </is>
      </c>
      <c r="E520" t="inlineStr">
        <is>
          <t>24</t>
        </is>
      </c>
      <c r="F520" t="inlineStr">
        <is>
          <t>8</t>
        </is>
      </c>
      <c r="G520" t="inlineStr">
        <is>
          <t>0</t>
        </is>
      </c>
      <c r="H520" t="inlineStr">
        <is>
          <t>4⁴, 20⁴</t>
        </is>
      </c>
      <c r="I520" t="n">
        <v>8</v>
      </c>
      <c r="J520" t="inlineStr">
        <is>
          <t>2⁸, 8⁴</t>
        </is>
      </c>
      <c r="K520">
        <f>HYPERLINK("CSG1.html#group20C1", "20C¹"), =HYPERLINK("CSG1.html#group20G1", "20G¹")</f>
        <v/>
      </c>
      <c r="L520">
        <f>HYPERLINK("CSG9.html#group20E9", "20E⁹"), =HYPERLINK("CSG11.html#group20E11", "20E¹¹"), =HYPERLINK("CSG11.html#group40F11", "40F¹¹"), =HYPERLINK("CSG11.html#group40G11", "40G¹¹"), =HYPERLINK("CSG15.html#group60AE15", "60AE¹⁵"), =HYPERLINK("CSG21.html#group40L21", "40L²¹")</f>
        <v/>
      </c>
      <c r="M520">
        <f>HYPERLINK("CSG1.html#group20C1", "20C¹"), =HYPERLINK("CSG0.html#group4A0", "4A⁰"), =HYPERLINK("CSG1.html#group20G1", "20G¹"), =HYPERLINK("CSG0.html#group5B0", "5B⁰"), =HYPERLINK("CSG0.html#group1A0", "1A⁰"), =HYPERLINK("CSG1.html#group20B1", "20B¹"), =HYPERLINK("CSG0.html#group10B0", "10B⁰")</f>
        <v/>
      </c>
      <c r="N520">
        <f>HYPERLINK("CSG11.html#group20E11", "20E¹¹"), =HYPERLINK("CSG9.html#group20E9", "20E⁹"), =HYPERLINK("CSG11.html#group40G11", "40G¹¹"), =HYPERLINK("CSG15.html#group60AE15", "60AE¹⁵"), =HYPERLINK("CSG11.html#group40F11", "40F¹¹"), =HYPERLINK("CSG21.html#group40L21", "40L²¹")</f>
        <v/>
      </c>
    </row>
    <row r="521">
      <c r="A521" t="inlineStr">
        <is>
          <t>20R³</t>
        </is>
      </c>
      <c r="B521" t="inlineStr"/>
      <c r="C521" t="inlineStr">
        <is>
          <t>144</t>
        </is>
      </c>
      <c r="D521" t="inlineStr">
        <is>
          <t>1</t>
        </is>
      </c>
      <c r="E521" t="inlineStr">
        <is>
          <t>18</t>
        </is>
      </c>
      <c r="F521" t="inlineStr">
        <is>
          <t>0</t>
        </is>
      </c>
      <c r="G521" t="inlineStr">
        <is>
          <t>0</t>
        </is>
      </c>
      <c r="H521" t="inlineStr">
        <is>
          <t>2⁸, 4², 10⁸, 20²</t>
        </is>
      </c>
      <c r="I521" t="n">
        <v>20</v>
      </c>
      <c r="J521" t="inlineStr">
        <is>
          <t>1⁶, 4³</t>
        </is>
      </c>
      <c r="K521">
        <f>HYPERLINK("CSG1.html#group10K1", "10K¹"), =HYPERLINK("CSG1.html#group20J1", "20J¹")</f>
        <v/>
      </c>
      <c r="L521">
        <f>HYPERLINK("CSG9.html#group20F9", "20F⁹"), =HYPERLINK("CSG13.html#group20F13", "20F¹³")</f>
        <v/>
      </c>
      <c r="M521">
        <f>HYPERLINK("CSG0.html#group2A0", "2A⁰"), =HYPERLINK("CSG0.html#group10G0", "10G⁰"), =HYPERLINK("CSG0.html#group5B0", "5B⁰"), =HYPERLINK("CSG1.html#group10A1", "10A¹"), =HYPERLINK("CSG0.html#group5D0", "5D⁰"), =HYPERLINK("CSG0.html#group2B0", "2B⁰"), =HYPERLINK("CSG1.html#group10D1", "10D¹"), =HYPERLINK("CSG0.html#group1A0", "1A⁰"), =HYPERLINK("CSG1.html#group20J1", "20J¹"), =HYPERLINK("CSG0.html#group10F0", "10F⁰"), =HYPERLINK("CSG0.html#group10B0", "10B⁰"), =HYPERLINK("CSG0.html#group10C0", "10C⁰"), =HYPERLINK("CSG1.html#group10K1", "10K¹"), =HYPERLINK("CSG0.html#group2C0", "2C⁰"), =HYPERLINK("CSG1.html#group10G1", "10G¹")</f>
        <v/>
      </c>
      <c r="N521">
        <f>HYPERLINK("CSG9.html#group20F9", "20F⁹"), =HYPERLINK("CSG13.html#group20F13", "20F¹³")</f>
        <v/>
      </c>
    </row>
    <row r="522">
      <c r="A522" t="inlineStr">
        <is>
          <t>20S³</t>
        </is>
      </c>
      <c r="B522" t="inlineStr">
        <is>
          <t>Γ₁(20)</t>
        </is>
      </c>
      <c r="C522" t="inlineStr">
        <is>
          <t>144</t>
        </is>
      </c>
      <c r="D522" t="inlineStr">
        <is>
          <t>1</t>
        </is>
      </c>
      <c r="E522" t="inlineStr">
        <is>
          <t>36</t>
        </is>
      </c>
      <c r="F522" t="inlineStr">
        <is>
          <t>0</t>
        </is>
      </c>
      <c r="G522" t="inlineStr">
        <is>
          <t>0</t>
        </is>
      </c>
      <c r="H522" t="inlineStr">
        <is>
          <t>1⁴, 2², 4⁴, 5⁴, 10², 20⁴</t>
        </is>
      </c>
      <c r="I522" t="n">
        <v>20</v>
      </c>
      <c r="J522" t="inlineStr">
        <is>
          <t>1⁸, 2², 4⁴, 8¹</t>
        </is>
      </c>
      <c r="K522">
        <f>HYPERLINK("CSG1.html#group20H1", "20H¹")</f>
        <v/>
      </c>
      <c r="L522">
        <f>HYPERLINK("CSG9.html#group20F9", "20F⁹"), =HYPERLINK("CSG9.html#group40W9", "40W⁹"), =HYPERLINK("CSG13.html#group40L13", "40L¹³")</f>
        <v/>
      </c>
      <c r="M522">
        <f>HYPERLINK("CSG0.html#group20A0", "20A⁰"), =HYPERLINK("CSG0.html#group5B0", "5B⁰"), =HYPERLINK("CSG0.html#group10C0", "10C⁰"), =HYPERLINK("CSG0.html#group5D0", "5D⁰"), =HYPERLINK("CSG1.html#group20D1", "20D¹"), =HYPERLINK("CSG0.html#group2B0", "2B⁰"), =HYPERLINK("CSG1.html#group20H1", "20H¹"), =HYPERLINK("CSG0.html#group4B0", "4B⁰"), =HYPERLINK("CSG0.html#group1A0", "1A⁰"), =HYPERLINK("CSG0.html#group10F0", "10F⁰")</f>
        <v/>
      </c>
      <c r="N522">
        <f>HYPERLINK("CSG9.html#group40W9", "40W⁹"), =HYPERLINK("CSG9.html#group20F9", "20F⁹"), =HYPERLINK("CSG13.html#group40L13", "40L¹³")</f>
        <v/>
      </c>
    </row>
    <row r="523">
      <c r="A523" t="inlineStr">
        <is>
          <t>20T³</t>
        </is>
      </c>
      <c r="B523" t="inlineStr"/>
      <c r="C523" t="inlineStr">
        <is>
          <t>144</t>
        </is>
      </c>
      <c r="D523" t="inlineStr">
        <is>
          <t>1</t>
        </is>
      </c>
      <c r="E523" t="inlineStr">
        <is>
          <t>36</t>
        </is>
      </c>
      <c r="F523" t="inlineStr">
        <is>
          <t>8</t>
        </is>
      </c>
      <c r="G523" t="inlineStr">
        <is>
          <t>0</t>
        </is>
      </c>
      <c r="H523" t="inlineStr">
        <is>
          <t>2⁴, 4⁴, 10⁴, 20⁴</t>
        </is>
      </c>
      <c r="I523" t="n">
        <v>16</v>
      </c>
      <c r="J523" t="inlineStr">
        <is>
          <t>1⁸, 2², 4⁴, 8¹</t>
        </is>
      </c>
      <c r="K523">
        <f>HYPERLINK("CSG1.html#group20I1", "20I¹")</f>
        <v/>
      </c>
      <c r="L523">
        <f>HYPERLINK("CSG9.html#group20F9", "20F⁹"), =HYPERLINK("CSG11.html#group20E11", "20E¹¹"), =HYPERLINK("CSG11.html#group40K11", "40K¹¹"), =HYPERLINK("CSG13.html#group40N13", "40N¹³"), =HYPERLINK("CSG17.html#group40AC17", "40AC¹⁷"), =HYPERLINK("CSG23.html#group60N23", "60N²³")</f>
        <v/>
      </c>
      <c r="M523">
        <f>HYPERLINK("CSG1.html#group20E1", "20E¹"), =HYPERLINK("CSG0.html#group20A0", "20A⁰"), =HYPERLINK("CSG0.html#group10G0", "10G⁰"), =HYPERLINK("CSG1.html#group20I1", "20I¹"), =HYPERLINK("CSG0.html#group4C0", "4C⁰"), =HYPERLINK("CSG0.html#group5B0", "5B⁰"), =HYPERLINK("CSG0.html#group10C0", "10C⁰"), =HYPERLINK("CSG0.html#group2B0", "2B⁰"), =HYPERLINK("CSG0.html#group1A0", "1A⁰"), =HYPERLINK("CSG0.html#group10B0", "10B⁰")</f>
        <v/>
      </c>
      <c r="N523">
        <f>HYPERLINK("CSG17.html#group40AC17", "40AC¹⁷"), =HYPERLINK("CSG11.html#group20E11", "20E¹¹"), =HYPERLINK("CSG9.html#group20F9", "20F⁹"), =HYPERLINK("CSG11.html#group40K11", "40K¹¹"), =HYPERLINK("CSG23.html#group60N23", "60N²³"), =HYPERLINK("CSG13.html#group40N13", "40N¹³")</f>
        <v/>
      </c>
    </row>
    <row r="524">
      <c r="A524" t="inlineStr">
        <is>
          <t>21A³</t>
        </is>
      </c>
      <c r="B524" t="inlineStr"/>
      <c r="C524" t="inlineStr">
        <is>
          <t>48</t>
        </is>
      </c>
      <c r="D524" t="inlineStr">
        <is>
          <t>1</t>
        </is>
      </c>
      <c r="E524" t="inlineStr">
        <is>
          <t>24</t>
        </is>
      </c>
      <c r="F524" t="inlineStr">
        <is>
          <t>0</t>
        </is>
      </c>
      <c r="G524" t="inlineStr">
        <is>
          <t>0</t>
        </is>
      </c>
      <c r="H524" t="inlineStr">
        <is>
          <t>3², 21²</t>
        </is>
      </c>
      <c r="I524" t="n">
        <v>4</v>
      </c>
      <c r="J524" t="inlineStr">
        <is>
          <t>1², 2², 6¹, 12¹</t>
        </is>
      </c>
      <c r="K524">
        <f>HYPERLINK("CSG0.html#group3C0", "3C⁰"), =HYPERLINK("CSG2.html#group21A2", "21A²")</f>
        <v/>
      </c>
      <c r="L524">
        <f>HYPERLINK("CSG5.html#group21C5", "21C⁵"), =HYPERLINK("CSG7.html#group21B7", "21B⁷"), =HYPERLINK("CSG7.html#group42D7", "42D⁷"), =HYPERLINK("CSG7.html#group42E7", "42E⁷"), =HYPERLINK("CSG9.html#group42A9", "42A⁹"), =HYPERLINK("CSG9.html#group63C9", "63C⁹"), =HYPERLINK("CSG11.html#group63A11", "63A¹¹"), =HYPERLINK("CSG11.html#group63B11", "63B¹¹"), =HYPERLINK("CSG11.html#group63C11", "63C¹¹"), =HYPERLINK("CSG15.html#group84F15", "84F¹⁵"), =HYPERLINK("CSG19.html#group105B19", "105B¹⁹"), =HYPERLINK("CSG21.html#group21B21", "21B²¹"), =HYPERLINK("CSG21.html#group105D21", "105D²¹"), =HYPERLINK("CSG21.html#group147A21", "147A²¹")</f>
        <v/>
      </c>
      <c r="M524">
        <f>HYPERLINK("CSG0.html#group3C0", "3C⁰"), =HYPERLINK("CSG2.html#group21A2", "21A²"), =HYPERLINK("CSG0.html#group3A0", "3A⁰"), =HYPERLINK("CSG0.html#group1A0", "1A⁰"), =HYPERLINK("CSG0.html#group7B0", "7B⁰")</f>
        <v/>
      </c>
      <c r="N524">
        <f>HYPERLINK("CSG19.html#group42Q19", "42Q¹⁹"), =HYPERLINK("CSG7.html#group42D7", "42D⁷"), =HYPERLINK("CSG21.html#group21B21", "21B²¹"), =HYPERLINK("CSG19.html#group63O19", "63O¹⁹"), =HYPERLINK("CSG23.html#group126C23", "126C²³"), =HYPERLINK("CSG19.html#group42O19", "42O¹⁹"), =HYPERLINK("CSG21.html#group84B21", "84B²¹"), =HYPERLINK("CSG21.html#group126N21", "126N²¹"), =HYPERLINK("CSG19.html#group42P19", "42P¹⁹"), =HYPERLINK("CSG17.html#group42I17", "42I¹⁷"), =HYPERLINK("CSG9.html#group63C9", "63C⁹"), =HYPERLINK("CSG9.html#group42A9", "42A⁹"), =HYPERLINK("CSG23.html#group126A23", "126A²³"), =HYPERLINK("CSG21.html#group126L21", "126L²¹"), =HYPERLINK("CSG23.html#group126D23", "126D²³"), =HYPERLINK("CSG23.html#group126G23", "126G²³"), =HYPERLINK("CSG11.html#group63B11", "63B¹¹"), =HYPERLINK("CSG23.html#group126H23", "126H²³"), =HYPERLINK("CSG21.html#group105D21", "105D²¹"), =HYPERLINK("CSG23.html#group126I23", "126I²³"), =HYPERLINK("CSG17.html#group63H17", "63H¹⁷"), =HYPERLINK("CSG15.html#group84B15", "84B¹⁵"), =HYPERLINK("CSG15.html#group84A15", "84A¹⁵"), =HYPERLINK("CSG21.html#group84D21", "84D²¹"), =HYPERLINK("CSG19.html#group42R19", "42R¹⁹"), =HYPERLINK("CSG21.html#group147A21", "147A²¹"), =HYPERLINK("CSG15.html#group84F15", "84F¹⁵"), =HYPERLINK("CSG7.html#group42E7", "42E⁷"), =HYPERLINK("CSG13.html#group42F13", "42F¹³"), =HYPERLINK("CSG23.html#group126F23", "126F²³"), =HYPERLINK("CSG15.html#group84D15", "84D¹⁵"), =HYPERLINK("CSG19.html#group42N19", "42N¹⁹"), =HYPERLINK("CSG19.html#group63I19", "63I¹⁹"), =HYPERLINK("CSG23.html#group126B23", "126B²³"), =HYPERLINK("CSG13.html#group42G13", "42G¹³"), =HYPERLINK("CSG23.html#group126E23", "126E²³"), =HYPERLINK("CSG21.html#group63B21", "63B²¹"), =HYPERLINK("CSG19.html#group84K19", "84K¹⁹"), =HYPERLINK("CSG19.html#group84J19", "84J¹⁹"), =HYPERLINK("CSG7.html#group21B7", "21B⁷"), =HYPERLINK("CSG5.html#group21C5", "21C⁵"), =HYPERLINK("CSG19.html#group105B19", "105B¹⁹"), =HYPERLINK("CSG9.html#group21D9", "21D⁹"), =HYPERLINK("CSG17.html#group63D17", "63D¹⁷"), =HYPERLINK("CSG11.html#group63A11", "63A¹¹"), =HYPERLINK("CSG21.html#group63A21", "63A²¹"), =HYPERLINK("CSG11.html#group63C11", "63C¹¹"), =HYPERLINK("CSG13.html#group21C13", "21C¹³"), =HYPERLINK("CSG21.html#group126M21", "126M²¹")</f>
        <v/>
      </c>
    </row>
    <row r="525">
      <c r="A525" t="inlineStr">
        <is>
          <t>21B³</t>
        </is>
      </c>
      <c r="B525" t="inlineStr"/>
      <c r="C525" t="inlineStr">
        <is>
          <t>56</t>
        </is>
      </c>
      <c r="D525" t="inlineStr">
        <is>
          <t>2</t>
        </is>
      </c>
      <c r="E525" t="inlineStr">
        <is>
          <t>28</t>
        </is>
      </c>
      <c r="F525" t="inlineStr">
        <is>
          <t>0</t>
        </is>
      </c>
      <c r="G525" t="inlineStr">
        <is>
          <t>2</t>
        </is>
      </c>
      <c r="H525" t="inlineStr">
        <is>
          <t>7², 21²</t>
        </is>
      </c>
      <c r="I525" t="n">
        <v>4</v>
      </c>
      <c r="J525" t="inlineStr">
        <is>
          <t>2², 4¹, 6⁴, 12²</t>
        </is>
      </c>
      <c r="K525">
        <f>HYPERLINK("CSG0.html#group7C0", "7C⁰"), =HYPERLINK("CSG2.html#group21B2", "21B²")</f>
        <v/>
      </c>
      <c r="L525">
        <f>HYPERLINK("CSG7.html#group42F7", "42F⁷"), =HYPERLINK("CSG9.html#group21C9", "21C⁹"), =HYPERLINK("CSG10.html#group21B10", "21B¹⁰"), =HYPERLINK("CSG10.html#group63A10", "63A¹⁰"), =HYPERLINK("CSG11.html#group21B11", "21B¹¹"), =HYPERLINK("CSG11.html#group21C11", "21C¹¹"), =HYPERLINK("CSG11.html#group42C11", "42C¹¹"), =HYPERLINK("CSG11.html#group63D11", "63D¹¹"), =HYPERLINK("CSG11.html#group63E11", "63E¹¹"), =HYPERLINK("CSG12.html#group63A12", "63A¹²"), =HYPERLINK("CSG13.html#group63A13", "63A¹³"), =HYPERLINK("CSG13.html#group63B13", "63B¹³"), =HYPERLINK("CSG17.html#group84B17", "84B¹⁷"), =HYPERLINK("CSG21.html#group105A21", "105A²¹")</f>
        <v/>
      </c>
      <c r="M525">
        <f>HYPERLINK("CSG0.html#group3B0", "3B⁰"), =HYPERLINK("CSG2.html#group21B2", "21B²"), =HYPERLINK("CSG0.html#group1A0", "1A⁰"), =HYPERLINK("CSG0.html#group7C0", "7C⁰"), =HYPERLINK("CSG0.html#group7A0", "7A⁰")</f>
        <v/>
      </c>
      <c r="N525">
        <f>HYPERLINK("CSG21.html#group21C21", "21C²¹"), =HYPERLINK("CSG23.html#group42E23", "42E²³"), =HYPERLINK("CSG11.html#group21B11", "21B¹¹"), =HYPERLINK("CSG23.html#group126J23", "126J²³"), =HYPERLINK("CSG24.html#group126A24", "126A²⁴"), =HYPERLINK("CSG17.html#group21A17", "21A¹⁷"), =HYPERLINK("CSG10.html#group63A10", "63A¹⁰"), =HYPERLINK("CSG13.html#group63A13", "63A¹³"), =HYPERLINK("CSG24.html#group42B24", "42B²⁴"), =HYPERLINK("CSG23.html#group42F23", "42F²³"), =HYPERLINK("CSG7.html#group42F7", "42F⁷"), =HYPERLINK("CSG11.html#group42C11", "42C¹¹"), =HYPERLINK("CSG15.html#group84G15", "84G¹⁵"), =HYPERLINK("CSG10.html#group21B10", "21B¹⁰"), =HYPERLINK("CSG23.html#group126L23", "126L²³"), =HYPERLINK("CSG12.html#group63A12", "63A¹²"), =HYPERLINK("CSG21.html#group42D21", "42D²¹"), =HYPERLINK("CSG23.html#group42I23", "42I²³"), =HYPERLINK("CSG11.html#group63E11", "63E¹¹"), =HYPERLINK("CSG23.html#group42H23", "42H²³"), =HYPERLINK("CSG17.html#group84B17", "84B¹⁷"), =HYPERLINK("CSG11.html#group63D11", "63D¹¹"), =HYPERLINK("CSG9.html#group21C9", "21C⁹"), =HYPERLINK("CSG23.html#group126K23", "126K²³"), =HYPERLINK("CSG23.html#group84B23", "84B²³"), =HYPERLINK("CSG11.html#group21C11", "21C¹¹"), =HYPERLINK("CSG13.html#group63B13", "63B¹³"), =HYPERLINK("CSG21.html#group105A21", "105A²¹"), =HYPERLINK("CSG23.html#group42G23", "42G²³")</f>
        <v/>
      </c>
    </row>
    <row r="526">
      <c r="A526" t="inlineStr">
        <is>
          <t>21C³</t>
        </is>
      </c>
      <c r="B526" t="inlineStr"/>
      <c r="C526" t="inlineStr">
        <is>
          <t>84</t>
        </is>
      </c>
      <c r="D526" t="inlineStr">
        <is>
          <t>1</t>
        </is>
      </c>
      <c r="E526" t="inlineStr">
        <is>
          <t>28</t>
        </is>
      </c>
      <c r="F526" t="inlineStr">
        <is>
          <t>12</t>
        </is>
      </c>
      <c r="G526" t="inlineStr">
        <is>
          <t>0</t>
        </is>
      </c>
      <c r="H526" t="inlineStr">
        <is>
          <t>21⁴</t>
        </is>
      </c>
      <c r="I526" t="n">
        <v>4</v>
      </c>
      <c r="J526" t="inlineStr">
        <is>
          <t>1¹, 3¹, 6⁴</t>
        </is>
      </c>
      <c r="K526">
        <f>HYPERLINK("CSG0.html#group7F0", "7F⁰"), =HYPERLINK("CSG0.html#group21A0", "21A⁰")</f>
        <v/>
      </c>
      <c r="L526">
        <f>HYPERLINK("CSG7.html#group21C7", "21C⁷"), =HYPERLINK("CSG7.html#group42N7", "42N⁷"), =HYPERLINK("CSG9.html#group21B9", "21B⁹"), =HYPERLINK("CSG9.html#group42B9", "42B⁹"), =HYPERLINK("CSG11.html#group21A11", "21A¹¹"), =HYPERLINK("CSG11.html#group42A11", "42A¹¹"), =HYPERLINK("CSG13.html#group21A13", "21A¹³"), =HYPERLINK("CSG13.html#group42A13", "42A¹³"), =HYPERLINK("CSG15.html#group42D15", "42D¹⁵"), =HYPERLINK("CSG15.html#group63A15", "63A¹⁵"), =HYPERLINK("CSG21.html#group84M21", "84M²¹")</f>
        <v/>
      </c>
      <c r="M526">
        <f>HYPERLINK("CSG0.html#group7F0", "7F⁰"), =HYPERLINK("CSG0.html#group21A0", "21A⁰"), =HYPERLINK("CSG0.html#group3A0", "3A⁰"), =HYPERLINK("CSG0.html#group1A0", "1A⁰"), =HYPERLINK("CSG0.html#group7A0", "7A⁰")</f>
        <v/>
      </c>
      <c r="N526">
        <f>HYPERLINK("CSG13.html#group21A13", "21A¹³"), =HYPERLINK("CSG21.html#group84L21", "84L²¹"), =HYPERLINK("CSG21.html#group21A21", "21A²¹"), =HYPERLINK("CSG21.html#group21B21", "21B²¹"), =HYPERLINK("CSG17.html#group21B17", "21B¹⁷"), =HYPERLINK("CSG9.html#group42B9", "42B⁹"), =HYPERLINK("CSG7.html#group21C7", "21C⁷"), =HYPERLINK("CSG21.html#group84M21", "84M²¹"), =HYPERLINK("CSG21.html#group42B21", "42B²¹"), =HYPERLINK("CSG15.html#group42D15", "42D¹⁵"), =HYPERLINK("CSG21.html#group84K21", "84K²¹"), =HYPERLINK("CSG11.html#group42A11", "42A¹¹"), =HYPERLINK("CSG21.html#group84J21", "84J²¹"), =HYPERLINK("CSG21.html#group42E21", "42E²¹"), =HYPERLINK("CSG21.html#group84I21", "84I²¹"), =HYPERLINK("CSG15.html#group63A15", "63A¹⁵"), =HYPERLINK("CSG11.html#group21A11", "21A¹¹"), =HYPERLINK("CSG13.html#group42A13", "42A¹³"), =HYPERLINK("CSG21.html#group42A21", "42A²¹"), =HYPERLINK("CSG17.html#group42K17", "42K¹⁷"), =HYPERLINK("CSG9.html#group21B9", "21B⁹"), =HYPERLINK("CSG7.html#group42N7", "42N⁷")</f>
        <v/>
      </c>
    </row>
    <row r="527">
      <c r="A527" t="inlineStr">
        <is>
          <t>21D³</t>
        </is>
      </c>
      <c r="B527" t="inlineStr"/>
      <c r="C527" t="inlineStr">
        <is>
          <t>96</t>
        </is>
      </c>
      <c r="D527" t="inlineStr">
        <is>
          <t>1</t>
        </is>
      </c>
      <c r="E527" t="inlineStr">
        <is>
          <t>32</t>
        </is>
      </c>
      <c r="F527" t="inlineStr">
        <is>
          <t>0</t>
        </is>
      </c>
      <c r="G527" t="inlineStr">
        <is>
          <t>0</t>
        </is>
      </c>
      <c r="H527" t="inlineStr">
        <is>
          <t>1³, 3³, 7³, 21³</t>
        </is>
      </c>
      <c r="I527" t="n">
        <v>12</v>
      </c>
      <c r="J527" t="inlineStr">
        <is>
          <t>1⁴, 2², 6², 12¹</t>
        </is>
      </c>
      <c r="K527">
        <f>HYPERLINK("CSG0.html#group7E0", "7E⁰"), =HYPERLINK("CSG1.html#group21B1", "21B¹")</f>
        <v/>
      </c>
      <c r="L527">
        <f>HYPERLINK("CSG5.html#group21E5", "21E⁵"), =HYPERLINK("CSG11.html#group42E11", "42E¹¹"), =HYPERLINK("CSG11.html#group42F11", "42F¹¹"), =HYPERLINK("CSG13.html#group21C13", "21C¹³"), =HYPERLINK("CSG13.html#group42L13", "42L¹³"), =HYPERLINK("CSG13.html#group63E13", "63E¹³"), =HYPERLINK("CSG19.html#group63G19", "63G¹⁹"), =HYPERLINK("CSG19.html#group63H19", "63H¹⁹")</f>
        <v/>
      </c>
      <c r="M527">
        <f>HYPERLINK("CSG0.html#group3B0", "3B⁰"), =HYPERLINK("CSG0.html#group7E0", "7E⁰"), =HYPERLINK("CSG1.html#group21B1", "21B¹"), =HYPERLINK("CSG0.html#group1A0", "1A⁰"), =HYPERLINK("CSG0.html#group7B0", "7B⁰")</f>
        <v/>
      </c>
      <c r="N527">
        <f>HYPERLINK("CSG13.html#group63E13", "63E¹³"), =HYPERLINK("CSG13.html#group42L13", "42L¹³"), =HYPERLINK("CSG21.html#group42G21", "42G²¹"), =HYPERLINK("CSG11.html#group42E11", "42E¹¹"), =HYPERLINK("CSG5.html#group21E5", "21E⁵"), =HYPERLINK("CSG11.html#group42F11", "42F¹¹"), =HYPERLINK("CSG13.html#group21C13", "21C¹³"), =HYPERLINK("CSG19.html#group63G19", "63G¹⁹"), =HYPERLINK("CSG19.html#group63H19", "63H¹⁹")</f>
        <v/>
      </c>
    </row>
    <row r="528">
      <c r="A528" t="inlineStr">
        <is>
          <t>24A³</t>
        </is>
      </c>
      <c r="B528" t="inlineStr"/>
      <c r="C528" t="inlineStr">
        <is>
          <t>36</t>
        </is>
      </c>
      <c r="D528" t="inlineStr">
        <is>
          <t>1</t>
        </is>
      </c>
      <c r="E528" t="inlineStr">
        <is>
          <t>3</t>
        </is>
      </c>
      <c r="F528" t="inlineStr">
        <is>
          <t>0</t>
        </is>
      </c>
      <c r="G528" t="inlineStr">
        <is>
          <t>0</t>
        </is>
      </c>
      <c r="H528" t="inlineStr">
        <is>
          <t>12¹, 24¹</t>
        </is>
      </c>
      <c r="I528" t="n">
        <v>2</v>
      </c>
      <c r="J528" t="inlineStr">
        <is>
          <t>1³</t>
        </is>
      </c>
      <c r="K528">
        <f>HYPERLINK("CSG0.html#group12C0", "12C⁰"), =HYPERLINK("CSG1.html#group8A1", "8A¹")</f>
        <v/>
      </c>
      <c r="L528">
        <f>HYPERLINK("CSG5.html#group24A5", "24A⁵"), =HYPERLINK("CSG5.html#group24B5", "24B⁵"), =HYPERLINK("CSG5.html#group24D5", "24D⁵"), =HYPERLINK("CSG5.html#group24E5", "24E⁵"), =HYPERLINK("CSG5.html#group24G5", "24G⁵"), =HYPERLINK("CSG6.html#group48B6", "48B⁶"), =HYPERLINK("CSG6.html#group48C6", "48C⁶"), =HYPERLINK("CSG9.html#group72A9", "72A⁹"), =HYPERLINK("CSG15.html#group120A15", "120A¹⁵"), =HYPERLINK("CSG17.html#group120B17", "120B¹⁷"), =HYPERLINK("CSG21.html#group168A21", "168A²¹"), =HYPERLINK("CSG23.html#group168B23", "168B²³")</f>
        <v/>
      </c>
      <c r="M528">
        <f>HYPERLINK("CSG1.html#group8A1", "8A¹"), =HYPERLINK("CSG0.html#group12C0", "12C⁰"), =HYPERLINK("CSG0.html#group4C0", "4C⁰"), =HYPERLINK("CSG0.html#group2B0", "2B⁰"), =HYPERLINK("CSG0.html#group3A0", "3A⁰"), =HYPERLINK("CSG0.html#group1A0", "1A⁰"), =HYPERLINK("CSG0.html#group6D0", "6D⁰")</f>
        <v/>
      </c>
      <c r="N528">
        <f>HYPERLINK("CSG10.html#group24C10", "24C¹⁰"), =HYPERLINK("CSG9.html#group72A9", "72A⁹"), =HYPERLINK("CSG21.html#group48I21", "48I²¹"), =HYPERLINK("CSG23.html#group96O23", "96O²³"), =HYPERLINK("CSG21.html#group48AY21", "48AY²¹"), =HYPERLINK("CSG11.html#group48T11", "48T¹¹"), =HYPERLINK("CSG5.html#group24A5", "24A⁵"), =HYPERLINK("CSG23.html#group96AG23", "96AG²³"), =HYPERLINK("CSG11.html#group48R11", "48R¹¹"), =HYPERLINK("CSG19.html#group24M19", "24M¹⁹"), =HYPERLINK("CSG10.html#group48D10", "48D¹⁰"), =HYPERLINK("CSG17.html#group24I17", "24I¹⁷"), =HYPERLINK("CSG17.html#group120B17", "120B¹⁷"), =HYPERLINK("CSG12.html#group96B12", "96B¹²"), =HYPERLINK("CSG21.html#group48AH21", "48AH²¹"), =HYPERLINK("CSG20.html#group96B20", "96B²⁰"), =HYPERLINK("CSG6.html#group48B6", "48B⁶"), =HYPERLINK("CSG19.html#group48Z19", "48Z¹⁹"), =HYPERLINK("CSG21.html#group48O21", "48O²¹"), =HYPERLINK("CSG21.html#group48A21", "48A²¹"), =HYPERLINK("CSG23.html#group96S23", "96S²³"), =HYPERLINK("CSG21.html#group48AN21", "48AN²¹"), =HYPERLINK("CSG21.html#group48J21", "48J²¹"), =HYPERLINK("CSG17.html#group24K17", "24K¹⁷"), =HYPERLINK("CSG21.html#group48BS21", "48BS²¹"), =HYPERLINK("CSG22.html#group96B22", "96B²²"), =HYPERLINK("CSG11.html#group48N11", "48N¹¹"), =HYPERLINK("CSG10.html#group24E10", "24E¹⁰"), =HYPERLINK("CSG11.html#group48I11", "48I¹¹"), =HYPERLINK("CSG17.html#group72L17", "72L¹⁷"), =HYPERLINK("CSG21.html#group48AK21", "48AK²¹"), =HYPERLINK("CSG23.html#group96E23", "96E²³"), =HYPERLINK("CSG21.html#group48X21", "48X²¹"), =HYPERLINK("CSG9.html#group24S9", "24S⁹"), =HYPERLINK("CSG21.html#group48BK21", "48BK²¹"), =HYPERLINK("CSG17.html#group24J17", "24J¹⁷"), =HYPERLINK("CSG21.html#group48AT21", "48AT²¹"), =HYPERLINK("CSG23.html#group96AE23", "96AE²³"), =HYPERLINK("CSG23.html#group96AA23", "96AA²³"), =HYPERLINK("CSG21.html#group48B21", "48B²¹"), =HYPERLINK("CSG11.html#group48A11", "48A¹¹"), =HYPERLINK("CSG23.html#group96P23", "96P²³"), =HYPERLINK("CSG11.html#group48V11", "48V¹¹"), =HYPERLINK("CSG21.html#group48AM21", "48AM²¹"), =HYPERLINK("CSG19.html#group24G19", "24G¹⁹"), =HYPERLINK("CSG21.html#group48Q21", "48Q²¹"), =HYPERLINK("CSG21.html#group48BQ21", "48BQ²¹"), =HYPERLINK("CSG9.html#group24C9", "24C⁹"), =HYPERLINK("CSG12.html#group96C12", "96C¹²"), =HYPERLINK("CSG23.html#group96Z23", "96Z²³"), =HYPERLINK("CSG21.html#group48AV21", "48AV²¹"), =HYPERLINK("CSG21.html#group48BE21", "48BE²¹"), =HYPERLINK("CSG19.html#group48Y19", "48Y¹⁹"), =HYPERLINK("CSG19.html#group48R19", "48R¹⁹"), =HYPERLINK("CSG9.html#group24M9", "24M⁹"), =HYPERLINK("CSG21.html#group48S21", "48S²¹"), =HYPERLINK("CSG17.html#group24F17", "24F¹⁷"), =HYPERLINK("CSG19.html#group48A19", "48A¹⁹"), =HYPERLINK("CSG23.html#group96X23", "96X²³"), =HYPERLINK("CSG11.html#group48P11", "48P¹¹"), =HYPERLINK("CSG17.html#group72D17", "72D¹⁷"), =HYPERLINK("CSG11.html#group48B11", "48B¹¹"), =HYPERLINK("CSG6.html#group48C6", "48C⁶"), =HYPERLINK("CSG11.html#group48D11", "48D¹¹"), =HYPERLINK("CSG23.html#group96T23", "96T²³"), =HYPERLINK("CSG17.html#group72J17", "72J¹⁷"), =HYPERLINK("CSG21.html#group48G21", "48G²¹"), =HYPERLINK("CSG22.html#group48C22", "48C²²"), =HYPERLINK("CSG23.html#group96D23", "96D²³"), =HYPERLINK("CSG21.html#group48BT21", "48BT²¹"), =HYPERLINK("CSG23.html#group96G23", "96G²³"), =HYPERLINK("CSG21.html#group48BV21", "48BV²¹"), =HYPERLINK("CSG23.html#group96C23", "96C²³"), =HYPERLINK("CSG21.html#group48BR21", "48BR²¹"), =HYPERLINK("CSG23.html#group96J23", "96J²³"), =HYPERLINK("CSG17.html#group24U17", "24U¹⁷"), =HYPERLINK("CSG19.html#group48G19", "48G¹⁹"), =HYPERLINK("CSG23.html#group168B23", "168B²³"), =HYPERLINK("CSG17.html#group24N17", "24N¹⁷"), =HYPERLINK("CSG17.html#group24O17", "24O¹⁷"), =HYPERLINK("CSG23.html#group96Y23", "96Y²³"), =HYPERLINK("CSG18.html#group144D18", "144D¹⁸"), =HYPERLINK("CSG21.html#group48N21", "48N²¹"), =HYPERLINK("CSG19.html#group48B19", "48B¹⁹"), =HYPERLINK("CSG12.html#group96D12", "96D¹²"), =HYPERLINK("CSG17.html#group72F17", "72F¹⁷"), =HYPERLINK("CSG21.html#group48K21", "48K²¹"), =HYPERLINK("CSG15.html#group72I15", "72I¹⁵"), =HYPERLINK("CSG17.html#group72G17", "72G¹⁷"), =HYPERLINK("CSG23.html#group96AH23", "96AH²³"), =HYPERLINK("CSG21.html#group48AP21", "48AP²¹"), =HYPERLINK("CSG23.html#group96AD23", "96AD²³"), =HYPERLINK("CSG9.html#group24N9", "24N⁹"), =HYPERLINK("CSG17.html#group24C17", "24C¹⁷"), =HYPERLINK("CSG21.html#group48AG21", "48AG²¹"), =HYPERLINK("CSG19.html#group24L19", "24L¹⁹"), =HYPERLINK("CSG11.html#group48U11", "48U¹¹"), =HYPERLINK("CSG9.html#group24F9", "24F⁹"), =HYPERLINK("CSG21.html#group48AO21", "48AO²¹"), =HYPERLINK("CSG5.html#group24B5", "24B⁵"), =HYPERLINK("CSG19.html#group24P19", "24P¹⁹"), =HYPERLINK("CSG11.html#group48M11", "48M¹¹"), =HYPERLINK("CSG21.html#group48R21", "48R²¹"), =HYPERLINK("CSG23.html#group96K23", "96K²³"), =HYPERLINK("CSG21.html#group48L21", "48L²¹"), =HYPERLINK("CSG21.html#group48BL21", "48BL²¹"), =HYPERLINK("CSG19.html#group48AQ19", "48AQ¹⁹"), =HYPERLINK("CSG20.html#group48B20", "48B²⁰"), =HYPERLINK("CSG22.html#group48D22", "48D²²"), =HYPERLINK("CSG17.html#group72C17", "72C¹⁷"), =HYPERLINK("CSG21.html#group48AZ21", "48AZ²¹"), =HYPERLINK("CSG20.html#group48A20", "48A²⁰"), =HYPERLINK("CSG23.html#group96AB23", "96AB²³"), =HYPERLINK("CSG21.html#group48F21", "48F²¹"), =HYPERLINK("CSG18.html#group144B18", "144B¹⁸"), =HYPERLINK("CSG19.html#group48AR19", "48AR¹⁹"), =HYPERLINK("CSG19.html#group24A19", "24A¹⁹"), =HYPERLINK("CSG20.html#group96A20", "96A²⁰"), =HYPERLINK("CSG11.html#group48J11", "48J¹¹"), =HYPERLINK("CSG23.html#group96Q23", "96Q²³"), =HYPERLINK("CSG17.html#group24Q17", "24Q¹⁷"), =HYPERLINK("CSG9.html#group24B9", "24B⁹"), =HYPERLINK("CSG21.html#group48BJ21", "48BJ²¹"), =HYPERLINK("CSG9.html#group24R9", "24R⁹"), =HYPERLINK("CSG21.html#group48AL21", "48AL²¹"), =HYPERLINK("CSG23.html#group96AC23", "96AC²³"), =HYPERLINK("CSG9.html#group24D9", "24D⁹"), =HYPERLINK("CSG19.html#group48V19", "48V¹⁹"), =HYPERLINK("CSG23.html#group96AF23", "96AF²³"), =HYPERLINK("CSG21.html#group48AJ21", "48AJ²¹"), =HYPERLINK("CSG17.html#group24T17", "24T¹⁷"), =HYPERLINK("CSG21.html#group48BA21", "48BA²¹"), =HYPERLINK("CSG15.html#group120A15", "120A¹⁵"), =HYPERLINK("CSG23.html#group96R23", "96R²³"), =HYPERLINK("CSG19.html#group24Q19", "24Q¹⁹"), =HYPERLINK("CSG23.html#group96B23", "96B²³"), =HYPERLINK("CSG9.html#group24E9", "24E⁹"), =HYPERLINK("CSG17.html#group72H17", "72H¹⁷"), =HYPERLINK("CSG23.html#group96I23", "96I²³"), =HYPERLINK("CSG11.html#group48O11", "48O¹¹"), =HYPERLINK("CSG21.html#group48AQ21", "48AQ²¹"), =HYPERLINK("CSG17.html#group72B17", "72B¹⁷"), =HYPERLINK("CSG5.html#group24E5", "24E⁵"), =HYPERLINK("CSG19.html#group24F19", "24F¹⁹"), =HYPERLINK("CSG9.html#group24Q9", "24Q⁹"), =HYPERLINK("CSG23.html#group96W23", "96W²³"), =HYPERLINK("CSG21.html#group48P21", "48P²¹"), =HYPERLINK("CSG19.html#group24R19", "24R¹⁹"), =HYPERLINK("CSG17.html#group24M17", "24M¹⁷"), =HYPERLINK("CSG21.html#group48BN21", "48BN²¹"), =HYPERLINK("CSG21.html#group48AI21", "48AI²¹"), =HYPERLINK("CSG9.html#group24J9", "24J⁹"), =HYPERLINK("CSG19.html#group48U19", "48U¹⁹"), =HYPERLINK("CSG17.html#group24E17", "24E¹⁷"), =HYPERLINK("CSG22.html#group96D22", "96D²²"), =HYPERLINK("CSG5.html#group24G5", "24G⁵"), =HYPERLINK("CSG11.html#group48F11", "48F¹¹"), =HYPERLINK("CSG17.html#group24V17", "24V¹⁷"), =HYPERLINK("CSG17.html#group24B17", "24B¹⁷"), =HYPERLINK("CSG21.html#group168A21", "168A²¹"), =HYPERLINK("CSG23.html#group96F23", "96F²³"), =HYPERLINK("CSG12.html#group96A12", "96A¹²"), =HYPERLINK("CSG5.html#group24D5", "24D⁵"), =HYPERLINK("CSG18.html#group144C18", "144C¹⁸"), =HYPERLINK("CSG21.html#group48E21", "48E²¹"), =HYPERLINK("CSG19.html#group48D19", "48D¹⁹"), =HYPERLINK("CSG10.html#group48C10", "48C¹⁰"), =HYPERLINK("CSG21.html#group48BM21", "48BM²¹"), =HYPERLINK("CSG23.html#group96L23", "96L²³"), =HYPERLINK("CSG11.html#group48S11", "48S¹¹"), =HYPERLINK("CSG19.html#group24D19", "24D¹⁹")</f>
        <v/>
      </c>
    </row>
    <row r="529">
      <c r="A529" t="inlineStr">
        <is>
          <t>24B³</t>
        </is>
      </c>
      <c r="B529" t="inlineStr"/>
      <c r="C529" t="inlineStr">
        <is>
          <t>48</t>
        </is>
      </c>
      <c r="D529" t="inlineStr">
        <is>
          <t>1</t>
        </is>
      </c>
      <c r="E529" t="inlineStr">
        <is>
          <t>12</t>
        </is>
      </c>
      <c r="F529" t="inlineStr">
        <is>
          <t>0</t>
        </is>
      </c>
      <c r="G529" t="inlineStr">
        <is>
          <t>0</t>
        </is>
      </c>
      <c r="H529" t="inlineStr">
        <is>
          <t>4¹, 8¹, 12¹, 24¹</t>
        </is>
      </c>
      <c r="I529" t="n">
        <v>4</v>
      </c>
      <c r="J529" t="inlineStr">
        <is>
          <t>1⁶, 2³</t>
        </is>
      </c>
      <c r="K529">
        <f>HYPERLINK("CSG0.html#group8B0", "8B⁰"), =HYPERLINK("CSG1.html#group12F1", "12F¹")</f>
        <v/>
      </c>
      <c r="L529">
        <f>HYPERLINK("CSG5.html#group24I5", "24I⁵"), =HYPERLINK("CSG5.html#group24J5", "24J⁵"), =HYPERLINK("CSG5.html#group24N5", "24N⁵"), =HYPERLINK("CSG7.html#group48C7", "48C⁷"), =HYPERLINK("CSG7.html#group48D7", "48D⁷"), =HYPERLINK("CSG7.html#group48F7", "48F⁷"), =HYPERLINK("CSG7.html#group48G7", "48G⁷"), =HYPERLINK("CSG9.html#group24A9", "24A⁹"), =HYPERLINK("CSG9.html#group72B9", "72B⁹"), =HYPERLINK("CSG11.html#group72A11", "72A¹¹"), =HYPERLINK("CSG11.html#group72B11", "72B¹¹"), =HYPERLINK("CSG19.html#group120A19", "120A¹⁹"), =HYPERLINK("CSG21.html#group120C21", "120C²¹")</f>
        <v/>
      </c>
      <c r="M529">
        <f>HYPERLINK("CSG0.html#group3B0", "3B⁰"), =HYPERLINK("CSG1.html#group12F1", "12F¹"), =HYPERLINK("CSG0.html#group4C0", "4C⁰"), =HYPERLINK("CSG0.html#group8B0", "8B⁰"), =HYPERLINK("CSG0.html#group6F0", "6F⁰"), =HYPERLINK("CSG0.html#group2B0", "2B⁰"), =HYPERLINK("CSG0.html#group1A0", "1A⁰")</f>
        <v/>
      </c>
      <c r="N529">
        <f>HYPERLINK("CSG21.html#group72F21", "72F²¹"), =HYPERLINK("CSG23.html#group96AI23", "96AI²³"), =HYPERLINK("CSG13.html#group48P13", "48P¹³"), =HYPERLINK("CSG5.html#group24N5", "24N⁵"), =HYPERLINK("CSG9.html#group24AH9", "24AH⁹"), =HYPERLINK("CSG21.html#group72E21", "72E²¹"), =HYPERLINK("CSG21.html#group48H21", "48H²¹"), =HYPERLINK("CSG9.html#group24AD9", "24AD⁹"), =HYPERLINK("CSG21.html#group144C21", "144C²¹"), =HYPERLINK("CSG9.html#group72B9", "72B⁹"), =HYPERLINK("CSG15.html#group96A15", "96A¹⁵"), =HYPERLINK("CSG17.html#group24L17", "24L¹⁷"), =HYPERLINK("CSG21.html#group24D21", "24D²¹"), =HYPERLINK("CSG11.html#group24F11", "24F¹¹"), =HYPERLINK("CSG9.html#group24A9", "24A⁹"), =HYPERLINK("CSG17.html#group24AP17", "24AP¹⁷"), =HYPERLINK("CSG9.html#group24AJ9", "24AJ⁹"), =HYPERLINK("CSG7.html#group48G7", "48G⁷"), =HYPERLINK("CSG11.html#group48Z11", "48Z¹¹"), =HYPERLINK("CSG21.html#group48CF21", "48CF²¹"), =HYPERLINK("CSG21.html#group48CO21", "48CO²¹"), =HYPERLINK("CSG21.html#group72C21", "72C²¹"), =HYPERLINK("CSG13.html#group48O13", "48O¹³"), =HYPERLINK("CSG19.html#group120A19", "120A¹⁹"), =HYPERLINK("CSG17.html#group24AO17", "24AO¹⁷"), =HYPERLINK("CSG21.html#group48CE21", "48CE²¹"), =HYPERLINK("CSG23.html#group144N23", "144N²³"), =HYPERLINK("CSG15.html#group96I15", "96I¹⁵"), =HYPERLINK("CSG21.html#group120C21", "120C²¹"), =HYPERLINK("CSG23.html#group144M23", "144M²³"), =HYPERLINK("CSG7.html#group48D7", "48D⁷"), =HYPERLINK("CSG13.html#group48I13", "48I¹³"), =HYPERLINK("CSG21.html#group48CD21", "48CD²¹"), =HYPERLINK("CSG23.html#group48B23", "48B²³"), =HYPERLINK("CSG15.html#group96B15", "96B¹⁵"), =HYPERLINK("CSG21.html#group48D21", "48D²¹"), =HYPERLINK("CSG21.html#group24G21", "24G²¹"), =HYPERLINK("CSG23.html#group96AL23", "96AL²³"), =HYPERLINK("CSG23.html#group144H23", "144H²³"), =HYPERLINK("CSG11.html#group24I11", "24I¹¹"), =HYPERLINK("CSG21.html#group24F21", "24F²¹"), =HYPERLINK("CSG23.html#group144E23", "144E²³"), =HYPERLINK("CSG9.html#group24AG9", "24AG⁹"), =HYPERLINK("CSG13.html#group48J13", "48J¹³"), =HYPERLINK("CSG21.html#group72D21", "72D²¹"), =HYPERLINK("CSG17.html#group24AQ17", "24AQ¹⁷"), =HYPERLINK("CSG21.html#group48CP21", "48CP²¹"), =HYPERLINK("CSG21.html#group24A21", "24A²¹"), =HYPERLINK("CSG17.html#group72Q17", "72Q¹⁷"), =HYPERLINK("CSG13.html#group48T13", "48T¹³"), =HYPERLINK("CSG21.html#group48CB21", "48CB²¹"), =HYPERLINK("CSG15.html#group96C15", "96C¹⁵"), =HYPERLINK("CSG23.html#group48C23", "48C²³"), =HYPERLINK("CSG13.html#group48H13", "48H¹³"), =HYPERLINK("CSG17.html#group72U17", "72U¹⁷"), =HYPERLINK("CSG15.html#group96J15", "96J¹⁵"), =HYPERLINK("CSG21.html#group48C21", "48C²¹"), =HYPERLINK("CSG23.html#group144L23", "144L²³"), =HYPERLINK("CSG17.html#group72N17", "72N¹⁷"), =HYPERLINK("CSG15.html#group96D15", "96D¹⁵"), =HYPERLINK("CSG23.html#group144K23", "144K²³"), =HYPERLINK("CSG17.html#group24D17", "24D¹⁷"), =HYPERLINK("CSG21.html#group144K21", "144K²¹"), =HYPERLINK("CSG7.html#group48F7", "48F⁷"), =HYPERLINK("CSG15.html#group96G15", "96G¹⁵"), =HYPERLINK("CSG13.html#group48G13", "48G¹³"), =HYPERLINK("CSG7.html#group48C7", "48C⁷"), =HYPERLINK("CSG9.html#group24AB9", "24AB⁹"), =HYPERLINK("CSG13.html#group48B13", "48B¹³"), =HYPERLINK("CSG11.html#group48AA11", "48AA¹¹"), =HYPERLINK("CSG13.html#group48D13", "48D¹³"), =HYPERLINK("CSG13.html#group48K13", "48K¹³"), =HYPERLINK("CSG17.html#group24AS17", "24AS¹⁷"), =HYPERLINK("CSG21.html#group72K21", "72K²¹"), =HYPERLINK("CSG17.html#group24AN17", "24AN¹⁷"), =HYPERLINK("CSG21.html#group24J21", "24J²¹"), =HYPERLINK("CSG23.html#group144F23", "144F²³"), =HYPERLINK("CSG21.html#group48W21", "48W²¹"), =HYPERLINK("CSG5.html#group24I5", "24I⁵"), =HYPERLINK("CSG21.html#group144J21", "144J²¹"), =HYPERLINK("CSG21.html#group144D21", "144D²¹"), =HYPERLINK("CSG15.html#group96H15", "96H¹⁵"), =HYPERLINK("CSG11.html#group72A11", "72A¹¹"), =HYPERLINK("CSG13.html#group48A13", "48A¹³"), =HYPERLINK("CSG21.html#group72L21", "72L²¹"), =HYPERLINK("CSG13.html#group48C13", "48C¹³"), =HYPERLINK("CSG21.html#group48CQ21", "48CQ²¹"), =HYPERLINK("CSG23.html#group144G23", "144G²³"), =HYPERLINK("CSG5.html#group24J5", "24J⁵"), =HYPERLINK("CSG17.html#group24C17", "24C¹⁷"), =HYPERLINK("CSG9.html#group24AF9", "24AF⁹"), =HYPERLINK("CSG11.html#group72B11", "72B¹¹")</f>
        <v/>
      </c>
    </row>
    <row r="530">
      <c r="A530" t="inlineStr">
        <is>
          <t>24C³</t>
        </is>
      </c>
      <c r="B530" t="inlineStr"/>
      <c r="C530" t="inlineStr">
        <is>
          <t>48</t>
        </is>
      </c>
      <c r="D530" t="inlineStr">
        <is>
          <t>1</t>
        </is>
      </c>
      <c r="E530" t="inlineStr">
        <is>
          <t>12</t>
        </is>
      </c>
      <c r="F530" t="inlineStr">
        <is>
          <t>0</t>
        </is>
      </c>
      <c r="G530" t="inlineStr">
        <is>
          <t>0</t>
        </is>
      </c>
      <c r="H530" t="inlineStr">
        <is>
          <t>4¹, 8¹, 12¹, 24¹</t>
        </is>
      </c>
      <c r="I530" t="n">
        <v>4</v>
      </c>
      <c r="J530" t="inlineStr">
        <is>
          <t>1⁶, 2³</t>
        </is>
      </c>
      <c r="K530">
        <f>HYPERLINK("CSG1.html#group8A1", "8A¹"), =HYPERLINK("CSG1.html#group12F1", "12F¹")</f>
        <v/>
      </c>
      <c r="L530">
        <f>HYPERLINK("CSG5.html#group24I5", "24I⁵"), =HYPERLINK("CSG5.html#group24K5", "24K⁵"), =HYPERLINK("CSG5.html#group24M5", "24M⁵"), =HYPERLINK("CSG7.html#group48A7", "48A⁷"), =HYPERLINK("CSG7.html#group48B7", "48B⁷"), =HYPERLINK("CSG7.html#group48E7", "48E⁷"), =HYPERLINK("CSG7.html#group48H7", "48H⁷"), =HYPERLINK("CSG9.html#group24B9", "24B⁹"), =HYPERLINK("CSG9.html#group72C9", "72C⁹"), =HYPERLINK("CSG11.html#group72C11", "72C¹¹"), =HYPERLINK("CSG11.html#group72D11", "72D¹¹"), =HYPERLINK("CSG19.html#group120B19", "120B¹⁹"), =HYPERLINK("CSG21.html#group120D21", "120D²¹")</f>
        <v/>
      </c>
      <c r="M530">
        <f>HYPERLINK("CSG0.html#group6F0", "6F⁰"), =HYPERLINK("CSG0.html#group3B0", "3B⁰"), =HYPERLINK("CSG0.html#group2B0", "2B⁰"), =HYPERLINK("CSG1.html#group8A1", "8A¹"), =HYPERLINK("CSG0.html#group1A0", "1A⁰"), =HYPERLINK("CSG1.html#group12F1", "12F¹"), =HYPERLINK("CSG0.html#group4C0", "4C⁰")</f>
        <v/>
      </c>
      <c r="N530">
        <f>HYPERLINK("CSG7.html#group48H7", "48H⁷"), =HYPERLINK("CSG7.html#group48A7", "48A⁷"), =HYPERLINK("CSG9.html#group24AH9", "24AH⁹"), =HYPERLINK("CSG9.html#group24AD9", "24AD⁹"), =HYPERLINK("CSG21.html#group72H21", "72H²¹"), =HYPERLINK("CSG15.html#group96E15", "96E¹⁵"), =HYPERLINK("CSG23.html#group144O23", "144O²³"), =HYPERLINK("CSG21.html#group24D21", "24D²¹"), =HYPERLINK("CSG17.html#group24AP17", "24AP¹⁷"), =HYPERLINK("CSG21.html#group48A21", "48A²¹"), =HYPERLINK("CSG23.html#group48A23", "48A²³"), =HYPERLINK("CSG21.html#group48CF21", "48CF²¹"), =HYPERLINK("CSG13.html#group48S13", "48S¹³"), =HYPERLINK("CSG21.html#group72C21", "72C²¹"), =HYPERLINK("CSG23.html#group96AJ23", "96AJ²³"), =HYPERLINK("CSG13.html#group48L13", "48L¹³"), =HYPERLINK("CSG17.html#group24K17", "24K¹⁷"), =HYPERLINK("CSG23.html#group144D23", "144D²³"), =HYPERLINK("CSG17.html#group24AO17", "24AO¹⁷"), =HYPERLINK("CSG21.html#group48CE21", "48CE²¹"), =HYPERLINK("CSG21.html#group72G21", "72G²¹"), =HYPERLINK("CSG15.html#group96F15", "96F¹⁵"), =HYPERLINK("CSG23.html#group144A23", "144A²³"), =HYPERLINK("CSG11.html#group72C11", "72C¹¹"), =HYPERLINK("CSG21.html#group48X21", "48X²¹"), =HYPERLINK("CSG9.html#group24B9", "24B⁹"), =HYPERLINK("CSG11.html#group48Y11", "48Y¹¹"), =HYPERLINK("CSG23.html#group144I23", "144I²³"), =HYPERLINK("CSG23.html#group96AK23", "96AK²³"), =HYPERLINK("CSG13.html#group48F13", "48F¹³"), =HYPERLINK("CSG21.html#group48B21", "48B²¹"), =HYPERLINK("CSG13.html#group48I13", "48I¹³"), =HYPERLINK("CSG7.html#group48E7", "48E⁷"), =HYPERLINK("CSG21.html#group48CD21", "48CD²¹"), =HYPERLINK("CSG23.html#group144B23", "144B²³"), =HYPERLINK("CSG5.html#group24M5", "24M⁵"), =HYPERLINK("CSG9.html#group24AI9", "24AI⁹"), =HYPERLINK("CSG23.html#group144C23", "144C²³"), =HYPERLINK("CSG21.html#group48CN21", "48CN²¹"), =HYPERLINK("CSG13.html#group48E13", "48E¹³"), =HYPERLINK("CSG21.html#group24G21", "24G²¹"), =HYPERLINK("CSG21.html#group144A21", "144A²¹"), =HYPERLINK("CSG21.html#group24F21", "24F²¹"), =HYPERLINK("CSG9.html#group24AG9", "24AG⁹"), =HYPERLINK("CSG13.html#group48J13", "48J¹³"), =HYPERLINK("CSG21.html#group72I21", "72I²¹"), =HYPERLINK("CSG21.html#group72D21", "72D²¹"), =HYPERLINK("CSG17.html#group24AQ17", "24AQ¹⁷"), =HYPERLINK("CSG21.html#group48CP21", "48CP²¹"), =HYPERLINK("CSG21.html#group144I21", "144I²¹"), =HYPERLINK("CSG21.html#group24A21", "24A²¹"), =HYPERLINK("CSG21.html#group48CB21", "48CB²¹"), =HYPERLINK("CSG13.html#group48M13", "48M¹³"), =HYPERLINK("CSG17.html#group72N17", "72N¹⁷"), =HYPERLINK("CSG11.html#group24G11", "24G¹¹"), =HYPERLINK("CSG21.html#group48G21", "48G²¹"), =HYPERLINK("CSG9.html#group72C9", "72C⁹"), =HYPERLINK("CSG21.html#group120D21", "120D²¹"), =HYPERLINK("CSG17.html#group24E17", "24E¹⁷"), =HYPERLINK("CSG23.html#group144J23", "144J²³"), =HYPERLINK("CSG11.html#group48AB11", "48AB¹¹"), =HYPERLINK("CSG9.html#group24AB9", "24AB⁹"), =HYPERLINK("CSG17.html#group72T17", "72T¹⁷"), =HYPERLINK("CSG13.html#group48N13", "48N¹³"), =HYPERLINK("CSG21.html#group72J21", "72J²¹"), =HYPERLINK("CSG7.html#group48B7", "48B⁷"), =HYPERLINK("CSG5.html#group24K5", "24K⁵"), =HYPERLINK("CSG11.html#group24H11", "24H¹¹"), =HYPERLINK("CSG13.html#group48B13", "48B¹³"), =HYPERLINK("CSG13.html#group48D13", "48D¹³"), =HYPERLINK("CSG19.html#group120B19", "120B¹⁹"), =HYPERLINK("CSG23.html#group48D23", "48D²³"), =HYPERLINK("CSG15.html#group96K15", "96K¹⁵"), =HYPERLINK("CSG17.html#group24AS17", "24AS¹⁷"), =HYPERLINK("CSG17.html#group24AN17", "24AN¹⁷"), =HYPERLINK("CSG5.html#group24I5", "24I⁵"), =HYPERLINK("CSG21.html#group144L21", "144L²¹"), =HYPERLINK("CSG15.html#group96L15", "96L¹⁵"), =HYPERLINK("CSG11.html#group72D11", "72D¹¹"), =HYPERLINK("CSG13.html#group48A13", "48A¹³"), =HYPERLINK("CSG17.html#group72R17", "72R¹⁷"), =HYPERLINK("CSG13.html#group48C13", "48C¹³"), =HYPERLINK("CSG21.html#group48CQ21", "48CQ²¹"), =HYPERLINK("CSG21.html#group144B21", "144B²¹"), =HYPERLINK("CSG23.html#group144P23", "144P²³"), =HYPERLINK("CSG17.html#group24C17", "24C¹⁷"), =HYPERLINK("CSG9.html#group24AF9", "24AF⁹"), =HYPERLINK("CSG21.html#group24I21", "24I²¹")</f>
        <v/>
      </c>
    </row>
    <row r="531">
      <c r="A531" t="inlineStr">
        <is>
          <t>24D³</t>
        </is>
      </c>
      <c r="B531" t="inlineStr"/>
      <c r="C531" t="inlineStr">
        <is>
          <t>48</t>
        </is>
      </c>
      <c r="D531" t="inlineStr">
        <is>
          <t>2</t>
        </is>
      </c>
      <c r="E531" t="inlineStr">
        <is>
          <t>12</t>
        </is>
      </c>
      <c r="F531" t="inlineStr">
        <is>
          <t>4</t>
        </is>
      </c>
      <c r="G531" t="inlineStr">
        <is>
          <t>0</t>
        </is>
      </c>
      <c r="H531" t="inlineStr">
        <is>
          <t>24²</t>
        </is>
      </c>
      <c r="I531" t="n">
        <v>2</v>
      </c>
      <c r="J531" t="inlineStr">
        <is>
          <t>4², 8²</t>
        </is>
      </c>
      <c r="K531">
        <f>HYPERLINK("CSG1.html#group12G1", "12G¹"), =HYPERLINK("CSG1.html#group24B1", "24B¹")</f>
        <v/>
      </c>
      <c r="L531">
        <f>HYPERLINK("CSG5.html#group24P5", "24P⁵"), =HYPERLINK("CSG7.html#group24A7", "24A⁷"), =HYPERLINK("CSG7.html#group24D7", "24D⁷"), =HYPERLINK("CSG9.html#group24V9", "24V⁹"), =HYPERLINK("CSG9.html#group72F9", "72F⁹"), =HYPERLINK("CSG10.html#group72J10", "72J¹⁰"), =HYPERLINK("CSG11.html#group24L11", "24L¹¹"), =HYPERLINK("CSG11.html#group72E11", "72E¹¹"), =HYPERLINK("CSG11.html#group72F11", "72F¹¹"), =HYPERLINK("CSG19.html#group120C19", "120C¹⁹"), =HYPERLINK("CSG21.html#group120H21", "120H²¹")</f>
        <v/>
      </c>
      <c r="M531">
        <f>HYPERLINK("CSG1.html#group12G1", "12G¹"), =HYPERLINK("CSG0.html#group3C0", "3C⁰"), =HYPERLINK("CSG1.html#group24B1", "24B¹"), =HYPERLINK("CSG0.html#group12A0", "12A⁰"), =HYPERLINK("CSG0.html#group3A0", "3A⁰"), =HYPERLINK("CSG0.html#group1A0", "1A⁰"), =HYPERLINK("CSG0.html#group4A0", "4A⁰")</f>
        <v/>
      </c>
      <c r="N531">
        <f>HYPERLINK("CSG11.html#group24L11", "24L¹¹"), =HYPERLINK("CSG21.html#group72O21", "72O²¹"), =HYPERLINK("CSG15.html#group48D15", "48D¹⁵"), =HYPERLINK("CSG11.html#group72E11", "72E¹¹"), =HYPERLINK("CSG19.html#group24M19", "24M¹⁹"), =HYPERLINK("CSG7.html#group24D7", "24D⁷"), =HYPERLINK("CSG23.html#group72F23", "72F²³"), =HYPERLINK("CSG22.html#group72C22", "72C²²"), =HYPERLINK("CSG10.html#group72J10", "72J¹⁰"), =HYPERLINK("CSG19.html#group24B19", "24B¹⁹"), =HYPERLINK("CSG21.html#group72Q21", "72Q²¹"), =HYPERLINK("CSG23.html#group72G23", "72G²³"), =HYPERLINK("CSG21.html#group72M21", "72M²¹"), =HYPERLINK("CSG15.html#group48C15", "48C¹⁵"), =HYPERLINK("CSG21.html#group120H21", "120H²¹"), =HYPERLINK("CSG19.html#group24O19", "24O¹⁹"), =HYPERLINK("CSG17.html#group24AC17", "24AC¹⁷"), =HYPERLINK("CSG17.html#group24AD17", "24AD¹⁷"), =HYPERLINK("CSG5.html#group24P5", "24P⁵"), =HYPERLINK("CSG11.html#group72F11", "72F¹¹"), =HYPERLINK("CSG23.html#group72A23", "72A²³"), =HYPERLINK("CSG9.html#group72F9", "72F⁹"), =HYPERLINK("CSG19.html#group72T19", "72T¹⁹"), =HYPERLINK("CSG13.html#group24B13", "24B¹³"), =HYPERLINK("CSG13.html#group48Q13", "48Q¹³"), =HYPERLINK("CSG7.html#group24A7", "24A⁷"), =HYPERLINK("CSG19.html#group24J19", "24J¹⁹"), =HYPERLINK("CSG21.html#group72T21", "72T²¹"), =HYPERLINK("CSG13.html#group48R13", "48R¹³"), =HYPERLINK("CSG11.html#group24K11", "24K¹¹"), =HYPERLINK("CSG21.html#group72U21", "72U²¹"), =HYPERLINK("CSG21.html#group24M21", "24M²¹"), =HYPERLINK("CSG19.html#group120C19", "120C¹⁹"), =HYPERLINK("CSG9.html#group24V9", "24V⁹"), =HYPERLINK("CSG21.html#group72P21", "72P²¹"), =HYPERLINK("CSG17.html#group24AE17", "24AE¹⁷"), =HYPERLINK("CSG23.html#group72D23", "72D²³"), =HYPERLINK("CSG19.html#group72V19", "72V¹⁹"), =HYPERLINK("CSG17.html#group72W17", "72W¹⁷")</f>
        <v/>
      </c>
    </row>
    <row r="532">
      <c r="A532" t="inlineStr">
        <is>
          <t>24E³</t>
        </is>
      </c>
      <c r="B532" t="inlineStr"/>
      <c r="C532" t="inlineStr">
        <is>
          <t>48</t>
        </is>
      </c>
      <c r="D532" t="inlineStr">
        <is>
          <t>2</t>
        </is>
      </c>
      <c r="E532" t="inlineStr">
        <is>
          <t>12</t>
        </is>
      </c>
      <c r="F532" t="inlineStr">
        <is>
          <t>4</t>
        </is>
      </c>
      <c r="G532" t="inlineStr">
        <is>
          <t>0</t>
        </is>
      </c>
      <c r="H532" t="inlineStr">
        <is>
          <t>24²</t>
        </is>
      </c>
      <c r="I532" t="n">
        <v>2</v>
      </c>
      <c r="J532" t="inlineStr">
        <is>
          <t>4², 8²</t>
        </is>
      </c>
      <c r="K532">
        <f>HYPERLINK("CSG1.html#group12G1", "12G¹"), =HYPERLINK("CSG1.html#group24A1", "24A¹"), =HYPERLINK("CSG1.html#group24B1", "24B¹")</f>
        <v/>
      </c>
      <c r="L532">
        <f>HYPERLINK("CSG5.html#group24P5", "24P⁵"), =HYPERLINK("CSG7.html#group24B7", "24B⁷"), =HYPERLINK("CSG7.html#group24D7", "24D⁷"), =HYPERLINK("CSG7.html#group48I7", "48I⁷"), =HYPERLINK("CSG7.html#group48J7", "48J⁷"), =HYPERLINK("CSG9.html#group24Y9", "24Y⁹"), =HYPERLINK("CSG9.html#group72G9", "72G⁹"), =HYPERLINK("CSG10.html#group72K10", "72K¹⁰"), =HYPERLINK("CSG11.html#group24M11", "24M¹¹"), =HYPERLINK("CSG11.html#group72G11", "72G¹¹"), =HYPERLINK("CSG11.html#group72H11", "72H¹¹"), =HYPERLINK("CSG19.html#group120D19", "120D¹⁹"), =HYPERLINK("CSG21.html#group120L21", "120L²¹")</f>
        <v/>
      </c>
      <c r="M532">
        <f>HYPERLINK("CSG1.html#group12G1", "12G¹"), =HYPERLINK("CSG0.html#group12A0", "12A⁰"), =HYPERLINK("CSG1.html#group24A1", "24A¹"), =HYPERLINK("CSG0.html#group4A0", "4A⁰"), =HYPERLINK("CSG0.html#group8A0", "8A⁰"), =HYPERLINK("CSG0.html#group3C0", "3C⁰"), =HYPERLINK("CSG1.html#group24B1", "24B¹"), =HYPERLINK("CSG0.html#group3A0", "3A⁰"), =HYPERLINK("CSG0.html#group1A0", "1A⁰")</f>
        <v/>
      </c>
      <c r="N532">
        <f>HYPERLINK("CSG7.html#group48I7", "48I⁷"), =HYPERLINK("CSG21.html#group72O21", "72O²¹"), =HYPERLINK("CSG15.html#group48D15", "48D¹⁵"), =HYPERLINK("CSG7.html#group24D7", "24D⁷"), =HYPERLINK("CSG22.html#group144K22", "144K²²"), =HYPERLINK("CSG23.html#group72F23", "72F²³"), =HYPERLINK("CSG22.html#group72C22", "72C²²"), =HYPERLINK("CSG11.html#group72H11", "72H¹¹"), =HYPERLINK("CSG23.html#group144Q23", "144Q²³"), =HYPERLINK("CSG21.html#group144M21", "144M²¹"), =HYPERLINK("CSG15.html#group48A15", "48A¹⁵"), =HYPERLINK("CSG23.html#group144R23", "144R²³"), =HYPERLINK("CSG23.html#group72H23", "72H²³"), =HYPERLINK("CSG17.html#group24AB17", "24AB¹⁷"), =HYPERLINK("CSG21.html#group72Q21", "72Q²¹"), =HYPERLINK("CSG15.html#group48B15", "48B¹⁵"), =HYPERLINK("CSG23.html#group72C23", "72C²³"), =HYPERLINK("CSG9.html#group24Y9", "24Y⁹"), =HYPERLINK("CSG19.html#group120D19", "120D¹⁹"), =HYPERLINK("CSG21.html#group120L21", "120L²¹"), =HYPERLINK("CSG5.html#group24P5", "24P⁵"), =HYPERLINK("CSG11.html#group72G11", "72G¹¹"), =HYPERLINK("CSG19.html#group72T19", "72T¹⁹"), =HYPERLINK("CSG13.html#group24B13", "24B¹³"), =HYPERLINK("CSG21.html#group72N21", "72N²¹"), =HYPERLINK("CSG13.html#group48Q13", "48Q¹³"), =HYPERLINK("CSG19.html#group24N19", "24N¹⁹"), =HYPERLINK("CSG11.html#group24M11", "24M¹¹"), =HYPERLINK("CSG21.html#group48BW21", "48BW²¹"), =HYPERLINK("CSG19.html#group24J19", "24J¹⁹"), =HYPERLINK("CSG23.html#group72B23", "72B²³"), =HYPERLINK("CSG21.html#group72T21", "72T²¹"), =HYPERLINK("CSG23.html#group144T23", "144T²³"), =HYPERLINK("CSG13.html#group48R13", "48R¹³"), =HYPERLINK("CSG11.html#group24K11", "24K¹¹"), =HYPERLINK("CSG17.html#group24AF17", "24AF¹⁷"), =HYPERLINK("CSG21.html#group72U21", "72U²¹"), =HYPERLINK("CSG10.html#group72K10", "72K¹⁰"), =HYPERLINK("CSG21.html#group144N21", "144N²¹"), =HYPERLINK("CSG7.html#group48J7", "48J⁷"), =HYPERLINK("CSG22.html#group144L22", "144L²²"), =HYPERLINK("CSG21.html#group72P21", "72P²¹"), =HYPERLINK("CSG19.html#group24C19", "24C¹⁹"), =HYPERLINK("CSG21.html#group24M21", "24M²¹"), =HYPERLINK("CSG17.html#group24AE17", "24AE¹⁷"), =HYPERLINK("CSG21.html#group48BY21", "48BY²¹"), =HYPERLINK("CSG23.html#group144S23", "144S²³"), =HYPERLINK("CSG19.html#group24Q19", "24Q¹⁹"), =HYPERLINK("CSG9.html#group72G9", "72G⁹"), =HYPERLINK("CSG19.html#group72V19", "72V¹⁹"), =HYPERLINK("CSG17.html#group72W17", "72W¹⁷"), =HYPERLINK("CSG7.html#group24B7", "24B⁷")</f>
        <v/>
      </c>
    </row>
    <row r="533">
      <c r="A533" t="inlineStr">
        <is>
          <t>24F³</t>
        </is>
      </c>
      <c r="B533" t="inlineStr"/>
      <c r="C533" t="inlineStr">
        <is>
          <t>64</t>
        </is>
      </c>
      <c r="D533" t="inlineStr">
        <is>
          <t>1</t>
        </is>
      </c>
      <c r="E533" t="inlineStr">
        <is>
          <t>16</t>
        </is>
      </c>
      <c r="F533" t="inlineStr">
        <is>
          <t>0</t>
        </is>
      </c>
      <c r="G533" t="inlineStr">
        <is>
          <t>4</t>
        </is>
      </c>
      <c r="H533" t="inlineStr">
        <is>
          <t>8², 24²</t>
        </is>
      </c>
      <c r="I533" t="n">
        <v>4</v>
      </c>
      <c r="J533" t="inlineStr">
        <is>
          <t>2⁴, 4²</t>
        </is>
      </c>
      <c r="K533">
        <f>HYPERLINK("CSG1.html#group12I1", "12I¹")</f>
        <v/>
      </c>
      <c r="L533">
        <f>HYPERLINK("CSG5.html#group24Q5", "24Q⁵"), =HYPERLINK("CSG11.html#group24A11", "24A¹¹"), =HYPERLINK("CSG11.html#group24E11", "24E¹¹"), =HYPERLINK("CSG11.html#group72I11", "72I¹¹"), =HYPERLINK("CSG11.html#group72K11", "72K¹¹"), =HYPERLINK("CSG13.html#group24A13", "24A¹³"), =HYPERLINK("CSG13.html#group24H13", "24H¹³"), =HYPERLINK("CSG13.html#group72A13", "72A¹³"), =HYPERLINK("CSG13.html#group72C13", "72C¹³"), =HYPERLINK("CSG15.html#group72A15", "72A¹⁵"), =HYPERLINK("CSG15.html#group72C15", "72C¹⁵"), =HYPERLINK("CSG23.html#group120K23", "120K²³")</f>
        <v/>
      </c>
      <c r="M533">
        <f>HYPERLINK("CSG0.html#group2A0", "2A⁰"), =HYPERLINK("CSG0.html#group3B0", "3B⁰"), =HYPERLINK("CSG1.html#group12I1", "12I¹"), =HYPERLINK("CSG0.html#group4A0", "4A⁰"), =HYPERLINK("CSG0.html#group4D0", "4D⁰"), =HYPERLINK("CSG1.html#group12A1", "12A¹"), =HYPERLINK("CSG0.html#group6C0", "6C⁰"), =HYPERLINK("CSG0.html#group1A0", "1A⁰")</f>
        <v/>
      </c>
      <c r="N533">
        <f>HYPERLINK("CSG21.html#group72Z21", "72Z²¹"), =HYPERLINK("CSG15.html#group72A15", "72A¹⁵"), =HYPERLINK("CSG21.html#group72Y21", "72Y²¹"), =HYPERLINK("CSG13.html#group24H13", "24H¹³"), =HYPERLINK("CSG21.html#group24B21", "24B²¹"), =HYPERLINK("CSG21.html#group24E21", "24E²¹"), =HYPERLINK("CSG13.html#group24A13", "24A¹³"), =HYPERLINK("CSG15.html#group72C15", "72C¹⁵"), =HYPERLINK("CSG11.html#group24A11", "24A¹¹"), =HYPERLINK("CSG11.html#group72K11", "72K¹¹"), =HYPERLINK("CSG11.html#group72I11", "72I¹¹"), =HYPERLINK("CSG11.html#group24E11", "24E¹¹"), =HYPERLINK("CSG21.html#group24D21", "24D²¹"), =HYPERLINK("CSG13.html#group48U13", "48U¹³"), =HYPERLINK("CSG21.html#group24H21", "24H²¹"), =HYPERLINK("CSG13.html#group72C13", "72C¹³"), =HYPERLINK("CSG23.html#group120K23", "120K²³"), =HYPERLINK("CSG5.html#group24Q5", "24Q⁵"), =HYPERLINK("CSG13.html#group72A13", "72A¹³")</f>
        <v/>
      </c>
    </row>
    <row r="534">
      <c r="A534" t="inlineStr">
        <is>
          <t>24G³</t>
        </is>
      </c>
      <c r="B534" t="inlineStr"/>
      <c r="C534" t="inlineStr">
        <is>
          <t>64</t>
        </is>
      </c>
      <c r="D534" t="inlineStr">
        <is>
          <t>1</t>
        </is>
      </c>
      <c r="E534" t="inlineStr">
        <is>
          <t>16</t>
        </is>
      </c>
      <c r="F534" t="inlineStr">
        <is>
          <t>0</t>
        </is>
      </c>
      <c r="G534" t="inlineStr">
        <is>
          <t>4</t>
        </is>
      </c>
      <c r="H534" t="inlineStr">
        <is>
          <t>8², 24²</t>
        </is>
      </c>
      <c r="I534" t="n">
        <v>4</v>
      </c>
      <c r="J534" t="inlineStr">
        <is>
          <t>2⁴, 4²</t>
        </is>
      </c>
      <c r="K534">
        <f>HYPERLINK("CSG0.html#group8E0", "8E⁰"), =HYPERLINK("CSG1.html#group12I1", "12I¹"), =HYPERLINK("CSG2.html#group24A2", "24A²")</f>
        <v/>
      </c>
      <c r="L534">
        <f>HYPERLINK("CSG5.html#group24Q5", "24Q⁵"), =HYPERLINK("CSG7.html#group48K7", "48K⁷"), =HYPERLINK("CSG7.html#group48L7", "48L⁷"), =HYPERLINK("CSG11.html#group24B11", "24B¹¹"), =HYPERLINK("CSG11.html#group24D11", "24D¹¹"), =HYPERLINK("CSG11.html#group72J11", "72J¹¹"), =HYPERLINK("CSG11.html#group72L11", "72L¹¹"), =HYPERLINK("CSG13.html#group24B13", "24B¹³"), =HYPERLINK("CSG13.html#group24I13", "24I¹³"), =HYPERLINK("CSG13.html#group72B13", "72B¹³"), =HYPERLINK("CSG13.html#group72D13", "72D¹³"), =HYPERLINK("CSG15.html#group72B15", "72B¹⁵"), =HYPERLINK("CSG15.html#group72D15", "72D¹⁵"), =HYPERLINK("CSG23.html#group120L23", "120L²³")</f>
        <v/>
      </c>
      <c r="M534">
        <f>HYPERLINK("CSG0.html#group2A0", "2A⁰"), =HYPERLINK("CSG0.html#group3B0", "3B⁰"), =HYPERLINK("CSG1.html#group12I1", "12I¹"), =HYPERLINK("CSG2.html#group24A2", "24A²"), =HYPERLINK("CSG0.html#group4A0", "4A⁰"), =HYPERLINK("CSG0.html#group4D0", "4D⁰"), =HYPERLINK("CSG1.html#group12A1", "12A¹"), =HYPERLINK("CSG0.html#group6C0", "6C⁰"), =HYPERLINK("CSG0.html#group8A0", "8A⁰"), =HYPERLINK("CSG0.html#group8E0", "8E⁰"), =HYPERLINK("CSG0.html#group1A0", "1A⁰")</f>
        <v/>
      </c>
      <c r="N534">
        <f>HYPERLINK("CSG13.html#group72B13", "72B¹³"), =HYPERLINK("CSG21.html#group72Z21", "72Z²¹"), =HYPERLINK("CSG23.html#group120L23", "120L²³"), =HYPERLINK("CSG7.html#group48K7", "48K⁷"), =HYPERLINK("CSG23.html#group144V23", "144V²³"), =HYPERLINK("CSG21.html#group72Y21", "72Y²¹"), =HYPERLINK("CSG13.html#group24B13", "24B¹³"), =HYPERLINK("CSG11.html#group72J11", "72J¹¹"), =HYPERLINK("CSG21.html#group24B21", "24B²¹"), =HYPERLINK("CSG11.html#group72L11", "72L¹¹"), =HYPERLINK("CSG11.html#group24D11", "24D¹¹"), =HYPERLINK("CSG7.html#group48L7", "48L⁷"), =HYPERLINK("CSG13.html#group48U13", "48U¹³"), =HYPERLINK("CSG21.html#group24H21", "24H²¹"), =HYPERLINK("CSG15.html#group72B15", "72B¹⁵"), =HYPERLINK("CSG11.html#group24B11", "24B¹¹"), =HYPERLINK("CSG15.html#group72D15", "72D¹⁵"), =HYPERLINK("CSG23.html#group144U23", "144U²³"), =HYPERLINK("CSG21.html#group24G21", "24G²¹"), =HYPERLINK("CSG5.html#group24Q5", "24Q⁵"), =HYPERLINK("CSG13.html#group72D13", "72D¹³"), =HYPERLINK("CSG21.html#group24C21", "24C²¹"), =HYPERLINK("CSG13.html#group24I13", "24I¹³")</f>
        <v/>
      </c>
    </row>
    <row r="535">
      <c r="A535" t="inlineStr">
        <is>
          <t>24H³</t>
        </is>
      </c>
      <c r="B535" t="inlineStr"/>
      <c r="C535" t="inlineStr">
        <is>
          <t>72</t>
        </is>
      </c>
      <c r="D535" t="inlineStr">
        <is>
          <t>1</t>
        </is>
      </c>
      <c r="E535" t="inlineStr">
        <is>
          <t>9</t>
        </is>
      </c>
      <c r="F535" t="inlineStr">
        <is>
          <t>8</t>
        </is>
      </c>
      <c r="G535" t="inlineStr">
        <is>
          <t>0</t>
        </is>
      </c>
      <c r="H535" t="inlineStr">
        <is>
          <t>12², 24²</t>
        </is>
      </c>
      <c r="I535" t="n">
        <v>4</v>
      </c>
      <c r="J535" t="inlineStr">
        <is>
          <t>1³, 2³</t>
        </is>
      </c>
      <c r="K535">
        <f>HYPERLINK("CSG1.html#group12L1", "12L¹"), =HYPERLINK("CSG1.html#group24D1", "24D¹")</f>
        <v/>
      </c>
      <c r="L535">
        <f>HYPERLINK("CSG5.html#group24S5", "24S⁵"), =HYPERLINK("CSG7.html#group24Q7", "24Q⁷"), =HYPERLINK("CSG7.html#group24P7", "24P⁷"), =HYPERLINK("CSG9.html#group24B9", "24B⁹"), =HYPERLINK("CSG9.html#group24G9", "24G⁹"), =HYPERLINK("CSG9.html#group48H9", "48H⁹"), =HYPERLINK("CSG9.html#group48I9", "48I⁹"), =HYPERLINK("CSG9.html#group48V9", "48V⁹"), =HYPERLINK("CSG11.html#group72M11", "72M¹¹"), =HYPERLINK("CSG13.html#group72J13", "72J¹³"), =HYPERLINK("CSG15.html#group72N15", "72N¹⁵")</f>
        <v/>
      </c>
      <c r="M535">
        <f>HYPERLINK("CSG0.html#group12C0", "12C⁰"), =HYPERLINK("CSG1.html#group12C1", "12C¹"), =HYPERLINK("CSG0.html#group4C0", "4C⁰"), =HYPERLINK("CSG1.html#group24D1", "24D¹"), =HYPERLINK("CSG0.html#group6G0", "6G⁰"), =HYPERLINK("CSG0.html#group3C0", "3C⁰"), =HYPERLINK("CSG0.html#group1A0", "1A⁰"), =HYPERLINK("CSG0.html#group2B0", "2B⁰"), =HYPERLINK("CSG0.html#group3A0", "3A⁰"), =HYPERLINK("CSG1.html#group12L1", "12L¹"), =HYPERLINK("CSG0.html#group6D0", "6D⁰")</f>
        <v/>
      </c>
      <c r="N535">
        <f>HYPERLINK("CSG13.html#group24S13", "24S¹³"), =HYPERLINK("CSG17.html#group48BM17", "48BM¹⁷"), =HYPERLINK("CSG13.html#group24R13", "24R¹³"), =HYPERLINK("CSG19.html#group48AI19", "48AI¹⁹"), =HYPERLINK("CSG17.html#group48AI17", "48AI¹⁷"), =HYPERLINK("CSG9.html#group24G9", "24G⁹"), =HYPERLINK("CSG11.html#group72M11", "72M¹¹"), =HYPERLINK("CSG17.html#group48AJ17", "48AJ¹⁷"), =HYPERLINK("CSG17.html#group24AI17", "24AI¹⁷"), =HYPERLINK("CSG17.html#group24AB17", "24AB¹⁷"), =HYPERLINK("CSG17.html#group24Z17", "24Z¹⁷"), =HYPERLINK("CSG21.html#group48AU21", "48AU²¹"), =HYPERLINK("CSG21.html#group48Y21", "48Y²¹"), =HYPERLINK("CSG21.html#group48A21", "48A²¹"), =HYPERLINK("CSG21.html#group48G21", "48G²¹"), =HYPERLINK("CSG5.html#group24S5", "24S⁵"), =HYPERLINK("CSG13.html#group24Q13", "24Q¹³"), =HYPERLINK("CSG17.html#group24E17", "24E¹⁷"), =HYPERLINK("CSG17.html#group24K17", "24K¹⁷"), =HYPERLINK("CSG17.html#group24AC17", "24AC¹⁷"), =HYPERLINK("CSG17.html#group48AV17", "48AV¹⁷"), =HYPERLINK("CSG9.html#group48V9", "48V⁹"), =HYPERLINK("CSG21.html#group48M21", "48M²¹"), =HYPERLINK("CSG7.html#group24P7", "24P⁷"), =HYPERLINK("CSG21.html#group48Z21", "48Z²¹"), =HYPERLINK("CSG13.html#group24Y13", "24Y¹³"), =HYPERLINK("CSG17.html#group48R17", "48R¹⁷"), =HYPERLINK("CSG17.html#group48M17", "48M¹⁷"), =HYPERLINK("CSG17.html#group24G17", "24G¹⁷"), =HYPERLINK("CSG21.html#group48X21", "48X²¹"), =HYPERLINK("CSG17.html#group24H17", "24H¹⁷"), =HYPERLINK("CSG9.html#group24B9", "24B⁹"), =HYPERLINK("CSG19.html#group48AF19", "48AF¹⁹"), =HYPERLINK("CSG9.html#group48I9", "48I⁹"), =HYPERLINK("CSG19.html#group48AG19", "48AG¹⁹"), =HYPERLINK("CSG19.html#group48AH19", "48AH¹⁹"), =HYPERLINK("CSG13.html#group72J13", "72J¹³"), =HYPERLINK("CSG21.html#group72AA21", "72AA²¹"), =HYPERLINK("CSG21.html#group48B21", "48B²¹"), =HYPERLINK("CSG15.html#group72N15", "72N¹⁵"), =HYPERLINK("CSG9.html#group48H9", "48H⁹"), =HYPERLINK("CSG13.html#group24W13", "24W¹³"), =HYPERLINK("CSG13.html#group48X13", "48X¹³"), =HYPERLINK("CSG17.html#group48L17", "48L¹⁷"), =HYPERLINK("CSG7.html#group24Q7", "24Q⁷"), =HYPERLINK("CSG17.html#group24C17", "24C¹⁷"), =HYPERLINK("CSG17.html#group48AR17", "48AR¹⁷")</f>
        <v/>
      </c>
    </row>
    <row r="536">
      <c r="A536" t="inlineStr">
        <is>
          <t>24I³</t>
        </is>
      </c>
      <c r="B536" t="inlineStr"/>
      <c r="C536" t="inlineStr">
        <is>
          <t>72</t>
        </is>
      </c>
      <c r="D536" t="inlineStr">
        <is>
          <t>1</t>
        </is>
      </c>
      <c r="E536" t="inlineStr">
        <is>
          <t>9</t>
        </is>
      </c>
      <c r="F536" t="inlineStr">
        <is>
          <t>8</t>
        </is>
      </c>
      <c r="G536" t="inlineStr">
        <is>
          <t>0</t>
        </is>
      </c>
      <c r="H536" t="inlineStr">
        <is>
          <t>12², 24²</t>
        </is>
      </c>
      <c r="I536" t="n">
        <v>4</v>
      </c>
      <c r="J536" t="inlineStr">
        <is>
          <t>1³, 2³</t>
        </is>
      </c>
      <c r="K536">
        <f>HYPERLINK("CSG0.html#group24A0", "24A⁰"), =HYPERLINK("CSG1.html#group12L1", "12L¹"), =HYPERLINK("CSG2.html#group24C2", "24C²")</f>
        <v/>
      </c>
      <c r="L536">
        <f>HYPERLINK("CSG5.html#group24S5", "24S⁵"), =HYPERLINK("CSG7.html#group24O7", "24O⁷"), =HYPERLINK("CSG7.html#group24R7", "24R⁷"), =HYPERLINK("CSG7.html#group24Z7", "24Z⁷"), =HYPERLINK("CSG7.html#group24AA7", "24AA⁷"), =HYPERLINK("CSG7.html#group48M7", "48M⁷"), =HYPERLINK("CSG7.html#group48N7", "48N⁷"), =HYPERLINK("CSG9.html#group24A9", "24A⁹"), =HYPERLINK("CSG9.html#group24J9", "24J⁹"), =HYPERLINK("CSG9.html#group48J9", "48J⁹"), =HYPERLINK("CSG9.html#group48M9", "48M⁹"), =HYPERLINK("CSG9.html#group48W9", "48W⁹"), =HYPERLINK("CSG9.html#group48Z9", "48Z⁹"), =HYPERLINK("CSG11.html#group48E11", "48E¹¹"), =HYPERLINK("CSG11.html#group48H11", "48H¹¹"), =HYPERLINK("CSG11.html#group72N11", "72N¹¹"), =HYPERLINK("CSG13.html#group72K13", "72K¹³"), =HYPERLINK("CSG15.html#group72O15", "72O¹⁵")</f>
        <v/>
      </c>
      <c r="M536">
        <f>HYPERLINK("CSG0.html#group12C0", "12C⁰"), =HYPERLINK("CSG1.html#group12C1", "12C¹"), =HYPERLINK("CSG0.html#group24A0", "24A⁰"), =HYPERLINK("CSG0.html#group4C0", "4C⁰"), =HYPERLINK("CSG0.html#group8B0", "8B⁰"), =HYPERLINK("CSG0.html#group6G0", "6G⁰"), =HYPERLINK("CSG0.html#group3C0", "3C⁰"), =HYPERLINK("CSG0.html#group1A0", "1A⁰"), =HYPERLINK("CSG0.html#group2B0", "2B⁰"), =HYPERLINK("CSG2.html#group24C2", "24C²"), =HYPERLINK("CSG0.html#group3A0", "3A⁰"), =HYPERLINK("CSG1.html#group12L1", "12L¹"), =HYPERLINK("CSG0.html#group6D0", "6D⁰")</f>
        <v/>
      </c>
      <c r="N536">
        <f>HYPERLINK("CSG21.html#group48AO21", "48AO²¹"), =HYPERLINK("CSG21.html#group96Y21", "96Y²¹"), =HYPERLINK("CSG13.html#group72K13", "72K¹³"), =HYPERLINK("CSG7.html#group24AA7", "24AA⁷"), =HYPERLINK("CSG19.html#group48BE19", "48BE¹⁹"), =HYPERLINK("CSG19.html#group96AJ19", "96AJ¹⁹"), =HYPERLINK("CSG17.html#group48O17", "48O¹⁷"), =HYPERLINK("CSG9.html#group48M9", "48M⁹"), =HYPERLINK("CSG13.html#group24R13", "24R¹³"), =HYPERLINK("CSG21.html#group96AG21", "96AG²¹"), =HYPERLINK("CSG21.html#group48H21", "48H²¹"), =HYPERLINK("CSG17.html#group24I17", "24I¹⁷"), =HYPERLINK("CSG17.html#group48AK17", "48AK¹⁷"), =HYPERLINK("CSG21.html#group96AN21", "96AN²¹"), =HYPERLINK("CSG21.html#group96AO21", "96AO²¹"), =HYPERLINK("CSG17.html#group24L17", "24L¹⁷"), =HYPERLINK("CSG7.html#group24R7", "24R⁷"), =HYPERLINK("CSG9.html#group24A9", "24A⁹"), =HYPERLINK("CSG21.html#group48O21", "48O²¹"), =HYPERLINK("CSG23.html#group144W23", "144W²³"), =HYPERLINK("CSG17.html#group48AE17", "48AE¹⁷"), =HYPERLINK("CSG13.html#group24Q13", "24Q¹³"), =HYPERLINK("CSG17.html#group48Q17", "48Q¹⁷"), =HYPERLINK("CSG17.html#group24AD17", "24AD¹⁷"), =HYPERLINK("CSG11.html#group72N11", "72N¹¹"), =HYPERLINK("CSG17.html#group24AG17", "24AG¹⁷"), =HYPERLINK("CSG21.html#group48AC21", "48AC²¹"), =HYPERLINK("CSG21.html#group48AD21", "48AD²¹"), =HYPERLINK("CSG13.html#group24Y13", "24Y¹³"), =HYPERLINK("CSG21.html#group96AH21", "96AH²¹"), =HYPERLINK("CSG17.html#group48R17", "48R¹⁷"), =HYPERLINK("CSG17.html#group48M17", "48M¹⁷"), =HYPERLINK("CSG19.html#group48AL19", "48AL¹⁹"), =HYPERLINK("CSG15.html#group24N15", "24N¹⁵"), =HYPERLINK("CSG21.html#group96AF21", "96AF²¹"), =HYPERLINK("CSG17.html#group24J17", "24J¹⁷"), =HYPERLINK("CSG17.html#group48P17", "48P¹⁷"), =HYPERLINK("CSG15.html#group24M15", "24M¹⁵"), =HYPERLINK("CSG21.html#group48AB21", "48AB²¹"), =HYPERLINK("CSG21.html#group48BD21", "48BD²¹"), =HYPERLINK("CSG21.html#group48BC21", "48BC²¹"), =HYPERLINK("CSG17.html#group48AR17", "48AR¹⁷"), =HYPERLINK("CSG21.html#group72AA21", "72AA²¹"), =HYPERLINK("CSG21.html#group48BG21", "48BG²¹"), =HYPERLINK("CSG17.html#group48AF17", "48AF¹⁷"), =HYPERLINK("CSG23.html#group144X23", "144X²³"), =HYPERLINK("CSG19.html#group48BD19", "48BD¹⁹"), =HYPERLINK("CSG17.html#group24T17", "24T¹⁷"), =HYPERLINK("CSG21.html#group48D21", "48D²¹"), =HYPERLINK("CSG17.html#group48L17", "48L¹⁷"), =HYPERLINK("CSG13.html#group24S13", "24S¹³"), =HYPERLINK("CSG19.html#group96AI19", "96AI¹⁹"), =HYPERLINK("CSG9.html#group48Z9", "48Z⁹"), =HYPERLINK("CSG17.html#group48N17", "48N¹⁷"), =HYPERLINK("CSG19.html#group48BG19", "48BG¹⁹"), =HYPERLINK("CSG21.html#group48S21", "48S²¹"), =HYPERLINK("CSG11.html#group48E11", "48E¹¹"), =HYPERLINK("CSG11.html#group48H11", "48H¹¹"), =HYPERLINK("CSG21.html#group96AM21", "96AM²¹"), =HYPERLINK("CSG21.html#group96AE21", "96AE²¹"), =HYPERLINK("CSG21.html#group48AF21", "48AF²¹"), =HYPERLINK("CSG21.html#group48C21", "48C²¹"), =HYPERLINK("CSG7.html#group48M7", "48M⁷"), =HYPERLINK("CSG17.html#group96P17", "96P¹⁷"), =HYPERLINK("CSG21.html#group48P21", "48P²¹"), =HYPERLINK("CSG17.html#group24D17", "24D¹⁷"), =HYPERLINK("CSG21.html#group96AP21", "96AP²¹"), =HYPERLINK("CSG5.html#group24S5", "24S⁵"), =HYPERLINK("CSG9.html#group24J9", "24J⁹"), =HYPERLINK("CSG17.html#group24AH17", "24AH¹⁷"), =HYPERLINK("CSG9.html#group48W9", "48W⁹"), =HYPERLINK("CSG15.html#group24U15", "24U¹⁵"), =HYPERLINK("CSG17.html#group48AY17", "48AY¹⁷"), =HYPERLINK("CSG17.html#group48AV17", "48AV¹⁷"), =HYPERLINK("CSG21.html#group48M21", "48M²¹"), =HYPERLINK("CSG17.html#group48AW17", "48AW¹⁷"), =HYPERLINK("CSG17.html#group24V17", "24V¹⁷"), =HYPERLINK("CSG7.html#group24O7", "24O⁷"), =HYPERLINK("CSG19.html#group48BC19", "48BC¹⁹"), =HYPERLINK("CSG7.html#group24Z7", "24Z⁷"), =HYPERLINK("CSG9.html#group48J9", "48J⁹"), =HYPERLINK("CSG17.html#group48AL17", "48AL¹⁷"), =HYPERLINK("CSG19.html#group48BB19", "48BB¹⁹"), =HYPERLINK("CSG17.html#group96Q17", "96Q¹⁷"), =HYPERLINK("CSG17.html#group48AX17", "48AX¹⁷"), =HYPERLINK("CSG21.html#group48W21", "48W²¹"), =HYPERLINK("CSG15.html#group72O15", "72O¹⁵"), =HYPERLINK("CSG17.html#group24AF17", "24AF¹⁷"), =HYPERLINK("CSG21.html#group48BB21", "48BB²¹"), =HYPERLINK("CSG7.html#group48N7", "48N⁷"), =HYPERLINK("CSG21.html#group48K21", "48K²¹"), =HYPERLINK("CSG13.html#group24W13", "24W¹³"), =HYPERLINK("CSG13.html#group48X13", "48X¹³"), =HYPERLINK("CSG17.html#group48AZ17", "48AZ¹⁷"), =HYPERLINK("CSG21.html#group48AP21", "48AP²¹"), =HYPERLINK("CSG19.html#group48AM19", "48AM¹⁹"), =HYPERLINK("CSG17.html#group24C17", "24C¹⁷"), =HYPERLINK("CSG21.html#group96AA21", "96AA²¹")</f>
        <v/>
      </c>
    </row>
    <row r="537">
      <c r="A537" t="inlineStr">
        <is>
          <t>24J³</t>
        </is>
      </c>
      <c r="B537" t="inlineStr"/>
      <c r="C537" t="inlineStr">
        <is>
          <t>72</t>
        </is>
      </c>
      <c r="D537" t="inlineStr">
        <is>
          <t>1</t>
        </is>
      </c>
      <c r="E537" t="inlineStr">
        <is>
          <t>12</t>
        </is>
      </c>
      <c r="F537" t="inlineStr">
        <is>
          <t>6</t>
        </is>
      </c>
      <c r="G537" t="inlineStr">
        <is>
          <t>0</t>
        </is>
      </c>
      <c r="H537" t="inlineStr">
        <is>
          <t>12⁴, 24¹</t>
        </is>
      </c>
      <c r="I537" t="n">
        <v>5</v>
      </c>
      <c r="J537" t="inlineStr">
        <is>
          <t>2², 4²</t>
        </is>
      </c>
      <c r="K537">
        <f>HYPERLINK("CSG0.html#group8K0", "8K⁰"), =HYPERLINK("CSG1.html#group12J1", "12J¹")</f>
        <v/>
      </c>
      <c r="L537">
        <f>HYPERLINK("CSG6.html#group24F6", "24F⁶"), =HYPERLINK("CSG7.html#group24K7", "24K⁷"), =HYPERLINK("CSG7.html#group24Y7", "24Y⁷"), =HYPERLINK("CSG8.html#group24A8", "24A⁸"), =HYPERLINK("CSG8.html#group24K8", "24K⁸"), =HYPERLINK("CSG8.html#group48G8", "48G⁸"), =HYPERLINK("CSG8.html#group48H8", "48H⁸"), =HYPERLINK("CSG8.html#group48U8", "48U⁸"), =HYPERLINK("CSG8.html#group48V8", "48V⁸"), =HYPERLINK("CSG9.html#group24W9", "24W⁹"), =HYPERLINK("CSG10.html#group24C10", "24C¹⁰"), =HYPERLINK("CSG14.html#group72F14", "72F¹⁴")</f>
        <v/>
      </c>
      <c r="M537">
        <f>HYPERLINK("CSG0.html#group12C0", "12C⁰"), =HYPERLINK("CSG0.html#group4C0", "4C⁰"), =HYPERLINK("CSG0.html#group2B0", "2B⁰"), =HYPERLINK("CSG0.html#group1A0", "1A⁰"), =HYPERLINK("CSG0.html#group8K0", "8K⁰"), =HYPERLINK("CSG0.html#group12A0", "12A⁰"), =HYPERLINK("CSG0.html#group4A0", "4A⁰"), =HYPERLINK("CSG1.html#group12J1", "12J¹"), =HYPERLINK("CSG0.html#group4F0", "4F⁰"), =HYPERLINK("CSG0.html#group3A0", "3A⁰"), =HYPERLINK("CSG0.html#group6D0", "6D⁰")</f>
        <v/>
      </c>
      <c r="N537">
        <f>HYPERLINK("CSG10.html#group24C10", "24C¹⁰"), =HYPERLINK("CSG19.html#group48AU19", "48AU¹⁹"), =HYPERLINK("CSG18.html#group48K18", "48K¹⁸"), =HYPERLINK("CSG19.html#group24P19", "24P¹⁹"), =HYPERLINK("CSG21.html#group48AQ21", "48AQ²¹"), =HYPERLINK("CSG16.html#group24A16", "24A¹⁶"), =HYPERLINK("CSG16.html#group48C16", "48C¹⁶"), =HYPERLINK("CSG6.html#group24F6", "24F⁶"), =HYPERLINK("CSG14.html#group72F14", "72F¹⁴"), =HYPERLINK("CSG16.html#group48B16", "48B¹⁶"), =HYPERLINK("CSG20.html#group48B20", "48B²⁰"), =HYPERLINK("CSG21.html#group48BL21", "48BL²¹"), =HYPERLINK("CSG19.html#group48S19", "48S¹⁹"), =HYPERLINK("CSG22.html#group48D22", "48D²²"), =HYPERLINK("CSG15.html#group24C15", "24C¹⁵"), =HYPERLINK("CSG18.html#group48L18", "48L¹⁸"), =HYPERLINK("CSG18.html#group48R18", "48R¹⁸"), =HYPERLINK("CSG16.html#group48D16", "48D¹⁶"), =HYPERLINK("CSG19.html#group48AT19", "48AT¹⁹"), =HYPERLINK("CSG15.html#group24B15", "24B¹⁵"), =HYPERLINK("CSG19.html#group24O19", "24O¹⁹"), =HYPERLINK("CSG15.html#group24P15", "24P¹⁵"), =HYPERLINK("CSG22.html#group48C22", "48C²²"), =HYPERLINK("CSG19.html#group48AS19", "48AS¹⁹"), =HYPERLINK("CSG20.html#group48A20", "48A²⁰"), =HYPERLINK("CSG17.html#group48BO17", "48BO¹⁷"), =HYPERLINK("CSG17.html#group24AC17", "24AC¹⁷"), =HYPERLINK("CSG7.html#group24K7", "24K⁷"), =HYPERLINK("CSG18.html#group48E18", "48E¹⁸"), =HYPERLINK("CSG17.html#group24W17", "24W¹⁷"), =HYPERLINK("CSG19.html#group48BL19", "48BL¹⁹"), =HYPERLINK("CSG17.html#group48BN17", "48BN¹⁷"), =HYPERLINK("CSG19.html#group48T19", "48T¹⁹"), =HYPERLINK("CSG17.html#group48AM17", "48AM¹⁷"), =HYPERLINK("CSG17.html#group24B17", "24B¹⁷"), =HYPERLINK("CSG16.html#group48E16", "48E¹⁶"), =HYPERLINK("CSG8.html#group24A8", "24A⁸"), =HYPERLINK("CSG15.html#group48H15", "48H¹⁵"), =HYPERLINK("CSG18.html#group48B18", "48B¹⁸"), =HYPERLINK("CSG13.html#group24U13", "24U¹³"), =HYPERLINK("CSG8.html#group48U8", "48U⁸"), =HYPERLINK("CSG17.html#group48BL17", "48BL¹⁷"), =HYPERLINK("CSG19.html#group24H19", "24H¹⁹"), =HYPERLINK("CSG8.html#group48H8", "48H⁸"), =HYPERLINK("CSG9.html#group24W9", "24W⁹"), =HYPERLINK("CSG21.html#group48T21", "48T²¹"), =HYPERLINK("CSG8.html#group48V8", "48V⁸"), =HYPERLINK("CSG19.html#group48AV19", "48AV¹⁹"), =HYPERLINK("CSG17.html#group48S17", "48S¹⁷"), =HYPERLINK("CSG17.html#group24AF17", "24AF¹⁷"), =HYPERLINK("CSG16.html#group24C16", "24C¹⁶"), =HYPERLINK("CSG8.html#group24K8", "24K⁸"), =HYPERLINK("CSG18.html#group48J18", "48J¹⁸"), =HYPERLINK("CSG17.html#group24AL17", "24AL¹⁷"), =HYPERLINK("CSG17.html#group48BK17", "48BK¹⁷"), =HYPERLINK("CSG17.html#group48BJ17", "48BJ¹⁷"), =HYPERLINK("CSG17.html#group48BI17", "48BI¹⁷"), =HYPERLINK("CSG8.html#group48G8", "48G⁸"), =HYPERLINK("CSG17.html#group48T17", "48T¹⁷"), =HYPERLINK("CSG19.html#group48AB19", "48AB¹⁹"), =HYPERLINK("CSG19.html#group24Q19", "24Q¹⁹"), =HYPERLINK("CSG18.html#group48G18", "48G¹⁸"), =HYPERLINK("CSG7.html#group24Y7", "24Y⁷"), =HYPERLINK("CSG19.html#group24D19", "24D¹⁹")</f>
        <v/>
      </c>
    </row>
    <row r="538">
      <c r="A538" t="inlineStr">
        <is>
          <t>24K³</t>
        </is>
      </c>
      <c r="B538" t="inlineStr"/>
      <c r="C538" t="inlineStr">
        <is>
          <t>72</t>
        </is>
      </c>
      <c r="D538" t="inlineStr">
        <is>
          <t>1</t>
        </is>
      </c>
      <c r="E538" t="inlineStr">
        <is>
          <t>18</t>
        </is>
      </c>
      <c r="F538" t="inlineStr">
        <is>
          <t>0</t>
        </is>
      </c>
      <c r="G538" t="inlineStr">
        <is>
          <t>0</t>
        </is>
      </c>
      <c r="H538" t="inlineStr">
        <is>
          <t>3⁴, 6², 24²</t>
        </is>
      </c>
      <c r="I538" t="n">
        <v>8</v>
      </c>
      <c r="J538" t="inlineStr">
        <is>
          <t>1⁴, 2⁵, 4¹</t>
        </is>
      </c>
      <c r="K538">
        <f>HYPERLINK("CSG1.html#group12K1", "12K¹"), =HYPERLINK("CSG2.html#group24D2", "24D²")</f>
        <v/>
      </c>
      <c r="L538">
        <f>HYPERLINK("CSG5.html#group24R5", "24R⁵"), =HYPERLINK("CSG7.html#group24I7", "24I⁷"), =HYPERLINK("CSG7.html#group24N7", "24N⁷"), =HYPERLINK("CSG7.html#group48W7", "48W⁷"), =HYPERLINK("CSG9.html#group48N9", "48N⁹"), =HYPERLINK("CSG11.html#group72P11", "72P¹¹"), =HYPERLINK("CSG15.html#group72F15", "72F¹⁵"), =HYPERLINK("CSG15.html#group72R15", "72R¹⁵")</f>
        <v/>
      </c>
      <c r="M538">
        <f>HYPERLINK("CSG1.html#group12K1", "12K¹"), =HYPERLINK("CSG0.html#group4B0", "4B⁰"), =HYPERLINK("CSG2.html#group24D2", "24D²"), =HYPERLINK("CSG0.html#group6G0", "6G⁰"), =HYPERLINK("CSG0.html#group3C0", "3C⁰"), =HYPERLINK("CSG1.html#group12B1", "12B¹"), =HYPERLINK("CSG0.html#group2B0", "2B⁰"), =HYPERLINK("CSG0.html#group12D0", "12D⁰"), =HYPERLINK("CSG0.html#group3A0", "3A⁰"), =HYPERLINK("CSG0.html#group1A0", "1A⁰"), =HYPERLINK("CSG0.html#group6D0", "6D⁰")</f>
        <v/>
      </c>
      <c r="N538">
        <f>HYPERLINK("CSG17.html#group48V17", "48V¹⁷"), =HYPERLINK("CSG15.html#group48K15", "48K¹⁵"), =HYPERLINK("CSG7.html#group48W7", "48W⁷"), =HYPERLINK("CSG13.html#group24N13", "24N¹³"), =HYPERLINK("CSG19.html#group48K19", "48K¹⁹"), =HYPERLINK("CSG21.html#group72AB21", "72AB²¹"), =HYPERLINK("CSG7.html#group24N7", "24N⁷"), =HYPERLINK("CSG9.html#group48N9", "48N⁹"), =HYPERLINK("CSG15.html#group72F15", "72F¹⁵"), =HYPERLINK("CSG17.html#group24X17", "24X¹⁷"), =HYPERLINK("CSG17.html#group24G17", "24G¹⁷"), =HYPERLINK("CSG15.html#group24H15", "24H¹⁵"), =HYPERLINK("CSG17.html#group24I17", "24I¹⁷"), =HYPERLINK("CSG13.html#group24K13", "24K¹³"), =HYPERLINK("CSG17.html#group48G17", "48G¹⁷"), =HYPERLINK("CSG17.html#group48F17", "48F¹⁷"), =HYPERLINK("CSG19.html#group48AA19", "48AA¹⁹"), =HYPERLINK("CSG13.html#group48W13", "48W¹³"), =HYPERLINK("CSG15.html#group72R15", "72R¹⁵"), =HYPERLINK("CSG17.html#group48U17", "48U¹⁷"), =HYPERLINK("CSG15.html#group24G15", "24G¹⁵"), =HYPERLINK("CSG17.html#group48B17", "48B¹⁷"), =HYPERLINK("CSG13.html#group24L13", "24L¹³"), =HYPERLINK("CSG13.html#group48Y13", "48Y¹³"), =HYPERLINK("CSG15.html#group24I15", "24I¹⁵"), =HYPERLINK("CSG17.html#group48C17", "48C¹⁷"), =HYPERLINK("CSG15.html#group48R15", "48R¹⁵"), =HYPERLINK("CSG13.html#group48V13", "48V¹³"), =HYPERLINK("CSG5.html#group24R5", "24R⁵"), =HYPERLINK("CSG7.html#group24I7", "24I⁷"), =HYPERLINK("CSG11.html#group72P11", "72P¹¹"), =HYPERLINK("CSG13.html#group48Z13", "48Z¹³"), =HYPERLINK("CSG13.html#group24M13", "24M¹³"), =HYPERLINK("CSG9.html#group24AP9", "24AP⁹")</f>
        <v/>
      </c>
    </row>
    <row r="539">
      <c r="A539" t="inlineStr">
        <is>
          <t>24L³</t>
        </is>
      </c>
      <c r="B539" t="inlineStr"/>
      <c r="C539" t="inlineStr">
        <is>
          <t>72</t>
        </is>
      </c>
      <c r="D539" t="inlineStr">
        <is>
          <t>1</t>
        </is>
      </c>
      <c r="E539" t="inlineStr">
        <is>
          <t>18</t>
        </is>
      </c>
      <c r="F539" t="inlineStr">
        <is>
          <t>0</t>
        </is>
      </c>
      <c r="G539" t="inlineStr">
        <is>
          <t>0</t>
        </is>
      </c>
      <c r="H539" t="inlineStr">
        <is>
          <t>3⁴, 6², 24²</t>
        </is>
      </c>
      <c r="I539" t="n">
        <v>8</v>
      </c>
      <c r="J539" t="inlineStr">
        <is>
          <t>1⁴, 2⁵, 4¹</t>
        </is>
      </c>
      <c r="K539">
        <f>HYPERLINK("CSG1.html#group12K1", "12K¹"), =HYPERLINK("CSG2.html#group24B2", "24B²"), =HYPERLINK("CSG2.html#group24D2", "24D²")</f>
        <v/>
      </c>
      <c r="L539">
        <f>HYPERLINK("CSG5.html#group24R5", "24R⁵"), =HYPERLINK("CSG7.html#group24J7", "24J⁷"), =HYPERLINK("CSG7.html#group24N7", "24N⁷"), =HYPERLINK("CSG7.html#group24T7", "24T⁷"), =HYPERLINK("CSG7.html#group24U7", "24U⁷"), =HYPERLINK("CSG7.html#group48Q7", "48Q⁷"), =HYPERLINK("CSG7.html#group48R7", "48R⁷"), =HYPERLINK("CSG7.html#group48X7", "48X⁷"), =HYPERLINK("CSG7.html#group48Y7", "48Y⁷"), =HYPERLINK("CSG9.html#group48C9", "48C⁹"), =HYPERLINK("CSG9.html#group48D9", "48D⁹"), =HYPERLINK("CSG11.html#group72Q11", "72Q¹¹"), =HYPERLINK("CSG15.html#group72G15", "72G¹⁵"), =HYPERLINK("CSG15.html#group72S15", "72S¹⁵")</f>
        <v/>
      </c>
      <c r="M539">
        <f>HYPERLINK("CSG2.html#group24B2", "24B²"), =HYPERLINK("CSG1.html#group12K1", "12K¹"), =HYPERLINK("CSG0.html#group4B0", "4B⁰"), =HYPERLINK("CSG2.html#group24D2", "24D²"), =HYPERLINK("CSG0.html#group6G0", "6G⁰"), =HYPERLINK("CSG0.html#group3C0", "3C⁰"), =HYPERLINK("CSG1.html#group12B1", "12B¹"), =HYPERLINK("CSG0.html#group2B0", "2B⁰"), =HYPERLINK("CSG0.html#group8C0", "8C⁰"), =HYPERLINK("CSG0.html#group12D0", "12D⁰"), =HYPERLINK("CSG0.html#group3A0", "3A⁰"), =HYPERLINK("CSG0.html#group1A0", "1A⁰"), =HYPERLINK("CSG0.html#group6D0", "6D⁰")</f>
        <v/>
      </c>
      <c r="N539">
        <f>HYPERLINK("CSG7.html#group24T7", "24T⁷"), =HYPERLINK("CSG11.html#group72Q11", "72Q¹¹"), =HYPERLINK("CSG15.html#group48Q15", "48Q¹⁵"), =HYPERLINK("CSG21.html#group72AB21", "72AB²¹"), =HYPERLINK("CSG21.html#group96S21", "96S²¹"), =HYPERLINK("CSG7.html#group24J7", "24J⁷"), =HYPERLINK("CSG17.html#group48G17", "48G¹⁷"), =HYPERLINK("CSG17.html#group48Y17", "48Y¹⁷"), =HYPERLINK("CSG13.html#group48W13", "48W¹³"), =HYPERLINK("CSG19.html#group48AA19", "48AA¹⁹"), =HYPERLINK("CSG17.html#group48E17", "48E¹⁷"), =HYPERLINK("CSG21.html#group96G21", "96G²¹"), =HYPERLINK("CSG15.html#group24G15", "24G¹⁵"), =HYPERLINK("CSG15.html#group48E15", "48E¹⁵"), =HYPERLINK("CSG13.html#group48V13", "48V¹³"), =HYPERLINK("CSG5.html#group24R5", "24R⁵"), =HYPERLINK("CSG9.html#group24AP9", "24AP⁹"), =HYPERLINK("CSG17.html#group96I17", "96I¹⁷"), =HYPERLINK("CSG15.html#group48F15", "48F¹⁵"), =HYPERLINK("CSG13.html#group24N13", "24N¹³"), =HYPERLINK("CSG17.html#group48K17", "48K¹⁷"), =HYPERLINK("CSG17.html#group24J17", "24J¹⁷"), =HYPERLINK("CSG13.html#group24K13", "24K¹³"), =HYPERLINK("CSG19.html#group96N19", "96N¹⁹"), =HYPERLINK("CSG21.html#group96M21", "96M²¹"), =HYPERLINK("CSG21.html#group96F21", "96F²¹"), =HYPERLINK("CSG17.html#group48AB17", "48AB¹⁷"), =HYPERLINK("CSG21.html#group96J21", "96J²¹"), =HYPERLINK("CSG9.html#group48C9", "48C⁹"), =HYPERLINK("CSG13.html#group48Y13", "48Y¹³"), =HYPERLINK("CSG19.html#group48F19", "48F¹⁹"), =HYPERLINK("CSG19.html#group48E19", "48E¹⁹"), =HYPERLINK("CSG13.html#group24M13", "24M¹³"), =HYPERLINK("CSG15.html#group48O15", "48O¹⁵"), =HYPERLINK("CSG15.html#group48P15", "48P¹⁵"), =HYPERLINK("CSG15.html#group72G15", "72G¹⁵"), =HYPERLINK("CSG17.html#group48V17", "48V¹⁷"), =HYPERLINK("CSG17.html#group48Z17", "48Z¹⁷"), =HYPERLINK("CSG17.html#group24X17", "24X¹⁷"), =HYPERLINK("CSG21.html#group96N21", "96N²¹"), =HYPERLINK("CSG15.html#group24H15", "24H¹⁵"), =HYPERLINK("CSG17.html#group48AA17", "48AA¹⁷"), =HYPERLINK("CSG21.html#group96I21", "96I²¹"), =HYPERLINK("CSG17.html#group96S17", "96S¹⁷"), =HYPERLINK("CSG7.html#group48Y7", "48Y⁷"), =HYPERLINK("CSG15.html#group96P15", "96P¹⁵"), =HYPERLINK("CSG7.html#group48R7", "48R⁷"), =HYPERLINK("CSG13.html#group48Z13", "48Z¹³"), =HYPERLINK("CSG15.html#group24D15", "24D¹⁵"), =HYPERLINK("CSG15.html#group72S15", "72S¹⁵"), =HYPERLINK("CSG17.html#group96J17", "96J¹⁷"), =HYPERLINK("CSG19.html#group96F19", "96F¹⁹"), =HYPERLINK("CSG7.html#group48X7", "48X⁷"), =HYPERLINK("CSG7.html#group24U7", "24U⁷"), =HYPERLINK("CSG21.html#group96AB21", "96AB²¹"), =HYPERLINK("CSG7.html#group24N7", "24N⁷"), =HYPERLINK("CSG17.html#group24H17", "24H¹⁷"), =HYPERLINK("CSG19.html#group96D19", "96D¹⁹"), =HYPERLINK("CSG9.html#group48D9", "48D⁹"), =HYPERLINK("CSG15.html#group96M15", "96M¹⁵"), =HYPERLINK("CSG17.html#group48F17", "48F¹⁷"), =HYPERLINK("CSG7.html#group48Q7", "48Q⁷"), =HYPERLINK("CSG13.html#group24L13", "24L¹³"), =HYPERLINK("CSG17.html#group48B17", "48B¹⁷"), =HYPERLINK("CSG17.html#group48C17", "48C¹⁷"), =HYPERLINK("CSG15.html#group48N15", "48N¹⁵"), =HYPERLINK("CSG15.html#group96N15", "96N¹⁵"), =HYPERLINK("CSG15.html#group48R15", "48R¹⁵"), =HYPERLINK("CSG15.html#group24E15", "24E¹⁵"), =HYPERLINK("CSG21.html#group96P21", "96P²¹")</f>
        <v/>
      </c>
    </row>
    <row r="540">
      <c r="A540" t="inlineStr">
        <is>
          <t>24M³</t>
        </is>
      </c>
      <c r="B540" t="inlineStr"/>
      <c r="C540" t="inlineStr">
        <is>
          <t>72</t>
        </is>
      </c>
      <c r="D540" t="inlineStr">
        <is>
          <t>1</t>
        </is>
      </c>
      <c r="E540" t="inlineStr">
        <is>
          <t>18</t>
        </is>
      </c>
      <c r="F540" t="inlineStr">
        <is>
          <t>4</t>
        </is>
      </c>
      <c r="G540" t="inlineStr">
        <is>
          <t>0</t>
        </is>
      </c>
      <c r="H540" t="inlineStr">
        <is>
          <t>6⁴, 24²</t>
        </is>
      </c>
      <c r="I540" t="n">
        <v>6</v>
      </c>
      <c r="J540" t="inlineStr">
        <is>
          <t>2³, 4³</t>
        </is>
      </c>
      <c r="K540">
        <f>HYPERLINK("CSG0.html#group12G0", "12G⁰")</f>
        <v/>
      </c>
      <c r="L540">
        <f>HYPERLINK("CSG5.html#group24T5", "24T⁵"), =HYPERLINK("CSG7.html#group24G7", "24G⁷"), =HYPERLINK("CSG7.html#group24M7", "24M⁷"), =HYPERLINK("CSG12.html#group72D12", "72D¹²"), =HYPERLINK("CSG12.html#group72E12", "72E¹²"), =HYPERLINK("CSG13.html#group72F13", "72F¹³"), =HYPERLINK("CSG15.html#group72T15", "72T¹⁵")</f>
        <v/>
      </c>
      <c r="M540">
        <f>HYPERLINK("CSG0.html#group12G0", "12G⁰"), =HYPERLINK("CSG0.html#group6G0", "6G⁰"), =HYPERLINK("CSG0.html#group3C0", "3C⁰"), =HYPERLINK("CSG0.html#group2B0", "2B⁰"), =HYPERLINK("CSG0.html#group12D0", "12D⁰"), =HYPERLINK("CSG0.html#group3A0", "3A⁰"), =HYPERLINK("CSG0.html#group1A0", "1A⁰"), =HYPERLINK("CSG0.html#group6D0", "6D⁰")</f>
        <v/>
      </c>
      <c r="N540">
        <f>HYPERLINK("CSG12.html#group72E12", "72E¹²"), =HYPERLINK("CSG7.html#group24M7", "24M⁷"), =HYPERLINK("CSG23.html#group72J23", "72J²³"), =HYPERLINK("CSG13.html#group24L13", "24L¹³"), =HYPERLINK("CSG13.html#group72F13", "72F¹³"), =HYPERLINK("CSG23.html#group72I23", "72I²³"), =HYPERLINK("CSG5.html#group24T5", "24T⁵"), =HYPERLINK("CSG17.html#group24M17", "24M¹⁷"), =HYPERLINK("CSG13.html#group24J13", "24J¹³"), =HYPERLINK("CSG12.html#group72D12", "72D¹²"), =HYPERLINK("CSG17.html#group24Y17", "24Y¹⁷"), =HYPERLINK("CSG11.html#group24N11", "24N¹¹"), =HYPERLINK("CSG7.html#group24G7", "24G⁷"), =HYPERLINK("CSG13.html#group24Q13", "24Q¹³"), =HYPERLINK("CSG15.html#group24L15", "24L¹⁵"), =HYPERLINK("CSG15.html#group72T15", "72T¹⁵")</f>
        <v/>
      </c>
    </row>
    <row r="541">
      <c r="A541" t="inlineStr">
        <is>
          <t>24N³</t>
        </is>
      </c>
      <c r="B541" t="inlineStr"/>
      <c r="C541" t="inlineStr">
        <is>
          <t>72</t>
        </is>
      </c>
      <c r="D541" t="inlineStr">
        <is>
          <t>1</t>
        </is>
      </c>
      <c r="E541" t="inlineStr">
        <is>
          <t>18</t>
        </is>
      </c>
      <c r="F541" t="inlineStr">
        <is>
          <t>4</t>
        </is>
      </c>
      <c r="G541" t="inlineStr">
        <is>
          <t>0</t>
        </is>
      </c>
      <c r="H541" t="inlineStr">
        <is>
          <t>6⁴, 24²</t>
        </is>
      </c>
      <c r="I541" t="n">
        <v>6</v>
      </c>
      <c r="J541" t="inlineStr">
        <is>
          <t>1², 2⁴, 4²</t>
        </is>
      </c>
      <c r="K541">
        <f>HYPERLINK("CSG1.html#group12L1", "12L¹"), =HYPERLINK("CSG1.html#group24E1", "24E¹")</f>
        <v/>
      </c>
      <c r="L541">
        <f>HYPERLINK("CSG5.html#group24U5", "24U⁵"), =HYPERLINK("CSG7.html#group24H7", "24H⁷"), =HYPERLINK("CSG7.html#group24I7", "24I⁷"), =HYPERLINK("CSG7.html#group24O7", "24O⁷"), =HYPERLINK("CSG7.html#group24Q7", "24Q⁷"), =HYPERLINK("CSG9.html#group24P9", "24P⁹"), =HYPERLINK("CSG9.html#group24N9", "24N⁹"), =HYPERLINK("CSG12.html#group72H12", "72H¹²"), =HYPERLINK("CSG13.html#group72G13", "72G¹³"), =HYPERLINK("CSG15.html#group72U15", "72U¹⁵")</f>
        <v/>
      </c>
      <c r="M541">
        <f>HYPERLINK("CSG1.html#group24E1", "24E¹"), =HYPERLINK("CSG0.html#group12C0", "12C⁰"), =HYPERLINK("CSG1.html#group12C1", "12C¹"), =HYPERLINK("CSG0.html#group4C0", "4C⁰"), =HYPERLINK("CSG0.html#group6G0", "6G⁰"), =HYPERLINK("CSG0.html#group3C0", "3C⁰"), =HYPERLINK("CSG0.html#group1A0", "1A⁰"), =HYPERLINK("CSG0.html#group2B0", "2B⁰"), =HYPERLINK("CSG0.html#group3A0", "3A⁰"), =HYPERLINK("CSG1.html#group12L1", "12L¹"), =HYPERLINK("CSG0.html#group6D0", "6D⁰")</f>
        <v/>
      </c>
      <c r="N541">
        <f>HYPERLINK("CSG17.html#group48BM17", "48BM¹⁷"), =HYPERLINK("CSG17.html#group48O17", "48O¹⁷"), =HYPERLINK("CSG17.html#group48N17", "48N¹⁷"), =HYPERLINK("CSG13.html#group24R13", "24R¹³"), =HYPERLINK("CSG19.html#group48AI19", "48AI¹⁹"), =HYPERLINK("CSG11.html#group24N11", "24N¹¹"), =HYPERLINK("CSG15.html#group72U15", "72U¹⁵"), =HYPERLINK("CSG17.html#group24I17", "24I¹⁷"), =HYPERLINK("CSG17.html#group24AB17", "24AB¹⁷"), =HYPERLINK("CSG19.html#group48J19", "48J¹⁹"), =HYPERLINK("CSG17.html#group48U17", "48U¹⁷"), =HYPERLINK("CSG15.html#group24K15", "24K¹⁵"), =HYPERLINK("CSG17.html#group48AG17", "48AG¹⁷"), =HYPERLINK("CSG5.html#group24U5", "24U⁵"), =HYPERLINK("CSG17.html#group24D17", "24D¹⁷"), =HYPERLINK("CSG7.html#group24I7", "24I⁷"), =HYPERLINK("CSG12.html#group72H12", "72H¹²"), =HYPERLINK("CSG21.html#group48BT21", "48BT²¹"), =HYPERLINK("CSG19.html#group24O19", "24O¹⁹"), =HYPERLINK("CSG15.html#group24U15", "24U¹⁵"), =HYPERLINK("CSG17.html#group24E17", "24E¹⁷"), =HYPERLINK("CSG17.html#group24AC17", "24AC¹⁷"), =HYPERLINK("CSG9.html#group24P9", "24P⁹"), =HYPERLINK("CSG15.html#group48K15", "48K¹⁵"), =HYPERLINK("CSG21.html#group48AC21", "48AC²¹"), =HYPERLINK("CSG15.html#group48G15", "48G¹⁵"), =HYPERLINK("CSG7.html#group24O7", "24O⁷"), =HYPERLINK("CSG19.html#group48K19", "48K¹⁹"), =HYPERLINK("CSG17.html#group24G17", "24G¹⁷"), =HYPERLINK("CSG17.html#group48AH17", "48AH¹⁷"), =HYPERLINK("CSG19.html#group48BB19", "48BB¹⁹"), =HYPERLINK("CSG19.html#group24N19", "24N¹⁹"), =HYPERLINK("CSG13.html#group24K13", "24K¹³"), =HYPERLINK("CSG13.html#group48AD13", "48AD¹³"), =HYPERLINK("CSG17.html#group24N17", "24N¹⁷"), =HYPERLINK("CSG21.html#group48AB21", "48AB²¹"), =HYPERLINK("CSG19.html#group48AH19", "48AH¹⁹"), =HYPERLINK("CSG15.html#group24I15", "24I¹⁵"), =HYPERLINK("CSG23.html#group72K23", "72K²³"), =HYPERLINK("CSG13.html#group48AC13", "48AC¹³"), =HYPERLINK("CSG13.html#group72G13", "72G¹³"), =HYPERLINK("CSG7.html#group24H7", "24H⁷"), =HYPERLINK("CSG9.html#group24N9", "24N⁹"), =HYPERLINK("CSG7.html#group24Q7", "24Q⁷")</f>
        <v/>
      </c>
    </row>
    <row r="542">
      <c r="A542" t="inlineStr">
        <is>
          <t>24O³</t>
        </is>
      </c>
      <c r="B542" t="inlineStr"/>
      <c r="C542" t="inlineStr">
        <is>
          <t>72</t>
        </is>
      </c>
      <c r="D542" t="inlineStr">
        <is>
          <t>1</t>
        </is>
      </c>
      <c r="E542" t="inlineStr">
        <is>
          <t>18</t>
        </is>
      </c>
      <c r="F542" t="inlineStr">
        <is>
          <t>4</t>
        </is>
      </c>
      <c r="G542" t="inlineStr">
        <is>
          <t>0</t>
        </is>
      </c>
      <c r="H542" t="inlineStr">
        <is>
          <t>6⁴, 24²</t>
        </is>
      </c>
      <c r="I542" t="n">
        <v>6</v>
      </c>
      <c r="J542" t="inlineStr">
        <is>
          <t>1², 2⁴, 4²</t>
        </is>
      </c>
      <c r="K542">
        <f>HYPERLINK("CSG1.html#group12L1", "12L¹"), =HYPERLINK("CSG1.html#group24C1", "24C¹"), =HYPERLINK("CSG1.html#group24E1", "24E¹")</f>
        <v/>
      </c>
      <c r="L542">
        <f>HYPERLINK("CSG5.html#group24U5", "24U⁵"), =HYPERLINK("CSG7.html#group24H7", "24H⁷"), =HYPERLINK("CSG7.html#group24J7", "24J⁷"), =HYPERLINK("CSG7.html#group24P7", "24P⁷"), =HYPERLINK("CSG7.html#group24R7", "24R⁷"), =HYPERLINK("CSG7.html#group48Z7", "48Z⁷"), =HYPERLINK("CSG7.html#group48AA7", "48AA⁷"), =HYPERLINK("CSG9.html#group24O9", "24O⁹"), =HYPERLINK("CSG9.html#group24R9", "24R⁹"), =HYPERLINK("CSG9.html#group48R9", "48R⁹"), =HYPERLINK("CSG9.html#group48S9", "48S⁹"), =HYPERLINK("CSG12.html#group72I12", "72I¹²"), =HYPERLINK("CSG13.html#group72H13", "72H¹³"), =HYPERLINK("CSG15.html#group72V15", "72V¹⁵")</f>
        <v/>
      </c>
      <c r="M542">
        <f>HYPERLINK("CSG1.html#group24E1", "24E¹"), =HYPERLINK("CSG0.html#group12C0", "12C⁰"), =HYPERLINK("CSG1.html#group12C1", "12C¹"), =HYPERLINK("CSG0.html#group8D0", "8D⁰"), =HYPERLINK("CSG0.html#group4C0", "4C⁰"), =HYPERLINK("CSG1.html#group24C1", "24C¹"), =HYPERLINK("CSG0.html#group6G0", "6G⁰"), =HYPERLINK("CSG0.html#group1A0", "1A⁰"), =HYPERLINK("CSG0.html#group2B0", "2B⁰"), =HYPERLINK("CSG0.html#group3C0", "3C⁰"), =HYPERLINK("CSG0.html#group3A0", "3A⁰"), =HYPERLINK("CSG1.html#group12L1", "12L¹"), =HYPERLINK("CSG0.html#group6D0", "6D⁰")</f>
        <v/>
      </c>
      <c r="N542">
        <f>HYPERLINK("CSG13.html#group24R13", "24R¹³"), =HYPERLINK("CSG17.html#group48AI17", "48AI¹⁷"), =HYPERLINK("CSG19.html#group24M19", "24M¹⁹"), =HYPERLINK("CSG7.html#group24J7", "24J⁷"), =HYPERLINK("CSG17.html#group48AK17", "48AK¹⁷"), =HYPERLINK("CSG13.html#group72H13", "72H¹³"), =HYPERLINK("CSG9.html#group24O9", "24O⁹"), =HYPERLINK("CSG21.html#group96AU21", "96AU²¹"), =HYPERLINK("CSG17.html#group24AI17", "24AI¹⁷"), =HYPERLINK("CSG7.html#group24R7", "24R⁷"), =HYPERLINK("CSG21.html#group48AZ21", "48AZ²¹"), =HYPERLINK("CSG19.html#group48Z19", "48Z¹⁹"), =HYPERLINK("CSG15.html#group48E15", "48E¹⁵"), =HYPERLINK("CSG9.html#group48S9", "48S⁹"), =HYPERLINK("CSG17.html#group48AE17", "48AE¹⁷"), =HYPERLINK("CSG15.html#group24K15", "24K¹⁵"), =HYPERLINK("CSG17.html#group48AG17", "48AG¹⁷"), =HYPERLINK("CSG17.html#group48Q17", "48Q¹⁷"), =HYPERLINK("CSG17.html#group24AD17", "24AD¹⁷"), =HYPERLINK("CSG17.html#group24AG17", "24AG¹⁷"), =HYPERLINK("CSG21.html#group48AD21", "48AD²¹"), =HYPERLINK("CSG15.html#group48F15", "48F¹⁵"), =HYPERLINK("CSG17.html#group48K17", "48K¹⁷"), =HYPERLINK("CSG19.html#group48AL19", "48AL¹⁹"), =HYPERLINK("CSG17.html#group96W17", "96W¹⁷"), =HYPERLINK("CSG15.html#group24N15", "24N¹⁵"), =HYPERLINK("CSG17.html#group48AH17", "48AH¹⁷"), =HYPERLINK("CSG17.html#group24J17", "24J¹⁷"), =HYPERLINK("CSG17.html#group48P17", "48P¹⁷"), =HYPERLINK("CSG13.html#group24K13", "24K¹³"), =HYPERLINK("CSG19.html#group48AG19", "48AG¹⁹"), =HYPERLINK("CSG9.html#group24R9", "24R⁹"), =HYPERLINK("CSG12.html#group72I12", "72I¹²"), =HYPERLINK("CSG17.html#group48AF17", "48AF¹⁷"), =HYPERLINK("CSG19.html#group48F19", "48F¹⁹"), =HYPERLINK("CSG19.html#group48V19", "48V¹⁹"), =HYPERLINK("CSG13.html#group48AC13", "48AC¹³"), =HYPERLINK("CSG19.html#group48E19", "48E¹⁹"), =HYPERLINK("CSG17.html#group96V17", "96V¹⁷"), =HYPERLINK("CSG21.html#group48BA21", "48BA²¹"), =HYPERLINK("CSG19.html#group24Q19", "24Q¹⁹"), =HYPERLINK("CSG17.html#group96T17", "96T¹⁷"), =HYPERLINK("CSG15.html#group72V15", "72V¹⁵"), =HYPERLINK("CSG17.html#group96U17", "96U¹⁷"), =HYPERLINK("CSG11.html#group24N11", "24N¹¹"), =HYPERLINK("CSG17.html#group48AJ17", "48AJ¹⁷"), =HYPERLINK("CSG21.html#group96AV21", "96AV²¹"), =HYPERLINK("CSG19.html#group48J19", "48J¹⁹"), =HYPERLINK("CSG21.html#group48AF21", "48AF²¹"), =HYPERLINK("CSG5.html#group24U5", "24U⁵"), =HYPERLINK("CSG17.html#group24D17", "24D¹⁷"), =HYPERLINK("CSG15.html#group24D15", "24D¹⁵"), =HYPERLINK("CSG17.html#group24AH17", "24AH¹⁷"), =HYPERLINK("CSG17.html#group24E17", "24E¹⁷"), =HYPERLINK("CSG9.html#group48R9", "48R⁹"), =HYPERLINK("CSG7.html#group24P7", "24P⁷"), =HYPERLINK("CSG15.html#group48G15", "48G¹⁵"), =HYPERLINK("CSG19.html#group48X19", "48X¹⁹"), =HYPERLINK("CSG17.html#group24H17", "24H¹⁷"), =HYPERLINK("CSG19.html#group48AF19", "48AF¹⁹"), =HYPERLINK("CSG17.html#group48AL17", "48AL¹⁷"), =HYPERLINK("CSG13.html#group48AD13", "48AD¹³"), =HYPERLINK("CSG7.html#group48Z7", "48Z⁷"), =HYPERLINK("CSG17.html#group24N17", "24N¹⁷"), =HYPERLINK("CSG19.html#group48W19", "48W¹⁹"), =HYPERLINK("CSG17.html#group24AF17", "24AF¹⁷"), =HYPERLINK("CSG23.html#group72K23", "72K²³"), =HYPERLINK("CSG15.html#group24E15", "24E¹⁵"), =HYPERLINK("CSG7.html#group48AA7", "48AA⁷"), =HYPERLINK("CSG7.html#group24H7", "24H⁷"), =HYPERLINK("CSG19.html#group48AM19", "48AM¹⁹"), =HYPERLINK("CSG17.html#group48E17", "48E¹⁷"), =HYPERLINK("CSG15.html#group24M15", "24M¹⁵")</f>
        <v/>
      </c>
    </row>
    <row r="543">
      <c r="A543" t="inlineStr">
        <is>
          <t>24P³</t>
        </is>
      </c>
      <c r="B543" t="inlineStr"/>
      <c r="C543" t="inlineStr">
        <is>
          <t>72</t>
        </is>
      </c>
      <c r="D543" t="inlineStr">
        <is>
          <t>1</t>
        </is>
      </c>
      <c r="E543" t="inlineStr">
        <is>
          <t>18</t>
        </is>
      </c>
      <c r="F543" t="inlineStr">
        <is>
          <t>8</t>
        </is>
      </c>
      <c r="G543" t="inlineStr">
        <is>
          <t>0</t>
        </is>
      </c>
      <c r="H543" t="inlineStr">
        <is>
          <t>12², 24²</t>
        </is>
      </c>
      <c r="I543" t="n">
        <v>4</v>
      </c>
      <c r="J543" t="inlineStr">
        <is>
          <t>1², 2⁴, 4²</t>
        </is>
      </c>
      <c r="K543">
        <f>HYPERLINK("CSG1.html#group12J1", "12J¹"), =HYPERLINK("CSG1.html#group24D1", "24D¹"), =HYPERLINK("CSG1.html#group24E1", "24E¹")</f>
        <v/>
      </c>
      <c r="L543">
        <f>HYPERLINK("CSG5.html#group24W5", "24W⁵"), =HYPERLINK("CSG7.html#group24Q7", "24Q⁷"), =HYPERLINK("CSG7.html#group24AE7", "24AE⁷"), =HYPERLINK("CSG8.html#group24K8", "24K⁸"), =HYPERLINK("CSG8.html#group24L8", "24L⁸"), =HYPERLINK("CSG8.html#group24P8", "24P⁸"), =HYPERLINK("CSG9.html#group24H9", "24H⁹"), =HYPERLINK("CSG9.html#group24R9", "24R⁹"), =HYPERLINK("CSG13.html#group72M13", "72M¹³"), =HYPERLINK("CSG15.html#group72J15", "72J¹⁵")</f>
        <v/>
      </c>
      <c r="M543">
        <f>HYPERLINK("CSG1.html#group24E1", "24E¹"), =HYPERLINK("CSG0.html#group12A0", "12A⁰"), =HYPERLINK("CSG0.html#group12C0", "12C⁰"), =HYPERLINK("CSG0.html#group4A0", "4A⁰"), =HYPERLINK("CSG0.html#group4C0", "4C⁰"), =HYPERLINK("CSG1.html#group24D1", "24D¹"), =HYPERLINK("CSG1.html#group12J1", "12J¹"), =HYPERLINK("CSG0.html#group2B0", "2B⁰"), =HYPERLINK("CSG0.html#group4F0", "4F⁰"), =HYPERLINK("CSG0.html#group3A0", "3A⁰"), =HYPERLINK("CSG0.html#group1A0", "1A⁰"), =HYPERLINK("CSG0.html#group6D0", "6D⁰")</f>
        <v/>
      </c>
      <c r="N543">
        <f>HYPERLINK("CSG18.html#group48K18", "48K¹⁸"), =HYPERLINK("CSG17.html#group48BM17", "48BM¹⁷"), =HYPERLINK("CSG15.html#group48U15", "48U¹⁵"), =HYPERLINK("CSG13.html#group24R13", "24R¹³"), =HYPERLINK("CSG19.html#group48AI19", "48AI¹⁹"), =HYPERLINK("CSG13.html#group24V13", "24V¹³"), =HYPERLINK("CSG19.html#group24M19", "24M¹⁹"), =HYPERLINK("CSG19.html#group24F19", "24F¹⁹"), =HYPERLINK("CSG5.html#group24W5", "24W⁵"), =HYPERLINK("CSG17.html#group24AB17", "24AB¹⁷"), =HYPERLINK("CSG15.html#group48V15", "48V¹⁵"), =HYPERLINK("CSG15.html#group24Q15", "24Q¹⁵"), =HYPERLINK("CSG17.html#group48AS17", "48AS¹⁷"), =HYPERLINK("CSG19.html#group48BM19", "48BM¹⁹"), =HYPERLINK("CSG21.html#group48AE21", "48AE²¹"), =HYPERLINK("CSG21.html#group48AZ21", "48AZ²¹"), =HYPERLINK("CSG17.html#group48BR17", "48BR¹⁷"), =HYPERLINK("CSG19.html#group48Z19", "48Z¹⁹"), =HYPERLINK("CSG7.html#group24AE7", "24AE⁷"), =HYPERLINK("CSG19.html#group24E19", "24E¹⁹"), =HYPERLINK("CSG15.html#group24P15", "24P¹⁵"), =HYPERLINK("CSG19.html#group24I19", "24I¹⁹"), =HYPERLINK("CSG13.html#group24X13", "24X¹³"), =HYPERLINK("CSG17.html#group24E17", "24E¹⁷"), =HYPERLINK("CSG17.html#group24AC17", "24AC¹⁷"), =HYPERLINK("CSG17.html#group24W17", "24W¹⁷"), =HYPERLINK("CSG9.html#group24H9", "24H⁹"), =HYPERLINK("CSG17.html#group24G17", "24G¹⁷"), =HYPERLINK("CSG20.html#group48H20", "48H²⁰"), =HYPERLINK("CSG17.html#group24J17", "24J¹⁷"), =HYPERLINK("CSG19.html#group24H19", "24H¹⁹"), =HYPERLINK("CSG19.html#group24S19", "24S¹⁹"), =HYPERLINK("CSG8.html#group24P8", "24P⁸"), =HYPERLINK("CSG17.html#group24AK17", "24AK¹⁷"), =HYPERLINK("CSG17.html#group24N17", "24N¹⁷"), =HYPERLINK("CSG7.html#group24Q7", "24Q⁷"), =HYPERLINK("CSG13.html#group72M13", "72M¹³"), =HYPERLINK("CSG20.html#group48C20", "48C²⁰"), =HYPERLINK("CSG9.html#group24R9", "24R⁹"), =HYPERLINK("CSG15.html#group24O15", "24O¹⁵"), =HYPERLINK("CSG19.html#group48AH19", "48AH¹⁹"), =HYPERLINK("CSG17.html#group48CI17", "48CI¹⁷"), =HYPERLINK("CSG15.html#group48S15", "48S¹⁵"), =HYPERLINK("CSG15.html#group72J15", "72J¹⁵"), =HYPERLINK("CSG15.html#group48T15", "48T¹⁵"), =HYPERLINK("CSG19.html#group48V19", "48V¹⁹"), =HYPERLINK("CSG17.html#group24R17", "24R¹⁷"), =HYPERLINK("CSG8.html#group24K8", "24K⁸"), =HYPERLINK("CSG17.html#group24AL17", "24AL¹⁷"), =HYPERLINK("CSG8.html#group24L8", "24L⁸"), =HYPERLINK("CSG18.html#group48J18", "48J¹⁸"), =HYPERLINK("CSG17.html#group48AQ17", "48AQ¹⁷"), =HYPERLINK("CSG13.html#group48AB13", "48AB¹³"), =HYPERLINK("CSG21.html#group48BA21", "48BA²¹"), =HYPERLINK("CSG19.html#group24Q19", "24Q¹⁹"), =HYPERLINK("CSG15.html#group24R15", "24R¹⁵"), =HYPERLINK("CSG20.html#group48D20", "48D²⁰"), =HYPERLINK("CSG18.html#group48R18", "48R¹⁸")</f>
        <v/>
      </c>
    </row>
    <row r="544">
      <c r="A544" t="inlineStr">
        <is>
          <t>24Q³</t>
        </is>
      </c>
      <c r="B544" t="inlineStr"/>
      <c r="C544" t="inlineStr">
        <is>
          <t>72</t>
        </is>
      </c>
      <c r="D544" t="inlineStr">
        <is>
          <t>1</t>
        </is>
      </c>
      <c r="E544" t="inlineStr">
        <is>
          <t>18</t>
        </is>
      </c>
      <c r="F544" t="inlineStr">
        <is>
          <t>8</t>
        </is>
      </c>
      <c r="G544" t="inlineStr">
        <is>
          <t>0</t>
        </is>
      </c>
      <c r="H544" t="inlineStr">
        <is>
          <t>12², 24²</t>
        </is>
      </c>
      <c r="I544" t="n">
        <v>4</v>
      </c>
      <c r="J544" t="inlineStr">
        <is>
          <t>1², 2⁴, 4²</t>
        </is>
      </c>
      <c r="K544">
        <f>HYPERLINK("CSG1.html#group12M1", "12M¹"), =HYPERLINK("CSG1.html#group24C1", "24C¹"), =HYPERLINK("CSG1.html#group24D1", "24D¹")</f>
        <v/>
      </c>
      <c r="L544">
        <f>HYPERLINK("CSG5.html#group24W5", "24W⁵"), =HYPERLINK("CSG7.html#group24P7", "24P⁷"), =HYPERLINK("CSG7.html#group24AD7", "24AD⁷"), =HYPERLINK("CSG8.html#group48P8", "48P⁸"), =HYPERLINK("CSG8.html#group48Q8", "48Q⁸"), =HYPERLINK("CSG8.html#group48Z8", "48Z⁸"), =HYPERLINK("CSG9.html#group24I9", "24I⁹"), =HYPERLINK("CSG9.html#group24R9", "24R⁹"), =HYPERLINK("CSG13.html#group72N13", "72N¹³"), =HYPERLINK("CSG15.html#group72K15", "72K¹⁵")</f>
        <v/>
      </c>
      <c r="M544">
        <f>HYPERLINK("CSG0.html#group12C0", "12C⁰"), =HYPERLINK("CSG0.html#group8D0", "8D⁰"), =HYPERLINK("CSG0.html#group4C0", "4C⁰"), =HYPERLINK("CSG1.html#group24D1", "24D¹"), =HYPERLINK("CSG1.html#group24C1", "24C¹"), =HYPERLINK("CSG1.html#group12M1", "12M¹"), =HYPERLINK("CSG0.html#group2B0", "2B⁰"), =HYPERLINK("CSG0.html#group3A0", "3A⁰"), =HYPERLINK("CSG0.html#group1A0", "1A⁰"), =HYPERLINK("CSG0.html#group6D0", "6D⁰")</f>
        <v/>
      </c>
      <c r="N544">
        <f>HYPERLINK("CSG15.html#group48U15", "48U¹⁵"), =HYPERLINK("CSG8.html#group48Z8", "48Z⁸"), =HYPERLINK("CSG13.html#group24R13", "24R¹³"), =HYPERLINK("CSG17.html#group48AI17", "48AI¹⁷"), =HYPERLINK("CSG13.html#group24V13", "24V¹³"), =HYPERLINK("CSG19.html#group24M19", "24M¹⁹"), =HYPERLINK("CSG5.html#group24W5", "24W⁵"), =HYPERLINK("CSG17.html#group48AJ17", "48AJ¹⁷"), =HYPERLINK("CSG20.html#group96D20", "96D²⁰"), =HYPERLINK("CSG17.html#group24AI17", "24AI¹⁷"), =HYPERLINK("CSG15.html#group48V15", "48V¹⁵"), =HYPERLINK("CSG15.html#group72K15", "72K¹⁵"), =HYPERLINK("CSG19.html#group48P19", "48P¹⁹"), =HYPERLINK("CSG15.html#group24Q15", "24Q¹⁵"), =HYPERLINK("CSG19.html#group48AW19", "48AW¹⁹"), =HYPERLINK("CSG21.html#group48AE21", "48AE²¹"), =HYPERLINK("CSG21.html#group48AZ21", "48AZ²¹"), =HYPERLINK("CSG19.html#group48Z19", "48Z¹⁹"), =HYPERLINK("CSG17.html#group48BR17", "48BR¹⁷"), =HYPERLINK("CSG15.html#group24P15", "24P¹⁵"), =HYPERLINK("CSG17.html#group24P17", "24P¹⁷"), =HYPERLINK("CSG13.html#group24X13", "24X¹³"), =HYPERLINK("CSG17.html#group24E17", "24E¹⁷"), =HYPERLINK("CSG20.html#group96C20", "96C²⁰"), =HYPERLINK("CSG13.html#group72N13", "72N¹³"), =HYPERLINK("CSG7.html#group24AD7", "24AD⁷"), =HYPERLINK("CSG18.html#group96F18", "96F¹⁸"), =HYPERLINK("CSG18.html#group96G18", "96G¹⁸"), =HYPERLINK("CSG7.html#group24P7", "24P⁷"), =HYPERLINK("CSG17.html#group24AM17", "24AM¹⁷"), =HYPERLINK("CSG17.html#group24H17", "24H¹⁷"), =HYPERLINK("CSG19.html#group48I19", "48I¹⁹"), =HYPERLINK("CSG19.html#group48AF19", "48AF¹⁹"), =HYPERLINK("CSG17.html#group24J17", "24J¹⁷"), =HYPERLINK("CSG19.html#group48L19", "48L¹⁹"), =HYPERLINK("CSG8.html#group48P8", "48P⁸"), =HYPERLINK("CSG8.html#group48Q8", "48Q⁸"), =HYPERLINK("CSG17.html#group24N17", "24N¹⁷"), =HYPERLINK("CSG19.html#group48AG19", "48AG¹⁹"), =HYPERLINK("CSG17.html#group24S17", "24S¹⁷"), =HYPERLINK("CSG15.html#group48S15", "48S¹⁵"), =HYPERLINK("CSG9.html#group24R9", "24R⁹"), =HYPERLINK("CSG15.html#group24O15", "24O¹⁵"), =HYPERLINK("CSG18.html#group96E18", "96E¹⁸"), =HYPERLINK("CSG15.html#group48T15", "48T¹⁵"), =HYPERLINK("CSG17.html#group48BV17", "48BV¹⁷"), =HYPERLINK("CSG19.html#group48V19", "48V¹⁹"), =HYPERLINK("CSG19.html#group48BN19", "48BN¹⁹"), =HYPERLINK("CSG9.html#group24I9", "24I⁹"), =HYPERLINK("CSG17.html#group48AQ17", "48AQ¹⁷"), =HYPERLINK("CSG21.html#group48BA21", "48BA²¹"), =HYPERLINK("CSG13.html#group48AB13", "48AB¹³"), =HYPERLINK("CSG20.html#group96M20", "96M²⁰"), =HYPERLINK("CSG15.html#group24R15", "24R¹⁵"), =HYPERLINK("CSG19.html#group24Q19", "24Q¹⁹"), =HYPERLINK("CSG17.html#group48BU17", "48BU¹⁷"), =HYPERLINK("CSG17.html#group48AS17", "48AS¹⁷"), =HYPERLINK("CSG19.html#group48H19", "48H¹⁹")</f>
        <v/>
      </c>
    </row>
    <row r="545">
      <c r="A545" t="inlineStr">
        <is>
          <t>24R³</t>
        </is>
      </c>
      <c r="B545" t="inlineStr"/>
      <c r="C545" t="inlineStr">
        <is>
          <t>72</t>
        </is>
      </c>
      <c r="D545" t="inlineStr">
        <is>
          <t>1</t>
        </is>
      </c>
      <c r="E545" t="inlineStr">
        <is>
          <t>36</t>
        </is>
      </c>
      <c r="F545" t="inlineStr">
        <is>
          <t>6</t>
        </is>
      </c>
      <c r="G545" t="inlineStr">
        <is>
          <t>0</t>
        </is>
      </c>
      <c r="H545" t="inlineStr">
        <is>
          <t>12⁴, 24¹</t>
        </is>
      </c>
      <c r="I545" t="n">
        <v>5</v>
      </c>
      <c r="J545" t="inlineStr">
        <is>
          <t>2², 4⁴, 8²</t>
        </is>
      </c>
      <c r="K545">
        <f>HYPERLINK("CSG1.html#group12J1", "12J¹")</f>
        <v/>
      </c>
      <c r="L545">
        <f>HYPERLINK("CSG6.html#group24E6", "24E⁶"), =HYPERLINK("CSG6.html#group24F6", "24F⁶"), =HYPERLINK("CSG7.html#group24X7", "24X⁷"), =HYPERLINK("CSG7.html#group24Y7", "24Y⁷"), =HYPERLINK("CSG7.html#group24AB7", "24AB⁷"), =HYPERLINK("CSG8.html#group24C8", "24C⁸"), =HYPERLINK("CSG8.html#group24L8", "24L⁸"), =HYPERLINK("CSG8.html#group24P8", "24P⁸"), =HYPERLINK("CSG9.html#group24X9", "24X⁹"), =HYPERLINK("CSG9.html#group24AA9", "24AA⁹"), =HYPERLINK("CSG10.html#group24E10", "24E¹⁰"), =HYPERLINK("CSG14.html#group72G14", "72G¹⁴"), =HYPERLINK("CSG14.html#group72J14", "72J¹⁴")</f>
        <v/>
      </c>
      <c r="M545">
        <f>HYPERLINK("CSG0.html#group12A0", "12A⁰"), =HYPERLINK("CSG0.html#group12C0", "12C⁰"), =HYPERLINK("CSG0.html#group4A0", "4A⁰"), =HYPERLINK("CSG0.html#group4C0", "4C⁰"), =HYPERLINK("CSG1.html#group12J1", "12J¹"), =HYPERLINK("CSG0.html#group2B0", "2B⁰"), =HYPERLINK("CSG0.html#group4F0", "4F⁰"), =HYPERLINK("CSG0.html#group3A0", "3A⁰"), =HYPERLINK("CSG0.html#group1A0", "1A⁰"), =HYPERLINK("CSG0.html#group6D0", "6D⁰")</f>
        <v/>
      </c>
      <c r="N545">
        <f>HYPERLINK("CSG21.html#group48BX21", "48BX²¹"), =HYPERLINK("CSG19.html#group24P19", "24P¹⁹"), =HYPERLINK("CSG16.html#group24E16", "24E¹⁶"), =HYPERLINK("CSG16.html#group24B16", "24B¹⁶"), =HYPERLINK("CSG7.html#group24X7", "24X⁷"), =HYPERLINK("CSG6.html#group24F6", "24F⁶"), =HYPERLINK("CSG19.html#group24M19", "24M¹⁹"), =HYPERLINK("CSG16.html#group48C16", "48C¹⁶"), =HYPERLINK("CSG16.html#group48B16", "48B¹⁶"), =HYPERLINK("CSG21.html#group48BO21", "48BO²¹"), =HYPERLINK("CSG16.html#group48J16", "48J¹⁶"), =HYPERLINK("CSG17.html#group24F17", "24F¹⁷"), =HYPERLINK("CSG15.html#group24C15", "24C¹⁵"), =HYPERLINK("CSG17.html#group48AN17", "48AN¹⁷"), =HYPERLINK("CSG17.html#group24AB17", "24AB¹⁷"), =HYPERLINK("CSG18.html#group48S18", "48S¹⁸"), =HYPERLINK("CSG21.html#group48BP21", "48BP²¹"), =HYPERLINK("CSG16.html#group48D16", "48D¹⁶"), =HYPERLINK("CSG15.html#group24B15", "24B¹⁵"), =HYPERLINK("CSG19.html#group24O19", "24O¹⁹"), =HYPERLINK("CSG21.html#group48BN21", "48BN²¹"), =HYPERLINK("CSG15.html#group24P15", "24P¹⁵"), =HYPERLINK("CSG19.html#group24I19", "24I¹⁹"), =HYPERLINK("CSG14.html#group72J14", "72J¹⁴"), =HYPERLINK("CSG16.html#group24D16", "24D¹⁶"), =HYPERLINK("CSG9.html#group24AA9", "24AA⁹"), =HYPERLINK("CSG7.html#group24AB7", "24AB⁷"), =HYPERLINK("CSG21.html#group48BV21", "48BV²¹"), =HYPERLINK("CSG17.html#group24AC17", "24AC¹⁷"), =HYPERLINK("CSG19.html#group48AC19", "48AC¹⁹"), =HYPERLINK("CSG15.html#group24A15", "24A¹⁵"), =HYPERLINK("CSG17.html#group24AD17", "24AD¹⁷"), =HYPERLINK("CSG18.html#group48O18", "48O¹⁸"), =HYPERLINK("CSG17.html#group24W17", "24W¹⁷"), =HYPERLINK("CSG10.html#group24E10", "24E¹⁰"), =HYPERLINK("CSG17.html#group48BW17", "48BW¹⁷"), =HYPERLINK("CSG6.html#group24E6", "24E⁶"), =HYPERLINK("CSG16.html#group48E16", "48E¹⁶"), =HYPERLINK("CSG20.html#group48H20", "48H²⁰"), =HYPERLINK("CSG13.html#group24U13", "24U¹³"), =HYPERLINK("CSG17.html#group48BL17", "48BL¹⁷"), =HYPERLINK("CSG19.html#group24S19", "24S¹⁹"), =HYPERLINK("CSG19.html#group24N19", "24N¹⁹"), =HYPERLINK("CSG8.html#group24P8", "24P⁸"), =HYPERLINK("CSG17.html#group24AK17", "24AK¹⁷"), =HYPERLINK("CSG20.html#group48C20", "48C²⁰"), =HYPERLINK("CSG15.html#group24O15", "24O¹⁵"), =HYPERLINK("CSG17.html#group24AF17", "24AF¹⁷"), =HYPERLINK("CSG14.html#group72G14", "72G¹⁴"), =HYPERLINK("CSG8.html#group24C8", "24C⁸"), =HYPERLINK("CSG17.html#group24R17", "24R¹⁷"), =HYPERLINK("CSG17.html#group24AL17", "24AL¹⁷"), =HYPERLINK("CSG8.html#group24L8", "24L⁸"), =HYPERLINK("CSG19.html#group48AY19", "48AY¹⁹"), =HYPERLINK("CSG9.html#group24X9", "24X⁹"), =HYPERLINK("CSG17.html#group48BK17", "48BK¹⁷"), =HYPERLINK("CSG18.html#group48N18", "48N¹⁸"), =HYPERLINK("CSG21.html#group48AR21", "48AR²¹"), =HYPERLINK("CSG19.html#group24Q19", "24Q¹⁹"), =HYPERLINK("CSG19.html#group24G19", "24G¹⁹"), =HYPERLINK("CSG17.html#group48BJ17", "48BJ¹⁷"), =HYPERLINK("CSG17.html#group48BI17", "48BI¹⁷"), =HYPERLINK("CSG20.html#group48D20", "48D²⁰"), =HYPERLINK("CSG21.html#group48BM21", "48BM²¹"), =HYPERLINK("CSG19.html#group24L19", "24L¹⁹"), =HYPERLINK("CSG7.html#group24Y7", "24Y⁷"), =HYPERLINK("CSG15.html#group48W15", "48W¹⁵")</f>
        <v/>
      </c>
    </row>
    <row r="546">
      <c r="A546" t="inlineStr">
        <is>
          <t>24S³</t>
        </is>
      </c>
      <c r="B546" t="inlineStr"/>
      <c r="C546" t="inlineStr">
        <is>
          <t>72</t>
        </is>
      </c>
      <c r="D546" t="inlineStr">
        <is>
          <t>2</t>
        </is>
      </c>
      <c r="E546" t="inlineStr">
        <is>
          <t>9</t>
        </is>
      </c>
      <c r="F546" t="inlineStr">
        <is>
          <t>8</t>
        </is>
      </c>
      <c r="G546" t="inlineStr">
        <is>
          <t>0</t>
        </is>
      </c>
      <c r="H546" t="inlineStr">
        <is>
          <t>12², 24²</t>
        </is>
      </c>
      <c r="I546" t="n">
        <v>4</v>
      </c>
      <c r="J546" t="inlineStr">
        <is>
          <t>2⁹</t>
        </is>
      </c>
      <c r="K546">
        <f>HYPERLINK("CSG0.html#group12H0", "12H⁰"), =HYPERLINK("CSG1.html#group24D1", "24D¹"), =HYPERLINK("CSG2.html#group24C2", "24C²")</f>
        <v/>
      </c>
      <c r="L546">
        <f>HYPERLINK("CSG5.html#group24S5", "24S⁵"), =HYPERLINK("CSG7.html#group24AE7", "24AE⁷"), =HYPERLINK("CSG7.html#group24AD7", "24AD⁷"), =HYPERLINK("CSG9.html#group24E9", "24E⁹"), =HYPERLINK("CSG9.html#group24G9", "24G⁹"), =HYPERLINK("CSG9.html#group48AF9", "48AF⁹"), =HYPERLINK("CSG11.html#group72R11", "72R¹¹"), =HYPERLINK("CSG15.html#group72P15", "72P¹⁵"), =HYPERLINK("CSG15.html#group72Q15", "72Q¹⁵")</f>
        <v/>
      </c>
      <c r="M546">
        <f>HYPERLINK("CSG0.html#group6B0", "6B⁰"), =HYPERLINK("CSG0.html#group12C0", "12C⁰"), =HYPERLINK("CSG0.html#group3A0", "3A⁰"), =HYPERLINK("CSG0.html#group4C0", "4C⁰"), =HYPERLINK("CSG1.html#group24D1", "24D¹"), =HYPERLINK("CSG0.html#group2B0", "2B⁰"), =HYPERLINK("CSG0.html#group12D0", "12D⁰"), =HYPERLINK("CSG2.html#group24C2", "24C²"), =HYPERLINK("CSG0.html#group6H0", "6H⁰"), =HYPERLINK("CSG0.html#group12H0", "12H⁰"), =HYPERLINK("CSG0.html#group1A0", "1A⁰"), =HYPERLINK("CSG0.html#group6D0", "6D⁰")</f>
        <v/>
      </c>
      <c r="N546">
        <f>HYPERLINK("CSG13.html#group24S13", "24S¹³"), =HYPERLINK("CSG21.html#group48AV21", "48AV²¹"), =HYPERLINK("CSG9.html#group48AF9", "48AF⁹"), =HYPERLINK("CSG21.html#group48BE21", "48BE²¹"), =HYPERLINK("CSG13.html#group24R13", "24R¹³"), =HYPERLINK("CSG9.html#group24G9", "24G⁹"), =HYPERLINK("CSG17.html#group24Z17", "24Z¹⁷"), =HYPERLINK("CSG19.html#group48BM19", "48BM¹⁹"), =HYPERLINK("CSG21.html#group48AU21", "48AU²¹"), =HYPERLINK("CSG21.html#group48Y21", "48Y²¹"), =HYPERLINK("CSG7.html#group24AE7", "24AE⁷"), =HYPERLINK("CSG17.html#group24M17", "24M¹⁷"), =HYPERLINK("CSG5.html#group24S5", "24S⁵"), =HYPERLINK("CSG13.html#group24Q13", "24Q¹³"), =HYPERLINK("CSG17.html#group48AV17", "48AV¹⁷"), =HYPERLINK("CSG15.html#group72Q15", "72Q¹⁵"), =HYPERLINK("CSG7.html#group24AD7", "24AD⁷"), =HYPERLINK("CSG21.html#group48M21", "48M²¹"), =HYPERLINK("CSG15.html#group72P15", "72P¹⁵"), =HYPERLINK("CSG13.html#group24Y13", "24Y¹³"), =HYPERLINK("CSG17.html#group48R17", "48R¹⁷"), =HYPERLINK("CSG21.html#group48Z21", "48Z²¹"), =HYPERLINK("CSG17.html#group48M17", "48M¹⁷"), =HYPERLINK("CSG11.html#group72R11", "72R¹¹"), =HYPERLINK("CSG17.html#group24AM17", "24AM¹⁷"), =HYPERLINK("CSG17.html#group24G17", "24G¹⁷"), =HYPERLINK("CSG17.html#group24H17", "24H¹⁷"), =HYPERLINK("CSG17.html#group24AK17", "24AK¹⁷"), =HYPERLINK("CSG17.html#group24N17", "24N¹⁷"), =HYPERLINK("CSG17.html#group24O17", "24O¹⁷"), =HYPERLINK("CSG17.html#group48CI17", "48CI¹⁷"), =HYPERLINK("CSG21.html#group72AA21", "72AA²¹"), =HYPERLINK("CSG17.html#group48BV17", "48BV¹⁷"), =HYPERLINK("CSG19.html#group48BN19", "48BN¹⁹"), =HYPERLINK("CSG17.html#group24AL17", "24AL¹⁷"), =HYPERLINK("CSG13.html#group24W13", "24W¹³"), =HYPERLINK("CSG13.html#group48X13", "48X¹³"), =HYPERLINK("CSG17.html#group48L17", "48L¹⁷"), =HYPERLINK("CSG17.html#group48BU17", "48BU¹⁷"), =HYPERLINK("CSG17.html#group24C17", "24C¹⁷"), =HYPERLINK("CSG9.html#group24E9", "24E⁹"), =HYPERLINK("CSG17.html#group48AR17", "48AR¹⁷")</f>
        <v/>
      </c>
    </row>
    <row r="547">
      <c r="A547" t="inlineStr">
        <is>
          <t>24T³</t>
        </is>
      </c>
      <c r="B547" t="inlineStr"/>
      <c r="C547" t="inlineStr">
        <is>
          <t>72</t>
        </is>
      </c>
      <c r="D547" t="inlineStr">
        <is>
          <t>2</t>
        </is>
      </c>
      <c r="E547" t="inlineStr">
        <is>
          <t>18</t>
        </is>
      </c>
      <c r="F547" t="inlineStr">
        <is>
          <t>8</t>
        </is>
      </c>
      <c r="G547" t="inlineStr">
        <is>
          <t>0</t>
        </is>
      </c>
      <c r="H547" t="inlineStr">
        <is>
          <t>12², 24²</t>
        </is>
      </c>
      <c r="I547" t="n">
        <v>4</v>
      </c>
      <c r="J547" t="inlineStr">
        <is>
          <t>2⁶, 4⁶</t>
        </is>
      </c>
      <c r="K547">
        <f>HYPERLINK("CSG1.html#group12M1", "12M¹"), =HYPERLINK("CSG1.html#group24D1", "24D¹"), =HYPERLINK("CSG1.html#group24E1", "24E¹")</f>
        <v/>
      </c>
      <c r="L547">
        <f>HYPERLINK("CSG5.html#group24V5", "24V⁵"), =HYPERLINK("CSG7.html#group24Q7", "24Q⁷"), =HYPERLINK("CSG7.html#group24P7", "24P⁷"), =HYPERLINK("CSG7.html#group24AE7", "24AE⁷"), =HYPERLINK("CSG7.html#group24AD7", "24AD⁷"), =HYPERLINK("CSG9.html#group24N9", "24N⁹"), =HYPERLINK("CSG9.html#group24Z9", "24Z⁹"), =HYPERLINK("CSG13.html#group72O13", "72O¹³"), =HYPERLINK("CSG13.html#group72P13", "72P¹³"), =HYPERLINK("CSG15.html#group72W15", "72W¹⁵")</f>
        <v/>
      </c>
      <c r="M547">
        <f>HYPERLINK("CSG1.html#group24E1", "24E¹"), =HYPERLINK("CSG0.html#group12C0", "12C⁰"), =HYPERLINK("CSG0.html#group4C0", "4C⁰"), =HYPERLINK("CSG1.html#group24D1", "24D¹"), =HYPERLINK("CSG1.html#group12M1", "12M¹"), =HYPERLINK("CSG0.html#group2B0", "2B⁰"), =HYPERLINK("CSG0.html#group3A0", "3A⁰"), =HYPERLINK("CSG0.html#group1A0", "1A⁰"), =HYPERLINK("CSG0.html#group6D0", "6D⁰")</f>
        <v/>
      </c>
      <c r="N547">
        <f>HYPERLINK("CSG15.html#group24T15", "24T¹⁵"), =HYPERLINK("CSG13.html#group48AA13", "48AA¹³"), =HYPERLINK("CSG17.html#group48BM17", "48BM¹⁷"), =HYPERLINK("CSG13.html#group24R13", "24R¹³"), =HYPERLINK("CSG13.html#group72P13", "72P¹³"), =HYPERLINK("CSG17.html#group48AI17", "48AI¹⁷"), =HYPERLINK("CSG19.html#group48AI19", "48AI¹⁹"), =HYPERLINK("CSG17.html#group24I17", "24I¹⁷"), =HYPERLINK("CSG17.html#group24AJ17", "24AJ¹⁷"), =HYPERLINK("CSG13.html#group72O13", "72O¹³"), =HYPERLINK("CSG17.html#group48AJ17", "48AJ¹⁷"), =HYPERLINK("CSG17.html#group24AI17", "24AI¹⁷"), =HYPERLINK("CSG13.html#group24AA13", "24AA¹³"), =HYPERLINK("CSG17.html#group24AB17", "24AB¹⁷"), =HYPERLINK("CSG5.html#group24V5", "24V⁵"), =HYPERLINK("CSG19.html#group48BM19", "48BM¹⁹"), =HYPERLINK("CSG7.html#group24AE7", "24AE⁷"), =HYPERLINK("CSG15.html#group72W15", "72W¹⁵"), =HYPERLINK("CSG15.html#group48AB15", "48AB¹⁵"), =HYPERLINK("CSG21.html#group48BT21", "48BT²¹"), =HYPERLINK("CSG17.html#group24E17", "24E¹⁷"), =HYPERLINK("CSG17.html#group24AC17", "24AC¹⁷"), =HYPERLINK("CSG15.html#group24S15", "24S¹⁵"), =HYPERLINK("CSG7.html#group24AD7", "24AD⁷"), =HYPERLINK("CSG7.html#group24P7", "24P⁷"), =HYPERLINK("CSG21.html#group48AA21", "48AA²¹"), =HYPERLINK("CSG17.html#group48BD17", "48BD¹⁷"), =HYPERLINK("CSG17.html#group24AM17", "24AM¹⁷"), =HYPERLINK("CSG17.html#group24G17", "24G¹⁷"), =HYPERLINK("CSG17.html#group24H17", "24H¹⁷"), =HYPERLINK("CSG19.html#group48AF19", "48AF¹⁹"), =HYPERLINK("CSG17.html#group24AK17", "24AK¹⁷"), =HYPERLINK("CSG17.html#group24N17", "24N¹⁷"), =HYPERLINK("CSG19.html#group48AG19", "48AG¹⁹"), =HYPERLINK("CSG19.html#group48AH19", "48AH¹⁹"), =HYPERLINK("CSG17.html#group48CI17", "48CI¹⁷"), =HYPERLINK("CSG17.html#group48BQ17", "48BQ¹⁷"), =HYPERLINK("CSG17.html#group48BV17", "48BV¹⁷"), =HYPERLINK("CSG17.html#group48BC17", "48BC¹⁷"), =HYPERLINK("CSG19.html#group48BN19", "48BN¹⁹"), =HYPERLINK("CSG17.html#group24AL17", "24AL¹⁷"), =HYPERLINK("CSG15.html#group48AC15", "48AC¹⁵"), =HYPERLINK("CSG9.html#group24Z9", "24Z⁹"), =HYPERLINK("CSG17.html#group48BU17", "48BU¹⁷"), =HYPERLINK("CSG9.html#group24N9", "24N⁹"), =HYPERLINK("CSG7.html#group24Q7", "24Q⁷"), =HYPERLINK("CSG13.html#group24Z13", "24Z¹³")</f>
        <v/>
      </c>
    </row>
    <row r="548">
      <c r="A548" t="inlineStr">
        <is>
          <t>24U³</t>
        </is>
      </c>
      <c r="B548" t="inlineStr"/>
      <c r="C548" t="inlineStr">
        <is>
          <t>96</t>
        </is>
      </c>
      <c r="D548" t="inlineStr">
        <is>
          <t>1</t>
        </is>
      </c>
      <c r="E548" t="inlineStr">
        <is>
          <t>12</t>
        </is>
      </c>
      <c r="F548" t="inlineStr">
        <is>
          <t>0</t>
        </is>
      </c>
      <c r="G548" t="inlineStr">
        <is>
          <t>0</t>
        </is>
      </c>
      <c r="H548" t="inlineStr">
        <is>
          <t>2⁴, 6⁴, 8², 24²</t>
        </is>
      </c>
      <c r="I548" t="n">
        <v>12</v>
      </c>
      <c r="J548" t="inlineStr">
        <is>
          <t>1⁶, 2³</t>
        </is>
      </c>
      <c r="K548">
        <f>HYPERLINK("CSG0.html#group24B0", "24B⁰"), =HYPERLINK("CSG1.html#group12P1", "12P¹"), =HYPERLINK("CSG2.html#group24F2", "24F²")</f>
        <v/>
      </c>
      <c r="L548">
        <f>HYPERLINK("CSG5.html#group24Z5", "24Z⁵"), =HYPERLINK("CSG7.html#group24AK7", "24AK⁷"), =HYPERLINK("CSG9.html#group24AC9", "24AC⁹"), =HYPERLINK("CSG9.html#group24AD9", "24AD⁹"), =HYPERLINK("CSG13.html#group24J13", "24J¹³"), =HYPERLINK("CSG13.html#group72Q13", "72Q¹³"), =HYPERLINK("CSG19.html#group72A19", "72A¹⁹"), =HYPERLINK("CSG19.html#group72B19", "72B¹⁹")</f>
        <v/>
      </c>
      <c r="M548">
        <f>HYPERLINK("CSG0.html#group3B0", "3B⁰"), =HYPERLINK("CSG0.html#group2A0", "2A⁰"), =HYPERLINK("CSG0.html#group6I0", "6I⁰"), =HYPERLINK("CSG1.html#group12F1", "12F¹"), =HYPERLINK("CSG0.html#group6C0", "6C⁰"), =HYPERLINK("CSG0.html#group4C0", "4C⁰"), =HYPERLINK("CSG0.html#group2B0", "2B⁰"), =HYPERLINK("CSG0.html#group4E0", "4E⁰"), =HYPERLINK("CSG1.html#group12P1", "12P¹"), =HYPERLINK("CSG0.html#group4B0", "4B⁰"), =HYPERLINK("CSG0.html#group1A0", "1A⁰"), =HYPERLINK("CSG0.html#group24B0", "24B⁰"), =HYPERLINK("CSG2.html#group24F2", "24F²"), =HYPERLINK("CSG0.html#group6F0", "6F⁰"), =HYPERLINK("CSG0.html#group2C0", "2C⁰"), =HYPERLINK("CSG0.html#group12E0", "12E⁰")</f>
        <v/>
      </c>
      <c r="N548">
        <f>HYPERLINK("CSG7.html#group24AK7", "24AK⁷"), =HYPERLINK("CSG19.html#group72A19", "72A¹⁹"), =HYPERLINK("CSG17.html#group24AT17", "24AT¹⁷"), =HYPERLINK("CSG21.html#group24F21", "24F²¹"), =HYPERLINK("CSG13.html#group48AG13", "48AG¹³"), =HYPERLINK("CSG21.html#group24E21", "24E²¹"), =HYPERLINK("CSG19.html#group72B19", "72B¹⁹"), =HYPERLINK("CSG17.html#group24AS17", "24AS¹⁷"), =HYPERLINK("CSG9.html#group24AD9", "24AD⁹"), =HYPERLINK("CSG5.html#group24Z5", "24Z⁵"), =HYPERLINK("CSG17.html#group24AP17", "24AP¹⁷"), =HYPERLINK("CSG21.html#group48BZ21", "48BZ²¹"), =HYPERLINK("CSG13.html#group24J13", "24J¹³"), =HYPERLINK("CSG17.html#group48CN17", "48CN¹⁷"), =HYPERLINK("CSG13.html#group24AC13", "24AC¹³"), =HYPERLINK("CSG13.html#group72Q13", "72Q¹³"), =HYPERLINK("CSG9.html#group24AC9", "24AC⁹"), =HYPERLINK("CSG21.html#group24C21", "24C²¹")</f>
        <v/>
      </c>
    </row>
    <row r="549">
      <c r="A549" t="inlineStr">
        <is>
          <t>24V³</t>
        </is>
      </c>
      <c r="B549" t="inlineStr"/>
      <c r="C549" t="inlineStr">
        <is>
          <t>96</t>
        </is>
      </c>
      <c r="D549" t="inlineStr">
        <is>
          <t>1</t>
        </is>
      </c>
      <c r="E549" t="inlineStr">
        <is>
          <t>12</t>
        </is>
      </c>
      <c r="F549" t="inlineStr">
        <is>
          <t>0</t>
        </is>
      </c>
      <c r="G549" t="inlineStr">
        <is>
          <t>0</t>
        </is>
      </c>
      <c r="H549" t="inlineStr">
        <is>
          <t>2⁴, 6⁴, 8², 24²</t>
        </is>
      </c>
      <c r="I549" t="n">
        <v>12</v>
      </c>
      <c r="J549" t="inlineStr">
        <is>
          <t>1⁶, 2³</t>
        </is>
      </c>
      <c r="K549">
        <f>HYPERLINK("CSG0.html#group8G0", "8G⁰"), =HYPERLINK("CSG1.html#group12P1", "12P¹"), =HYPERLINK("CSG1.html#group24G1", "24G¹"), =HYPERLINK("CSG2.html#group24I2", "24I²")</f>
        <v/>
      </c>
      <c r="L549">
        <f>HYPERLINK("CSG5.html#group24Z5", "24Z⁵"), =HYPERLINK("CSG7.html#group24AH7", "24AH⁷"), =HYPERLINK("CSG7.html#group24AI7", "24AI⁷"), =HYPERLINK("CSG7.html#group48AK7", "48AK⁷"), =HYPERLINK("CSG7.html#group48AL7", "48AL⁷"), =HYPERLINK("CSG9.html#group24AE9", "24AE⁹"), =HYPERLINK("CSG9.html#group24AF9", "24AF⁹"), =HYPERLINK("CSG9.html#group48AH9", "48AH⁹"), =HYPERLINK("CSG9.html#group48AK9", "48AK⁹"), =HYPERLINK("CSG11.html#group48W11", "48W¹¹"), =HYPERLINK("CSG11.html#group48X11", "48X¹¹"), =HYPERLINK("CSG13.html#group24K13", "24K¹³"), =HYPERLINK("CSG13.html#group72R13", "72R¹³"), =HYPERLINK("CSG19.html#group72D19", "72D¹⁹"), =HYPERLINK("CSG19.html#group72C19", "72C¹⁹")</f>
        <v/>
      </c>
      <c r="M549">
        <f>HYPERLINK("CSG0.html#group2A0", "2A⁰"), =HYPERLINK("CSG0.html#group3B0", "3B⁰"), =HYPERLINK("CSG0.html#group8D0", "8D⁰"), =HYPERLINK("CSG1.html#group12F1", "12F¹"), =HYPERLINK("CSG0.html#group6I0", "6I⁰"), =HYPERLINK("CSG1.html#group24G1", "24G¹"), =HYPERLINK("CSG0.html#group4C0", "4C⁰"), =HYPERLINK("CSG0.html#group6C0", "6C⁰"), =HYPERLINK("CSG0.html#group8C0", "8C⁰"), =HYPERLINK("CSG0.html#group4E0", "4E⁰"), =HYPERLINK("CSG0.html#group2B0", "2B⁰"), =HYPERLINK("CSG1.html#group12P1", "12P¹"), =HYPERLINK("CSG0.html#group4B0", "4B⁰"), =HYPERLINK("CSG0.html#group1A0", "1A⁰"), =HYPERLINK("CSG2.html#group24I2", "24I²"), =HYPERLINK("CSG0.html#group8G0", "8G⁰"), =HYPERLINK("CSG0.html#group6F0", "6F⁰"), =HYPERLINK("CSG0.html#group2C0", "2C⁰"), =HYPERLINK("CSG0.html#group12E0", "12E⁰")</f>
        <v/>
      </c>
      <c r="N549">
        <f>HYPERLINK("CSG9.html#group24AE9", "24AE⁹"), =HYPERLINK("CSG21.html#group24F21", "24F²¹"), =HYPERLINK("CSG13.html#group48AG13", "48AG¹³"), =HYPERLINK("CSG19.html#group48BS19", "48BS¹⁹"), =HYPERLINK("CSG21.html#group48CC21", "48CC²¹"), =HYPERLINK("CSG7.html#group24AH7", "24AH⁷"), =HYPERLINK("CSG19.html#group72C19", "72C¹⁹"), =HYPERLINK("CSG19.html#group96BD19", "96BD¹⁹"), =HYPERLINK("CSG21.html#group24A21", "24A²¹"), =HYPERLINK("CSG19.html#group96BC19", "96BC¹⁹"), =HYPERLINK("CSG21.html#group48CB21", "48CB²¹"), =HYPERLINK("CSG17.html#group48CK17", "48CK¹⁷"), =HYPERLINK("CSG21.html#group48CG21", "48CG²¹"), =HYPERLINK("CSG21.html#group24D21", "24D²¹"), =HYPERLINK("CSG5.html#group24Z5", "24Z⁵"), =HYPERLINK("CSG7.html#group48AL7", "48AL⁷"), =HYPERLINK("CSG9.html#group48AH9", "48AH⁹"), =HYPERLINK("CSG17.html#group24AP17", "24AP¹⁷"), =HYPERLINK("CSG21.html#group48BZ21", "48BZ²¹"), =HYPERLINK("CSG21.html#group96AZ21", "96AZ²¹"), =HYPERLINK("CSG21.html#group48CF21", "48CF²¹"), =HYPERLINK("CSG17.html#group24AR17", "24AR¹⁷"), =HYPERLINK("CSG17.html#group48CL17", "48CL¹⁷"), =HYPERLINK("CSG21.html#group48CK21", "48CK²¹"), =HYPERLINK("CSG9.html#group48AK9", "48AK⁹"), =HYPERLINK("CSG13.html#group72R13", "72R¹³"), =HYPERLINK("CSG21.html#group48CA21", "48CA²¹"), =HYPERLINK("CSG17.html#group24AO17", "24AO¹⁷"), =HYPERLINK("CSG21.html#group48CE21", "48CE²¹"), =HYPERLINK("CSG21.html#group96BA21", "96BA²¹"), =HYPERLINK("CSG21.html#group96BF21", "96BF²¹"), =HYPERLINK("CSG17.html#group48CJ17", "48CJ¹⁷"), =HYPERLINK("CSG19.html#group48BT19", "48BT¹⁹"), =HYPERLINK("CSG13.html#group24K13", "24K¹³"), =HYPERLINK("CSG19.html#group72D19", "72D¹⁹"), =HYPERLINK("CSG21.html#group48CI21", "48CI²¹"), =HYPERLINK("CSG17.html#group24AN17", "24AN¹⁷"), =HYPERLINK("CSG21.html#group96BD21", "96BD²¹"), =HYPERLINK("CSG21.html#group48CD21", "48CD²¹"), =HYPERLINK("CSG7.html#group48AK7", "48AK⁷"), =HYPERLINK("CSG17.html#group48CM17", "48CM¹⁷"), =HYPERLINK("CSG21.html#group48CH21", "48CH²¹"), =HYPERLINK("CSG11.html#group48W11", "48W¹¹"), =HYPERLINK("CSG21.html#group24G21", "24G²¹"), =HYPERLINK("CSG11.html#group48X11", "48X¹¹"), =HYPERLINK("CSG17.html#group48CN17", "48CN¹⁷"), =HYPERLINK("CSG13.html#group24AC13", "24AC¹³"), =HYPERLINK("CSG21.html#group48CJ21", "48CJ²¹"), =HYPERLINK("CSG7.html#group24AI7", "24AI⁷"), =HYPERLINK("CSG9.html#group24AF9", "24AF⁹")</f>
        <v/>
      </c>
    </row>
    <row r="550">
      <c r="A550" t="inlineStr">
        <is>
          <t>24W³</t>
        </is>
      </c>
      <c r="B550" t="inlineStr"/>
      <c r="C550" t="inlineStr">
        <is>
          <t>96</t>
        </is>
      </c>
      <c r="D550" t="inlineStr">
        <is>
          <t>1</t>
        </is>
      </c>
      <c r="E550" t="inlineStr">
        <is>
          <t>24</t>
        </is>
      </c>
      <c r="F550" t="inlineStr">
        <is>
          <t>0</t>
        </is>
      </c>
      <c r="G550" t="inlineStr">
        <is>
          <t>0</t>
        </is>
      </c>
      <c r="H550" t="inlineStr">
        <is>
          <t>2⁴, 6⁴, 8², 24²</t>
        </is>
      </c>
      <c r="I550" t="n">
        <v>12</v>
      </c>
      <c r="J550" t="inlineStr">
        <is>
          <t>1⁸, 2⁶, 4¹</t>
        </is>
      </c>
      <c r="K550">
        <f>HYPERLINK("CSG0.html#group12J0", "12J⁰"), =HYPERLINK("CSG1.html#group24G1", "24G¹"), =HYPERLINK("CSG2.html#group24F2", "24F²")</f>
        <v/>
      </c>
      <c r="L550">
        <f>HYPERLINK("CSG5.html#group24Z5", "24Z⁵"), =HYPERLINK("CSG7.html#group24AJ7", "24AJ⁷"), =HYPERLINK("CSG7.html#group48AQ7", "48AQ⁷"), =HYPERLINK("CSG9.html#group48AJ9", "48AJ⁹"), =HYPERLINK("CSG9.html#group48AI9", "48AI⁹"), =HYPERLINK("CSG13.html#group24L13", "24L¹³"), =HYPERLINK("CSG13.html#group72S13", "72S¹³"), =HYPERLINK("CSG19.html#group72E19", "72E¹⁹"), =HYPERLINK("CSG19.html#group72F19", "72F¹⁹")</f>
        <v/>
      </c>
      <c r="M550">
        <f>HYPERLINK("CSG0.html#group3B0", "3B⁰"), =HYPERLINK("CSG0.html#group4B0", "4B⁰"), =HYPERLINK("CSG1.html#group24G1", "24G¹"), =HYPERLINK("CSG0.html#group12J0", "12J⁰"), =HYPERLINK("CSG0.html#group1A0", "1A⁰"), =HYPERLINK("CSG0.html#group2B0", "2B⁰"), =HYPERLINK("CSG0.html#group8C0", "8C⁰"), =HYPERLINK("CSG2.html#group24F2", "24F²"), =HYPERLINK("CSG0.html#group6F0", "6F⁰"), =HYPERLINK("CSG0.html#group12E0", "12E⁰")</f>
        <v/>
      </c>
      <c r="N550">
        <f>HYPERLINK("CSG13.html#group72S13", "72S¹³"), =HYPERLINK("CSG21.html#group96BC21", "96BC²¹"), =HYPERLINK("CSG13.html#group48AG13", "48AG¹³"), =HYPERLINK("CSG21.html#group96BJ21", "96BJ²¹"), =HYPERLINK("CSG9.html#group48AJ9", "48AJ⁹"), =HYPERLINK("CSG17.html#group48CP17", "48CP¹⁷"), =HYPERLINK("CSG5.html#group24Z5", "24Z⁵"), =HYPERLINK("CSG13.html#group24L13", "24L¹³"), =HYPERLINK("CSG17.html#group48CQ17", "48CQ¹⁷"), =HYPERLINK("CSG17.html#group24AP17", "24AP¹⁷"), =HYPERLINK("CSG21.html#group48BZ21", "48BZ²¹"), =HYPERLINK("CSG7.html#group48AQ7", "48AQ⁷"), =HYPERLINK("CSG19.html#group72E19", "72E¹⁹"), =HYPERLINK("CSG19.html#group72F19", "72F¹⁹"), =HYPERLINK("CSG9.html#group48AI9", "48AI⁹"), =HYPERLINK("CSG21.html#group96BE21", "96BE²¹"), =HYPERLINK("CSG17.html#group48CN17", "48CN¹⁷"), =HYPERLINK("CSG7.html#group24AJ7", "24AJ⁷"), =HYPERLINK("CSG13.html#group24AC13", "24AC¹³")</f>
        <v/>
      </c>
    </row>
    <row r="551">
      <c r="A551" t="inlineStr">
        <is>
          <t>24X³</t>
        </is>
      </c>
      <c r="B551" t="inlineStr"/>
      <c r="C551" t="inlineStr">
        <is>
          <t>96</t>
        </is>
      </c>
      <c r="D551" t="inlineStr">
        <is>
          <t>1</t>
        </is>
      </c>
      <c r="E551" t="inlineStr">
        <is>
          <t>48</t>
        </is>
      </c>
      <c r="F551" t="inlineStr">
        <is>
          <t>0</t>
        </is>
      </c>
      <c r="G551" t="inlineStr">
        <is>
          <t>0</t>
        </is>
      </c>
      <c r="H551" t="inlineStr">
        <is>
          <t>1², 2¹, 3², 4¹, 6¹, 8², 12¹, 24²</t>
        </is>
      </c>
      <c r="I551" t="n">
        <v>12</v>
      </c>
      <c r="J551" t="inlineStr">
        <is>
          <t>1⁸, 2⁸, 4⁴, 8¹</t>
        </is>
      </c>
      <c r="K551">
        <f>HYPERLINK("CSG1.html#group24G1", "24G¹")</f>
        <v/>
      </c>
      <c r="L551">
        <f>HYPERLINK("CSG5.html#group24AA5", "24AA⁵"), =HYPERLINK("CSG7.html#group24AH7", "24AH⁷"), =HYPERLINK("CSG7.html#group24AJ7", "24AJ⁷"), =HYPERLINK("CSG7.html#group48AN7", "48AN⁷"), =HYPERLINK("CSG7.html#group48AM7", "48AM⁷"), =HYPERLINK("CSG9.html#group48AM9", "48AM⁹"), =HYPERLINK("CSG9.html#group48AL9", "48AL⁹"), =HYPERLINK("CSG13.html#group24M13", "24M¹³"), =HYPERLINK("CSG13.html#group72T13", "72T¹³"), =HYPERLINK("CSG19.html#group72G19", "72G¹⁹"), =HYPERLINK("CSG19.html#group72H19", "72H¹⁹")</f>
        <v/>
      </c>
      <c r="M551">
        <f>HYPERLINK("CSG0.html#group3B0", "3B⁰"), =HYPERLINK("CSG1.html#group24G1", "24G¹"), =HYPERLINK("CSG0.html#group1A0", "1A⁰"), =HYPERLINK("CSG0.html#group8C0", "8C⁰"), =HYPERLINK("CSG0.html#group2B0", "2B⁰"), =HYPERLINK("CSG0.html#group4B0", "4B⁰"), =HYPERLINK("CSG0.html#group6F0", "6F⁰"), =HYPERLINK("CSG0.html#group12E0", "12E⁰")</f>
        <v/>
      </c>
      <c r="N551">
        <f>HYPERLINK("CSG19.html#group72H19", "72H¹⁹"), =HYPERLINK("CSG9.html#group48AL9", "48AL⁹"), =HYPERLINK("CSG17.html#group96AJ17", "96AJ¹⁷"), =HYPERLINK("CSG17.html#group96AI17", "96AI¹⁷"), =HYPERLINK("CSG17.html#group48CO17", "48CO¹⁷"), =HYPERLINK("CSG21.html#group96BH21", "96BH²¹"), =HYPERLINK("CSG5.html#group24AA5", "24AA⁵"), =HYPERLINK("CSG13.html#group48AH13", "48AH¹³"), =HYPERLINK("CSG17.html#group48CJ17", "48CJ¹⁷"), =HYPERLINK("CSG7.html#group24AH7", "24AH⁷"), =HYPERLINK("CSG17.html#group48CP17", "48CP¹⁷"), =HYPERLINK("CSG9.html#group48AM9", "48AM⁹"), =HYPERLINK("CSG17.html#group48CK17", "48CK¹⁷"), =HYPERLINK("CSG17.html#group24AN17", "24AN¹⁷"), =HYPERLINK("CSG21.html#group48CG21", "48CG²¹"), =HYPERLINK("CSG13.html#group72T13", "72T¹³"), =HYPERLINK("CSG7.html#group48AN7", "48AN⁷"), =HYPERLINK("CSG17.html#group48CQ17", "48CQ¹⁷"), =HYPERLINK("CSG13.html#group24AC13", "24AC¹³"), =HYPERLINK("CSG21.html#group48CH21", "48CH²¹"), =HYPERLINK("CSG7.html#group48AM7", "48AM⁷"), =HYPERLINK("CSG13.html#group24M13", "24M¹³"), =HYPERLINK("CSG17.html#group24AR17", "24AR¹⁷"), =HYPERLINK("CSG7.html#group24AJ7", "24AJ⁷"), =HYPERLINK("CSG21.html#group96BG21", "96BG²¹"), =HYPERLINK("CSG19.html#group72G19", "72G¹⁹")</f>
        <v/>
      </c>
    </row>
    <row r="552">
      <c r="A552" t="inlineStr">
        <is>
          <t>24Y³</t>
        </is>
      </c>
      <c r="B552" t="inlineStr"/>
      <c r="C552" t="inlineStr">
        <is>
          <t>96</t>
        </is>
      </c>
      <c r="D552" t="inlineStr">
        <is>
          <t>1</t>
        </is>
      </c>
      <c r="E552" t="inlineStr">
        <is>
          <t>48</t>
        </is>
      </c>
      <c r="F552" t="inlineStr">
        <is>
          <t>0</t>
        </is>
      </c>
      <c r="G552" t="inlineStr">
        <is>
          <t>0</t>
        </is>
      </c>
      <c r="H552" t="inlineStr">
        <is>
          <t>1², 2¹, 3², 4¹, 6¹, 8², 12¹, 24²</t>
        </is>
      </c>
      <c r="I552" t="n">
        <v>12</v>
      </c>
      <c r="J552" t="inlineStr">
        <is>
          <t>1⁸, 2⁸, 4⁴, 8¹</t>
        </is>
      </c>
      <c r="K552">
        <f>HYPERLINK("CSG0.html#group8I0", "8I⁰"), =HYPERLINK("CSG1.html#group24G1", "24G¹")</f>
        <v/>
      </c>
      <c r="L552">
        <f>HYPERLINK("CSG5.html#group24AA5", "24AA⁵"), =HYPERLINK("CSG7.html#group24AI7", "24AI⁷"), =HYPERLINK("CSG7.html#group24AJ7", "24AJ⁷"), =HYPERLINK("CSG7.html#group48AO7", "48AO⁷"), =HYPERLINK("CSG7.html#group48AP7", "48AP⁷"), =HYPERLINK("CSG9.html#group48AN9", "48AN⁹"), =HYPERLINK("CSG9.html#group48AO9", "48AO⁹"), =HYPERLINK("CSG13.html#group24N13", "24N¹³"), =HYPERLINK("CSG13.html#group72U13", "72U¹³"), =HYPERLINK("CSG19.html#group72I19", "72I¹⁹"), =HYPERLINK("CSG19.html#group72J19", "72J¹⁹")</f>
        <v/>
      </c>
      <c r="M552">
        <f>HYPERLINK("CSG0.html#group3B0", "3B⁰"), =HYPERLINK("CSG1.html#group24G1", "24G¹"), =HYPERLINK("CSG0.html#group1A0", "1A⁰"), =HYPERLINK("CSG0.html#group8C0", "8C⁰"), =HYPERLINK("CSG0.html#group2B0", "2B⁰"), =HYPERLINK("CSG0.html#group8I0", "8I⁰"), =HYPERLINK("CSG0.html#group4B0", "4B⁰"), =HYPERLINK("CSG0.html#group6F0", "6F⁰"), =HYPERLINK("CSG0.html#group12E0", "12E⁰")</f>
        <v/>
      </c>
      <c r="N552">
        <f>HYPERLINK("CSG19.html#group48BS19", "48BS¹⁹"), =HYPERLINK("CSG5.html#group24AA5", "24AA⁵"), =HYPERLINK("CSG13.html#group72U13", "72U¹³"), =HYPERLINK("CSG19.html#group72J19", "72J¹⁹"), =HYPERLINK("CSG19.html#group96BE19", "96BE¹⁹"), =HYPERLINK("CSG17.html#group24AR17", "24AR¹⁷"), =HYPERLINK("CSG17.html#group48CL17", "48CL¹⁷"), =HYPERLINK("CSG21.html#group48CK21", "48CK²¹"), =HYPERLINK("CSG9.html#group48AO9", "48AO⁹"), =HYPERLINK("CSG17.html#group24AO17", "24AO¹⁷"), =HYPERLINK("CSG21.html#group96BL21", "96BL²¹"), =HYPERLINK("CSG17.html#group48CO17", "48CO¹⁷"), =HYPERLINK("CSG21.html#group96BK21", "96BK²¹"), =HYPERLINK("CSG13.html#group24N13", "24N¹³"), =HYPERLINK("CSG21.html#group96BI21", "96BI²¹"), =HYPERLINK("CSG13.html#group48AH13", "48AH¹³"), =HYPERLINK("CSG19.html#group48BR19", "48BR¹⁹"), =HYPERLINK("CSG21.html#group48CM21", "48CM²¹"), =HYPERLINK("CSG19.html#group48BT19", "48BT¹⁹"), =HYPERLINK("CSG7.html#group48AO7", "48AO⁷"), =HYPERLINK("CSG17.html#group96AK17", "96AK¹⁷"), =HYPERLINK("CSG17.html#group96AL17", "96AL¹⁷"), =HYPERLINK("CSG17.html#group48CP17", "48CP¹⁷"), =HYPERLINK("CSG19.html#group96BF19", "96BF¹⁹"), =HYPERLINK("CSG21.html#group96BM21", "96BM²¹"), =HYPERLINK("CSG21.html#group48CI21", "48CI²¹"), =HYPERLINK("CSG19.html#group48BQ19", "48BQ¹⁹"), =HYPERLINK("CSG17.html#group48CM17", "48CM¹⁷"), =HYPERLINK("CSG17.html#group48CQ17", "48CQ¹⁷"), =HYPERLINK("CSG21.html#group48CL21", "48CL²¹"), =HYPERLINK("CSG9.html#group48AN9", "48AN⁹"), =HYPERLINK("CSG19.html#group72I19", "72I¹⁹"), =HYPERLINK("CSG7.html#group24AJ7", "24AJ⁷"), =HYPERLINK("CSG13.html#group24AC13", "24AC¹³"), =HYPERLINK("CSG7.html#group48AP7", "48AP⁷"), =HYPERLINK("CSG7.html#group24AI7", "24AI⁷")</f>
        <v/>
      </c>
    </row>
    <row r="553">
      <c r="A553" t="inlineStr">
        <is>
          <t>24Z³</t>
        </is>
      </c>
      <c r="B553" t="inlineStr"/>
      <c r="C553" t="inlineStr">
        <is>
          <t>96</t>
        </is>
      </c>
      <c r="D553" t="inlineStr">
        <is>
          <t>1</t>
        </is>
      </c>
      <c r="E553" t="inlineStr">
        <is>
          <t>48</t>
        </is>
      </c>
      <c r="F553" t="inlineStr">
        <is>
          <t>0</t>
        </is>
      </c>
      <c r="G553" t="inlineStr">
        <is>
          <t>0</t>
        </is>
      </c>
      <c r="H553" t="inlineStr">
        <is>
          <t>2², 4³, 6², 8¹, 12³, 24¹</t>
        </is>
      </c>
      <c r="I553" t="n">
        <v>12</v>
      </c>
      <c r="J553" t="inlineStr">
        <is>
          <t>1¹⁶, 2¹², 4²</t>
        </is>
      </c>
      <c r="K553">
        <f>HYPERLINK("CSG1.html#group12P1", "12P¹")</f>
        <v/>
      </c>
      <c r="L553">
        <f>HYPERLINK("CSG5.html#group24AB5", "24AB⁵"), =HYPERLINK("CSG7.html#group24AF7", "24AF⁷"), =HYPERLINK("CSG7.html#group24AH7", "24AH⁷"), =HYPERLINK("CSG7.html#group24AK7", "24AK⁷"), =HYPERLINK("CSG7.html#group24AL7", "24AL⁷"), =HYPERLINK("CSG9.html#group24AG9", "24AG⁹"), =HYPERLINK("CSG9.html#group24AK9", "24AK⁹"), =HYPERLINK("CSG13.html#group24O13", "24O¹³"), =HYPERLINK("CSG13.html#group72V13", "72V¹³"), =HYPERLINK("CSG19.html#group72L19", "72L¹⁹"), =HYPERLINK("CSG19.html#group72K19", "72K¹⁹")</f>
        <v/>
      </c>
      <c r="M553">
        <f>HYPERLINK("CSG0.html#group3B0", "3B⁰"), =HYPERLINK("CSG0.html#group2A0", "2A⁰"), =HYPERLINK("CSG0.html#group6I0", "6I⁰"), =HYPERLINK("CSG1.html#group12F1", "12F¹"), =HYPERLINK("CSG0.html#group6C0", "6C⁰"), =HYPERLINK("CSG0.html#group4C0", "4C⁰"), =HYPERLINK("CSG0.html#group1A0", "1A⁰"), =HYPERLINK("CSG0.html#group2B0", "2B⁰"), =HYPERLINK("CSG0.html#group4E0", "4E⁰"), =HYPERLINK("CSG1.html#group12P1", "12P¹"), =HYPERLINK("CSG0.html#group4B0", "4B⁰"), =HYPERLINK("CSG0.html#group6F0", "6F⁰"), =HYPERLINK("CSG0.html#group2C0", "2C⁰"), =HYPERLINK("CSG0.html#group12E0", "12E⁰")</f>
        <v/>
      </c>
      <c r="N553">
        <f>HYPERLINK("CSG7.html#group24AK7", "24AK⁷"), =HYPERLINK("CSG17.html#group24AT17", "24AT¹⁷"), =HYPERLINK("CSG7.html#group24AF7", "24AF⁷"), =HYPERLINK("CSG9.html#group24AG9", "24AG⁹"), =HYPERLINK("CSG17.html#group48CJ17", "48CJ¹⁷"), =HYPERLINK("CSG17.html#group24AQ17", "24AQ¹⁷"), =HYPERLINK("CSG7.html#group24AH7", "24AH⁷"), =HYPERLINK("CSG5.html#group24AB5", "24AB⁵"), =HYPERLINK("CSG17.html#group24AS17", "24AS¹⁷"), =HYPERLINK("CSG13.html#group24AB13", "24AB¹³"), =HYPERLINK("CSG13.html#group72V13", "72V¹³"), =HYPERLINK("CSG17.html#group48CK17", "48CK¹⁷"), =HYPERLINK("CSG17.html#group24AN17", "24AN¹⁷"), =HYPERLINK("CSG21.html#group48CG21", "48CG²¹"), =HYPERLINK("CSG21.html#group24D21", "24D²¹"), =HYPERLINK("CSG19.html#group72L19", "72L¹⁹"), =HYPERLINK("CSG21.html#group48CH21", "48CH²¹"), =HYPERLINK("CSG7.html#group24AL7", "24AL⁷"), =HYPERLINK("CSG21.html#group24C21", "24C²¹"), =HYPERLINK("CSG17.html#group24AR17", "24AR¹⁷"), =HYPERLINK("CSG13.html#group24O13", "24O¹³"), =HYPERLINK("CSG13.html#group24AC13", "24AC¹³"), =HYPERLINK("CSG9.html#group24AK9", "24AK⁹"), =HYPERLINK("CSG19.html#group72K19", "72K¹⁹")</f>
        <v/>
      </c>
    </row>
    <row r="554">
      <c r="A554" t="inlineStr">
        <is>
          <t>24AA³</t>
        </is>
      </c>
      <c r="B554" t="inlineStr"/>
      <c r="C554" t="inlineStr">
        <is>
          <t>96</t>
        </is>
      </c>
      <c r="D554" t="inlineStr">
        <is>
          <t>1</t>
        </is>
      </c>
      <c r="E554" t="inlineStr">
        <is>
          <t>48</t>
        </is>
      </c>
      <c r="F554" t="inlineStr">
        <is>
          <t>0</t>
        </is>
      </c>
      <c r="G554" t="inlineStr">
        <is>
          <t>0</t>
        </is>
      </c>
      <c r="H554" t="inlineStr">
        <is>
          <t>2², 4³, 6², 8¹, 12³, 24¹</t>
        </is>
      </c>
      <c r="I554" t="n">
        <v>12</v>
      </c>
      <c r="J554" t="inlineStr">
        <is>
          <t>1¹⁶, 2¹², 4²</t>
        </is>
      </c>
      <c r="K554">
        <f>HYPERLINK("CSG0.html#group8J0", "8J⁰"), =HYPERLINK("CSG1.html#group12P1", "12P¹")</f>
        <v/>
      </c>
      <c r="L554">
        <f>HYPERLINK("CSG5.html#group24AB5", "24AB⁵"), =HYPERLINK("CSG7.html#group24AG7", "24AG⁷"), =HYPERLINK("CSG7.html#group24AI7", "24AI⁷"), =HYPERLINK("CSG7.html#group24AK7", "24AK⁷"), =HYPERLINK("CSG7.html#group24AL7", "24AL⁷"), =HYPERLINK("CSG9.html#group24AH9", "24AH⁹"), =HYPERLINK("CSG9.html#group24AK9", "24AK⁹"), =HYPERLINK("CSG13.html#group24P13", "24P¹³"), =HYPERLINK("CSG13.html#group72W13", "72W¹³"), =HYPERLINK("CSG19.html#group72N19", "72N¹⁹"), =HYPERLINK("CSG19.html#group72M19", "72M¹⁹")</f>
        <v/>
      </c>
      <c r="M554">
        <f>HYPERLINK("CSG0.html#group2A0", "2A⁰"), =HYPERLINK("CSG0.html#group3B0", "3B⁰"), =HYPERLINK("CSG0.html#group6I0", "6I⁰"), =HYPERLINK("CSG1.html#group12F1", "12F¹"), =HYPERLINK("CSG0.html#group4C0", "4C⁰"), =HYPERLINK("CSG0.html#group6C0", "6C⁰"), =HYPERLINK("CSG0.html#group2B0", "2B⁰"), =HYPERLINK("CSG0.html#group4E0", "4E⁰"), =HYPERLINK("CSG1.html#group12P1", "12P¹"), =HYPERLINK("CSG0.html#group4B0", "4B⁰"), =HYPERLINK("CSG0.html#group1A0", "1A⁰"), =HYPERLINK("CSG0.html#group6F0", "6F⁰"), =HYPERLINK("CSG0.html#group8J0", "8J⁰"), =HYPERLINK("CSG0.html#group2C0", "2C⁰"), =HYPERLINK("CSG0.html#group12E0", "12E⁰")</f>
        <v/>
      </c>
      <c r="N554">
        <f>HYPERLINK("CSG7.html#group24AK7", "24AK⁷"), =HYPERLINK("CSG17.html#group24AT17", "24AT¹⁷"), =HYPERLINK("CSG19.html#group48BO19", "48BO¹⁹"), =HYPERLINK("CSG19.html#group48BS19", "48BS¹⁹"), =HYPERLINK("CSG21.html#group24E21", "24E²¹"), =HYPERLINK("CSG9.html#group24AH9", "24AH⁹"), =HYPERLINK("CSG7.html#group24AG7", "24AG⁷"), =HYPERLINK("CSG19.html#group72M19", "72M¹⁹"), =HYPERLINK("CSG17.html#group24AQ17", "24AQ¹⁷"), =HYPERLINK("CSG5.html#group24AB5", "24AB⁵"), =HYPERLINK("CSG17.html#group24AS17", "24AS¹⁷"), =HYPERLINK("CSG13.html#group24AB13", "24AB¹³"), =HYPERLINK("CSG21.html#group48CP21", "48CP²¹"), =HYPERLINK("CSG19.html#group48BT19", "48BT¹⁹"), =HYPERLINK("CSG21.html#group48CI21", "48CI²¹"), =HYPERLINK("CSG13.html#group72W13", "72W¹³"), =HYPERLINK("CSG19.html#group72N19", "72N¹⁹"), =HYPERLINK("CSG17.html#group48CM17", "48CM¹⁷"), =HYPERLINK("CSG7.html#group24AL7", "24AL⁷"), =HYPERLINK("CSG19.html#group48BP19", "48BP¹⁹"), =HYPERLINK("CSG21.html#group24G21", "24G²¹"), =HYPERLINK("CSG17.html#group24AR17", "24AR¹⁷"), =HYPERLINK("CSG21.html#group48CQ21", "48CQ²¹"), =HYPERLINK("CSG17.html#group48CL17", "48CL¹⁷"), =HYPERLINK("CSG21.html#group48CK21", "48CK²¹"), =HYPERLINK("CSG13.html#group24P13", "24P¹³"), =HYPERLINK("CSG13.html#group24AC13", "24AC¹³"), =HYPERLINK("CSG9.html#group24AK9", "24AK⁹"), =HYPERLINK("CSG7.html#group24AI7", "24AI⁷"), =HYPERLINK("CSG17.html#group24AO17", "24AO¹⁷")</f>
        <v/>
      </c>
    </row>
    <row r="555">
      <c r="A555" t="inlineStr">
        <is>
          <t>24AB³</t>
        </is>
      </c>
      <c r="B555" t="inlineStr"/>
      <c r="C555" t="inlineStr">
        <is>
          <t>96</t>
        </is>
      </c>
      <c r="D555" t="inlineStr">
        <is>
          <t>1</t>
        </is>
      </c>
      <c r="E555" t="inlineStr">
        <is>
          <t>48</t>
        </is>
      </c>
      <c r="F555" t="inlineStr">
        <is>
          <t>16</t>
        </is>
      </c>
      <c r="G555" t="inlineStr">
        <is>
          <t>0</t>
        </is>
      </c>
      <c r="H555" t="inlineStr">
        <is>
          <t>24⁴</t>
        </is>
      </c>
      <c r="I555" t="n">
        <v>4</v>
      </c>
      <c r="J555" t="inlineStr">
        <is>
          <t>4⁴, 8⁴</t>
        </is>
      </c>
      <c r="K555">
        <f>HYPERLINK("CSG0.html#group12F0", "12F⁰"), =HYPERLINK("CSG1.html#group24F1", "24F¹")</f>
        <v/>
      </c>
      <c r="L555">
        <f>HYPERLINK("CSG9.html#group24AL9", "24AL⁹"), =HYPERLINK("CSG9.html#group24AM9", "24AM⁹"), =HYPERLINK("CSG9.html#group24AN9", "24AN⁹"), =HYPERLINK("CSG9.html#group24AO9", "24AO⁹"), =HYPERLINK("CSG13.html#group24F13", "24F¹³"), =HYPERLINK("CSG15.html#group24R15", "24R¹⁵"), =HYPERLINK("CSG15.html#group72Z15", "72Z¹⁵"), =HYPERLINK("CSG19.html#group72P19", "72P¹⁹"), =HYPERLINK("CSG19.html#group72R19", "72R¹⁹"), =HYPERLINK("CSG21.html#group48CR21", "48CR²¹")</f>
        <v/>
      </c>
      <c r="M555">
        <f>HYPERLINK("CSG1.html#group24F1", "24F¹"), =HYPERLINK("CSG0.html#group12A0", "12A⁰"), =HYPERLINK("CSG0.html#group6B0", "6B⁰"), =HYPERLINK("CSG0.html#group8F0", "8F⁰"), =HYPERLINK("CSG0.html#group4A0", "4A⁰"), =HYPERLINK("CSG0.html#group12F0", "12F⁰"), =HYPERLINK("CSG0.html#group3A0", "3A⁰"), =HYPERLINK("CSG0.html#group1A0", "1A⁰")</f>
        <v/>
      </c>
      <c r="N555">
        <f>HYPERLINK("CSG9.html#group24AM9", "24AM⁹"), =HYPERLINK("CSG21.html#group48CR21", "48CR²¹"), =HYPERLINK("CSG9.html#group24AL9", "24AL⁹"), =HYPERLINK("CSG9.html#group24AO9", "24AO⁹"), =HYPERLINK("CSG19.html#group72R19", "72R¹⁹"), =HYPERLINK("CSG21.html#group24M21", "24M²¹"), =HYPERLINK("CSG21.html#group24K21", "24K²¹"), =HYPERLINK("CSG9.html#group24AN9", "24AN⁹"), =HYPERLINK("CSG19.html#group72P19", "72P¹⁹"), =HYPERLINK("CSG15.html#group24R15", "24R¹⁵"), =HYPERLINK("CSG15.html#group72Z15", "72Z¹⁵"), =HYPERLINK("CSG21.html#group24L21", "24L²¹"), =HYPERLINK("CSG13.html#group24F13", "24F¹³")</f>
        <v/>
      </c>
    </row>
    <row r="556">
      <c r="A556" t="inlineStr">
        <is>
          <t>24AC³</t>
        </is>
      </c>
      <c r="B556" t="inlineStr"/>
      <c r="C556" t="inlineStr">
        <is>
          <t>144</t>
        </is>
      </c>
      <c r="D556" t="inlineStr">
        <is>
          <t>1</t>
        </is>
      </c>
      <c r="E556" t="inlineStr">
        <is>
          <t>3</t>
        </is>
      </c>
      <c r="F556" t="inlineStr">
        <is>
          <t>0</t>
        </is>
      </c>
      <c r="G556" t="inlineStr">
        <is>
          <t>0</t>
        </is>
      </c>
      <c r="H556" t="inlineStr">
        <is>
          <t>3¹⁶, 24⁴</t>
        </is>
      </c>
      <c r="I556" t="n">
        <v>20</v>
      </c>
      <c r="J556" t="inlineStr">
        <is>
          <t>1³</t>
        </is>
      </c>
      <c r="K556">
        <f>HYPERLINK("CSG0.html#group24B0", "24B⁰"), =HYPERLINK("CSG1.html#group12S1", "12S¹"), =HYPERLINK("CSG1.html#group24I1", "24I¹")</f>
        <v/>
      </c>
      <c r="L556">
        <f>HYPERLINK("CSG9.html#group24AP9", "24AP⁹"), =HYPERLINK("CSG13.html#group24J13", "24J¹³"), =HYPERLINK("CSG17.html#group72X17", "72X¹⁷"), =HYPERLINK("CSG22.html#group72L22", "72L²²")</f>
        <v/>
      </c>
      <c r="M556">
        <f>HYPERLINK("CSG0.html#group3B0", "3B⁰"), =HYPERLINK("CSG1.html#group24I1", "24I¹"), =HYPERLINK("CSG1.html#group12K1", "12K¹"), =HYPERLINK("CSG0.html#group6G0", "6G⁰"), =HYPERLINK("CSG1.html#group12S1", "12S¹"), =HYPERLINK("CSG0.html#group2B0", "2B⁰"), =HYPERLINK("CSG0.html#group4B0", "4B⁰"), =HYPERLINK("CSG0.html#group1A0", "1A⁰"), =HYPERLINK("CSG0.html#group3D0", "3D⁰"), =HYPERLINK("CSG0.html#group12G0", "12G⁰"), =HYPERLINK("CSG0.html#group24B0", "24B⁰"), =HYPERLINK("CSG0.html#group6D0", "6D⁰"), =HYPERLINK("CSG0.html#group3C0", "3C⁰"), =HYPERLINK("CSG0.html#group6K0", "6K⁰"), =HYPERLINK("CSG1.html#group12B1", "12B¹"), =HYPERLINK("CSG0.html#group12D0", "12D⁰"), =HYPERLINK("CSG0.html#group3A0", "3A⁰"), =HYPERLINK("CSG0.html#group6F0", "6F⁰"), =HYPERLINK("CSG0.html#group12E0", "12E⁰")</f>
        <v/>
      </c>
      <c r="N556">
        <f>HYPERLINK("CSG22.html#group72L22", "72L²²"), =HYPERLINK("CSG17.html#group72X17", "72X¹⁷"), =HYPERLINK("CSG13.html#group24J13", "24J¹³"), =HYPERLINK("CSG9.html#group24AP9", "24AP⁹")</f>
        <v/>
      </c>
    </row>
    <row r="557">
      <c r="A557" t="inlineStr">
        <is>
          <t>26A³</t>
        </is>
      </c>
      <c r="B557" t="inlineStr"/>
      <c r="C557" t="inlineStr">
        <is>
          <t>84</t>
        </is>
      </c>
      <c r="D557" t="inlineStr">
        <is>
          <t>1</t>
        </is>
      </c>
      <c r="E557" t="inlineStr">
        <is>
          <t>28</t>
        </is>
      </c>
      <c r="F557" t="inlineStr">
        <is>
          <t>0</t>
        </is>
      </c>
      <c r="G557" t="inlineStr">
        <is>
          <t>6</t>
        </is>
      </c>
      <c r="H557" t="inlineStr">
        <is>
          <t>2³, 26³</t>
        </is>
      </c>
      <c r="I557" t="n">
        <v>6</v>
      </c>
      <c r="J557" t="inlineStr">
        <is>
          <t>1⁴, 12²</t>
        </is>
      </c>
      <c r="K557">
        <f>HYPERLINK("CSG1.html#group26A1", "26A¹")</f>
        <v/>
      </c>
      <c r="L557">
        <f>HYPERLINK("CSG5.html#group26C5", "26C⁵"), =HYPERLINK("CSG13.html#group26B13", "26B¹³"), =HYPERLINK("CSG16.html#group78D16", "78D¹⁶"), =HYPERLINK("CSG19.html#group78D19", "78D¹⁹"), =HYPERLINK("CSG21.html#group52E21", "52E²¹"), =HYPERLINK("CSG21.html#group78B21", "78B²¹")</f>
        <v/>
      </c>
      <c r="M557">
        <f>HYPERLINK("CSG0.html#group13A0", "13A⁰"), =HYPERLINK("CSG0.html#group2A0", "2A⁰"), =HYPERLINK("CSG0.html#group1A0", "1A⁰"), =HYPERLINK("CSG1.html#group26A1", "26A¹")</f>
        <v/>
      </c>
      <c r="N557">
        <f>HYPERLINK("CSG16.html#group78D16", "78D¹⁶"), =HYPERLINK("CSG21.html#group78B21", "78B²¹"), =HYPERLINK("CSG15.html#group52A15", "52A¹⁵"), =HYPERLINK("CSG5.html#group26C5", "26C⁵"), =HYPERLINK("CSG13.html#group26B13", "26B¹³"), =HYPERLINK("CSG19.html#group78D19", "78D¹⁹"), =HYPERLINK("CSG21.html#group52E21", "52E²¹")</f>
        <v/>
      </c>
    </row>
    <row r="558">
      <c r="A558" t="inlineStr">
        <is>
          <t>27A³</t>
        </is>
      </c>
      <c r="B558" t="inlineStr"/>
      <c r="C558" t="inlineStr">
        <is>
          <t>36</t>
        </is>
      </c>
      <c r="D558" t="inlineStr">
        <is>
          <t>1</t>
        </is>
      </c>
      <c r="E558" t="inlineStr">
        <is>
          <t>12</t>
        </is>
      </c>
      <c r="F558" t="inlineStr">
        <is>
          <t>0</t>
        </is>
      </c>
      <c r="G558" t="inlineStr">
        <is>
          <t>0</t>
        </is>
      </c>
      <c r="H558" t="inlineStr">
        <is>
          <t>9¹, 27¹</t>
        </is>
      </c>
      <c r="I558" t="n">
        <v>2</v>
      </c>
      <c r="J558" t="inlineStr">
        <is>
          <t>1², 2², 6¹</t>
        </is>
      </c>
      <c r="K558">
        <f>HYPERLINK("CSG0.html#group9C0", "9C⁰")</f>
        <v/>
      </c>
      <c r="L558">
        <f>HYPERLINK("CSG6.html#group54A6", "54A⁶"), =HYPERLINK("CSG7.html#group27B7", "27B⁷"), =HYPERLINK("CSG7.html#group27C7", "27C⁷"), =HYPERLINK("CSG7.html#group27D7", "27D⁷"), =HYPERLINK("CSG8.html#group54C8", "54C⁸"), =HYPERLINK("CSG12.html#group108B12", "108B¹²"), =HYPERLINK("CSG15.html#group135A15", "135A¹⁵"), =HYPERLINK("CSG17.html#group135C17", "135C¹⁷"), =HYPERLINK("CSG21.html#group189A21", "189A²¹"), =HYPERLINK("CSG23.html#group189A23", "189A²³")</f>
        <v/>
      </c>
      <c r="M558">
        <f>HYPERLINK("CSG0.html#group3B0", "3B⁰"), =HYPERLINK("CSG0.html#group1A0", "1A⁰"), =HYPERLINK("CSG0.html#group9C0", "9C⁰")</f>
        <v/>
      </c>
      <c r="N558">
        <f>HYPERLINK("CSG17.html#group108C17", "108C¹⁷"), =HYPERLINK("CSG7.html#group27B7", "27B⁷"), =HYPERLINK("CSG16.html#group108C16", "108C¹⁶"), =HYPERLINK("CSG16.html#group54E16", "54E¹⁶"), =HYPERLINK("CSG6.html#group54A6", "54A⁶"), =HYPERLINK("CSG19.html#group27E19", "27E¹⁹"), =HYPERLINK("CSG7.html#group27C7", "27C⁷"), =HYPERLINK("CSG23.html#group108A23", "108A²³"), =HYPERLINK("CSG16.html#group54G16", "54G¹⁶"), =HYPERLINK("CSG24.html#group216A24", "216A²⁴"), =HYPERLINK("CSG16.html#group54C16", "54C¹⁶"), =HYPERLINK("CSG16.html#group54J16", "54J¹⁶"), =HYPERLINK("CSG12.html#group108B12", "108B¹²"), =HYPERLINK("CSG16.html#group54P16", "54P¹⁶"), =HYPERLINK("CSG17.html#group135C17", "135C¹⁷"), =HYPERLINK("CSG15.html#group135A15", "135A¹⁵"), =HYPERLINK("CSG22.html#group54C22", "54C²²"), =HYPERLINK("CSG21.html#group189A21", "189A²¹"), =HYPERLINK("CSG19.html#group27C19", "27C¹⁹"), =HYPERLINK("CSG19.html#group27D19", "27D¹⁹"), =HYPERLINK("CSG23.html#group189A23", "189A²³"), =HYPERLINK("CSG16.html#group54B16", "54B¹⁶"), =HYPERLINK("CSG19.html#group27B19", "27B¹⁹"), =HYPERLINK("CSG8.html#group54C8", "54C⁸"), =HYPERLINK("CSG7.html#group27D7", "27D⁷"), =HYPERLINK("CSG22.html#group54D22", "54D²²"), =HYPERLINK("CSG12.html#group108A12", "108A¹²"), =HYPERLINK("CSG16.html#group54M16", "54M¹⁶"), =HYPERLINK("CSG22.html#group54E22", "54E²²")</f>
        <v/>
      </c>
    </row>
    <row r="559">
      <c r="A559" t="inlineStr">
        <is>
          <t>27B³</t>
        </is>
      </c>
      <c r="B559" t="inlineStr"/>
      <c r="C559" t="inlineStr">
        <is>
          <t>81</t>
        </is>
      </c>
      <c r="D559" t="inlineStr">
        <is>
          <t>2</t>
        </is>
      </c>
      <c r="E559" t="inlineStr">
        <is>
          <t>81</t>
        </is>
      </c>
      <c r="F559" t="inlineStr">
        <is>
          <t>13</t>
        </is>
      </c>
      <c r="G559" t="inlineStr">
        <is>
          <t>0</t>
        </is>
      </c>
      <c r="H559" t="inlineStr">
        <is>
          <t>27³</t>
        </is>
      </c>
      <c r="I559" t="n">
        <v>3</v>
      </c>
      <c r="J559" t="inlineStr">
        <is>
          <t>6⁹, 18⁶</t>
        </is>
      </c>
      <c r="K559">
        <f>HYPERLINK("CSG0.html#group9G0", "9G⁰")</f>
        <v/>
      </c>
      <c r="L559">
        <f>HYPERLINK("CSG7.html#group27H7", "27H⁷"), =HYPERLINK("CSG7.html#group54A7", "54A⁷"), =HYPERLINK("CSG8.html#group54D8", "54D⁸"), =HYPERLINK("CSG10.html#group27A10", "27A¹⁰"), =HYPERLINK("CSG11.html#group27A11", "27A¹¹"), =HYPERLINK("CSG11.html#group54A11", "54A¹¹"), =HYPERLINK("CSG12.html#group27A12", "27A¹²"), =HYPERLINK("CSG13.html#group27A13", "27A¹³"), =HYPERLINK("CSG13.html#group54A13", "54A¹³"), =HYPERLINK("CSG15.html#group54A15", "54A¹⁵"), =HYPERLINK("CSG20.html#group108B20", "108B²⁰")</f>
        <v/>
      </c>
      <c r="M559">
        <f>HYPERLINK("CSG0.html#group3A0", "3A⁰"), =HYPERLINK("CSG0.html#group1A0", "1A⁰"), =HYPERLINK("CSG0.html#group9A0", "9A⁰"), =HYPERLINK("CSG0.html#group9G0", "9G⁰")</f>
        <v/>
      </c>
      <c r="N559">
        <f>HYPERLINK("CSG10.html#group27A10", "27A¹⁰"), =HYPERLINK("CSG13.html#group54A13", "54A¹³"), =HYPERLINK("CSG15.html#group54A15", "54A¹⁵"), =HYPERLINK("CSG13.html#group27A13", "27A¹³"), =HYPERLINK("CSG11.html#group27A11", "27A¹¹"), =HYPERLINK("CSG16.html#group54V16", "54V¹⁶"), =HYPERLINK("CSG22.html#group27B22", "27B²²"), =HYPERLINK("CSG22.html#group54J22", "54J²²"), =HYPERLINK("CSG8.html#group54D8", "54D⁸"), =HYPERLINK("CSG7.html#group54A7", "54A⁷"), =HYPERLINK("CSG20.html#group108B20", "108B²⁰"), =HYPERLINK("CSG12.html#group27A12", "27A¹²"), =HYPERLINK("CSG7.html#group27H7", "27H⁷"), =HYPERLINK("CSG11.html#group54A11", "54A¹¹"), =HYPERLINK("CSG24.html#group54A24", "54A²⁴")</f>
        <v/>
      </c>
    </row>
    <row r="560">
      <c r="A560" t="inlineStr">
        <is>
          <t>27C³</t>
        </is>
      </c>
      <c r="B560" t="inlineStr"/>
      <c r="C560" t="inlineStr">
        <is>
          <t>108</t>
        </is>
      </c>
      <c r="D560" t="inlineStr">
        <is>
          <t>1</t>
        </is>
      </c>
      <c r="E560" t="inlineStr">
        <is>
          <t>36</t>
        </is>
      </c>
      <c r="F560" t="inlineStr">
        <is>
          <t>0</t>
        </is>
      </c>
      <c r="G560" t="inlineStr">
        <is>
          <t>3</t>
        </is>
      </c>
      <c r="H560" t="inlineStr">
        <is>
          <t>3⁹, 27³</t>
        </is>
      </c>
      <c r="I560" t="n">
        <v>12</v>
      </c>
      <c r="J560" t="inlineStr">
        <is>
          <t>3², 6⁵</t>
        </is>
      </c>
      <c r="K560">
        <f>HYPERLINK("CSG0.html#group9J0", "9J⁰")</f>
        <v/>
      </c>
      <c r="L560">
        <f>HYPERLINK("CSG10.html#group27B10", "27B¹⁰"), =HYPERLINK("CSG11.html#group54C11", "54C¹¹"), =HYPERLINK("CSG16.html#group27E16", "27E¹⁶"), =HYPERLINK("CSG16.html#group54U16", "54U¹⁶"), =HYPERLINK("CSG19.html#group27D19", "27D¹⁹"), =HYPERLINK("CSG19.html#group27C19", "27C¹⁹")</f>
        <v/>
      </c>
      <c r="M560">
        <f>HYPERLINK("CSG0.html#group3B0", "3B⁰"), =HYPERLINK("CSG0.html#group1A0", "1A⁰"), =HYPERLINK("CSG0.html#group9J0", "9J⁰"), =HYPERLINK("CSG0.html#group9C0", "9C⁰")</f>
        <v/>
      </c>
      <c r="N560">
        <f>HYPERLINK("CSG11.html#group54C11", "54C¹¹"), =HYPERLINK("CSG10.html#group27B10", "27B¹⁰"), =HYPERLINK("CSG19.html#group27D19", "27D¹⁹"), =HYPERLINK("CSG16.html#group27E16", "27E¹⁶"), =HYPERLINK("CSG16.html#group54U16", "54U¹⁶"), =HYPERLINK("CSG19.html#group27C19", "27C¹⁹")</f>
        <v/>
      </c>
    </row>
    <row r="561">
      <c r="A561" t="inlineStr">
        <is>
          <t>28A³</t>
        </is>
      </c>
      <c r="B561" t="inlineStr"/>
      <c r="C561" t="inlineStr">
        <is>
          <t>42</t>
        </is>
      </c>
      <c r="D561" t="inlineStr">
        <is>
          <t>2</t>
        </is>
      </c>
      <c r="E561" t="inlineStr">
        <is>
          <t>21</t>
        </is>
      </c>
      <c r="F561" t="inlineStr">
        <is>
          <t>0</t>
        </is>
      </c>
      <c r="G561" t="inlineStr">
        <is>
          <t>0</t>
        </is>
      </c>
      <c r="H561" t="inlineStr">
        <is>
          <t>7², 28¹</t>
        </is>
      </c>
      <c r="I561" t="n">
        <v>3</v>
      </c>
      <c r="J561" t="inlineStr">
        <is>
          <t>2³, 6⁶</t>
        </is>
      </c>
      <c r="K561">
        <f>HYPERLINK("CSG0.html#group4B0", "4B⁰"), =HYPERLINK("CSG1.html#group14B1", "14B¹")</f>
        <v/>
      </c>
      <c r="L561">
        <f>HYPERLINK("CSG5.html#group28A5", "28A⁵"), =HYPERLINK("CSG6.html#group28A6", "28A⁶"), =HYPERLINK("CSG6.html#group28C6", "28C⁶"), =HYPERLINK("CSG6.html#group56B6", "56B⁶"), =HYPERLINK("CSG6.html#group56C6", "56C⁶"), =HYPERLINK("CSG7.html#group28B7", "28B⁷"), =HYPERLINK("CSG9.html#group28A9", "28A⁹"), =HYPERLINK("CSG10.html#group84A10", "84A¹⁰"), =HYPERLINK("CSG12.html#group84B12", "84B¹²"), =HYPERLINK("CSG17.html#group140A17", "140A¹⁷"), =HYPERLINK("CSG19.html#group140B19", "140B¹⁹")</f>
        <v/>
      </c>
      <c r="M561">
        <f>HYPERLINK("CSG0.html#group2B0", "2B⁰"), =HYPERLINK("CSG0.html#group4B0", "4B⁰"), =HYPERLINK("CSG1.html#group14B1", "14B¹"), =HYPERLINK("CSG0.html#group1A0", "1A⁰"), =HYPERLINK("CSG0.html#group7A0", "7A⁰")</f>
        <v/>
      </c>
      <c r="N561">
        <f>HYPERLINK("CSG17.html#group140A17", "140A¹⁷"), =HYPERLINK("CSG20.html#group168B20", "168B²⁰"), =HYPERLINK("CSG6.html#group56C6", "56C⁶"), =HYPERLINK("CSG12.html#group28B12", "28B¹²"), =HYPERLINK("CSG19.html#group84C19", "84C¹⁹"), =HYPERLINK("CSG13.html#group28D13", "28D¹³"), =HYPERLINK("CSG16.html#group56B16", "56B¹⁶"), =HYPERLINK("CSG12.html#group56H12", "56H¹²"), =HYPERLINK("CSG21.html#group28B21", "28B²¹"), =HYPERLINK("CSG24.html#group56G24", "56G²⁴"), =HYPERLINK("CSG13.html#group28C13", "28C¹³"), =HYPERLINK("CSG24.html#group56E24", "56E²⁴"), =HYPERLINK("CSG24.html#group112D24", "112D²⁴"), =HYPERLINK("CSG20.html#group168C20", "168C²⁰"), =HYPERLINK("CSG23.html#group28C23", "28C²³"), =HYPERLINK("CSG17.html#group28A17", "28A¹⁷"), =HYPERLINK("CSG24.html#group224B24", "224B²⁴"), =HYPERLINK("CSG23.html#group112F23", "112F²³"), =HYPERLINK("CSG23.html#group56E23", "56E²³"), =HYPERLINK("CSG19.html#group84A19", "84A¹⁹"), =HYPERLINK("CSG12.html#group56A12", "56A¹²"), =HYPERLINK("CSG10.html#group84A10", "84A¹⁰"), =HYPERLINK("CSG20.html#group84A20", "84A²⁰"), =HYPERLINK("CSG21.html#group56E21", "56E²¹"), =HYPERLINK("CSG21.html#group28D21", "28D²¹"), =HYPERLINK("CSG16.html#group28C16", "28C¹⁶"), =HYPERLINK("CSG11.html#group28C11", "28C¹¹"), =HYPERLINK("CSG5.html#group28A5", "28A⁵"), =HYPERLINK("CSG16.html#group28A16", "28A¹⁶"), =HYPERLINK("CSG12.html#group112E12", "112E¹²"), =HYPERLINK("CSG21.html#group56F21", "56F²¹"), =HYPERLINK("CSG6.html#group56B6", "56B⁶"), =HYPERLINK("CSG16.html#group56D16", "56D¹⁶"), =HYPERLINK("CSG6.html#group28A6", "28A⁶"), =HYPERLINK("CSG24.html#group56C24", "56C²⁴"), =HYPERLINK("CSG24.html#group112F24", "112F²⁴"), =HYPERLINK("CSG7.html#group28B7", "28B⁷"), =HYPERLINK("CSG24.html#group112B24", "112B²⁴"), =HYPERLINK("CSG12.html#group28C12", "28C¹²"), =HYPERLINK("CSG19.html#group140B19", "140B¹⁹"), =HYPERLINK("CSG24.html#group84D24", "84D²⁴"), =HYPERLINK("CSG24.html#group112G24", "112G²⁴"), =HYPERLINK("CSG9.html#group28A9", "28A⁹"), =HYPERLINK("CSG13.html#group56D13", "56D¹³"), =HYPERLINK("CSG16.html#group28E16", "28E¹⁶"), =HYPERLINK("CSG12.html#group84B12", "84B¹²"), =HYPERLINK("CSG24.html#group56D24", "56D²⁴"), =HYPERLINK("CSG12.html#group56I12", "56I¹²"), =HYPERLINK("CSG23.html#group56F23", "56F²³"), =HYPERLINK("CSG20.html#group168A20", "168A²⁰"), =HYPERLINK("CSG20.html#group168D20", "168D²⁰"), =HYPERLINK("CSG24.html#group84C24", "84C²⁴"), =HYPERLINK("CSG13.html#group112A13", "112A¹³"), =HYPERLINK("CSG13.html#group56C13", "56C¹³"), =HYPERLINK("CSG24.html#group168B24", "168B²⁴"), =HYPERLINK("CSG12.html#group56F12", "56F¹²"), =HYPERLINK("CSG24.html#group56B24", "56B²⁴"), =HYPERLINK("CSG12.html#group56C12", "56C¹²"), =HYPERLINK("CSG24.html#group112E24", "112E²⁴"), =HYPERLINK("CSG6.html#group28C6", "28C⁶"), =HYPERLINK("CSG24.html#group112A24", "112A²⁴"), =HYPERLINK("CSG12.html#group112C12", "112C¹²"), =HYPERLINK("CSG12.html#group112D12", "112D¹²"), =HYPERLINK("CSG20.html#group84E20", "84E²⁰"), =HYPERLINK("CSG19.html#group84D19", "84D¹⁹"), =HYPERLINK("CSG24.html#group56F24", "56F²⁴"), =HYPERLINK("CSG24.html#group112C24", "112C²⁴"), =HYPERLINK("CSG12.html#group56B12", "56B¹²"), =HYPERLINK("CSG19.html#group84B19", "84B¹⁹"), =HYPERLINK("CSG12.html#group56G12", "56G¹²"), =HYPERLINK("CSG16.html#group56A16", "56A¹⁶"), =HYPERLINK("CSG24.html#group56A24", "56A²⁴"), =HYPERLINK("CSG13.html#group112B13", "112B¹³"), =HYPERLINK("CSG11.html#group56B11", "56B¹¹"), =HYPERLINK("CSG23.html#group56A23", "56A²³"), =HYPERLINK("CSG20.html#group84C20", "84C²⁰"), =HYPERLINK("CSG24.html#group168A24", "168A²⁴"), =HYPERLINK("CSG12.html#group112B12", "112B¹²"), =HYPERLINK("CSG23.html#group112B23", "112B²³"), =HYPERLINK("CSG24.html#group224A24", "224A²⁴"), =HYPERLINK("CSG23.html#group84B23", "84B²³"), =HYPERLINK("CSG20.html#group84G20", "84G²⁰")</f>
        <v/>
      </c>
    </row>
    <row r="562">
      <c r="A562" t="inlineStr">
        <is>
          <t>28B³</t>
        </is>
      </c>
      <c r="B562" t="inlineStr"/>
      <c r="C562" t="inlineStr">
        <is>
          <t>42</t>
        </is>
      </c>
      <c r="D562" t="inlineStr">
        <is>
          <t>2</t>
        </is>
      </c>
      <c r="E562" t="inlineStr">
        <is>
          <t>21</t>
        </is>
      </c>
      <c r="F562" t="inlineStr">
        <is>
          <t>2</t>
        </is>
      </c>
      <c r="G562" t="inlineStr">
        <is>
          <t>0</t>
        </is>
      </c>
      <c r="H562" t="inlineStr">
        <is>
          <t>14¹, 28¹</t>
        </is>
      </c>
      <c r="I562" t="n">
        <v>2</v>
      </c>
      <c r="J562" t="inlineStr">
        <is>
          <t>2³, 6⁶</t>
        </is>
      </c>
      <c r="K562">
        <f>HYPERLINK("CSG1.html#group14B1", "14B¹")</f>
        <v/>
      </c>
      <c r="L562">
        <f>HYPERLINK("CSG5.html#group28B5", "28B⁵"), =HYPERLINK("CSG6.html#group28A6", "28A⁶"), =HYPERLINK("CSG6.html#group28B6", "28B⁶"), =HYPERLINK("CSG7.html#group28C7", "28C⁷"), =HYPERLINK("CSG9.html#group84B9", "84B⁹"), =HYPERLINK("CSG11.html#group28A11", "28A¹¹"), =HYPERLINK("CSG13.html#group84B13", "84B¹³"), =HYPERLINK("CSG17.html#group140B17", "140B¹⁷"), =HYPERLINK("CSG19.html#group140C19", "140C¹⁹")</f>
        <v/>
      </c>
      <c r="M562">
        <f>HYPERLINK("CSG1.html#group14B1", "14B¹"), =HYPERLINK("CSG0.html#group1A0", "1A⁰"), =HYPERLINK("CSG0.html#group2B0", "2B⁰"), =HYPERLINK("CSG0.html#group7A0", "7A⁰")</f>
        <v/>
      </c>
      <c r="N562">
        <f>HYPERLINK("CSG16.html#group28E16", "28E¹⁶"), =HYPERLINK("CSG18.html#group84F18", "84F¹⁸"), =HYPERLINK("CSG6.html#group28B6", "28B⁶"), =HYPERLINK("CSG23.html#group56F23", "56F²³"), =HYPERLINK("CSG19.html#group84E19", "84E¹⁹"), =HYPERLINK("CSG23.html#group56D23", "56D²³"), =HYPERLINK("CSG13.html#group28E13", "28E¹³"), =HYPERLINK("CSG14.html#group28B14", "28B¹⁴"), =HYPERLINK("CSG23.html#group56G23", "56G²³"), =HYPERLINK("CSG24.html#group56G24", "56G²⁴"), =HYPERLINK("CSG21.html#group28B21", "28B²¹"), =HYPERLINK("CSG11.html#group28A11", "28A¹¹"), =HYPERLINK("CSG19.html#group140C19", "140C¹⁹"), =HYPERLINK("CSG24.html#group56E24", "56E²⁴"), =HYPERLINK("CSG12.html#group56C12", "56C¹²"), =HYPERLINK("CSG13.html#group84B13", "84B¹³"), =HYPERLINK("CSG9.html#group84B9", "84B⁹"), =HYPERLINK("CSG17.html#group140B17", "140B¹⁷"), =HYPERLINK("CSG16.html#group28F16", "28F¹⁶"), =HYPERLINK("CSG23.html#group28C23", "28C²³"), =HYPERLINK("CSG15.html#group28G15", "28G¹⁵"), =HYPERLINK("CSG17.html#group84D17", "84D¹⁷"), =HYPERLINK("CSG7.html#group28C7", "28C⁷"), =HYPERLINK("CSG15.html#group28C15", "28C¹⁵"), =HYPERLINK("CSG23.html#group112A23", "112A²³"), =HYPERLINK("CSG21.html#group28E21", "28E²¹"), =HYPERLINK("CSG11.html#group56A11", "56A¹¹"), =HYPERLINK("CSG11.html#group56C11", "56C¹¹"), =HYPERLINK("CSG20.html#group84A20", "84A²⁰"), =HYPERLINK("CSG18.html#group84D18", "84D¹⁸"), =HYPERLINK("CSG14.html#group28A14", "28A¹⁴"), =HYPERLINK("CSG13.html#group56B13", "56B¹³"), =HYPERLINK("CSG17.html#group84E17", "84E¹⁷"), =HYPERLINK("CSG20.html#group84B20", "84B²⁰"), =HYPERLINK("CSG11.html#group28C11", "28C¹¹"), =HYPERLINK("CSG5.html#group28B5", "28B⁵"), =HYPERLINK("CSG23.html#group56A23", "56A²³"), =HYPERLINK("CSG21.html#group28C21", "28C²¹"), =HYPERLINK("CSG23.html#group112G23", "112G²³"), =HYPERLINK("CSG11.html#group28D11", "28D¹¹"), =HYPERLINK("CSG23.html#group56H23", "56H²³"), =HYPERLINK("CSG6.html#group28A6", "28A⁶"), =HYPERLINK("CSG12.html#group28C12", "28C¹²"), =HYPERLINK("CSG19.html#group84G19", "84G¹⁹"), =HYPERLINK("CSG24.html#group112G24", "112G²⁴")</f>
        <v/>
      </c>
    </row>
    <row r="563">
      <c r="A563" t="inlineStr">
        <is>
          <t>28C³</t>
        </is>
      </c>
      <c r="B563" t="inlineStr"/>
      <c r="C563" t="inlineStr">
        <is>
          <t>48</t>
        </is>
      </c>
      <c r="D563" t="inlineStr">
        <is>
          <t>1</t>
        </is>
      </c>
      <c r="E563" t="inlineStr">
        <is>
          <t>24</t>
        </is>
      </c>
      <c r="F563" t="inlineStr">
        <is>
          <t>0</t>
        </is>
      </c>
      <c r="G563" t="inlineStr">
        <is>
          <t>0</t>
        </is>
      </c>
      <c r="H563" t="inlineStr">
        <is>
          <t>2¹, 4¹, 14¹, 28¹</t>
        </is>
      </c>
      <c r="I563" t="n">
        <v>4</v>
      </c>
      <c r="J563" t="inlineStr">
        <is>
          <t>1⁶, 6³</t>
        </is>
      </c>
      <c r="K563">
        <f>HYPERLINK("CSG0.html#group4C0", "4C⁰"), =HYPERLINK("CSG1.html#group14C1", "14C¹")</f>
        <v/>
      </c>
      <c r="L563">
        <f>HYPERLINK("CSG5.html#group28E5", "28E⁵"), =HYPERLINK("CSG6.html#group28G6", "28G⁶"), =HYPERLINK("CSG6.html#group56E6", "56E⁶"), =HYPERLINK("CSG7.html#group28D7", "28D⁷"), =HYPERLINK("CSG7.html#group56B7", "56B⁷"), =HYPERLINK("CSG7.html#group56C7", "56C⁷"), =HYPERLINK("CSG11.html#group84A11", "84A¹¹"), =HYPERLINK("CSG11.html#group84C11", "84C¹¹"), =HYPERLINK("CSG13.html#group84G13", "84G¹³"), =HYPERLINK("CSG19.html#group140A19", "140A¹⁹"), =HYPERLINK("CSG21.html#group28E21", "28E²¹"), =HYPERLINK("CSG21.html#group140C21", "140C²¹"), =HYPERLINK("CSG21.html#group196A21", "196A²¹")</f>
        <v/>
      </c>
      <c r="M563">
        <f>HYPERLINK("CSG0.html#group2B0", "2B⁰"), =HYPERLINK("CSG0.html#group1A0", "1A⁰"), =HYPERLINK("CSG0.html#group7B0", "7B⁰"), =HYPERLINK("CSG0.html#group4C0", "4C⁰"), =HYPERLINK("CSG1.html#group14C1", "14C¹")</f>
        <v/>
      </c>
      <c r="N563">
        <f>HYPERLINK("CSG23.html#group168D23", "168D²³"), =HYPERLINK("CSG23.html#group112P23", "112P²³"), =HYPERLINK("CSG21.html#group84C21", "84C²¹"), =HYPERLINK("CSG19.html#group140A19", "140A¹⁹"), =HYPERLINK("CSG14.html#group112D14", "112D¹⁴"), =HYPERLINK("CSG15.html#group112H15", "112H¹⁵"), =HYPERLINK("CSG23.html#group56O23", "56O²³"), =HYPERLINK("CSG23.html#group56Q23", "56Q²³"), =HYPERLINK("CSG12.html#group56L12", "56L¹²"), =HYPERLINK("CSG15.html#group112F15", "112F¹⁵"), =HYPERLINK("CSG23.html#group56P23", "56P²³"), =HYPERLINK("CSG6.html#group28G6", "28G⁶"), =HYPERLINK("CSG21.html#group28M21", "28M²¹"), =HYPERLINK("CSG19.html#group56B19", "56B¹⁹"), =HYPERLINK("CSG11.html#group56M11", "56M¹¹"), =HYPERLINK("CSG21.html#group196A21", "196A²¹"), =HYPERLINK("CSG7.html#group56B7", "56B⁷"), =HYPERLINK("CSG11.html#group56Q11", "56Q¹¹"), =HYPERLINK("CSG5.html#group28E5", "28E⁵"), =HYPERLINK("CSG11.html#group84C11", "84C¹¹"), =HYPERLINK("CSG19.html#group56C19", "56C¹⁹"), =HYPERLINK("CSG22.html#group84J22", "84J²²"), =HYPERLINK("CSG23.html#group168C23", "168C²³"), =HYPERLINK("CSG21.html#group84D21", "84D²¹"), =HYPERLINK("CSG21.html#group56N21", "56N²¹"), =HYPERLINK("CSG22.html#group168F22", "168F²²"), =HYPERLINK("CSG13.html#group56L13", "56L¹³"), =HYPERLINK("CSG11.html#group56R11", "56R¹¹"), =HYPERLINK("CSG7.html#group56C7", "56C⁷"), =HYPERLINK("CSG11.html#group84A11", "84A¹¹"), =HYPERLINK("CSG21.html#group140C21", "140C²¹"), =HYPERLINK("CSG13.html#group56K13", "56K¹³"), =HYPERLINK("CSG13.html#group56J13", "56J¹³"), =HYPERLINK("CSG13.html#group56I13", "56I¹³"), =HYPERLINK("CSG22.html#group168B22", "168B²²"), =HYPERLINK("CSG21.html#group28E21", "28E²¹"), =HYPERLINK("CSG23.html#group168F23", "168F²³"), =HYPERLINK("CSG23.html#group112O23", "112O²³"), =HYPERLINK("CSG11.html#group28F11", "28F¹¹"), =HYPERLINK("CSG21.html#group84A21", "84A²¹"), =HYPERLINK("CSG23.html#group168B23", "168B²³"), =HYPERLINK("CSG22.html#group84I22", "84I²²"), =HYPERLINK("CSG11.html#group56L11", "56L¹¹"), =HYPERLINK("CSG23.html#group168A23", "168A²³"), =HYPERLINK("CSG23.html#group56W23", "56W²³"), =HYPERLINK("CSG15.html#group112E15", "112E¹⁵"), =HYPERLINK("CSG15.html#group112C15", "112C¹⁵"), =HYPERLINK("CSG22.html#group84L22", "84L²²"), =HYPERLINK("CSG23.html#group168E23", "168E²³"), =HYPERLINK("CSG15.html#group112A15", "112A¹⁵"), =HYPERLINK("CSG14.html#group56A14", "56A¹⁴"), =HYPERLINK("CSG16.html#group56F16", "56F¹⁶"), =HYPERLINK("CSG21.html#group56L21", "56L²¹"), =HYPERLINK("CSG22.html#group168D22", "168D²²"), =HYPERLINK("CSG15.html#group112G15", "112G¹⁵"), =HYPERLINK("CSG11.html#group28E11", "28E¹¹"), =HYPERLINK("CSG15.html#group112D15", "112D¹⁵"), =HYPERLINK("CSG9.html#group28F9", "28F⁹"), =HYPERLINK("CSG16.html#group28H16", "28H¹⁶"), =HYPERLINK("CSG13.html#group56G13", "56G¹³"), =HYPERLINK("CSG21.html#group84G21", "84G²¹"), =HYPERLINK("CSG13.html#group28F13", "28F¹³"), =HYPERLINK("CSG23.html#group56R23", "56R²³"), =HYPERLINK("CSG7.html#group28D7", "28D⁷"), =HYPERLINK("CSG15.html#group112B15", "112B¹⁵"), =HYPERLINK("CSG23.html#group56V23", "56V²³"), =HYPERLINK("CSG6.html#group56E6", "56E⁶"), =HYPERLINK("CSG13.html#group84G13", "84G¹³"), =HYPERLINK("CSG13.html#group56H13", "56H¹³"), =HYPERLINK("CSG12.html#group112H12", "112H¹²")</f>
        <v/>
      </c>
    </row>
    <row r="564">
      <c r="A564" t="inlineStr">
        <is>
          <t>28D³</t>
        </is>
      </c>
      <c r="B564" t="inlineStr"/>
      <c r="C564" t="inlineStr">
        <is>
          <t>56</t>
        </is>
      </c>
      <c r="D564" t="inlineStr">
        <is>
          <t>2</t>
        </is>
      </c>
      <c r="E564" t="inlineStr">
        <is>
          <t>28</t>
        </is>
      </c>
      <c r="F564" t="inlineStr">
        <is>
          <t>4</t>
        </is>
      </c>
      <c r="G564" t="inlineStr">
        <is>
          <t>2</t>
        </is>
      </c>
      <c r="H564" t="inlineStr">
        <is>
          <t>28²</t>
        </is>
      </c>
      <c r="I564" t="n">
        <v>2</v>
      </c>
      <c r="J564" t="inlineStr">
        <is>
          <t>4², 12⁴</t>
        </is>
      </c>
      <c r="K564">
        <f>HYPERLINK("CSG0.html#group7C0", "7C⁰"), =HYPERLINK("CSG1.html#group28A1", "28A¹")</f>
        <v/>
      </c>
      <c r="L564">
        <f>HYPERLINK("CSG7.html#group28A7", "28A⁷"), =HYPERLINK("CSG7.html#group56E7", "56E⁷"), =HYPERLINK("CSG7.html#group56D7", "56D⁷"), =HYPERLINK("CSG9.html#group28C9", "28C⁹"), =HYPERLINK("CSG10.html#group84E10", "84E¹⁰"), =HYPERLINK("CSG11.html#group28D11", "28D¹¹"), =HYPERLINK("CSG11.html#group84D11", "84D¹¹"), =HYPERLINK("CSG15.html#group28B15", "28B¹⁵"), =HYPERLINK("CSG15.html#group56D15", "56D¹⁵"), =HYPERLINK("CSG17.html#group84B17", "84B¹⁷"), =HYPERLINK("CSG21.html#group140A21", "140A²¹")</f>
        <v/>
      </c>
      <c r="M564">
        <f>HYPERLINK("CSG1.html#group28A1", "28A¹"), =HYPERLINK("CSG0.html#group1A0", "1A⁰"), =HYPERLINK("CSG0.html#group4A0", "4A⁰"), =HYPERLINK("CSG0.html#group7C0", "7C⁰"), =HYPERLINK("CSG0.html#group7A0", "7A⁰")</f>
        <v/>
      </c>
      <c r="N564">
        <f>HYPERLINK("CSG15.html#group112J15", "112J¹⁵"), =HYPERLINK("CSG23.html#group56B23", "56B²³"), =HYPERLINK("CSG21.html#group28F21", "28F²¹"), =HYPERLINK("CSG23.html#group56D23", "56D²³"), =HYPERLINK("CSG23.html#group56K23", "56K²³"), =HYPERLINK("CSG11.html#group84D11", "84D¹¹"), =HYPERLINK("CSG15.html#group56D15", "56D¹⁵"), =HYPERLINK("CSG23.html#group56G23", "56G²³"), =HYPERLINK("CSG21.html#group140A21", "140A²¹"), =HYPERLINK("CSG10.html#group84E10", "84E¹⁰"), =HYPERLINK("CSG15.html#group56A15", "56A¹⁵"), =HYPERLINK("CSG23.html#group28D23", "28D²³"), =HYPERLINK("CSG11.html#group28D11", "28D¹¹"), =HYPERLINK("CSG15.html#group28B15", "28B¹⁵"), =HYPERLINK("CSG23.html#group56L23", "56L²³"), =HYPERLINK("CSG7.html#group56E7", "56E⁷"), =HYPERLINK("CSG17.html#group84B17", "84B¹⁷"), =HYPERLINK("CSG19.html#group28C19", "28C¹⁹"), =HYPERLINK("CSG7.html#group56D7", "56D⁷"), =HYPERLINK("CSG23.html#group84E23", "84E²³"), =HYPERLINK("CSG7.html#group28A7", "28A⁷"), =HYPERLINK("CSG23.html#group168H23", "168H²³"), =HYPERLINK("CSG23.html#group28C23", "28C²³"), =HYPERLINK("CSG23.html#group56C23", "56C²³"), =HYPERLINK("CSG23.html#group168G23", "168G²³"), =HYPERLINK("CSG15.html#group112I15", "112I¹⁵"), =HYPERLINK("CSG9.html#group28C9", "28C⁹"), =HYPERLINK("CSG21.html#group28K21", "28K²¹")</f>
        <v/>
      </c>
    </row>
    <row r="565">
      <c r="A565" t="inlineStr">
        <is>
          <t>28E³</t>
        </is>
      </c>
      <c r="B565" t="inlineStr"/>
      <c r="C565" t="inlineStr">
        <is>
          <t>64</t>
        </is>
      </c>
      <c r="D565" t="inlineStr">
        <is>
          <t>1</t>
        </is>
      </c>
      <c r="E565" t="inlineStr">
        <is>
          <t>32</t>
        </is>
      </c>
      <c r="F565" t="inlineStr">
        <is>
          <t>0</t>
        </is>
      </c>
      <c r="G565" t="inlineStr">
        <is>
          <t>4</t>
        </is>
      </c>
      <c r="H565" t="inlineStr">
        <is>
          <t>4², 28²</t>
        </is>
      </c>
      <c r="I565" t="n">
        <v>4</v>
      </c>
      <c r="J565" t="inlineStr">
        <is>
          <t>2⁴, 12²</t>
        </is>
      </c>
      <c r="K565">
        <f>HYPERLINK("CSG0.html#group4D0", "4D⁰"), =HYPERLINK("CSG0.html#group14B0", "14B⁰"), =HYPERLINK("CSG2.html#group28A2", "28A²")</f>
        <v/>
      </c>
      <c r="L565">
        <f>HYPERLINK("CSG5.html#group28I5", "28I⁵"), =HYPERLINK("CSG7.html#group56F7", "56F⁷"), =HYPERLINK("CSG7.html#group56G7", "56G⁷"), =HYPERLINK("CSG9.html#group28G9", "28G⁹"), =HYPERLINK("CSG11.html#group28E11", "28E¹¹"), =HYPERLINK("CSG11.html#group28G11", "28G¹¹"), =HYPERLINK("CSG13.html#group84E13", "84E¹³"), =HYPERLINK("CSG13.html#group84I13", "84I¹³"), =HYPERLINK("CSG14.html#group84B14", "84B¹⁴"), =HYPERLINK("CSG15.html#group84C15", "84C¹⁵"), =HYPERLINK("CSG17.html#group56C17", "56C¹⁷"), =HYPERLINK("CSG17.html#group84Q17", "84Q¹⁷"), =HYPERLINK("CSG23.html#group140C23", "140C²³")</f>
        <v/>
      </c>
      <c r="M565">
        <f>HYPERLINK("CSG0.html#group2A0", "2A⁰"), =HYPERLINK("CSG0.html#group4A0", "4A⁰"), =HYPERLINK("CSG0.html#group4D0", "4D⁰"), =HYPERLINK("CSG0.html#group7B0", "7B⁰"), =HYPERLINK("CSG0.html#group14B0", "14B⁰"), =HYPERLINK("CSG0.html#group1A0", "1A⁰"), =HYPERLINK("CSG2.html#group28A2", "28A²")</f>
        <v/>
      </c>
      <c r="N565">
        <f>HYPERLINK("CSG13.html#group56N13", "56N¹³"), =HYPERLINK("CSG21.html#group28N21", "28N²¹"), =HYPERLINK("CSG7.html#group56F7", "56F⁷"), =HYPERLINK("CSG14.html#group84B14", "84B¹⁴"), =HYPERLINK("CSG15.html#group112L15", "112L¹⁵"), =HYPERLINK("CSG15.html#group112K15", "112K¹⁵"), =HYPERLINK("CSG23.html#group56O23", "56O²³"), =HYPERLINK("CSG23.html#group140C23", "140C²³"), =HYPERLINK("CSG13.html#group84I13", "84I¹³"), =HYPERLINK("CSG23.html#group56P23", "56P²³"), =HYPERLINK("CSG5.html#group28I5", "28I⁵"), =HYPERLINK("CSG21.html#group28M21", "28M²¹"), =HYPERLINK("CSG7.html#group56G7", "56G⁷"), =HYPERLINK("CSG9.html#group28G9", "28G⁹"), =HYPERLINK("CSG15.html#group84C15", "84C¹⁵"), =HYPERLINK("CSG11.html#group28E11", "28E¹¹"), =HYPERLINK("CSG17.html#group28E17", "28E¹⁷"), =HYPERLINK("CSG23.html#group56T23", "56T²³"), =HYPERLINK("CSG23.html#group56S23", "56S²³"), =HYPERLINK("CSG17.html#group84Q17", "84Q¹⁷"), =HYPERLINK("CSG13.html#group84E13", "84E¹³"), =HYPERLINK("CSG11.html#group28G11", "28G¹¹"), =HYPERLINK("CSG17.html#group56C17", "56C¹⁷")</f>
        <v/>
      </c>
    </row>
    <row r="566">
      <c r="A566" t="inlineStr">
        <is>
          <t>30A³</t>
        </is>
      </c>
      <c r="B566" t="inlineStr"/>
      <c r="C566" t="inlineStr">
        <is>
          <t>30</t>
        </is>
      </c>
      <c r="D566" t="inlineStr">
        <is>
          <t>1</t>
        </is>
      </c>
      <c r="E566" t="inlineStr">
        <is>
          <t>5</t>
        </is>
      </c>
      <c r="F566" t="inlineStr">
        <is>
          <t>0</t>
        </is>
      </c>
      <c r="G566" t="inlineStr">
        <is>
          <t>0</t>
        </is>
      </c>
      <c r="H566" t="inlineStr">
        <is>
          <t>30¹</t>
        </is>
      </c>
      <c r="I566" t="n">
        <v>1</v>
      </c>
      <c r="J566" t="inlineStr">
        <is>
          <t>1¹, 4¹</t>
        </is>
      </c>
      <c r="K566">
        <f>HYPERLINK("CSG0.html#group10A0", "10A⁰"), =HYPERLINK("CSG1.html#group6A1", "6A¹"), =HYPERLINK("CSG1.html#group15A1", "15A¹")</f>
        <v/>
      </c>
      <c r="L566">
        <f>HYPERLINK("CSG5.html#group30B5", "30B⁵"), =HYPERLINK("CSG7.html#group30A7", "30A⁷"), =HYPERLINK("CSG7.html#group30B7", "30B⁷"), =HYPERLINK("CSG7.html#group30D7", "30D⁷"), =HYPERLINK("CSG8.html#group90A8", "90A⁸"), =HYPERLINK("CSG9.html#group30B9", "30B⁹"), =HYPERLINK("CSG10.html#group60A10", "60A¹⁰"), =HYPERLINK("CSG18.html#group210A18", "210A¹⁸"), =HYPERLINK("CSG20.html#group210A20", "210A²⁰")</f>
        <v/>
      </c>
      <c r="M566">
        <f>HYPERLINK("CSG0.html#group2A0", "2A⁰"), =HYPERLINK("CSG0.html#group5A0", "5A⁰"), =HYPERLINK("CSG0.html#group10A0", "10A⁰"), =HYPERLINK("CSG1.html#group6A1", "6A¹"), =HYPERLINK("CSG0.html#group3A0", "3A⁰"), =HYPERLINK("CSG0.html#group1A0", "1A⁰"), =HYPERLINK("CSG1.html#group15A1", "15A¹")</f>
        <v/>
      </c>
      <c r="N566">
        <f>HYPERLINK("CSG14.html#group60E14", "60E¹⁴"), =HYPERLINK("CSG14.html#group60A14", "60A¹⁴"), =HYPERLINK("CSG15.html#group90B15", "90B¹⁵"), =HYPERLINK("CSG13.html#group30F13", "30F¹³"), =HYPERLINK("CSG7.html#group30B7", "30B⁷"), =HYPERLINK("CSG8.html#group90A8", "90A⁸"), =HYPERLINK("CSG13.html#group30D13", "30D¹³"), =HYPERLINK("CSG5.html#group30B5", "30B⁵"), =HYPERLINK("CSG17.html#group30E17", "30E¹⁷"), =HYPERLINK("CSG19.html#group60D19", "60D¹⁹"), =HYPERLINK("CSG13.html#group30C13", "30C¹³"), =HYPERLINK("CSG15.html#group90D15", "90D¹⁵"), =HYPERLINK("CSG10.html#group60A10", "60A¹⁰"), =HYPERLINK("CSG18.html#group210A18", "210A¹⁸"), =HYPERLINK("CSG22.html#group90C22", "90C²²"), =HYPERLINK("CSG9.html#group30A9", "30A⁹"), =HYPERLINK("CSG19.html#group60G19", "60G¹⁹"), =HYPERLINK("CSG13.html#group30B13", "30B¹³"), =HYPERLINK("CSG20.html#group120A20", "120A²⁰"), =HYPERLINK("CSG22.html#group90B22", "90B²²"), =HYPERLINK("CSG20.html#group120B20", "120B²⁰"), =HYPERLINK("CSG7.html#group30A7", "30A⁷"), =HYPERLINK("CSG22.html#group90A22", "90A²²"), =HYPERLINK("CSG19.html#group30A19", "30A¹⁹"), =HYPERLINK("CSG9.html#group30B9", "30B⁹"), =HYPERLINK("CSG14.html#group90C14", "90C¹⁴"), =HYPERLINK("CSG20.html#group210A20", "210A²⁰"), =HYPERLINK("CSG15.html#group90A15", "90A¹⁵"), =HYPERLINK("CSG19.html#group60B19", "60B¹⁹"), =HYPERLINK("CSG13.html#group30G13", "30G¹³"), =HYPERLINK("CSG15.html#group90C15", "90C¹⁵"), =HYPERLINK("CSG15.html#group90F15", "90F¹⁵"), =HYPERLINK("CSG19.html#group60A19", "60A¹⁹"), =HYPERLINK("CSG7.html#group30D7", "30D⁷"), =HYPERLINK("CSG22.html#group90D22", "90D²²")</f>
        <v/>
      </c>
    </row>
    <row r="567">
      <c r="A567" t="inlineStr">
        <is>
          <t>30B³</t>
        </is>
      </c>
      <c r="B567" t="inlineStr"/>
      <c r="C567" t="inlineStr">
        <is>
          <t>36</t>
        </is>
      </c>
      <c r="D567" t="inlineStr">
        <is>
          <t>1</t>
        </is>
      </c>
      <c r="E567" t="inlineStr">
        <is>
          <t>6</t>
        </is>
      </c>
      <c r="F567" t="inlineStr">
        <is>
          <t>0</t>
        </is>
      </c>
      <c r="G567" t="inlineStr">
        <is>
          <t>0</t>
        </is>
      </c>
      <c r="H567" t="inlineStr">
        <is>
          <t>6¹, 30¹</t>
        </is>
      </c>
      <c r="I567" t="n">
        <v>2</v>
      </c>
      <c r="J567" t="inlineStr">
        <is>
          <t>1², 4¹</t>
        </is>
      </c>
      <c r="K567">
        <f>HYPERLINK("CSG0.html#group15B0", "15B⁰"), =HYPERLINK("CSG1.html#group6A1", "6A¹"), =HYPERLINK("CSG1.html#group10A1", "10A¹")</f>
        <v/>
      </c>
      <c r="L567">
        <f>HYPERLINK("CSG5.html#group30C5", "30C⁵"), =HYPERLINK("CSG5.html#group30F5", "30F⁵"), =HYPERLINK("CSG5.html#group30H5", "30H⁵"), =HYPERLINK("CSG7.html#group30F7", "30F⁷"), =HYPERLINK("CSG9.html#group90A9", "90A⁹"), =HYPERLINK("CSG11.html#group60E11", "60E¹¹"), =HYPERLINK("CSG13.html#group30D13", "30D¹³"), =HYPERLINK("CSG13.html#group150A13", "150A¹³"), =HYPERLINK("CSG15.html#group150D15", "150D¹⁵"), =HYPERLINK("CSG15.html#group150B15", "150B¹⁵"), =HYPERLINK("CSG15.html#group150A15", "150A¹⁵"), =HYPERLINK("CSG15.html#group150C15", "150C¹⁵"), =HYPERLINK("CSG21.html#group210A21", "210A²¹"), =HYPERLINK("CSG23.html#group210B23", "210B²³")</f>
        <v/>
      </c>
      <c r="M567">
        <f>HYPERLINK("CSG0.html#group2A0", "2A⁰"), =HYPERLINK("CSG0.html#group15B0", "15B⁰"), =HYPERLINK("CSG0.html#group5B0", "5B⁰"), =HYPERLINK("CSG1.html#group10A1", "10A¹"), =HYPERLINK("CSG1.html#group6A1", "6A¹"), =HYPERLINK("CSG0.html#group3A0", "3A⁰"), =HYPERLINK("CSG0.html#group1A0", "1A⁰")</f>
        <v/>
      </c>
      <c r="N567">
        <f>HYPERLINK("CSG11.html#group60E11", "60E¹¹"), =HYPERLINK("CSG5.html#group30C5", "30C⁵"), =HYPERLINK("CSG23.html#group210B23", "210B²³"), =HYPERLINK("CSG11.html#group60C11", "60C¹¹"), =HYPERLINK("CSG15.html#group90J15", "90J¹⁵"), =HYPERLINK("CSG11.html#group60A11", "60A¹¹"), =HYPERLINK("CSG17.html#group90K17", "90K¹⁷"), =HYPERLINK("CSG9.html#group90A9", "90A⁹"), =HYPERLINK("CSG13.html#group150A13", "150A¹³"), =HYPERLINK("CSG13.html#group30D13", "30D¹³"), =HYPERLINK("CSG15.html#group60C15", "60C¹⁵"), =HYPERLINK("CSG15.html#group60N15", "60N¹⁵"), =HYPERLINK("CSG21.html#group60A21", "60A²¹"), =HYPERLINK("CSG17.html#group90C17", "90C¹⁷"), =HYPERLINK("CSG5.html#group30F5", "30F⁵"), =HYPERLINK("CSG23.html#group120B23", "120B²³"), =HYPERLINK("CSG15.html#group150A15", "150A¹⁵"), =HYPERLINK("CSG23.html#group120F23", "120F²³"), =HYPERLINK("CSG9.html#group30K9", "30K⁹"), =HYPERLINK("CSG21.html#group60F21", "60F²¹"), =HYPERLINK("CSG9.html#group30I9", "30I⁹"), =HYPERLINK("CSG21.html#group210A21", "210A²¹"), =HYPERLINK("CSG9.html#group30H9", "30H⁹"), =HYPERLINK("CSG15.html#group150B15", "150B¹⁵"), =HYPERLINK("CSG21.html#group60M21", "60M²¹"), =HYPERLINK("CSG13.html#group30J13", "30J¹³"), =HYPERLINK("CSG13.html#group30H13", "30H¹³"), =HYPERLINK("CSG17.html#group30I17", "30I¹⁷"), =HYPERLINK("CSG17.html#group90D17", "90D¹⁷"), =HYPERLINK("CSG21.html#group60B21", "60B²¹"), =HYPERLINK("CSG17.html#group90B17", "90B¹⁷"), =HYPERLINK("CSG23.html#group120A23", "120A²³"), =HYPERLINK("CSG17.html#group90E17", "90E¹⁷"), =HYPERLINK("CSG21.html#group60D21", "60D²¹"), =HYPERLINK("CSG15.html#group60L15", "60L¹⁵"), =HYPERLINK("CSG13.html#group30I13", "30I¹³"), =HYPERLINK("CSG23.html#group120E23", "120E²³"), =HYPERLINK("CSG5.html#group30H5", "30H⁵"), =HYPERLINK("CSG21.html#group60O21", "60O²¹"), =HYPERLINK("CSG7.html#group30F7", "30F⁷"), =HYPERLINK("CSG15.html#group60D15", "60D¹⁵"), =HYPERLINK("CSG17.html#group30H17", "30H¹⁷"), =HYPERLINK("CSG15.html#group150D15", "150D¹⁵"), =HYPERLINK("CSG15.html#group150C15", "150C¹⁵"), =HYPERLINK("CSG21.html#group60C21", "60C²¹"), =HYPERLINK("CSG17.html#group90H17", "90H¹⁷")</f>
        <v/>
      </c>
    </row>
    <row r="568">
      <c r="A568" t="inlineStr">
        <is>
          <t>30C³</t>
        </is>
      </c>
      <c r="B568" t="inlineStr"/>
      <c r="C568" t="inlineStr">
        <is>
          <t>36</t>
        </is>
      </c>
      <c r="D568" t="inlineStr">
        <is>
          <t>1</t>
        </is>
      </c>
      <c r="E568" t="inlineStr">
        <is>
          <t>12</t>
        </is>
      </c>
      <c r="F568" t="inlineStr">
        <is>
          <t>0</t>
        </is>
      </c>
      <c r="G568" t="inlineStr">
        <is>
          <t>0</t>
        </is>
      </c>
      <c r="H568" t="inlineStr">
        <is>
          <t>6¹, 30¹</t>
        </is>
      </c>
      <c r="I568" t="n">
        <v>2</v>
      </c>
      <c r="J568" t="inlineStr">
        <is>
          <t>2², 8¹</t>
        </is>
      </c>
      <c r="K568">
        <f>HYPERLINK("CSG0.html#group6A0", "6A⁰"), =HYPERLINK("CSG1.html#group10A1", "10A¹")</f>
        <v/>
      </c>
      <c r="L568">
        <f>HYPERLINK("CSG5.html#group30D5", "30D⁵"), =HYPERLINK("CSG7.html#group30F7", "30F⁷"), =HYPERLINK("CSG9.html#group30L9", "30L⁹"), =HYPERLINK("CSG11.html#group60F11", "60F¹¹"), =HYPERLINK("CSG11.html#group60G11", "60G¹¹"), =HYPERLINK("CSG13.html#group30E13", "30E¹³"), =HYPERLINK("CSG13.html#group150B13", "150B¹³"), =HYPERLINK("CSG15.html#group150H15", "150H¹⁵"), =HYPERLINK("CSG15.html#group150F15", "150F¹⁵"), =HYPERLINK("CSG15.html#group150E15", "150E¹⁵"), =HYPERLINK("CSG15.html#group150G15", "150G¹⁵"), =HYPERLINK("CSG21.html#group210B21", "210B²¹"), =HYPERLINK("CSG23.html#group210C23", "210C²³")</f>
        <v/>
      </c>
      <c r="M568">
        <f>HYPERLINK("CSG0.html#group5B0", "5B⁰"), =HYPERLINK("CSG0.html#group2A0", "2A⁰"), =HYPERLINK("CSG1.html#group10A1", "10A¹"), =HYPERLINK("CSG0.html#group6A0", "6A⁰"), =HYPERLINK("CSG0.html#group1A0", "1A⁰")</f>
        <v/>
      </c>
      <c r="N568">
        <f>HYPERLINK("CSG23.html#group120D23", "120D²³"), =HYPERLINK("CSG15.html#group150H15", "150H¹⁵"), =HYPERLINK("CSG21.html#group60I21", "60I²¹"), =HYPERLINK("CSG23.html#group120H23", "120H²³"), =HYPERLINK("CSG23.html#group210C23", "210C²³"), =HYPERLINK("CSG17.html#group30J17", "30J¹⁷"), =HYPERLINK("CSG11.html#group60B11", "60B¹¹"), =HYPERLINK("CSG15.html#group60C15", "60C¹⁵"), =HYPERLINK("CSG15.html#group60N15", "60N¹⁵"), =HYPERLINK("CSG11.html#group60G11", "60G¹¹"), =HYPERLINK("CSG11.html#group60F11", "60F¹¹"), =HYPERLINK("CSG21.html#group60P21", "60P²¹"), =HYPERLINK("CSG15.html#group150E15", "150E¹⁵"), =HYPERLINK("CSG15.html#group60L15", "60L¹⁵"), =HYPERLINK("CSG13.html#group30I13", "30I¹³"), =HYPERLINK("CSG21.html#group60J21", "60J²¹"), =HYPERLINK("CSG15.html#group150F15", "150F¹⁵"), =HYPERLINK("CSG23.html#group120C23", "120C²³"), =HYPERLINK("CSG21.html#group60H21", "60H²¹"), =HYPERLINK("CSG21.html#group210B21", "210B²¹"), =HYPERLINK("CSG5.html#group30D5", "30D⁵"), =HYPERLINK("CSG23.html#group120G23", "120G²³"), =HYPERLINK("CSG7.html#group30F7", "30F⁷"), =HYPERLINK("CSG13.html#group30E13", "30E¹³"), =HYPERLINK("CSG15.html#group60D15", "60D¹⁵"), =HYPERLINK("CSG9.html#group30L9", "30L⁹"), =HYPERLINK("CSG15.html#group150G15", "150G¹⁵"), =HYPERLINK("CSG13.html#group30J13", "30J¹³"), =HYPERLINK("CSG13.html#group30H13", "30H¹³"), =HYPERLINK("CSG13.html#group150B13", "150B¹³")</f>
        <v/>
      </c>
    </row>
    <row r="569">
      <c r="A569" t="inlineStr">
        <is>
          <t>30D³</t>
        </is>
      </c>
      <c r="B569" t="inlineStr"/>
      <c r="C569" t="inlineStr">
        <is>
          <t>45</t>
        </is>
      </c>
      <c r="D569" t="inlineStr">
        <is>
          <t>1</t>
        </is>
      </c>
      <c r="E569" t="inlineStr">
        <is>
          <t>15</t>
        </is>
      </c>
      <c r="F569" t="inlineStr">
        <is>
          <t>3</t>
        </is>
      </c>
      <c r="G569" t="inlineStr">
        <is>
          <t>0</t>
        </is>
      </c>
      <c r="H569" t="inlineStr">
        <is>
          <t>15¹, 30¹</t>
        </is>
      </c>
      <c r="I569" t="n">
        <v>2</v>
      </c>
      <c r="J569" t="inlineStr">
        <is>
          <t>1³, 4³</t>
        </is>
      </c>
      <c r="K569">
        <f>HYPERLINK("CSG0.html#group6D0", "6D⁰"), =HYPERLINK("CSG1.html#group10B1", "10B¹"), =HYPERLINK("CSG1.html#group15A1", "15A¹")</f>
        <v/>
      </c>
      <c r="L569">
        <f>HYPERLINK("CSG6.html#group30A6", "30A⁶"), =HYPERLINK("CSG6.html#group30B6", "30B⁶"), =HYPERLINK("CSG6.html#group60B6", "60B⁶"), =HYPERLINK("CSG6.html#group60C6", "60C⁶"), =HYPERLINK("CSG7.html#group30B7", "30B⁷"), =HYPERLINK("CSG7.html#group30P7", "30P⁷"), =HYPERLINK("CSG7.html#group60A7", "60A⁷"), =HYPERLINK("CSG7.html#group60B7", "60B⁷"), =HYPERLINK("CSG10.html#group90D10", "90D¹⁰"), =HYPERLINK("CSG12.html#group30B12", "30B¹²"), =HYPERLINK("CSG24.html#group210A24", "210A²⁴")</f>
        <v/>
      </c>
      <c r="M569">
        <f>HYPERLINK("CSG0.html#group5A0", "5A⁰"), =HYPERLINK("CSG1.html#group15A1", "15A¹"), =HYPERLINK("CSG1.html#group10B1", "10B¹"), =HYPERLINK("CSG0.html#group2B0", "2B⁰"), =HYPERLINK("CSG0.html#group3A0", "3A⁰"), =HYPERLINK("CSG0.html#group1A0", "1A⁰"), =HYPERLINK("CSG0.html#group6D0", "6D⁰")</f>
        <v/>
      </c>
      <c r="N569">
        <f>HYPERLINK("CSG13.html#group60H13", "60H¹³"), =HYPERLINK("CSG16.html#group30C16", "30C¹⁶"), =HYPERLINK("CSG14.html#group60E14", "60E¹⁴"), =HYPERLINK("CSG14.html#group60A14", "60A¹⁴"), =HYPERLINK("CSG21.html#group90B21", "90B²¹"), =HYPERLINK("CSG10.html#group90D10", "90D¹⁰"), =HYPERLINK("CSG17.html#group30F17", "30F¹⁷"), =HYPERLINK("CSG19.html#group60I19", "60I¹⁹"), =HYPERLINK("CSG20.html#group90D20", "90D²⁰"), =HYPERLINK("CSG13.html#group60D13", "60D¹³"), =HYPERLINK("CSG12.html#group30E12", "30E¹²"), =HYPERLINK("CSG7.html#group30B7", "30B⁷"), =HYPERLINK("CSG19.html#group60J19", "60J¹⁹"), =HYPERLINK("CSG6.html#group30B6", "30B⁶"), =HYPERLINK("CSG13.html#group120A13", "120A¹³"), =HYPERLINK("CSG12.html#group30A12", "30A¹²"), =HYPERLINK("CSG18.html#group60J18", "60J¹⁸"), =HYPERLINK("CSG20.html#group180G20", "180G²⁰"), =HYPERLINK("CSG20.html#group180F20", "180F²⁰"), =HYPERLINK("CSG24.html#group210A24", "210A²⁴"), =HYPERLINK("CSG7.html#group30P7", "30P⁷"), =HYPERLINK("CSG13.html#group30C13", "30C¹³"), =HYPERLINK("CSG21.html#group180A21", "180A²¹"), =HYPERLINK("CSG19.html#group90G19", "90G¹⁹"), =HYPERLINK("CSG19.html#group60H19", "60H¹⁹"), =HYPERLINK("CSG13.html#group60C13", "60C¹³"), =HYPERLINK("CSG13.html#group60B13", "60B¹³"), =HYPERLINK("CSG6.html#group30A6", "30A⁶"), =HYPERLINK("CSG16.html#group30B16", "30B¹⁶"), =HYPERLINK("CSG12.html#group60B12", "60B¹²"), =HYPERLINK("CSG21.html#group180B21", "180B²¹"), =HYPERLINK("CSG13.html#group120B13", "120B¹³"), =HYPERLINK("CSG13.html#group120C13", "120C¹³"), =HYPERLINK("CSG16.html#group30D16", "30D¹⁶"), =HYPERLINK("CSG22.html#group90B22", "90B²²"), =HYPERLINK("CSG17.html#group60M17", "60M¹⁷"), =HYPERLINK("CSG14.html#group60C14", "60C¹⁴"), =HYPERLINK("CSG6.html#group60C6", "60C⁶"), =HYPERLINK("CSG21.html#group90A21", "90A²¹"), =HYPERLINK("CSG19.html#group30A19", "30A¹⁹"), =HYPERLINK("CSG16.html#group60D16", "60D¹⁶"), =HYPERLINK("CSG6.html#group60B6", "60B⁶"), =HYPERLINK("CSG7.html#group60B7", "60B⁷"), =HYPERLINK("CSG16.html#group60F16", "60F¹⁶"), =HYPERLINK("CSG12.html#group30B12", "30B¹²"), =HYPERLINK("CSG22.html#group180A22", "180A²²"), =HYPERLINK("CSG23.html#group30F23", "30F²³"), =HYPERLINK("CSG20.html#group90A20", "90A²⁰"), =HYPERLINK("CSG24.html#group240B24", "240B²⁴"), =HYPERLINK("CSG7.html#group60A7", "60A⁷"), =HYPERLINK("CSG22.html#group180B22", "180B²²"), =HYPERLINK("CSG14.html#group120B14", "120B¹⁴"), =HYPERLINK("CSG14.html#group120C14", "120C¹⁴"), =HYPERLINK("CSG14.html#group120A14", "120A¹⁴"), =HYPERLINK("CSG12.html#group60C12", "60C¹²"), =HYPERLINK("CSG15.html#group120A15", "120A¹⁵"), =HYPERLINK("CSG20.html#group90B20", "90B²⁰"), =HYPERLINK("CSG16.html#group60E16", "60E¹⁶"), =HYPERLINK("CSG14.html#group60D14", "60D¹⁴"), =HYPERLINK("CSG16.html#group30E16", "30E¹⁶"), =HYPERLINK("CSG13.html#group60F13", "60F¹³"), =HYPERLINK("CSG15.html#group30F15", "30F¹⁵"), =HYPERLINK("CSG12.html#group120B12", "120B¹²")</f>
        <v/>
      </c>
    </row>
    <row r="570">
      <c r="A570" t="inlineStr">
        <is>
          <t>30E³</t>
        </is>
      </c>
      <c r="B570" t="inlineStr"/>
      <c r="C570" t="inlineStr">
        <is>
          <t>45</t>
        </is>
      </c>
      <c r="D570" t="inlineStr">
        <is>
          <t>2</t>
        </is>
      </c>
      <c r="E570" t="inlineStr">
        <is>
          <t>15</t>
        </is>
      </c>
      <c r="F570" t="inlineStr">
        <is>
          <t>3</t>
        </is>
      </c>
      <c r="G570" t="inlineStr">
        <is>
          <t>0</t>
        </is>
      </c>
      <c r="H570" t="inlineStr">
        <is>
          <t>15¹, 30¹</t>
        </is>
      </c>
      <c r="I570" t="n">
        <v>2</v>
      </c>
      <c r="J570" t="inlineStr">
        <is>
          <t>2³, 8³</t>
        </is>
      </c>
      <c r="K570">
        <f>HYPERLINK("CSG0.html#group15A0", "15A⁰"), =HYPERLINK("CSG1.html#group10B1", "10B¹")</f>
        <v/>
      </c>
      <c r="L570">
        <f>HYPERLINK("CSG6.html#group60D6", "60D⁶"), =HYPERLINK("CSG7.html#group30E7", "30E⁷"), =HYPERLINK("CSG7.html#group30P7", "30P⁷"), =HYPERLINK("CSG7.html#group60C7", "60C⁷"), =HYPERLINK("CSG11.html#group30F11", "30F¹¹"), =HYPERLINK("CSG12.html#group30F12", "30F¹²"), =HYPERLINK("CSG12.html#group30H12", "30H¹²"), =HYPERLINK("CSG24.html#group210B24", "210B²⁴"), =HYPERLINK("CSG24.html#group210C24", "210C²⁴")</f>
        <v/>
      </c>
      <c r="M570">
        <f>HYPERLINK("CSG0.html#group5A0", "5A⁰"), =HYPERLINK("CSG0.html#group2B0", "2B⁰"), =HYPERLINK("CSG0.html#group1A0", "1A⁰"), =HYPERLINK("CSG1.html#group10B1", "10B¹"), =HYPERLINK("CSG0.html#group15A0", "15A⁰")</f>
        <v/>
      </c>
      <c r="N570">
        <f>HYPERLINK("CSG16.html#group30D16", "30D¹⁶"), =HYPERLINK("CSG16.html#group30C16", "30C¹⁶"), =HYPERLINK("CSG17.html#group60M17", "60M¹⁷"), =HYPERLINK("CSG22.html#group30G22", "30G²²"), =HYPERLINK("CSG6.html#group60D6", "60D⁶"), =HYPERLINK("CSG24.html#group30A24", "30A²⁴"), =HYPERLINK("CSG24.html#group60B24", "60B²⁴"), =HYPERLINK("CSG12.html#group30F12", "30F¹²"), =HYPERLINK("CSG15.html#group30F15", "30F¹⁵"), =HYPERLINK("CSG19.html#group30A19", "30A¹⁹"), =HYPERLINK("CSG16.html#group60D16", "60D¹⁶"), =HYPERLINK("CSG24.html#group240C24", "240C²⁴"), =HYPERLINK("CSG17.html#group30F17", "30F¹⁷"), =HYPERLINK("CSG19.html#group60I19", "60I¹⁹"), =HYPERLINK("CSG15.html#group120B15", "120B¹⁵"), =HYPERLINK("CSG16.html#group60F16", "60F¹⁶"), =HYPERLINK("CSG24.html#group210B24", "210B²⁴"), =HYPERLINK("CSG19.html#group60J19", "60J¹⁹"), =HYPERLINK("CSG18.html#group60J18", "60J¹⁸"), =HYPERLINK("CSG12.html#group120C12", "120C¹²"), =HYPERLINK("CSG7.html#group30P7", "30P⁷"), =HYPERLINK("CSG11.html#group30F11", "30F¹¹"), =HYPERLINK("CSG12.html#group30H12", "30H¹²"), =HYPERLINK("CSG7.html#group30E7", "30E⁷"), =HYPERLINK("CSG19.html#group60H19", "60H¹⁹"), =HYPERLINK("CSG14.html#group120D14", "120D¹⁴"), =HYPERLINK("CSG14.html#group60F14", "60F¹⁴"), =HYPERLINK("CSG16.html#group30B16", "30B¹⁶"), =HYPERLINK("CSG16.html#group60E16", "60E¹⁶"), =HYPERLINK("CSG13.html#group60G13", "60G¹³"), =HYPERLINK("CSG16.html#group30E16", "30E¹⁶"), =HYPERLINK("CSG13.html#group120D13", "120D¹³"), =HYPERLINK("CSG24.html#group210C24", "210C²⁴"), =HYPERLINK("CSG7.html#group60C7", "60C⁷")</f>
        <v/>
      </c>
    </row>
    <row r="571">
      <c r="A571" t="inlineStr">
        <is>
          <t>30F³</t>
        </is>
      </c>
      <c r="B571" t="inlineStr"/>
      <c r="C571" t="inlineStr">
        <is>
          <t>48</t>
        </is>
      </c>
      <c r="D571" t="inlineStr">
        <is>
          <t>1</t>
        </is>
      </c>
      <c r="E571" t="inlineStr">
        <is>
          <t>24</t>
        </is>
      </c>
      <c r="F571" t="inlineStr">
        <is>
          <t>0</t>
        </is>
      </c>
      <c r="G571" t="inlineStr">
        <is>
          <t>0</t>
        </is>
      </c>
      <c r="H571" t="inlineStr">
        <is>
          <t>2¹, 6¹, 10¹, 30¹</t>
        </is>
      </c>
      <c r="I571" t="n">
        <v>4</v>
      </c>
      <c r="J571" t="inlineStr">
        <is>
          <t>1⁴, 2², 4², 8¹</t>
        </is>
      </c>
      <c r="K571">
        <f>HYPERLINK("CSG0.html#group10B0", "10B⁰"), =HYPERLINK("CSG1.html#group15C1", "15C¹")</f>
        <v/>
      </c>
      <c r="L571">
        <f>HYPERLINK("CSG5.html#group30N5", "30N⁵"), =HYPERLINK("CSG7.html#group30S7", "30S⁷"), =HYPERLINK("CSG7.html#group60G7", "60G⁷"), =HYPERLINK("CSG9.html#group30G9", "30G⁹"), =HYPERLINK("CSG9.html#group90D9", "90D⁹"), =HYPERLINK("CSG11.html#group90A11", "90A¹¹"), =HYPERLINK("CSG11.html#group90B11", "90B¹¹"), =HYPERLINK("CSG13.html#group60L13", "60L¹³"), =HYPERLINK("CSG15.html#group30B15", "30B¹⁵"), =HYPERLINK("CSG15.html#group150I15", "150I¹⁵"), =HYPERLINK("CSG19.html#group150C19", "150C¹⁹"), =HYPERLINK("CSG19.html#group150B19", "150B¹⁹"), =HYPERLINK("CSG19.html#group150D19", "150D¹⁹"), =HYPERLINK("CSG19.html#group150A19", "150A¹⁹")</f>
        <v/>
      </c>
      <c r="M571">
        <f>HYPERLINK("CSG0.html#group5B0", "5B⁰"), =HYPERLINK("CSG1.html#group15C1", "15C¹"), =HYPERLINK("CSG0.html#group3B0", "3B⁰"), =HYPERLINK("CSG0.html#group1A0", "1A⁰"), =HYPERLINK("CSG0.html#group10B0", "10B⁰")</f>
        <v/>
      </c>
      <c r="N571">
        <f>HYPERLINK("CSG19.html#group150A19", "150A¹⁹"), =HYPERLINK("CSG19.html#group60O19", "60O¹⁹"), =HYPERLINK("CSG15.html#group60AF15", "60AF¹⁵"), =HYPERLINK("CSG11.html#group90A11", "90A¹¹"), =HYPERLINK("CSG23.html#group180K23", "180K²³"), =HYPERLINK("CSG17.html#group90R17", "90R¹⁷"), =HYPERLINK("CSG7.html#group30S7", "30S⁷"), =HYPERLINK("CSG15.html#group150I15", "150I¹⁵"), =HYPERLINK("CSG13.html#group60J13", "60J¹³"), =HYPERLINK("CSG9.html#group90D9", "90D⁹"), =HYPERLINK("CSG19.html#group150D19", "150D¹⁹"), =HYPERLINK("CSG17.html#group60R17", "60R¹⁷"), =HYPERLINK("CSG21.html#group60Q21", "60Q²¹"), =HYPERLINK("CSG21.html#group180H21", "180H²¹"), =HYPERLINK("CSG21.html#group90E21", "90E²¹"), =HYPERLINK("CSG17.html#group30J17", "30J¹⁷"), =HYPERLINK("CSG13.html#group30P13", "30P¹³"), =HYPERLINK("CSG5.html#group30N5", "30N⁵"), =HYPERLINK("CSG9.html#group30G9", "30G⁹"), =HYPERLINK("CSG13.html#group60L13", "60L¹³"), =HYPERLINK("CSG11.html#group90B11", "90B¹¹"), =HYPERLINK("CSG7.html#group60G7", "60G⁷"), =HYPERLINK("CSG21.html#group90F21", "90F²¹"), =HYPERLINK("CSG19.html#group150C19", "150C¹⁹"), =HYPERLINK("CSG23.html#group180L23", "180L²³"), =HYPERLINK("CSG15.html#group30B15", "30B¹⁵"), =HYPERLINK("CSG21.html#group90G21", "90G²¹"), =HYPERLINK("CSG17.html#group30H17", "30H¹⁷"), =HYPERLINK("CSG19.html#group150B19", "150B¹⁹"), =HYPERLINK("CSG17.html#group60P17", "60P¹⁷"), =HYPERLINK("CSG13.html#group60I13", "60I¹³"), =HYPERLINK("CSG17.html#group90S17", "90S¹⁷"), =HYPERLINK("CSG21.html#group90H21", "90H²¹"), =HYPERLINK("CSG9.html#group30P9", "30P⁹")</f>
        <v/>
      </c>
    </row>
    <row r="572">
      <c r="A572" t="inlineStr">
        <is>
          <t>30G³</t>
        </is>
      </c>
      <c r="B572" t="inlineStr"/>
      <c r="C572" t="inlineStr">
        <is>
          <t>48</t>
        </is>
      </c>
      <c r="D572" t="inlineStr">
        <is>
          <t>1</t>
        </is>
      </c>
      <c r="E572" t="inlineStr">
        <is>
          <t>24</t>
        </is>
      </c>
      <c r="F572" t="inlineStr">
        <is>
          <t>0</t>
        </is>
      </c>
      <c r="G572" t="inlineStr">
        <is>
          <t>0</t>
        </is>
      </c>
      <c r="H572" t="inlineStr">
        <is>
          <t>2¹, 6¹, 10¹, 30¹</t>
        </is>
      </c>
      <c r="I572" t="n">
        <v>4</v>
      </c>
      <c r="J572" t="inlineStr">
        <is>
          <t>1⁴, 2², 4², 8¹</t>
        </is>
      </c>
      <c r="K572">
        <f>HYPERLINK("CSG0.html#group6C0", "6C⁰"), =HYPERLINK("CSG1.html#group10A1", "10A¹"), =HYPERLINK("CSG1.html#group15C1", "15C¹")</f>
        <v/>
      </c>
      <c r="L572">
        <f>HYPERLINK("CSG5.html#group30N5", "30N⁵"), =HYPERLINK("CSG7.html#group30Q7", "30Q⁷"), =HYPERLINK("CSG7.html#group60D7", "60D⁷"), =HYPERLINK("CSG7.html#group60E7", "60E⁷"), =HYPERLINK("CSG9.html#group30H9", "30H⁹"), =HYPERLINK("CSG9.html#group30L9", "30L⁹"), =HYPERLINK("CSG9.html#group90E9", "90E⁹"), =HYPERLINK("CSG9.html#group90F9", "90F⁹"), =HYPERLINK("CSG11.html#group90C11", "90C¹¹"), =HYPERLINK("CSG11.html#group90D11", "90D¹¹"), =HYPERLINK("CSG11.html#group90E11", "90E¹¹"), =HYPERLINK("CSG11.html#group90F11", "90F¹¹"), =HYPERLINK("CSG13.html#group60M13", "60M¹³"), =HYPERLINK("CSG15.html#group30C15", "30C¹⁵"), =HYPERLINK("CSG15.html#group150J15", "150J¹⁵"), =HYPERLINK("CSG19.html#group150H19", "150H¹⁹"), =HYPERLINK("CSG19.html#group150F19", "150F¹⁹"), =HYPERLINK("CSG19.html#group150E19", "150E¹⁹"), =HYPERLINK("CSG19.html#group150G19", "150G¹⁹")</f>
        <v/>
      </c>
      <c r="M572">
        <f>HYPERLINK("CSG1.html#group15C1", "15C¹"), =HYPERLINK("CSG0.html#group3B0", "3B⁰"), =HYPERLINK("CSG0.html#group2A0", "2A⁰"), =HYPERLINK("CSG0.html#group6C0", "6C⁰"), =HYPERLINK("CSG0.html#group5B0", "5B⁰"), =HYPERLINK("CSG1.html#group10A1", "10A¹"), =HYPERLINK("CSG0.html#group1A0", "1A⁰")</f>
        <v/>
      </c>
      <c r="N572">
        <f>HYPERLINK("CSG7.html#group30Q7", "30Q⁷"), =HYPERLINK("CSG17.html#group60T17", "60T¹⁷"), =HYPERLINK("CSG19.html#group150H19", "150H¹⁹"), =HYPERLINK("CSG11.html#group90D11", "90D¹¹"), =HYPERLINK("CSG21.html#group180F21", "180F²¹"), =HYPERLINK("CSG19.html#group60L19", "60L¹⁹"), =HYPERLINK("CSG11.html#group90F11", "90F¹¹"), =HYPERLINK("CSG21.html#group60A21", "60A²¹"), =HYPERLINK("CSG17.html#group90R17", "90R¹⁷"), =HYPERLINK("CSG23.html#group180A23", "180A²³"), =HYPERLINK("CSG13.html#group60M13", "60M¹³"), =HYPERLINK("CSG19.html#group150E19", "150E¹⁹"), =HYPERLINK("CSG19.html#group60K19", "60K¹⁹"), =HYPERLINK("CSG21.html#group180D21", "180D²¹"), =HYPERLINK("CSG23.html#group180C23", "180C²³"), =HYPERLINK("CSG15.html#group60AA15", "60AA¹⁵"), =HYPERLINK("CSG7.html#group60E7", "60E⁷"), =HYPERLINK("CSG13.html#group60J13", "60J¹³"), =HYPERLINK("CSG15.html#group150J15", "150J¹⁵"), =HYPERLINK("CSG9.html#group30H9", "30H⁹"), =HYPERLINK("CSG21.html#group180C21", "180C²¹"), =HYPERLINK("CSG21.html#group180E21", "180E²¹"), =HYPERLINK("CSG17.html#group60S17", "60S¹⁷"), =HYPERLINK("CSG21.html#group90E21", "90E²¹"), =HYPERLINK("CSG15.html#group60AB15", "60AB¹⁵"), =HYPERLINK("CSG21.html#group60B21", "60B²¹"), =HYPERLINK("CSG11.html#group90E11", "90E¹¹"), =HYPERLINK("CSG9.html#group90F9", "90F⁹"), =HYPERLINK("CSG17.html#group30J17", "30J¹⁷"), =HYPERLINK("CSG13.html#group30P13", "30P¹³"), =HYPERLINK("CSG5.html#group30N5", "30N⁵"), =HYPERLINK("CSG11.html#group90C11", "90C¹¹"), =HYPERLINK("CSG23.html#group180D23", "180D²³"), =HYPERLINK("CSG9.html#group30P9", "30P⁹"), =HYPERLINK("CSG9.html#group90E9", "90E⁹"), =HYPERLINK("CSG23.html#group180H23", "180H²³"), =HYPERLINK("CSG15.html#group30C15", "30C¹⁵"), =HYPERLINK("CSG7.html#group60D7", "60D⁷"), =HYPERLINK("CSG19.html#group150F19", "150F¹⁹"), =HYPERLINK("CSG21.html#group90F21", "90F²¹"), =HYPERLINK("CSG21.html#group60J21", "60J²¹"), =HYPERLINK("CSG23.html#group180G23", "180G²³"), =HYPERLINK("CSG23.html#group180E23", "180E²³"), =HYPERLINK("CSG23.html#group180B23", "180B²³"), =HYPERLINK("CSG9.html#group30L9", "30L⁹"), =HYPERLINK("CSG17.html#group30H17", "30H¹⁷"), =HYPERLINK("CSG21.html#group90G21", "90G²¹"), =HYPERLINK("CSG19.html#group150G19", "150G¹⁹"), =HYPERLINK("CSG13.html#group60I13", "60I¹³"), =HYPERLINK("CSG21.html#group60I21", "60I²¹"), =HYPERLINK("CSG17.html#group90S17", "90S¹⁷"), =HYPERLINK("CSG21.html#group90H21", "90H²¹"), =HYPERLINK("CSG23.html#group180F23", "180F²³")</f>
        <v/>
      </c>
    </row>
    <row r="573">
      <c r="A573" t="inlineStr">
        <is>
          <t>30H³</t>
        </is>
      </c>
      <c r="B573" t="inlineStr"/>
      <c r="C573" t="inlineStr">
        <is>
          <t>60</t>
        </is>
      </c>
      <c r="D573" t="inlineStr">
        <is>
          <t>1</t>
        </is>
      </c>
      <c r="E573" t="inlineStr">
        <is>
          <t>30</t>
        </is>
      </c>
      <c r="F573" t="inlineStr">
        <is>
          <t>8</t>
        </is>
      </c>
      <c r="G573" t="inlineStr">
        <is>
          <t>0</t>
        </is>
      </c>
      <c r="H573" t="inlineStr">
        <is>
          <t>30²</t>
        </is>
      </c>
      <c r="I573" t="n">
        <v>2</v>
      </c>
      <c r="J573" t="inlineStr">
        <is>
          <t>2¹, 4³, 8²</t>
        </is>
      </c>
      <c r="K573">
        <f>HYPERLINK("CSG0.html#group6B0", "6B⁰"), =HYPERLINK("CSG1.html#group15D1", "15D¹")</f>
        <v/>
      </c>
      <c r="L573">
        <f>HYPERLINK("CSG5.html#group30Q5", "30Q⁵"), =HYPERLINK("CSG7.html#group30I7", "30I⁷"), =HYPERLINK("CSG7.html#group30N7", "30N⁷"), =HYPERLINK("CSG9.html#group30E9", "30E⁹"), =HYPERLINK("CSG9.html#group30F9", "30F⁹"), =HYPERLINK("CSG11.html#group30B11", "30B¹¹"), =HYPERLINK("CSG11.html#group30D11", "30D¹¹"), =HYPERLINK("CSG11.html#group90G11", "90G¹¹"), =HYPERLINK("CSG13.html#group90B13", "90B¹³"), =HYPERLINK("CSG13.html#group90D13", "90D¹³"), =HYPERLINK("CSG15.html#group60X15", "60X¹⁵"), =HYPERLINK("CSG23.html#group150A23", "150A²³")</f>
        <v/>
      </c>
      <c r="M573">
        <f>HYPERLINK("CSG1.html#group15D1", "15D¹"), =HYPERLINK("CSG0.html#group1A0", "1A⁰"), =HYPERLINK("CSG0.html#group6B0", "6B⁰"), =HYPERLINK("CSG0.html#group3A0", "3A⁰"), =HYPERLINK("CSG0.html#group5C0", "5C⁰")</f>
        <v/>
      </c>
      <c r="N573">
        <f>HYPERLINK("CSG17.html#group30B17", "30B¹⁷"), =HYPERLINK("CSG17.html#group60C17", "60C¹⁷"), =HYPERLINK("CSG15.html#group60S15", "60S¹⁵"), =HYPERLINK("CSG23.html#group30G23", "30G²³"), =HYPERLINK("CSG17.html#group30E17", "30E¹⁷"), =HYPERLINK("CSG23.html#group150A23", "150A²³"), =HYPERLINK("CSG21.html#group30E21", "30E²¹"), =HYPERLINK("CSG23.html#group30K23", "30K²³"), =HYPERLINK("CSG13.html#group90B13", "90B¹³"), =HYPERLINK("CSG23.html#group60I23", "60I²³"), =HYPERLINK("CSG7.html#group30N7", "30N⁷"), =HYPERLINK("CSG23.html#group90F23", "90F²³"), =HYPERLINK("CSG23.html#group30B23", "30B²³"), =HYPERLINK("CSG11.html#group30B11", "30B¹¹"), =HYPERLINK("CSG9.html#group30E9", "30E⁹"), =HYPERLINK("CSG11.html#group30D11", "30D¹¹"), =HYPERLINK("CSG15.html#group60R15", "60R¹⁵"), =HYPERLINK("CSG7.html#group30I7", "30I⁷"), =HYPERLINK("CSG21.html#group30B21", "30B²¹"), =HYPERLINK("CSG21.html#group30D21", "30D²¹"), =HYPERLINK("CSG15.html#group60Z15", "60Z¹⁵"), =HYPERLINK("CSG17.html#group60D17", "60D¹⁷"), =HYPERLINK("CSG23.html#group60H23", "60H²³"), =HYPERLINK("CSG21.html#group90M21", "90M²¹"), =HYPERLINK("CSG5.html#group30Q5", "30Q⁵"), =HYPERLINK("CSG15.html#group60X15", "60X¹⁵"), =HYPERLINK("CSG13.html#group30M13", "30M¹³"), =HYPERLINK("CSG13.html#group90D13", "90D¹³"), =HYPERLINK("CSG17.html#group30D17", "30D¹⁷"), =HYPERLINK("CSG23.html#group30J23", "30J²³"), =HYPERLINK("CSG23.html#group90C23", "90C²³"), =HYPERLINK("CSG17.html#group30C17", "30C¹⁷"), =HYPERLINK("CSG11.html#group90G11", "90G¹¹"), =HYPERLINK("CSG9.html#group30F9", "30F⁹")</f>
        <v/>
      </c>
    </row>
    <row r="574">
      <c r="A574" t="inlineStr">
        <is>
          <t>30I³</t>
        </is>
      </c>
      <c r="B574" t="inlineStr"/>
      <c r="C574" t="inlineStr">
        <is>
          <t>72</t>
        </is>
      </c>
      <c r="D574" t="inlineStr">
        <is>
          <t>1</t>
        </is>
      </c>
      <c r="E574" t="inlineStr">
        <is>
          <t>18</t>
        </is>
      </c>
      <c r="F574" t="inlineStr">
        <is>
          <t>8</t>
        </is>
      </c>
      <c r="G574" t="inlineStr">
        <is>
          <t>0</t>
        </is>
      </c>
      <c r="H574" t="inlineStr">
        <is>
          <t>6², 30²</t>
        </is>
      </c>
      <c r="I574" t="n">
        <v>4</v>
      </c>
      <c r="J574" t="inlineStr">
        <is>
          <t>1², 2², 4¹, 8¹</t>
        </is>
      </c>
      <c r="K574">
        <f>HYPERLINK("CSG0.html#group6E0", "6E⁰"), =HYPERLINK("CSG1.html#group15E1", "15E¹"), =HYPERLINK("CSG1.html#group30C1", "30C¹")</f>
        <v/>
      </c>
      <c r="L574">
        <f>HYPERLINK("CSG5.html#group30R5", "30R⁵"), =HYPERLINK("CSG9.html#group30H9", "30H⁹"), =HYPERLINK("CSG9.html#group30J9", "30J⁹"), =HYPERLINK("CSG9.html#group60E9", "60E⁹"), =HYPERLINK("CSG9.html#group60F9", "60F⁹"), =HYPERLINK("CSG11.html#group30I11", "30I¹¹"), =HYPERLINK("CSG11.html#group90H11", "90H¹¹"), =HYPERLINK("CSG13.html#group90G13", "90G¹³"), =HYPERLINK("CSG13.html#group90I13", "90I¹³"), =HYPERLINK("CSG15.html#group90N15", "90N¹⁵"), =HYPERLINK("CSG15.html#group90P15", "90P¹⁵"), =HYPERLINK("CSG17.html#group60V17", "60V¹⁷"), =HYPERLINK("CSG23.html#group30B23", "30B²³"), =HYPERLINK("CSG23.html#group150B23", "150B²³")</f>
        <v/>
      </c>
      <c r="M574">
        <f>HYPERLINK("CSG0.html#group15B0", "15B⁰"), =HYPERLINK("CSG0.html#group6B0", "6B⁰"), =HYPERLINK("CSG0.html#group6E0", "6E⁰"), =HYPERLINK("CSG1.html#group30C1", "30C¹"), =HYPERLINK("CSG0.html#group5B0", "5B⁰"), =HYPERLINK("CSG0.html#group3C0", "3C⁰"), =HYPERLINK("CSG0.html#group3A0", "3A⁰"), =HYPERLINK("CSG0.html#group1A0", "1A⁰"), =HYPERLINK("CSG1.html#group15E1", "15E¹")</f>
        <v/>
      </c>
      <c r="N574">
        <f>HYPERLINK("CSG21.html#group60B21", "60B²¹"), =HYPERLINK("CSG15.html#group90N15", "90N¹⁵"), =HYPERLINK("CSG21.html#group30H21", "30H²¹"), =HYPERLINK("CSG9.html#group60F9", "60F⁹"), =HYPERLINK("CSG15.html#group90P15", "90P¹⁵"), =HYPERLINK("CSG21.html#group60A21", "60A²¹"), =HYPERLINK("CSG13.html#group30Q13", "30Q¹³"), =HYPERLINK("CSG9.html#group60E9", "60E⁹"), =HYPERLINK("CSG21.html#group60G21", "60G²¹"), =HYPERLINK("CSG13.html#group90G13", "90G¹³"), =HYPERLINK("CSG5.html#group30R5", "30R⁵"), =HYPERLINK("CSG17.html#group60V17", "60V¹⁷"), =HYPERLINK("CSG21.html#group90N21", "90N²¹"), =HYPERLINK("CSG9.html#group30J9", "30J⁹"), =HYPERLINK("CSG23.html#group150B23", "150B²³"), =HYPERLINK("CSG13.html#group90I13", "90I¹³"), =HYPERLINK("CSG11.html#group90H11", "90H¹¹"), =HYPERLINK("CSG17.html#group30H17", "30H¹⁷"), =HYPERLINK("CSG17.html#group60N17", "60N¹⁷"), =HYPERLINK("CSG17.html#group60X17", "60X¹⁷"), =HYPERLINK("CSG9.html#group30H9", "30H⁹"), =HYPERLINK("CSG23.html#group30B23", "30B²³"), =HYPERLINK("CSG11.html#group30I11", "30I¹¹")</f>
        <v/>
      </c>
    </row>
    <row r="575">
      <c r="A575" t="inlineStr">
        <is>
          <t>30J³</t>
        </is>
      </c>
      <c r="B575" t="inlineStr"/>
      <c r="C575" t="inlineStr">
        <is>
          <t>72</t>
        </is>
      </c>
      <c r="D575" t="inlineStr">
        <is>
          <t>1</t>
        </is>
      </c>
      <c r="E575" t="inlineStr">
        <is>
          <t>18</t>
        </is>
      </c>
      <c r="F575" t="inlineStr">
        <is>
          <t>8</t>
        </is>
      </c>
      <c r="G575" t="inlineStr">
        <is>
          <t>0</t>
        </is>
      </c>
      <c r="H575" t="inlineStr">
        <is>
          <t>6², 30²</t>
        </is>
      </c>
      <c r="I575" t="n">
        <v>4</v>
      </c>
      <c r="J575" t="inlineStr">
        <is>
          <t>1², 2², 4¹, 8¹</t>
        </is>
      </c>
      <c r="K575">
        <f>HYPERLINK("CSG0.html#group30A0", "30A⁰"), =HYPERLINK("CSG1.html#group15E1", "15E¹"), =HYPERLINK("CSG2.html#group30C2", "30C²")</f>
        <v/>
      </c>
      <c r="L575">
        <f>HYPERLINK("CSG5.html#group30R5", "30R⁵"), =HYPERLINK("CSG9.html#group30G9", "30G⁹"), =HYPERLINK("CSG9.html#group30K9", "30K⁹"), =HYPERLINK("CSG9.html#group60K9", "60K⁹"), =HYPERLINK("CSG9.html#group60L9", "60L⁹"), =HYPERLINK("CSG11.html#group30J11", "30J¹¹"), =HYPERLINK("CSG11.html#group90I11", "90I¹¹"), =HYPERLINK("CSG13.html#group90F13", "90F¹³"), =HYPERLINK("CSG15.html#group90K15", "90K¹⁵"), =HYPERLINK("CSG17.html#group60W17", "60W¹⁷"), =HYPERLINK("CSG23.html#group30C23", "30C²³"), =HYPERLINK("CSG23.html#group150C23", "150C²³")</f>
        <v/>
      </c>
      <c r="M575">
        <f>HYPERLINK("CSG0.html#group30A0", "30A⁰"), =HYPERLINK("CSG0.html#group15B0", "15B⁰"), =HYPERLINK("CSG0.html#group5B0", "5B⁰"), =HYPERLINK("CSG0.html#group3C0", "3C⁰"), =HYPERLINK("CSG0.html#group10B0", "10B⁰"), =HYPERLINK("CSG0.html#group3A0", "3A⁰"), =HYPERLINK("CSG0.html#group1A0", "1A⁰"), =HYPERLINK("CSG1.html#group15E1", "15E¹"), =HYPERLINK("CSG2.html#group30C2", "30C²")</f>
        <v/>
      </c>
      <c r="N575">
        <f>HYPERLINK("CSG11.html#group30J11", "30J¹¹"), =HYPERLINK("CSG9.html#group60L9", "60L⁹"), =HYPERLINK("CSG21.html#group30H21", "30H²¹"), =HYPERLINK("CSG15.html#group90K15", "90K¹⁵"), =HYPERLINK("CSG13.html#group90F13", "90F¹³"), =HYPERLINK("CSG13.html#group30Q13", "30Q¹³"), =HYPERLINK("CSG9.html#group30G9", "30G⁹"), =HYPERLINK("CSG21.html#group60D21", "60D²¹"), =HYPERLINK("CSG5.html#group30R5", "30R⁵"), =HYPERLINK("CSG17.html#group60W17", "60W¹⁷"), =HYPERLINK("CSG21.html#group90N21", "90N²¹"), =HYPERLINK("CSG9.html#group60K9", "60K⁹"), =HYPERLINK("CSG17.html#group30H17", "30H¹⁷"), =HYPERLINK("CSG9.html#group30K9", "30K⁹"), =HYPERLINK("CSG11.html#group90I11", "90I¹¹"), =HYPERLINK("CSG23.html#group150C23", "150C²³"), =HYPERLINK("CSG17.html#group60N17", "60N¹⁷"), =HYPERLINK("CSG23.html#group30C23", "30C²³"), =HYPERLINK("CSG21.html#group60Q21", "60Q²¹"), =HYPERLINK("CSG17.html#group60X17", "60X¹⁷"), =HYPERLINK("CSG21.html#group60C21", "60C²¹")</f>
        <v/>
      </c>
    </row>
    <row r="576">
      <c r="A576" t="inlineStr">
        <is>
          <t>30K³</t>
        </is>
      </c>
      <c r="B576" t="inlineStr">
        <is>
          <t>Γ₀(30)</t>
        </is>
      </c>
      <c r="C576" t="inlineStr">
        <is>
          <t>72</t>
        </is>
      </c>
      <c r="D576" t="inlineStr">
        <is>
          <t>1</t>
        </is>
      </c>
      <c r="E576" t="inlineStr">
        <is>
          <t>72</t>
        </is>
      </c>
      <c r="F576" t="inlineStr">
        <is>
          <t>0</t>
        </is>
      </c>
      <c r="G576" t="inlineStr">
        <is>
          <t>0</t>
        </is>
      </c>
      <c r="H576" t="inlineStr">
        <is>
          <t>1¹, 2¹, 3¹, 5¹, 6¹, 10¹, 15¹, 30¹</t>
        </is>
      </c>
      <c r="I576" t="n">
        <v>8</v>
      </c>
      <c r="J576" t="inlineStr">
        <is>
          <t>1¹², 2⁶, 4⁶, 8³</t>
        </is>
      </c>
      <c r="K576">
        <f>HYPERLINK("CSG0.html#group6F0", "6F⁰"), =HYPERLINK("CSG0.html#group10C0", "10C⁰"), =HYPERLINK("CSG1.html#group15C1", "15C¹")</f>
        <v/>
      </c>
      <c r="L576">
        <f>HYPERLINK("CSG5.html#group30S5", "30S⁵"), =HYPERLINK("CSG7.html#group30Q7", "30Q⁷"), =HYPERLINK("CSG7.html#group30S7", "30S⁷"), =HYPERLINK("CSG7.html#group60O7", "60O⁷"), =HYPERLINK("CSG7.html#group60P7", "60P⁷"), =HYPERLINK("CSG9.html#group60G9", "60G⁹"), =HYPERLINK("CSG9.html#group60H9", "60H⁹"), =HYPERLINK("CSG11.html#group30G11", "30G¹¹"), =HYPERLINK("CSG11.html#group90J11", "90J¹¹"), =HYPERLINK("CSG15.html#group90G15", "90G¹⁵"), =HYPERLINK("CSG15.html#group90H15", "90H¹⁵"), =HYPERLINK("CSG19.html#group30B19", "30B¹⁹"), =HYPERLINK("CSG19.html#group150I19", "150I¹⁹")</f>
        <v/>
      </c>
      <c r="M576">
        <f>HYPERLINK("CSG1.html#group15C1", "15C¹"), =HYPERLINK("CSG0.html#group3B0", "3B⁰"), =HYPERLINK("CSG0.html#group5B0", "5B⁰"), =HYPERLINK("CSG0.html#group10C0", "10C⁰"), =HYPERLINK("CSG0.html#group6F0", "6F⁰"), =HYPERLINK("CSG0.html#group2B0", "2B⁰"), =HYPERLINK("CSG0.html#group1A0", "1A⁰")</f>
        <v/>
      </c>
      <c r="N576">
        <f>HYPERLINK("CSG7.html#group30Q7", "30Q⁷"), =HYPERLINK("CSG17.html#group60T17", "60T¹⁷"), =HYPERLINK("CSG9.html#group30S9", "30S⁹"), =HYPERLINK("CSG19.html#group60O19", "60O¹⁹"), =HYPERLINK("CSG15.html#group90G15", "90G¹⁵"), =HYPERLINK("CSG15.html#group60AF15", "60AF¹⁵"), =HYPERLINK("CSG19.html#group60L19", "60L¹⁹"), =HYPERLINK("CSG19.html#group60M19", "60M¹⁹"), =HYPERLINK("CSG15.html#group60AC15", "60AC¹⁵"), =HYPERLINK("CSG7.html#group60O7", "60O⁷"), =HYPERLINK("CSG7.html#group30S7", "30S⁷"), =HYPERLINK("CSG19.html#group120F19", "120F¹⁹"), =HYPERLINK("CSG11.html#group90J11", "90J¹¹"), =HYPERLINK("CSG19.html#group60K19", "60K¹⁹"), =HYPERLINK("CSG13.html#group60AI13", "60AI¹³"), =HYPERLINK("CSG15.html#group90H15", "90H¹⁵"), =HYPERLINK("CSG15.html#group60AA15", "60AA¹⁵"), =HYPERLINK("CSG21.html#group120B21", "120B²¹"), =HYPERLINK("CSG15.html#group60AD15", "60AD¹⁵"), =HYPERLINK("CSG15.html#group120M15", "120M¹⁵"), =HYPERLINK("CSG17.html#group120O17", "120O¹⁷"), =HYPERLINK("CSG17.html#group60R17", "60R¹⁷"), =HYPERLINK("CSG5.html#group30S5", "30S⁵"), =HYPERLINK("CSG21.html#group30G21", "30G²¹"), =HYPERLINK("CSG21.html#group120D21", "120D²¹"), =HYPERLINK("CSG17.html#group60S17", "60S¹⁷"), =HYPERLINK("CSG13.html#group60AJ13", "60AJ¹³"), =HYPERLINK("CSG21.html#group90O21", "90O²¹"), =HYPERLINK("CSG19.html#group120L19", "120L¹⁹"), =HYPERLINK("CSG11.html#group30G11", "30G¹¹"), =HYPERLINK("CSG15.html#group60AB15", "60AB¹⁵"), =HYPERLINK("CSG21.html#group120E21", "120E²¹"), =HYPERLINK("CSG19.html#group120K19", "120K¹⁹"), =HYPERLINK("CSG13.html#group30P13", "30P¹³"), =HYPERLINK("CSG17.html#group60O17", "60O¹⁷"), =HYPERLINK("CSG21.html#group120C21", "120C²¹"), =HYPERLINK("CSG9.html#group60G9", "60G⁹"), =HYPERLINK("CSG19.html#group120M19", "120M¹⁹"), =HYPERLINK("CSG19.html#group150I19", "150I¹⁹"), =HYPERLINK("CSG19.html#group30B19", "30B¹⁹"), =HYPERLINK("CSG13.html#group30R13", "30R¹³"), =HYPERLINK("CSG15.html#group120L15", "120L¹⁵"), =HYPERLINK("CSG19.html#group120E19", "120E¹⁹"), =HYPERLINK("CSG15.html#group120K15", "120K¹⁵"), =HYPERLINK("CSG21.html#group120F21", "120F²¹"), =HYPERLINK("CSG19.html#group60N19", "60N¹⁹"), =HYPERLINK("CSG17.html#group60Q17", "60Q¹⁷"), =HYPERLINK("CSG17.html#group60P17", "60P¹⁷"), =HYPERLINK("CSG7.html#group60P7", "60P⁷"), =HYPERLINK("CSG9.html#group60H9", "60H⁹"), =HYPERLINK("CSG17.html#group120N17", "120N¹⁷"), =HYPERLINK("CSG21.html#group120A21", "120A²¹")</f>
        <v/>
      </c>
    </row>
    <row r="577">
      <c r="A577" t="inlineStr">
        <is>
          <t>30L³</t>
        </is>
      </c>
      <c r="B577" t="inlineStr"/>
      <c r="C577" t="inlineStr">
        <is>
          <t>72</t>
        </is>
      </c>
      <c r="D577" t="inlineStr">
        <is>
          <t>2</t>
        </is>
      </c>
      <c r="E577" t="inlineStr">
        <is>
          <t>18</t>
        </is>
      </c>
      <c r="F577" t="inlineStr">
        <is>
          <t>8</t>
        </is>
      </c>
      <c r="G577" t="inlineStr">
        <is>
          <t>0</t>
        </is>
      </c>
      <c r="H577" t="inlineStr">
        <is>
          <t>6², 30²</t>
        </is>
      </c>
      <c r="I577" t="n">
        <v>4</v>
      </c>
      <c r="J577" t="inlineStr">
        <is>
          <t>2⁶, 8³</t>
        </is>
      </c>
      <c r="K577">
        <f>HYPERLINK("CSG0.html#group15C0", "15C⁰"), =HYPERLINK("CSG1.html#group30C1", "30C¹"), =HYPERLINK("CSG2.html#group30C2", "30C²")</f>
        <v/>
      </c>
      <c r="L577">
        <f>HYPERLINK("CSG5.html#group30R5", "30R⁵"), =HYPERLINK("CSG9.html#group30I9", "30I⁹"), =HYPERLINK("CSG9.html#group30J9", "30J⁹"), =HYPERLINK("CSG11.html#group30K11", "30K¹¹"), =HYPERLINK("CSG11.html#group90K11", "90K¹¹"), =HYPERLINK("CSG15.html#group90L15", "90L¹⁵"), =HYPERLINK("CSG15.html#group90M15", "90M¹⁵"), =HYPERLINK("CSG15.html#group90O15", "90O¹⁵"), =HYPERLINK("CSG17.html#group60Y17", "60Y¹⁷"), =HYPERLINK("CSG23.html#group30J23", "30J²³"), =HYPERLINK("CSG23.html#group150D23", "150D²³")</f>
        <v/>
      </c>
      <c r="M577">
        <f>HYPERLINK("CSG0.html#group15B0", "15B⁰"), =HYPERLINK("CSG0.html#group6B0", "6B⁰"), =HYPERLINK("CSG0.html#group5B0", "5B⁰"), =HYPERLINK("CSG0.html#group15C0", "15C⁰"), =HYPERLINK("CSG0.html#group3A0", "3A⁰"), =HYPERLINK("CSG0.html#group1A0", "1A⁰"), =HYPERLINK("CSG1.html#group30C1", "30C¹"), =HYPERLINK("CSG2.html#group30C2", "30C²")</f>
        <v/>
      </c>
      <c r="N577">
        <f>HYPERLINK("CSG15.html#group90M15", "90M¹⁵"), =HYPERLINK("CSG21.html#group30H21", "30H²¹"), =HYPERLINK("CSG15.html#group90O15", "90O¹⁵"), =HYPERLINK("CSG15.html#group90L15", "90L¹⁵"), =HYPERLINK("CSG17.html#group60Y17", "60Y¹⁷"), =HYPERLINK("CSG13.html#group30Q13", "30Q¹³"), =HYPERLINK("CSG11.html#group90K11", "90K¹¹"), =HYPERLINK("CSG21.html#group60G21", "60G²¹"), =HYPERLINK("CSG5.html#group30R5", "30R⁵"), =HYPERLINK("CSG21.html#group90N21", "90N²¹"), =HYPERLINK("CSG9.html#group30J9", "30J⁹"), =HYPERLINK("CSG17.html#group30H17", "30H¹⁷"), =HYPERLINK("CSG17.html#group60N17", "60N¹⁷"), =HYPERLINK("CSG9.html#group30I9", "30I⁹"), =HYPERLINK("CSG11.html#group30K11", "30K¹¹"), =HYPERLINK("CSG23.html#group150D23", "150D²³"), =HYPERLINK("CSG23.html#group30J23", "30J²³"), =HYPERLINK("CSG17.html#group60X17", "60X¹⁷"), =HYPERLINK("CSG17.html#group30I17", "30I¹⁷")</f>
        <v/>
      </c>
    </row>
    <row r="578">
      <c r="A578" t="inlineStr">
        <is>
          <t>32A³</t>
        </is>
      </c>
      <c r="B578" t="inlineStr"/>
      <c r="C578" t="inlineStr">
        <is>
          <t>48</t>
        </is>
      </c>
      <c r="D578" t="inlineStr">
        <is>
          <t>1</t>
        </is>
      </c>
      <c r="E578" t="inlineStr">
        <is>
          <t>6</t>
        </is>
      </c>
      <c r="F578" t="inlineStr">
        <is>
          <t>0</t>
        </is>
      </c>
      <c r="G578" t="inlineStr">
        <is>
          <t>0</t>
        </is>
      </c>
      <c r="H578" t="inlineStr">
        <is>
          <t>4², 8¹, 32¹</t>
        </is>
      </c>
      <c r="I578" t="n">
        <v>4</v>
      </c>
      <c r="J578" t="inlineStr">
        <is>
          <t>1⁴, 2¹</t>
        </is>
      </c>
      <c r="K578">
        <f>HYPERLINK("CSG1.html#group16A1", "16A¹")</f>
        <v/>
      </c>
      <c r="L578">
        <f>HYPERLINK("CSG5.html#group32B5", "32B⁵"), =HYPERLINK("CSG5.html#group32C5", "32C⁵"), =HYPERLINK("CSG7.html#group64E7", "64E⁷"), =HYPERLINK("CSG11.html#group96A11", "96A¹¹"), =HYPERLINK("CSG13.html#group96C13", "96C¹³"), =HYPERLINK("CSG19.html#group160A19", "160A¹⁹"), =HYPERLINK("CSG21.html#group160C21", "160C²¹")</f>
        <v/>
      </c>
      <c r="M578">
        <f>HYPERLINK("CSG1.html#group16A1", "16A¹"), =HYPERLINK("CSG0.html#group8C0", "8C⁰"), =HYPERLINK("CSG0.html#group2B0", "2B⁰"), =HYPERLINK("CSG0.html#group4B0", "4B⁰"), =HYPERLINK("CSG0.html#group1A0", "1A⁰")</f>
        <v/>
      </c>
      <c r="N578">
        <f>HYPERLINK("CSG21.html#group96K21", "96K²¹"), =HYPERLINK("CSG13.html#group96C13", "96C¹³"), =HYPERLINK("CSG17.html#group32B17", "32B¹⁷"), =HYPERLINK("CSG9.html#group32C9", "32C⁹"), =HYPERLINK("CSG23.html#group192K23", "192K²³"), =HYPERLINK("CSG23.html#group192E23", "192E²³"), =HYPERLINK("CSG11.html#group96A11", "96A¹¹"), =HYPERLINK("CSG21.html#group96B21", "96B²¹"), =HYPERLINK("CSG21.html#group32G21", "32G²¹"), =HYPERLINK("CSG21.html#group96C21", "96C²¹"), =HYPERLINK("CSG21.html#group64A21", "64A²¹"), =HYPERLINK("CSG21.html#group96U21", "96U²¹"), =HYPERLINK("CSG17.html#group32A17", "32A¹⁷"), =HYPERLINK("CSG21.html#group32B21", "32B²¹"), =HYPERLINK("CSG21.html#group96I21", "96I²¹"), =HYPERLINK("CSG13.html#group64I13", "64I¹³"), =HYPERLINK("CSG9.html#group32E9", "32E⁹"), =HYPERLINK("CSG21.html#group64B21", "64B²¹"), =HYPERLINK("CSG21.html#group32F21", "32F²¹"), =HYPERLINK("CSG5.html#group32C5", "32C⁵"), =HYPERLINK("CSG13.html#group64E13", "64E¹³"), =HYPERLINK("CSG13.html#group64A13", "64A¹³"), =HYPERLINK("CSG5.html#group32B5", "32B⁵"), =HYPERLINK("CSG21.html#group160C21", "160C²¹"), =HYPERLINK("CSG13.html#group64F13", "64F¹³"), =HYPERLINK("CSG19.html#group160A19", "160A¹⁹"), =HYPERLINK("CSG21.html#group64N21", "64N²¹"), =HYPERLINK("CSG9.html#group32B9", "32B⁹"), =HYPERLINK("CSG21.html#group32N21", "32N²¹"), =HYPERLINK("CSG21.html#group64D21", "64D²¹"), =HYPERLINK("CSG9.html#group32I9", "32I⁹"), =HYPERLINK("CSG7.html#group64E7", "64E⁷"), =HYPERLINK("CSG13.html#group64B13", "64B¹³")</f>
        <v/>
      </c>
    </row>
    <row r="579">
      <c r="A579" t="inlineStr">
        <is>
          <t>32B³</t>
        </is>
      </c>
      <c r="B579" t="inlineStr"/>
      <c r="C579" t="inlineStr">
        <is>
          <t>48</t>
        </is>
      </c>
      <c r="D579" t="inlineStr">
        <is>
          <t>1</t>
        </is>
      </c>
      <c r="E579" t="inlineStr">
        <is>
          <t>6</t>
        </is>
      </c>
      <c r="F579" t="inlineStr">
        <is>
          <t>0</t>
        </is>
      </c>
      <c r="G579" t="inlineStr">
        <is>
          <t>0</t>
        </is>
      </c>
      <c r="H579" t="inlineStr">
        <is>
          <t>4², 8¹, 32¹</t>
        </is>
      </c>
      <c r="I579" t="n">
        <v>4</v>
      </c>
      <c r="J579" t="inlineStr">
        <is>
          <t>1⁴, 2¹</t>
        </is>
      </c>
      <c r="K579">
        <f>HYPERLINK("CSG1.html#group16A1", "16A¹")</f>
        <v/>
      </c>
      <c r="L579">
        <f>HYPERLINK("CSG5.html#group32B5", "32B⁵"), =HYPERLINK("CSG5.html#group32D5", "32D⁵"), =HYPERLINK("CSG7.html#group64F7", "64F⁷"), =HYPERLINK("CSG11.html#group96B11", "96B¹¹"), =HYPERLINK("CSG13.html#group96D13", "96D¹³"), =HYPERLINK("CSG19.html#group160B19", "160B¹⁹"), =HYPERLINK("CSG21.html#group160D21", "160D²¹")</f>
        <v/>
      </c>
      <c r="M579">
        <f>HYPERLINK("CSG1.html#group16A1", "16A¹"), =HYPERLINK("CSG0.html#group8C0", "8C⁰"), =HYPERLINK("CSG0.html#group2B0", "2B⁰"), =HYPERLINK("CSG0.html#group4B0", "4B⁰"), =HYPERLINK("CSG0.html#group1A0", "1A⁰")</f>
        <v/>
      </c>
      <c r="N579">
        <f>HYPERLINK("CSG21.html#group96D21", "96D²¹"), =HYPERLINK("CSG13.html#group64J13", "64J¹³"), =HYPERLINK("CSG9.html#group32C9", "32C⁹"), =HYPERLINK("CSG17.html#group32B17", "32B¹⁷"), =HYPERLINK("CSG21.html#group96B21", "96B²¹"), =HYPERLINK("CSG21.html#group32G21", "32G²¹"), =HYPERLINK("CSG23.html#group192F23", "192F²³"), =HYPERLINK("CSG21.html#group64A21", "64A²¹"), =HYPERLINK("CSG13.html#group64G13", "64G¹³"), =HYPERLINK("CSG17.html#group32A17", "32A¹⁷"), =HYPERLINK("CSG21.html#group32B21", "32B²¹"), =HYPERLINK("CSG21.html#group64B21", "64B²¹"), =HYPERLINK("CSG7.html#group64F7", "64F⁷"), =HYPERLINK("CSG21.html#group96V21", "96V²¹"), =HYPERLINK("CSG21.html#group32F21", "32F²¹"), =HYPERLINK("CSG21.html#group32O21", "32O²¹"), =HYPERLINK("CSG13.html#group64H13", "64H¹³"), =HYPERLINK("CSG21.html#group96J21", "96J²¹"), =HYPERLINK("CSG13.html#group64A13", "64A¹³"), =HYPERLINK("CSG21.html#group64O21", "64O²¹"), =HYPERLINK("CSG5.html#group32B5", "32B⁵"), =HYPERLINK("CSG21.html#group96L21", "96L²¹"), =HYPERLINK("CSG9.html#group32J9", "32J⁹"), =HYPERLINK("CSG23.html#group192L23", "192L²³"), =HYPERLINK("CSG11.html#group96B11", "96B¹¹"), =HYPERLINK("CSG5.html#group32D5", "32D⁵"), =HYPERLINK("CSG9.html#group32B9", "32B⁹"), =HYPERLINK("CSG21.html#group64D21", "64D²¹"), =HYPERLINK("CSG19.html#group160B19", "160B¹⁹"), =HYPERLINK("CSG13.html#group96D13", "96D¹³"), =HYPERLINK("CSG21.html#group160D21", "160D²¹"), =HYPERLINK("CSG9.html#group32E9", "32E⁹"), =HYPERLINK("CSG13.html#group64B13", "64B¹³")</f>
        <v/>
      </c>
    </row>
    <row r="580">
      <c r="A580" t="inlineStr">
        <is>
          <t>32C³</t>
        </is>
      </c>
      <c r="B580" t="inlineStr"/>
      <c r="C580" t="inlineStr">
        <is>
          <t>48</t>
        </is>
      </c>
      <c r="D580" t="inlineStr">
        <is>
          <t>1</t>
        </is>
      </c>
      <c r="E580" t="inlineStr">
        <is>
          <t>12</t>
        </is>
      </c>
      <c r="F580" t="inlineStr">
        <is>
          <t>0</t>
        </is>
      </c>
      <c r="G580" t="inlineStr">
        <is>
          <t>0</t>
        </is>
      </c>
      <c r="H580" t="inlineStr">
        <is>
          <t>4², 8¹, 32¹</t>
        </is>
      </c>
      <c r="I580" t="n">
        <v>4</v>
      </c>
      <c r="J580" t="inlineStr">
        <is>
          <t>1⁴, 2², 4¹</t>
        </is>
      </c>
      <c r="K580">
        <f>HYPERLINK("CSG1.html#group16A1", "16A¹")</f>
        <v/>
      </c>
      <c r="L580">
        <f>HYPERLINK("CSG5.html#group32A5", "32A⁵"), =HYPERLINK("CSG5.html#group32C5", "32C⁵"), =HYPERLINK("CSG5.html#group32D5", "32D⁵"), =HYPERLINK("CSG7.html#group64A7", "64A⁷"), =HYPERLINK("CSG7.html#group64B7", "64B⁷"), =HYPERLINK("CSG7.html#group64D7", "64D⁷"), =HYPERLINK("CSG7.html#group64C7", "64C⁷"), =HYPERLINK("CSG11.html#group96C11", "96C¹¹"), =HYPERLINK("CSG13.html#group96F13", "96F¹³"), =HYPERLINK("CSG19.html#group160C19", "160C¹⁹"), =HYPERLINK("CSG21.html#group160F21", "160F²¹")</f>
        <v/>
      </c>
      <c r="M580">
        <f>HYPERLINK("CSG1.html#group16A1", "16A¹"), =HYPERLINK("CSG0.html#group8C0", "8C⁰"), =HYPERLINK("CSG0.html#group2B0", "2B⁰"), =HYPERLINK("CSG0.html#group4B0", "4B⁰"), =HYPERLINK("CSG0.html#group1A0", "1A⁰")</f>
        <v/>
      </c>
      <c r="N580">
        <f>HYPERLINK("CSG15.html#group128D15", "128D¹⁵"), =HYPERLINK("CSG21.html#group96D21", "96D²¹"), =HYPERLINK("CSG21.html#group96X21", "96X²¹"), =HYPERLINK("CSG15.html#group128F15", "128F¹⁵"), =HYPERLINK("CSG21.html#group96A21", "96A²¹"), =HYPERLINK("CSG21.html#group64F21", "64F²¹"), =HYPERLINK("CSG21.html#group32A21", "32A²¹"), =HYPERLINK("CSG21.html#group96S21", "96S²¹"), =HYPERLINK("CSG9.html#group32D9", "32D⁹"), =HYPERLINK("CSG23.html#group192J23", "192J²³"), =HYPERLINK("CSG17.html#group32A17", "32A¹⁷"), =HYPERLINK("CSG13.html#group64I13", "64I¹³"), =HYPERLINK("CSG13.html#group64H13", "64H¹³"), =HYPERLINK("CSG13.html#group64C13", "64C¹³"), =HYPERLINK("CSG21.html#group96T21", "96T²¹"), =HYPERLINK("CSG23.html#group192G23", "192G²³"), =HYPERLINK("CSG15.html#group128B15", "128B¹⁵"), =HYPERLINK("CSG13.html#group64E13", "64E¹³"), =HYPERLINK("CSG21.html#group96W21", "96W²¹"), =HYPERLINK("CSG7.html#group64C7", "64C⁷"), =HYPERLINK("CSG13.html#group64F13", "64F¹³"), =HYPERLINK("CSG5.html#group32D5", "32D⁵"), =HYPERLINK("CSG7.html#group64D7", "64D⁷"), =HYPERLINK("CSG5.html#group32A5", "32A⁵"), =HYPERLINK("CSG19.html#group160C19", "160C¹⁹"), =HYPERLINK("CSG23.html#group192I23", "192I²³"), =HYPERLINK("CSG13.html#group96F13", "96F¹³"), =HYPERLINK("CSG23.html#group192A23", "192A²³"), =HYPERLINK("CSG21.html#group160F21", "160F²¹"), =HYPERLINK("CSG7.html#group64B7", "64B⁷"), =HYPERLINK("CSG7.html#group64A7", "64A⁷"), =HYPERLINK("CSG9.html#group32E9", "32E⁹"), =HYPERLINK("CSG11.html#group96C11", "96C¹¹"), =HYPERLINK("CSG17.html#group32B17", "32B¹⁷"), =HYPERLINK("CSG13.html#group64D13", "64D¹³"), =HYPERLINK("CSG13.html#group64J13", "64J¹³"), =HYPERLINK("CSG15.html#group128H15", "128H¹⁵"), =HYPERLINK("CSG15.html#group128A15", "128A¹⁵"), =HYPERLINK("CSG21.html#group96C21", "96C²¹"), =HYPERLINK("CSG9.html#group32A9", "32A⁹"), =HYPERLINK("CSG13.html#group64G13", "64G¹³"), =HYPERLINK("CSG21.html#group64E21", "64E²¹"), =HYPERLINK("CSG21.html#group32H21", "32H²¹"), =HYPERLINK("CSG23.html#group192H23", "192H²³"), =HYPERLINK("CSG21.html#group32O21", "32O²¹"), =HYPERLINK("CSG21.html#group32F21", "32F²¹"), =HYPERLINK("CSG23.html#group192D23", "192D²³"), =HYPERLINK("CSG5.html#group32C5", "32C⁵"), =HYPERLINK("CSG9.html#group32J9", "32J⁹"), =HYPERLINK("CSG15.html#group128G15", "128G¹⁵"), =HYPERLINK("CSG21.html#group64N21", "64N²¹"), =HYPERLINK("CSG15.html#group128E15", "128E¹⁵"), =HYPERLINK("CSG21.html#group32N21", "32N²¹"), =HYPERLINK("CSG23.html#group192B23", "192B²³"), =HYPERLINK("CSG9.html#group32I9", "32I⁹"), =HYPERLINK("CSG15.html#group128C15", "128C¹⁵"), =HYPERLINK("CSG21.html#group64O21", "64O²¹"), =HYPERLINK("CSG23.html#group192C23", "192C²³")</f>
        <v/>
      </c>
    </row>
    <row r="581">
      <c r="A581" t="inlineStr">
        <is>
          <t>32D³</t>
        </is>
      </c>
      <c r="B581" t="inlineStr"/>
      <c r="C581" t="inlineStr">
        <is>
          <t>48</t>
        </is>
      </c>
      <c r="D581" t="inlineStr">
        <is>
          <t>1</t>
        </is>
      </c>
      <c r="E581" t="inlineStr">
        <is>
          <t>12</t>
        </is>
      </c>
      <c r="F581" t="inlineStr">
        <is>
          <t>4</t>
        </is>
      </c>
      <c r="G581" t="inlineStr">
        <is>
          <t>0</t>
        </is>
      </c>
      <c r="H581" t="inlineStr">
        <is>
          <t>16¹, 32¹</t>
        </is>
      </c>
      <c r="I581" t="n">
        <v>2</v>
      </c>
      <c r="J581" t="inlineStr">
        <is>
          <t>2⁶</t>
        </is>
      </c>
      <c r="K581">
        <f>HYPERLINK("CSG0.html#group16B0", "16B⁰")</f>
        <v/>
      </c>
      <c r="L581">
        <f>HYPERLINK("CSG5.html#group32G5", "32G⁵"), =HYPERLINK("CSG5.html#group32L5", "32L⁵"), =HYPERLINK("CSG7.html#group32A7", "32A⁷"), =HYPERLINK("CSG7.html#group32G7", "32G⁷"), =HYPERLINK("CSG7.html#group32H7", "32H⁷"), =HYPERLINK("CSG9.html#group96B9", "96B⁹"), =HYPERLINK("CSG15.html#group96D15", "96D¹⁵"), =HYPERLINK("CSG19.html#group160D19", "160D¹⁹"), =HYPERLINK("CSG21.html#group160H21", "160H²¹")</f>
        <v/>
      </c>
      <c r="M581">
        <f>HYPERLINK("CSG0.html#group16B0", "16B⁰"), =HYPERLINK("CSG0.html#group8B0", "8B⁰"), =HYPERLINK("CSG0.html#group2B0", "2B⁰"), =HYPERLINK("CSG0.html#group1A0", "1A⁰"), =HYPERLINK("CSG0.html#group4C0", "4C⁰")</f>
        <v/>
      </c>
      <c r="N581">
        <f>HYPERLINK("CSG13.html#group32B13", "32B¹³"), =HYPERLINK("CSG5.html#group32L5", "32L⁵"), =HYPERLINK("CSG7.html#group32G7", "32G⁷"), =HYPERLINK("CSG7.html#group32A7", "32A⁷"), =HYPERLINK("CSG13.html#group32K13", "32K¹³"), =HYPERLINK("CSG21.html#group64I21", "64I²¹"), =HYPERLINK("CSG23.html#group32C23", "32C²³"), =HYPERLINK("CSG9.html#group96B9", "96B⁹"), =HYPERLINK("CSG21.html#group32M21", "32M²¹"), =HYPERLINK("CSG23.html#group32B23", "32B²³"), =HYPERLINK("CSG21.html#group96Z21", "96Z²¹"), =HYPERLINK("CSG5.html#group32G5", "32G⁵"), =HYPERLINK("CSG13.html#group32J13", "32J¹³"), =HYPERLINK("CSG21.html#group96AT21", "96AT²¹"), =HYPERLINK("CSG17.html#group96D17", "96D¹⁷"), =HYPERLINK("CSG11.html#group32F11", "32F¹¹"), =HYPERLINK("CSG21.html#group32Y21", "32Y²¹"), =HYPERLINK("CSG11.html#group32J11", "32J¹¹"), =HYPERLINK("CSG23.html#group96H23", "96H²³"), =HYPERLINK("CSG11.html#group32E11", "32E¹¹"), =HYPERLINK("CSG15.html#group96D15", "96D¹⁵"), =HYPERLINK("CSG21.html#group160H21", "160H²¹"), =HYPERLINK("CSG17.html#group96AB17", "96AB¹⁷"), =HYPERLINK("CSG23.html#group32A23", "32A²³"), =HYPERLINK("CSG7.html#group32H7", "32H⁷"), =HYPERLINK("CSG23.html#group96G23", "96G²³"), =HYPERLINK("CSG19.html#group96V19", "96V¹⁹"), =HYPERLINK("CSG23.html#group96A23", "96A²³"), =HYPERLINK("CSG19.html#group160D19", "160D¹⁹"), =HYPERLINK("CSG11.html#group32I11", "32I¹¹"), =HYPERLINK("CSG9.html#group32H9", "32H⁹"), =HYPERLINK("CSG13.html#group32N13", "32N¹³"), =HYPERLINK("CSG13.html#group32O13", "32O¹³"), =HYPERLINK("CSG13.html#group32I13", "32I¹³"), =HYPERLINK("CSG19.html#group96U19", "96U¹⁹"), =HYPERLINK("CSG19.html#group96AY19", "96AY¹⁹"), =HYPERLINK("CSG13.html#group32M13", "32M¹³"), =HYPERLINK("CSG23.html#group32D23", "32D²³"), =HYPERLINK("CSG21.html#group96AA21", "96AA²¹")</f>
        <v/>
      </c>
    </row>
    <row r="582">
      <c r="A582" t="inlineStr">
        <is>
          <t>32E³</t>
        </is>
      </c>
      <c r="B582" t="inlineStr"/>
      <c r="C582" t="inlineStr">
        <is>
          <t>48</t>
        </is>
      </c>
      <c r="D582" t="inlineStr">
        <is>
          <t>1</t>
        </is>
      </c>
      <c r="E582" t="inlineStr">
        <is>
          <t>24</t>
        </is>
      </c>
      <c r="F582" t="inlineStr">
        <is>
          <t>4</t>
        </is>
      </c>
      <c r="G582" t="inlineStr">
        <is>
          <t>0</t>
        </is>
      </c>
      <c r="H582" t="inlineStr">
        <is>
          <t>16¹, 32¹</t>
        </is>
      </c>
      <c r="I582" t="n">
        <v>2</v>
      </c>
      <c r="J582" t="inlineStr">
        <is>
          <t>2⁸, 8¹</t>
        </is>
      </c>
      <c r="K582">
        <f>HYPERLINK("CSG1.html#group16D1", "16D¹")</f>
        <v/>
      </c>
      <c r="L582">
        <f>HYPERLINK("CSG5.html#group32J5", "32J⁵"), =HYPERLINK("CSG6.html#group32C6", "32C⁶"), =HYPERLINK("CSG6.html#group32E6", "32E⁶"), =HYPERLINK("CSG7.html#group32B7", "32B⁷"), =HYPERLINK("CSG7.html#group32I7", "32I⁷"), =HYPERLINK("CSG7.html#group64G7", "64G⁷"), =HYPERLINK("CSG7.html#group64H7", "64H⁷"), =HYPERLINK("CSG9.html#group96C9", "96C⁹"), =HYPERLINK("CSG15.html#group96G15", "96G¹⁵"), =HYPERLINK("CSG19.html#group160E19", "160E¹⁹"), =HYPERLINK("CSG21.html#group160M21", "160M²¹")</f>
        <v/>
      </c>
      <c r="M582">
        <f>HYPERLINK("CSG0.html#group8B0", "8B⁰"), =HYPERLINK("CSG0.html#group2B0", "2B⁰"), =HYPERLINK("CSG1.html#group16D1", "16D¹"), =HYPERLINK("CSG0.html#group1A0", "1A⁰"), =HYPERLINK("CSG0.html#group4C0", "4C⁰")</f>
        <v/>
      </c>
      <c r="N582">
        <f>HYPERLINK("CSG13.html#group64M13", "64M¹³"), =HYPERLINK("CSG5.html#group32J5", "32J⁵"), =HYPERLINK("CSG14.html#group64E14", "64E¹⁴"), =HYPERLINK("CSG21.html#group96AI21", "96AI²¹"), =HYPERLINK("CSG19.html#group96AO19", "96AO¹⁹"), =HYPERLINK("CSG15.html#group64A15", "64A¹⁵"), =HYPERLINK("CSG7.html#group64H7", "64H⁷"), =HYPERLINK("CSG13.html#group64P13", "64P¹³"), =HYPERLINK("CSG21.html#group32Y21", "32Y²¹"), =HYPERLINK("CSG21.html#group96AM21", "96AM²¹"), =HYPERLINK("CSG13.html#group32C13", "32C¹³"), =HYPERLINK("CSG21.html#group192J21", "192J²¹"), =HYPERLINK("CSG20.html#group96R20", "96R²⁰"), =HYPERLINK("CSG12.html#group32C12", "32C¹²"), =HYPERLINK("CSG7.html#group32I7", "32I⁷"), =HYPERLINK("CSG21.html#group160M21", "160M²¹"), =HYPERLINK("CSG14.html#group64A14", "64A¹⁴"), =HYPERLINK("CSG13.html#group32Q13", "32Q¹³"), =HYPERLINK("CSG14.html#group64C14", "64C¹⁴"), =HYPERLINK("CSG21.html#group192I21", "192I²¹"), =HYPERLINK("CSG14.html#group64D14", "64D¹⁴"), =HYPERLINK("CSG21.html#group64M21", "64M²¹"), =HYPERLINK("CSG19.html#group96AK19", "96AK¹⁹"), =HYPERLINK("CSG15.html#group96G15", "96G¹⁵"), =HYPERLINK("CSG13.html#group64L13", "64L¹³"), =HYPERLINK("CSG15.html#group64H15", "64H¹⁵"), =HYPERLINK("CSG19.html#group160E19", "160E¹⁹"), =HYPERLINK("CSG14.html#group64B14", "64B¹⁴"), =HYPERLINK("CSG15.html#group64G15", "64G¹⁵"), =HYPERLINK("CSG23.html#group32H23", "32H²³"), =HYPERLINK("CSG11.html#group32I11", "32I¹¹"), =HYPERLINK("CSG11.html#group32K11", "32K¹¹"), =HYPERLINK("CSG20.html#group96I20", "96I²⁰"), =HYPERLINK("CSG14.html#group64F14", "64F¹⁴"), =HYPERLINK("CSG23.html#group96M23", "96M²³"), =HYPERLINK("CSG21.html#group32U21", "32U²¹"), =HYPERLINK("CSG12.html#group32A12", "32A¹²"), =HYPERLINK("CSG13.html#group32O13", "32O¹³"), =HYPERLINK("CSG24.html#group32D24", "32D²⁴"), =HYPERLINK("CSG17.html#group96G17", "96G¹⁷"), =HYPERLINK("CSG21.html#group192E21", "192E²¹"), =HYPERLINK("CSG7.html#group64G7", "64G⁷"), =HYPERLINK("CSG13.html#group32G13", "32G¹³"), =HYPERLINK("CSG15.html#group64B15", "64B¹⁵"), =HYPERLINK("CSG9.html#group32P9", "32P⁹"), =HYPERLINK("CSG6.html#group32E6", "32E⁶"), =HYPERLINK("CSG6.html#group32C6", "32C⁶"), =HYPERLINK("CSG23.html#group32E23", "32E²³"), =HYPERLINK("CSG24.html#group32A24", "32A²⁴"), =HYPERLINK("CSG20.html#group96G20", "96G²⁰"), =HYPERLINK("CSG13.html#group32D13", "32D¹³"), =HYPERLINK("CSG21.html#group192F21", "192F²¹"), =HYPERLINK("CSG7.html#group32B7", "32B⁷"), =HYPERLINK("CSG9.html#group96C9", "96C⁹"), =HYPERLINK("CSG21.html#group32V21", "32V²¹"), =HYPERLINK("CSG23.html#group96B23", "96B²³"), =HYPERLINK("CSG20.html#group96V20", "96V²⁰"), =HYPERLINK("CSG13.html#group64Q13", "64Q¹³")</f>
        <v/>
      </c>
    </row>
    <row r="583">
      <c r="A583" t="inlineStr">
        <is>
          <t>32F³</t>
        </is>
      </c>
      <c r="B583" t="inlineStr"/>
      <c r="C583" t="inlineStr">
        <is>
          <t>48</t>
        </is>
      </c>
      <c r="D583" t="inlineStr">
        <is>
          <t>1</t>
        </is>
      </c>
      <c r="E583" t="inlineStr">
        <is>
          <t>24</t>
        </is>
      </c>
      <c r="F583" t="inlineStr">
        <is>
          <t>4</t>
        </is>
      </c>
      <c r="G583" t="inlineStr">
        <is>
          <t>0</t>
        </is>
      </c>
      <c r="H583" t="inlineStr">
        <is>
          <t>16¹, 32¹</t>
        </is>
      </c>
      <c r="I583" t="n">
        <v>2</v>
      </c>
      <c r="J583" t="inlineStr">
        <is>
          <t>2⁸, 8¹</t>
        </is>
      </c>
      <c r="K583">
        <f>HYPERLINK("CSG1.html#group16D1", "16D¹")</f>
        <v/>
      </c>
      <c r="L583">
        <f>HYPERLINK("CSG5.html#group32J5", "32J⁵"), =HYPERLINK("CSG6.html#group32D6", "32D⁶"), =HYPERLINK("CSG6.html#group32F6", "32F⁶"), =HYPERLINK("CSG7.html#group32D7", "32D⁷"), =HYPERLINK("CSG7.html#group32I7", "32I⁷"), =HYPERLINK("CSG9.html#group96D9", "96D⁹"), =HYPERLINK("CSG15.html#group96H15", "96H¹⁵"), =HYPERLINK("CSG19.html#group160F19", "160F¹⁹"), =HYPERLINK("CSG21.html#group160N21", "160N²¹")</f>
        <v/>
      </c>
      <c r="M583">
        <f>HYPERLINK("CSG0.html#group8B0", "8B⁰"), =HYPERLINK("CSG0.html#group2B0", "2B⁰"), =HYPERLINK("CSG1.html#group16D1", "16D¹"), =HYPERLINK("CSG0.html#group1A0", "1A⁰"), =HYPERLINK("CSG0.html#group4C0", "4C⁰")</f>
        <v/>
      </c>
      <c r="N583">
        <f>HYPERLINK("CSG13.html#group64M13", "64M¹³"), =HYPERLINK("CSG6.html#group32F6", "32F⁶"), =HYPERLINK("CSG5.html#group32J5", "32J⁵"), =HYPERLINK("CSG14.html#group64G14", "64G¹⁴"), =HYPERLINK("CSG21.html#group96AN21", "96AN²¹"), =HYPERLINK("CSG13.html#group64P13", "64P¹³"), =HYPERLINK("CSG21.html#group32Y21", "32Y²¹"), =HYPERLINK("CSG21.html#group96AJ21", "96AJ²¹"), =HYPERLINK("CSG12.html#group32C12", "32C¹²"), =HYPERLINK("CSG7.html#group32I7", "32I⁷"), =HYPERLINK("CSG21.html#group160N21", "160N²¹"), =HYPERLINK("CSG13.html#group32E13", "32E¹³"), =HYPERLINK("CSG13.html#group32Q13", "32Q¹³"), =HYPERLINK("CSG14.html#group64H14", "64H¹⁴"), =HYPERLINK("CSG21.html#group64M21", "64M²¹"), =HYPERLINK("CSG23.html#group96D23", "96D²³"), =HYPERLINK("CSG19.html#group160F19", "160F¹⁹"), =HYPERLINK("CSG20.html#group96S20", "96S²⁰"), =HYPERLINK("CSG13.html#group64L13", "64L¹³"), =HYPERLINK("CSG13.html#group32F13", "32F¹³"), =HYPERLINK("CSG15.html#group64H15", "64H¹⁵"), =HYPERLINK("CSG15.html#group64G15", "64G¹⁵"), =HYPERLINK("CSG23.html#group32H23", "32H²³"), =HYPERLINK("CSG11.html#group32I11", "32I¹¹"), =HYPERLINK("CSG20.html#group96H20", "96H²⁰"), =HYPERLINK("CSG11.html#group32K11", "32K¹¹"), =HYPERLINK("CSG24.html#group32C24", "32C²⁴"), =HYPERLINK("CSG15.html#group64E15", "64E¹⁵"), =HYPERLINK("CSG6.html#group32D6", "32D⁶"), =HYPERLINK("CSG23.html#group96M23", "96M²³"), =HYPERLINK("CSG21.html#group32U21", "32U²¹"), =HYPERLINK("CSG13.html#group32O13", "32O¹³"), =HYPERLINK("CSG19.html#group96AP19", "96AP¹⁹"), =HYPERLINK("CSG20.html#group96W20", "96W²⁰"), =HYPERLINK("CSG17.html#group96G17", "96G¹⁷"), =HYPERLINK("CSG13.html#group32G13", "32G¹³"), =HYPERLINK("CSG9.html#group32P9", "32P⁹"), =HYPERLINK("CSG23.html#group32E23", "32E²³"), =HYPERLINK("CSG19.html#group96AL19", "96AL¹⁹"), =HYPERLINK("CSG9.html#group96D9", "96D⁹"), =HYPERLINK("CSG15.html#group96H15", "96H¹⁵"), =HYPERLINK("CSG20.html#group96J20", "96J²⁰"), =HYPERLINK("CSG12.html#group32B12", "32B¹²"), =HYPERLINK("CSG7.html#group32D7", "32D⁷"), =HYPERLINK("CSG24.html#group32B24", "32B²⁴"), =HYPERLINK("CSG21.html#group32V21", "32V²¹"), =HYPERLINK("CSG13.html#group64Q13", "64Q¹³")</f>
        <v/>
      </c>
    </row>
    <row r="584">
      <c r="A584" t="inlineStr">
        <is>
          <t>32G³</t>
        </is>
      </c>
      <c r="B584" t="inlineStr"/>
      <c r="C584" t="inlineStr">
        <is>
          <t>48</t>
        </is>
      </c>
      <c r="D584" t="inlineStr">
        <is>
          <t>1</t>
        </is>
      </c>
      <c r="E584" t="inlineStr">
        <is>
          <t>24</t>
        </is>
      </c>
      <c r="F584" t="inlineStr">
        <is>
          <t>4</t>
        </is>
      </c>
      <c r="G584" t="inlineStr">
        <is>
          <t>0</t>
        </is>
      </c>
      <c r="H584" t="inlineStr">
        <is>
          <t>16¹, 32¹</t>
        </is>
      </c>
      <c r="I584" t="n">
        <v>2</v>
      </c>
      <c r="J584" t="inlineStr">
        <is>
          <t>2⁸, 8¹</t>
        </is>
      </c>
      <c r="K584">
        <f>HYPERLINK("CSG1.html#group16D1", "16D¹")</f>
        <v/>
      </c>
      <c r="L584">
        <f>HYPERLINK("CSG5.html#group32K5", "32K⁵"), =HYPERLINK("CSG6.html#group32C6", "32C⁶"), =HYPERLINK("CSG6.html#group32F6", "32F⁶"), =HYPERLINK("CSG7.html#group32C7", "32C⁷"), =HYPERLINK("CSG7.html#group32J7", "32J⁷"), =HYPERLINK("CSG7.html#group64I7", "64I⁷"), =HYPERLINK("CSG7.html#group64J7", "64J⁷"), =HYPERLINK("CSG9.html#group96E9", "96E⁹"), =HYPERLINK("CSG15.html#group96I15", "96I¹⁵"), =HYPERLINK("CSG19.html#group160G19", "160G¹⁹"), =HYPERLINK("CSG21.html#group160O21", "160O²¹")</f>
        <v/>
      </c>
      <c r="M584">
        <f>HYPERLINK("CSG0.html#group8B0", "8B⁰"), =HYPERLINK("CSG0.html#group2B0", "2B⁰"), =HYPERLINK("CSG1.html#group16D1", "16D¹"), =HYPERLINK("CSG0.html#group1A0", "1A⁰"), =HYPERLINK("CSG0.html#group4C0", "4C⁰")</f>
        <v/>
      </c>
      <c r="N584">
        <f>HYPERLINK("CSG6.html#group32F6", "32F⁶"), =HYPERLINK("CSG5.html#group32K5", "32K⁵"), =HYPERLINK("CSG17.html#group96H17", "96H¹⁷"), =HYPERLINK("CSG21.html#group32S21", "32S²¹"), =HYPERLINK("CSG7.html#group32J7", "32J⁷"), =HYPERLINK("CSG21.html#group192H21", "192H²¹"), =HYPERLINK("CSG14.html#group64G14", "64G¹⁴"), =HYPERLINK("CSG21.html#group96AO21", "96AO²¹"), =HYPERLINK("CSG21.html#group32Y21", "32Y²¹"), =HYPERLINK("CSG13.html#group32C13", "32C¹³"), =HYPERLINK("CSG11.html#group32J11", "32J¹¹"), =HYPERLINK("CSG23.html#group96N23", "96N²³"), =HYPERLINK("CSG12.html#group32C12", "32C¹²"), =HYPERLINK("CSG13.html#group32E13", "32E¹³"), =HYPERLINK("CSG14.html#group64A14", "64A¹⁴"), =HYPERLINK("CSG13.html#group32Q13", "32Q¹³"), =HYPERLINK("CSG14.html#group64H14", "64H¹⁴"), =HYPERLINK("CSG21.html#group96AK21", "96AK²¹"), =HYPERLINK("CSG14.html#group64C14", "64C¹⁴"), =HYPERLINK("CSG14.html#group64D14", "64D¹⁴"), =HYPERLINK("CSG13.html#group64S13", "64S¹³"), =HYPERLINK("CSG21.html#group192G21", "192G²¹"), =HYPERLINK("CSG13.html#group64R13", "64R¹³"), =HYPERLINK("CSG21.html#group64L21", "64L²¹"), =HYPERLINK("CSG23.html#group96C23", "96C²³"), =HYPERLINK("CSG7.html#group64I7", "64I⁷"), =HYPERLINK("CSG20.html#group96T20", "96T²⁰"), =HYPERLINK("CSG14.html#group64B14", "64B¹⁴"), =HYPERLINK("CSG23.html#group32H23", "32H²³"), =HYPERLINK("CSG21.html#group192K21", "192K²¹"), =HYPERLINK("CSG21.html#group160O21", "160O²¹"), =HYPERLINK("CSG15.html#group96I15", "96I¹⁵"), =HYPERLINK("CSG11.html#group32K11", "32K¹¹"), =HYPERLINK("CSG13.html#group32N13", "32N¹³"), =HYPERLINK("CSG19.html#group96AM19", "96AM¹⁹"), =HYPERLINK("CSG12.html#group32A12", "32A¹²"), =HYPERLINK("CSG7.html#group32C7", "32C⁷"), =HYPERLINK("CSG21.html#group192L21", "192L²¹"), =HYPERLINK("CSG24.html#group32D24", "32D²⁴"), =HYPERLINK("CSG9.html#group32O9", "32O⁹"), =HYPERLINK("CSG15.html#group64D15", "64D¹⁵"), =HYPERLINK("CSG9.html#group96E9", "96E⁹"), =HYPERLINK("CSG19.html#group160G19", "160G¹⁹"), =HYPERLINK("CSG20.html#group96X20", "96X²⁰"), =HYPERLINK("CSG15.html#group64I15", "64I¹⁵"), =HYPERLINK("CSG19.html#group96AQ19", "96AQ¹⁹"), =HYPERLINK("CSG13.html#group32H13", "32H¹³"), =HYPERLINK("CSG24.html#group32A24", "32A²⁴"), =HYPERLINK("CSG6.html#group32C6", "32C⁶"), =HYPERLINK("CSG23.html#group32E23", "32E²³"), =HYPERLINK("CSG20.html#group96G20", "96G²⁰"), =HYPERLINK("CSG7.html#group64J7", "64J⁷"), =HYPERLINK("CSG13.html#group64O13", "64O¹³"), =HYPERLINK("CSG15.html#group64J15", "64J¹⁵"), =HYPERLINK("CSG15.html#group64C15", "64C¹⁵"), =HYPERLINK("CSG21.html#group32T21", "32T²¹"), =HYPERLINK("CSG20.html#group96J20", "96J²⁰"), =HYPERLINK("CSG13.html#group64N13", "64N¹³")</f>
        <v/>
      </c>
    </row>
    <row r="585">
      <c r="A585" t="inlineStr">
        <is>
          <t>32H³</t>
        </is>
      </c>
      <c r="B585" t="inlineStr"/>
      <c r="C585" t="inlineStr">
        <is>
          <t>48</t>
        </is>
      </c>
      <c r="D585" t="inlineStr">
        <is>
          <t>1</t>
        </is>
      </c>
      <c r="E585" t="inlineStr">
        <is>
          <t>24</t>
        </is>
      </c>
      <c r="F585" t="inlineStr">
        <is>
          <t>4</t>
        </is>
      </c>
      <c r="G585" t="inlineStr">
        <is>
          <t>0</t>
        </is>
      </c>
      <c r="H585" t="inlineStr">
        <is>
          <t>16¹, 32¹</t>
        </is>
      </c>
      <c r="I585" t="n">
        <v>2</v>
      </c>
      <c r="J585" t="inlineStr">
        <is>
          <t>2⁸, 8¹</t>
        </is>
      </c>
      <c r="K585">
        <f>HYPERLINK("CSG1.html#group16D1", "16D¹")</f>
        <v/>
      </c>
      <c r="L585">
        <f>HYPERLINK("CSG5.html#group32K5", "32K⁵"), =HYPERLINK("CSG6.html#group32D6", "32D⁶"), =HYPERLINK("CSG6.html#group32E6", "32E⁶"), =HYPERLINK("CSG7.html#group32E7", "32E⁷"), =HYPERLINK("CSG7.html#group32J7", "32J⁷"), =HYPERLINK("CSG9.html#group96F9", "96F⁹"), =HYPERLINK("CSG15.html#group96J15", "96J¹⁵"), =HYPERLINK("CSG19.html#group160H19", "160H¹⁹"), =HYPERLINK("CSG21.html#group160P21", "160P²¹")</f>
        <v/>
      </c>
      <c r="M585">
        <f>HYPERLINK("CSG0.html#group8B0", "8B⁰"), =HYPERLINK("CSG0.html#group2B0", "2B⁰"), =HYPERLINK("CSG1.html#group16D1", "16D¹"), =HYPERLINK("CSG0.html#group1A0", "1A⁰"), =HYPERLINK("CSG0.html#group4C0", "4C⁰")</f>
        <v/>
      </c>
      <c r="N585">
        <f>HYPERLINK("CSG5.html#group32K5", "32K⁵"), =HYPERLINK("CSG9.html#group96F9", "96F⁹"), =HYPERLINK("CSG14.html#group64E14", "64E¹⁴"), =HYPERLINK("CSG7.html#group32E7", "32E⁷"), =HYPERLINK("CSG17.html#group96H17", "96H¹⁷"), =HYPERLINK("CSG21.html#group32S21", "32S²¹"), =HYPERLINK("CSG7.html#group32J7", "32J⁷"), =HYPERLINK("CSG15.html#group64F15", "64F¹⁵"), =HYPERLINK("CSG21.html#group32Y21", "32Y²¹"), =HYPERLINK("CSG11.html#group32J11", "32J¹¹"), =HYPERLINK("CSG15.html#group96J15", "96J¹⁵"), =HYPERLINK("CSG19.html#group160H19", "160H¹⁹"), =HYPERLINK("CSG23.html#group96N23", "96N²³"), =HYPERLINK("CSG12.html#group32C12", "32C¹²"), =HYPERLINK("CSG20.html#group96U20", "96U²⁰"), =HYPERLINK("CSG13.html#group32Q13", "32Q¹³"), =HYPERLINK("CSG21.html#group96AP21", "96AP²¹"), =HYPERLINK("CSG13.html#group64S13", "64S¹³"), =HYPERLINK("CSG13.html#group64R13", "64R¹³"), =HYPERLINK("CSG21.html#group64L21", "64L²¹"), =HYPERLINK("CSG21.html#group160P21", "160P²¹"), =HYPERLINK("CSG13.html#group32F13", "32F¹³"), =HYPERLINK("CSG23.html#group32H23", "32H²³"), =HYPERLINK("CSG20.html#group96H20", "96H²⁰"), =HYPERLINK("CSG11.html#group32K11", "32K¹¹"), =HYPERLINK("CSG20.html#group96I20", "96I²⁰"), =HYPERLINK("CSG13.html#group32N13", "32N¹³"), =HYPERLINK("CSG24.html#group32C24", "32C²⁴"), =HYPERLINK("CSG6.html#group32D6", "32D⁶"), =HYPERLINK("CSG14.html#group64F14", "64F¹⁴"), =HYPERLINK("CSG23.html#group96E23", "96E²³"), =HYPERLINK("CSG9.html#group32O9", "32O⁹"), =HYPERLINK("CSG20.html#group96Y20", "96Y²⁰"), =HYPERLINK("CSG19.html#group96AN19", "96AN¹⁹"), =HYPERLINK("CSG21.html#group96AL21", "96AL²¹"), =HYPERLINK("CSG15.html#group64I15", "64I¹⁵"), =HYPERLINK("CSG13.html#group32H13", "32H¹³"), =HYPERLINK("CSG6.html#group32E6", "32E⁶"), =HYPERLINK("CSG23.html#group32E23", "32E²³"), =HYPERLINK("CSG12.html#group32B12", "32B¹²"), =HYPERLINK("CSG13.html#group64O13", "64O¹³"), =HYPERLINK("CSG13.html#group32D13", "32D¹³"), =HYPERLINK("CSG24.html#group32B24", "32B²⁴"), =HYPERLINK("CSG15.html#group64J15", "64J¹⁵"), =HYPERLINK("CSG21.html#group32T21", "32T²¹"), =HYPERLINK("CSG13.html#group64N13", "64N¹³"), =HYPERLINK("CSG19.html#group96AR19", "96AR¹⁹")</f>
        <v/>
      </c>
    </row>
    <row r="586">
      <c r="A586" t="inlineStr">
        <is>
          <t>32I³</t>
        </is>
      </c>
      <c r="B586" t="inlineStr"/>
      <c r="C586" t="inlineStr">
        <is>
          <t>48</t>
        </is>
      </c>
      <c r="D586" t="inlineStr">
        <is>
          <t>2</t>
        </is>
      </c>
      <c r="E586" t="inlineStr">
        <is>
          <t>24</t>
        </is>
      </c>
      <c r="F586" t="inlineStr">
        <is>
          <t>2</t>
        </is>
      </c>
      <c r="G586" t="inlineStr">
        <is>
          <t>0</t>
        </is>
      </c>
      <c r="H586" t="inlineStr">
        <is>
          <t>8², 32¹</t>
        </is>
      </c>
      <c r="I586" t="n">
        <v>3</v>
      </c>
      <c r="J586" t="inlineStr">
        <is>
          <t>2², 4³, 8⁴</t>
        </is>
      </c>
      <c r="K586">
        <f>HYPERLINK("CSG1.html#group16C1", "16C¹")</f>
        <v/>
      </c>
      <c r="L586">
        <f>HYPERLINK("CSG5.html#group32H5", "32H⁵"), =HYPERLINK("CSG6.html#group32A6", "32A⁶"), =HYPERLINK("CSG6.html#group32B6", "32B⁶"), =HYPERLINK("CSG10.html#group96C10", "96C¹⁰"), =HYPERLINK("CSG14.html#group96A14", "96A¹⁴"), =HYPERLINK("CSG19.html#group160I19", "160I¹⁹"), =HYPERLINK("CSG21.html#group160U21", "160U²¹")</f>
        <v/>
      </c>
      <c r="M586">
        <f>HYPERLINK("CSG0.html#group1A0", "1A⁰"), =HYPERLINK("CSG0.html#group2B0", "2B⁰"), =HYPERLINK("CSG0.html#group8D0", "8D⁰"), =HYPERLINK("CSG1.html#group16C1", "16C¹"), =HYPERLINK("CSG0.html#group4C0", "4C⁰")</f>
        <v/>
      </c>
      <c r="N586">
        <f>HYPERLINK("CSG20.html#group96L20", "96L²⁰"), =HYPERLINK("CSG9.html#group32M9", "32M⁹"), =HYPERLINK("CSG21.html#group64Q21", "64Q²¹"), =HYPERLINK("CSG11.html#group32B11", "32B¹¹"), =HYPERLINK("CSG21.html#group96AV21", "96AV²¹"), =HYPERLINK("CSG23.html#group64B23", "64B²³"), =HYPERLINK("CSG23.html#group64A23", "64A²³"), =HYPERLINK("CSG10.html#group32A10", "32A¹⁰"), =HYPERLINK("CSG19.html#group32E19", "32E¹⁹"), =HYPERLINK("CSG22.html#group96A22", "96A²²"), =HYPERLINK("CSG11.html#group32A11", "32A¹¹"), =HYPERLINK("CSG21.html#group32P21", "32P²¹"), =HYPERLINK("CSG22.html#group96B22", "96B²²"), =HYPERLINK("CSG10.html#group96C10", "96C¹⁰"), =HYPERLINK("CSG19.html#group96L19", "96L¹⁹"), =HYPERLINK("CSG11.html#group32C11", "32C¹¹"), =HYPERLINK("CSG21.html#group32G21", "32G²¹"), =HYPERLINK("CSG21.html#group32C21", "32C²¹"), =HYPERLINK("CSG5.html#group32H5", "32H⁵"), =HYPERLINK("CSG11.html#group32H11", "32H¹¹"), =HYPERLINK("CSG14.html#group96A14", "96A¹⁴"), =HYPERLINK("CSG24.html#group32D24", "32D²⁴"), =HYPERLINK("CSG6.html#group32A6", "32A⁶"), =HYPERLINK("CSG21.html#group32H21", "32H²¹"), =HYPERLINK("CSG21.html#group32K21", "32K²¹"), =HYPERLINK("CSG10.html#group32C10", "32C¹⁰"), =HYPERLINK("CSG21.html#group96AW21", "96AW²¹"), =HYPERLINK("CSG21.html#group32E21", "32E²¹"), =HYPERLINK("CSG24.html#group32B24", "32B²⁴"), =HYPERLINK("CSG20.html#group96M20", "96M²⁰"), =HYPERLINK("CSG21.html#group160U21", "160U²¹"), =HYPERLINK("CSG6.html#group32B6", "32B⁶"), =HYPERLINK("CSG21.html#group32D21", "32D²¹"), =HYPERLINK("CSG23.html#group32D23", "32D²³"), =HYPERLINK("CSG19.html#group160I19", "160I¹⁹")</f>
        <v/>
      </c>
    </row>
    <row r="587">
      <c r="A587" t="inlineStr">
        <is>
          <t>32J³</t>
        </is>
      </c>
      <c r="B587" t="inlineStr"/>
      <c r="C587" t="inlineStr">
        <is>
          <t>96</t>
        </is>
      </c>
      <c r="D587" t="inlineStr">
        <is>
          <t>1</t>
        </is>
      </c>
      <c r="E587" t="inlineStr">
        <is>
          <t>6</t>
        </is>
      </c>
      <c r="F587" t="inlineStr">
        <is>
          <t>0</t>
        </is>
      </c>
      <c r="G587" t="inlineStr">
        <is>
          <t>0</t>
        </is>
      </c>
      <c r="H587" t="inlineStr">
        <is>
          <t>2⁸, 8², 32²</t>
        </is>
      </c>
      <c r="I587" t="n">
        <v>12</v>
      </c>
      <c r="J587" t="inlineStr">
        <is>
          <t>1⁴, 2¹</t>
        </is>
      </c>
      <c r="K587">
        <f>HYPERLINK("CSG1.html#group16E1", "16E¹"), =HYPERLINK("CSG1.html#group32A1", "32A¹")</f>
        <v/>
      </c>
      <c r="L587">
        <f>HYPERLINK("CSG5.html#group32M5", "32M⁵"), =HYPERLINK("CSG9.html#group32A9", "32A⁹"), =HYPERLINK("CSG9.html#group32C9", "32C⁹"), =HYPERLINK("CSG9.html#group64C9", "64C⁹"), =HYPERLINK("CSG9.html#group64B9", "64B⁹"), =HYPERLINK("CSG19.html#group96A19", "96A¹⁹"), =HYPERLINK("CSG21.html#group96BA21", "96BA²¹")</f>
        <v/>
      </c>
      <c r="M587">
        <f>HYPERLINK("CSG0.html#group2A0", "2A⁰"), =HYPERLINK("CSG1.html#group32A1", "32A¹"), =HYPERLINK("CSG0.html#group8G0", "8G⁰"), =HYPERLINK("CSG0.html#group8D0", "8D⁰"), =HYPERLINK("CSG1.html#group16E1", "16E¹"), =HYPERLINK("CSG0.html#group16C0", "16C⁰"), =HYPERLINK("CSG0.html#group4C0", "4C⁰"), =HYPERLINK("CSG1.html#group16A1", "16A¹"), =HYPERLINK("CSG0.html#group8C0", "8C⁰"), =HYPERLINK("CSG0.html#group4E0", "4E⁰"), =HYPERLINK("CSG0.html#group2B0", "2B⁰"), =HYPERLINK("CSG0.html#group4B0", "4B⁰"), =HYPERLINK("CSG0.html#group1A0", "1A⁰"), =HYPERLINK("CSG0.html#group2C0", "2C⁰")</f>
        <v/>
      </c>
      <c r="N587">
        <f>HYPERLINK("CSG9.html#group64C9", "64C⁹"), =HYPERLINK("CSG9.html#group32C9", "32C⁹"), =HYPERLINK("CSG13.html#group64V13", "64V¹³"), =HYPERLINK("CSG21.html#group96BA21", "96BA²¹"), =HYPERLINK("CSG21.html#group32G21", "32G²¹"), =HYPERLINK("CSG21.html#group64F21", "64F²¹"), =HYPERLINK("CSG9.html#group32A9", "32A⁹"), =HYPERLINK("CSG21.html#group64A21", "64A²¹"), =HYPERLINK("CSG21.html#group64C21", "64C²¹"), =HYPERLINK("CSG21.html#group32A21", "32A²¹"), =HYPERLINK("CSG21.html#group128D21", "128D²¹"), =HYPERLINK("CSG17.html#group32A17", "32A¹⁷"), =HYPERLINK("CSG5.html#group32M5", "32M⁵"), =HYPERLINK("CSG21.html#group64B21", "64B²¹"), =HYPERLINK("CSG21.html#group32F21", "32F²¹"), =HYPERLINK("CSG17.html#group64A17", "64A¹⁷"), =HYPERLINK("CSG21.html#group128F21", "128F²¹"), =HYPERLINK("CSG19.html#group96A19", "96A¹⁹"), =HYPERLINK("CSG13.html#group32U13", "32U¹³"), =HYPERLINK("CSG9.html#group64B9", "64B⁹")</f>
        <v/>
      </c>
    </row>
    <row r="588">
      <c r="A588" t="inlineStr">
        <is>
          <t>32K³</t>
        </is>
      </c>
      <c r="B588" t="inlineStr"/>
      <c r="C588" t="inlineStr">
        <is>
          <t>96</t>
        </is>
      </c>
      <c r="D588" t="inlineStr">
        <is>
          <t>1</t>
        </is>
      </c>
      <c r="E588" t="inlineStr">
        <is>
          <t>6</t>
        </is>
      </c>
      <c r="F588" t="inlineStr">
        <is>
          <t>0</t>
        </is>
      </c>
      <c r="G588" t="inlineStr">
        <is>
          <t>0</t>
        </is>
      </c>
      <c r="H588" t="inlineStr">
        <is>
          <t>2⁸, 8², 32²</t>
        </is>
      </c>
      <c r="I588" t="n">
        <v>12</v>
      </c>
      <c r="J588" t="inlineStr">
        <is>
          <t>1⁴, 2¹</t>
        </is>
      </c>
      <c r="K588">
        <f>HYPERLINK("CSG0.html#group32A0", "32A⁰"), =HYPERLINK("CSG1.html#group16E1", "16E¹"), =HYPERLINK("CSG2.html#group32A2", "32A²")</f>
        <v/>
      </c>
      <c r="L588">
        <f>HYPERLINK("CSG5.html#group32M5", "32M⁵"), =HYPERLINK("CSG7.html#group64K7", "64K⁷"), =HYPERLINK("CSG9.html#group32B9", "32B⁹"), =HYPERLINK("CSG9.html#group32D9", "32D⁹"), =HYPERLINK("CSG11.html#group64A11", "64A¹¹"), =HYPERLINK("CSG19.html#group96B19", "96B¹⁹"), =HYPERLINK("CSG21.html#group96BF21", "96BF²¹")</f>
        <v/>
      </c>
      <c r="M588">
        <f>HYPERLINK("CSG0.html#group2A0", "2A⁰"), =HYPERLINK("CSG0.html#group8D0", "8D⁰"), =HYPERLINK("CSG1.html#group16E1", "16E¹"), =HYPERLINK("CSG0.html#group4C0", "4C⁰"), =HYPERLINK("CSG1.html#group16A1", "16A¹"), =HYPERLINK("CSG0.html#group8C0", "8C⁰"), =HYPERLINK("CSG0.html#group2B0", "2B⁰"), =HYPERLINK("CSG0.html#group4E0", "4E⁰"), =HYPERLINK("CSG0.html#group4B0", "4B⁰"), =HYPERLINK("CSG0.html#group1A0", "1A⁰"), =HYPERLINK("CSG0.html#group8G0", "8G⁰"), =HYPERLINK("CSG0.html#group16C0", "16C⁰"), =HYPERLINK("CSG0.html#group32A0", "32A⁰"), =HYPERLINK("CSG2.html#group32A2", "32A²"), =HYPERLINK("CSG0.html#group2C0", "2C⁰")</f>
        <v/>
      </c>
      <c r="N588">
        <f>HYPERLINK("CSG13.html#group64V13", "64V¹³"), =HYPERLINK("CSG21.html#group96BF21", "96BF²¹"), =HYPERLINK("CSG21.html#group64C21", "64C²¹"), =HYPERLINK("CSG9.html#group32D9", "32D⁹"), =HYPERLINK("CSG21.html#group64E21", "64E²¹"), =HYPERLINK("CSG21.html#group32H21", "32H²¹"), =HYPERLINK("CSG17.html#group32A17", "32A¹⁷"), =HYPERLINK("CSG21.html#group32B21", "32B²¹"), =HYPERLINK("CSG19.html#group128A19", "128A¹⁹"), =HYPERLINK("CSG5.html#group32M5", "32M⁵"), =HYPERLINK("CSG21.html#group32F21", "32F²¹"), =HYPERLINK("CSG17.html#group64A17", "64A¹⁷"), =HYPERLINK("CSG7.html#group64K7", "64K⁷"), =HYPERLINK("CSG9.html#group32B9", "32B⁹"), =HYPERLINK("CSG21.html#group64D21", "64D²¹"), =HYPERLINK("CSG19.html#group96B19", "96B¹⁹"), =HYPERLINK("CSG11.html#group64A11", "64A¹¹"), =HYPERLINK("CSG13.html#group32U13", "32U¹³")</f>
        <v/>
      </c>
    </row>
    <row r="589">
      <c r="A589" t="inlineStr">
        <is>
          <t>32L³</t>
        </is>
      </c>
      <c r="B589" t="inlineStr"/>
      <c r="C589" t="inlineStr">
        <is>
          <t>96</t>
        </is>
      </c>
      <c r="D589" t="inlineStr">
        <is>
          <t>1</t>
        </is>
      </c>
      <c r="E589" t="inlineStr">
        <is>
          <t>6</t>
        </is>
      </c>
      <c r="F589" t="inlineStr">
        <is>
          <t>16</t>
        </is>
      </c>
      <c r="G589" t="inlineStr">
        <is>
          <t>0</t>
        </is>
      </c>
      <c r="H589" t="inlineStr">
        <is>
          <t>16², 32²</t>
        </is>
      </c>
      <c r="I589" t="n">
        <v>4</v>
      </c>
      <c r="J589" t="inlineStr">
        <is>
          <t>1², 2²</t>
        </is>
      </c>
      <c r="K589">
        <f>HYPERLINK("CSG1.html#group16F1", "16F¹"), =HYPERLINK("CSG1.html#group32B1", "32B¹")</f>
        <v/>
      </c>
      <c r="L589">
        <f>HYPERLINK("CSG9.html#group32F9", "32F⁹"), =HYPERLINK("CSG9.html#group32G9", "32G⁹"), =HYPERLINK("CSG9.html#group32H9", "32H⁹"), =HYPERLINK("CSG9.html#group64F9", "64F⁹"), =HYPERLINK("CSG11.html#group96I11", "96I¹¹"), =HYPERLINK("CSG13.html#group32B13", "32B¹³"), =HYPERLINK("CSG13.html#group64K13", "64K¹³")</f>
        <v/>
      </c>
      <c r="M589">
        <f>HYPERLINK("CSG0.html#group8D0", "8D⁰"), =HYPERLINK("CSG0.html#group4C0", "4C⁰"), =HYPERLINK("CSG0.html#group8B0", "8B⁰"), =HYPERLINK("CSG1.html#group16B1", "16B¹"), =HYPERLINK("CSG0.html#group2B0", "2B⁰"), =HYPERLINK("CSG0.html#group1A0", "1A⁰"), =HYPERLINK("CSG0.html#group16B0", "16B⁰"), =HYPERLINK("CSG0.html#group8H0", "8H⁰"), =HYPERLINK("CSG0.html#group4A0", "4A⁰"), =HYPERLINK("CSG1.html#group32B1", "32B¹"), =HYPERLINK("CSG0.html#group4F0", "4F⁰"), =HYPERLINK("CSG1.html#group16F1", "16F¹")</f>
        <v/>
      </c>
      <c r="N589">
        <f>HYPERLINK("CSG13.html#group32B13", "32B¹³"), =HYPERLINK("CSG21.html#group64I21", "64I²¹"), =HYPERLINK("CSG9.html#group32H9", "32H⁹"), =HYPERLINK("CSG9.html#group32F9", "32F⁹"), =HYPERLINK("CSG21.html#group32M21", "32M²¹"), =HYPERLINK("CSG9.html#group64F9", "64F⁹"), =HYPERLINK("CSG9.html#group32G9", "32G⁹"), =HYPERLINK("CSG21.html#group32I21", "32I²¹"), =HYPERLINK("CSG21.html#group32Y21", "32Y²¹"), =HYPERLINK("CSG21.html#group32K21", "32K²¹"), =HYPERLINK("CSG21.html#group32L21", "32L²¹"), =HYPERLINK("CSG13.html#group64K13", "64K¹³"), =HYPERLINK("CSG21.html#group64G21", "64G²¹"), =HYPERLINK("CSG11.html#group96I11", "96I¹¹"), =HYPERLINK("CSG21.html#group64H21", "64H²¹"), =HYPERLINK("CSG21.html#group32J21", "32J²¹")</f>
        <v/>
      </c>
    </row>
    <row r="590">
      <c r="A590" t="inlineStr">
        <is>
          <t>32M³</t>
        </is>
      </c>
      <c r="B590" t="inlineStr"/>
      <c r="C590" t="inlineStr">
        <is>
          <t>96</t>
        </is>
      </c>
      <c r="D590" t="inlineStr">
        <is>
          <t>1</t>
        </is>
      </c>
      <c r="E590" t="inlineStr">
        <is>
          <t>12</t>
        </is>
      </c>
      <c r="F590" t="inlineStr">
        <is>
          <t>0</t>
        </is>
      </c>
      <c r="G590" t="inlineStr">
        <is>
          <t>0</t>
        </is>
      </c>
      <c r="H590" t="inlineStr">
        <is>
          <t>2⁸, 8², 32²</t>
        </is>
      </c>
      <c r="I590" t="n">
        <v>12</v>
      </c>
      <c r="J590" t="inlineStr">
        <is>
          <t>1⁴, 2², 4¹</t>
        </is>
      </c>
      <c r="K590">
        <f>HYPERLINK("CSG0.html#group16H0", "16H⁰"), =HYPERLINK("CSG1.html#group32A1", "32A¹"), =HYPERLINK("CSG2.html#group32A2", "32A²")</f>
        <v/>
      </c>
      <c r="L590">
        <f>HYPERLINK("CSG5.html#group32M5", "32M⁵"), =HYPERLINK("CSG7.html#group32M7", "32M⁷"), =HYPERLINK("CSG9.html#group64E9", "64E⁹"), =HYPERLINK("CSG9.html#group64D9", "64D⁹"), =HYPERLINK("CSG11.html#group64B11", "64B¹¹"), =HYPERLINK("CSG19.html#group96C19", "96C¹⁹"), =HYPERLINK("CSG21.html#group96BK21", "96BK²¹")</f>
        <v/>
      </c>
      <c r="M590">
        <f>HYPERLINK("CSG1.html#group32A1", "32A¹"), =HYPERLINK("CSG0.html#group16C0", "16C⁰"), =HYPERLINK("CSG0.html#group16D0", "16D⁰"), =HYPERLINK("CSG2.html#group32A2", "32A²"), =HYPERLINK("CSG0.html#group8C0", "8C⁰"), =HYPERLINK("CSG0.html#group2B0", "2B⁰"), =HYPERLINK("CSG0.html#group8I0", "8I⁰"), =HYPERLINK("CSG0.html#group4B0", "4B⁰"), =HYPERLINK("CSG0.html#group1A0", "1A⁰"), =HYPERLINK("CSG0.html#group16H0", "16H⁰")</f>
        <v/>
      </c>
      <c r="N590">
        <f>HYPERLINK("CSG19.html#group96C19", "96C¹⁹"), =HYPERLINK("CSG13.html#group64V13", "64V¹³"), =HYPERLINK("CSG21.html#group96BK21", "96BK²¹"), =HYPERLINK("CSG9.html#group64D9", "64D⁹"), =HYPERLINK("CSG21.html#group64C21", "64C²¹"), =HYPERLINK("CSG11.html#group64B11", "64B¹¹"), =HYPERLINK("CSG7.html#group32M7", "32M⁷"), =HYPERLINK("CSG21.html#group64J21", "64J²¹"), =HYPERLINK("CSG19.html#group64B19", "64B¹⁹"), =HYPERLINK("CSG17.html#group32A17", "32A¹⁷"), =HYPERLINK("CSG5.html#group32M5", "32M⁵"), =HYPERLINK("CSG21.html#group128E21", "128E²¹"), =HYPERLINK("CSG9.html#group64E9", "64E⁹"), =HYPERLINK("CSG17.html#group64A17", "64A¹⁷"), =HYPERLINK("CSG21.html#group128C21", "128C²¹"), =HYPERLINK("CSG19.html#group32B19", "32B¹⁹"), =HYPERLINK("CSG21.html#group64K21", "64K²¹"), =HYPERLINK("CSG13.html#group32U13", "32U¹³"), =HYPERLINK("CSG21.html#group128B21", "128B²¹")</f>
        <v/>
      </c>
    </row>
    <row r="591">
      <c r="A591" t="inlineStr">
        <is>
          <t>32N³</t>
        </is>
      </c>
      <c r="B591" t="inlineStr"/>
      <c r="C591" t="inlineStr">
        <is>
          <t>96</t>
        </is>
      </c>
      <c r="D591" t="inlineStr">
        <is>
          <t>1</t>
        </is>
      </c>
      <c r="E591" t="inlineStr">
        <is>
          <t>12</t>
        </is>
      </c>
      <c r="F591" t="inlineStr">
        <is>
          <t>16</t>
        </is>
      </c>
      <c r="G591" t="inlineStr">
        <is>
          <t>0</t>
        </is>
      </c>
      <c r="H591" t="inlineStr">
        <is>
          <t>16², 32²</t>
        </is>
      </c>
      <c r="I591" t="n">
        <v>4</v>
      </c>
      <c r="J591" t="inlineStr">
        <is>
          <t>1⁴, 2², 4¹</t>
        </is>
      </c>
      <c r="K591">
        <f>HYPERLINK("CSG1.html#group16J1", "16J¹"), =HYPERLINK("CSG1.html#group32B1", "32B¹")</f>
        <v/>
      </c>
      <c r="L591">
        <f>HYPERLINK("CSG9.html#group32H9", "32H⁹"), =HYPERLINK("CSG9.html#group32O9", "32O⁹"), =HYPERLINK("CSG9.html#group32P9", "32P⁹"), =HYPERLINK("CSG9.html#group64I9", "64I⁹"), =HYPERLINK("CSG11.html#group96J11", "96J¹¹"), =HYPERLINK("CSG13.html#group32M13", "32M¹³"), =HYPERLINK("CSG13.html#group64T13", "64T¹³")</f>
        <v/>
      </c>
      <c r="M591">
        <f>HYPERLINK("CSG0.html#group16B0", "16B⁰"), =HYPERLINK("CSG1.html#group16D1", "16D¹"), =HYPERLINK("CSG0.html#group4C0", "4C⁰"), =HYPERLINK("CSG0.html#group8B0", "8B⁰"), =HYPERLINK("CSG0.html#group8L0", "8L⁰"), =HYPERLINK("CSG1.html#group32B1", "32B¹"), =HYPERLINK("CSG0.html#group2B0", "2B⁰"), =HYPERLINK("CSG1.html#group16J1", "16J¹"), =HYPERLINK("CSG0.html#group1A0", "1A⁰")</f>
        <v/>
      </c>
      <c r="N591">
        <f>HYPERLINK("CSG9.html#group32P9", "32P⁹"), =HYPERLINK("CSG21.html#group64I21", "64I²¹"), =HYPERLINK("CSG9.html#group32H9", "32H⁹"), =HYPERLINK("CSG9.html#group64I9", "64I⁹"), =HYPERLINK("CSG13.html#group32M13", "32M¹³"), =HYPERLINK("CSG21.html#group32M21", "32M²¹"), =HYPERLINK("CSG21.html#group32U21", "32U²¹"), =HYPERLINK("CSG21.html#group64M21", "64M²¹"), =HYPERLINK("CSG21.html#group32S21", "32S²¹"), =HYPERLINK("CSG21.html#group32V21", "32V²¹"), =HYPERLINK("CSG9.html#group32O9", "32O⁹"), =HYPERLINK("CSG11.html#group96J11", "96J¹¹"), =HYPERLINK("CSG21.html#group64L21", "64L²¹"), =HYPERLINK("CSG21.html#group32T21", "32T²¹"), =HYPERLINK("CSG21.html#group32Y21", "32Y²¹"), =HYPERLINK("CSG13.html#group64T13", "64T¹³")</f>
        <v/>
      </c>
    </row>
    <row r="592">
      <c r="A592" t="inlineStr">
        <is>
          <t>32O³</t>
        </is>
      </c>
      <c r="B592" t="inlineStr"/>
      <c r="C592" t="inlineStr">
        <is>
          <t>96</t>
        </is>
      </c>
      <c r="D592" t="inlineStr">
        <is>
          <t>1</t>
        </is>
      </c>
      <c r="E592" t="inlineStr">
        <is>
          <t>24</t>
        </is>
      </c>
      <c r="F592" t="inlineStr">
        <is>
          <t>0</t>
        </is>
      </c>
      <c r="G592" t="inlineStr">
        <is>
          <t>0</t>
        </is>
      </c>
      <c r="H592" t="inlineStr">
        <is>
          <t>2⁴, 4⁶, 32²</t>
        </is>
      </c>
      <c r="I592" t="n">
        <v>12</v>
      </c>
      <c r="J592" t="inlineStr">
        <is>
          <t>1⁴, 2², 4², 8¹</t>
        </is>
      </c>
      <c r="K592">
        <f>HYPERLINK("CSG1.html#group16G1", "16G¹")</f>
        <v/>
      </c>
      <c r="L592">
        <f>HYPERLINK("CSG5.html#group32N5", "32N⁵"), =HYPERLINK("CSG9.html#group32I9", "32I⁹"), =HYPERLINK("CSG9.html#group32J9", "32J⁹"), =HYPERLINK("CSG19.html#group96K19", "96K¹⁹"), =HYPERLINK("CSG21.html#group96BM21", "96BM²¹")</f>
        <v/>
      </c>
      <c r="M592">
        <f>HYPERLINK("CSG1.html#group16G1", "16G¹"), =HYPERLINK("CSG0.html#group16D0", "16D⁰"), =HYPERLINK("CSG1.html#group16A1", "16A¹"), =HYPERLINK("CSG0.html#group8C0", "8C⁰"), =HYPERLINK("CSG0.html#group2B0", "2B⁰"), =HYPERLINK("CSG0.html#group8I0", "8I⁰"), =HYPERLINK("CSG0.html#group4B0", "4B⁰"), =HYPERLINK("CSG0.html#group1A0", "1A⁰")</f>
        <v/>
      </c>
      <c r="N592">
        <f>HYPERLINK("CSG21.html#group32O21", "32O²¹"), =HYPERLINK("CSG17.html#group32B17", "32B¹⁷"), =HYPERLINK("CSG13.html#group32T13", "32T¹³"), =HYPERLINK("CSG5.html#group32N5", "32N⁵"), =HYPERLINK("CSG9.html#group32J9", "32J⁹"), =HYPERLINK("CSG19.html#group96K19", "96K¹⁹"), =HYPERLINK("CSG21.html#group64N21", "64N²¹"), =HYPERLINK("CSG17.html#group64D17", "64D¹⁷"), =HYPERLINK("CSG21.html#group32N21", "32N²¹"), =HYPERLINK("CSG21.html#group96BM21", "96BM²¹"), =HYPERLINK("CSG9.html#group32I9", "32I⁹"), =HYPERLINK("CSG21.html#group64O21", "64O²¹"), =HYPERLINK("CSG13.html#group32U13", "32U¹³")</f>
        <v/>
      </c>
    </row>
    <row r="593">
      <c r="A593" t="inlineStr">
        <is>
          <t>32P³</t>
        </is>
      </c>
      <c r="B593" t="inlineStr"/>
      <c r="C593" t="inlineStr">
        <is>
          <t>96</t>
        </is>
      </c>
      <c r="D593" t="inlineStr">
        <is>
          <t>1</t>
        </is>
      </c>
      <c r="E593" t="inlineStr">
        <is>
          <t>24</t>
        </is>
      </c>
      <c r="F593" t="inlineStr">
        <is>
          <t>4</t>
        </is>
      </c>
      <c r="G593" t="inlineStr">
        <is>
          <t>0</t>
        </is>
      </c>
      <c r="H593" t="inlineStr">
        <is>
          <t>4⁸, 32²</t>
        </is>
      </c>
      <c r="I593" t="n">
        <v>10</v>
      </c>
      <c r="J593" t="inlineStr">
        <is>
          <t>1², 2¹, 4¹, 8²</t>
        </is>
      </c>
      <c r="K593">
        <f>HYPERLINK("CSG1.html#group16I1", "16I¹")</f>
        <v/>
      </c>
      <c r="L593">
        <f>HYPERLINK("CSG6.html#group32H6", "32H⁶"), =HYPERLINK("CSG7.html#group32L7", "32L⁷"), =HYPERLINK("CSG9.html#group32M9", "32M⁹"), =HYPERLINK("CSG9.html#group64G9", "64G⁹"), =HYPERLINK("CSG9.html#group64H9", "64H⁹"), =HYPERLINK("CSG10.html#group32B10", "32B¹⁰"), =HYPERLINK("CSG11.html#group32C11", "32C¹¹"), =HYPERLINK("CSG17.html#group96E17", "96E¹⁷"), =HYPERLINK("CSG23.html#group96AI23", "96AI²³")</f>
        <v/>
      </c>
      <c r="M593">
        <f>HYPERLINK("CSG0.html#group8H0", "8H⁰"), =HYPERLINK("CSG0.html#group16E0", "16E⁰"), =HYPERLINK("CSG1.html#group16I1", "16I¹"), =HYPERLINK("CSG0.html#group8D0", "8D⁰"), =HYPERLINK("CSG0.html#group4A0", "4A⁰"), =HYPERLINK("CSG1.html#group16C1", "16C¹"), =HYPERLINK("CSG0.html#group4C0", "4C⁰"), =HYPERLINK("CSG0.html#group8B0", "8B⁰"), =HYPERLINK("CSG0.html#group2B0", "2B⁰"), =HYPERLINK("CSG0.html#group4F0", "4F⁰"), =HYPERLINK("CSG0.html#group1A0", "1A⁰")</f>
        <v/>
      </c>
      <c r="N593">
        <f>HYPERLINK("CSG9.html#group64G9", "64G⁹"), =HYPERLINK("CSG23.html#group96AI23", "96AI²³"), =HYPERLINK("CSG11.html#group32C11", "32C¹¹"), =HYPERLINK("CSG23.html#group32D23", "32D²³"), =HYPERLINK("CSG9.html#group32M9", "32M⁹"), =HYPERLINK("CSG24.html#group32C24", "32C²⁴"), =HYPERLINK("CSG21.html#group64Q21", "64Q²¹"), =HYPERLINK("CSG18.html#group64B18", "64B¹⁸"), =HYPERLINK("CSG22.html#group64A22", "64A²²"), =HYPERLINK("CSG19.html#group64A19", "64A¹⁹"), =HYPERLINK("CSG21.html#group32D21", "32D²¹"), =HYPERLINK("CSG21.html#group32K21", "32K²¹"), =HYPERLINK("CSG17.html#group96E17", "96E¹⁷"), =HYPERLINK("CSG23.html#group64B23", "64B²³"), =HYPERLINK("CSG13.html#group32T13", "32T¹³"), =HYPERLINK("CSG24.html#group32A24", "32A²⁴"), =HYPERLINK("CSG18.html#group64A18", "64A¹⁸"), =HYPERLINK("CSG10.html#group32B10", "32B¹⁰"), =HYPERLINK("CSG21.html#group32E21", "32E²¹"), =HYPERLINK("CSG19.html#group32E19", "32E¹⁹"), =HYPERLINK("CSG9.html#group64H9", "64H⁹"), =HYPERLINK("CSG22.html#group64B22", "64B²²"), =HYPERLINK("CSG6.html#group32H6", "32H⁶"), =HYPERLINK("CSG7.html#group32L7", "32L⁷"), =HYPERLINK("CSG21.html#group32P21", "32P²¹")</f>
        <v/>
      </c>
    </row>
    <row r="594">
      <c r="A594" t="inlineStr">
        <is>
          <t>32Q³</t>
        </is>
      </c>
      <c r="B594" t="inlineStr"/>
      <c r="C594" t="inlineStr">
        <is>
          <t>96</t>
        </is>
      </c>
      <c r="D594" t="inlineStr">
        <is>
          <t>1</t>
        </is>
      </c>
      <c r="E594" t="inlineStr">
        <is>
          <t>24</t>
        </is>
      </c>
      <c r="F594" t="inlineStr">
        <is>
          <t>4</t>
        </is>
      </c>
      <c r="G594" t="inlineStr">
        <is>
          <t>0</t>
        </is>
      </c>
      <c r="H594" t="inlineStr">
        <is>
          <t>4⁸, 32²</t>
        </is>
      </c>
      <c r="I594" t="n">
        <v>10</v>
      </c>
      <c r="J594" t="inlineStr">
        <is>
          <t>2⁴, 8²</t>
        </is>
      </c>
      <c r="K594">
        <f>HYPERLINK("CSG1.html#group16I1", "16I¹"), =HYPERLINK("CSG1.html#group32C1", "32C¹"), =HYPERLINK("CSG1.html#group32D1", "32D¹")</f>
        <v/>
      </c>
      <c r="L594">
        <f>HYPERLINK("CSG6.html#group32H6", "32H⁶"), =HYPERLINK("CSG7.html#group32L7", "32L⁷"), =HYPERLINK("CSG9.html#group32N9", "32N⁹"), =HYPERLINK("CSG10.html#group32C10", "32C¹⁰"), =HYPERLINK("CSG11.html#group32D11", "32D¹¹"), =HYPERLINK("CSG17.html#group96F17", "96F¹⁷"), =HYPERLINK("CSG23.html#group96AL23", "96AL²³")</f>
        <v/>
      </c>
      <c r="M594">
        <f>HYPERLINK("CSG0.html#group8H0", "8H⁰"), =HYPERLINK("CSG0.html#group16E0", "16E⁰"), =HYPERLINK("CSG1.html#group32C1", "32C¹"), =HYPERLINK("CSG1.html#group16I1", "16I¹"), =HYPERLINK("CSG0.html#group8D0", "8D⁰"), =HYPERLINK("CSG0.html#group4A0", "4A⁰"), =HYPERLINK("CSG1.html#group16C1", "16C¹"), =HYPERLINK("CSG0.html#group4C0", "4C⁰"), =HYPERLINK("CSG0.html#group8B0", "8B⁰"), =HYPERLINK("CSG1.html#group32D1", "32D¹"), =HYPERLINK("CSG0.html#group2B0", "2B⁰"), =HYPERLINK("CSG0.html#group4F0", "4F⁰"), =HYPERLINK("CSG0.html#group1A0", "1A⁰")</f>
        <v/>
      </c>
      <c r="N594">
        <f>HYPERLINK("CSG23.html#group32C23", "32C²³"), =HYPERLINK("CSG18.html#group64B18", "64B¹⁸"), =HYPERLINK("CSG11.html#group32D11", "32D¹¹"), =HYPERLINK("CSG17.html#group96F17", "96F¹⁷"), =HYPERLINK("CSG24.html#group32D24", "32D²⁴"), =HYPERLINK("CSG23.html#group96AL23", "96AL²³"), =HYPERLINK("CSG19.html#group64A19", "64A¹⁹"), =HYPERLINK("CSG21.html#group32D21", "32D²¹"), =HYPERLINK("CSG21.html#group32L21", "32L²¹"), =HYPERLINK("CSG13.html#group32T13", "32T¹³"), =HYPERLINK("CSG10.html#group32C10", "32C¹⁰"), =HYPERLINK("CSG18.html#group64A18", "64A¹⁸"), =HYPERLINK("CSG21.html#group32E21", "32E²¹"), =HYPERLINK("CSG19.html#group32E19", "32E¹⁹"), =HYPERLINK("CSG21.html#group64P21", "64P²¹"), =HYPERLINK("CSG24.html#group32B24", "32B²⁴"), =HYPERLINK("CSG6.html#group32H6", "32H⁶"), =HYPERLINK("CSG9.html#group32N9", "32N⁹"), =HYPERLINK("CSG7.html#group32L7", "32L⁷"), =HYPERLINK("CSG21.html#group32P21", "32P²¹")</f>
        <v/>
      </c>
    </row>
    <row r="595">
      <c r="A595" t="inlineStr">
        <is>
          <t>33A³</t>
        </is>
      </c>
      <c r="B595" t="inlineStr"/>
      <c r="C595" t="inlineStr">
        <is>
          <t>36</t>
        </is>
      </c>
      <c r="D595" t="inlineStr">
        <is>
          <t>1</t>
        </is>
      </c>
      <c r="E595" t="inlineStr">
        <is>
          <t>12</t>
        </is>
      </c>
      <c r="F595" t="inlineStr">
        <is>
          <t>0</t>
        </is>
      </c>
      <c r="G595" t="inlineStr">
        <is>
          <t>0</t>
        </is>
      </c>
      <c r="H595" t="inlineStr">
        <is>
          <t>3¹, 33¹</t>
        </is>
      </c>
      <c r="I595" t="n">
        <v>2</v>
      </c>
      <c r="J595" t="inlineStr">
        <is>
          <t>1², 10¹</t>
        </is>
      </c>
      <c r="K595">
        <f>HYPERLINK("CSG0.html#group3A0", "3A⁰"), =HYPERLINK("CSG1.html#group11A1", "11A¹")</f>
        <v/>
      </c>
      <c r="L595">
        <f>HYPERLINK("CSG5.html#group33A5", "33A⁵"), =HYPERLINK("CSG6.html#group66B6", "66B⁶"), =HYPERLINK("CSG6.html#group66D6", "66D⁶"), =HYPERLINK("CSG8.html#group66A8", "66A⁸"), =HYPERLINK("CSG9.html#group99A9", "99A⁹"), =HYPERLINK("CSG11.html#group33A11", "33A¹¹"), =HYPERLINK("CSG12.html#group132D12", "132D¹²"), =HYPERLINK("CSG15.html#group165A15", "165A¹⁵"), =HYPERLINK("CSG17.html#group165A17", "165A¹⁷"), =HYPERLINK("CSG21.html#group231A21", "231A²¹"), =HYPERLINK("CSG23.html#group231A23", "231A²³")</f>
        <v/>
      </c>
      <c r="M595">
        <f>HYPERLINK("CSG0.html#group3A0", "3A⁰"), =HYPERLINK("CSG0.html#group1A0", "1A⁰"), =HYPERLINK("CSG1.html#group11A1", "11A¹")</f>
        <v/>
      </c>
      <c r="N595">
        <f>HYPERLINK("CSG8.html#group66A8", "66A⁸"), =HYPERLINK("CSG6.html#group66D6", "66D⁶"), =HYPERLINK("CSG11.html#group66B11", "66B¹¹"), =HYPERLINK("CSG17.html#group132B17", "132B¹⁷"), =HYPERLINK("CSG15.html#group165A15", "165A¹⁵"), =HYPERLINK("CSG21.html#group66B21", "66B²¹"), =HYPERLINK("CSG9.html#group99A9", "99A⁹"), =HYPERLINK("CSG24.html#group264A24", "264A²⁴"), =HYPERLINK("CSG18.html#group198D18", "198D¹⁸"), =HYPERLINK("CSG18.html#group198C18", "198C¹⁸"), =HYPERLINK("CSG18.html#group198A18", "198A¹⁸"), =HYPERLINK("CSG17.html#group165A17", "165A¹⁷"), =HYPERLINK("CSG23.html#group231A23", "231A²³"), =HYPERLINK("CSG5.html#group33A5", "33A⁵"), =HYPERLINK("CSG16.html#group132B16", "132B¹⁶"), =HYPERLINK("CSG17.html#group33B17", "33B¹⁷"), =HYPERLINK("CSG6.html#group66B6", "66B⁶"), =HYPERLINK("CSG9.html#group33A9", "33A⁹"), =HYPERLINK("CSG16.html#group66C16", "66C¹⁶"), =HYPERLINK("CSG18.html#group198B18", "198B¹⁸"), =HYPERLINK("CSG23.html#group132A23", "132A²³"), =HYPERLINK("CSG17.html#group132A17", "132A¹⁷"), =HYPERLINK("CSG11.html#group33A11", "33A¹¹"), =HYPERLINK("CSG17.html#group99B17", "99B¹⁷"), =HYPERLINK("CSG15.html#group66A15", "66A¹⁵"), =HYPERLINK("CSG24.html#group264B24", "264B²⁴"), =HYPERLINK("CSG15.html#group99C15", "99C¹⁵"), =HYPERLINK("CSG21.html#group33B21", "33B²¹"), =HYPERLINK("CSG23.html#group132F23", "132F²³"), =HYPERLINK("CSG21.html#group231A21", "231A²¹"), =HYPERLINK("CSG12.html#group132D12", "132D¹²"), =HYPERLINK("CSG12.html#group132C12", "132C¹²"), =HYPERLINK("CSG21.html#group66C21", "66C²¹"), =HYPERLINK("CSG23.html#group132B23", "132B²³"), =HYPERLINK("CSG23.html#group132G23", "132G²³"), =HYPERLINK("CSG12.html#group132A12", "132A¹²"), =HYPERLINK("CSG23.html#group132C23", "132C²³"), =HYPERLINK("CSG11.html#group66C11", "66C¹¹"), =HYPERLINK("CSG17.html#group99A17", "99A¹⁷"), =HYPERLINK("CSG23.html#group132D23", "132D²³"), =HYPERLINK("CSG16.html#group66B16", "66B¹⁶"), =HYPERLINK("CSG16.html#group132C16", "132C¹⁶")</f>
        <v/>
      </c>
    </row>
    <row r="596">
      <c r="A596" t="inlineStr">
        <is>
          <t>33B³</t>
        </is>
      </c>
      <c r="B596" t="inlineStr"/>
      <c r="C596" t="inlineStr">
        <is>
          <t>44</t>
        </is>
      </c>
      <c r="D596" t="inlineStr">
        <is>
          <t>2</t>
        </is>
      </c>
      <c r="E596" t="inlineStr">
        <is>
          <t>44</t>
        </is>
      </c>
      <c r="F596" t="inlineStr">
        <is>
          <t>0</t>
        </is>
      </c>
      <c r="G596" t="inlineStr">
        <is>
          <t>2</t>
        </is>
      </c>
      <c r="H596" t="inlineStr">
        <is>
          <t>11¹, 33¹</t>
        </is>
      </c>
      <c r="I596" t="n">
        <v>2</v>
      </c>
      <c r="J596" t="inlineStr">
        <is>
          <t>2², 4¹, 10⁴, 20²</t>
        </is>
      </c>
      <c r="K596">
        <f>HYPERLINK("CSG0.html#group3B0", "3B⁰"), =HYPERLINK("CSG0.html#group11A0", "11A⁰")</f>
        <v/>
      </c>
      <c r="L596">
        <f>HYPERLINK("CSG6.html#group66E6", "66E⁶"), =HYPERLINK("CSG9.html#group99B9", "99B⁹"), =HYPERLINK("CSG10.html#group33A10", "33A¹⁰"), =HYPERLINK("CSG10.html#group66A10", "66A¹⁰"), =HYPERLINK("CSG10.html#group99A10", "99A¹⁰"), =HYPERLINK("CSG11.html#group99A11", "99A¹¹"), =HYPERLINK("CSG13.html#group33A13", "33A¹³"), =HYPERLINK("CSG14.html#group132A14", "132A¹⁴"), =HYPERLINK("CSG17.html#group33A17", "33A¹⁷"), =HYPERLINK("CSG17.html#group165B17", "165B¹⁷"), =HYPERLINK("CSG21.html#group165A21", "165A²¹")</f>
        <v/>
      </c>
      <c r="M596">
        <f>HYPERLINK("CSG0.html#group11A0", "11A⁰"), =HYPERLINK("CSG0.html#group3B0", "3B⁰"), =HYPERLINK("CSG0.html#group1A0", "1A⁰")</f>
        <v/>
      </c>
      <c r="N596">
        <f>HYPERLINK("CSG20.html#group66A20", "66A²⁰"), =HYPERLINK("CSG19.html#group66A19", "66A¹⁹"), =HYPERLINK("CSG22.html#group198B22", "198B²²"), =HYPERLINK("CSG9.html#group99B9", "99B⁹"), =HYPERLINK("CSG6.html#group66E6", "66E⁶"), =HYPERLINK("CSG21.html#group198A21", "198A²¹"), =HYPERLINK("CSG19.html#group198A19", "198A¹⁹"), =HYPERLINK("CSG11.html#group99A11", "99A¹¹"), =HYPERLINK("CSG10.html#group66A10", "66A¹⁰"), =HYPERLINK("CSG20.html#group198A20", "198A²⁰"), =HYPERLINK("CSG14.html#group132A14", "132A¹⁴"), =HYPERLINK("CSG12.html#group132E12", "132E¹²"), =HYPERLINK("CSG17.html#group33A17", "33A¹⁷"), =HYPERLINK("CSG22.html#group198A22", "198A²²"), =HYPERLINK("CSG17.html#group165B17", "165B¹⁷"), =HYPERLINK("CSG10.html#group99A10", "99A¹⁰"), =HYPERLINK("CSG21.html#group165A21", "165A²¹"), =HYPERLINK("CSG10.html#group33A10", "33A¹⁰"), =HYPERLINK("CSG18.html#group198E18", "198E¹⁸"), =HYPERLINK("CSG21.html#group132A21", "132A²¹"), =HYPERLINK("CSG21.html#group66A21", "66A²¹"), =HYPERLINK("CSG13.html#group33A13", "33A¹³"), =HYPERLINK("CSG20.html#group132B20", "132B²⁰")</f>
        <v/>
      </c>
    </row>
    <row r="597">
      <c r="A597" t="inlineStr">
        <is>
          <t>33C³</t>
        </is>
      </c>
      <c r="B597" t="inlineStr">
        <is>
          <t>Γ₀(33)</t>
        </is>
      </c>
      <c r="C597" t="inlineStr">
        <is>
          <t>48</t>
        </is>
      </c>
      <c r="D597" t="inlineStr">
        <is>
          <t>1</t>
        </is>
      </c>
      <c r="E597" t="inlineStr">
        <is>
          <t>48</t>
        </is>
      </c>
      <c r="F597" t="inlineStr">
        <is>
          <t>0</t>
        </is>
      </c>
      <c r="G597" t="inlineStr">
        <is>
          <t>0</t>
        </is>
      </c>
      <c r="H597" t="inlineStr">
        <is>
          <t>1¹, 3¹, 11¹, 33¹</t>
        </is>
      </c>
      <c r="I597" t="n">
        <v>4</v>
      </c>
      <c r="J597" t="inlineStr">
        <is>
          <t>1⁴, 2², 10², 20¹</t>
        </is>
      </c>
      <c r="K597">
        <f>HYPERLINK("CSG0.html#group3B0", "3B⁰"), =HYPERLINK("CSG1.html#group11A1", "11A¹")</f>
        <v/>
      </c>
      <c r="L597">
        <f>HYPERLINK("CSG5.html#group33B5", "33B⁵"), =HYPERLINK("CSG7.html#group66A7", "66A⁷"), =HYPERLINK("CSG7.html#group66B7", "66B⁷"), =HYPERLINK("CSG9.html#group33A9", "33A⁹"), =HYPERLINK("CSG9.html#group66A9", "66A⁹"), =HYPERLINK("CSG9.html#group99C9", "99C⁹"), =HYPERLINK("CSG11.html#group33B11", "33B¹¹"), =HYPERLINK("CSG11.html#group99B11", "99B¹¹"), =HYPERLINK("CSG11.html#group99C11", "99C¹¹"), =HYPERLINK("CSG15.html#group132C15", "132C¹⁵"), =HYPERLINK("CSG19.html#group165A19", "165A¹⁹"), =HYPERLINK("CSG21.html#group165B21", "165B²¹")</f>
        <v/>
      </c>
      <c r="M597">
        <f>HYPERLINK("CSG0.html#group3B0", "3B⁰"), =HYPERLINK("CSG0.html#group1A0", "1A⁰"), =HYPERLINK("CSG1.html#group11A1", "11A¹")</f>
        <v/>
      </c>
      <c r="N597">
        <f>HYPERLINK("CSG17.html#group66A17", "66A¹⁷"), =HYPERLINK("CSG15.html#group132B15", "132B¹⁵"), =HYPERLINK("CSG21.html#group66B21", "66B²¹"), =HYPERLINK("CSG23.html#group198E23", "198E²³"), =HYPERLINK("CSG15.html#group132A15", "132A¹⁵"), =HYPERLINK("CSG23.html#group198D23", "198D²³"), =HYPERLINK("CSG15.html#group132C15", "132C¹⁵"), =HYPERLINK("CSG19.html#group165A19", "165A¹⁹"), =HYPERLINK("CSG21.html#group99B21", "99B²¹"), =HYPERLINK("CSG9.html#group66A9", "66A⁹"), =HYPERLINK("CSG19.html#group132D19", "132D¹⁹"), =HYPERLINK("CSG11.html#group99C11", "99C¹¹"), =HYPERLINK("CSG17.html#group33B17", "33B¹⁷"), =HYPERLINK("CSG9.html#group33A9", "33A⁹"), =HYPERLINK("CSG21.html#group198C21", "198C²¹"), =HYPERLINK("CSG21.html#group198B21", "198B²¹"), =HYPERLINK("CSG21.html#group33C21", "33C²¹"), =HYPERLINK("CSG5.html#group33B5", "33B⁵"), =HYPERLINK("CSG17.html#group99C17", "99C¹⁷"), =HYPERLINK("CSG23.html#group198B23", "198B²³"), =HYPERLINK("CSG21.html#group132B21", "132B²¹"), =HYPERLINK("CSG23.html#group198C23", "198C²³"), =HYPERLINK("CSG21.html#group198D21", "198D²¹"), =HYPERLINK("CSG11.html#group99B11", "99B¹¹"), =HYPERLINK("CSG21.html#group66C21", "66C²¹"), =HYPERLINK("CSG7.html#group66A7", "66A⁷"), =HYPERLINK("CSG19.html#group66C19", "66C¹⁹"), =HYPERLINK("CSG21.html#group66D21", "66D²¹"), =HYPERLINK("CSG21.html#group99A21", "99A²¹"), =HYPERLINK("CSG23.html#group198F23", "198F²³"), =HYPERLINK("CSG19.html#group132C19", "132C¹⁹"), =HYPERLINK("CSG21.html#group132C21", "132C²¹"), =HYPERLINK("CSG11.html#group33B11", "33B¹¹"), =HYPERLINK("CSG21.html#group165B21", "165B²¹"), =HYPERLINK("CSG9.html#group99C9", "99C⁹"), =HYPERLINK("CSG23.html#group198A23", "198A²³"), =HYPERLINK("CSG19.html#group66B19", "66B¹⁹"), =HYPERLINK("CSG13.html#group66A13", "66A¹³"), =HYPERLINK("CSG7.html#group66B7", "66B⁷")</f>
        <v/>
      </c>
    </row>
    <row r="598">
      <c r="A598" t="inlineStr">
        <is>
          <t>34A³</t>
        </is>
      </c>
      <c r="B598" t="inlineStr"/>
      <c r="C598" t="inlineStr">
        <is>
          <t>36</t>
        </is>
      </c>
      <c r="D598" t="inlineStr">
        <is>
          <t>1</t>
        </is>
      </c>
      <c r="E598" t="inlineStr">
        <is>
          <t>18</t>
        </is>
      </c>
      <c r="F598" t="inlineStr">
        <is>
          <t>0</t>
        </is>
      </c>
      <c r="G598" t="inlineStr">
        <is>
          <t>0</t>
        </is>
      </c>
      <c r="H598" t="inlineStr">
        <is>
          <t>2¹, 34¹</t>
        </is>
      </c>
      <c r="I598" t="n">
        <v>2</v>
      </c>
      <c r="J598" t="inlineStr">
        <is>
          <t>1², 16¹</t>
        </is>
      </c>
      <c r="K598">
        <f>HYPERLINK("CSG1.html#group17A1", "17A¹")</f>
        <v/>
      </c>
      <c r="L598">
        <f>HYPERLINK("CSG5.html#group34B5", "34B⁵"), =HYPERLINK("CSG7.html#group34B7", "34B⁷"), =HYPERLINK("CSG9.html#group102A9", "102A⁹"), =HYPERLINK("CSG11.html#group68A11", "68A¹¹"), =HYPERLINK("CSG11.html#group102A11", "102A¹¹"), =HYPERLINK("CSG15.html#group170A15", "170A¹⁵"), =HYPERLINK("CSG17.html#group170A17", "170A¹⁷"), =HYPERLINK("CSG21.html#group238A21", "238A²¹"), =HYPERLINK("CSG23.html#group238A23", "238A²³")</f>
        <v/>
      </c>
      <c r="M598">
        <f>HYPERLINK("CSG0.html#group1A0", "1A⁰"), =HYPERLINK("CSG1.html#group17A1", "17A¹")</f>
        <v/>
      </c>
      <c r="N598">
        <f>HYPERLINK("CSG15.html#group170A15", "170A¹⁵"), =HYPERLINK("CSG9.html#group102A9", "102A⁹"), =HYPERLINK("CSG23.html#group136C23", "136C²³"), =HYPERLINK("CSG15.html#group68C15", "68C¹⁵"), =HYPERLINK("CSG15.html#group68B15", "68B¹⁵"), =HYPERLINK("CSG21.html#group102B21", "102B²¹"), =HYPERLINK("CSG23.html#group204D23", "204D²³"), =HYPERLINK("CSG21.html#group68B21", "68B²¹"), =HYPERLINK("CSG17.html#group170A17", "170A¹⁷"), =HYPERLINK("CSG13.html#group34C13", "34C¹³"), =HYPERLINK("CSG17.html#group102E17", "102E¹⁷"), =HYPERLINK("CSG17.html#group102F17", "102F¹⁷"), =HYPERLINK("CSG17.html#group102B17", "102B¹⁷"), =HYPERLINK("CSG11.html#group102A11", "102A¹¹"), =HYPERLINK("CSG5.html#group34B5", "34B⁵"), =HYPERLINK("CSG7.html#group34B7", "34B⁷"), =HYPERLINK("CSG11.html#group68A11", "68A¹¹"), =HYPERLINK("CSG9.html#group34A9", "34A⁹"), =HYPERLINK("CSG17.html#group34A17", "34A¹⁷"), =HYPERLINK("CSG17.html#group102C17", "102C¹⁷"), =HYPERLINK("CSG21.html#group238A21", "238A²¹"), =HYPERLINK("CSG23.html#group238A23", "238A²³")</f>
        <v/>
      </c>
    </row>
    <row r="599">
      <c r="A599" t="inlineStr">
        <is>
          <t>34B³</t>
        </is>
      </c>
      <c r="B599" t="inlineStr"/>
      <c r="C599" t="inlineStr">
        <is>
          <t>36</t>
        </is>
      </c>
      <c r="D599" t="inlineStr">
        <is>
          <t>1</t>
        </is>
      </c>
      <c r="E599" t="inlineStr">
        <is>
          <t>18</t>
        </is>
      </c>
      <c r="F599" t="inlineStr">
        <is>
          <t>0</t>
        </is>
      </c>
      <c r="G599" t="inlineStr">
        <is>
          <t>0</t>
        </is>
      </c>
      <c r="H599" t="inlineStr">
        <is>
          <t>2¹, 34¹</t>
        </is>
      </c>
      <c r="I599" t="n">
        <v>2</v>
      </c>
      <c r="J599" t="inlineStr">
        <is>
          <t>1², 16¹</t>
        </is>
      </c>
      <c r="K599">
        <f>HYPERLINK("CSG0.html#group2A0", "2A⁰"), =HYPERLINK("CSG1.html#group17A1", "17A¹")</f>
        <v/>
      </c>
      <c r="L599">
        <f>HYPERLINK("CSG5.html#group34B5", "34B⁵"), =HYPERLINK("CSG7.html#group34A7", "34A⁷"), =HYPERLINK("CSG9.html#group102B9", "102B⁹"), =HYPERLINK("CSG9.html#group102C9", "102C⁹"), =HYPERLINK("CSG11.html#group68B11", "68B¹¹"), =HYPERLINK("CSG11.html#group102B11", "102B¹¹"), =HYPERLINK("CSG15.html#group170B15", "170B¹⁵"), =HYPERLINK("CSG17.html#group170B17", "170B¹⁷"), =HYPERLINK("CSG21.html#group238B21", "238B²¹"), =HYPERLINK("CSG23.html#group238B23", "238B²³")</f>
        <v/>
      </c>
      <c r="M599">
        <f>HYPERLINK("CSG0.html#group2A0", "2A⁰"), =HYPERLINK("CSG0.html#group1A0", "1A⁰"), =HYPERLINK("CSG1.html#group17A1", "17A¹")</f>
        <v/>
      </c>
      <c r="N599">
        <f>HYPERLINK("CSG9.html#group102C9", "102C⁹"), =HYPERLINK("CSG17.html#group170B17", "170B¹⁷"), =HYPERLINK("CSG7.html#group34A7", "34A⁷"), =HYPERLINK("CSG23.html#group238B23", "238B²³"), =HYPERLINK("CSG9.html#group102B9", "102B⁹"), =HYPERLINK("CSG17.html#group102D17", "102D¹⁷"), =HYPERLINK("CSG11.html#group102B11", "102B¹¹"), =HYPERLINK("CSG23.html#group204A23", "204A²³"), =HYPERLINK("CSG23.html#group136B23", "136B²³"), =HYPERLINK("CSG21.html#group102B21", "102B²¹"), =HYPERLINK("CSG23.html#group136A23", "136A²³"), =HYPERLINK("CSG21.html#group68B21", "68B²¹"), =HYPERLINK("CSG15.html#group68D15", "68D¹⁵"), =HYPERLINK("CSG13.html#group34C13", "34C¹³"), =HYPERLINK("CSG21.html#group238B21", "238B²¹"), =HYPERLINK("CSG17.html#group102B17", "102B¹⁷"), =HYPERLINK("CSG15.html#group68A15", "68A¹⁵"), =HYPERLINK("CSG5.html#group34B5", "34B⁵"), =HYPERLINK("CSG17.html#group102G17", "102G¹⁷"), =HYPERLINK("CSG9.html#group34A9", "34A⁹"), =HYPERLINK("CSG17.html#group34A17", "34A¹⁷"), =HYPERLINK("CSG17.html#group102C17", "102C¹⁷"), =HYPERLINK("CSG23.html#group204B23", "204B²³"), =HYPERLINK("CSG11.html#group68B11", "68B¹¹"), =HYPERLINK("CSG15.html#group170B15", "170B¹⁵")</f>
        <v/>
      </c>
    </row>
    <row r="600">
      <c r="A600" t="inlineStr">
        <is>
          <t>34C³</t>
        </is>
      </c>
      <c r="B600" t="inlineStr">
        <is>
          <t>Γ₀(34)</t>
        </is>
      </c>
      <c r="C600" t="inlineStr">
        <is>
          <t>54</t>
        </is>
      </c>
      <c r="D600" t="inlineStr">
        <is>
          <t>1</t>
        </is>
      </c>
      <c r="E600" t="inlineStr">
        <is>
          <t>54</t>
        </is>
      </c>
      <c r="F600" t="inlineStr">
        <is>
          <t>2</t>
        </is>
      </c>
      <c r="G600" t="inlineStr">
        <is>
          <t>0</t>
        </is>
      </c>
      <c r="H600" t="inlineStr">
        <is>
          <t>1¹, 2¹, 17¹, 34¹</t>
        </is>
      </c>
      <c r="I600" t="n">
        <v>4</v>
      </c>
      <c r="J600" t="inlineStr">
        <is>
          <t>1⁶, 16³</t>
        </is>
      </c>
      <c r="K600">
        <f>HYPERLINK("CSG0.html#group2B0", "2B⁰"), =HYPERLINK("CSG1.html#group17A1", "17A¹")</f>
        <v/>
      </c>
      <c r="L600">
        <f>HYPERLINK("CSG5.html#group34C5", "34C⁵"), =HYPERLINK("CSG7.html#group34A7", "34A⁷"), =HYPERLINK("CSG7.html#group34B7", "34B⁷"), =HYPERLINK("CSG7.html#group68A7", "68A⁷"), =HYPERLINK("CSG7.html#group68B7", "68B⁷"), =HYPERLINK("CSG7.html#group68C7", "68C⁷"), =HYPERLINK("CSG7.html#group68D7", "68D⁷"), =HYPERLINK("CSG11.html#group102C11", "102C¹¹"), =HYPERLINK("CSG15.html#group102C15", "102C¹⁵"), =HYPERLINK("CSG21.html#group170A21", "170A²¹"), =HYPERLINK("CSG23.html#group170A23", "170A²³")</f>
        <v/>
      </c>
      <c r="M600">
        <f>HYPERLINK("CSG0.html#group1A0", "1A⁰"), =HYPERLINK("CSG1.html#group17A1", "17A¹"), =HYPERLINK("CSG0.html#group2B0", "2B⁰")</f>
        <v/>
      </c>
      <c r="N600">
        <f>HYPERLINK("CSG23.html#group204H23", "204H²³"), =HYPERLINK("CSG7.html#group34A7", "34A⁷"), =HYPERLINK("CSG5.html#group34C5", "34C⁵"), =HYPERLINK("CSG17.html#group136B17", "136B¹⁷"), =HYPERLINK("CSG15.html#group68C15", "68C¹⁵"), =HYPERLINK("CSG21.html#group68C21", "68C²¹"), =HYPERLINK("CSG15.html#group68F15", "68F¹⁵"), =HYPERLINK("CSG7.html#group68D7", "68D⁷"), =HYPERLINK("CSG11.html#group102C11", "102C¹¹"), =HYPERLINK("CSG13.html#group68D13", "68D¹³"), =HYPERLINK("CSG15.html#group136F15", "136F¹⁵"), =HYPERLINK("CSG15.html#group68D15", "68D¹⁵"), =HYPERLINK("CSG13.html#group34C13", "34C¹³"), =HYPERLINK("CSG15.html#group102C15", "102C¹⁵"), =HYPERLINK("CSG15.html#group136A15", "136A¹⁵"), =HYPERLINK("CSG15.html#group136G15", "136G¹⁵"), =HYPERLINK("CSG15.html#group136C15", "136C¹⁵"), =HYPERLINK("CSG15.html#group68A15", "68A¹⁵"), =HYPERLINK("CSG21.html#group34B21", "34B²¹"), =HYPERLINK("CSG21.html#group34A21", "34A²¹"), =HYPERLINK("CSG23.html#group204G23", "204G²³"), =HYPERLINK("CSG15.html#group136D15", "136D¹⁵"), =HYPERLINK("CSG7.html#group68B7", "68B⁷"), =HYPERLINK("CSG23.html#group170A23", "170A²³"), =HYPERLINK("CSG23.html#group102D23", "102D²³"), =HYPERLINK("CSG23.html#group102A23", "102A²³"), =HYPERLINK("CSG13.html#group68B13", "68B¹³"), =HYPERLINK("CSG9.html#group34B9", "34B⁹"), =HYPERLINK("CSG15.html#group136B15", "136B¹⁵"), =HYPERLINK("CSG23.html#group204E23", "204E²³"), =HYPERLINK("CSG23.html#group204F23", "204F²³"), =HYPERLINK("CSG13.html#group34D13", "34D¹³"), =HYPERLINK("CSG23.html#group102B23", "102B²³"), =HYPERLINK("CSG15.html#group68B15", "68B¹⁵"), =HYPERLINK("CSG7.html#group68C7", "68C⁷"), =HYPERLINK("CSG15.html#group68E15", "68E¹⁵"), =HYPERLINK("CSG13.html#group68C13", "68C¹³"), =HYPERLINK("CSG23.html#group102C23", "102C²³"), =HYPERLINK("CSG17.html#group136A17", "136A¹⁷"), =HYPERLINK("CSG15.html#group136E15", "136E¹⁵"), =HYPERLINK("CSG7.html#group68A7", "68A⁷"), =HYPERLINK("CSG17.html#group136C17", "136C¹⁷"), =HYPERLINK("CSG7.html#group34B7", "34B⁷"), =HYPERLINK("CSG21.html#group170A21", "170A²¹"), =HYPERLINK("CSG21.html#group102C21", "102C²¹"), =HYPERLINK("CSG13.html#group68A13", "68A¹³")</f>
        <v/>
      </c>
    </row>
    <row r="601">
      <c r="A601" t="inlineStr">
        <is>
          <t>35A³</t>
        </is>
      </c>
      <c r="B601" t="inlineStr">
        <is>
          <t>Γ₀(35)</t>
        </is>
      </c>
      <c r="C601" t="inlineStr">
        <is>
          <t>48</t>
        </is>
      </c>
      <c r="D601" t="inlineStr">
        <is>
          <t>1</t>
        </is>
      </c>
      <c r="E601" t="inlineStr">
        <is>
          <t>48</t>
        </is>
      </c>
      <c r="F601" t="inlineStr">
        <is>
          <t>0</t>
        </is>
      </c>
      <c r="G601" t="inlineStr">
        <is>
          <t>0</t>
        </is>
      </c>
      <c r="H601" t="inlineStr">
        <is>
          <t>1¹, 5¹, 7¹, 35¹</t>
        </is>
      </c>
      <c r="I601" t="n">
        <v>4</v>
      </c>
      <c r="J601" t="inlineStr">
        <is>
          <t>1⁴, 4², 6², 24¹</t>
        </is>
      </c>
      <c r="K601">
        <f>HYPERLINK("CSG0.html#group5B0", "5B⁰"), =HYPERLINK("CSG0.html#group7B0", "7B⁰")</f>
        <v/>
      </c>
      <c r="L601">
        <f>HYPERLINK("CSG5.html#group35C5", "35C⁵"), =HYPERLINK("CSG7.html#group35B7", "35B⁷"), =HYPERLINK("CSG7.html#group70B7", "70B⁷"), =HYPERLINK("CSG7.html#group70C7", "70C⁷"), =HYPERLINK("CSG9.html#group70D9", "70D⁹"), =HYPERLINK("CSG11.html#group105B11", "105B¹¹"), =HYPERLINK("CSG11.html#group105C11", "105C¹¹"), =HYPERLINK("CSG13.html#group105B13", "105B¹³"), =HYPERLINK("CSG15.html#group35C15", "35C¹⁵"), =HYPERLINK("CSG15.html#group140C15", "140C¹⁵"), =HYPERLINK("CSG15.html#group175A15", "175A¹⁵"), =HYPERLINK("CSG19.html#group175C19", "175C¹⁹"), =HYPERLINK("CSG19.html#group175B19", "175B¹⁹"), =HYPERLINK("CSG19.html#group175D19", "175D¹⁹"), =HYPERLINK("CSG19.html#group175A19", "175A¹⁹"), =HYPERLINK("CSG21.html#group35B21", "35B²¹"), =HYPERLINK("CSG21.html#group245A21", "245A²¹")</f>
        <v/>
      </c>
      <c r="M601">
        <f>HYPERLINK("CSG0.html#group5B0", "5B⁰"), =HYPERLINK("CSG0.html#group1A0", "1A⁰"), =HYPERLINK("CSG0.html#group7B0", "7B⁰")</f>
        <v/>
      </c>
      <c r="N601">
        <f>HYPERLINK("CSG15.html#group175A15", "175A¹⁵"), =HYPERLINK("CSG23.html#group210B23", "210B²³"), =HYPERLINK("CSG7.html#group35B7", "35B⁷"), =HYPERLINK("CSG23.html#group210C23", "210C²³"), =HYPERLINK("CSG17.html#group70J17", "70J¹⁷"), =HYPERLINK("CSG15.html#group140B15", "140B¹⁵"), =HYPERLINK("CSG19.html#group70E19", "70E¹⁹"), =HYPERLINK("CSG21.html#group140B21", "140B²¹"), =HYPERLINK("CSG19.html#group175C19", "175C¹⁹"), =HYPERLINK("CSG13.html#group70E13", "70E¹³"), =HYPERLINK("CSG9.html#group70D9", "70D⁹"), =HYPERLINK("CSG21.html#group245A21", "245A²¹"), =HYPERLINK("CSG19.html#group70F19", "70F¹⁹"), =HYPERLINK("CSG23.html#group210A23", "210A²³"), =HYPERLINK("CSG23.html#group210F23", "210F²³"), =HYPERLINK("CSG21.html#group105D21", "105D²¹"), =HYPERLINK("CSG15.html#group140A15", "140A¹⁵"), =HYPERLINK("CSG19.html#group175D19", "175D¹⁹"), =HYPERLINK("CSG19.html#group70I19", "70I¹⁹"), =HYPERLINK("CSG7.html#group70B7", "70B⁷"), =HYPERLINK("CSG11.html#group105B11", "105B¹¹"), =HYPERLINK("CSG13.html#group105B13", "105B¹³"), =HYPERLINK("CSG21.html#group140C21", "140C²¹"), =HYPERLINK("CSG13.html#group35D13", "35D¹³"), =HYPERLINK("CSG15.html#group35C15", "35C¹⁵"), =HYPERLINK("CSG21.html#group105C21", "105C²¹"), =HYPERLINK("CSG19.html#group140I19", "140I¹⁹"), =HYPERLINK("CSG13.html#group70F13", "70F¹³"), =HYPERLINK("CSG11.html#group105C11", "105C¹¹"), =HYPERLINK("CSG23.html#group210G23", "210G²³"), =HYPERLINK("CSG15.html#group140D15", "140D¹⁵"), =HYPERLINK("CSG9.html#group35E9", "35E⁹"), =HYPERLINK("CSG23.html#group210D23", "210D²³"), =HYPERLINK("CSG19.html#group175B19", "175B¹⁹"), =HYPERLINK("CSG15.html#group140C15", "140C¹⁵"), =HYPERLINK("CSG21.html#group105E21", "105E²¹"), =HYPERLINK("CSG23.html#group210E23", "210E²³"), =HYPERLINK("CSG5.html#group35C5", "35C⁵"), =HYPERLINK("CSG19.html#group140H19", "140H¹⁹"), =HYPERLINK("CSG21.html#group105B21", "105B²¹"), =HYPERLINK("CSG23.html#group210H23", "210H²³"), =HYPERLINK("CSG19.html#group175A19", "175A¹⁹"), =HYPERLINK("CSG7.html#group70C7", "70C⁷"), =HYPERLINK("CSG21.html#group35B21", "35B²¹"), =HYPERLINK("CSG19.html#group70H19", "70H¹⁹"), =HYPERLINK("CSG19.html#group70G19", "70G¹⁹")</f>
        <v/>
      </c>
    </row>
    <row r="602">
      <c r="A602" t="inlineStr">
        <is>
          <t>36A³</t>
        </is>
      </c>
      <c r="B602" t="inlineStr"/>
      <c r="C602" t="inlineStr">
        <is>
          <t>48</t>
        </is>
      </c>
      <c r="D602" t="inlineStr">
        <is>
          <t>1</t>
        </is>
      </c>
      <c r="E602" t="inlineStr">
        <is>
          <t>4</t>
        </is>
      </c>
      <c r="F602" t="inlineStr">
        <is>
          <t>0</t>
        </is>
      </c>
      <c r="G602" t="inlineStr">
        <is>
          <t>0</t>
        </is>
      </c>
      <c r="H602" t="inlineStr">
        <is>
          <t>4³, 36¹</t>
        </is>
      </c>
      <c r="I602" t="n">
        <v>4</v>
      </c>
      <c r="J602" t="inlineStr">
        <is>
          <t>1², 2¹</t>
        </is>
      </c>
      <c r="K602">
        <f>HYPERLINK("CSG0.html#group12B0", "12B⁰"), =HYPERLINK("CSG1.html#group18C1", "18C¹")</f>
        <v/>
      </c>
      <c r="L602">
        <f>HYPERLINK("CSG7.html#group36H7", "36H⁷"), =HYPERLINK("CSG9.html#group36B9", "36B⁹"), =HYPERLINK("CSG9.html#group36F9", "36F⁹"), =HYPERLINK("CSG9.html#group36M9", "36M⁹"), =HYPERLINK("CSG9.html#group108A9", "108A⁹"), =HYPERLINK("CSG9.html#group108B9", "108B⁹"), =HYPERLINK("CSG10.html#group36C10", "36C¹⁰"), =HYPERLINK("CSG10.html#group36E10", "36E¹⁰"), =HYPERLINK("CSG10.html#group108A10", "108A¹⁰"), =HYPERLINK("CSG10.html#group108B10", "108B¹⁰"), =HYPERLINK("CSG11.html#group108A11", "108A¹¹"), =HYPERLINK("CSG11.html#group108B11", "108B¹¹"), =HYPERLINK("CSG19.html#group180A19", "180A¹⁹"), =HYPERLINK("CSG21.html#group180D21", "180D²¹")</f>
        <v/>
      </c>
      <c r="M602">
        <f>HYPERLINK("CSG0.html#group3B0", "3B⁰"), =HYPERLINK("CSG0.html#group9B0", "9B⁰"), =HYPERLINK("CSG0.html#group2A0", "2A⁰"), =HYPERLINK("CSG0.html#group1A0", "1A⁰"), =HYPERLINK("CSG1.html#group18C1", "18C¹"), =HYPERLINK("CSG0.html#group6C0", "6C⁰"), =HYPERLINK("CSG0.html#group12B0", "12B⁰")</f>
        <v/>
      </c>
      <c r="N602">
        <f>HYPERLINK("CSG9.html#group108B9", "108B⁹"), =HYPERLINK("CSG10.html#group108A10", "108A¹⁰"), =HYPERLINK("CSG10.html#group108B10", "108B¹⁰"), =HYPERLINK("CSG9.html#group36F9", "36F⁹"), =HYPERLINK("CSG13.html#group36U13", "36U¹³"), =HYPERLINK("CSG11.html#group108A11", "108A¹¹"), =HYPERLINK("CSG10.html#group36E10", "36E¹⁰"), =HYPERLINK("CSG9.html#group108A9", "108A⁹"), =HYPERLINK("CSG9.html#group36B9", "36B⁹"), =HYPERLINK("CSG7.html#group36H7", "36H⁷"), =HYPERLINK("CSG19.html#group180A19", "180A¹⁹"), =HYPERLINK("CSG11.html#group108B11", "108B¹¹"), =HYPERLINK("CSG9.html#group36M9", "36M⁹"), =HYPERLINK("CSG10.html#group36C10", "36C¹⁰"), =HYPERLINK("CSG21.html#group180D21", "180D²¹")</f>
        <v/>
      </c>
    </row>
    <row r="603">
      <c r="A603" t="inlineStr">
        <is>
          <t>36B³</t>
        </is>
      </c>
      <c r="B603" t="inlineStr"/>
      <c r="C603" t="inlineStr">
        <is>
          <t>48</t>
        </is>
      </c>
      <c r="D603" t="inlineStr">
        <is>
          <t>1</t>
        </is>
      </c>
      <c r="E603" t="inlineStr">
        <is>
          <t>16</t>
        </is>
      </c>
      <c r="F603" t="inlineStr">
        <is>
          <t>0</t>
        </is>
      </c>
      <c r="G603" t="inlineStr">
        <is>
          <t>0</t>
        </is>
      </c>
      <c r="H603" t="inlineStr">
        <is>
          <t>4³, 36¹</t>
        </is>
      </c>
      <c r="I603" t="n">
        <v>4</v>
      </c>
      <c r="J603" t="inlineStr">
        <is>
          <t>2⁴, 4²</t>
        </is>
      </c>
      <c r="K603">
        <f>HYPERLINK("CSG0.html#group9B0", "9B⁰"), =HYPERLINK("CSG1.html#group12A1", "12A¹")</f>
        <v/>
      </c>
      <c r="L603">
        <f>HYPERLINK("CSG5.html#group36F5", "36F⁵"), =HYPERLINK("CSG7.html#group36I7", "36I⁷"), =HYPERLINK("CSG7.html#group72A7", "72A⁷"), =HYPERLINK("CSG9.html#group36H9", "36H⁹"), =HYPERLINK("CSG9.html#group108C9", "108C⁹"), =HYPERLINK("CSG10.html#group36H10", "36H¹⁰"), =HYPERLINK("CSG10.html#group108D10", "108D¹⁰"), =HYPERLINK("CSG11.html#group108C11", "108C¹¹"), =HYPERLINK("CSG13.html#group72E13", "72E¹³"), =HYPERLINK("CSG19.html#group180B19", "180B¹⁹"), =HYPERLINK("CSG21.html#group180G21", "180G²¹")</f>
        <v/>
      </c>
      <c r="M603">
        <f>HYPERLINK("CSG0.html#group3B0", "3B⁰"), =HYPERLINK("CSG0.html#group9B0", "9B⁰"), =HYPERLINK("CSG0.html#group1A0", "1A⁰"), =HYPERLINK("CSG0.html#group4A0", "4A⁰"), =HYPERLINK("CSG1.html#group12A1", "12A¹")</f>
        <v/>
      </c>
      <c r="N603">
        <f>HYPERLINK("CSG10.html#group36H10", "36H¹⁰"), =HYPERLINK("CSG17.html#group72Q17", "72Q¹⁷"), =HYPERLINK("CSG9.html#group108C9", "108C⁹"), =HYPERLINK("CSG22.html#group72C22", "72C²²"), =HYPERLINK("CSG7.html#group36I7", "36I⁷"), =HYPERLINK("CSG7.html#group72A7", "72A⁷"), =HYPERLINK("CSG22.html#group216A22", "216A²²"), =HYPERLINK("CSG15.html#group144A15", "144A¹⁵"), =HYPERLINK("CSG21.html#group180G21", "180G²¹"), =HYPERLINK("CSG19.html#group108C19", "108C¹⁹"), =HYPERLINK("CSG17.html#group36D17", "36D¹⁷"), =HYPERLINK("CSG17.html#group108D17", "108D¹⁷"), =HYPERLINK("CSG5.html#group36F5", "36F⁵"), =HYPERLINK("CSG9.html#group36M9", "36M⁹"), =HYPERLINK("CSG9.html#group36H9", "36H⁹"), =HYPERLINK("CSG13.html#group72E13", "72E¹³"), =HYPERLINK("CSG17.html#group108E17", "108E¹⁷"), =HYPERLINK("CSG10.html#group108D10", "108D¹⁰"), =HYPERLINK("CSG21.html#group216A21", "216A²¹"), =HYPERLINK("CSG19.html#group108A19", "108A¹⁹"), =HYPERLINK("CSG17.html#group36G17", "36G¹⁷"), =HYPERLINK("CSG19.html#group36G19", "36G¹⁹"), =HYPERLINK("CSG15.html#group72Y15", "72Y¹⁵"), =HYPERLINK("CSG19.html#group180B19", "180B¹⁹"), =HYPERLINK("CSG21.html#group108A21", "108A²¹"), =HYPERLINK("CSG23.html#group216A23", "216A²³"), =HYPERLINK("CSG21.html#group72R21", "72R²¹"), =HYPERLINK("CSG21.html#group108C21", "108C²¹"), =HYPERLINK("CSG19.html#group36E19", "36E¹⁹"), =HYPERLINK("CSG17.html#group72R17", "72R¹⁷"), =HYPERLINK("CSG13.html#group36T13", "36T¹³"), =HYPERLINK("CSG19.html#group72O19", "72O¹⁹"), =HYPERLINK("CSG11.html#group108C11", "108C¹¹"), =HYPERLINK("CSG13.html#group72B13", "72B¹³"), =HYPERLINK("CSG13.html#group72A13", "72A¹³")</f>
        <v/>
      </c>
    </row>
    <row r="604">
      <c r="A604" t="inlineStr">
        <is>
          <t>36C³</t>
        </is>
      </c>
      <c r="B604" t="inlineStr"/>
      <c r="C604" t="inlineStr">
        <is>
          <t>48</t>
        </is>
      </c>
      <c r="D604" t="inlineStr">
        <is>
          <t>1</t>
        </is>
      </c>
      <c r="E604" t="inlineStr">
        <is>
          <t>16</t>
        </is>
      </c>
      <c r="F604" t="inlineStr">
        <is>
          <t>0</t>
        </is>
      </c>
      <c r="G604" t="inlineStr">
        <is>
          <t>3</t>
        </is>
      </c>
      <c r="H604" t="inlineStr">
        <is>
          <t>12¹, 36¹</t>
        </is>
      </c>
      <c r="I604" t="n">
        <v>2</v>
      </c>
      <c r="J604" t="inlineStr">
        <is>
          <t>2⁴, 4²</t>
        </is>
      </c>
      <c r="K604">
        <f>HYPERLINK("CSG0.html#group9C0", "9C⁰"), =HYPERLINK("CSG1.html#group12A1", "12A¹")</f>
        <v/>
      </c>
      <c r="L604">
        <f>HYPERLINK("CSG5.html#group36G5", "36G⁵"), =HYPERLINK("CSG6.html#group72A6", "72A⁶"), =HYPERLINK("CSG9.html#group36I9", "36I⁹"), =HYPERLINK("CSG10.html#group36H10", "36H¹⁰"), =HYPERLINK("CSG10.html#group36J10", "36J¹⁰"), =HYPERLINK("CSG10.html#group108E10", "108E¹⁰"), =HYPERLINK("CSG11.html#group108D11", "108D¹¹"), =HYPERLINK("CSG12.html#group108B12", "108B¹²"), =HYPERLINK("CSG14.html#group72A14", "72A¹⁴"), =HYPERLINK("CSG18.html#group180A18", "180A¹⁸"), =HYPERLINK("CSG23.html#group180I23", "180I²³")</f>
        <v/>
      </c>
      <c r="M604">
        <f>HYPERLINK("CSG0.html#group3B0", "3B⁰"), =HYPERLINK("CSG0.html#group9C0", "9C⁰"), =HYPERLINK("CSG0.html#group1A0", "1A⁰"), =HYPERLINK("CSG0.html#group4A0", "4A⁰"), =HYPERLINK("CSG1.html#group12A1", "12A¹")</f>
        <v/>
      </c>
      <c r="N604">
        <f>HYPERLINK("CSG10.html#group36J10", "36J¹⁰"), =HYPERLINK("CSG20.html#group72A20", "72A²⁰"), =HYPERLINK("CSG10.html#group36H10", "36H¹⁰"), =HYPERLINK("CSG17.html#group36H17", "36H¹⁷"), =HYPERLINK("CSG18.html#group180A18", "180A¹⁸"), =HYPERLINK("CSG11.html#group72J11", "72J¹¹"), =HYPERLINK("CSG10.html#group108E10", "108E¹⁰"), =HYPERLINK("CSG21.html#group72E21", "72E²¹"), =HYPERLINK("CSG14.html#group72A14", "72A¹⁴"), =HYPERLINK("CSG5.html#group36G5", "36G⁵"), =HYPERLINK("CSG12.html#group108B12", "108B¹²"), =HYPERLINK("CSG22.html#group72C22", "72C²²"), =HYPERLINK("CSG22.html#group216B22", "216B²²"), =HYPERLINK("CSG19.html#group36A19", "36A¹⁹"), =HYPERLINK("CSG16.html#group36F16", "36F¹⁶"), =HYPERLINK("CSG9.html#group36I9", "36I⁹"), =HYPERLINK("CSG21.html#group108B21", "108B²¹"), =HYPERLINK("CSG21.html#group72G21", "72G²¹"), =HYPERLINK("CSG6.html#group72A6", "72A⁶"), =HYPERLINK("CSG20.html#group72C20", "72C²⁰"), =HYPERLINK("CSG23.html#group144V23", "144V²³"), =HYPERLINK("CSG21.html#group72Y21", "72Y²¹"), =HYPERLINK("CSG22.html#group72A22", "72A²²"), =HYPERLINK("CSG23.html#group108A23", "108A²³"), =HYPERLINK("CSG11.html#group108D11", "108D¹¹"), =HYPERLINK("CSG24.html#group216A24", "216A²⁴"), =HYPERLINK("CSG11.html#group72I11", "72I¹¹"), =HYPERLINK("CSG22.html#group108A22", "108A²²"), =HYPERLINK("CSG17.html#group36F17", "36F¹⁷"), =HYPERLINK("CSG12.html#group144A12", "144A¹²"), =HYPERLINK("CSG20.html#group216A20", "216A²⁰"), =HYPERLINK("CSG20.html#group108A20", "108A²⁰"), =HYPERLINK("CSG19.html#group36E19", "36E¹⁹"), =HYPERLINK("CSG23.html#group144U23", "144U²³"), =HYPERLINK("CSG9.html#group36N9", "36N⁹"), =HYPERLINK("CSG23.html#group180I23", "180I²³"), =HYPERLINK("CSG21.html#group108D21", "108D²¹"), =HYPERLINK("CSG19.html#group108B19", "108B¹⁹")</f>
        <v/>
      </c>
    </row>
    <row r="605">
      <c r="A605" t="inlineStr">
        <is>
          <t>36D³</t>
        </is>
      </c>
      <c r="B605" t="inlineStr"/>
      <c r="C605" t="inlineStr">
        <is>
          <t>54</t>
        </is>
      </c>
      <c r="D605" t="inlineStr">
        <is>
          <t>1</t>
        </is>
      </c>
      <c r="E605" t="inlineStr">
        <is>
          <t>27</t>
        </is>
      </c>
      <c r="F605" t="inlineStr">
        <is>
          <t>4</t>
        </is>
      </c>
      <c r="G605" t="inlineStr">
        <is>
          <t>0</t>
        </is>
      </c>
      <c r="H605" t="inlineStr">
        <is>
          <t>9², 36¹</t>
        </is>
      </c>
      <c r="I605" t="n">
        <v>3</v>
      </c>
      <c r="J605" t="inlineStr">
        <is>
          <t>1³, 2³, 6³</t>
        </is>
      </c>
      <c r="K605">
        <f>HYPERLINK("CSG0.html#group12D0", "12D⁰"), =HYPERLINK("CSG1.html#group18E1", "18E¹")</f>
        <v/>
      </c>
      <c r="L605">
        <f>HYPERLINK("CSG6.html#group36C6", "36C⁶"), =HYPERLINK("CSG6.html#group36H6", "36H⁶"), =HYPERLINK("CSG7.html#group36C7", "36C⁷"), =HYPERLINK("CSG7.html#group36F7", "36F⁷"), =HYPERLINK("CSG8.html#group36D8", "36D⁸"), =HYPERLINK("CSG8.html#group36M8", "36M⁸"), =HYPERLINK("CSG21.html#group180A21", "180A²¹"), =HYPERLINK("CSG23.html#group180M23", "180M²³")</f>
        <v/>
      </c>
      <c r="M605">
        <f>HYPERLINK("CSG0.html#group9A0", "9A⁰"), =HYPERLINK("CSG0.html#group2B0", "2B⁰"), =HYPERLINK("CSG0.html#group12D0", "12D⁰"), =HYPERLINK("CSG1.html#group18E1", "18E¹"), =HYPERLINK("CSG0.html#group3A0", "3A⁰"), =HYPERLINK("CSG0.html#group1A0", "1A⁰"), =HYPERLINK("CSG0.html#group6D0", "6D⁰")</f>
        <v/>
      </c>
      <c r="N605">
        <f>HYPERLINK("CSG15.html#group72G15", "72G¹⁵"), =HYPERLINK("CSG14.html#group72B14", "72B¹⁴"), =HYPERLINK("CSG16.html#group72R16", "72R¹⁶"), =HYPERLINK("CSG15.html#group72F15", "72F¹⁵"), =HYPERLINK("CSG18.html#group36A18", "36A¹⁸"), =HYPERLINK("CSG15.html#group36D15", "36D¹⁵"), =HYPERLINK("CSG21.html#group36D21", "36D²¹"), =HYPERLINK("CSG15.html#group72T15", "72T¹⁵"), =HYPERLINK("CSG6.html#group36H6", "36H⁶"), =HYPERLINK("CSG21.html#group180A21", "180A²¹"), =HYPERLINK("CSG13.html#group72I13", "72I¹³"), =HYPERLINK("CSG15.html#group36B15", "36B¹⁵"), =HYPERLINK("CSG17.html#group72D17", "72D¹⁷"), =HYPERLINK("CSG19.html#group36S19", "36S¹⁹"), =HYPERLINK("CSG14.html#group36A14", "36A¹⁴"), =HYPERLINK("CSG13.html#group36C13", "36C¹³"), =HYPERLINK("CSG14.html#group72C14", "72C¹⁴"), =HYPERLINK("CSG15.html#group36J15", "36J¹⁵"), =HYPERLINK("CSG15.html#group72Q15", "72Q¹⁵"), =HYPERLINK("CSG7.html#group36F7", "36F⁷"), =HYPERLINK("CSG8.html#group36D8", "36D⁸"), =HYPERLINK("CSG18.html#group36B18", "36B¹⁸"), =HYPERLINK("CSG8.html#group36M8", "36M⁸"), =HYPERLINK("CSG13.html#group36P13", "36P¹³"), =HYPERLINK("CSG13.html#group72L13", "72L¹³"), =HYPERLINK("CSG14.html#group36B14", "36B¹⁴"), =HYPERLINK("CSG7.html#group36C7", "36C⁷"), =HYPERLINK("CSG16.html#group36B16", "36B¹⁶"), =HYPERLINK("CSG22.html#group36J22", "36J²²"), =HYPERLINK("CSG19.html#group36Q19", "36Q¹⁹"), =HYPERLINK("CSG6.html#group36C6", "36C⁶"), =HYPERLINK("CSG16.html#group36C16", "36C¹⁶"), =HYPERLINK("CSG23.html#group180M23", "180M²³"), =HYPERLINK("CSG19.html#group36M19", "36M¹⁹"), =HYPERLINK("CSG16.html#group36I16", "36I¹⁶")</f>
        <v/>
      </c>
    </row>
    <row r="606">
      <c r="A606" t="inlineStr">
        <is>
          <t>36E³</t>
        </is>
      </c>
      <c r="B606" t="inlineStr"/>
      <c r="C606" t="inlineStr">
        <is>
          <t>54</t>
        </is>
      </c>
      <c r="D606" t="inlineStr">
        <is>
          <t>1</t>
        </is>
      </c>
      <c r="E606" t="inlineStr">
        <is>
          <t>27</t>
        </is>
      </c>
      <c r="F606" t="inlineStr">
        <is>
          <t>6</t>
        </is>
      </c>
      <c r="G606" t="inlineStr">
        <is>
          <t>0</t>
        </is>
      </c>
      <c r="H606" t="inlineStr">
        <is>
          <t>18¹, 36¹</t>
        </is>
      </c>
      <c r="I606" t="n">
        <v>2</v>
      </c>
      <c r="J606" t="inlineStr">
        <is>
          <t>1³, 2³, 6³</t>
        </is>
      </c>
      <c r="K606">
        <f>HYPERLINK("CSG1.html#group12C1", "12C¹"), =HYPERLINK("CSG1.html#group18E1", "18E¹")</f>
        <v/>
      </c>
      <c r="L606">
        <f>HYPERLINK("CSG5.html#group36H5", "36H⁵"), =HYPERLINK("CSG5.html#group36K5", "36K⁵"), =HYPERLINK("CSG8.html#group36C8", "36C⁸"), =HYPERLINK("CSG8.html#group36D8", "36D⁸"), =HYPERLINK("CSG8.html#group36E8", "36E⁸"), =HYPERLINK("CSG10.html#group36P10", "36P¹⁰"), =HYPERLINK("CSG21.html#group180B21", "180B²¹"), =HYPERLINK("CSG23.html#group180N23", "180N²³")</f>
        <v/>
      </c>
      <c r="M606">
        <f>HYPERLINK("CSG0.html#group2B0", "2B⁰"), =HYPERLINK("CSG0.html#group9A0", "9A⁰"), =HYPERLINK("CSG1.html#group18E1", "18E¹"), =HYPERLINK("CSG0.html#group3A0", "3A⁰"), =HYPERLINK("CSG0.html#group1A0", "1A⁰"), =HYPERLINK("CSG0.html#group6D0", "6D⁰"), =HYPERLINK("CSG1.html#group12C1", "12C¹")</f>
        <v/>
      </c>
      <c r="N606">
        <f>HYPERLINK("CSG8.html#group36E8", "36E⁸"), =HYPERLINK("CSG8.html#group36C8", "36C⁸"), =HYPERLINK("CSG15.html#group36I15", "36I¹⁵"), =HYPERLINK("CSG13.html#group36H13", "36H¹³"), =HYPERLINK("CSG15.html#group36A15", "36A¹⁵"), =HYPERLINK("CSG15.html#group36D15", "36D¹⁵"), =HYPERLINK("CSG17.html#group72B17", "72B¹⁷"), =HYPERLINK("CSG13.html#group72H13", "72H¹³"), =HYPERLINK("CSG11.html#group72M11", "72M¹¹"), =HYPERLINK("CSG19.html#group36N19", "36N¹⁹"), =HYPERLINK("CSG10.html#group36P10", "36P¹⁰"), =HYPERLINK("CSG19.html#group36S19", "36S¹⁹"), =HYPERLINK("CSG14.html#group72K14", "72K¹⁴"), =HYPERLINK("CSG23.html#group144W23", "144W²³"), =HYPERLINK("CSG19.html#group36R19", "36R¹⁹"), =HYPERLINK("CSG23.html#group36A23", "36A²³"), =HYPERLINK("CSG21.html#group180B21", "180B²¹"), =HYPERLINK("CSG15.html#group36J15", "36J¹⁵"), =HYPERLINK("CSG11.html#group72N11", "72N¹¹"), =HYPERLINK("CSG13.html#group36I13", "36I¹³"), =HYPERLINK("CSG5.html#group36K5", "36K⁵"), =HYPERLINK("CSG9.html#group36O9", "36O⁹"), =HYPERLINK("CSG5.html#group36H5", "36H⁵"), =HYPERLINK("CSG22.html#group36C22", "36C²²"), =HYPERLINK("CSG8.html#group36D8", "36D⁸"), =HYPERLINK("CSG17.html#group72A17", "72A¹⁷"), =HYPERLINK("CSG23.html#group180N23", "180N²³"), =HYPERLINK("CSG21.html#group72AA21", "72AA²¹"), =HYPERLINK("CSG22.html#group36J22", "36J²²"), =HYPERLINK("CSG16.html#group36B16", "36B¹⁶"), =HYPERLINK("CSG23.html#group144X23", "144X²³"), =HYPERLINK("CSG16.html#group72C16", "72C¹⁶"), =HYPERLINK("CSG22.html#group36I22", "36I²²"), =HYPERLINK("CSG22.html#group36H22", "36H²²"), =HYPERLINK("CSG19.html#group36T19", "36T¹⁹"), =HYPERLINK("CSG16.html#group36C16", "36C¹⁶"), =HYPERLINK("CSG13.html#group72G13", "72G¹³"), =HYPERLINK("CSG16.html#group72D16", "72D¹⁶")</f>
        <v/>
      </c>
    </row>
    <row r="607">
      <c r="A607" t="inlineStr">
        <is>
          <t>36F³</t>
        </is>
      </c>
      <c r="B607" t="inlineStr"/>
      <c r="C607" t="inlineStr">
        <is>
          <t>72</t>
        </is>
      </c>
      <c r="D607" t="inlineStr">
        <is>
          <t>1</t>
        </is>
      </c>
      <c r="E607" t="inlineStr">
        <is>
          <t>6</t>
        </is>
      </c>
      <c r="F607" t="inlineStr">
        <is>
          <t>12</t>
        </is>
      </c>
      <c r="G607" t="inlineStr">
        <is>
          <t>0</t>
        </is>
      </c>
      <c r="H607" t="inlineStr">
        <is>
          <t>36²</t>
        </is>
      </c>
      <c r="I607" t="n">
        <v>2</v>
      </c>
      <c r="J607" t="inlineStr">
        <is>
          <t>2¹, 4¹</t>
        </is>
      </c>
      <c r="K607">
        <f>HYPERLINK("CSG0.html#group18D0", "18D⁰"), =HYPERLINK("CSG1.html#group12D1", "12D¹")</f>
        <v/>
      </c>
      <c r="L607">
        <f>HYPERLINK("CSG11.html#group36A11", "36A¹¹"), =HYPERLINK("CSG13.html#group36E13", "36E¹³"), =HYPERLINK("CSG13.html#group36F13", "36F¹³"), =HYPERLINK("CSG13.html#group36G13", "36G¹³"), =HYPERLINK("CSG13.html#group36L13", "36L¹³"), =HYPERLINK("CSG13.html#group36M13", "36M¹³"), =HYPERLINK("CSG13.html#group36O13", "36O¹³"), =HYPERLINK("CSG13.html#group36Q13", "36Q¹³"), =HYPERLINK("CSG15.html#group36P15", "36P¹⁵")</f>
        <v/>
      </c>
      <c r="M607">
        <f>HYPERLINK("CSG1.html#group12D1", "12D¹"), =HYPERLINK("CSG0.html#group6B0", "6B⁰"), =HYPERLINK("CSG0.html#group9D0", "9D⁰"), =HYPERLINK("CSG0.html#group18D0", "18D⁰"), =HYPERLINK("CSG0.html#group6E0", "6E⁰"), =HYPERLINK("CSG0.html#group9A0", "9A⁰"), =HYPERLINK("CSG0.html#group3C0", "3C⁰"), =HYPERLINK("CSG0.html#group3A0", "3A⁰"), =HYPERLINK("CSG0.html#group1A0", "1A⁰"), =HYPERLINK("CSG0.html#group18A0", "18A⁰")</f>
        <v/>
      </c>
      <c r="N607">
        <f>HYPERLINK("CSG13.html#group36F13", "36F¹³"), =HYPERLINK("CSG13.html#group36E13", "36E¹³"), =HYPERLINK("CSG15.html#group36P15", "36P¹⁵"), =HYPERLINK("CSG13.html#group36M13", "36M¹³"), =HYPERLINK("CSG13.html#group36L13", "36L¹³"), =HYPERLINK("CSG13.html#group36Q13", "36Q¹³"), =HYPERLINK("CSG13.html#group36G13", "36G¹³"), =HYPERLINK("CSG13.html#group36O13", "36O¹³"), =HYPERLINK("CSG11.html#group36A11", "36A¹¹")</f>
        <v/>
      </c>
    </row>
    <row r="608">
      <c r="A608" t="inlineStr">
        <is>
          <t>36G³</t>
        </is>
      </c>
      <c r="B608" t="inlineStr"/>
      <c r="C608" t="inlineStr">
        <is>
          <t>72</t>
        </is>
      </c>
      <c r="D608" t="inlineStr">
        <is>
          <t>1</t>
        </is>
      </c>
      <c r="E608" t="inlineStr">
        <is>
          <t>12</t>
        </is>
      </c>
      <c r="F608" t="inlineStr">
        <is>
          <t>0</t>
        </is>
      </c>
      <c r="G608" t="inlineStr">
        <is>
          <t>0</t>
        </is>
      </c>
      <c r="H608" t="inlineStr">
        <is>
          <t>2³, 4³, 18¹, 36¹</t>
        </is>
      </c>
      <c r="I608" t="n">
        <v>8</v>
      </c>
      <c r="J608" t="inlineStr">
        <is>
          <t>1⁶, 2³</t>
        </is>
      </c>
      <c r="K608">
        <f>HYPERLINK("CSG0.html#group18E0", "18E⁰"), =HYPERLINK("CSG1.html#group12F1", "12F¹")</f>
        <v/>
      </c>
      <c r="L608">
        <f>HYPERLINK("CSG5.html#group36L5", "36L⁵"), =HYPERLINK("CSG7.html#group36I7", "36I⁷"), =HYPERLINK("CSG7.html#group72D7", "72D⁷"), =HYPERLINK("CSG9.html#group72B9", "72B⁹"), =HYPERLINK("CSG9.html#group72C9", "72C⁹"), =HYPERLINK("CSG11.html#group36K11", "36K¹¹"), =HYPERLINK("CSG11.html#group108E11", "108E¹¹"), =HYPERLINK("CSG13.html#group36D13", "36D¹³"), =HYPERLINK("CSG13.html#group108A13", "108A¹³"), =HYPERLINK("CSG15.html#group108A15", "108A¹⁵")</f>
        <v/>
      </c>
      <c r="M608">
        <f>HYPERLINK("CSG0.html#group3B0", "3B⁰"), =HYPERLINK("CSG0.html#group18E0", "18E⁰"), =HYPERLINK("CSG1.html#group12F1", "12F¹"), =HYPERLINK("CSG0.html#group4C0", "4C⁰"), =HYPERLINK("CSG0.html#group9B0", "9B⁰"), =HYPERLINK("CSG0.html#group1A0", "1A⁰"), =HYPERLINK("CSG0.html#group2B0", "2B⁰"), =HYPERLINK("CSG0.html#group6F0", "6F⁰")</f>
        <v/>
      </c>
      <c r="N608">
        <f>HYPERLINK("CSG21.html#group144A21", "144A²¹"), =HYPERLINK("CSG21.html#group36F21", "36F²¹"), =HYPERLINK("CSG17.html#group72Q17", "72Q¹⁷"), =HYPERLINK("CSG21.html#group144I21", "144I²¹"), =HYPERLINK("CSG11.html#group108E11", "108E¹¹"), =HYPERLINK("CSG21.html#group108E21", "108E²¹"), =HYPERLINK("CSG9.html#group72B9", "72B⁹"), =HYPERLINK("CSG15.html#group144E15", "144E¹⁵"), =HYPERLINK("CSG21.html#group144C21", "144C²¹"), =HYPERLINK("CSG13.html#group72W13", "72W¹³"), =HYPERLINK("CSG7.html#group36I7", "36I⁷"), =HYPERLINK("CSG17.html#group72U17", "72U¹⁷"), =HYPERLINK("CSG13.html#group36U13", "36U¹³"), =HYPERLINK("CSG17.html#group72N17", "72N¹⁷"), =HYPERLINK("CSG9.html#group72C9", "72C⁹"), =HYPERLINK("CSG7.html#group72D7", "72D⁷"), =HYPERLINK("CSG21.html#group144K21", "144K²¹"), =HYPERLINK("CSG13.html#group72R13", "72R¹³"), =HYPERLINK("CSG17.html#group72T17", "72T¹⁷"), =HYPERLINK("CSG5.html#group36L5", "36L⁵"), =HYPERLINK("CSG17.html#group72M17", "72M¹⁷"), =HYPERLINK("CSG19.html#group144I19", "144I¹⁹"), =HYPERLINK("CSG13.html#group36D13", "36D¹³"), =HYPERLINK("CSG13.html#group72V13", "72V¹³"), =HYPERLINK("CSG15.html#group72Y15", "72Y¹⁵"), =HYPERLINK("CSG13.html#group108A13", "108A¹³"), =HYPERLINK("CSG21.html#group144L21", "144L²¹"), =HYPERLINK("CSG21.html#group144J21", "144J²¹"), =HYPERLINK("CSG9.html#group36Q9", "36Q⁹"), =HYPERLINK("CSG17.html#group72R17", "72R¹⁷"), =HYPERLINK("CSG11.html#group36K11", "36K¹¹"), =HYPERLINK("CSG13.html#group36T13", "36T¹³"), =HYPERLINK("CSG19.html#group72O19", "72O¹⁹"), =HYPERLINK("CSG21.html#group144B21", "144B²¹"), =HYPERLINK("CSG13.html#group72Q13", "72Q¹³"), =HYPERLINK("CSG15.html#group108A15", "108A¹⁵"), =HYPERLINK("CSG21.html#group144D21", "144D²¹")</f>
        <v/>
      </c>
    </row>
    <row r="609">
      <c r="A609" t="inlineStr">
        <is>
          <t>36H³</t>
        </is>
      </c>
      <c r="B609" t="inlineStr"/>
      <c r="C609" t="inlineStr">
        <is>
          <t>72</t>
        </is>
      </c>
      <c r="D609" t="inlineStr">
        <is>
          <t>1</t>
        </is>
      </c>
      <c r="E609" t="inlineStr">
        <is>
          <t>12</t>
        </is>
      </c>
      <c r="F609" t="inlineStr">
        <is>
          <t>12</t>
        </is>
      </c>
      <c r="G609" t="inlineStr">
        <is>
          <t>0</t>
        </is>
      </c>
      <c r="H609" t="inlineStr">
        <is>
          <t>36²</t>
        </is>
      </c>
      <c r="I609" t="n">
        <v>2</v>
      </c>
      <c r="J609" t="inlineStr">
        <is>
          <t>2², 4²</t>
        </is>
      </c>
      <c r="K609">
        <f>HYPERLINK("CSG0.html#group9D0", "9D⁰"), =HYPERLINK("CSG1.html#group12G1", "12G¹"), =HYPERLINK("CSG1.html#group36A1", "36A¹")</f>
        <v/>
      </c>
      <c r="L609">
        <f>HYPERLINK("CSG5.html#group36M5", "36M⁵"), =HYPERLINK("CSG9.html#group72G9", "72G⁹"), =HYPERLINK("CSG9.html#group72F9", "72F⁹"), =HYPERLINK("CSG11.html#group36C11", "36C¹¹"), =HYPERLINK("CSG11.html#group36D11", "36D¹¹"), =HYPERLINK("CSG13.html#group36I13", "36I¹³"), =HYPERLINK("CSG13.html#group36N13", "36N¹³"), =HYPERLINK("CSG13.html#group36R13", "36R¹³"), =HYPERLINK("CSG17.html#group72V17", "72V¹⁷")</f>
        <v/>
      </c>
      <c r="M609">
        <f>HYPERLINK("CSG1.html#group12G1", "12G¹"), =HYPERLINK("CSG1.html#group36A1", "36A¹"), =HYPERLINK("CSG0.html#group12A0", "12A⁰"), =HYPERLINK("CSG0.html#group9D0", "9D⁰"), =HYPERLINK("CSG0.html#group4A0", "4A⁰"), =HYPERLINK("CSG0.html#group9A0", "9A⁰"), =HYPERLINK("CSG0.html#group3C0", "3C⁰"), =HYPERLINK("CSG0.html#group3A0", "3A⁰"), =HYPERLINK("CSG0.html#group1A0", "1A⁰")</f>
        <v/>
      </c>
      <c r="N609">
        <f>HYPERLINK("CSG11.html#group36C11", "36C¹¹"), =HYPERLINK("CSG17.html#group72V17", "72V¹⁷"), =HYPERLINK("CSG13.html#group36I13", "36I¹³"), =HYPERLINK("CSG23.html#group72A23", "72A²³"), =HYPERLINK("CSG9.html#group72F9", "72F⁹"), =HYPERLINK("CSG15.html#group36P15", "36P¹⁵"), =HYPERLINK("CSG23.html#group72B23", "72B²³"), =HYPERLINK("CSG23.html#group72F23", "72F²³"), =HYPERLINK("CSG17.html#group72S17", "72S¹⁷"), =HYPERLINK("CSG21.html#group144M21", "144M²¹"), =HYPERLINK("CSG21.html#group144N21", "144N²¹"), =HYPERLINK("CSG21.html#group36A21", "36A²¹"), =HYPERLINK("CSG5.html#group36M5", "36M⁵"), =HYPERLINK("CSG11.html#group36D11", "36D¹¹"), =HYPERLINK("CSG13.html#group36N13", "36N¹³"), =HYPERLINK("CSG9.html#group72G9", "72G⁹"), =HYPERLINK("CSG17.html#group72W17", "72W¹⁷"), =HYPERLINK("CSG13.html#group36R13", "36R¹³")</f>
        <v/>
      </c>
    </row>
    <row r="610">
      <c r="A610" t="inlineStr">
        <is>
          <t>36I³</t>
        </is>
      </c>
      <c r="B610" t="inlineStr"/>
      <c r="C610" t="inlineStr">
        <is>
          <t>108</t>
        </is>
      </c>
      <c r="D610" t="inlineStr">
        <is>
          <t>1</t>
        </is>
      </c>
      <c r="E610" t="inlineStr">
        <is>
          <t>54</t>
        </is>
      </c>
      <c r="F610" t="inlineStr">
        <is>
          <t>4</t>
        </is>
      </c>
      <c r="G610" t="inlineStr">
        <is>
          <t>0</t>
        </is>
      </c>
      <c r="H610" t="inlineStr">
        <is>
          <t>3⁶, 9², 12³, 36¹</t>
        </is>
      </c>
      <c r="I610" t="n">
        <v>12</v>
      </c>
      <c r="J610" t="inlineStr">
        <is>
          <t>1³, 2³, 3³, 6⁶</t>
        </is>
      </c>
      <c r="K610">
        <f>HYPERLINK("CSG0.html#group12G0", "12G⁰"), =HYPERLINK("CSG1.html#group18I1", "18I¹")</f>
        <v/>
      </c>
      <c r="L610">
        <f>HYPERLINK("CSG7.html#group36N7", "36N⁷"), =HYPERLINK("CSG8.html#group72L8", "72L⁸"), =HYPERLINK("CSG8.html#group72M8", "72M⁸"), =HYPERLINK("CSG9.html#group36P9", "36P⁹"), =HYPERLINK("CSG11.html#group36M11", "36M¹¹"), =HYPERLINK("CSG12.html#group72D12", "72D¹²"), =HYPERLINK("CSG12.html#group72E12", "72E¹²"), =HYPERLINK("CSG16.html#group36G16", "36G¹⁶"), =HYPERLINK("CSG18.html#group36A18", "36A¹⁸")</f>
        <v/>
      </c>
      <c r="M610">
        <f>HYPERLINK("CSG0.html#group12G0", "12G⁰"), =HYPERLINK("CSG1.html#group18I1", "18I¹"), =HYPERLINK("CSG0.html#group6G0", "6G⁰"), =HYPERLINK("CSG0.html#group3C0", "3C⁰"), =HYPERLINK("CSG0.html#group2B0", "2B⁰"), =HYPERLINK("CSG0.html#group12D0", "12D⁰"), =HYPERLINK("CSG0.html#group9E0", "9E⁰"), =HYPERLINK("CSG0.html#group3A0", "3A⁰"), =HYPERLINK("CSG0.html#group1A0", "1A⁰"), =HYPERLINK("CSG0.html#group6D0", "6D⁰")</f>
        <v/>
      </c>
      <c r="N610">
        <f>HYPERLINK("CSG21.html#group36E21", "36E²¹"), =HYPERLINK("CSG7.html#group36N7", "36N⁷"), =HYPERLINK("CSG21.html#group72AB21", "72AB²¹"), =HYPERLINK("CSG8.html#group72M8", "72M⁸"), =HYPERLINK("CSG17.html#group72X17", "72X¹⁷"), =HYPERLINK("CSG12.html#group72D12", "72D¹²"), =HYPERLINK("CSG18.html#group36A18", "36A¹⁸"), =HYPERLINK("CSG17.html#group36K17", "36K¹⁷"), =HYPERLINK("CSG9.html#group36P9", "36P⁹"), =HYPERLINK("CSG23.html#group36B23", "36B²³"), =HYPERLINK("CSG8.html#group72L8", "72L⁸"), =HYPERLINK("CSG12.html#group72E12", "72E¹²"), =HYPERLINK("CSG23.html#group36D23", "36D²³"), =HYPERLINK("CSG23.html#group72J23", "72J²³"), =HYPERLINK("CSG16.html#group36G16", "36G¹⁶"), =HYPERLINK("CSG11.html#group36M11", "36M¹¹"), =HYPERLINK("CSG23.html#group72K23", "72K²³"), =HYPERLINK("CSG23.html#group72I23", "72I²³"), =HYPERLINK("CSG19.html#group36U19", "36U¹⁹"), =HYPERLINK("CSG23.html#group36C23", "36C²³")</f>
        <v/>
      </c>
    </row>
    <row r="611">
      <c r="A611" t="inlineStr">
        <is>
          <t>36J³</t>
        </is>
      </c>
      <c r="B611" t="inlineStr"/>
      <c r="C611" t="inlineStr">
        <is>
          <t>144</t>
        </is>
      </c>
      <c r="D611" t="inlineStr">
        <is>
          <t>1</t>
        </is>
      </c>
      <c r="E611" t="inlineStr">
        <is>
          <t>12</t>
        </is>
      </c>
      <c r="F611" t="inlineStr">
        <is>
          <t>0</t>
        </is>
      </c>
      <c r="G611" t="inlineStr">
        <is>
          <t>0</t>
        </is>
      </c>
      <c r="H611" t="inlineStr">
        <is>
          <t>2¹², 4³, 18⁴, 36¹</t>
        </is>
      </c>
      <c r="I611" t="n">
        <v>20</v>
      </c>
      <c r="J611" t="inlineStr">
        <is>
          <t>1⁶, 2³</t>
        </is>
      </c>
      <c r="K611">
        <f>HYPERLINK("CSG0.html#group12I0", "12I⁰"), =HYPERLINK("CSG1.html#group18J1", "18J¹")</f>
        <v/>
      </c>
      <c r="L611">
        <f>HYPERLINK("CSG9.html#group36Q9", "36Q⁹"), =HYPERLINK("CSG13.html#group36U13", "36U¹³"), =HYPERLINK("CSG17.html#group36J17", "36J¹⁷"), =HYPERLINK("CSG17.html#group108F17", "108F¹⁷"), =HYPERLINK("CSG22.html#group36K22", "36K²²"), =HYPERLINK("CSG22.html#group108E22", "108E²²")</f>
        <v/>
      </c>
      <c r="M611">
        <f>HYPERLINK("CSG0.html#group18C0", "18C⁰"), =HYPERLINK("CSG0.html#group3B0", "3B⁰"), =HYPERLINK("CSG0.html#group2A0", "2A⁰"), =HYPERLINK("CSG0.html#group18E0", "18E⁰"), =HYPERLINK("CSG0.html#group6I0", "6I⁰"), =HYPERLINK("CSG1.html#group18C1", "18C¹"), =HYPERLINK("CSG0.html#group6C0", "6C⁰"), =HYPERLINK("CSG0.html#group12I0", "12I⁰"), =HYPERLINK("CSG0.html#group9B0", "9B⁰"), =HYPERLINK("CSG0.html#group1A0", "1A⁰"), =HYPERLINK("CSG0.html#group2B0", "2B⁰"), =HYPERLINK("CSG1.html#group18J1", "18J¹"), =HYPERLINK("CSG0.html#group6F0", "6F⁰"), =HYPERLINK("CSG0.html#group2C0", "2C⁰")</f>
        <v/>
      </c>
      <c r="N611">
        <f>HYPERLINK("CSG13.html#group36U13", "36U¹³"), =HYPERLINK("CSG22.html#group36K22", "36K²²"), =HYPERLINK("CSG17.html#group108F17", "108F¹⁷"), =HYPERLINK("CSG9.html#group36Q9", "36Q⁹"), =HYPERLINK("CSG17.html#group36J17", "36J¹⁷"), =HYPERLINK("CSG22.html#group108E22", "108E²²")</f>
        <v/>
      </c>
    </row>
    <row r="612">
      <c r="A612" t="inlineStr">
        <is>
          <t>36K³</t>
        </is>
      </c>
      <c r="B612" t="inlineStr"/>
      <c r="C612" t="inlineStr">
        <is>
          <t>144</t>
        </is>
      </c>
      <c r="D612" t="inlineStr">
        <is>
          <t>1</t>
        </is>
      </c>
      <c r="E612" t="inlineStr">
        <is>
          <t>24</t>
        </is>
      </c>
      <c r="F612" t="inlineStr">
        <is>
          <t>0</t>
        </is>
      </c>
      <c r="G612" t="inlineStr">
        <is>
          <t>0</t>
        </is>
      </c>
      <c r="H612" t="inlineStr">
        <is>
          <t>1⁶, 2³, 4⁶, 9², 18¹, 36²</t>
        </is>
      </c>
      <c r="I612" t="n">
        <v>20</v>
      </c>
      <c r="J612" t="inlineStr">
        <is>
          <t>1⁸, 2⁶, 4¹</t>
        </is>
      </c>
      <c r="K612">
        <f>HYPERLINK("CSG0.html#group12J0", "12J⁰"), =HYPERLINK("CSG1.html#group36C1", "36C¹")</f>
        <v/>
      </c>
      <c r="L612">
        <f>HYPERLINK("CSG9.html#group36Q9", "36Q⁹"), =HYPERLINK("CSG9.html#group72I9", "72I⁹"), =HYPERLINK("CSG13.html#group72S13", "72S¹³"), =HYPERLINK("CSG17.html#group36L17", "36L¹⁷"), =HYPERLINK("CSG17.html#group108G17", "108G¹⁷"), =HYPERLINK("CSG22.html#group36L22", "36L²²"), =HYPERLINK("CSG22.html#group108F22", "108F²²")</f>
        <v/>
      </c>
      <c r="M612">
        <f>HYPERLINK("CSG0.html#group3B0", "3B⁰"), =HYPERLINK("CSG0.html#group18E0", "18E⁰"), =HYPERLINK("CSG0.html#group12J0", "12J⁰"), =HYPERLINK("CSG0.html#group9B0", "9B⁰"), =HYPERLINK("CSG0.html#group1A0", "1A⁰"), =HYPERLINK("CSG0.html#group2B0", "2B⁰"), =HYPERLINK("CSG1.html#group36C1", "36C¹"), =HYPERLINK("CSG0.html#group4B0", "4B⁰"), =HYPERLINK("CSG0.html#group6F0", "6F⁰"), =HYPERLINK("CSG0.html#group12E0", "12E⁰")</f>
        <v/>
      </c>
      <c r="N612">
        <f>HYPERLINK("CSG9.html#group36Q9", "36Q⁹"), =HYPERLINK("CSG13.html#group72S13", "72S¹³"), =HYPERLINK("CSG17.html#group108G17", "108G¹⁷"), =HYPERLINK("CSG22.html#group36L22", "36L²²"), =HYPERLINK("CSG9.html#group72I9", "72I⁹"), =HYPERLINK("CSG22.html#group108F22", "108F²²"), =HYPERLINK("CSG17.html#group36L17", "36L¹⁷")</f>
        <v/>
      </c>
    </row>
    <row r="613">
      <c r="A613" t="inlineStr">
        <is>
          <t>39A³</t>
        </is>
      </c>
      <c r="B613" t="inlineStr">
        <is>
          <t>Γ₀(39)</t>
        </is>
      </c>
      <c r="C613" t="inlineStr">
        <is>
          <t>56</t>
        </is>
      </c>
      <c r="D613" t="inlineStr">
        <is>
          <t>1</t>
        </is>
      </c>
      <c r="E613" t="inlineStr">
        <is>
          <t>56</t>
        </is>
      </c>
      <c r="F613" t="inlineStr">
        <is>
          <t>0</t>
        </is>
      </c>
      <c r="G613" t="inlineStr">
        <is>
          <t>2</t>
        </is>
      </c>
      <c r="H613" t="inlineStr">
        <is>
          <t>1¹, 3¹, 13¹, 39¹</t>
        </is>
      </c>
      <c r="I613" t="n">
        <v>4</v>
      </c>
      <c r="J613" t="inlineStr">
        <is>
          <t>1⁴, 2², 12², 24¹</t>
        </is>
      </c>
      <c r="K613">
        <f>HYPERLINK("CSG0.html#group3B0", "3B⁰"), =HYPERLINK("CSG0.html#group13A0", "13A⁰")</f>
        <v/>
      </c>
      <c r="L613">
        <f>HYPERLINK("CSG5.html#group39B5", "39B⁵"), =HYPERLINK("CSG7.html#group78B7", "78B⁷"), =HYPERLINK("CSG7.html#group78C7", "78C⁷"), =HYPERLINK("CSG9.html#group39B9", "39B⁹"), =HYPERLINK("CSG10.html#group39A10", "39A¹⁰"), =HYPERLINK("CSG10.html#group117A10", "117A¹⁰"), =HYPERLINK("CSG11.html#group39A11", "39A¹¹"), =HYPERLINK("CSG11.html#group78C11", "78C¹¹"), =HYPERLINK("CSG11.html#group117A11", "117A¹¹"), =HYPERLINK("CSG11.html#group117B11", "117B¹¹"), =HYPERLINK("CSG12.html#group117A12", "117A¹²"), =HYPERLINK("CSG13.html#group117A13", "117A¹³"), =HYPERLINK("CSG13.html#group117B13", "117B¹³"), =HYPERLINK("CSG17.html#group156A17", "156A¹⁷"), =HYPERLINK("CSG21.html#group195A21", "195A²¹")</f>
        <v/>
      </c>
      <c r="M613">
        <f>HYPERLINK("CSG0.html#group13A0", "13A⁰"), =HYPERLINK("CSG0.html#group3B0", "3B⁰"), =HYPERLINK("CSG0.html#group1A0", "1A⁰")</f>
        <v/>
      </c>
      <c r="N613">
        <f>HYPERLINK("CSG11.html#group117A11", "117A¹¹"), =HYPERLINK("CSG21.html#group39B21", "39B²¹"), =HYPERLINK("CSG23.html#group156C23", "156C²³"), =HYPERLINK("CSG15.html#group156A15", "156A¹⁵"), =HYPERLINK("CSG17.html#group39A17", "39A¹⁷"), =HYPERLINK("CSG7.html#group78C7", "78C⁷"), =HYPERLINK("CSG9.html#group39B9", "39B⁹"), =HYPERLINK("CSG21.html#group117A21", "117A²¹"), =HYPERLINK("CSG7.html#group78B7", "78B⁷"), =HYPERLINK("CSG21.html#group117B21", "117B²¹"), =HYPERLINK("CSG23.html#group234C23", "234C²³"), =HYPERLINK("CSG21.html#group78C21", "78C²¹"), =HYPERLINK("CSG23.html#group78H23", "78H²³"), =HYPERLINK("CSG23.html#group78F23", "78F²³"), =HYPERLINK("CSG23.html#group234A23", "234A²³"), =HYPERLINK("CSG19.html#group39B19", "39B¹⁹"), =HYPERLINK("CSG23.html#group78A23", "78A²³"), =HYPERLINK("CSG11.html#group117B11", "117B¹¹"), =HYPERLINK("CSG10.html#group39A10", "39A¹⁰"), =HYPERLINK("CSG23.html#group117A23", "117A²³"), =HYPERLINK("CSG23.html#group234E23", "234E²³"), =HYPERLINK("CSG23.html#group78G23", "78G²³"), =HYPERLINK("CSG23.html#group78B23", "78B²³"), =HYPERLINK("CSG19.html#group117B19", "117B¹⁹"), =HYPERLINK("CSG9.html#group39C9", "39C⁹"), =HYPERLINK("CSG13.html#group117A13", "117A¹³"), =HYPERLINK("CSG11.html#group78C11", "78C¹¹"), =HYPERLINK("CSG15.html#group156B15", "156B¹⁵"), =HYPERLINK("CSG5.html#group39B5", "39B⁵"), =HYPERLINK("CSG13.html#group78G13", "78G¹³"), =HYPERLINK("CSG23.html#group156D23", "156D²³"), =HYPERLINK("CSG23.html#group234B23", "234B²³"), =HYPERLINK("CSG21.html#group78B21", "78B²¹"), =HYPERLINK("CSG13.html#group78F13", "78F¹³"), =HYPERLINK("CSG15.html#group156C15", "156C¹⁵"), =HYPERLINK("CSG23.html#group78E23", "78E²³"), =HYPERLINK("CSG23.html#group78C23", "78C²³"), =HYPERLINK("CSG11.html#group39A11", "39A¹¹"), =HYPERLINK("CSG12.html#group117A12", "117A¹²"), =HYPERLINK("CSG21.html#group195A21", "195A²¹"), =HYPERLINK("CSG24.html#group78A24", "78A²⁴"), =HYPERLINK("CSG17.html#group156A17", "156A¹⁷"), =HYPERLINK("CSG13.html#group117B13", "117B¹³"), =HYPERLINK("CSG24.html#group234A24", "234A²⁴"), =HYPERLINK("CSG23.html#group234D23", "234D²³"), =HYPERLINK("CSG10.html#group117A10", "117A¹⁰")</f>
        <v/>
      </c>
    </row>
    <row r="614">
      <c r="A614" t="inlineStr">
        <is>
          <t>40A³</t>
        </is>
      </c>
      <c r="B614" t="inlineStr"/>
      <c r="C614" t="inlineStr">
        <is>
          <t>48</t>
        </is>
      </c>
      <c r="D614" t="inlineStr">
        <is>
          <t>2</t>
        </is>
      </c>
      <c r="E614" t="inlineStr">
        <is>
          <t>24</t>
        </is>
      </c>
      <c r="F614" t="inlineStr">
        <is>
          <t>4</t>
        </is>
      </c>
      <c r="G614" t="inlineStr">
        <is>
          <t>0</t>
        </is>
      </c>
      <c r="H614" t="inlineStr">
        <is>
          <t>8¹, 40¹</t>
        </is>
      </c>
      <c r="I614" t="n">
        <v>2</v>
      </c>
      <c r="J614" t="inlineStr">
        <is>
          <t>4⁴, 16²</t>
        </is>
      </c>
      <c r="K614">
        <f>HYPERLINK("CSG1.html#group20B1", "20B¹")</f>
        <v/>
      </c>
      <c r="L614">
        <f>HYPERLINK("CSG5.html#group40J5", "40J⁵"), =HYPERLINK("CSG7.html#group40A7", "40A⁷"), =HYPERLINK("CSG7.html#group40C7", "40C⁷"), =HYPERLINK("CSG9.html#group40Q9", "40Q⁹"), =HYPERLINK("CSG9.html#group120C9", "120C⁹"), =HYPERLINK("CSG11.html#group40H11", "40H¹¹"), =HYPERLINK("CSG15.html#group120C15", "120C¹⁵"), =HYPERLINK("CSG17.html#group40R17", "40R¹⁷"), =HYPERLINK("CSG17.html#group200A17", "200A¹⁷"), =HYPERLINK("CSG19.html#group200C19", "200C¹⁹"), =HYPERLINK("CSG19.html#group200B19", "200B¹⁹"), =HYPERLINK("CSG19.html#group200D19", "200D¹⁹"), =HYPERLINK("CSG19.html#group200A19", "200A¹⁹")</f>
        <v/>
      </c>
      <c r="M614">
        <f>HYPERLINK("CSG0.html#group5B0", "5B⁰"), =HYPERLINK("CSG0.html#group1A0", "1A⁰"), =HYPERLINK("CSG0.html#group4A0", "4A⁰"), =HYPERLINK("CSG1.html#group20B1", "20B¹")</f>
        <v/>
      </c>
      <c r="N614">
        <f>HYPERLINK("CSG19.html#group200A19", "200A¹⁹"), =HYPERLINK("CSG15.html#group80C15", "80C¹⁵"), =HYPERLINK("CSG19.html#group40F19", "40F¹⁹"), =HYPERLINK("CSG11.html#group40G11", "40G¹¹"), =HYPERLINK("CSG17.html#group40AK17", "40AK¹⁷"), =HYPERLINK("CSG17.html#group40AL17", "40AL¹⁷"), =HYPERLINK("CSG17.html#group40R17", "40R¹⁷"), =HYPERLINK("CSG19.html#group40A19", "40A¹⁹"), =HYPERLINK("CSG23.html#group120C23", "120C²³"), =HYPERLINK("CSG17.html#group120P17", "120P¹⁷"), =HYPERLINK("CSG15.html#group120C15", "120C¹⁵"), =HYPERLINK("CSG19.html#group200D19", "200D¹⁹"), =HYPERLINK("CSG5.html#group40J5", "40J⁵"), =HYPERLINK("CSG19.html#group120N19", "120N¹⁹"), =HYPERLINK("CSG23.html#group120I23", "120I²³"), =HYPERLINK("CSG13.html#group80B13", "80B¹³"), =HYPERLINK("CSG17.html#group200A17", "200A¹⁷"), =HYPERLINK("CSG21.html#group120K21", "120K²¹"), =HYPERLINK("CSG21.html#group120I21", "120I²¹"), =HYPERLINK("CSG19.html#group40E19", "40E¹⁹"), =HYPERLINK("CSG11.html#group40H11", "40H¹¹"), =HYPERLINK("CSG7.html#group40C7", "40C⁷"), =HYPERLINK("CSG13.html#group80A13", "80A¹³"), =HYPERLINK("CSG23.html#group120A23", "120A²³"), =HYPERLINK("CSG19.html#group120P19", "120P¹⁹"), =HYPERLINK("CSG9.html#group120C9", "120C⁹"), =HYPERLINK("CSG21.html#group40M21", "40M²¹"), =HYPERLINK("CSG19.html#group40H19", "40H¹⁹"), =HYPERLINK("CSG7.html#group40A7", "40A⁷"), =HYPERLINK("CSG19.html#group200B19", "200B¹⁹"), =HYPERLINK("CSG19.html#group200C19", "200C¹⁹"), =HYPERLINK("CSG9.html#group40Q9", "40Q⁹"), =HYPERLINK("CSG13.html#group40C13", "40C¹³"), =HYPERLINK("CSG11.html#group40F11", "40F¹¹"), =HYPERLINK("CSG15.html#group80D15", "80D¹⁵"), =HYPERLINK("CSG17.html#group40AN17", "40AN¹⁷")</f>
        <v/>
      </c>
    </row>
    <row r="615">
      <c r="A615" t="inlineStr">
        <is>
          <t>40B³</t>
        </is>
      </c>
      <c r="B615" t="inlineStr"/>
      <c r="C615" t="inlineStr">
        <is>
          <t>48</t>
        </is>
      </c>
      <c r="D615" t="inlineStr">
        <is>
          <t>2</t>
        </is>
      </c>
      <c r="E615" t="inlineStr">
        <is>
          <t>24</t>
        </is>
      </c>
      <c r="F615" t="inlineStr">
        <is>
          <t>4</t>
        </is>
      </c>
      <c r="G615" t="inlineStr">
        <is>
          <t>0</t>
        </is>
      </c>
      <c r="H615" t="inlineStr">
        <is>
          <t>8¹, 40¹</t>
        </is>
      </c>
      <c r="I615" t="n">
        <v>2</v>
      </c>
      <c r="J615" t="inlineStr">
        <is>
          <t>4⁴, 16²</t>
        </is>
      </c>
      <c r="K615">
        <f>HYPERLINK("CSG0.html#group8A0", "8A⁰"), =HYPERLINK("CSG1.html#group20B1", "20B¹")</f>
        <v/>
      </c>
      <c r="L615">
        <f>HYPERLINK("CSG5.html#group40J5", "40J⁵"), =HYPERLINK("CSG7.html#group40B7", "40B⁷"), =HYPERLINK("CSG7.html#group40C7", "40C⁷"), =HYPERLINK("CSG7.html#group80A7", "80A⁷"), =HYPERLINK("CSG7.html#group80B7", "80B⁷"), =HYPERLINK("CSG9.html#group40R9", "40R⁹"), =HYPERLINK("CSG9.html#group120D9", "120D⁹"), =HYPERLINK("CSG11.html#group40I11", "40I¹¹"), =HYPERLINK("CSG15.html#group120D15", "120D¹⁵"), =HYPERLINK("CSG17.html#group40S17", "40S¹⁷"), =HYPERLINK("CSG17.html#group200B17", "200B¹⁷"), =HYPERLINK("CSG19.html#group200G19", "200G¹⁹"), =HYPERLINK("CSG19.html#group200F19", "200F¹⁹"), =HYPERLINK("CSG19.html#group200H19", "200H¹⁹"), =HYPERLINK("CSG19.html#group200E19", "200E¹⁹")</f>
        <v/>
      </c>
      <c r="M615">
        <f>HYPERLINK("CSG0.html#group8A0", "8A⁰"), =HYPERLINK("CSG0.html#group5B0", "5B⁰"), =HYPERLINK("CSG0.html#group1A0", "1A⁰"), =HYPERLINK("CSG0.html#group4A0", "4A⁰"), =HYPERLINK("CSG1.html#group20B1", "20B¹")</f>
        <v/>
      </c>
      <c r="N615">
        <f>HYPERLINK("CSG11.html#group40G11", "40G¹¹"), =HYPERLINK("CSG7.html#group80B7", "80B⁷"), =HYPERLINK("CSG19.html#group40D19", "40D¹⁹"), =HYPERLINK("CSG19.html#group200E19", "200E¹⁹"), =HYPERLINK("CSG21.html#group240C21", "240C²¹"), =HYPERLINK("CSG21.html#group240A21", "240A²¹"), =HYPERLINK("CSG21.html#group80AF21", "80AF²¹"), =HYPERLINK("CSG19.html#group200F19", "200F¹⁹"), =HYPERLINK("CSG17.html#group40AJ17", "40AJ¹⁷"), =HYPERLINK("CSG17.html#group40AM17", "40AM¹⁷"), =HYPERLINK("CSG19.html#group120O19", "120O¹⁹"), =HYPERLINK("CSG23.html#group120B23", "120B²³"), =HYPERLINK("CSG17.html#group120P17", "120P¹⁷"), =HYPERLINK("CSG21.html#group240B21", "240B²¹"), =HYPERLINK("CSG15.html#group80A15", "80A¹⁵"), =HYPERLINK("CSG5.html#group40J5", "40J⁵"), =HYPERLINK("CSG17.html#group40S17", "40S¹⁷"), =HYPERLINK("CSG23.html#group120I23", "120I²³"), =HYPERLINK("CSG19.html#group200G19", "200G¹⁹"), =HYPERLINK("CSG19.html#group200H19", "200H¹⁹"), =HYPERLINK("CSG13.html#group80B13", "80B¹³"), =HYPERLINK("CSG21.html#group120L21", "120L²¹"), =HYPERLINK("CSG23.html#group120D23", "120D²³"), =HYPERLINK("CSG21.html#group240D21", "240D²¹"), =HYPERLINK("CSG7.html#group40C7", "40C⁷"), =HYPERLINK("CSG13.html#group80A13", "80A¹³"), =HYPERLINK("CSG21.html#group80AG21", "80AG²¹"), =HYPERLINK("CSG19.html#group40G19", "40G¹⁹"), =HYPERLINK("CSG19.html#group120Q19", "120Q¹⁹"), =HYPERLINK("CSG15.html#group120D15", "120D¹⁵"), =HYPERLINK("CSG9.html#group120D9", "120D⁹"), =HYPERLINK("CSG15.html#group80B15", "80B¹⁵"), =HYPERLINK("CSG19.html#group40H19", "40H¹⁹"), =HYPERLINK("CSG21.html#group40M21", "40M²¹"), =HYPERLINK("CSG7.html#group80A7", "80A⁷"), =HYPERLINK("CSG11.html#group40I11", "40I¹¹"), =HYPERLINK("CSG17.html#group200B17", "200B¹⁷"), =HYPERLINK("CSG7.html#group40B7", "40B⁷"), =HYPERLINK("CSG13.html#group40C13", "40C¹³"), =HYPERLINK("CSG11.html#group40F11", "40F¹¹"), =HYPERLINK("CSG15.html#group80D15", "80D¹⁵"), =HYPERLINK("CSG21.html#group120J21", "120J²¹"), =HYPERLINK("CSG9.html#group40R9", "40R⁹"), =HYPERLINK("CSG19.html#group40B19", "40B¹⁹"), =HYPERLINK("CSG17.html#group40AN17", "40AN¹⁷")</f>
        <v/>
      </c>
    </row>
    <row r="616">
      <c r="A616" t="inlineStr">
        <is>
          <t>40C³</t>
        </is>
      </c>
      <c r="B616" t="inlineStr"/>
      <c r="C616" t="inlineStr">
        <is>
          <t>72</t>
        </is>
      </c>
      <c r="D616" t="inlineStr">
        <is>
          <t>1</t>
        </is>
      </c>
      <c r="E616" t="inlineStr">
        <is>
          <t>18</t>
        </is>
      </c>
      <c r="F616" t="inlineStr">
        <is>
          <t>8</t>
        </is>
      </c>
      <c r="G616" t="inlineStr">
        <is>
          <t>0</t>
        </is>
      </c>
      <c r="H616" t="inlineStr">
        <is>
          <t>4¹, 8¹, 20¹, 40¹</t>
        </is>
      </c>
      <c r="I616" t="n">
        <v>4</v>
      </c>
      <c r="J616" t="inlineStr">
        <is>
          <t>1⁶, 4³</t>
        </is>
      </c>
      <c r="K616">
        <f>HYPERLINK("CSG1.html#group20E1", "20E¹")</f>
        <v/>
      </c>
      <c r="L616">
        <f>HYPERLINK("CSG5.html#group40L5", "40L⁵"), =HYPERLINK("CSG7.html#group40R7", "40R⁷"), =HYPERLINK("CSG7.html#group40P7", "40P⁷"), =HYPERLINK("CSG9.html#group40G9", "40G⁹"), =HYPERLINK("CSG9.html#group40I9", "40I⁹"), =HYPERLINK("CSG9.html#group80M9", "80M⁹"), =HYPERLINK("CSG9.html#group80N9", "80N⁹"), =HYPERLINK("CSG9.html#group80P9", "80P⁹"), =HYPERLINK("CSG11.html#group120A11", "120A¹¹"), =HYPERLINK("CSG21.html#group120A21", "120A²¹"), =HYPERLINK("CSG23.html#group40C23", "40C²³"), =HYPERLINK("CSG23.html#group200A23", "200A²³")</f>
        <v/>
      </c>
      <c r="M616">
        <f>HYPERLINK("CSG0.html#group5B0", "5B⁰"), =HYPERLINK("CSG1.html#group20E1", "20E¹"), =HYPERLINK("CSG0.html#group10C0", "10C⁰"), =HYPERLINK("CSG0.html#group2B0", "2B⁰"), =HYPERLINK("CSG0.html#group1A0", "1A⁰"), =HYPERLINK("CSG0.html#group4C0", "4C⁰")</f>
        <v/>
      </c>
      <c r="N616">
        <f>HYPERLINK("CSG13.html#group40M13", "40M¹³"), =HYPERLINK("CSG17.html#group80AA17", "80AA¹⁷"), =HYPERLINK("CSG17.html#group40AB17", "40AB¹⁷"), =HYPERLINK("CSG17.html#group40AK17", "40AK¹⁷"), =HYPERLINK("CSG17.html#group80BF17", "80BF¹⁷"), =HYPERLINK("CSG21.html#group80J21", "80J²¹"), =HYPERLINK("CSG21.html#group80Z21", "80Z²¹"), =HYPERLINK("CSG19.html#group80X19", "80X¹⁹"), =HYPERLINK("CSG9.html#group40I9", "40I⁹"), =HYPERLINK("CSG9.html#group80N9", "80N⁹"), =HYPERLINK("CSG17.html#group40Y17", "40Y¹⁷"), =HYPERLINK("CSG17.html#group80AO17", "80AO¹⁷"), =HYPERLINK("CSG17.html#group40AJ17", "40AJ¹⁷"), =HYPERLINK("CSG21.html#group120O21", "120O²¹"), =HYPERLINK("CSG7.html#group40P7", "40P⁷"), =HYPERLINK("CSG13.html#group40V13", "40V¹³"), =HYPERLINK("CSG21.html#group80AD21", "80AD²¹"), =HYPERLINK("CSG23.html#group200A23", "200A²³"), =HYPERLINK("CSG19.html#group80W19", "80W¹⁹"), =HYPERLINK("CSG21.html#group80A21", "80A²¹"), =HYPERLINK("CSG21.html#group80AC21", "80AC²¹"), =HYPERLINK("CSG5.html#group40L5", "40L⁵"), =HYPERLINK("CSG17.html#group80BC17", "80BC¹⁷"), =HYPERLINK("CSG17.html#group40W17", "40W¹⁷"), =HYPERLINK("CSG13.html#group80C13", "80C¹³"), =HYPERLINK("CSG17.html#group80AS17", "80AS¹⁷"), =HYPERLINK("CSG11.html#group120A11", "120A¹¹"), =HYPERLINK("CSG9.html#group80P9", "80P⁹"), =HYPERLINK("CSG17.html#group40AH17", "40AH¹⁷"), =HYPERLINK("CSG21.html#group80B21", "80B²¹"), =HYPERLINK("CSG13.html#group40N13", "40N¹³"), =HYPERLINK("CSG17.html#group40AT17", "40AT¹⁷"), =HYPERLINK("CSG21.html#group80R21", "80R²¹"), =HYPERLINK("CSG13.html#group40U13", "40U¹³"), =HYPERLINK("CSG17.html#group40AF17", "40AF¹⁷"), =HYPERLINK("CSG17.html#group40U17", "40U¹⁷"), =HYPERLINK("CSG19.html#group80Z19", "80Z¹⁹"), =HYPERLINK("CSG19.html#group80Y19", "80Y¹⁹"), =HYPERLINK("CSG17.html#group80AT17", "80AT¹⁷"), =HYPERLINK("CSG9.html#group80M9", "80M⁹"), =HYPERLINK("CSG21.html#group120A21", "120A²¹"), =HYPERLINK("CSG13.html#group40W13", "40W¹³"), =HYPERLINK("CSG21.html#group80E21", "80E²¹"), =HYPERLINK("CSG7.html#group40R7", "40R⁷"), =HYPERLINK("CSG17.html#group80AF17", "80AF¹⁷"), =HYPERLINK("CSG23.html#group40C23", "40C²³"), =HYPERLINK("CSG17.html#group80AP17", "80AP¹⁷"), =HYPERLINK("CSG9.html#group40G9", "40G⁹")</f>
        <v/>
      </c>
    </row>
    <row r="617">
      <c r="A617" t="inlineStr">
        <is>
          <t>40D³</t>
        </is>
      </c>
      <c r="B617" t="inlineStr"/>
      <c r="C617" t="inlineStr">
        <is>
          <t>72</t>
        </is>
      </c>
      <c r="D617" t="inlineStr">
        <is>
          <t>1</t>
        </is>
      </c>
      <c r="E617" t="inlineStr">
        <is>
          <t>18</t>
        </is>
      </c>
      <c r="F617" t="inlineStr">
        <is>
          <t>8</t>
        </is>
      </c>
      <c r="G617" t="inlineStr">
        <is>
          <t>0</t>
        </is>
      </c>
      <c r="H617" t="inlineStr">
        <is>
          <t>4¹, 8¹, 20¹, 40¹</t>
        </is>
      </c>
      <c r="I617" t="n">
        <v>4</v>
      </c>
      <c r="J617" t="inlineStr">
        <is>
          <t>1⁶, 4³</t>
        </is>
      </c>
      <c r="K617">
        <f>HYPERLINK("CSG0.html#group8B0", "8B⁰"), =HYPERLINK("CSG1.html#group20E1", "20E¹")</f>
        <v/>
      </c>
      <c r="L617">
        <f>HYPERLINK("CSG5.html#group40L5", "40L⁵"), =HYPERLINK("CSG7.html#group40Q7", "40Q⁷"), =HYPERLINK("CSG7.html#group40S7", "40S⁷"), =HYPERLINK("CSG7.html#group40AA7", "40AA⁷"), =HYPERLINK("CSG7.html#group40AB7", "40AB⁷"), =HYPERLINK("CSG7.html#group80C7", "80C⁷"), =HYPERLINK("CSG7.html#group80D7", "80D⁷"), =HYPERLINK("CSG9.html#group40H9", "40H⁹"), =HYPERLINK("CSG9.html#group40J9", "40J⁹"), =HYPERLINK("CSG9.html#group80G9", "80G⁹"), =HYPERLINK("CSG9.html#group80H9", "80H⁹"), =HYPERLINK("CSG9.html#group80K9", "80K⁹"), =HYPERLINK("CSG9.html#group80L9", "80L⁹"), =HYPERLINK("CSG11.html#group80A11", "80A¹¹"), =HYPERLINK("CSG11.html#group80B11", "80B¹¹"), =HYPERLINK("CSG11.html#group120B11", "120B¹¹"), =HYPERLINK("CSG21.html#group120C21", "120C²¹"), =HYPERLINK("CSG23.html#group40D23", "40D²³"), =HYPERLINK("CSG23.html#group200B23", "200B²³")</f>
        <v/>
      </c>
      <c r="M617">
        <f>HYPERLINK("CSG1.html#group20E1", "20E¹"), =HYPERLINK("CSG0.html#group4C0", "4C⁰"), =HYPERLINK("CSG0.html#group8B0", "8B⁰"), =HYPERLINK("CSG0.html#group5B0", "5B⁰"), =HYPERLINK("CSG0.html#group10C0", "10C⁰"), =HYPERLINK("CSG0.html#group2B0", "2B⁰"), =HYPERLINK("CSG0.html#group1A0", "1A⁰")</f>
        <v/>
      </c>
      <c r="N617">
        <f>HYPERLINK("CSG13.html#group40M13", "40M¹³"), =HYPERLINK("CSG17.html#group80AA17", "80AA¹⁷"), =HYPERLINK("CSG19.html#group80AC19", "80AC¹⁹"), =HYPERLINK("CSG17.html#group80AX17", "80AX¹⁷"), =HYPERLINK("CSG7.html#group40Q7", "40Q⁷"), =HYPERLINK("CSG21.html#group80M21", "80M²¹"), =HYPERLINK("CSG21.html#group80F21", "80F²¹"), =HYPERLINK("CSG19.html#group80AA19", "80AA¹⁹"), =HYPERLINK("CSG17.html#group40X17", "40X¹⁷"), =HYPERLINK("CSG17.html#group40AL17", "40AL¹⁷"), =HYPERLINK("CSG21.html#group80AA21", "80AA²¹"), =HYPERLINK("CSG11.html#group120B11", "120B¹¹"), =HYPERLINK("CSG21.html#group80AB21", "80AB²¹"), =HYPERLINK("CSG21.html#group160I21", "160I²¹"), =HYPERLINK("CSG21.html#group120O21", "120O²¹"), =HYPERLINK("CSG21.html#group160J21", "160J²¹"), =HYPERLINK("CSG9.html#group80L9", "80L⁹"), =HYPERLINK("CSG17.html#group80AB17", "80AB¹⁷"), =HYPERLINK("CSG21.html#group160N21", "160N²¹"), =HYPERLINK("CSG21.html#group160M21", "160M²¹"), =HYPERLINK("CSG11.html#group80B11", "80B¹¹"), =HYPERLINK("CSG21.html#group80I21", "80I²¹"), =HYPERLINK("CSG21.html#group80C21", "80C²¹"), =HYPERLINK("CSG11.html#group80A11", "80A¹¹"), =HYPERLINK("CSG17.html#group80AU17", "80AU¹⁷"), =HYPERLINK("CSG21.html#group80Q21", "80Q²¹"), =HYPERLINK("CSG15.html#group40AF15", "40AF¹⁵"), =HYPERLINK("CSG5.html#group40L5", "40L⁵"), =HYPERLINK("CSG21.html#group160P21", "160P²¹"), =HYPERLINK("CSG21.html#group80L21", "80L²¹"), =HYPERLINK("CSG21.html#group80X21", "80X²¹"), =HYPERLINK("CSG21.html#group80G21", "80G²¹"), =HYPERLINK("CSG17.html#group80AE17", "80AE¹⁷"), =HYPERLINK("CSG17.html#group160G17", "160G¹⁷"), =HYPERLINK("CSG13.html#group40U13", "40U¹³"), =HYPERLINK("CSG21.html#group160K21", "160K²¹"), =HYPERLINK("CSG9.html#group40H9", "40H⁹"), =HYPERLINK("CSG9.html#group80K9", "80K⁹"), =HYPERLINK("CSG21.html#group120C21", "120C²¹"), =HYPERLINK("CSG17.html#group80AT17", "80AT¹⁷"), =HYPERLINK("CSG19.html#group160N19", "160N¹⁹"), =HYPERLINK("CSG23.html#group240A23", "240A²³"), =HYPERLINK("CSG17.html#group80AW17", "80AW¹⁷"), =HYPERLINK("CSG7.html#group80D7", "80D⁷"), =HYPERLINK("CSG13.html#group40W13", "40W¹³"), =HYPERLINK("CSG9.html#group80H9", "80H⁹"), =HYPERLINK("CSG21.html#group80E21", "80E²¹"), =HYPERLINK("CSG17.html#group80AF17", "80AF¹⁷"), =HYPERLINK("CSG19.html#group160M19", "160M¹⁹"), =HYPERLINK("CSG23.html#group40D23", "40D²³"), =HYPERLINK("CSG9.html#group80G9", "80G⁹"), =HYPERLINK("CSG17.html#group40AO17", "40AO¹⁷"), =HYPERLINK("CSG17.html#group40AP17", "40AP¹⁷"), =HYPERLINK("CSG17.html#group80AV17", "80AV¹⁷"), =HYPERLINK("CSG19.html#group80AE19", "80AE¹⁹"), =HYPERLINK("CSG19.html#group80AD19", "80AD¹⁹"), =HYPERLINK("CSG21.html#group80O21", "80O²¹"), =HYPERLINK("CSG7.html#group80C7", "80C⁷"), =HYPERLINK("CSG17.html#group80AL17", "80AL¹⁷"), =HYPERLINK("CSG17.html#group40Y17", "40Y¹⁷"), =HYPERLINK("CSG17.html#group40AE17", "40AE¹⁷"), =HYPERLINK("CSG17.html#group40AM17", "40AM¹⁷"), =HYPERLINK("CSG7.html#group40S7", "40S⁷"), =HYPERLINK("CSG21.html#group80W21", "80W²¹"), =HYPERLINK("CSG13.html#group40V13", "40V¹³"), =HYPERLINK("CSG21.html#group160G21", "160G²¹"), =HYPERLINK("CSG23.html#group200B23", "200B²³"), =HYPERLINK("CSG21.html#group160H21", "160H²¹"), =HYPERLINK("CSG19.html#group80V19", "80V¹⁹"), =HYPERLINK("CSG19.html#group80AB19", "80AB¹⁹"), =HYPERLINK("CSG21.html#group160L21", "160L²¹"), =HYPERLINK("CSG23.html#group240B23", "240B²³"), =HYPERLINK("CSG17.html#group80BC17", "80BC¹⁷"), =HYPERLINK("CSG17.html#group80AS17", "80AS¹⁷"), =HYPERLINK("CSG13.html#group80C13", "80C¹³"), =HYPERLINK("CSG13.html#group40N13", "40N¹³"), =HYPERLINK("CSG21.html#group80N21", "80N²¹"), =HYPERLINK("CSG15.html#group40AE15", "40AE¹⁵"), =HYPERLINK("CSG21.html#group160O21", "160O²¹"), =HYPERLINK("CSG21.html#group80P21", "80P²¹"), =HYPERLINK("CSG19.html#group80U19", "80U¹⁹"), =HYPERLINK("CSG17.html#group40AA17", "40AA¹⁷"), =HYPERLINK("CSG17.html#group40V17", "40V¹⁷"), =HYPERLINK("CSG17.html#group80AD17", "80AD¹⁷"), =HYPERLINK("CSG21.html#group80V21", "80V²¹"), =HYPERLINK("CSG9.html#group40J9", "40J⁹"), =HYPERLINK("CSG21.html#group80K21", "80K²¹"), =HYPERLINK("CSG7.html#group40AB7", "40AB⁷"), =HYPERLINK("CSG21.html#group80H21", "80H²¹"), =HYPERLINK("CSG17.html#group40AD17", "40AD¹⁷"), =HYPERLINK("CSG7.html#group40AA7", "40AA⁷"), =HYPERLINK("CSG15.html#group40AI15", "40AI¹⁵"), =HYPERLINK("CSG17.html#group80AQ17", "80AQ¹⁷"), =HYPERLINK("CSG17.html#group160H17", "160H¹⁷"), =HYPERLINK("CSG17.html#group80AC17", "80AC¹⁷"), =HYPERLINK("CSG21.html#group80D21", "80D²¹"), =HYPERLINK("CSG17.html#group40AG17", "40AG¹⁷"), =HYPERLINK("CSG17.html#group80AK17", "80AK¹⁷"), =HYPERLINK("CSG17.html#group80AR17", "80AR¹⁷")</f>
        <v/>
      </c>
    </row>
    <row r="618">
      <c r="A618" t="inlineStr">
        <is>
          <t>40E³</t>
        </is>
      </c>
      <c r="B618" t="inlineStr"/>
      <c r="C618" t="inlineStr">
        <is>
          <t>72</t>
        </is>
      </c>
      <c r="D618" t="inlineStr">
        <is>
          <t>1</t>
        </is>
      </c>
      <c r="E618" t="inlineStr">
        <is>
          <t>36</t>
        </is>
      </c>
      <c r="F618" t="inlineStr">
        <is>
          <t>0</t>
        </is>
      </c>
      <c r="G618" t="inlineStr">
        <is>
          <t>0</t>
        </is>
      </c>
      <c r="H618" t="inlineStr">
        <is>
          <t>1², 2¹, 5², 8¹, 10¹, 40¹</t>
        </is>
      </c>
      <c r="I618" t="n">
        <v>8</v>
      </c>
      <c r="J618" t="inlineStr">
        <is>
          <t>1⁸, 2², 4⁴, 8¹</t>
        </is>
      </c>
      <c r="K618">
        <f>HYPERLINK("CSG1.html#group20D1", "20D¹")</f>
        <v/>
      </c>
      <c r="L618">
        <f>HYPERLINK("CSG5.html#group40M5", "40M⁵"), =HYPERLINK("CSG7.html#group40L7", "40L⁷"), =HYPERLINK("CSG7.html#group40O7", "40O⁷"), =HYPERLINK("CSG7.html#group80K7", "80K⁷"), =HYPERLINK("CSG9.html#group80O9", "80O⁹"), =HYPERLINK("CSG15.html#group120E15", "120E¹⁵"), =HYPERLINK("CSG17.html#group120N17", "120N¹⁷"), =HYPERLINK("CSG19.html#group40L19", "40L¹⁹"), =HYPERLINK("CSG19.html#group200I19", "200I¹⁹")</f>
        <v/>
      </c>
      <c r="M618">
        <f>HYPERLINK("CSG0.html#group5B0", "5B⁰"), =HYPERLINK("CSG0.html#group10C0", "10C⁰"), =HYPERLINK("CSG1.html#group20D1", "20D¹"), =HYPERLINK("CSG0.html#group2B0", "2B⁰"), =HYPERLINK("CSG0.html#group4B0", "4B⁰"), =HYPERLINK("CSG0.html#group1A0", "1A⁰")</f>
        <v/>
      </c>
      <c r="N618">
        <f>HYPERLINK("CSG13.html#group80G13", "80G¹³"), =HYPERLINK("CSG7.html#group40L7", "40L⁷"), =HYPERLINK("CSG15.html#group120E15", "120E¹⁵"), =HYPERLINK("CSG7.html#group40O7", "40O⁷"), =HYPERLINK("CSG9.html#group40W9", "40W⁹"), =HYPERLINK("CSG15.html#group40AA15", "40AA¹⁵"), =HYPERLINK("CSG13.html#group40K13", "40K¹³"), =HYPERLINK("CSG17.html#group40V17", "40V¹⁷"), =HYPERLINK("CSG15.html#group40AB15", "40AB¹⁵"), =HYPERLINK("CSG17.html#group40U17", "40U¹⁷"), =HYPERLINK("CSG17.html#group40AS17", "40AS¹⁷"), =HYPERLINK("CSG19.html#group200I19", "200I¹⁹"), =HYPERLINK("CSG13.html#group40P13", "40P¹³"), =HYPERLINK("CSG17.html#group80Y17", "80Y¹⁷"), =HYPERLINK("CSG17.html#group80X17", "80X¹⁷"), =HYPERLINK("CSG15.html#group80P15", "80P¹⁵"), =HYPERLINK("CSG13.html#group40L13", "40L¹³"), =HYPERLINK("CSG19.html#group80N19", "80N¹⁹"), =HYPERLINK("CSG17.html#group80BE17", "80BE¹⁷"), =HYPERLINK("CSG13.html#group80F13", "80F¹³"), =HYPERLINK("CSG15.html#group40Z15", "40Z¹⁵"), =HYPERLINK("CSG19.html#group40L19", "40L¹⁹"), =HYPERLINK("CSG13.html#group40O13", "40O¹³"), =HYPERLINK("CSG5.html#group40M5", "40M⁵"), =HYPERLINK("CSG13.html#group80D13", "80D¹³"), =HYPERLINK("CSG9.html#group80O9", "80O⁹"), =HYPERLINK("CSG17.html#group80BD17", "80BD¹⁷"), =HYPERLINK("CSG19.html#group80T19", "80T¹⁹"), =HYPERLINK("CSG17.html#group80V17", "80V¹⁷"), =HYPERLINK("CSG13.html#group80E13", "80E¹³"), =HYPERLINK("CSG15.html#group80V15", "80V¹⁵"), =HYPERLINK("CSG7.html#group80K7", "80K⁷"), =HYPERLINK("CSG17.html#group120N17", "120N¹⁷"), =HYPERLINK("CSG17.html#group80U17", "80U¹⁷")</f>
        <v/>
      </c>
    </row>
    <row r="619">
      <c r="A619" t="inlineStr">
        <is>
          <t>40F³</t>
        </is>
      </c>
      <c r="B619" t="inlineStr">
        <is>
          <t>Γ₀(40)</t>
        </is>
      </c>
      <c r="C619" t="inlineStr">
        <is>
          <t>72</t>
        </is>
      </c>
      <c r="D619" t="inlineStr">
        <is>
          <t>1</t>
        </is>
      </c>
      <c r="E619" t="inlineStr">
        <is>
          <t>36</t>
        </is>
      </c>
      <c r="F619" t="inlineStr">
        <is>
          <t>0</t>
        </is>
      </c>
      <c r="G619" t="inlineStr">
        <is>
          <t>0</t>
        </is>
      </c>
      <c r="H619" t="inlineStr">
        <is>
          <t>1², 2¹, 5², 8¹, 10¹, 40¹</t>
        </is>
      </c>
      <c r="I619" t="n">
        <v>8</v>
      </c>
      <c r="J619" t="inlineStr">
        <is>
          <t>1⁸, 2², 4⁴, 8¹</t>
        </is>
      </c>
      <c r="K619">
        <f>HYPERLINK("CSG0.html#group8C0", "8C⁰"), =HYPERLINK("CSG1.html#group20D1", "20D¹")</f>
        <v/>
      </c>
      <c r="L619">
        <f>HYPERLINK("CSG5.html#group40M5", "40M⁵"), =HYPERLINK("CSG7.html#group40M7", "40M⁷"), =HYPERLINK("CSG7.html#group40O7", "40O⁷"), =HYPERLINK("CSG7.html#group40U7", "40U⁷"), =HYPERLINK("CSG7.html#group40V7", "40V⁷"), =HYPERLINK("CSG7.html#group80E7", "80E⁷"), =HYPERLINK("CSG7.html#group80F7", "80F⁷"), =HYPERLINK("CSG7.html#group80G7", "80G⁷"), =HYPERLINK("CSG7.html#group80H7", "80H⁷"), =HYPERLINK("CSG9.html#group80E9", "80E⁹"), =HYPERLINK("CSG9.html#group80F9", "80F⁹"), =HYPERLINK("CSG15.html#group120F15", "120F¹⁵"), =HYPERLINK("CSG17.html#group120O17", "120O¹⁷"), =HYPERLINK("CSG19.html#group40M19", "40M¹⁹"), =HYPERLINK("CSG19.html#group200J19", "200J¹⁹")</f>
        <v/>
      </c>
      <c r="M619">
        <f>HYPERLINK("CSG0.html#group5B0", "5B⁰"),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619">
        <f>HYPERLINK("CSG13.html#group80G13", "80G¹³"), =HYPERLINK("CSG7.html#group80F7", "80F⁷"), =HYPERLINK("CSG21.html#group160R21", "160R²¹"), =HYPERLINK("CSG13.html#group40K13", "40K¹³"), =HYPERLINK("CSG17.html#group40X17", "40X¹⁷"), =HYPERLINK("CSG17.html#group80X17", "80X¹⁷"), =HYPERLINK("CSG15.html#group40Z15", "40Z¹⁵"), =HYPERLINK("CSG5.html#group40M5", "40M⁵"), =HYPERLINK("CSG19.html#group160J19", "160J¹⁹"), =HYPERLINK("CSG15.html#group80Q15", "80Q¹⁵"), =HYPERLINK("CSG19.html#group200J19", "200J¹⁹"), =HYPERLINK("CSG19.html#group80M19", "80M¹⁹"), =HYPERLINK("CSG21.html#group160A21", "160A²¹"), =HYPERLINK("CSG15.html#group160A15", "160A¹⁵"), =HYPERLINK("CSG9.html#group40W9", "40W⁹"), =HYPERLINK("CSG15.html#group40AA15", "40AA¹⁵"), =HYPERLINK("CSG7.html#group80H7", "80H⁷"), =HYPERLINK("CSG19.html#group160L19", "160L¹⁹"), =HYPERLINK("CSG15.html#group40W15", "40W¹⁵"), =HYPERLINK("CSG15.html#group120F15", "120F¹⁵"), =HYPERLINK("CSG21.html#group160B21", "160B²¹"), =HYPERLINK("CSG17.html#group80Y17", "80Y¹⁷"), =HYPERLINK("CSG9.html#group80E9", "80E⁹"), =HYPERLINK("CSG15.html#group160B15", "160B¹⁵"), =HYPERLINK("CSG7.html#group40M7", "40M⁷"), =HYPERLINK("CSG13.html#group40O13", "40O¹³"), =HYPERLINK("CSG13.html#group80E13", "80E¹³"), =HYPERLINK("CSG17.html#group80Z17", "80Z¹⁷"), =HYPERLINK("CSG17.html#group80U17", "80U¹⁷"), =HYPERLINK("CSG15.html#group160C15", "160C¹⁵"), =HYPERLINK("CSG15.html#group80S15", "80S¹⁵"), =HYPERLINK("CSG15.html#group80T15", "80T¹⁵"), =HYPERLINK("CSG17.html#group40AS17", "40AS¹⁷"), =HYPERLINK("CSG13.html#group40P13", "40P¹³"), =HYPERLINK("CSG19.html#group160K19", "160K¹⁹"), =HYPERLINK("CSG21.html#group160Q21", "160Q²¹"), =HYPERLINK("CSG13.html#group40L13", "40L¹³"), =HYPERLINK("CSG21.html#group160E21", "160E²¹"), =HYPERLINK("CSG21.html#group160S21", "160S²¹"), =HYPERLINK("CSG17.html#group80AJ17", "80AJ¹⁷"), =HYPERLINK("CSG17.html#group120O17", "120O¹⁷"), =HYPERLINK("CSG17.html#group80V17", "80V¹⁷"), =HYPERLINK("CSG15.html#group40X15", "40X¹⁵"), =HYPERLINK("CSG17.html#group80W17", "80W¹⁷"), =HYPERLINK("CSG7.html#group80E7", "80E⁷"), =HYPERLINK("CSG17.html#group80AG17", "80AG¹⁷"), =HYPERLINK("CSG15.html#group80O15", "80O¹⁵"), =HYPERLINK("CSG21.html#group160F21", "160F²¹"), =HYPERLINK("CSG17.html#group40W17", "40W¹⁷"), =HYPERLINK("CSG7.html#group40U7", "40U⁷"), =HYPERLINK("CSG7.html#group40O7", "40O⁷"), =HYPERLINK("CSG17.html#group80AI17", "80AI¹⁷"), =HYPERLINK("CSG9.html#group80F9", "80F⁹"), =HYPERLINK("CSG17.html#group160E17", "160E¹⁷"), =HYPERLINK("CSG17.html#group160M17", "160M¹⁷"), =HYPERLINK("CSG7.html#group80G7", "80G⁷"), =HYPERLINK("CSG7.html#group40V7", "40V⁷"), =HYPERLINK("CSG17.html#group80AH17", "80AH¹⁷"), =HYPERLINK("CSG19.html#group40M19", "40M¹⁹"), =HYPERLINK("CSG17.html#group80BE17", "80BE¹⁷"), =HYPERLINK("CSG13.html#group80F13", "80F¹³"), =HYPERLINK("CSG19.html#group80L19", "80L¹⁹"), =HYPERLINK("CSG13.html#group80D13", "80D¹³"), =HYPERLINK("CSG19.html#group80T19", "80T¹⁹"), =HYPERLINK("CSG21.html#group160C21", "160C²¹"), =HYPERLINK("CSG17.html#group160F17", "160F¹⁷"), =HYPERLINK("CSG15.html#group80R15", "80R¹⁵"), =HYPERLINK("CSG15.html#group80V15", "80V¹⁵"), =HYPERLINK("CSG21.html#group160D21", "160D²¹"), =HYPERLINK("CSG15.html#group80N15", "80N¹⁵")</f>
        <v/>
      </c>
    </row>
    <row r="620">
      <c r="A620" t="inlineStr">
        <is>
          <t>40G³</t>
        </is>
      </c>
      <c r="B620" t="inlineStr"/>
      <c r="C620" t="inlineStr">
        <is>
          <t>72</t>
        </is>
      </c>
      <c r="D620" t="inlineStr">
        <is>
          <t>1</t>
        </is>
      </c>
      <c r="E620" t="inlineStr">
        <is>
          <t>36</t>
        </is>
      </c>
      <c r="F620" t="inlineStr">
        <is>
          <t>4</t>
        </is>
      </c>
      <c r="G620" t="inlineStr">
        <is>
          <t>0</t>
        </is>
      </c>
      <c r="H620" t="inlineStr">
        <is>
          <t>2², 8¹, 10², 40¹</t>
        </is>
      </c>
      <c r="I620" t="n">
        <v>6</v>
      </c>
      <c r="J620" t="inlineStr">
        <is>
          <t>1⁴, 2⁴, 4², 8²</t>
        </is>
      </c>
      <c r="K620">
        <f>HYPERLINK("CSG1.html#group20E1", "20E¹")</f>
        <v/>
      </c>
      <c r="L620">
        <f>HYPERLINK("CSG5.html#group40N5", "40N⁵"), =HYPERLINK("CSG7.html#group40L7", "40L⁷"), =HYPERLINK("CSG7.html#group40N7", "40N⁷"), =HYPERLINK("CSG7.html#group40R7", "40R⁷"), =HYPERLINK("CSG7.html#group40Q7", "40Q⁷"), =HYPERLINK("CSG9.html#group40O9", "40O⁹"), =HYPERLINK("CSG9.html#group40M9", "40M⁹"), =HYPERLINK("CSG13.html#group120E13", "120E¹³"), =HYPERLINK("CSG19.html#group120K19", "120K¹⁹"), =HYPERLINK("CSG21.html#group40H21", "40H²¹"), =HYPERLINK("CSG21.html#group200A21", "200A²¹")</f>
        <v/>
      </c>
      <c r="M620">
        <f>HYPERLINK("CSG0.html#group5B0", "5B⁰"), =HYPERLINK("CSG1.html#group20E1", "20E¹"), =HYPERLINK("CSG0.html#group10C0", "10C⁰"), =HYPERLINK("CSG0.html#group2B0", "2B⁰"), =HYPERLINK("CSG0.html#group1A0", "1A⁰"), =HYPERLINK("CSG0.html#group4C0", "4C⁰")</f>
        <v/>
      </c>
      <c r="N620">
        <f>HYPERLINK("CSG13.html#group40M13", "40M¹³"), =HYPERLINK("CSG17.html#group80AN17", "80AN¹⁷"), =HYPERLINK("CSG7.html#group40L7", "40L⁷"), =HYPERLINK("CSG17.html#group40AB17", "40AB¹⁷"), =HYPERLINK("CSG19.html#group40F19", "40F¹⁹"), =HYPERLINK("CSG7.html#group40Q7", "40Q⁷"), =HYPERLINK("CSG17.html#group40AK17", "40AK¹⁷"), =HYPERLINK("CSG17.html#group80BF17", "80BF¹⁷"), =HYPERLINK("CSG19.html#group40D19", "40D¹⁹"), =HYPERLINK("CSG17.html#group80AM17", "80AM¹⁷"), =HYPERLINK("CSG13.html#group40K13", "40K¹³"), =HYPERLINK("CSG19.html#group80AA19", "80AA¹⁹"), =HYPERLINK("CSG21.html#group200A21", "200A²¹"), =HYPERLINK("CSG17.html#group40AJ17", "40AJ¹⁷"), =HYPERLINK("CSG7.html#group40N7", "40N⁷"), =HYPERLINK("CSG17.html#group80AB17", "80AB¹⁷"), =HYPERLINK("CSG13.html#group80H13", "80H¹³"), =HYPERLINK("CSG17.html#group80BD17", "80BD¹⁷"), =HYPERLINK("CSG13.html#group80I13", "80I¹³"), =HYPERLINK("CSG21.html#group80L21", "80L²¹"), =HYPERLINK("CSG19.html#group80O19", "80O¹⁹"), =HYPERLINK("CSG9.html#group40O9", "40O⁹"), =HYPERLINK("CSG19.html#group120K19", "120K¹⁹"), =HYPERLINK("CSG17.html#group40AA17", "40AA¹⁷"), =HYPERLINK("CSG11.html#group40K11", "40K¹¹"), =HYPERLINK("CSG17.html#group40Z17", "40Z¹⁷"), =HYPERLINK("CSG17.html#group40V17", "40V¹⁷"), =HYPERLINK("CSG15.html#group40AB15", "40AB¹⁵"), =HYPERLINK("CSG17.html#group40U17", "40U¹⁷"), =HYPERLINK("CSG19.html#group80Z19", "80Z¹⁹"), =HYPERLINK("CSG21.html#group80K21", "80K²¹"), =HYPERLINK("CSG19.html#group80Y19", "80Y¹⁹"), =HYPERLINK("CSG21.html#group80AE21", "80AE²¹"), =HYPERLINK("CSG21.html#group40H21", "40H²¹"), =HYPERLINK("CSG9.html#group40M9", "40M⁹"), =HYPERLINK("CSG13.html#group120E13", "120E¹³"), =HYPERLINK("CSG15.html#group80P15", "80P¹⁵"), =HYPERLINK("CSG19.html#group80N19", "80N¹⁹"), =HYPERLINK("CSG15.html#group40AI15", "40AI¹⁵"), =HYPERLINK("CSG17.html#group80AC17", "80AC¹⁷"), =HYPERLINK("CSG7.html#group40R7", "40R⁷"), =HYPERLINK("CSG15.html#group80U15", "80U¹⁵"), =HYPERLINK("CSG5.html#group40N5", "40N⁵"), =HYPERLINK("CSG15.html#group40AH15", "40AH¹⁵")</f>
        <v/>
      </c>
    </row>
    <row r="621">
      <c r="A621" t="inlineStr">
        <is>
          <t>40H³</t>
        </is>
      </c>
      <c r="B621" t="inlineStr"/>
      <c r="C621" t="inlineStr">
        <is>
          <t>72</t>
        </is>
      </c>
      <c r="D621" t="inlineStr">
        <is>
          <t>1</t>
        </is>
      </c>
      <c r="E621" t="inlineStr">
        <is>
          <t>36</t>
        </is>
      </c>
      <c r="F621" t="inlineStr">
        <is>
          <t>4</t>
        </is>
      </c>
      <c r="G621" t="inlineStr">
        <is>
          <t>0</t>
        </is>
      </c>
      <c r="H621" t="inlineStr">
        <is>
          <t>2², 8¹, 10², 40¹</t>
        </is>
      </c>
      <c r="I621" t="n">
        <v>6</v>
      </c>
      <c r="J621" t="inlineStr">
        <is>
          <t>1⁴, 2⁴, 4², 8²</t>
        </is>
      </c>
      <c r="K621">
        <f>HYPERLINK("CSG0.html#group8D0", "8D⁰"), =HYPERLINK("CSG1.html#group20E1", "20E¹")</f>
        <v/>
      </c>
      <c r="L621">
        <f>HYPERLINK("CSG5.html#group40N5", "40N⁵"), =HYPERLINK("CSG7.html#group40M7", "40M⁷"), =HYPERLINK("CSG7.html#group40N7", "40N⁷"), =HYPERLINK("CSG7.html#group40P7", "40P⁷"), =HYPERLINK("CSG7.html#group40S7", "40S⁷"), =HYPERLINK("CSG7.html#group80I7", "80I⁷"), =HYPERLINK("CSG7.html#group80J7", "80J⁷"), =HYPERLINK("CSG9.html#group40N9", "40N⁹"), =HYPERLINK("CSG9.html#group40P9", "40P⁹"), =HYPERLINK("CSG9.html#group80I9", "80I⁹"), =HYPERLINK("CSG9.html#group80J9", "80J⁹"), =HYPERLINK("CSG13.html#group120F13", "120F¹³"), =HYPERLINK("CSG19.html#group120L19", "120L¹⁹"), =HYPERLINK("CSG21.html#group40I21", "40I²¹"), =HYPERLINK("CSG21.html#group200B21", "200B²¹")</f>
        <v/>
      </c>
      <c r="M621">
        <f>HYPERLINK("CSG0.html#group5B0", "5B⁰"), =HYPERLINK("CSG1.html#group20E1", "20E¹"), =HYPERLINK("CSG0.html#group10C0", "10C⁰"), =HYPERLINK("CSG0.html#group1A0", "1A⁰"), =HYPERLINK("CSG0.html#group2B0", "2B⁰"), =HYPERLINK("CSG0.html#group8D0", "8D⁰"), =HYPERLINK("CSG0.html#group4C0", "4C⁰")</f>
        <v/>
      </c>
      <c r="N621">
        <f>HYPERLINK("CSG17.html#group80AN17", "80AN¹⁷"), =HYPERLINK("CSG9.html#group80I9", "80I⁹"), =HYPERLINK("CSG13.html#group40M13", "40M¹³"), =HYPERLINK("CSG17.html#group160I17", "160I¹⁷"), =HYPERLINK("CSG21.html#group80M21", "80M²¹"), =HYPERLINK("CSG17.html#group80AM17", "80AM¹⁷"), =HYPERLINK("CSG13.html#group40K13", "40K¹³"), =HYPERLINK("CSG17.html#group40X17", "40X¹⁷"), =HYPERLINK("CSG17.html#group40AL17", "40AL¹⁷"), =HYPERLINK("CSG7.html#group40P7", "40P⁷"), =HYPERLINK("CSG19.html#group80W19", "80W¹⁹"), =HYPERLINK("CSG13.html#group120F13", "120F¹³"), =HYPERLINK("CSG13.html#group80I13", "80I¹³"), =HYPERLINK("CSG19.html#group80M19", "80M¹⁹"), =HYPERLINK("CSG15.html#group40AF15", "40AF¹⁵"), =HYPERLINK("CSG19.html#group80O19", "80O¹⁹"), =HYPERLINK("CSG17.html#group80AE17", "80AE¹⁷"), =HYPERLINK("CSG11.html#group40K11", "40K¹¹"), =HYPERLINK("CSG17.html#group40Z17", "40Z¹⁷"), =HYPERLINK("CSG21.html#group200B21", "200B²¹"), =HYPERLINK("CSG15.html#group40W15", "40W¹⁵"), =HYPERLINK("CSG19.html#group80R19", "80R¹⁹"), =HYPERLINK("CSG17.html#group80AP17", "80AP¹⁷"), =HYPERLINK("CSG7.html#group40M7", "40M⁷"), =HYPERLINK("CSG19.html#group80P19", "80P¹⁹"), =HYPERLINK("CSG21.html#group80T21", "80T²¹"), =HYPERLINK("CSG21.html#group160U21", "160U²¹"), =HYPERLINK("CSG5.html#group40N5", "40N⁵"), =HYPERLINK("CSG17.html#group80Z17", "80Z¹⁷"), =HYPERLINK("CSG15.html#group40AH15", "40AH¹⁵"), =HYPERLINK("CSG17.html#group40AO17", "40AO¹⁷"), =HYPERLINK("CSG17.html#group40AB17", "40AB¹⁷"), =HYPERLINK("CSG17.html#group40AP17", "40AP¹⁷"), =HYPERLINK("CSG9.html#group40N9", "40N⁹"), =HYPERLINK("CSG19.html#group80S19", "80S¹⁹"), =HYPERLINK("CSG21.html#group80O21", "80O²¹"), =HYPERLINK("CSG7.html#group80J7", "80J⁷"), =HYPERLINK("CSG17.html#group80AL17", "80AL¹⁷"), =HYPERLINK("CSG19.html#group80X19", "80X¹⁹"), =HYPERLINK("CSG21.html#group40I21", "40I²¹"), =HYPERLINK("CSG17.html#group80AO17", "80AO¹⁷"), =HYPERLINK("CSG17.html#group40AM17", "40AM¹⁷"), =HYPERLINK("CSG7.html#group40S7", "40S⁷"), =HYPERLINK("CSG9.html#group40P9", "40P⁹"), =HYPERLINK("CSG21.html#group160T21", "160T²¹"), =HYPERLINK("CSG7.html#group40N7", "40N⁷"), =HYPERLINK("CSG17.html#group160L17", "160L¹⁷"), =HYPERLINK("CSG13.html#group80H13", "80H¹³"), =HYPERLINK("CSG7.html#group80I7", "80I⁷"), =HYPERLINK("CSG15.html#group40X15", "40X¹⁵"), =HYPERLINK("CSG17.html#group80W17", "80W¹⁷"), =HYPERLINK("CSG19.html#group80V19", "80V¹⁹"), =HYPERLINK("CSG15.html#group80O15", "80O¹⁵"), =HYPERLINK("CSG17.html#group40W17", "40W¹⁷"), =HYPERLINK("CSG19.html#group120L19", "120L¹⁹"), =HYPERLINK("CSG17.html#group40AT17", "40AT¹⁷"), =HYPERLINK("CSG19.html#group40E19", "40E¹⁹"), =HYPERLINK("CSG15.html#group40AE15", "40AE¹⁵"), =HYPERLINK("CSG19.html#group80U19", "80U¹⁹"), =HYPERLINK("CSG17.html#group40AA17", "40AA¹⁷"), =HYPERLINK("CSG9.html#group80J9", "80J⁹"), =HYPERLINK("CSG19.html#group40G19", "40G¹⁹"), =HYPERLINK("CSG17.html#group80AD17", "80AD¹⁷"), =HYPERLINK("CSG19.html#group80Q19", "80Q¹⁹"), =HYPERLINK("CSG17.html#group80AQ17", "80AQ¹⁷"), =HYPERLINK("CSG19.html#group80L19", "80L¹⁹"), =HYPERLINK("CSG17.html#group160K17", "160K¹⁷"), =HYPERLINK("CSG17.html#group160J17", "160J¹⁷"), =HYPERLINK("CSG15.html#group80U15", "80U¹⁵"), =HYPERLINK("CSG21.html#group80S21", "80S²¹"), =HYPERLINK("CSG17.html#group80AK17", "80AK¹⁷"), =HYPERLINK("CSG15.html#group80N15", "80N¹⁵"), =HYPERLINK("CSG17.html#group80AR17", "80AR¹⁷")</f>
        <v/>
      </c>
    </row>
    <row r="622">
      <c r="A622" t="inlineStr">
        <is>
          <t>40I³</t>
        </is>
      </c>
      <c r="B622" t="inlineStr"/>
      <c r="C622" t="inlineStr">
        <is>
          <t>72</t>
        </is>
      </c>
      <c r="D622" t="inlineStr">
        <is>
          <t>2</t>
        </is>
      </c>
      <c r="E622" t="inlineStr">
        <is>
          <t>18</t>
        </is>
      </c>
      <c r="F622" t="inlineStr">
        <is>
          <t>4</t>
        </is>
      </c>
      <c r="G622" t="inlineStr">
        <is>
          <t>0</t>
        </is>
      </c>
      <c r="H622" t="inlineStr">
        <is>
          <t>2², 8¹, 10², 40¹</t>
        </is>
      </c>
      <c r="I622" t="n">
        <v>6</v>
      </c>
      <c r="J622" t="inlineStr">
        <is>
          <t>2⁶, 8³</t>
        </is>
      </c>
      <c r="K622">
        <f>HYPERLINK("CSG0.html#group20A0", "20A⁰")</f>
        <v/>
      </c>
      <c r="L622">
        <f>HYPERLINK("CSG5.html#group40O5", "40O⁵"), =HYPERLINK("CSG7.html#group40K7", "40K⁷"), =HYPERLINK("CSG7.html#group40AC7", "40AC⁷"), =HYPERLINK("CSG13.html#group120K13", "120K¹³"), =HYPERLINK("CSG19.html#group120M19", "120M¹⁹"), =HYPERLINK("CSG21.html#group40G21", "40G²¹"), =HYPERLINK("CSG21.html#group200C21", "200C²¹")</f>
        <v/>
      </c>
      <c r="M622">
        <f>HYPERLINK("CSG0.html#group5B0", "5B⁰"), =HYPERLINK("CSG0.html#group10C0", "10C⁰"), =HYPERLINK("CSG0.html#group20A0", "20A⁰"), =HYPERLINK("CSG0.html#group2B0", "2B⁰"), =HYPERLINK("CSG0.html#group1A0", "1A⁰")</f>
        <v/>
      </c>
      <c r="N622">
        <f>HYPERLINK("CSG13.html#group40J13", "40J¹³"), =HYPERLINK("CSG17.html#group40AQ17", "40AQ¹⁷"), =HYPERLINK("CSG13.html#group120K13", "120K¹³"), =HYPERLINK("CSG13.html#group40W13", "40W¹³"), =HYPERLINK("CSG5.html#group40O5", "40O⁵"), =HYPERLINK("CSG11.html#group40K11", "40K¹¹"), =HYPERLINK("CSG7.html#group40K7", "40K⁷"), =HYPERLINK("CSG7.html#group40AC7", "40AC⁷"), =HYPERLINK("CSG21.html#group40G21", "40G²¹"), =HYPERLINK("CSG19.html#group120M19", "120M¹⁹"), =HYPERLINK("CSG17.html#group40AR17", "40AR¹⁷"), =HYPERLINK("CSG21.html#group200C21", "200C²¹"), =HYPERLINK("CSG15.html#group40AG15", "40AG¹⁵"), =HYPERLINK("CSG13.html#group40L13", "40L¹³")</f>
        <v/>
      </c>
    </row>
    <row r="623">
      <c r="A623" t="inlineStr">
        <is>
          <t>40J³</t>
        </is>
      </c>
      <c r="B623" t="inlineStr"/>
      <c r="C623" t="inlineStr">
        <is>
          <t>144</t>
        </is>
      </c>
      <c r="D623" t="inlineStr">
        <is>
          <t>1</t>
        </is>
      </c>
      <c r="E623" t="inlineStr">
        <is>
          <t>18</t>
        </is>
      </c>
      <c r="F623" t="inlineStr">
        <is>
          <t>0</t>
        </is>
      </c>
      <c r="G623" t="inlineStr">
        <is>
          <t>0</t>
        </is>
      </c>
      <c r="H623" t="inlineStr">
        <is>
          <t>1⁸, 5⁸, 8², 40²</t>
        </is>
      </c>
      <c r="I623" t="n">
        <v>20</v>
      </c>
      <c r="J623" t="inlineStr">
        <is>
          <t>1⁶, 4³</t>
        </is>
      </c>
      <c r="K623">
        <f>HYPERLINK("CSG1.html#group20H1", "20H¹"), =HYPERLINK("CSG1.html#group40A1", "40A¹")</f>
        <v/>
      </c>
      <c r="L623">
        <f>HYPERLINK("CSG9.html#group40W9", "40W⁹"), =HYPERLINK("CSG13.html#group40J13", "40J¹³")</f>
        <v/>
      </c>
      <c r="M623">
        <f>HYPERLINK("CSG0.html#group20A0", "20A⁰"), =HYPERLINK("CSG1.html#group40A1", "40A¹"), =HYPERLINK("CSG0.html#group5B0", "5B⁰"), =HYPERLINK("CSG0.html#group10C0", "10C⁰"), =HYPERLINK("CSG0.html#group5D0", "5D⁰"), =HYPERLINK("CSG0.html#group2B0", "2B⁰"), =HYPERLINK("CSG1.html#group20D1", "20D¹"), =HYPERLINK("CSG1.html#group20H1", "20H¹"), =HYPERLINK("CSG0.html#group4B0", "4B⁰"), =HYPERLINK("CSG0.html#group1A0", "1A⁰"), =HYPERLINK("CSG0.html#group10F0", "10F⁰")</f>
        <v/>
      </c>
      <c r="N623">
        <f>HYPERLINK("CSG13.html#group40J13", "40J¹³"), =HYPERLINK("CSG9.html#group40W9", "40W⁹")</f>
        <v/>
      </c>
    </row>
    <row r="624">
      <c r="A624" t="inlineStr">
        <is>
          <t>41A³</t>
        </is>
      </c>
      <c r="B624" t="inlineStr">
        <is>
          <t>Γ₀(41)</t>
        </is>
      </c>
      <c r="C624" t="inlineStr">
        <is>
          <t>42</t>
        </is>
      </c>
      <c r="D624" t="inlineStr">
        <is>
          <t>1</t>
        </is>
      </c>
      <c r="E624" t="inlineStr">
        <is>
          <t>42</t>
        </is>
      </c>
      <c r="F624" t="inlineStr">
        <is>
          <t>2</t>
        </is>
      </c>
      <c r="G624" t="inlineStr">
        <is>
          <t>0</t>
        </is>
      </c>
      <c r="H624" t="inlineStr">
        <is>
          <t>1¹, 41¹</t>
        </is>
      </c>
      <c r="I624" t="n">
        <v>2</v>
      </c>
      <c r="J624" t="inlineStr">
        <is>
          <t>1², 40¹</t>
        </is>
      </c>
      <c r="K624">
        <f>HYPERLINK("CSG0.html#group1A0", "1A⁰")</f>
        <v/>
      </c>
      <c r="L624">
        <f>HYPERLINK("CSG5.html#group41A5", "41A⁵"), =HYPERLINK("CSG7.html#group82A7", "82A⁷"), =HYPERLINK("CSG7.html#group82B7", "82B⁷"), =HYPERLINK("CSG9.html#group82A9", "82A⁹"), =HYPERLINK("CSG9.html#group123A9", "123A⁹"), =HYPERLINK("CSG11.html#group41B11", "41B¹¹"), =HYPERLINK("CSG13.html#group123A13", "123A¹³"), =HYPERLINK("CSG13.html#group164A13", "164A¹³"), =HYPERLINK("CSG17.html#group205A17", "205A¹⁷"), =HYPERLINK("CSG19.html#group205A19", "205A¹⁹"), =HYPERLINK("CSG23.html#group287A23", "287A²³")</f>
        <v/>
      </c>
      <c r="M624">
        <f>HYPERLINK("CSG0.html#group1A0", "1A⁰")</f>
        <v/>
      </c>
      <c r="N624">
        <f>HYPERLINK("CSG17.html#group123A17", "123A¹⁷"), =HYPERLINK("CSG19.html#group246A19", "246A¹⁹"), =HYPERLINK("CSG17.html#group205A17", "205A¹⁷"), =HYPERLINK("CSG21.html#group41A21", "41A²¹"), =HYPERLINK("CSG11.html#group41B11", "41B¹¹"), =HYPERLINK("CSG19.html#group164B19", "164B¹⁹"), =HYPERLINK("CSG5.html#group41A5", "41A⁵"), =HYPERLINK("CSG9.html#group123A9", "123A⁹"), =HYPERLINK("CSG19.html#group246B19", "246B¹⁹"), =HYPERLINK("CSG19.html#group82A19", "82A¹⁹"), =HYPERLINK("CSG7.html#group82B7", "82B⁷"), =HYPERLINK("CSG19.html#group164C19", "164C¹⁹"), =HYPERLINK("CSG19.html#group82B19", "82B¹⁹"), =HYPERLINK("CSG19.html#group123B19", "123B¹⁹"), =HYPERLINK("CSG19.html#group123A19", "123A¹⁹"), =HYPERLINK("CSG13.html#group164A13", "164A¹³"), =HYPERLINK("CSG11.html#group41A11", "41A¹¹"), =HYPERLINK("CSG19.html#group205A19", "205A¹⁹"), =HYPERLINK("CSG19.html#group164D19", "164D¹⁹"), =HYPERLINK("CSG21.html#group246C21", "246C²¹"), =HYPERLINK("CSG11.html#group82A11", "82A¹¹"), =HYPERLINK("CSG17.html#group82A17", "82A¹⁷"), =HYPERLINK("CSG13.html#group123A13", "123A¹³"), =HYPERLINK("CSG13.html#group82A13", "82A¹³"), =HYPERLINK("CSG9.html#group82A9", "82A⁹"), =HYPERLINK("CSG7.html#group82A7", "82A⁷"), =HYPERLINK("CSG21.html#group246B21", "246B²¹"), =HYPERLINK("CSG21.html#group246A21", "246A²¹"), =HYPERLINK("CSG19.html#group164A19", "164A¹⁹"), =HYPERLINK("CSG23.html#group287A23", "287A²³")</f>
        <v/>
      </c>
    </row>
    <row r="625">
      <c r="A625" t="inlineStr">
        <is>
          <t>42A³</t>
        </is>
      </c>
      <c r="B625" t="inlineStr"/>
      <c r="C625" t="inlineStr">
        <is>
          <t>42</t>
        </is>
      </c>
      <c r="D625" t="inlineStr">
        <is>
          <t>2</t>
        </is>
      </c>
      <c r="E625" t="inlineStr">
        <is>
          <t>14</t>
        </is>
      </c>
      <c r="F625" t="inlineStr">
        <is>
          <t>0</t>
        </is>
      </c>
      <c r="G625" t="inlineStr">
        <is>
          <t>3</t>
        </is>
      </c>
      <c r="H625" t="inlineStr">
        <is>
          <t>42¹</t>
        </is>
      </c>
      <c r="I625" t="n">
        <v>1</v>
      </c>
      <c r="J625" t="inlineStr">
        <is>
          <t>4¹, 12²</t>
        </is>
      </c>
      <c r="K625">
        <f>HYPERLINK("CSG0.html#group6A0", "6A⁰"), =HYPERLINK("CSG1.html#group14A1", "14A¹")</f>
        <v/>
      </c>
      <c r="L625">
        <f>HYPERLINK("CSG5.html#group42D5", "42D⁵"), =HYPERLINK("CSG10.html#group42B10", "42B¹⁰"), =HYPERLINK("CSG10.html#group42C10", "42C¹⁰"), =HYPERLINK("CSG12.html#group42A12", "42A¹²"), =HYPERLINK("CSG12.html#group42E12", "42E¹²"), =HYPERLINK("CSG13.html#group84A13", "84A¹³"), =HYPERLINK("CSG13.html#group84D13", "84D¹³"), =HYPERLINK("CSG16.html#group210C16", "210C¹⁶"), =HYPERLINK("CSG21.html#group210B21", "210B²¹")</f>
        <v/>
      </c>
      <c r="M625">
        <f>HYPERLINK("CSG0.html#group2A0", "2A⁰"), =HYPERLINK("CSG0.html#group6A0", "6A⁰"), =HYPERLINK("CSG0.html#group7A0", "7A⁰"), =HYPERLINK("CSG0.html#group1A0", "1A⁰"), =HYPERLINK("CSG1.html#group14A1", "14A¹")</f>
        <v/>
      </c>
      <c r="N625">
        <f>HYPERLINK("CSG20.html#group84H20", "84H²⁰"), =HYPERLINK("CSG19.html#group42C19", "42C¹⁹"), =HYPERLINK("CSG20.html#group84B20", "84B²⁰"), =HYPERLINK("CSG12.html#group42E12", "42E¹²"), =HYPERLINK("CSG19.html#group42L19", "42L¹⁹"), =HYPERLINK("CSG23.html#group42A23", "42A²³"), =HYPERLINK("CSG16.html#group42B16", "42B¹⁶"), =HYPERLINK("CSG19.html#group42H19", "42H¹⁹"), =HYPERLINK("CSG10.html#group42C10", "42C¹⁰"), =HYPERLINK("CSG10.html#group42B10", "42B¹⁰"), =HYPERLINK("CSG13.html#group84D13", "84D¹³"), =HYPERLINK("CSG21.html#group210B21", "210B²¹"), =HYPERLINK("CSG23.html#group42H23", "42H²³"), =HYPERLINK("CSG20.html#group84F20", "84F²⁰"), =HYPERLINK("CSG16.html#group210C16", "210C¹⁶"), =HYPERLINK("CSG12.html#group42A12", "42A¹²"), =HYPERLINK("CSG13.html#group84A13", "84A¹³"), =HYPERLINK("CSG20.html#group84C20", "84C²⁰"), =HYPERLINK("CSG5.html#group42D5", "42D⁵"), =HYPERLINK("CSG19.html#group42G19", "42G¹⁹"), =HYPERLINK("CSG19.html#group42K19", "42K¹⁹")</f>
        <v/>
      </c>
    </row>
    <row r="626">
      <c r="A626" t="inlineStr">
        <is>
          <t>42B³</t>
        </is>
      </c>
      <c r="B626" t="inlineStr"/>
      <c r="C626" t="inlineStr">
        <is>
          <t>48</t>
        </is>
      </c>
      <c r="D626" t="inlineStr">
        <is>
          <t>2</t>
        </is>
      </c>
      <c r="E626" t="inlineStr">
        <is>
          <t>16</t>
        </is>
      </c>
      <c r="F626" t="inlineStr">
        <is>
          <t>0</t>
        </is>
      </c>
      <c r="G626" t="inlineStr">
        <is>
          <t>3</t>
        </is>
      </c>
      <c r="H626" t="inlineStr">
        <is>
          <t>6¹, 42¹</t>
        </is>
      </c>
      <c r="I626" t="n">
        <v>2</v>
      </c>
      <c r="J626" t="inlineStr">
        <is>
          <t>2⁴, 12²</t>
        </is>
      </c>
      <c r="K626">
        <f>HYPERLINK("CSG0.html#group14B0", "14B⁰")</f>
        <v/>
      </c>
      <c r="L626">
        <f>HYPERLINK("CSG6.html#group84A6", "84A⁶"), =HYPERLINK("CSG7.html#group42M7", "42M⁷"), =HYPERLINK("CSG10.html#group42F10", "42F¹⁰"), =HYPERLINK("CSG10.html#group42G10", "42G¹⁰"), =HYPERLINK("CSG10.html#group42J10", "42J¹⁰"), =HYPERLINK("CSG12.html#group42H12", "42H¹²"), =HYPERLINK("CSG14.html#group84B14", "84B¹⁴"), =HYPERLINK("CSG18.html#group210E18", "210E¹⁸"), =HYPERLINK("CSG23.html#group210H23", "210H²³"), =HYPERLINK("CSG24.html#group42A24", "42A²⁴"), =HYPERLINK("CSG24.html#group294A24", "294A²⁴")</f>
        <v/>
      </c>
      <c r="M626">
        <f>HYPERLINK("CSG0.html#group2A0", "2A⁰"), =HYPERLINK("CSG0.html#group1A0", "1A⁰"), =HYPERLINK("CSG0.html#group7B0", "7B⁰"), =HYPERLINK("CSG0.html#group14B0", "14B⁰")</f>
        <v/>
      </c>
      <c r="N626">
        <f>HYPERLINK("CSG19.html#group42Q19", "42Q¹⁹"), =HYPERLINK("CSG10.html#group42J10", "42J¹⁰"), =HYPERLINK("CSG10.html#group42G10", "42G¹⁰"), =HYPERLINK("CSG14.html#group84B14", "84B¹⁴"), =HYPERLINK("CSG16.html#group84K16", "84K¹⁶"), =HYPERLINK("CSG24.html#group42A24", "42A²⁴"), =HYPERLINK("CSG7.html#group42M7", "42M⁷"), =HYPERLINK("CSG6.html#group84A6", "84A⁶"), =HYPERLINK("CSG22.html#group84K22", "84K²²"), =HYPERLINK("CSG22.html#group84D22", "84D²²"), =HYPERLINK("CSG23.html#group42M23", "42M²³"), =HYPERLINK("CSG22.html#group84H22", "84H²²"), =HYPERLINK("CSG21.html#group84G21", "84G²¹"), =HYPERLINK("CSG12.html#group42H12", "42H¹²"), =HYPERLINK("CSG20.html#group84M20", "84M²⁰"), =HYPERLINK("CSG24.html#group294A24", "294A²⁴"), =HYPERLINK("CSG10.html#group42F10", "42F¹⁰"), =HYPERLINK("CSG22.html#group84C22", "84C²²"), =HYPERLINK("CSG23.html#group210H23", "210H²³"), =HYPERLINK("CSG18.html#group210E18", "210E¹⁸")</f>
        <v/>
      </c>
    </row>
    <row r="627">
      <c r="A627" t="inlineStr">
        <is>
          <t>42C³</t>
        </is>
      </c>
      <c r="B627" t="inlineStr"/>
      <c r="C627" t="inlineStr">
        <is>
          <t>63</t>
        </is>
      </c>
      <c r="D627" t="inlineStr">
        <is>
          <t>2</t>
        </is>
      </c>
      <c r="E627" t="inlineStr">
        <is>
          <t>21</t>
        </is>
      </c>
      <c r="F627" t="inlineStr">
        <is>
          <t>9</t>
        </is>
      </c>
      <c r="G627" t="inlineStr">
        <is>
          <t>0</t>
        </is>
      </c>
      <c r="H627" t="inlineStr">
        <is>
          <t>21¹, 42¹</t>
        </is>
      </c>
      <c r="I627" t="n">
        <v>2</v>
      </c>
      <c r="J627" t="inlineStr">
        <is>
          <t>2³, 6⁶</t>
        </is>
      </c>
      <c r="K627">
        <f>HYPERLINK("CSG0.html#group6D0", "6D⁰"), =HYPERLINK("CSG0.html#group21A0", "21A⁰"), =HYPERLINK("CSG1.html#group14B1", "14B¹")</f>
        <v/>
      </c>
      <c r="L627">
        <f>HYPERLINK("CSG6.html#group84B6", "84B⁶"), =HYPERLINK("CSG7.html#group42I7", "42I⁷"), =HYPERLINK("CSG7.html#group42K7", "42K⁷"), =HYPERLINK("CSG7.html#group42L7", "42L⁷"), =HYPERLINK("CSG7.html#group84B7", "84B⁷"), =HYPERLINK("CSG7.html#group84C7", "84C⁷"), =HYPERLINK("CSG8.html#group42A8", "42A⁸"), =HYPERLINK("CSG8.html#group42C8", "42C⁸"), =HYPERLINK("CSG8.html#group42D8", "42D⁸"), =HYPERLINK("CSG8.html#group84F8", "84F⁸"), =HYPERLINK("CSG8.html#group84G8", "84G⁸"), =HYPERLINK("CSG9.html#group84B9", "84B⁹"), =HYPERLINK("CSG9.html#group84C9", "84C⁹"), =HYPERLINK("CSG10.html#group42C10", "42C¹⁰"), =HYPERLINK("CSG10.html#group42K10", "42K¹⁰"), =HYPERLINK("CSG10.html#group84A10", "84A¹⁰"), =HYPERLINK("CSG12.html#group126H12", "126H¹²"), =HYPERLINK("CSG15.html#group42D15", "42D¹⁵"), =HYPERLINK("CSG24.html#group210A24", "210A²⁴")</f>
        <v/>
      </c>
      <c r="M627">
        <f>HYPERLINK("CSG1.html#group14B1", "14B¹"), =HYPERLINK("CSG0.html#group21A0", "21A⁰"), =HYPERLINK("CSG0.html#group2B0", "2B⁰"), =HYPERLINK("CSG0.html#group3A0", "3A⁰"), =HYPERLINK("CSG0.html#group1A0", "1A⁰"), =HYPERLINK("CSG0.html#group6D0", "6D⁰"), =HYPERLINK("CSG0.html#group7A0", "7A⁰")</f>
        <v/>
      </c>
      <c r="N627">
        <f>HYPERLINK("CSG22.html#group84M22", "84M²²"), =HYPERLINK("CSG20.html#group168B20", "168B²⁰"), =HYPERLINK("CSG24.html#group336I24", "336I²⁴"), =HYPERLINK("CSG17.html#group84K17", "84K¹⁷"), =HYPERLINK("CSG16.html#group84F16", "84F¹⁶"), =HYPERLINK("CSG16.html#group168E16", "168E¹⁶"), =HYPERLINK("CSG19.html#group84C19", "84C¹⁹"), =HYPERLINK("CSG17.html#group42F17", "42F¹⁷"), =HYPERLINK("CSG10.html#group42K10", "42K¹⁰"), =HYPERLINK("CSG24.html#group42D24", "42D²⁴"), =HYPERLINK("CSG17.html#group84M17", "84M¹⁷"), =HYPERLINK("CSG17.html#group84G17", "84G¹⁷"), =HYPERLINK("CSG19.html#group84I19", "84I¹⁹"), =HYPERLINK("CSG17.html#group84N17", "84N¹⁷"), =HYPERLINK("CSG19.html#group84H19", "84H¹⁹"), =HYPERLINK("CSG15.html#group42H15", "42H¹⁵"), =HYPERLINK("CSG16.html#group84D16", "84D¹⁶"), =HYPERLINK("CSG7.html#group42I7", "42I⁷"), =HYPERLINK("CSG17.html#group84I17", "84I¹⁷"), =HYPERLINK("CSG20.html#group84F20", "84F²⁰"), =HYPERLINK("CSG16.html#group42H16", "42H¹⁶"), =HYPERLINK("CSG18.html#group84G18", "84G¹⁸"), =HYPERLINK("CSG16.html#group168F16", "168F¹⁶"), =HYPERLINK("CSG12.html#group126H12", "126H¹²"), =HYPERLINK("CSG20.html#group168C20", "168C²⁰"), =HYPERLINK("CSG16.html#group42I16", "42I¹⁶"), =HYPERLINK("CSG16.html#group84A16", "84A¹⁶"), =HYPERLINK("CSG18.html#group168E18", "168E¹⁸"), =HYPERLINK("CSG22.html#group42B22", "42B²²"), =HYPERLINK("CSG18.html#group168F18", "168F¹⁸"), =HYPERLINK("CSG19.html#group84A19", "84A¹⁹"), =HYPERLINK("CSG17.html#group84J17", "84J¹⁷"), =HYPERLINK("CSG10.html#group84A10", "84A¹⁰"), =HYPERLINK("CSG20.html#group84A20", "84A²⁰"), =HYPERLINK("CSG24.html#group252G24", "252G²⁴"), =HYPERLINK("CSG20.html#group84B20", "84B²⁰"), =HYPERLINK("CSG14.html#group84C14", "84C¹⁴"), =HYPERLINK("CSG7.html#group42K7", "42K⁷"), =HYPERLINK("CSG19.html#group84F19", "84F¹⁹"), =HYPERLINK("CSG18.html#group84C18", "84C¹⁸"), =HYPERLINK("CSG16.html#group84J16", "84J¹⁶"), =HYPERLINK("CSG16.html#group84B16", "84B¹⁶"), =HYPERLINK("CSG16.html#group84C16", "84C¹⁶"), =HYPERLINK("CSG17.html#group42C17", "42C¹⁷"), =HYPERLINK("CSG17.html#group42G17", "42G¹⁷"), =HYPERLINK("CSG22.html#group42A22", "42A²²"), =HYPERLINK("CSG17.html#group84L17", "84L¹⁷"), =HYPERLINK("CSG17.html#group168A17", "168A¹⁷"), =HYPERLINK("CSG17.html#group84F17", "84F¹⁷"), =HYPERLINK("CSG20.html#group84D20", "84D²⁰"), =HYPERLINK("CSG23.html#group84F23", "84F²³"), =HYPERLINK("CSG16.html#group84E16", "84E¹⁶"), =HYPERLINK("CSG16.html#group168D16", "168D¹⁶"), =HYPERLINK("CSG18.html#group42B18", "42B¹⁸"), =HYPERLINK("CSG23.html#group42L23", "42L²³"), =HYPERLINK("CSG19.html#group84G19", "84G¹⁹"), =HYPERLINK("CSG16.html#group84H16", "84H¹⁶"), =HYPERLINK("CSG16.html#group168C16", "168C¹⁶"), =HYPERLINK("CSG14.html#group84D14", "84D¹⁴"), =HYPERLINK("CSG18.html#group84F18", "84F¹⁸"), =HYPERLINK("CSG20.html#group84H20", "84H²⁰"), =HYPERLINK("CSG19.html#group84E19", "84E¹⁹"), =HYPERLINK("CSG12.html#group168A12", "168A¹²"), =HYPERLINK("CSG20.html#group168A20", "168A²⁰"), =HYPERLINK("CSG24.html#group42C24", "42C²⁴"), =HYPERLINK("CSG20.html#group168D20", "168D²⁰"), =HYPERLINK("CSG8.html#group42A8", "42A⁸"), =HYPERLINK("CSG8.html#group84F8", "84F⁸"), =HYPERLINK("CSG9.html#group84C9", "84C⁹"), =HYPERLINK("CSG15.html#group42D15", "42D¹⁵"), =HYPERLINK("CSG10.html#group42C10", "42C¹⁰"), =HYPERLINK("CSG24.html#group210A24", "210A²⁴"), =HYPERLINK("CSG18.html#group84B18", "84B¹⁸"), =HYPERLINK("CSG23.html#group42K23", "42K²³"), =HYPERLINK("CSG24.html#group84E24", "84E²⁴"), =HYPERLINK("CSG7.html#group84C7", "84C⁷"), =HYPERLINK("CSG16.html#group42C16", "42C¹⁶"), =HYPERLINK("CSG9.html#group84B9", "84B⁹"), =HYPERLINK("CSG17.html#group84D17", "84D¹⁷"), =HYPERLINK("CSG19.html#group42G19", "42G¹⁹"), =HYPERLINK("CSG19.html#group42K19", "42K¹⁹"), =HYPERLINK("CSG6.html#group84B6", "84B⁶"), =HYPERLINK("CSG19.html#group84D19", "84D¹⁹"), =HYPERLINK("CSG15.html#group168B15", "168B¹⁵"), =HYPERLINK("CSG18.html#group84H18", "84H¹⁸"), =HYPERLINK("CSG17.html#group84H17", "84H¹⁷"), =HYPERLINK("CSG15.html#group168A15", "168A¹⁵"), =HYPERLINK("CSG20.html#group84E20", "84E²⁰"), =HYPERLINK("CSG22.html#group42C22", "42C²²"), =HYPERLINK("CSG8.html#group42D8", "42D⁸"), =HYPERLINK("CSG18.html#group84D18", "84D¹⁸"), =HYPERLINK("CSG16.html#group42E16", "42E¹⁶"), =HYPERLINK("CSG16.html#group168G16", "168G¹⁶"), =HYPERLINK("CSG18.html#group84E18", "84E¹⁸"), =HYPERLINK("CSG8.html#group84G8", "84G⁸"), =HYPERLINK("CSG16.html#group84G16", "84G¹⁶"), =HYPERLINK("CSG16.html#group84I16", "84I¹⁶"), =HYPERLINK("CSG21.html#group168A21", "168A²¹"), =HYPERLINK("CSG15.html#group84H15", "84H¹⁵"), =HYPERLINK("CSG19.html#group42L19", "42L¹⁹"), =HYPERLINK("CSG15.html#group84I15", "84I¹⁵"), =HYPERLINK("CSG18.html#group42C18", "42C¹⁸"), =HYPERLINK("CSG7.html#group84B7", "84B⁷"), =HYPERLINK("CSG20.html#group84C20", "84C²⁰"), =HYPERLINK("CSG7.html#group42L7", "42L⁷"), =HYPERLINK("CSG8.html#group42C8", "42C⁸"), =HYPERLINK("CSG22.html#group84N22", "84N²²"), =HYPERLINK("CSG18.html#group84A18", "84A¹⁸"), =HYPERLINK("CSG20.html#group84G20", "84G²⁰")</f>
        <v/>
      </c>
    </row>
    <row r="628">
      <c r="A628" t="inlineStr">
        <is>
          <t>42D³</t>
        </is>
      </c>
      <c r="B628" t="inlineStr"/>
      <c r="C628" t="inlineStr">
        <is>
          <t>64</t>
        </is>
      </c>
      <c r="D628" t="inlineStr">
        <is>
          <t>1</t>
        </is>
      </c>
      <c r="E628" t="inlineStr">
        <is>
          <t>32</t>
        </is>
      </c>
      <c r="F628" t="inlineStr">
        <is>
          <t>0</t>
        </is>
      </c>
      <c r="G628" t="inlineStr">
        <is>
          <t>4</t>
        </is>
      </c>
      <c r="H628" t="inlineStr">
        <is>
          <t>2¹, 6¹, 14¹, 42¹</t>
        </is>
      </c>
      <c r="I628" t="n">
        <v>4</v>
      </c>
      <c r="J628" t="inlineStr">
        <is>
          <t>1⁴, 2², 6², 12¹</t>
        </is>
      </c>
      <c r="K628">
        <f>HYPERLINK("CSG1.html#group21B1", "21B¹")</f>
        <v/>
      </c>
      <c r="L628">
        <f>HYPERLINK("CSG5.html#group42I5", "42I⁵"), =HYPERLINK("CSG11.html#group42E11", "42E¹¹"), =HYPERLINK("CSG11.html#group42I11", "42I¹¹"), =HYPERLINK("CSG11.html#group42J11", "42J¹¹"), =HYPERLINK("CSG11.html#group126B11", "126B¹¹"), =HYPERLINK("CSG11.html#group126E11", "126E¹¹"), =HYPERLINK("CSG13.html#group42F13", "42F¹³"), =HYPERLINK("CSG13.html#group126D13", "126D¹³"), =HYPERLINK("CSG13.html#group126G13", "126G¹³"), =HYPERLINK("CSG15.html#group126A15", "126A¹⁵"), =HYPERLINK("CSG15.html#group126D15", "126D¹⁵"), =HYPERLINK("CSG17.html#group84P17", "84P¹⁷"), =HYPERLINK("CSG23.html#group210I23", "210I²³")</f>
        <v/>
      </c>
      <c r="M628">
        <f>HYPERLINK("CSG0.html#group3B0", "3B⁰"), =HYPERLINK("CSG0.html#group1A0", "1A⁰"), =HYPERLINK("CSG0.html#group7B0", "7B⁰"), =HYPERLINK("CSG1.html#group21B1", "21B¹")</f>
        <v/>
      </c>
      <c r="N628">
        <f>HYPERLINK("CSG15.html#group126D15", "126D¹⁵"), =HYPERLINK("CSG5.html#group42I5", "42I⁵"), =HYPERLINK("CSG21.html#group42H21", "42H²¹"), =HYPERLINK("CSG15.html#group126A15", "126A¹⁵"), =HYPERLINK("CSG17.html#group42L17", "42L¹⁷"), =HYPERLINK("CSG21.html#group126T21", "126T²¹"), =HYPERLINK("CSG11.html#group42E11", "42E¹¹"), =HYPERLINK("CSG21.html#group42J21", "42J²¹"), =HYPERLINK("CSG21.html#group126U21", "126U²¹"), =HYPERLINK("CSG13.html#group126G13", "126G¹³"), =HYPERLINK("CSG21.html#group42I21", "42I²¹"), =HYPERLINK("CSG13.html#group84K13", "84K¹³"), =HYPERLINK("CSG13.html#group126D13", "126D¹³"), =HYPERLINK("CSG21.html#group126S21", "126S²¹"), =HYPERLINK("CSG11.html#group42I11", "42I¹¹"), =HYPERLINK("CSG11.html#group42J11", "42J¹¹"), =HYPERLINK("CSG11.html#group126E11", "126E¹¹"), =HYPERLINK("CSG23.html#group210I23", "210I²³"), =HYPERLINK("CSG23.html#group42M23", "42M²³"), =HYPERLINK("CSG21.html#group42G21", "42G²¹"), =HYPERLINK("CSG23.html#group126M23", "126M²³"), =HYPERLINK("CSG11.html#group126B11", "126B¹¹"), =HYPERLINK("CSG17.html#group84P17", "84P¹⁷"), =HYPERLINK("CSG13.html#group42F13", "42F¹³")</f>
        <v/>
      </c>
    </row>
    <row r="629">
      <c r="A629" t="inlineStr">
        <is>
          <t>42E³</t>
        </is>
      </c>
      <c r="B629" t="inlineStr"/>
      <c r="C629" t="inlineStr">
        <is>
          <t>64</t>
        </is>
      </c>
      <c r="D629" t="inlineStr">
        <is>
          <t>1</t>
        </is>
      </c>
      <c r="E629" t="inlineStr">
        <is>
          <t>32</t>
        </is>
      </c>
      <c r="F629" t="inlineStr">
        <is>
          <t>0</t>
        </is>
      </c>
      <c r="G629" t="inlineStr">
        <is>
          <t>4</t>
        </is>
      </c>
      <c r="H629" t="inlineStr">
        <is>
          <t>2¹, 6¹, 14¹, 42¹</t>
        </is>
      </c>
      <c r="I629" t="n">
        <v>4</v>
      </c>
      <c r="J629" t="inlineStr">
        <is>
          <t>1⁴, 2², 6², 12¹</t>
        </is>
      </c>
      <c r="K629">
        <f>HYPERLINK("CSG0.html#group6C0", "6C⁰"), =HYPERLINK("CSG0.html#group14B0", "14B⁰"), =HYPERLINK("CSG1.html#group21B1", "21B¹")</f>
        <v/>
      </c>
      <c r="L629">
        <f>HYPERLINK("CSG5.html#group42I5", "42I⁵"), =HYPERLINK("CSG7.html#group84D7", "84D⁷"), =HYPERLINK("CSG7.html#group84E7", "84E⁷"), =HYPERLINK("CSG9.html#group42D9", "42D⁹"), =HYPERLINK("CSG11.html#group42F11", "42F¹¹"), =HYPERLINK("CSG11.html#group42G11", "42G¹¹"), =HYPERLINK("CSG11.html#group42H11", "42H¹¹"), =HYPERLINK("CSG11.html#group42K11", "42K¹¹"), =HYPERLINK("CSG11.html#group126C11", "126C¹¹"), =HYPERLINK("CSG11.html#group126D11", "126D¹¹"), =HYPERLINK("CSG11.html#group126F11", "126F¹¹"), =HYPERLINK("CSG12.html#group42H12", "42H¹²"), =HYPERLINK("CSG12.html#group126I12", "126I¹²"), =HYPERLINK("CSG13.html#group42G13", "42G¹³"), =HYPERLINK("CSG13.html#group126E13", "126E¹³"), =HYPERLINK("CSG13.html#group126F13", "126F¹³"), =HYPERLINK("CSG13.html#group126H13", "126H¹³"), =HYPERLINK("CSG13.html#group126I13", "126I¹³"), =HYPERLINK("CSG14.html#group126D14", "126D¹⁴"), =HYPERLINK("CSG15.html#group126B15", "126B¹⁵"), =HYPERLINK("CSG15.html#group126C15", "126C¹⁵"), =HYPERLINK("CSG15.html#group126E15", "126E¹⁵"), =HYPERLINK("CSG17.html#group84Q17", "84Q¹⁷"), =HYPERLINK("CSG23.html#group210J23", "210J²³")</f>
        <v/>
      </c>
      <c r="M629">
        <f>HYPERLINK("CSG0.html#group3B0", "3B⁰"), =HYPERLINK("CSG0.html#group2A0", "2A⁰"), =HYPERLINK("CSG1.html#group21B1", "21B¹"), =HYPERLINK("CSG0.html#group7B0", "7B⁰"), =HYPERLINK("CSG0.html#group6C0", "6C⁰"), =HYPERLINK("CSG0.html#group14B0", "14B⁰"), =HYPERLINK("CSG0.html#group1A0", "1A⁰")</f>
        <v/>
      </c>
      <c r="N629">
        <f>HYPERLINK("CSG23.html#group252B23", "252B²³"), =HYPERLINK("CSG11.html#group42H11", "42H¹¹"), =HYPERLINK("CSG17.html#group42L17", "42L¹⁷"), =HYPERLINK("CSG13.html#group126I13", "126I¹³"), =HYPERLINK("CSG21.html#group126U21", "126U²¹"), =HYPERLINK("CSG11.html#group42F11", "42F¹¹"), =HYPERLINK("CSG21.html#group42I21", "42I²¹"), =HYPERLINK("CSG13.html#group84K13", "84K¹³"), =HYPERLINK("CSG14.html#group126D14", "126D¹⁴"), =HYPERLINK("CSG7.html#group84D7", "84D⁷"), =HYPERLINK("CSG21.html#group126S21", "126S²¹"), =HYPERLINK("CSG23.html#group210J23", "210J²³"), =HYPERLINK("CSG9.html#group42D9", "42D⁹"), =HYPERLINK("CSG13.html#group126F13", "126F¹³"), =HYPERLINK("CSG23.html#group84H23", "84H²³"), =HYPERLINK("CSG15.html#group126C15", "126C¹⁵"), =HYPERLINK("CSG23.html#group126M23", "126M²³"), =HYPERLINK("CSG11.html#group42G11", "42G¹¹"), =HYPERLINK("CSG15.html#group126E15", "126E¹⁵"), =HYPERLINK("CSG21.html#group42H21", "42H²¹"), =HYPERLINK("CSG5.html#group42I5", "42I⁵"), =HYPERLINK("CSG11.html#group126F11", "126F¹¹"), =HYPERLINK("CSG23.html#group84G23", "84G²³"), =HYPERLINK("CSG23.html#group84J23", "84J²³"), =HYPERLINK("CSG13.html#group42G13", "42G¹³"), =HYPERLINK("CSG21.html#group126T21", "126T²¹"), =HYPERLINK("CSG15.html#group126B15", "126B¹⁵"), =HYPERLINK("CSG21.html#group42J21", "42J²¹"), =HYPERLINK("CSG11.html#group42K11", "42K¹¹"), =HYPERLINK("CSG13.html#group126H13", "126H¹³"), =HYPERLINK("CSG7.html#group84E7", "84E⁷"), =HYPERLINK("CSG13.html#group126E13", "126E¹³"), =HYPERLINK("CSG23.html#group252A23", "252A²³"), =HYPERLINK("CSG11.html#group126D11", "126D¹¹"), =HYPERLINK("CSG23.html#group84I23", "84I²³"), =HYPERLINK("CSG23.html#group42M23", "42M²³"), =HYPERLINK("CSG21.html#group42G21", "42G²¹"), =HYPERLINK("CSG12.html#group42H12", "42H¹²"), =HYPERLINK("CSG17.html#group84Q17", "84Q¹⁷"), =HYPERLINK("CSG11.html#group126C11", "126C¹¹"), =HYPERLINK("CSG12.html#group126I12", "126I¹²")</f>
        <v/>
      </c>
    </row>
    <row r="630">
      <c r="A630" t="inlineStr">
        <is>
          <t>42F³</t>
        </is>
      </c>
      <c r="B630" t="inlineStr"/>
      <c r="C630" t="inlineStr">
        <is>
          <t>84</t>
        </is>
      </c>
      <c r="D630" t="inlineStr">
        <is>
          <t>2</t>
        </is>
      </c>
      <c r="E630" t="inlineStr">
        <is>
          <t>21</t>
        </is>
      </c>
      <c r="F630" t="inlineStr">
        <is>
          <t>16</t>
        </is>
      </c>
      <c r="G630" t="inlineStr">
        <is>
          <t>0</t>
        </is>
      </c>
      <c r="H630" t="inlineStr">
        <is>
          <t>42²</t>
        </is>
      </c>
      <c r="I630" t="n">
        <v>2</v>
      </c>
      <c r="J630" t="inlineStr">
        <is>
          <t>2¹, 4¹, 6², 12²</t>
        </is>
      </c>
      <c r="K630">
        <f>HYPERLINK("CSG1.html#group21D1", "21D¹"), =HYPERLINK("CSG1.html#group42A1", "42A¹"), =HYPERLINK("CSG1.html#group42B1", "42B¹")</f>
        <v/>
      </c>
      <c r="L630">
        <f>HYPERLINK("CSG9.html#group42C9", "42C⁹"), =HYPERLINK("CSG13.html#group42E13", "42E¹³"), =HYPERLINK("CSG13.html#group126J13", "126J¹³"), =HYPERLINK("CSG13.html#group126K13", "126K¹³"), =HYPERLINK("CSG15.html#group42G15", "42G¹⁵"), =HYPERLINK("CSG15.html#group42H15", "42H¹⁵"), =HYPERLINK("CSG15.html#group42I15", "42I¹⁵"), =HYPERLINK("CSG17.html#group42K17", "42K¹⁷"), =HYPERLINK("CSG17.html#group126B17", "126B¹⁷"), =HYPERLINK("CSG17.html#group126F17", "126F¹⁷"), =HYPERLINK("CSG17.html#group126G17", "126G¹⁷"), =HYPERLINK("CSG17.html#group126I17", "126I¹⁷"), =HYPERLINK("CSG19.html#group84L19", "84L¹⁹")</f>
        <v/>
      </c>
      <c r="M630">
        <f>HYPERLINK("CSG0.html#group14A0", "14A⁰"), =HYPERLINK("CSG0.html#group6B0", "6B⁰"), =HYPERLINK("CSG1.html#group42A1", "42A¹"), =HYPERLINK("CSG1.html#group21D1", "21D¹"), =HYPERLINK("CSG0.html#group21A0", "21A⁰"), =HYPERLINK("CSG1.html#group42B1", "42B¹"), =HYPERLINK("CSG0.html#group3A0", "3A⁰"), =HYPERLINK("CSG0.html#group1A0", "1A⁰"), =HYPERLINK("CSG0.html#group7A0", "7A⁰")</f>
        <v/>
      </c>
      <c r="N630">
        <f>HYPERLINK("CSG13.html#group126J13", "126J¹³"), =HYPERLINK("CSG17.html#group126I17", "126I¹⁷"), =HYPERLINK("CSG15.html#group42H15", "42H¹⁵"), =HYPERLINK("CSG23.html#group84A23", "84A²³"), =HYPERLINK("CSG9.html#group42C9", "42C⁹"), =HYPERLINK("CSG15.html#group42G15", "42G¹⁵"), =HYPERLINK("CSG13.html#group126K13", "126K¹³"), =HYPERLINK("CSG15.html#group42I15", "42I¹⁵"), =HYPERLINK("CSG17.html#group126B17", "126B¹⁷"), =HYPERLINK("CSG17.html#group126F17", "126F¹⁷"), =HYPERLINK("CSG17.html#group42K17", "42K¹⁷"), =HYPERLINK("CSG17.html#group126G17", "126G¹⁷"), =HYPERLINK("CSG19.html#group84L19", "84L¹⁹"), =HYPERLINK("CSG13.html#group42E13", "42E¹³")</f>
        <v/>
      </c>
    </row>
    <row r="631">
      <c r="A631" t="inlineStr">
        <is>
          <t>43A³</t>
        </is>
      </c>
      <c r="B631" t="inlineStr">
        <is>
          <t>Γ₀(43)</t>
        </is>
      </c>
      <c r="C631" t="inlineStr">
        <is>
          <t>44</t>
        </is>
      </c>
      <c r="D631" t="inlineStr">
        <is>
          <t>1</t>
        </is>
      </c>
      <c r="E631" t="inlineStr">
        <is>
          <t>44</t>
        </is>
      </c>
      <c r="F631" t="inlineStr">
        <is>
          <t>0</t>
        </is>
      </c>
      <c r="G631" t="inlineStr">
        <is>
          <t>2</t>
        </is>
      </c>
      <c r="H631" t="inlineStr">
        <is>
          <t>1¹, 43¹</t>
        </is>
      </c>
      <c r="I631" t="n">
        <v>2</v>
      </c>
      <c r="J631" t="inlineStr">
        <is>
          <t>1², 42¹</t>
        </is>
      </c>
      <c r="K631">
        <f>HYPERLINK("CSG0.html#group1A0", "1A⁰")</f>
        <v/>
      </c>
      <c r="L631">
        <f>HYPERLINK("CSG6.html#group86A6", "86A⁶"), =HYPERLINK("CSG9.html#group43A9", "43A⁹"), =HYPERLINK("CSG10.html#group86A10", "86A¹⁰"), =HYPERLINK("CSG10.html#group129A10", "129A¹⁰"), =HYPERLINK("CSG11.html#group129A11", "129A¹¹"), =HYPERLINK("CSG13.html#group129A13", "129A¹³"), =HYPERLINK("CSG14.html#group172A14", "172A¹⁴"), =HYPERLINK("CSG15.html#group43A15", "43A¹⁵"), =HYPERLINK("CSG17.html#group215A17", "215A¹⁷"), =HYPERLINK("CSG21.html#group215A21", "215A²¹")</f>
        <v/>
      </c>
      <c r="M631">
        <f>HYPERLINK("CSG0.html#group1A0", "1A⁰")</f>
        <v/>
      </c>
      <c r="N631">
        <f>HYPERLINK("CSG15.html#group43A15", "43A¹⁵"), =HYPERLINK("CSG21.html#group129A21", "129A²¹"), =HYPERLINK("CSG21.html#group258A21", "258A²¹"), =HYPERLINK("CSG18.html#group86A18", "86A¹⁸"), =HYPERLINK("CSG11.html#group129A11", "129A¹¹"), =HYPERLINK("CSG21.html#group215A21", "215A²¹"), =HYPERLINK("CSG20.html#group258B20", "258B²⁰"), =HYPERLINK("CSG20.html#group86B20", "86B²⁰"), =HYPERLINK("CSG10.html#group86A10", "86A¹⁰"), =HYPERLINK("CSG20.html#group172A20", "172A²⁰"), =HYPERLINK("CSG22.html#group258A22", "258A²²"), =HYPERLINK("CSG9.html#group43A9", "43A⁹"), =HYPERLINK("CSG14.html#group172A14", "172A¹⁴"), =HYPERLINK("CSG12.html#group172A12", "172A¹²"), =HYPERLINK("CSG21.html#group172A21", "172A²¹"), =HYPERLINK("CSG22.html#group258B22", "258B²²"), =HYPERLINK("CSG6.html#group86A6", "86A⁶"), =HYPERLINK("CSG10.html#group129A10", "129A¹⁰"), =HYPERLINK("CSG20.html#group86A20", "86A²⁰"), =HYPERLINK("CSG20.html#group258A20", "258A²⁰"), =HYPERLINK("CSG13.html#group129A13", "129A¹³"), =HYPERLINK("CSG17.html#group215A17", "215A¹⁷")</f>
        <v/>
      </c>
    </row>
    <row r="632">
      <c r="A632" t="inlineStr">
        <is>
          <t>45A³</t>
        </is>
      </c>
      <c r="B632" t="inlineStr"/>
      <c r="C632" t="inlineStr">
        <is>
          <t>45</t>
        </is>
      </c>
      <c r="D632" t="inlineStr">
        <is>
          <t>1</t>
        </is>
      </c>
      <c r="E632" t="inlineStr">
        <is>
          <t>45</t>
        </is>
      </c>
      <c r="F632" t="inlineStr">
        <is>
          <t>5</t>
        </is>
      </c>
      <c r="G632" t="inlineStr">
        <is>
          <t>0</t>
        </is>
      </c>
      <c r="H632" t="inlineStr">
        <is>
          <t>45¹</t>
        </is>
      </c>
      <c r="I632" t="n">
        <v>1</v>
      </c>
      <c r="J632" t="inlineStr">
        <is>
          <t>1¹, 2¹, 4¹, 6¹, 8¹, 24¹</t>
        </is>
      </c>
      <c r="K632">
        <f>HYPERLINK("CSG0.html#group9A0", "9A⁰"), =HYPERLINK("CSG1.html#group15A1", "15A¹")</f>
        <v/>
      </c>
      <c r="L632">
        <f>HYPERLINK("CSG6.html#group45A6", "45A⁶"), =HYPERLINK("CSG6.html#group90A6", "90A⁶"), =HYPERLINK("CSG7.html#group45A7", "45A⁷"), =HYPERLINK("CSG7.html#group45D7", "45D⁷"), =HYPERLINK("CSG7.html#group90A7", "90A⁷"), =HYPERLINK("CSG8.html#group90A8", "90A⁸"), =HYPERLINK("CSG9.html#group45B9", "45B⁹"), =HYPERLINK("CSG10.html#group90D10", "90D¹⁰"), =HYPERLINK("CSG13.html#group180A13", "180A¹³"), =HYPERLINK("CSG14.html#group45C14", "45C¹⁴"), =HYPERLINK("CSG23.html#group315A23", "315A²³")</f>
        <v/>
      </c>
      <c r="M632">
        <f>HYPERLINK("CSG0.html#group5A0", "5A⁰"), =HYPERLINK("CSG0.html#group9A0", "9A⁰"), =HYPERLINK("CSG0.html#group3A0", "3A⁰"), =HYPERLINK("CSG0.html#group1A0", "1A⁰"), =HYPERLINK("CSG1.html#group15A1", "15A¹")</f>
        <v/>
      </c>
      <c r="N632">
        <f>HYPERLINK("CSG20.html#group45A20", "45A²⁰"), =HYPERLINK("CSG6.html#group45A6", "45A⁶"), =HYPERLINK("CSG21.html#group90B21", "90B²¹"), =HYPERLINK("CSG10.html#group90D10", "90D¹⁰"), =HYPERLINK("CSG20.html#group90D20", "90D²⁰"), =HYPERLINK("CSG14.html#group45A14", "45A¹⁴"), =HYPERLINK("CSG8.html#group90A8", "90A⁸"), =HYPERLINK("CSG12.html#group90A12", "90A¹²"), =HYPERLINK("CSG7.html#group45D7", "45D⁷"), =HYPERLINK("CSG20.html#group180F20", "180F²⁰"), =HYPERLINK("CSG20.html#group90C20", "90C²⁰"), =HYPERLINK("CSG20.html#group90E20", "90E²⁰"), =HYPERLINK("CSG19.html#group45E19", "45E¹⁹"), =HYPERLINK("CSG20.html#group180G20", "180G²⁰"), =HYPERLINK("CSG21.html#group180A21", "180A²¹"), =HYPERLINK("CSG19.html#group90I19", "90I¹⁹"), =HYPERLINK("CSG22.html#group90C22", "90C²²"), =HYPERLINK("CSG19.html#group90F19", "90F¹⁹"), =HYPERLINK("CSG21.html#group180B21", "180B²¹"), =HYPERLINK("CSG23.html#group315A23", "315A²³"), =HYPERLINK("CSG18.html#group45A18", "45A¹⁸"), =HYPERLINK("CSG16.html#group45B16", "45B¹⁶"), =HYPERLINK("CSG22.html#group90B22", "90B²²"), =HYPERLINK("CSG6.html#group90A6", "90A⁶"), =HYPERLINK("CSG19.html#group45A19", "45A¹⁹"), =HYPERLINK("CSG13.html#group180A13", "180A¹³"), =HYPERLINK("CSG21.html#group90A21", "90A²¹"), =HYPERLINK("CSG7.html#group45A7", "45A⁷"), =HYPERLINK("CSG22.html#group90A22", "90A²²"), =HYPERLINK("CSG16.html#group90B16", "90B¹⁶"), =HYPERLINK("CSG19.html#group45B19", "45B¹⁹"), =HYPERLINK("CSG15.html#group90A15", "90A¹⁵"), =HYPERLINK("CSG22.html#group180A22", "180A²²"), =HYPERLINK("CSG16.html#group45D16", "45D¹⁶"), =HYPERLINK("CSG20.html#group90A20", "90A²⁰"), =HYPERLINK("CSG18.html#group90C18", "90C¹⁸"), =HYPERLINK("CSG17.html#group90P17", "90P¹⁷"), =HYPERLINK("CSG22.html#group180B22", "180B²²"), =HYPERLINK("CSG19.html#group90D19", "90D¹⁹"), =HYPERLINK("CSG7.html#group90A7", "90A⁷"), =HYPERLINK("CSG15.html#group90F15", "90F¹⁵"), =HYPERLINK("CSG19.html#group45C19", "45C¹⁹"), =HYPERLINK("CSG22.html#group90D22", "90D²²"), =HYPERLINK("CSG9.html#group45B9", "45B⁹"), =HYPERLINK("CSG17.html#group45C17", "45C¹⁷"), =HYPERLINK("CSG14.html#group45C14", "45C¹⁴"), =HYPERLINK("CSG14.html#group90D14", "90D¹⁴")</f>
        <v/>
      </c>
    </row>
    <row r="633">
      <c r="A633" t="inlineStr">
        <is>
          <t>45B³</t>
        </is>
      </c>
      <c r="B633" t="inlineStr"/>
      <c r="C633" t="inlineStr">
        <is>
          <t>60</t>
        </is>
      </c>
      <c r="D633" t="inlineStr">
        <is>
          <t>1</t>
        </is>
      </c>
      <c r="E633" t="inlineStr">
        <is>
          <t>20</t>
        </is>
      </c>
      <c r="F633" t="inlineStr">
        <is>
          <t>0</t>
        </is>
      </c>
      <c r="G633" t="inlineStr">
        <is>
          <t>6</t>
        </is>
      </c>
      <c r="H633" t="inlineStr">
        <is>
          <t>15¹, 45¹</t>
        </is>
      </c>
      <c r="I633" t="n">
        <v>2</v>
      </c>
      <c r="J633" t="inlineStr">
        <is>
          <t>1², 2¹, 4², 8¹</t>
        </is>
      </c>
      <c r="K633">
        <f>HYPERLINK("CSG0.html#group9C0", "9C⁰"), =HYPERLINK("CSG1.html#group15B1", "15B¹")</f>
        <v/>
      </c>
      <c r="L633">
        <f>HYPERLINK("CSG6.html#group90C6", "90C⁶"), =HYPERLINK("CSG10.html#group45C10", "45C¹⁰"), =HYPERLINK("CSG11.html#group45B11", "45B¹¹"), =HYPERLINK("CSG11.html#group45C11", "45C¹¹"), =HYPERLINK("CSG11.html#group45D11", "45D¹¹"), =HYPERLINK("CSG11.html#group135A11", "135A¹¹"), =HYPERLINK("CSG12.html#group135C12", "135C¹²"), =HYPERLINK("CSG13.html#group45A13", "45A¹³"), =HYPERLINK("CSG13.html#group45C13", "45C¹³"), =HYPERLINK("CSG13.html#group135B13", "135B¹³"), =HYPERLINK("CSG13.html#group135D13", "135D¹³"), =HYPERLINK("CSG14.html#group90A14", "90A¹⁴"), =HYPERLINK("CSG14.html#group135C14", "135C¹⁴"), =HYPERLINK("CSG15.html#group45D15", "45D¹⁵"), =HYPERLINK("CSG15.html#group135A15", "135A¹⁵"), =HYPERLINK("CSG18.html#group180A18", "180A¹⁸")</f>
        <v/>
      </c>
      <c r="M633">
        <f>HYPERLINK("CSG1.html#group15B1", "15B¹"), =HYPERLINK("CSG0.html#group3B0", "3B⁰"), =HYPERLINK("CSG0.html#group5A0", "5A⁰"), =HYPERLINK("CSG0.html#group9C0", "9C⁰"), =HYPERLINK("CSG0.html#group1A0", "1A⁰")</f>
        <v/>
      </c>
      <c r="N633">
        <f>HYPERLINK("CSG12.html#group135C12", "135C¹²"), =HYPERLINK("CSG22.html#group90K22", "90K²²"), =HYPERLINK("CSG11.html#group135A11", "135A¹¹"), =HYPERLINK("CSG24.html#group90H24", "90H²⁴"), =HYPERLINK("CSG11.html#group45B11", "45B¹¹"), =HYPERLINK("CSG13.html#group135D13", "135D¹³"), =HYPERLINK("CSG18.html#group180A18", "180A¹⁸"), =HYPERLINK("CSG24.html#group90F24", "90F²⁴"), =HYPERLINK("CSG24.html#group270B24", "270B²⁴"), =HYPERLINK("CSG13.html#group135B13", "135B¹³"), =HYPERLINK("CSG22.html#group270A22", "270A²²"), =HYPERLINK("CSG24.html#group90D24", "90D²⁴"), =HYPERLINK("CSG15.html#group45D15", "45D¹⁵"), =HYPERLINK("CSG24.html#group270A24", "270A²⁴"), =HYPERLINK("CSG13.html#group45A13", "45A¹³"), =HYPERLINK("CSG24.html#group90I24", "90I²⁴"), =HYPERLINK("CSG15.html#group135A15", "135A¹⁵"), =HYPERLINK("CSG14.html#group90A14", "90A¹⁴"), =HYPERLINK("CSG24.html#group90G24", "90G²⁴"), =HYPERLINK("CSG11.html#group45C11", "45C¹¹"), =HYPERLINK("CSG22.html#group90I22", "90I²²"), =HYPERLINK("CSG6.html#group90C6", "90C⁶"), =HYPERLINK("CSG11.html#group45D11", "45D¹¹"), =HYPERLINK("CSG14.html#group135C14", "135C¹⁴"), =HYPERLINK("CSG24.html#group90E24", "90E²⁴"), =HYPERLINK("CSG10.html#group45C10", "45C¹⁰"), =HYPERLINK("CSG13.html#group45C13", "45C¹³"), =HYPERLINK("CSG12.html#group180A12", "180A¹²"), =HYPERLINK("CSG22.html#group90J22", "90J²²")</f>
        <v/>
      </c>
    </row>
    <row r="634">
      <c r="A634" t="inlineStr">
        <is>
          <t>45C³</t>
        </is>
      </c>
      <c r="B634" t="inlineStr"/>
      <c r="C634" t="inlineStr">
        <is>
          <t>60</t>
        </is>
      </c>
      <c r="D634" t="inlineStr">
        <is>
          <t>2</t>
        </is>
      </c>
      <c r="E634" t="inlineStr">
        <is>
          <t>20</t>
        </is>
      </c>
      <c r="F634" t="inlineStr">
        <is>
          <t>0</t>
        </is>
      </c>
      <c r="G634" t="inlineStr">
        <is>
          <t>3</t>
        </is>
      </c>
      <c r="H634" t="inlineStr">
        <is>
          <t>5³, 45¹</t>
        </is>
      </c>
      <c r="I634" t="n">
        <v>4</v>
      </c>
      <c r="J634" t="inlineStr">
        <is>
          <t>2², 4¹, 8⁴</t>
        </is>
      </c>
      <c r="K634">
        <f>HYPERLINK("CSG1.html#group15B1", "15B¹")</f>
        <v/>
      </c>
      <c r="L634">
        <f>HYPERLINK("CSG7.html#group90F7", "90F⁷"), =HYPERLINK("CSG10.html#group45B10", "45B¹⁰"), =HYPERLINK("CSG10.html#group45C10", "45C¹⁰"), =HYPERLINK("CSG12.html#group45H12", "45H¹²"), =HYPERLINK("CSG12.html#group90E12", "90E¹²"), =HYPERLINK("CSG13.html#group45G13", "45G¹³"), =HYPERLINK("CSG13.html#group45I13", "45I¹³"), =HYPERLINK("CSG18.html#group180C18", "180C¹⁸")</f>
        <v/>
      </c>
      <c r="M634">
        <f>HYPERLINK("CSG0.html#group3B0", "3B⁰"), =HYPERLINK("CSG1.html#group15B1", "15B¹"), =HYPERLINK("CSG0.html#group1A0", "1A⁰"), =HYPERLINK("CSG0.html#group5A0", "5A⁰")</f>
        <v/>
      </c>
      <c r="N634">
        <f>HYPERLINK("CSG13.html#group45G13", "45G¹³"), =HYPERLINK("CSG12.html#group45H12", "45H¹²"), =HYPERLINK("CSG22.html#group90K22", "90K²²"), =HYPERLINK("CSG15.html#group180B15", "180B¹⁵"), =HYPERLINK("CSG18.html#group180C18", "180C¹⁸"), =HYPERLINK("CSG10.html#group45B10", "45B¹⁰"), =HYPERLINK("CSG22.html#group90L22", "90L²²"), =HYPERLINK("CSG13.html#group45I13", "45I¹³"), =HYPERLINK("CSG10.html#group45C10", "45C¹⁰"), =HYPERLINK("CSG12.html#group90E12", "90E¹²"), =HYPERLINK("CSG23.html#group45E23", "45E²³"), =HYPERLINK("CSG7.html#group90F7", "90F⁷"), =HYPERLINK("CSG19.html#group45H19", "45H¹⁹")</f>
        <v/>
      </c>
    </row>
    <row r="635">
      <c r="A635" t="inlineStr">
        <is>
          <t>45D³</t>
        </is>
      </c>
      <c r="B635" t="inlineStr">
        <is>
          <t>Γ₀(45)</t>
        </is>
      </c>
      <c r="C635" t="inlineStr">
        <is>
          <t>72</t>
        </is>
      </c>
      <c r="D635" t="inlineStr">
        <is>
          <t>1</t>
        </is>
      </c>
      <c r="E635" t="inlineStr">
        <is>
          <t>24</t>
        </is>
      </c>
      <c r="F635" t="inlineStr">
        <is>
          <t>0</t>
        </is>
      </c>
      <c r="G635" t="inlineStr">
        <is>
          <t>0</t>
        </is>
      </c>
      <c r="H635" t="inlineStr">
        <is>
          <t>1³, 5³, 9¹, 45¹</t>
        </is>
      </c>
      <c r="I635" t="n">
        <v>8</v>
      </c>
      <c r="J635" t="inlineStr">
        <is>
          <t>1⁴, 2², 4², 8¹</t>
        </is>
      </c>
      <c r="K635">
        <f>HYPERLINK("CSG0.html#group9B0", "9B⁰"), =HYPERLINK("CSG1.html#group15C1", "15C¹")</f>
        <v/>
      </c>
      <c r="L635">
        <f>HYPERLINK("CSG5.html#group45H5", "45H⁵"), =HYPERLINK("CSG9.html#group90D9", "90D⁹"), =HYPERLINK("CSG9.html#group90E9", "90E⁹"), =HYPERLINK("CSG11.html#group45G11", "45G¹¹"), =HYPERLINK("CSG11.html#group90J11", "90J¹¹"), =HYPERLINK("CSG11.html#group135B11", "135B¹¹"), =HYPERLINK("CSG13.html#group45K13", "45K¹³"), =HYPERLINK("CSG13.html#group135E13", "135E¹³"), =HYPERLINK("CSG15.html#group135B15", "135B¹⁵"), =HYPERLINK("CSG19.html#group45H19", "45H¹⁹"), =HYPERLINK("CSG19.html#group225A19", "225A¹⁹"), =HYPERLINK("CSG21.html#group180G21", "180G²¹")</f>
        <v/>
      </c>
      <c r="M635">
        <f>HYPERLINK("CSG0.html#group5B0", "5B⁰"), =HYPERLINK("CSG0.html#group3B0", "3B⁰"), =HYPERLINK("CSG0.html#group9B0", "9B⁰"), =HYPERLINK("CSG1.html#group15C1", "15C¹"), =HYPERLINK("CSG0.html#group1A0", "1A⁰")</f>
        <v/>
      </c>
      <c r="N635">
        <f>HYPERLINK("CSG21.html#group135A21", "135A²¹"), =HYPERLINK("CSG21.html#group45F21", "45F²¹"), =HYPERLINK("CSG17.html#group90Q17", "90Q¹⁷"), =HYPERLINK("CSG9.html#group90E9", "90E⁹"), =HYPERLINK("CSG17.html#group90R17", "90R¹⁷"), =HYPERLINK("CSG13.html#group45K13", "45K¹³"), =HYPERLINK("CSG9.html#group45G9", "45G⁹"), =HYPERLINK("CSG19.html#group45H19", "45H¹⁹"), =HYPERLINK("CSG19.html#group225A19", "225A¹⁹"), =HYPERLINK("CSG11.html#group135B11", "135B¹¹"), =HYPERLINK("CSG11.html#group90J11", "90J¹¹"), =HYPERLINK("CSG21.html#group180D21", "180D²¹"), =HYPERLINK("CSG15.html#group135B15", "135B¹⁵"), =HYPERLINK("CSG13.html#group135E13", "135E¹³"), =HYPERLINK("CSG21.html#group180G21", "180G²¹"), =HYPERLINK("CSG9.html#group90D9", "90D⁹"), =HYPERLINK("CSG5.html#group45H5", "45H⁵"), =HYPERLINK("CSG11.html#group45G11", "45G¹¹"), =HYPERLINK("CSG21.html#group180C21", "180C²¹"), =HYPERLINK("CSG21.html#group180H21", "180H²¹"), =HYPERLINK("CSG21.html#group90O21", "90O²¹")</f>
        <v/>
      </c>
    </row>
    <row r="636">
      <c r="A636" t="inlineStr">
        <is>
          <t>48A³</t>
        </is>
      </c>
      <c r="B636" t="inlineStr"/>
      <c r="C636" t="inlineStr">
        <is>
          <t>48</t>
        </is>
      </c>
      <c r="D636" t="inlineStr">
        <is>
          <t>2</t>
        </is>
      </c>
      <c r="E636" t="inlineStr">
        <is>
          <t>8</t>
        </is>
      </c>
      <c r="F636" t="inlineStr">
        <is>
          <t>6</t>
        </is>
      </c>
      <c r="G636" t="inlineStr">
        <is>
          <t>0</t>
        </is>
      </c>
      <c r="H636" t="inlineStr">
        <is>
          <t>48¹</t>
        </is>
      </c>
      <c r="I636" t="n">
        <v>1</v>
      </c>
      <c r="J636" t="inlineStr">
        <is>
          <t>8²</t>
        </is>
      </c>
      <c r="K636">
        <f>HYPERLINK("CSG0.html#group16A0", "16A⁰"), =HYPERLINK("CSG1.html#group24A1", "24A¹")</f>
        <v/>
      </c>
      <c r="L636">
        <f>HYPERLINK("CSG6.html#group48H6", "48H⁶"), =HYPERLINK("CSG7.html#group48J7", "48J⁷"), =HYPERLINK("CSG8.html#group48A8", "48A⁸"), =HYPERLINK("CSG10.html#group48F10", "48F¹⁰"), =HYPERLINK("CSG10.html#group144A10", "144A¹⁰"), =HYPERLINK("CSG12.html#group48A12", "48A¹²"), =HYPERLINK("CSG19.html#group240A19", "240A¹⁹"), =HYPERLINK("CSG21.html#group240B21", "240B²¹"), =HYPERLINK("CSG24.html#group336C24", "336C²⁴"), =HYPERLINK("CSG24.html#group336D24", "336D²⁴")</f>
        <v/>
      </c>
      <c r="M636">
        <f>HYPERLINK("CSG0.html#group8A0", "8A⁰"), =HYPERLINK("CSG0.html#group12A0", "12A⁰"), =HYPERLINK("CSG1.html#group24A1", "24A¹"), =HYPERLINK("CSG0.html#group16A0", "16A⁰"), =HYPERLINK("CSG0.html#group3A0", "3A⁰"), =HYPERLINK("CSG0.html#group1A0", "1A⁰"), =HYPERLINK("CSG0.html#group4A0", "4A⁰")</f>
        <v/>
      </c>
      <c r="N636">
        <f>HYPERLINK("CSG20.html#group48I20", "48I²⁰"), =HYPERLINK("CSG8.html#group48A8", "48A⁸"), =HYPERLINK("CSG21.html#group48BX21", "48BX²¹"), =HYPERLINK("CSG22.html#group144N22", "144N²²"), =HYPERLINK("CSG19.html#group48T19", "48T¹⁹"), =HYPERLINK("CSG12.html#group48A12", "48A¹²"), =HYPERLINK("CSG15.html#group48D15", "48D¹⁵"), =HYPERLINK("CSG20.html#group144F20", "144F²⁰"), =HYPERLINK("CSG20.html#group48H20", "48H²⁰"), =HYPERLINK("CSG6.html#group48H6", "48H⁶"), =HYPERLINK("CSG10.html#group48F10", "48F¹⁰"), =HYPERLINK("CSG24.html#group336D24", "336D²⁴"), =HYPERLINK("CSG24.html#group144A24", "144A²⁴"), =HYPERLINK("CSG23.html#group144T23", "144T²³"), =HYPERLINK("CSG22.html#group144J22", "144J²²"), =HYPERLINK("CSG24.html#group336C24", "336C²⁴"), =HYPERLINK("CSG10.html#group144A10", "144A¹⁰"), =HYPERLINK("CSG22.html#group48A22", "48A²²"), =HYPERLINK("CSG13.html#group48R13", "48R¹³"), =HYPERLINK("CSG21.html#group144N21", "144N²¹"), =HYPERLINK("CSG21.html#group240B21", "240B²¹"), =HYPERLINK("CSG15.html#group48B15", "48B¹⁵"), =HYPERLINK("CSG7.html#group48J7", "48J⁷"), =HYPERLINK("CSG20.html#group144E20", "144E²⁰"), =HYPERLINK("CSG22.html#group144L22", "144L²²"), =HYPERLINK("CSG22.html#group48C22", "48C²²"), =HYPERLINK("CSG19.html#group240A19", "240A¹⁹"), =HYPERLINK("CSG23.html#group144S23", "144S²³"), =HYPERLINK("CSG21.html#group48BY21", "48BY²¹")</f>
        <v/>
      </c>
    </row>
    <row r="637">
      <c r="A637" t="inlineStr">
        <is>
          <t>48B³</t>
        </is>
      </c>
      <c r="B637" t="inlineStr"/>
      <c r="C637" t="inlineStr">
        <is>
          <t>48</t>
        </is>
      </c>
      <c r="D637" t="inlineStr">
        <is>
          <t>2</t>
        </is>
      </c>
      <c r="E637" t="inlineStr">
        <is>
          <t>24</t>
        </is>
      </c>
      <c r="F637" t="inlineStr">
        <is>
          <t>6</t>
        </is>
      </c>
      <c r="G637" t="inlineStr">
        <is>
          <t>0</t>
        </is>
      </c>
      <c r="H637" t="inlineStr">
        <is>
          <t>48¹</t>
        </is>
      </c>
      <c r="I637" t="n">
        <v>1</v>
      </c>
      <c r="J637" t="inlineStr">
        <is>
          <t>8², 16²</t>
        </is>
      </c>
      <c r="K637">
        <f>HYPERLINK("CSG1.html#group24A1", "24A¹")</f>
        <v/>
      </c>
      <c r="L637">
        <f>HYPERLINK("CSG6.html#group48G6", "48G⁶"), =HYPERLINK("CSG6.html#group48H6", "48H⁶"), =HYPERLINK("CSG7.html#group48I7", "48I⁷"), =HYPERLINK("CSG7.html#group48J7", "48J⁷"), =HYPERLINK("CSG8.html#group48B8", "48B⁸"), =HYPERLINK("CSG10.html#group48G10", "48G¹⁰"), =HYPERLINK("CSG10.html#group144B10", "144B¹⁰"), =HYPERLINK("CSG10.html#group144C10", "144C¹⁰"), =HYPERLINK("CSG10.html#group144D10", "144D¹⁰"), =HYPERLINK("CSG12.html#group48B12", "48B¹²"), =HYPERLINK("CSG19.html#group240B19", "240B¹⁹"), =HYPERLINK("CSG21.html#group240D21", "240D²¹"), =HYPERLINK("CSG24.html#group336G24", "336G²⁴"), =HYPERLINK("CSG24.html#group336H24", "336H²⁴")</f>
        <v/>
      </c>
      <c r="M637">
        <f>HYPERLINK("CSG0.html#group8A0", "8A⁰"), =HYPERLINK("CSG0.html#group12A0", "12A⁰"), =HYPERLINK("CSG1.html#group24A1", "24A¹"), =HYPERLINK("CSG0.html#group3A0", "3A⁰"), =HYPERLINK("CSG0.html#group1A0", "1A⁰"), =HYPERLINK("CSG0.html#group4A0", "4A⁰")</f>
        <v/>
      </c>
      <c r="N637">
        <f>HYPERLINK("CSG7.html#group48I7", "48I⁷"), =HYPERLINK("CSG20.html#group48I20", "48I²⁰"), =HYPERLINK("CSG21.html#group48BX21", "48BX²¹"), =HYPERLINK("CSG22.html#group144N22", "144N²²"), =HYPERLINK("CSG15.html#group48D15", "48D¹⁵"), =HYPERLINK("CSG20.html#group144F20", "144F²⁰"), =HYPERLINK("CSG20.html#group48G20", "48G²⁰"), =HYPERLINK("CSG10.html#group144B10", "144B¹⁰"), =HYPERLINK("CSG21.html#group48BO21", "48BO²¹"), =HYPERLINK("CSG24.html#group336G24", "336G²⁴"), =HYPERLINK("CSG22.html#group144K22", "144K²²"), =HYPERLINK("CSG24.html#group336H24", "336H²⁴"), =HYPERLINK("CSG22.html#group48D22", "48D²²"), =HYPERLINK("CSG22.html#group144J22", "144J²²"), =HYPERLINK("CSG23.html#group144Q23", "144Q²³"), =HYPERLINK("CSG23.html#group144R23", "144R²³"), =HYPERLINK("CSG21.html#group144M21", "144M²¹"), =HYPERLINK("CSG15.html#group48A15", "48A¹⁵"), =HYPERLINK("CSG12.html#group48B12", "48B¹²"), =HYPERLINK("CSG20.html#group144D20", "144D²⁰"), =HYPERLINK("CSG21.html#group48BP21", "48BP²¹"), =HYPERLINK("CSG15.html#group48B15", "48B¹⁵"), =HYPERLINK("CSG20.html#group144E20", "144E²⁰"), =HYPERLINK("CSG22.html#group144M22", "144M²²"), =HYPERLINK("CSG24.html#group144B24", "144B²⁴"), =HYPERLINK("CSG21.html#group240D21", "240D²¹"), =HYPERLINK("CSG10.html#group144C10", "144C¹⁰"), =HYPERLINK("CSG10.html#group144D10", "144D¹⁰"), =HYPERLINK("CSG20.html#group48H20", "48H²⁰"), =HYPERLINK("CSG6.html#group48H6", "48H⁶"), =HYPERLINK("CSG19.html#group240B19", "240B¹⁹"), =HYPERLINK("CSG22.html#group48B22", "48B²²"), =HYPERLINK("CSG21.html#group48BW21", "48BW²¹"), =HYPERLINK("CSG22.html#group144I22", "144I²²"), =HYPERLINK("CSG6.html#group48G6", "48G⁶"), =HYPERLINK("CSG20.html#group144C20", "144C²⁰"), =HYPERLINK("CSG10.html#group48G10", "48G¹⁰"), =HYPERLINK("CSG23.html#group144T23", "144T²³"), =HYPERLINK("CSG20.html#group48C20", "48C²⁰"), =HYPERLINK("CSG19.html#group48AV19", "48AV¹⁹"), =HYPERLINK("CSG13.html#group48R13", "48R¹³"), =HYPERLINK("CSG21.html#group144N21", "144N²¹"), =HYPERLINK("CSG7.html#group48J7", "48J⁷"), =HYPERLINK("CSG22.html#group144L22", "144L²²"), =HYPERLINK("CSG24.html#group144C24", "144C²⁴"), =HYPERLINK("CSG21.html#group48BY21", "48BY²¹"), =HYPERLINK("CSG23.html#group144S23", "144S²³"), =HYPERLINK("CSG20.html#group48D20", "48D²⁰"), =HYPERLINK("CSG8.html#group48B8", "48B⁸")</f>
        <v/>
      </c>
    </row>
    <row r="638">
      <c r="A638" t="inlineStr">
        <is>
          <t>48C³</t>
        </is>
      </c>
      <c r="B638" t="inlineStr"/>
      <c r="C638" t="inlineStr">
        <is>
          <t>72</t>
        </is>
      </c>
      <c r="D638" t="inlineStr">
        <is>
          <t>1</t>
        </is>
      </c>
      <c r="E638" t="inlineStr">
        <is>
          <t>6</t>
        </is>
      </c>
      <c r="F638" t="inlineStr">
        <is>
          <t>12</t>
        </is>
      </c>
      <c r="G638" t="inlineStr">
        <is>
          <t>0</t>
        </is>
      </c>
      <c r="H638" t="inlineStr">
        <is>
          <t>24¹, 48¹</t>
        </is>
      </c>
      <c r="I638" t="n">
        <v>2</v>
      </c>
      <c r="J638" t="inlineStr">
        <is>
          <t>1², 2²</t>
        </is>
      </c>
      <c r="K638">
        <f>HYPERLINK("CSG0.html#group24A0", "24A⁰"), =HYPERLINK("CSG1.html#group16B1", "16B¹")</f>
        <v/>
      </c>
      <c r="L638">
        <f>HYPERLINK("CSG5.html#group48E5", "48E⁵"), =HYPERLINK("CSG7.html#group48T7", "48T⁷"), =HYPERLINK("CSG7.html#group48V7", "48V⁷"), =HYPERLINK("CSG8.html#group48X8", "48X⁸"), =HYPERLINK("CSG8.html#group48AC8", "48AC⁸"), =HYPERLINK("CSG9.html#group48L9", "48L⁹"), =HYPERLINK("CSG9.html#group48M9", "48M⁹"), =HYPERLINK("CSG11.html#group48A11", "48A¹¹"), =HYPERLINK("CSG11.html#group48C11", "48C¹¹"), =HYPERLINK("CSG13.html#group144A13", "144A¹³")</f>
        <v/>
      </c>
      <c r="M638">
        <f>HYPERLINK("CSG0.html#group12C0", "12C⁰"), =HYPERLINK("CSG0.html#group24A0", "24A⁰"), =HYPERLINK("CSG0.html#group4C0", "4C⁰"), =HYPERLINK("CSG0.html#group8B0", "8B⁰"), =HYPERLINK("CSG1.html#group16B1", "16B¹"), =HYPERLINK("CSG0.html#group2B0", "2B⁰"), =HYPERLINK("CSG0.html#group3A0", "3A⁰"), =HYPERLINK("CSG0.html#group1A0", "1A⁰"), =HYPERLINK("CSG0.html#group6D0", "6D⁰")</f>
        <v/>
      </c>
      <c r="N638">
        <f>HYPERLINK("CSG23.html#group96O23", "96O²³"), =HYPERLINK("CSG8.html#group48X8", "48X⁸"), =HYPERLINK("CSG17.html#group96B17", "96B¹⁷"), =HYPERLINK("CSG17.html#group48O17", "48O¹⁷"), =HYPERLINK("CSG21.html#group48I21", "48I²¹"), =HYPERLINK("CSG9.html#group48M9", "48M⁹"), =HYPERLINK("CSG19.html#group48BG19", "48BG¹⁹"), =HYPERLINK("CSG21.html#group48H21", "48H²¹"), =HYPERLINK("CSG21.html#group48R21", "48R²¹"), =HYPERLINK("CSG17.html#group96D17", "96D¹⁷"), =HYPERLINK("CSG19.html#group48AN19", "48AN¹⁹"), =HYPERLINK("CSG7.html#group48T7", "48T⁷"), =HYPERLINK("CSG17.html#group48BB17", "48BB¹⁷"), =HYPERLINK("CSG21.html#group48U21", "48U²¹"), =HYPERLINK("CSG17.html#group48CA17", "48CA¹⁷"), =HYPERLINK("CSG21.html#group48AE21", "48AE²¹"), =HYPERLINK("CSG21.html#group48AF21", "48AF²¹"), =HYPERLINK("CSG21.html#group48P21", "48P²¹"), =HYPERLINK("CSG17.html#group96C17", "96C¹⁷"), =HYPERLINK("CSG15.html#group96O15", "96O¹⁵"), =HYPERLINK("CSG21.html#group48AI21", "48AI²¹"), =HYPERLINK("CSG15.html#group48X15", "48X¹⁵"), =HYPERLINK("CSG8.html#group48AC8", "48AC⁸"), =HYPERLINK("CSG11.html#group96I11", "96I¹¹"), =HYPERLINK("CSG17.html#group48Q17", "48Q¹⁷"), =HYPERLINK("CSG23.html#group96A23", "96A²³"), =HYPERLINK("CSG21.html#group48F21", "48F²¹"), =HYPERLINK("CSG21.html#group48V21", "48V²¹"), =HYPERLINK("CSG17.html#group96N17", "96N¹⁷"), =HYPERLINK("CSG5.html#group48E5", "48E⁵"), =HYPERLINK("CSG17.html#group96R17", "96R¹⁷"), =HYPERLINK("CSG21.html#group48AC21", "48AC²¹"), =HYPERLINK("CSG20.html#group96I20", "96I²⁰"), =HYPERLINK("CSG20.html#group96Q20", "96Q²⁰"), =HYPERLINK("CSG17.html#group48BY17", "48BY¹⁷"), =HYPERLINK("CSG19.html#group48BC19", "48BC¹⁹"), =HYPERLINK("CSG17.html#group48M17", "48M¹⁷"), =HYPERLINK("CSG21.html#group48AS21", "48AS²¹"), =HYPERLINK("CSG15.html#group48J15", "48J¹⁵"), =HYPERLINK("CSG15.html#group48H15", "48H¹⁵"), =HYPERLINK("CSG19.html#group48AO19", "48AO¹⁹"), =HYPERLINK("CSG19.html#group96J19", "96J¹⁹"), =HYPERLINK("CSG13.html#group144A13", "144A¹³"), =HYPERLINK("CSG15.html#group48Y15", "48Y¹⁵"), =HYPERLINK("CSG21.html#group48T21", "48T²¹"), =HYPERLINK("CSG17.html#group96O17", "96O¹⁷"), =HYPERLINK("CSG23.html#group96F23", "96F²³"), =HYPERLINK("CSG20.html#group96P20", "96P²⁰"), =HYPERLINK("CSG15.html#group48I15", "48I¹⁵"), =HYPERLINK("CSG7.html#group48V7", "48V⁷"), =HYPERLINK("CSG17.html#group48BQ17", "48BQ¹⁷"), =HYPERLINK("CSG9.html#group48L9", "48L⁹"), =HYPERLINK("CSG11.html#group48A11", "48A¹¹"), =HYPERLINK("CSG17.html#group48BA17", "48BA¹⁷"), =HYPERLINK("CSG21.html#group48AX21", "48AX²¹"), =HYPERLINK("CSG13.html#group48AB13", "48AB¹³"), =HYPERLINK("CSG21.html#group48AR21", "48AR²¹"), =HYPERLINK("CSG19.html#group48BF19", "48BF¹⁹"), =HYPERLINK("CSG17.html#group48CB17", "48CB¹⁷"), =HYPERLINK("CSG20.html#group96J20", "96J²⁰"), =HYPERLINK("CSG11.html#group48C11", "48C¹¹"), =HYPERLINK("CSG15.html#group48W15", "48W¹⁵")</f>
        <v/>
      </c>
    </row>
    <row r="639">
      <c r="A639" t="inlineStr">
        <is>
          <t>48D³</t>
        </is>
      </c>
      <c r="B639" t="inlineStr"/>
      <c r="C639" t="inlineStr">
        <is>
          <t>72</t>
        </is>
      </c>
      <c r="D639" t="inlineStr">
        <is>
          <t>1</t>
        </is>
      </c>
      <c r="E639" t="inlineStr">
        <is>
          <t>12</t>
        </is>
      </c>
      <c r="F639" t="inlineStr">
        <is>
          <t>6</t>
        </is>
      </c>
      <c r="G639" t="inlineStr">
        <is>
          <t>0</t>
        </is>
      </c>
      <c r="H639" t="inlineStr">
        <is>
          <t>6⁴, 48¹</t>
        </is>
      </c>
      <c r="I639" t="n">
        <v>5</v>
      </c>
      <c r="J639" t="inlineStr">
        <is>
          <t>1², 2¹, 4²</t>
        </is>
      </c>
      <c r="K639">
        <f>HYPERLINK("CSG0.html#group16E0", "16E⁰"), =HYPERLINK("CSG1.html#group24C1", "24C¹")</f>
        <v/>
      </c>
      <c r="L639">
        <f>HYPERLINK("CSG6.html#group48J6", "48J⁶"), =HYPERLINK("CSG7.html#group48P7", "48P⁷"), =HYPERLINK("CSG7.html#group48AA7", "48AA⁷"), =HYPERLINK("CSG8.html#group48C8", "48C⁸"), =HYPERLINK("CSG8.html#group48P8", "48P⁸"), =HYPERLINK("CSG8.html#group96C8", "96C⁸"), =HYPERLINK("CSG8.html#group96D8", "96D⁸"), =HYPERLINK("CSG8.html#group96E8", "96E⁸"), =HYPERLINK("CSG8.html#group96F8", "96F⁸"), =HYPERLINK("CSG9.html#group48T9", "48T⁹"), =HYPERLINK("CSG10.html#group48C10", "48C¹⁰"), =HYPERLINK("CSG14.html#group144B14", "144B¹⁴")</f>
        <v/>
      </c>
      <c r="M639">
        <f>HYPERLINK("CSG0.html#group16E0", "16E⁰"), =HYPERLINK("CSG0.html#group12C0", "12C⁰"), =HYPERLINK("CSG0.html#group8D0", "8D⁰"), =HYPERLINK("CSG0.html#group4C0", "4C⁰"), =HYPERLINK("CSG1.html#group24C1", "24C¹"), =HYPERLINK("CSG0.html#group2B0", "2B⁰"), =HYPERLINK("CSG0.html#group3A0", "3A⁰"), =HYPERLINK("CSG0.html#group1A0", "1A⁰"), =HYPERLINK("CSG0.html#group6D0", "6D⁰")</f>
        <v/>
      </c>
      <c r="N639">
        <f>HYPERLINK("CSG17.html#group96U17", "96U¹⁷"), =HYPERLINK("CSG16.html#group96B16", "96B¹⁶"), =HYPERLINK("CSG19.html#group96AC19", "96AC¹⁹"), =HYPERLINK("CSG21.html#group48AQ21", "48AQ²¹"), =HYPERLINK("CSG19.html#group48Y19", "48Y¹⁹"), =HYPERLINK("CSG18.html#group96A18", "96A¹⁸"), =HYPERLINK("CSG7.html#group48P7", "48P⁷"), =HYPERLINK("CSG16.html#group96C16", "96C¹⁶"), =HYPERLINK("CSG8.html#group96D8", "96D⁸"), =HYPERLINK("CSG17.html#group48D17", "48D¹⁷"), =HYPERLINK("CSG17.html#group96F17", "96F¹⁷"), =HYPERLINK("CSG16.html#group48A16", "48A¹⁶"), =HYPERLINK("CSG19.html#group96AB19", "96AB¹⁹"), =HYPERLINK("CSG17.html#group48AJ17", "48AJ¹⁷"), =HYPERLINK("CSG15.html#group48V15", "48V¹⁵"), =HYPERLINK("CSG17.html#group96X17", "96X¹⁷"), =HYPERLINK("CSG20.html#group96B20", "96B²⁰"), =HYPERLINK("CSG21.html#group48U21", "48U²¹"), =HYPERLINK("CSG7.html#group48AA7", "48AA⁷"), =HYPERLINK("CSG19.html#group48Z19", "48Z¹⁹"), =HYPERLINK("CSG17.html#group48AP17", "48AP¹⁷"), =HYPERLINK("CSG22.html#group96D22", "96D²²"), =HYPERLINK("CSG22.html#group96B22", "96B²²"), =HYPERLINK("CSG18.html#group96F18", "96F¹⁸"), =HYPERLINK("CSG18.html#group48E18", "48E¹⁸"), =HYPERLINK("CSG18.html#group96G18", "96G¹⁸"), =HYPERLINK("CSG19.html#group96L19", "96L¹⁹"), =HYPERLINK("CSG9.html#group48T9", "48T⁹"), =HYPERLINK("CSG20.html#group96A20", "96A²⁰"), =HYPERLINK("CSG18.html#group96C18", "96C¹⁸"), =HYPERLINK("CSG15.html#group48F15", "48F¹⁵"), =HYPERLINK("CSG15.html#group48G15", "48G¹⁵"), =HYPERLINK("CSG19.html#group48X19", "48X¹⁹"), =HYPERLINK("CSG17.html#group96W17", "96W¹⁷"), =HYPERLINK("CSG14.html#group144B14", "144B¹⁴"), =HYPERLINK("CSG17.html#group48AL17", "48AL¹⁷"), =HYPERLINK("CSG8.html#group48P8", "48P⁸"), =HYPERLINK("CSG8.html#group96E8", "96E⁸"), =HYPERLINK("CSG13.html#group48AD13", "48AD¹³"), =HYPERLINK("CSG19.html#group96M19", "96M¹⁹"), =HYPERLINK("CSG15.html#group48I15", "48I¹⁵"), =HYPERLINK("CSG17.html#group96E17", "96E¹⁷"), =HYPERLINK("CSG18.html#group96E18", "96E¹⁸"), =HYPERLINK("CSG8.html#group96F8", "96F⁸"), =HYPERLINK("CSG17.html#group48BV17", "48BV¹⁷"), =HYPERLINK("CSG19.html#group96AD19", "96AD¹⁹"), =HYPERLINK("CSG16.html#group96A16", "96A¹⁶"), =HYPERLINK("CSG19.html#group48B19", "48B¹⁹"), =HYPERLINK("CSG6.html#group48J6", "48J⁶"), =HYPERLINK("CSG8.html#group96C8", "96C⁸"), =HYPERLINK("CSG16.html#group96D16", "96D¹⁶"), =HYPERLINK("CSG17.html#group96Y17", "96Y¹⁷"), =HYPERLINK("CSG17.html#group96V17", "96V¹⁷"), =HYPERLINK("CSG8.html#group48C8", "48C⁸"), =HYPERLINK("CSG19.html#group96AA19", "96AA¹⁹"), =HYPERLINK("CSG16.html#group48H16", "48H¹⁶"), =HYPERLINK("CSG18.html#group48N18", "48N¹⁸"), =HYPERLINK("CSG19.html#group48AE19", "48AE¹⁹"), =HYPERLINK("CSG10.html#group48C10", "48C¹⁰"), =HYPERLINK("CSG19.html#group96AZ19", "96AZ¹⁹"), =HYPERLINK("CSG21.html#group48BM21", "48BM²¹"), =HYPERLINK("CSG17.html#group48I17", "48I¹⁷"), =HYPERLINK("CSG19.html#group48H19", "48H¹⁹"), =HYPERLINK("CSG17.html#group96T17", "96T¹⁷")</f>
        <v/>
      </c>
    </row>
    <row r="640">
      <c r="A640" t="inlineStr">
        <is>
          <t>48E³</t>
        </is>
      </c>
      <c r="B640" t="inlineStr"/>
      <c r="C640" t="inlineStr">
        <is>
          <t>72</t>
        </is>
      </c>
      <c r="D640" t="inlineStr">
        <is>
          <t>1</t>
        </is>
      </c>
      <c r="E640" t="inlineStr">
        <is>
          <t>12</t>
        </is>
      </c>
      <c r="F640" t="inlineStr">
        <is>
          <t>12</t>
        </is>
      </c>
      <c r="G640" t="inlineStr">
        <is>
          <t>0</t>
        </is>
      </c>
      <c r="H640" t="inlineStr">
        <is>
          <t>24¹, 48¹</t>
        </is>
      </c>
      <c r="I640" t="n">
        <v>2</v>
      </c>
      <c r="J640" t="inlineStr">
        <is>
          <t>1⁴, 2², 4¹</t>
        </is>
      </c>
      <c r="K640">
        <f>HYPERLINK("CSG0.html#group24A0", "24A⁰"), =HYPERLINK("CSG1.html#group16D1", "16D¹")</f>
        <v/>
      </c>
      <c r="L640">
        <f>HYPERLINK("CSG5.html#group48F5", "48F⁵"), =HYPERLINK("CSG7.html#group48AE7", "48AE⁷"), =HYPERLINK("CSG7.html#group48AG7", "48AG⁷"), =HYPERLINK("CSG8.html#group48F8", "48F⁸"), =HYPERLINK("CSG8.html#group48X8", "48X⁸"), =HYPERLINK("CSG8.html#group48AB8", "48AB⁸"), =HYPERLINK("CSG8.html#group48AD8", "48AD⁸"), =HYPERLINK("CSG9.html#group48Y9", "48Y⁹"), =HYPERLINK("CSG9.html#group48Z9", "48Z⁹"), =HYPERLINK("CSG9.html#group96C9", "96C⁹"), =HYPERLINK("CSG9.html#group96F9", "96F⁹"), =HYPERLINK("CSG9.html#group96E9", "96E⁹"), =HYPERLINK("CSG9.html#group96D9", "96D⁹"), =HYPERLINK("CSG9.html#group96H9", "96H⁹"), =HYPERLINK("CSG9.html#group96I9", "96I⁹"), =HYPERLINK("CSG9.html#group96J9", "96J⁹"), =HYPERLINK("CSG9.html#group96K9", "96K⁹"), =HYPERLINK("CSG11.html#group48D11", "48D¹¹"), =HYPERLINK("CSG11.html#group48K11", "48K¹¹"), =HYPERLINK("CSG13.html#group144C13", "144C¹³")</f>
        <v/>
      </c>
      <c r="M640">
        <f>HYPERLINK("CSG1.html#group16D1", "16D¹"), =HYPERLINK("CSG0.html#group12C0", "12C⁰"), =HYPERLINK("CSG0.html#group24A0", "24A⁰"), =HYPERLINK("CSG0.html#group4C0", "4C⁰"), =HYPERLINK("CSG0.html#group8B0", "8B⁰"), =HYPERLINK("CSG0.html#group2B0", "2B⁰"), =HYPERLINK("CSG0.html#group3A0", "3A⁰"), =HYPERLINK("CSG0.html#group1A0", "1A⁰"), =HYPERLINK("CSG0.html#group6D0", "6D⁰")</f>
        <v/>
      </c>
      <c r="N640">
        <f>HYPERLINK("CSG19.html#group96AH19", "96AH¹⁹"), =HYPERLINK("CSG21.html#group48I21", "48I²¹"), =HYPERLINK("CSG19.html#group96AE19", "96AE¹⁹"), =HYPERLINK("CSG20.html#group96N20", "96N²⁰"), =HYPERLINK("CSG21.html#group96AG21", "96AG²¹"), =HYPERLINK("CSG21.html#group192H21", "192H²¹"), =HYPERLINK("CSG17.html#group48CE17", "48CE¹⁷"), =HYPERLINK("CSG17.html#group48CA17", "48CA¹⁷"), =HYPERLINK("CSG15.html#group48M15", "48M¹⁵"), =HYPERLINK("CSG21.html#group192I21", "192I²¹"), =HYPERLINK("CSG21.html#group48BF21", "48BF²¹"), =HYPERLINK("CSG21.html#group48AN21", "48AN²¹"), =HYPERLINK("CSG19.html#group96AK19", "96AK¹⁹"), =HYPERLINK("CSG21.html#group48J21", "48J²¹"), =HYPERLINK("CSG20.html#group96S20", "96S²⁰"), =HYPERLINK("CSG21.html#group48V21", "48V²¹"), =HYPERLINK("CSG18.html#group48E18", "48E¹⁸"), =HYPERLINK("CSG7.html#group48AG7", "48AG⁷"), =HYPERLINK("CSG18.html#group48O18", "48O¹⁸"), =HYPERLINK("CSG20.html#group96H20", "96H²⁰"), =HYPERLINK("CSG11.html#group48K11", "48K¹¹"), =HYPERLINK("CSG19.html#group48AL19", "48AL¹⁹"), =HYPERLINK("CSG23.html#group96E23", "96E²³"), =HYPERLINK("CSG21.html#group96AF21", "96AF²¹"), =HYPERLINK("CSG15.html#group48L15", "48L¹⁵"), =HYPERLINK("CSG20.html#group96Z20", "96Z²⁰"), =HYPERLINK("CSG21.html#group48BC21", "48BC²¹"), =HYPERLINK("CSG17.html#group96Z17", "96Z¹⁷"), =HYPERLINK("CSG19.html#group96BB19", "96BB¹⁹"), =HYPERLINK("CSG18.html#group48F18", "48F¹⁸"), =HYPERLINK("CSG17.html#group48BC17", "48BC¹⁷"), =HYPERLINK("CSG19.html#group48BD19", "48BD¹⁹"), =HYPERLINK("CSG21.html#group48AM21", "48AM²¹"), =HYPERLINK("CSG19.html#group48BH19", "48BH¹⁹"), =HYPERLINK("CSG20.html#group96V20", "96V²⁰"), =HYPERLINK("CSG15.html#group96S15", "96S¹⁵"), =HYPERLINK("CSG17.html#group48CB17", "48CB¹⁷"), =HYPERLINK("CSG17.html#group48BF17", "48BF¹⁷"), =HYPERLINK("CSG17.html#group48AU17", "48AU¹⁷"), =HYPERLINK("CSG17.html#group48CF17", "48CF¹⁷"), =HYPERLINK("CSG19.html#group48BG19", "48BG¹⁹"), =HYPERLINK("CSG20.html#group96AD20", "96AD²⁰"), =HYPERLINK("CSG21.html#group96AE21", "96AE²¹"), =HYPERLINK("CSG21.html#group192J21", "192J²¹"), =HYPERLINK("CSG9.html#group96I9", "96I⁹"), =HYPERLINK("CSG21.html#group96AY21", "96AY²¹"), =HYPERLINK("CSG11.html#group48D11", "48D¹¹"), =HYPERLINK("CSG21.html#group96AP21", "96AP²¹"), =HYPERLINK("CSG23.html#group96D23", "96D²³"), =HYPERLINK("CSG18.html#group48Q18", "48Q¹⁸"), =HYPERLINK("CSG23.html#group96C23", "96C²³"), =HYPERLINK("CSG17.html#group48AV17", "48AV¹⁷"), =HYPERLINK("CSG17.html#group48CC17", "48CC¹⁷"), =HYPERLINK("CSG20.html#group96T20", "96T²⁰"), =HYPERLINK("CSG21.html#group48BU21", "48BU²¹"), =HYPERLINK("CSG23.html#group96J23", "96J²³"), =HYPERLINK("CSG17.html#group48BD17", "48BD¹⁷"), =HYPERLINK("CSG15.html#group48J15", "48J¹⁵"), =HYPERLINK("CSG19.html#group96AM19", "96AM¹⁹"), =HYPERLINK("CSG20.html#group96Y20", "96Y²⁰"), =HYPERLINK("CSG20.html#group96W20", "96W²⁰"), =HYPERLINK("CSG15.html#group48AE15", "48AE¹⁵"), =HYPERLINK("CSG8.html#group48AD8", "48AD⁸"), =HYPERLINK("CSG17.html#group48AX17", "48AX¹⁷"), =HYPERLINK("CSG9.html#group48Y9", "48Y⁹"), =HYPERLINK("CSG19.html#group96AQ19", "96AQ¹⁹"), =HYPERLINK("CSG19.html#group96AL19", "96AL¹⁹"), =HYPERLINK("CSG20.html#group96G20", "96G²⁰"), =HYPERLINK("CSG9.html#group96D9", "96D⁹"), =HYPERLINK("CSG17.html#group48BE17", "48BE¹⁷"), =HYPERLINK("CSG13.html#group48AF13", "48AF¹³"), =HYPERLINK("CSG21.html#group192F21", "192F²¹"), =HYPERLINK("CSG9.html#group96H9", "96H⁹"), =HYPERLINK("CSG19.html#group96AF19", "96AF¹⁹"), =HYPERLINK("CSG20.html#group96O20", "96O²⁰"), =HYPERLINK("CSG17.html#group48AZ17", "48AZ¹⁷"), =HYPERLINK("CSG19.html#group48BF19", "48BF¹⁹"), =HYPERLINK("CSG21.html#group48AP21", "48AP²¹"), =HYPERLINK("CSG15.html#group48AF15", "48AF¹⁵"), =HYPERLINK("CSG17.html#group96AE17", "96AE¹⁷"), =HYPERLINK("CSG17.html#group96AB17", "96AB¹⁷"), =HYPERLINK("CSG20.html#group96AF20", "96AF²⁰"), =HYPERLINK("CSG8.html#group48AB8", "48AB⁸"), =HYPERLINK("CSG21.html#group96AI21", "96AI²¹"), =HYPERLINK("CSG17.html#group96AA17", "96AA¹⁷"), =HYPERLINK("CSG20.html#group96AG20", "96AG²⁰"), =HYPERLINK("CSG21.html#group96AN21", "96AN²¹"), =HYPERLINK("CSG23.html#group96K23", "96K²³"), =HYPERLINK("CSG9.html#group96J9", "96J⁹"), =HYPERLINK("CSG20.html#group96AC20", "96AC²⁰"), =HYPERLINK("CSG21.html#group96AO21", "96AO²¹"), =HYPERLINK("CSG23.html#group96H23", "96H²³"), =HYPERLINK("CSG20.html#group96R20", "96R²⁰"), =HYPERLINK("CSG19.html#group96BA19", "96BA¹⁹"), =HYPERLINK("CSG20.html#group96AA20", "96AA²⁰"), =HYPERLINK("CSG20.html#group96AB20", "96AB²⁰"), =HYPERLINK("CSG21.html#group192G21", "192G²¹"), =HYPERLINK("CSG23.html#group96V23", "96V²³"), =HYPERLINK("CSG11.html#group96J11", "96J¹¹"), =HYPERLINK("CSG20.html#group96I20", "96I²⁰"), =HYPERLINK("CSG20.html#group96Q20", "96Q²⁰"), =HYPERLINK("CSG21.html#group96AH21", "96AH²¹"), =HYPERLINK("CSG21.html#group192E21", "192E²¹"), =HYPERLINK("CSG9.html#group96E9", "96E⁹"), =HYPERLINK("CSG15.html#group48AD15", "48AD¹⁵"), =HYPERLINK("CSG21.html#group96AL21", "96AL²¹"), =HYPERLINK("CSG20.html#group96X20", "96X²⁰"), =HYPERLINK("CSG21.html#group48BG21", "48BG²¹"), =HYPERLINK("CSG19.html#group96AG19", "96AG¹⁹"), =HYPERLINK("CSG21.html#group48AJ21", "48AJ²¹"), =HYPERLINK("CSG9.html#group96K9", "96K⁹"), =HYPERLINK("CSG19.html#group96W19", "96W¹⁹"), =HYPERLINK("CSG23.html#group96B23", "96B²³"), =HYPERLINK("CSG17.html#group48AS17", "48AS¹⁷"), =HYPERLINK("CSG20.html#group96J20", "96J²⁰"), =HYPERLINK("CSG19.html#group96AO19", "96AO¹⁹"), =HYPERLINK("CSG19.html#group96AR19", "96AR¹⁹"), =HYPERLINK("CSG23.html#group96I23", "96I²³"), =HYPERLINK("CSG19.html#group48AK19", "48AK¹⁹"), =HYPERLINK("CSG8.html#group48F8", "48F⁸"), =HYPERLINK("CSG13.html#group144C13", "144C¹³"), =HYPERLINK("CSG8.html#group48X8", "48X⁸"), =HYPERLINK("CSG9.html#group96F9", "96F⁹"), =HYPERLINK("CSG9.html#group48Z9", "48Z⁹"), =HYPERLINK("CSG17.html#group96H17", "96H¹⁷"), =HYPERLINK("CSG21.html#group96AJ21", "96AJ²¹"), =HYPERLINK("CSG21.html#group96AM21", "96AM²¹"), =HYPERLINK("CSG21.html#group96AX21", "96AX²¹"), =HYPERLINK("CSG23.html#group96N23", "96N²³"), =HYPERLINK("CSG20.html#group96U20", "96U²⁰"), =HYPERLINK("CSG21.html#group96AK21", "96AK²¹"), =HYPERLINK("CSG5.html#group48F5", "48F⁵"), =HYPERLINK("CSG21.html#group192K21", "192K²¹"), =HYPERLINK("CSG23.html#group96M23", "96M²³"), =HYPERLINK("CSG19.html#group48BB19", "48BB¹⁹"), =HYPERLINK("CSG21.html#group192L21", "192L²¹"), =HYPERLINK("CSG19.html#group96AP19", "96AP¹⁹"), =HYPERLINK("CSG20.html#group96P20", "96P²⁰"), =HYPERLINK("CSG17.html#group96G17", "96G¹⁷"), =HYPERLINK("CSG19.html#group96AN19", "96AN¹⁹"), =HYPERLINK("CSG21.html#group48W21", "48W²¹"), =HYPERLINK("CSG21.html#group48E21", "48E²¹"), =HYPERLINK("CSG20.html#group96AE20", "96AE²⁰"), =HYPERLINK("CSG23.html#group96U23", "96U²³"), =HYPERLINK("CSG9.html#group96C9", "96C⁹"), =HYPERLINK("CSG7.html#group48AE7", "48AE⁷"), =HYPERLINK("CSG19.html#group48BI19", "48BI¹⁹"), =HYPERLINK("CSG23.html#group96L23", "96L²³")</f>
        <v/>
      </c>
    </row>
    <row r="641">
      <c r="A641" t="inlineStr">
        <is>
          <t>48F³</t>
        </is>
      </c>
      <c r="B641" t="inlineStr"/>
      <c r="C641" t="inlineStr">
        <is>
          <t>72</t>
        </is>
      </c>
      <c r="D641" t="inlineStr">
        <is>
          <t>1</t>
        </is>
      </c>
      <c r="E641" t="inlineStr">
        <is>
          <t>18</t>
        </is>
      </c>
      <c r="F641" t="inlineStr">
        <is>
          <t>12</t>
        </is>
      </c>
      <c r="G641" t="inlineStr">
        <is>
          <t>0</t>
        </is>
      </c>
      <c r="H641" t="inlineStr">
        <is>
          <t>24¹, 48¹</t>
        </is>
      </c>
      <c r="I641" t="n">
        <v>2</v>
      </c>
      <c r="J641" t="inlineStr">
        <is>
          <t>1², 2⁴, 4²</t>
        </is>
      </c>
      <c r="K641">
        <f>HYPERLINK("CSG0.html#group24A0", "24A⁰")</f>
        <v/>
      </c>
      <c r="L641">
        <f>HYPERLINK("CSG5.html#group48G5", "48G⁵"), =HYPERLINK("CSG7.html#group48S7", "48S⁷"), =HYPERLINK("CSG7.html#group48T7", "48T⁷"), =HYPERLINK("CSG7.html#group48U7", "48U⁷"), =HYPERLINK("CSG7.html#group48AI7", "48AI⁷"), =HYPERLINK("CSG8.html#group48AA8", "48AA⁸"), =HYPERLINK("CSG8.html#group48AD8", "48AD⁸"), =HYPERLINK("CSG8.html#group48AE8", "48AE⁸"), =HYPERLINK("CSG8.html#group48AF8", "48AF⁸"), =HYPERLINK("CSG9.html#group48J9", "48J⁹"), =HYPERLINK("CSG9.html#group48K9", "48K⁹"), =HYPERLINK("CSG9.html#group48M9", "48M⁹"), =HYPERLINK("CSG9.html#group48AB9", "48AB⁹"), =HYPERLINK("CSG11.html#group48F11", "48F¹¹"), =HYPERLINK("CSG11.html#group48L11", "48L¹¹"), =HYPERLINK("CSG13.html#group144B13", "144B¹³"), =HYPERLINK("CSG13.html#group144E13", "144E¹³")</f>
        <v/>
      </c>
      <c r="M641">
        <f>HYPERLINK("CSG0.html#group12C0", "12C⁰"), =HYPERLINK("CSG0.html#group24A0", "24A⁰"), =HYPERLINK("CSG0.html#group4C0", "4C⁰"), =HYPERLINK("CSG0.html#group8B0", "8B⁰"), =HYPERLINK("CSG0.html#group2B0", "2B⁰"), =HYPERLINK("CSG0.html#group3A0", "3A⁰"), =HYPERLINK("CSG0.html#group1A0", "1A⁰"), =HYPERLINK("CSG0.html#group6D0", "6D⁰")</f>
        <v/>
      </c>
      <c r="N641">
        <f>HYPERLINK("CSG15.html#group96R15", "96R¹⁵"), =HYPERLINK("CSG13.html#group48AA13", "48AA¹³"), =HYPERLINK("CSG19.html#group48BE19", "48BE¹⁹"), =HYPERLINK("CSG17.html#group48O17", "48O¹⁷"), =HYPERLINK("CSG9.html#group48M9", "48M⁹"), =HYPERLINK("CSG13.html#group144B13", "144B¹³"), =HYPERLINK("CSG19.html#group48BJ19", "48BJ¹⁹"), =HYPERLINK("CSG20.html#group96AG20", "96AG²⁰"), =HYPERLINK("CSG21.html#group48H21", "48H²¹"), =HYPERLINK("CSG21.html#group96Z21", "96Z²¹"), =HYPERLINK("CSG19.html#group48BK19", "48BK¹⁹"), =HYPERLINK("CSG7.html#group48S7", "48S⁷"), =HYPERLINK("CSG17.html#group48CE17", "48CE¹⁷"), =HYPERLINK("CSG7.html#group48T7", "48T⁷"), =HYPERLINK("CSG21.html#group48AH21", "48AH²¹"), =HYPERLINK("CSG13.html#group96G13", "96G¹³"), =HYPERLINK("CSG17.html#group48CA17", "48CA¹⁷"), =HYPERLINK("CSG21.html#group48AE21", "48AE²¹"), =HYPERLINK("CSG21.html#group48BI21", "48BI²¹"), =HYPERLINK("CSG15.html#group48Z15", "48Z¹⁵"), =HYPERLINK("CSG17.html#group48BX17", "48BX¹⁷"), =HYPERLINK("CSG17.html#group48Q17", "48Q¹⁷"), =HYPERLINK("CSG21.html#group48BS21", "48BS²¹"), =HYPERLINK("CSG17.html#group48CH17", "48CH¹⁷"), =HYPERLINK("CSG7.html#group48AI7", "48AI⁷"), =HYPERLINK("CSG21.html#group48AA21", "48AA²¹"), =HYPERLINK("CSG17.html#group48AT17", "48AT¹⁷"), =HYPERLINK("CSG21.html#group48AD21", "48AD²¹"), =HYPERLINK("CSG21.html#group48AC21", "48AC²¹"), =HYPERLINK("CSG17.html#group48CG17", "48CG¹⁷"), =HYPERLINK("CSG17.html#group48AM17", "48AM¹⁷"), =HYPERLINK("CSG17.html#group48BY17", "48BY¹⁷"), =HYPERLINK("CSG17.html#group48BW17", "48BW¹⁷"), =HYPERLINK("CSG17.html#group48M17", "48M¹⁷"), =HYPERLINK("CSG9.html#group48K9", "48K⁹"), =HYPERLINK("CSG17.html#group48P17", "48P¹⁷"), =HYPERLINK("CSG21.html#group48AB21", "48AB²¹"), =HYPERLINK("CSG19.html#group48AZ19", "48AZ¹⁹"), =HYPERLINK("CSG20.html#group96X20", "96X²⁰"), =HYPERLINK("CSG19.html#group48BA19", "48BA¹⁹"), =HYPERLINK("CSG21.html#group48AJ21", "48AJ²¹"), =HYPERLINK("CSG19.html#group48BD19", "48BD¹⁹"), =HYPERLINK("CSG21.html#group48BH21", "48BH²¹"), =HYPERLINK("CSG19.html#group48AY19", "48AY¹⁹"), =HYPERLINK("CSG19.html#group48BH19", "48BH¹⁹"), =HYPERLINK("CSG13.html#group144E13", "144E¹³"), =HYPERLINK("CSG17.html#group48BG17", "48BG¹⁷"), =HYPERLINK("CSG21.html#group48Q21", "48Q²¹"), =HYPERLINK("CSG21.html#group48BQ21", "48BQ²¹"), =HYPERLINK("CSG20.html#group96V20", "96V²⁰"), =HYPERLINK("CSG17.html#group48AN17", "48AN¹⁷"), =HYPERLINK("CSG8.html#group48AA8", "48AA⁸"), =HYPERLINK("CSG17.html#group48BH17", "48BH¹⁷"), =HYPERLINK("CSG7.html#group48U7", "48U⁷"), =HYPERLINK("CSG17.html#group48BF17", "48BF¹⁷"), =HYPERLINK("CSG19.html#group48AK19", "48AK¹⁹"), =HYPERLINK("CSG17.html#group48AU17", "48AU¹⁷"), =HYPERLINK("CSG8.html#group48AF8", "48AF⁸"), =HYPERLINK("CSG17.html#group48CF17", "48CF¹⁷"), =HYPERLINK("CSG17.html#group48N17", "48N¹⁷"), =HYPERLINK("CSG19.html#group48BG19", "48BG¹⁹"), =HYPERLINK("CSG20.html#group96AD20", "96AD²⁰"), =HYPERLINK("CSG17.html#group48AO17", "48AO¹⁷"), =HYPERLINK("CSG8.html#group48AE8", "48AE⁸"), =HYPERLINK("CSG15.html#group96Q15", "96Q¹⁵"), =HYPERLINK("CSG21.html#group48AF21", "48AF²¹"), =HYPERLINK("CSG21.html#group48P21", "48P²¹"), =HYPERLINK("CSG17.html#group48BR17", "48BR¹⁷"), =HYPERLINK("CSG17.html#group48AP17", "48AP¹⁷"), =HYPERLINK("CSG9.html#group48AB9", "48AB⁹"), =HYPERLINK("CSG19.html#group96V19", "96V¹⁹"), =HYPERLINK("CSG19.html#group48AC19", "48AC¹⁹"), =HYPERLINK("CSG19.html#group48AD19", "48AD¹⁹"), =HYPERLINK("CSG11.html#group48F11", "48F¹¹"), =HYPERLINK("CSG21.html#group48BU21", "48BU²¹"), =HYPERLINK("CSG19.html#group48BC19", "48BC¹⁹"), =HYPERLINK("CSG9.html#group48J9", "48J⁹"), =HYPERLINK("CSG15.html#group48AA15", "48AA¹⁵"), =HYPERLINK("CSG20.html#group96W20", "96W²⁰"), =HYPERLINK("CSG5.html#group48G5", "48G⁵"), =HYPERLINK("CSG20.html#group96Y20", "96Y²⁰"), =HYPERLINK("CSG8.html#group48AD8", "48AD⁸"), =HYPERLINK("CSG17.html#group48BQ17", "48BQ¹⁷"), =HYPERLINK("CSG21.html#group48N21", "48N²¹"), =HYPERLINK("CSG17.html#group48BZ17", "48BZ¹⁷"), =HYPERLINK("CSG11.html#group48L11", "48L¹¹"), =HYPERLINK("CSG19.html#group96T19", "96T¹⁹"), =HYPERLINK("CSG17.html#group48BE17", "48BE¹⁷"), =HYPERLINK("CSG21.html#group48K21", "48K²¹"), =HYPERLINK("CSG19.html#group48AJ19", "48AJ¹⁹"), =HYPERLINK("CSG20.html#group96AE20", "96AE²⁰"), =HYPERLINK("CSG13.html#group48AB13", "48AB¹³"), =HYPERLINK("CSG19.html#group48AE19", "48AE¹⁹"), =HYPERLINK("CSG19.html#group48AB19", "48AB¹⁹"), =HYPERLINK("CSG17.html#group96AD17", "96AD¹⁷"), =HYPERLINK("CSG19.html#group48BI19", "48BI¹⁹"), =HYPERLINK("CSG15.html#group48AF15", "48AF¹⁵"), =HYPERLINK("CSG20.html#group96AF20", "96AF²⁰")</f>
        <v/>
      </c>
    </row>
    <row r="642">
      <c r="A642" t="inlineStr">
        <is>
          <t>48G³</t>
        </is>
      </c>
      <c r="B642" t="inlineStr"/>
      <c r="C642" t="inlineStr">
        <is>
          <t>72</t>
        </is>
      </c>
      <c r="D642" t="inlineStr">
        <is>
          <t>1</t>
        </is>
      </c>
      <c r="E642" t="inlineStr">
        <is>
          <t>36</t>
        </is>
      </c>
      <c r="F642" t="inlineStr">
        <is>
          <t>6</t>
        </is>
      </c>
      <c r="G642" t="inlineStr">
        <is>
          <t>0</t>
        </is>
      </c>
      <c r="H642" t="inlineStr">
        <is>
          <t>6⁴, 48¹</t>
        </is>
      </c>
      <c r="I642" t="n">
        <v>5</v>
      </c>
      <c r="J642" t="inlineStr">
        <is>
          <t>1², 2³, 4³, 8²</t>
        </is>
      </c>
      <c r="K642">
        <f>HYPERLINK("CSG1.html#group24C1", "24C¹")</f>
        <v/>
      </c>
      <c r="L642">
        <f>HYPERLINK("CSG6.html#group48I6", "48I⁶"), =HYPERLINK("CSG6.html#group48J6", "48J⁶"), =HYPERLINK("CSG7.html#group48Z7", "48Z⁷"), =HYPERLINK("CSG7.html#group48AA7", "48AA⁷"), =HYPERLINK("CSG7.html#group48AC7", "48AC⁷"), =HYPERLINK("CSG8.html#group48D8", "48D⁸"), =HYPERLINK("CSG8.html#group48Q8", "48Q⁸"), =HYPERLINK("CSG8.html#group48Z8", "48Z⁸"), =HYPERLINK("CSG9.html#group48U9", "48U⁹"), =HYPERLINK("CSG9.html#group48AD9", "48AD⁹"), =HYPERLINK("CSG10.html#group48D10", "48D¹⁰"), =HYPERLINK("CSG14.html#group144C14", "144C¹⁴"), =HYPERLINK("CSG14.html#group144D14", "144D¹⁴")</f>
        <v/>
      </c>
      <c r="M642">
        <f>HYPERLINK("CSG0.html#group12C0", "12C⁰"), =HYPERLINK("CSG0.html#group8D0", "8D⁰"), =HYPERLINK("CSG0.html#group4C0", "4C⁰"), =HYPERLINK("CSG1.html#group24C1", "24C¹"), =HYPERLINK("CSG0.html#group2B0", "2B⁰"), =HYPERLINK("CSG0.html#group3A0", "3A⁰"), =HYPERLINK("CSG0.html#group1A0", "1A⁰"), =HYPERLINK("CSG0.html#group6D0", "6D⁰")</f>
        <v/>
      </c>
      <c r="N642">
        <f>HYPERLINK("CSG17.html#group96U17", "96U¹⁷"), =HYPERLINK("CSG9.html#group48AD9", "48AD⁹"), =HYPERLINK("CSG21.html#group96AC21", "96AC²¹"), =HYPERLINK("CSG16.html#group96B16", "96B¹⁶"), =HYPERLINK("CSG7.html#group48AC7", "48AC⁷"), =HYPERLINK("CSG15.html#group48U15", "48U¹⁵"), =HYPERLINK("CSG19.html#group48Y19", "48Y¹⁹"), =HYPERLINK("CSG8.html#group48Z8", "48Z⁸"), =HYPERLINK("CSG16.html#group96C16", "96C¹⁶"), =HYPERLINK("CSG17.html#group48AI17", "48AI¹⁷"), =HYPERLINK("CSG10.html#group48D10", "48D¹⁰"), =HYPERLINK("CSG21.html#group96AD21", "96AD²¹"), =HYPERLINK("CSG17.html#group48AO17", "48AO¹⁷"), =HYPERLINK("CSG17.html#group48AK17", "48AK¹⁷"), =HYPERLINK("CSG21.html#group48BL21", "48BL²¹"), =HYPERLINK("CSG17.html#group48AJ17", "48AJ¹⁷"), =HYPERLINK("CSG18.html#group48L18", "48L¹⁸"), =HYPERLINK("CSG18.html#group48S18", "48S¹⁸"), =HYPERLINK("CSG15.html#group48V15", "48V¹⁵"), =HYPERLINK("CSG20.html#group96D20", "96D²⁰"), =HYPERLINK("CSG19.html#group48AW19", "48AW¹⁹"), =HYPERLINK("CSG17.html#group48J17", "48J¹⁷"), =HYPERLINK("CSG19.html#group48Z19", "48Z¹⁹"), =HYPERLINK("CSG17.html#group48BP17", "48BP¹⁷"), =HYPERLINK("CSG15.html#group48E15", "48E¹⁵"), =HYPERLINK("CSG21.html#group48BN21", "48BN²¹"), =HYPERLINK("CSG14.html#group144C14", "144C¹⁴"), =HYPERLINK("CSG17.html#group48BX17", "48BX¹⁷"), =HYPERLINK("CSG15.html#group48X15", "48X¹⁵"), =HYPERLINK("CSG19.html#group48U19", "48U¹⁹"), =HYPERLINK("CSG21.html#group48BV21", "48BV²¹"), =HYPERLINK("CSG20.html#group96C20", "96C²⁰"), =HYPERLINK("CSG18.html#group48O18", "48O¹⁸"), =HYPERLINK("CSG19.html#group48AD19", "48AD¹⁹"), =HYPERLINK("CSG17.html#group48H17", "48H¹⁷"), =HYPERLINK("CSG15.html#group48G15", "48G¹⁵"), =HYPERLINK("CSG16.html#group96E16", "96E¹⁶"), =HYPERLINK("CSG15.html#group48F15", "48F¹⁵"), =HYPERLINK("CSG19.html#group48G19", "48G¹⁹"), =HYPERLINK("CSG6.html#group48I6", "48I⁶"), =HYPERLINK("CSG19.html#group48X19", "48X¹⁹"), =HYPERLINK("CSG21.html#group48AS21", "48AS²¹"), =HYPERLINK("CSG16.html#group48G16", "48G¹⁶"), =HYPERLINK("CSG9.html#group48U9", "48U⁹"), =HYPERLINK("CSG14.html#group144D14", "144D¹⁴"), =HYPERLINK("CSG17.html#group96W17", "96W¹⁷"), =HYPERLINK("CSG17.html#group48AL17", "48AL¹⁷"), =HYPERLINK("CSG19.html#group48I19", "48I¹⁹"), =HYPERLINK("CSG13.html#group48AD13", "48AD¹³"), =HYPERLINK("CSG8.html#group48Q8", "48Q⁸"), =HYPERLINK("CSG7.html#group48Z7", "48Z⁷"), =HYPERLINK("CSG19.html#group48AZ19", "48AZ¹⁹"), =HYPERLINK("CSG19.html#group48W19", "48W¹⁹"), =HYPERLINK("CSG16.html#group48F16", "48F¹⁶"), =HYPERLINK("CSG16.html#group48I16", "48I¹⁶"), =HYPERLINK("CSG17.html#group48BV17", "48BV¹⁷"), =HYPERLINK("CSG19.html#group48V19", "48V¹⁹"), =HYPERLINK("CSG16.html#group96A16", "96A¹⁶"), =HYPERLINK("CSG21.html#group96AW21", "96AW²¹"), =HYPERLINK("CSG6.html#group48J6", "48J⁶"), =HYPERLINK("CSG17.html#group96V17", "96V¹⁷"), =HYPERLINK("CSG8.html#group48D8", "48D⁸"), =HYPERLINK("CSG16.html#group96D16", "96D¹⁶"), =HYPERLINK("CSG20.html#group96M20", "96M²⁰"), =HYPERLINK("CSG17.html#group48BU17", "48BU¹⁷"), =HYPERLINK("CSG7.html#group48AA7", "48AA⁷"), =HYPERLINK("CSG17.html#group96T17", "96T¹⁷")</f>
        <v/>
      </c>
    </row>
    <row r="643">
      <c r="A643" t="inlineStr">
        <is>
          <t>48H³</t>
        </is>
      </c>
      <c r="B643" t="inlineStr"/>
      <c r="C643" t="inlineStr">
        <is>
          <t>72</t>
        </is>
      </c>
      <c r="D643" t="inlineStr">
        <is>
          <t>1</t>
        </is>
      </c>
      <c r="E643" t="inlineStr">
        <is>
          <t>36</t>
        </is>
      </c>
      <c r="F643" t="inlineStr">
        <is>
          <t>12</t>
        </is>
      </c>
      <c r="G643" t="inlineStr">
        <is>
          <t>0</t>
        </is>
      </c>
      <c r="H643" t="inlineStr">
        <is>
          <t>24¹, 48¹</t>
        </is>
      </c>
      <c r="I643" t="n">
        <v>2</v>
      </c>
      <c r="J643" t="inlineStr">
        <is>
          <t>1⁴, 2⁶, 4³, 8¹</t>
        </is>
      </c>
      <c r="K643">
        <f>HYPERLINK("CSG0.html#group24A0", "24A⁰")</f>
        <v/>
      </c>
      <c r="L643">
        <f>HYPERLINK("CSG5.html#group48H5", "48H⁵"), =HYPERLINK("CSG7.html#group48AD7", "48AD⁷"), =HYPERLINK("CSG7.html#group48AE7", "48AE⁷"), =HYPERLINK("CSG7.html#group48AF7", "48AF⁷"), =HYPERLINK("CSG7.html#group48AJ7", "48AJ⁷"), =HYPERLINK("CSG8.html#group48R8", "48R⁸"), =HYPERLINK("CSG8.html#group48S8", "48S⁸"), =HYPERLINK("CSG8.html#group48T8", "48T⁸"), =HYPERLINK("CSG8.html#group48AA8", "48AA⁸"), =HYPERLINK("CSG8.html#group48AB8", "48AB⁸"), =HYPERLINK("CSG8.html#group48AC8", "48AC⁸"), =HYPERLINK("CSG8.html#group48AE8", "48AE⁸"), =HYPERLINK("CSG8.html#group48AF8", "48AF⁸"), =HYPERLINK("CSG9.html#group48W9", "48W⁹"), =HYPERLINK("CSG9.html#group48X9", "48X⁹"), =HYPERLINK("CSG9.html#group48Z9", "48Z⁹"), =HYPERLINK("CSG9.html#group48AE9", "48AE⁹"), =HYPERLINK("CSG11.html#group48M11", "48M¹¹"), =HYPERLINK("CSG11.html#group48Q11", "48Q¹¹"), =HYPERLINK("CSG13.html#group144D13", "144D¹³"), =HYPERLINK("CSG13.html#group144F13", "144F¹³")</f>
        <v/>
      </c>
      <c r="M643">
        <f>HYPERLINK("CSG0.html#group12C0", "12C⁰"), =HYPERLINK("CSG0.html#group24A0", "24A⁰"), =HYPERLINK("CSG0.html#group4C0", "4C⁰"), =HYPERLINK("CSG0.html#group8B0", "8B⁰"), =HYPERLINK("CSG0.html#group2B0", "2B⁰"), =HYPERLINK("CSG0.html#group3A0", "3A⁰"), =HYPERLINK("CSG0.html#group1A0", "1A⁰"), =HYPERLINK("CSG0.html#group6D0", "6D⁰")</f>
        <v/>
      </c>
      <c r="N643">
        <f>HYPERLINK("CSG8.html#group48AB8", "48AB⁸"), =HYPERLINK("CSG21.html#group48AO21", "48AO²¹"), =HYPERLINK("CSG11.html#group48M11", "48M¹¹"), =HYPERLINK("CSG19.html#group96AU19", "96AU¹⁹"), =HYPERLINK("CSG19.html#group96AH19", "96AH¹⁹"), =HYPERLINK("CSG19.html#group48BE19", "48BE¹⁹"), =HYPERLINK("CSG8.html#group48R8", "48R⁸"), =HYPERLINK("CSG19.html#group96AE19", "96AE¹⁹"), =HYPERLINK("CSG19.html#group48BJ19", "48BJ¹⁹"), =HYPERLINK("CSG21.html#group96AG21", "96AG²¹"), =HYPERLINK("CSG21.html#group96AN21", "96AN²¹"), =HYPERLINK("CSG21.html#group48L21", "48L²¹"), =HYPERLINK("CSG19.html#group48BK19", "48BK¹⁹"), =HYPERLINK("CSG20.html#group96AC20", "96AC²⁰"), =HYPERLINK("CSG21.html#group96AO21", "96AO²¹"), =HYPERLINK("CSG8.html#group48S8", "48S⁸"), =HYPERLINK("CSG18.html#group48L18", "48L¹⁸"), =HYPERLINK("CSG17.html#group48CE17", "48CE¹⁷"), =HYPERLINK("CSG18.html#group48M18", "48M¹⁸"), =HYPERLINK("CSG21.html#group48AH21", "48AH²¹"), =HYPERLINK("CSG19.html#group48AN19", "48AN¹⁹"), =HYPERLINK("CSG15.html#group96T15", "96T¹⁵"), =HYPERLINK("CSG20.html#group96R20", "96R²⁰"), =HYPERLINK("CSG17.html#group48CA17", "48CA¹⁷"), =HYPERLINK("CSG21.html#group48BI21", "48BI²¹"), =HYPERLINK("CSG15.html#group48Z15", "48Z¹⁵"), =HYPERLINK("CSG21.html#group48BF21", "48BF²¹"), =HYPERLINK("CSG20.html#group96AA20", "96AA²⁰"), =HYPERLINK("CSG20.html#group96AB20", "96AB²⁰"), =HYPERLINK("CSG9.html#group48X9", "48X⁹"), =HYPERLINK("CSG21.html#group48AN21", "48AN²¹"), =HYPERLINK("CSG19.html#group48BI19", "48BI¹⁹"), =HYPERLINK("CSG19.html#group48AM19", "48AM¹⁹"), =HYPERLINK("CSG19.html#group96AK19", "96AK¹⁹"), =HYPERLINK("CSG20.html#group96S20", "96S²⁰"), =HYPERLINK("CSG8.html#group48AC8", "48AC⁸"), =HYPERLINK("CSG15.html#group96W15", "96W¹⁵"), =HYPERLINK("CSG21.html#group48BS21", "48BS²¹"), =HYPERLINK("CSG17.html#group48CH17", "48CH¹⁷"), =HYPERLINK("CSG17.html#group48AT17", "48AT¹⁷"), =HYPERLINK("CSG21.html#group96AH21", "96AH²¹"), =HYPERLINK("CSG21.html#group48AK21", "48AK²¹"), =HYPERLINK("CSG17.html#group48BY17", "48BY¹⁷"), =HYPERLINK("CSG17.html#group48CG17", "48CG¹⁷"), =HYPERLINK("CSG17.html#group48CD17", "48CD¹⁷"), =HYPERLINK("CSG13.html#group96H13", "96H¹³"), =HYPERLINK("CSG19.html#group48AL19", "48AL¹⁹"), =HYPERLINK("CSG8.html#group48T8", "48T⁸"), =HYPERLINK("CSG21.html#group96AF21", "96AF²¹"), =HYPERLINK("CSG7.html#group48AJ7", "48AJ⁷"), =HYPERLINK("CSG5.html#group48H5", "48H⁵"), =HYPERLINK("CSG19.html#group96Y19", "96Y¹⁹"), =HYPERLINK("CSG15.html#group48Y15", "48Y¹⁵"), =HYPERLINK("CSG20.html#group96Z20", "96Z²⁰"), =HYPERLINK("CSG21.html#group48BC21", "48BC²¹"), =HYPERLINK("CSG21.html#group48BD21", "48BD²¹"), =HYPERLINK("CSG7.html#group48AD7", "48AD⁷"), =HYPERLINK("CSG21.html#group48AL21", "48AL²¹"), =HYPERLINK("CSG13.html#group48AE13", "48AE¹³"), =HYPERLINK("CSG19.html#group96X19", "96X¹⁹"), =HYPERLINK("CSG21.html#group48BG21", "48BG²¹"), =HYPERLINK("CSG19.html#group96AS19", "96AS¹⁹"), =HYPERLINK("CSG19.html#group96AY19", "96AY¹⁹"), =HYPERLINK("CSG17.html#group48BC17", "48BC¹⁷"), =HYPERLINK("CSG19.html#group48BA19", "48BA¹⁹"), =HYPERLINK("CSG19.html#group48BD19", "48BD¹⁹"), =HYPERLINK("CSG21.html#group48AX21", "48AX²¹"), =HYPERLINK("CSG21.html#group48BH21", "48BH²¹"), =HYPERLINK("CSG17.html#group48AQ17", "48AQ¹⁷"), =HYPERLINK("CSG19.html#group96AG19", "96AG¹⁹"), =HYPERLINK("CSG13.html#group144F13", "144F¹³"), =HYPERLINK("CSG9.html#group48AE9", "48AE⁹"), =HYPERLINK("CSG19.html#group48BH19", "48BH¹⁹"), =HYPERLINK("CSG18.html#group48N18", "48N¹⁸"), =HYPERLINK("CSG17.html#group48BG17", "48BG¹⁷"), =HYPERLINK("CSG17.html#group48AS17", "48AS¹⁷"), =HYPERLINK("CSG17.html#group48CB17", "48CB¹⁷"), =HYPERLINK("CSG17.html#group48BH17", "48BH¹⁷"), =HYPERLINK("CSG8.html#group48AA8", "48AA⁸"), =HYPERLINK("CSG15.html#group96U15", "96U¹⁵"), =HYPERLINK("CSG17.html#group48BF17", "48BF¹⁷"), =HYPERLINK("CSG21.html#group48AW21", "48AW²¹"), =HYPERLINK("CSG8.html#group48AF8", "48AF⁸"), =HYPERLINK("CSG17.html#group48CF17", "48CF¹⁷"), =HYPERLINK("CSG9.html#group48Z9", "48Z⁹"), =HYPERLINK("CSG19.html#group48BG19", "48BG¹⁹"), =HYPERLINK("CSG21.html#group96AT21", "96AT²¹"), =HYPERLINK("CSG8.html#group48AE8", "48AE⁸"), =HYPERLINK("CSG21.html#group96AM21", "96AM²¹"), =HYPERLINK("CSG18.html#group48S18", "48S¹⁸"), =HYPERLINK("CSG21.html#group96AE21", "96AE²¹"), =HYPERLINK("CSG18.html#group48T18", "48T¹⁸"), =HYPERLINK("CSG17.html#group48BB17", "48BB¹⁷"), =HYPERLINK("CSG17.html#group96AG17", "96AG¹⁷"), =HYPERLINK("CSG20.html#group96U20", "96U²⁰"), =HYPERLINK("CSG21.html#group96AP21", "96AP²¹"), =HYPERLINK("CSG21.html#group48AI21", "48AI²¹"), =HYPERLINK("CSG13.html#group144D13", "144D¹³"), =HYPERLINK("CSG9.html#group48W9", "48W⁹"), =HYPERLINK("CSG21.html#group48BR21", "48BR²¹"), =HYPERLINK("CSG17.html#group48AY17", "48AY¹⁷"), =HYPERLINK("CSG17.html#group48AV17", "48AV¹⁷"), =HYPERLINK("CSG17.html#group48CC17", "48CC¹⁷"), =HYPERLINK("CSG20.html#group96T20", "96T²⁰"), =HYPERLINK("CSG17.html#group96AF17", "96AF¹⁷"), =HYPERLINK("CSG18.html#group48P18", "48P¹⁸"), =HYPERLINK("CSG21.html#group48BU21", "48BU²¹"), =HYPERLINK("CSG17.html#group48AW17", "48AW¹⁷"), =HYPERLINK("CSG17.html#group48BD17", "48BD¹⁷"), =HYPERLINK("CSG19.html#group48BC19", "48BC¹⁹"), =HYPERLINK("CSG15.html#group48AA15", "48AA¹⁵"), =HYPERLINK("CSG19.html#group48AO19", "48AO¹⁹"), =HYPERLINK("CSG19.html#group96AT19", "96AT¹⁹"), =HYPERLINK("CSG19.html#group96AM19", "96AM¹⁹"), =HYPERLINK("CSG19.html#group48BB19", "48BB¹⁹"), =HYPERLINK("CSG7.html#group48AF7", "48AF⁷"), =HYPERLINK("CSG19.html#group96AN19", "96AN¹⁹"), =HYPERLINK("CSG19.html#group96AV19", "96AV¹⁹"), =HYPERLINK("CSG17.html#group48AX17", "48AX¹⁷"), =HYPERLINK("CSG21.html#group48W21", "48W²¹"), =HYPERLINK("CSG17.html#group48BA17", "48BA¹⁷"), =HYPERLINK("CSG17.html#group48BZ17", "48BZ¹⁷"), =HYPERLINK("CSG19.html#group96AL19", "96AL¹⁹"), =HYPERLINK("CSG21.html#group48BB21", "48BB²¹"), =HYPERLINK("CSG17.html#group48BE17", "48BE¹⁷"), =HYPERLINK("CSG19.html#group48AJ19", "48AJ¹⁹"), =HYPERLINK("CSG13.html#group48AF13", "48AF¹³"), =HYPERLINK("CSG19.html#group96AF19", "96AF¹⁹"), =HYPERLINK("CSG11.html#group48Q11", "48Q¹¹"), =HYPERLINK("CSG21.html#group48AP21", "48AP²¹"), =HYPERLINK("CSG17.html#group48AZ17", "48AZ¹⁷"), =HYPERLINK("CSG7.html#group48AE7", "48AE⁷"), =HYPERLINK("CSG19.html#group48BF19", "48BF¹⁹"), =HYPERLINK("CSG21.html#group48AG21", "48AG²¹"), =HYPERLINK("CSG15.html#group48AF15", "48AF¹⁵")</f>
        <v/>
      </c>
    </row>
    <row r="644">
      <c r="A644" t="inlineStr">
        <is>
          <t>48I³</t>
        </is>
      </c>
      <c r="B644" t="inlineStr"/>
      <c r="C644" t="inlineStr">
        <is>
          <t>96</t>
        </is>
      </c>
      <c r="D644" t="inlineStr">
        <is>
          <t>1</t>
        </is>
      </c>
      <c r="E644" t="inlineStr">
        <is>
          <t>24</t>
        </is>
      </c>
      <c r="F644" t="inlineStr">
        <is>
          <t>0</t>
        </is>
      </c>
      <c r="G644" t="inlineStr">
        <is>
          <t>0</t>
        </is>
      </c>
      <c r="H644" t="inlineStr">
        <is>
          <t>1⁴, 3⁴, 4¹, 12¹, 16¹, 48¹</t>
        </is>
      </c>
      <c r="I644" t="n">
        <v>12</v>
      </c>
      <c r="J644" t="inlineStr">
        <is>
          <t>1⁸, 2⁶, 4¹</t>
        </is>
      </c>
      <c r="K644">
        <f>HYPERLINK("CSG1.html#group24G1", "24G¹")</f>
        <v/>
      </c>
      <c r="L644">
        <f>HYPERLINK("CSG5.html#group48I5", "48I⁵"), =HYPERLINK("CSG7.html#group48AO7", "48AO⁷"), =HYPERLINK("CSG7.html#group48AM7", "48AM⁷"), =HYPERLINK("CSG9.html#group48AH9", "48AH⁹"), =HYPERLINK("CSG9.html#group48AI9", "48AI⁹"), =HYPERLINK("CSG13.html#group48V13", "48V¹³"), =HYPERLINK("CSG13.html#group144G13", "144G¹³"), =HYPERLINK("CSG19.html#group144A19", "144A¹⁹"), =HYPERLINK("CSG19.html#group144B19", "144B¹⁹")</f>
        <v/>
      </c>
      <c r="M644">
        <f>HYPERLINK("CSG0.html#group3B0", "3B⁰"), =HYPERLINK("CSG1.html#group24G1", "24G¹"), =HYPERLINK("CSG0.html#group1A0", "1A⁰"), =HYPERLINK("CSG0.html#group8C0", "8C⁰"), =HYPERLINK("CSG0.html#group2B0", "2B⁰"), =HYPERLINK("CSG0.html#group4B0", "4B⁰"), =HYPERLINK("CSG0.html#group6F0", "6F⁰"), =HYPERLINK("CSG0.html#group12E0", "12E⁰")</f>
        <v/>
      </c>
      <c r="N644">
        <f>HYPERLINK("CSG19.html#group144A19", "144A¹⁹"), =HYPERLINK("CSG13.html#group96I13", "96I¹³"), =HYPERLINK("CSG5.html#group48I5", "48I⁵"), =HYPERLINK("CSG13.html#group48AH13", "48AH¹³"), =HYPERLINK("CSG7.html#group48AO7", "48AO⁷"), =HYPERLINK("CSG17.html#group96AH17", "96AH¹⁷"), =HYPERLINK("CSG17.html#group48CK17", "48CK¹⁷"), =HYPERLINK("CSG21.html#group48CI21", "48CI²¹"), =HYPERLINK("CSG21.html#group48CG21", "48CG²¹"), =HYPERLINK("CSG21.html#group48CD21", "48CD²¹"), =HYPERLINK("CSG17.html#group48CQ17", "48CQ¹⁷"), =HYPERLINK("CSG9.html#group48AH9", "48AH⁹"), =HYPERLINK("CSG13.html#group144G13", "144G¹³"), =HYPERLINK("CSG7.html#group48AM7", "48AM⁷"), =HYPERLINK("CSG9.html#group48AI9", "48AI⁹"), =HYPERLINK("CSG13.html#group48V13", "48V¹³"), =HYPERLINK("CSG19.html#group144B19", "144B¹⁹"), =HYPERLINK("CSG17.html#group48CL17", "48CL¹⁷"), =HYPERLINK("CSG17.html#group48CN17", "48CN¹⁷"), =HYPERLINK("CSG21.html#group96BB21", "96BB²¹"), =HYPERLINK("CSG21.html#group48CJ21", "48CJ²¹")</f>
        <v/>
      </c>
    </row>
    <row r="645">
      <c r="A645" t="inlineStr">
        <is>
          <t>48J³</t>
        </is>
      </c>
      <c r="B645" t="inlineStr">
        <is>
          <t>Γ₀(48)</t>
        </is>
      </c>
      <c r="C645" t="inlineStr">
        <is>
          <t>96</t>
        </is>
      </c>
      <c r="D645" t="inlineStr">
        <is>
          <t>1</t>
        </is>
      </c>
      <c r="E645" t="inlineStr">
        <is>
          <t>24</t>
        </is>
      </c>
      <c r="F645" t="inlineStr">
        <is>
          <t>0</t>
        </is>
      </c>
      <c r="G645" t="inlineStr">
        <is>
          <t>0</t>
        </is>
      </c>
      <c r="H645" t="inlineStr">
        <is>
          <t>1⁴, 3⁴, 4¹, 12¹, 16¹, 48¹</t>
        </is>
      </c>
      <c r="I645" t="n">
        <v>12</v>
      </c>
      <c r="J645" t="inlineStr">
        <is>
          <t>1⁸, 2⁶, 4¹</t>
        </is>
      </c>
      <c r="K645">
        <f>HYPERLINK("CSG0.html#group16C0", "16C⁰"), =HYPERLINK("CSG1.html#group24G1", "24G¹")</f>
        <v/>
      </c>
      <c r="L645">
        <f>HYPERLINK("CSG5.html#group48I5", "48I⁵"), =HYPERLINK("CSG7.html#group48AN7", "48AN⁷"), =HYPERLINK("CSG7.html#group48AP7", "48AP⁷"), =HYPERLINK("CSG7.html#group96B7", "96B⁷"), =HYPERLINK("CSG7.html#group96C7", "96C⁷"), =HYPERLINK("CSG9.html#group48AJ9", "48AJ⁹"), =HYPERLINK("CSG9.html#group48AK9", "48AK⁹"), =HYPERLINK("CSG9.html#group96L9", "96L⁹"), =HYPERLINK("CSG9.html#group96M9", "96M⁹"), =HYPERLINK("CSG11.html#group96G11", "96G¹¹"), =HYPERLINK("CSG11.html#group96H11", "96H¹¹"), =HYPERLINK("CSG13.html#group48W13", "48W¹³"), =HYPERLINK("CSG13.html#group144H13", "144H¹³"), =HYPERLINK("CSG19.html#group144C19", "144C¹⁹"), =HYPERLINK("CSG19.html#group144D19", "144D¹⁹")</f>
        <v/>
      </c>
      <c r="M645">
        <f>HYPERLINK("CSG0.html#group3B0", "3B⁰"), =HYPERLINK("CSG0.html#group16C0", "16C⁰"), =HYPERLINK("CSG1.html#group24G1", "24G¹"), =HYPERLINK("CSG0.html#group6F0", "6F⁰"), =HYPERLINK("CSG0.html#group8C0", "8C⁰"), =HYPERLINK("CSG0.html#group2B0", "2B⁰"), =HYPERLINK("CSG0.html#group4B0", "4B⁰"), =HYPERLINK("CSG0.html#group1A0", "1A⁰"), =HYPERLINK("CSG0.html#group12E0", "12E⁰")</f>
        <v/>
      </c>
      <c r="N645">
        <f>HYPERLINK("CSG7.html#group96C7", "96C⁷"), =HYPERLINK("CSG21.html#group192P21", "192P²¹"), =HYPERLINK("CSG9.html#group96M9", "96M⁹"), =HYPERLINK("CSG17.html#group96AJ17", "96AJ¹⁷"), =HYPERLINK("CSG17.html#group96AI17", "96AI¹⁷"), =HYPERLINK("CSG21.html#group96BH21", "96BH²¹"), =HYPERLINK("CSG9.html#group48AJ9", "48AJ⁹"), =HYPERLINK("CSG9.html#group96L9", "96L⁹"), =HYPERLINK("CSG19.html#group192E19", "192E¹⁹"), =HYPERLINK("CSG17.html#group96AH17", "96AH¹⁷"), =HYPERLINK("CSG11.html#group96G11", "96G¹¹"), =HYPERLINK("CSG13.html#group48W13", "48W¹³"), =HYPERLINK("CSG11.html#group96H11", "96H¹¹"), =HYPERLINK("CSG19.html#group144D19", "144D¹⁹"), =HYPERLINK("CSG19.html#group96BE19", "96BE¹⁹"), =HYPERLINK("CSG7.html#group48AN7", "48AN⁷"), =HYPERLINK("CSG21.html#group96AZ21", "96AZ²¹"), =HYPERLINK("CSG21.html#group192M21", "192M²¹"), =HYPERLINK("CSG21.html#group48CK21", "48CK²¹"), =HYPERLINK("CSG9.html#group48AK9", "48AK⁹"), =HYPERLINK("CSG19.html#group192F19", "192F¹⁹"), =HYPERLINK("CSG21.html#group96BG21", "96BG²¹"), =HYPERLINK("CSG21.html#group48CE21", "48CE²¹"), =HYPERLINK("CSG13.html#group144H13", "144H¹³"), =HYPERLINK("CSG13.html#group96I13", "96I¹³"), =HYPERLINK("CSG5.html#group48I5", "48I⁵"), =HYPERLINK("CSG21.html#group96BK21", "96BK²¹"), =HYPERLINK("CSG21.html#group96BJ21", "96BJ²¹"), =HYPERLINK("CSG21.html#group96BA21", "96BA²¹"), =HYPERLINK("CSG21.html#group96BF21", "96BF²¹"), =HYPERLINK("CSG13.html#group48AH13", "48AH¹³"), =HYPERLINK("CSG21.html#group192N21", "192N²¹"), =HYPERLINK("CSG21.html#group96BC21", "96BC²¹"), =HYPERLINK("CSG17.html#group48CJ17", "48CJ¹⁷"), =HYPERLINK("CSG21.html#group96BI21", "96BI²¹"), =HYPERLINK("CSG19.html#group48BR19", "48BR¹⁹"), =HYPERLINK("CSG17.html#group96AK17", "96AK¹⁷"), =HYPERLINK("CSG17.html#group96AL17", "96AL¹⁷"), =HYPERLINK("CSG19.html#group96BF19", "96BF¹⁹"), =HYPERLINK("CSG17.html#group48CP17", "48CP¹⁷"), =HYPERLINK("CSG7.html#group96B7", "96B⁷"), =HYPERLINK("CSG21.html#group96BD21", "96BD²¹"), =HYPERLINK("CSG19.html#group48BQ19", "48BQ¹⁹"), =HYPERLINK("CSG17.html#group48CM17", "48CM¹⁷"), =HYPERLINK("CSG19.html#group144C19", "144C¹⁹"), =HYPERLINK("CSG21.html#group48CH21", "48CH²¹"), =HYPERLINK("CSG21.html#group192O21", "192O²¹"), =HYPERLINK("CSG21.html#group96BE21", "96BE²¹"), =HYPERLINK("CSG21.html#group96BB21", "96BB²¹"), =HYPERLINK("CSG17.html#group48CN17", "48CN¹⁷"), =HYPERLINK("CSG21.html#group48CJ21", "48CJ²¹"), =HYPERLINK("CSG7.html#group48AP7", "48AP⁷")</f>
        <v/>
      </c>
    </row>
    <row r="646">
      <c r="A646" t="inlineStr">
        <is>
          <t>48K³</t>
        </is>
      </c>
      <c r="B646" t="inlineStr"/>
      <c r="C646" t="inlineStr">
        <is>
          <t>96</t>
        </is>
      </c>
      <c r="D646" t="inlineStr">
        <is>
          <t>1</t>
        </is>
      </c>
      <c r="E646" t="inlineStr">
        <is>
          <t>48</t>
        </is>
      </c>
      <c r="F646" t="inlineStr">
        <is>
          <t>0</t>
        </is>
      </c>
      <c r="G646" t="inlineStr">
        <is>
          <t>0</t>
        </is>
      </c>
      <c r="H646" t="inlineStr">
        <is>
          <t>1², 2³, 3², 6³, 16¹, 48¹</t>
        </is>
      </c>
      <c r="I646" t="n">
        <v>12</v>
      </c>
      <c r="J646" t="inlineStr">
        <is>
          <t>1⁸, 2⁸, 4⁴, 8¹</t>
        </is>
      </c>
      <c r="K646">
        <f>HYPERLINK("CSG1.html#group24G1", "24G¹")</f>
        <v/>
      </c>
      <c r="L646">
        <f>HYPERLINK("CSG5.html#group48J5", "48J⁵"), =HYPERLINK("CSG7.html#group48AK7", "48AK⁷"), =HYPERLINK("CSG7.html#group48AO7", "48AO⁷"), =HYPERLINK("CSG7.html#group48AN7", "48AN⁷"), =HYPERLINK("CSG7.html#group48AQ7", "48AQ⁷"), =HYPERLINK("CSG9.html#group48AN9", "48AN⁹"), =HYPERLINK("CSG9.html#group48AL9", "48AL⁹"), =HYPERLINK("CSG13.html#group48Y13", "48Y¹³"), =HYPERLINK("CSG13.html#group144I13", "144I¹³"), =HYPERLINK("CSG19.html#group144E19", "144E¹⁹"), =HYPERLINK("CSG19.html#group144F19", "144F¹⁹")</f>
        <v/>
      </c>
      <c r="M646">
        <f>HYPERLINK("CSG0.html#group3B0", "3B⁰"), =HYPERLINK("CSG1.html#group24G1", "24G¹"), =HYPERLINK("CSG0.html#group1A0", "1A⁰"), =HYPERLINK("CSG0.html#group8C0", "8C⁰"), =HYPERLINK("CSG0.html#group2B0", "2B⁰"), =HYPERLINK("CSG0.html#group4B0", "4B⁰"), =HYPERLINK("CSG0.html#group6F0", "6F⁰"), =HYPERLINK("CSG0.html#group12E0", "12E⁰")</f>
        <v/>
      </c>
      <c r="N646">
        <f>HYPERLINK("CSG9.html#group48AL9", "48AL⁹"), =HYPERLINK("CSG17.html#group96AJ17", "96AJ¹⁷"), =HYPERLINK("CSG17.html#group96AI17", "96AI¹⁷"), =HYPERLINK("CSG13.html#group48AG13", "48AG¹³"), =HYPERLINK("CSG21.html#group96BH21", "96BH²¹"), =HYPERLINK("CSG17.html#group48CO17", "48CO¹⁷"), =HYPERLINK("CSG13.html#group48AH13", "48AH¹³"), =HYPERLINK("CSG17.html#group48CJ17", "48CJ¹⁷"), =HYPERLINK("CSG19.html#group144E19", "144E¹⁹"), =HYPERLINK("CSG7.html#group48AO7", "48AO⁷"), =HYPERLINK("CSG21.html#group48CB21", "48CB²¹"), =HYPERLINK("CSG17.html#group48CP17", "48CP¹⁷"), =HYPERLINK("CSG13.html#group144I13", "144I¹³"), =HYPERLINK("CSG7.html#group48AK7", "48AK⁷"), =HYPERLINK("CSG7.html#group48AN7", "48AN⁷"), =HYPERLINK("CSG17.html#group48CQ17", "48CQ¹⁷"), =HYPERLINK("CSG13.html#group48Y13", "48Y¹³"), =HYPERLINK("CSG7.html#group48AQ7", "48AQ⁷"), =HYPERLINK("CSG19.html#group144F19", "144F¹⁹"), =HYPERLINK("CSG9.html#group48AN9", "48AN⁹"), =HYPERLINK("CSG17.html#group48CL17", "48CL¹⁷"), =HYPERLINK("CSG5.html#group48J5", "48J⁵"), =HYPERLINK("CSG21.html#group96BG21", "96BG²¹"), =HYPERLINK("CSG21.html#group48CA21", "48CA²¹")</f>
        <v/>
      </c>
    </row>
    <row r="647">
      <c r="A647" t="inlineStr">
        <is>
          <t>48L³</t>
        </is>
      </c>
      <c r="B647" t="inlineStr"/>
      <c r="C647" t="inlineStr">
        <is>
          <t>96</t>
        </is>
      </c>
      <c r="D647" t="inlineStr">
        <is>
          <t>1</t>
        </is>
      </c>
      <c r="E647" t="inlineStr">
        <is>
          <t>48</t>
        </is>
      </c>
      <c r="F647" t="inlineStr">
        <is>
          <t>0</t>
        </is>
      </c>
      <c r="G647" t="inlineStr">
        <is>
          <t>0</t>
        </is>
      </c>
      <c r="H647" t="inlineStr">
        <is>
          <t>1², 2³, 3², 6³, 16¹, 48¹</t>
        </is>
      </c>
      <c r="I647" t="n">
        <v>12</v>
      </c>
      <c r="J647" t="inlineStr">
        <is>
          <t>1⁸, 2⁸, 4⁴, 8¹</t>
        </is>
      </c>
      <c r="K647">
        <f>HYPERLINK("CSG0.html#group16D0", "16D⁰"), =HYPERLINK("CSG1.html#group24G1", "24G¹")</f>
        <v/>
      </c>
      <c r="L647">
        <f>HYPERLINK("CSG5.html#group48J5", "48J⁵"), =HYPERLINK("CSG7.html#group48AL7", "48AL⁷"), =HYPERLINK("CSG7.html#group48AM7", "48AM⁷"), =HYPERLINK("CSG7.html#group48AP7", "48AP⁷"), =HYPERLINK("CSG7.html#group48AQ7", "48AQ⁷"), =HYPERLINK("CSG9.html#group48AM9", "48AM⁹"), =HYPERLINK("CSG9.html#group48AO9", "48AO⁹"), =HYPERLINK("CSG13.html#group48Z13", "48Z¹³"), =HYPERLINK("CSG13.html#group144J13", "144J¹³"), =HYPERLINK("CSG19.html#group144G19", "144G¹⁹"), =HYPERLINK("CSG19.html#group144H19", "144H¹⁹")</f>
        <v/>
      </c>
      <c r="M647">
        <f>HYPERLINK("CSG0.html#group3B0", "3B⁰"), =HYPERLINK("CSG0.html#group16D0", "16D⁰"), =HYPERLINK("CSG1.html#group24G1", "24G¹"), =HYPERLINK("CSG0.html#group6F0", "6F⁰"), =HYPERLINK("CSG0.html#group8C0", "8C⁰"), =HYPERLINK("CSG0.html#group2B0", "2B⁰"), =HYPERLINK("CSG0.html#group4B0", "4B⁰"), =HYPERLINK("CSG0.html#group1A0", "1A⁰"), =HYPERLINK("CSG0.html#group12E0", "12E⁰")</f>
        <v/>
      </c>
      <c r="N647">
        <f>HYPERLINK("CSG5.html#group48J5", "48J⁵"), =HYPERLINK("CSG21.html#group96BL21", "96BL²¹"), =HYPERLINK("CSG17.html#group48CO17", "48CO¹⁷"), =HYPERLINK("CSG21.html#group96BK21", "96BK²¹"), =HYPERLINK("CSG13.html#group48AG13", "48AG¹³"), =HYPERLINK("CSG19.html#group144H19", "144H¹⁹"), =HYPERLINK("CSG21.html#group96BI21", "96BI²¹"), =HYPERLINK("CSG13.html#group48AH13", "48AH¹³"), =HYPERLINK("CSG21.html#group48CC21", "48CC²¹"), =HYPERLINK("CSG19.html#group48BR19", "48BR¹⁹"), =HYPERLINK("CSG21.html#group48CM21", "48CM²¹"), =HYPERLINK("CSG19.html#group96BD19", "96BD¹⁹"), =HYPERLINK("CSG17.html#group96AK17", "96AK¹⁷"), =HYPERLINK("CSG17.html#group96AL17", "96AL¹⁷"), =HYPERLINK("CSG19.html#group96BC19", "96BC¹⁹"), =HYPERLINK("CSG17.html#group48CP17", "48CP¹⁷"), =HYPERLINK("CSG19.html#group96BF19", "96BF¹⁹"), =HYPERLINK("CSG9.html#group48AM9", "48AM⁹"), =HYPERLINK("CSG17.html#group48CK17", "48CK¹⁷"), =HYPERLINK("CSG21.html#group96BM21", "96BM²¹"), =HYPERLINK("CSG19.html#group48BQ19", "48BQ¹⁹"), =HYPERLINK("CSG17.html#group48CM17", "48CM¹⁷"), =HYPERLINK("CSG7.html#group48AL7", "48AL⁷"), =HYPERLINK("CSG17.html#group48CQ17", "48CQ¹⁷"), =HYPERLINK("CSG19.html#group96BE19", "96BE¹⁹"), =HYPERLINK("CSG7.html#group48AQ7", "48AQ⁷"), =HYPERLINK("CSG13.html#group144J13", "144J¹³"), =HYPERLINK("CSG19.html#group144G19", "144G¹⁹"), =HYPERLINK("CSG7.html#group48AM7", "48AM⁷"), =HYPERLINK("CSG13.html#group48Z13", "48Z¹³"), =HYPERLINK("CSG21.html#group48CF21", "48CF²¹"), =HYPERLINK("CSG21.html#group48CL21", "48CL²¹"), =HYPERLINK("CSG9.html#group48AO9", "48AO⁹"), =HYPERLINK("CSG7.html#group48AP7", "48AP⁷")</f>
        <v/>
      </c>
    </row>
    <row r="648">
      <c r="A648" t="inlineStr">
        <is>
          <t>48M³</t>
        </is>
      </c>
      <c r="B648" t="inlineStr"/>
      <c r="C648" t="inlineStr">
        <is>
          <t>144</t>
        </is>
      </c>
      <c r="D648" t="inlineStr">
        <is>
          <t>1</t>
        </is>
      </c>
      <c r="E648" t="inlineStr">
        <is>
          <t>9</t>
        </is>
      </c>
      <c r="F648" t="inlineStr">
        <is>
          <t>32</t>
        </is>
      </c>
      <c r="G648" t="inlineStr">
        <is>
          <t>0</t>
        </is>
      </c>
      <c r="H648" t="inlineStr">
        <is>
          <t>24², 48²</t>
        </is>
      </c>
      <c r="I648" t="n">
        <v>4</v>
      </c>
      <c r="J648" t="inlineStr">
        <is>
          <t>1³, 2³</t>
        </is>
      </c>
      <c r="K648">
        <f>HYPERLINK("CSG0.html#group48A0", "48A⁰"), =HYPERLINK("CSG1.html#group24H1", "24H¹"), =HYPERLINK("CSG2.html#group48A2", "48A²")</f>
        <v/>
      </c>
      <c r="L648">
        <f>HYPERLINK("CSG11.html#group96K11", "96K¹¹"), =HYPERLINK("CSG13.html#group48X13", "48X¹³"), =HYPERLINK("CSG13.html#group48AA13", "48AA¹³"), =HYPERLINK("CSG13.html#group48AB13", "48AB¹³"), =HYPERLINK("CSG13.html#group48AE13", "48AE¹³"), =HYPERLINK("CSG13.html#group48AF13", "48AF¹³"), =HYPERLINK("CSG15.html#group96V15", "96V¹⁵"), =HYPERLINK("CSG19.html#group96U19", "96U¹⁹"), =HYPERLINK("CSG19.html#group144J19", "144J¹⁹"), =HYPERLINK("CSG21.html#group48S21", "48S²¹")</f>
        <v/>
      </c>
      <c r="M648">
        <f>HYPERLINK("CSG0.html#group6B0", "6B⁰"), =HYPERLINK("CSG0.html#group12C0", "12C⁰"), =HYPERLINK("CSG0.html#group4C0", "4C⁰"), =HYPERLINK("CSG1.html#group24D1", "24D¹"), =HYPERLINK("CSG0.html#group8B0", "8B⁰"), =HYPERLINK("CSG0.html#group48A0", "48A⁰"), =HYPERLINK("CSG0.html#group2B0", "2B⁰"), =HYPERLINK("CSG0.html#group12H0", "12H⁰"), =HYPERLINK("CSG0.html#group1A0", "1A⁰"), =HYPERLINK("CSG0.html#group16B0", "16B⁰"), =HYPERLINK("CSG0.html#group24A0", "24A⁰"), =HYPERLINK("CSG2.html#group48A2", "48A²"), =HYPERLINK("CSG0.html#group12D0", "12D⁰"), =HYPERLINK("CSG0.html#group6H0", "6H⁰"), =HYPERLINK("CSG0.html#group3A0", "3A⁰"), =HYPERLINK("CSG1.html#group24H1", "24H¹"), =HYPERLINK("CSG0.html#group6D0", "6D⁰")</f>
        <v/>
      </c>
      <c r="N648">
        <f>HYPERLINK("CSG13.html#group48AE13", "48AE¹³"), =HYPERLINK("CSG15.html#group96V15", "96V¹⁵"), =HYPERLINK("CSG13.html#group48AA13", "48AA¹³"), =HYPERLINK("CSG19.html#group96U19", "96U¹⁹"), =HYPERLINK("CSG11.html#group96K11", "96K¹¹"), =HYPERLINK("CSG13.html#group48X13", "48X¹³"), =HYPERLINK("CSG13.html#group48AF13", "48AF¹³"), =HYPERLINK("CSG13.html#group48AB13", "48AB¹³"), =HYPERLINK("CSG19.html#group144J19", "144J¹⁹"), =HYPERLINK("CSG21.html#group48S21", "48S²¹")</f>
        <v/>
      </c>
    </row>
    <row r="649">
      <c r="A649" t="inlineStr">
        <is>
          <t>49A³</t>
        </is>
      </c>
      <c r="B649" t="inlineStr"/>
      <c r="C649" t="inlineStr">
        <is>
          <t>168</t>
        </is>
      </c>
      <c r="D649" t="inlineStr">
        <is>
          <t>1</t>
        </is>
      </c>
      <c r="E649" t="inlineStr">
        <is>
          <t>8</t>
        </is>
      </c>
      <c r="F649" t="inlineStr">
        <is>
          <t>0</t>
        </is>
      </c>
      <c r="G649" t="inlineStr">
        <is>
          <t>0</t>
        </is>
      </c>
      <c r="H649" t="inlineStr">
        <is>
          <t>1²¹, 49³</t>
        </is>
      </c>
      <c r="I649" t="n">
        <v>24</v>
      </c>
      <c r="J649" t="inlineStr">
        <is>
          <t>1², 6¹</t>
        </is>
      </c>
      <c r="K649">
        <f>HYPERLINK("CSG0.html#group7E0", "7E⁰"), =HYPERLINK("CSG1.html#group49A1", "49A¹")</f>
        <v/>
      </c>
      <c r="L649">
        <f>HYPERLINK("CSG17.html#group98A17", "98A¹⁷"), =HYPERLINK("CSG19.html#group98A19", "98A¹⁹")</f>
        <v/>
      </c>
      <c r="M649">
        <f>HYPERLINK("CSG1.html#group49A1", "49A¹"), =HYPERLINK("CSG0.html#group7E0", "7E⁰"), =HYPERLINK("CSG0.html#group1A0", "1A⁰"), =HYPERLINK("CSG0.html#group7B0", "7B⁰")</f>
        <v/>
      </c>
      <c r="N649">
        <f>HYPERLINK("CSG17.html#group98A17", "98A¹⁷"), =HYPERLINK("CSG19.html#group98A19", "98A¹⁹")</f>
        <v/>
      </c>
    </row>
    <row r="650">
      <c r="A650" t="inlineStr">
        <is>
          <t>50A³</t>
        </is>
      </c>
      <c r="B650" t="inlineStr"/>
      <c r="C650" t="inlineStr">
        <is>
          <t>60</t>
        </is>
      </c>
      <c r="D650" t="inlineStr">
        <is>
          <t>1</t>
        </is>
      </c>
      <c r="E650" t="inlineStr">
        <is>
          <t>30</t>
        </is>
      </c>
      <c r="F650" t="inlineStr">
        <is>
          <t>0</t>
        </is>
      </c>
      <c r="G650" t="inlineStr">
        <is>
          <t>0</t>
        </is>
      </c>
      <c r="H650" t="inlineStr">
        <is>
          <t>2⁵, 50¹</t>
        </is>
      </c>
      <c r="I650" t="n">
        <v>6</v>
      </c>
      <c r="J650" t="inlineStr">
        <is>
          <t>1², 4², 20¹</t>
        </is>
      </c>
      <c r="K650">
        <f>HYPERLINK("CSG0.html#group25A0", "25A⁰"), =HYPERLINK("CSG1.html#group10A1", "10A¹")</f>
        <v/>
      </c>
      <c r="L650">
        <f>HYPERLINK("CSG5.html#group50F5", "50F⁵"), =HYPERLINK("CSG7.html#group50C7", "50C⁷"), =HYPERLINK("CSG13.html#group150A13", "150A¹³"), =HYPERLINK("CSG13.html#group150B13", "150B¹³"), =HYPERLINK("CSG15.html#group100C15", "100C¹⁵"), =HYPERLINK("CSG15.html#group150J15", "150J¹⁵"), =HYPERLINK("CSG19.html#group50B19", "50B¹⁹"), =HYPERLINK("CSG19.html#group250A19", "250A¹⁹"), =HYPERLINK("CSG19.html#group250B19", "250B¹⁹"), =HYPERLINK("CSG21.html#group50E21", "50E²¹"), =HYPERLINK("CSG21.html#group250A21", "250A²¹"), =HYPERLINK("CSG23.html#group250A23", "250A²³"), =HYPERLINK("CSG23.html#group250B23", "250B²³")</f>
        <v/>
      </c>
      <c r="M650">
        <f>HYPERLINK("CSG0.html#group25A0", "25A⁰"), =HYPERLINK("CSG0.html#group5B0", "5B⁰"), =HYPERLINK("CSG1.html#group10A1", "10A¹"), =HYPERLINK("CSG0.html#group2A0", "2A⁰"), =HYPERLINK("CSG0.html#group1A0", "1A⁰")</f>
        <v/>
      </c>
      <c r="N650">
        <f>HYPERLINK("CSG15.html#group100A15", "100A¹⁵"), =HYPERLINK("CSG21.html#group50E21", "50E²¹"), =HYPERLINK("CSG15.html#group100C15", "100C¹⁵"), =HYPERLINK("CSG21.html#group250A21", "250A²¹"), =HYPERLINK("CSG19.html#group50B19", "50B¹⁹"), =HYPERLINK("CSG7.html#group50C7", "50C⁷"), =HYPERLINK("CSG23.html#group250A23", "250A²³"), =HYPERLINK("CSG13.html#group150A13", "150A¹³"), =HYPERLINK("CSG15.html#group150J15", "150J¹⁵"), =HYPERLINK("CSG19.html#group100P19", "100P¹⁹"), =HYPERLINK("CSG13.html#group50E13", "50E¹³"), =HYPERLINK("CSG19.html#group100Q19", "100Q¹⁹"), =HYPERLINK("CSG23.html#group250B23", "250B²³"), =HYPERLINK("CSG19.html#group250B19", "250B¹⁹"), =HYPERLINK("CSG19.html#group250A19", "250A¹⁹"), =HYPERLINK("CSG13.html#group150B13", "150B¹³"), =HYPERLINK("CSG5.html#group50F5", "50F⁵")</f>
        <v/>
      </c>
    </row>
    <row r="651">
      <c r="A651" t="inlineStr">
        <is>
          <t>51A³</t>
        </is>
      </c>
      <c r="B651" t="inlineStr"/>
      <c r="C651" t="inlineStr">
        <is>
          <t>54</t>
        </is>
      </c>
      <c r="D651" t="inlineStr">
        <is>
          <t>1</t>
        </is>
      </c>
      <c r="E651" t="inlineStr">
        <is>
          <t>18</t>
        </is>
      </c>
      <c r="F651" t="inlineStr">
        <is>
          <t>6</t>
        </is>
      </c>
      <c r="G651" t="inlineStr">
        <is>
          <t>0</t>
        </is>
      </c>
      <c r="H651" t="inlineStr">
        <is>
          <t>3¹, 51¹</t>
        </is>
      </c>
      <c r="I651" t="n">
        <v>2</v>
      </c>
      <c r="J651" t="inlineStr">
        <is>
          <t>1², 16¹</t>
        </is>
      </c>
      <c r="K651">
        <f>HYPERLINK("CSG0.html#group3A0", "3A⁰"), =HYPERLINK("CSG1.html#group17A1", "17A¹")</f>
        <v/>
      </c>
      <c r="L651">
        <f>HYPERLINK("CSG5.html#group51B5", "51B⁵"), =HYPERLINK("CSG7.html#group51A7", "51A⁷"), =HYPERLINK("CSG7.html#group51B7", "51B⁷"), =HYPERLINK("CSG7.html#group102A7", "102A⁷"), =HYPERLINK("CSG7.html#group102B7", "102B⁷"), =HYPERLINK("CSG9.html#group102A9", "102A⁹"), =HYPERLINK("CSG9.html#group102B9", "102B⁹"), =HYPERLINK("CSG11.html#group102C11", "102C¹¹"), =HYPERLINK("CSG11.html#group153A11", "153A¹¹"), =HYPERLINK("CSG15.html#group204A15", "204A¹⁵"), =HYPERLINK("CSG21.html#group255A21", "255A²¹"), =HYPERLINK("CSG23.html#group255A23", "255A²³")</f>
        <v/>
      </c>
      <c r="M651">
        <f>HYPERLINK("CSG0.html#group3A0", "3A⁰"), =HYPERLINK("CSG0.html#group1A0", "1A⁰"), =HYPERLINK("CSG1.html#group17A1", "17A¹")</f>
        <v/>
      </c>
      <c r="N651">
        <f>HYPERLINK("CSG21.html#group51A21", "51A²¹"), =HYPERLINK("CSG23.html#group153B23", "153B²³"), =HYPERLINK("CSG23.html#group204H23", "204H²³"), =HYPERLINK("CSG13.html#group102B13", "102B¹³"), =HYPERLINK("CSG15.html#group102A15", "102A¹⁵"), =HYPERLINK("CSG11.html#group153A11", "153A¹¹"), =HYPERLINK("CSG7.html#group102B7", "102B⁷"), =HYPERLINK("CSG15.html#group51B15", "51B¹⁵"), =HYPERLINK("CSG23.html#group255A23", "255A²³"), =HYPERLINK("CSG9.html#group102B9", "102B⁹"), =HYPERLINK("CSG21.html#group102D21", "102D²¹"), =HYPERLINK("CSG17.html#group102D17", "102D¹⁷"), =HYPERLINK("CSG7.html#group102A7", "102A⁷"), =HYPERLINK("CSG15.html#group102B15", "102B¹⁵"), =HYPERLINK("CSG21.html#group153A21", "153A²¹"), =HYPERLINK("CSG11.html#group102C11", "102C¹¹"), =HYPERLINK("CSG15.html#group102D15", "102D¹⁵"), =HYPERLINK("CSG23.html#group306A23", "306A²³"), =HYPERLINK("CSG17.html#group102F17", "102F¹⁷"), =HYPERLINK("CSG7.html#group51B7", "51B⁷"), =HYPERLINK("CSG17.html#group102G17", "102G¹⁷"), =HYPERLINK("CSG13.html#group51A13", "51A¹³"), =HYPERLINK("CSG15.html#group204A15", "204A¹⁵"), =HYPERLINK("CSG5.html#group51B5", "51B⁵"), =HYPERLINK("CSG23.html#group204G23", "204G²³"), =HYPERLINK("CSG21.html#group255A21", "255A²¹"), =HYPERLINK("CSG23.html#group153A23", "153A²³"), =HYPERLINK("CSG23.html#group153C23", "153C²³"), =HYPERLINK("CSG23.html#group102D23", "102D²³"), =HYPERLINK("CSG15.html#group51A15", "51A¹⁵"), =HYPERLINK("CSG23.html#group102A23", "102A²³"), =HYPERLINK("CSG9.html#group102A9", "102A⁹"), =HYPERLINK("CSG23.html#group204E23", "204E²³"), =HYPERLINK("CSG23.html#group204F23", "204F²³"), =HYPERLINK("CSG23.html#group306B23", "306B²³"), =HYPERLINK("CSG23.html#group102B23", "102B²³"), =HYPERLINK("CSG17.html#group102A17", "102A¹⁷"), =HYPERLINK("CSG13.html#group51B13", "51B¹³"), =HYPERLINK("CSG13.html#group102A13", "102A¹³"), =HYPERLINK("CSG23.html#group102C23", "102C²³"), =HYPERLINK("CSG9.html#group51B9", "51B⁹"), =HYPERLINK("CSG7.html#group51A7", "51A⁷"), =HYPERLINK("CSG17.html#group102E17", "102E¹⁷"), =HYPERLINK("CSG17.html#group102B17", "102B¹⁷"), =HYPERLINK("CSG21.html#group102C21", "102C²¹")</f>
        <v/>
      </c>
    </row>
    <row r="652">
      <c r="A652" t="inlineStr">
        <is>
          <t>52A³</t>
        </is>
      </c>
      <c r="B652" t="inlineStr"/>
      <c r="C652" t="inlineStr">
        <is>
          <t>56</t>
        </is>
      </c>
      <c r="D652" t="inlineStr">
        <is>
          <t>1</t>
        </is>
      </c>
      <c r="E652" t="inlineStr">
        <is>
          <t>56</t>
        </is>
      </c>
      <c r="F652" t="inlineStr">
        <is>
          <t>4</t>
        </is>
      </c>
      <c r="G652" t="inlineStr">
        <is>
          <t>2</t>
        </is>
      </c>
      <c r="H652" t="inlineStr">
        <is>
          <t>4¹, 52¹</t>
        </is>
      </c>
      <c r="I652" t="n">
        <v>2</v>
      </c>
      <c r="J652" t="inlineStr">
        <is>
          <t>2⁴, 24²</t>
        </is>
      </c>
      <c r="K652">
        <f>HYPERLINK("CSG0.html#group4A0", "4A⁰"), =HYPERLINK("CSG0.html#group13A0", "13A⁰")</f>
        <v/>
      </c>
      <c r="L652">
        <f>HYPERLINK("CSG5.html#group52C5", "52C⁵"), =HYPERLINK("CSG7.html#group52A7", "52A⁷"), =HYPERLINK("CSG7.html#group52B7", "52B⁷"), =HYPERLINK("CSG7.html#group104A7", "104A⁷"), =HYPERLINK("CSG7.html#group104B7", "104B⁷"), =HYPERLINK("CSG9.html#group52C9", "52C⁹"), =HYPERLINK("CSG10.html#group156A10", "156A¹⁰"), =HYPERLINK("CSG11.html#group52F11", "52F¹¹"), =HYPERLINK("CSG11.html#group156A11", "156A¹¹"), =HYPERLINK("CSG15.html#group104C15", "104C¹⁵"), =HYPERLINK("CSG17.html#group156A17", "156A¹⁷"), =HYPERLINK("CSG21.html#group260A21", "260A²¹")</f>
        <v/>
      </c>
      <c r="M652">
        <f>HYPERLINK("CSG0.html#group13A0", "13A⁰"), =HYPERLINK("CSG0.html#group1A0", "1A⁰"), =HYPERLINK("CSG0.html#group4A0", "4A⁰")</f>
        <v/>
      </c>
      <c r="N652">
        <f>HYPERLINK("CSG7.html#group52A7", "52A⁷"), =HYPERLINK("CSG23.html#group104I23", "104I²³"), =HYPERLINK("CSG15.html#group104B15", "104B¹⁵"), =HYPERLINK("CSG15.html#group208B15", "208B¹⁵"), =HYPERLINK("CSG7.html#group52B7", "52B⁷"), =HYPERLINK("CSG23.html#group104O23", "104O²³"), =HYPERLINK("CSG9.html#group52C9", "52C⁹"), =HYPERLINK("CSG13.html#group104E13", "104E¹³"), =HYPERLINK("CSG21.html#group52D21", "52D²¹"), =HYPERLINK("CSG23.html#group52C23", "52C²³"), =HYPERLINK("CSG21.html#group156A21", "156A²¹"), =HYPERLINK("CSG13.html#group104C13", "104C¹³"), =HYPERLINK("CSG23.html#group312A23", "312A²³"), =HYPERLINK("CSG13.html#group52A13", "52A¹³"), =HYPERLINK("CSG19.html#group156F19", "156F¹⁹"), =HYPERLINK("CSG5.html#group52C5", "52C⁵"), =HYPERLINK("CSG15.html#group104C15", "104C¹⁵"), =HYPERLINK("CSG21.html#group52E21", "52E²¹"), =HYPERLINK("CSG23.html#group156E23", "156E²³"), =HYPERLINK("CSG23.html#group104T23", "104T²³"), =HYPERLINK("CSG21.html#group260A21", "260A²¹"), =HYPERLINK("CSG11.html#group52H11", "52H¹¹"), =HYPERLINK("CSG17.html#group52A17", "52A¹⁷"), =HYPERLINK("CSG7.html#group104B7", "104B⁷"), =HYPERLINK("CSG13.html#group104D13", "104D¹³"), =HYPERLINK("CSG23.html#group104U23", "104U²³"), =HYPERLINK("CSG7.html#group104A7", "104A⁷"), =HYPERLINK("CSG15.html#group208A15", "208A¹⁵"), =HYPERLINK("CSG23.html#group312B23", "312B²³"), =HYPERLINK("CSG10.html#group156A10", "156A¹⁰"), =HYPERLINK("CSG15.html#group104A15", "104A¹⁵"), =HYPERLINK("CSG11.html#group156A11", "156A¹¹"), =HYPERLINK("CSG11.html#group52F11", "52F¹¹"), =HYPERLINK("CSG23.html#group104H23", "104H²³"), =HYPERLINK("CSG23.html#group52E23", "52E²³"), =HYPERLINK("CSG23.html#group156F23", "156F²³"), =HYPERLINK("CSG17.html#group156A17", "156A¹⁷"), =HYPERLINK("CSG15.html#group104D15", "104D¹⁵"), =HYPERLINK("CSG23.html#group52G23", "52G²³"), =HYPERLINK("CSG23.html#group312C23", "312C²³"), =HYPERLINK("CSG23.html#group312D23", "312D²³"), =HYPERLINK("CSG23.html#group52F23", "52F²³"), =HYPERLINK("CSG23.html#group104P23", "104P²³")</f>
        <v/>
      </c>
    </row>
    <row r="653">
      <c r="A653" t="inlineStr">
        <is>
          <t>52B³</t>
        </is>
      </c>
      <c r="B653" t="inlineStr"/>
      <c r="C653" t="inlineStr">
        <is>
          <t>112</t>
        </is>
      </c>
      <c r="D653" t="inlineStr">
        <is>
          <t>1</t>
        </is>
      </c>
      <c r="E653" t="inlineStr">
        <is>
          <t>14</t>
        </is>
      </c>
      <c r="F653" t="inlineStr">
        <is>
          <t>0</t>
        </is>
      </c>
      <c r="G653" t="inlineStr">
        <is>
          <t>16</t>
        </is>
      </c>
      <c r="H653" t="inlineStr">
        <is>
          <t>4², 52²</t>
        </is>
      </c>
      <c r="I653" t="n">
        <v>4</v>
      </c>
      <c r="J653" t="inlineStr">
        <is>
          <t>1², 12¹</t>
        </is>
      </c>
      <c r="K653">
        <f>HYPERLINK("CSG1.html#group26B1", "26B¹"), =HYPERLINK("CSG1.html#group52A1", "52A¹")</f>
        <v/>
      </c>
      <c r="L653">
        <f>HYPERLINK("CSG15.html#group52A15", "52A¹⁵"), =HYPERLINK("CSG19.html#group156D19", "156D¹⁹"), =HYPERLINK("CSG19.html#group156E19", "156E¹⁹"), =HYPERLINK("CSG23.html#group52A23", "52A²³"), =HYPERLINK("CSG23.html#group52B23", "52B²³"), =HYPERLINK("CSG23.html#group156G23", "156G²³")</f>
        <v/>
      </c>
      <c r="M653">
        <f>HYPERLINK("CSG0.html#group2A0", "2A⁰"), =HYPERLINK("CSG1.html#group26B1", "26B¹"), =HYPERLINK("CSG1.html#group26A1", "26A¹"), =HYPERLINK("CSG0.html#group13A0", "13A⁰"), =HYPERLINK("CSG0.html#group26A0", "26A⁰"), =HYPERLINK("CSG0.html#group13B0", "13B⁰"), =HYPERLINK("CSG1.html#group52A1", "52A¹"), =HYPERLINK("CSG0.html#group1A0", "1A⁰")</f>
        <v/>
      </c>
      <c r="N653">
        <f>HYPERLINK("CSG23.html#group52A23", "52A²³"), =HYPERLINK("CSG15.html#group52A15", "52A¹⁵"), =HYPERLINK("CSG23.html#group156G23", "156G²³"), =HYPERLINK("CSG23.html#group52B23", "52B²³"), =HYPERLINK("CSG19.html#group156E19", "156E¹⁹"), =HYPERLINK("CSG19.html#group156D19", "156D¹⁹")</f>
        <v/>
      </c>
    </row>
    <row r="654">
      <c r="A654" t="inlineStr">
        <is>
          <t>54A³</t>
        </is>
      </c>
      <c r="B654" t="inlineStr"/>
      <c r="C654" t="inlineStr">
        <is>
          <t>72</t>
        </is>
      </c>
      <c r="D654" t="inlineStr">
        <is>
          <t>1</t>
        </is>
      </c>
      <c r="E654" t="inlineStr">
        <is>
          <t>12</t>
        </is>
      </c>
      <c r="F654" t="inlineStr">
        <is>
          <t>0</t>
        </is>
      </c>
      <c r="G654" t="inlineStr">
        <is>
          <t>0</t>
        </is>
      </c>
      <c r="H654" t="inlineStr">
        <is>
          <t>2⁶, 6¹, 54¹</t>
        </is>
      </c>
      <c r="I654" t="n">
        <v>8</v>
      </c>
      <c r="J654" t="inlineStr">
        <is>
          <t>1², 2², 6¹</t>
        </is>
      </c>
      <c r="K654">
        <f>HYPERLINK("CSG0.html#group27A0", "27A⁰"), =HYPERLINK("CSG1.html#group18C1", "18C¹")</f>
        <v/>
      </c>
      <c r="L654">
        <f>HYPERLINK("CSG7.html#group54B7", "54B⁷"), =HYPERLINK("CSG9.html#group108A9", "108A⁹"), =HYPERLINK("CSG10.html#group54B10", "54B¹⁰"), =HYPERLINK("CSG10.html#group54H10", "54H¹⁰"), =HYPERLINK("CSG13.html#group54C13", "54C¹³"), =HYPERLINK("CSG13.html#group54E13", "54E¹³"), =HYPERLINK("CSG13.html#group54H13", "54H¹³"), =HYPERLINK("CSG13.html#group54L13", "54L¹³"), =HYPERLINK("CSG17.html#group108D17", "108D¹⁷")</f>
        <v/>
      </c>
      <c r="M654">
        <f>HYPERLINK("CSG0.html#group3B0", "3B⁰"), =HYPERLINK("CSG0.html#group2A0", "2A⁰"), =HYPERLINK("CSG1.html#group18C1", "18C¹"), =HYPERLINK("CSG0.html#group6C0", "6C⁰"), =HYPERLINK("CSG0.html#group27A0", "27A⁰"), =HYPERLINK("CSG0.html#group9B0", "9B⁰"), =HYPERLINK("CSG0.html#group1A0", "1A⁰")</f>
        <v/>
      </c>
      <c r="N654">
        <f>HYPERLINK("CSG21.html#group108E21", "108E²¹"), =HYPERLINK("CSG10.html#group54H10", "54H¹⁰"), =HYPERLINK("CSG13.html#group54C13", "54C¹³"), =HYPERLINK("CSG9.html#group108A9", "108A⁹"), =HYPERLINK("CSG13.html#group54H13", "54H¹³"), =HYPERLINK("CSG13.html#group54L13", "54L¹³"), =HYPERLINK("CSG7.html#group54B7", "54B⁷"), =HYPERLINK("CSG17.html#group108D17", "108D¹⁷"), =HYPERLINK("CSG17.html#group108F17", "108F¹⁷"), =HYPERLINK("CSG10.html#group54B10", "54B¹⁰"), =HYPERLINK("CSG13.html#group54E13", "54E¹³")</f>
        <v/>
      </c>
    </row>
    <row r="655">
      <c r="A655" t="inlineStr">
        <is>
          <t>54B³</t>
        </is>
      </c>
      <c r="B655" t="inlineStr"/>
      <c r="C655" t="inlineStr">
        <is>
          <t>72</t>
        </is>
      </c>
      <c r="D655" t="inlineStr">
        <is>
          <t>1</t>
        </is>
      </c>
      <c r="E655" t="inlineStr">
        <is>
          <t>24</t>
        </is>
      </c>
      <c r="F655" t="inlineStr">
        <is>
          <t>0</t>
        </is>
      </c>
      <c r="G655" t="inlineStr">
        <is>
          <t>0</t>
        </is>
      </c>
      <c r="H655" t="inlineStr">
        <is>
          <t>2⁶, 6¹, 54¹</t>
        </is>
      </c>
      <c r="I655" t="n">
        <v>8</v>
      </c>
      <c r="J655" t="inlineStr">
        <is>
          <t>2⁶, 6²</t>
        </is>
      </c>
      <c r="K655">
        <f>HYPERLINK("CSG1.html#group18C1", "18C¹")</f>
        <v/>
      </c>
      <c r="L655">
        <f>HYPERLINK("CSG7.html#group54B7", "54B⁷"), =HYPERLINK("CSG9.html#group108B9", "108B⁹"), =HYPERLINK("CSG10.html#group54D10", "54D¹⁰"), =HYPERLINK("CSG10.html#group54E10", "54E¹⁰"), =HYPERLINK("CSG10.html#group54H10", "54H¹⁰"), =HYPERLINK("CSG13.html#group54F13", "54F¹³"), =HYPERLINK("CSG13.html#group54I13", "54I¹³"), =HYPERLINK("CSG13.html#group54J13", "54J¹³"), =HYPERLINK("CSG13.html#group54K13", "54K¹³"), =HYPERLINK("CSG13.html#group54Q13", "54Q¹³"), =HYPERLINK("CSG17.html#group108E17", "108E¹⁷")</f>
        <v/>
      </c>
      <c r="M655">
        <f>HYPERLINK("CSG0.html#group3B0", "3B⁰"), =HYPERLINK("CSG0.html#group9B0", "9B⁰"), =HYPERLINK("CSG0.html#group2A0", "2A⁰"), =HYPERLINK("CSG0.html#group1A0", "1A⁰"), =HYPERLINK("CSG1.html#group18C1", "18C¹"), =HYPERLINK("CSG0.html#group6C0", "6C⁰")</f>
        <v/>
      </c>
      <c r="N655">
        <f>HYPERLINK("CSG9.html#group108B9", "108B⁹"), =HYPERLINK("CSG21.html#group108E21", "108E²¹"), =HYPERLINK("CSG10.html#group54H10", "54H¹⁰"), =HYPERLINK("CSG17.html#group108E17", "108E¹⁷"), =HYPERLINK("CSG13.html#group54I13", "54I¹³"), =HYPERLINK("CSG13.html#group54Q13", "54Q¹³"), =HYPERLINK("CSG10.html#group54E10", "54E¹⁰"), =HYPERLINK("CSG13.html#group54J13", "54J¹³"), =HYPERLINK("CSG7.html#group54B7", "54B⁷"), =HYPERLINK("CSG13.html#group54F13", "54F¹³"), =HYPERLINK("CSG10.html#group54D10", "54D¹⁰"), =HYPERLINK("CSG17.html#group108F17", "108F¹⁷"), =HYPERLINK("CSG13.html#group54K13", "54K¹³")</f>
        <v/>
      </c>
    </row>
    <row r="656">
      <c r="A656" t="inlineStr">
        <is>
          <t>54C³</t>
        </is>
      </c>
      <c r="B656" t="inlineStr"/>
      <c r="C656" t="inlineStr">
        <is>
          <t>72</t>
        </is>
      </c>
      <c r="D656" t="inlineStr">
        <is>
          <t>1</t>
        </is>
      </c>
      <c r="E656" t="inlineStr">
        <is>
          <t>24</t>
        </is>
      </c>
      <c r="F656" t="inlineStr">
        <is>
          <t>0</t>
        </is>
      </c>
      <c r="G656" t="inlineStr">
        <is>
          <t>9</t>
        </is>
      </c>
      <c r="H656" t="inlineStr">
        <is>
          <t>18¹, 54¹</t>
        </is>
      </c>
      <c r="I656" t="n">
        <v>2</v>
      </c>
      <c r="J656" t="inlineStr">
        <is>
          <t>2⁶, 6²</t>
        </is>
      </c>
      <c r="K656">
        <f>HYPERLINK("CSG0.html#group18B0", "18B⁰")</f>
        <v/>
      </c>
      <c r="L656">
        <f>HYPERLINK("CSG6.html#group108A6", "108A⁶"), =HYPERLINK("CSG10.html#group54F10", "54F¹⁰"), =HYPERLINK("CSG10.html#group54G10", "54G¹⁰"), =HYPERLINK("CSG13.html#group54N13", "54N¹³"), =HYPERLINK("CSG13.html#group54O13", "54O¹³"), =HYPERLINK("CSG13.html#group54P13", "54P¹³"), =HYPERLINK("CSG13.html#group54T13", "54T¹³"), =HYPERLINK("CSG16.html#group54E16", "54E¹⁶"), =HYPERLINK("CSG16.html#group54K16", "54K¹⁶"), =HYPERLINK("CSG16.html#group54P16", "54P¹⁶"), =HYPERLINK("CSG20.html#group108A20", "108A²⁰"), =HYPERLINK("CSG24.html#group270A24", "270A²⁴")</f>
        <v/>
      </c>
      <c r="M656">
        <f>HYPERLINK("CSG0.html#group3B0", "3B⁰"), =HYPERLINK("CSG0.html#group2A0", "2A⁰"), =HYPERLINK("CSG0.html#group9C0", "9C⁰"), =HYPERLINK("CSG0.html#group1A0", "1A⁰"), =HYPERLINK("CSG0.html#group18B0", "18B⁰"), =HYPERLINK("CSG0.html#group6C0", "6C⁰")</f>
        <v/>
      </c>
      <c r="N656">
        <f>HYPERLINK("CSG22.html#group108D22", "108D²²"), =HYPERLINK("CSG10.html#group54F10", "54F¹⁰"), =HYPERLINK("CSG10.html#group54G10", "54G¹⁰"), =HYPERLINK("CSG6.html#group108A6", "108A⁶"), =HYPERLINK("CSG13.html#group54T13", "54T¹³"), =HYPERLINK("CSG16.html#group54E16", "54E¹⁶"), =HYPERLINK("CSG20.html#group108A20", "108A²⁰"), =HYPERLINK("CSG24.html#group270A24", "270A²⁴"), =HYPERLINK("CSG13.html#group54N13", "54N¹³"), =HYPERLINK("CSG16.html#group54K16", "54K¹⁶"), =HYPERLINK("CSG13.html#group54P13", "54P¹³"), =HYPERLINK("CSG13.html#group54O13", "54O¹³"), =HYPERLINK("CSG22.html#group108C22", "108C²²"), =HYPERLINK("CSG16.html#group54P16", "54P¹⁶")</f>
        <v/>
      </c>
    </row>
    <row r="657">
      <c r="A657" t="inlineStr">
        <is>
          <t>55A³</t>
        </is>
      </c>
      <c r="B657" t="inlineStr"/>
      <c r="C657" t="inlineStr">
        <is>
          <t>55</t>
        </is>
      </c>
      <c r="D657" t="inlineStr">
        <is>
          <t>2</t>
        </is>
      </c>
      <c r="E657" t="inlineStr">
        <is>
          <t>55</t>
        </is>
      </c>
      <c r="F657" t="inlineStr">
        <is>
          <t>3</t>
        </is>
      </c>
      <c r="G657" t="inlineStr">
        <is>
          <t>4</t>
        </is>
      </c>
      <c r="H657" t="inlineStr">
        <is>
          <t>55¹</t>
        </is>
      </c>
      <c r="I657" t="n">
        <v>1</v>
      </c>
      <c r="J657" t="inlineStr">
        <is>
          <t>2¹, 8¹, 10², 40²</t>
        </is>
      </c>
      <c r="K657">
        <f>HYPERLINK("CSG0.html#group5A0", "5A⁰"), =HYPERLINK("CSG0.html#group11A0", "11A⁰")</f>
        <v/>
      </c>
      <c r="L657">
        <f>HYPERLINK("CSG7.html#group110A7", "110A⁷"), =HYPERLINK("CSG10.html#group165A10", "165A¹⁰"), =HYPERLINK("CSG10.html#group165B10", "165B¹⁰"), =HYPERLINK("CSG11.html#group55A11", "55A¹¹"), =HYPERLINK("CSG12.html#group165A12", "165A¹²"), =HYPERLINK("CSG13.html#group110A13", "110A¹³"), =HYPERLINK("CSG16.html#group55A16", "55A¹⁶"), =HYPERLINK("CSG16.html#group220A16", "220A¹⁶"), =HYPERLINK("CSG17.html#group165B17", "165B¹⁷"), =HYPERLINK("CSG18.html#group55A18", "55A¹⁸"), =HYPERLINK("CSG24.html#group55A24", "55A²⁴")</f>
        <v/>
      </c>
      <c r="M657">
        <f>HYPERLINK("CSG0.html#group11A0", "11A⁰"), =HYPERLINK("CSG0.html#group1A0", "1A⁰"), =HYPERLINK("CSG0.html#group5A0", "5A⁰")</f>
        <v/>
      </c>
      <c r="N657">
        <f>HYPERLINK("CSG24.html#group55B24", "55B²⁴"), =HYPERLINK("CSG24.html#group110A24", "110A²⁴"), =HYPERLINK("CSG24.html#group330C24", "330C²⁴"), =HYPERLINK("CSG10.html#group165B10", "165B¹⁰"), =HYPERLINK("CSG24.html#group330B24", "330B²⁴"), =HYPERLINK("CSG17.html#group165B17", "165B¹⁷"), =HYPERLINK("CSG16.html#group55A16", "55A¹⁶"), =HYPERLINK("CSG23.html#group110A23", "110A²³"), =HYPERLINK("CSG18.html#group55A18", "55A¹⁸"), =HYPERLINK("CSG11.html#group55A11", "55A¹¹"), =HYPERLINK("CSG7.html#group110A7", "110A⁷"), =HYPERLINK("CSG24.html#group330A24", "330A²⁴"), =HYPERLINK("CSG24.html#group55A24", "55A²⁴"), =HYPERLINK("CSG16.html#group220A16", "220A¹⁶"), =HYPERLINK("CSG10.html#group165A10", "165A¹⁰"), =HYPERLINK("CSG13.html#group110A13", "110A¹³"), =HYPERLINK("CSG12.html#group165A12", "165A¹²")</f>
        <v/>
      </c>
    </row>
    <row r="658">
      <c r="A658" t="inlineStr">
        <is>
          <t>56A³</t>
        </is>
      </c>
      <c r="B658" t="inlineStr"/>
      <c r="C658" t="inlineStr">
        <is>
          <t>56</t>
        </is>
      </c>
      <c r="D658" t="inlineStr">
        <is>
          <t>2</t>
        </is>
      </c>
      <c r="E658" t="inlineStr">
        <is>
          <t>28</t>
        </is>
      </c>
      <c r="F658" t="inlineStr">
        <is>
          <t>6</t>
        </is>
      </c>
      <c r="G658" t="inlineStr">
        <is>
          <t>2</t>
        </is>
      </c>
      <c r="H658" t="inlineStr">
        <is>
          <t>56¹</t>
        </is>
      </c>
      <c r="I658" t="n">
        <v>1</v>
      </c>
      <c r="J658" t="inlineStr">
        <is>
          <t>8², 24⁴</t>
        </is>
      </c>
      <c r="K658">
        <f>HYPERLINK("CSG1.html#group28A1", "28A¹")</f>
        <v/>
      </c>
      <c r="L658">
        <f>HYPERLINK("CSG6.html#group56F6", "56F⁶"), =HYPERLINK("CSG7.html#group56D7", "56D⁷"), =HYPERLINK("CSG8.html#group56A8", "56A⁸"), =HYPERLINK("CSG10.html#group168A10", "168A¹⁰"), =HYPERLINK("CSG11.html#group56J11", "56J¹¹"), =HYPERLINK("CSG12.html#group56J12", "56J¹²"), =HYPERLINK("CSG14.html#group56C14", "56C¹⁴"), =HYPERLINK("CSG15.html#group56B15", "56B¹⁵"), =HYPERLINK("CSG18.html#group168A18", "168A¹⁸"), =HYPERLINK("CSG21.html#group280A21", "280A²¹")</f>
        <v/>
      </c>
      <c r="M658">
        <f>HYPERLINK("CSG1.html#group28A1", "28A¹"), =HYPERLINK("CSG0.html#group1A0", "1A⁰"), =HYPERLINK("CSG0.html#group4A0", "4A⁰"), =HYPERLINK("CSG0.html#group7A0", "7A⁰")</f>
        <v/>
      </c>
      <c r="N658">
        <f>HYPERLINK("CSG21.html#group280A21", "280A²¹"), =HYPERLINK("CSG24.html#group56M24", "56M²⁴"), =HYPERLINK("CSG22.html#group168K22", "168K²²"), =HYPERLINK("CSG24.html#group56I24", "56I²⁴"), =HYPERLINK("CSG18.html#group168A18", "168A¹⁸"), =HYPERLINK("CSG22.html#group56A22", "56A²²"), =HYPERLINK("CSG23.html#group56B23", "56B²³"), =HYPERLINK("CSG8.html#group56A8", "56A⁸"), =HYPERLINK("CSG24.html#group56J24", "56J²⁴"), =HYPERLINK("CSG12.html#group56J12", "56J¹²"), =HYPERLINK("CSG23.html#group56K23", "56K²³"), =HYPERLINK("CSG24.html#group168C24", "168C²⁴"), =HYPERLINK("CSG23.html#group56I23", "56I²³"), =HYPERLINK("CSG22.html#group56K22", "56K²²"), =HYPERLINK("CSG15.html#group56A15", "56A¹⁵"), =HYPERLINK("CSG24.html#group56K24", "56K²⁴"), =HYPERLINK("CSG11.html#group56J11", "56J¹¹"), =HYPERLINK("CSG7.html#group56D7", "56D⁷"), =HYPERLINK("CSG23.html#group168I23", "168I²³"), =HYPERLINK("CSG14.html#group56C14", "56C¹⁴"), =HYPERLINK("CSG10.html#group168A10", "168A¹⁰"), =HYPERLINK("CSG15.html#group56B15", "56B¹⁵"), =HYPERLINK("CSG22.html#group168G22", "168G²²"), =HYPERLINK("CSG14.html#group112E14", "112E¹⁴"), =HYPERLINK("CSG23.html#group168G23", "168G²³"), =HYPERLINK("CSG15.html#group112I15", "112I¹⁵"), =HYPERLINK("CSG6.html#group56F6", "56F⁶")</f>
        <v/>
      </c>
    </row>
    <row r="659">
      <c r="A659" t="inlineStr">
        <is>
          <t>56B³</t>
        </is>
      </c>
      <c r="B659" t="inlineStr"/>
      <c r="C659" t="inlineStr">
        <is>
          <t>56</t>
        </is>
      </c>
      <c r="D659" t="inlineStr">
        <is>
          <t>2</t>
        </is>
      </c>
      <c r="E659" t="inlineStr">
        <is>
          <t>28</t>
        </is>
      </c>
      <c r="F659" t="inlineStr">
        <is>
          <t>6</t>
        </is>
      </c>
      <c r="G659" t="inlineStr">
        <is>
          <t>2</t>
        </is>
      </c>
      <c r="H659" t="inlineStr">
        <is>
          <t>56¹</t>
        </is>
      </c>
      <c r="I659" t="n">
        <v>1</v>
      </c>
      <c r="J659" t="inlineStr">
        <is>
          <t>8², 24⁴</t>
        </is>
      </c>
      <c r="K659">
        <f>HYPERLINK("CSG1.html#group28A1", "28A¹")</f>
        <v/>
      </c>
      <c r="L659">
        <f>HYPERLINK("CSG6.html#group56G6", "56G⁶"), =HYPERLINK("CSG7.html#group56E7", "56E⁷"), =HYPERLINK("CSG8.html#group56A8", "56A⁸"), =HYPERLINK("CSG10.html#group168B10", "168B¹⁰"), =HYPERLINK("CSG11.html#group56K11", "56K¹¹"), =HYPERLINK("CSG12.html#group56J12", "56J¹²"), =HYPERLINK("CSG14.html#group56D14", "56D¹⁴"), =HYPERLINK("CSG15.html#group56B15", "56B¹⁵"), =HYPERLINK("CSG18.html#group168B18", "168B¹⁸"), =HYPERLINK("CSG21.html#group280B21", "280B²¹")</f>
        <v/>
      </c>
      <c r="M659">
        <f>HYPERLINK("CSG1.html#group28A1", "28A¹"), =HYPERLINK("CSG0.html#group1A0", "1A⁰"), =HYPERLINK("CSG0.html#group4A0", "4A⁰"), =HYPERLINK("CSG0.html#group7A0", "7A⁰")</f>
        <v/>
      </c>
      <c r="N659">
        <f>HYPERLINK("CSG15.html#group112J15", "112J¹⁵"), =HYPERLINK("CSG14.html#group112F14", "112F¹⁴"), =HYPERLINK("CSG8.html#group56A8", "56A⁸"), =HYPERLINK("CSG24.html#group56J24", "56J²⁴"), =HYPERLINK("CSG14.html#group56D14", "56D¹⁴"), =HYPERLINK("CSG10.html#group168B10", "168B¹⁰"), =HYPERLINK("CSG12.html#group56J12", "56J¹²"), =HYPERLINK("CSG23.html#group56I23", "56I²³"), =HYPERLINK("CSG24.html#group168D24", "168D²⁴"), =HYPERLINK("CSG22.html#group56B22", "56B²²"), =HYPERLINK("CSG6.html#group56G6", "56G⁶"), =HYPERLINK("CSG23.html#group168J23", "168J²³"), =HYPERLINK("CSG15.html#group56A15", "56A¹⁵"), =HYPERLINK("CSG23.html#group56L23", "56L²³"), =HYPERLINK("CSG7.html#group56E7", "56E⁷"), =HYPERLINK("CSG21.html#group280B21", "280B²¹"), =HYPERLINK("CSG22.html#group168L22", "168L²²"), =HYPERLINK("CSG11.html#group56K11", "56K¹¹"), =HYPERLINK("CSG24.html#group56N24", "56N²⁴"), =HYPERLINK("CSG18.html#group168B18", "168B¹⁸"), =HYPERLINK("CSG15.html#group56B15", "56B¹⁵"), =HYPERLINK("CSG23.html#group168H23", "168H²³"), =HYPERLINK("CSG22.html#group56L22", "56L²²"), =HYPERLINK("CSG23.html#group56C23", "56C²³"), =HYPERLINK("CSG24.html#group56I24", "56I²⁴"), =HYPERLINK("CSG22.html#group168H22", "168H²²"), =HYPERLINK("CSG24.html#group56L24", "56L²⁴")</f>
        <v/>
      </c>
    </row>
    <row r="660">
      <c r="A660" t="inlineStr">
        <is>
          <t>56C³</t>
        </is>
      </c>
      <c r="B660" t="inlineStr"/>
      <c r="C660" t="inlineStr">
        <is>
          <t>56</t>
        </is>
      </c>
      <c r="D660" t="inlineStr">
        <is>
          <t>2</t>
        </is>
      </c>
      <c r="E660" t="inlineStr">
        <is>
          <t>28</t>
        </is>
      </c>
      <c r="F660" t="inlineStr">
        <is>
          <t>6</t>
        </is>
      </c>
      <c r="G660" t="inlineStr">
        <is>
          <t>2</t>
        </is>
      </c>
      <c r="H660" t="inlineStr">
        <is>
          <t>56¹</t>
        </is>
      </c>
      <c r="I660" t="n">
        <v>1</v>
      </c>
      <c r="J660" t="inlineStr">
        <is>
          <t>8², 24⁴</t>
        </is>
      </c>
      <c r="K660">
        <f>HYPERLINK("CSG0.html#group8A0", "8A⁰"), =HYPERLINK("CSG1.html#group28A1", "28A¹")</f>
        <v/>
      </c>
      <c r="L660">
        <f>HYPERLINK("CSG6.html#group56F6", "56F⁶"), =HYPERLINK("CSG7.html#group56E7", "56E⁷"), =HYPERLINK("CSG7.html#group112A7", "112A⁷"), =HYPERLINK("CSG7.html#group112C7", "112C⁷"), =HYPERLINK("CSG8.html#group56B8", "56B⁸"), =HYPERLINK("CSG10.html#group168C10", "168C¹⁰"), =HYPERLINK("CSG11.html#group56I11", "56I¹¹"), =HYPERLINK("CSG12.html#group56K12", "56K¹²"), =HYPERLINK("CSG14.html#group56E14", "56E¹⁴"), =HYPERLINK("CSG15.html#group56C15", "56C¹⁵"), =HYPERLINK("CSG18.html#group168C18", "168C¹⁸"), =HYPERLINK("CSG21.html#group280C21", "280C²¹")</f>
        <v/>
      </c>
      <c r="M660">
        <f>HYPERLINK("CSG0.html#group8A0", "8A⁰"), =HYPERLINK("CSG1.html#group28A1", "28A¹"), =HYPERLINK("CSG0.html#group1A0", "1A⁰"), =HYPERLINK("CSG0.html#group4A0", "4A⁰"), =HYPERLINK("CSG0.html#group7A0", "7A⁰")</f>
        <v/>
      </c>
      <c r="N660">
        <f>HYPERLINK("CSG15.html#group112J15", "112J¹⁵"), =HYPERLINK("CSG24.html#group56M24", "56M²⁴"), =HYPERLINK("CSG7.html#group112C7", "112C⁷"), =HYPERLINK("CSG24.html#group336A24", "336A²⁴"), =HYPERLINK("CSG18.html#group168C18", "168C¹⁸"), =HYPERLINK("CSG24.html#group336E24", "336E²⁴"), =HYPERLINK("CSG23.html#group56B23", "56B²³"), =HYPERLINK("CSG23.html#group56J23", "56J²³"), =HYPERLINK("CSG24.html#group56J24", "56J²⁴"), =HYPERLINK("CSG21.html#group280C21", "280C²¹"), =HYPERLINK("CSG16.html#group112A16", "112A¹⁶"), =HYPERLINK("CSG22.html#group56H22", "56H²²"), =HYPERLINK("CSG14.html#group56E14", "56E¹⁴"), =HYPERLINK("CSG7.html#group56E7", "56E⁷"), =HYPERLINK("CSG10.html#group168C10", "168C¹⁰"), =HYPERLINK("CSG24.html#group56H24", "56H²⁴"), =HYPERLINK("CSG24.html#group56N24", "56N²⁴"), =HYPERLINK("CSG15.html#group56C15", "56C¹⁵"), =HYPERLINK("CSG22.html#group168G22", "168G²²"), =HYPERLINK("CSG23.html#group56C23", "56C²³"), =HYPERLINK("CSG16.html#group112B16", "112B¹⁶"), =HYPERLINK("CSG6.html#group56F6", "56F⁶"), =HYPERLINK("CSG7.html#group112A7", "112A⁷"), =HYPERLINK("CSG24.html#group168E24", "168E²⁴"), =HYPERLINK("CSG11.html#group56I11", "56I¹¹"), =HYPERLINK("CSG22.html#group56K22", "56K²²"), =HYPERLINK("CSG15.html#group56A15", "56A¹⁵"), =HYPERLINK("CSG24.html#group336C24", "336C²⁴"), =HYPERLINK("CSG8.html#group56B8", "56B⁸"), =HYPERLINK("CSG23.html#group168H23", "168H²³"), =HYPERLINK("CSG14.html#group112E14", "112E¹⁴"), =HYPERLINK("CSG22.html#group168Q22", "168Q²²"), =HYPERLINK("CSG12.html#group56K12", "56K¹²"), =HYPERLINK("CSG24.html#group336G24", "336G²⁴"), =HYPERLINK("CSG23.html#group168K23", "168K²³")</f>
        <v/>
      </c>
    </row>
    <row r="661">
      <c r="A661" t="inlineStr">
        <is>
          <t>56D³</t>
        </is>
      </c>
      <c r="B661" t="inlineStr"/>
      <c r="C661" t="inlineStr">
        <is>
          <t>56</t>
        </is>
      </c>
      <c r="D661" t="inlineStr">
        <is>
          <t>2</t>
        </is>
      </c>
      <c r="E661" t="inlineStr">
        <is>
          <t>28</t>
        </is>
      </c>
      <c r="F661" t="inlineStr">
        <is>
          <t>6</t>
        </is>
      </c>
      <c r="G661" t="inlineStr">
        <is>
          <t>2</t>
        </is>
      </c>
      <c r="H661" t="inlineStr">
        <is>
          <t>56¹</t>
        </is>
      </c>
      <c r="I661" t="n">
        <v>1</v>
      </c>
      <c r="J661" t="inlineStr">
        <is>
          <t>8², 24⁴</t>
        </is>
      </c>
      <c r="K661">
        <f>HYPERLINK("CSG0.html#group8A0", "8A⁰"), =HYPERLINK("CSG1.html#group28A1", "28A¹")</f>
        <v/>
      </c>
      <c r="L661">
        <f>HYPERLINK("CSG6.html#group56G6", "56G⁶"), =HYPERLINK("CSG7.html#group56D7", "56D⁷"), =HYPERLINK("CSG7.html#group112B7", "112B⁷"), =HYPERLINK("CSG7.html#group112D7", "112D⁷"), =HYPERLINK("CSG8.html#group56B8", "56B⁸"), =HYPERLINK("CSG10.html#group168D10", "168D¹⁰"), =HYPERLINK("CSG11.html#group56I11", "56I¹¹"), =HYPERLINK("CSG12.html#group56K12", "56K¹²"), =HYPERLINK("CSG14.html#group56F14", "56F¹⁴"), =HYPERLINK("CSG15.html#group56C15", "56C¹⁵"), =HYPERLINK("CSG18.html#group168D18", "168D¹⁸"), =HYPERLINK("CSG21.html#group280D21", "280D²¹")</f>
        <v/>
      </c>
      <c r="M661">
        <f>HYPERLINK("CSG0.html#group8A0", "8A⁰"), =HYPERLINK("CSG1.html#group28A1", "28A¹"), =HYPERLINK("CSG0.html#group1A0", "1A⁰"), =HYPERLINK("CSG0.html#group4A0", "4A⁰"), =HYPERLINK("CSG0.html#group7A0", "7A⁰")</f>
        <v/>
      </c>
      <c r="N661">
        <f>HYPERLINK("CSG24.html#group56M24", "56M²⁴"), =HYPERLINK("CSG23.html#group56J23", "56J²³"), =HYPERLINK("CSG23.html#group56B23", "56B²³"), =HYPERLINK("CSG24.html#group56J24", "56J²⁴"), =HYPERLINK("CSG16.html#group112A16", "112A¹⁶"), =HYPERLINK("CSG22.html#group56H22", "56H²²"), =HYPERLINK("CSG24.html#group336H24", "336H²⁴"), =HYPERLINK("CSG14.html#group56F14", "56F¹⁴"), =HYPERLINK("CSG24.html#group168F24", "168F²⁴"), =HYPERLINK("CSG24.html#group56H24", "56H²⁴"), =HYPERLINK("CSG24.html#group336F24", "336F²⁴"), =HYPERLINK("CSG7.html#group56D7", "56D⁷"), =HYPERLINK("CSG24.html#group56N24", "56N²⁴"), =HYPERLINK("CSG15.html#group56C15", "56C¹⁵"), =HYPERLINK("CSG22.html#group56L22", "56L²²"), =HYPERLINK("CSG10.html#group168D10", "168D¹⁰"), =HYPERLINK("CSG23.html#group56C23", "56C²³"), =HYPERLINK("CSG23.html#group168G23", "168G²³"), =HYPERLINK("CSG22.html#group168R22", "168R²²"), =HYPERLINK("CSG15.html#group112I15", "112I¹⁵"), =HYPERLINK("CSG22.html#group168H22", "168H²²"), =HYPERLINK("CSG16.html#group112B16", "112B¹⁶"), =HYPERLINK("CSG21.html#group280D21", "280D²¹"), =HYPERLINK("CSG18.html#group168D18", "168D¹⁸"), =HYPERLINK("CSG11.html#group56I11", "56I¹¹"), =HYPERLINK("CSG14.html#group112F14", "112F¹⁴"), =HYPERLINK("CSG24.html#group336B24", "336B²⁴"), =HYPERLINK("CSG24.html#group336D24", "336D²⁴"), =HYPERLINK("CSG6.html#group56G6", "56G⁶"), =HYPERLINK("CSG15.html#group56A15", "56A¹⁵"), =HYPERLINK("CSG7.html#group112B7", "112B⁷"), =HYPERLINK("CSG23.html#group168L23", "168L²³"), =HYPERLINK("CSG8.html#group56B8", "56B⁸"), =HYPERLINK("CSG7.html#group112D7", "112D⁷"), =HYPERLINK("CSG12.html#group56K12", "56K¹²")</f>
        <v/>
      </c>
    </row>
    <row r="662">
      <c r="A662" t="inlineStr">
        <is>
          <t>60A³</t>
        </is>
      </c>
      <c r="B662" t="inlineStr"/>
      <c r="C662" t="inlineStr">
        <is>
          <t>60</t>
        </is>
      </c>
      <c r="D662" t="inlineStr">
        <is>
          <t>2</t>
        </is>
      </c>
      <c r="E662" t="inlineStr">
        <is>
          <t>20</t>
        </is>
      </c>
      <c r="F662" t="inlineStr">
        <is>
          <t>6</t>
        </is>
      </c>
      <c r="G662" t="inlineStr">
        <is>
          <t>3</t>
        </is>
      </c>
      <c r="H662" t="inlineStr">
        <is>
          <t>60¹</t>
        </is>
      </c>
      <c r="I662" t="n">
        <v>1</v>
      </c>
      <c r="J662" t="inlineStr">
        <is>
          <t>4², 16²</t>
        </is>
      </c>
      <c r="K662">
        <f>HYPERLINK("CSG0.html#group15A0", "15A⁰"), =HYPERLINK("CSG1.html#group20A1", "20A¹")</f>
        <v/>
      </c>
      <c r="L662">
        <f>HYPERLINK("CSG7.html#group120A7", "120A⁷"), =HYPERLINK("CSG7.html#group120B7", "120B⁷"), =HYPERLINK("CSG8.html#group60F8", "60F⁸"), =HYPERLINK("CSG10.html#group60B10", "60B¹⁰"), =HYPERLINK("CSG13.html#group60G13", "60G¹³"), =HYPERLINK("CSG16.html#group60C16", "60C¹⁶"), =HYPERLINK("CSG16.html#group120E16", "120E¹⁶"), =HYPERLINK("CSG18.html#group60F18", "60F¹⁸"), =HYPERLINK("CSG18.html#group60I18", "60I¹⁸")</f>
        <v/>
      </c>
      <c r="M662">
        <f>HYPERLINK("CSG1.html#group20A1", "20A¹"), =HYPERLINK("CSG0.html#group5A0", "5A⁰"), =HYPERLINK("CSG0.html#group1A0", "1A⁰"), =HYPERLINK("CSG0.html#group4A0", "4A⁰"), =HYPERLINK("CSG0.html#group15A0", "15A⁰")</f>
        <v/>
      </c>
      <c r="N662">
        <f>HYPERLINK("CSG15.html#group240B15", "240B¹⁵"), =HYPERLINK("CSG7.html#group120A7", "120A⁷"), =HYPERLINK("CSG24.html#group60A24", "60A²⁴"), =HYPERLINK("CSG10.html#group60B10", "60B¹⁰"), =HYPERLINK("CSG8.html#group60F8", "60F⁸"), =HYPERLINK("CSG7.html#group120B7", "120B⁷"), =HYPERLINK("CSG15.html#group240A15", "240A¹⁵"), =HYPERLINK("CSG16.html#group60C16", "60C¹⁶"), =HYPERLINK("CSG18.html#group60I18", "60I¹⁸"), =HYPERLINK("CSG16.html#group120E16", "120E¹⁶"), =HYPERLINK("CSG22.html#group60B22", "60B²²"), =HYPERLINK("CSG16.html#group120D16", "120D¹⁶"), =HYPERLINK("CSG13.html#group60G13", "60G¹³"), =HYPERLINK("CSG18.html#group60F18", "60F¹⁸"), =HYPERLINK("CSG22.html#group60C22", "60C²²"), =HYPERLINK("CSG23.html#group60J23", "60J²³")</f>
        <v/>
      </c>
    </row>
    <row r="663">
      <c r="A663" t="inlineStr">
        <is>
          <t>60B³</t>
        </is>
      </c>
      <c r="B663" t="inlineStr"/>
      <c r="C663" t="inlineStr">
        <is>
          <t>72</t>
        </is>
      </c>
      <c r="D663" t="inlineStr">
        <is>
          <t>1</t>
        </is>
      </c>
      <c r="E663" t="inlineStr">
        <is>
          <t>24</t>
        </is>
      </c>
      <c r="F663" t="inlineStr">
        <is>
          <t>12</t>
        </is>
      </c>
      <c r="G663" t="inlineStr">
        <is>
          <t>0</t>
        </is>
      </c>
      <c r="H663" t="inlineStr">
        <is>
          <t>12¹, 60¹</t>
        </is>
      </c>
      <c r="I663" t="n">
        <v>2</v>
      </c>
      <c r="J663" t="inlineStr">
        <is>
          <t>2⁴, 8²</t>
        </is>
      </c>
      <c r="K663">
        <f>HYPERLINK("CSG0.html#group12A0", "12A⁰"), =HYPERLINK("CSG0.html#group15B0", "15B⁰"), =HYPERLINK("CSG1.html#group20B1", "20B¹")</f>
        <v/>
      </c>
      <c r="L663">
        <f>HYPERLINK("CSG5.html#group60C5", "60C⁵"), =HYPERLINK("CSG7.html#group60Q7", "60Q⁷"), =HYPERLINK("CSG7.html#group60R7", "60R⁷"), =HYPERLINK("CSG9.html#group60I9", "60I⁹"), =HYPERLINK("CSG9.html#group60J9", "60J⁹"), =HYPERLINK("CSG9.html#group120C9", "120C⁹"), =HYPERLINK("CSG9.html#group120D9", "120D⁹"), =HYPERLINK("CSG9.html#group120E9", "120E⁹"), =HYPERLINK("CSG9.html#group120F9", "120F⁹"), =HYPERLINK("CSG11.html#group60D11", "60D¹¹"), =HYPERLINK("CSG11.html#group60E11", "60E¹¹"), =HYPERLINK("CSG13.html#group60P13", "60P¹³"), =HYPERLINK("CSG13.html#group180B13", "180B¹³"), =HYPERLINK("CSG17.html#group120M17", "120M¹⁷")</f>
        <v/>
      </c>
      <c r="M663">
        <f>HYPERLINK("CSG0.html#group15B0", "15B⁰"), =HYPERLINK("CSG0.html#group12A0", "12A⁰"), =HYPERLINK("CSG0.html#group4A0", "4A⁰"), =HYPERLINK("CSG0.html#group5B0", "5B⁰"), =HYPERLINK("CSG0.html#group3A0", "3A⁰"), =HYPERLINK("CSG0.html#group1A0", "1A⁰"), =HYPERLINK("CSG1.html#group20B1", "20B¹")</f>
        <v/>
      </c>
      <c r="N663">
        <f>HYPERLINK("CSG11.html#group60E11", "60E¹¹"), =HYPERLINK("CSG9.html#group60J9", "60J⁹"), =HYPERLINK("CSG21.html#group60N21", "60N²¹"), =HYPERLINK("CSG17.html#group120J17", "120J¹⁷"), =HYPERLINK("CSG7.html#group60R7", "60R⁷"), =HYPERLINK("CSG21.html#group240C21", "240C²¹"), =HYPERLINK("CSG17.html#group60Y17", "60Y¹⁷"), =HYPERLINK("CSG21.html#group60L21", "60L²¹"), =HYPERLINK("CSG15.html#group60AE15", "60AE¹⁵"), =HYPERLINK("CSG21.html#group240A21", "240A²¹"), =HYPERLINK("CSG17.html#group120K17", "120K¹⁷"), =HYPERLINK("CSG9.html#group60I9", "60I⁹"), =HYPERLINK("CSG19.html#group120O19", "120O¹⁹"), =HYPERLINK("CSG23.html#group120B23", "120B²³"), =HYPERLINK("CSG17.html#group60W17", "60W¹⁷"), =HYPERLINK("CSG17.html#group120P17", "120P¹⁷"), =HYPERLINK("CSG21.html#group240B21", "240B²¹"), =HYPERLINK("CSG15.html#group60AG15", "60AG¹⁵"), =HYPERLINK("CSG19.html#group120N19", "120N¹⁹"), =HYPERLINK("CSG23.html#group120F23", "120F²³"), =HYPERLINK("CSG19.html#group120S19", "120S¹⁹"), =HYPERLINK("CSG21.html#group120H21", "120H²¹"), =HYPERLINK("CSG21.html#group60F21", "60F²¹"), =HYPERLINK("CSG23.html#group120I23", "120I²³"), =HYPERLINK("CSG21.html#group120N21", "120N²¹"), =HYPERLINK("CSG19.html#group120R19", "120R¹⁹"), =HYPERLINK("CSG21.html#group60M21", "60M²¹"), =HYPERLINK("CSG17.html#group60V17", "60V¹⁷"), =HYPERLINK("CSG19.html#group120G19", "120G¹⁹"), =HYPERLINK("CSG21.html#group120L21", "120L²¹"), =HYPERLINK("CSG21.html#group120K21", "120K²¹"), =HYPERLINK("CSG21.html#group120I21", "120I²¹"), =HYPERLINK("CSG21.html#group120G21", "120G²¹"), =HYPERLINK("CSG17.html#group120Q17", "120Q¹⁷"), =HYPERLINK("CSG19.html#group120I19", "120I¹⁹"), =HYPERLINK("CSG11.html#group60D11", "60D¹¹"), =HYPERLINK("CSG21.html#group240D21", "240D²¹"), =HYPERLINK("CSG5.html#group60C5", "60C⁵"), =HYPERLINK("CSG19.html#group120H19", "120H¹⁹"), =HYPERLINK("CSG17.html#group120M17", "120M¹⁷"), =HYPERLINK("CSG23.html#group120J23", "120J²³"), =HYPERLINK("CSG21.html#group60K21", "60K²¹"), =HYPERLINK("CSG23.html#group120A23", "120A²³"), =HYPERLINK("CSG9.html#group120E9", "120E⁹"), =HYPERLINK("CSG13.html#group60AK13", "60AK¹³"), =HYPERLINK("CSG19.html#group120Q19", "120Q¹⁹"), =HYPERLINK("CSG13.html#group60P13", "60P¹³"), =HYPERLINK("CSG9.html#group120D9", "120D⁹"), =HYPERLINK("CSG9.html#group120C9", "120C⁹"), =HYPERLINK("CSG23.html#group120E23", "120E²³"), =HYPERLINK("CSG13.html#group180B13", "180B¹³"), =HYPERLINK("CSG21.html#group120M21", "120M²¹"), =HYPERLINK("CSG17.html#group120L17", "120L¹⁷"), =HYPERLINK("CSG9.html#group120F9", "120F⁹"), =HYPERLINK("CSG17.html#group60U17", "60U¹⁷"), =HYPERLINK("CSG7.html#group60Q7", "60Q⁷"), =HYPERLINK("CSG17.html#group120I17", "120I¹⁷"), =HYPERLINK("CSG21.html#group60E21", "60E²¹"), =HYPERLINK("CSG19.html#group120J19", "120J¹⁹"), =HYPERLINK("CSG19.html#group120P19", "120P¹⁹"), =HYPERLINK("CSG21.html#group120J21", "120J²¹"), =HYPERLINK("CSG21.html#group60O21", "60O²¹")</f>
        <v/>
      </c>
    </row>
    <row r="664">
      <c r="A664" t="inlineStr">
        <is>
          <t>60C³</t>
        </is>
      </c>
      <c r="B664" t="inlineStr"/>
      <c r="C664" t="inlineStr">
        <is>
          <t>72</t>
        </is>
      </c>
      <c r="D664" t="inlineStr">
        <is>
          <t>2</t>
        </is>
      </c>
      <c r="E664" t="inlineStr">
        <is>
          <t>6</t>
        </is>
      </c>
      <c r="F664" t="inlineStr">
        <is>
          <t>12</t>
        </is>
      </c>
      <c r="G664" t="inlineStr">
        <is>
          <t>0</t>
        </is>
      </c>
      <c r="H664" t="inlineStr">
        <is>
          <t>12¹, 60¹</t>
        </is>
      </c>
      <c r="I664" t="n">
        <v>2</v>
      </c>
      <c r="J664" t="inlineStr">
        <is>
          <t>2², 8¹</t>
        </is>
      </c>
      <c r="K664">
        <f>HYPERLINK("CSG0.html#group30A0", "30A⁰"), =HYPERLINK("CSG1.html#group20C1", "20C¹")</f>
        <v/>
      </c>
      <c r="L664">
        <f>HYPERLINK("CSG7.html#group60S7", "60S⁷"), =HYPERLINK("CSG9.html#group60L9", "60L⁹"), =HYPERLINK("CSG11.html#group60A11", "60A¹¹"), =HYPERLINK("CSG13.html#group60AB13", "60AB¹³"), =HYPERLINK("CSG13.html#group180C13", "180C¹³"), =HYPERLINK("CSG15.html#group60AE15", "60AE¹⁵")</f>
        <v/>
      </c>
      <c r="M664">
        <f>HYPERLINK("CSG0.html#group30A0", "30A⁰"), =HYPERLINK("CSG0.html#group5B0", "5B⁰"), =HYPERLINK("CSG1.html#group20C1", "20C¹"), =HYPERLINK("CSG0.html#group15B0", "15B⁰"), =HYPERLINK("CSG0.html#group3A0", "3A⁰"), =HYPERLINK("CSG0.html#group1A0", "1A⁰"), =HYPERLINK("CSG0.html#group10B0", "10B⁰")</f>
        <v/>
      </c>
      <c r="N664">
        <f>HYPERLINK("CSG13.html#group60AB13", "60AB¹³"), =HYPERLINK("CSG9.html#group60L9", "60L⁹"), =HYPERLINK("CSG11.html#group60A11", "60A¹¹"), =HYPERLINK("CSG13.html#group180C13", "180C¹³"), =HYPERLINK("CSG15.html#group60AE15", "60AE¹⁵"), =HYPERLINK("CSG21.html#group60Q21", "60Q²¹"), =HYPERLINK("CSG17.html#group60X17", "60X¹⁷"), =HYPERLINK("CSG21.html#group60D21", "60D²¹"), =HYPERLINK("CSG7.html#group60S7", "60S⁷")</f>
        <v/>
      </c>
    </row>
    <row r="665">
      <c r="A665" t="inlineStr">
        <is>
          <t>60D³</t>
        </is>
      </c>
      <c r="B665" t="inlineStr"/>
      <c r="C665" t="inlineStr">
        <is>
          <t>72</t>
        </is>
      </c>
      <c r="D665" t="inlineStr">
        <is>
          <t>2</t>
        </is>
      </c>
      <c r="E665" t="inlineStr">
        <is>
          <t>18</t>
        </is>
      </c>
      <c r="F665" t="inlineStr">
        <is>
          <t>12</t>
        </is>
      </c>
      <c r="G665" t="inlineStr">
        <is>
          <t>0</t>
        </is>
      </c>
      <c r="H665" t="inlineStr">
        <is>
          <t>12¹, 60¹</t>
        </is>
      </c>
      <c r="I665" t="n">
        <v>2</v>
      </c>
      <c r="J665" t="inlineStr">
        <is>
          <t>2², 4², 8¹, 16¹</t>
        </is>
      </c>
      <c r="K665">
        <f>HYPERLINK("CSG0.html#group30A0", "30A⁰")</f>
        <v/>
      </c>
      <c r="L665">
        <f>HYPERLINK("CSG7.html#group60M7", "60M⁷"), =HYPERLINK("CSG7.html#group60N7", "60N⁷"), =HYPERLINK("CSG7.html#group60S7", "60S⁷"), =HYPERLINK("CSG9.html#group60K9", "60K⁹"), =HYPERLINK("CSG9.html#group60L9", "60L⁹"), =HYPERLINK("CSG11.html#group60C11", "60C¹¹"), =HYPERLINK("CSG13.html#group60AG13", "60AG¹³"), =HYPERLINK("CSG13.html#group180D13", "180D¹³"), =HYPERLINK("CSG13.html#group180E13", "180E¹³"), =HYPERLINK("CSG13.html#group180F13", "180F¹³"), =HYPERLINK("CSG15.html#group60AG15", "60AG¹⁵")</f>
        <v/>
      </c>
      <c r="M665">
        <f>HYPERLINK("CSG0.html#group30A0", "30A⁰"), =HYPERLINK("CSG0.html#group5B0", "5B⁰"), =HYPERLINK("CSG0.html#group15B0", "15B⁰"), =HYPERLINK("CSG0.html#group3A0", "3A⁰"), =HYPERLINK("CSG0.html#group1A0", "1A⁰"), =HYPERLINK("CSG0.html#group10B0", "10B⁰")</f>
        <v/>
      </c>
      <c r="N665">
        <f>HYPERLINK("CSG11.html#group60C11", "60C¹¹"), =HYPERLINK("CSG9.html#group60L9", "60L⁹"), =HYPERLINK("CSG13.html#group180E13", "180E¹³"), =HYPERLINK("CSG9.html#group60K9", "60K⁹"), =HYPERLINK("CSG13.html#group180F13", "180F¹³"), =HYPERLINK("CSG15.html#group60AG15", "60AG¹⁵"), =HYPERLINK("CSG17.html#group60X17", "60X¹⁷"), =HYPERLINK("CSG7.html#group60N7", "60N⁷"), =HYPERLINK("CSG13.html#group60AG13", "60AG¹³"), =HYPERLINK("CSG7.html#group60M7", "60M⁷"), =HYPERLINK("CSG13.html#group180D13", "180D¹³"), =HYPERLINK("CSG21.html#group60Q21", "60Q²¹"), =HYPERLINK("CSG21.html#group60D21", "60D²¹"), =HYPERLINK("CSG21.html#group60C21", "60C²¹"), =HYPERLINK("CSG7.html#group60S7", "60S⁷")</f>
        <v/>
      </c>
    </row>
    <row r="666">
      <c r="A666" t="inlineStr">
        <is>
          <t>64A³</t>
        </is>
      </c>
      <c r="B666" t="inlineStr"/>
      <c r="C666" t="inlineStr">
        <is>
          <t>96</t>
        </is>
      </c>
      <c r="D666" t="inlineStr">
        <is>
          <t>1</t>
        </is>
      </c>
      <c r="E666" t="inlineStr">
        <is>
          <t>12</t>
        </is>
      </c>
      <c r="F666" t="inlineStr">
        <is>
          <t>0</t>
        </is>
      </c>
      <c r="G666" t="inlineStr">
        <is>
          <t>0</t>
        </is>
      </c>
      <c r="H666" t="inlineStr">
        <is>
          <t>1⁸, 4², 16¹, 64¹</t>
        </is>
      </c>
      <c r="I666" t="n">
        <v>12</v>
      </c>
      <c r="J666" t="inlineStr">
        <is>
          <t>1⁴, 2², 4¹</t>
        </is>
      </c>
      <c r="K666">
        <f>HYPERLINK("CSG1.html#group32A1", "32A¹")</f>
        <v/>
      </c>
      <c r="L666">
        <f>HYPERLINK("CSG5.html#group64C5", "64C⁵"), =HYPERLINK("CSG7.html#group128A7", "128A⁷"), =HYPERLINK("CSG9.html#group64B9", "64B⁹"), =HYPERLINK("CSG9.html#group64D9", "64D⁹"), =HYPERLINK("CSG11.html#group128A11", "128A¹¹"), =HYPERLINK("CSG19.html#group192A19", "192A¹⁹"), =HYPERLINK("CSG21.html#group192O21", "192O²¹")</f>
        <v/>
      </c>
      <c r="M666">
        <f>HYPERLINK("CSG0.html#group8C0", "8C⁰"), =HYPERLINK("CSG0.html#group2B0", "2B⁰"), =HYPERLINK("CSG1.html#group32A1", "32A¹"), =HYPERLINK("CSG0.html#group4B0", "4B⁰"), =HYPERLINK("CSG0.html#group1A0", "1A⁰"), =HYPERLINK("CSG0.html#group16C0", "16C⁰")</f>
        <v/>
      </c>
      <c r="N666">
        <f>HYPERLINK("CSG19.html#group192A19", "192A¹⁹"), =HYPERLINK("CSG9.html#group64D9", "64D⁹"), =HYPERLINK("CSG17.html#group128A17", "128A¹⁷"), =HYPERLINK("CSG21.html#group64F21", "64F²¹"), =HYPERLINK("CSG21.html#group64A21", "64A²¹"), =HYPERLINK("CSG5.html#group64C5", "64C⁵"), =HYPERLINK("CSG7.html#group128A7", "128A⁷"), =HYPERLINK("CSG21.html#group128D21", "128D²¹"), =HYPERLINK("CSG21.html#group64J21", "64J²¹"), =HYPERLINK("CSG11.html#group128A11", "128A¹¹"), =HYPERLINK("CSG19.html#group256B19", "256B¹⁹"), =HYPERLINK("CSG21.html#group128E21", "128E²¹"), =HYPERLINK("CSG19.html#group256A19", "256A¹⁹"), =HYPERLINK("CSG17.html#group64A17", "64A¹⁷"), =HYPERLINK("CSG13.html#group64W13", "64W¹³"), =HYPERLINK("CSG21.html#group192O21", "192O²¹"), =HYPERLINK("CSG13.html#group128E13", "128E¹³"), =HYPERLINK("CSG21.html#group128A21", "128A²¹"), =HYPERLINK("CSG9.html#group64B9", "64B⁹")</f>
        <v/>
      </c>
    </row>
    <row r="667">
      <c r="A667" t="inlineStr">
        <is>
          <t>64B³</t>
        </is>
      </c>
      <c r="B667" t="inlineStr">
        <is>
          <t>Γ₀(64)</t>
        </is>
      </c>
      <c r="C667" t="inlineStr">
        <is>
          <t>96</t>
        </is>
      </c>
      <c r="D667" t="inlineStr">
        <is>
          <t>1</t>
        </is>
      </c>
      <c r="E667" t="inlineStr">
        <is>
          <t>12</t>
        </is>
      </c>
      <c r="F667" t="inlineStr">
        <is>
          <t>0</t>
        </is>
      </c>
      <c r="G667" t="inlineStr">
        <is>
          <t>0</t>
        </is>
      </c>
      <c r="H667" t="inlineStr">
        <is>
          <t>1⁸, 4², 16¹, 64¹</t>
        </is>
      </c>
      <c r="I667" t="n">
        <v>12</v>
      </c>
      <c r="J667" t="inlineStr">
        <is>
          <t>1⁴, 2², 4¹</t>
        </is>
      </c>
      <c r="K667">
        <f>HYPERLINK("CSG1.html#group32A1", "32A¹")</f>
        <v/>
      </c>
      <c r="L667">
        <f>HYPERLINK("CSG5.html#group64C5", "64C⁵"), =HYPERLINK("CSG9.html#group64C9", "64C⁹"), =HYPERLINK("CSG9.html#group64E9", "64E⁹"), =HYPERLINK("CSG9.html#group128A9", "128A⁹"), =HYPERLINK("CSG9.html#group128B9", "128B⁹"), =HYPERLINK("CSG19.html#group192B19", "192B¹⁹"), =HYPERLINK("CSG21.html#group192P21", "192P²¹")</f>
        <v/>
      </c>
      <c r="M667">
        <f>HYPERLINK("CSG0.html#group8C0", "8C⁰"), =HYPERLINK("CSG0.html#group2B0", "2B⁰"), =HYPERLINK("CSG1.html#group32A1", "32A¹"), =HYPERLINK("CSG0.html#group4B0", "4B⁰"), =HYPERLINK("CSG0.html#group1A0", "1A⁰"), =HYPERLINK("CSG0.html#group16C0", "16C⁰")</f>
        <v/>
      </c>
      <c r="N667">
        <f>HYPERLINK("CSG9.html#group64C9", "64C⁹"), =HYPERLINK("CSG21.html#group256B21", "256B²¹"), =HYPERLINK("CSG21.html#group192P21", "192P²¹"), =HYPERLINK("CSG17.html#group128A17", "128A¹⁷"), =HYPERLINK("CSG21.html#group64F21", "64F²¹"), =HYPERLINK("CSG5.html#group64C5", "64C⁵"), =HYPERLINK("CSG9.html#group128B9", "128B⁹"), =HYPERLINK("CSG21.html#group64B21", "64B²¹"), =HYPERLINK("CSG9.html#group64E9", "64E⁹"), =HYPERLINK("CSG17.html#group64A17", "64A¹⁷"), =HYPERLINK("CSG21.html#group128C21", "128C²¹"), =HYPERLINK("CSG13.html#group64W13", "64W¹³"), =HYPERLINK("CSG21.html#group256A21", "256A²¹"), =HYPERLINK("CSG13.html#group128E13", "128E¹³"), =HYPERLINK("CSG9.html#group128A9", "128A⁹"), =HYPERLINK("CSG21.html#group128F21", "128F²¹"), =HYPERLINK("CSG21.html#group128A21", "128A²¹"), =HYPERLINK("CSG21.html#group64K21", "64K²¹"), =HYPERLINK("CSG19.html#group192B19", "192B¹⁹"), =HYPERLINK("CSG21.html#group128B21", "128B²¹")</f>
        <v/>
      </c>
    </row>
    <row r="668">
      <c r="A668" t="inlineStr">
        <is>
          <t>66A³</t>
        </is>
      </c>
      <c r="B668" t="inlineStr"/>
      <c r="C668" t="inlineStr">
        <is>
          <t>66</t>
        </is>
      </c>
      <c r="D668" t="inlineStr">
        <is>
          <t>2</t>
        </is>
      </c>
      <c r="E668" t="inlineStr">
        <is>
          <t>33</t>
        </is>
      </c>
      <c r="F668" t="inlineStr">
        <is>
          <t>12</t>
        </is>
      </c>
      <c r="G668" t="inlineStr">
        <is>
          <t>0</t>
        </is>
      </c>
      <c r="H668" t="inlineStr">
        <is>
          <t>66¹</t>
        </is>
      </c>
      <c r="I668" t="n">
        <v>1</v>
      </c>
      <c r="J668" t="inlineStr">
        <is>
          <t>2¹, 4¹, 10², 20²</t>
        </is>
      </c>
      <c r="K668">
        <f>HYPERLINK("CSG0.html#group6B0", "6B⁰"), =HYPERLINK("CSG1.html#group33A1", "33A¹")</f>
        <v/>
      </c>
      <c r="L668">
        <f>HYPERLINK("CSG8.html#group66B8", "66B⁸"), =HYPERLINK("CSG11.html#group66A11", "66A¹¹"), =HYPERLINK("CSG11.html#group198A11", "198A¹¹"), =HYPERLINK("CSG11.html#group198B11", "198B¹¹"), =HYPERLINK("CSG13.html#group66B13", "66B¹³"), =HYPERLINK("CSG14.html#group198A14", "198A¹⁴"), =HYPERLINK("CSG14.html#group198B14", "198B¹⁴"), =HYPERLINK("CSG16.html#group132D16", "132D¹⁶"), =HYPERLINK("CSG23.html#group66A23", "66A²³")</f>
        <v/>
      </c>
      <c r="M668">
        <f>HYPERLINK("CSG0.html#group11A0", "11A⁰"), =HYPERLINK("CSG0.html#group6B0", "6B⁰"), =HYPERLINK("CSG0.html#group3A0", "3A⁰"), =HYPERLINK("CSG0.html#group1A0", "1A⁰"), =HYPERLINK("CSG1.html#group33A1", "33A¹")</f>
        <v/>
      </c>
      <c r="N668">
        <f>HYPERLINK("CSG16.html#group132D16", "132D¹⁶"), =HYPERLINK("CSG13.html#group66B13", "66B¹³"), =HYPERLINK("CSG19.html#group132A19", "132A¹⁹"), =HYPERLINK("CSG14.html#group198A14", "198A¹⁴"), =HYPERLINK("CSG11.html#group66A11", "66A¹¹"), =HYPERLINK("CSG8.html#group66B8", "66B⁸"), =HYPERLINK("CSG11.html#group198A11", "198A¹¹"), =HYPERLINK("CSG11.html#group198B11", "198B¹¹"), =HYPERLINK("CSG24.html#group198A24", "198A²⁴"), =HYPERLINK("CSG21.html#group66A21", "66A²¹"), =HYPERLINK("CSG14.html#group198B14", "198B¹⁴"), =HYPERLINK("CSG23.html#group66A23", "66A²³")</f>
        <v/>
      </c>
    </row>
    <row r="669">
      <c r="A669" t="inlineStr">
        <is>
          <t>72A³</t>
        </is>
      </c>
      <c r="B669" t="inlineStr"/>
      <c r="C669" t="inlineStr">
        <is>
          <t>144</t>
        </is>
      </c>
      <c r="D669" t="inlineStr">
        <is>
          <t>1</t>
        </is>
      </c>
      <c r="E669" t="inlineStr">
        <is>
          <t>12</t>
        </is>
      </c>
      <c r="F669" t="inlineStr">
        <is>
          <t>0</t>
        </is>
      </c>
      <c r="G669" t="inlineStr">
        <is>
          <t>0</t>
        </is>
      </c>
      <c r="H669" t="inlineStr">
        <is>
          <t>1¹², 8³, 9⁴, 72¹</t>
        </is>
      </c>
      <c r="I669" t="n">
        <v>20</v>
      </c>
      <c r="J669" t="inlineStr">
        <is>
          <t>1⁶, 2³</t>
        </is>
      </c>
      <c r="K669">
        <f>HYPERLINK("CSG0.html#group24B0", "24B⁰"), =HYPERLINK("CSG1.html#group36C1", "36C¹")</f>
        <v/>
      </c>
      <c r="L669">
        <f>HYPERLINK("CSG9.html#group72I9", "72I⁹"), =HYPERLINK("CSG13.html#group72Q13", "72Q¹³"), =HYPERLINK("CSG17.html#group72Y17", "72Y¹⁷"), =HYPERLINK("CSG17.html#group216A17", "216A¹⁷"), =HYPERLINK("CSG22.html#group72L22", "72L²²"), =HYPERLINK("CSG22.html#group216C22", "216C²²")</f>
        <v/>
      </c>
      <c r="M669">
        <f>HYPERLINK("CSG0.html#group3B0", "3B⁰"), =HYPERLINK("CSG0.html#group18E0", "18E⁰"), =HYPERLINK("CSG0.html#group24B0", "24B⁰"), =HYPERLINK("CSG0.html#group9B0", "9B⁰"), =HYPERLINK("CSG0.html#group1A0", "1A⁰"), =HYPERLINK("CSG0.html#group2B0", "2B⁰"), =HYPERLINK("CSG1.html#group36C1", "36C¹"), =HYPERLINK("CSG0.html#group4B0", "4B⁰"), =HYPERLINK("CSG0.html#group6F0", "6F⁰"), =HYPERLINK("CSG0.html#group12E0", "12E⁰")</f>
        <v/>
      </c>
      <c r="N669">
        <f>HYPERLINK("CSG22.html#group216C22", "216C²²"), =HYPERLINK("CSG17.html#group72Y17", "72Y¹⁷"), =HYPERLINK("CSG17.html#group216A17", "216A¹⁷"), =HYPERLINK("CSG22.html#group72L22", "72L²²"), =HYPERLINK("CSG13.html#group72Q13", "72Q¹³"), =HYPERLINK("CSG9.html#group72I9", "72I⁹")</f>
        <v/>
      </c>
    </row>
    <row r="670">
      <c r="A670" t="inlineStr">
        <is>
          <t>84A³</t>
        </is>
      </c>
      <c r="B670" t="inlineStr"/>
      <c r="C670" t="inlineStr">
        <is>
          <t>84</t>
        </is>
      </c>
      <c r="D670" t="inlineStr">
        <is>
          <t>2</t>
        </is>
      </c>
      <c r="E670" t="inlineStr">
        <is>
          <t>28</t>
        </is>
      </c>
      <c r="F670" t="inlineStr">
        <is>
          <t>18</t>
        </is>
      </c>
      <c r="G670" t="inlineStr">
        <is>
          <t>0</t>
        </is>
      </c>
      <c r="H670" t="inlineStr">
        <is>
          <t>84¹</t>
        </is>
      </c>
      <c r="I670" t="n">
        <v>1</v>
      </c>
      <c r="J670" t="inlineStr">
        <is>
          <t>4², 12⁴</t>
        </is>
      </c>
      <c r="K670">
        <f>HYPERLINK("CSG0.html#group12A0", "12A⁰"), =HYPERLINK("CSG0.html#group21A0", "21A⁰"), =HYPERLINK("CSG1.html#group28A1", "28A¹")</f>
        <v/>
      </c>
      <c r="L670">
        <f>HYPERLINK("CSG8.html#group84H8", "84H⁸"), =HYPERLINK("CSG8.html#group84I8", "84I⁸"), =HYPERLINK("CSG9.html#group84E9", "84E⁹"), =HYPERLINK("CSG10.html#group84F10", "84F¹⁰"), =HYPERLINK("CSG10.html#group168A10", "168A¹⁰"), =HYPERLINK("CSG10.html#group168B10", "168B¹⁰"), =HYPERLINK("CSG10.html#group168C10", "168C¹⁰"), =HYPERLINK("CSG10.html#group168D10", "168D¹⁰"), =HYPERLINK("CSG10.html#group168E10", "168E¹⁰"), =HYPERLINK("CSG10.html#group168F10", "168F¹⁰"), =HYPERLINK("CSG10.html#group168G10", "168G¹⁰"), =HYPERLINK("CSG10.html#group168H10", "168H¹⁰"), =HYPERLINK("CSG11.html#group84D11", "84D¹¹"), =HYPERLINK("CSG11.html#group84G11", "84G¹¹"), =HYPERLINK("CSG13.html#group84J13", "84J¹³"), =HYPERLINK("CSG14.html#group84A14", "84A¹⁴"), =HYPERLINK("CSG14.html#group252A14", "252A¹⁴"), =HYPERLINK("CSG16.html#group84B16", "84B¹⁶"), =HYPERLINK("CSG19.html#group168C19", "168C¹⁹"), =HYPERLINK("CSG21.html#group84M21", "84M²¹")</f>
        <v/>
      </c>
      <c r="M670">
        <f>HYPERLINK("CSG0.html#group12A0", "12A⁰"), =HYPERLINK("CSG0.html#group4A0", "4A⁰"), =HYPERLINK("CSG0.html#group21A0", "21A⁰"), =HYPERLINK("CSG0.html#group3A0", "3A⁰"), =HYPERLINK("CSG1.html#group28A1", "28A¹"), =HYPERLINK("CSG0.html#group1A0", "1A⁰"), =HYPERLINK("CSG0.html#group7A0", "7A⁰")</f>
        <v/>
      </c>
      <c r="N670">
        <f>HYPERLINK("CSG23.html#group168O23", "168O²³"), =HYPERLINK("CSG22.html#group168N22", "168N²²"), =HYPERLINK("CSG24.html#group336A24", "336A²⁴"), =HYPERLINK("CSG24.html#group168H24", "168H²⁴"), =HYPERLINK("CSG24.html#group336E24", "336E²⁴"), =HYPERLINK("CSG10.html#group168B10", "168B¹⁰"), =HYPERLINK("CSG11.html#group84G11", "84G¹¹"), =HYPERLINK("CSG19.html#group168C19", "168C¹⁹"), =HYPERLINK("CSG24.html#group168C24", "168C²⁴"), =HYPERLINK("CSG14.html#group84A14", "84A¹⁴"), =HYPERLINK("CSG14.html#group252A14", "252A¹⁴"), =HYPERLINK("CSG21.html#group84M21", "84M²¹"), =HYPERLINK("CSG24.html#group336H24", "336H²⁴"), =HYPERLINK("CSG24.html#group168G24", "168G²⁴"), =HYPERLINK("CSG23.html#group168M23", "168M²³"), =HYPERLINK("CSG24.html#group168F24", "168F²⁴"), =HYPERLINK("CSG21.html#group84P21", "84P²¹"), =HYPERLINK("CSG10.html#group168C10", "168C¹⁰"), =HYPERLINK("CSG8.html#group84H8", "84H⁸"), =HYPERLINK("CSG22.html#group168L22", "168L²²"), =HYPERLINK("CSG24.html#group168I24", "168I²⁴"), =HYPERLINK("CSG24.html#group336F24", "336F²⁴"), =HYPERLINK("CSG23.html#group168I23", "168I²³"), =HYPERLINK("CSG21.html#group84O21", "84O²¹"), =HYPERLINK("CSG23.html#group84E23", "84E²³"), =HYPERLINK("CSG22.html#group168G22", "168G²²"), =HYPERLINK("CSG9.html#group84E9", "84E⁹"), =HYPERLINK("CSG10.html#group168D10", "168D¹⁰"), =HYPERLINK("CSG22.html#group168R22", "168R²²"), =HYPERLINK("CSG22.html#group168H22", "168H²²"), =HYPERLINK("CSG13.html#group84J13", "84J¹³"), =HYPERLINK("CSG22.html#group168K22", "168K²²"), =HYPERLINK("CSG24.html#group168E24", "168E²⁴"), =HYPERLINK("CSG22.html#group168P22", "168P²²"), =HYPERLINK("CSG8.html#group84I8", "84I⁸"), =HYPERLINK("CSG24.html#group336B24", "336B²⁴"), =HYPERLINK("CSG22.html#group168I22", "168I²²"), =HYPERLINK("CSG22.html#group168O22", "168O²²"), =HYPERLINK("CSG23.html#group84D23", "84D²³"), =HYPERLINK("CSG24.html#group168J24", "168J²⁴"), =HYPERLINK("CSG24.html#group168D24", "168D²⁴"), =HYPERLINK("CSG11.html#group84D11", "84D¹¹"), =HYPERLINK("CSG23.html#group84C23", "84C²³"), =HYPERLINK("CSG16.html#group84B16", "84B¹⁶"), =HYPERLINK("CSG23.html#group168N23", "168N²³"), =HYPERLINK("CSG23.html#group168P23", "168P²³"), =HYPERLINK("CSG23.html#group168J23", "168J²³"), =HYPERLINK("CSG24.html#group336D24", "336D²⁴"), =HYPERLINK("CSG10.html#group168G10", "168G¹⁰"), =HYPERLINK("CSG24.html#group336C24", "336C²⁴"), =HYPERLINK("CSG10.html#group168F10", "168F¹⁰"), =HYPERLINK("CSG21.html#group84N21", "84N²¹"), =HYPERLINK("CSG23.html#group168L23", "168L²³"), =HYPERLINK("CSG10.html#group168E10", "168E¹⁰"), =HYPERLINK("CSG10.html#group168H10", "168H¹⁰"), =HYPERLINK("CSG10.html#group84F10", "84F¹⁰"), =HYPERLINK("CSG22.html#group168J22", "168J²²"), =HYPERLINK("CSG22.html#group168M22", "168M²²"), =HYPERLINK("CSG10.html#group168A10", "168A¹⁰"), =HYPERLINK("CSG19.html#group84L19", "84L¹⁹"), =HYPERLINK("CSG22.html#group168Q22", "168Q²²"), =HYPERLINK("CSG24.html#group336G24", "336G²⁴"), =HYPERLINK("CSG23.html#group168K23", "168K²³")</f>
        <v/>
      </c>
    </row>
    <row r="671">
      <c r="A671" t="inlineStr">
        <is>
          <t>96A³</t>
        </is>
      </c>
      <c r="B671" t="inlineStr"/>
      <c r="C671" t="inlineStr">
        <is>
          <t>144</t>
        </is>
      </c>
      <c r="D671" t="inlineStr">
        <is>
          <t>1</t>
        </is>
      </c>
      <c r="E671" t="inlineStr">
        <is>
          <t>12</t>
        </is>
      </c>
      <c r="F671" t="inlineStr">
        <is>
          <t>36</t>
        </is>
      </c>
      <c r="G671" t="inlineStr">
        <is>
          <t>0</t>
        </is>
      </c>
      <c r="H671" t="inlineStr">
        <is>
          <t>48¹, 96¹</t>
        </is>
      </c>
      <c r="I671" t="n">
        <v>2</v>
      </c>
      <c r="J671" t="inlineStr">
        <is>
          <t>2⁶</t>
        </is>
      </c>
      <c r="K671">
        <f>HYPERLINK("CSG0.html#group48A0", "48A⁰"), =HYPERLINK("CSG1.html#group32B1", "32B¹")</f>
        <v/>
      </c>
      <c r="L671">
        <f>HYPERLINK("CSG11.html#group96I11", "96I¹¹"), =HYPERLINK("CSG11.html#group96J11", "96J¹¹"), =HYPERLINK("CSG11.html#group96K11", "96K¹¹"), =HYPERLINK("CSG13.html#group96G13", "96G¹³"), =HYPERLINK("CSG13.html#group96H13", "96H¹³"), =HYPERLINK("CSG15.html#group96R15", "96R¹⁵"), =HYPERLINK("CSG15.html#group96W15", "96W¹⁵"), =HYPERLINK("CSG17.html#group96D17", "96D¹⁷"), =HYPERLINK("CSG17.html#group96Q17", "96Q¹⁷"), =HYPERLINK("CSG17.html#group96AB17", "96AB¹⁷"), =HYPERLINK("CSG21.html#group288A21", "288A²¹"), =HYPERLINK("CSG23.html#group96G23", "96G²³")</f>
        <v/>
      </c>
      <c r="M671">
        <f>HYPERLINK("CSG0.html#group16B0", "16B⁰"), =HYPERLINK("CSG0.html#group12C0", "12C⁰"), =HYPERLINK("CSG0.html#group24A0", "24A⁰"), =HYPERLINK("CSG0.html#group4C0", "4C⁰"), =HYPERLINK("CSG0.html#group8B0", "8B⁰"), =HYPERLINK("CSG0.html#group48A0", "48A⁰"), =HYPERLINK("CSG1.html#group32B1", "32B¹"), =HYPERLINK("CSG0.html#group2B0", "2B⁰"), =HYPERLINK("CSG0.html#group3A0", "3A⁰"), =HYPERLINK("CSG0.html#group1A0", "1A⁰"), =HYPERLINK("CSG0.html#group6D0", "6D⁰")</f>
        <v/>
      </c>
      <c r="N671">
        <f>HYPERLINK("CSG15.html#group96R15", "96R¹⁵"), =HYPERLINK("CSG13.html#group96G13", "96G¹³"), =HYPERLINK("CSG17.html#group96D17", "96D¹⁷"), =HYPERLINK("CSG13.html#group96H13", "96H¹³"), =HYPERLINK("CSG11.html#group96K11", "96K¹¹"), =HYPERLINK("CSG21.html#group288A21", "288A²¹"), =HYPERLINK("CSG23.html#group96G23", "96G²³"), =HYPERLINK("CSG11.html#group96I11", "96I¹¹"), =HYPERLINK("CSG11.html#group96J11", "96J¹¹"), =HYPERLINK("CSG15.html#group96W15", "96W¹⁵"), =HYPERLINK("CSG17.html#group96Q17", "96Q¹⁷"), =HYPERLINK("CSG17.html#group96AB17", "96AB¹⁷")</f>
        <v/>
      </c>
    </row>
    <row r="672">
      <c r="A672" t="inlineStr">
        <is>
          <t>9A⁴</t>
        </is>
      </c>
      <c r="B672" t="inlineStr"/>
      <c r="C672" t="inlineStr">
        <is>
          <t>108</t>
        </is>
      </c>
      <c r="D672" t="inlineStr">
        <is>
          <t>1</t>
        </is>
      </c>
      <c r="E672" t="inlineStr">
        <is>
          <t>3</t>
        </is>
      </c>
      <c r="F672" t="inlineStr">
        <is>
          <t>0</t>
        </is>
      </c>
      <c r="G672" t="inlineStr">
        <is>
          <t>0</t>
        </is>
      </c>
      <c r="H672" t="inlineStr">
        <is>
          <t>9¹²</t>
        </is>
      </c>
      <c r="I672" t="n">
        <v>12</v>
      </c>
      <c r="J672" t="inlineStr">
        <is>
          <t>1¹, 2¹</t>
        </is>
      </c>
      <c r="K672">
        <f>HYPERLINK("CSG0.html#group9H0", "9H⁰"), =HYPERLINK("CSG1.html#group9F1", "9F¹"), =HYPERLINK("CSG2.html#group9A2", "9A²"), =HYPERLINK("CSG2.html#group9B2", "9B²")</f>
        <v/>
      </c>
      <c r="L672">
        <f>HYPERLINK("CSG10.html#group9A10", "9A¹⁰"), =HYPERLINK("CSG13.html#group18A13", "18A¹³"), =HYPERLINK("CSG16.html#group18A16", "18A¹⁶"), =HYPERLINK("CSG16.html#group27A16", "27A¹⁶"), =HYPERLINK("CSG22.html#group27B22", "27B²²")</f>
        <v/>
      </c>
      <c r="M672">
        <f>HYPERLINK("CSG0.html#group3B0", "3B⁰"), =HYPERLINK("CSG0.html#group9D0", "9D⁰"), =HYPERLINK("CSG2.html#group9A2", "9A²"), =HYPERLINK("CSG0.html#group9A0", "9A⁰"), =HYPERLINK("CSG0.html#group9G0", "9G⁰"), =HYPERLINK("CSG0.html#group3C0", "3C⁰"), =HYPERLINK("CSG0.html#group9H0", "9H⁰"), =HYPERLINK("CSG2.html#group9B2", "9B²"), =HYPERLINK("CSG0.html#group9E0", "9E⁰"), =HYPERLINK("CSG0.html#group3A0", "3A⁰"), =HYPERLINK("CSG0.html#group1A0", "1A⁰"), =HYPERLINK("CSG1.html#group9B1", "9B¹"), =HYPERLINK("CSG0.html#group3D0", "3D⁰"), =HYPERLINK("CSG1.html#group9F1", "9F¹")</f>
        <v/>
      </c>
      <c r="N672">
        <f>HYPERLINK("CSG10.html#group9A10", "9A¹⁰"), =HYPERLINK("CSG13.html#group18A13", "18A¹³"), =HYPERLINK("CSG16.html#group18A16", "18A¹⁶"), =HYPERLINK("CSG16.html#group27A16", "27A¹⁶"), =HYPERLINK("CSG22.html#group27B22", "27B²²")</f>
        <v/>
      </c>
    </row>
    <row r="673">
      <c r="A673" t="inlineStr">
        <is>
          <t>9B⁴</t>
        </is>
      </c>
      <c r="B673" t="inlineStr"/>
      <c r="C673" t="inlineStr">
        <is>
          <t>108</t>
        </is>
      </c>
      <c r="D673" t="inlineStr">
        <is>
          <t>1</t>
        </is>
      </c>
      <c r="E673" t="inlineStr">
        <is>
          <t>6</t>
        </is>
      </c>
      <c r="F673" t="inlineStr">
        <is>
          <t>0</t>
        </is>
      </c>
      <c r="G673" t="inlineStr">
        <is>
          <t>0</t>
        </is>
      </c>
      <c r="H673" t="inlineStr">
        <is>
          <t>9¹²</t>
        </is>
      </c>
      <c r="I673" t="n">
        <v>12</v>
      </c>
      <c r="J673" t="inlineStr">
        <is>
          <t>1², 2²</t>
        </is>
      </c>
      <c r="K673">
        <f>HYPERLINK("CSG0.html#group9H0", "9H⁰"), =HYPERLINK("CSG1.html#group9C1", "9C¹"), =HYPERLINK("CSG1.html#group9E1", "9E¹"), =HYPERLINK("CSG2.html#group9A2", "9A²")</f>
        <v/>
      </c>
      <c r="L673">
        <f>HYPERLINK("CSG10.html#group9A10", "9A¹⁰"), =HYPERLINK("CSG13.html#group18C13", "18C¹³"), =HYPERLINK("CSG16.html#group18B16", "18B¹⁶"), =HYPERLINK("CSG16.html#group27B16", "27B¹⁶"), =HYPERLINK("CSG19.html#group27E19", "27E¹⁹"), =HYPERLINK("CSG22.html#group27A22", "27A²²")</f>
        <v/>
      </c>
      <c r="M673">
        <f>HYPERLINK("CSG0.html#group3B0", "3B⁰"), =HYPERLINK("CSG0.html#group9D0", "9D⁰"), =HYPERLINK("CSG2.html#group9A2", "9A²"), =HYPERLINK("CSG0.html#group9A0", "9A⁰"), =HYPERLINK("CSG1.html#group9A1", "9A¹"), =HYPERLINK("CSG0.html#group9C0", "9C⁰"), =HYPERLINK("CSG0.html#group9B0", "9B⁰"), =HYPERLINK("CSG0.html#group3C0", "3C⁰"), =HYPERLINK("CSG1.html#group9E1", "9E¹"), =HYPERLINK("CSG1.html#group9C1", "9C¹"), =HYPERLINK("CSG0.html#group9H0", "9H⁰"), =HYPERLINK("CSG0.html#group9E0", "9E⁰"), =HYPERLINK("CSG0.html#group3A0", "3A⁰"), =HYPERLINK("CSG0.html#group1A0", "1A⁰"), =HYPERLINK("CSG1.html#group9B1", "9B¹"), =HYPERLINK("CSG0.html#group3D0", "3D⁰")</f>
        <v/>
      </c>
      <c r="N673">
        <f>HYPERLINK("CSG10.html#group9A10", "9A¹⁰"), =HYPERLINK("CSG22.html#group27A22", "27A²²"), =HYPERLINK("CSG13.html#group18C13", "18C¹³"), =HYPERLINK("CSG16.html#group18B16", "18B¹⁶"), =HYPERLINK("CSG19.html#group27E19", "27E¹⁹"), =HYPERLINK("CSG16.html#group27B16", "27B¹⁶")</f>
        <v/>
      </c>
    </row>
    <row r="674">
      <c r="A674" t="inlineStr">
        <is>
          <t>9C⁴</t>
        </is>
      </c>
      <c r="B674" t="inlineStr"/>
      <c r="C674" t="inlineStr">
        <is>
          <t>162</t>
        </is>
      </c>
      <c r="D674" t="inlineStr">
        <is>
          <t>1</t>
        </is>
      </c>
      <c r="E674" t="inlineStr">
        <is>
          <t>27</t>
        </is>
      </c>
      <c r="F674" t="inlineStr">
        <is>
          <t>6</t>
        </is>
      </c>
      <c r="G674" t="inlineStr">
        <is>
          <t>0</t>
        </is>
      </c>
      <c r="H674" t="inlineStr">
        <is>
          <t>9¹⁸</t>
        </is>
      </c>
      <c r="I674" t="n">
        <v>18</v>
      </c>
      <c r="J674" t="inlineStr">
        <is>
          <t>3¹, 6⁴</t>
        </is>
      </c>
      <c r="K674">
        <f>HYPERLINK("CSG1.html#group9E1", "9E¹"), =HYPERLINK("CSG1.html#group9F1", "9F¹"), =HYPERLINK("CSG1.html#group9G1", "9G¹"), =HYPERLINK("CSG2.html#group9B2", "9B²")</f>
        <v/>
      </c>
      <c r="L674">
        <f>HYPERLINK("CSG10.html#group9A10", "9A¹⁰"), =HYPERLINK("CSG16.html#group18C16", "18C¹⁶"), =HYPERLINK("CSG19.html#group18B19", "18B¹⁹"), =HYPERLINK("CSG22.html#group18A22", "18A²²"), =HYPERLINK("CSG22.html#group27C22", "27C²²")</f>
        <v/>
      </c>
      <c r="M674">
        <f>HYPERLINK("CSG0.html#group9D0", "9D⁰"), =HYPERLINK("CSG0.html#group9A0", "9A⁰"), =HYPERLINK("CSG0.html#group9G0", "9G⁰"), =HYPERLINK("CSG0.html#group3C0", "3C⁰"), =HYPERLINK("CSG1.html#group9E1", "9E¹"), =HYPERLINK("CSG1.html#group9G1", "9G¹"), =HYPERLINK("CSG2.html#group9B2", "9B²"), =HYPERLINK("CSG0.html#group9E0", "9E⁰"), =HYPERLINK("CSG0.html#group3A0", "3A⁰"), =HYPERLINK("CSG0.html#group9F0", "9F⁰"), =HYPERLINK("CSG0.html#group1A0", "1A⁰"), =HYPERLINK("CSG1.html#group9B1", "9B¹"), =HYPERLINK("CSG1.html#group9F1", "9F¹")</f>
        <v/>
      </c>
      <c r="N674">
        <f>HYPERLINK("CSG19.html#group18B19", "18B¹⁹"), =HYPERLINK("CSG10.html#group9A10", "9A¹⁰"), =HYPERLINK("CSG22.html#group27C22", "27C²²"), =HYPERLINK("CSG16.html#group18C16", "18C¹⁶"), =HYPERLINK("CSG22.html#group18A22", "18A²²")</f>
        <v/>
      </c>
    </row>
    <row r="675">
      <c r="A675" t="inlineStr">
        <is>
          <t>10A⁴</t>
        </is>
      </c>
      <c r="B675" t="inlineStr"/>
      <c r="C675" t="inlineStr">
        <is>
          <t>90</t>
        </is>
      </c>
      <c r="D675" t="inlineStr">
        <is>
          <t>1</t>
        </is>
      </c>
      <c r="E675" t="inlineStr">
        <is>
          <t>5</t>
        </is>
      </c>
      <c r="F675" t="inlineStr">
        <is>
          <t>0</t>
        </is>
      </c>
      <c r="G675" t="inlineStr">
        <is>
          <t>0</t>
        </is>
      </c>
      <c r="H675" t="inlineStr">
        <is>
          <t>10⁹</t>
        </is>
      </c>
      <c r="I675" t="n">
        <v>9</v>
      </c>
      <c r="J675" t="inlineStr">
        <is>
          <t>1¹, 4¹</t>
        </is>
      </c>
      <c r="K675">
        <f>HYPERLINK("CSG0.html#group10E0", "10E⁰"), =HYPERLINK("CSG1.html#group10I1", "10I¹"), =HYPERLINK("CSG2.html#group10A2", "10A²"), =HYPERLINK("CSG2.html#group10B2", "10B²")</f>
        <v/>
      </c>
      <c r="L675">
        <f>HYPERLINK("CSG7.html#group10A7", "10A⁷"), =HYPERLINK("CSG10.html#group20A10", "20A¹⁰"), =HYPERLINK("CSG10.html#group20D10", "20D¹⁰"), =HYPERLINK("CSG19.html#group30A19", "30A¹⁹"), =HYPERLINK("CSG22.html#group30A22", "30A²²")</f>
        <v/>
      </c>
      <c r="M675">
        <f>HYPERLINK("CSG0.html#group2A0", "2A⁰"), =HYPERLINK("CSG0.html#group5A0", "5A⁰"), =HYPERLINK("CSG2.html#group10A2", "10A²"), =HYPERLINK("CSG1.html#group10I1", "10I¹"), =HYPERLINK("CSG0.html#group10A0", "10A⁰"), =HYPERLINK("CSG0.html#group10E0", "10E⁰"), =HYPERLINK("CSG1.html#group10B1", "10B¹"), =HYPERLINK("CSG0.html#group5E0", "5E⁰"), =HYPERLINK("CSG0.html#group2B0", "2B⁰"), =HYPERLINK("CSG2.html#group10B2", "10B²"), =HYPERLINK("CSG0.html#group1A0", "1A⁰"), =HYPERLINK("CSG0.html#group2C0", "2C⁰")</f>
        <v/>
      </c>
      <c r="N675">
        <f>HYPERLINK("CSG22.html#group30A22", "30A²²"), =HYPERLINK("CSG22.html#group20A22", "20A²²"), =HYPERLINK("CSG10.html#group20A10", "20A¹⁰"), =HYPERLINK("CSG22.html#group40C22", "40C²²"), =HYPERLINK("CSG13.html#group10A13", "10A¹³"), =HYPERLINK("CSG22.html#group20B22", "20B²²"), =HYPERLINK("CSG19.html#group20D19", "20D¹⁹"), =HYPERLINK("CSG7.html#group10A7", "10A⁷"), =HYPERLINK("CSG19.html#group30A19", "30A¹⁹"), =HYPERLINK("CSG22.html#group40L22", "40L²²"), =HYPERLINK("CSG22.html#group20C22", "20C²²"), =HYPERLINK("CSG19.html#group20C19", "20C¹⁹"), =HYPERLINK("CSG10.html#group20D10", "20D¹⁰"), =HYPERLINK("CSG22.html#group40A22", "40A²²"), =HYPERLINK("CSG22.html#group40E22", "40E²²")</f>
        <v/>
      </c>
    </row>
    <row r="676">
      <c r="A676" t="inlineStr">
        <is>
          <t>10B⁴</t>
        </is>
      </c>
      <c r="B676" t="inlineStr"/>
      <c r="C676" t="inlineStr">
        <is>
          <t>180</t>
        </is>
      </c>
      <c r="D676" t="inlineStr">
        <is>
          <t>1</t>
        </is>
      </c>
      <c r="E676" t="inlineStr">
        <is>
          <t>3</t>
        </is>
      </c>
      <c r="F676" t="inlineStr">
        <is>
          <t>0</t>
        </is>
      </c>
      <c r="G676" t="inlineStr">
        <is>
          <t>0</t>
        </is>
      </c>
      <c r="H676" t="inlineStr">
        <is>
          <t>5¹², 10¹²</t>
        </is>
      </c>
      <c r="I676" t="n">
        <v>24</v>
      </c>
      <c r="J676" t="inlineStr">
        <is>
          <t>1³</t>
        </is>
      </c>
      <c r="K676">
        <f>HYPERLINK("CSG0.html#group5H0", "5H⁰"), =HYPERLINK("CSG0.html#group10F0", "10F⁰"), =HYPERLINK("CSG2.html#group10D2", "10D²"), =HYPERLINK("CSG2.html#group10F2", "10F²")</f>
        <v/>
      </c>
      <c r="L676">
        <f>HYPERLINK("CSG13.html#group10A13", "10A¹³"), =HYPERLINK("CSG13.html#group20G13", "20G¹³"), =HYPERLINK("CSG19.html#group20A19", "20A¹⁹")</f>
        <v/>
      </c>
      <c r="M676">
        <f>HYPERLINK("CSG0.html#group5A0", "5A⁰"), =HYPERLINK("CSG1.html#group10B1", "10B¹"), =HYPERLINK("CSG0.html#group5B0", "5B⁰"), =HYPERLINK("CSG0.html#group5F0", "5F⁰"), =HYPERLINK("CSG0.html#group5D0", "5D⁰"), =HYPERLINK("CSG0.html#group2B0", "2B⁰"), =HYPERLINK("CSG0.html#group1A0", "1A⁰"), =HYPERLINK("CSG2.html#group10D2", "10D²"), =HYPERLINK("CSG0.html#group5H0", "5H⁰"), =HYPERLINK("CSG0.html#group10F0", "10F⁰"), =HYPERLINK("CSG1.html#group10F1", "10F¹"), =HYPERLINK("CSG1.html#group10I1", "10I¹"), =HYPERLINK("CSG2.html#group10F2", "10F²"), =HYPERLINK("CSG0.html#group10C0", "10C⁰"), =HYPERLINK("CSG0.html#group5E0", "5E⁰"), =HYPERLINK("CSG0.html#group5C0", "5C⁰"), =HYPERLINK("CSG0.html#group5G0", "5G⁰")</f>
        <v/>
      </c>
      <c r="N676">
        <f>HYPERLINK("CSG19.html#group20A19", "20A¹⁹"), =HYPERLINK("CSG13.html#group10A13", "10A¹³"), =HYPERLINK("CSG13.html#group20G13", "20G¹³")</f>
        <v/>
      </c>
    </row>
    <row r="677">
      <c r="A677" t="inlineStr">
        <is>
          <t>11A⁴</t>
        </is>
      </c>
      <c r="B677" t="inlineStr"/>
      <c r="C677" t="inlineStr">
        <is>
          <t>110</t>
        </is>
      </c>
      <c r="D677" t="inlineStr">
        <is>
          <t>1</t>
        </is>
      </c>
      <c r="E677" t="inlineStr">
        <is>
          <t>55</t>
        </is>
      </c>
      <c r="F677" t="inlineStr">
        <is>
          <t>2</t>
        </is>
      </c>
      <c r="G677" t="inlineStr">
        <is>
          <t>2</t>
        </is>
      </c>
      <c r="H677" t="inlineStr">
        <is>
          <t>11¹⁰</t>
        </is>
      </c>
      <c r="I677" t="n">
        <v>10</v>
      </c>
      <c r="J677" t="inlineStr">
        <is>
          <t>5¹, 10⁵</t>
        </is>
      </c>
      <c r="K677">
        <f>HYPERLINK("CSG1.html#group11C1", "11C¹")</f>
        <v/>
      </c>
      <c r="L677">
        <f>HYPERLINK("CSG8.html#group11A8", "11A⁸"), =HYPERLINK("CSG12.html#group11A12", "11A¹²"), =HYPERLINK("CSG12.html#group22A12", "22A¹²"), =HYPERLINK("CSG13.html#group22A13", "22A¹³"), =HYPERLINK("CSG18.html#group22A18", "22A¹⁸"), =HYPERLINK("CSG21.html#group33A21", "33A²¹"), =HYPERLINK("CSG22.html#group33A22", "33A²²")</f>
        <v/>
      </c>
      <c r="M677">
        <f>HYPERLINK("CSG1.html#group11C1", "11C¹"), =HYPERLINK("CSG0.html#group1A0", "1A⁰")</f>
        <v/>
      </c>
      <c r="N677">
        <f>HYPERLINK("CSG12.html#group22A12", "22A¹²"), =HYPERLINK("CSG8.html#group11A8", "11A⁸"), =HYPERLINK("CSG12.html#group11A12", "11A¹²"), =HYPERLINK("CSG22.html#group33A22", "33A²²"), =HYPERLINK("CSG21.html#group33A21", "33A²¹"), =HYPERLINK("CSG13.html#group22A13", "22A¹³"), =HYPERLINK("CSG18.html#group22A18", "22A¹⁸")</f>
        <v/>
      </c>
    </row>
    <row r="678">
      <c r="A678" t="inlineStr">
        <is>
          <t>12A⁴</t>
        </is>
      </c>
      <c r="B678" t="inlineStr"/>
      <c r="C678" t="inlineStr">
        <is>
          <t>72</t>
        </is>
      </c>
      <c r="D678" t="inlineStr">
        <is>
          <t>1</t>
        </is>
      </c>
      <c r="E678" t="inlineStr">
        <is>
          <t>1</t>
        </is>
      </c>
      <c r="F678" t="inlineStr">
        <is>
          <t>0</t>
        </is>
      </c>
      <c r="G678" t="inlineStr">
        <is>
          <t>0</t>
        </is>
      </c>
      <c r="H678" t="inlineStr">
        <is>
          <t>12⁶</t>
        </is>
      </c>
      <c r="I678" t="n">
        <v>6</v>
      </c>
      <c r="J678" t="inlineStr">
        <is>
          <t>1¹</t>
        </is>
      </c>
      <c r="K678">
        <f>HYPERLINK("CSG0.html#group4G0", "4G⁰"), =HYPERLINK("CSG1.html#group12E1", "12E¹"), =HYPERLINK("CSG1.html#group12J1", "12J¹"), =HYPERLINK("CSG2.html#group12A2", "12A²"), =HYPERLINK("CSG2.html#group12B2", "12B²")</f>
        <v/>
      </c>
      <c r="L678">
        <f>HYPERLINK("CSG7.html#group12B7", "12B⁷"), =HYPERLINK("CSG8.html#group24A8", "24A⁸"), =HYPERLINK("CSG8.html#group24C8", "24C⁸"), =HYPERLINK("CSG9.html#group24C9", "24C⁹"), =HYPERLINK("CSG9.html#group24H9", "24H⁹"), =HYPERLINK("CSG10.html#group24A10", "24A¹⁰"), =HYPERLINK("CSG10.html#group24B10", "24B¹⁰"), =HYPERLINK("CSG16.html#group36A16", "36A¹⁶")</f>
        <v/>
      </c>
      <c r="M678">
        <f>HYPERLINK("CSG0.html#group2A0", "2A⁰"), =HYPERLINK("CSG0.html#group12C0", "12C⁰"), =HYPERLINK("CSG1.html#group6C1", "6C¹"), =HYPERLINK("CSG1.html#group12E1", "12E¹"), =HYPERLINK("CSG2.html#group12B2", "12B²"), =HYPERLINK("CSG0.html#group4C0", "4C⁰"), =HYPERLINK("CSG0.html#group4G0", "4G⁰"), =HYPERLINK("CSG0.html#group2B0", "2B⁰"), =HYPERLINK("CSG0.html#group4E0", "4E⁰"), =HYPERLINK("CSG0.html#group4B0", "4B⁰"), =HYPERLINK("CSG0.html#group1A0", "1A⁰"), =HYPERLINK("CSG0.html#group12A0", "12A⁰"), =HYPERLINK("CSG0.html#group6A0", "6A⁰"), =HYPERLINK("CSG0.html#group4A0", "4A⁰"), =HYPERLINK("CSG0.html#group4D0", "4D⁰"), =HYPERLINK("CSG2.html#group12A2", "12A²"), =HYPERLINK("CSG1.html#group12J1", "12J¹"), =HYPERLINK("CSG1.html#group6A1", "6A¹"), =HYPERLINK("CSG1.html#group12B1", "12B¹"), =HYPERLINK("CSG0.html#group4F0", "4F⁰"), =HYPERLINK("CSG0.html#group3A0", "3A⁰"), =HYPERLINK("CSG0.html#group2C0", "2C⁰"), =HYPERLINK("CSG0.html#group6D0", "6D⁰")</f>
        <v/>
      </c>
      <c r="N678">
        <f>HYPERLINK("CSG10.html#group24A10", "24A¹⁰"), =HYPERLINK("CSG21.html#group48L21", "48L²¹"), =HYPERLINK("CSG19.html#group24F19", "24F¹⁹"), =HYPERLINK("CSG17.html#group24F17", "24F¹⁷"), =HYPERLINK("CSG19.html#group24B19", "24B¹⁹"), =HYPERLINK("CSG19.html#group48A19", "48A¹⁹"), =HYPERLINK("CSG22.html#group48A22", "48A²²"), =HYPERLINK("CSG13.html#group12A13", "12A¹³"), =HYPERLINK("CSG15.html#group24B15", "24B¹⁵"), =HYPERLINK("CSG19.html#group24E19", "24E¹⁹"), =HYPERLINK("CSG7.html#group12B7", "12B⁷"), =HYPERLINK("CSG19.html#group24I19", "24I¹⁹"), =HYPERLINK("CSG10.html#group24B10", "24B¹⁰"), =HYPERLINK("CSG21.html#group48F21", "48F²¹"), =HYPERLINK("CSG15.html#group24A15", "24A¹⁵"), =HYPERLINK("CSG17.html#group24W17", "24W¹⁷"), =HYPERLINK("CSG9.html#group24H9", "24H⁹"), =HYPERLINK("CSG19.html#group48G19", "48G¹⁹"), =HYPERLINK("CSG19.html#group24A19", "24A¹⁹"), =HYPERLINK("CSG17.html#group24B17", "24B¹⁷"), =HYPERLINK("CSG8.html#group24A8", "24A⁸"), =HYPERLINK("CSG17.html#group24G17", "24G¹⁷"), =HYPERLINK("CSG18.html#group48B18", "48B¹⁸"), =HYPERLINK("CSG22.html#group48B22", "48B²²"), =HYPERLINK("CSG17.html#group24J17", "24J¹⁷"), =HYPERLINK("CSG19.html#group24H19", "24H¹⁹"), =HYPERLINK("CSG19.html#group24S19", "24S¹⁹"), =HYPERLINK("CSG8.html#group24C8", "24C⁸"), =HYPERLINK("CSG19.html#group48B19", "48B¹⁹"), =HYPERLINK("CSG17.html#group24R17", "24R¹⁷"), =HYPERLINK("CSG16.html#group36A16", "36A¹⁶"), =HYPERLINK("CSG19.html#group24C19", "24C¹⁹"), =HYPERLINK("CSG21.html#group48E21", "48E²¹"), =HYPERLINK("CSG19.html#group48D19", "48D¹⁹"), =HYPERLINK("CSG19.html#group24G19", "24G¹⁹"), =HYPERLINK("CSG21.html#group48Q21", "48Q²¹"), =HYPERLINK("CSG9.html#group24C9", "24C⁹"), =HYPERLINK("CSG18.html#group48G18", "48G¹⁸"), =HYPERLINK("CSG19.html#group24D19", "24D¹⁹")</f>
        <v/>
      </c>
    </row>
    <row r="679">
      <c r="A679" t="inlineStr">
        <is>
          <t>12B⁴</t>
        </is>
      </c>
      <c r="B679" t="inlineStr"/>
      <c r="C679" t="inlineStr">
        <is>
          <t>72</t>
        </is>
      </c>
      <c r="D679" t="inlineStr">
        <is>
          <t>1</t>
        </is>
      </c>
      <c r="E679" t="inlineStr">
        <is>
          <t>6</t>
        </is>
      </c>
      <c r="F679" t="inlineStr">
        <is>
          <t>0</t>
        </is>
      </c>
      <c r="G679" t="inlineStr">
        <is>
          <t>0</t>
        </is>
      </c>
      <c r="H679" t="inlineStr">
        <is>
          <t>12⁶</t>
        </is>
      </c>
      <c r="I679" t="n">
        <v>6</v>
      </c>
      <c r="J679" t="inlineStr">
        <is>
          <t>2³</t>
        </is>
      </c>
      <c r="K679">
        <f>HYPERLINK("CSG1.html#group12H1", "12H¹"), =HYPERLINK("CSG2.html#group12E2", "12E²")</f>
        <v/>
      </c>
      <c r="L679">
        <f>HYPERLINK("CSG7.html#group12D7", "12D⁷"), =HYPERLINK("CSG10.html#group24D10", "24D¹⁰"), =HYPERLINK("CSG16.html#group36C16", "36C¹⁶")</f>
        <v/>
      </c>
      <c r="M679">
        <f>HYPERLINK("CSG0.html#group2A0", "2A⁰"), =HYPERLINK("CSG1.html#group12H1", "12H¹"), =HYPERLINK("CSG1.html#group12C1", "12C¹"), =HYPERLINK("CSG0.html#group6A0", "6A⁰"), =HYPERLINK("CSG1.html#group6C1", "6C¹"), =HYPERLINK("CSG2.html#group12E2", "12E²"), =HYPERLINK("CSG0.html#group2B0", "2B⁰"), =HYPERLINK("CSG0.html#group12D0", "12D⁰"), =HYPERLINK("CSG1.html#group6A1", "6A¹"), =HYPERLINK("CSG0.html#group3A0", "3A⁰"), =HYPERLINK("CSG0.html#group1A0", "1A⁰"), =HYPERLINK("CSG0.html#group2C0", "2C⁰"), =HYPERLINK("CSG0.html#group6D0", "6D⁰")</f>
        <v/>
      </c>
      <c r="N679">
        <f>HYPERLINK("CSG15.html#group24F15", "24F¹⁵"), =HYPERLINK("CSG15.html#group24J15", "24J¹⁵"), =HYPERLINK("CSG7.html#group12D7", "12D⁷"), =HYPERLINK("CSG13.html#group12A13", "12A¹³"), =HYPERLINK("CSG10.html#group24D10", "24D¹⁰"), =HYPERLINK("CSG19.html#group24K19", "24K¹⁹"), =HYPERLINK("CSG17.html#group24H17", "24H¹⁷"), =HYPERLINK("CSG16.html#group36C16", "36C¹⁶"), =HYPERLINK("CSG17.html#group24Y17", "24Y¹⁷"), =HYPERLINK("CSG17.html#group24I17", "24I¹⁷")</f>
        <v/>
      </c>
    </row>
    <row r="680">
      <c r="A680" t="inlineStr">
        <is>
          <t>12C⁴</t>
        </is>
      </c>
      <c r="B680" t="inlineStr"/>
      <c r="C680" t="inlineStr">
        <is>
          <t>72</t>
        </is>
      </c>
      <c r="D680" t="inlineStr">
        <is>
          <t>1</t>
        </is>
      </c>
      <c r="E680" t="inlineStr">
        <is>
          <t>9</t>
        </is>
      </c>
      <c r="F680" t="inlineStr">
        <is>
          <t>0</t>
        </is>
      </c>
      <c r="G680" t="inlineStr">
        <is>
          <t>0</t>
        </is>
      </c>
      <c r="H680" t="inlineStr">
        <is>
          <t>12⁶</t>
        </is>
      </c>
      <c r="I680" t="n">
        <v>6</v>
      </c>
      <c r="J680" t="inlineStr">
        <is>
          <t>1³, 2³</t>
        </is>
      </c>
      <c r="K680">
        <f>HYPERLINK("CSG1.html#group12M1", "12M¹"), =HYPERLINK("CSG2.html#group12B2", "12B²"), =HYPERLINK("CSG2.html#group12E2", "12E²")</f>
        <v/>
      </c>
      <c r="L680">
        <f>HYPERLINK("CSG7.html#group12B7", "12B⁷"), =HYPERLINK("CSG7.html#group12D7", "12D⁷"), =HYPERLINK("CSG8.html#group24I8", "24I⁸"), =HYPERLINK("CSG8.html#group24J8", "24J⁸"), =HYPERLINK("CSG9.html#group24F9", "24F⁹"), =HYPERLINK("CSG9.html#group24I9", "24I⁹"), =HYPERLINK("CSG9.html#group24Z9", "24Z⁹"), =HYPERLINK("CSG16.html#group36B16", "36B¹⁶"), =HYPERLINK("CSG16.html#group36E16", "36E¹⁶")</f>
        <v/>
      </c>
      <c r="M680">
        <f>HYPERLINK("CSG0.html#group2A0", "2A⁰"), =HYPERLINK("CSG0.html#group12C0", "12C⁰"), =HYPERLINK("CSG1.html#group6C1", "6C¹"), =HYPERLINK("CSG0.html#group4C0", "4C⁰"), =HYPERLINK("CSG2.html#group12B2", "12B²"), =HYPERLINK("CSG2.html#group12E2", "12E²"), =HYPERLINK("CSG1.html#group12M1", "12M¹"), =HYPERLINK("CSG0.html#group4E0", "4E⁰"), =HYPERLINK("CSG0.html#group2B0", "2B⁰"), =HYPERLINK("CSG0.html#group4B0", "4B⁰"), =HYPERLINK("CSG0.html#group1A0", "1A⁰"), =HYPERLINK("CSG0.html#group6A0", "6A⁰"), =HYPERLINK("CSG1.html#group12C1", "12C¹"), =HYPERLINK("CSG1.html#group12B1", "12B¹"), =HYPERLINK("CSG1.html#group6A1", "6A¹"), =HYPERLINK("CSG0.html#group12D0", "12D⁰"), =HYPERLINK("CSG0.html#group3A0", "3A⁰"), =HYPERLINK("CSG0.html#group2C0", "2C⁰"), =HYPERLINK("CSG0.html#group6D0", "6D⁰")</f>
        <v/>
      </c>
      <c r="N680">
        <f>HYPERLINK("CSG9.html#group24F9", "24F⁹"), =HYPERLINK("CSG17.html#group24I17", "24I¹⁷"), =HYPERLINK("CSG21.html#group48R21", "48R²¹"), =HYPERLINK("CSG17.html#group24AJ17", "24AJ¹⁷"), =HYPERLINK("CSG8.html#group24I8", "24I⁸"), =HYPERLINK("CSG19.html#group24B19", "24B¹⁹"), =HYPERLINK("CSG16.html#group36E16", "36E¹⁶"), =HYPERLINK("CSG15.html#group24F15", "24F¹⁵"), =HYPERLINK("CSG19.html#group48P19", "48P¹⁹"), =HYPERLINK("CSG19.html#group48AW19", "48AW¹⁹"), =HYPERLINK("CSG13.html#group12A13", "12A¹³"), =HYPERLINK("CSG15.html#group24B15", "24B¹⁵"), =HYPERLINK("CSG8.html#group24J8", "24J⁸"), =HYPERLINK("CSG7.html#group12B7", "12B⁷"), =HYPERLINK("CSG21.html#group48AN21", "48AN²¹"), =HYPERLINK("CSG19.html#group24K19", "24K¹⁹"), =HYPERLINK("CSG17.html#group24P17", "24P¹⁷"), =HYPERLINK("CSG15.html#group24A15", "24A¹⁵"), =HYPERLINK("CSG17.html#group24U17", "24U¹⁷"), =HYPERLINK("CSG17.html#group24G17", "24G¹⁷"), =HYPERLINK("CSG17.html#group24Q17", "24Q¹⁷"), =HYPERLINK("CSG17.html#group24H17", "24H¹⁷"), =HYPERLINK("CSG19.html#group48I19", "48I¹⁹"), =HYPERLINK("CSG17.html#group24J17", "24J¹⁷"), =HYPERLINK("CSG19.html#group48L19", "48L¹⁹"), =HYPERLINK("CSG17.html#group24S17", "24S¹⁷"), =HYPERLINK("CSG15.html#group24J15", "24J¹⁵"), =HYPERLINK("CSG21.html#group48N21", "48N²¹"), =HYPERLINK("CSG7.html#group12D7", "12D⁷"), =HYPERLINK("CSG16.html#group36B16", "36B¹⁶"), =HYPERLINK("CSG9.html#group24I9", "24I⁹"), =HYPERLINK("CSG19.html#group24C19", "24C¹⁹"), =HYPERLINK("CSG9.html#group24Z9", "24Z⁹"), =HYPERLINK("CSG17.html#group24Y17", "24Y¹⁷"), =HYPERLINK("CSG21.html#group48BQ21", "48BQ²¹"), =HYPERLINK("CSG21.html#group48AG21", "48AG²¹"), =HYPERLINK("CSG19.html#group48H19", "48H¹⁹")</f>
        <v/>
      </c>
    </row>
    <row r="681">
      <c r="A681" t="inlineStr">
        <is>
          <t>12D⁴</t>
        </is>
      </c>
      <c r="B681" t="inlineStr"/>
      <c r="C681" t="inlineStr">
        <is>
          <t>96</t>
        </is>
      </c>
      <c r="D681" t="inlineStr">
        <is>
          <t>1</t>
        </is>
      </c>
      <c r="E681" t="inlineStr">
        <is>
          <t>32</t>
        </is>
      </c>
      <c r="F681" t="inlineStr">
        <is>
          <t>0</t>
        </is>
      </c>
      <c r="G681" t="inlineStr">
        <is>
          <t>3</t>
        </is>
      </c>
      <c r="H681" t="inlineStr">
        <is>
          <t>12⁸</t>
        </is>
      </c>
      <c r="I681" t="n">
        <v>8</v>
      </c>
      <c r="J681" t="inlineStr">
        <is>
          <t>4⁸</t>
        </is>
      </c>
      <c r="K681">
        <f>HYPERLINK("CSG0.html#group6J0", "6J⁰"), =HYPERLINK("CSG1.html#group12E1", "12E¹"), =HYPERLINK("CSG1.html#group12H1", "12H¹"), =HYPERLINK("CSG1.html#group12I1", "12I¹")</f>
        <v/>
      </c>
      <c r="L681">
        <f>HYPERLINK("CSG7.html#group12F7", "12F⁷"), =HYPERLINK("CSG11.html#group24D11", "24D¹¹"), =HYPERLINK("CSG11.html#group24E11", "24E¹¹"), =HYPERLINK("CSG13.html#group12A13", "12A¹³"), =HYPERLINK("CSG16.html#group36F16", "36F¹⁶"), =HYPERLINK("CSG19.html#group36G19", "36G¹⁹"), =HYPERLINK("CSG19.html#group36F19", "36F¹⁹"), =HYPERLINK("CSG24.html#group24A24", "24A²⁴")</f>
        <v/>
      </c>
      <c r="M681">
        <f>HYPERLINK("CSG0.html#group3B0", "3B⁰"), =HYPERLINK("CSG0.html#group2A0", "2A⁰"), =HYPERLINK("CSG1.html#group12I1", "12I¹"), =HYPERLINK("CSG1.html#group12H1", "12H¹"), =HYPERLINK("CSG0.html#group6A0", "6A⁰"), =HYPERLINK("CSG0.html#group4A0", "4A⁰"), =HYPERLINK("CSG0.html#group4D0", "4D⁰"), =HYPERLINK("CSG1.html#group12A1", "12A¹"), =HYPERLINK("CSG0.html#group6C0", "6C⁰"), =HYPERLINK("CSG1.html#group12E1", "12E¹"), =HYPERLINK("CSG0.html#group6J0", "6J⁰"), =HYPERLINK("CSG0.html#group1A0", "1A⁰")</f>
        <v/>
      </c>
      <c r="N681">
        <f>HYPERLINK("CSG21.html#group24H21", "24H²¹"), =HYPERLINK("CSG13.html#group12A13", "12A¹³"), =HYPERLINK("CSG7.html#group12F7", "12F⁷"), =HYPERLINK("CSG19.html#group36F19", "36F¹⁹"), =HYPERLINK("CSG16.html#group36F16", "36F¹⁶"), =HYPERLINK("CSG19.html#group36G19", "36G¹⁹"), =HYPERLINK("CSG11.html#group24D11", "24D¹¹"), =HYPERLINK("CSG11.html#group24E11", "24E¹¹"), =HYPERLINK("CSG24.html#group24A24", "24A²⁴")</f>
        <v/>
      </c>
    </row>
    <row r="682">
      <c r="A682" t="inlineStr">
        <is>
          <t>14A⁴</t>
        </is>
      </c>
      <c r="B682" t="inlineStr"/>
      <c r="C682" t="inlineStr">
        <is>
          <t>126</t>
        </is>
      </c>
      <c r="D682" t="inlineStr">
        <is>
          <t>2</t>
        </is>
      </c>
      <c r="E682" t="inlineStr">
        <is>
          <t>21</t>
        </is>
      </c>
      <c r="F682" t="inlineStr">
        <is>
          <t>6</t>
        </is>
      </c>
      <c r="G682" t="inlineStr">
        <is>
          <t>0</t>
        </is>
      </c>
      <c r="H682" t="inlineStr">
        <is>
          <t>7⁶, 14⁶</t>
        </is>
      </c>
      <c r="I682" t="n">
        <v>12</v>
      </c>
      <c r="J682" t="inlineStr">
        <is>
          <t>2³, 6⁶</t>
        </is>
      </c>
      <c r="K682">
        <f>HYPERLINK("CSG0.html#group7G0", "7G⁰"), =HYPERLINK("CSG2.html#group14A2", "14A²"), =HYPERLINK("CSG2.html#group14F2", "14F²")</f>
        <v/>
      </c>
      <c r="L682">
        <f>HYPERLINK("CSG9.html#group14C9", "14C⁹"), =HYPERLINK("CSG11.html#group14A11", "14A¹¹"), =HYPERLINK("CSG11.html#group28I11", "28I¹¹"), =HYPERLINK("CSG13.html#group14C13", "14C¹³"), =HYPERLINK("CSG13.html#group28D13", "28D¹³"), =HYPERLINK("CSG13.html#group28E13", "28E¹³"), =HYPERLINK("CSG15.html#group28G15", "28G¹⁵"), =HYPERLINK("CSG22.html#group42C22", "42C²²")</f>
        <v/>
      </c>
      <c r="M682">
        <f>HYPERLINK("CSG2.html#group14A2", "14A²"), =HYPERLINK("CSG0.html#group7D0", "7D⁰"), =HYPERLINK("CSG1.html#group14B1", "14B¹"), =HYPERLINK("CSG0.html#group7C0", "7C⁰"), =HYPERLINK("CSG2.html#group14F2", "14F²"), =HYPERLINK("CSG0.html#group2B0", "2B⁰"), =HYPERLINK("CSG0.html#group7G0", "7G⁰"), =HYPERLINK("CSG0.html#group1A0", "1A⁰"), =HYPERLINK("CSG0.html#group7A0", "7A⁰")</f>
        <v/>
      </c>
      <c r="N682">
        <f>HYPERLINK("CSG11.html#group14A11", "14A¹¹"), =HYPERLINK("CSG23.html#group14A23", "14A²³"), =HYPERLINK("CSG22.html#group42C22", "42C²²"), =HYPERLINK("CSG9.html#group14C9", "14C⁹"), =HYPERLINK("CSG19.html#group14A19", "14A¹⁹"), =HYPERLINK("CSG11.html#group28I11", "28I¹¹"), =HYPERLINK("CSG15.html#group28G15", "28G¹⁵"), =HYPERLINK("CSG13.html#group14C13", "14C¹³"), =HYPERLINK("CSG23.html#group28E23", "28E²³"), =HYPERLINK("CSG13.html#group28E13", "28E¹³"), =HYPERLINK("CSG13.html#group28D13", "28D¹³")</f>
        <v/>
      </c>
    </row>
    <row r="683">
      <c r="A683" t="inlineStr">
        <is>
          <t>14B⁴</t>
        </is>
      </c>
      <c r="B683" t="inlineStr"/>
      <c r="C683" t="inlineStr">
        <is>
          <t>144</t>
        </is>
      </c>
      <c r="D683" t="inlineStr">
        <is>
          <t>1</t>
        </is>
      </c>
      <c r="E683" t="inlineStr">
        <is>
          <t>8</t>
        </is>
      </c>
      <c r="F683" t="inlineStr">
        <is>
          <t>0</t>
        </is>
      </c>
      <c r="G683" t="inlineStr">
        <is>
          <t>0</t>
        </is>
      </c>
      <c r="H683" t="inlineStr">
        <is>
          <t>2⁹, 14⁹</t>
        </is>
      </c>
      <c r="I683" t="n">
        <v>18</v>
      </c>
      <c r="J683" t="inlineStr">
        <is>
          <t>1², 6¹</t>
        </is>
      </c>
      <c r="K683">
        <f>HYPERLINK("CSG0.html#group14C0", "14C⁰"), =HYPERLINK("CSG1.html#group14H1", "14H¹"), =HYPERLINK("CSG2.html#group14D2", "14D²"), =HYPERLINK("CSG2.html#group14E2", "14E²")</f>
        <v/>
      </c>
      <c r="L683">
        <f>HYPERLINK("CSG10.html#group28C10", "28C¹⁰"), =HYPERLINK("CSG13.html#group28F13", "28F¹³"), =HYPERLINK("CSG16.html#group28G16", "28G¹⁶")</f>
        <v/>
      </c>
      <c r="M683">
        <f>HYPERLINK("CSG0.html#group2A0", "2A⁰"), =HYPERLINK("CSG0.html#group7B0", "7B⁰"), =HYPERLINK("CSG1.html#group14H1", "14H¹"), =HYPERLINK("CSG2.html#group14D2", "14D²"), =HYPERLINK("CSG0.html#group14B0", "14B⁰"), =HYPERLINK("CSG1.html#group14C1", "14C¹"), =HYPERLINK("CSG0.html#group2B0", "2B⁰"), =HYPERLINK("CSG0.html#group7E0", "7E⁰"), =HYPERLINK("CSG2.html#group14E2", "14E²"), =HYPERLINK("CSG0.html#group14C0", "14C⁰"), =HYPERLINK("CSG0.html#group1A0", "1A⁰"), =HYPERLINK("CSG0.html#group2C0", "2C⁰")</f>
        <v/>
      </c>
      <c r="N683">
        <f>HYPERLINK("CSG13.html#group28F13", "28F¹³"), =HYPERLINK("CSG16.html#group28G16", "28G¹⁶"), =HYPERLINK("CSG10.html#group28C10", "28C¹⁰")</f>
        <v/>
      </c>
    </row>
    <row r="684">
      <c r="A684" t="inlineStr">
        <is>
          <t>15A⁴</t>
        </is>
      </c>
      <c r="B684" t="inlineStr"/>
      <c r="C684" t="inlineStr">
        <is>
          <t>60</t>
        </is>
      </c>
      <c r="D684" t="inlineStr">
        <is>
          <t>1</t>
        </is>
      </c>
      <c r="E684" t="inlineStr">
        <is>
          <t>5</t>
        </is>
      </c>
      <c r="F684" t="inlineStr">
        <is>
          <t>0</t>
        </is>
      </c>
      <c r="G684" t="inlineStr">
        <is>
          <t>0</t>
        </is>
      </c>
      <c r="H684" t="inlineStr">
        <is>
          <t>15⁴</t>
        </is>
      </c>
      <c r="I684" t="n">
        <v>4</v>
      </c>
      <c r="J684" t="inlineStr">
        <is>
          <t>1¹, 4¹</t>
        </is>
      </c>
      <c r="K684">
        <f>HYPERLINK("CSG0.html#group3D0", "3D⁰"), =HYPERLINK("CSG1.html#group15B1", "15B¹"), =HYPERLINK("CSG2.html#group15A2", "15A²")</f>
        <v/>
      </c>
      <c r="L684">
        <f>HYPERLINK("CSG9.html#group30A9", "30A⁹"), =HYPERLINK("CSG10.html#group15B10", "15B¹⁰"), =HYPERLINK("CSG12.html#group30A12", "30A¹²"), =HYPERLINK("CSG12.html#group45A12", "45A¹²"), =HYPERLINK("CSG12.html#group45E12", "45E¹²"), =HYPERLINK("CSG13.html#group15A13", "15A¹³"), =HYPERLINK("CSG13.html#group45C13", "45C¹³"), =HYPERLINK("CSG13.html#group45I13", "45I¹³"), =HYPERLINK("CSG14.html#group45A14", "45A¹⁴"), =HYPERLINK("CSG14.html#group45B14", "45B¹⁴"), =HYPERLINK("CSG19.html#group60C19", "60C¹⁹")</f>
        <v/>
      </c>
      <c r="M684">
        <f>HYPERLINK("CSG0.html#group3B0", "3B⁰"), =HYPERLINK("CSG0.html#group5A0", "5A⁰"), =HYPERLINK("CSG2.html#group15A2", "15A²"), =HYPERLINK("CSG1.html#group15B1", "15B¹"), =HYPERLINK("CSG0.html#group3C0", "3C⁰"), =HYPERLINK("CSG0.html#group1A0", "1A⁰"), =HYPERLINK("CSG0.html#group3A0", "3A⁰"), =HYPERLINK("CSG0.html#group3D0", "3D⁰"), =HYPERLINK("CSG1.html#group15A1", "15A¹")</f>
        <v/>
      </c>
      <c r="N684">
        <f>HYPERLINK("CSG14.html#group45B14", "45B¹⁴"), =HYPERLINK("CSG19.html#group60C19", "60C¹⁹"), =HYPERLINK("CSG12.html#group45E12", "45E¹²"), =HYPERLINK("CSG13.html#group15A13", "15A¹³"), =HYPERLINK("CSG19.html#group60A19", "60A¹⁹"), =HYPERLINK("CSG13.html#group45I13", "45I¹³"), =HYPERLINK("CSG14.html#group45A14", "45A¹⁴"), =HYPERLINK("CSG19.html#group15B19", "15B¹⁹"), =HYPERLINK("CSG13.html#group45C13", "45C¹³"), =HYPERLINK("CSG12.html#group45A12", "45A¹²"), =HYPERLINK("CSG10.html#group15B10", "15B¹⁰"), =HYPERLINK("CSG9.html#group30A9", "30A⁹"), =HYPERLINK("CSG12.html#group30A12", "30A¹²")</f>
        <v/>
      </c>
    </row>
    <row r="685">
      <c r="A685" t="inlineStr">
        <is>
          <t>15B⁴</t>
        </is>
      </c>
      <c r="B685" t="inlineStr"/>
      <c r="C685" t="inlineStr">
        <is>
          <t>60</t>
        </is>
      </c>
      <c r="D685" t="inlineStr">
        <is>
          <t>1</t>
        </is>
      </c>
      <c r="E685" t="inlineStr">
        <is>
          <t>10</t>
        </is>
      </c>
      <c r="F685" t="inlineStr">
        <is>
          <t>0</t>
        </is>
      </c>
      <c r="G685" t="inlineStr">
        <is>
          <t>0</t>
        </is>
      </c>
      <c r="H685" t="inlineStr">
        <is>
          <t>15⁴</t>
        </is>
      </c>
      <c r="I685" t="n">
        <v>4</v>
      </c>
      <c r="J685" t="inlineStr">
        <is>
          <t>2¹, 4²</t>
        </is>
      </c>
      <c r="K685">
        <f>HYPERLINK("CSG0.html#group5F0", "5F⁰"), =HYPERLINK("CSG1.html#group15A1", "15A¹"), =HYPERLINK("CSG1.html#group15D1", "15D¹")</f>
        <v/>
      </c>
      <c r="L685">
        <f>HYPERLINK("CSG7.html#group15B7", "15B⁷"), =HYPERLINK("CSG9.html#group30B9", "30B⁹"), =HYPERLINK("CSG9.html#group30F9", "30F⁹"), =HYPERLINK("CSG10.html#group15A10", "15A¹⁰"), =HYPERLINK("CSG12.html#group30B12", "30B¹²"), =HYPERLINK("CSG14.html#group45C14", "45C¹⁴"), =HYPERLINK("CSG19.html#group60F19", "60F¹⁹"), =HYPERLINK("CSG24.html#group75A24", "75A²⁴")</f>
        <v/>
      </c>
      <c r="M685">
        <f>HYPERLINK("CSG1.html#group15D1", "15D¹"), =HYPERLINK("CSG0.html#group5A0", "5A⁰"), =HYPERLINK("CSG0.html#group5C0", "5C⁰"), =HYPERLINK("CSG0.html#group5F0", "5F⁰"), =HYPERLINK("CSG0.html#group3A0", "3A⁰"), =HYPERLINK("CSG0.html#group1A0", "1A⁰"), =HYPERLINK("CSG1.html#group15A1", "15A¹")</f>
        <v/>
      </c>
      <c r="N685">
        <f>HYPERLINK("CSG10.html#group15A10", "15A¹⁰"), =HYPERLINK("CSG19.html#group60F19", "60F¹⁹"), =HYPERLINK("CSG7.html#group15B7", "15B⁷"), =HYPERLINK("CSG23.html#group45C23", "45C²³"), =HYPERLINK("CSG17.html#group30D17", "30D¹⁷"), =HYPERLINK("CSG9.html#group30B9", "30B⁹"), =HYPERLINK("CSG19.html#group15A19", "15A¹⁹"), =HYPERLINK("CSG13.html#group15A13", "15A¹³"), =HYPERLINK("CSG24.html#group75A24", "75A²⁴"), =HYPERLINK("CSG19.html#group60B19", "60B¹⁹"), =HYPERLINK("CSG12.html#group30B12", "30B¹²"), =HYPERLINK("CSG23.html#group30F23", "30F²³"), =HYPERLINK("CSG9.html#group30F9", "30F⁹"), =HYPERLINK("CSG14.html#group45C14", "45C¹⁴"), =HYPERLINK("CSG17.html#group30E17", "30E¹⁷"), =HYPERLINK("CSG19.html#group60D19", "60D¹⁹")</f>
        <v/>
      </c>
    </row>
    <row r="686">
      <c r="A686" t="inlineStr">
        <is>
          <t>15C⁴</t>
        </is>
      </c>
      <c r="B686" t="inlineStr"/>
      <c r="C686" t="inlineStr">
        <is>
          <t>90</t>
        </is>
      </c>
      <c r="D686" t="inlineStr">
        <is>
          <t>1</t>
        </is>
      </c>
      <c r="E686" t="inlineStr">
        <is>
          <t>15</t>
        </is>
      </c>
      <c r="F686" t="inlineStr">
        <is>
          <t>6</t>
        </is>
      </c>
      <c r="G686" t="inlineStr">
        <is>
          <t>0</t>
        </is>
      </c>
      <c r="H686" t="inlineStr">
        <is>
          <t>15⁶</t>
        </is>
      </c>
      <c r="I686" t="n">
        <v>6</v>
      </c>
      <c r="J686" t="inlineStr">
        <is>
          <t>1¹, 2¹, 4¹, 8¹</t>
        </is>
      </c>
      <c r="K686">
        <f>HYPERLINK("CSG1.html#group15F1", "15F¹"), =HYPERLINK("CSG2.html#group15A2", "15A²")</f>
        <v/>
      </c>
      <c r="L686">
        <f>HYPERLINK("CSG8.html#group15A8", "15A⁸"), =HYPERLINK("CSG9.html#group15A9", "15A⁹"), =HYPERLINK("CSG10.html#group15B10", "15B¹⁰"), =HYPERLINK("CSG10.html#group30A10", "30A¹⁰"), =HYPERLINK("CSG11.html#group30A11", "30A¹¹"), =HYPERLINK("CSG12.html#group30C12", "30C¹²"), =HYPERLINK("CSG13.html#group30B13", "30B¹³"), =HYPERLINK("CSG16.html#group30B16", "30B¹⁶"), =HYPERLINK("CSG16.html#group45B16", "45B¹⁶"), =HYPERLINK("CSG16.html#group45C16", "45C¹⁶"), =HYPERLINK("CSG19.html#group45B19", "45B¹⁹")</f>
        <v/>
      </c>
      <c r="M686">
        <f>HYPERLINK("CSG0.html#group5A0", "5A⁰"), =HYPERLINK("CSG2.html#group15A2", "15A²"), =HYPERLINK("CSG1.html#group15F1", "15F¹"), =HYPERLINK("CSG0.html#group5E0", "5E⁰"), =HYPERLINK("CSG0.html#group3C0", "3C⁰"), =HYPERLINK("CSG0.html#group3A0", "3A⁰"), =HYPERLINK("CSG0.html#group1A0", "1A⁰"), =HYPERLINK("CSG1.html#group15A1", "15A¹"), =HYPERLINK("CSG0.html#group15A0", "15A⁰")</f>
        <v/>
      </c>
      <c r="N686">
        <f>HYPERLINK("CSG13.html#group30B13", "30B¹³"), =HYPERLINK("CSG8.html#group15A8", "15A⁸"), =HYPERLINK("CSG11.html#group30A11", "30A¹¹"), =HYPERLINK("CSG16.html#group45B16", "45B¹⁶"), =HYPERLINK("CSG10.html#group30A10", "30A¹⁰"), =HYPERLINK("CSG19.html#group15A19", "15A¹⁹"), =HYPERLINK("CSG19.html#group45B19", "45B¹⁹"), =HYPERLINK("CSG23.html#group30E23", "30E²³"), =HYPERLINK("CSG10.html#group15B10", "15B¹⁰"), =HYPERLINK("CSG16.html#group45C16", "45C¹⁶"), =HYPERLINK("CSG23.html#group30D23", "30D²³"), =HYPERLINK("CSG9.html#group15A9", "15A⁹"), =HYPERLINK("CSG17.html#group15A17", "15A¹⁷"), =HYPERLINK("CSG12.html#group30C12", "30C¹²"), =HYPERLINK("CSG19.html#group15B19", "15B¹⁹"), =HYPERLINK("CSG23.html#group30C23", "30C²³"), =HYPERLINK("CSG16.html#group30B16", "30B¹⁶"), =HYPERLINK("CSG23.html#group30B23", "30B²³"), =HYPERLINK("CSG21.html#group30A21", "30A²¹")</f>
        <v/>
      </c>
    </row>
    <row r="687">
      <c r="A687" t="inlineStr">
        <is>
          <t>15D⁴</t>
        </is>
      </c>
      <c r="B687" t="inlineStr"/>
      <c r="C687" t="inlineStr">
        <is>
          <t>90</t>
        </is>
      </c>
      <c r="D687" t="inlineStr">
        <is>
          <t>1</t>
        </is>
      </c>
      <c r="E687" t="inlineStr">
        <is>
          <t>15</t>
        </is>
      </c>
      <c r="F687" t="inlineStr">
        <is>
          <t>6</t>
        </is>
      </c>
      <c r="G687" t="inlineStr">
        <is>
          <t>0</t>
        </is>
      </c>
      <c r="H687" t="inlineStr">
        <is>
          <t>15⁶</t>
        </is>
      </c>
      <c r="I687" t="n">
        <v>6</v>
      </c>
      <c r="J687" t="inlineStr">
        <is>
          <t>1¹, 2¹, 4³</t>
        </is>
      </c>
      <c r="K687">
        <f>HYPERLINK("CSG0.html#group5G0", "5G⁰"), =HYPERLINK("CSG0.html#group15B0", "15B⁰"), =HYPERLINK("CSG1.html#group15D1", "15D¹"), =HYPERLINK("CSG1.html#group15F1", "15F¹")</f>
        <v/>
      </c>
      <c r="L687">
        <f>HYPERLINK("CSG8.html#group15B8", "15B⁸"), =HYPERLINK("CSG9.html#group15A9", "15A⁹"), =HYPERLINK("CSG10.html#group15A10", "15A¹⁰"), =HYPERLINK("CSG10.html#group30B10", "30B¹⁰"), =HYPERLINK("CSG11.html#group30B11", "30B¹¹"), =HYPERLINK("CSG12.html#group30D12", "30D¹²"), =HYPERLINK("CSG13.html#group30D13", "30D¹³"), =HYPERLINK("CSG16.html#group30C16", "30C¹⁶"), =HYPERLINK("CSG18.html#group45A18", "45A¹⁸"), =HYPERLINK("CSG24.html#group75B24", "75B²⁴")</f>
        <v/>
      </c>
      <c r="M687">
        <f>HYPERLINK("CSG1.html#group15D1", "15D¹"), =HYPERLINK("CSG0.html#group15B0", "15B⁰"), =HYPERLINK("CSG0.html#group5A0", "5A⁰"), =HYPERLINK("CSG0.html#group5C0", "5C⁰"), =HYPERLINK("CSG1.html#group15F1", "15F¹"), =HYPERLINK("CSG0.html#group5B0", "5B⁰"), =HYPERLINK("CSG0.html#group5E0", "5E⁰"), =HYPERLINK("CSG0.html#group3A0", "3A⁰"), =HYPERLINK("CSG0.html#group1A0", "1A⁰"), =HYPERLINK("CSG0.html#group5G0", "5G⁰"), =HYPERLINK("CSG1.html#group15A1", "15A¹"), =HYPERLINK("CSG0.html#group15A0", "15A⁰")</f>
        <v/>
      </c>
      <c r="N687">
        <f>HYPERLINK("CSG18.html#group45A18", "45A¹⁸"), =HYPERLINK("CSG16.html#group30C16", "30C¹⁶"), =HYPERLINK("CSG19.html#group15A19", "15A¹⁹"), =HYPERLINK("CSG10.html#group30B10", "30B¹⁰"), =HYPERLINK("CSG21.html#group30B21", "30B²¹"), =HYPERLINK("CSG13.html#group30D13", "30D¹³"), =HYPERLINK("CSG9.html#group15A9", "15A⁹"), =HYPERLINK("CSG10.html#group15A10", "15A¹⁰"), =HYPERLINK("CSG17.html#group15A17", "15A¹⁷"), =HYPERLINK("CSG12.html#group30D12", "30D¹²"), =HYPERLINK("CSG24.html#group75B24", "75B²⁴"), =HYPERLINK("CSG19.html#group15B19", "15B¹⁹"), =HYPERLINK("CSG23.html#group30C23", "30C²³"), =HYPERLINK("CSG23.html#group30J23", "30J²³"), =HYPERLINK("CSG23.html#group30B23", "30B²³"), =HYPERLINK("CSG8.html#group15B8", "15B⁸"), =HYPERLINK("CSG11.html#group30B11", "30B¹¹")</f>
        <v/>
      </c>
    </row>
    <row r="688">
      <c r="A688" t="inlineStr">
        <is>
          <t>15E⁴</t>
        </is>
      </c>
      <c r="B688" t="inlineStr"/>
      <c r="C688" t="inlineStr">
        <is>
          <t>120</t>
        </is>
      </c>
      <c r="D688" t="inlineStr">
        <is>
          <t>2</t>
        </is>
      </c>
      <c r="E688" t="inlineStr">
        <is>
          <t>60</t>
        </is>
      </c>
      <c r="F688" t="inlineStr">
        <is>
          <t>4</t>
        </is>
      </c>
      <c r="G688" t="inlineStr">
        <is>
          <t>6</t>
        </is>
      </c>
      <c r="H688" t="inlineStr">
        <is>
          <t>15⁸</t>
        </is>
      </c>
      <c r="I688" t="n">
        <v>8</v>
      </c>
      <c r="J688" t="inlineStr">
        <is>
          <t>8¹⁵</t>
        </is>
      </c>
      <c r="K688">
        <f>HYPERLINK("CSG2.html#group15E2", "15E²")</f>
        <v/>
      </c>
      <c r="L688">
        <f>HYPERLINK("CSG13.html#group30O13", "30O¹³"), =HYPERLINK("CSG16.html#group15A16", "15A¹⁶"), =HYPERLINK("CSG22.html#group30G22", "30G²²"), =HYPERLINK("CSG23.html#group15A23", "15A²³")</f>
        <v/>
      </c>
      <c r="M688">
        <f>HYPERLINK("CSG0.html#group5A0", "5A⁰"), =HYPERLINK("CSG2.html#group15E2", "15E²"), =HYPERLINK("CSG0.html#group1A0", "1A⁰"), =HYPERLINK("CSG0.html#group15A0", "15A⁰")</f>
        <v/>
      </c>
      <c r="N688">
        <f>HYPERLINK("CSG22.html#group30G22", "30G²²"), =HYPERLINK("CSG23.html#group15A23", "15A²³"), =HYPERLINK("CSG13.html#group30O13", "30O¹³"), =HYPERLINK("CSG16.html#group15A16", "15A¹⁶")</f>
        <v/>
      </c>
    </row>
    <row r="689">
      <c r="A689" t="inlineStr">
        <is>
          <t>16A⁴</t>
        </is>
      </c>
      <c r="B689" t="inlineStr"/>
      <c r="C689" t="inlineStr">
        <is>
          <t>96</t>
        </is>
      </c>
      <c r="D689" t="inlineStr">
        <is>
          <t>1</t>
        </is>
      </c>
      <c r="E689" t="inlineStr">
        <is>
          <t>24</t>
        </is>
      </c>
      <c r="F689" t="inlineStr">
        <is>
          <t>0</t>
        </is>
      </c>
      <c r="G689" t="inlineStr">
        <is>
          <t>0</t>
        </is>
      </c>
      <c r="H689" t="inlineStr">
        <is>
          <t>8⁸, 16²</t>
        </is>
      </c>
      <c r="I689" t="n">
        <v>10</v>
      </c>
      <c r="J689" t="inlineStr">
        <is>
          <t>4², 8²</t>
        </is>
      </c>
      <c r="K689">
        <f>HYPERLINK("CSG1.html#group16K1", "16K¹"), =HYPERLINK("CSG1.html#group16L1", "16L¹"), =HYPERLINK("CSG2.html#group8B2", "8B²")</f>
        <v/>
      </c>
      <c r="L689">
        <f>HYPERLINK("CSG7.html#group16B7", "16B⁷"), =HYPERLINK("CSG11.html#group16D11", "16D¹¹"), =HYPERLINK("CSG20.html#group48A20", "48A²⁰"), =HYPERLINK("CSG23.html#group48D23", "48D²³")</f>
        <v/>
      </c>
      <c r="M689">
        <f>HYPERLINK("CSG1.html#group16L1", "16L¹"), =HYPERLINK("CSG1.html#group8C1", "8C¹"), =HYPERLINK("CSG1.html#group8A1", "8A¹"), =HYPERLINK("CSG0.html#group8D0", "8D⁰"), =HYPERLINK("CSG0.html#group8K0", "8K⁰"), =HYPERLINK("CSG0.html#group4A0", "4A⁰"), =HYPERLINK("CSG0.html#group4C0", "4C⁰"), =HYPERLINK("CSG2.html#group8B2", "8B²"), =HYPERLINK("CSG0.html#group8A0", "8A⁰"), =HYPERLINK("CSG0.html#group2B0", "2B⁰"), =HYPERLINK("CSG0.html#group4F0", "4F⁰"), =HYPERLINK("CSG0.html#group1A0", "1A⁰"), =HYPERLINK("CSG1.html#group8D1", "8D¹"), =HYPERLINK("CSG1.html#group16K1", "16K¹")</f>
        <v/>
      </c>
      <c r="N689">
        <f>HYPERLINK("CSG21.html#group16E21", "16E²¹"), =HYPERLINK("CSG13.html#group16B13", "16B¹³"), =HYPERLINK("CSG21.html#group16D21", "16D²¹"), =HYPERLINK("CSG23.html#group32F23", "32F²³"), =HYPERLINK("CSG7.html#group16B7", "16B⁷"), =HYPERLINK("CSG20.html#group48A20", "48A²⁰"), =HYPERLINK("CSG23.html#group48D23", "48D²³"), =HYPERLINK("CSG19.html#group32A19", "32A¹⁹"), =HYPERLINK("CSG11.html#group16D11", "16D¹¹")</f>
        <v/>
      </c>
    </row>
    <row r="690">
      <c r="A690" t="inlineStr">
        <is>
          <t>16B⁴</t>
        </is>
      </c>
      <c r="B690" t="inlineStr"/>
      <c r="C690" t="inlineStr">
        <is>
          <t>96</t>
        </is>
      </c>
      <c r="D690" t="inlineStr">
        <is>
          <t>1</t>
        </is>
      </c>
      <c r="E690" t="inlineStr">
        <is>
          <t>24</t>
        </is>
      </c>
      <c r="F690" t="inlineStr">
        <is>
          <t>4</t>
        </is>
      </c>
      <c r="G690" t="inlineStr">
        <is>
          <t>0</t>
        </is>
      </c>
      <c r="H690" t="inlineStr">
        <is>
          <t>8⁴, 16⁴</t>
        </is>
      </c>
      <c r="I690" t="n">
        <v>8</v>
      </c>
      <c r="J690" t="inlineStr">
        <is>
          <t>2², 4⁵</t>
        </is>
      </c>
      <c r="K690">
        <f>HYPERLINK("CSG1.html#group8H1", "8H¹"), =HYPERLINK("CSG1.html#group16I1", "16I¹"), =HYPERLINK("CSG2.html#group16E2", "16E²")</f>
        <v/>
      </c>
      <c r="L690">
        <f>HYPERLINK("CSG7.html#group16D7", "16D⁷"), =HYPERLINK("CSG9.html#group16D9", "16D⁹"), =HYPERLINK("CSG9.html#group16H9", "16H⁹"), =HYPERLINK("CSG10.html#group16A10", "16A¹⁰"), =HYPERLINK("CSG10.html#group16B10", "16B¹⁰"), =HYPERLINK("CSG10.html#group32B10", "32B¹⁰"), =HYPERLINK("CSG10.html#group32C10", "32C¹⁰"), =HYPERLINK("CSG12.html#group32A12", "32A¹²"), =HYPERLINK("CSG12.html#group32B12", "32B¹²"), =HYPERLINK("CSG18.html#group48E18", "48E¹⁸")</f>
        <v/>
      </c>
      <c r="M690">
        <f>HYPERLINK("CSG1.html#group16I1", "16I¹"), =HYPERLINK("CSG0.html#group8D0", "8D⁰"), =HYPERLINK("CSG0.html#group4C0", "4C⁰"), =HYPERLINK("CSG0.html#group8B0", "8B⁰"), =HYPERLINK("CSG0.html#group8A0", "8A⁰"), =HYPERLINK("CSG0.html#group2B0", "2B⁰"), =HYPERLINK("CSG0.html#group1A0", "1A⁰"), =HYPERLINK("CSG0.html#group8K0", "8K⁰"), =HYPERLINK("CSG1.html#group8H1", "8H¹"), =HYPERLINK("CSG2.html#group16E2", "16E²"), =HYPERLINK("CSG1.html#group8D1", "8D¹"), =HYPERLINK("CSG0.html#group8H0", "8H⁰"), =HYPERLINK("CSG0.html#group16E0", "16E⁰"), =HYPERLINK("CSG1.html#group16D1", "16D¹"), =HYPERLINK("CSG0.html#group4A0", "4A⁰"), =HYPERLINK("CSG1.html#group16C1", "16C¹"), =HYPERLINK("CSG0.html#group4F0", "4F⁰")</f>
        <v/>
      </c>
      <c r="N690">
        <f>HYPERLINK("CSG18.html#group48E18", "48E¹⁸"), =HYPERLINK("CSG9.html#group16D9", "16D⁹"), =HYPERLINK("CSG22.html#group32A22", "32A²²"), =HYPERLINK("CSG19.html#group16A19", "16A¹⁹"), =HYPERLINK("CSG19.html#group16B19", "16B¹⁹"), =HYPERLINK("CSG19.html#group32D19", "32D¹⁹"), =HYPERLINK("CSG24.html#group32C24", "32C²⁴"), =HYPERLINK("CSG21.html#group32M21", "32M²¹"), =HYPERLINK("CSG21.html#group16D21", "16D²¹"), =HYPERLINK("CSG12.html#group32A12", "32A¹²"), =HYPERLINK("CSG22.html#group64A22", "64A²²"), =HYPERLINK("CSG24.html#group32D24", "32D²⁴"), =HYPERLINK("CSG17.html#group16A17", "16A¹⁷"), =HYPERLINK("CSG10.html#group16A10", "16A¹⁰"), =HYPERLINK("CSG10.html#group32C10", "32C¹⁰"), =HYPERLINK("CSG21.html#group16F21", "16F²¹"), =HYPERLINK("CSG10.html#group16B10", "16B¹⁰"), =HYPERLINK("CSG23.html#group32E23", "32E²³"), =HYPERLINK("CSG24.html#group32A24", "32A²⁴"), =HYPERLINK("CSG12.html#group32B12", "32B¹²"), =HYPERLINK("CSG10.html#group32B10", "32B¹⁰"), =HYPERLINK("CSG15.html#group16A15", "16A¹⁵"), =HYPERLINK("CSG19.html#group32E19", "32E¹⁹"), =HYPERLINK("CSG22.html#group32B22", "32B²²"), =HYPERLINK("CSG7.html#group16D7", "16D⁷"), =HYPERLINK("CSG9.html#group16H9", "16H⁹"), =HYPERLINK("CSG24.html#group32B24", "32B²⁴"), =HYPERLINK("CSG22.html#group64B22", "64B²²"), =HYPERLINK("CSG21.html#group32D21", "32D²¹"), =HYPERLINK("CSG21.html#group32P21", "32P²¹")</f>
        <v/>
      </c>
    </row>
    <row r="691">
      <c r="A691" t="inlineStr">
        <is>
          <t>16C⁴</t>
        </is>
      </c>
      <c r="B691" t="inlineStr"/>
      <c r="C691" t="inlineStr">
        <is>
          <t>96</t>
        </is>
      </c>
      <c r="D691" t="inlineStr">
        <is>
          <t>1</t>
        </is>
      </c>
      <c r="E691" t="inlineStr">
        <is>
          <t>24</t>
        </is>
      </c>
      <c r="F691" t="inlineStr">
        <is>
          <t>4</t>
        </is>
      </c>
      <c r="G691" t="inlineStr">
        <is>
          <t>0</t>
        </is>
      </c>
      <c r="H691" t="inlineStr">
        <is>
          <t>8⁴, 16⁴</t>
        </is>
      </c>
      <c r="I691" t="n">
        <v>8</v>
      </c>
      <c r="J691" t="inlineStr">
        <is>
          <t>2², 4⁵</t>
        </is>
      </c>
      <c r="K691">
        <f>HYPERLINK("CSG1.html#group8I1", "8I¹"), =HYPERLINK("CSG1.html#group16H1", "16H¹"), =HYPERLINK("CSG2.html#group16E2", "16E²")</f>
        <v/>
      </c>
      <c r="L691">
        <f>HYPERLINK("CSG7.html#group16D7", "16D⁷"), =HYPERLINK("CSG9.html#group16A9", "16A⁹"), =HYPERLINK("CSG9.html#group16H9", "16H⁹"), =HYPERLINK("CSG12.html#group32C12", "32C¹²"), =HYPERLINK("CSG18.html#group48F18", "48F¹⁸")</f>
        <v/>
      </c>
      <c r="M691">
        <f>HYPERLINK("CSG0.html#group8H0", "8H⁰"), =HYPERLINK("CSG0.html#group8F0", "8F⁰"), =HYPERLINK("CSG1.html#group16D1", "16D¹"), =HYPERLINK("CSG0.html#group8D0", "8D⁰"), =HYPERLINK("CSG0.html#group4A0", "4A⁰"), =HYPERLINK("CSG1.html#group8I1", "8I¹"), =HYPERLINK("CSG0.html#group4C0", "4C⁰"), =HYPERLINK("CSG0.html#group8B0", "8B⁰"), =HYPERLINK("CSG0.html#group1A0", "1A⁰"), =HYPERLINK("CSG0.html#group2B0", "2B⁰"), =HYPERLINK("CSG0.html#group4F0", "4F⁰"), =HYPERLINK("CSG1.html#group16H1", "16H¹"), =HYPERLINK("CSG2.html#group16E2", "16E²")</f>
        <v/>
      </c>
      <c r="N691">
        <f>HYPERLINK("CSG21.html#group16C21", "16C²¹"), =HYPERLINK("CSG21.html#group32F21", "32F²¹"), =HYPERLINK("CSG12.html#group32C12", "32C¹²"), =HYPERLINK("CSG18.html#group48F18", "48F¹⁸"), =HYPERLINK("CSG23.html#group32E23", "32E²³"), =HYPERLINK("CSG9.html#group16A9", "16A⁹"), =HYPERLINK("CSG19.html#group16B19", "16B¹⁹"), =HYPERLINK("CSG19.html#group16A19", "16A¹⁹"), =HYPERLINK("CSG19.html#group32D19", "32D¹⁹"), =HYPERLINK("CSG21.html#group32M21", "32M²¹"), =HYPERLINK("CSG15.html#group16A15", "16A¹⁵"), =HYPERLINK("CSG19.html#group32E19", "32E¹⁹"), =HYPERLINK("CSG7.html#group16D7", "16D⁷"), =HYPERLINK("CSG9.html#group16H9", "16H⁹"), =HYPERLINK("CSG21.html#group16F21", "16F²¹"), =HYPERLINK("CSG21.html#group32P21", "32P²¹"), =HYPERLINK("CSG17.html#group16A17", "16A¹⁷")</f>
        <v/>
      </c>
    </row>
    <row r="692">
      <c r="A692" t="inlineStr">
        <is>
          <t>17A⁴</t>
        </is>
      </c>
      <c r="B692" t="inlineStr"/>
      <c r="C692" t="inlineStr">
        <is>
          <t>102</t>
        </is>
      </c>
      <c r="D692" t="inlineStr">
        <is>
          <t>1</t>
        </is>
      </c>
      <c r="E692" t="inlineStr">
        <is>
          <t>102</t>
        </is>
      </c>
      <c r="F692" t="inlineStr">
        <is>
          <t>6</t>
        </is>
      </c>
      <c r="G692" t="inlineStr">
        <is>
          <t>3</t>
        </is>
      </c>
      <c r="H692" t="inlineStr">
        <is>
          <t>17⁶</t>
        </is>
      </c>
      <c r="I692" t="n">
        <v>6</v>
      </c>
      <c r="J692" t="inlineStr">
        <is>
          <t>4¹, 8¹, 16¹²</t>
        </is>
      </c>
      <c r="K692">
        <f>HYPERLINK("CSG0.html#group1A0", "1A⁰")</f>
        <v/>
      </c>
      <c r="L692">
        <f>HYPERLINK("CSG9.html#group17A9", "17A⁹"), =HYPERLINK("CSG11.html#group34A11", "34A¹¹"), =HYPERLINK("CSG13.html#group34A13", "34A¹³"), =HYPERLINK("CSG15.html#group17B15", "17B¹⁵"), =HYPERLINK("CSG19.html#group34B19", "34B¹⁹"), =HYPERLINK("CSG19.html#group51A19", "51A¹⁹"), =HYPERLINK("CSG20.html#group17A20", "17A²⁰")</f>
        <v/>
      </c>
      <c r="M692">
        <f>HYPERLINK("CSG0.html#group1A0", "1A⁰")</f>
        <v/>
      </c>
      <c r="N692">
        <f>HYPERLINK("CSG19.html#group34B19", "34B¹⁹"), =HYPERLINK("CSG11.html#group34A11", "34A¹¹"), =HYPERLINK("CSG19.html#group51A19", "51A¹⁹"), =HYPERLINK("CSG9.html#group17A9", "17A⁹"), =HYPERLINK("CSG13.html#group34A13", "34A¹³"), =HYPERLINK("CSG20.html#group17A20", "17A²⁰"), =HYPERLINK("CSG15.html#group17B15", "17B¹⁵")</f>
        <v/>
      </c>
    </row>
    <row r="693">
      <c r="A693" t="inlineStr">
        <is>
          <t>17B⁴</t>
        </is>
      </c>
      <c r="B693" t="inlineStr"/>
      <c r="C693" t="inlineStr">
        <is>
          <t>102</t>
        </is>
      </c>
      <c r="D693" t="inlineStr">
        <is>
          <t>1</t>
        </is>
      </c>
      <c r="E693" t="inlineStr">
        <is>
          <t>102</t>
        </is>
      </c>
      <c r="F693" t="inlineStr">
        <is>
          <t>6</t>
        </is>
      </c>
      <c r="G693" t="inlineStr">
        <is>
          <t>3</t>
        </is>
      </c>
      <c r="H693" t="inlineStr">
        <is>
          <t>17⁶</t>
        </is>
      </c>
      <c r="I693" t="n">
        <v>6</v>
      </c>
      <c r="J693" t="inlineStr">
        <is>
          <t>4¹, 8¹, 16¹²</t>
        </is>
      </c>
      <c r="K693">
        <f>HYPERLINK("CSG0.html#group1A0", "1A⁰")</f>
        <v/>
      </c>
      <c r="L693">
        <f>HYPERLINK("CSG9.html#group17B9", "17B⁹"), =HYPERLINK("CSG11.html#group34B11", "34B¹¹"), =HYPERLINK("CSG13.html#group34B13", "34B¹³"), =HYPERLINK("CSG15.html#group17C15", "17C¹⁵"), =HYPERLINK("CSG19.html#group34C19", "34C¹⁹"), =HYPERLINK("CSG19.html#group51B19", "51B¹⁹"), =HYPERLINK("CSG20.html#group17A20", "17A²⁰")</f>
        <v/>
      </c>
      <c r="M693">
        <f>HYPERLINK("CSG0.html#group1A0", "1A⁰")</f>
        <v/>
      </c>
      <c r="N693">
        <f>HYPERLINK("CSG15.html#group17C15", "17C¹⁵"), =HYPERLINK("CSG11.html#group34B11", "34B¹¹"), =HYPERLINK("CSG9.html#group17B9", "17B⁹"), =HYPERLINK("CSG13.html#group34B13", "34B¹³"), =HYPERLINK("CSG19.html#group34C19", "34C¹⁹"), =HYPERLINK("CSG19.html#group51B19", "51B¹⁹"), =HYPERLINK("CSG20.html#group17A20", "17A²⁰")</f>
        <v/>
      </c>
    </row>
    <row r="694">
      <c r="A694" t="inlineStr">
        <is>
          <t>18A⁴</t>
        </is>
      </c>
      <c r="B694" t="inlineStr"/>
      <c r="C694" t="inlineStr">
        <is>
          <t>54</t>
        </is>
      </c>
      <c r="D694" t="inlineStr">
        <is>
          <t>1</t>
        </is>
      </c>
      <c r="E694" t="inlineStr">
        <is>
          <t>9</t>
        </is>
      </c>
      <c r="F694" t="inlineStr">
        <is>
          <t>0</t>
        </is>
      </c>
      <c r="G694" t="inlineStr">
        <is>
          <t>0</t>
        </is>
      </c>
      <c r="H694" t="inlineStr">
        <is>
          <t>18³</t>
        </is>
      </c>
      <c r="I694" t="n">
        <v>3</v>
      </c>
      <c r="J694" t="inlineStr">
        <is>
          <t>1¹, 2¹, 6¹</t>
        </is>
      </c>
      <c r="K694">
        <f>HYPERLINK("CSG1.html#group6C1", "6C¹"), =HYPERLINK("CSG1.html#group18E1", "18E¹"), =HYPERLINK("CSG2.html#group18A2", "18A²")</f>
        <v/>
      </c>
      <c r="L694">
        <f>HYPERLINK("CSG7.html#group18A7", "18A⁷"), =HYPERLINK("CSG7.html#group18E7", "18E⁷"), =HYPERLINK("CSG8.html#group36B8", "36B⁸"), =HYPERLINK("CSG8.html#group36D8", "36D⁸"), =HYPERLINK("CSG8.html#group36G8", "36G⁸"), =HYPERLINK("CSG10.html#group18C10", "18C¹⁰"), =HYPERLINK("CSG22.html#group90B22", "90B²²")</f>
        <v/>
      </c>
      <c r="M694">
        <f>HYPERLINK("CSG0.html#group2A0", "2A⁰"), =HYPERLINK("CSG0.html#group6A0", "6A⁰"), =HYPERLINK("CSG0.html#group9A0", "9A⁰"), =HYPERLINK("CSG1.html#group6C1", "6C¹"), =HYPERLINK("CSG1.html#group6A1", "6A¹"), =HYPERLINK("CSG2.html#group18A2", "18A²"), =HYPERLINK("CSG0.html#group2B0", "2B⁰"), =HYPERLINK("CSG1.html#group18E1", "18E¹"), =HYPERLINK("CSG0.html#group3A0", "3A⁰"), =HYPERLINK("CSG0.html#group1A0", "1A⁰"), =HYPERLINK("CSG0.html#group2C0", "2C⁰"), =HYPERLINK("CSG0.html#group6D0", "6D⁰")</f>
        <v/>
      </c>
      <c r="N694">
        <f>HYPERLINK("CSG22.html#group90B22", "90B²²"), =HYPERLINK("CSG15.html#group36K15", "36K¹⁵"), =HYPERLINK("CSG7.html#group18A7", "18A⁷"), =HYPERLINK("CSG16.html#group72G16", "72G¹⁶"), =HYPERLINK("CSG16.html#group72Q16", "72Q¹⁶"), =HYPERLINK("CSG16.html#group72I16", "72I¹⁶"), =HYPERLINK("CSG7.html#group18E7", "18E⁷"), =HYPERLINK("CSG22.html#group36F22", "36F²²"), =HYPERLINK("CSG15.html#group36C15", "36C¹⁵"), =HYPERLINK("CSG19.html#group18E19", "18E¹⁹"), =HYPERLINK("CSG16.html#group72B16", "72B¹⁶"), =HYPERLINK("CSG8.html#group36B8", "36B⁸"), =HYPERLINK("CSG15.html#group36D15", "36D¹⁵"), =HYPERLINK("CSG16.html#group72A16", "72A¹⁶"), =HYPERLINK("CSG17.html#group72K17", "72K¹⁷"), =HYPERLINK("CSG8.html#group36G8", "36G⁸"), =HYPERLINK("CSG8.html#group36D8", "36D⁸"), =HYPERLINK("CSG16.html#group36E16", "36E¹⁶"), =HYPERLINK("CSG17.html#group72E17", "72E¹⁷"), =HYPERLINK("CSG17.html#group72C17", "72C¹⁷"), =HYPERLINK("CSG16.html#group36B16", "36B¹⁶"), =HYPERLINK("CSG22.html#group36J22", "36J²²"), =HYPERLINK("CSG16.html#group36A16", "36A¹⁶"), =HYPERLINK("CSG22.html#group36E22", "36E²²"), =HYPERLINK("CSG16.html#group72H16", "72H¹⁶"), =HYPERLINK("CSG16.html#group36C16", "36C¹⁶"), =HYPERLINK("CSG13.html#group18B13", "18B¹³"), =HYPERLINK("CSG19.html#group18C19", "18C¹⁹"), =HYPERLINK("CSG19.html#group18A19", "18A¹⁹"), =HYPERLINK("CSG15.html#group36J15", "36J¹⁵"), =HYPERLINK("CSG10.html#group18C10", "18C¹⁰")</f>
        <v/>
      </c>
    </row>
    <row r="695">
      <c r="A695" t="inlineStr">
        <is>
          <t>18B⁴</t>
        </is>
      </c>
      <c r="B695" t="inlineStr"/>
      <c r="C695" t="inlineStr">
        <is>
          <t>54</t>
        </is>
      </c>
      <c r="D695" t="inlineStr">
        <is>
          <t>1</t>
        </is>
      </c>
      <c r="E695" t="inlineStr">
        <is>
          <t>27</t>
        </is>
      </c>
      <c r="F695" t="inlineStr">
        <is>
          <t>0</t>
        </is>
      </c>
      <c r="G695" t="inlineStr">
        <is>
          <t>0</t>
        </is>
      </c>
      <c r="H695" t="inlineStr">
        <is>
          <t>18³</t>
        </is>
      </c>
      <c r="I695" t="n">
        <v>3</v>
      </c>
      <c r="J695" t="inlineStr">
        <is>
          <t>3¹, 6⁴</t>
        </is>
      </c>
      <c r="K695">
        <f>HYPERLINK("CSG0.html#group9G0", "9G⁰"), =HYPERLINK("CSG2.html#group18A2", "18A²")</f>
        <v/>
      </c>
      <c r="L695">
        <f>HYPERLINK("CSG7.html#group18C7", "18C⁷"), =HYPERLINK("CSG7.html#group18F7", "18F⁷"), =HYPERLINK("CSG10.html#group18B10", "18B¹⁰"), =HYPERLINK("CSG10.html#group18C10", "18C¹⁰"), =HYPERLINK("CSG13.html#group54A13", "54A¹³"), =HYPERLINK("CSG16.html#group36D16", "36D¹⁶"), =HYPERLINK("CSG22.html#group90D22", "90D²²")</f>
        <v/>
      </c>
      <c r="M695">
        <f>HYPERLINK("CSG0.html#group2A0", "2A⁰"), =HYPERLINK("CSG1.html#group6A1", "6A¹"), =HYPERLINK("CSG2.html#group18A2", "18A²"), =HYPERLINK("CSG0.html#group9A0", "9A⁰"), =HYPERLINK("CSG0.html#group3A0", "3A⁰"), =HYPERLINK("CSG0.html#group1A0", "1A⁰"), =HYPERLINK("CSG0.html#group9G0", "9G⁰")</f>
        <v/>
      </c>
      <c r="N695">
        <f>HYPERLINK("CSG16.html#group36D16", "36D¹⁶"), =HYPERLINK("CSG13.html#group54A13", "54A¹³"), =HYPERLINK("CSG22.html#group36J22", "36J²²"), =HYPERLINK("CSG22.html#group36E22", "36E²²"), =HYPERLINK("CSG22.html#group36F22", "36F²²"), =HYPERLINK("CSG19.html#group18B19", "18B¹⁹"), =HYPERLINK("CSG13.html#group18A13", "18A¹³"), =HYPERLINK("CSG19.html#group18E19", "18E¹⁹"), =HYPERLINK("CSG22.html#group90D22", "90D²²"), =HYPERLINK("CSG7.html#group18F7", "18F⁷"), =HYPERLINK("CSG19.html#group18D19", "18D¹⁹"), =HYPERLINK("CSG19.html#group18C19", "18C¹⁹"), =HYPERLINK("CSG22.html#group54H22", "54H²²"), =HYPERLINK("CSG7.html#group18C7", "18C⁷"), =HYPERLINK("CSG10.html#group18B10", "18B¹⁰"), =HYPERLINK("CSG10.html#group18C10", "18C¹⁰")</f>
        <v/>
      </c>
    </row>
    <row r="696">
      <c r="A696" t="inlineStr">
        <is>
          <t>18C⁴</t>
        </is>
      </c>
      <c r="B696" t="inlineStr"/>
      <c r="C696" t="inlineStr">
        <is>
          <t>72</t>
        </is>
      </c>
      <c r="D696" t="inlineStr">
        <is>
          <t>1</t>
        </is>
      </c>
      <c r="E696" t="inlineStr">
        <is>
          <t>4</t>
        </is>
      </c>
      <c r="F696" t="inlineStr">
        <is>
          <t>0</t>
        </is>
      </c>
      <c r="G696" t="inlineStr">
        <is>
          <t>0</t>
        </is>
      </c>
      <c r="H696" t="inlineStr">
        <is>
          <t>6³, 18³</t>
        </is>
      </c>
      <c r="I696" t="n">
        <v>6</v>
      </c>
      <c r="J696" t="inlineStr">
        <is>
          <t>1², 2¹</t>
        </is>
      </c>
      <c r="K696">
        <f>HYPERLINK("CSG0.html#group6I0", "6I⁰"), =HYPERLINK("CSG0.html#group18B0", "18B⁰"), =HYPERLINK("CSG2.html#group18C2", "18C²"), =HYPERLINK("CSG2.html#group18D2", "18D²")</f>
        <v/>
      </c>
      <c r="L696">
        <f>HYPERLINK("CSG8.html#group36H8", "36H⁸"), =HYPERLINK("CSG9.html#group36C9", "36C⁹"), =HYPERLINK("CSG10.html#group18E10", "18E¹⁰"), =HYPERLINK("CSG10.html#group18G10", "18G¹⁰"), =HYPERLINK("CSG10.html#group36A10", "36A¹⁰"), =HYPERLINK("CSG16.html#group54D16", "54D¹⁶"), =HYPERLINK("CSG16.html#group54E16", "54E¹⁶"), =HYPERLINK("CSG16.html#group54F16", "54F¹⁶")</f>
        <v/>
      </c>
      <c r="M696">
        <f>HYPERLINK("CSG0.html#group3B0", "3B⁰"), =HYPERLINK("CSG0.html#group2A0", "2A⁰"), =HYPERLINK("CSG0.html#group18B0", "18B⁰"), =HYPERLINK("CSG0.html#group6I0", "6I⁰"), =HYPERLINK("CSG0.html#group6C0", "6C⁰"), =HYPERLINK("CSG0.html#group6F0", "6F⁰"), =HYPERLINK("CSG2.html#group18D2", "18D²"), =HYPERLINK("CSG0.html#group2B0", "2B⁰"), =HYPERLINK("CSG0.html#group9C0", "9C⁰"), =HYPERLINK("CSG0.html#group1A0", "1A⁰"), =HYPERLINK("CSG0.html#group2C0", "2C⁰"), =HYPERLINK("CSG2.html#group18C2", "18C²")</f>
        <v/>
      </c>
      <c r="N696">
        <f>HYPERLINK("CSG19.html#group72A19", "72A¹⁹"), =HYPERLINK("CSG16.html#group54E16", "54E¹⁶"), =HYPERLINK("CSG10.html#group18G10", "18G¹⁰"), =HYPERLINK("CSG10.html#group18E10", "18E¹⁰"), =HYPERLINK("CSG19.html#group72C19", "72C¹⁹"), =HYPERLINK("CSG19.html#group72M19", "72M¹⁹"), =HYPERLINK("CSG21.html#group72A21", "72A²¹"), =HYPERLINK("CSG16.html#group54D16", "54D¹⁶"), =HYPERLINK("CSG19.html#group36C19", "36C¹⁹"), =HYPERLINK("CSG9.html#group36C9", "36C⁹"), =HYPERLINK("CSG22.html#group36K22", "36K²²"), =HYPERLINK("CSG8.html#group36H8", "36H⁸"), =HYPERLINK("CSG10.html#group36A10", "36A¹⁰"), =HYPERLINK("CSG22.html#group36N22", "36N²²"), =HYPERLINK("CSG16.html#group54F16", "54F¹⁶"), =HYPERLINK("CSG19.html#group36A19", "36A¹⁹"), =HYPERLINK("CSG21.html#group72C21", "72C²¹"), =HYPERLINK("CSG17.html#group36A17", "36A¹⁷"), =HYPERLINK("CSG19.html#group72K19", "72K¹⁹")</f>
        <v/>
      </c>
    </row>
    <row r="697">
      <c r="A697" t="inlineStr">
        <is>
          <t>18D⁴</t>
        </is>
      </c>
      <c r="B697" t="inlineStr"/>
      <c r="C697" t="inlineStr">
        <is>
          <t>72</t>
        </is>
      </c>
      <c r="D697" t="inlineStr">
        <is>
          <t>1</t>
        </is>
      </c>
      <c r="E697" t="inlineStr">
        <is>
          <t>4</t>
        </is>
      </c>
      <c r="F697" t="inlineStr">
        <is>
          <t>0</t>
        </is>
      </c>
      <c r="G697" t="inlineStr">
        <is>
          <t>0</t>
        </is>
      </c>
      <c r="H697" t="inlineStr">
        <is>
          <t>6³, 18³</t>
        </is>
      </c>
      <c r="I697" t="n">
        <v>6</v>
      </c>
      <c r="J697" t="inlineStr">
        <is>
          <t>1², 2¹</t>
        </is>
      </c>
      <c r="K697">
        <f>HYPERLINK("CSG0.html#group6I0", "6I⁰"), =HYPERLINK("CSG1.html#group18D1", "18D¹"), =HYPERLINK("CSG2.html#group18B2", "18B²"), =HYPERLINK("CSG2.html#group18E2", "18E²")</f>
        <v/>
      </c>
      <c r="L697">
        <f>HYPERLINK("CSG8.html#group36I8", "36I⁸"), =HYPERLINK("CSG9.html#group36D9", "36D⁹"), =HYPERLINK("CSG10.html#group18E10", "18E¹⁰"), =HYPERLINK("CSG10.html#group18H10", "18H¹⁰"), =HYPERLINK("CSG10.html#group36B10", "36B¹⁰")</f>
        <v/>
      </c>
      <c r="M697">
        <f>HYPERLINK("CSG0.html#group3B0", "3B⁰"), =HYPERLINK("CSG0.html#group2A0", "2A⁰"), =HYPERLINK("CSG2.html#group18B2", "18B²"), =HYPERLINK("CSG0.html#group6I0", "6I⁰"), =HYPERLINK("CSG1.html#group9A1", "9A¹"), =HYPERLINK("CSG2.html#group18E2", "18E²"), =HYPERLINK("CSG0.html#group6F0", "6F⁰"), =HYPERLINK("CSG0.html#group6C0", "6C⁰"), =HYPERLINK("CSG0.html#group2B0", "2B⁰"), =HYPERLINK("CSG0.html#group1A0", "1A⁰"), =HYPERLINK("CSG0.html#group2C0", "2C⁰"), =HYPERLINK("CSG1.html#group18D1", "18D¹")</f>
        <v/>
      </c>
      <c r="N697">
        <f>HYPERLINK("CSG10.html#group36B10", "36B¹⁰"), =HYPERLINK("CSG19.html#group72N19", "72N¹⁹"), =HYPERLINK("CSG9.html#group36D9", "36D⁹"), =HYPERLINK("CSG22.html#group36K22", "36K²²"), =HYPERLINK("CSG19.html#group72L19", "72L¹⁹"), =HYPERLINK("CSG19.html#group36B19", "36B¹⁹"), =HYPERLINK("CSG10.html#group18E10", "18E¹⁰"), =HYPERLINK("CSG10.html#group18H10", "18H¹⁰"), =HYPERLINK("CSG21.html#group72D21", "72D²¹"), =HYPERLINK("CSG19.html#group72B19", "72B¹⁹"), =HYPERLINK("CSG8.html#group36I8", "36I⁸"), =HYPERLINK("CSG19.html#group36D19", "36D¹⁹"), =HYPERLINK("CSG17.html#group36B17", "36B¹⁷"), =HYPERLINK("CSG19.html#group72D19", "72D¹⁹"), =HYPERLINK("CSG21.html#group72B21", "72B²¹"), =HYPERLINK("CSG22.html#group36O22", "36O²²")</f>
        <v/>
      </c>
    </row>
    <row r="698">
      <c r="A698" t="inlineStr">
        <is>
          <t>18E⁴</t>
        </is>
      </c>
      <c r="B698" t="inlineStr"/>
      <c r="C698" t="inlineStr">
        <is>
          <t>72</t>
        </is>
      </c>
      <c r="D698" t="inlineStr">
        <is>
          <t>1</t>
        </is>
      </c>
      <c r="E698" t="inlineStr">
        <is>
          <t>4</t>
        </is>
      </c>
      <c r="F698" t="inlineStr">
        <is>
          <t>0</t>
        </is>
      </c>
      <c r="G698" t="inlineStr">
        <is>
          <t>0</t>
        </is>
      </c>
      <c r="H698" t="inlineStr">
        <is>
          <t>6³, 18³</t>
        </is>
      </c>
      <c r="I698" t="n">
        <v>6</v>
      </c>
      <c r="J698" t="inlineStr">
        <is>
          <t>1², 2¹</t>
        </is>
      </c>
      <c r="K698">
        <f>HYPERLINK("CSG0.html#group18B0", "18B⁰"), =HYPERLINK("CSG1.html#group6D1", "6D¹"), =HYPERLINK("CSG1.html#group9C1", "9C¹"), =HYPERLINK("CSG1.html#group18C1", "18C¹"), =HYPERLINK("CSG2.html#group18B2", "18B²")</f>
        <v/>
      </c>
      <c r="L698">
        <f>HYPERLINK("CSG10.html#group18D10", "18D¹⁰"), =HYPERLINK("CSG10.html#group18E10", "18E¹⁰"), =HYPERLINK("CSG10.html#group18F10", "18F¹⁰"), =HYPERLINK("CSG10.html#group36C10", "36C¹⁰"), =HYPERLINK("CSG13.html#group18C13", "18C¹³"), =HYPERLINK("CSG13.html#group18G13", "18G¹³"), =HYPERLINK("CSG13.html#group54E13", "54E¹³"), =HYPERLINK("CSG13.html#group54I13", "54I¹³"), =HYPERLINK("CSG16.html#group54A16", "54A¹⁶"), =HYPERLINK("CSG16.html#group54G16", "54G¹⁶"), =HYPERLINK("CSG16.html#group54H16", "54H¹⁶"), =HYPERLINK("CSG16.html#group54K16", "54K¹⁶"), =HYPERLINK("CSG19.html#group36E19", "36E¹⁹")</f>
        <v/>
      </c>
      <c r="M698">
        <f>HYPERLINK("CSG0.html#group3B0", "3B⁰"), =HYPERLINK("CSG0.html#group2A0", "2A⁰"), =HYPERLINK("CSG0.html#group6B0", "6B⁰"), =HYPERLINK("CSG0.html#group18B0", "18B⁰"), =HYPERLINK("CSG0.html#group6C0", "6C⁰"), =HYPERLINK("CSG0.html#group9B0", "9B⁰"), =HYPERLINK("CSG0.html#group9C0", "9C⁰"), =HYPERLINK("CSG0.html#group1A0", "1A⁰"), =HYPERLINK("CSG2.html#group18B2", "18B²"), =HYPERLINK("CSG1.html#group6D1", "6D¹"), =HYPERLINK("CSG0.html#group6E0", "6E⁰"), =HYPERLINK("CSG1.html#group6B1", "6B¹"), =HYPERLINK("CSG1.html#group18C1", "18C¹"), =HYPERLINK("CSG1.html#group9A1", "9A¹"), =HYPERLINK("CSG0.html#group3C0", "3C⁰"), =HYPERLINK("CSG1.html#group9C1", "9C¹"), =HYPERLINK("CSG1.html#group6A1", "6A¹"), =HYPERLINK("CSG0.html#group3A0", "3A⁰"), =HYPERLINK("CSG0.html#group3D0", "3D⁰")</f>
        <v/>
      </c>
      <c r="N698">
        <f>HYPERLINK("CSG13.html#group54I13", "54I¹³"), =HYPERLINK("CSG22.html#group36K22", "36K²²"), =HYPERLINK("CSG13.html#group18C13", "18C¹³"), =HYPERLINK("CSG10.html#group18E10", "18E¹⁰"), =HYPERLINK("CSG19.html#group36E19", "36E¹⁹"), =HYPERLINK("CSG16.html#group54H16", "54H¹⁶"), =HYPERLINK("CSG10.html#group18D10", "18D¹⁰"), =HYPERLINK("CSG13.html#group18G13", "18G¹³"), =HYPERLINK("CSG16.html#group54A16", "54A¹⁶"), =HYPERLINK("CSG16.html#group54G16", "54G¹⁶"), =HYPERLINK("CSG16.html#group54K16", "54K¹⁶"), =HYPERLINK("CSG13.html#group54E13", "54E¹³"), =HYPERLINK("CSG10.html#group36C10", "36C¹⁰"), =HYPERLINK("CSG10.html#group18F10", "18F¹⁰")</f>
        <v/>
      </c>
    </row>
    <row r="699">
      <c r="A699" t="inlineStr">
        <is>
          <t>18F⁴</t>
        </is>
      </c>
      <c r="B699" t="inlineStr"/>
      <c r="C699" t="inlineStr">
        <is>
          <t>72</t>
        </is>
      </c>
      <c r="D699" t="inlineStr">
        <is>
          <t>1</t>
        </is>
      </c>
      <c r="E699" t="inlineStr">
        <is>
          <t>8</t>
        </is>
      </c>
      <c r="F699" t="inlineStr">
        <is>
          <t>0</t>
        </is>
      </c>
      <c r="G699" t="inlineStr">
        <is>
          <t>0</t>
        </is>
      </c>
      <c r="H699" t="inlineStr">
        <is>
          <t>6³, 18³</t>
        </is>
      </c>
      <c r="I699" t="n">
        <v>6</v>
      </c>
      <c r="J699" t="inlineStr">
        <is>
          <t>2⁴</t>
        </is>
      </c>
      <c r="K699">
        <f>HYPERLINK("CSG0.html#group6J0", "6J⁰"), =HYPERLINK("CSG0.html#group18C0", "18C⁰"), =HYPERLINK("CSG2.html#group18B2", "18B²"), =HYPERLINK("CSG2.html#group18C2", "18C²")</f>
        <v/>
      </c>
      <c r="L699">
        <f>HYPERLINK("CSG10.html#group18E10", "18E¹⁰"), =HYPERLINK("CSG10.html#group18J10", "18J¹⁰"), =HYPERLINK("CSG10.html#group36D10", "36D¹⁰"), =HYPERLINK("CSG19.html#group36F19", "36F¹⁹")</f>
        <v/>
      </c>
      <c r="M699">
        <f>HYPERLINK("CSG0.html#group18C0", "18C⁰"), =HYPERLINK("CSG0.html#group3B0", "3B⁰"), =HYPERLINK("CSG2.html#group18B2", "18B²"), =HYPERLINK("CSG0.html#group2A0", "2A⁰"), =HYPERLINK("CSG0.html#group6A0", "6A⁰"), =HYPERLINK("CSG0.html#group6C0", "6C⁰"), =HYPERLINK("CSG1.html#group9A1", "9A¹"), =HYPERLINK("CSG0.html#group6J0", "6J⁰"), =HYPERLINK("CSG0.html#group1A0", "1A⁰"), =HYPERLINK("CSG2.html#group18C2", "18C²")</f>
        <v/>
      </c>
      <c r="N699">
        <f>HYPERLINK("CSG10.html#group36D10", "36D¹⁰"), =HYPERLINK("CSG10.html#group18J10", "18J¹⁰"), =HYPERLINK("CSG22.html#group36K22", "36K²²"), =HYPERLINK("CSG10.html#group18E10", "18E¹⁰"), =HYPERLINK("CSG19.html#group36F19", "36F¹⁹")</f>
        <v/>
      </c>
    </row>
    <row r="700">
      <c r="A700" t="inlineStr">
        <is>
          <t>18G⁴</t>
        </is>
      </c>
      <c r="B700" t="inlineStr"/>
      <c r="C700" t="inlineStr">
        <is>
          <t>72</t>
        </is>
      </c>
      <c r="D700" t="inlineStr">
        <is>
          <t>1</t>
        </is>
      </c>
      <c r="E700" t="inlineStr">
        <is>
          <t>8</t>
        </is>
      </c>
      <c r="F700" t="inlineStr">
        <is>
          <t>0</t>
        </is>
      </c>
      <c r="G700" t="inlineStr">
        <is>
          <t>0</t>
        </is>
      </c>
      <c r="H700" t="inlineStr">
        <is>
          <t>6³, 18³</t>
        </is>
      </c>
      <c r="I700" t="n">
        <v>6</v>
      </c>
      <c r="J700" t="inlineStr">
        <is>
          <t>2⁴</t>
        </is>
      </c>
      <c r="K700">
        <f>HYPERLINK("CSG0.html#group6J0", "6J⁰"), =HYPERLINK("CSG1.html#group18C1", "18C¹"), =HYPERLINK("CSG1.html#group18D1", "18D¹"), =HYPERLINK("CSG2.html#group18C2", "18C²")</f>
        <v/>
      </c>
      <c r="L700">
        <f>HYPERLINK("CSG10.html#group18E10", "18E¹⁰"), =HYPERLINK("CSG10.html#group18I10", "18I¹⁰"), =HYPERLINK("CSG10.html#group36E10", "36E¹⁰"), =HYPERLINK("CSG13.html#group54H13", "54H¹³"), =HYPERLINK("CSG13.html#group54J13", "54J¹³"), =HYPERLINK("CSG13.html#group54K13", "54K¹³"), =HYPERLINK("CSG19.html#group36G19", "36G¹⁹")</f>
        <v/>
      </c>
      <c r="M700">
        <f>HYPERLINK("CSG0.html#group3B0", "3B⁰"), =HYPERLINK("CSG0.html#group2A0", "2A⁰"), =HYPERLINK("CSG0.html#group6A0", "6A⁰"), =HYPERLINK("CSG1.html#group18D1", "18D¹"), =HYPERLINK("CSG1.html#group18C1", "18C¹"), =HYPERLINK("CSG0.html#group6C0", "6C⁰"), =HYPERLINK("CSG0.html#group6J0", "6J⁰"), =HYPERLINK("CSG0.html#group9B0", "9B⁰"), =HYPERLINK("CSG0.html#group1A0", "1A⁰"), =HYPERLINK("CSG2.html#group18C2", "18C²")</f>
        <v/>
      </c>
      <c r="N700">
        <f>HYPERLINK("CSG13.html#group54H13", "54H¹³"), =HYPERLINK("CSG10.html#group18I10", "18I¹⁰"), =HYPERLINK("CSG19.html#group36G19", "36G¹⁹"), =HYPERLINK("CSG13.html#group54J13", "54J¹³"), =HYPERLINK("CSG22.html#group36K22", "36K²²"), =HYPERLINK("CSG10.html#group18E10", "18E¹⁰"), =HYPERLINK("CSG10.html#group36E10", "36E¹⁰"), =HYPERLINK("CSG13.html#group54K13", "54K¹³")</f>
        <v/>
      </c>
    </row>
    <row r="701">
      <c r="A701" t="inlineStr">
        <is>
          <t>18H⁴</t>
        </is>
      </c>
      <c r="B701" t="inlineStr"/>
      <c r="C701" t="inlineStr">
        <is>
          <t>72</t>
        </is>
      </c>
      <c r="D701" t="inlineStr">
        <is>
          <t>1</t>
        </is>
      </c>
      <c r="E701" t="inlineStr">
        <is>
          <t>8</t>
        </is>
      </c>
      <c r="F701" t="inlineStr">
        <is>
          <t>0</t>
        </is>
      </c>
      <c r="G701" t="inlineStr">
        <is>
          <t>0</t>
        </is>
      </c>
      <c r="H701" t="inlineStr">
        <is>
          <t>6³, 18³</t>
        </is>
      </c>
      <c r="I701" t="n">
        <v>6</v>
      </c>
      <c r="J701" t="inlineStr">
        <is>
          <t>2⁴</t>
        </is>
      </c>
      <c r="K701">
        <f>HYPERLINK("CSG0.html#group18C0", "18C⁰"), =HYPERLINK("CSG1.html#group6D1", "6D¹"), =HYPERLINK("CSG1.html#group18D1", "18D¹"), =HYPERLINK("CSG2.html#group18C2", "18C²")</f>
        <v/>
      </c>
      <c r="L701">
        <f>HYPERLINK("CSG10.html#group18E10", "18E¹⁰"), =HYPERLINK("CSG10.html#group18K10", "18K¹⁰"), =HYPERLINK("CSG10.html#group36F10", "36F¹⁰"), =HYPERLINK("CSG13.html#group18D13", "18D¹³"), =HYPERLINK("CSG13.html#group18F13", "18F¹³"), =HYPERLINK("CSG13.html#group18G13", "18G¹³"), =HYPERLINK("CSG19.html#group36H19", "36H¹⁹")</f>
        <v/>
      </c>
      <c r="M701">
        <f>HYPERLINK("CSG0.html#group3B0", "3B⁰"), =HYPERLINK("CSG0.html#group2A0", "2A⁰"), =HYPERLINK("CSG0.html#group6B0", "6B⁰"), =HYPERLINK("CSG1.html#group18D1", "18D¹"), =HYPERLINK("CSG0.html#group6C0", "6C⁰"), =HYPERLINK("CSG0.html#group1A0", "1A⁰"), =HYPERLINK("CSG0.html#group18C0", "18C⁰"), =HYPERLINK("CSG1.html#group6D1", "6D¹"), =HYPERLINK("CSG0.html#group6E0", "6E⁰"), =HYPERLINK("CSG1.html#group6B1", "6B¹"), =HYPERLINK("CSG0.html#group3C0", "3C⁰"), =HYPERLINK("CSG1.html#group6A1", "6A¹"), =HYPERLINK("CSG0.html#group3A0", "3A⁰"), =HYPERLINK("CSG0.html#group3D0", "3D⁰"), =HYPERLINK("CSG2.html#group18C2", "18C²")</f>
        <v/>
      </c>
      <c r="N701">
        <f>HYPERLINK("CSG19.html#group36H19", "36H¹⁹"), =HYPERLINK("CSG13.html#group18G13", "18G¹³"), =HYPERLINK("CSG10.html#group18K10", "18K¹⁰"), =HYPERLINK("CSG13.html#group18D13", "18D¹³"), =HYPERLINK("CSG22.html#group36K22", "36K²²"), =HYPERLINK("CSG13.html#group18F13", "18F¹³"), =HYPERLINK("CSG10.html#group18E10", "18E¹⁰"), =HYPERLINK("CSG10.html#group36F10", "36F¹⁰")</f>
        <v/>
      </c>
    </row>
    <row r="702">
      <c r="A702" t="inlineStr">
        <is>
          <t>18I⁴</t>
        </is>
      </c>
      <c r="B702" t="inlineStr"/>
      <c r="C702" t="inlineStr">
        <is>
          <t>72</t>
        </is>
      </c>
      <c r="D702" t="inlineStr">
        <is>
          <t>1</t>
        </is>
      </c>
      <c r="E702" t="inlineStr">
        <is>
          <t>12</t>
        </is>
      </c>
      <c r="F702" t="inlineStr">
        <is>
          <t>0</t>
        </is>
      </c>
      <c r="G702" t="inlineStr">
        <is>
          <t>0</t>
        </is>
      </c>
      <c r="H702" t="inlineStr">
        <is>
          <t>6³, 18³</t>
        </is>
      </c>
      <c r="I702" t="n">
        <v>6</v>
      </c>
      <c r="J702" t="inlineStr">
        <is>
          <t>1², 2², 6¹</t>
        </is>
      </c>
      <c r="K702">
        <f>HYPERLINK("CSG1.html#group9D1", "9D¹"), =HYPERLINK("CSG2.html#group18B2", "18B²")</f>
        <v/>
      </c>
      <c r="L702">
        <f>HYPERLINK("CSG10.html#group18D10", "18D¹⁰"), =HYPERLINK("CSG10.html#group18H10", "18H¹⁰"), =HYPERLINK("CSG10.html#group18J10", "18J¹⁰"), =HYPERLINK("CSG10.html#group36G10", "36G¹⁰"), =HYPERLINK("CSG16.html#group54N16", "54N¹⁶"), =HYPERLINK("CSG16.html#group54O16", "54O¹⁶"), =HYPERLINK("CSG19.html#group36I19", "36I¹⁹")</f>
        <v/>
      </c>
      <c r="M702">
        <f>HYPERLINK("CSG0.html#group3B0", "3B⁰"), =HYPERLINK("CSG0.html#group2A0", "2A⁰"), =HYPERLINK("CSG2.html#group18B2", "18B²"), =HYPERLINK("CSG1.html#group9A1", "9A¹"), =HYPERLINK("CSG0.html#group6C0", "6C⁰"), =HYPERLINK("CSG1.html#group9D1", "9D¹"), =HYPERLINK("CSG0.html#group1A0", "1A⁰")</f>
        <v/>
      </c>
      <c r="N702">
        <f>HYPERLINK("CSG22.html#group36O22", "36O²²"), =HYPERLINK("CSG19.html#group36I19", "36I¹⁹"), =HYPERLINK("CSG10.html#group18D10", "18D¹⁰"), =HYPERLINK("CSG10.html#group36G10", "36G¹⁰"), =HYPERLINK("CSG16.html#group54N16", "54N¹⁶"), =HYPERLINK("CSG16.html#group54O16", "54O¹⁶"), =HYPERLINK("CSG10.html#group18H10", "18H¹⁰"), =HYPERLINK("CSG10.html#group18J10", "18J¹⁰")</f>
        <v/>
      </c>
    </row>
    <row r="703">
      <c r="A703" t="inlineStr">
        <is>
          <t>18J⁴</t>
        </is>
      </c>
      <c r="B703" t="inlineStr"/>
      <c r="C703" t="inlineStr">
        <is>
          <t>72</t>
        </is>
      </c>
      <c r="D703" t="inlineStr">
        <is>
          <t>1</t>
        </is>
      </c>
      <c r="E703" t="inlineStr">
        <is>
          <t>24</t>
        </is>
      </c>
      <c r="F703" t="inlineStr">
        <is>
          <t>0</t>
        </is>
      </c>
      <c r="G703" t="inlineStr">
        <is>
          <t>0</t>
        </is>
      </c>
      <c r="H703" t="inlineStr">
        <is>
          <t>6³, 18³</t>
        </is>
      </c>
      <c r="I703" t="n">
        <v>6</v>
      </c>
      <c r="J703" t="inlineStr">
        <is>
          <t>1⁴, 2⁴, 6²</t>
        </is>
      </c>
      <c r="K703">
        <f>HYPERLINK("CSG2.html#group18B2", "18B²")</f>
        <v/>
      </c>
      <c r="L703">
        <f>HYPERLINK("CSG10.html#group18F10", "18F¹⁰"), =HYPERLINK("CSG10.html#group18H10", "18H¹⁰"), =HYPERLINK("CSG10.html#group18J10", "18J¹⁰"), =HYPERLINK("CSG10.html#group36I10", "36I¹⁰"), =HYPERLINK("CSG19.html#group36J19", "36J¹⁹")</f>
        <v/>
      </c>
      <c r="M703">
        <f>HYPERLINK("CSG0.html#group3B0", "3B⁰"), =HYPERLINK("CSG0.html#group2A0", "2A⁰"), =HYPERLINK("CSG2.html#group18B2", "18B²"), =HYPERLINK("CSG1.html#group9A1", "9A¹"), =HYPERLINK("CSG0.html#group1A0", "1A⁰"), =HYPERLINK("CSG0.html#group6C0", "6C⁰")</f>
        <v/>
      </c>
      <c r="N703">
        <f>HYPERLINK("CSG22.html#group36O22", "36O²²"), =HYPERLINK("CSG10.html#group18J10", "18J¹⁰"), =HYPERLINK("CSG10.html#group36I10", "36I¹⁰"), =HYPERLINK("CSG19.html#group36J19", "36J¹⁹"), =HYPERLINK("CSG10.html#group18H10", "18H¹⁰"), =HYPERLINK("CSG10.html#group18F10", "18F¹⁰")</f>
        <v/>
      </c>
    </row>
    <row r="704">
      <c r="A704" t="inlineStr">
        <is>
          <t>18K⁴</t>
        </is>
      </c>
      <c r="B704" t="inlineStr"/>
      <c r="C704" t="inlineStr">
        <is>
          <t>81</t>
        </is>
      </c>
      <c r="D704" t="inlineStr">
        <is>
          <t>1</t>
        </is>
      </c>
      <c r="E704" t="inlineStr">
        <is>
          <t>81</t>
        </is>
      </c>
      <c r="F704" t="inlineStr">
        <is>
          <t>3</t>
        </is>
      </c>
      <c r="G704" t="inlineStr">
        <is>
          <t>0</t>
        </is>
      </c>
      <c r="H704" t="inlineStr">
        <is>
          <t>9³, 18³</t>
        </is>
      </c>
      <c r="I704" t="n">
        <v>6</v>
      </c>
      <c r="J704" t="inlineStr">
        <is>
          <t>3³, 6¹²</t>
        </is>
      </c>
      <c r="K704">
        <f>HYPERLINK("CSG0.html#group2B0", "2B⁰"), =HYPERLINK("CSG0.html#group9F0", "9F⁰")</f>
        <v/>
      </c>
      <c r="L704">
        <f>HYPERLINK("CSG10.html#group18A10", "18A¹⁰"), =HYPERLINK("CSG10.html#group18L10", "18L¹⁰"), =HYPERLINK("CSG10.html#group36M10", "36M¹⁰"), =HYPERLINK("CSG10.html#group36O10", "36O¹⁰"), =HYPERLINK("CSG16.html#group18E16", "18E¹⁶")</f>
        <v/>
      </c>
      <c r="M704">
        <f>HYPERLINK("CSG0.html#group9F0", "9F⁰"), =HYPERLINK("CSG0.html#group1A0", "1A⁰"), =HYPERLINK("CSG0.html#group2B0", "2B⁰")</f>
        <v/>
      </c>
      <c r="N704">
        <f>HYPERLINK("CSG10.html#group18L10", "18L¹⁰"), =HYPERLINK("CSG22.html#group36B22", "36B²²"), =HYPERLINK("CSG22.html#group36G22", "36G²²"), =HYPERLINK("CSG22.html#group72I22", "72I²²"), =HYPERLINK("CSG16.html#group18E16", "18E¹⁶"), =HYPERLINK("CSG10.html#group36O10", "36O¹⁰"), =HYPERLINK("CSG10.html#group18A10", "18A¹⁰"), =HYPERLINK("CSG22.html#group72F22", "72F²²"), =HYPERLINK("CSG22.html#group18A22", "18A²²"), =HYPERLINK("CSG10.html#group36M10", "36M¹⁰"), =HYPERLINK("CSG22.html#group72E22", "72E²²")</f>
        <v/>
      </c>
    </row>
    <row r="705">
      <c r="A705" t="inlineStr">
        <is>
          <t>18L⁴</t>
        </is>
      </c>
      <c r="B705" t="inlineStr"/>
      <c r="C705" t="inlineStr">
        <is>
          <t>108</t>
        </is>
      </c>
      <c r="D705" t="inlineStr">
        <is>
          <t>1</t>
        </is>
      </c>
      <c r="E705" t="inlineStr">
        <is>
          <t>9</t>
        </is>
      </c>
      <c r="F705" t="inlineStr">
        <is>
          <t>12</t>
        </is>
      </c>
      <c r="G705" t="inlineStr">
        <is>
          <t>0</t>
        </is>
      </c>
      <c r="H705" t="inlineStr">
        <is>
          <t>18⁶</t>
        </is>
      </c>
      <c r="I705" t="n">
        <v>6</v>
      </c>
      <c r="J705" t="inlineStr">
        <is>
          <t>1³, 2³</t>
        </is>
      </c>
      <c r="K705">
        <f>HYPERLINK("CSG0.html#group6L0", "6L⁰"), =HYPERLINK("CSG0.html#group18D0", "18D⁰"), =HYPERLINK("CSG2.html#group18I2", "18I²"), =HYPERLINK("CSG2.html#group18L2", "18L²")</f>
        <v/>
      </c>
      <c r="L705">
        <f>HYPERLINK("CSG9.html#group36O9", "36O⁹"), =HYPERLINK("CSG11.html#group36J11", "36J¹¹"), =HYPERLINK("CSG13.html#group18B13", "18B¹³"), =HYPERLINK("CSG13.html#group36G13", "36G¹³"), =HYPERLINK("CSG15.html#group36B15", "36B¹⁵"), =HYPERLINK("CSG16.html#group18D16", "18D¹⁶"), =HYPERLINK("CSG16.html#group18G16", "18G¹⁶")</f>
        <v/>
      </c>
      <c r="M705">
        <f>HYPERLINK("CSG0.html#group6B0", "6B⁰"), =HYPERLINK("CSG0.html#group6G0", "6G⁰"), =HYPERLINK("CSG0.html#group2B0", "2B⁰"), =HYPERLINK("CSG0.html#group1A0", "1A⁰"), =HYPERLINK("CSG0.html#group18A0", "18A⁰"), =HYPERLINK("CSG2.html#group18L2", "18L²"), =HYPERLINK("CSG0.html#group9D0", "9D⁰"), =HYPERLINK("CSG0.html#group18D0", "18D⁰"), =HYPERLINK("CSG0.html#group6E0", "6E⁰"), =HYPERLINK("CSG0.html#group6L0", "6L⁰"), =HYPERLINK("CSG0.html#group9A0", "9A⁰"), =HYPERLINK("CSG1.html#group18E1", "18E¹"), =HYPERLINK("CSG0.html#group3C0", "3C⁰"), =HYPERLINK("CSG0.html#group6H0", "6H⁰"), =HYPERLINK("CSG0.html#group3A0", "3A⁰"), =HYPERLINK("CSG2.html#group18I2", "18I²"), =HYPERLINK("CSG0.html#group6D0", "6D⁰")</f>
        <v/>
      </c>
      <c r="N705">
        <f>HYPERLINK("CSG21.html#group72AA21", "72AA²¹"), =HYPERLINK("CSG16.html#group18G16", "18G¹⁶"), =HYPERLINK("CSG15.html#group36B15", "36B¹⁵"), =HYPERLINK("CSG16.html#group18D16", "18D¹⁶"), =HYPERLINK("CSG23.html#group36A23", "36A²³"), =HYPERLINK("CSG9.html#group36O9", "36O⁹"), =HYPERLINK("CSG13.html#group18B13", "18B¹³"), =HYPERLINK("CSG11.html#group36J11", "36J¹¹"), =HYPERLINK("CSG13.html#group36G13", "36G¹³")</f>
        <v/>
      </c>
    </row>
    <row r="706">
      <c r="A706" t="inlineStr">
        <is>
          <t>18M⁴</t>
        </is>
      </c>
      <c r="B706" t="inlineStr"/>
      <c r="C706" t="inlineStr">
        <is>
          <t>108</t>
        </is>
      </c>
      <c r="D706" t="inlineStr">
        <is>
          <t>1</t>
        </is>
      </c>
      <c r="E706" t="inlineStr">
        <is>
          <t>12</t>
        </is>
      </c>
      <c r="F706" t="inlineStr">
        <is>
          <t>0</t>
        </is>
      </c>
      <c r="G706" t="inlineStr">
        <is>
          <t>0</t>
        </is>
      </c>
      <c r="H706" t="inlineStr">
        <is>
          <t>3³, 6³, 9³, 18³</t>
        </is>
      </c>
      <c r="I706" t="n">
        <v>12</v>
      </c>
      <c r="J706" t="inlineStr">
        <is>
          <t>1⁶, 2³</t>
        </is>
      </c>
      <c r="K706">
        <f>HYPERLINK("CSG0.html#group6K0", "6K⁰"), =HYPERLINK("CSG0.html#group18E0", "18E⁰"), =HYPERLINK("CSG1.html#group9C1", "9C¹"), =HYPERLINK("CSG2.html#group18D2", "18D²"), =HYPERLINK("CSG2.html#group18E2", "18E²")</f>
        <v/>
      </c>
      <c r="L706">
        <f>HYPERLINK("CSG10.html#group18E10", "18E¹⁰"), =HYPERLINK("CSG10.html#group18M10", "18M¹⁰"), =HYPERLINK("CSG10.html#group36Q10", "36Q¹⁰"), =HYPERLINK("CSG13.html#group36D13", "36D¹³"), =HYPERLINK("CSG16.html#group18B16", "18B¹⁶"), =HYPERLINK("CSG16.html#group54T16", "54T¹⁶"), =HYPERLINK("CSG22.html#group54A22", "54A²²"), =HYPERLINK("CSG22.html#group54E22", "54E²²")</f>
        <v/>
      </c>
      <c r="M706">
        <f>HYPERLINK("CSG0.html#group3B0", "3B⁰"), =HYPERLINK("CSG2.html#group18E2", "18E²"), =HYPERLINK("CSG0.html#group9B0", "9B⁰"), =HYPERLINK("CSG2.html#group18D2", "18D²"), =HYPERLINK("CSG0.html#group6G0", "6G⁰"), =HYPERLINK("CSG0.html#group2B0", "2B⁰"), =HYPERLINK("CSG0.html#group9C0", "9C⁰"), =HYPERLINK("CSG0.html#group1A0", "1A⁰"), =HYPERLINK("CSG0.html#group3D0", "3D⁰"), =HYPERLINK("CSG0.html#group18E0", "18E⁰"), =HYPERLINK("CSG1.html#group9A1", "9A¹"), =HYPERLINK("CSG0.html#group3C0", "3C⁰"), =HYPERLINK("CSG1.html#group9C1", "9C¹"), =HYPERLINK("CSG0.html#group6K0", "6K⁰"), =HYPERLINK("CSG0.html#group3A0", "3A⁰"), =HYPERLINK("CSG0.html#group6F0", "6F⁰"), =HYPERLINK("CSG0.html#group6D0", "6D⁰")</f>
        <v/>
      </c>
      <c r="N706">
        <f>HYPERLINK("CSG22.html#group36L22", "36L²²"), =HYPERLINK("CSG10.html#group36Q10", "36Q¹⁰"), =HYPERLINK("CSG22.html#group54A22", "54A²²"), =HYPERLINK("CSG22.html#group36K22", "36K²²"), =HYPERLINK("CSG10.html#group18M10", "18M¹⁰"), =HYPERLINK("CSG10.html#group18E10", "18E¹⁰"), =HYPERLINK("CSG16.html#group54T16", "54T¹⁶"), =HYPERLINK("CSG13.html#group36D13", "36D¹³"), =HYPERLINK("CSG22.html#group72L22", "72L²²"), =HYPERLINK("CSG22.html#group54E22", "54E²²"), =HYPERLINK("CSG16.html#group18B16", "18B¹⁶")</f>
        <v/>
      </c>
    </row>
    <row r="707">
      <c r="A707" t="inlineStr">
        <is>
          <t>18N⁴</t>
        </is>
      </c>
      <c r="B707" t="inlineStr"/>
      <c r="C707" t="inlineStr">
        <is>
          <t>108</t>
        </is>
      </c>
      <c r="D707" t="inlineStr">
        <is>
          <t>1</t>
        </is>
      </c>
      <c r="E707" t="inlineStr">
        <is>
          <t>18</t>
        </is>
      </c>
      <c r="F707" t="inlineStr">
        <is>
          <t>0</t>
        </is>
      </c>
      <c r="G707" t="inlineStr">
        <is>
          <t>0</t>
        </is>
      </c>
      <c r="H707" t="inlineStr">
        <is>
          <t>6⁹, 18³</t>
        </is>
      </c>
      <c r="I707" t="n">
        <v>12</v>
      </c>
      <c r="J707" t="inlineStr">
        <is>
          <t>1¹, 2¹, 3¹, 6²</t>
        </is>
      </c>
      <c r="K707">
        <f>HYPERLINK("CSG1.html#group6E1", "6E¹"), =HYPERLINK("CSG1.html#group18I1", "18I¹"), =HYPERLINK("CSG2.html#group18F2", "18F²")</f>
        <v/>
      </c>
      <c r="L707">
        <f>HYPERLINK("CSG7.html#group18N7", "18N⁷"), =HYPERLINK("CSG11.html#group36N11", "36N¹¹"), =HYPERLINK("CSG11.html#group36M11", "36M¹¹"), =HYPERLINK("CSG19.html#group18A19", "18A¹⁹"), =HYPERLINK("CSG19.html#group18C19", "18C¹⁹")</f>
        <v/>
      </c>
      <c r="M707">
        <f>HYPERLINK("CSG1.html#group6E1", "6E¹"), =HYPERLINK("CSG2.html#group18F2", "18F²"), =HYPERLINK("CSG0.html#group2A0", "2A⁰"), =HYPERLINK("CSG0.html#group6B0", "6B⁰"), =HYPERLINK("CSG1.html#group18I1", "18I¹"), =HYPERLINK("CSG1.html#group6C1", "6C¹"), =HYPERLINK("CSG0.html#group6G0", "6G⁰"), =HYPERLINK("CSG0.html#group2B0", "2B⁰"), =HYPERLINK("CSG0.html#group9E0", "9E⁰"), =HYPERLINK("CSG0.html#group1A0", "1A⁰"), =HYPERLINK("CSG0.html#group6A0", "6A⁰"), =HYPERLINK("CSG1.html#group6B1", "6B¹"), =HYPERLINK("CSG0.html#group3C0", "3C⁰"), =HYPERLINK("CSG1.html#group6A1", "6A¹"), =HYPERLINK("CSG0.html#group6H0", "6H⁰"), =HYPERLINK("CSG0.html#group3A0", "3A⁰"), =HYPERLINK("CSG0.html#group2C0", "2C⁰"), =HYPERLINK("CSG0.html#group6D0", "6D⁰")</f>
        <v/>
      </c>
      <c r="N707">
        <f>HYPERLINK("CSG17.html#group36I17", "36I¹⁷"), =HYPERLINK("CSG7.html#group18N7", "18N⁷"), =HYPERLINK("CSG11.html#group36N11", "36N¹¹"), =HYPERLINK("CSG19.html#group18C19", "18C¹⁹"), =HYPERLINK("CSG21.html#group36E21", "36E²¹"), =HYPERLINK("CSG11.html#group36M11", "36M¹¹"), =HYPERLINK("CSG19.html#group18A19", "18A¹⁹")</f>
        <v/>
      </c>
    </row>
    <row r="708">
      <c r="A708" t="inlineStr">
        <is>
          <t>18O⁴</t>
        </is>
      </c>
      <c r="B708" t="inlineStr"/>
      <c r="C708" t="inlineStr">
        <is>
          <t>108</t>
        </is>
      </c>
      <c r="D708" t="inlineStr">
        <is>
          <t>1</t>
        </is>
      </c>
      <c r="E708" t="inlineStr">
        <is>
          <t>18</t>
        </is>
      </c>
      <c r="F708" t="inlineStr">
        <is>
          <t>12</t>
        </is>
      </c>
      <c r="G708" t="inlineStr">
        <is>
          <t>0</t>
        </is>
      </c>
      <c r="H708" t="inlineStr">
        <is>
          <t>18⁶</t>
        </is>
      </c>
      <c r="I708" t="n">
        <v>6</v>
      </c>
      <c r="J708" t="inlineStr">
        <is>
          <t>1¹, 2¹, 3¹, 6²</t>
        </is>
      </c>
      <c r="K708">
        <f>HYPERLINK("CSG0.html#group18D0", "18D⁰"), =HYPERLINK("CSG1.html#group9E1", "9E¹"), =HYPERLINK("CSG1.html#group18F1", "18F¹")</f>
        <v/>
      </c>
      <c r="L708">
        <f>HYPERLINK("CSG13.html#group18C13", "18C¹³"), =HYPERLINK("CSG13.html#group36E13", "36E¹³"), =HYPERLINK("CSG13.html#group36F13", "36F¹³"), =HYPERLINK("CSG16.html#group18C16", "18C¹⁶"), =HYPERLINK("CSG16.html#group18D16", "18D¹⁶"), =HYPERLINK("CSG16.html#group18F16", "18F¹⁶"), =HYPERLINK("CSG16.html#group54Q16", "54Q¹⁶"), =HYPERLINK("CSG19.html#group54A19", "54A¹⁹"), =HYPERLINK("CSG19.html#group54B19", "54B¹⁹")</f>
        <v/>
      </c>
      <c r="M708">
        <f>HYPERLINK("CSG0.html#group6B0", "6B⁰"), =HYPERLINK("CSG0.html#group9D0", "9D⁰"), =HYPERLINK("CSG0.html#group18D0", "18D⁰"), =HYPERLINK("CSG0.html#group6E0", "6E⁰"), =HYPERLINK("CSG0.html#group9A0", "9A⁰"), =HYPERLINK("CSG0.html#group3C0", "3C⁰"), =HYPERLINK("CSG1.html#group9E1", "9E¹"), =HYPERLINK("CSG1.html#group18F1", "18F¹"), =HYPERLINK("CSG0.html#group9E0", "9E⁰"), =HYPERLINK("CSG0.html#group3A0", "3A⁰"), =HYPERLINK("CSG0.html#group1A0", "1A⁰"), =HYPERLINK("CSG0.html#group18A0", "18A⁰")</f>
        <v/>
      </c>
      <c r="N708">
        <f>HYPERLINK("CSG16.html#group18F16", "18F¹⁶"), =HYPERLINK("CSG13.html#group36F13", "36F¹³"), =HYPERLINK("CSG16.html#group18D16", "18D¹⁶"), =HYPERLINK("CSG16.html#group18C16", "18C¹⁶"), =HYPERLINK("CSG13.html#group36E13", "36E¹³"), =HYPERLINK("CSG13.html#group18C13", "18C¹³"), =HYPERLINK("CSG19.html#group54A19", "54A¹⁹"), =HYPERLINK("CSG16.html#group54Q16", "54Q¹⁶"), =HYPERLINK("CSG19.html#group54B19", "54B¹⁹")</f>
        <v/>
      </c>
    </row>
    <row r="709">
      <c r="A709" t="inlineStr">
        <is>
          <t>18P⁴</t>
        </is>
      </c>
      <c r="B709" t="inlineStr"/>
      <c r="C709" t="inlineStr">
        <is>
          <t>108</t>
        </is>
      </c>
      <c r="D709" t="inlineStr">
        <is>
          <t>1</t>
        </is>
      </c>
      <c r="E709" t="inlineStr">
        <is>
          <t>36</t>
        </is>
      </c>
      <c r="F709" t="inlineStr">
        <is>
          <t>0</t>
        </is>
      </c>
      <c r="G709" t="inlineStr">
        <is>
          <t>0</t>
        </is>
      </c>
      <c r="H709" t="inlineStr">
        <is>
          <t>3³, 6³, 9³, 18³</t>
        </is>
      </c>
      <c r="I709" t="n">
        <v>12</v>
      </c>
      <c r="J709" t="inlineStr">
        <is>
          <t>1⁶, 2⁶, 6³</t>
        </is>
      </c>
      <c r="K709">
        <f>HYPERLINK("CSG0.html#group9J0", "9J⁰"), =HYPERLINK("CSG2.html#group18D2", "18D²")</f>
        <v/>
      </c>
      <c r="L709">
        <f>HYPERLINK("CSG10.html#group18G10", "18G¹⁰"), =HYPERLINK("CSG10.html#group18M10", "18M¹⁰"), =HYPERLINK("CSG10.html#group36R10", "36R¹⁰"), =HYPERLINK("CSG13.html#group36J13", "36J¹³"), =HYPERLINK("CSG16.html#group18E16", "18E¹⁶"), =HYPERLINK("CSG16.html#group54U16", "54U¹⁶"), =HYPERLINK("CSG22.html#group54B22", "54B²²"), =HYPERLINK("CSG22.html#group54D22", "54D²²"), =HYPERLINK("CSG22.html#group54C22", "54C²²"), =HYPERLINK("CSG22.html#group54F22", "54F²²")</f>
        <v/>
      </c>
      <c r="M709">
        <f>HYPERLINK("CSG0.html#group6F0", "6F⁰"), =HYPERLINK("CSG0.html#group3B0", "3B⁰"), =HYPERLINK("CSG2.html#group18D2", "18D²"), =HYPERLINK("CSG0.html#group9J0", "9J⁰"), =HYPERLINK("CSG0.html#group2B0", "2B⁰"), =HYPERLINK("CSG0.html#group9C0", "9C⁰"), =HYPERLINK("CSG0.html#group1A0", "1A⁰")</f>
        <v/>
      </c>
      <c r="N709">
        <f>HYPERLINK("CSG13.html#group36J13", "36J¹³"), =HYPERLINK("CSG22.html#group54C22", "54C²²"), =HYPERLINK("CSG22.html#group36P22", "36P²²"), =HYPERLINK("CSG16.html#group54U16", "54U¹⁶"), =HYPERLINK("CSG22.html#group54B22", "54B²²"), =HYPERLINK("CSG10.html#group18M10", "18M¹⁰"), =HYPERLINK("CSG16.html#group18E16", "18E¹⁶"), =HYPERLINK("CSG10.html#group18G10", "18G¹⁰"), =HYPERLINK("CSG10.html#group36R10", "36R¹⁰"), =HYPERLINK("CSG22.html#group54F22", "54F²²"), =HYPERLINK("CSG22.html#group54D22", "54D²²"), =HYPERLINK("CSG22.html#group72M22", "72M²²"), =HYPERLINK("CSG22.html#group36N22", "36N²²")</f>
        <v/>
      </c>
    </row>
    <row r="710">
      <c r="A710" t="inlineStr">
        <is>
          <t>18Q⁴</t>
        </is>
      </c>
      <c r="B710" t="inlineStr"/>
      <c r="C710" t="inlineStr">
        <is>
          <t>108</t>
        </is>
      </c>
      <c r="D710" t="inlineStr">
        <is>
          <t>1</t>
        </is>
      </c>
      <c r="E710" t="inlineStr">
        <is>
          <t>36</t>
        </is>
      </c>
      <c r="F710" t="inlineStr">
        <is>
          <t>0</t>
        </is>
      </c>
      <c r="G710" t="inlineStr">
        <is>
          <t>0</t>
        </is>
      </c>
      <c r="H710" t="inlineStr">
        <is>
          <t>3³, 6³, 9³, 18³</t>
        </is>
      </c>
      <c r="I710" t="n">
        <v>12</v>
      </c>
      <c r="J710" t="inlineStr">
        <is>
          <t>1⁶, 2⁶, 6³</t>
        </is>
      </c>
      <c r="K710">
        <f>HYPERLINK("CSG1.html#group9D1", "9D¹"), =HYPERLINK("CSG2.html#group18E2", "18E²")</f>
        <v/>
      </c>
      <c r="L710">
        <f>HYPERLINK("CSG10.html#group18H10", "18H¹⁰"), =HYPERLINK("CSG10.html#group18M10", "18M¹⁰"), =HYPERLINK("CSG10.html#group36S10", "36S¹⁰"), =HYPERLINK("CSG13.html#group36K13", "36K¹³"), =HYPERLINK("CSG22.html#group54G22", "54G²²")</f>
        <v/>
      </c>
      <c r="M710">
        <f>HYPERLINK("CSG0.html#group3B0", "3B⁰"), =HYPERLINK("CSG1.html#group9A1", "9A¹"), =HYPERLINK("CSG2.html#group18E2", "18E²"), =HYPERLINK("CSG0.html#group6F0", "6F⁰"), =HYPERLINK("CSG0.html#group2B0", "2B⁰"), =HYPERLINK("CSG1.html#group9D1", "9D¹"), =HYPERLINK("CSG0.html#group1A0", "1A⁰")</f>
        <v/>
      </c>
      <c r="N710">
        <f>HYPERLINK("CSG22.html#group36Q22", "36Q²²"), =HYPERLINK("CSG22.html#group54G22", "54G²²"), =HYPERLINK("CSG22.html#group72N22", "72N²²"), =HYPERLINK("CSG10.html#group18M10", "18M¹⁰"), =HYPERLINK("CSG10.html#group36S10", "36S¹⁰"), =HYPERLINK("CSG13.html#group36K13", "36K¹³"), =HYPERLINK("CSG10.html#group18H10", "18H¹⁰"), =HYPERLINK("CSG22.html#group36O22", "36O²²")</f>
        <v/>
      </c>
    </row>
    <row r="711">
      <c r="A711" t="inlineStr">
        <is>
          <t>18R⁴</t>
        </is>
      </c>
      <c r="B711" t="inlineStr"/>
      <c r="C711" t="inlineStr">
        <is>
          <t>108</t>
        </is>
      </c>
      <c r="D711" t="inlineStr">
        <is>
          <t>1</t>
        </is>
      </c>
      <c r="E711" t="inlineStr">
        <is>
          <t>36</t>
        </is>
      </c>
      <c r="F711" t="inlineStr">
        <is>
          <t>12</t>
        </is>
      </c>
      <c r="G711" t="inlineStr">
        <is>
          <t>0</t>
        </is>
      </c>
      <c r="H711" t="inlineStr">
        <is>
          <t>18⁶</t>
        </is>
      </c>
      <c r="I711" t="n">
        <v>6</v>
      </c>
      <c r="J711" t="inlineStr">
        <is>
          <t>2³, 3², 6⁴</t>
        </is>
      </c>
      <c r="K711">
        <f>HYPERLINK("CSG0.html#group18D0", "18D⁰"), =HYPERLINK("CSG1.html#group18G1", "18G¹")</f>
        <v/>
      </c>
      <c r="L711">
        <f>HYPERLINK("CSG13.html#group18F13", "18F¹³"), =HYPERLINK("CSG13.html#group36L13", "36L¹³"), =HYPERLINK("CSG13.html#group36M13", "36M¹³"), =HYPERLINK("CSG16.html#group18D16", "18D¹⁶"), =HYPERLINK("CSG16.html#group18F16", "18F¹⁶"), =HYPERLINK("CSG16.html#group18H16", "18H¹⁶")</f>
        <v/>
      </c>
      <c r="M711">
        <f>HYPERLINK("CSG0.html#group6B0", "6B⁰"), =HYPERLINK("CSG0.html#group9D0", "9D⁰"), =HYPERLINK("CSG0.html#group18D0", "18D⁰"), =HYPERLINK("CSG0.html#group6E0", "6E⁰"), =HYPERLINK("CSG0.html#group9A0", "9A⁰"), =HYPERLINK("CSG0.html#group3C0", "3C⁰"), =HYPERLINK("CSG1.html#group18G1", "18G¹"), =HYPERLINK("CSG0.html#group3A0", "3A⁰"), =HYPERLINK("CSG0.html#group1A0", "1A⁰"), =HYPERLINK("CSG0.html#group18A0", "18A⁰")</f>
        <v/>
      </c>
      <c r="N711">
        <f>HYPERLINK("CSG13.html#group36L13", "36L¹³"), =HYPERLINK("CSG16.html#group18F16", "18F¹⁶"), =HYPERLINK("CSG16.html#group18D16", "18D¹⁶"), =HYPERLINK("CSG13.html#group18F13", "18F¹³"), =HYPERLINK("CSG13.html#group36M13", "36M¹³"), =HYPERLINK("CSG16.html#group18H16", "18H¹⁶")</f>
        <v/>
      </c>
    </row>
    <row r="712">
      <c r="A712" t="inlineStr">
        <is>
          <t>18S⁴</t>
        </is>
      </c>
      <c r="B712" t="inlineStr"/>
      <c r="C712" t="inlineStr">
        <is>
          <t>108</t>
        </is>
      </c>
      <c r="D712" t="inlineStr">
        <is>
          <t>2</t>
        </is>
      </c>
      <c r="E712" t="inlineStr">
        <is>
          <t>9</t>
        </is>
      </c>
      <c r="F712" t="inlineStr">
        <is>
          <t>12</t>
        </is>
      </c>
      <c r="G712" t="inlineStr">
        <is>
          <t>0</t>
        </is>
      </c>
      <c r="H712" t="inlineStr">
        <is>
          <t>18⁶</t>
        </is>
      </c>
      <c r="I712" t="n">
        <v>6</v>
      </c>
      <c r="J712" t="inlineStr">
        <is>
          <t>2³, 6²</t>
        </is>
      </c>
      <c r="K712">
        <f>HYPERLINK("CSG0.html#group18D0", "18D⁰"), =HYPERLINK("CSG1.html#group9F1", "9F¹"), =HYPERLINK("CSG1.html#group18H1", "18H¹"), =HYPERLINK("CSG2.html#group18G2", "18G²"), =HYPERLINK("CSG2.html#group18K2", "18K²")</f>
        <v/>
      </c>
      <c r="L712">
        <f>HYPERLINK("CSG13.html#group18A13", "18A¹³"), =HYPERLINK("CSG13.html#group36O13", "36O¹³"), =HYPERLINK("CSG16.html#group18C16", "18C¹⁶"), =HYPERLINK("CSG16.html#group18G16", "18G¹⁶"), =HYPERLINK("CSG16.html#group18H16", "18H¹⁶"), =HYPERLINK("CSG16.html#group54V16", "54V¹⁶"), =HYPERLINK("CSG22.html#group54J22", "54J²²"), =HYPERLINK("CSG22.html#group54K22", "54K²²")</f>
        <v/>
      </c>
      <c r="M712">
        <f>HYPERLINK("CSG0.html#group6B0", "6B⁰"), =HYPERLINK("CSG1.html#group18H1", "18H¹"), =HYPERLINK("CSG0.html#group9G0", "9G⁰"), =HYPERLINK("CSG2.html#group18K2", "18K²"), =HYPERLINK("CSG0.html#group1A0", "1A⁰"), =HYPERLINK("CSG0.html#group18A0", "18A⁰"), =HYPERLINK("CSG1.html#group9B1", "9B¹"), =HYPERLINK("CSG0.html#group9D0", "9D⁰"), =HYPERLINK("CSG0.html#group18D0", "18D⁰"), =HYPERLINK("CSG0.html#group6E0", "6E⁰"), =HYPERLINK("CSG0.html#group9A0", "9A⁰"), =HYPERLINK("CSG0.html#group3C0", "3C⁰"), =HYPERLINK("CSG2.html#group18G2", "18G²"), =HYPERLINK("CSG0.html#group3A0", "3A⁰"), =HYPERLINK("CSG1.html#group18A1", "18A¹"), =HYPERLINK("CSG1.html#group9F1", "9F¹")</f>
        <v/>
      </c>
      <c r="N712">
        <f>HYPERLINK("CSG16.html#group18G16", "18G¹⁶"), =HYPERLINK("CSG16.html#group18C16", "18C¹⁶"), =HYPERLINK("CSG16.html#group54V16", "54V¹⁶"), =HYPERLINK("CSG16.html#group18H16", "18H¹⁶"), =HYPERLINK("CSG22.html#group54K22", "54K²²"), =HYPERLINK("CSG22.html#group54J22", "54J²²"), =HYPERLINK("CSG13.html#group18A13", "18A¹³"), =HYPERLINK("CSG13.html#group36O13", "36O¹³")</f>
        <v/>
      </c>
    </row>
    <row r="713">
      <c r="A713" t="inlineStr">
        <is>
          <t>18T⁴</t>
        </is>
      </c>
      <c r="B713" t="inlineStr"/>
      <c r="C713" t="inlineStr">
        <is>
          <t>108</t>
        </is>
      </c>
      <c r="D713" t="inlineStr">
        <is>
          <t>2</t>
        </is>
      </c>
      <c r="E713" t="inlineStr">
        <is>
          <t>18</t>
        </is>
      </c>
      <c r="F713" t="inlineStr">
        <is>
          <t>12</t>
        </is>
      </c>
      <c r="G713" t="inlineStr">
        <is>
          <t>0</t>
        </is>
      </c>
      <c r="H713" t="inlineStr">
        <is>
          <t>18⁶</t>
        </is>
      </c>
      <c r="I713" t="n">
        <v>6</v>
      </c>
      <c r="J713" t="inlineStr">
        <is>
          <t>2⁶, 6⁴</t>
        </is>
      </c>
      <c r="K713">
        <f>HYPERLINK("CSG0.html#group18D0", "18D⁰"), =HYPERLINK("CSG2.html#group18H2", "18H²"), =HYPERLINK("CSG2.html#group18M2", "18M²")</f>
        <v/>
      </c>
      <c r="L713">
        <f>HYPERLINK("CSG13.html#group18H13", "18H¹³"), =HYPERLINK("CSG13.html#group36Q13", "36Q¹³"), =HYPERLINK("CSG16.html#group18F16", "18F¹⁶"), =HYPERLINK("CSG16.html#group18G16", "18G¹⁶"), =HYPERLINK("CSG16.html#group18H16", "18H¹⁶")</f>
        <v/>
      </c>
      <c r="M713">
        <f>HYPERLINK("CSG0.html#group6B0", "6B⁰"), =HYPERLINK("CSG0.html#group3A0", "3A⁰"), =HYPERLINK("CSG0.html#group18D0", "18D⁰"), =HYPERLINK("CSG2.html#group18H2", "18H²"), =HYPERLINK("CSG0.html#group6E0", "6E⁰"), =HYPERLINK("CSG0.html#group9D0", "9D⁰"), =HYPERLINK("CSG0.html#group9A0", "9A⁰"), =HYPERLINK("CSG1.html#group18B1", "18B¹"), =HYPERLINK("CSG0.html#group3C0", "3C⁰"), =HYPERLINK("CSG2.html#group18M2", "18M²"), =HYPERLINK("CSG0.html#group1A0", "1A⁰"), =HYPERLINK("CSG0.html#group18A0", "18A⁰")</f>
        <v/>
      </c>
      <c r="N713">
        <f>HYPERLINK("CSG13.html#group36Q13", "36Q¹³"), =HYPERLINK("CSG16.html#group18F16", "18F¹⁶"), =HYPERLINK("CSG16.html#group18G16", "18G¹⁶"), =HYPERLINK("CSG13.html#group18H13", "18H¹³"), =HYPERLINK("CSG16.html#group18H16", "18H¹⁶")</f>
        <v/>
      </c>
    </row>
    <row r="714">
      <c r="A714" t="inlineStr">
        <is>
          <t>20A⁴</t>
        </is>
      </c>
      <c r="B714" t="inlineStr"/>
      <c r="C714" t="inlineStr">
        <is>
          <t>60</t>
        </is>
      </c>
      <c r="D714" t="inlineStr">
        <is>
          <t>1</t>
        </is>
      </c>
      <c r="E714" t="inlineStr">
        <is>
          <t>15</t>
        </is>
      </c>
      <c r="F714" t="inlineStr">
        <is>
          <t>0</t>
        </is>
      </c>
      <c r="G714" t="inlineStr">
        <is>
          <t>0</t>
        </is>
      </c>
      <c r="H714" t="inlineStr">
        <is>
          <t>10², 20²</t>
        </is>
      </c>
      <c r="I714" t="n">
        <v>4</v>
      </c>
      <c r="J714" t="inlineStr">
        <is>
          <t>1³, 4³</t>
        </is>
      </c>
      <c r="K714">
        <f>HYPERLINK("CSG0.html#group4E0", "4E⁰"), =HYPERLINK("CSG2.html#group10B2", "10B²"), =HYPERLINK("CSG2.html#group20A2", "20A²"), =HYPERLINK("CSG2.html#group20B2", "20B²")</f>
        <v/>
      </c>
      <c r="L714">
        <f>HYPERLINK("CSG8.html#group20A8", "20A⁸"), =HYPERLINK("CSG8.html#group40A8", "40A⁸"), =HYPERLINK("CSG8.html#group40D8", "40D⁸"), =HYPERLINK("CSG9.html#group40A9", "40A⁹"), =HYPERLINK("CSG10.html#group20A10", "20A¹⁰"), =HYPERLINK("CSG13.html#group20A13", "20A¹³"), =HYPERLINK("CSG14.html#group60A14", "60A¹⁴"), =HYPERLINK("CSG14.html#group60F14", "60F¹⁴"), =HYPERLINK("CSG17.html#group60B17", "60B¹⁷")</f>
        <v/>
      </c>
      <c r="M714">
        <f>HYPERLINK("CSG2.html#group20A2", "20A²"), =HYPERLINK("CSG0.html#group2A0", "2A⁰"), =HYPERLINK("CSG0.html#group5A0", "5A⁰"), =HYPERLINK("CSG0.html#group10A0", "10A⁰"), =HYPERLINK("CSG1.html#group10B1", "10B¹"), =HYPERLINK("CSG2.html#group20B2", "20B²"), =HYPERLINK("CSG0.html#group4C0", "4C⁰"), =HYPERLINK("CSG0.html#group2B0", "2B⁰"), =HYPERLINK("CSG0.html#group4E0", "4E⁰"), =HYPERLINK("CSG2.html#group10B2", "10B²"), =HYPERLINK("CSG0.html#group4B0", "4B⁰"), =HYPERLINK("CSG0.html#group1A0", "1A⁰"), =HYPERLINK("CSG0.html#group2C0", "2C⁰")</f>
        <v/>
      </c>
      <c r="N714">
        <f>HYPERLINK("CSG22.html#group40C22", "40C²²"), =HYPERLINK("CSG14.html#group60A14", "60A¹⁴"), =HYPERLINK("CSG22.html#group20C22", "20C²²"), =HYPERLINK("CSG19.html#group80A19", "80A¹⁹"), =HYPERLINK("CSG8.html#group40D8", "40D⁸"), =HYPERLINK("CSG22.html#group40A22", "40A²²"), =HYPERLINK("CSG16.html#group40B16", "40B¹⁶"), =HYPERLINK("CSG8.html#group40A8", "40A⁸"), =HYPERLINK("CSG19.html#group80F19", "80F¹⁹"), =HYPERLINK("CSG16.html#group80A16", "80A¹⁶"), =HYPERLINK("CSG13.html#group20A13", "20A¹³"), =HYPERLINK("CSG22.html#group20A22", "20A²²"), =HYPERLINK("CSG10.html#group20A10", "20A¹⁰"), =HYPERLINK("CSG9.html#group40A9", "40A⁹"), =HYPERLINK("CSG18.html#group80A18", "80A¹⁸"), =HYPERLINK("CSG19.html#group20D19", "20D¹⁹"), =HYPERLINK("CSG16.html#group40A16", "40A¹⁶"), =HYPERLINK("CSG17.html#group60B17", "60B¹⁷"), =HYPERLINK("CSG22.html#group40L22", "40L²²"), =HYPERLINK("CSG14.html#group60F14", "60F¹⁴"), =HYPERLINK("CSG8.html#group20A8", "20A⁸"), =HYPERLINK("CSG17.html#group40A17", "40A¹⁷"), =HYPERLINK("CSG19.html#group80B19", "80B¹⁹"), =HYPERLINK("CSG22.html#group40E22", "40E²²"), =HYPERLINK("CSG17.html#group40G17", "40G¹⁷"), =HYPERLINK("CSG17.html#group80A17", "80A¹⁷"), =HYPERLINK("CSG18.html#group40A18", "40A¹⁸")</f>
        <v/>
      </c>
    </row>
    <row r="715">
      <c r="A715" t="inlineStr">
        <is>
          <t>20B⁴</t>
        </is>
      </c>
      <c r="B715" t="inlineStr"/>
      <c r="C715" t="inlineStr">
        <is>
          <t>60</t>
        </is>
      </c>
      <c r="D715" t="inlineStr">
        <is>
          <t>1</t>
        </is>
      </c>
      <c r="E715" t="inlineStr">
        <is>
          <t>30</t>
        </is>
      </c>
      <c r="F715" t="inlineStr">
        <is>
          <t>0</t>
        </is>
      </c>
      <c r="G715" t="inlineStr">
        <is>
          <t>0</t>
        </is>
      </c>
      <c r="H715" t="inlineStr">
        <is>
          <t>10², 20²</t>
        </is>
      </c>
      <c r="I715" t="n">
        <v>4</v>
      </c>
      <c r="J715" t="inlineStr">
        <is>
          <t>2³, 4⁶</t>
        </is>
      </c>
      <c r="K715">
        <f>HYPERLINK("CSG1.html#group10F1", "10F¹")</f>
        <v/>
      </c>
      <c r="L715">
        <f>HYPERLINK("CSG7.html#group20A7", "20A⁷"), =HYPERLINK("CSG7.html#group20B7", "20B⁷"), =HYPERLINK("CSG7.html#group20D7", "20D⁷"), =HYPERLINK("CSG10.html#group20E10", "20E¹⁰"), =HYPERLINK("CSG14.html#group60B14", "60B¹⁴"), =HYPERLINK("CSG17.html#group60F17", "60F¹⁷"), =HYPERLINK("CSG24.html#group100A24", "100A²⁴")</f>
        <v/>
      </c>
      <c r="M715">
        <f>HYPERLINK("CSG0.html#group5C0", "5C⁰"), =HYPERLINK("CSG0.html#group1A0", "1A⁰"), =HYPERLINK("CSG0.html#group2B0", "2B⁰"), =HYPERLINK("CSG1.html#group10F1", "10F¹")</f>
        <v/>
      </c>
      <c r="N715">
        <f>HYPERLINK("CSG7.html#group20D7", "20D⁷"), =HYPERLINK("CSG19.html#group20A19", "20A¹⁹"), =HYPERLINK("CSG15.html#group20H15", "20H¹⁵"), =HYPERLINK("CSG17.html#group40E17", "40E¹⁷"), =HYPERLINK("CSG7.html#group20B7", "20B⁷"), =HYPERLINK("CSG17.html#group40H17", "40H¹⁷"), =HYPERLINK("CSG10.html#group20E10", "20E¹⁰"), =HYPERLINK("CSG19.html#group20C19", "20C¹⁹"), =HYPERLINK("CSG15.html#group40E15", "40E¹⁵"), =HYPERLINK("CSG17.html#group40I17", "40I¹⁷"), =HYPERLINK("CSG15.html#group20E15", "20E¹⁵"), =HYPERLINK("CSG17.html#group40F17", "40F¹⁷"), =HYPERLINK("CSG15.html#group20G15", "20G¹⁵"), =HYPERLINK("CSG24.html#group100A24", "100A²⁴"), =HYPERLINK("CSG13.html#group20A13", "20A¹³"), =HYPERLINK("CSG19.html#group20B19", "20B¹⁹"), =HYPERLINK("CSG15.html#group40D15", "40D¹⁵"), =HYPERLINK("CSG7.html#group20A7", "20A⁷"), =HYPERLINK("CSG15.html#group40T15", "40T¹⁵"), =HYPERLINK("CSG17.html#group60F17", "60F¹⁷"), =HYPERLINK("CSG14.html#group60B14", "60B¹⁴")</f>
        <v/>
      </c>
    </row>
    <row r="716">
      <c r="A716" t="inlineStr">
        <is>
          <t>20C⁴</t>
        </is>
      </c>
      <c r="B716" t="inlineStr"/>
      <c r="C716" t="inlineStr">
        <is>
          <t>60</t>
        </is>
      </c>
      <c r="D716" t="inlineStr">
        <is>
          <t>1</t>
        </is>
      </c>
      <c r="E716" t="inlineStr">
        <is>
          <t>30</t>
        </is>
      </c>
      <c r="F716" t="inlineStr">
        <is>
          <t>2</t>
        </is>
      </c>
      <c r="G716" t="inlineStr">
        <is>
          <t>0</t>
        </is>
      </c>
      <c r="H716" t="inlineStr">
        <is>
          <t>20³</t>
        </is>
      </c>
      <c r="I716" t="n">
        <v>3</v>
      </c>
      <c r="J716" t="inlineStr">
        <is>
          <t>1², 2², 4², 8²</t>
        </is>
      </c>
      <c r="K716">
        <f>HYPERLINK("CSG0.html#group4F0", "4F⁰"), =HYPERLINK("CSG1.html#group20A1", "20A¹"), =HYPERLINK("CSG2.html#group20B2", "20B²")</f>
        <v/>
      </c>
      <c r="L716">
        <f>HYPERLINK("CSG8.html#group20A8", "20A⁸"), =HYPERLINK("CSG8.html#group40B8", "40B⁸"), =HYPERLINK("CSG8.html#group40E8", "40E⁸"), =HYPERLINK("CSG9.html#group40B9", "40B⁹"), =HYPERLINK("CSG9.html#group40E9", "40E⁹"), =HYPERLINK("CSG10.html#group20B10", "20B¹⁰"), =HYPERLINK("CSG13.html#group60B13", "60B¹³"), =HYPERLINK("CSG13.html#group60G13", "60G¹³"), =HYPERLINK("CSG15.html#group20G15", "20G¹⁵"), =HYPERLINK("CSG18.html#group60G18", "60G¹⁸")</f>
        <v/>
      </c>
      <c r="M716">
        <f>HYPERLINK("CSG0.html#group5A0", "5A⁰"), =HYPERLINK("CSG0.html#group4A0", "4A⁰"), =HYPERLINK("CSG1.html#group10B1", "10B¹"), =HYPERLINK("CSG2.html#group20B2", "20B²"), =HYPERLINK("CSG0.html#group4C0", "4C⁰"), =HYPERLINK("CSG1.html#group20A1", "20A¹"), =HYPERLINK("CSG0.html#group2B0", "2B⁰"), =HYPERLINK("CSG0.html#group4F0", "4F⁰"), =HYPERLINK("CSG0.html#group1A0", "1A⁰")</f>
        <v/>
      </c>
      <c r="N716">
        <f>HYPERLINK("CSG8.html#group40B8", "40B⁸"), =HYPERLINK("CSG21.html#group20C21", "20C²¹"), =HYPERLINK("CSG17.html#group80G17", "80G¹⁷"), =HYPERLINK("CSG17.html#group80K17", "80K¹⁷"), =HYPERLINK("CSG19.html#group80K19", "80K¹⁹"), =HYPERLINK("CSG22.html#group40B22", "40B²²"), =HYPERLINK("CSG8.html#group40E8", "40E⁸"), =HYPERLINK("CSG18.html#group40C18", "40C¹⁸"), =HYPERLINK("CSG17.html#group80F17", "80F¹⁷"), =HYPERLINK("CSG13.html#group60B13", "60B¹³"), =HYPERLINK("CSG13.html#group60G13", "60G¹³"), =HYPERLINK("CSG9.html#group40E9", "40E⁹"), =HYPERLINK("CSG10.html#group20B10", "20B¹⁰"), =HYPERLINK("CSG22.html#group40F22", "40F²²"), =HYPERLINK("CSG16.html#group40C16", "40C¹⁶"), =HYPERLINK("CSG23.html#group40G23", "40G²³"), =HYPERLINK("CSG24.html#group40A24", "40A²⁴"), =HYPERLINK("CSG17.html#group80L17", "80L¹⁷"), =HYPERLINK("CSG9.html#group40B9", "40B⁹"), =HYPERLINK("CSG22.html#group40M22", "40M²²"), =HYPERLINK("CSG17.html#group40O17", "40O¹⁷"), =HYPERLINK("CSG17.html#group80B17", "80B¹⁷"), =HYPERLINK("CSG15.html#group20G15", "20G¹⁵"), =HYPERLINK("CSG20.html#group20B20", "20B²⁰"), =HYPERLINK("CSG19.html#group80C19", "80C¹⁹"), =HYPERLINK("CSG22.html#group20A22", "20A²²"), =HYPERLINK("CSG19.html#group80G19", "80G¹⁹"), =HYPERLINK("CSG18.html#group80B18", "80B¹⁸"), =HYPERLINK("CSG16.html#group40A16", "40A¹⁶"), =HYPERLINK("CSG18.html#group60G18", "60G¹⁸"), =HYPERLINK("CSG17.html#group40A17", "40A¹⁷"), =HYPERLINK("CSG8.html#group20A8", "20A⁸"), =HYPERLINK("CSG17.html#group40N17", "40N¹⁷"), =HYPERLINK("CSG18.html#group80C18", "80C¹⁸"), =HYPERLINK("CSG18.html#group40A18", "40A¹⁸")</f>
        <v/>
      </c>
    </row>
    <row r="717">
      <c r="A717" t="inlineStr">
        <is>
          <t>20D⁴</t>
        </is>
      </c>
      <c r="B717" t="inlineStr"/>
      <c r="C717" t="inlineStr">
        <is>
          <t>90</t>
        </is>
      </c>
      <c r="D717" t="inlineStr">
        <is>
          <t>1</t>
        </is>
      </c>
      <c r="E717" t="inlineStr">
        <is>
          <t>15</t>
        </is>
      </c>
      <c r="F717" t="inlineStr">
        <is>
          <t>0</t>
        </is>
      </c>
      <c r="G717" t="inlineStr">
        <is>
          <t>0</t>
        </is>
      </c>
      <c r="H717" t="inlineStr">
        <is>
          <t>5⁶, 20³</t>
        </is>
      </c>
      <c r="I717" t="n">
        <v>9</v>
      </c>
      <c r="J717" t="inlineStr">
        <is>
          <t>1³, 4³</t>
        </is>
      </c>
      <c r="K717">
        <f>HYPERLINK("CSG1.html#group10I1", "10I¹"), =HYPERLINK("CSG2.html#group20A2", "20A²")</f>
        <v/>
      </c>
      <c r="L717">
        <f>HYPERLINK("CSG7.html#group20P7", "20P⁷"), =HYPERLINK("CSG10.html#group20A10", "20A¹⁰"), =HYPERLINK("CSG10.html#group20C10", "20C¹⁰"), =HYPERLINK("CSG10.html#group40D10", "40D¹⁰"), =HYPERLINK("CSG10.html#group40F10", "40F¹⁰"), =HYPERLINK("CSG19.html#group60H19", "60H¹⁹"), =HYPERLINK("CSG22.html#group60A22", "60A²²")</f>
        <v/>
      </c>
      <c r="M717">
        <f>HYPERLINK("CSG2.html#group20A2", "20A²"), =HYPERLINK("CSG0.html#group5A0", "5A⁰"), =HYPERLINK("CSG1.html#group10I1", "10I¹"), =HYPERLINK("CSG1.html#group10B1", "10B¹"), =HYPERLINK("CSG0.html#group5E0", "5E⁰"), =HYPERLINK("CSG0.html#group2B0", "2B⁰"), =HYPERLINK("CSG0.html#group4B0", "4B⁰"), =HYPERLINK("CSG0.html#group1A0", "1A⁰")</f>
        <v/>
      </c>
      <c r="N717">
        <f>HYPERLINK("CSG22.html#group80C22", "80C²²"), =HYPERLINK("CSG22.html#group40C22", "40C²²"), =HYPERLINK("CSG22.html#group40I22", "40I²²"), =HYPERLINK("CSG22.html#group20C22", "20C²²"), =HYPERLINK("CSG22.html#group40A22", "40A²²"), =HYPERLINK("CSG22.html#group80F22", "80F²²"), =HYPERLINK("CSG22.html#group40H22", "40H²²"), =HYPERLINK("CSG22.html#group40D22", "40D²²"), =HYPERLINK("CSG19.html#group40M19", "40M¹⁹"), =HYPERLINK("CSG22.html#group20A22", "20A²²"), =HYPERLINK("CSG10.html#group20A10", "20A¹⁰"), =HYPERLINK("CSG19.html#group20B19", "20B¹⁹"), =HYPERLINK("CSG13.html#group20G13", "20G¹³"), =HYPERLINK("CSG19.html#group20D19", "20D¹⁹"), =HYPERLINK("CSG19.html#group40L19", "40L¹⁹"), =HYPERLINK("CSG19.html#group60H19", "60H¹⁹"), =HYPERLINK("CSG22.html#group40K22", "40K²²"), =HYPERLINK("CSG10.html#group20C10", "20C¹⁰"), =HYPERLINK("CSG22.html#group40L22", "40L²²"), =HYPERLINK("CSG22.html#group80D22", "80D²²"), =HYPERLINK("CSG22.html#group80G22", "80G²²"), =HYPERLINK("CSG7.html#group20P7", "20P⁷"), =HYPERLINK("CSG22.html#group40E22", "40E²²"), =HYPERLINK("CSG10.html#group40F10", "40F¹⁰"), =HYPERLINK("CSG10.html#group40D10", "40D¹⁰"), =HYPERLINK("CSG22.html#group60A22", "60A²²")</f>
        <v/>
      </c>
    </row>
    <row r="718">
      <c r="A718" t="inlineStr">
        <is>
          <t>20E⁴</t>
        </is>
      </c>
      <c r="B718" t="inlineStr"/>
      <c r="C718" t="inlineStr">
        <is>
          <t>90</t>
        </is>
      </c>
      <c r="D718" t="inlineStr">
        <is>
          <t>1</t>
        </is>
      </c>
      <c r="E718" t="inlineStr">
        <is>
          <t>15</t>
        </is>
      </c>
      <c r="F718" t="inlineStr">
        <is>
          <t>6</t>
        </is>
      </c>
      <c r="G718" t="inlineStr">
        <is>
          <t>0</t>
        </is>
      </c>
      <c r="H718" t="inlineStr">
        <is>
          <t>10³, 20³</t>
        </is>
      </c>
      <c r="I718" t="n">
        <v>6</v>
      </c>
      <c r="J718" t="inlineStr">
        <is>
          <t>1³, 4³</t>
        </is>
      </c>
      <c r="K718">
        <f>HYPERLINK("CSG1.html#group10I1", "10I¹"), =HYPERLINK("CSG2.html#group20B2", "20B²")</f>
        <v/>
      </c>
      <c r="L718">
        <f>HYPERLINK("CSG8.html#group20C8", "20C⁸"), =HYPERLINK("CSG9.html#group20B9", "20B⁹"), =HYPERLINK("CSG10.html#group20A10", "20A¹⁰"), =HYPERLINK("CSG10.html#group20B10", "20B¹⁰"), =HYPERLINK("CSG10.html#group20F10", "20F¹⁰"), =HYPERLINK("CSG10.html#group40C10", "40C¹⁰"), =HYPERLINK("CSG10.html#group40E10", "40E¹⁰"), =HYPERLINK("CSG10.html#group40G10", "40G¹⁰"), =HYPERLINK("CSG11.html#group40E11", "40E¹¹"), =HYPERLINK("CSG12.html#group40A12", "40A¹²"), =HYPERLINK("CSG13.html#group40A13", "40A¹³"), =HYPERLINK("CSG16.html#group60D16", "60D¹⁶")</f>
        <v/>
      </c>
      <c r="M718">
        <f>HYPERLINK("CSG0.html#group5A0", "5A⁰"), =HYPERLINK("CSG1.html#group10I1", "10I¹"), =HYPERLINK("CSG1.html#group10B1", "10B¹"), =HYPERLINK("CSG2.html#group20B2", "20B²"), =HYPERLINK("CSG0.html#group4C0", "4C⁰"), =HYPERLINK("CSG0.html#group5E0", "5E⁰"), =HYPERLINK("CSG0.html#group2B0", "2B⁰"), =HYPERLINK("CSG0.html#group1A0", "1A⁰")</f>
        <v/>
      </c>
      <c r="N718">
        <f>HYPERLINK("CSG17.html#group20B17", "20B¹⁷"), =HYPERLINK("CSG19.html#group20A19", "20A¹⁹"), =HYPERLINK("CSG23.html#group40I23", "40I²³"), =HYPERLINK("CSG21.html#group20C21", "20C²¹"), =HYPERLINK("CSG22.html#group20C22", "20C²²"), =HYPERLINK("CSG22.html#group40A22", "40A²²"), =HYPERLINK("CSG24.html#group80A24", "80A²⁴"), =HYPERLINK("CSG21.html#group40I21", "40I²¹"), =HYPERLINK("CSG20.html#group20A20", "20A²⁰"), =HYPERLINK("CSG13.html#group40A13", "40A¹³"), =HYPERLINK("CSG24.html#group40D24", "40D²⁴"), =HYPERLINK("CSG22.html#group80H22", "80H²²"), =HYPERLINK("CSG11.html#group40E11", "40E¹¹"), =HYPERLINK("CSG22.html#group40B22", "40B²²"), =HYPERLINK("CSG10.html#group20F10", "20F¹⁰"), =HYPERLINK("CSG10.html#group20A10", "20A¹⁰"), =HYPERLINK("CSG10.html#group40E10", "40E¹⁰"), =HYPERLINK("CSG12.html#group40A12", "40A¹²"), =HYPERLINK("CSG19.html#group20D19", "20D¹⁹"), =HYPERLINK("CSG22.html#group40J22", "40J²²"), =HYPERLINK("CSG22.html#group40N22", "40N²²"), =HYPERLINK("CSG20.html#group40B20", "40B²⁰"), =HYPERLINK("CSG22.html#group40E22", "40E²²"), =HYPERLINK("CSG10.html#group20B10", "20B¹⁰"), =HYPERLINK("CSG10.html#group40G10", "40G¹⁰"), =HYPERLINK("CSG22.html#group80E22", "80E²²"), =HYPERLINK("CSG21.html#group20B21", "20B²¹"), =HYPERLINK("CSG22.html#group40F22", "40F²²"), =HYPERLINK("CSG22.html#group40C22", "40C²²"), =HYPERLINK("CSG24.html#group40B24", "40B²⁴"), =HYPERLINK("CSG20.html#group40A20", "40A²⁰"), =HYPERLINK("CSG24.html#group40A24", "40A²⁴"), =HYPERLINK("CSG22.html#group80B22", "80B²²"), =HYPERLINK("CSG23.html#group40G23", "40G²³"), =HYPERLINK("CSG16.html#group60D16", "60D¹⁶"), =HYPERLINK("CSG22.html#group40M22", "40M²²"), =HYPERLINK("CSG9.html#group20B9", "20B⁹"), =HYPERLINK("CSG21.html#group40H21", "40H²¹"), =HYPERLINK("CSG20.html#group20B20", "20B²⁰"), =HYPERLINK("CSG23.html#group40E23", "40E²³"), =HYPERLINK("CSG22.html#group40G22", "40G²²"), =HYPERLINK("CSG8.html#group20C8", "20C⁸"), =HYPERLINK("CSG23.html#group40F23", "40F²³"), =HYPERLINK("CSG21.html#group40F21", "40F²¹"), =HYPERLINK("CSG22.html#group20A22", "20A²²"), =HYPERLINK("CSG10.html#group40C10", "40C¹⁰"), =HYPERLINK("CSG22.html#group40L22", "40L²²"), =HYPERLINK("CSG23.html#group40J23", "40J²³"), =HYPERLINK("CSG24.html#group40C24", "40C²⁴"), =HYPERLINK("CSG23.html#group40H23", "40H²³"), =HYPERLINK("CSG23.html#group40C23", "40C²³"), =HYPERLINK("CSG23.html#group40D23", "40D²³")</f>
        <v/>
      </c>
    </row>
    <row r="719">
      <c r="A719" t="inlineStr">
        <is>
          <t>21A⁴</t>
        </is>
      </c>
      <c r="B719" t="inlineStr"/>
      <c r="C719" t="inlineStr">
        <is>
          <t>72</t>
        </is>
      </c>
      <c r="D719" t="inlineStr">
        <is>
          <t>1</t>
        </is>
      </c>
      <c r="E719" t="inlineStr">
        <is>
          <t>8</t>
        </is>
      </c>
      <c r="F719" t="inlineStr">
        <is>
          <t>0</t>
        </is>
      </c>
      <c r="G719" t="inlineStr">
        <is>
          <t>0</t>
        </is>
      </c>
      <c r="H719" t="inlineStr">
        <is>
          <t>3³, 21³</t>
        </is>
      </c>
      <c r="I719" t="n">
        <v>6</v>
      </c>
      <c r="J719" t="inlineStr">
        <is>
          <t>1², 6¹</t>
        </is>
      </c>
      <c r="K719">
        <f>HYPERLINK("CSG0.html#group7E0", "7E⁰"), =HYPERLINK("CSG1.html#group21A1", "21A¹"), =HYPERLINK("CSG2.html#group21A2", "21A²")</f>
        <v/>
      </c>
      <c r="L719">
        <f>HYPERLINK("CSG7.html#group21B7", "21B⁷"), =HYPERLINK("CSG10.html#group42D10", "42D¹⁰"), =HYPERLINK("CSG10.html#group42H10", "42H¹⁰"), =HYPERLINK("CSG13.html#group42H13", "42H¹³"), =HYPERLINK("CSG16.html#group63A16", "63A¹⁶"), =HYPERLINK("CSG22.html#group84G22", "84G²²")</f>
        <v/>
      </c>
      <c r="M719">
        <f>HYPERLINK("CSG0.html#group7E0", "7E⁰"), =HYPERLINK("CSG2.html#group21A2", "21A²"), =HYPERLINK("CSG0.html#group3A0", "3A⁰"), =HYPERLINK("CSG0.html#group1A0", "1A⁰"), =HYPERLINK("CSG0.html#group7B0", "7B⁰"), =HYPERLINK("CSG1.html#group21A1", "21A¹")</f>
        <v/>
      </c>
      <c r="N719">
        <f>HYPERLINK("CSG13.html#group42H13", "42H¹³"), =HYPERLINK("CSG22.html#group84E22", "84E²²"), =HYPERLINK("CSG19.html#group42N19", "42N¹⁹"), =HYPERLINK("CSG22.html#group84B22", "84B²²"), =HYPERLINK("CSG10.html#group42H10", "42H¹⁰"), =HYPERLINK("CSG19.html#group42O19", "42O¹⁹"), =HYPERLINK("CSG10.html#group42D10", "42D¹⁰"), =HYPERLINK("CSG16.html#group63A16", "63A¹⁶"), =HYPERLINK("CSG13.html#group21C13", "21C¹³"), =HYPERLINK("CSG22.html#group84G22", "84G²²"), =HYPERLINK("CSG7.html#group21B7", "21B⁷")</f>
        <v/>
      </c>
    </row>
    <row r="720">
      <c r="A720" t="inlineStr">
        <is>
          <t>21B⁴</t>
        </is>
      </c>
      <c r="B720" t="inlineStr"/>
      <c r="C720" t="inlineStr">
        <is>
          <t>84</t>
        </is>
      </c>
      <c r="D720" t="inlineStr">
        <is>
          <t>2</t>
        </is>
      </c>
      <c r="E720" t="inlineStr">
        <is>
          <t>21</t>
        </is>
      </c>
      <c r="F720" t="inlineStr">
        <is>
          <t>8</t>
        </is>
      </c>
      <c r="G720" t="inlineStr">
        <is>
          <t>0</t>
        </is>
      </c>
      <c r="H720" t="inlineStr">
        <is>
          <t>21⁴</t>
        </is>
      </c>
      <c r="I720" t="n">
        <v>4</v>
      </c>
      <c r="J720" t="inlineStr">
        <is>
          <t>2¹, 4¹, 6², 12²</t>
        </is>
      </c>
      <c r="K720">
        <f>HYPERLINK("CSG1.html#group21D1", "21D¹"), =HYPERLINK("CSG2.html#group21D2", "21D²")</f>
        <v/>
      </c>
      <c r="L720">
        <f>HYPERLINK("CSG9.html#group42C9", "42C⁹"), =HYPERLINK("CSG11.html#group21B11", "21B¹¹"), =HYPERLINK("CSG13.html#group42D13", "42D¹³"), =HYPERLINK("CSG14.html#group21A14", "21A¹⁴"), =HYPERLINK("CSG14.html#group63B14", "63B¹⁴"), =HYPERLINK("CSG16.html#group42C16", "42C¹⁶"), =HYPERLINK("CSG16.html#group63D16", "63D¹⁶"), =HYPERLINK("CSG16.html#group63E16", "63E¹⁶"), =HYPERLINK("CSG17.html#group21B17", "21B¹⁷"), =HYPERLINK("CSG18.html#group63C18", "63C¹⁸"), =HYPERLINK("CSG18.html#group63B18", "63B¹⁸"), =HYPERLINK("CSG18.html#group63F18", "63F¹⁸"), =HYPERLINK("CSG18.html#group63G18", "63G¹⁸"), =HYPERLINK("CSG23.html#group84C23", "84C²³")</f>
        <v/>
      </c>
      <c r="M720">
        <f>HYPERLINK("CSG0.html#group21A0", "21A⁰"), =HYPERLINK("CSG0.html#group3C0", "3C⁰"), =HYPERLINK("CSG2.html#group21D2", "21D²"), =HYPERLINK("CSG0.html#group3A0", "3A⁰"), =HYPERLINK("CSG0.html#group1A0", "1A⁰"), =HYPERLINK("CSG1.html#group21D1", "21D¹"), =HYPERLINK("CSG0.html#group7A0", "7A⁰")</f>
        <v/>
      </c>
      <c r="N720">
        <f>HYPERLINK("CSG14.html#group63B14", "63B¹⁴"), =HYPERLINK("CSG13.html#group42D13", "42D¹³"), =HYPERLINK("CSG11.html#group21B11", "21B¹¹"), =HYPERLINK("CSG14.html#group21A14", "21A¹⁴"), =HYPERLINK("CSG18.html#group63B18", "63B¹⁸"), =HYPERLINK("CSG18.html#group63F18", "63F¹⁸"), =HYPERLINK("CSG23.html#group84A23", "84A²³"), =HYPERLINK("CSG17.html#group21B17", "21B¹⁷"), =HYPERLINK("CSG9.html#group42C9", "42C⁹"), =HYPERLINK("CSG16.html#group42C16", "42C¹⁶"), =HYPERLINK("CSG16.html#group63E16", "63E¹⁶"), =HYPERLINK("CSG18.html#group63C18", "63C¹⁸"), =HYPERLINK("CSG23.html#group84C23", "84C²³"), =HYPERLINK("CSG18.html#group63G18", "63G¹⁸"), =HYPERLINK("CSG16.html#group63D16", "63D¹⁶")</f>
        <v/>
      </c>
    </row>
    <row r="721">
      <c r="A721" t="inlineStr">
        <is>
          <t>21C⁴</t>
        </is>
      </c>
      <c r="B721" t="inlineStr"/>
      <c r="C721" t="inlineStr">
        <is>
          <t>96</t>
        </is>
      </c>
      <c r="D721" t="inlineStr">
        <is>
          <t>2</t>
        </is>
      </c>
      <c r="E721" t="inlineStr">
        <is>
          <t>32</t>
        </is>
      </c>
      <c r="F721" t="inlineStr">
        <is>
          <t>0</t>
        </is>
      </c>
      <c r="G721" t="inlineStr">
        <is>
          <t>3</t>
        </is>
      </c>
      <c r="H721" t="inlineStr">
        <is>
          <t>3⁴, 21⁴</t>
        </is>
      </c>
      <c r="I721" t="n">
        <v>8</v>
      </c>
      <c r="J721" t="inlineStr">
        <is>
          <t>2⁸, 12⁴</t>
        </is>
      </c>
      <c r="K721">
        <f>HYPERLINK("CSG1.html#group21A1", "21A¹"), =HYPERLINK("CSG1.html#group21B1", "21B¹")</f>
        <v/>
      </c>
      <c r="L721">
        <f>HYPERLINK("CSG7.html#group21D7", "21D⁷"), =HYPERLINK("CSG11.html#group42J11", "42J¹¹"), =HYPERLINK("CSG11.html#group42K11", "42K¹¹"), =HYPERLINK("CSG13.html#group21C13", "21C¹³"), =HYPERLINK("CSG16.html#group63F16", "63F¹⁶"), =HYPERLINK("CSG17.html#group42J17", "42J¹⁷"), =HYPERLINK("CSG19.html#group63M19", "63M¹⁹"), =HYPERLINK("CSG19.html#group63N19", "63N¹⁹")</f>
        <v/>
      </c>
      <c r="M721">
        <f>HYPERLINK("CSG0.html#group3B0", "3B⁰"), =HYPERLINK("CSG1.html#group21B1", "21B¹"), =HYPERLINK("CSG0.html#group1A0", "1A⁰"), =HYPERLINK("CSG0.html#group7B0", "7B⁰"), =HYPERLINK("CSG1.html#group21A1", "21A¹")</f>
        <v/>
      </c>
      <c r="N721">
        <f>HYPERLINK("CSG11.html#group42J11", "42J¹¹"), =HYPERLINK("CSG17.html#group42J17", "42J¹⁷"), =HYPERLINK("CSG7.html#group21D7", "21D⁷"), =HYPERLINK("CSG21.html#group42J21", "42J²¹"), =HYPERLINK("CSG19.html#group63M19", "63M¹⁹"), =HYPERLINK("CSG11.html#group42K11", "42K¹¹"), =HYPERLINK("CSG19.html#group63N19", "63N¹⁹"), =HYPERLINK("CSG13.html#group21C13", "21C¹³"), =HYPERLINK("CSG16.html#group63F16", "63F¹⁶")</f>
        <v/>
      </c>
    </row>
    <row r="722">
      <c r="A722" t="inlineStr">
        <is>
          <t>21D⁴</t>
        </is>
      </c>
      <c r="B722" t="inlineStr"/>
      <c r="C722" t="inlineStr">
        <is>
          <t>126</t>
        </is>
      </c>
      <c r="D722" t="inlineStr">
        <is>
          <t>1</t>
        </is>
      </c>
      <c r="E722" t="inlineStr">
        <is>
          <t>63</t>
        </is>
      </c>
      <c r="F722" t="inlineStr">
        <is>
          <t>18</t>
        </is>
      </c>
      <c r="G722" t="inlineStr">
        <is>
          <t>0</t>
        </is>
      </c>
      <c r="H722" t="inlineStr">
        <is>
          <t>21⁶</t>
        </is>
      </c>
      <c r="I722" t="n">
        <v>6</v>
      </c>
      <c r="J722" t="inlineStr">
        <is>
          <t>3¹, 6⁴, 12³</t>
        </is>
      </c>
      <c r="K722">
        <f>HYPERLINK("CSG1.html#group21E1", "21E¹")</f>
        <v/>
      </c>
      <c r="L722">
        <f>HYPERLINK("CSG11.html#group21D11", "21D¹¹"), =HYPERLINK("CSG11.html#group42L11", "42L¹¹"), =HYPERLINK("CSG12.html#group21A12", "21A¹²"), =HYPERLINK("CSG12.html#group21B12", "21B¹²"), =HYPERLINK("CSG12.html#group21C12", "21C¹²"), =HYPERLINK("CSG14.html#group42B14", "42B¹⁴"), =HYPERLINK("CSG14.html#group42C14", "42C¹⁴"), =HYPERLINK("CSG14.html#group42D14", "42D¹⁴"), =HYPERLINK("CSG15.html#group21B15", "21B¹⁵"), =HYPERLINK("CSG15.html#group42E15", "42E¹⁵"), =HYPERLINK("CSG19.html#group42D19", "42D¹⁹"), =HYPERLINK("CSG21.html#group63D21", "63D²¹"), =HYPERLINK("CSG22.html#group42B22", "42B²²"), =HYPERLINK("CSG24.html#group63B24", "63B²⁴")</f>
        <v/>
      </c>
      <c r="M722">
        <f>HYPERLINK("CSG0.html#group21A0", "21A⁰"), =HYPERLINK("CSG0.html#group1A0", "1A⁰"), =HYPERLINK("CSG0.html#group3A0", "3A⁰"), =HYPERLINK("CSG1.html#group21E1", "21E¹"), =HYPERLINK("CSG0.html#group7D0", "7D⁰"), =HYPERLINK("CSG0.html#group7A0", "7A⁰")</f>
        <v/>
      </c>
      <c r="N722">
        <f>HYPERLINK("CSG21.html#group63D21", "63D²¹"), =HYPERLINK("CSG12.html#group21C12", "21C¹²"), =HYPERLINK("CSG12.html#group21B12", "21B¹²"), =HYPERLINK("CSG15.html#group42E15", "42E¹⁵"), =HYPERLINK("CSG19.html#group42D19", "42D¹⁹"), =HYPERLINK("CSG22.html#group42B22", "42B²²"), =HYPERLINK("CSG11.html#group21D11", "21D¹¹"), =HYPERLINK("CSG15.html#group21B15", "21B¹⁵"), =HYPERLINK("CSG11.html#group42L11", "42L¹¹"), =HYPERLINK("CSG14.html#group42C14", "42C¹⁴"), =HYPERLINK("CSG24.html#group63B24", "63B²⁴"), =HYPERLINK("CSG12.html#group21A12", "21A¹²"), =HYPERLINK("CSG14.html#group42B14", "42B¹⁴"), =HYPERLINK("CSG14.html#group42D14", "42D¹⁴")</f>
        <v/>
      </c>
    </row>
    <row r="723">
      <c r="A723" t="inlineStr">
        <is>
          <t>21E⁴</t>
        </is>
      </c>
      <c r="B723" t="inlineStr"/>
      <c r="C723" t="inlineStr">
        <is>
          <t>126</t>
        </is>
      </c>
      <c r="D723" t="inlineStr">
        <is>
          <t>2</t>
        </is>
      </c>
      <c r="E723" t="inlineStr">
        <is>
          <t>7</t>
        </is>
      </c>
      <c r="F723" t="inlineStr">
        <is>
          <t>18</t>
        </is>
      </c>
      <c r="G723" t="inlineStr">
        <is>
          <t>0</t>
        </is>
      </c>
      <c r="H723" t="inlineStr">
        <is>
          <t>21⁶</t>
        </is>
      </c>
      <c r="I723" t="n">
        <v>6</v>
      </c>
      <c r="J723" t="inlineStr">
        <is>
          <t>2¹, 6²</t>
        </is>
      </c>
      <c r="K723">
        <f>HYPERLINK("CSG0.html#group7G0", "7G⁰"), =HYPERLINK("CSG1.html#group21C1", "21C¹"), =HYPERLINK("CSG1.html#group21E1", "21E¹"), =HYPERLINK("CSG2.html#group21C2", "21C²")</f>
        <v/>
      </c>
      <c r="L723">
        <f>HYPERLINK("CSG11.html#group21D11", "21D¹¹"), =HYPERLINK("CSG13.html#group21A13", "21A¹³"), =HYPERLINK("CSG13.html#group21B13", "21B¹³"), =HYPERLINK("CSG13.html#group42I13", "42I¹³"), =HYPERLINK("CSG13.html#group42J13", "42J¹³"), =HYPERLINK("CSG15.html#group42F15", "42F¹⁵"), =HYPERLINK("CSG19.html#group42F19", "42F¹⁹"), =HYPERLINK("CSG22.html#group42C22", "42C²²"), =HYPERLINK("CSG22.html#group63B22", "63B²²")</f>
        <v/>
      </c>
      <c r="M723">
        <f>HYPERLINK("CSG0.html#group7D0", "7D⁰"), =HYPERLINK("CSG1.html#group21E1", "21E¹"), =HYPERLINK("CSG0.html#group7C0", "7C⁰"), =HYPERLINK("CSG1.html#group21C1", "21C¹"), =HYPERLINK("CSG2.html#group21C2", "21C²"), =HYPERLINK("CSG0.html#group21A0", "21A⁰"), =HYPERLINK("CSG0.html#group7G0", "7G⁰"), =HYPERLINK("CSG0.html#group3A0", "3A⁰"), =HYPERLINK("CSG0.html#group1A0", "1A⁰"), =HYPERLINK("CSG0.html#group7A0", "7A⁰")</f>
        <v/>
      </c>
      <c r="N723">
        <f>HYPERLINK("CSG13.html#group21A13", "21A¹³"), =HYPERLINK("CSG22.html#group42C22", "42C²²"), =HYPERLINK("CSG22.html#group63B22", "63B²²"), =HYPERLINK("CSG13.html#group42I13", "42I¹³"), =HYPERLINK("CSG11.html#group21D11", "21D¹¹"), =HYPERLINK("CSG15.html#group42F15", "42F¹⁵"), =HYPERLINK("CSG19.html#group42F19", "42F¹⁹"), =HYPERLINK("CSG13.html#group21B13", "21B¹³"), =HYPERLINK("CSG13.html#group42J13", "42J¹³")</f>
        <v/>
      </c>
    </row>
    <row r="724">
      <c r="A724" t="inlineStr">
        <is>
          <t>22A⁴</t>
        </is>
      </c>
      <c r="B724" t="inlineStr"/>
      <c r="C724" t="inlineStr">
        <is>
          <t>72</t>
        </is>
      </c>
      <c r="D724" t="inlineStr">
        <is>
          <t>1</t>
        </is>
      </c>
      <c r="E724" t="inlineStr">
        <is>
          <t>12</t>
        </is>
      </c>
      <c r="F724" t="inlineStr">
        <is>
          <t>0</t>
        </is>
      </c>
      <c r="G724" t="inlineStr">
        <is>
          <t>0</t>
        </is>
      </c>
      <c r="H724" t="inlineStr">
        <is>
          <t>2³, 22³</t>
        </is>
      </c>
      <c r="I724" t="n">
        <v>6</v>
      </c>
      <c r="J724" t="inlineStr">
        <is>
          <t>1², 10¹</t>
        </is>
      </c>
      <c r="K724">
        <f>HYPERLINK("CSG0.html#group2C0", "2C⁰"), =HYPERLINK("CSG2.html#group22A2", "22A²"), =HYPERLINK("CSG2.html#group22C2", "22C²")</f>
        <v/>
      </c>
      <c r="L724">
        <f>HYPERLINK("CSG8.html#group44A8", "44A⁸"), =HYPERLINK("CSG9.html#group44B9", "44B⁹"), =HYPERLINK("CSG10.html#group44B10", "44B¹⁰"), =HYPERLINK("CSG16.html#group22A16", "22A¹⁶"), =HYPERLINK("CSG16.html#group66B16", "66B¹⁶"), =HYPERLINK("CSG19.html#group66B19", "66B¹⁹")</f>
        <v/>
      </c>
      <c r="M724">
        <f>HYPERLINK("CSG0.html#group2A0", "2A⁰"), =HYPERLINK("CSG1.html#group11A1", "11A¹"), =HYPERLINK("CSG2.html#group22A2", "22A²"), =HYPERLINK("CSG0.html#group2B0", "2B⁰"), =HYPERLINK("CSG2.html#group22C2", "22C²"), =HYPERLINK("CSG0.html#group1A0", "1A⁰"), =HYPERLINK("CSG0.html#group2C0", "2C⁰")</f>
        <v/>
      </c>
      <c r="N724">
        <f>HYPERLINK("CSG19.html#group88B19", "88B¹⁹"), =HYPERLINK("CSG19.html#group88G19", "88G¹⁹"), =HYPERLINK("CSG19.html#group88C19", "88C¹⁹"), =HYPERLINK("CSG19.html#group88H19", "88H¹⁹"), =HYPERLINK("CSG21.html#group88C21", "88C²¹"), =HYPERLINK("CSG9.html#group44B9", "44B⁹"), =HYPERLINK("CSG17.html#group44D17", "44D¹⁷"), =HYPERLINK("CSG10.html#group44B10", "44B¹⁰"), =HYPERLINK("CSG8.html#group44A8", "44A⁸"), =HYPERLINK("CSG16.html#group22A16", "22A¹⁶"), =HYPERLINK("CSG19.html#group44B19", "44B¹⁹"), =HYPERLINK("CSG19.html#group44A19", "44A¹⁹"), =HYPERLINK("CSG21.html#group88D21", "88D²¹"), =HYPERLINK("CSG16.html#group66B16", "66B¹⁶"), =HYPERLINK("CSG19.html#group66B19", "66B¹⁹")</f>
        <v/>
      </c>
    </row>
    <row r="725">
      <c r="A725" t="inlineStr">
        <is>
          <t>22B⁴</t>
        </is>
      </c>
      <c r="B725" t="inlineStr"/>
      <c r="C725" t="inlineStr">
        <is>
          <t>110</t>
        </is>
      </c>
      <c r="D725" t="inlineStr">
        <is>
          <t>1</t>
        </is>
      </c>
      <c r="E725" t="inlineStr">
        <is>
          <t>55</t>
        </is>
      </c>
      <c r="F725" t="inlineStr">
        <is>
          <t>12</t>
        </is>
      </c>
      <c r="G725" t="inlineStr">
        <is>
          <t>2</t>
        </is>
      </c>
      <c r="H725" t="inlineStr">
        <is>
          <t>22⁵</t>
        </is>
      </c>
      <c r="I725" t="n">
        <v>5</v>
      </c>
      <c r="J725" t="inlineStr">
        <is>
          <t>5¹, 10⁵</t>
        </is>
      </c>
      <c r="K725">
        <f>HYPERLINK("CSG1.html#group11C1", "11C¹")</f>
        <v/>
      </c>
      <c r="L725">
        <f>HYPERLINK("CSG10.html#group22B10", "22B¹⁰"), =HYPERLINK("CSG13.html#group22A13", "22A¹³"), =HYPERLINK("CSG17.html#group22C17", "22C¹⁷"), =HYPERLINK("CSG17.html#group66B17", "66B¹⁷"), =HYPERLINK("CSG18.html#group22B18", "22B¹⁸"), =HYPERLINK("CSG18.html#group22C18", "22C¹⁸")</f>
        <v/>
      </c>
      <c r="M725">
        <f>HYPERLINK("CSG1.html#group11C1", "11C¹"), =HYPERLINK("CSG0.html#group1A0", "1A⁰")</f>
        <v/>
      </c>
      <c r="N725">
        <f>HYPERLINK("CSG18.html#group22C18", "22C¹⁸"), =HYPERLINK("CSG18.html#group22B18", "22B¹⁸"), =HYPERLINK("CSG17.html#group66B17", "66B¹⁷"), =HYPERLINK("CSG17.html#group22C17", "22C¹⁷"), =HYPERLINK("CSG13.html#group22A13", "22A¹³"), =HYPERLINK("CSG10.html#group22B10", "22B¹⁰")</f>
        <v/>
      </c>
    </row>
    <row r="726">
      <c r="A726" t="inlineStr">
        <is>
          <t>24A⁴</t>
        </is>
      </c>
      <c r="B726" t="inlineStr"/>
      <c r="C726" t="inlineStr">
        <is>
          <t>48</t>
        </is>
      </c>
      <c r="D726" t="inlineStr">
        <is>
          <t>1</t>
        </is>
      </c>
      <c r="E726" t="inlineStr">
        <is>
          <t>4</t>
        </is>
      </c>
      <c r="F726" t="inlineStr">
        <is>
          <t>0</t>
        </is>
      </c>
      <c r="G726" t="inlineStr">
        <is>
          <t>0</t>
        </is>
      </c>
      <c r="H726" t="inlineStr">
        <is>
          <t>24²</t>
        </is>
      </c>
      <c r="I726" t="n">
        <v>2</v>
      </c>
      <c r="J726" t="inlineStr">
        <is>
          <t>2²</t>
        </is>
      </c>
      <c r="K726">
        <f>HYPERLINK("CSG0.html#group8E0", "8E⁰"), =HYPERLINK("CSG1.html#group24A1", "24A¹"), =HYPERLINK("CSG2.html#group12A2", "12A²")</f>
        <v/>
      </c>
      <c r="L726">
        <f>HYPERLINK("CSG7.html#group24B7", "24B⁷"), =HYPERLINK("CSG8.html#group48A8", "48A⁸"), =HYPERLINK("CSG8.html#group48B8", "48B⁸"), =HYPERLINK("CSG10.html#group24A10", "24A¹⁰"), =HYPERLINK("CSG12.html#group72A12", "72A¹²"), =HYPERLINK("CSG13.html#group24D13", "24D¹³"), =HYPERLINK("CSG20.html#group120A20", "120A²⁰"), =HYPERLINK("CSG23.html#group120B23", "120B²³")</f>
        <v/>
      </c>
      <c r="M726">
        <f>HYPERLINK("CSG0.html#group2A0", "2A⁰"), =HYPERLINK("CSG0.html#group12A0", "12A⁰"), =HYPERLINK("CSG1.html#group24A1", "24A¹"), =HYPERLINK("CSG0.html#group4A0", "4A⁰"), =HYPERLINK("CSG0.html#group4D0", "4D⁰"), =HYPERLINK("CSG2.html#group12A2", "12A²"), =HYPERLINK("CSG0.html#group8A0", "8A⁰"), =HYPERLINK("CSG0.html#group8E0", "8E⁰"), =HYPERLINK("CSG1.html#group6A1", "6A¹"), =HYPERLINK("CSG0.html#group3A0", "3A⁰"), =HYPERLINK("CSG0.html#group1A0", "1A⁰")</f>
        <v/>
      </c>
      <c r="N726">
        <f>HYPERLINK("CSG10.html#group24A10", "24A¹⁰"), =HYPERLINK("CSG8.html#group48A8", "48A⁸"), =HYPERLINK("CSG20.html#group120A20", "120A²⁰"), =HYPERLINK("CSG13.html#group24B13", "24B¹³"), =HYPERLINK("CSG21.html#group72N21", "72N²¹"), =HYPERLINK("CSG22.html#group48B22", "48B²²"), =HYPERLINK("CSG13.html#group24D13", "24D¹³"), =HYPERLINK("CSG8.html#group48B8", "48B⁸"), =HYPERLINK("CSG23.html#group72B23", "72B²³"), =HYPERLINK("CSG24.html#group144A24", "144A²⁴"), =HYPERLINK("CSG23.html#group120B23", "120B²³"), =HYPERLINK("CSG22.html#group48A22", "48A²²"), =HYPERLINK("CSG23.html#group72H23", "72H²³"), =HYPERLINK("CSG15.html#group48A15", "48A¹⁵"), =HYPERLINK("CSG15.html#group48B15", "48B¹⁵"), =HYPERLINK("CSG23.html#group72C23", "72C²³"), =HYPERLINK("CSG24.html#group144C24", "144C²⁴"), =HYPERLINK("CSG12.html#group72A12", "72A¹²"), =HYPERLINK("CSG19.html#group24C19", "24C¹⁹"), =HYPERLINK("CSG19.html#group24I19", "24I¹⁹"), =HYPERLINK("CSG24.html#group144B24", "144B²⁴"), =HYPERLINK("CSG19.html#group24D19", "24D¹⁹"), =HYPERLINK("CSG7.html#group24B7", "24B⁷")</f>
        <v/>
      </c>
    </row>
    <row r="727">
      <c r="A727" t="inlineStr">
        <is>
          <t>24B⁴</t>
        </is>
      </c>
      <c r="B727" t="inlineStr"/>
      <c r="C727" t="inlineStr">
        <is>
          <t>48</t>
        </is>
      </c>
      <c r="D727" t="inlineStr">
        <is>
          <t>1</t>
        </is>
      </c>
      <c r="E727" t="inlineStr">
        <is>
          <t>12</t>
        </is>
      </c>
      <c r="F727" t="inlineStr">
        <is>
          <t>0</t>
        </is>
      </c>
      <c r="G727" t="inlineStr">
        <is>
          <t>0</t>
        </is>
      </c>
      <c r="H727" t="inlineStr">
        <is>
          <t>24²</t>
        </is>
      </c>
      <c r="I727" t="n">
        <v>2</v>
      </c>
      <c r="J727" t="inlineStr">
        <is>
          <t>2², 4²</t>
        </is>
      </c>
      <c r="K727">
        <f>HYPERLINK("CSG1.html#group24B1", "24B¹"), =HYPERLINK("CSG2.html#group12A2", "12A²")</f>
        <v/>
      </c>
      <c r="L727">
        <f>HYPERLINK("CSG7.html#group24A7", "24A⁷"), =HYPERLINK("CSG7.html#group24B7", "24B⁷"), =HYPERLINK("CSG10.html#group24B10", "24B¹⁰"), =HYPERLINK("CSG12.html#group72B12", "72B¹²"), =HYPERLINK("CSG12.html#group72C12", "72C¹²"), =HYPERLINK("CSG13.html#group24E13", "24E¹³"), =HYPERLINK("CSG20.html#group120B20", "120B²⁰"), =HYPERLINK("CSG23.html#group120F23", "120F²³")</f>
        <v/>
      </c>
      <c r="M727">
        <f>HYPERLINK("CSG0.html#group2A0", "2A⁰"), =HYPERLINK("CSG0.html#group12A0", "12A⁰"), =HYPERLINK("CSG0.html#group4A0", "4A⁰"), =HYPERLINK("CSG0.html#group4D0", "4D⁰"), =HYPERLINK("CSG2.html#group12A2", "12A²"), =HYPERLINK("CSG1.html#group6A1", "6A¹"), =HYPERLINK("CSG1.html#group24B1", "24B¹"), =HYPERLINK("CSG0.html#group3A0", "3A⁰"), =HYPERLINK("CSG0.html#group1A0", "1A⁰")</f>
        <v/>
      </c>
      <c r="N727">
        <f>HYPERLINK("CSG20.html#group120B20", "120B²⁰"), =HYPERLINK("CSG23.html#group72A23", "72A²³"), =HYPERLINK("CSG13.html#group24B13", "24B¹³"), =HYPERLINK("CSG21.html#group72N21", "72N²¹"), =HYPERLINK("CSG13.html#group24E13", "24E¹³"), =HYPERLINK("CSG19.html#group24H19", "24H¹⁹"), =HYPERLINK("CSG19.html#group24S19", "24S¹⁹"), =HYPERLINK("CSG7.html#group24A7", "24A⁷"), =HYPERLINK("CSG23.html#group72B23", "72B²³"), =HYPERLINK("CSG19.html#group24B19", "24B¹⁹"), =HYPERLINK("CSG23.html#group72H23", "72H²³"), =HYPERLINK("CSG15.html#group48A15", "48A¹⁵"), =HYPERLINK("CSG23.html#group72G23", "72G²³"), =HYPERLINK("CSG21.html#group72M21", "72M²¹"), =HYPERLINK("CSG15.html#group48C15", "48C¹⁵"), =HYPERLINK("CSG15.html#group48B15", "48B¹⁵"), =HYPERLINK("CSG23.html#group72C23", "72C²³"), =HYPERLINK("CSG23.html#group120F23", "120F²³"), =HYPERLINK("CSG19.html#group24C19", "24C¹⁹"), =HYPERLINK("CSG23.html#group72D23", "72D²³"), =HYPERLINK("CSG12.html#group72B12", "72B¹²"), =HYPERLINK("CSG10.html#group24B10", "24B¹⁰"), =HYPERLINK("CSG19.html#group24G19", "24G¹⁹"), =HYPERLINK("CSG12.html#group72C12", "72C¹²"), =HYPERLINK("CSG7.html#group24B7", "24B⁷")</f>
        <v/>
      </c>
    </row>
    <row r="728">
      <c r="A728" t="inlineStr">
        <is>
          <t>24C⁴</t>
        </is>
      </c>
      <c r="B728" t="inlineStr"/>
      <c r="C728" t="inlineStr">
        <is>
          <t>64</t>
        </is>
      </c>
      <c r="D728" t="inlineStr">
        <is>
          <t>1</t>
        </is>
      </c>
      <c r="E728" t="inlineStr">
        <is>
          <t>64</t>
        </is>
      </c>
      <c r="F728" t="inlineStr">
        <is>
          <t>0</t>
        </is>
      </c>
      <c r="G728" t="inlineStr">
        <is>
          <t>1</t>
        </is>
      </c>
      <c r="H728" t="inlineStr">
        <is>
          <t>8², 24²</t>
        </is>
      </c>
      <c r="I728" t="n">
        <v>4</v>
      </c>
      <c r="J728" t="inlineStr">
        <is>
          <t>4⁸, 8⁴</t>
        </is>
      </c>
      <c r="K728">
        <f>HYPERLINK("CSG0.html#group8F0", "8F⁰"), =HYPERLINK("CSG1.html#group12A1", "12A¹")</f>
        <v/>
      </c>
      <c r="L728">
        <f>HYPERLINK("CSG7.html#group24E7", "24E⁷"), =HYPERLINK("CSG7.html#group24F7", "24F⁷"), =HYPERLINK("CSG11.html#group24I11", "24I¹¹"), =HYPERLINK("CSG13.html#group24C13", "24C¹³"), =HYPERLINK("CSG13.html#group72E13", "72E¹³"), =HYPERLINK("CSG14.html#group72A14", "72A¹⁴"), =HYPERLINK("CSG15.html#group72E15", "72E¹⁵"), =HYPERLINK("CSG18.html#group48A18", "48A¹⁸")</f>
        <v/>
      </c>
      <c r="M728">
        <f>HYPERLINK("CSG0.html#group3B0", "3B⁰"), =HYPERLINK("CSG0.html#group8F0", "8F⁰"), =HYPERLINK("CSG0.html#group1A0", "1A⁰"), =HYPERLINK("CSG0.html#group4A0", "4A⁰"), =HYPERLINK("CSG1.html#group12A1", "12A¹")</f>
        <v/>
      </c>
      <c r="N728">
        <f>HYPERLINK("CSG13.html#group24I13", "24I¹³"), =HYPERLINK("CSG13.html#group72E13", "72E¹³"), =HYPERLINK("CSG11.html#group24I11", "24I¹¹"), =HYPERLINK("CSG15.html#group72E15", "72E¹⁵"), =HYPERLINK("CSG17.html#group48A17", "48A¹⁷"), =HYPERLINK("CSG18.html#group48A18", "48A¹⁸"), =HYPERLINK("CSG7.html#group24F7", "24F⁷"), =HYPERLINK("CSG13.html#group24H13", "24H¹³"), =HYPERLINK("CSG21.html#group24A21", "24A²¹"), =HYPERLINK("CSG14.html#group72A14", "72A¹⁴"), =HYPERLINK("CSG24.html#group72B24", "72B²⁴"), =HYPERLINK("CSG13.html#group24G13", "24G¹³"), =HYPERLINK("CSG24.html#group24A24", "24A²⁴"), =HYPERLINK("CSG13.html#group24C13", "24C¹³"), =HYPERLINK("CSG21.html#group24J21", "24J²¹"), =HYPERLINK("CSG7.html#group24E7", "24E⁷")</f>
        <v/>
      </c>
    </row>
    <row r="729">
      <c r="A729" t="inlineStr">
        <is>
          <t>24D⁴</t>
        </is>
      </c>
      <c r="B729" t="inlineStr"/>
      <c r="C729" t="inlineStr">
        <is>
          <t>72</t>
        </is>
      </c>
      <c r="D729" t="inlineStr">
        <is>
          <t>1</t>
        </is>
      </c>
      <c r="E729" t="inlineStr">
        <is>
          <t>3</t>
        </is>
      </c>
      <c r="F729" t="inlineStr">
        <is>
          <t>0</t>
        </is>
      </c>
      <c r="G729" t="inlineStr">
        <is>
          <t>0</t>
        </is>
      </c>
      <c r="H729" t="inlineStr">
        <is>
          <t>6⁴, 24²</t>
        </is>
      </c>
      <c r="I729" t="n">
        <v>6</v>
      </c>
      <c r="J729" t="inlineStr">
        <is>
          <t>1³</t>
        </is>
      </c>
      <c r="K729">
        <f>HYPERLINK("CSG0.html#group8G0", "8G⁰"), =HYPERLINK("CSG1.html#group24C1", "24C¹"), =HYPERLINK("CSG2.html#group12B2", "12B²"), =HYPERLINK("CSG2.html#group24B2", "24B²")</f>
        <v/>
      </c>
      <c r="L729">
        <f>HYPERLINK("CSG7.html#group24J7", "24J⁷"), =HYPERLINK("CSG8.html#group24B8", "24B⁸"), =HYPERLINK("CSG8.html#group24D8", "24D⁸"), =HYPERLINK("CSG8.html#group48C8", "48C⁸"), =HYPERLINK("CSG8.html#group48D8", "48D⁸"), =HYPERLINK("CSG9.html#group24C9", "24C⁹"), =HYPERLINK("CSG9.html#group24I9", "24I⁹"), =HYPERLINK("CSG9.html#group48A9", "48A⁹"), =HYPERLINK("CSG9.html#group48E9", "48E⁹"), =HYPERLINK("CSG10.html#group48A10", "48A¹⁰"), =HYPERLINK("CSG10.html#group48B10", "48B¹⁰"), =HYPERLINK("CSG16.html#group72A16", "72A¹⁶")</f>
        <v/>
      </c>
      <c r="M729">
        <f>HYPERLINK("CSG0.html#group2A0", "2A⁰"), =HYPERLINK("CSG0.html#group12C0", "12C⁰"), =HYPERLINK("CSG0.html#group8D0", "8D⁰"), =HYPERLINK("CSG1.html#group6C1", "6C¹"), =HYPERLINK("CSG0.html#group4C0", "4C⁰"), =HYPERLINK("CSG2.html#group12B2", "12B²"), =HYPERLINK("CSG0.html#group2B0", "2B⁰"), =HYPERLINK("CSG0.html#group4E0", "4E⁰"), =HYPERLINK("CSG0.html#group8C0", "8C⁰"), =HYPERLINK("CSG0.html#group4B0", "4B⁰"), =HYPERLINK("CSG0.html#group1A0", "1A⁰"), =HYPERLINK("CSG2.html#group24B2", "24B²"), =HYPERLINK("CSG0.html#group6A0", "6A⁰"), =HYPERLINK("CSG0.html#group8G0", "8G⁰"), =HYPERLINK("CSG1.html#group24C1", "24C¹"), =HYPERLINK("CSG1.html#group12B1", "12B¹"), =HYPERLINK("CSG1.html#group6A1", "6A¹"), =HYPERLINK("CSG0.html#group3A0", "3A⁰"), =HYPERLINK("CSG0.html#group2C0", "2C⁰"), =HYPERLINK("CSG0.html#group6D0", "6D⁰")</f>
        <v/>
      </c>
      <c r="N729">
        <f>HYPERLINK("CSG10.html#group48A10", "48A¹⁰"), =HYPERLINK("CSG21.html#group96A21", "96A²¹"), =HYPERLINK("CSG21.html#group96B21", "96B²¹"), =HYPERLINK("CSG18.html#group96A18", "96A¹⁸"), =HYPERLINK("CSG17.html#group48D17", "48D¹⁷"), =HYPERLINK("CSG7.html#group24J7", "24J⁷"), =HYPERLINK("CSG16.html#group72A16", "72A¹⁶"), =HYPERLINK("CSG21.html#group48L21", "48L²¹"), =HYPERLINK("CSG18.html#group48D18", "48D¹⁸"), =HYPERLINK("CSG17.html#group24F17", "24F¹⁷"), =HYPERLINK("CSG19.html#group24F19", "24F¹⁹"), =HYPERLINK("CSG19.html#group48A19", "48A¹⁹"), =HYPERLINK("CSG17.html#group48E17", "48E¹⁷"), =HYPERLINK("CSG19.html#group48P19", "48P¹⁹"), =HYPERLINK("CSG19.html#group24D19", "24D¹⁹"), =HYPERLINK("CSG19.html#group48AX19", "48AX¹⁹"), =HYPERLINK("CSG19.html#group48AW19", "48AW¹⁹"), =HYPERLINK("CSG17.html#group48J17", "48J¹⁷"), =HYPERLINK("CSG17.html#group48BP17", "48BP¹⁷"), =HYPERLINK("CSG15.html#group48E15", "48E¹⁵"), =HYPERLINK("CSG17.html#group24P17", "24P¹⁷"), =HYPERLINK("CSG15.html#group24D15", "24D¹⁵"), =HYPERLINK("CSG22.html#group96A22", "96A²²"), =HYPERLINK("CSG19.html#group96A19", "96A¹⁹"), =HYPERLINK("CSG21.html#group48F21", "48F²¹"), =HYPERLINK("CSG17.html#group48H17", "48H¹⁷"), =HYPERLINK("CSG9.html#group48E9", "48E⁹"), =HYPERLINK("CSG19.html#group48G19", "48G¹⁹"), =HYPERLINK("CSG15.html#group48F15", "48F¹⁵"), =HYPERLINK("CSG8.html#group24D8", "24D⁸"), =HYPERLINK("CSG17.html#group24B17", "24B¹⁷"), =HYPERLINK("CSG18.html#group96C18", "96C¹⁸"), =HYPERLINK("CSG19.html#group24A19", "24A¹⁹"), =HYPERLINK("CSG17.html#group48K17", "48K¹⁷"), =HYPERLINK("CSG8.html#group24B8", "24B⁸"), =HYPERLINK("CSG21.html#group96E21", "96E²¹"), =HYPERLINK("CSG17.html#group24H17", "24H¹⁷"), =HYPERLINK("CSG19.html#group48I19", "48I¹⁹"), =HYPERLINK("CSG19.html#group48H19", "48H¹⁹"), =HYPERLINK("CSG19.html#group48L19", "48L¹⁹"), =HYPERLINK("CSG17.html#group24J17", "24J¹⁷"), =HYPERLINK("CSG18.html#group48I18", "48I¹⁸"), =HYPERLINK("CSG13.html#group24K13", "24K¹³"), =HYPERLINK("CSG10.html#group48B10", "48B¹⁰"), =HYPERLINK("CSG15.html#group24E15", "24E¹⁵"), =HYPERLINK("CSG17.html#group24S17", "24S¹⁷"), =HYPERLINK("CSG19.html#group48M19", "48M¹⁹"), =HYPERLINK("CSG9.html#group48A9", "48A⁹"), =HYPERLINK("CSG19.html#group48O19", "48O¹⁹"), =HYPERLINK("CSG19.html#group48F19", "48F¹⁹"), =HYPERLINK("CSG19.html#group48B19", "48B¹⁹"), =HYPERLINK("CSG22.html#group96C22", "96C²²"), =HYPERLINK("CSG9.html#group24I9", "24I⁹"), =HYPERLINK("CSG19.html#group48E19", "48E¹⁹"), =HYPERLINK("CSG8.html#group48D8", "48D⁸"), =HYPERLINK("CSG19.html#group96E19", "96E¹⁹"), =HYPERLINK("CSG21.html#group48E21", "48E²¹"), =HYPERLINK("CSG8.html#group48C8", "48C⁸"), =HYPERLINK("CSG19.html#group48D19", "48D¹⁹"), =HYPERLINK("CSG19.html#group48C19", "48C¹⁹"), =HYPERLINK("CSG19.html#group24G19", "24G¹⁹"), =HYPERLINK("CSG21.html#group48Q21", "48Q²¹"), =HYPERLINK("CSG9.html#group24C9", "24C⁹"), =HYPERLINK("CSG19.html#group96B19", "96B¹⁹"), =HYPERLINK("CSG19.html#group48N19", "48N¹⁹"), =HYPERLINK("CSG17.html#group48I17", "48I¹⁷"), =HYPERLINK("CSG19.html#group96H19", "96H¹⁹"), =HYPERLINK("CSG21.html#group96H21", "96H²¹")</f>
        <v/>
      </c>
    </row>
    <row r="730">
      <c r="A730" t="inlineStr">
        <is>
          <t>24E⁴</t>
        </is>
      </c>
      <c r="B730" t="inlineStr"/>
      <c r="C730" t="inlineStr">
        <is>
          <t>72</t>
        </is>
      </c>
      <c r="D730" t="inlineStr">
        <is>
          <t>1</t>
        </is>
      </c>
      <c r="E730" t="inlineStr">
        <is>
          <t>9</t>
        </is>
      </c>
      <c r="F730" t="inlineStr">
        <is>
          <t>0</t>
        </is>
      </c>
      <c r="G730" t="inlineStr">
        <is>
          <t>0</t>
        </is>
      </c>
      <c r="H730" t="inlineStr">
        <is>
          <t>6⁴, 24²</t>
        </is>
      </c>
      <c r="I730" t="n">
        <v>6</v>
      </c>
      <c r="J730" t="inlineStr">
        <is>
          <t>1³, 2³</t>
        </is>
      </c>
      <c r="K730">
        <f>HYPERLINK("CSG1.html#group24E1", "24E¹"), =HYPERLINK("CSG2.html#group12B2", "12B²"), =HYPERLINK("CSG2.html#group24D2", "24D²")</f>
        <v/>
      </c>
      <c r="L730">
        <f>HYPERLINK("CSG7.html#group24I7", "24I⁷"), =HYPERLINK("CSG7.html#group24J7", "24J⁷"), =HYPERLINK("CSG8.html#group24G8", "24G⁸"), =HYPERLINK("CSG8.html#group24H8", "24H⁸"), =HYPERLINK("CSG9.html#group24F9", "24F⁹"), =HYPERLINK("CSG9.html#group24H9", "24H⁹"), =HYPERLINK("CSG9.html#group24Z9", "24Z⁹"), =HYPERLINK("CSG16.html#group72B16", "72B¹⁶"), =HYPERLINK("CSG16.html#group72I16", "72I¹⁶")</f>
        <v/>
      </c>
      <c r="M730">
        <f>HYPERLINK("CSG0.html#group2A0", "2A⁰"), =HYPERLINK("CSG1.html#group24E1", "24E¹"), =HYPERLINK("CSG0.html#group12C0", "12C⁰"), =HYPERLINK("CSG1.html#group6C1", "6C¹"), =HYPERLINK("CSG0.html#group4C0", "4C⁰"), =HYPERLINK("CSG2.html#group12B2", "12B²"), =HYPERLINK("CSG0.html#group2B0", "2B⁰"), =HYPERLINK("CSG0.html#group4E0", "4E⁰"), =HYPERLINK("CSG0.html#group4B0", "4B⁰"), =HYPERLINK("CSG0.html#group1A0", "1A⁰"), =HYPERLINK("CSG0.html#group6A0", "6A⁰"), =HYPERLINK("CSG2.html#group24D2", "24D²"), =HYPERLINK("CSG1.html#group12B1", "12B¹"), =HYPERLINK("CSG1.html#group6A1", "6A¹"), =HYPERLINK("CSG0.html#group3A0", "3A⁰"), =HYPERLINK("CSG0.html#group2C0", "2C⁰"), =HYPERLINK("CSG0.html#group6D0", "6D⁰")</f>
        <v/>
      </c>
      <c r="N730">
        <f>HYPERLINK("CSG9.html#group24F9", "24F⁹"), =HYPERLINK("CSG21.html#group48BQ21", "48BQ²¹"), =HYPERLINK("CSG16.html#group72I16", "72I¹⁶"), =HYPERLINK("CSG16.html#group72B16", "72B¹⁶"), =HYPERLINK("CSG7.html#group24J7", "24J⁷"), =HYPERLINK("CSG17.html#group24I17", "24I¹⁷"), =HYPERLINK("CSG21.html#group48R21", "48R²¹"), =HYPERLINK("CSG17.html#group24AJ17", "24AJ¹⁷"), =HYPERLINK("CSG19.html#group24F19", "24F¹⁹"), =HYPERLINK("CSG17.html#group48U17", "48U¹⁷"), =HYPERLINK("CSG15.html#group48E15", "48E¹⁵"), =HYPERLINK("CSG8.html#group24H8", "24H⁸"), =HYPERLINK("CSG19.html#group24E19", "24E¹⁹"), =HYPERLINK("CSG15.html#group24D15", "24D¹⁵"), =HYPERLINK("CSG21.html#group48AN21", "48AN²¹"), =HYPERLINK("CSG7.html#group24I7", "24I⁷"), =HYPERLINK("CSG19.html#group24I19", "24I¹⁹"), =HYPERLINK("CSG17.html#group24W17", "24W¹⁷"), =HYPERLINK("CSG15.html#group48K15", "48K¹⁵"), =HYPERLINK("CSG9.html#group24H9", "24H⁹"), =HYPERLINK("CSG17.html#group24U17", "24U¹⁷"), =HYPERLINK("CSG15.html#group48F15", "48F¹⁵"), =HYPERLINK("CSG19.html#group48K19", "48K¹⁹"), =HYPERLINK("CSG17.html#group48K17", "48K¹⁷"), =HYPERLINK("CSG17.html#group24G17", "24G¹⁷"), =HYPERLINK("CSG17.html#group24Q17", "24Q¹⁷"), =HYPERLINK("CSG17.html#group24H17", "24H¹⁷"), =HYPERLINK("CSG17.html#group24J17", "24J¹⁷"), =HYPERLINK("CSG19.html#group24H19", "24H¹⁹"), =HYPERLINK("CSG19.html#group24S19", "24S¹⁹"), =HYPERLINK("CSG13.html#group24K13", "24K¹³"), =HYPERLINK("CSG8.html#group24G8", "24G⁸"), =HYPERLINK("CSG21.html#group48N21", "48N²¹"), =HYPERLINK("CSG15.html#group24I15", "24I¹⁵"), =HYPERLINK("CSG19.html#group48F19", "48F¹⁹"), =HYPERLINK("CSG17.html#group24R17", "24R¹⁷"), =HYPERLINK("CSG19.html#group48E19", "48E¹⁹"), =HYPERLINK("CSG9.html#group24Z9", "24Z⁹"), =HYPERLINK("CSG15.html#group24E15", "24E¹⁵"), =HYPERLINK("CSG21.html#group48AG21", "48AG²¹"), =HYPERLINK("CSG17.html#group48E17", "48E¹⁷")</f>
        <v/>
      </c>
    </row>
    <row r="731">
      <c r="A731" t="inlineStr">
        <is>
          <t>24F⁴</t>
        </is>
      </c>
      <c r="B731" t="inlineStr"/>
      <c r="C731" t="inlineStr">
        <is>
          <t>72</t>
        </is>
      </c>
      <c r="D731" t="inlineStr">
        <is>
          <t>1</t>
        </is>
      </c>
      <c r="E731" t="inlineStr">
        <is>
          <t>12</t>
        </is>
      </c>
      <c r="F731" t="inlineStr">
        <is>
          <t>0</t>
        </is>
      </c>
      <c r="G731" t="inlineStr">
        <is>
          <t>0</t>
        </is>
      </c>
      <c r="H731" t="inlineStr">
        <is>
          <t>3², 6¹, 12¹, 24²</t>
        </is>
      </c>
      <c r="I731" t="n">
        <v>6</v>
      </c>
      <c r="J731" t="inlineStr">
        <is>
          <t>1⁴, 2², 4¹</t>
        </is>
      </c>
      <c r="K731">
        <f>HYPERLINK("CSG0.html#group8I0", "8I⁰"), =HYPERLINK("CSG2.html#group24B2", "24B²")</f>
        <v/>
      </c>
      <c r="L731">
        <f>HYPERLINK("CSG7.html#group24U7", "24U⁷"), =HYPERLINK("CSG8.html#group24B8", "24B⁸"), =HYPERLINK("CSG8.html#group24F8", "24F⁸"), =HYPERLINK("CSG8.html#group48E8", "48E⁸"), =HYPERLINK("CSG8.html#group48I8", "48I⁸"), =HYPERLINK("CSG9.html#group48B9", "48B⁹"), =HYPERLINK("CSG9.html#group48O9", "48O⁹"), =HYPERLINK("CSG16.html#group72E16", "72E¹⁶")</f>
        <v/>
      </c>
      <c r="M731">
        <f>HYPERLINK("CSG2.html#group24B2", "24B²"), =HYPERLINK("CSG0.html#group4B0", "4B⁰"), =HYPERLINK("CSG0.html#group8C0", "8C⁰"), =HYPERLINK("CSG1.html#group12B1", "12B¹"), =HYPERLINK("CSG0.html#group8I0", "8I⁰"), =HYPERLINK("CSG0.html#group2B0", "2B⁰"), =HYPERLINK("CSG0.html#group3A0", "3A⁰"), =HYPERLINK("CSG0.html#group1A0", "1A⁰"), =HYPERLINK("CSG0.html#group6D0", "6D⁰")</f>
        <v/>
      </c>
      <c r="N731">
        <f>HYPERLINK("CSG21.html#group96D21", "96D²¹"), =HYPERLINK("CSG8.html#group48I8", "48I⁸"), =HYPERLINK("CSG17.html#group48AD17", "48AD¹⁷"), =HYPERLINK("CSG9.html#group48B9", "48B⁹"), =HYPERLINK("CSG15.html#group48Q15", "48Q¹⁵"), =HYPERLINK("CSG19.html#group48AP19", "48AP¹⁹"), =HYPERLINK("CSG17.html#group48D17", "48D¹⁷"), =HYPERLINK("CSG18.html#group48C18", "48C¹⁸"), =HYPERLINK("CSG15.html#group24H15", "24H¹⁵"), =HYPERLINK("CSG16.html#group72E16", "72E¹⁶"), =HYPERLINK("CSG21.html#group96R21", "96R²¹"), =HYPERLINK("CSG17.html#group48BT17", "48BT¹⁷"), =HYPERLINK("CSG17.html#group48AA17", "48AA¹⁷"), =HYPERLINK("CSG19.html#group48Q19", "48Q¹⁹"), =HYPERLINK("CSG17.html#group96A17", "96A¹⁷"), =HYPERLINK("CSG19.html#group96Z19", "96Z¹⁹"), =HYPERLINK("CSG17.html#group48AC17", "48AC¹⁷"), =HYPERLINK("CSG18.html#group48H18", "48H¹⁸"), =HYPERLINK("CSG18.html#group96B18", "96B¹⁸"), =HYPERLINK("CSG8.html#group48E8", "48E⁸"), =HYPERLINK("CSG19.html#group96P19", "96P¹⁹"), =HYPERLINK("CSG17.html#group48H17", "48H¹⁷"), =HYPERLINK("CSG7.html#group24U7", "24U⁷"), =HYPERLINK("CSG19.html#group96C19", "96C¹⁹"), =HYPERLINK("CSG17.html#group24B17", "24B¹⁷"), =HYPERLINK("CSG13.html#group24N13", "24N¹³"), =HYPERLINK("CSG19.html#group96K19", "96K¹⁹"), =HYPERLINK("CSG8.html#group24B8", "24B⁸"), =HYPERLINK("CSG21.html#group96C21", "96C²¹"), =HYPERLINK("CSG17.html#group96K17", "96K¹⁷"), =HYPERLINK("CSG18.html#group48I18", "48I¹⁸"), =HYPERLINK("CSG18.html#group96D18", "96D¹⁸"), =HYPERLINK("CSG21.html#group96Q21", "96Q²¹"), =HYPERLINK("CSG17.html#group24S17", "24S¹⁷"), =HYPERLINK("CSG19.html#group48M19", "48M¹⁹"), =HYPERLINK("CSG17.html#group48AB17", "48AB¹⁷"), =HYPERLINK("CSG8.html#group24F8", "24F⁸"), =HYPERLINK("CSG9.html#group48O9", "48O⁹"), =HYPERLINK("CSG19.html#group48C19", "48C¹⁹"), =HYPERLINK("CSG15.html#group24E15", "24E¹⁵"), =HYPERLINK("CSG15.html#group48P15", "48P¹⁵"), =HYPERLINK("CSG18.html#group48D18", "48D¹⁸")</f>
        <v/>
      </c>
    </row>
    <row r="732">
      <c r="A732" t="inlineStr">
        <is>
          <t>24G⁴</t>
        </is>
      </c>
      <c r="B732" t="inlineStr"/>
      <c r="C732" t="inlineStr">
        <is>
          <t>72</t>
        </is>
      </c>
      <c r="D732" t="inlineStr">
        <is>
          <t>1</t>
        </is>
      </c>
      <c r="E732" t="inlineStr">
        <is>
          <t>12</t>
        </is>
      </c>
      <c r="F732" t="inlineStr">
        <is>
          <t>0</t>
        </is>
      </c>
      <c r="G732" t="inlineStr">
        <is>
          <t>0</t>
        </is>
      </c>
      <c r="H732" t="inlineStr">
        <is>
          <t>6², 12³, 24¹</t>
        </is>
      </c>
      <c r="I732" t="n">
        <v>6</v>
      </c>
      <c r="J732" t="inlineStr">
        <is>
          <t>1⁸, 2²</t>
        </is>
      </c>
      <c r="K732">
        <f>HYPERLINK("CSG0.html#group8J0", "8J⁰"), =HYPERLINK("CSG2.html#group12B2", "12B²")</f>
        <v/>
      </c>
      <c r="L732">
        <f>HYPERLINK("CSG7.html#group24W7", "24W⁷"), =HYPERLINK("CSG8.html#group24A8", "24A⁸"), =HYPERLINK("CSG8.html#group24B8", "24B⁸"), =HYPERLINK("CSG8.html#group24H8", "24H⁸"), =HYPERLINK("CSG8.html#group24J8", "24J⁸"), =HYPERLINK("CSG9.html#group24D9", "24D⁹"), =HYPERLINK("CSG9.html#group24U9", "24U⁹"), =HYPERLINK("CSG16.html#group72G16", "72G¹⁶")</f>
        <v/>
      </c>
      <c r="M732">
        <f>HYPERLINK("CSG0.html#group2A0", "2A⁰"), =HYPERLINK("CSG0.html#group12C0", "12C⁰"), =HYPERLINK("CSG1.html#group6C1", "6C¹"), =HYPERLINK("CSG0.html#group4C0", "4C⁰"), =HYPERLINK("CSG2.html#group12B2", "12B²"), =HYPERLINK("CSG0.html#group2B0", "2B⁰"), =HYPERLINK("CSG0.html#group4E0", "4E⁰"), =HYPERLINK("CSG0.html#group4B0", "4B⁰"), =HYPERLINK("CSG0.html#group1A0", "1A⁰"), =HYPERLINK("CSG0.html#group6A0", "6A⁰"), =HYPERLINK("CSG1.html#group12B1", "12B¹"), =HYPERLINK("CSG1.html#group6A1", "6A¹"), =HYPERLINK("CSG0.html#group3A0", "3A⁰"), =HYPERLINK("CSG0.html#group8J0", "8J⁰"), =HYPERLINK("CSG0.html#group2C0", "2C⁰"), =HYPERLINK("CSG0.html#group6D0", "6D⁰")</f>
        <v/>
      </c>
      <c r="N732">
        <f>HYPERLINK("CSG16.html#group72G16", "72G¹⁶"), =HYPERLINK("CSG21.html#group48I21", "48I²¹"), =HYPERLINK("CSG17.html#group48D17", "48D¹⁷"), =HYPERLINK("CSG19.html#group48R19", "48R¹⁹"), =HYPERLINK("CSG17.html#group24AJ17", "24AJ¹⁷"), =HYPERLINK("CSG21.html#group48AH21", "48AH²¹"), =HYPERLINK("CSG17.html#group24Z17", "24Z¹⁷"), =HYPERLINK("CSG19.html#group24D19", "24D¹⁹"), =HYPERLINK("CSG8.html#group24H8", "24H⁸"), =HYPERLINK("CSG15.html#group24B15", "24B¹⁵"), =HYPERLINK("CSG8.html#group24J8", "24J⁸"), =HYPERLINK("CSG21.html#group48J21", "48J²¹"), =HYPERLINK("CSG19.html#group48AR19", "48AR¹⁹"), =HYPERLINK("CSG17.html#group48H17", "48H¹⁷"), =HYPERLINK("CSG17.html#group24W17", "24W¹⁷"), =HYPERLINK("CSG17.html#group24U17", "24U¹⁷"), =HYPERLINK("CSG17.html#group24V17", "24V¹⁷"), =HYPERLINK("CSG17.html#group24B17", "24B¹⁷"), =HYPERLINK("CSG8.html#group24A8", "24A⁸"), =HYPERLINK("CSG8.html#group24B8", "24B⁸"), =HYPERLINK("CSG18.html#group48B18", "48B¹⁸"), =HYPERLINK("CSG18.html#group48I18", "48I¹⁸"), =HYPERLINK("CSG19.html#group24H19", "24H¹⁹"), =HYPERLINK("CSG13.html#group24P13", "24P¹³"), =HYPERLINK("CSG7.html#group24W7", "24W⁷"), =HYPERLINK("CSG17.html#group24S17", "24S¹⁷"), =HYPERLINK("CSG21.html#group48AL21", "48AL²¹"), =HYPERLINK("CSG9.html#group24D9", "24D⁹"), =HYPERLINK("CSG19.html#group48M19", "48M¹⁹"), =HYPERLINK("CSG15.html#group24J15", "24J¹⁵"), =HYPERLINK("CSG15.html#group24I15", "24I¹⁵"), =HYPERLINK("CSG9.html#group24U9", "24U⁹"), =HYPERLINK("CSG19.html#group48C19", "48C¹⁹"), =HYPERLINK("CSG15.html#group24E15", "24E¹⁵"), =HYPERLINK("CSG18.html#group48G18", "48G¹⁸"), =HYPERLINK("CSG18.html#group48D18", "48D¹⁸")</f>
        <v/>
      </c>
    </row>
    <row r="733">
      <c r="A733" t="inlineStr">
        <is>
          <t>24H⁴</t>
        </is>
      </c>
      <c r="B733" t="inlineStr"/>
      <c r="C733" t="inlineStr">
        <is>
          <t>72</t>
        </is>
      </c>
      <c r="D733" t="inlineStr">
        <is>
          <t>1</t>
        </is>
      </c>
      <c r="E733" t="inlineStr">
        <is>
          <t>12</t>
        </is>
      </c>
      <c r="F733" t="inlineStr">
        <is>
          <t>6</t>
        </is>
      </c>
      <c r="G733" t="inlineStr">
        <is>
          <t>0</t>
        </is>
      </c>
      <c r="H733" t="inlineStr">
        <is>
          <t>24³</t>
        </is>
      </c>
      <c r="I733" t="n">
        <v>3</v>
      </c>
      <c r="J733" t="inlineStr">
        <is>
          <t>2², 4²</t>
        </is>
      </c>
      <c r="K733">
        <f>HYPERLINK("CSG1.html#group8D1", "8D¹"), =HYPERLINK("CSG1.html#group12J1", "12J¹"), =HYPERLINK("CSG1.html#group24A1", "24A¹")</f>
        <v/>
      </c>
      <c r="L733">
        <f>HYPERLINK("CSG7.html#group24K7", "24K⁷"), =HYPERLINK("CSG8.html#group24L8", "24L⁸"), =HYPERLINK("CSG8.html#group24N8", "24N⁸"), =HYPERLINK("CSG9.html#group24X9", "24X⁹"), =HYPERLINK("CSG9.html#group24Y9", "24Y⁹"), =HYPERLINK("CSG10.html#group24A10", "24A¹⁰"), =HYPERLINK("CSG10.html#group24C10", "24C¹⁰"), =HYPERLINK("CSG10.html#group48F10", "48F¹⁰"), =HYPERLINK("CSG10.html#group48G10", "48G¹⁰"), =HYPERLINK("CSG15.html#group72L15", "72L¹⁵")</f>
        <v/>
      </c>
      <c r="M733">
        <f>HYPERLINK("CSG0.html#group12A0", "12A⁰"), =HYPERLINK("CSG1.html#group24A1", "24A¹"), =HYPERLINK("CSG0.html#group12C0", "12C⁰"), =HYPERLINK("CSG0.html#group4A0", "4A⁰"), =HYPERLINK("CSG0.html#group4C0", "4C⁰"), =HYPERLINK("CSG0.html#group8A0", "8A⁰"), =HYPERLINK("CSG1.html#group12J1", "12J¹"), =HYPERLINK("CSG0.html#group2B0", "2B⁰"), =HYPERLINK("CSG0.html#group4F0", "4F⁰"), =HYPERLINK("CSG0.html#group3A0", "3A⁰"), =HYPERLINK("CSG0.html#group1A0", "1A⁰"), =HYPERLINK("CSG1.html#group8D1", "8D¹"), =HYPERLINK("CSG0.html#group6D0", "6D⁰")</f>
        <v/>
      </c>
      <c r="N733">
        <f>HYPERLINK("CSG10.html#group24A10", "24A¹⁰"), =HYPERLINK("CSG10.html#group24C10", "24C¹⁰"), =HYPERLINK("CSG19.html#group48AU19", "48AU¹⁹"), =HYPERLINK("CSG19.html#group24P19", "24P¹⁹"), =HYPERLINK("CSG20.html#group48I20", "48I²⁰"), =HYPERLINK("CSG21.html#group48BX21", "48BX²¹"), =HYPERLINK("CSG21.html#group48AQ21", "48AQ²¹"), =HYPERLINK("CSG16.html#group24A16", "24A¹⁶"), =HYPERLINK("CSG20.html#group48G20", "48G²⁰"), =HYPERLINK("CSG21.html#group48BO21", "48BO²¹"), =HYPERLINK("CSG10.html#group48F10", "48F¹⁰"), =HYPERLINK("CSG20.html#group48B20", "48B²⁰"), =HYPERLINK("CSG21.html#group48BL21", "48BL²¹"), =HYPERLINK("CSG19.html#group48S19", "48S¹⁹"), =HYPERLINK("CSG22.html#group48D22", "48D²²"), =HYPERLINK("CSG18.html#group48L18", "48L¹⁸"), =HYPERLINK("CSG17.html#group24AB17", "24AB¹⁷"), =HYPERLINK("CSG22.html#group48A22", "48A²²"), =HYPERLINK("CSG21.html#group48BP21", "48BP²¹"), =HYPERLINK("CSG15.html#group72L15", "72L¹⁵"), =HYPERLINK("CSG8.html#group24N8", "24N⁸"), =HYPERLINK("CSG15.html#group24P15", "24P¹⁵"), =HYPERLINK("CSG22.html#group48C22", "48C²²"), =HYPERLINK("CSG9.html#group24Y9", "24Y⁹"), =HYPERLINK("CSG19.html#group24I19", "24I¹⁹"), =HYPERLINK("CSG20.html#group48A20", "48A²⁰"), =HYPERLINK("CSG17.html#group48BO17", "48BO¹⁷"), =HYPERLINK("CSG7.html#group24K7", "24K⁷"), =HYPERLINK("CSG18.html#group48E18", "48E¹⁸"), =HYPERLINK("CSG17.html#group48BN17", "48BN¹⁷"), =HYPERLINK("CSG19.html#group48T19", "48T¹⁹"), =HYPERLINK("CSG17.html#group48AM17", "48AM¹⁷"), =HYPERLINK("CSG20.html#group48H20", "48H²⁰"), =HYPERLINK("CSG15.html#group48H15", "48H¹⁵"), =HYPERLINK("CSG22.html#group48B22", "48B²²"), =HYPERLINK("CSG19.html#group24N19", "24N¹⁹"), =HYPERLINK("CSG21.html#group48T21", "48T²¹"), =HYPERLINK("CSG17.html#group24AK17", "24AK¹⁷"), =HYPERLINK("CSG21.html#group48BW21", "48BW²¹"), =HYPERLINK("CSG19.html#group24J19", "24J¹⁹"), =HYPERLINK("CSG20.html#group48C20", "48C²⁰"), =HYPERLINK("CSG19.html#group48AV19", "48AV¹⁹"), =HYPERLINK("CSG10.html#group48G10", "48G¹⁰"), =HYPERLINK("CSG17.html#group48S17", "48S¹⁷"), =HYPERLINK("CSG17.html#group24AF17", "24AF¹⁷"), =HYPERLINK("CSG16.html#group24C16", "24C¹⁶"), =HYPERLINK("CSG8.html#group24L8", "24L⁸"), =HYPERLINK("CSG19.html#group24C19", "24C¹⁹"), =HYPERLINK("CSG9.html#group24X9", "24X⁹"), =HYPERLINK("CSG17.html#group24AE17", "24AE¹⁷"), =HYPERLINK("CSG17.html#group48T17", "48T¹⁷"), =HYPERLINK("CSG19.html#group48AB19", "48AB¹⁹"), =HYPERLINK("CSG19.html#group24Q19", "24Q¹⁹"), =HYPERLINK("CSG21.html#group48BY21", "48BY²¹"), =HYPERLINK("CSG20.html#group48D20", "48D²⁰"), =HYPERLINK("CSG19.html#group24D19", "24D¹⁹")</f>
        <v/>
      </c>
    </row>
    <row r="734">
      <c r="A734" t="inlineStr">
        <is>
          <t>24I⁴</t>
        </is>
      </c>
      <c r="B734" t="inlineStr"/>
      <c r="C734" t="inlineStr">
        <is>
          <t>72</t>
        </is>
      </c>
      <c r="D734" t="inlineStr">
        <is>
          <t>1</t>
        </is>
      </c>
      <c r="E734" t="inlineStr">
        <is>
          <t>18</t>
        </is>
      </c>
      <c r="F734" t="inlineStr">
        <is>
          <t>0</t>
        </is>
      </c>
      <c r="G734" t="inlineStr">
        <is>
          <t>0</t>
        </is>
      </c>
      <c r="H734" t="inlineStr">
        <is>
          <t>6⁴, 24²</t>
        </is>
      </c>
      <c r="I734" t="n">
        <v>6</v>
      </c>
      <c r="J734" t="inlineStr">
        <is>
          <t>2⁷, 4¹</t>
        </is>
      </c>
      <c r="K734">
        <f>HYPERLINK("CSG2.html#group12D2", "12D²"), =HYPERLINK("CSG2.html#group24D2", "24D²")</f>
        <v/>
      </c>
      <c r="L734">
        <f>HYPERLINK("CSG7.html#group24I7", "24I⁷"), =HYPERLINK("CSG7.html#group24N7", "24N⁷"), =HYPERLINK("CSG10.html#group48E10", "48E¹⁰"), =HYPERLINK("CSG16.html#group72C16", "72C¹⁶"), =HYPERLINK("CSG16.html#group72J16", "72J¹⁶")</f>
        <v/>
      </c>
      <c r="M734">
        <f>HYPERLINK("CSG0.html#group6B0", "6B⁰"), =HYPERLINK("CSG1.html#group12C1", "12C¹"), =HYPERLINK("CSG0.html#group4B0", "4B⁰"), =HYPERLINK("CSG2.html#group12D2", "12D²"), =HYPERLINK("CSG2.html#group24D2", "24D²"), =HYPERLINK("CSG1.html#group12B1", "12B¹"), =HYPERLINK("CSG0.html#group2B0", "2B⁰"), =HYPERLINK("CSG0.html#group6H0", "6H⁰"), =HYPERLINK("CSG0.html#group3A0", "3A⁰"), =HYPERLINK("CSG0.html#group1A0", "1A⁰"), =HYPERLINK("CSG0.html#group6D0", "6D⁰")</f>
        <v/>
      </c>
      <c r="N734">
        <f>HYPERLINK("CSG17.html#group48V17", "48V¹⁷"), =HYPERLINK("CSG15.html#group48K15", "48K¹⁵"), =HYPERLINK("CSG19.html#group48K19", "48K¹⁹"), =HYPERLINK("CSG7.html#group24N7", "24N⁷"), =HYPERLINK("CSG17.html#group24X17", "24X¹⁷"), =HYPERLINK("CSG17.html#group24G17", "24G¹⁷"), =HYPERLINK("CSG15.html#group24H15", "24H¹⁵"), =HYPERLINK("CSG17.html#group24I17", "24I¹⁷"), =HYPERLINK("CSG13.html#group24K13", "24K¹³"), =HYPERLINK("CSG17.html#group48G17", "48G¹⁷"), =HYPERLINK("CSG16.html#group72J16", "72J¹⁶"), =HYPERLINK("CSG17.html#group48F17", "48F¹⁷"), =HYPERLINK("CSG19.html#group48AA19", "48AA¹⁹"), =HYPERLINK("CSG17.html#group48U17", "48U¹⁷"), =HYPERLINK("CSG15.html#group24G15", "24G¹⁵"), =HYPERLINK("CSG15.html#group24I15", "24I¹⁵"), =HYPERLINK("CSG16.html#group72C16", "72C¹⁶"), =HYPERLINK("CSG15.html#group48R15", "48R¹⁵"), =HYPERLINK("CSG7.html#group24I7", "24I⁷"), =HYPERLINK("CSG10.html#group48E10", "48E¹⁰")</f>
        <v/>
      </c>
    </row>
    <row r="735">
      <c r="A735" t="inlineStr">
        <is>
          <t>24J⁴</t>
        </is>
      </c>
      <c r="B735" t="inlineStr"/>
      <c r="C735" t="inlineStr">
        <is>
          <t>72</t>
        </is>
      </c>
      <c r="D735" t="inlineStr">
        <is>
          <t>1</t>
        </is>
      </c>
      <c r="E735" t="inlineStr">
        <is>
          <t>18</t>
        </is>
      </c>
      <c r="F735" t="inlineStr">
        <is>
          <t>0</t>
        </is>
      </c>
      <c r="G735" t="inlineStr">
        <is>
          <t>0</t>
        </is>
      </c>
      <c r="H735" t="inlineStr">
        <is>
          <t>6⁴, 24²</t>
        </is>
      </c>
      <c r="I735" t="n">
        <v>6</v>
      </c>
      <c r="J735" t="inlineStr">
        <is>
          <t>1⁴, 2⁵, 4¹</t>
        </is>
      </c>
      <c r="K735">
        <f>HYPERLINK("CSG2.html#group12D2", "12D²"), =HYPERLINK("CSG2.html#group24B2", "24B²"), =HYPERLINK("CSG2.html#group24D2", "24D²")</f>
        <v/>
      </c>
      <c r="L735">
        <f>HYPERLINK("CSG7.html#group24J7", "24J⁷"), =HYPERLINK("CSG7.html#group24N7", "24N⁷"), =HYPERLINK("CSG8.html#group24E8", "24E⁸"), =HYPERLINK("CSG8.html#group24F8", "24F⁸"), =HYPERLINK("CSG8.html#group48L8", "48L⁸"), =HYPERLINK("CSG8.html#group48M8", "48M⁸"), =HYPERLINK("CSG9.html#group48F9", "48F⁹"), =HYPERLINK("CSG9.html#group48G9", "48G⁹"), =HYPERLINK("CSG9.html#group48AA9", "48AA⁹"), =HYPERLINK("CSG16.html#group72D16", "72D¹⁶"), =HYPERLINK("CSG16.html#group72K16", "72K¹⁶")</f>
        <v/>
      </c>
      <c r="M735">
        <f>HYPERLINK("CSG2.html#group24B2", "24B²"), =HYPERLINK("CSG0.html#group6B0", "6B⁰"), =HYPERLINK("CSG1.html#group12C1", "12C¹"), =HYPERLINK("CSG0.html#group4B0", "4B⁰"), =HYPERLINK("CSG2.html#group12D2", "12D²"), =HYPERLINK("CSG2.html#group24D2", "24D²"), =HYPERLINK("CSG1.html#group12B1", "12B¹"), =HYPERLINK("CSG0.html#group2B0", "2B⁰"), =HYPERLINK("CSG0.html#group8C0", "8C⁰"), =HYPERLINK("CSG0.html#group6H0", "6H⁰"), =HYPERLINK("CSG0.html#group3A0", "3A⁰"), =HYPERLINK("CSG0.html#group1A0", "1A⁰"), =HYPERLINK("CSG0.html#group6D0", "6D⁰")</f>
        <v/>
      </c>
      <c r="N735">
        <f>HYPERLINK("CSG17.html#group48V17", "48V¹⁷"), =HYPERLINK("CSG21.html#group96K21", "96K²¹"), =HYPERLINK("CSG17.html#group48W17", "48W¹⁷"), =HYPERLINK("CSG17.html#group48AD17", "48AD¹⁷"), =HYPERLINK("CSG19.html#group96G19", "96G¹⁹"), =HYPERLINK("CSG17.html#group24X17", "24X¹⁷"), =HYPERLINK("CSG7.html#group24J7", "24J⁷"), =HYPERLINK("CSG15.html#group24H15", "24H¹⁵"), =HYPERLINK("CSG17.html#group48G17", "48G¹⁷"), =HYPERLINK("CSG17.html#group48BT17", "48BT¹⁷"), =HYPERLINK("CSG19.html#group96I19", "96I¹⁹"), =HYPERLINK("CSG19.html#group48AA19", "48AA¹⁹"), =HYPERLINK("CSG21.html#group96T21", "96T²¹"), =HYPERLINK("CSG17.html#group48AC17", "48AC¹⁷"), =HYPERLINK("CSG15.html#group24G15", "24G¹⁵"), =HYPERLINK("CSG21.html#group96O21", "96O²¹"), =HYPERLINK("CSG8.html#group48L8", "48L⁸"), =HYPERLINK("CSG21.html#group96AQ21", "96AQ²¹"), =HYPERLINK("CSG21.html#group96L21", "96L²¹"), =HYPERLINK("CSG16.html#group72K16", "72K¹⁶"), =HYPERLINK("CSG15.html#group48E15", "48E¹⁵"), =HYPERLINK("CSG15.html#group24D15", "24D¹⁵"), =HYPERLINK("CSG8.html#group48M8", "48M⁸"), =HYPERLINK("CSG8.html#group24E8", "24E⁸"), =HYPERLINK("CSG9.html#group48G9", "48G⁹"), =HYPERLINK("CSG9.html#group48F9", "48F⁹"), =HYPERLINK("CSG19.html#group96S19", "96S¹⁹"), =HYPERLINK("CSG15.html#group48F15", "48F¹⁵"), =HYPERLINK("CSG17.html#group48K17", "48K¹⁷"), =HYPERLINK("CSG7.html#group24N7", "24N⁷"), =HYPERLINK("CSG17.html#group24H17", "24H¹⁷"), =HYPERLINK("CSG17.html#group24J17", "24J¹⁷"), =HYPERLINK("CSG13.html#group24K13", "24K¹³"), =HYPERLINK("CSG19.html#group96AW19", "96AW¹⁹"), =HYPERLINK("CSG17.html#group48F17", "48F¹⁷"), =HYPERLINK("CSG9.html#group48AA9", "48AA⁹"), =HYPERLINK("CSG17.html#group48X17", "48X¹⁷"), =HYPERLINK("CSG17.html#group48BS17", "48BS¹⁷"), =HYPERLINK("CSG19.html#group48F19", "48F¹⁹"), =HYPERLINK("CSG19.html#group96O19", "96O¹⁹"), =HYPERLINK("CSG19.html#group48E19", "48E¹⁹"), =HYPERLINK("CSG8.html#group24F8", "24F⁸"), =HYPERLINK("CSG15.html#group48R15", "48R¹⁵"), =HYPERLINK("CSG15.html#group24E15", "24E¹⁵"), =HYPERLINK("CSG16.html#group72D16", "72D¹⁶"), =HYPERLINK("CSG17.html#group48E17", "48E¹⁷")</f>
        <v/>
      </c>
    </row>
    <row r="736">
      <c r="A736" t="inlineStr">
        <is>
          <t>24K⁴</t>
        </is>
      </c>
      <c r="B736" t="inlineStr"/>
      <c r="C736" t="inlineStr">
        <is>
          <t>72</t>
        </is>
      </c>
      <c r="D736" t="inlineStr">
        <is>
          <t>1</t>
        </is>
      </c>
      <c r="E736" t="inlineStr">
        <is>
          <t>18</t>
        </is>
      </c>
      <c r="F736" t="inlineStr">
        <is>
          <t>4</t>
        </is>
      </c>
      <c r="G736" t="inlineStr">
        <is>
          <t>0</t>
        </is>
      </c>
      <c r="H736" t="inlineStr">
        <is>
          <t>12², 24²</t>
        </is>
      </c>
      <c r="I736" t="n">
        <v>4</v>
      </c>
      <c r="J736" t="inlineStr">
        <is>
          <t>1², 2⁴, 4²</t>
        </is>
      </c>
      <c r="K736">
        <f>HYPERLINK("CSG1.html#group12J1", "12J¹"), =HYPERLINK("CSG1.html#group24E1", "24E¹"), =HYPERLINK("CSG2.html#group24C2", "24C²")</f>
        <v/>
      </c>
      <c r="L736">
        <f>HYPERLINK("CSG7.html#group24R7", "24R⁷"), =HYPERLINK("CSG7.html#group24AE7", "24AE⁷"), =HYPERLINK("CSG9.html#group24H9", "24H⁹"), =HYPERLINK("CSG9.html#group24P9", "24P⁹"), =HYPERLINK("CSG9.html#group24Q9", "24Q⁹"), =HYPERLINK("CSG9.html#group24W9", "24W⁹"), =HYPERLINK("CSG9.html#group24X9", "24X⁹"), =HYPERLINK("CSG9.html#group24AA9", "24AA⁹"), =HYPERLINK("CSG14.html#group72D14", "72D¹⁴"), =HYPERLINK("CSG16.html#group72L16", "72L¹⁶")</f>
        <v/>
      </c>
      <c r="M736">
        <f>HYPERLINK("CSG1.html#group24E1", "24E¹"), =HYPERLINK("CSG0.html#group12A0", "12A⁰"), =HYPERLINK("CSG0.html#group12C0", "12C⁰"), =HYPERLINK("CSG0.html#group4A0", "4A⁰"), =HYPERLINK("CSG0.html#group4C0", "4C⁰"), =HYPERLINK("CSG1.html#group12J1", "12J¹"), =HYPERLINK("CSG0.html#group2B0", "2B⁰"), =HYPERLINK("CSG2.html#group24C2", "24C²"), =HYPERLINK("CSG0.html#group4F0", "4F⁰"), =HYPERLINK("CSG0.html#group3A0", "3A⁰"), =HYPERLINK("CSG0.html#group1A0", "1A⁰"), =HYPERLINK("CSG0.html#group6D0", "6D⁰")</f>
        <v/>
      </c>
      <c r="N736">
        <f>HYPERLINK("CSG21.html#group48BX21", "48BX²¹"), =HYPERLINK("CSG19.html#group24P19", "24P¹⁹"), =HYPERLINK("CSG21.html#group48AY21", "48AY²¹"), =HYPERLINK("CSG19.html#group48Y19", "48Y¹⁹"), =HYPERLINK("CSG13.html#group24R13", "24R¹³"), =HYPERLINK("CSG21.html#group48BO21", "48BO²¹"), =HYPERLINK("CSG17.html#group48AK17", "48AK¹⁷"), =HYPERLINK("CSG14.html#group72D14", "72D¹⁴"), =HYPERLINK("CSG19.html#group24F19", "24F¹⁹"), =HYPERLINK("CSG9.html#group24Q9", "24Q⁹"), =HYPERLINK("CSG21.html#group48AF21", "48AF²¹"), =HYPERLINK("CSG19.html#group48BM19", "48BM¹⁹"), =HYPERLINK("CSG7.html#group24R7", "24R⁷"), =HYPERLINK("CSG21.html#group48BP21", "48BP²¹"), =HYPERLINK("CSG19.html#group48AT19", "48AT¹⁹"), =HYPERLINK("CSG7.html#group24AE7", "24AE⁷"), =HYPERLINK("CSG17.html#group48AE17", "48AE¹⁷"), =HYPERLINK("CSG19.html#group24O19", "24O¹⁹"), =HYPERLINK("CSG19.html#group24E19", "24E¹⁹"), =HYPERLINK("CSG17.html#group24D17", "24D¹⁷"), =HYPERLINK("CSG19.html#group24I19", "24I¹⁹"), =HYPERLINK("CSG19.html#group48AS19", "48AS¹⁹"), =HYPERLINK("CSG19.html#group48AM19", "48AM¹⁹"), =HYPERLINK("CSG9.html#group24AA9", "24AA⁹"), =HYPERLINK("CSG17.html#group24AH17", "24AH¹⁷"), =HYPERLINK("CSG19.html#group48U19", "48U¹⁹"), =HYPERLINK("CSG17.html#group48Q17", "48Q¹⁷"), =HYPERLINK("CSG17.html#group24AD17", "24AD¹⁷"), =HYPERLINK("CSG9.html#group24P9", "24P⁹"), =HYPERLINK("CSG17.html#group24AG17", "24AG¹⁷"), =HYPERLINK("CSG17.html#group24W17", "24W¹⁷"), =HYPERLINK("CSG19.html#group48BL19", "48BL¹⁹"), =HYPERLINK("CSG9.html#group24H9", "24H⁹"), =HYPERLINK("CSG21.html#group48AD21", "48AD²¹"), =HYPERLINK("CSG17.html#group24G17", "24G¹⁷"), =HYPERLINK("CSG19.html#group48AL19", "48AL¹⁹"), =HYPERLINK("CSG15.html#group24N15", "24N¹⁵"), =HYPERLINK("CSG17.html#group24J17", "24J¹⁷"), =HYPERLINK("CSG9.html#group24W9", "24W⁹"), =HYPERLINK("CSG16.html#group72L16", "72L¹⁶"), =HYPERLINK("CSG19.html#group24H19", "24H¹⁹"), =HYPERLINK("CSG19.html#group24S19", "24S¹⁹"), =HYPERLINK("CSG21.html#group48AT21", "48AT²¹"), =HYPERLINK("CSG17.html#group24N17", "24N¹⁷"), =HYPERLINK("CSG17.html#group48P17", "48P¹⁷"), =HYPERLINK("CSG17.html#group48AL17", "48AL¹⁷"), =HYPERLINK("CSG17.html#group24AK17", "24AK¹⁷"), =HYPERLINK("CSG19.html#group24N19", "24N¹⁹"), =HYPERLINK("CSG17.html#group48CI17", "48CI¹⁷"), =HYPERLINK("CSG17.html#group24AF17", "24AF¹⁷"), =HYPERLINK("CSG17.html#group48AF17", "48AF¹⁷"), =HYPERLINK("CSG17.html#group24R17", "24R¹⁷"), =HYPERLINK("CSG17.html#group24AL17", "24AL¹⁷"), =HYPERLINK("CSG9.html#group24X9", "24X⁹"), =HYPERLINK("CSG19.html#group24L19", "24L¹⁹"), =HYPERLINK("CSG15.html#group24M15", "24M¹⁵")</f>
        <v/>
      </c>
    </row>
    <row r="737">
      <c r="A737" t="inlineStr">
        <is>
          <t>24L⁴</t>
        </is>
      </c>
      <c r="B737" t="inlineStr"/>
      <c r="C737" t="inlineStr">
        <is>
          <t>72</t>
        </is>
      </c>
      <c r="D737" t="inlineStr">
        <is>
          <t>1</t>
        </is>
      </c>
      <c r="E737" t="inlineStr">
        <is>
          <t>18</t>
        </is>
      </c>
      <c r="F737" t="inlineStr">
        <is>
          <t>4</t>
        </is>
      </c>
      <c r="G737" t="inlineStr">
        <is>
          <t>0</t>
        </is>
      </c>
      <c r="H737" t="inlineStr">
        <is>
          <t>12², 24²</t>
        </is>
      </c>
      <c r="I737" t="n">
        <v>4</v>
      </c>
      <c r="J737" t="inlineStr">
        <is>
          <t>1², 2⁴, 4²</t>
        </is>
      </c>
      <c r="K737">
        <f>HYPERLINK("CSG1.html#group12M1", "12M¹"), =HYPERLINK("CSG1.html#group24C1", "24C¹"), =HYPERLINK("CSG2.html#group24C2", "24C²")</f>
        <v/>
      </c>
      <c r="L737">
        <f>HYPERLINK("CSG7.html#group24R7", "24R⁷"), =HYPERLINK("CSG7.html#group24AD7", "24AD⁷"), =HYPERLINK("CSG9.html#group24I9", "24I⁹"), =HYPERLINK("CSG9.html#group24O9", "24O⁹"), =HYPERLINK("CSG9.html#group24Q9", "24Q⁹"), =HYPERLINK("CSG9.html#group48T9", "48T⁹"), =HYPERLINK("CSG9.html#group48U9", "48U⁹"), =HYPERLINK("CSG9.html#group48AD9", "48AD⁹"), =HYPERLINK("CSG14.html#group72E14", "72E¹⁴"), =HYPERLINK("CSG16.html#group72M16", "72M¹⁶")</f>
        <v/>
      </c>
      <c r="M737">
        <f>HYPERLINK("CSG0.html#group12C0", "12C⁰"), =HYPERLINK("CSG0.html#group8D0", "8D⁰"), =HYPERLINK("CSG0.html#group4C0", "4C⁰"), =HYPERLINK("CSG1.html#group24C1", "24C¹"), =HYPERLINK("CSG1.html#group12M1", "12M¹"), =HYPERLINK("CSG0.html#group2B0", "2B⁰"), =HYPERLINK("CSG2.html#group24C2", "24C²"), =HYPERLINK("CSG0.html#group3A0", "3A⁰"), =HYPERLINK("CSG0.html#group1A0", "1A⁰"), =HYPERLINK("CSG0.html#group6D0", "6D⁰")</f>
        <v/>
      </c>
      <c r="N737">
        <f>HYPERLINK("CSG9.html#group48AD9", "48AD⁹"), =HYPERLINK("CSG19.html#group24P19", "24P¹⁹"), =HYPERLINK("CSG21.html#group96AC21", "96AC²¹"), =HYPERLINK("CSG16.html#group72M16", "72M¹⁶"), =HYPERLINK("CSG21.html#group48AY21", "48AY²¹"), =HYPERLINK("CSG19.html#group48Y19", "48Y¹⁹"), =HYPERLINK("CSG13.html#group24R13", "24R¹³"), =HYPERLINK("CSG21.html#group96AD21", "96AD²¹"), =HYPERLINK("CSG17.html#group48AK17", "48AK¹⁷"), =HYPERLINK("CSG19.html#group96AB19", "96AB¹⁹"), =HYPERLINK("CSG9.html#group24O9", "24O⁹"), =HYPERLINK("CSG9.html#group24Q9", "24Q⁹"), =HYPERLINK("CSG19.html#group48P19", "48P¹⁹"), =HYPERLINK("CSG21.html#group48AF21", "48AF²¹"), =HYPERLINK("CSG19.html#group48AW19", "48AW¹⁹"), =HYPERLINK("CSG7.html#group24R7", "24R⁷"), =HYPERLINK("CSG17.html#group48AE17", "48AE¹⁷"), =HYPERLINK("CSG17.html#group24D17", "24D¹⁷"), =HYPERLINK("CSG17.html#group24P17", "24P¹⁷"), =HYPERLINK("CSG14.html#group72E14", "72E¹⁴"), =HYPERLINK("CSG19.html#group48AM19", "48AM¹⁹"), =HYPERLINK("CSG17.html#group24AH17", "24AH¹⁷"), =HYPERLINK("CSG19.html#group48U19", "48U¹⁹"), =HYPERLINK("CSG17.html#group48Q17", "48Q¹⁷"), =HYPERLINK("CSG17.html#group24AD17", "24AD¹⁷"), =HYPERLINK("CSG7.html#group24AD7", "24AD⁷"), =HYPERLINK("CSG17.html#group24AG17", "24AG¹⁷"), =HYPERLINK("CSG9.html#group48T9", "48T⁹"), =HYPERLINK("CSG21.html#group48AD21", "48AD²¹"), =HYPERLINK("CSG19.html#group48X19", "48X¹⁹"), =HYPERLINK("CSG17.html#group24AM17", "24AM¹⁷"), =HYPERLINK("CSG19.html#group48AL19", "48AL¹⁹"), =HYPERLINK("CSG9.html#group48U9", "48U⁹"), =HYPERLINK("CSG17.html#group24H17", "24H¹⁷"), =HYPERLINK("CSG15.html#group24N15", "24N¹⁵"), =HYPERLINK("CSG17.html#group24J17", "24J¹⁷"), =HYPERLINK("CSG17.html#group48AL17", "48AL¹⁷"), =HYPERLINK("CSG17.html#group48P17", "48P¹⁷"), =HYPERLINK("CSG19.html#group48I19", "48I¹⁹"), =HYPERLINK("CSG19.html#group48L19", "48L¹⁹"), =HYPERLINK("CSG17.html#group24N17", "24N¹⁷"), =HYPERLINK("CSG21.html#group48AT21", "48AT²¹"), =HYPERLINK("CSG17.html#group24S17", "24S¹⁷"), =HYPERLINK("CSG19.html#group48W19", "48W¹⁹"), =HYPERLINK("CSG17.html#group24AF17", "24AF¹⁷"), =HYPERLINK("CSG17.html#group48BV17", "48BV¹⁷"), =HYPERLINK("CSG17.html#group48AF17", "48AF¹⁷"), =HYPERLINK("CSG21.html#group96AW21", "96AW²¹"), =HYPERLINK("CSG19.html#group48BN19", "48BN¹⁹"), =HYPERLINK("CSG9.html#group24I9", "24I⁹"), =HYPERLINK("CSG19.html#group96AA19", "96AA¹⁹"), =HYPERLINK("CSG17.html#group48BU17", "48BU¹⁷"), =HYPERLINK("CSG19.html#group96AZ19", "96AZ¹⁹"), =HYPERLINK("CSG19.html#group24L19", "24L¹⁹"), =HYPERLINK("CSG19.html#group48H19", "48H¹⁹"), =HYPERLINK("CSG15.html#group24M15", "24M¹⁵")</f>
        <v/>
      </c>
    </row>
    <row r="738">
      <c r="A738" t="inlineStr">
        <is>
          <t>24M⁴</t>
        </is>
      </c>
      <c r="B738" t="inlineStr"/>
      <c r="C738" t="inlineStr">
        <is>
          <t>72</t>
        </is>
      </c>
      <c r="D738" t="inlineStr">
        <is>
          <t>1</t>
        </is>
      </c>
      <c r="E738" t="inlineStr">
        <is>
          <t>36</t>
        </is>
      </c>
      <c r="F738" t="inlineStr">
        <is>
          <t>0</t>
        </is>
      </c>
      <c r="G738" t="inlineStr">
        <is>
          <t>0</t>
        </is>
      </c>
      <c r="H738" t="inlineStr">
        <is>
          <t>3², 6¹, 12¹, 24²</t>
        </is>
      </c>
      <c r="I738" t="n">
        <v>6</v>
      </c>
      <c r="J738" t="inlineStr">
        <is>
          <t>1⁴, 2⁶, 4³, 8¹</t>
        </is>
      </c>
      <c r="K738">
        <f>HYPERLINK("CSG2.html#group24B2", "24B²")</f>
        <v/>
      </c>
      <c r="L738">
        <f>HYPERLINK("CSG7.html#group24T7", "24T⁷"), =HYPERLINK("CSG7.html#group24U7", "24U⁷"), =HYPERLINK("CSG8.html#group24D8", "24D⁸"), =HYPERLINK("CSG8.html#group24E8", "24E⁸"), =HYPERLINK("CSG8.html#group24F8", "24F⁸"), =HYPERLINK("CSG8.html#group48J8", "48J⁸"), =HYPERLINK("CSG8.html#group48K8", "48K⁸"), =HYPERLINK("CSG8.html#group48Y8", "48Y⁸"), =HYPERLINK("CSG9.html#group48P9", "48P⁹"), =HYPERLINK("CSG9.html#group48Q9", "48Q⁹"), =HYPERLINK("CSG9.html#group48AC9", "48AC⁹"), =HYPERLINK("CSG16.html#group72F16", "72F¹⁶"), =HYPERLINK("CSG16.html#group72P16", "72P¹⁶")</f>
        <v/>
      </c>
      <c r="M738">
        <f>HYPERLINK("CSG2.html#group24B2", "24B²"), =HYPERLINK("CSG0.html#group4B0", "4B⁰"), =HYPERLINK("CSG0.html#group8C0", "8C⁰"), =HYPERLINK("CSG1.html#group12B1", "12B¹"), =HYPERLINK("CSG0.html#group2B0", "2B⁰"), =HYPERLINK("CSG0.html#group3A0", "3A⁰"), =HYPERLINK("CSG0.html#group1A0", "1A⁰"), =HYPERLINK("CSG0.html#group6D0", "6D⁰")</f>
        <v/>
      </c>
      <c r="N738">
        <f>HYPERLINK("CSG21.html#group96X21", "96X²¹"), =HYPERLINK("CSG17.html#group48W17", "48W¹⁷"), =HYPERLINK("CSG17.html#group48AD17", "48AD¹⁷"), =HYPERLINK("CSG7.html#group24T7", "24T⁷"), =HYPERLINK("CSG16.html#group72P16", "72P¹⁶"), =HYPERLINK("CSG9.html#group48Q9", "48Q⁹"), =HYPERLINK("CSG15.html#group48Q15", "48Q¹⁵"), =HYPERLINK("CSG17.html#group48Z17", "48Z¹⁷"), =HYPERLINK("CSG19.html#group96Q19", "96Q¹⁹"), =HYPERLINK("CSG15.html#group24H15", "24H¹⁵"), =HYPERLINK("CSG21.html#group96U21", "96U²¹"), =HYPERLINK("CSG17.html#group48Y17", "48Y¹⁷"), =HYPERLINK("CSG16.html#group72F16", "72F¹⁶"), =HYPERLINK("CSG21.html#group96AS21", "96AS²¹"), =HYPERLINK("CSG17.html#group48BT17", "48BT¹⁷"), =HYPERLINK("CSG17.html#group48AA17", "48AA¹⁷"), =HYPERLINK("CSG17.html#group24F17", "24F¹⁷"), =HYPERLINK("CSG9.html#group48AC9", "48AC⁹"), =HYPERLINK("CSG17.html#group48AC17", "48AC¹⁷"), =HYPERLINK("CSG19.html#group48AX19", "48AX¹⁹"), =HYPERLINK("CSG21.html#group96W21", "96W²¹"), =HYPERLINK("CSG17.html#group48J17", "48J¹⁷"), =HYPERLINK("CSG17.html#group48BP17", "48BP¹⁷"), =HYPERLINK("CSG17.html#group96L17", "96L¹⁷"), =HYPERLINK("CSG17.html#group24P17", "24P¹⁷"), =HYPERLINK("CSG15.html#group24D15", "24D¹⁵"), =HYPERLINK("CSG8.html#group24E8", "24E⁸"), =HYPERLINK("CSG17.html#group96M17", "96M¹⁷"), =HYPERLINK("CSG8.html#group48J8", "48J⁸"), =HYPERLINK("CSG7.html#group24U7", "24U⁷"), =HYPERLINK("CSG8.html#group24D8", "24D⁸"), =HYPERLINK("CSG13.html#group24N13", "24N¹³"), =HYPERLINK("CSG19.html#group96AX19", "96AX¹⁹"), =HYPERLINK("CSG8.html#group48K8", "48K⁸"), =HYPERLINK("CSG8.html#group48Y8", "48Y⁸"), =HYPERLINK("CSG17.html#group24S17", "24S¹⁷"), =HYPERLINK("CSG19.html#group96R19", "96R¹⁹"), =HYPERLINK("CSG21.html#group96V21", "96V²¹"), =HYPERLINK("CSG19.html#group48O19", "48O¹⁹"), =HYPERLINK("CSG21.html#group96AR21", "96AR²¹"), =HYPERLINK("CSG17.html#group48AB17", "48AB¹⁷"), =HYPERLINK("CSG9.html#group48P9", "48P⁹"), =HYPERLINK("CSG17.html#group48BS17", "48BS¹⁷"), =HYPERLINK("CSG17.html#group48X17", "48X¹⁷"), =HYPERLINK("CSG15.html#group48N15", "48N¹⁵"), =HYPERLINK("CSG8.html#group24F8", "24F⁸"), =HYPERLINK("CSG17.html#group96AC17", "96AC¹⁷"), =HYPERLINK("CSG15.html#group48O15", "48O¹⁵"), =HYPERLINK("CSG15.html#group24E15", "24E¹⁵"), =HYPERLINK("CSG15.html#group48P15", "48P¹⁵"), =HYPERLINK("CSG19.html#group48N19", "48N¹⁹"), =HYPERLINK("CSG17.html#group48I17", "48I¹⁷")</f>
        <v/>
      </c>
    </row>
    <row r="739">
      <c r="A739" t="inlineStr">
        <is>
          <t>24N⁴</t>
        </is>
      </c>
      <c r="B739" t="inlineStr"/>
      <c r="C739" t="inlineStr">
        <is>
          <t>72</t>
        </is>
      </c>
      <c r="D739" t="inlineStr">
        <is>
          <t>1</t>
        </is>
      </c>
      <c r="E739" t="inlineStr">
        <is>
          <t>36</t>
        </is>
      </c>
      <c r="F739" t="inlineStr">
        <is>
          <t>0</t>
        </is>
      </c>
      <c r="G739" t="inlineStr">
        <is>
          <t>0</t>
        </is>
      </c>
      <c r="H739" t="inlineStr">
        <is>
          <t>6², 12³, 24¹</t>
        </is>
      </c>
      <c r="I739" t="n">
        <v>6</v>
      </c>
      <c r="J739" t="inlineStr">
        <is>
          <t>1⁸, 2¹⁰, 4²</t>
        </is>
      </c>
      <c r="K739">
        <f>HYPERLINK("CSG2.html#group12B2", "12B²")</f>
        <v/>
      </c>
      <c r="L739">
        <f>HYPERLINK("CSG7.html#group24V7", "24V⁷"), =HYPERLINK("CSG7.html#group24W7", "24W⁷"), =HYPERLINK("CSG8.html#group24C8", "24C⁸"), =HYPERLINK("CSG8.html#group24D8", "24D⁸"), =HYPERLINK("CSG8.html#group24G8", "24G⁸"), =HYPERLINK("CSG8.html#group24H8", "24H⁸"), =HYPERLINK("CSG8.html#group24I8", "24I⁸"), =HYPERLINK("CSG8.html#group24J8", "24J⁸"), =HYPERLINK("CSG9.html#group24S9", "24S⁹"), =HYPERLINK("CSG9.html#group24T9", "24T⁹"), =HYPERLINK("CSG9.html#group24U9", "24U⁹"), =HYPERLINK("CSG16.html#group72H16", "72H¹⁶"), =HYPERLINK("CSG16.html#group72Q16", "72Q¹⁶")</f>
        <v/>
      </c>
      <c r="M739">
        <f>HYPERLINK("CSG0.html#group2A0", "2A⁰"), =HYPERLINK("CSG0.html#group12C0", "12C⁰"), =HYPERLINK("CSG0.html#group6A0", "6A⁰"), =HYPERLINK("CSG0.html#group3A0", "3A⁰"), =HYPERLINK("CSG1.html#group6C1", "6C¹"), =HYPERLINK("CSG0.html#group4C0", "4C⁰"), =HYPERLINK("CSG2.html#group12B2", "12B²"), =HYPERLINK("CSG1.html#group12B1", "12B¹"), =HYPERLINK("CSG0.html#group4E0", "4E⁰"), =HYPERLINK("CSG0.html#group2B0", "2B⁰"), =HYPERLINK("CSG1.html#group6A1", "6A¹"), =HYPERLINK("CSG0.html#group4B0", "4B⁰"), =HYPERLINK("CSG0.html#group1A0", "1A⁰"), =HYPERLINK("CSG0.html#group2C0", "2C⁰"), =HYPERLINK("CSG0.html#group6D0", "6D⁰")</f>
        <v/>
      </c>
      <c r="N739">
        <f>HYPERLINK("CSG17.html#group24AJ17", "24AJ¹⁷"), =HYPERLINK("CSG17.html#group24F17", "24F¹⁷"), =HYPERLINK("CSG8.html#group24I8", "24I⁸"), =HYPERLINK("CSG17.html#group24Z17", "24Z¹⁷"), =HYPERLINK("CSG19.html#group48AX19", "48AX¹⁹"), =HYPERLINK("CSG17.html#group48J17", "48J¹⁷"), =HYPERLINK("CSG17.html#group48BP17", "48BP¹⁷"), =HYPERLINK("CSG8.html#group24H8", "24H⁸"), =HYPERLINK("CSG15.html#group24B15", "24B¹⁵"), =HYPERLINK("CSG16.html#group72H16", "72H¹⁶"), =HYPERLINK("CSG8.html#group24J8", "24J⁸"), =HYPERLINK("CSG15.html#group24D15", "24D¹⁵"), =HYPERLINK("CSG17.html#group24P17", "24P¹⁷"), =HYPERLINK("CSG19.html#group24I19", "24I¹⁹"), =HYPERLINK("CSG21.html#group48AI21", "48AI²¹"), =HYPERLINK("CSG21.html#group48BR21", "48BR²¹"), =HYPERLINK("CSG15.html#group24A15", "24A¹⁵"), =HYPERLINK("CSG21.html#group48BS21", "48BS²¹"), =HYPERLINK("CSG17.html#group24W17", "24W¹⁷"), =HYPERLINK("CSG17.html#group24U17", "24U¹⁷"), =HYPERLINK("CSG17.html#group24V17", "24V¹⁷"), =HYPERLINK("CSG8.html#group24D8", "24D⁸"), =HYPERLINK("CSG16.html#group72Q16", "72Q¹⁶"), =HYPERLINK("CSG21.html#group48AK21", "48AK²¹"), =HYPERLINK("CSG7.html#group24V7", "24V⁷"), =HYPERLINK("CSG9.html#group24S9", "24S⁹"), =HYPERLINK("CSG17.html#group24Q17", "24Q¹⁷"), =HYPERLINK("CSG13.html#group24P13", "24P¹³"), =HYPERLINK("CSG19.html#group24S19", "24S¹⁹"), =HYPERLINK("CSG7.html#group24W7", "24W⁷"), =HYPERLINK("CSG17.html#group24S17", "24S¹⁷"), =HYPERLINK("CSG15.html#group24J15", "24J¹⁵"), =HYPERLINK("CSG8.html#group24G8", "24G⁸"), =HYPERLINK("CSG19.html#group48O19", "48O¹⁹"), =HYPERLINK("CSG15.html#group24I15", "24I¹⁵"), =HYPERLINK("CSG8.html#group24C8", "24C⁸"), =HYPERLINK("CSG9.html#group24U9", "24U⁹"), =HYPERLINK("CSG21.html#group48AJ21", "48AJ²¹"), =HYPERLINK("CSG17.html#group24R17", "24R¹⁷"), =HYPERLINK("CSG17.html#group24T17", "24T¹⁷"), =HYPERLINK("CSG9.html#group24T9", "24T⁹"), =HYPERLINK("CSG21.html#group48AM21", "48AM²¹"), =HYPERLINK("CSG19.html#group24G19", "24G¹⁹"), =HYPERLINK("CSG15.html#group24E15", "24E¹⁵"), =HYPERLINK("CSG19.html#group48N19", "48N¹⁹"), =HYPERLINK("CSG17.html#group48I17", "48I¹⁷")</f>
        <v/>
      </c>
    </row>
    <row r="740">
      <c r="A740" t="inlineStr">
        <is>
          <t>24O⁴</t>
        </is>
      </c>
      <c r="B740" t="inlineStr"/>
      <c r="C740" t="inlineStr">
        <is>
          <t>72</t>
        </is>
      </c>
      <c r="D740" t="inlineStr">
        <is>
          <t>1</t>
        </is>
      </c>
      <c r="E740" t="inlineStr">
        <is>
          <t>36</t>
        </is>
      </c>
      <c r="F740" t="inlineStr">
        <is>
          <t>6</t>
        </is>
      </c>
      <c r="G740" t="inlineStr">
        <is>
          <t>0</t>
        </is>
      </c>
      <c r="H740" t="inlineStr">
        <is>
          <t>24³</t>
        </is>
      </c>
      <c r="I740" t="n">
        <v>3</v>
      </c>
      <c r="J740" t="inlineStr">
        <is>
          <t>2², 4⁴, 8²</t>
        </is>
      </c>
      <c r="K740">
        <f>HYPERLINK("CSG1.html#group12J1", "12J¹"), =HYPERLINK("CSG1.html#group24B1", "24B¹")</f>
        <v/>
      </c>
      <c r="L740">
        <f>HYPERLINK("CSG7.html#group24AB7", "24AB⁷"), =HYPERLINK("CSG8.html#group24K8", "24K⁸"), =HYPERLINK("CSG8.html#group24M8", "24M⁸"), =HYPERLINK("CSG8.html#group24N8", "24N⁸"), =HYPERLINK("CSG8.html#group24P8", "24P⁸"), =HYPERLINK("CSG9.html#group24V9", "24V⁹"), =HYPERLINK("CSG9.html#group24W9", "24W⁹"), =HYPERLINK("CSG9.html#group24Y9", "24Y⁹"), =HYPERLINK("CSG9.html#group24AA9", "24AA⁹"), =HYPERLINK("CSG10.html#group24B10", "24B¹⁰"), =HYPERLINK("CSG10.html#group24E10", "24E¹⁰"), =HYPERLINK("CSG15.html#group72M15", "72M¹⁵"), =HYPERLINK("CSG15.html#group72X15", "72X¹⁵")</f>
        <v/>
      </c>
      <c r="M740">
        <f>HYPERLINK("CSG0.html#group12A0", "12A⁰"), =HYPERLINK("CSG0.html#group12C0", "12C⁰"), =HYPERLINK("CSG0.html#group4A0", "4A⁰"), =HYPERLINK("CSG0.html#group4C0", "4C⁰"), =HYPERLINK("CSG1.html#group12J1", "12J¹"), =HYPERLINK("CSG1.html#group24B1", "24B¹"), =HYPERLINK("CSG0.html#group2B0", "2B⁰"), =HYPERLINK("CSG0.html#group4F0", "4F⁰"), =HYPERLINK("CSG0.html#group3A0", "3A⁰"), =HYPERLINK("CSG0.html#group1A0", "1A⁰"), =HYPERLINK("CSG0.html#group6D0", "6D⁰")</f>
        <v/>
      </c>
      <c r="N740">
        <f>HYPERLINK("CSG20.html#group48I20", "48I²⁰"), =HYPERLINK("CSG18.html#group48K18", "48K¹⁸"), =HYPERLINK("CSG19.html#group24P19", "24P¹⁹"), =HYPERLINK("CSG16.html#group24E16", "24E¹⁶"), =HYPERLINK("CSG16.html#group24B16", "24B¹⁶"), =HYPERLINK("CSG20.html#group48G20", "48G²⁰"), =HYPERLINK("CSG19.html#group24M19", "24M¹⁹"), =HYPERLINK("CSG8.html#group24M8", "24M⁸"), =HYPERLINK("CSG19.html#group24B19", "24B¹⁹"), =HYPERLINK("CSG17.html#group48AN17", "48AN¹⁷"), =HYPERLINK("CSG17.html#group24AB17", "24AB¹⁷"), =HYPERLINK("CSG18.html#group48S18", "48S¹⁸"), =HYPERLINK("CSG19.html#group48AT19", "48AT¹⁹"), =HYPERLINK("CSG8.html#group24N8", "24N⁸"), =HYPERLINK("CSG15.html#group24P15", "24P¹⁵"), =HYPERLINK("CSG21.html#group48BN21", "48BN²¹"), =HYPERLINK("CSG9.html#group24Y9", "24Y⁹"), =HYPERLINK("CSG19.html#group24O19", "24O¹⁹"), =HYPERLINK("CSG16.html#group24D16", "24D¹⁶"), =HYPERLINK("CSG9.html#group24AA9", "24AA⁹"), =HYPERLINK("CSG7.html#group24AB7", "24AB⁷"), =HYPERLINK("CSG10.html#group24B10", "24B¹⁰"), =HYPERLINK("CSG21.html#group48BV21", "48BV²¹"), =HYPERLINK("CSG19.html#group48AS19", "48AS¹⁹"), =HYPERLINK("CSG17.html#group24AC17", "24AC¹⁷"), =HYPERLINK("CSG19.html#group48AC19", "48AC¹⁹"), =HYPERLINK("CSG17.html#group24AD17", "24AD¹⁷"), =HYPERLINK("CSG18.html#group48O18", "48O¹⁸"), =HYPERLINK("CSG19.html#group48BL19", "48BL¹⁹"), =HYPERLINK("CSG10.html#group24E10", "24E¹⁰"), =HYPERLINK("CSG17.html#group48BW17", "48BW¹⁷"), =HYPERLINK("CSG15.html#group72X15", "72X¹⁵"), =HYPERLINK("CSG20.html#group48E20", "48E²⁰"), =HYPERLINK("CSG19.html#group24H19", "24H¹⁹"), =HYPERLINK("CSG9.html#group24W9", "24W⁹"), =HYPERLINK("CSG19.html#group24N19", "24N¹⁹"), =HYPERLINK("CSG8.html#group24P8", "24P⁸"), =HYPERLINK("CSG17.html#group24AK17", "24AK¹⁷"), =HYPERLINK("CSG21.html#group48BW21", "48BW²¹"), =HYPERLINK("CSG19.html#group24J19", "24J¹⁹"), =HYPERLINK("CSG19.html#group24S19", "24S¹⁹"), =HYPERLINK("CSG15.html#group24O15", "24O¹⁵"), =HYPERLINK("CSG17.html#group24AF17", "24AF¹⁷"), =HYPERLINK("CSG8.html#group24K8", "24K⁸"), =HYPERLINK("CSG17.html#group24AL17", "24AL¹⁷"), =HYPERLINK("CSG19.html#group24C19", "24C¹⁹"), =HYPERLINK("CSG9.html#group24V9", "24V⁹"), =HYPERLINK("CSG17.html#group24AE17", "24AE¹⁷"), =HYPERLINK("CSG15.html#group72M15", "72M¹⁵"), =HYPERLINK("CSG18.html#group48J18", "48J¹⁸"), =HYPERLINK("CSG19.html#group48AY19", "48AY¹⁹"), =HYPERLINK("CSG19.html#group24Q19", "24Q¹⁹"), =HYPERLINK("CSG19.html#group24G19", "24G¹⁹"), =HYPERLINK("CSG21.html#group48BY21", "48BY²¹"), =HYPERLINK("CSG18.html#group48N18", "48N¹⁸"), =HYPERLINK("CSG21.html#group48AR21", "48AR²¹"), =HYPERLINK("CSG21.html#group48BM21", "48BM²¹"), =HYPERLINK("CSG19.html#group24L19", "24L¹⁹"), =HYPERLINK("CSG18.html#group48R18", "48R¹⁸"), =HYPERLINK("CSG20.html#group48F20", "48F²⁰"), =HYPERLINK("CSG15.html#group48W15", "48W¹⁵")</f>
        <v/>
      </c>
    </row>
    <row r="741">
      <c r="A741" t="inlineStr">
        <is>
          <t>24P⁴</t>
        </is>
      </c>
      <c r="B741" t="inlineStr"/>
      <c r="C741" t="inlineStr">
        <is>
          <t>72</t>
        </is>
      </c>
      <c r="D741" t="inlineStr">
        <is>
          <t>2</t>
        </is>
      </c>
      <c r="E741" t="inlineStr">
        <is>
          <t>18</t>
        </is>
      </c>
      <c r="F741" t="inlineStr">
        <is>
          <t>4</t>
        </is>
      </c>
      <c r="G741" t="inlineStr">
        <is>
          <t>0</t>
        </is>
      </c>
      <c r="H741" t="inlineStr">
        <is>
          <t>12², 24²</t>
        </is>
      </c>
      <c r="I741" t="n">
        <v>4</v>
      </c>
      <c r="J741" t="inlineStr">
        <is>
          <t>2⁶, 4⁶</t>
        </is>
      </c>
      <c r="K741">
        <f>HYPERLINK("CSG1.html#group12M1", "12M¹"), =HYPERLINK("CSG1.html#group24E1", "24E¹"), =HYPERLINK("CSG2.html#group24C2", "24C²")</f>
        <v/>
      </c>
      <c r="L741">
        <f>HYPERLINK("CSG7.html#group24O7", "24O⁷"), =HYPERLINK("CSG7.html#group24AE7", "24AE⁷"), =HYPERLINK("CSG7.html#group24AD7", "24AD⁷"), =HYPERLINK("CSG9.html#group24M9", "24M⁹"), =HYPERLINK("CSG9.html#group24P9", "24P⁹"), =HYPERLINK("CSG9.html#group24O9", "24O⁹"), =HYPERLINK("CSG9.html#group24Z9", "24Z⁹"), =HYPERLINK("CSG14.html#group72H14", "72H¹⁴"), =HYPERLINK("CSG16.html#group72N16", "72N¹⁶"), =HYPERLINK("CSG16.html#group72O16", "72O¹⁶")</f>
        <v/>
      </c>
      <c r="M741">
        <f>HYPERLINK("CSG1.html#group24E1", "24E¹"), =HYPERLINK("CSG0.html#group12C0", "12C⁰"), =HYPERLINK("CSG0.html#group4C0", "4C⁰"), =HYPERLINK("CSG1.html#group12M1", "12M¹"), =HYPERLINK("CSG0.html#group2B0", "2B⁰"), =HYPERLINK("CSG2.html#group24C2", "24C²"), =HYPERLINK("CSG0.html#group3A0", "3A⁰"), =HYPERLINK("CSG0.html#group1A0", "1A⁰"), =HYPERLINK("CSG0.html#group6D0", "6D⁰")</f>
        <v/>
      </c>
      <c r="N741">
        <f>HYPERLINK("CSG17.html#group48O17", "48O¹⁷"), =HYPERLINK("CSG17.html#group48N17", "48N¹⁷"), =HYPERLINK("CSG13.html#group24R13", "24R¹³"), =HYPERLINK("CSG9.html#group24M9", "24M⁹"), =HYPERLINK("CSG14.html#group72H14", "72H¹⁴"), =HYPERLINK("CSG17.html#group24I17", "24I¹⁷"), =HYPERLINK("CSG17.html#group24AJ17", "24AJ¹⁷"), =HYPERLINK("CSG19.html#group48AQ19", "48AQ¹⁹"), =HYPERLINK("CSG9.html#group24O9", "24O⁹"), =HYPERLINK("CSG19.html#group48BM19", "48BM¹⁹"), =HYPERLINK("CSG19.html#group24R19", "24R¹⁹"), =HYPERLINK("CSG7.html#group24AE7", "24AE⁷"), =HYPERLINK("CSG16.html#group72O16", "72O¹⁶"), =HYPERLINK("CSG19.html#group24O19", "24O¹⁹"), =HYPERLINK("CSG17.html#group24D17", "24D¹⁷"), =HYPERLINK("CSG15.html#group24U15", "24U¹⁵"), =HYPERLINK("CSG9.html#group24P9", "24P⁹"), =HYPERLINK("CSG7.html#group24AD7", "24AD⁷"), =HYPERLINK("CSG21.html#group48AC21", "48AC²¹"), =HYPERLINK("CSG7.html#group24O7", "24O⁷"), =HYPERLINK("CSG19.html#group48X19", "48X¹⁹"), =HYPERLINK("CSG17.html#group24AM17", "24AM¹⁷"), =HYPERLINK("CSG17.html#group24G17", "24G¹⁷"), =HYPERLINK("CSG17.html#group24H17", "24H¹⁷"), =HYPERLINK("CSG21.html#group48BK21", "48BK²¹"), =HYPERLINK("CSG19.html#group48BB19", "48BB¹⁹"), =HYPERLINK("CSG19.html#group24N19", "24N¹⁹"), =HYPERLINK("CSG17.html#group24AK17", "24AK¹⁷"), =HYPERLINK("CSG17.html#group24N17", "24N¹⁷"), =HYPERLINK("CSG16.html#group72N16", "72N¹⁶"), =HYPERLINK("CSG21.html#group48AB21", "48AB²¹"), =HYPERLINK("CSG19.html#group48W19", "48W¹⁹"), =HYPERLINK("CSG17.html#group48CI17", "48CI¹⁷"), =HYPERLINK("CSG17.html#group48BV17", "48BV¹⁷"), =HYPERLINK("CSG19.html#group48BN19", "48BN¹⁹"), =HYPERLINK("CSG17.html#group24AL17", "24AL¹⁷"), =HYPERLINK("CSG9.html#group24Z9", "24Z⁹"), =HYPERLINK("CSG17.html#group48BU17", "48BU¹⁷"), =HYPERLINK("CSG21.html#group48BJ21", "48BJ²¹")</f>
        <v/>
      </c>
    </row>
    <row r="742">
      <c r="A742" t="inlineStr">
        <is>
          <t>24Q⁴</t>
        </is>
      </c>
      <c r="B742" t="inlineStr"/>
      <c r="C742" t="inlineStr">
        <is>
          <t>72</t>
        </is>
      </c>
      <c r="D742" t="inlineStr">
        <is>
          <t>2</t>
        </is>
      </c>
      <c r="E742" t="inlineStr">
        <is>
          <t>36</t>
        </is>
      </c>
      <c r="F742" t="inlineStr">
        <is>
          <t>4</t>
        </is>
      </c>
      <c r="G742" t="inlineStr">
        <is>
          <t>0</t>
        </is>
      </c>
      <c r="H742" t="inlineStr">
        <is>
          <t>12², 24²</t>
        </is>
      </c>
      <c r="I742" t="n">
        <v>4</v>
      </c>
      <c r="J742" t="inlineStr">
        <is>
          <t>4¹⁸</t>
        </is>
      </c>
      <c r="K742">
        <f>HYPERLINK("CSG1.html#group12N1", "12N¹")</f>
        <v/>
      </c>
      <c r="L742">
        <f>HYPERLINK("CSG7.html#group24S7", "24S⁷"), =HYPERLINK("CSG9.html#group24K9", "24K⁹"), =HYPERLINK("CSG9.html#group24L9", "24L⁹"), =HYPERLINK("CSG14.html#group72K14", "72K¹⁴"), =HYPERLINK("CSG16.html#group72R16", "72R¹⁶"), =HYPERLINK("CSG16.html#group72S16", "72S¹⁶")</f>
        <v/>
      </c>
      <c r="M742">
        <f>HYPERLINK("CSG0.html#group6B0", "6B⁰"), =HYPERLINK("CSG1.html#group12C1", "12C¹"), =HYPERLINK("CSG0.html#group6H0", "6H⁰"), =HYPERLINK("CSG0.html#group2B0", "2B⁰"), =HYPERLINK("CSG0.html#group12D0", "12D⁰"), =HYPERLINK("CSG1.html#group12N1", "12N¹"), =HYPERLINK("CSG0.html#group3A0", "3A⁰"), =HYPERLINK("CSG0.html#group1A0", "1A⁰"), =HYPERLINK("CSG0.html#group6D0", "6D⁰")</f>
        <v/>
      </c>
      <c r="N742">
        <f>HYPERLINK("CSG13.html#group24S13", "24S¹³"), =HYPERLINK("CSG16.html#group72R16", "72R¹⁶"), =HYPERLINK("CSG14.html#group72K14", "72K¹⁴"), =HYPERLINK("CSG16.html#group72S16", "72S¹⁶"), =HYPERLINK("CSG15.html#group24K15", "24K¹⁵"), =HYPERLINK("CSG17.html#group24X17", "24X¹⁷"), =HYPERLINK("CSG9.html#group24K9", "24K⁹"), =HYPERLINK("CSG17.html#group24Y17", "24Y¹⁷"), =HYPERLINK("CSG9.html#group24L9", "24L⁹"), =HYPERLINK("CSG15.html#group24L15", "24L¹⁵"), =HYPERLINK("CSG17.html#group24A17", "24A¹⁷"), =HYPERLINK("CSG17.html#group24O17", "24O¹⁷"), =HYPERLINK("CSG7.html#group24S7", "24S⁷")</f>
        <v/>
      </c>
    </row>
    <row r="743">
      <c r="A743" t="inlineStr">
        <is>
          <t>24R⁴</t>
        </is>
      </c>
      <c r="B743" t="inlineStr"/>
      <c r="C743" t="inlineStr">
        <is>
          <t>96</t>
        </is>
      </c>
      <c r="D743" t="inlineStr">
        <is>
          <t>1</t>
        </is>
      </c>
      <c r="E743" t="inlineStr">
        <is>
          <t>48</t>
        </is>
      </c>
      <c r="F743" t="inlineStr">
        <is>
          <t>0</t>
        </is>
      </c>
      <c r="G743" t="inlineStr">
        <is>
          <t>0</t>
        </is>
      </c>
      <c r="H743" t="inlineStr">
        <is>
          <t>4⁴, 8¹, 12⁴, 24¹</t>
        </is>
      </c>
      <c r="I743" t="n">
        <v>10</v>
      </c>
      <c r="J743" t="inlineStr">
        <is>
          <t>2⁴, 4⁶, 8²</t>
        </is>
      </c>
      <c r="K743">
        <f>HYPERLINK("CSG0.html#group8K0", "8K⁰"), =HYPERLINK("CSG2.html#group12G2", "12G²")</f>
        <v/>
      </c>
      <c r="L743">
        <f>HYPERLINK("CSG7.html#group24AG7", "24AG⁷"), =HYPERLINK("CSG10.html#group48H10", "48H¹⁰"), =HYPERLINK("CSG10.html#group48I10", "48I¹⁰"), =HYPERLINK("CSG11.html#group24F11", "24F¹¹"), =HYPERLINK("CSG11.html#group24G11", "24G¹¹"), =HYPERLINK("CSG15.html#group24C15", "24C¹⁵"), =HYPERLINK("CSG15.html#group72Y15", "72Y¹⁵"), =HYPERLINK("CSG20.html#group72A20", "72A²⁰"), =HYPERLINK("CSG20.html#group72B20", "72B²⁰")</f>
        <v/>
      </c>
      <c r="M743">
        <f>HYPERLINK("CSG0.html#group3B0", "3B⁰"), =HYPERLINK("CSG1.html#group12F1", "12F¹"), =HYPERLINK("CSG0.html#group4C0", "4C⁰"), =HYPERLINK("CSG0.html#group2B0", "2B⁰"), =HYPERLINK("CSG0.html#group1A0", "1A⁰"), =HYPERLINK("CSG0.html#group8K0", "8K⁰"), =HYPERLINK("CSG0.html#group4A0", "4A⁰"), =HYPERLINK("CSG1.html#group12A1", "12A¹"), =HYPERLINK("CSG2.html#group12G2", "12G²"), =HYPERLINK("CSG0.html#group4F0", "4F⁰"), =HYPERLINK("CSG0.html#group6F0", "6F⁰")</f>
        <v/>
      </c>
      <c r="N743">
        <f>HYPERLINK("CSG17.html#group24AT17", "24AT¹⁷"), =HYPERLINK("CSG20.html#group72A20", "72A²⁰"), =HYPERLINK("CSG19.html#group48BO19", "48BO¹⁹"), =HYPERLINK("CSG21.html#group24E21", "24E²¹"), =HYPERLINK("CSG7.html#group24AG7", "24AG⁷"), =HYPERLINK("CSG23.html#group48D23", "48D²³"), =HYPERLINK("CSG13.html#group24AB13", "24AB¹³"), =HYPERLINK("CSG23.html#group48C23", "48C²³"), =HYPERLINK("CSG20.html#group72B20", "72B²⁰"), =HYPERLINK("CSG15.html#group72Y15", "72Y¹⁵"), =HYPERLINK("CSG15.html#group24C15", "24C¹⁵"), =HYPERLINK("CSG11.html#group24F11", "24F¹¹"), =HYPERLINK("CSG21.html#group24J21", "24J²¹"), =HYPERLINK("CSG23.html#group48B23", "48B²³"), =HYPERLINK("CSG17.html#group24AO17", "24AO¹⁷"), =HYPERLINK("CSG10.html#group48I10", "48I¹⁰"), =HYPERLINK("CSG10.html#group48H10", "48H¹⁰"), =HYPERLINK("CSG19.html#group48BP19", "48BP¹⁹"), =HYPERLINK("CSG11.html#group24G11", "24G¹¹"), =HYPERLINK("CSG23.html#group48A23", "48A²³"), =HYPERLINK("CSG21.html#group24G21", "24G²¹"), =HYPERLINK("CSG21.html#group24I21", "24I²¹")</f>
        <v/>
      </c>
    </row>
    <row r="744">
      <c r="A744" t="inlineStr">
        <is>
          <t>24S⁴</t>
        </is>
      </c>
      <c r="B744" t="inlineStr"/>
      <c r="C744" t="inlineStr">
        <is>
          <t>96</t>
        </is>
      </c>
      <c r="D744" t="inlineStr">
        <is>
          <t>2</t>
        </is>
      </c>
      <c r="E744" t="inlineStr">
        <is>
          <t>16</t>
        </is>
      </c>
      <c r="F744" t="inlineStr">
        <is>
          <t>12</t>
        </is>
      </c>
      <c r="G744" t="inlineStr">
        <is>
          <t>0</t>
        </is>
      </c>
      <c r="H744" t="inlineStr">
        <is>
          <t>24⁴</t>
        </is>
      </c>
      <c r="I744" t="n">
        <v>4</v>
      </c>
      <c r="J744" t="inlineStr">
        <is>
          <t>4⁸</t>
        </is>
      </c>
      <c r="K744">
        <f>HYPERLINK("CSG0.html#group8M0", "8M⁰"), =HYPERLINK("CSG1.html#group24A1", "24A¹"), =HYPERLINK("CSG1.html#group24F1", "24F¹")</f>
        <v/>
      </c>
      <c r="L744">
        <f>HYPERLINK("CSG9.html#group24AO9", "24AO⁹"), =HYPERLINK("CSG11.html#group24M11", "24M¹¹"), =HYPERLINK("CSG12.html#group48A12", "48A¹²"), =HYPERLINK("CSG12.html#group48B12", "48B¹²"), =HYPERLINK("CSG13.html#group24D13", "24D¹³"), =HYPERLINK("CSG16.html#group24A16", "24A¹⁶"), =HYPERLINK("CSG18.html#group72A18", "72A¹⁸"), =HYPERLINK("CSG23.html#group48E23", "48E²³")</f>
        <v/>
      </c>
      <c r="M744">
        <f>HYPERLINK("CSG1.html#group24F1", "24F¹"), =HYPERLINK("CSG0.html#group8F0", "8F⁰"), =HYPERLINK("CSG1.html#group24A1", "24A¹"), =HYPERLINK("CSG0.html#group12A0", "12A⁰"), =HYPERLINK("CSG0.html#group3A0", "3A⁰"), =HYPERLINK("CSG0.html#group4A0", "4A⁰"), =HYPERLINK("CSG0.html#group8A0", "8A⁰"), =HYPERLINK("CSG0.html#group8M0", "8M⁰"), =HYPERLINK("CSG0.html#group1A0", "1A⁰")</f>
        <v/>
      </c>
      <c r="N744">
        <f>HYPERLINK("CSG12.html#group48B12", "48B¹²"), =HYPERLINK("CSG23.html#group48E23", "48E²³"), =HYPERLINK("CSG9.html#group24AO9", "24AO⁹"), =HYPERLINK("CSG12.html#group48A12", "48A¹²"), =HYPERLINK("CSG18.html#group72A18", "72A¹⁸"), =HYPERLINK("CSG21.html#group24M21", "24M²¹"), =HYPERLINK("CSG16.html#group24A16", "24A¹⁶"), =HYPERLINK("CSG13.html#group24D13", "24D¹³"), =HYPERLINK("CSG11.html#group24M11", "24M¹¹")</f>
        <v/>
      </c>
    </row>
    <row r="745">
      <c r="A745" t="inlineStr">
        <is>
          <t>24T⁴</t>
        </is>
      </c>
      <c r="B745" t="inlineStr"/>
      <c r="C745" t="inlineStr">
        <is>
          <t>96</t>
        </is>
      </c>
      <c r="D745" t="inlineStr">
        <is>
          <t>2</t>
        </is>
      </c>
      <c r="E745" t="inlineStr">
        <is>
          <t>48</t>
        </is>
      </c>
      <c r="F745" t="inlineStr">
        <is>
          <t>12</t>
        </is>
      </c>
      <c r="G745" t="inlineStr">
        <is>
          <t>0</t>
        </is>
      </c>
      <c r="H745" t="inlineStr">
        <is>
          <t>24⁴</t>
        </is>
      </c>
      <c r="I745" t="n">
        <v>4</v>
      </c>
      <c r="J745" t="inlineStr">
        <is>
          <t>4⁸, 8⁸</t>
        </is>
      </c>
      <c r="K745">
        <f>HYPERLINK("CSG1.html#group24B1", "24B¹"), =HYPERLINK("CSG1.html#group24F1", "24F¹")</f>
        <v/>
      </c>
      <c r="L745">
        <f>HYPERLINK("CSG9.html#group24AM9", "24AM⁹"), =HYPERLINK("CSG9.html#group24AN9", "24AN⁹"), =HYPERLINK("CSG9.html#group24AO9", "24AO⁹"), =HYPERLINK("CSG11.html#group24L11", "24L¹¹"), =HYPERLINK("CSG11.html#group24M11", "24M¹¹"), =HYPERLINK("CSG13.html#group24E13", "24E¹³"), =HYPERLINK("CSG16.html#group24D16", "24D¹⁶"), =HYPERLINK("CSG18.html#group72B18", "72B¹⁸"), =HYPERLINK("CSG18.html#group72C18", "72C¹⁸"), =HYPERLINK("CSG18.html#group72D18", "72D¹⁸"), =HYPERLINK("CSG23.html#group48F23", "48F²³")</f>
        <v/>
      </c>
      <c r="M745">
        <f>HYPERLINK("CSG1.html#group24F1", "24F¹"), =HYPERLINK("CSG1.html#group24B1", "24B¹"), =HYPERLINK("CSG0.html#group12A0", "12A⁰"), =HYPERLINK("CSG0.html#group8F0", "8F⁰"), =HYPERLINK("CSG0.html#group3A0", "3A⁰"), =HYPERLINK("CSG0.html#group1A0", "1A⁰"), =HYPERLINK("CSG0.html#group4A0", "4A⁰")</f>
        <v/>
      </c>
      <c r="N745">
        <f>HYPERLINK("CSG9.html#group24AM9", "24AM⁹"), =HYPERLINK("CSG11.html#group24L11", "24L¹¹"), =HYPERLINK("CSG9.html#group24AO9", "24AO⁹"), =HYPERLINK("CSG18.html#group72D18", "72D¹⁸"), =HYPERLINK("CSG21.html#group24M21", "24M²¹"), =HYPERLINK("CSG18.html#group72C18", "72C¹⁸"), =HYPERLINK("CSG9.html#group24AN9", "24AN⁹"), =HYPERLINK("CSG16.html#group24D16", "24D¹⁶"), =HYPERLINK("CSG13.html#group24E13", "24E¹³"), =HYPERLINK("CSG11.html#group24M11", "24M¹¹"), =HYPERLINK("CSG23.html#group48F23", "48F²³"), =HYPERLINK("CSG18.html#group72B18", "72B¹⁸")</f>
        <v/>
      </c>
    </row>
    <row r="746">
      <c r="A746" t="inlineStr">
        <is>
          <t>25A⁴</t>
        </is>
      </c>
      <c r="B746" t="inlineStr"/>
      <c r="C746" t="inlineStr">
        <is>
          <t>60</t>
        </is>
      </c>
      <c r="D746" t="inlineStr">
        <is>
          <t>1</t>
        </is>
      </c>
      <c r="E746" t="inlineStr">
        <is>
          <t>6</t>
        </is>
      </c>
      <c r="F746" t="inlineStr">
        <is>
          <t>0</t>
        </is>
      </c>
      <c r="G746" t="inlineStr">
        <is>
          <t>0</t>
        </is>
      </c>
      <c r="H746" t="inlineStr">
        <is>
          <t>5², 25²</t>
        </is>
      </c>
      <c r="I746" t="n">
        <v>4</v>
      </c>
      <c r="J746" t="inlineStr">
        <is>
          <t>2², 4²</t>
        </is>
      </c>
      <c r="K746">
        <f>HYPERLINK("CSG0.html#group5D0", "5D⁰"), =HYPERLINK("CSG2.html#group25A2", "25A²")</f>
        <v/>
      </c>
      <c r="L746">
        <f>HYPERLINK("CSG9.html#group50A9", "50A⁹"), =HYPERLINK("CSG12.html#group50A12", "50A¹²"), =HYPERLINK("CSG14.html#group75A14", "75A¹⁴"), =HYPERLINK("CSG16.html#group25A16", "25A¹⁶"), =HYPERLINK("CSG16.html#group25B16", "25B¹⁶"), =HYPERLINK("CSG17.html#group75A17", "75A¹⁷"), =HYPERLINK("CSG19.html#group100E19", "100E¹⁹")</f>
        <v/>
      </c>
      <c r="M746">
        <f>HYPERLINK("CSG0.html#group5B0", "5B⁰"), =HYPERLINK("CSG0.html#group5D0", "5D⁰"), =HYPERLINK("CSG2.html#group25A2", "25A²"), =HYPERLINK("CSG0.html#group1A0", "1A⁰")</f>
        <v/>
      </c>
      <c r="N746">
        <f>HYPERLINK("CSG9.html#group50A9", "50A⁹"), =HYPERLINK("CSG19.html#group100E19", "100E¹⁹"), =HYPERLINK("CSG14.html#group75A14", "75A¹⁴"), =HYPERLINK("CSG16.html#group25B16", "25B¹⁶"), =HYPERLINK("CSG12.html#group50A12", "50A¹²"), =HYPERLINK("CSG17.html#group75A17", "75A¹⁷"), =HYPERLINK("CSG16.html#group25A16", "25A¹⁶"), =HYPERLINK("CSG19.html#group100A19", "100A¹⁹")</f>
        <v/>
      </c>
    </row>
    <row r="747">
      <c r="A747" t="inlineStr">
        <is>
          <t>25B⁴</t>
        </is>
      </c>
      <c r="B747" t="inlineStr"/>
      <c r="C747" t="inlineStr">
        <is>
          <t>60</t>
        </is>
      </c>
      <c r="D747" t="inlineStr">
        <is>
          <t>1</t>
        </is>
      </c>
      <c r="E747" t="inlineStr">
        <is>
          <t>6</t>
        </is>
      </c>
      <c r="F747" t="inlineStr">
        <is>
          <t>0</t>
        </is>
      </c>
      <c r="G747" t="inlineStr">
        <is>
          <t>0</t>
        </is>
      </c>
      <c r="H747" t="inlineStr">
        <is>
          <t>5², 25²</t>
        </is>
      </c>
      <c r="I747" t="n">
        <v>4</v>
      </c>
      <c r="J747" t="inlineStr">
        <is>
          <t>2², 4²</t>
        </is>
      </c>
      <c r="K747">
        <f>HYPERLINK("CSG0.html#group5D0", "5D⁰"), =HYPERLINK("CSG2.html#group25B2", "25B²")</f>
        <v/>
      </c>
      <c r="L747">
        <f>HYPERLINK("CSG9.html#group50B9", "50B⁹"), =HYPERLINK("CSG12.html#group50B12", "50B¹²"), =HYPERLINK("CSG14.html#group75B14", "75B¹⁴"), =HYPERLINK("CSG16.html#group25A16", "25A¹⁶"), =HYPERLINK("CSG16.html#group25C16", "25C¹⁶"), =HYPERLINK("CSG17.html#group75B17", "75B¹⁷"), =HYPERLINK("CSG19.html#group100F19", "100F¹⁹")</f>
        <v/>
      </c>
      <c r="M747">
        <f>HYPERLINK("CSG0.html#group5B0", "5B⁰"), =HYPERLINK("CSG0.html#group5D0", "5D⁰"), =HYPERLINK("CSG0.html#group1A0", "1A⁰"), =HYPERLINK("CSG2.html#group25B2", "25B²")</f>
        <v/>
      </c>
      <c r="N747">
        <f>HYPERLINK("CSG12.html#group50B12", "50B¹²"), =HYPERLINK("CSG19.html#group100F19", "100F¹⁹"), =HYPERLINK("CSG9.html#group50B9", "50B⁹"), =HYPERLINK("CSG16.html#group25C16", "25C¹⁶"), =HYPERLINK("CSG14.html#group75B14", "75B¹⁴"), =HYPERLINK("CSG19.html#group100B19", "100B¹⁹"), =HYPERLINK("CSG17.html#group75B17", "75B¹⁷"), =HYPERLINK("CSG16.html#group25A16", "25A¹⁶")</f>
        <v/>
      </c>
    </row>
    <row r="748">
      <c r="A748" t="inlineStr">
        <is>
          <t>25C⁴</t>
        </is>
      </c>
      <c r="B748" t="inlineStr"/>
      <c r="C748" t="inlineStr">
        <is>
          <t>60</t>
        </is>
      </c>
      <c r="D748" t="inlineStr">
        <is>
          <t>1</t>
        </is>
      </c>
      <c r="E748" t="inlineStr">
        <is>
          <t>6</t>
        </is>
      </c>
      <c r="F748" t="inlineStr">
        <is>
          <t>0</t>
        </is>
      </c>
      <c r="G748" t="inlineStr">
        <is>
          <t>0</t>
        </is>
      </c>
      <c r="H748" t="inlineStr">
        <is>
          <t>5², 25²</t>
        </is>
      </c>
      <c r="I748" t="n">
        <v>4</v>
      </c>
      <c r="J748" t="inlineStr">
        <is>
          <t>2², 4²</t>
        </is>
      </c>
      <c r="K748">
        <f>HYPERLINK("CSG0.html#group5D0", "5D⁰"), =HYPERLINK("CSG2.html#group25C2", "25C²")</f>
        <v/>
      </c>
      <c r="L748">
        <f>HYPERLINK("CSG9.html#group50C9", "50C⁹"), =HYPERLINK("CSG12.html#group50C12", "50C¹²"), =HYPERLINK("CSG14.html#group75C14", "75C¹⁴"), =HYPERLINK("CSG16.html#group25A16", "25A¹⁶"), =HYPERLINK("CSG16.html#group25D16", "25D¹⁶"), =HYPERLINK("CSG17.html#group75C17", "75C¹⁷"), =HYPERLINK("CSG19.html#group100G19", "100G¹⁹")</f>
        <v/>
      </c>
      <c r="M748">
        <f>HYPERLINK("CSG0.html#group5B0", "5B⁰"), =HYPERLINK("CSG0.html#group5D0", "5D⁰"), =HYPERLINK("CSG0.html#group1A0", "1A⁰"), =HYPERLINK("CSG2.html#group25C2", "25C²")</f>
        <v/>
      </c>
      <c r="N748">
        <f>HYPERLINK("CSG14.html#group75C14", "75C¹⁴"), =HYPERLINK("CSG12.html#group50C12", "50C¹²"), =HYPERLINK("CSG9.html#group50C9", "50C⁹"), =HYPERLINK("CSG19.html#group100G19", "100G¹⁹"), =HYPERLINK("CSG17.html#group75C17", "75C¹⁷"), =HYPERLINK("CSG19.html#group100C19", "100C¹⁹"), =HYPERLINK("CSG16.html#group25D16", "25D¹⁶"), =HYPERLINK("CSG16.html#group25A16", "25A¹⁶")</f>
        <v/>
      </c>
    </row>
    <row r="749">
      <c r="A749" t="inlineStr">
        <is>
          <t>25D⁴</t>
        </is>
      </c>
      <c r="B749" t="inlineStr"/>
      <c r="C749" t="inlineStr">
        <is>
          <t>60</t>
        </is>
      </c>
      <c r="D749" t="inlineStr">
        <is>
          <t>1</t>
        </is>
      </c>
      <c r="E749" t="inlineStr">
        <is>
          <t>6</t>
        </is>
      </c>
      <c r="F749" t="inlineStr">
        <is>
          <t>0</t>
        </is>
      </c>
      <c r="G749" t="inlineStr">
        <is>
          <t>0</t>
        </is>
      </c>
      <c r="H749" t="inlineStr">
        <is>
          <t>5², 25²</t>
        </is>
      </c>
      <c r="I749" t="n">
        <v>4</v>
      </c>
      <c r="J749" t="inlineStr">
        <is>
          <t>2², 4²</t>
        </is>
      </c>
      <c r="K749">
        <f>HYPERLINK("CSG0.html#group5D0", "5D⁰"), =HYPERLINK("CSG2.html#group25D2", "25D²")</f>
        <v/>
      </c>
      <c r="L749">
        <f>HYPERLINK("CSG9.html#group50D9", "50D⁹"), =HYPERLINK("CSG12.html#group50D12", "50D¹²"), =HYPERLINK("CSG14.html#group75D14", "75D¹⁴"), =HYPERLINK("CSG16.html#group25A16", "25A¹⁶"), =HYPERLINK("CSG16.html#group25E16", "25E¹⁶"), =HYPERLINK("CSG17.html#group75D17", "75D¹⁷"), =HYPERLINK("CSG19.html#group100H19", "100H¹⁹")</f>
        <v/>
      </c>
      <c r="M749">
        <f>HYPERLINK("CSG0.html#group5B0", "5B⁰"), =HYPERLINK("CSG0.html#group5D0", "5D⁰"), =HYPERLINK("CSG0.html#group1A0", "1A⁰"), =HYPERLINK("CSG2.html#group25D2", "25D²")</f>
        <v/>
      </c>
      <c r="N749">
        <f>HYPERLINK("CSG16.html#group25E16", "25E¹⁶"), =HYPERLINK("CSG19.html#group100D19", "100D¹⁹"), =HYPERLINK("CSG19.html#group100H19", "100H¹⁹"), =HYPERLINK("CSG9.html#group50D9", "50D⁹"), =HYPERLINK("CSG12.html#group50D12", "50D¹²"), =HYPERLINK("CSG14.html#group75D14", "75D¹⁴"), =HYPERLINK("CSG17.html#group75D17", "75D¹⁷"), =HYPERLINK("CSG16.html#group25A16", "25A¹⁶")</f>
        <v/>
      </c>
    </row>
    <row r="750">
      <c r="A750" t="inlineStr">
        <is>
          <t>25E⁴</t>
        </is>
      </c>
      <c r="B750" t="inlineStr"/>
      <c r="C750" t="inlineStr">
        <is>
          <t>100</t>
        </is>
      </c>
      <c r="D750" t="inlineStr">
        <is>
          <t>1</t>
        </is>
      </c>
      <c r="E750" t="inlineStr">
        <is>
          <t>10</t>
        </is>
      </c>
      <c r="F750" t="inlineStr">
        <is>
          <t>0</t>
        </is>
      </c>
      <c r="G750" t="inlineStr">
        <is>
          <t>10</t>
        </is>
      </c>
      <c r="H750" t="inlineStr">
        <is>
          <t>25⁴</t>
        </is>
      </c>
      <c r="I750" t="n">
        <v>4</v>
      </c>
      <c r="J750" t="inlineStr">
        <is>
          <t>2¹, 4²</t>
        </is>
      </c>
      <c r="K750">
        <f>HYPERLINK("CSG0.html#group5F0", "5F⁰"), =HYPERLINK("CSG2.html#group25E2", "25E²")</f>
        <v/>
      </c>
      <c r="L750">
        <f>HYPERLINK("CSG9.html#group50F9", "50F⁹"), =HYPERLINK("CSG19.html#group75A19", "75A¹⁹"), =HYPERLINK("CSG20.html#group25A20", "25A²⁰"), =HYPERLINK("CSG22.html#group50A22", "50A²²"), =HYPERLINK("CSG24.html#group75A24", "75A²⁴")</f>
        <v/>
      </c>
      <c r="M750">
        <f>HYPERLINK("CSG0.html#group5F0", "5F⁰"), =HYPERLINK("CSG0.html#group5A0", "5A⁰"), =HYPERLINK("CSG0.html#group1A0", "1A⁰"), =HYPERLINK("CSG0.html#group5C0", "5C⁰"), =HYPERLINK("CSG2.html#group25E2", "25E²")</f>
        <v/>
      </c>
      <c r="N750">
        <f>HYPERLINK("CSG19.html#group100R19", "100R¹⁹"), =HYPERLINK("CSG9.html#group50F9", "50F⁹"), =HYPERLINK("CSG22.html#group50A22", "50A²²"), =HYPERLINK("CSG20.html#group25A20", "25A²⁰"), =HYPERLINK("CSG19.html#group75A19", "75A¹⁹"), =HYPERLINK("CSG24.html#group75A24", "75A²⁴")</f>
        <v/>
      </c>
    </row>
    <row r="751">
      <c r="A751" t="inlineStr">
        <is>
          <t>25F⁴</t>
        </is>
      </c>
      <c r="B751" t="inlineStr"/>
      <c r="C751" t="inlineStr">
        <is>
          <t>150</t>
        </is>
      </c>
      <c r="D751" t="inlineStr">
        <is>
          <t>1</t>
        </is>
      </c>
      <c r="E751" t="inlineStr">
        <is>
          <t>15</t>
        </is>
      </c>
      <c r="F751" t="inlineStr">
        <is>
          <t>10</t>
        </is>
      </c>
      <c r="G751" t="inlineStr">
        <is>
          <t>0</t>
        </is>
      </c>
      <c r="H751" t="inlineStr">
        <is>
          <t>5¹⁰, 25⁴</t>
        </is>
      </c>
      <c r="I751" t="n">
        <v>14</v>
      </c>
      <c r="J751" t="inlineStr">
        <is>
          <t>1¹, 2¹, 4³</t>
        </is>
      </c>
      <c r="K751">
        <f>HYPERLINK("CSG0.html#group5G0", "5G⁰"), =HYPERLINK("CSG2.html#group25F2", "25F²")</f>
        <v/>
      </c>
      <c r="L751">
        <f>HYPERLINK("CSG12.html#group25A12", "25A¹²"), =HYPERLINK("CSG14.html#group50A14", "50A¹⁴"), =HYPERLINK("CSG19.html#group50A19", "50A¹⁹"), =HYPERLINK("CSG22.html#group50D22", "50D²²"), =HYPERLINK("CSG24.html#group75B24", "75B²⁴")</f>
        <v/>
      </c>
      <c r="M751">
        <f>HYPERLINK("CSG2.html#group25F2", "25F²"), =HYPERLINK("CSG0.html#group5A0", "5A⁰"), =HYPERLINK("CSG0.html#group5C0", "5C⁰"), =HYPERLINK("CSG0.html#group5B0", "5B⁰"), =HYPERLINK("CSG0.html#group5E0", "5E⁰"), =HYPERLINK("CSG0.html#group1A0", "1A⁰"), =HYPERLINK("CSG0.html#group5G0", "5G⁰")</f>
        <v/>
      </c>
      <c r="N751">
        <f>HYPERLINK("CSG14.html#group50A14", "50A¹⁴"), =HYPERLINK("CSG19.html#group50A19", "50A¹⁹"), =HYPERLINK("CSG22.html#group50D22", "50D²²"), =HYPERLINK("CSG24.html#group75B24", "75B²⁴"), =HYPERLINK("CSG12.html#group25A12", "25A¹²")</f>
        <v/>
      </c>
    </row>
    <row r="752">
      <c r="A752" t="inlineStr">
        <is>
          <t>25G⁴</t>
        </is>
      </c>
      <c r="B752" t="inlineStr"/>
      <c r="C752" t="inlineStr">
        <is>
          <t>150</t>
        </is>
      </c>
      <c r="D752" t="inlineStr">
        <is>
          <t>1</t>
        </is>
      </c>
      <c r="E752" t="inlineStr">
        <is>
          <t>30</t>
        </is>
      </c>
      <c r="F752" t="inlineStr">
        <is>
          <t>10</t>
        </is>
      </c>
      <c r="G752" t="inlineStr">
        <is>
          <t>0</t>
        </is>
      </c>
      <c r="H752" t="inlineStr">
        <is>
          <t>1⁵, 5⁴, 25⁵</t>
        </is>
      </c>
      <c r="I752" t="n">
        <v>14</v>
      </c>
      <c r="J752" t="inlineStr">
        <is>
          <t>1², 4², 20¹</t>
        </is>
      </c>
      <c r="K752">
        <f>HYPERLINK("CSG0.html#group25A0", "25A⁰")</f>
        <v/>
      </c>
      <c r="L752">
        <f>HYPERLINK("CSG12.html#group25B12", "25B¹²"), =HYPERLINK("CSG14.html#group50B14", "50B¹⁴"), =HYPERLINK("CSG19.html#group50B19", "50B¹⁹"), =HYPERLINK("CSG22.html#group50E22", "50E²²"), =HYPERLINK("CSG24.html#group75C24", "75C²⁴")</f>
        <v/>
      </c>
      <c r="M752">
        <f>HYPERLINK("CSG0.html#group25A0", "25A⁰"), =HYPERLINK("CSG0.html#group5B0", "5B⁰"), =HYPERLINK("CSG0.html#group1A0", "1A⁰")</f>
        <v/>
      </c>
      <c r="N752">
        <f>HYPERLINK("CSG12.html#group25B12", "25B¹²"), =HYPERLINK("CSG22.html#group50E22", "50E²²"), =HYPERLINK("CSG24.html#group75C24", "75C²⁴"), =HYPERLINK("CSG14.html#group50B14", "50B¹⁴"), =HYPERLINK("CSG19.html#group50B19", "50B¹⁹")</f>
        <v/>
      </c>
    </row>
    <row r="753">
      <c r="A753" t="inlineStr">
        <is>
          <t>26A⁴</t>
        </is>
      </c>
      <c r="B753" t="inlineStr"/>
      <c r="C753" t="inlineStr">
        <is>
          <t>84</t>
        </is>
      </c>
      <c r="D753" t="inlineStr">
        <is>
          <t>1</t>
        </is>
      </c>
      <c r="E753" t="inlineStr">
        <is>
          <t>42</t>
        </is>
      </c>
      <c r="F753" t="inlineStr">
        <is>
          <t>0</t>
        </is>
      </c>
      <c r="G753" t="inlineStr">
        <is>
          <t>0</t>
        </is>
      </c>
      <c r="H753" t="inlineStr">
        <is>
          <t>1², 2², 13², 26²</t>
        </is>
      </c>
      <c r="I753" t="n">
        <v>8</v>
      </c>
      <c r="J753" t="inlineStr">
        <is>
          <t>1⁶, 12³</t>
        </is>
      </c>
      <c r="K753">
        <f>HYPERLINK("CSG0.html#group13B0", "13B⁰"), =HYPERLINK("CSG2.html#group26A2", "26A²")</f>
        <v/>
      </c>
      <c r="L753">
        <f>HYPERLINK("CSG9.html#group26B9", "26B⁹"), =HYPERLINK("CSG9.html#group52A9", "52A⁹"), =HYPERLINK("CSG10.html#group26D10", "26D¹⁰"), =HYPERLINK("CSG11.html#group52A11", "52A¹¹"), =HYPERLINK("CSG18.html#group78A18", "78A¹⁸"), =HYPERLINK("CSG18.html#group78C18", "78C¹⁸"), =HYPERLINK("CSG21.html#group78C21", "78C²¹")</f>
        <v/>
      </c>
      <c r="M753">
        <f>HYPERLINK("CSG0.html#group13A0", "13A⁰"), =HYPERLINK("CSG0.html#group2B0", "2B⁰"), =HYPERLINK("CSG0.html#group13B0", "13B⁰"), =HYPERLINK("CSG0.html#group1A0", "1A⁰"), =HYPERLINK("CSG2.html#group26A2", "26A²")</f>
        <v/>
      </c>
      <c r="N753">
        <f>HYPERLINK("CSG19.html#group52B19", "52B¹⁹"), =HYPERLINK("CSG23.html#group104D23", "104D²³"), =HYPERLINK("CSG23.html#group52B23", "52B²³"), =HYPERLINK("CSG10.html#group26D10", "26D¹⁰"), =HYPERLINK("CSG18.html#group78A18", "78A¹⁸"), =HYPERLINK("CSG9.html#group26B9", "26B⁹"), =HYPERLINK("CSG19.html#group104A19", "104A¹⁹"), =HYPERLINK("CSG23.html#group52G23", "52G²³"), =HYPERLINK("CSG9.html#group52A9", "52A⁹"), =HYPERLINK("CSG21.html#group52C21", "52C²¹"), =HYPERLINK("CSG19.html#group52A19", "52A¹⁹"), =HYPERLINK("CSG18.html#group78C18", "78C¹⁸"), =HYPERLINK("CSG23.html#group104A23", "104A²³"), =HYPERLINK("CSG21.html#group78C21", "78C²¹"), =HYPERLINK("CSG21.html#group104B21", "104B²¹"), =HYPERLINK("CSG11.html#group52A11", "52A¹¹")</f>
        <v/>
      </c>
    </row>
    <row r="754">
      <c r="A754" t="inlineStr">
        <is>
          <t>26B⁴</t>
        </is>
      </c>
      <c r="B754" t="inlineStr"/>
      <c r="C754" t="inlineStr">
        <is>
          <t>84</t>
        </is>
      </c>
      <c r="D754" t="inlineStr">
        <is>
          <t>1</t>
        </is>
      </c>
      <c r="E754" t="inlineStr">
        <is>
          <t>42</t>
        </is>
      </c>
      <c r="F754" t="inlineStr">
        <is>
          <t>4</t>
        </is>
      </c>
      <c r="G754" t="inlineStr">
        <is>
          <t>0</t>
        </is>
      </c>
      <c r="H754" t="inlineStr">
        <is>
          <t>2³, 26³</t>
        </is>
      </c>
      <c r="I754" t="n">
        <v>6</v>
      </c>
      <c r="J754" t="inlineStr">
        <is>
          <t>1⁶, 12³</t>
        </is>
      </c>
      <c r="K754">
        <f>HYPERLINK("CSG0.html#group26A0", "26A⁰"), =HYPERLINK("CSG2.html#group26A2", "26A²")</f>
        <v/>
      </c>
      <c r="L754">
        <f>HYPERLINK("CSG9.html#group26B9", "26B⁹"), =HYPERLINK("CSG9.html#group52B9", "52B⁹"), =HYPERLINK("CSG9.html#group52E9", "52E⁹"), =HYPERLINK("CSG10.html#group26E10", "26E¹⁰"), =HYPERLINK("CSG11.html#group52B11", "52B¹¹"), =HYPERLINK("CSG11.html#group52G11", "52G¹¹"), =HYPERLINK("CSG16.html#group78B16", "78B¹⁶"), =HYPERLINK("CSG16.html#group78E16", "78E¹⁶"), =HYPERLINK("CSG23.html#group78F23", "78F²³")</f>
        <v/>
      </c>
      <c r="M754">
        <f>HYPERLINK("CSG0.html#group13A0", "13A⁰"), =HYPERLINK("CSG0.html#group2B0", "2B⁰"), =HYPERLINK("CSG0.html#group26A0", "26A⁰"), =HYPERLINK("CSG0.html#group1A0", "1A⁰"), =HYPERLINK("CSG2.html#group26A2", "26A²")</f>
        <v/>
      </c>
      <c r="N754">
        <f>HYPERLINK("CSG10.html#group26E10", "26E¹⁰"), =HYPERLINK("CSG16.html#group78B16", "78B¹⁶"), =HYPERLINK("CSG16.html#group78E16", "78E¹⁶"), =HYPERLINK("CSG11.html#group52B11", "52B¹¹"), =HYPERLINK("CSG21.html#group104A21", "104A²¹"), =HYPERLINK("CSG23.html#group104J23", "104J²³"), =HYPERLINK("CSG23.html#group104E23", "104E²³"), =HYPERLINK("CSG19.html#group52A19", "52A¹⁹"), =HYPERLINK("CSG19.html#group52C19", "52C¹⁹"), =HYPERLINK("CSG9.html#group52E9", "52E⁹"), =HYPERLINK("CSG21.html#group52F21", "52F²¹"), =HYPERLINK("CSG23.html#group78F23", "78F²³"), =HYPERLINK("CSG21.html#group52D21", "52D²¹"), =HYPERLINK("CSG21.html#group104D21", "104D²¹"), =HYPERLINK("CSG9.html#group52B9", "52B⁹"), =HYPERLINK("CSG21.html#group104C21", "104C²¹"), =HYPERLINK("CSG23.html#group52B23", "52B²³"), =HYPERLINK("CSG9.html#group26B9", "26B⁹"), =HYPERLINK("CSG11.html#group52G11", "52G¹¹"), =HYPERLINK("CSG21.html#group52C21", "52C²¹"), =HYPERLINK("CSG23.html#group52H23", "52H²³")</f>
        <v/>
      </c>
    </row>
    <row r="755">
      <c r="A755" t="inlineStr">
        <is>
          <t>26C⁴</t>
        </is>
      </c>
      <c r="B755" t="inlineStr"/>
      <c r="C755" t="inlineStr">
        <is>
          <t>126</t>
        </is>
      </c>
      <c r="D755" t="inlineStr">
        <is>
          <t>1</t>
        </is>
      </c>
      <c r="E755" t="inlineStr">
        <is>
          <t>42</t>
        </is>
      </c>
      <c r="F755" t="inlineStr">
        <is>
          <t>6</t>
        </is>
      </c>
      <c r="G755" t="inlineStr">
        <is>
          <t>0</t>
        </is>
      </c>
      <c r="H755" t="inlineStr">
        <is>
          <t>1³, 2³, 13³, 26³</t>
        </is>
      </c>
      <c r="I755" t="n">
        <v>12</v>
      </c>
      <c r="J755" t="inlineStr">
        <is>
          <t>1⁶, 12³</t>
        </is>
      </c>
      <c r="K755">
        <f>HYPERLINK("CSG0.html#group13C0", "13C⁰"), =HYPERLINK("CSG2.html#group26A2", "26A²")</f>
        <v/>
      </c>
      <c r="L755">
        <f>HYPERLINK("CSG10.html#group26D10", "26D¹⁰"), =HYPERLINK("CSG10.html#group26E10", "26E¹⁰"), =HYPERLINK("CSG10.html#group52A10", "52A¹⁰"), =HYPERLINK("CSG13.html#group26B13", "26B¹³"), =HYPERLINK("CSG13.html#group52B13", "52B¹³"), =HYPERLINK("CSG13.html#group52C13", "52C¹³"), =HYPERLINK("CSG16.html#group52A16", "52A¹⁶"), =HYPERLINK("CSG22.html#group78A22", "78A²²")</f>
        <v/>
      </c>
      <c r="M755">
        <f>HYPERLINK("CSG0.html#group13A0", "13A⁰"), =HYPERLINK("CSG0.html#group13C0", "13C⁰"), =HYPERLINK("CSG0.html#group2B0", "2B⁰"), =HYPERLINK("CSG0.html#group1A0", "1A⁰"), =HYPERLINK("CSG2.html#group26A2", "26A²")</f>
        <v/>
      </c>
      <c r="N755">
        <f>HYPERLINK("CSG10.html#group26E10", "26E¹⁰"), =HYPERLINK("CSG22.html#group78A22", "78A²²"), =HYPERLINK("CSG10.html#group52A10", "52A¹⁰"), =HYPERLINK("CSG10.html#group26D10", "26D¹⁰"), =HYPERLINK("CSG13.html#group26B13", "26B¹³"), =HYPERLINK("CSG13.html#group52C13", "52C¹³"), =HYPERLINK("CSG16.html#group52A16", "52A¹⁶"), =HYPERLINK("CSG13.html#group52B13", "52B¹³")</f>
        <v/>
      </c>
    </row>
    <row r="756">
      <c r="A756" t="inlineStr">
        <is>
          <t>27A⁴</t>
        </is>
      </c>
      <c r="B756" t="inlineStr"/>
      <c r="C756" t="inlineStr">
        <is>
          <t>108</t>
        </is>
      </c>
      <c r="D756" t="inlineStr">
        <is>
          <t>1</t>
        </is>
      </c>
      <c r="E756" t="inlineStr">
        <is>
          <t>12</t>
        </is>
      </c>
      <c r="F756" t="inlineStr">
        <is>
          <t>0</t>
        </is>
      </c>
      <c r="G756" t="inlineStr">
        <is>
          <t>0</t>
        </is>
      </c>
      <c r="H756" t="inlineStr">
        <is>
          <t>3⁹, 27³</t>
        </is>
      </c>
      <c r="I756" t="n">
        <v>12</v>
      </c>
      <c r="J756" t="inlineStr">
        <is>
          <t>1², 2², 6¹</t>
        </is>
      </c>
      <c r="K756">
        <f>HYPERLINK("CSG0.html#group9I0", "9I⁰"), =HYPERLINK("CSG0.html#group27A0", "27A⁰"), =HYPERLINK("CSG2.html#group27A2", "27A²")</f>
        <v/>
      </c>
      <c r="L756">
        <f>HYPERLINK("CSG10.html#group27B10", "27B¹⁰"), =HYPERLINK("CSG13.html#group54C13", "54C¹³"), =HYPERLINK("CSG16.html#group27C16", "27C¹⁶"), =HYPERLINK("CSG16.html#group54R16", "54R¹⁶"), =HYPERLINK("CSG16.html#group81B16", "81B¹⁶"), =HYPERLINK("CSG22.html#group81D22", "81D²²")</f>
        <v/>
      </c>
      <c r="M756">
        <f>HYPERLINK("CSG0.html#group9I0", "9I⁰"), =HYPERLINK("CSG0.html#group27A0", "27A⁰"), =HYPERLINK("CSG0.html#group3B0", "3B⁰"), =HYPERLINK("CSG0.html#group9B0", "9B⁰"), =HYPERLINK("CSG2.html#group27A2", "27A²"), =HYPERLINK("CSG0.html#group1A0", "1A⁰")</f>
        <v/>
      </c>
      <c r="N756">
        <f>HYPERLINK("CSG10.html#group27B10", "27B¹⁰"), =HYPERLINK("CSG13.html#group54C13", "54C¹³"), =HYPERLINK("CSG22.html#group81D22", "81D²²"), =HYPERLINK("CSG16.html#group54R16", "54R¹⁶"), =HYPERLINK("CSG16.html#group81B16", "81B¹⁶"), =HYPERLINK("CSG16.html#group27C16", "27C¹⁶")</f>
        <v/>
      </c>
    </row>
    <row r="757">
      <c r="A757" t="inlineStr">
        <is>
          <t>27B⁴</t>
        </is>
      </c>
      <c r="B757" t="inlineStr"/>
      <c r="C757" t="inlineStr">
        <is>
          <t>108</t>
        </is>
      </c>
      <c r="D757" t="inlineStr">
        <is>
          <t>1</t>
        </is>
      </c>
      <c r="E757" t="inlineStr">
        <is>
          <t>12</t>
        </is>
      </c>
      <c r="F757" t="inlineStr">
        <is>
          <t>0</t>
        </is>
      </c>
      <c r="G757" t="inlineStr">
        <is>
          <t>0</t>
        </is>
      </c>
      <c r="H757" t="inlineStr">
        <is>
          <t>3⁹, 27³</t>
        </is>
      </c>
      <c r="I757" t="n">
        <v>12</v>
      </c>
      <c r="J757" t="inlineStr">
        <is>
          <t>1², 2², 6¹</t>
        </is>
      </c>
      <c r="K757">
        <f>HYPERLINK("CSG0.html#group9I0", "9I⁰"), =HYPERLINK("CSG1.html#group27A1", "27A¹"), =HYPERLINK("CSG2.html#group27A2", "27A²")</f>
        <v/>
      </c>
      <c r="L757">
        <f>HYPERLINK("CSG10.html#group27B10", "27B¹⁰"), =HYPERLINK("CSG13.html#group54D13", "54D¹³"), =HYPERLINK("CSG16.html#group27D16", "27D¹⁶"), =HYPERLINK("CSG16.html#group54S16", "54S¹⁶"), =HYPERLINK("CSG19.html#group81E19", "81E¹⁹"), =HYPERLINK("CSG22.html#group81B22", "81B²²")</f>
        <v/>
      </c>
      <c r="M757">
        <f>HYPERLINK("CSG0.html#group9I0", "9I⁰"), =HYPERLINK("CSG0.html#group3B0", "3B⁰"), =HYPERLINK("CSG0.html#group9B0", "9B⁰"), =HYPERLINK("CSG1.html#group27A1", "27A¹"), =HYPERLINK("CSG2.html#group27A2", "27A²"), =HYPERLINK("CSG0.html#group1A0", "1A⁰")</f>
        <v/>
      </c>
      <c r="N757">
        <f>HYPERLINK("CSG10.html#group27B10", "27B¹⁰"), =HYPERLINK("CSG22.html#group81B22", "81B²²"), =HYPERLINK("CSG16.html#group27D16", "27D¹⁶"), =HYPERLINK("CSG13.html#group54D13", "54D¹³"), =HYPERLINK("CSG16.html#group54S16", "54S¹⁶"), =HYPERLINK("CSG19.html#group81E19", "81E¹⁹")</f>
        <v/>
      </c>
    </row>
    <row r="758">
      <c r="A758" t="inlineStr">
        <is>
          <t>27C⁴</t>
        </is>
      </c>
      <c r="B758" t="inlineStr"/>
      <c r="C758" t="inlineStr">
        <is>
          <t>108</t>
        </is>
      </c>
      <c r="D758" t="inlineStr">
        <is>
          <t>1</t>
        </is>
      </c>
      <c r="E758" t="inlineStr">
        <is>
          <t>12</t>
        </is>
      </c>
      <c r="F758" t="inlineStr">
        <is>
          <t>0</t>
        </is>
      </c>
      <c r="G758" t="inlineStr">
        <is>
          <t>0</t>
        </is>
      </c>
      <c r="H758" t="inlineStr">
        <is>
          <t>3⁹, 27³</t>
        </is>
      </c>
      <c r="I758" t="n">
        <v>12</v>
      </c>
      <c r="J758" t="inlineStr">
        <is>
          <t>1², 2², 6¹</t>
        </is>
      </c>
      <c r="K758">
        <f>HYPERLINK("CSG0.html#group27A0", "27A⁰"), =HYPERLINK("CSG1.html#group9C1", "9C¹"), =HYPERLINK("CSG1.html#group27A1", "27A¹"), =HYPERLINK("CSG2.html#group27A2", "27A²")</f>
        <v/>
      </c>
      <c r="L758">
        <f>HYPERLINK("CSG10.html#group27B10", "27B¹⁰"), =HYPERLINK("CSG13.html#group54E13", "54E¹³"), =HYPERLINK("CSG16.html#group54T16", "54T¹⁶"), =HYPERLINK("CSG16.html#group81A16", "81A¹⁶"), =HYPERLINK("CSG19.html#group27E19", "27E¹⁹"), =HYPERLINK("CSG19.html#group81C19", "81C¹⁹"), =HYPERLINK("CSG22.html#group81A22", "81A²²")</f>
        <v/>
      </c>
      <c r="M758">
        <f>HYPERLINK("CSG0.html#group3B0", "3B⁰"), =HYPERLINK("CSG1.html#group27A1", "27A¹"), =HYPERLINK("CSG2.html#group27A2", "27A²"), =HYPERLINK("CSG1.html#group9A1", "9A¹"), =HYPERLINK("CSG0.html#group27A0", "27A⁰"), =HYPERLINK("CSG0.html#group9B0", "9B⁰"), =HYPERLINK("CSG1.html#group9C1", "9C¹"), =HYPERLINK("CSG0.html#group3C0", "3C⁰"), =HYPERLINK("CSG0.html#group9C0", "9C⁰"), =HYPERLINK("CSG0.html#group3A0", "3A⁰"), =HYPERLINK("CSG0.html#group1A0", "1A⁰"), =HYPERLINK("CSG0.html#group3D0", "3D⁰")</f>
        <v/>
      </c>
      <c r="N758">
        <f>HYPERLINK("CSG10.html#group27B10", "27B¹⁰"), =HYPERLINK("CSG19.html#group81C19", "81C¹⁹"), =HYPERLINK("CSG13.html#group54E13", "54E¹³"), =HYPERLINK("CSG19.html#group27E19", "27E¹⁹"), =HYPERLINK("CSG22.html#group81A22", "81A²²"), =HYPERLINK("CSG16.html#group81A16", "81A¹⁶"), =HYPERLINK("CSG16.html#group54T16", "54T¹⁶")</f>
        <v/>
      </c>
    </row>
    <row r="759">
      <c r="A759" t="inlineStr">
        <is>
          <t>27D⁴</t>
        </is>
      </c>
      <c r="B759" t="inlineStr"/>
      <c r="C759" t="inlineStr">
        <is>
          <t>108</t>
        </is>
      </c>
      <c r="D759" t="inlineStr">
        <is>
          <t>1</t>
        </is>
      </c>
      <c r="E759" t="inlineStr">
        <is>
          <t>12</t>
        </is>
      </c>
      <c r="F759" t="inlineStr">
        <is>
          <t>0</t>
        </is>
      </c>
      <c r="G759" t="inlineStr">
        <is>
          <t>9</t>
        </is>
      </c>
      <c r="H759" t="inlineStr">
        <is>
          <t>9³, 27³</t>
        </is>
      </c>
      <c r="I759" t="n">
        <v>6</v>
      </c>
      <c r="J759" t="inlineStr">
        <is>
          <t>1², 2², 6¹</t>
        </is>
      </c>
      <c r="K759">
        <f>HYPERLINK("CSG0.html#group9J0", "9J⁰"), =HYPERLINK("CSG1.html#group27B1", "27B¹"), =HYPERLINK("CSG2.html#group27B2", "27B²")</f>
        <v/>
      </c>
      <c r="L759">
        <f>HYPERLINK("CSG10.html#group54C10", "54C¹⁰"), =HYPERLINK("CSG16.html#group27E16", "27E¹⁶"), =HYPERLINK("CSG19.html#group27B19", "27B¹⁹"), =HYPERLINK("CSG19.html#group81D19", "81D¹⁹"), =HYPERLINK("CSG22.html#group54B22", "54B²²"), =HYPERLINK("CSG22.html#group81C22", "81C²²")</f>
        <v/>
      </c>
      <c r="M759">
        <f>HYPERLINK("CSG0.html#group3B0", "3B⁰"), =HYPERLINK("CSG1.html#group27B1", "27B¹"), =HYPERLINK("CSG0.html#group9J0", "9J⁰"), =HYPERLINK("CSG0.html#group9C0", "9C⁰"), =HYPERLINK("CSG2.html#group27B2", "27B²"), =HYPERLINK("CSG0.html#group1A0", "1A⁰")</f>
        <v/>
      </c>
      <c r="N759">
        <f>HYPERLINK("CSG19.html#group27B19", "27B¹⁹"), =HYPERLINK("CSG16.html#group27E16", "27E¹⁶"), =HYPERLINK("CSG22.html#group108B22", "108B²²"), =HYPERLINK("CSG22.html#group54B22", "54B²²"), =HYPERLINK("CSG22.html#group81C22", "81C²²"), =HYPERLINK("CSG10.html#group54C10", "54C¹⁰"), =HYPERLINK("CSG19.html#group81D19", "81D¹⁹")</f>
        <v/>
      </c>
    </row>
    <row r="760">
      <c r="A760" t="inlineStr">
        <is>
          <t>28A⁴</t>
        </is>
      </c>
      <c r="B760" t="inlineStr"/>
      <c r="C760" t="inlineStr">
        <is>
          <t>56</t>
        </is>
      </c>
      <c r="D760" t="inlineStr">
        <is>
          <t>2</t>
        </is>
      </c>
      <c r="E760" t="inlineStr">
        <is>
          <t>28</t>
        </is>
      </c>
      <c r="F760" t="inlineStr">
        <is>
          <t>0</t>
        </is>
      </c>
      <c r="G760" t="inlineStr">
        <is>
          <t>2</t>
        </is>
      </c>
      <c r="H760" t="inlineStr">
        <is>
          <t>28²</t>
        </is>
      </c>
      <c r="I760" t="n">
        <v>2</v>
      </c>
      <c r="J760" t="inlineStr">
        <is>
          <t>4², 12⁴</t>
        </is>
      </c>
      <c r="K760">
        <f>HYPERLINK("CSG0.html#group4D0", "4D⁰"), =HYPERLINK("CSG1.html#group14A1", "14A¹"), =HYPERLINK("CSG1.html#group28A1", "28A¹")</f>
        <v/>
      </c>
      <c r="L760">
        <f>HYPERLINK("CSG7.html#group28A7", "28A⁷"), =HYPERLINK("CSG8.html#group56A8", "56A⁸"), =HYPERLINK("CSG8.html#group56B8", "56B⁸"), =HYPERLINK("CSG12.html#group28A12", "28A¹²"), =HYPERLINK("CSG12.html#group28B12", "28B¹²"), =HYPERLINK("CSG13.html#group84A13", "84A¹³"), =HYPERLINK("CSG14.html#group84A14", "84A¹⁴"), =HYPERLINK("CSG15.html#group28A15", "28A¹⁵"), =HYPERLINK("CSG17.html#group56A17", "56A¹⁷"), =HYPERLINK("CSG17.html#group84C17", "84C¹⁷"), =HYPERLINK("CSG22.html#group140A22", "140A²²")</f>
        <v/>
      </c>
      <c r="M760">
        <f>HYPERLINK("CSG0.html#group2A0", "2A⁰"), =HYPERLINK("CSG0.html#group4A0", "4A⁰"), =HYPERLINK("CSG0.html#group4D0", "4D⁰"), =HYPERLINK("CSG1.html#group14A1", "14A¹"), =HYPERLINK("CSG1.html#group28A1", "28A¹"), =HYPERLINK("CSG0.html#group1A0", "1A⁰"), =HYPERLINK("CSG0.html#group7A0", "7A⁰")</f>
        <v/>
      </c>
      <c r="N760">
        <f>HYPERLINK("CSG12.html#group28B12", "28B¹²"), =HYPERLINK("CSG17.html#group84C17", "84C¹⁷"), =HYPERLINK("CSG23.html#group28B23", "28B²³"), =HYPERLINK("CSG22.html#group140A22", "140A²²"), =HYPERLINK("CSG8.html#group56A8", "56A⁸"), =HYPERLINK("CSG15.html#group28A15", "28A¹⁵"), =HYPERLINK("CSG12.html#group28A12", "28A¹²"), =HYPERLINK("CSG14.html#group84A14", "84A¹⁴"), =HYPERLINK("CSG16.html#group112A16", "112A¹⁶"), =HYPERLINK("CSG24.html#group56A24", "56A²⁴"), =HYPERLINK("CSG23.html#group28D23", "28D²³"), =HYPERLINK("CSG17.html#group56A17", "56A¹⁷"), =HYPERLINK("CSG15.html#group56A15", "56A¹⁵"), =HYPERLINK("CSG13.html#group84A13", "84A¹³"), =HYPERLINK("CSG24.html#group56B24", "56B²⁴"), =HYPERLINK("CSG8.html#group56B8", "56B⁸"), =HYPERLINK("CSG7.html#group28A7", "28A⁷"), =HYPERLINK("CSG23.html#group28C23", "28C²³"), =HYPERLINK("CSG16.html#group112B16", "112B¹⁶"), =HYPERLINK("CSG21.html#group28K21", "28K²¹")</f>
        <v/>
      </c>
    </row>
    <row r="761">
      <c r="A761" t="inlineStr">
        <is>
          <t>28B⁴</t>
        </is>
      </c>
      <c r="B761" t="inlineStr"/>
      <c r="C761" t="inlineStr">
        <is>
          <t>84</t>
        </is>
      </c>
      <c r="D761" t="inlineStr">
        <is>
          <t>1</t>
        </is>
      </c>
      <c r="E761" t="inlineStr">
        <is>
          <t>84</t>
        </is>
      </c>
      <c r="F761" t="inlineStr">
        <is>
          <t>10</t>
        </is>
      </c>
      <c r="G761" t="inlineStr">
        <is>
          <t>0</t>
        </is>
      </c>
      <c r="H761" t="inlineStr">
        <is>
          <t>28³</t>
        </is>
      </c>
      <c r="I761" t="n">
        <v>3</v>
      </c>
      <c r="J761" t="inlineStr">
        <is>
          <t>6², 12⁶</t>
        </is>
      </c>
      <c r="K761">
        <f>HYPERLINK("CSG0.html#group7D0", "7D⁰"), =HYPERLINK("CSG1.html#group28A1", "28A¹")</f>
        <v/>
      </c>
      <c r="L761">
        <f>HYPERLINK("CSG8.html#group28B8", "28B⁸"), =HYPERLINK("CSG9.html#group28C9", "28C⁹"), =HYPERLINK("CSG10.html#group28B10", "28B¹⁰"), =HYPERLINK("CSG11.html#group28B11", "28B¹¹"), =HYPERLINK("CSG11.html#group56H11", "56H¹¹"), =HYPERLINK("CSG11.html#group56I11", "56I¹¹"), =HYPERLINK("CSG11.html#group56J11", "56J¹¹"), =HYPERLINK("CSG11.html#group56K11", "56K¹¹"), =HYPERLINK("CSG12.html#group28A12", "28A¹²"), =HYPERLINK("CSG13.html#group84J13", "84J¹³"), =HYPERLINK("CSG15.html#group28F15", "28F¹⁵"), =HYPERLINK("CSG21.html#group56I21", "56I²¹")</f>
        <v/>
      </c>
      <c r="M761">
        <f>HYPERLINK("CSG0.html#group7D0", "7D⁰"), =HYPERLINK("CSG1.html#group28A1", "28A¹"), =HYPERLINK("CSG0.html#group1A0", "1A⁰"), =HYPERLINK("CSG0.html#group4A0", "4A⁰"), =HYPERLINK("CSG0.html#group7A0", "7A⁰")</f>
        <v/>
      </c>
      <c r="N761">
        <f>HYPERLINK("CSG24.html#group56M24", "56M²⁴"), =HYPERLINK("CSG13.html#group84J13", "84J¹³"), =HYPERLINK("CSG10.html#group28B10", "28B¹⁰"), =HYPERLINK("CSG22.html#group56A22", "56A²²"), =HYPERLINK("CSG23.html#group28B23", "28B²³"), =HYPERLINK("CSG23.html#group56B23", "56B²³"), =HYPERLINK("CSG11.html#group56I11", "56I¹¹"), =HYPERLINK("CSG21.html#group28F21", "28F²¹"), =HYPERLINK("CSG12.html#group28A12", "28A¹²"), =HYPERLINK("CSG23.html#group56K23", "56K²³"), =HYPERLINK("CSG22.html#group56H22", "56H²²"), =HYPERLINK("CSG22.html#group56B22", "56B²²"), =HYPERLINK("CSG23.html#group28D23", "28D²³"), =HYPERLINK("CSG11.html#group56H11", "56H¹¹"), =HYPERLINK("CSG23.html#group56L23", "56L²³"), =HYPERLINK("CSG24.html#group56K24", "56K²⁴"), =HYPERLINK("CSG11.html#group56J11", "56J¹¹"), =HYPERLINK("CSG19.html#group28C19", "28C¹⁹"), =HYPERLINK("CSG11.html#group56K11", "56K¹¹"), =HYPERLINK("CSG24.html#group56N24", "56N²⁴"), =HYPERLINK("CSG8.html#group28B8", "28B⁸"), =HYPERLINK("CSG15.html#group28F15", "28F¹⁵"), =HYPERLINK("CSG23.html#group56C23", "56C²³"), =HYPERLINK("CSG21.html#group56I21", "56I²¹"), =HYPERLINK("CSG23.html#group28A23", "28A²³"), =HYPERLINK("CSG9.html#group28C9", "28C⁹"), =HYPERLINK("CSG11.html#group28B11", "28B¹¹"), =HYPERLINK("CSG24.html#group56L24", "56L²⁴")</f>
        <v/>
      </c>
    </row>
    <row r="762">
      <c r="A762" t="inlineStr">
        <is>
          <t>28C⁴</t>
        </is>
      </c>
      <c r="B762" t="inlineStr"/>
      <c r="C762" t="inlineStr">
        <is>
          <t>84</t>
        </is>
      </c>
      <c r="D762" t="inlineStr">
        <is>
          <t>2</t>
        </is>
      </c>
      <c r="E762" t="inlineStr">
        <is>
          <t>21</t>
        </is>
      </c>
      <c r="F762" t="inlineStr">
        <is>
          <t>8</t>
        </is>
      </c>
      <c r="G762" t="inlineStr">
        <is>
          <t>0</t>
        </is>
      </c>
      <c r="H762" t="inlineStr">
        <is>
          <t>14², 28²</t>
        </is>
      </c>
      <c r="I762" t="n">
        <v>4</v>
      </c>
      <c r="J762" t="inlineStr">
        <is>
          <t>2³, 6⁶</t>
        </is>
      </c>
      <c r="K762">
        <f>HYPERLINK("CSG2.html#group14C2", "14C²"), =HYPERLINK("CSG2.html#group28B2", "28B²"), =HYPERLINK("CSG2.html#group28C2", "28C²")</f>
        <v/>
      </c>
      <c r="L762">
        <f>HYPERLINK("CSG9.html#group56B9", "56B⁹"), =HYPERLINK("CSG10.html#group28A10", "28A¹⁰"), =HYPERLINK("CSG10.html#group56A10", "56A¹⁰"), =HYPERLINK("CSG11.html#group28C11", "28C¹¹"), =HYPERLINK("CSG13.html#group56A13", "56A¹³"), =HYPERLINK("CSG14.html#group28C14", "28C¹⁴"), =HYPERLINK("CSG14.html#group84C14", "84C¹⁴"), =HYPERLINK("CSG17.html#group28D17", "28D¹⁷")</f>
        <v/>
      </c>
      <c r="M762">
        <f>HYPERLINK("CSG2.html#group28C2", "28C²"), =HYPERLINK("CSG0.html#group14A0", "14A⁰"), =HYPERLINK("CSG1.html#group14B1", "14B¹"), =HYPERLINK("CSG2.html#group14C2", "14C²"), =HYPERLINK("CSG0.html#group4C0", "4C⁰"), =HYPERLINK("CSG0.html#group2B0", "2B⁰"), =HYPERLINK("CSG0.html#group1A0", "1A⁰"), =HYPERLINK("CSG2.html#group28B2", "28B²"), =HYPERLINK("CSG0.html#group7A0", "7A⁰")</f>
        <v/>
      </c>
      <c r="N762">
        <f>HYPERLINK("CSG21.html#group56J21", "56J²¹"), =HYPERLINK("CSG22.html#group112A22", "112A²²"), =HYPERLINK("CSG24.html#group112H24", "112H²⁴"), =HYPERLINK("CSG22.html#group56C22", "56C²²"), =HYPERLINK("CSG23.html#group56F23", "56F²³"), =HYPERLINK("CSG19.html#group112A19", "112A¹⁹"), =HYPERLINK("CSG14.html#group84C14", "84C¹⁴"), =HYPERLINK("CSG24.html#group56J24", "56J²⁴"), =HYPERLINK("CSG11.html#group28C11", "28C¹¹"), =HYPERLINK("CSG14.html#group28C14", "28C¹⁴"), =HYPERLINK("CSG9.html#group56B9", "56B⁹"), =HYPERLINK("CSG10.html#group56A10", "56A¹⁰"), =HYPERLINK("CSG23.html#group112L23", "112L²³"), =HYPERLINK("CSG23.html#group56A23", "56A²³"), =HYPERLINK("CSG10.html#group28A10", "28A¹⁰"), =HYPERLINK("CSG23.html#group112C23", "112C²³"), =HYPERLINK("CSG13.html#group56A13", "56A¹³"), =HYPERLINK("CSG23.html#group28C23", "28C²³"), =HYPERLINK("CSG21.html#group56K21", "56K²¹"), =HYPERLINK("CSG17.html#group28D17", "28D¹⁷")</f>
        <v/>
      </c>
    </row>
    <row r="763">
      <c r="A763" t="inlineStr">
        <is>
          <t>28D⁴</t>
        </is>
      </c>
      <c r="B763" t="inlineStr"/>
      <c r="C763" t="inlineStr">
        <is>
          <t>96</t>
        </is>
      </c>
      <c r="D763" t="inlineStr">
        <is>
          <t>1</t>
        </is>
      </c>
      <c r="E763" t="inlineStr">
        <is>
          <t>24</t>
        </is>
      </c>
      <c r="F763" t="inlineStr">
        <is>
          <t>0</t>
        </is>
      </c>
      <c r="G763" t="inlineStr">
        <is>
          <t>0</t>
        </is>
      </c>
      <c r="H763" t="inlineStr">
        <is>
          <t>2⁴, 4¹, 14⁴, 28¹</t>
        </is>
      </c>
      <c r="I763" t="n">
        <v>10</v>
      </c>
      <c r="J763" t="inlineStr">
        <is>
          <t>1⁶, 6³</t>
        </is>
      </c>
      <c r="K763">
        <f>HYPERLINK("CSG2.html#group14E2", "14E²")</f>
        <v/>
      </c>
      <c r="L763">
        <f>HYPERLINK("CSG9.html#group28F9", "28F⁹"), =HYPERLINK("CSG10.html#group28C10", "28C¹⁰"), =HYPERLINK("CSG11.html#group28F11", "28F¹¹"), =HYPERLINK("CSG20.html#group84I20", "84I²⁰"), =HYPERLINK("CSG20.html#group84M20", "84M²⁰"), =HYPERLINK("CSG23.html#group84J23", "84J²³")</f>
        <v/>
      </c>
      <c r="M763">
        <f>HYPERLINK("CSG0.html#group2A0", "2A⁰"), =HYPERLINK("CSG0.html#group7B0", "7B⁰"), =HYPERLINK("CSG0.html#group14B0", "14B⁰"), =HYPERLINK("CSG1.html#group14C1", "14C¹"), =HYPERLINK("CSG0.html#group2B0", "2B⁰"), =HYPERLINK("CSG2.html#group14E2", "14E²"), =HYPERLINK("CSG0.html#group1A0", "1A⁰"), =HYPERLINK("CSG0.html#group2C0", "2C⁰")</f>
        <v/>
      </c>
      <c r="N763">
        <f>HYPERLINK("CSG21.html#group56L21", "56L²¹"), =HYPERLINK("CSG9.html#group28F9", "28F⁹"), =HYPERLINK("CSG23.html#group84J23", "84J²³"), =HYPERLINK("CSG11.html#group28F11", "28F¹¹"), =HYPERLINK("CSG21.html#group56N21", "56N²¹"), =HYPERLINK("CSG20.html#group84M20", "84M²⁰"), =HYPERLINK("CSG23.html#group56W23", "56W²³"), =HYPERLINK("CSG20.html#group84I20", "84I²⁰"), =HYPERLINK("CSG21.html#group28M21", "28M²¹"), =HYPERLINK("CSG10.html#group28C10", "28C¹⁰")</f>
        <v/>
      </c>
    </row>
    <row r="764">
      <c r="A764" t="inlineStr">
        <is>
          <t>28E⁴</t>
        </is>
      </c>
      <c r="B764" t="inlineStr"/>
      <c r="C764" t="inlineStr">
        <is>
          <t>96</t>
        </is>
      </c>
      <c r="D764" t="inlineStr">
        <is>
          <t>1</t>
        </is>
      </c>
      <c r="E764" t="inlineStr">
        <is>
          <t>48</t>
        </is>
      </c>
      <c r="F764" t="inlineStr">
        <is>
          <t>0</t>
        </is>
      </c>
      <c r="G764" t="inlineStr">
        <is>
          <t>0</t>
        </is>
      </c>
      <c r="H764" t="inlineStr">
        <is>
          <t>1², 2¹, 4², 7², 14¹, 28²</t>
        </is>
      </c>
      <c r="I764" t="n">
        <v>10</v>
      </c>
      <c r="J764" t="inlineStr">
        <is>
          <t>1⁸, 2², 6⁴, 12¹</t>
        </is>
      </c>
      <c r="K764">
        <f>HYPERLINK("CSG2.html#group28D2", "28D²")</f>
        <v/>
      </c>
      <c r="L764">
        <f>HYPERLINK("CSG9.html#group28F9", "28F⁹"), =HYPERLINK("CSG9.html#group56C9", "56C⁹"), =HYPERLINK("CSG10.html#group28D10", "28D¹⁰"), =HYPERLINK("CSG11.html#group56N11", "56N¹¹"), =HYPERLINK("CSG20.html#group84J20", "84J²⁰"), =HYPERLINK("CSG20.html#group84N20", "84N²⁰"), =HYPERLINK("CSG23.html#group84L23", "84L²³")</f>
        <v/>
      </c>
      <c r="M764">
        <f>HYPERLINK("CSG0.html#group2B0", "2B⁰"), =HYPERLINK("CSG0.html#group4B0", "4B⁰"), =HYPERLINK("CSG0.html#group1A0", "1A⁰"), =HYPERLINK("CSG0.html#group7B0", "7B⁰"), =HYPERLINK("CSG2.html#group28D2", "28D²"), =HYPERLINK("CSG1.html#group14C1", "14C¹")</f>
        <v/>
      </c>
      <c r="N764">
        <f>HYPERLINK("CSG20.html#group84J20", "84J²⁰"), =HYPERLINK("CSG21.html#group56L21", "56L²¹"), =HYPERLINK("CSG21.html#group28M21", "28M²¹"), =HYPERLINK("CSG21.html#group56M21", "56M²¹"), =HYPERLINK("CSG9.html#group28F9", "28F⁹"), =HYPERLINK("CSG23.html#group84L23", "84L²³"), =HYPERLINK("CSG23.html#group56U23", "56U²³"), =HYPERLINK("CSG10.html#group28D10", "28D¹⁰"), =HYPERLINK("CSG21.html#group56N21", "56N²¹"), =HYPERLINK("CSG21.html#group112F21", "112F²¹"), =HYPERLINK("CSG21.html#group112E21", "112E²¹"), =HYPERLINK("CSG23.html#group112U23", "112U²³"), =HYPERLINK("CSG9.html#group56C9", "56C⁹"), =HYPERLINK("CSG20.html#group84N20", "84N²⁰"), =HYPERLINK("CSG11.html#group56N11", "56N¹¹")</f>
        <v/>
      </c>
    </row>
    <row r="765">
      <c r="A765" t="inlineStr">
        <is>
          <t>28F⁴</t>
        </is>
      </c>
      <c r="B765" t="inlineStr"/>
      <c r="C765" t="inlineStr">
        <is>
          <t>144</t>
        </is>
      </c>
      <c r="D765" t="inlineStr">
        <is>
          <t>1</t>
        </is>
      </c>
      <c r="E765" t="inlineStr">
        <is>
          <t>24</t>
        </is>
      </c>
      <c r="F765" t="inlineStr">
        <is>
          <t>0</t>
        </is>
      </c>
      <c r="G765" t="inlineStr">
        <is>
          <t>0</t>
        </is>
      </c>
      <c r="H765" t="inlineStr">
        <is>
          <t>1⁶, 4³, 7⁶, 28³</t>
        </is>
      </c>
      <c r="I765" t="n">
        <v>18</v>
      </c>
      <c r="J765" t="inlineStr">
        <is>
          <t>1⁶, 6³</t>
        </is>
      </c>
      <c r="K765">
        <f>HYPERLINK("CSG1.html#group14H1", "14H¹"), =HYPERLINK("CSG2.html#group28D2", "28D²")</f>
        <v/>
      </c>
      <c r="L765">
        <f>HYPERLINK("CSG10.html#group28D10", "28D¹⁰"), =HYPERLINK("CSG10.html#group56F10", "56F¹⁰"), =HYPERLINK("CSG13.html#group28F13", "28F¹³"), =HYPERLINK("CSG13.html#group56O13", "56O¹³"), =HYPERLINK("CSG16.html#group56E16", "56E¹⁶")</f>
        <v/>
      </c>
      <c r="M765">
        <f>HYPERLINK("CSG0.html#group7B0", "7B⁰"), =HYPERLINK("CSG1.html#group14H1", "14H¹"), =HYPERLINK("CSG2.html#group28D2", "28D²"), =HYPERLINK("CSG1.html#group14C1", "14C¹"), =HYPERLINK("CSG0.html#group2B0", "2B⁰"), =HYPERLINK("CSG0.html#group7E0", "7E⁰"), =HYPERLINK("CSG0.html#group4B0", "4B⁰"), =HYPERLINK("CSG0.html#group1A0", "1A⁰")</f>
        <v/>
      </c>
      <c r="N765">
        <f>HYPERLINK("CSG13.html#group28F13", "28F¹³"), =HYPERLINK("CSG10.html#group56F10", "56F¹⁰"), =HYPERLINK("CSG10.html#group28D10", "28D¹⁰"), =HYPERLINK("CSG16.html#group56E16", "56E¹⁶"), =HYPERLINK("CSG13.html#group56O13", "56O¹³")</f>
        <v/>
      </c>
    </row>
    <row r="766">
      <c r="A766" t="inlineStr">
        <is>
          <t>29A⁴</t>
        </is>
      </c>
      <c r="B766" t="inlineStr"/>
      <c r="C766" t="inlineStr">
        <is>
          <t>60</t>
        </is>
      </c>
      <c r="D766" t="inlineStr">
        <is>
          <t>1</t>
        </is>
      </c>
      <c r="E766" t="inlineStr">
        <is>
          <t>30</t>
        </is>
      </c>
      <c r="F766" t="inlineStr">
        <is>
          <t>0</t>
        </is>
      </c>
      <c r="G766" t="inlineStr">
        <is>
          <t>0</t>
        </is>
      </c>
      <c r="H766" t="inlineStr">
        <is>
          <t>1², 29²</t>
        </is>
      </c>
      <c r="I766" t="n">
        <v>4</v>
      </c>
      <c r="J766" t="inlineStr">
        <is>
          <t>1², 28¹</t>
        </is>
      </c>
      <c r="K766">
        <f>HYPERLINK("CSG2.html#group29A2", "29A²")</f>
        <v/>
      </c>
      <c r="L766">
        <f>HYPERLINK("CSG9.html#group58A9", "58A⁹"), =HYPERLINK("CSG12.html#group58A12", "58A¹²"), =HYPERLINK("CSG14.html#group87A14", "87A¹⁴"), =HYPERLINK("CSG17.html#group87A17", "87A¹⁷"), =HYPERLINK("CSG19.html#group116B19", "116B¹⁹"), =HYPERLINK("CSG22.html#group29A22", "29A²²"), =HYPERLINK("CSG24.html#group145A24", "145A²⁴")</f>
        <v/>
      </c>
      <c r="M766">
        <f>HYPERLINK("CSG0.html#group1A0", "1A⁰"), =HYPERLINK("CSG2.html#group29A2", "29A²")</f>
        <v/>
      </c>
      <c r="N766">
        <f>HYPERLINK("CSG9.html#group58A9", "58A⁹"), =HYPERLINK("CSG19.html#group116B19", "116B¹⁹"), =HYPERLINK("CSG12.html#group58A12", "58A¹²"), =HYPERLINK("CSG24.html#group145A24", "145A²⁴"), =HYPERLINK("CSG22.html#group29A22", "29A²²"), =HYPERLINK("CSG17.html#group87A17", "87A¹⁷"), =HYPERLINK("CSG14.html#group87A14", "87A¹⁴"), =HYPERLINK("CSG19.html#group116A19", "116A¹⁹")</f>
        <v/>
      </c>
    </row>
    <row r="767">
      <c r="A767" t="inlineStr">
        <is>
          <t>30A⁴</t>
        </is>
      </c>
      <c r="B767" t="inlineStr"/>
      <c r="C767" t="inlineStr">
        <is>
          <t>60</t>
        </is>
      </c>
      <c r="D767" t="inlineStr">
        <is>
          <t>1</t>
        </is>
      </c>
      <c r="E767" t="inlineStr">
        <is>
          <t>15</t>
        </is>
      </c>
      <c r="F767" t="inlineStr">
        <is>
          <t>4</t>
        </is>
      </c>
      <c r="G767" t="inlineStr">
        <is>
          <t>0</t>
        </is>
      </c>
      <c r="H767" t="inlineStr">
        <is>
          <t>30²</t>
        </is>
      </c>
      <c r="I767" t="n">
        <v>2</v>
      </c>
      <c r="J767" t="inlineStr">
        <is>
          <t>1¹, 2¹, 4¹, 8¹</t>
        </is>
      </c>
      <c r="K767">
        <f>HYPERLINK("CSG0.html#group6E0", "6E⁰"), =HYPERLINK("CSG2.html#group15A2", "15A²"), =HYPERLINK("CSG2.html#group30A2", "30A²")</f>
        <v/>
      </c>
      <c r="L767">
        <f>HYPERLINK("CSG9.html#group30A9", "30A⁹"), =HYPERLINK("CSG9.html#group60A9", "60A⁹"), =HYPERLINK("CSG10.html#group30A10", "30A¹⁰"), =HYPERLINK("CSG12.html#group30E12", "30E¹²"), =HYPERLINK("CSG12.html#group90A12", "90A¹²"), =HYPERLINK("CSG12.html#group90B12", "90B¹²"), =HYPERLINK("CSG13.html#group90A13", "90A¹³"), =HYPERLINK("CSG13.html#group90C13", "90C¹³"), =HYPERLINK("CSG14.html#group90D14", "90D¹⁴"), =HYPERLINK("CSG14.html#group90H14", "90H¹⁴"), =HYPERLINK("CSG17.html#group30D17", "30D¹⁷"), =HYPERLINK("CSG17.html#group60E17", "60E¹⁷")</f>
        <v/>
      </c>
      <c r="M767">
        <f>HYPERLINK("CSG0.html#group5A0", "5A⁰"), =HYPERLINK("CSG2.html#group30A2", "30A²"), =HYPERLINK("CSG0.html#group6B0", "6B⁰"), =HYPERLINK("CSG2.html#group15A2", "15A²"), =HYPERLINK("CSG0.html#group6E0", "6E⁰"), =HYPERLINK("CSG0.html#group3C0", "3C⁰"), =HYPERLINK("CSG0.html#group3A0", "3A⁰"), =HYPERLINK("CSG0.html#group1A0", "1A⁰"), =HYPERLINK("CSG1.html#group15A1", "15A¹")</f>
        <v/>
      </c>
      <c r="N767">
        <f>HYPERLINK("CSG12.html#group90B12", "90B¹²"), =HYPERLINK("CSG10.html#group30A10", "30A¹⁰"), =HYPERLINK("CSG21.html#group30A21", "30A²¹"), =HYPERLINK("CSG14.html#group90H14", "90H¹⁴"), =HYPERLINK("CSG17.html#group30D17", "30D¹⁷"), =HYPERLINK("CSG17.html#group60E17", "60E¹⁷"), =HYPERLINK("CSG19.html#group60A19", "60A¹⁹"), =HYPERLINK("CSG13.html#group90C13", "90C¹³"), =HYPERLINK("CSG12.html#group30E12", "30E¹²"), =HYPERLINK("CSG9.html#group60A9", "60A⁹"), =HYPERLINK("CSG12.html#group90A12", "90A¹²"), =HYPERLINK("CSG23.html#group30B23", "30B²³"), =HYPERLINK("CSG9.html#group30A9", "30A⁹"), =HYPERLINK("CSG13.html#group90A13", "90A¹³"), =HYPERLINK("CSG14.html#group90D14", "90D¹⁴")</f>
        <v/>
      </c>
    </row>
    <row r="768">
      <c r="A768" t="inlineStr">
        <is>
          <t>30B⁴</t>
        </is>
      </c>
      <c r="B768" t="inlineStr"/>
      <c r="C768" t="inlineStr">
        <is>
          <t>60</t>
        </is>
      </c>
      <c r="D768" t="inlineStr">
        <is>
          <t>1</t>
        </is>
      </c>
      <c r="E768" t="inlineStr">
        <is>
          <t>20</t>
        </is>
      </c>
      <c r="F768" t="inlineStr">
        <is>
          <t>0</t>
        </is>
      </c>
      <c r="G768" t="inlineStr">
        <is>
          <t>3</t>
        </is>
      </c>
      <c r="H768" t="inlineStr">
        <is>
          <t>30²</t>
        </is>
      </c>
      <c r="I768" t="n">
        <v>2</v>
      </c>
      <c r="J768" t="inlineStr">
        <is>
          <t>4¹, 8²</t>
        </is>
      </c>
      <c r="K768">
        <f>HYPERLINK("CSG0.html#group6A0", "6A⁰"), =HYPERLINK("CSG1.html#group10C1", "10C¹")</f>
        <v/>
      </c>
      <c r="L768">
        <f>HYPERLINK("CSG7.html#group30G7", "30G⁷"), =HYPERLINK("CSG13.html#group30A13", "30A¹³"), =HYPERLINK("CSG13.html#group30E13", "30E¹³"), =HYPERLINK("CSG16.html#group30A16", "30A¹⁶"), =HYPERLINK("CSG18.html#group60E18", "60E¹⁸"), =HYPERLINK("CSG18.html#group60H18", "60H¹⁸"), =HYPERLINK("CSG20.html#group150E20", "150E²⁰")</f>
        <v/>
      </c>
      <c r="M768">
        <f>HYPERLINK("CSG0.html#group2A0", "2A⁰"), =HYPERLINK("CSG1.html#group10C1", "10C¹"), =HYPERLINK("CSG0.html#group1A0", "1A⁰"), =HYPERLINK("CSG0.html#group6A0", "6A⁰"), =HYPERLINK("CSG0.html#group5C0", "5C⁰")</f>
        <v/>
      </c>
      <c r="N768">
        <f>HYPERLINK("CSG7.html#group30G7", "30G⁷"), =HYPERLINK("CSG20.html#group150E20", "150E²⁰"), =HYPERLINK("CSG22.html#group30B22", "30B²²"), =HYPERLINK("CSG13.html#group30A13", "30A¹³"), =HYPERLINK("CSG13.html#group30E13", "30E¹³"), =HYPERLINK("CSG18.html#group60E18", "60E¹⁸"), =HYPERLINK("CSG16.html#group30A16", "30A¹⁶"), =HYPERLINK("CSG15.html#group60P15", "60P¹⁵"), =HYPERLINK("CSG18.html#group60H18", "60H¹⁸")</f>
        <v/>
      </c>
    </row>
    <row r="769">
      <c r="A769" t="inlineStr">
        <is>
          <t>30C⁴</t>
        </is>
      </c>
      <c r="B769" t="inlineStr"/>
      <c r="C769" t="inlineStr">
        <is>
          <t>60</t>
        </is>
      </c>
      <c r="D769" t="inlineStr">
        <is>
          <t>1</t>
        </is>
      </c>
      <c r="E769" t="inlineStr">
        <is>
          <t>30</t>
        </is>
      </c>
      <c r="F769" t="inlineStr">
        <is>
          <t>4</t>
        </is>
      </c>
      <c r="G769" t="inlineStr">
        <is>
          <t>0</t>
        </is>
      </c>
      <c r="H769" t="inlineStr">
        <is>
          <t>30²</t>
        </is>
      </c>
      <c r="I769" t="n">
        <v>2</v>
      </c>
      <c r="J769" t="inlineStr">
        <is>
          <t>2¹, 4³, 8²</t>
        </is>
      </c>
      <c r="K769">
        <f>HYPERLINK("CSG1.html#group15D1", "15D¹")</f>
        <v/>
      </c>
      <c r="L769">
        <f>HYPERLINK("CSG7.html#group30J7", "30J⁷"), =HYPERLINK("CSG7.html#group30N7", "30N⁷"), =HYPERLINK("CSG9.html#group30C9", "30C⁹"), =HYPERLINK("CSG9.html#group30D9", "30D⁹"), =HYPERLINK("CSG9.html#group30F9", "30F⁹"), =HYPERLINK("CSG12.html#group30D12", "30D¹²"), =HYPERLINK("CSG12.html#group30G12", "30G¹²"), =HYPERLINK("CSG12.html#group90D12", "90D¹²"), =HYPERLINK("CSG14.html#group90G14", "90G¹⁴"), =HYPERLINK("CSG17.html#group60H17", "60H¹⁷"), =HYPERLINK("CSG24.html#group150A24", "150A²⁴")</f>
        <v/>
      </c>
      <c r="M769">
        <f>HYPERLINK("CSG0.html#group3A0", "3A⁰"), =HYPERLINK("CSG0.html#group5C0", "5C⁰"), =HYPERLINK("CSG1.html#group15D1", "15D¹"), =HYPERLINK("CSG0.html#group1A0", "1A⁰")</f>
        <v/>
      </c>
      <c r="N769">
        <f>HYPERLINK("CSG24.html#group150A24", "150A²⁴"), =HYPERLINK("CSG23.html#group30I23", "30I²³"), =HYPERLINK("CSG17.html#group60K17", "60K¹⁷"), =HYPERLINK("CSG7.html#group30J7", "30J⁷"), =HYPERLINK("CSG23.html#group90D23", "90D²³"), =HYPERLINK("CSG17.html#group30E17", "30E¹⁷"), =HYPERLINK("CSG23.html#group30H23", "30H²³"), =HYPERLINK("CSG13.html#group30M13", "30M¹³"), =HYPERLINK("CSG12.html#group30D12", "30D¹²"), =HYPERLINK("CSG17.html#group30D17", "30D¹⁷"), =HYPERLINK("CSG23.html#group30K23", "30K²³"), =HYPERLINK("CSG17.html#group60J17", "60J¹⁷"), =HYPERLINK("CSG17.html#group60H17", "60H¹⁷"), =HYPERLINK("CSG7.html#group30N7", "30N⁷"), =HYPERLINK("CSG9.html#group30C9", "30C⁹"), =HYPERLINK("CSG12.html#group90D12", "90D¹²"), =HYPERLINK("CSG23.html#group30C23", "30C²³"), =HYPERLINK("CSG9.html#group30D9", "30D⁹"), =HYPERLINK("CSG14.html#group90G14", "90G¹⁴"), =HYPERLINK("CSG23.html#group30J23", "30J²³"), =HYPERLINK("CSG23.html#group90F23", "90F²³"), =HYPERLINK("CSG12.html#group30G12", "30G¹²"), =HYPERLINK("CSG17.html#group30C17", "30C¹⁷"), =HYPERLINK("CSG9.html#group30F9", "30F⁹"), =HYPERLINK("CSG17.html#group30A17", "30A¹⁷")</f>
        <v/>
      </c>
    </row>
    <row r="770">
      <c r="A770" t="inlineStr">
        <is>
          <t>30D⁴</t>
        </is>
      </c>
      <c r="B770" t="inlineStr"/>
      <c r="C770" t="inlineStr">
        <is>
          <t>60</t>
        </is>
      </c>
      <c r="D770" t="inlineStr">
        <is>
          <t>1</t>
        </is>
      </c>
      <c r="E770" t="inlineStr">
        <is>
          <t>60</t>
        </is>
      </c>
      <c r="F770" t="inlineStr">
        <is>
          <t>0</t>
        </is>
      </c>
      <c r="G770" t="inlineStr">
        <is>
          <t>0</t>
        </is>
      </c>
      <c r="H770" t="inlineStr">
        <is>
          <t>5¹, 10¹, 15¹, 30¹</t>
        </is>
      </c>
      <c r="I770" t="n">
        <v>4</v>
      </c>
      <c r="J770" t="inlineStr">
        <is>
          <t>1⁶, 2³, 4⁶, 8³</t>
        </is>
      </c>
      <c r="K770">
        <f>HYPERLINK("CSG0.html#group6F0", "6F⁰"), =HYPERLINK("CSG1.html#group10B1", "10B¹"), =HYPERLINK("CSG1.html#group15B1", "15B¹")</f>
        <v/>
      </c>
      <c r="L770">
        <f>HYPERLINK("CSG8.html#group30B8", "30B⁸"), =HYPERLINK("CSG8.html#group60C8", "60C⁸"), =HYPERLINK("CSG9.html#group60B9", "60B⁹"), =HYPERLINK("CSG10.html#group30F10", "30F¹⁰"), =HYPERLINK("CSG12.html#group30A12", "30A¹²"), =HYPERLINK("CSG12.html#group30H12", "30H¹²"), =HYPERLINK("CSG12.html#group90C12", "90C¹²"), =HYPERLINK("CSG12.html#group90E12", "90E¹²"), =HYPERLINK("CSG13.html#group30N13", "30N¹³"), =HYPERLINK("CSG14.html#group90A14", "90A¹⁴"), =HYPERLINK("CSG14.html#group90B14", "90B¹⁴"), =HYPERLINK("CSG14.html#group90E14", "90E¹⁴"), =HYPERLINK("CSG14.html#group90F14", "90F¹⁴")</f>
        <v/>
      </c>
      <c r="M770">
        <f>HYPERLINK("CSG0.html#group3B0", "3B⁰"), =HYPERLINK("CSG0.html#group5A0", "5A⁰"), =HYPERLINK("CSG1.html#group10B1", "10B¹"), =HYPERLINK("CSG0.html#group6F0", "6F⁰"), =HYPERLINK("CSG1.html#group15B1", "15B¹"), =HYPERLINK("CSG0.html#group2B0", "2B⁰"), =HYPERLINK("CSG0.html#group1A0", "1A⁰")</f>
        <v/>
      </c>
      <c r="N770">
        <f>HYPERLINK("CSG22.html#group30A22", "30A²²"), =HYPERLINK("CSG22.html#group60D22", "60D²²"), =HYPERLINK("CSG18.html#group60B18", "60B¹⁸"), =HYPERLINK("CSG9.html#group60B9", "60B⁹"), =HYPERLINK("CSG22.html#group30C22", "30C²²"), =HYPERLINK("CSG10.html#group30F10", "30F¹⁰"), =HYPERLINK("CSG16.html#group60B16", "60B¹⁶"), =HYPERLINK("CSG14.html#group90E14", "90E¹⁴"), =HYPERLINK("CSG19.html#group120B19", "120B¹⁹"), =HYPERLINK("CSG14.html#group90F14", "90F¹⁴"), =HYPERLINK("CSG16.html#group60A16", "60A¹⁶"), =HYPERLINK("CSG12.html#group30A12", "30A¹²"), =HYPERLINK("CSG19.html#group30B19", "30B¹⁹"), =HYPERLINK("CSG8.html#group30B8", "30B⁸"), =HYPERLINK("CSG14.html#group90A14", "90A¹⁴"), =HYPERLINK("CSG12.html#group30H12", "30H¹²"), =HYPERLINK("CSG17.html#group60B17", "60B¹⁷"), =HYPERLINK("CSG8.html#group60C8", "60C⁸"), =HYPERLINK("CSG16.html#group120B16", "120B¹⁶"), =HYPERLINK("CSG14.html#group90B14", "90B¹⁴"), =HYPERLINK("CSG18.html#group60G18", "60G¹⁸"), =HYPERLINK("CSG13.html#group30N13", "30N¹³"), =HYPERLINK("CSG12.html#group90E12", "90E¹²"), =HYPERLINK("CSG18.html#group120D18", "120D¹⁸"), =HYPERLINK("CSG12.html#group90C12", "90C¹²"), =HYPERLINK("CSG18.html#group120A18", "120A¹⁸"), =HYPERLINK("CSG22.html#group60A22", "60A²²"), =HYPERLINK("CSG19.html#group120A19", "120A¹⁹"), =HYPERLINK("CSG17.html#group120D17", "120D¹⁷")</f>
        <v/>
      </c>
    </row>
    <row r="771">
      <c r="A771" t="inlineStr">
        <is>
          <t>30E⁴</t>
        </is>
      </c>
      <c r="B771" t="inlineStr"/>
      <c r="C771" t="inlineStr">
        <is>
          <t>90</t>
        </is>
      </c>
      <c r="D771" t="inlineStr">
        <is>
          <t>1</t>
        </is>
      </c>
      <c r="E771" t="inlineStr">
        <is>
          <t>15</t>
        </is>
      </c>
      <c r="F771" t="inlineStr">
        <is>
          <t>12</t>
        </is>
      </c>
      <c r="G771" t="inlineStr">
        <is>
          <t>0</t>
        </is>
      </c>
      <c r="H771" t="inlineStr">
        <is>
          <t>30³</t>
        </is>
      </c>
      <c r="I771" t="n">
        <v>3</v>
      </c>
      <c r="J771" t="inlineStr">
        <is>
          <t>1¹, 2¹, 4¹, 8¹</t>
        </is>
      </c>
      <c r="K771">
        <f>HYPERLINK("CSG1.html#group15F1", "15F¹"), =HYPERLINK("CSG2.html#group30A2", "30A²")</f>
        <v/>
      </c>
      <c r="L771">
        <f>HYPERLINK("CSG9.html#group30O9", "30O⁹"), =HYPERLINK("CSG10.html#group30A10", "30A¹⁰"), =HYPERLINK("CSG10.html#group30I10", "30I¹⁰"), =HYPERLINK("CSG11.html#group30B11", "30B¹¹"), =HYPERLINK("CSG13.html#group30B13", "30B¹³"), =HYPERLINK("CSG16.html#group30D16", "30D¹⁶"), =HYPERLINK("CSG16.html#group90B16", "90B¹⁶"), =HYPERLINK("CSG19.html#group90D19", "90D¹⁹"), =HYPERLINK("CSG19.html#group90E19", "90E¹⁹"), =HYPERLINK("CSG22.html#group60B22", "60B²²")</f>
        <v/>
      </c>
      <c r="M771">
        <f>HYPERLINK("CSG0.html#group5A0", "5A⁰"), =HYPERLINK("CSG2.html#group30A2", "30A²"), =HYPERLINK("CSG0.html#group6B0", "6B⁰"), =HYPERLINK("CSG1.html#group15F1", "15F¹"), =HYPERLINK("CSG0.html#group5E0", "5E⁰"), =HYPERLINK("CSG0.html#group3A0", "3A⁰"), =HYPERLINK("CSG0.html#group1A0", "1A⁰"), =HYPERLINK("CSG1.html#group15A1", "15A¹"), =HYPERLINK("CSG0.html#group15A0", "15A⁰")</f>
        <v/>
      </c>
      <c r="N771">
        <f>HYPERLINK("CSG13.html#group30B13", "30B¹³"), =HYPERLINK("CSG16.html#group30D16", "30D¹⁶"), =HYPERLINK("CSG21.html#group30F21", "30F²¹"), =HYPERLINK("CSG19.html#group90D19", "90D¹⁹"), =HYPERLINK("CSG10.html#group30A10", "30A¹⁰"), =HYPERLINK("CSG10.html#group30I10", "30I¹⁰"), =HYPERLINK("CSG16.html#group90B16", "90B¹⁶"), =HYPERLINK("CSG21.html#group30B21", "30B²¹"), =HYPERLINK("CSG22.html#group60B22", "60B²²"), =HYPERLINK("CSG23.html#group30J23", "30J²³"), =HYPERLINK("CSG23.html#group30B23", "30B²³"), =HYPERLINK("CSG21.html#group30A21", "30A²¹"), =HYPERLINK("CSG11.html#group30B11", "30B¹¹"), =HYPERLINK("CSG19.html#group90E19", "90E¹⁹"), =HYPERLINK("CSG9.html#group30O9", "30O⁹")</f>
        <v/>
      </c>
    </row>
    <row r="772">
      <c r="A772" t="inlineStr">
        <is>
          <t>30F⁴</t>
        </is>
      </c>
      <c r="B772" t="inlineStr"/>
      <c r="C772" t="inlineStr">
        <is>
          <t>90</t>
        </is>
      </c>
      <c r="D772" t="inlineStr">
        <is>
          <t>1</t>
        </is>
      </c>
      <c r="E772" t="inlineStr">
        <is>
          <t>15</t>
        </is>
      </c>
      <c r="F772" t="inlineStr">
        <is>
          <t>12</t>
        </is>
      </c>
      <c r="G772" t="inlineStr">
        <is>
          <t>0</t>
        </is>
      </c>
      <c r="H772" t="inlineStr">
        <is>
          <t>30³</t>
        </is>
      </c>
      <c r="I772" t="n">
        <v>3</v>
      </c>
      <c r="J772" t="inlineStr">
        <is>
          <t>1¹, 2¹, 4³</t>
        </is>
      </c>
      <c r="K772">
        <f>HYPERLINK("CSG1.html#group10E1", "10E¹"), =HYPERLINK("CSG1.html#group15F1", "15F¹")</f>
        <v/>
      </c>
      <c r="L772">
        <f>HYPERLINK("CSG9.html#group30O9", "30O⁹"), =HYPERLINK("CSG10.html#group30B10", "30B¹⁰"), =HYPERLINK("CSG10.html#group30D10", "30D¹⁰"), =HYPERLINK("CSG10.html#group30E10", "30E¹⁰"), =HYPERLINK("CSG11.html#group30A11", "30A¹¹"), =HYPERLINK("CSG13.html#group30D13", "30D¹³"), =HYPERLINK("CSG16.html#group30E16", "30E¹⁶"), =HYPERLINK("CSG17.html#group90P17", "90P¹⁷"), =HYPERLINK("CSG22.html#group60C22", "60C²²")</f>
        <v/>
      </c>
      <c r="M772">
        <f>HYPERLINK("CSG0.html#group5A0", "5A⁰"), =HYPERLINK("CSG1.html#group15F1", "15F¹"), =HYPERLINK("CSG0.html#group5E0", "5E⁰"), =HYPERLINK("CSG0.html#group3A0", "3A⁰"), =HYPERLINK("CSG1.html#group10E1", "10E¹"), =HYPERLINK("CSG0.html#group1A0", "1A⁰"), =HYPERLINK("CSG1.html#group15A1", "15A¹"), =HYPERLINK("CSG0.html#group15A0", "15A⁰")</f>
        <v/>
      </c>
      <c r="N772">
        <f>HYPERLINK("CSG11.html#group30A11", "30A¹¹"), =HYPERLINK("CSG16.html#group30E16", "30E¹⁶"), =HYPERLINK("CSG10.html#group30B10", "30B¹⁰"), =HYPERLINK("CSG10.html#group30E10", "30E¹⁰"), =HYPERLINK("CSG21.html#group30B21", "30B²¹"), =HYPERLINK("CSG23.html#group30E23", "30E²³"), =HYPERLINK("CSG13.html#group30D13", "30D¹³"), =HYPERLINK("CSG9.html#group30O9", "30O⁹"), =HYPERLINK("CSG23.html#group30D23", "30D²³"), =HYPERLINK("CSG10.html#group30D10", "30D¹⁰"), =HYPERLINK("CSG17.html#group90P17", "90P¹⁷"), =HYPERLINK("CSG21.html#group30F21", "30F²¹"), =HYPERLINK("CSG23.html#group30C23", "30C²³"), =HYPERLINK("CSG21.html#group30A21", "30A²¹"), =HYPERLINK("CSG22.html#group60C22", "60C²²")</f>
        <v/>
      </c>
    </row>
    <row r="773">
      <c r="A773" t="inlineStr">
        <is>
          <t>30G⁴</t>
        </is>
      </c>
      <c r="B773" t="inlineStr"/>
      <c r="C773" t="inlineStr">
        <is>
          <t>90</t>
        </is>
      </c>
      <c r="D773" t="inlineStr">
        <is>
          <t>2</t>
        </is>
      </c>
      <c r="E773" t="inlineStr">
        <is>
          <t>10</t>
        </is>
      </c>
      <c r="F773" t="inlineStr">
        <is>
          <t>0</t>
        </is>
      </c>
      <c r="G773" t="inlineStr">
        <is>
          <t>9</t>
        </is>
      </c>
      <c r="H773" t="inlineStr">
        <is>
          <t>30³</t>
        </is>
      </c>
      <c r="I773" t="n">
        <v>3</v>
      </c>
      <c r="J773" t="inlineStr">
        <is>
          <t>4¹, 8²</t>
        </is>
      </c>
      <c r="K773">
        <f>HYPERLINK("CSG0.html#group10E0", "10E⁰"), =HYPERLINK("CSG1.html#group30A1", "30A¹"), =HYPERLINK("CSG1.html#group30B1", "30B¹"), =HYPERLINK("CSG2.html#group30B2", "30B²")</f>
        <v/>
      </c>
      <c r="L773">
        <f>HYPERLINK("CSG19.html#group30A19", "30A¹⁹"), =HYPERLINK("CSG22.html#group30B22", "30B²²"), =HYPERLINK("CSG22.html#group30D22", "30D²²"), =HYPERLINK("CSG22.html#group30F22", "30F²²")</f>
        <v/>
      </c>
      <c r="M773">
        <f>HYPERLINK("CSG0.html#group2A0", "2A⁰"), =HYPERLINK("CSG2.html#group30B2", "30B²"), =HYPERLINK("CSG1.html#group30A1", "30A¹"), =HYPERLINK("CSG0.html#group5A0", "5A⁰"), =HYPERLINK("CSG0.html#group10A0", "10A⁰"), =HYPERLINK("CSG0.html#group6A0", "6A⁰"), =HYPERLINK("CSG1.html#group30B1", "30B¹"), =HYPERLINK("CSG0.html#group10E0", "10E⁰"), =HYPERLINK("CSG0.html#group1A0", "1A⁰"), =HYPERLINK("CSG0.html#group15A0", "15A⁰")</f>
        <v/>
      </c>
      <c r="N773">
        <f>HYPERLINK("CSG19.html#group30A19", "30A¹⁹"), =HYPERLINK("CSG22.html#group30B22", "30B²²"), =HYPERLINK("CSG22.html#group30D22", "30D²²"), =HYPERLINK("CSG22.html#group30F22", "30F²²")</f>
        <v/>
      </c>
    </row>
    <row r="774">
      <c r="A774" t="inlineStr">
        <is>
          <t>30H⁴</t>
        </is>
      </c>
      <c r="B774" t="inlineStr"/>
      <c r="C774" t="inlineStr">
        <is>
          <t>108</t>
        </is>
      </c>
      <c r="D774" t="inlineStr">
        <is>
          <t>1</t>
        </is>
      </c>
      <c r="E774" t="inlineStr">
        <is>
          <t>18</t>
        </is>
      </c>
      <c r="F774" t="inlineStr">
        <is>
          <t>12</t>
        </is>
      </c>
      <c r="G774" t="inlineStr">
        <is>
          <t>0</t>
        </is>
      </c>
      <c r="H774" t="inlineStr">
        <is>
          <t>6³, 30³</t>
        </is>
      </c>
      <c r="I774" t="n">
        <v>6</v>
      </c>
      <c r="J774" t="inlineStr">
        <is>
          <t>1⁶, 4³</t>
        </is>
      </c>
      <c r="K774">
        <f>HYPERLINK("CSG0.html#group10G0", "10G⁰"), =HYPERLINK("CSG0.html#group30A0", "30A⁰"), =HYPERLINK("CSG2.html#group30E2", "30E²")</f>
        <v/>
      </c>
      <c r="L774">
        <f>HYPERLINK("CSG9.html#group30R9", "30R⁹"), =HYPERLINK("CSG9.html#group60M9", "60M⁹"), =HYPERLINK("CSG11.html#group30J11", "30J¹¹"), =HYPERLINK("CSG11.html#group60P11", "60P¹¹"), =HYPERLINK("CSG11.html#group60T11", "60T¹¹"), =HYPERLINK("CSG11.html#group60V11", "60V¹¹"), =HYPERLINK("CSG13.html#group30H13", "30H¹³"), =HYPERLINK("CSG13.html#group60V13", "60V¹³"), =HYPERLINK("CSG13.html#group60AB13", "60AB¹³"), =HYPERLINK("CSG13.html#group60AG13", "60AG¹³"), =HYPERLINK("CSG15.html#group60B15", "60B¹⁵"), =HYPERLINK("CSG20.html#group90F20", "90F²⁰")</f>
        <v/>
      </c>
      <c r="M774">
        <f>HYPERLINK("CSG0.html#group30A0", "30A⁰"), =HYPERLINK("CSG0.html#group15B0", "15B⁰"), =HYPERLINK("CSG0.html#group10G0", "10G⁰"), =HYPERLINK("CSG2.html#group30E2", "30E²"), =HYPERLINK("CSG0.html#group5B0", "5B⁰"), =HYPERLINK("CSG0.html#group10C0", "10C⁰"), =HYPERLINK("CSG0.html#group2B0", "2B⁰"), =HYPERLINK("CSG0.html#group3A0", "3A⁰"), =HYPERLINK("CSG0.html#group1A0", "1A⁰"), =HYPERLINK("CSG0.html#group6D0", "6D⁰"), =HYPERLINK("CSG0.html#group10B0", "10B⁰")</f>
        <v/>
      </c>
      <c r="N774">
        <f>HYPERLINK("CSG11.html#group30J11", "30J¹¹"), =HYPERLINK("CSG13.html#group60AB13", "60AB¹³"), =HYPERLINK("CSG21.html#group60X21", "60X²¹"), =HYPERLINK("CSG23.html#group60R23", "60R²³"), =HYPERLINK("CSG21.html#group30H21", "30H²¹"), =HYPERLINK("CSG20.html#group90F20", "90F²⁰"), =HYPERLINK("CSG9.html#group30R9", "30R⁹"), =HYPERLINK("CSG11.html#group60T11", "60T¹¹"), =HYPERLINK("CSG21.html#group120O21", "120O²¹"), =HYPERLINK("CSG23.html#group60N23", "60N²³"), =HYPERLINK("CSG23.html#group60O23", "60O²³"), =HYPERLINK("CSG15.html#group60B15", "60B¹⁵"), =HYPERLINK("CSG23.html#group60P23", "60P²³"), =HYPERLINK("CSG11.html#group60V11", "60V¹¹"), =HYPERLINK("CSG9.html#group60M9", "60M⁹"), =HYPERLINK("CSG11.html#group60P11", "60P¹¹"), =HYPERLINK("CSG13.html#group60AG13", "60AG¹³"), =HYPERLINK("CSG23.html#group60S23", "60S²³"), =HYPERLINK("CSG13.html#group60V13", "60V¹³"), =HYPERLINK("CSG13.html#group30H13", "30H¹³")</f>
        <v/>
      </c>
    </row>
    <row r="775">
      <c r="A775" t="inlineStr">
        <is>
          <t>30I⁴</t>
        </is>
      </c>
      <c r="B775" t="inlineStr"/>
      <c r="C775" t="inlineStr">
        <is>
          <t>108</t>
        </is>
      </c>
      <c r="D775" t="inlineStr">
        <is>
          <t>1</t>
        </is>
      </c>
      <c r="E775" t="inlineStr">
        <is>
          <t>54</t>
        </is>
      </c>
      <c r="F775" t="inlineStr">
        <is>
          <t>8</t>
        </is>
      </c>
      <c r="G775" t="inlineStr">
        <is>
          <t>0</t>
        </is>
      </c>
      <c r="H775" t="inlineStr">
        <is>
          <t>3², 6², 15², 30²</t>
        </is>
      </c>
      <c r="I775" t="n">
        <v>8</v>
      </c>
      <c r="J775" t="inlineStr">
        <is>
          <t>1⁶, 2⁶, 4³, 8³</t>
        </is>
      </c>
      <c r="K775">
        <f>HYPERLINK("CSG0.html#group15C0", "15C⁰"), =HYPERLINK("CSG2.html#group30E2", "30E²")</f>
        <v/>
      </c>
      <c r="L775">
        <f>HYPERLINK("CSG9.html#group30Q9", "30Q⁹"), =HYPERLINK("CSG9.html#group30R9", "30R⁹"), =HYPERLINK("CSG9.html#group60N9", "60N⁹"), =HYPERLINK("CSG11.html#group30H11", "30H¹¹"), =HYPERLINK("CSG11.html#group30K11", "30K¹¹"), =HYPERLINK("CSG11.html#group60Q11", "60Q¹¹"), =HYPERLINK("CSG11.html#group60U11", "60U¹¹"), =HYPERLINK("CSG13.html#group30I13", "30I¹³"), =HYPERLINK("CSG13.html#group60R13", "60R¹³"), =HYPERLINK("CSG13.html#group60AC13", "60AC¹³"), =HYPERLINK("CSG15.html#group60F15", "60F¹⁵"), =HYPERLINK("CSG20.html#group90G20", "90G²⁰"), =HYPERLINK("CSG22.html#group90E22", "90E²²")</f>
        <v/>
      </c>
      <c r="M775">
        <f>HYPERLINK("CSG0.html#group15B0", "15B⁰"), =HYPERLINK("CSG2.html#group30E2", "30E²"), =HYPERLINK("CSG0.html#group5B0", "5B⁰"), =HYPERLINK("CSG0.html#group10C0", "10C⁰"), =HYPERLINK("CSG0.html#group2B0", "2B⁰"), =HYPERLINK("CSG0.html#group3A0", "3A⁰"), =HYPERLINK("CSG0.html#group1A0", "1A⁰"), =HYPERLINK("CSG0.html#group6D0", "6D⁰"), =HYPERLINK("CSG0.html#group15C0", "15C⁰")</f>
        <v/>
      </c>
      <c r="N775">
        <f>HYPERLINK("CSG11.html#group60U11", "60U¹¹"), =HYPERLINK("CSG23.html#group30L23", "30L²³"), =HYPERLINK("CSG21.html#group60X21", "60X²¹"), =HYPERLINK("CSG21.html#group30H21", "30H²¹"), =HYPERLINK("CSG20.html#group90G20", "90G²⁰"), =HYPERLINK("CSG23.html#group120S23", "120S²³"), =HYPERLINK("CSG9.html#group30R9", "30R⁹"), =HYPERLINK("CSG21.html#group60W21", "60W²¹"), =HYPERLINK("CSG15.html#group60F15", "60F¹⁵"), =HYPERLINK("CSG19.html#group30C19", "30C¹⁹"), =HYPERLINK("CSG23.html#group120R23", "120R²³"), =HYPERLINK("CSG9.html#group60N9", "60N⁹"), =HYPERLINK("CSG23.html#group60Q23", "60Q²³"), =HYPERLINK("CSG11.html#group30H11", "30H¹¹"), =HYPERLINK("CSG13.html#group30I13", "30I¹³"), =HYPERLINK("CSG13.html#group60R13", "60R¹³"), =HYPERLINK("CSG23.html#group60O23", "60O²³"), =HYPERLINK("CSG13.html#group60AC13", "60AC¹³"), =HYPERLINK("CSG22.html#group90E22", "90E²²"), =HYPERLINK("CSG23.html#group60P23", "60P²³"), =HYPERLINK("CSG23.html#group120Q23", "120Q²³"), =HYPERLINK("CSG9.html#group30Q9", "30Q⁹"), =HYPERLINK("CSG11.html#group30K11", "30K¹¹"), =HYPERLINK("CSG11.html#group60Q11", "60Q¹¹"), =HYPERLINK("CSG21.html#group30G21", "30G²¹"), =HYPERLINK("CSG23.html#group60S23", "60S²³")</f>
        <v/>
      </c>
    </row>
    <row r="776">
      <c r="A776" t="inlineStr">
        <is>
          <t>32A⁴</t>
        </is>
      </c>
      <c r="B776" t="inlineStr"/>
      <c r="C776" t="inlineStr">
        <is>
          <t>48</t>
        </is>
      </c>
      <c r="D776" t="inlineStr">
        <is>
          <t>1</t>
        </is>
      </c>
      <c r="E776" t="inlineStr">
        <is>
          <t>24</t>
        </is>
      </c>
      <c r="F776" t="inlineStr">
        <is>
          <t>0</t>
        </is>
      </c>
      <c r="G776" t="inlineStr">
        <is>
          <t>0</t>
        </is>
      </c>
      <c r="H776" t="inlineStr">
        <is>
          <t>16¹, 32¹</t>
        </is>
      </c>
      <c r="I776" t="n">
        <v>2</v>
      </c>
      <c r="J776" t="inlineStr">
        <is>
          <t>2⁸, 8¹</t>
        </is>
      </c>
      <c r="K776">
        <f>HYPERLINK("CSG2.html#group16B2", "16B²")</f>
        <v/>
      </c>
      <c r="L776">
        <f>HYPERLINK("CSG7.html#group32D7", "32D⁷"), =HYPERLINK("CSG7.html#group32K7", "32K⁷"), =HYPERLINK("CSG12.html#group96A12", "96A¹²"), =HYPERLINK("CSG15.html#group96K15", "96K¹⁵"), =HYPERLINK("CSG20.html#group160A20", "160A²⁰"), =HYPERLINK("CSG23.html#group160C23", "160C²³")</f>
        <v/>
      </c>
      <c r="M776">
        <f>HYPERLINK("CSG0.html#group2B0", "2B⁰"), =HYPERLINK("CSG2.html#group16B2", "16B²"), =HYPERLINK("CSG1.html#group8A1", "8A¹"), =HYPERLINK("CSG0.html#group1A0", "1A⁰"), =HYPERLINK("CSG0.html#group4C0", "4C⁰")</f>
        <v/>
      </c>
      <c r="N776">
        <f>HYPERLINK("CSG15.html#group64E15", "64E¹⁵"), =HYPERLINK("CSG7.html#group32K7", "32K⁷"), =HYPERLINK("CSG15.html#group96K15", "96K¹⁵"), =HYPERLINK("CSG23.html#group160C23", "160C²³"), =HYPERLINK("CSG12.html#group96A12", "96A¹²"), =HYPERLINK("CSG23.html#group96AE23", "96AE²³"), =HYPERLINK("CSG13.html#group32G13", "32G¹³"), =HYPERLINK("CSG23.html#group96AC23", "96AC²³"), =HYPERLINK("CSG23.html#group96Y23", "96Y²³"), =HYPERLINK("CSG20.html#group160A20", "160A²⁰"), =HYPERLINK("CSG23.html#group96W23", "96W²³"), =HYPERLINK("CSG13.html#group32E13", "32E¹³"), =HYPERLINK("CSG7.html#group32D7", "32D⁷"), =HYPERLINK("CSG13.html#group32P13", "32P¹³"), =HYPERLINK("CSG23.html#group96D23", "96D²³"), =HYPERLINK("CSG13.html#group32F13", "32F¹³"), =HYPERLINK("CSG15.html#group64K15", "64K¹⁵"), =HYPERLINK("CSG15.html#group64L15", "64L¹⁵")</f>
        <v/>
      </c>
    </row>
    <row r="777">
      <c r="A777" t="inlineStr">
        <is>
          <t>32B⁴</t>
        </is>
      </c>
      <c r="B777" t="inlineStr"/>
      <c r="C777" t="inlineStr">
        <is>
          <t>48</t>
        </is>
      </c>
      <c r="D777" t="inlineStr">
        <is>
          <t>1</t>
        </is>
      </c>
      <c r="E777" t="inlineStr">
        <is>
          <t>24</t>
        </is>
      </c>
      <c r="F777" t="inlineStr">
        <is>
          <t>0</t>
        </is>
      </c>
      <c r="G777" t="inlineStr">
        <is>
          <t>0</t>
        </is>
      </c>
      <c r="H777" t="inlineStr">
        <is>
          <t>16¹, 32¹</t>
        </is>
      </c>
      <c r="I777" t="n">
        <v>2</v>
      </c>
      <c r="J777" t="inlineStr">
        <is>
          <t>2⁸, 8¹</t>
        </is>
      </c>
      <c r="K777">
        <f>HYPERLINK("CSG2.html#group16B2", "16B²")</f>
        <v/>
      </c>
      <c r="L777">
        <f>HYPERLINK("CSG7.html#group32E7", "32E⁷"), =HYPERLINK("CSG7.html#group32K7", "32K⁷"), =HYPERLINK("CSG12.html#group96B12", "96B¹²"), =HYPERLINK("CSG15.html#group96L15", "96L¹⁵"), =HYPERLINK("CSG20.html#group160B20", "160B²⁰"), =HYPERLINK("CSG23.html#group160D23", "160D²³")</f>
        <v/>
      </c>
      <c r="M777">
        <f>HYPERLINK("CSG0.html#group2B0", "2B⁰"), =HYPERLINK("CSG2.html#group16B2", "16B²"), =HYPERLINK("CSG1.html#group8A1", "8A¹"), =HYPERLINK("CSG0.html#group1A0", "1A⁰"), =HYPERLINK("CSG0.html#group4C0", "4C⁰")</f>
        <v/>
      </c>
      <c r="N777">
        <f>HYPERLINK("CSG23.html#group96Z23", "96Z²³"), =HYPERLINK("CSG7.html#group32K7", "32K⁷"), =HYPERLINK("CSG7.html#group32E7", "32E⁷"), =HYPERLINK("CSG23.html#group96E23", "96E²³"), =HYPERLINK("CSG15.html#group64F15", "64F¹⁵"), =HYPERLINK("CSG12.html#group96B12", "96B¹²"), =HYPERLINK("CSG23.html#group96AC23", "96AC²³"), =HYPERLINK("CSG20.html#group160B20", "160B²⁰"), =HYPERLINK("CSG23.html#group96X23", "96X²³"), =HYPERLINK("CSG13.html#group32H13", "32H¹³"), =HYPERLINK("CSG15.html#group96L15", "96L¹⁵"), =HYPERLINK("CSG23.html#group96AF23", "96AF²³"), =HYPERLINK("CSG13.html#group32P13", "32P¹³"), =HYPERLINK("CSG13.html#group32D13", "32D¹³"), =HYPERLINK("CSG23.html#group160D23", "160D²³"), =HYPERLINK("CSG13.html#group32F13", "32F¹³"), =HYPERLINK("CSG15.html#group64K15", "64K¹⁵"), =HYPERLINK("CSG15.html#group64L15", "64L¹⁵")</f>
        <v/>
      </c>
    </row>
    <row r="778">
      <c r="A778" t="inlineStr">
        <is>
          <t>32C⁴</t>
        </is>
      </c>
      <c r="B778" t="inlineStr"/>
      <c r="C778" t="inlineStr">
        <is>
          <t>96</t>
        </is>
      </c>
      <c r="D778" t="inlineStr">
        <is>
          <t>1</t>
        </is>
      </c>
      <c r="E778" t="inlineStr">
        <is>
          <t>24</t>
        </is>
      </c>
      <c r="F778" t="inlineStr">
        <is>
          <t>0</t>
        </is>
      </c>
      <c r="G778" t="inlineStr">
        <is>
          <t>0</t>
        </is>
      </c>
      <c r="H778" t="inlineStr">
        <is>
          <t>4⁸, 32²</t>
        </is>
      </c>
      <c r="I778" t="n">
        <v>10</v>
      </c>
      <c r="J778" t="inlineStr">
        <is>
          <t>1², 2¹, 4¹, 8²</t>
        </is>
      </c>
      <c r="K778">
        <f>HYPERLINK("CSG1.html#group32C1", "32C¹"), =HYPERLINK("CSG1.html#group32D1", "32D¹"), =HYPERLINK("CSG2.html#group16D2", "16D²")</f>
        <v/>
      </c>
      <c r="L778">
        <f>HYPERLINK("CSG7.html#group32L7", "32L⁷"), =HYPERLINK("CSG11.html#group32H11", "32H¹¹"), =HYPERLINK("CSG20.html#group96A20", "96A²⁰"), =HYPERLINK("CSG23.html#group96AJ23", "96AJ²³")</f>
        <v/>
      </c>
      <c r="M778">
        <f>HYPERLINK("CSG2.html#group16D2", "16D²"), =HYPERLINK("CSG0.html#group16E0", "16E⁰"), =HYPERLINK("CSG1.html#group8C1", "8C¹"), =HYPERLINK("CSG1.html#group32C1", "32C¹"), =HYPERLINK("CSG1.html#group8A1", "8A¹"), =HYPERLINK("CSG0.html#group8D0", "8D⁰"), =HYPERLINK("CSG0.html#group4A0", "4A⁰"), =HYPERLINK("CSG1.html#group16C1", "16C¹"), =HYPERLINK("CSG0.html#group4C0", "4C⁰"), =HYPERLINK("CSG1.html#group32D1", "32D¹"), =HYPERLINK("CSG0.html#group2B0", "2B⁰"), =HYPERLINK("CSG0.html#group4F0", "4F⁰"), =HYPERLINK("CSG0.html#group1A0", "1A⁰")</f>
        <v/>
      </c>
      <c r="N778">
        <f>HYPERLINK("CSG20.html#group96A20", "96A²⁰"), =HYPERLINK("CSG13.html#group32T13", "32T¹³"), =HYPERLINK("CSG23.html#group64A23", "64A²³"), =HYPERLINK("CSG21.html#group32E21", "32E²¹"), =HYPERLINK("CSG11.html#group32H11", "32H¹¹"), =HYPERLINK("CSG23.html#group96AJ23", "96AJ²³"), =HYPERLINK("CSG21.html#group32D21", "32D²¹"), =HYPERLINK("CSG7.html#group32L7", "32L⁷"), =HYPERLINK("CSG19.html#group64A19", "64A¹⁹")</f>
        <v/>
      </c>
    </row>
    <row r="779">
      <c r="A779" t="inlineStr">
        <is>
          <t>33A⁴</t>
        </is>
      </c>
      <c r="B779" t="inlineStr"/>
      <c r="C779" t="inlineStr">
        <is>
          <t>66</t>
        </is>
      </c>
      <c r="D779" t="inlineStr">
        <is>
          <t>2</t>
        </is>
      </c>
      <c r="E779" t="inlineStr">
        <is>
          <t>33</t>
        </is>
      </c>
      <c r="F779" t="inlineStr">
        <is>
          <t>6</t>
        </is>
      </c>
      <c r="G779" t="inlineStr">
        <is>
          <t>0</t>
        </is>
      </c>
      <c r="H779" t="inlineStr">
        <is>
          <t>33²</t>
        </is>
      </c>
      <c r="I779" t="n">
        <v>2</v>
      </c>
      <c r="J779" t="inlineStr">
        <is>
          <t>2¹, 4¹, 10², 20²</t>
        </is>
      </c>
      <c r="K779">
        <f>HYPERLINK("CSG0.html#group3C0", "3C⁰"), =HYPERLINK("CSG1.html#group33A1", "33A¹")</f>
        <v/>
      </c>
      <c r="L779">
        <f>HYPERLINK("CSG8.html#group66B8", "66B⁸"), =HYPERLINK("CSG10.html#group33A10", "33A¹⁰"), =HYPERLINK("CSG11.html#group66A11", "66A¹¹"), =HYPERLINK("CSG12.html#group99A12", "99A¹²"), =HYPERLINK("CSG14.html#group66A14", "66A¹⁴"), =HYPERLINK("CSG14.html#group99A14", "99A¹⁴"), =HYPERLINK("CSG15.html#group99A15", "99A¹⁵"), =HYPERLINK("CSG15.html#group99B15", "99B¹⁵"), =HYPERLINK("CSG19.html#group132B19", "132B¹⁹"), =HYPERLINK("CSG22.html#group33B22", "33B²²")</f>
        <v/>
      </c>
      <c r="M779">
        <f>HYPERLINK("CSG0.html#group11A0", "11A⁰"), =HYPERLINK("CSG0.html#group3C0", "3C⁰"), =HYPERLINK("CSG0.html#group3A0", "3A⁰"), =HYPERLINK("CSG0.html#group1A0", "1A⁰"), =HYPERLINK("CSG1.html#group33A1", "33A¹")</f>
        <v/>
      </c>
      <c r="N779">
        <f>HYPERLINK("CSG12.html#group99A12", "99A¹²"), =HYPERLINK("CSG14.html#group99A14", "99A¹⁴"), =HYPERLINK("CSG19.html#group132A19", "132A¹⁹"), =HYPERLINK("CSG19.html#group132B19", "132B¹⁹"), =HYPERLINK("CSG11.html#group66A11", "66A¹¹"), =HYPERLINK("CSG8.html#group66B8", "66B⁸"), =HYPERLINK("CSG10.html#group33A10", "33A¹⁰"), =HYPERLINK("CSG14.html#group66A14", "66A¹⁴"), =HYPERLINK("CSG15.html#group99B15", "99B¹⁵"), =HYPERLINK("CSG21.html#group66A21", "66A²¹"), =HYPERLINK("CSG24.html#group198A24", "198A²⁴"), =HYPERLINK("CSG15.html#group99A15", "99A¹⁵"), =HYPERLINK("CSG22.html#group33B22", "33B²²")</f>
        <v/>
      </c>
    </row>
    <row r="780">
      <c r="A780" t="inlineStr">
        <is>
          <t>35A⁴</t>
        </is>
      </c>
      <c r="B780" t="inlineStr"/>
      <c r="C780" t="inlineStr">
        <is>
          <t>70</t>
        </is>
      </c>
      <c r="D780" t="inlineStr">
        <is>
          <t>2</t>
        </is>
      </c>
      <c r="E780" t="inlineStr">
        <is>
          <t>35</t>
        </is>
      </c>
      <c r="F780" t="inlineStr">
        <is>
          <t>2</t>
        </is>
      </c>
      <c r="G780" t="inlineStr">
        <is>
          <t>4</t>
        </is>
      </c>
      <c r="H780" t="inlineStr">
        <is>
          <t>35²</t>
        </is>
      </c>
      <c r="I780" t="n">
        <v>2</v>
      </c>
      <c r="J780" t="inlineStr">
        <is>
          <t>2¹, 6², 8¹, 24²</t>
        </is>
      </c>
      <c r="K780">
        <f>HYPERLINK("CSG0.html#group7C0", "7C⁰"), =HYPERLINK("CSG2.html#group35A2", "35A²")</f>
        <v/>
      </c>
      <c r="L780">
        <f>HYPERLINK("CSG9.html#group70B9", "70B⁹"), =HYPERLINK("CSG12.html#group35A12", "35A¹²"), =HYPERLINK("CSG14.html#group35A14", "35A¹⁴"), =HYPERLINK("CSG14.html#group35B14", "35B¹⁴"), =HYPERLINK("CSG14.html#group105A14", "105A¹⁴"), =HYPERLINK("CSG14.html#group105B14", "105B¹⁴"), =HYPERLINK("CSG14.html#group105C14", "105C¹⁴"), =HYPERLINK("CSG15.html#group105A15", "105A¹⁵"), =HYPERLINK("CSG15.html#group105B15", "105B¹⁵"), =HYPERLINK("CSG16.html#group70A16", "70A¹⁶"), =HYPERLINK("CSG16.html#group105A16", "105A¹⁶"), =HYPERLINK("CSG19.html#group35A19", "35A¹⁹"), =HYPERLINK("CSG19.html#group35B19", "35B¹⁹"), =HYPERLINK("CSG21.html#group105A21", "105A²¹"), =HYPERLINK("CSG21.html#group140A21", "140A²¹")</f>
        <v/>
      </c>
      <c r="M780">
        <f>HYPERLINK("CSG0.html#group5A0", "5A⁰"), =HYPERLINK("CSG0.html#group1A0", "1A⁰"), =HYPERLINK("CSG2.html#group35A2", "35A²"), =HYPERLINK("CSG0.html#group7C0", "7C⁰"), =HYPERLINK("CSG0.html#group7A0", "7A⁰")</f>
        <v/>
      </c>
      <c r="N780">
        <f>HYPERLINK("CSG14.html#group105C14", "105C¹⁴"), =HYPERLINK("CSG14.html#group35A14", "35A¹⁴"), =HYPERLINK("CSG16.html#group105A16", "105A¹⁶"), =HYPERLINK("CSG15.html#group105B15", "105B¹⁵"), =HYPERLINK("CSG21.html#group105A21", "105A²¹"), =HYPERLINK("CSG16.html#group70A16", "70A¹⁶"), =HYPERLINK("CSG14.html#group105B14", "105B¹⁴"), =HYPERLINK("CSG15.html#group105A15", "105A¹⁵"), =HYPERLINK("CSG9.html#group70B9", "70B⁹"), =HYPERLINK("CSG14.html#group35B14", "35B¹⁴"), =HYPERLINK("CSG19.html#group35A19", "35A¹⁹"), =HYPERLINK("CSG21.html#group140A21", "140A²¹"), =HYPERLINK("CSG12.html#group35A12", "35A¹²"), =HYPERLINK("CSG19.html#group35B19", "35B¹⁹"), =HYPERLINK("CSG14.html#group105A14", "105A¹⁴")</f>
        <v/>
      </c>
    </row>
    <row r="781">
      <c r="A781" t="inlineStr">
        <is>
          <t>35B⁴</t>
        </is>
      </c>
      <c r="B781" t="inlineStr"/>
      <c r="C781" t="inlineStr">
        <is>
          <t>70</t>
        </is>
      </c>
      <c r="D781" t="inlineStr">
        <is>
          <t>2</t>
        </is>
      </c>
      <c r="E781" t="inlineStr">
        <is>
          <t>70</t>
        </is>
      </c>
      <c r="F781" t="inlineStr">
        <is>
          <t>6</t>
        </is>
      </c>
      <c r="G781" t="inlineStr">
        <is>
          <t>1</t>
        </is>
      </c>
      <c r="H781" t="inlineStr">
        <is>
          <t>35²</t>
        </is>
      </c>
      <c r="I781" t="n">
        <v>2</v>
      </c>
      <c r="J781" t="inlineStr">
        <is>
          <t>4¹, 8², 12², 24⁴</t>
        </is>
      </c>
      <c r="K781">
        <f>HYPERLINK("CSG0.html#group5C0", "5C⁰"), =HYPERLINK("CSG0.html#group7A0", "7A⁰")</f>
        <v/>
      </c>
      <c r="L781">
        <f>HYPERLINK("CSG8.html#group35C8", "35C⁸"), =HYPERLINK("CSG8.html#group70C8", "70C⁸"), =HYPERLINK("CSG9.html#group35B9", "35B⁹"), =HYPERLINK("CSG9.html#group70C9", "70C⁹"), =HYPERLINK("CSG10.html#group35A10", "35A¹⁰"), =HYPERLINK("CSG10.html#group70A10", "70A¹⁰"), =HYPERLINK("CSG11.html#group70A11", "70A¹¹"), =HYPERLINK("CSG13.html#group35A13", "35A¹³"), =HYPERLINK("CSG13.html#group105C13", "105C¹³"), =HYPERLINK("CSG14.html#group35C14", "35C¹⁴"), =HYPERLINK("CSG15.html#group70D15", "70D¹⁵"), =HYPERLINK("CSG18.html#group35A18", "35A¹⁸"), =HYPERLINK("CSG20.html#group140C20", "140C²⁰"), =HYPERLINK("CSG22.html#group105A22", "105A²²")</f>
        <v/>
      </c>
      <c r="M781">
        <f>HYPERLINK("CSG0.html#group5C0", "5C⁰"), =HYPERLINK("CSG0.html#group1A0", "1A⁰"), =HYPERLINK("CSG0.html#group7A0", "7A⁰")</f>
        <v/>
      </c>
      <c r="N781">
        <f>HYPERLINK("CSG22.html#group105A22", "105A²²"), =HYPERLINK("CSG10.html#group35A10", "35A¹⁰"), =HYPERLINK("CSG10.html#group70A10", "70A¹⁰"), =HYPERLINK("CSG15.html#group70D15", "70D¹⁵"), =HYPERLINK("CSG13.html#group35A13", "35A¹³"), =HYPERLINK("CSG14.html#group35C14", "35C¹⁴"), =HYPERLINK("CSG20.html#group140C20", "140C²⁰"), =HYPERLINK("CSG21.html#group70B21", "70B²¹"), =HYPERLINK("CSG19.html#group70D19", "70D¹⁹"), =HYPERLINK("CSG8.html#group70C8", "70C⁸"), =HYPERLINK("CSG18.html#group35A18", "35A¹⁸"), =HYPERLINK("CSG19.html#group140F19", "140F¹⁹"), =HYPERLINK("CSG9.html#group35B9", "35B⁹"), =HYPERLINK("CSG21.html#group70C21", "70C²¹"), =HYPERLINK("CSG19.html#group140G19", "140G¹⁹"), =HYPERLINK("CSG19.html#group140D19", "140D¹⁹"), =HYPERLINK("CSG19.html#group140E19", "140E¹⁹"), =HYPERLINK("CSG9.html#group70C9", "70C⁹"), =HYPERLINK("CSG17.html#group70I17", "70I¹⁷"), =HYPERLINK("CSG21.html#group70D21", "70D²¹"), =HYPERLINK("CSG8.html#group35C8", "35C⁸"), =HYPERLINK("CSG13.html#group105C13", "105C¹³"), =HYPERLINK("CSG11.html#group70A11", "70A¹¹"), =HYPERLINK("CSG19.html#group35B19", "35B¹⁹"), =HYPERLINK("CSG21.html#group70E21", "70E²¹")</f>
        <v/>
      </c>
    </row>
    <row r="782">
      <c r="A782" t="inlineStr">
        <is>
          <t>35C⁴</t>
        </is>
      </c>
      <c r="B782" t="inlineStr"/>
      <c r="C782" t="inlineStr">
        <is>
          <t>84</t>
        </is>
      </c>
      <c r="D782" t="inlineStr">
        <is>
          <t>2</t>
        </is>
      </c>
      <c r="E782" t="inlineStr">
        <is>
          <t>42</t>
        </is>
      </c>
      <c r="F782" t="inlineStr">
        <is>
          <t>8</t>
        </is>
      </c>
      <c r="G782" t="inlineStr">
        <is>
          <t>0</t>
        </is>
      </c>
      <c r="H782" t="inlineStr">
        <is>
          <t>7², 35²</t>
        </is>
      </c>
      <c r="I782" t="n">
        <v>4</v>
      </c>
      <c r="J782" t="inlineStr">
        <is>
          <t>2², 6⁴, 8¹, 24²</t>
        </is>
      </c>
      <c r="K782">
        <f>HYPERLINK("CSG2.html#group35C2", "35C²")</f>
        <v/>
      </c>
      <c r="L782">
        <f>HYPERLINK("CSG9.html#group70E9", "70E⁹"), =HYPERLINK("CSG11.html#group35A11", "35A¹¹"), =HYPERLINK("CSG13.html#group70A13", "70A¹³"), =HYPERLINK("CSG14.html#group35D14", "35D¹⁴"), =HYPERLINK("CSG14.html#group105D14", "105D¹⁴"), =HYPERLINK("CSG16.html#group70F16", "70F¹⁶"), =HYPERLINK("CSG17.html#group35B17", "35B¹⁷"), =HYPERLINK("CSG23.html#group140G23", "140G²³")</f>
        <v/>
      </c>
      <c r="M782">
        <f>HYPERLINK("CSG2.html#group35C2", "35C²"), =HYPERLINK("CSG0.html#group5B0", "5B⁰"), =HYPERLINK("CSG0.html#group1A0", "1A⁰"), =HYPERLINK("CSG0.html#group7A0", "7A⁰")</f>
        <v/>
      </c>
      <c r="N782">
        <f>HYPERLINK("CSG14.html#group105D14", "105D¹⁴"), =HYPERLINK("CSG11.html#group35A11", "35A¹¹"), =HYPERLINK("CSG14.html#group35D14", "35D¹⁴"), =HYPERLINK("CSG23.html#group140E23", "140E²³"), =HYPERLINK("CSG16.html#group70F16", "70F¹⁶"), =HYPERLINK("CSG17.html#group35B17", "35B¹⁷"), =HYPERLINK("CSG23.html#group140F23", "140F²³"), =HYPERLINK("CSG13.html#group70A13", "70A¹³"), =HYPERLINK("CSG9.html#group70E9", "70E⁹"), =HYPERLINK("CSG23.html#group140G23", "140G²³")</f>
        <v/>
      </c>
    </row>
    <row r="783">
      <c r="A783" t="inlineStr">
        <is>
          <t>36A⁴</t>
        </is>
      </c>
      <c r="B783" t="inlineStr"/>
      <c r="C783" t="inlineStr">
        <is>
          <t>48</t>
        </is>
      </c>
      <c r="D783" t="inlineStr">
        <is>
          <t>1</t>
        </is>
      </c>
      <c r="E783" t="inlineStr">
        <is>
          <t>4</t>
        </is>
      </c>
      <c r="F783" t="inlineStr">
        <is>
          <t>0</t>
        </is>
      </c>
      <c r="G783" t="inlineStr">
        <is>
          <t>0</t>
        </is>
      </c>
      <c r="H783" t="inlineStr">
        <is>
          <t>12¹, 36¹</t>
        </is>
      </c>
      <c r="I783" t="n">
        <v>2</v>
      </c>
      <c r="J783" t="inlineStr">
        <is>
          <t>1², 2¹</t>
        </is>
      </c>
      <c r="K783">
        <f>HYPERLINK("CSG0.html#group12B0", "12B⁰"), =HYPERLINK("CSG2.html#group18B2", "18B²")</f>
        <v/>
      </c>
      <c r="L783">
        <f>HYPERLINK("CSG10.html#group36B10", "36B¹⁰"), =HYPERLINK("CSG10.html#group36C10", "36C¹⁰"), =HYPERLINK("CSG10.html#group36D10", "36D¹⁰"), =HYPERLINK("CSG10.html#group36G10", "36G¹⁰"), =HYPERLINK("CSG10.html#group36I10", "36I¹⁰"), =HYPERLINK("CSG13.html#group36A13", "36A¹³"), =HYPERLINK("CSG20.html#group180A20", "180A²⁰"), =HYPERLINK("CSG23.html#group180D23", "180D²³")</f>
        <v/>
      </c>
      <c r="M783">
        <f>HYPERLINK("CSG0.html#group3B0", "3B⁰"), =HYPERLINK("CSG0.html#group2A0", "2A⁰"), =HYPERLINK("CSG2.html#group18B2", "18B²"), =HYPERLINK("CSG1.html#group9A1", "9A¹"), =HYPERLINK("CSG0.html#group1A0", "1A⁰"), =HYPERLINK("CSG0.html#group6C0", "6C⁰"), =HYPERLINK("CSG0.html#group12B0", "12B⁰")</f>
        <v/>
      </c>
      <c r="N783">
        <f>HYPERLINK("CSG10.html#group36B10", "36B¹⁰"), =HYPERLINK("CSG10.html#group36D10", "36D¹⁰"), =HYPERLINK("CSG10.html#group36I10", "36I¹⁰"), =HYPERLINK("CSG13.html#group36A13", "36A¹³"), =HYPERLINK("CSG20.html#group180A20", "180A²⁰"), =HYPERLINK("CSG23.html#group180D23", "180D²³"), =HYPERLINK("CSG19.html#group36D19", "36D¹⁹"), =HYPERLINK("CSG10.html#group36G10", "36G¹⁰"), =HYPERLINK("CSG10.html#group36C10", "36C¹⁰")</f>
        <v/>
      </c>
    </row>
    <row r="784">
      <c r="A784" t="inlineStr">
        <is>
          <t>36B⁴</t>
        </is>
      </c>
      <c r="B784" t="inlineStr"/>
      <c r="C784" t="inlineStr">
        <is>
          <t>48</t>
        </is>
      </c>
      <c r="D784" t="inlineStr">
        <is>
          <t>1</t>
        </is>
      </c>
      <c r="E784" t="inlineStr">
        <is>
          <t>8</t>
        </is>
      </c>
      <c r="F784" t="inlineStr">
        <is>
          <t>0</t>
        </is>
      </c>
      <c r="G784" t="inlineStr">
        <is>
          <t>0</t>
        </is>
      </c>
      <c r="H784" t="inlineStr">
        <is>
          <t>12¹, 36¹</t>
        </is>
      </c>
      <c r="I784" t="n">
        <v>2</v>
      </c>
      <c r="J784" t="inlineStr">
        <is>
          <t>2⁴</t>
        </is>
      </c>
      <c r="K784">
        <f>HYPERLINK("CSG0.html#group12B0", "12B⁰"), =HYPERLINK("CSG2.html#group18C2", "18C²")</f>
        <v/>
      </c>
      <c r="L784">
        <f>HYPERLINK("CSG10.html#group36A10", "36A¹⁰"), =HYPERLINK("CSG10.html#group36D10", "36D¹⁰"), =HYPERLINK("CSG10.html#group36E10", "36E¹⁰"), =HYPERLINK("CSG10.html#group36F10", "36F¹⁰"), =HYPERLINK("CSG13.html#group36B13", "36B¹³"), =HYPERLINK("CSG20.html#group180B20", "180B²⁰"), =HYPERLINK("CSG23.html#group180H23", "180H²³")</f>
        <v/>
      </c>
      <c r="M784">
        <f>HYPERLINK("CSG0.html#group3B0", "3B⁰"), =HYPERLINK("CSG0.html#group2A0", "2A⁰"), =HYPERLINK("CSG0.html#group12B0", "12B⁰"), =HYPERLINK("CSG0.html#group1A0", "1A⁰"), =HYPERLINK("CSG0.html#group6C0", "6C⁰"), =HYPERLINK("CSG2.html#group18C2", "18C²")</f>
        <v/>
      </c>
      <c r="N784">
        <f>HYPERLINK("CSG20.html#group180B20", "180B²⁰"), =HYPERLINK("CSG10.html#group36D10", "36D¹⁰"), =HYPERLINK("CSG13.html#group36B13", "36B¹³"), =HYPERLINK("CSG23.html#group180H23", "180H²³"), =HYPERLINK("CSG10.html#group36A10", "36A¹⁰"), =HYPERLINK("CSG10.html#group36F10", "36F¹⁰"), =HYPERLINK("CSG10.html#group36E10", "36E¹⁰"), =HYPERLINK("CSG19.html#group36C19", "36C¹⁹")</f>
        <v/>
      </c>
    </row>
    <row r="785">
      <c r="A785" t="inlineStr">
        <is>
          <t>36C⁴</t>
        </is>
      </c>
      <c r="B785" t="inlineStr"/>
      <c r="C785" t="inlineStr">
        <is>
          <t>48</t>
        </is>
      </c>
      <c r="D785" t="inlineStr">
        <is>
          <t>1</t>
        </is>
      </c>
      <c r="E785" t="inlineStr">
        <is>
          <t>16</t>
        </is>
      </c>
      <c r="F785" t="inlineStr">
        <is>
          <t>0</t>
        </is>
      </c>
      <c r="G785" t="inlineStr">
        <is>
          <t>0</t>
        </is>
      </c>
      <c r="H785" t="inlineStr">
        <is>
          <t>12¹, 36¹</t>
        </is>
      </c>
      <c r="I785" t="n">
        <v>2</v>
      </c>
      <c r="J785" t="inlineStr">
        <is>
          <t>2⁴, 4²</t>
        </is>
      </c>
      <c r="K785">
        <f>HYPERLINK("CSG1.html#group9A1", "9A¹"), =HYPERLINK("CSG1.html#group12A1", "12A¹")</f>
        <v/>
      </c>
      <c r="L785">
        <f>HYPERLINK("CSG7.html#group36A7", "36A⁷"), =HYPERLINK("CSG8.html#group72A8", "72A⁸"), =HYPERLINK("CSG10.html#group36H10", "36H¹⁰"), =HYPERLINK("CSG10.html#group36K10", "36K¹⁰"), =HYPERLINK("CSG10.html#group36L10", "36L¹⁰"), =HYPERLINK("CSG15.html#group72E15", "72E¹⁵"), =HYPERLINK("CSG20.html#group180C20", "180C²⁰"), =HYPERLINK("CSG23.html#group180J23", "180J²³")</f>
        <v/>
      </c>
      <c r="M785">
        <f>HYPERLINK("CSG0.html#group3B0", "3B⁰"), =HYPERLINK("CSG0.html#group1A0", "1A⁰"), =HYPERLINK("CSG0.html#group4A0", "4A⁰"), =HYPERLINK("CSG1.html#group12A1", "12A¹"), =HYPERLINK("CSG1.html#group9A1", "9A¹")</f>
        <v/>
      </c>
      <c r="N785">
        <f>HYPERLINK("CSG21.html#group72F21", "72F²¹"), =HYPERLINK("CSG15.html#group72A15", "72A¹⁵"), =HYPERLINK("CSG13.html#group36A13", "36A¹³"), =HYPERLINK("CSG10.html#group36H10", "36H¹⁰"), =HYPERLINK("CSG10.html#group36L10", "36L¹⁰"), =HYPERLINK("CSG8.html#group72A8", "72A⁸"), =HYPERLINK("CSG16.html#group144A16", "144A¹⁶"), =HYPERLINK("CSG22.html#group72B22", "72B²²"), =HYPERLINK("CSG19.html#group36B19", "36B¹⁹"), =HYPERLINK("CSG22.html#group72D22", "72D²²"), =HYPERLINK("CSG10.html#group36K10", "36K¹⁰"), =HYPERLINK("CSG21.html#group72H21", "72H²¹"), =HYPERLINK("CSG22.html#group72C22", "72C²²"), =HYPERLINK("CSG20.html#group72B20", "72B²⁰"), =HYPERLINK("CSG23.html#group180J23", "180J²³"), =HYPERLINK("CSG7.html#group36A7", "36A⁷"), =HYPERLINK("CSG20.html#group180C20", "180C²⁰"), =HYPERLINK("CSG15.html#group72B15", "72B¹⁵"), =HYPERLINK("CSG15.html#group72E15", "72E¹⁵"), =HYPERLINK("CSG19.html#group36E19", "36E¹⁹"), =HYPERLINK("CSG19.html#group36I19", "36I¹⁹"), =HYPERLINK("CSG19.html#group36F19", "36F¹⁹"), =HYPERLINK("CSG19.html#group36J19", "36J¹⁹")</f>
        <v/>
      </c>
    </row>
    <row r="786">
      <c r="A786" t="inlineStr">
        <is>
          <t>36D⁴</t>
        </is>
      </c>
      <c r="B786" t="inlineStr"/>
      <c r="C786" t="inlineStr">
        <is>
          <t>54</t>
        </is>
      </c>
      <c r="D786" t="inlineStr">
        <is>
          <t>1</t>
        </is>
      </c>
      <c r="E786" t="inlineStr">
        <is>
          <t>27</t>
        </is>
      </c>
      <c r="F786" t="inlineStr">
        <is>
          <t>0</t>
        </is>
      </c>
      <c r="G786" t="inlineStr">
        <is>
          <t>0</t>
        </is>
      </c>
      <c r="H786" t="inlineStr">
        <is>
          <t>9², 36¹</t>
        </is>
      </c>
      <c r="I786" t="n">
        <v>3</v>
      </c>
      <c r="J786" t="inlineStr">
        <is>
          <t>1³, 2³, 6³</t>
        </is>
      </c>
      <c r="K786">
        <f>HYPERLINK("CSG1.html#group12B1", "12B¹"), =HYPERLINK("CSG1.html#group18E1", "18E¹")</f>
        <v/>
      </c>
      <c r="L786">
        <f>HYPERLINK("CSG7.html#group36C7", "36C⁷"), =HYPERLINK("CSG7.html#group36D7", "36D⁷"), =HYPERLINK("CSG8.html#group36B8", "36B⁸"), =HYPERLINK("CSG8.html#group36C8", "36C⁸"), =HYPERLINK("CSG8.html#group36F8", "36F⁸"), =HYPERLINK("CSG8.html#group72B8", "72B⁸"), =HYPERLINK("CSG8.html#group72C8", "72C⁸"), =HYPERLINK("CSG8.html#group72E8", "72E⁸"), =HYPERLINK("CSG10.html#group36N10", "36N¹⁰"), =HYPERLINK("CSG22.html#group180A22", "180A²²")</f>
        <v/>
      </c>
      <c r="M786">
        <f>HYPERLINK("CSG0.html#group4B0", "4B⁰"), =HYPERLINK("CSG0.html#group9A0", "9A⁰"), =HYPERLINK("CSG1.html#group12B1", "12B¹"), =HYPERLINK("CSG0.html#group2B0", "2B⁰"), =HYPERLINK("CSG1.html#group18E1", "18E¹"), =HYPERLINK("CSG0.html#group3A0", "3A⁰"), =HYPERLINK("CSG0.html#group1A0", "1A⁰"), =HYPERLINK("CSG0.html#group6D0", "6D⁰")</f>
        <v/>
      </c>
      <c r="N786">
        <f>HYPERLINK("CSG15.html#group72G15", "72G¹⁵"), =HYPERLINK("CSG16.html#group72G16", "72G¹⁶"), =HYPERLINK("CSG15.html#group36K15", "36K¹⁵"), =HYPERLINK("CSG8.html#group36C8", "36C⁸"), =HYPERLINK("CSG10.html#group36N10", "36N¹⁰"), =HYPERLINK("CSG16.html#group72I16", "72I¹⁶"), =HYPERLINK("CSG16.html#group72P16", "72P¹⁶"), =HYPERLINK("CSG15.html#group36I15", "36I¹⁵"), =HYPERLINK("CSG8.html#group72B8", "72B⁸"), =HYPERLINK("CSG15.html#group72F15", "72F¹⁵"), =HYPERLINK("CSG16.html#group144D16", "144D¹⁶"), =HYPERLINK("CSG22.html#group72G22", "72G²²"), =HYPERLINK("CSG16.html#group72B16", "72B¹⁶"), =HYPERLINK("CSG16.html#group72A16", "72A¹⁶"), =HYPERLINK("CSG15.html#group36D15", "36D¹⁵"), =HYPERLINK("CSG16.html#group72E16", "72E¹⁶"), =HYPERLINK("CSG16.html#group72F16", "72F¹⁶"), =HYPERLINK("CSG17.html#group72K17", "72K¹⁷"), =HYPERLINK("CSG16.html#group36E16", "36E¹⁶"), =HYPERLINK("CSG17.html#group72C17", "72C¹⁷"), =HYPERLINK("CSG15.html#group36B15", "36B¹⁵"), =HYPERLINK("CSG16.html#group72K16", "72K¹⁶"), =HYPERLINK("CSG13.html#group36C13", "36C¹³"), =HYPERLINK("CSG16.html#group72H16", "72H¹⁶"), =HYPERLINK("CSG17.html#group144B17", "144B¹⁷"), =HYPERLINK("CSG15.html#group72S15", "72S¹⁵"), =HYPERLINK("CSG16.html#group144G16", "144G¹⁶"), =HYPERLINK("CSG17.html#group144A17", "144A¹⁷"), =HYPERLINK("CSG17.html#group144C17", "144C¹⁷"), =HYPERLINK("CSG8.html#group72E8", "72E⁸"), =HYPERLINK("CSG16.html#group72Q16", "72Q¹⁶"), =HYPERLINK("CSG22.html#group36F22", "36F²²"), =HYPERLINK("CSG8.html#group36B8", "36B⁸"), =HYPERLINK("CSG22.html#group180A22", "180A²²"), =HYPERLINK("CSG16.html#group72J16", "72J¹⁶"), =HYPERLINK("CSG7.html#group36D7", "36D⁷"), =HYPERLINK("CSG16.html#group144H16", "144H¹⁶"), =HYPERLINK("CSG17.html#group72E17", "72E¹⁷"), =HYPERLINK("CSG15.html#group72R15", "72R¹⁵"), =HYPERLINK("CSG16.html#group144C16", "144C¹⁶"), =HYPERLINK("CSG7.html#group36C7", "36C⁷"), =HYPERLINK("CSG16.html#group144B16", "144B¹⁶"), =HYPERLINK("CSG16.html#group36B16", "36B¹⁶"), =HYPERLINK("CSG19.html#group36O19", "36O¹⁹"), =HYPERLINK("CSG19.html#group36Q19", "36Q¹⁹"), =HYPERLINK("CSG16.html#group72C16", "72C¹⁶"), =HYPERLINK("CSG8.html#group72C8", "72C⁸"), =HYPERLINK("CSG22.html#group72K22", "72K²²"), =HYPERLINK("CSG16.html#group36A16", "36A¹⁶"), =HYPERLINK("CSG22.html#group72H22", "72H²²"), =HYPERLINK("CSG22.html#group36I22", "36I²²"), =HYPERLINK("CSG8.html#group36F8", "36F⁸"), =HYPERLINK("CSG19.html#group36M19", "36M¹⁹"), =HYPERLINK("CSG22.html#group36D22", "36D²²"), =HYPERLINK("CSG16.html#group72D16", "72D¹⁶"), =HYPERLINK("CSG16.html#group144E16", "144E¹⁶")</f>
        <v/>
      </c>
    </row>
    <row r="787">
      <c r="A787" t="inlineStr">
        <is>
          <t>36E⁴</t>
        </is>
      </c>
      <c r="B787" t="inlineStr"/>
      <c r="C787" t="inlineStr">
        <is>
          <t>54</t>
        </is>
      </c>
      <c r="D787" t="inlineStr">
        <is>
          <t>2</t>
        </is>
      </c>
      <c r="E787" t="inlineStr">
        <is>
          <t>27</t>
        </is>
      </c>
      <c r="F787" t="inlineStr">
        <is>
          <t>2</t>
        </is>
      </c>
      <c r="G787" t="inlineStr">
        <is>
          <t>0</t>
        </is>
      </c>
      <c r="H787" t="inlineStr">
        <is>
          <t>18¹, 36¹</t>
        </is>
      </c>
      <c r="I787" t="n">
        <v>2</v>
      </c>
      <c r="J787" t="inlineStr">
        <is>
          <t>2⁹, 6⁶</t>
        </is>
      </c>
      <c r="K787">
        <f>HYPERLINK("CSG1.html#group12C1", "12C¹"), =HYPERLINK("CSG1.html#group18E1", "18E¹")</f>
        <v/>
      </c>
      <c r="L787">
        <f>HYPERLINK("CSG7.html#group36E7", "36E⁷"), =HYPERLINK("CSG7.html#group36F7", "36F⁷"), =HYPERLINK("CSG7.html#group36G7", "36G⁷"), =HYPERLINK("CSG8.html#group36A8", "36A⁸"), =HYPERLINK("CSG8.html#group36F8", "36F⁸"), =HYPERLINK("CSG8.html#group36E8", "36E⁸"), =HYPERLINK("CSG8.html#group36G8", "36G⁸"), =HYPERLINK("CSG10.html#group36P10", "36P¹⁰"), =HYPERLINK("CSG11.html#group36G11", "36G¹¹"), =HYPERLINK("CSG22.html#group180B22", "180B²²")</f>
        <v/>
      </c>
      <c r="M787">
        <f>HYPERLINK("CSG0.html#group2B0", "2B⁰"), =HYPERLINK("CSG0.html#group9A0", "9A⁰"), =HYPERLINK("CSG1.html#group18E1", "18E¹"), =HYPERLINK("CSG0.html#group3A0", "3A⁰"), =HYPERLINK("CSG0.html#group1A0", "1A⁰"), =HYPERLINK("CSG0.html#group6D0", "6D⁰"), =HYPERLINK("CSG1.html#group12C1", "12C¹")</f>
        <v/>
      </c>
      <c r="N787">
        <f>HYPERLINK("CSG8.html#group36E8", "36E⁸"), =HYPERLINK("CSG15.html#group72V15", "72V¹⁵"), =HYPERLINK("CSG15.html#group36K15", "36K¹⁵"), =HYPERLINK("CSG17.html#group72I17", "72I¹⁷"), =HYPERLINK("CSG16.html#group72R16", "72R¹⁶"), =HYPERLINK("CSG15.html#group36I15", "36I¹⁵"), =HYPERLINK("CSG15.html#group36A15", "36A¹⁵"), =HYPERLINK("CSG15.html#group36M15", "36M¹⁵"), =HYPERLINK("CSG15.html#group72U15", "72U¹⁵"), =HYPERLINK("CSG21.html#group36D21", "36D²¹"), =HYPERLINK("CSG8.html#group36G8", "36G⁸"), =HYPERLINK("CSG16.html#group36E16", "36E¹⁶"), =HYPERLINK("CSG10.html#group36P10", "36P¹⁰"), =HYPERLINK("CSG15.html#group36B15", "36B¹⁵"), =HYPERLINK("CSG22.html#group36A22", "36A²²"), =HYPERLINK("CSG19.html#group36S19", "36S¹⁹"), =HYPERLINK("CSG16.html#group72K16", "72K¹⁶"), =HYPERLINK("CSG22.html#group36E22", "36E²²"), =HYPERLINK("CSG19.html#group36R19", "36R¹⁹"), =HYPERLINK("CSG17.html#group72J17", "72J¹⁷"), =HYPERLINK("CSG7.html#group36E7", "36E⁷"), =HYPERLINK("CSG7.html#group36G7", "36G⁷"), =HYPERLINK("CSG15.html#group36J15", "36J¹⁵"), =HYPERLINK("CSG15.html#group36N15", "36N¹⁵"), =HYPERLINK("CSG16.html#group72S16", "72S¹⁶"), =HYPERLINK("CSG15.html#group36C15", "36C¹⁵"), =HYPERLINK("CSG16.html#group72J16", "72J¹⁶"), =HYPERLINK("CSG22.html#group36C22", "36C²²"), =HYPERLINK("CSG7.html#group36F7", "36F⁷"), =HYPERLINK("CSG13.html#group36P13", "36P¹³"), =HYPERLINK("CSG8.html#group36A8", "36A⁸"), =HYPERLINK("CSG22.html#group180B22", "180B²²"), =HYPERLINK("CSG15.html#group72O15", "72O¹⁵"), =HYPERLINK("CSG22.html#group36J22", "36J²²"), =HYPERLINK("CSG15.html#group72N15", "72N¹⁵"), =HYPERLINK("CSG22.html#group36I22", "36I²²"), =HYPERLINK("CSG11.html#group36G11", "36G¹¹"), =HYPERLINK("CSG22.html#group36H22", "36H²²"), =HYPERLINK("CSG19.html#group36T19", "36T¹⁹"), =HYPERLINK("CSG16.html#group36C16", "36C¹⁶"), =HYPERLINK("CSG8.html#group36F8", "36F⁸"), =HYPERLINK("CSG22.html#group36D22", "36D²²"), =HYPERLINK("CSG21.html#group36C21", "36C²¹")</f>
        <v/>
      </c>
    </row>
    <row r="788">
      <c r="A788" t="inlineStr">
        <is>
          <t>36F⁴</t>
        </is>
      </c>
      <c r="B788" t="inlineStr"/>
      <c r="C788" t="inlineStr">
        <is>
          <t>72</t>
        </is>
      </c>
      <c r="D788" t="inlineStr">
        <is>
          <t>1</t>
        </is>
      </c>
      <c r="E788" t="inlineStr">
        <is>
          <t>12</t>
        </is>
      </c>
      <c r="F788" t="inlineStr">
        <is>
          <t>0</t>
        </is>
      </c>
      <c r="G788" t="inlineStr">
        <is>
          <t>0</t>
        </is>
      </c>
      <c r="H788" t="inlineStr">
        <is>
          <t>3², 9², 12¹, 36¹</t>
        </is>
      </c>
      <c r="I788" t="n">
        <v>6</v>
      </c>
      <c r="J788" t="inlineStr">
        <is>
          <t>1⁶, 2³</t>
        </is>
      </c>
      <c r="K788">
        <f>HYPERLINK("CSG0.html#group12E0", "12E⁰"), =HYPERLINK("CSG2.html#group18D2", "18D²")</f>
        <v/>
      </c>
      <c r="L788">
        <f>HYPERLINK("CSG8.html#group36J8", "36J⁸"), =HYPERLINK("CSG8.html#group72F8", "72F⁸"), =HYPERLINK("CSG9.html#group36C9", "36C⁹"), =HYPERLINK("CSG9.html#group72D9", "72D⁹"), =HYPERLINK("CSG10.html#group36Q10", "36Q¹⁰"), =HYPERLINK("CSG10.html#group36R10", "36R¹⁰"), =HYPERLINK("CSG10.html#group72A10", "72A¹⁰"), =HYPERLINK("CSG16.html#group108C16", "108C¹⁶"), =HYPERLINK("CSG16.html#group108A16", "108A¹⁶"), =HYPERLINK("CSG16.html#group108B16", "108B¹⁶")</f>
        <v/>
      </c>
      <c r="M788">
        <f>HYPERLINK("CSG0.html#group3B0", "3B⁰"), =HYPERLINK("CSG2.html#group18D2", "18D²"), =HYPERLINK("CSG0.html#group1A0", "1A⁰"), =HYPERLINK("CSG0.html#group2B0", "2B⁰"), =HYPERLINK("CSG0.html#group9C0", "9C⁰"), =HYPERLINK("CSG0.html#group4B0", "4B⁰"), =HYPERLINK("CSG0.html#group6F0", "6F⁰"), =HYPERLINK("CSG0.html#group12E0", "12E⁰")</f>
        <v/>
      </c>
      <c r="N788">
        <f>HYPERLINK("CSG19.html#group72C19", "72C¹⁹"), =HYPERLINK("CSG19.html#group144E19", "144E¹⁹"), =HYPERLINK("CSG22.html#group36L22", "36L²²"), =HYPERLINK("CSG16.html#group108A16", "108A¹⁶"), =HYPERLINK("CSG19.html#group72E19", "72E¹⁹"), =HYPERLINK("CSG19.html#group36A19", "36A¹⁹"), =HYPERLINK("CSG21.html#group72C21", "72C²¹"), =HYPERLINK("CSG22.html#group72M22", "72M²²"), =HYPERLINK("CSG19.html#group72G19", "72G¹⁹"), =HYPERLINK("CSG16.html#group108B16", "108B¹⁶"), =HYPERLINK("CSG17.html#group36A17", "36A¹⁷"), =HYPERLINK("CSG19.html#group72K19", "72K¹⁹"), =HYPERLINK("CSG8.html#group36J8", "36J⁸"), =HYPERLINK("CSG19.html#group144A19", "144A¹⁹"), =HYPERLINK("CSG10.html#group36Q10", "36Q¹⁰"), =HYPERLINK("CSG19.html#group72A19", "72A¹⁹"), =HYPERLINK("CSG10.html#group72A10", "72A¹⁰"), =HYPERLINK("CSG16.html#group108C16", "108C¹⁶"), =HYPERLINK("CSG17.html#group72O17", "72O¹⁷"), =HYPERLINK("CSG19.html#group72M19", "72M¹⁹"), =HYPERLINK("CSG21.html#group72A21", "72A²¹"), =HYPERLINK("CSG19.html#group36C19", "36C¹⁹"), =HYPERLINK("CSG9.html#group36C9", "36C⁹"), =HYPERLINK("CSG22.html#group36P22", "36P²²"), =HYPERLINK("CSG19.html#group144C19", "144C¹⁹"), =HYPERLINK("CSG21.html#group144G21", "144G²¹"), =HYPERLINK("CSG21.html#group144E21", "144E²¹"), =HYPERLINK("CSG19.html#group144G19", "144G¹⁹"), =HYPERLINK("CSG10.html#group36R10", "36R¹⁰"), =HYPERLINK("CSG19.html#group72I19", "72I¹⁹"), =HYPERLINK("CSG22.html#group72L22", "72L²²"), =HYPERLINK("CSG9.html#group72D9", "72D⁹"), =HYPERLINK("CSG8.html#group72F8", "72F⁸")</f>
        <v/>
      </c>
    </row>
    <row r="789">
      <c r="A789" t="inlineStr">
        <is>
          <t>36G⁴</t>
        </is>
      </c>
      <c r="B789" t="inlineStr"/>
      <c r="C789" t="inlineStr">
        <is>
          <t>72</t>
        </is>
      </c>
      <c r="D789" t="inlineStr">
        <is>
          <t>1</t>
        </is>
      </c>
      <c r="E789" t="inlineStr">
        <is>
          <t>12</t>
        </is>
      </c>
      <c r="F789" t="inlineStr">
        <is>
          <t>0</t>
        </is>
      </c>
      <c r="G789" t="inlineStr">
        <is>
          <t>0</t>
        </is>
      </c>
      <c r="H789" t="inlineStr">
        <is>
          <t>3², 9², 12¹, 36¹</t>
        </is>
      </c>
      <c r="I789" t="n">
        <v>6</v>
      </c>
      <c r="J789" t="inlineStr">
        <is>
          <t>1⁶, 2³</t>
        </is>
      </c>
      <c r="K789">
        <f>HYPERLINK("CSG0.html#group12E0", "12E⁰"), =HYPERLINK("CSG2.html#group18E2", "18E²")</f>
        <v/>
      </c>
      <c r="L789">
        <f>HYPERLINK("CSG8.html#group36K8", "36K⁸"), =HYPERLINK("CSG8.html#group72G8", "72G⁸"), =HYPERLINK("CSG9.html#group36D9", "36D⁹"), =HYPERLINK("CSG9.html#group72E9", "72E⁹"), =HYPERLINK("CSG10.html#group36Q10", "36Q¹⁰"), =HYPERLINK("CSG10.html#group36S10", "36S¹⁰"), =HYPERLINK("CSG10.html#group72B10", "72B¹⁰")</f>
        <v/>
      </c>
      <c r="M789">
        <f>HYPERLINK("CSG0.html#group3B0", "3B⁰"), =HYPERLINK("CSG1.html#group9A1", "9A¹"), =HYPERLINK("CSG2.html#group18E2", "18E²"), =HYPERLINK("CSG0.html#group1A0", "1A⁰"), =HYPERLINK("CSG0.html#group2B0", "2B⁰"), =HYPERLINK("CSG0.html#group4B0", "4B⁰"), =HYPERLINK("CSG0.html#group6F0", "6F⁰"), =HYPERLINK("CSG0.html#group12E0", "12E⁰")</f>
        <v/>
      </c>
      <c r="N789">
        <f>HYPERLINK("CSG9.html#group72E9", "72E⁹"), =HYPERLINK("CSG17.html#group72P17", "72P¹⁷"), =HYPERLINK("CSG19.html#group72H19", "72H¹⁹"), =HYPERLINK("CSG10.html#group36Q10", "36Q¹⁰"), =HYPERLINK("CSG21.html#group144F21", "144F²¹"), =HYPERLINK("CSG19.html#group144H19", "144H¹⁹"), =HYPERLINK("CSG21.html#group72D21", "72D²¹"), =HYPERLINK("CSG22.html#group36Q22", "36Q²²"), =HYPERLINK("CSG19.html#group72B19", "72B¹⁹"), =HYPERLINK("CSG19.html#group72J19", "72J¹⁹"), =HYPERLINK("CSG17.html#group36B17", "36B¹⁷"), =HYPERLINK("CSG10.html#group36S10", "36S¹⁰"), =HYPERLINK("CSG10.html#group72B10", "72B¹⁰"), =HYPERLINK("CSG19.html#group72D19", "72D¹⁹"), =HYPERLINK("CSG19.html#group36B19", "36B¹⁹"), =HYPERLINK("CSG21.html#group72B21", "72B²¹"), =HYPERLINK("CSG19.html#group144D19", "144D¹⁹"), =HYPERLINK("CSG22.html#group36L22", "36L²²"), =HYPERLINK("CSG19.html#group72N19", "72N¹⁹"), =HYPERLINK("CSG8.html#group36K8", "36K⁸"), =HYPERLINK("CSG19.html#group72L19", "72L¹⁹"), =HYPERLINK("CSG21.html#group144H21", "144H²¹"), =HYPERLINK("CSG19.html#group72F19", "72F¹⁹"), =HYPERLINK("CSG19.html#group144F19", "144F¹⁹"), =HYPERLINK("CSG19.html#group144B19", "144B¹⁹"), =HYPERLINK("CSG22.html#group72N22", "72N²²"), =HYPERLINK("CSG19.html#group36D19", "36D¹⁹"), =HYPERLINK("CSG22.html#group72L22", "72L²²"), =HYPERLINK("CSG8.html#group72G8", "72G⁸"), =HYPERLINK("CSG9.html#group36D9", "36D⁹")</f>
        <v/>
      </c>
    </row>
    <row r="790">
      <c r="A790" t="inlineStr">
        <is>
          <t>36H⁴</t>
        </is>
      </c>
      <c r="B790" t="inlineStr"/>
      <c r="C790" t="inlineStr">
        <is>
          <t>72</t>
        </is>
      </c>
      <c r="D790" t="inlineStr">
        <is>
          <t>1</t>
        </is>
      </c>
      <c r="E790" t="inlineStr">
        <is>
          <t>18</t>
        </is>
      </c>
      <c r="F790" t="inlineStr">
        <is>
          <t>4</t>
        </is>
      </c>
      <c r="G790" t="inlineStr">
        <is>
          <t>0</t>
        </is>
      </c>
      <c r="H790" t="inlineStr">
        <is>
          <t>12³, 36¹</t>
        </is>
      </c>
      <c r="I790" t="n">
        <v>4</v>
      </c>
      <c r="J790" t="inlineStr">
        <is>
          <t>2¹, 4¹, 6¹, 12²</t>
        </is>
      </c>
      <c r="K790">
        <f>HYPERLINK("CSG1.html#group12D1", "12D¹"), =HYPERLINK("CSG1.html#group18F1", "18F¹")</f>
        <v/>
      </c>
      <c r="L790">
        <f>HYPERLINK("CSG9.html#group36A9", "36A⁹"), =HYPERLINK("CSG12.html#group36A12", "36A¹²"), =HYPERLINK("CSG13.html#group36E13", "36E¹³"), =HYPERLINK("CSG15.html#group36E15", "36E¹⁵"), =HYPERLINK("CSG15.html#group36G15", "36G¹⁵"), =HYPERLINK("CSG15.html#group36Q15", "36Q¹⁵")</f>
        <v/>
      </c>
      <c r="M790">
        <f>HYPERLINK("CSG1.html#group12D1", "12D¹"), =HYPERLINK("CSG0.html#group6B0", "6B⁰"), =HYPERLINK("CSG0.html#group6E0", "6E⁰"), =HYPERLINK("CSG0.html#group3C0", "3C⁰"), =HYPERLINK("CSG1.html#group18F1", "18F¹"), =HYPERLINK("CSG0.html#group9E0", "9E⁰"), =HYPERLINK("CSG0.html#group3A0", "3A⁰"), =HYPERLINK("CSG0.html#group1A0", "1A⁰")</f>
        <v/>
      </c>
      <c r="N790">
        <f>HYPERLINK("CSG13.html#group36E13", "36E¹³"), =HYPERLINK("CSG12.html#group36A12", "36A¹²"), =HYPERLINK("CSG15.html#group36Q15", "36Q¹⁵"), =HYPERLINK("CSG9.html#group36A9", "36A⁹"), =HYPERLINK("CSG15.html#group36E15", "36E¹⁵"), =HYPERLINK("CSG23.html#group36C23", "36C²³"), =HYPERLINK("CSG15.html#group36G15", "36G¹⁵")</f>
        <v/>
      </c>
    </row>
    <row r="791">
      <c r="A791" t="inlineStr">
        <is>
          <t>36I⁴</t>
        </is>
      </c>
      <c r="B791" t="inlineStr"/>
      <c r="C791" t="inlineStr">
        <is>
          <t>72</t>
        </is>
      </c>
      <c r="D791" t="inlineStr">
        <is>
          <t>1</t>
        </is>
      </c>
      <c r="E791" t="inlineStr">
        <is>
          <t>18</t>
        </is>
      </c>
      <c r="F791" t="inlineStr">
        <is>
          <t>4</t>
        </is>
      </c>
      <c r="G791" t="inlineStr">
        <is>
          <t>0</t>
        </is>
      </c>
      <c r="H791" t="inlineStr">
        <is>
          <t>12³, 36¹</t>
        </is>
      </c>
      <c r="I791" t="n">
        <v>4</v>
      </c>
      <c r="J791" t="inlineStr">
        <is>
          <t>2¹, 4¹, 6¹, 12²</t>
        </is>
      </c>
      <c r="K791">
        <f>HYPERLINK("CSG1.html#group12D1", "12D¹"), =HYPERLINK("CSG1.html#group18F1", "18F¹")</f>
        <v/>
      </c>
      <c r="L791">
        <f>HYPERLINK("CSG9.html#group36A9", "36A⁹"), =HYPERLINK("CSG12.html#group36B12", "36B¹²"), =HYPERLINK("CSG13.html#group36F13", "36F¹³"), =HYPERLINK("CSG15.html#group36E15", "36E¹⁵"), =HYPERLINK("CSG15.html#group36H15", "36H¹⁵"), =HYPERLINK("CSG15.html#group36R15", "36R¹⁵")</f>
        <v/>
      </c>
      <c r="M791">
        <f>HYPERLINK("CSG1.html#group12D1", "12D¹"), =HYPERLINK("CSG0.html#group6B0", "6B⁰"), =HYPERLINK("CSG0.html#group6E0", "6E⁰"), =HYPERLINK("CSG0.html#group3C0", "3C⁰"), =HYPERLINK("CSG1.html#group18F1", "18F¹"), =HYPERLINK("CSG0.html#group9E0", "9E⁰"), =HYPERLINK("CSG0.html#group3A0", "3A⁰"), =HYPERLINK("CSG0.html#group1A0", "1A⁰")</f>
        <v/>
      </c>
      <c r="N791">
        <f>HYPERLINK("CSG12.html#group36B12", "36B¹²"), =HYPERLINK("CSG13.html#group36F13", "36F¹³"), =HYPERLINK("CSG9.html#group36A9", "36A⁹"), =HYPERLINK("CSG15.html#group36H15", "36H¹⁵"), =HYPERLINK("CSG15.html#group36E15", "36E¹⁵"), =HYPERLINK("CSG15.html#group36R15", "36R¹⁵"), =HYPERLINK("CSG23.html#group36B23", "36B²³")</f>
        <v/>
      </c>
    </row>
    <row r="792">
      <c r="A792" t="inlineStr">
        <is>
          <t>36J⁴</t>
        </is>
      </c>
      <c r="B792" t="inlineStr"/>
      <c r="C792" t="inlineStr">
        <is>
          <t>72</t>
        </is>
      </c>
      <c r="D792" t="inlineStr">
        <is>
          <t>1</t>
        </is>
      </c>
      <c r="E792" t="inlineStr">
        <is>
          <t>36</t>
        </is>
      </c>
      <c r="F792" t="inlineStr">
        <is>
          <t>4</t>
        </is>
      </c>
      <c r="G792" t="inlineStr">
        <is>
          <t>0</t>
        </is>
      </c>
      <c r="H792" t="inlineStr">
        <is>
          <t>12³, 36¹</t>
        </is>
      </c>
      <c r="I792" t="n">
        <v>4</v>
      </c>
      <c r="J792" t="inlineStr">
        <is>
          <t>4³, 6², 12⁴</t>
        </is>
      </c>
      <c r="K792">
        <f>HYPERLINK("CSG1.html#group12D1", "12D¹"), =HYPERLINK("CSG1.html#group18G1", "18G¹")</f>
        <v/>
      </c>
      <c r="L792">
        <f>HYPERLINK("CSG9.html#group36E9", "36E⁹"), =HYPERLINK("CSG12.html#group36A12", "36A¹²"), =HYPERLINK("CSG13.html#group36L13", "36L¹³"), =HYPERLINK("CSG15.html#group36H15", "36H¹⁵"), =HYPERLINK("CSG15.html#group36O15", "36O¹⁵"), =HYPERLINK("CSG15.html#group36S15", "36S¹⁵")</f>
        <v/>
      </c>
      <c r="M792">
        <f>HYPERLINK("CSG0.html#group3C0", "3C⁰"), =HYPERLINK("CSG1.html#group12D1", "12D¹"), =HYPERLINK("CSG1.html#group18G1", "18G¹"), =HYPERLINK("CSG0.html#group6B0", "6B⁰"), =HYPERLINK("CSG0.html#group3A0", "3A⁰"), =HYPERLINK("CSG0.html#group6E0", "6E⁰"), =HYPERLINK("CSG0.html#group1A0", "1A⁰")</f>
        <v/>
      </c>
      <c r="N792">
        <f>HYPERLINK("CSG15.html#group36O15", "36O¹⁵"), =HYPERLINK("CSG13.html#group36L13", "36L¹³"), =HYPERLINK("CSG12.html#group36A12", "36A¹²"), =HYPERLINK("CSG23.html#group36C23", "36C²³"), =HYPERLINK("CSG15.html#group36H15", "36H¹⁵"), =HYPERLINK("CSG9.html#group36E9", "36E⁹"), =HYPERLINK("CSG15.html#group36S15", "36S¹⁵")</f>
        <v/>
      </c>
    </row>
    <row r="793">
      <c r="A793" t="inlineStr">
        <is>
          <t>36K⁴</t>
        </is>
      </c>
      <c r="B793" t="inlineStr"/>
      <c r="C793" t="inlineStr">
        <is>
          <t>72</t>
        </is>
      </c>
      <c r="D793" t="inlineStr">
        <is>
          <t>1</t>
        </is>
      </c>
      <c r="E793" t="inlineStr">
        <is>
          <t>36</t>
        </is>
      </c>
      <c r="F793" t="inlineStr">
        <is>
          <t>4</t>
        </is>
      </c>
      <c r="G793" t="inlineStr">
        <is>
          <t>0</t>
        </is>
      </c>
      <c r="H793" t="inlineStr">
        <is>
          <t>12³, 36¹</t>
        </is>
      </c>
      <c r="I793" t="n">
        <v>4</v>
      </c>
      <c r="J793" t="inlineStr">
        <is>
          <t>4³, 6², 12⁴</t>
        </is>
      </c>
      <c r="K793">
        <f>HYPERLINK("CSG1.html#group12D1", "12D¹"), =HYPERLINK("CSG1.html#group18G1", "18G¹")</f>
        <v/>
      </c>
      <c r="L793">
        <f>HYPERLINK("CSG9.html#group36E9", "36E⁹"), =HYPERLINK("CSG12.html#group36B12", "36B¹²"), =HYPERLINK("CSG13.html#group36M13", "36M¹³"), =HYPERLINK("CSG15.html#group36G15", "36G¹⁵"), =HYPERLINK("CSG15.html#group36O15", "36O¹⁵"), =HYPERLINK("CSG15.html#group36T15", "36T¹⁵")</f>
        <v/>
      </c>
      <c r="M793">
        <f>HYPERLINK("CSG0.html#group3C0", "3C⁰"), =HYPERLINK("CSG1.html#group12D1", "12D¹"), =HYPERLINK("CSG1.html#group18G1", "18G¹"), =HYPERLINK("CSG0.html#group6B0", "6B⁰"), =HYPERLINK("CSG0.html#group3A0", "3A⁰"), =HYPERLINK("CSG0.html#group6E0", "6E⁰"), =HYPERLINK("CSG0.html#group1A0", "1A⁰")</f>
        <v/>
      </c>
      <c r="N793">
        <f>HYPERLINK("CSG15.html#group36O15", "36O¹⁵"), =HYPERLINK("CSG12.html#group36B12", "36B¹²"), =HYPERLINK("CSG9.html#group36E9", "36E⁹"), =HYPERLINK("CSG15.html#group36G15", "36G¹⁵"), =HYPERLINK("CSG13.html#group36M13", "36M¹³"), =HYPERLINK("CSG23.html#group36B23", "36B²³"), =HYPERLINK("CSG15.html#group36T15", "36T¹⁵")</f>
        <v/>
      </c>
    </row>
    <row r="794">
      <c r="A794" t="inlineStr">
        <is>
          <t>36L⁴</t>
        </is>
      </c>
      <c r="B794" t="inlineStr"/>
      <c r="C794" t="inlineStr">
        <is>
          <t>72</t>
        </is>
      </c>
      <c r="D794" t="inlineStr">
        <is>
          <t>1</t>
        </is>
      </c>
      <c r="E794" t="inlineStr">
        <is>
          <t>36</t>
        </is>
      </c>
      <c r="F794" t="inlineStr">
        <is>
          <t>8</t>
        </is>
      </c>
      <c r="G794" t="inlineStr">
        <is>
          <t>0</t>
        </is>
      </c>
      <c r="H794" t="inlineStr">
        <is>
          <t>36²</t>
        </is>
      </c>
      <c r="I794" t="n">
        <v>2</v>
      </c>
      <c r="J794" t="inlineStr">
        <is>
          <t>2², 4², 12²</t>
        </is>
      </c>
      <c r="K794">
        <f>HYPERLINK("CSG0.html#group12F0", "12F⁰"), =HYPERLINK("CSG1.html#group18A1", "18A¹"), =HYPERLINK("CSG1.html#group36A1", "36A¹")</f>
        <v/>
      </c>
      <c r="L794">
        <f>HYPERLINK("CSG9.html#group36K9", "36K⁹"), =HYPERLINK("CSG10.html#group72E10", "72E¹⁰"), =HYPERLINK("CSG10.html#group72F10", "72F¹⁰"), =HYPERLINK("CSG10.html#group72I10", "72I¹⁰"), =HYPERLINK("CSG11.html#group36D11", "36D¹¹"), =HYPERLINK("CSG12.html#group36G12", "36G¹²"), =HYPERLINK("CSG14.html#group36B14", "36B¹⁴"), =HYPERLINK("CSG19.html#group72P19", "72P¹⁹")</f>
        <v/>
      </c>
      <c r="M794">
        <f>HYPERLINK("CSG1.html#group36A1", "36A¹"), =HYPERLINK("CSG0.html#group12A0", "12A⁰"), =HYPERLINK("CSG0.html#group6B0", "6B⁰"), =HYPERLINK("CSG0.html#group4A0", "4A⁰"), =HYPERLINK("CSG0.html#group9A0", "9A⁰"), =HYPERLINK("CSG0.html#group12F0", "12F⁰"), =HYPERLINK("CSG0.html#group3A0", "3A⁰"), =HYPERLINK("CSG0.html#group1A0", "1A⁰"), =HYPERLINK("CSG1.html#group18A1", "18A¹")</f>
        <v/>
      </c>
      <c r="N794">
        <f>HYPERLINK("CSG10.html#group72F10", "72F¹⁰"), =HYPERLINK("CSG23.html#group72A23", "72A²³"), =HYPERLINK("CSG9.html#group36K9", "36K⁹"), =HYPERLINK("CSG21.html#group72S21", "72S²¹"), =HYPERLINK("CSG10.html#group72E10", "72E¹⁰"), =HYPERLINK("CSG10.html#group72I10", "72I¹⁰"), =HYPERLINK("CSG23.html#group72B23", "72B²³"), =HYPERLINK("CSG22.html#group144I22", "144I²²"), =HYPERLINK("CSG22.html#group144J22", "144J²²"), =HYPERLINK("CSG14.html#group36B14", "36B¹⁴"), =HYPERLINK("CSG21.html#group72Q21", "72Q²¹"), =HYPERLINK("CSG21.html#group36A21", "36A²¹"), =HYPERLINK("CSG22.html#group144C22", "144C²²"), =HYPERLINK("CSG21.html#group72P21", "72P²¹"), =HYPERLINK("CSG22.html#group144F22", "144F²²"), =HYPERLINK("CSG19.html#group72P19", "72P¹⁹"), =HYPERLINK("CSG12.html#group36G12", "36G¹²"), =HYPERLINK("CSG11.html#group36D11", "36D¹¹"), =HYPERLINK("CSG19.html#group36K19", "36K¹⁹")</f>
        <v/>
      </c>
    </row>
    <row r="795">
      <c r="A795" t="inlineStr">
        <is>
          <t>36M⁴</t>
        </is>
      </c>
      <c r="B795" t="inlineStr"/>
      <c r="C795" t="inlineStr">
        <is>
          <t>72</t>
        </is>
      </c>
      <c r="D795" t="inlineStr">
        <is>
          <t>1</t>
        </is>
      </c>
      <c r="E795" t="inlineStr">
        <is>
          <t>72</t>
        </is>
      </c>
      <c r="F795" t="inlineStr">
        <is>
          <t>4</t>
        </is>
      </c>
      <c r="G795" t="inlineStr">
        <is>
          <t>0</t>
        </is>
      </c>
      <c r="H795" t="inlineStr">
        <is>
          <t>12³, 36¹</t>
        </is>
      </c>
      <c r="I795" t="n">
        <v>4</v>
      </c>
      <c r="J795" t="inlineStr">
        <is>
          <t>2², 4², 6², 12⁴</t>
        </is>
      </c>
      <c r="K795">
        <f>HYPERLINK("CSG0.html#group9E0", "9E⁰"), =HYPERLINK("CSG1.html#group12G1", "12G¹")</f>
        <v/>
      </c>
      <c r="L795">
        <f>HYPERLINK("CSG7.html#group36J7", "36J⁷"), =HYPERLINK("CSG9.html#group36G9", "36G⁹"), =HYPERLINK("CSG9.html#group36J9", "36J⁹"), =HYPERLINK("CSG10.html#group72K10", "72K¹⁰"), =HYPERLINK("CSG10.html#group72J10", "72J¹⁰"), =HYPERLINK("CSG12.html#group36D12", "36D¹²"), =HYPERLINK("CSG13.html#group36N13", "36N¹³"), =HYPERLINK("CSG15.html#group36F15", "36F¹⁵"), =HYPERLINK("CSG19.html#group72Q19", "72Q¹⁹")</f>
        <v/>
      </c>
      <c r="M795">
        <f>HYPERLINK("CSG1.html#group12G1", "12G¹"), =HYPERLINK("CSG0.html#group3C0", "3C⁰"), =HYPERLINK("CSG0.html#group12A0", "12A⁰"), =HYPERLINK("CSG0.html#group9E0", "9E⁰"), =HYPERLINK("CSG0.html#group3A0", "3A⁰"), =HYPERLINK("CSG0.html#group1A0", "1A⁰"), =HYPERLINK("CSG0.html#group4A0", "4A⁰")</f>
        <v/>
      </c>
      <c r="N795">
        <f>HYPERLINK("CSG17.html#group36C17", "36C¹⁷"), =HYPERLINK("CSG9.html#group36G9", "36G⁹"), =HYPERLINK("CSG7.html#group36J7", "36J⁷"), =HYPERLINK("CSG21.html#group72O21", "72O²¹"), =HYPERLINK("CSG19.html#group72T19", "72T¹⁹"), =HYPERLINK("CSG21.html#group72N21", "72N²¹"), =HYPERLINK("CSG12.html#group36D12", "36D¹²"), =HYPERLINK("CSG22.html#group144K22", "144K²²"), =HYPERLINK("CSG19.html#group72S19", "72S¹⁹"), =HYPERLINK("CSG10.html#group72J10", "72J¹⁰"), =HYPERLINK("CSG23.html#group36D23", "36D²³"), =HYPERLINK("CSG10.html#group72K10", "72K¹⁰"), =HYPERLINK("CSG21.html#group72M21", "72M²¹"), =HYPERLINK("CSG15.html#group36F15", "36F¹⁵"), =HYPERLINK("CSG22.html#group144L22", "144L²²"), =HYPERLINK("CSG15.html#group36Q15", "36Q¹⁵"), =HYPERLINK("CSG9.html#group36J9", "36J⁹"), =HYPERLINK("CSG13.html#group36N13", "36N¹³"), =HYPERLINK("CSG15.html#group36R15", "36R¹⁵"), =HYPERLINK("CSG19.html#group72Q19", "72Q¹⁹")</f>
        <v/>
      </c>
    </row>
    <row r="796">
      <c r="A796" t="inlineStr">
        <is>
          <t>36N⁴</t>
        </is>
      </c>
      <c r="B796" t="inlineStr"/>
      <c r="C796" t="inlineStr">
        <is>
          <t>72</t>
        </is>
      </c>
      <c r="D796" t="inlineStr">
        <is>
          <t>1</t>
        </is>
      </c>
      <c r="E796" t="inlineStr">
        <is>
          <t>72</t>
        </is>
      </c>
      <c r="F796" t="inlineStr">
        <is>
          <t>8</t>
        </is>
      </c>
      <c r="G796" t="inlineStr">
        <is>
          <t>0</t>
        </is>
      </c>
      <c r="H796" t="inlineStr">
        <is>
          <t>36²</t>
        </is>
      </c>
      <c r="I796" t="n">
        <v>2</v>
      </c>
      <c r="J796" t="inlineStr">
        <is>
          <t>4⁶, 12⁴</t>
        </is>
      </c>
      <c r="K796">
        <f>HYPERLINK("CSG0.html#group12F0", "12F⁰"), =HYPERLINK("CSG1.html#group18B1", "18B¹")</f>
        <v/>
      </c>
      <c r="L796">
        <f>HYPERLINK("CSG9.html#group36L9", "36L⁹"), =HYPERLINK("CSG10.html#group72G10", "72G¹⁰"), =HYPERLINK("CSG10.html#group72H10", "72H¹⁰"), =HYPERLINK("CSG10.html#group72L10", "72L¹⁰"), =HYPERLINK("CSG11.html#group36E11", "36E¹¹"), =HYPERLINK("CSG12.html#group36H12", "36H¹²"), =HYPERLINK("CSG14.html#group36B14", "36B¹⁴"), =HYPERLINK("CSG19.html#group72R19", "72R¹⁹")</f>
        <v/>
      </c>
      <c r="M796">
        <f>HYPERLINK("CSG0.html#group12F0", "12F⁰"), =HYPERLINK("CSG1.html#group18B1", "18B¹"), =HYPERLINK("CSG0.html#group12A0", "12A⁰"), =HYPERLINK("CSG0.html#group6B0", "6B⁰"), =HYPERLINK("CSG0.html#group3A0", "3A⁰"), =HYPERLINK("CSG0.html#group1A0", "1A⁰"), =HYPERLINK("CSG0.html#group4A0", "4A⁰")</f>
        <v/>
      </c>
      <c r="N796">
        <f>HYPERLINK("CSG10.html#group72H10", "72H¹⁰"), =HYPERLINK("CSG21.html#group36B21", "36B²¹"), =HYPERLINK("CSG22.html#group144N22", "144N²²"), =HYPERLINK("CSG9.html#group36L9", "36L⁹"), =HYPERLINK("CSG12.html#group36H12", "36H¹²"), =HYPERLINK("CSG22.html#group144H22", "144H²²"), =HYPERLINK("CSG22.html#group144E22", "144E²²"), =HYPERLINK("CSG21.html#group72T21", "72T²¹"), =HYPERLINK("CSG10.html#group72G10", "72G¹⁰"), =HYPERLINK("CSG21.html#group72V21", "72V²¹"), =HYPERLINK("CSG22.html#group144D22", "144D²²"), =HYPERLINK("CSG22.html#group144G22", "144G²²"), =HYPERLINK("CSG14.html#group36B14", "36B¹⁴"), =HYPERLINK("CSG19.html#group72R19", "72R¹⁹"), =HYPERLINK("CSG23.html#group72C23", "72C²³"), =HYPERLINK("CSG23.html#group72D23", "72D²³"), =HYPERLINK("CSG10.html#group72L10", "72L¹⁰"), =HYPERLINK("CSG22.html#group144M22", "144M²²"), =HYPERLINK("CSG11.html#group36E11", "36E¹¹"), =HYPERLINK("CSG19.html#group36L19", "36L¹⁹"), =HYPERLINK("CSG21.html#group72U21", "72U²¹")</f>
        <v/>
      </c>
    </row>
    <row r="797">
      <c r="A797" t="inlineStr">
        <is>
          <t>36O⁴</t>
        </is>
      </c>
      <c r="B797" t="inlineStr"/>
      <c r="C797" t="inlineStr">
        <is>
          <t>96</t>
        </is>
      </c>
      <c r="D797" t="inlineStr">
        <is>
          <t>1</t>
        </is>
      </c>
      <c r="E797" t="inlineStr">
        <is>
          <t>32</t>
        </is>
      </c>
      <c r="F797" t="inlineStr">
        <is>
          <t>0</t>
        </is>
      </c>
      <c r="G797" t="inlineStr">
        <is>
          <t>3</t>
        </is>
      </c>
      <c r="H797" t="inlineStr">
        <is>
          <t>4⁶, 36²</t>
        </is>
      </c>
      <c r="I797" t="n">
        <v>8</v>
      </c>
      <c r="J797" t="inlineStr">
        <is>
          <t>4⁸</t>
        </is>
      </c>
      <c r="K797">
        <f>HYPERLINK("CSG0.html#group18C0", "18C⁰"), =HYPERLINK("CSG1.html#group12I1", "12I¹")</f>
        <v/>
      </c>
      <c r="L797">
        <f>HYPERLINK("CSG7.html#group36M7", "36M⁷"), =HYPERLINK("CSG11.html#group72L11", "72L¹¹"), =HYPERLINK("CSG11.html#group72K11", "72K¹¹"), =HYPERLINK("CSG13.html#group36T13", "36T¹³"), =HYPERLINK("CSG16.html#group36F16", "36F¹⁶"), =HYPERLINK("CSG19.html#group36F19", "36F¹⁹"), =HYPERLINK("CSG19.html#group36H19", "36H¹⁹"), =HYPERLINK("CSG24.html#group72B24", "72B²⁴")</f>
        <v/>
      </c>
      <c r="M797">
        <f>HYPERLINK("CSG0.html#group18C0", "18C⁰"), =HYPERLINK("CSG0.html#group3B0", "3B⁰"), =HYPERLINK("CSG0.html#group2A0", "2A⁰"), =HYPERLINK("CSG1.html#group12I1", "12I¹"), =HYPERLINK("CSG0.html#group4A0", "4A⁰"), =HYPERLINK("CSG0.html#group4D0", "4D⁰"), =HYPERLINK("CSG1.html#group12A1", "12A¹"), =HYPERLINK("CSG0.html#group6C0", "6C⁰"), =HYPERLINK("CSG0.html#group1A0", "1A⁰")</f>
        <v/>
      </c>
      <c r="N797">
        <f>HYPERLINK("CSG21.html#group72Z21", "72Z²¹"), =HYPERLINK("CSG19.html#group36H19", "36H¹⁹"), =HYPERLINK("CSG7.html#group36M7", "36M⁷"), =HYPERLINK("CSG19.html#group36F19", "36F¹⁹"), =HYPERLINK("CSG13.html#group36T13", "36T¹³"), =HYPERLINK("CSG11.html#group72L11", "72L¹¹"), =HYPERLINK("CSG16.html#group36F16", "36F¹⁶"), =HYPERLINK("CSG11.html#group72K11", "72K¹¹"), =HYPERLINK("CSG24.html#group72B24", "72B²⁴")</f>
        <v/>
      </c>
    </row>
    <row r="798">
      <c r="A798" t="inlineStr">
        <is>
          <t>36P⁴</t>
        </is>
      </c>
      <c r="B798" t="inlineStr"/>
      <c r="C798" t="inlineStr">
        <is>
          <t>108</t>
        </is>
      </c>
      <c r="D798" t="inlineStr">
        <is>
          <t>1</t>
        </is>
      </c>
      <c r="E798" t="inlineStr">
        <is>
          <t>9</t>
        </is>
      </c>
      <c r="F798" t="inlineStr">
        <is>
          <t>12</t>
        </is>
      </c>
      <c r="G798" t="inlineStr">
        <is>
          <t>0</t>
        </is>
      </c>
      <c r="H798" t="inlineStr">
        <is>
          <t>9⁴, 36²</t>
        </is>
      </c>
      <c r="I798" t="n">
        <v>6</v>
      </c>
      <c r="J798" t="inlineStr">
        <is>
          <t>1³, 2³</t>
        </is>
      </c>
      <c r="K798">
        <f>HYPERLINK("CSG0.html#group12G0", "12G⁰"), =HYPERLINK("CSG2.html#group18I2", "18I²"), =HYPERLINK("CSG2.html#group36C2", "36C²")</f>
        <v/>
      </c>
      <c r="L798">
        <f>HYPERLINK("CSG9.html#group36O9", "36O⁹"), =HYPERLINK("CSG11.html#group72O11", "72O¹¹"), =HYPERLINK("CSG13.html#group36C13", "36C¹³"), =HYPERLINK("CSG13.html#group72F13", "72F¹³"), =HYPERLINK("CSG15.html#group36C15", "36C¹⁵"), =HYPERLINK("CSG16.html#group36G16", "36G¹⁶"), =HYPERLINK("CSG16.html#group36I16", "36I¹⁶")</f>
        <v/>
      </c>
      <c r="M798">
        <f>HYPERLINK("CSG0.html#group12G0", "12G⁰"), =HYPERLINK("CSG0.html#group9D0", "9D⁰"), =HYPERLINK("CSG0.html#group9A0", "9A⁰"), =HYPERLINK("CSG0.html#group6G0", "6G⁰"), =HYPERLINK("CSG0.html#group3C0", "3C⁰"), =HYPERLINK("CSG0.html#group2B0", "2B⁰"), =HYPERLINK("CSG0.html#group12D0", "12D⁰"), =HYPERLINK("CSG1.html#group18E1", "18E¹"), =HYPERLINK("CSG0.html#group3A0", "3A⁰"), =HYPERLINK("CSG0.html#group1A0", "1A⁰"), =HYPERLINK("CSG2.html#group18I2", "18I²"), =HYPERLINK("CSG0.html#group6D0", "6D⁰"), =HYPERLINK("CSG2.html#group36C2", "36C²")</f>
        <v/>
      </c>
      <c r="N798">
        <f>HYPERLINK("CSG21.html#group72AA21", "72AA²¹"), =HYPERLINK("CSG11.html#group72O11", "72O¹¹"), =HYPERLINK("CSG16.html#group36G16", "36G¹⁶"), =HYPERLINK("CSG13.html#group72F13", "72F¹³"), =HYPERLINK("CSG23.html#group36A23", "36A²³"), =HYPERLINK("CSG13.html#group36C13", "36C¹³"), =HYPERLINK("CSG15.html#group36C15", "36C¹⁵"), =HYPERLINK("CSG9.html#group36O9", "36O⁹"), =HYPERLINK("CSG16.html#group36I16", "36I¹⁶")</f>
        <v/>
      </c>
    </row>
    <row r="799">
      <c r="A799" t="inlineStr">
        <is>
          <t>36Q⁴</t>
        </is>
      </c>
      <c r="B799" t="inlineStr"/>
      <c r="C799" t="inlineStr">
        <is>
          <t>108</t>
        </is>
      </c>
      <c r="D799" t="inlineStr">
        <is>
          <t>1</t>
        </is>
      </c>
      <c r="E799" t="inlineStr">
        <is>
          <t>54</t>
        </is>
      </c>
      <c r="F799" t="inlineStr">
        <is>
          <t>0</t>
        </is>
      </c>
      <c r="G799" t="inlineStr">
        <is>
          <t>0</t>
        </is>
      </c>
      <c r="H799" t="inlineStr">
        <is>
          <t>3⁶, 9², 12³, 36¹</t>
        </is>
      </c>
      <c r="I799" t="n">
        <v>12</v>
      </c>
      <c r="J799" t="inlineStr">
        <is>
          <t>1³, 2³, 3³, 6⁶</t>
        </is>
      </c>
      <c r="K799">
        <f>HYPERLINK("CSG1.html#group12K1", "12K¹"), =HYPERLINK("CSG1.html#group18I1", "18I¹")</f>
        <v/>
      </c>
      <c r="L799">
        <f>HYPERLINK("CSG7.html#group36N7", "36N⁷"), =HYPERLINK("CSG11.html#group36L11", "36L¹¹"), =HYPERLINK("CSG11.html#group36N11", "36N¹¹"), =HYPERLINK("CSG11.html#group72Q11", "72Q¹¹"), =HYPERLINK("CSG11.html#group72P11", "72P¹¹"), =HYPERLINK("CSG19.html#group36M19", "36M¹⁹"), =HYPERLINK("CSG19.html#group36O19", "36O¹⁹")</f>
        <v/>
      </c>
      <c r="M799">
        <f>HYPERLINK("CSG1.html#group12K1", "12K¹"), =HYPERLINK("CSG0.html#group4B0", "4B⁰"), =HYPERLINK("CSG1.html#group18I1", "18I¹"), =HYPERLINK("CSG0.html#group6G0", "6G⁰"), =HYPERLINK("CSG0.html#group3C0", "3C⁰"), =HYPERLINK("CSG0.html#group2B0", "2B⁰"), =HYPERLINK("CSG1.html#group12B1", "12B¹"), =HYPERLINK("CSG0.html#group12D0", "12D⁰"), =HYPERLINK("CSG0.html#group9E0", "9E⁰"), =HYPERLINK("CSG0.html#group3A0", "3A⁰"), =HYPERLINK("CSG0.html#group1A0", "1A⁰"), =HYPERLINK("CSG0.html#group6D0", "6D⁰")</f>
        <v/>
      </c>
      <c r="N799">
        <f>HYPERLINK("CSG11.html#group36L11", "36L¹¹"), =HYPERLINK("CSG21.html#group36E21", "36E²¹"), =HYPERLINK("CSG19.html#group36O19", "36O¹⁹"), =HYPERLINK("CSG11.html#group72Q11", "72Q¹¹"), =HYPERLINK("CSG7.html#group36N7", "36N⁷"), =HYPERLINK("CSG21.html#group72AB21", "72AB²¹"), =HYPERLINK("CSG17.html#group72X17", "72X¹⁷"), =HYPERLINK("CSG11.html#group72P11", "72P¹¹"), =HYPERLINK("CSG11.html#group36N11", "36N¹¹"), =HYPERLINK("CSG19.html#group36M19", "36M¹⁹"), =HYPERLINK("CSG17.html#group36K17", "36K¹⁷")</f>
        <v/>
      </c>
    </row>
    <row r="800">
      <c r="A800" t="inlineStr">
        <is>
          <t>36R⁴</t>
        </is>
      </c>
      <c r="B800" t="inlineStr"/>
      <c r="C800" t="inlineStr">
        <is>
          <t>108</t>
        </is>
      </c>
      <c r="D800" t="inlineStr">
        <is>
          <t>2</t>
        </is>
      </c>
      <c r="E800" t="inlineStr">
        <is>
          <t>27</t>
        </is>
      </c>
      <c r="F800" t="inlineStr">
        <is>
          <t>16</t>
        </is>
      </c>
      <c r="G800" t="inlineStr">
        <is>
          <t>0</t>
        </is>
      </c>
      <c r="H800" t="inlineStr">
        <is>
          <t>18², 36²</t>
        </is>
      </c>
      <c r="I800" t="n">
        <v>4</v>
      </c>
      <c r="J800" t="inlineStr">
        <is>
          <t>2⁹, 6⁶</t>
        </is>
      </c>
      <c r="K800">
        <f>HYPERLINK("CSG0.html#group12H0", "12H⁰"), =HYPERLINK("CSG2.html#group18L2", "18L²"), =HYPERLINK("CSG2.html#group36B2", "36B²"), =HYPERLINK("CSG2.html#group36C2", "36C²")</f>
        <v/>
      </c>
      <c r="L800">
        <f>HYPERLINK("CSG9.html#group36O9", "36O⁹"), =HYPERLINK("CSG9.html#group72H9", "72H⁹"), =HYPERLINK("CSG11.html#group72R11", "72R¹¹"), =HYPERLINK("CSG12.html#group36E12", "36E¹²"), =HYPERLINK("CSG12.html#group36F12", "36F¹²"), =HYPERLINK("CSG12.html#group72M12", "72M¹²"), =HYPERLINK("CSG12.html#group72L12", "72L¹²"), =HYPERLINK("CSG13.html#group36P13", "36P¹³"), =HYPERLINK("CSG15.html#group36K15", "36K¹⁵"), =HYPERLINK("CSG15.html#group72P15", "72P¹⁵"), =HYPERLINK("CSG16.html#group36H16", "36H¹⁶"), =HYPERLINK("CSG17.html#group72H17", "72H¹⁷"), =HYPERLINK("CSG18.html#group36B18", "36B¹⁸")</f>
        <v/>
      </c>
      <c r="M800">
        <f>HYPERLINK("CSG0.html#group6B0", "6B⁰"), =HYPERLINK("CSG0.html#group12C0", "12C⁰"), =HYPERLINK("CSG0.html#group6H0", "6H⁰"), =HYPERLINK("CSG2.html#group36B2", "36B²"), =HYPERLINK("CSG0.html#group4C0", "4C⁰"), =HYPERLINK("CSG0.html#group2B0", "2B⁰"), =HYPERLINK("CSG0.html#group12H0", "12H⁰"), =HYPERLINK("CSG0.html#group1A0", "1A⁰"), =HYPERLINK("CSG0.html#group18A0", "18A⁰"), =HYPERLINK("CSG2.html#group18L2", "18L²"), =HYPERLINK("CSG0.html#group9A0", "9A⁰"), =HYPERLINK("CSG0.html#group12D0", "12D⁰"), =HYPERLINK("CSG1.html#group18E1", "18E¹"), =HYPERLINK("CSG0.html#group3A0", "3A⁰"), =HYPERLINK("CSG0.html#group6D0", "6D⁰"), =HYPERLINK("CSG2.html#group36C2", "36C²")</f>
        <v/>
      </c>
      <c r="N800">
        <f>HYPERLINK("CSG17.html#group72H17", "72H¹⁷"), =HYPERLINK("CSG21.html#group72AA21", "72AA²¹"), =HYPERLINK("CSG9.html#group72H9", "72H⁹"), =HYPERLINK("CSG15.html#group36K15", "36K¹⁵"), =HYPERLINK("CSG15.html#group72P15", "72P¹⁵"), =HYPERLINK("CSG12.html#group72L12", "72L¹²"), =HYPERLINK("CSG11.html#group72R11", "72R¹¹"), =HYPERLINK("CSG23.html#group36A23", "36A²³"), =HYPERLINK("CSG12.html#group36E12", "36E¹²"), =HYPERLINK("CSG12.html#group72M12", "72M¹²"), =HYPERLINK("CSG23.html#group144Y23", "144Y²³"), =HYPERLINK("CSG9.html#group36O9", "36O⁹"), =HYPERLINK("CSG19.html#group144J19", "144J¹⁹"), =HYPERLINK("CSG12.html#group36F12", "36F¹²"), =HYPERLINK("CSG16.html#group36H16", "36H¹⁶"), =HYPERLINK("CSG18.html#group36B18", "36B¹⁸"), =HYPERLINK("CSG13.html#group36P13", "36P¹³")</f>
        <v/>
      </c>
    </row>
    <row r="801">
      <c r="A801" t="inlineStr">
        <is>
          <t>36S⁴</t>
        </is>
      </c>
      <c r="B801" t="inlineStr"/>
      <c r="C801" t="inlineStr">
        <is>
          <t>144</t>
        </is>
      </c>
      <c r="D801" t="inlineStr">
        <is>
          <t>1</t>
        </is>
      </c>
      <c r="E801" t="inlineStr">
        <is>
          <t>8</t>
        </is>
      </c>
      <c r="F801" t="inlineStr">
        <is>
          <t>0</t>
        </is>
      </c>
      <c r="G801" t="inlineStr">
        <is>
          <t>18</t>
        </is>
      </c>
      <c r="H801" t="inlineStr">
        <is>
          <t>12³, 36³</t>
        </is>
      </c>
      <c r="I801" t="n">
        <v>6</v>
      </c>
      <c r="J801" t="inlineStr">
        <is>
          <t>2⁴</t>
        </is>
      </c>
      <c r="K801">
        <f>HYPERLINK("CSG0.html#group36A0", "36A⁰"), =HYPERLINK("CSG1.html#group12O1", "12O¹"), =HYPERLINK("CSG1.html#group18K1", "18K¹"), =HYPERLINK("CSG1.html#group36B1", "36B¹"), =HYPERLINK("CSG2.html#group36A2", "36A²")</f>
        <v/>
      </c>
      <c r="L801">
        <f>HYPERLINK("CSG22.html#group36M22", "36M²²"), =HYPERLINK("CSG22.html#group108C22", "108C²²")</f>
        <v/>
      </c>
      <c r="M801">
        <f>HYPERLINK("CSG0.html#group18C0", "18C⁰"), =HYPERLINK("CSG0.html#group3B0", "3B⁰"), =HYPERLINK("CSG0.html#group2A0", "2A⁰"), =HYPERLINK("CSG0.html#group6A0", "6A⁰"), =HYPERLINK("CSG1.html#group18K1", "18K¹"), =HYPERLINK("CSG0.html#group18B0", "18B⁰"), =HYPERLINK("CSG0.html#group6C0", "6C⁰"), =HYPERLINK("CSG1.html#group36B1", "36B¹"), =HYPERLINK("CSG0.html#group6J0", "6J⁰"), =HYPERLINK("CSG0.html#group9C0", "9C⁰"), =HYPERLINK("CSG2.html#group36A2", "36A²"), =HYPERLINK("CSG1.html#group12O1", "12O¹"), =HYPERLINK("CSG0.html#group1A0", "1A⁰"), =HYPERLINK("CSG0.html#group12B0", "12B⁰"), =HYPERLINK("CSG0.html#group36A0", "36A⁰"), =HYPERLINK("CSG1.html#group18D1", "18D¹")</f>
        <v/>
      </c>
      <c r="N801">
        <f>HYPERLINK("CSG22.html#group108C22", "108C²²"), =HYPERLINK("CSG22.html#group36M22", "36M²²")</f>
        <v/>
      </c>
    </row>
    <row r="802">
      <c r="A802" t="inlineStr">
        <is>
          <t>37A⁴</t>
        </is>
      </c>
      <c r="B802" t="inlineStr"/>
      <c r="C802" t="inlineStr">
        <is>
          <t>76</t>
        </is>
      </c>
      <c r="D802" t="inlineStr">
        <is>
          <t>1</t>
        </is>
      </c>
      <c r="E802" t="inlineStr">
        <is>
          <t>38</t>
        </is>
      </c>
      <c r="F802" t="inlineStr">
        <is>
          <t>0</t>
        </is>
      </c>
      <c r="G802" t="inlineStr">
        <is>
          <t>4</t>
        </is>
      </c>
      <c r="H802" t="inlineStr">
        <is>
          <t>1², 37²</t>
        </is>
      </c>
      <c r="I802" t="n">
        <v>4</v>
      </c>
      <c r="J802" t="inlineStr">
        <is>
          <t>1², 36¹</t>
        </is>
      </c>
      <c r="K802">
        <f>HYPERLINK("CSG2.html#group37A2", "37A²")</f>
        <v/>
      </c>
      <c r="L802">
        <f>HYPERLINK("CSG9.html#group74A9", "74A⁹"), =HYPERLINK("CSG10.html#group37A10", "37A¹⁰"), =HYPERLINK("CSG16.html#group74A16", "74A¹⁶"), =HYPERLINK("CSG18.html#group111A18", "111A¹⁸"), =HYPERLINK("CSG18.html#group111B18", "111B¹⁸"), =HYPERLINK("CSG21.html#group111A21", "111A²¹"), =HYPERLINK("CSG23.html#group148A23", "148A²³")</f>
        <v/>
      </c>
      <c r="M802">
        <f>HYPERLINK("CSG2.html#group37A2", "37A²"), =HYPERLINK("CSG0.html#group1A0", "1A⁰")</f>
        <v/>
      </c>
      <c r="N802">
        <f>HYPERLINK("CSG10.html#group37A10", "37A¹⁰"), =HYPERLINK("CSG18.html#group111A18", "111A¹⁸"), =HYPERLINK("CSG21.html#group111A21", "111A²¹"), =HYPERLINK("CSG18.html#group111B18", "111B¹⁸"), =HYPERLINK("CSG16.html#group74A16", "74A¹⁶"), =HYPERLINK("CSG23.html#group148A23", "148A²³"), =HYPERLINK("CSG9.html#group74A9", "74A⁹"), =HYPERLINK("CSG19.html#group148A19", "148A¹⁹")</f>
        <v/>
      </c>
    </row>
    <row r="803">
      <c r="A803" t="inlineStr">
        <is>
          <t>37B⁴</t>
        </is>
      </c>
      <c r="B803" t="inlineStr"/>
      <c r="C803" t="inlineStr">
        <is>
          <t>114</t>
        </is>
      </c>
      <c r="D803" t="inlineStr">
        <is>
          <t>1</t>
        </is>
      </c>
      <c r="E803" t="inlineStr">
        <is>
          <t>38</t>
        </is>
      </c>
      <c r="F803" t="inlineStr">
        <is>
          <t>6</t>
        </is>
      </c>
      <c r="G803" t="inlineStr">
        <is>
          <t>6</t>
        </is>
      </c>
      <c r="H803" t="inlineStr">
        <is>
          <t>1³, 37³</t>
        </is>
      </c>
      <c r="I803" t="n">
        <v>6</v>
      </c>
      <c r="J803" t="inlineStr">
        <is>
          <t>1², 36¹</t>
        </is>
      </c>
      <c r="K803">
        <f>HYPERLINK("CSG2.html#group37A2", "37A²")</f>
        <v/>
      </c>
      <c r="L803">
        <f>HYPERLINK("CSG10.html#group37A10", "37A¹⁰"), =HYPERLINK("CSG10.html#group74A10", "74A¹⁰"), =HYPERLINK("CSG13.html#group74A13", "74A¹³"), =HYPERLINK("CSG16.html#group37A16", "37A¹⁶"), =HYPERLINK("CSG19.html#group111A19", "111A¹⁹"), =HYPERLINK("CSG22.html#group74A22", "74A²²"), =HYPERLINK("CSG22.html#group111A22", "111A²²")</f>
        <v/>
      </c>
      <c r="M803">
        <f>HYPERLINK("CSG2.html#group37A2", "37A²"), =HYPERLINK("CSG0.html#group1A0", "1A⁰")</f>
        <v/>
      </c>
      <c r="N803">
        <f>HYPERLINK("CSG10.html#group37A10", "37A¹⁰"), =HYPERLINK("CSG13.html#group74A13", "74A¹³"), =HYPERLINK("CSG10.html#group74A10", "74A¹⁰"), =HYPERLINK("CSG16.html#group37A16", "37A¹⁶"), =HYPERLINK("CSG19.html#group111A19", "111A¹⁹"), =HYPERLINK("CSG22.html#group74A22", "74A²²"), =HYPERLINK("CSG22.html#group111A22", "111A²²")</f>
        <v/>
      </c>
    </row>
    <row r="804">
      <c r="A804" t="inlineStr">
        <is>
          <t>38A⁴</t>
        </is>
      </c>
      <c r="B804" t="inlineStr">
        <is>
          <t>Γ₀(38)</t>
        </is>
      </c>
      <c r="C804" t="inlineStr">
        <is>
          <t>60</t>
        </is>
      </c>
      <c r="D804" t="inlineStr">
        <is>
          <t>1</t>
        </is>
      </c>
      <c r="E804" t="inlineStr">
        <is>
          <t>60</t>
        </is>
      </c>
      <c r="F804" t="inlineStr">
        <is>
          <t>0</t>
        </is>
      </c>
      <c r="G804" t="inlineStr">
        <is>
          <t>0</t>
        </is>
      </c>
      <c r="H804" t="inlineStr">
        <is>
          <t>1¹, 2¹, 19¹, 38¹</t>
        </is>
      </c>
      <c r="I804" t="n">
        <v>4</v>
      </c>
      <c r="J804" t="inlineStr">
        <is>
          <t>1⁶, 18³</t>
        </is>
      </c>
      <c r="K804">
        <f>HYPERLINK("CSG0.html#group2B0", "2B⁰"), =HYPERLINK("CSG1.html#group19A1", "19A¹")</f>
        <v/>
      </c>
      <c r="L804">
        <f>HYPERLINK("CSG8.html#group38A8", "38A⁸"), =HYPERLINK("CSG8.html#group76A8", "76A⁸"), =HYPERLINK("CSG9.html#group76A9", "76A⁹"), =HYPERLINK("CSG10.html#group38A10", "38A¹⁰"), =HYPERLINK("CSG14.html#group114A14", "114A¹⁴"), =HYPERLINK("CSG14.html#group114B14", "114B¹⁴"), =HYPERLINK("CSG17.html#group114A17", "114A¹⁷"), =HYPERLINK("CSG24.html#group190A24", "190A²⁴")</f>
        <v/>
      </c>
      <c r="M804">
        <f>HYPERLINK("CSG1.html#group19A1", "19A¹"), =HYPERLINK("CSG0.html#group1A0", "1A⁰"), =HYPERLINK("CSG0.html#group2B0", "2B⁰")</f>
        <v/>
      </c>
      <c r="N804">
        <f>HYPERLINK("CSG19.html#group152A19", "152A¹⁹"), =HYPERLINK("CSG14.html#group114B14", "114B¹⁴"), =HYPERLINK("CSG22.html#group38C22", "38C²²"), =HYPERLINK("CSG18.html#group152B18", "152B¹⁸"), =HYPERLINK("CSG8.html#group76A8", "76A⁸"), =HYPERLINK("CSG19.html#group152B19", "152B¹⁹"), =HYPERLINK("CSG18.html#group76A18", "76A¹⁸"), =HYPERLINK("CSG17.html#group114A17", "114A¹⁷"), =HYPERLINK("CSG16.html#group76C16", "76C¹⁶"), =HYPERLINK("CSG18.html#group76C18", "76C¹⁸"), =HYPERLINK("CSG10.html#group38A10", "38A¹⁰"), =HYPERLINK("CSG17.html#group76A17", "76A¹⁷"), =HYPERLINK("CSG24.html#group190A24", "190A²⁴"), =HYPERLINK("CSG22.html#group76A22", "76A²²"), =HYPERLINK("CSG8.html#group38A8", "38A⁸"), =HYPERLINK("CSG16.html#group152A16", "152A¹⁶"), =HYPERLINK("CSG17.html#group152A17", "152A¹⁷"), =HYPERLINK("CSG14.html#group114A14", "114A¹⁴"), =HYPERLINK("CSG9.html#group76A9", "76A⁹"), =HYPERLINK("CSG18.html#group152A18", "152A¹⁸"), =HYPERLINK("CSG16.html#group76A16", "76A¹⁶")</f>
        <v/>
      </c>
    </row>
    <row r="805">
      <c r="A805" t="inlineStr">
        <is>
          <t>38B⁴</t>
        </is>
      </c>
      <c r="B805" t="inlineStr"/>
      <c r="C805" t="inlineStr">
        <is>
          <t>120</t>
        </is>
      </c>
      <c r="D805" t="inlineStr">
        <is>
          <t>1</t>
        </is>
      </c>
      <c r="E805" t="inlineStr">
        <is>
          <t>20</t>
        </is>
      </c>
      <c r="F805" t="inlineStr">
        <is>
          <t>0</t>
        </is>
      </c>
      <c r="G805" t="inlineStr">
        <is>
          <t>12</t>
        </is>
      </c>
      <c r="H805" t="inlineStr">
        <is>
          <t>2³, 38³</t>
        </is>
      </c>
      <c r="I805" t="n">
        <v>6</v>
      </c>
      <c r="J805" t="inlineStr">
        <is>
          <t>1², 18¹</t>
        </is>
      </c>
      <c r="K805">
        <f>HYPERLINK("CSG1.html#group19B1", "19B¹"), =HYPERLINK("CSG2.html#group38A2", "38A²")</f>
        <v/>
      </c>
      <c r="L805">
        <f>HYPERLINK("CSG10.html#group76A10", "76A¹⁰"), =HYPERLINK("CSG16.html#group38A16", "38A¹⁶"), =HYPERLINK("CSG22.html#group38B22", "38B²²"), =HYPERLINK("CSG22.html#group38C22", "38C²²"), =HYPERLINK("CSG22.html#group114A22", "114A²²"), =HYPERLINK("CSG22.html#group114B22", "114B²²")</f>
        <v/>
      </c>
      <c r="M805">
        <f>HYPERLINK("CSG1.html#group19A1", "19A¹"), =HYPERLINK("CSG0.html#group2A0", "2A⁰"), =HYPERLINK("CSG1.html#group19B1", "19B¹"), =HYPERLINK("CSG2.html#group38A2", "38A²"), =HYPERLINK("CSG0.html#group1A0", "1A⁰")</f>
        <v/>
      </c>
      <c r="N805">
        <f>HYPERLINK("CSG10.html#group76A10", "76A¹⁰"), =HYPERLINK("CSG16.html#group38A16", "38A¹⁶"), =HYPERLINK("CSG22.html#group114B22", "114B²²"), =HYPERLINK("CSG22.html#group38B22", "38B²²"), =HYPERLINK("CSG22.html#group114A22", "114A²²"), =HYPERLINK("CSG22.html#group38C22", "38C²²")</f>
        <v/>
      </c>
    </row>
    <row r="806">
      <c r="A806" t="inlineStr">
        <is>
          <t>39A⁴</t>
        </is>
      </c>
      <c r="B806" t="inlineStr"/>
      <c r="C806" t="inlineStr">
        <is>
          <t>84</t>
        </is>
      </c>
      <c r="D806" t="inlineStr">
        <is>
          <t>1</t>
        </is>
      </c>
      <c r="E806" t="inlineStr">
        <is>
          <t>42</t>
        </is>
      </c>
      <c r="F806" t="inlineStr">
        <is>
          <t>8</t>
        </is>
      </c>
      <c r="G806" t="inlineStr">
        <is>
          <t>0</t>
        </is>
      </c>
      <c r="H806" t="inlineStr">
        <is>
          <t>3², 39²</t>
        </is>
      </c>
      <c r="I806" t="n">
        <v>4</v>
      </c>
      <c r="J806" t="inlineStr">
        <is>
          <t>1², 2², 12¹, 24¹</t>
        </is>
      </c>
      <c r="K806">
        <f>HYPERLINK("CSG2.html#group39A2", "39A²")</f>
        <v/>
      </c>
      <c r="L806">
        <f>HYPERLINK("CSG9.html#group39A9", "39A⁹"), =HYPERLINK("CSG9.html#group78B9", "78B⁹"), =HYPERLINK("CSG10.html#group39B10", "39B¹⁰"), =HYPERLINK("CSG11.html#group39B11", "39B¹¹"), =HYPERLINK("CSG11.html#group78E11", "78E¹¹"), =HYPERLINK("CSG13.html#group78C13", "78C¹³"), =HYPERLINK("CSG16.html#group78C16", "78C¹⁶"), =HYPERLINK("CSG16.html#group117A16", "117A¹⁶"), =HYPERLINK("CSG18.html#group117A18", "117A¹⁸"), =HYPERLINK("CSG23.html#group156E23", "156E²³")</f>
        <v/>
      </c>
      <c r="M806">
        <f>HYPERLINK("CSG0.html#group3A0", "3A⁰"), =HYPERLINK("CSG2.html#group39A2", "39A²"), =HYPERLINK("CSG0.html#group1A0", "1A⁰"), =HYPERLINK("CSG0.html#group13A0", "13A⁰")</f>
        <v/>
      </c>
      <c r="N806">
        <f>HYPERLINK("CSG10.html#group39B10", "39B¹⁰"), =HYPERLINK("CSG23.html#group156E23", "156E²³"), =HYPERLINK("CSG16.html#group78C16", "78C¹⁶"), =HYPERLINK("CSG21.html#group39B21", "39B²¹"), =HYPERLINK("CSG23.html#group78D23", "78D²³"), =HYPERLINK("CSG23.html#group156B23", "156B²³"), =HYPERLINK("CSG9.html#group39A9", "39A⁹"), =HYPERLINK("CSG21.html#group78A21", "78A²¹"), =HYPERLINK("CSG9.html#group78B9", "78B⁹"), =HYPERLINK("CSG13.html#group78C13", "78C¹³"), =HYPERLINK("CSG23.html#group156A23", "156A²³"), =HYPERLINK("CSG11.html#group78E11", "78E¹¹"), =HYPERLINK("CSG16.html#group117A16", "117A¹⁶"), =HYPERLINK("CSG11.html#group39B11", "39B¹¹"), =HYPERLINK("CSG18.html#group117A18", "117A¹⁸"), =HYPERLINK("CSG23.html#group156H23", "156H²³"), =HYPERLINK("CSG19.html#group39A19", "39A¹⁹")</f>
        <v/>
      </c>
    </row>
    <row r="807">
      <c r="A807" t="inlineStr">
        <is>
          <t>39B⁴</t>
        </is>
      </c>
      <c r="B807" t="inlineStr"/>
      <c r="C807" t="inlineStr">
        <is>
          <t>84</t>
        </is>
      </c>
      <c r="D807" t="inlineStr">
        <is>
          <t>2</t>
        </is>
      </c>
      <c r="E807" t="inlineStr">
        <is>
          <t>14</t>
        </is>
      </c>
      <c r="F807" t="inlineStr">
        <is>
          <t>0</t>
        </is>
      </c>
      <c r="G807" t="inlineStr">
        <is>
          <t>6</t>
        </is>
      </c>
      <c r="H807" t="inlineStr">
        <is>
          <t>3², 39²</t>
        </is>
      </c>
      <c r="I807" t="n">
        <v>4</v>
      </c>
      <c r="J807" t="inlineStr">
        <is>
          <t>2², 24¹</t>
        </is>
      </c>
      <c r="K807">
        <f>HYPERLINK("CSG0.html#group13B0", "13B⁰"), =HYPERLINK("CSG1.html#group39A1", "39A¹")</f>
        <v/>
      </c>
      <c r="L807">
        <f>HYPERLINK("CSG9.html#group78C9", "78C⁹"), =HYPERLINK("CSG16.html#group39A16", "39A¹⁶"), =HYPERLINK("CSG18.html#group78C18", "78C¹⁸"), =HYPERLINK("CSG19.html#group39B19", "39B¹⁹")</f>
        <v/>
      </c>
      <c r="M807">
        <f>HYPERLINK("CSG0.html#group13A0", "13A⁰"), =HYPERLINK("CSG0.html#group13B0", "13B⁰"), =HYPERLINK("CSG1.html#group39A1", "39A¹"), =HYPERLINK("CSG0.html#group1A0", "1A⁰")</f>
        <v/>
      </c>
      <c r="N807">
        <f>HYPERLINK("CSG9.html#group78C9", "78C⁹"), =HYPERLINK("CSG18.html#group78C18", "78C¹⁸"), =HYPERLINK("CSG19.html#group39B19", "39B¹⁹"), =HYPERLINK("CSG16.html#group39A16", "39A¹⁶"), =HYPERLINK("CSG19.html#group156E19", "156E¹⁹")</f>
        <v/>
      </c>
    </row>
    <row r="808">
      <c r="A808" t="inlineStr">
        <is>
          <t>39C⁴</t>
        </is>
      </c>
      <c r="B808" t="inlineStr"/>
      <c r="C808" t="inlineStr">
        <is>
          <t>126</t>
        </is>
      </c>
      <c r="D808" t="inlineStr">
        <is>
          <t>1</t>
        </is>
      </c>
      <c r="E808" t="inlineStr">
        <is>
          <t>14</t>
        </is>
      </c>
      <c r="F808" t="inlineStr">
        <is>
          <t>18</t>
        </is>
      </c>
      <c r="G808" t="inlineStr">
        <is>
          <t>0</t>
        </is>
      </c>
      <c r="H808" t="inlineStr">
        <is>
          <t>3³, 39³</t>
        </is>
      </c>
      <c r="I808" t="n">
        <v>6</v>
      </c>
      <c r="J808" t="inlineStr">
        <is>
          <t>1², 12¹</t>
        </is>
      </c>
      <c r="K808">
        <f>HYPERLINK("CSG0.html#group13C0", "13C⁰"), =HYPERLINK("CSG1.html#group39A1", "39A¹"), =HYPERLINK("CSG2.html#group39A2", "39A²")</f>
        <v/>
      </c>
      <c r="L808">
        <f>HYPERLINK("CSG10.html#group39B10", "39B¹⁰"), =HYPERLINK("CSG10.html#group78A10", "78A¹⁰"), =HYPERLINK("CSG13.html#group39B13", "39B¹³"), =HYPERLINK("CSG13.html#group78H13", "78H¹³"), =HYPERLINK("CSG16.html#group39A16", "39A¹⁶"), =HYPERLINK("CSG16.html#group78A16", "78A¹⁶"), =HYPERLINK("CSG19.html#group78A19", "78A¹⁹"), =HYPERLINK("CSG22.html#group78A22", "78A²²"), =HYPERLINK("CSG22.html#group117A22", "117A²²")</f>
        <v/>
      </c>
      <c r="M808">
        <f>HYPERLINK("CSG0.html#group13A0", "13A⁰"), =HYPERLINK("CSG2.html#group39A2", "39A²"), =HYPERLINK("CSG0.html#group13C0", "13C⁰"), =HYPERLINK("CSG1.html#group39A1", "39A¹"), =HYPERLINK("CSG0.html#group3A0", "3A⁰"), =HYPERLINK("CSG0.html#group1A0", "1A⁰")</f>
        <v/>
      </c>
      <c r="N808">
        <f>HYPERLINK("CSG10.html#group39B10", "39B¹⁰"), =HYPERLINK("CSG22.html#group78A22", "78A²²"), =HYPERLINK("CSG19.html#group78A19", "78A¹⁹"), =HYPERLINK("CSG22.html#group117A22", "117A²²"), =HYPERLINK("CSG13.html#group39B13", "39B¹³"), =HYPERLINK("CSG13.html#group78H13", "78H¹³"), =HYPERLINK("CSG16.html#group78A16", "78A¹⁶"), =HYPERLINK("CSG10.html#group78A10", "78A¹⁰"), =HYPERLINK("CSG16.html#group39A16", "39A¹⁶")</f>
        <v/>
      </c>
    </row>
    <row r="809">
      <c r="A809" t="inlineStr">
        <is>
          <t>40A⁴</t>
        </is>
      </c>
      <c r="B809" t="inlineStr"/>
      <c r="C809" t="inlineStr">
        <is>
          <t>60</t>
        </is>
      </c>
      <c r="D809" t="inlineStr">
        <is>
          <t>1</t>
        </is>
      </c>
      <c r="E809" t="inlineStr">
        <is>
          <t>15</t>
        </is>
      </c>
      <c r="F809" t="inlineStr">
        <is>
          <t>4</t>
        </is>
      </c>
      <c r="G809" t="inlineStr">
        <is>
          <t>0</t>
        </is>
      </c>
      <c r="H809" t="inlineStr">
        <is>
          <t>20¹, 40¹</t>
        </is>
      </c>
      <c r="I809" t="n">
        <v>2</v>
      </c>
      <c r="J809" t="inlineStr">
        <is>
          <t>1³, 4³</t>
        </is>
      </c>
      <c r="K809">
        <f>HYPERLINK("CSG0.html#group8B0", "8B⁰"), =HYPERLINK("CSG2.html#group20B2", "20B²")</f>
        <v/>
      </c>
      <c r="L809">
        <f>HYPERLINK("CSG8.html#group40B8", "40B⁸"), =HYPERLINK("CSG8.html#group40F8", "40F⁸"), =HYPERLINK("CSG8.html#group80A8", "80A⁸"), =HYPERLINK("CSG9.html#group40A9", "40A⁹"), =HYPERLINK("CSG9.html#group80B9", "80B⁹"), =HYPERLINK("CSG9.html#group80D9", "80D⁹"), =HYPERLINK("CSG10.html#group40C10", "40C¹⁰"), =HYPERLINK("CSG10.html#group80A10", "80A¹⁰"), =HYPERLINK("CSG12.html#group120B12", "120B¹²"), =HYPERLINK("CSG12.html#group120C12", "120C¹²"), =HYPERLINK("CSG17.html#group40E17", "40E¹⁷"), =HYPERLINK("CSG19.html#group120A19", "120A¹⁹")</f>
        <v/>
      </c>
      <c r="M809">
        <f>HYPERLINK("CSG0.html#group5A0", "5A⁰"), =HYPERLINK("CSG1.html#group10B1", "10B¹"), =HYPERLINK("CSG2.html#group20B2", "20B²"), =HYPERLINK("CSG0.html#group4C0", "4C⁰"), =HYPERLINK("CSG0.html#group8B0", "8B⁰"), =HYPERLINK("CSG0.html#group2B0", "2B⁰"), =HYPERLINK("CSG0.html#group1A0", "1A⁰")</f>
        <v/>
      </c>
      <c r="N809">
        <f>HYPERLINK("CSG8.html#group40B8", "40B⁸"), =HYPERLINK("CSG17.html#group40E17", "40E¹⁷"), =HYPERLINK("CSG17.html#group80G17", "80G¹⁷"), =HYPERLINK("CSG9.html#group80D9", "80D⁹"), =HYPERLINK("CSG24.html#group80A24", "80A²⁴"), =HYPERLINK("CSG10.html#group80A10", "80A¹⁰"), =HYPERLINK("CSG22.html#group40B22", "40B²²"), =HYPERLINK("CSG9.html#group40A9", "40A⁹"), =HYPERLINK("CSG19.html#group160H19", "160H¹⁹"), =HYPERLINK("CSG17.html#group80F17", "80F¹⁷"), =HYPERLINK("CSG22.html#group40J22", "40J²²"), =HYPERLINK("CSG22.html#group40N22", "40N²²"), =HYPERLINK("CSG18.html#group80E18", "80E¹⁸"), =HYPERLINK("CSG19.html#group80H19", "80H¹⁹"), =HYPERLINK("CSG19.html#group160F19", "160F¹⁹"), =HYPERLINK("CSG17.html#group40G17", "40G¹⁷"), =HYPERLINK("CSG19.html#group160E19", "160E¹⁹"), =HYPERLINK("CSG19.html#group120A19", "120A¹⁹"), =HYPERLINK("CSG8.html#group80A8", "80A⁸"), =HYPERLINK("CSG19.html#group160D19", "160D¹⁹"), =HYPERLINK("CSG16.html#group40C16", "40C¹⁶"), =HYPERLINK("CSG22.html#group80B22", "80B²²"), =HYPERLINK("CSG19.html#group80A19", "80A¹⁹"), =HYPERLINK("CSG17.html#group40O17", "40O¹⁷"), =HYPERLINK("CSG19.html#group80F19", "80F¹⁹"), =HYPERLINK("CSG17.html#group80B17", "80B¹⁷"), =HYPERLINK("CSG22.html#group40G22", "40G²²"), =HYPERLINK("CSG24.html#group240B24", "240B²⁴"), =HYPERLINK("CSG8.html#group40F8", "40F⁸"), =HYPERLINK("CSG12.html#group120C12", "120C¹²"), =HYPERLINK("CSG19.html#group80C19", "80C¹⁹"), =HYPERLINK("CSG21.html#group40F21", "40F²¹"), =HYPERLINK("CSG19.html#group160G19", "160G¹⁹"), =HYPERLINK("CSG17.html#group160B17", "160B¹⁷"), =HYPERLINK("CSG10.html#group40C10", "40C¹⁰"), =HYPERLINK("CSG17.html#group40A17", "40A¹⁷"), =HYPERLINK("CSG17.html#group40N17", "40N¹⁷"), =HYPERLINK("CSG18.html#group80C18", "80C¹⁸"), =HYPERLINK("CSG19.html#group80B19", "80B¹⁹"), =HYPERLINK("CSG9.html#group80B9", "80B⁹"), =HYPERLINK("CSG23.html#group40D23", "40D²³"), =HYPERLINK("CSG24.html#group240C24", "240C²⁴"), =HYPERLINK("CSG17.html#group80J17", "80J¹⁷"), =HYPERLINK("CSG12.html#group120B12", "120B¹²")</f>
        <v/>
      </c>
    </row>
    <row r="810">
      <c r="A810" t="inlineStr">
        <is>
          <t>40B⁴</t>
        </is>
      </c>
      <c r="B810" t="inlineStr"/>
      <c r="C810" t="inlineStr">
        <is>
          <t>60</t>
        </is>
      </c>
      <c r="D810" t="inlineStr">
        <is>
          <t>1</t>
        </is>
      </c>
      <c r="E810" t="inlineStr">
        <is>
          <t>30</t>
        </is>
      </c>
      <c r="F810" t="inlineStr">
        <is>
          <t>0</t>
        </is>
      </c>
      <c r="G810" t="inlineStr">
        <is>
          <t>0</t>
        </is>
      </c>
      <c r="H810" t="inlineStr">
        <is>
          <t>5², 10¹, 40¹</t>
        </is>
      </c>
      <c r="I810" t="n">
        <v>4</v>
      </c>
      <c r="J810" t="inlineStr">
        <is>
          <t>1⁴, 2¹, 4⁴, 8¹</t>
        </is>
      </c>
      <c r="K810">
        <f>HYPERLINK("CSG0.html#group8C0", "8C⁰"), =HYPERLINK("CSG2.html#group20A2", "20A²")</f>
        <v/>
      </c>
      <c r="L810">
        <f>HYPERLINK("CSG8.html#group40A8", "40A⁸"), =HYPERLINK("CSG8.html#group40C8", "40C⁸"), =HYPERLINK("CSG8.html#group80B8", "80B⁸"), =HYPERLINK("CSG8.html#group80C8", "80C⁸"), =HYPERLINK("CSG9.html#group80A9", "80A⁹"), =HYPERLINK("CSG10.html#group40D10", "40D¹⁰"), =HYPERLINK("CSG13.html#group40G13", "40G¹³"), =HYPERLINK("CSG14.html#group120A14", "120A¹⁴"), =HYPERLINK("CSG14.html#group120D14", "120D¹⁴"), =HYPERLINK("CSG17.html#group120D17", "120D¹⁷")</f>
        <v/>
      </c>
      <c r="M810">
        <f>HYPERLINK("CSG2.html#group20A2", "20A²"), =HYPERLINK("CSG0.html#group5A0", "5A⁰"), =HYPERLINK("CSG0.html#group8C0", "8C⁰"), =HYPERLINK("CSG0.html#group2B0", "2B⁰"), =HYPERLINK("CSG0.html#group4B0", "4B⁰"), =HYPERLINK("CSG0.html#group1A0", "1A⁰"), =HYPERLINK("CSG1.html#group10B1", "10B¹")</f>
        <v/>
      </c>
      <c r="N810">
        <f>HYPERLINK("CSG8.html#group80C8", "80C⁸"), =HYPERLINK("CSG22.html#group80C22", "80C²²"), =HYPERLINK("CSG19.html#group160B19", "160B¹⁹"), =HYPERLINK("CSG16.html#group160A16", "160A¹⁶"), =HYPERLINK("CSG22.html#group40I22", "40I²²"), =HYPERLINK("CSG22.html#group40A22", "40A²²"), =HYPERLINK("CSG16.html#group40B16", "40B¹⁶"), =HYPERLINK("CSG8.html#group40A8", "40A⁸"), =HYPERLINK("CSG22.html#group80F22", "80F²²"), =HYPERLINK("CSG16.html#group80B16", "80B¹⁶"), =HYPERLINK("CSG22.html#group40D22", "40D²²"), =HYPERLINK("CSG17.html#group80C17", "80C¹⁷"), =HYPERLINK("CSG16.html#group80A16", "80A¹⁶"), =HYPERLINK("CSG19.html#group40M19", "40M¹⁹"), =HYPERLINK("CSG18.html#group80A18", "80A¹⁸"), =HYPERLINK("CSG8.html#group80B8", "80B⁸"), =HYPERLINK("CSG22.html#group80D22", "80D²²"), =HYPERLINK("CSG9.html#group80A9", "80A⁹"), =HYPERLINK("CSG14.html#group120A14", "120A¹⁴"), =HYPERLINK("CSG14.html#group120D14", "120D¹⁴"), =HYPERLINK("CSG18.html#group160A18", "160A¹⁸"), =HYPERLINK("CSG13.html#group40G13", "40G¹³"), =HYPERLINK("CSG22.html#group40K22", "40K²²"), =HYPERLINK("CSG19.html#group160A19", "160A¹⁹"), =HYPERLINK("CSG19.html#group160C19", "160C¹⁹"), =HYPERLINK("CSG17.html#group40A17", "40A¹⁷"), =HYPERLINK("CSG22.html#group80G22", "80G²²"), =HYPERLINK("CSG17.html#group160A17", "160A¹⁷"), =HYPERLINK("CSG10.html#group40D10", "40D¹⁰"), =HYPERLINK("CSG8.html#group40C8", "40C⁸"), =HYPERLINK("CSG17.html#group80A17", "80A¹⁷"), =HYPERLINK("CSG17.html#group120D17", "120D¹⁷")</f>
        <v/>
      </c>
    </row>
    <row r="811">
      <c r="A811" t="inlineStr">
        <is>
          <t>40C⁴</t>
        </is>
      </c>
      <c r="B811" t="inlineStr"/>
      <c r="C811" t="inlineStr">
        <is>
          <t>60</t>
        </is>
      </c>
      <c r="D811" t="inlineStr">
        <is>
          <t>1</t>
        </is>
      </c>
      <c r="E811" t="inlineStr">
        <is>
          <t>30</t>
        </is>
      </c>
      <c r="F811" t="inlineStr">
        <is>
          <t>2</t>
        </is>
      </c>
      <c r="G811" t="inlineStr">
        <is>
          <t>0</t>
        </is>
      </c>
      <c r="H811" t="inlineStr">
        <is>
          <t>10², 40¹</t>
        </is>
      </c>
      <c r="I811" t="n">
        <v>3</v>
      </c>
      <c r="J811" t="inlineStr">
        <is>
          <t>1², 2², 4², 8²</t>
        </is>
      </c>
      <c r="K811">
        <f>HYPERLINK("CSG0.html#group8D0", "8D⁰"), =HYPERLINK("CSG2.html#group20B2", "20B²")</f>
        <v/>
      </c>
      <c r="L811">
        <f>HYPERLINK("CSG8.html#group40A8", "40A⁸"), =HYPERLINK("CSG8.html#group40B8", "40B⁸"), =HYPERLINK("CSG8.html#group80D8", "80D⁸"), =HYPERLINK("CSG9.html#group40B9", "40B⁹"), =HYPERLINK("CSG9.html#group80C9", "80C⁹"), =HYPERLINK("CSG10.html#group40E10", "40E¹⁰"), =HYPERLINK("CSG13.html#group120A13", "120A¹³"), =HYPERLINK("CSG13.html#group120D13", "120D¹³"), =HYPERLINK("CSG15.html#group40D15", "40D¹⁵"), =HYPERLINK("CSG18.html#group120D18", "120D¹⁸")</f>
        <v/>
      </c>
      <c r="M811">
        <f>HYPERLINK("CSG0.html#group5A0", "5A⁰"), =HYPERLINK("CSG0.html#group8D0", "8D⁰"), =HYPERLINK("CSG1.html#group10B1", "10B¹"), =HYPERLINK("CSG2.html#group20B2", "20B²"), =HYPERLINK("CSG0.html#group4C0", "4C⁰"), =HYPERLINK("CSG0.html#group2B0", "2B⁰"), =HYPERLINK("CSG0.html#group1A0", "1A⁰")</f>
        <v/>
      </c>
      <c r="N811">
        <f>HYPERLINK("CSG8.html#group40B8", "40B⁸"), =HYPERLINK("CSG17.html#group80G17", "80G¹⁷"), =HYPERLINK("CSG22.html#group40A22", "40A²²"), =HYPERLINK("CSG16.html#group40B16", "40B¹⁶"), =HYPERLINK("CSG8.html#group40A8", "40A⁸"), =HYPERLINK("CSG21.html#group40I21", "40I²¹"), =HYPERLINK("CSG13.html#group120A13", "120A¹³"), =HYPERLINK("CSG22.html#group80H22", "80H²²"), =HYPERLINK("CSG22.html#group40B22", "40B²²"), =HYPERLINK("CSG16.html#group80A16", "80A¹⁶"), =HYPERLINK("CSG10.html#group40E10", "40E¹⁰"), =HYPERLINK("CSG18.html#group80A18", "80A¹⁸"), =HYPERLINK("CSG18.html#group40C18", "40C¹⁸"), =HYPERLINK("CSG17.html#group80F17", "80F¹⁷"), =HYPERLINK("CSG8.html#group80D8", "80D⁸"), =HYPERLINK("CSG20.html#group40B20", "40B²⁰"), =HYPERLINK("CSG22.html#group80E22", "80E²²"), =HYPERLINK("CSG13.html#group120D13", "120D¹³"), =HYPERLINK("CSG17.html#group160C17", "160C¹⁷"), =HYPERLINK("CSG16.html#group40C16", "40C¹⁶"), =HYPERLINK("CSG24.html#group40B24", "40B²⁴"), =HYPERLINK("CSG9.html#group40B9", "40B⁹"), =HYPERLINK("CSG17.html#group40O17", "40O¹⁷"), =HYPERLINK("CSG17.html#group80B17", "80B¹⁷"), =HYPERLINK("CSG19.html#group80C19", "80C¹⁹"), =HYPERLINK("CSG17.html#group160D17", "160D¹⁷"), =HYPERLINK("CSG19.html#group160I19", "160I¹⁹"), =HYPERLINK("CSG19.html#group80G19", "80G¹⁹"), =HYPERLINK("CSG18.html#group80B18", "80B¹⁸"), =HYPERLINK("CSG15.html#group40D15", "40D¹⁵"), =HYPERLINK("CSG17.html#group40A17", "40A¹⁷"), =HYPERLINK("CSG23.html#group40H23", "40H²³"), =HYPERLINK("CSG18.html#group120D18", "120D¹⁸"), =HYPERLINK("CSG17.html#group40N17", "40N¹⁷"), =HYPERLINK("CSG18.html#group80C18", "80C¹⁸"), =HYPERLINK("CSG17.html#group80A17", "80A¹⁷"), =HYPERLINK("CSG9.html#group80C9", "80C⁹")</f>
        <v/>
      </c>
    </row>
    <row r="812">
      <c r="A812" t="inlineStr">
        <is>
          <t>40D⁴</t>
        </is>
      </c>
      <c r="B812" t="inlineStr"/>
      <c r="C812" t="inlineStr">
        <is>
          <t>80</t>
        </is>
      </c>
      <c r="D812" t="inlineStr">
        <is>
          <t>1</t>
        </is>
      </c>
      <c r="E812" t="inlineStr">
        <is>
          <t>20</t>
        </is>
      </c>
      <c r="F812" t="inlineStr">
        <is>
          <t>0</t>
        </is>
      </c>
      <c r="G812" t="inlineStr">
        <is>
          <t>8</t>
        </is>
      </c>
      <c r="H812" t="inlineStr">
        <is>
          <t>40²</t>
        </is>
      </c>
      <c r="I812" t="n">
        <v>2</v>
      </c>
      <c r="J812" t="inlineStr">
        <is>
          <t>2², 8²</t>
        </is>
      </c>
      <c r="K812">
        <f>HYPERLINK("CSG0.html#group8E0", "8E⁰"), =HYPERLINK("CSG2.html#group20D2", "20D²"), =HYPERLINK("CSG2.html#group40A2", "40A²")</f>
        <v/>
      </c>
      <c r="L812">
        <f>HYPERLINK("CSG8.html#group80E8", "80E⁸"), =HYPERLINK("CSG14.html#group40A14", "40A¹⁴"), =HYPERLINK("CSG16.html#group120A16", "120A¹⁶"), =HYPERLINK("CSG16.html#group120D16", "120D¹⁶"), =HYPERLINK("CSG18.html#group40A18", "40A¹⁸"), =HYPERLINK("CSG18.html#group40B18", "40B¹⁸"), =HYPERLINK("CSG18.html#group120E18", "120E¹⁸"), =HYPERLINK("CSG20.html#group120A20", "120A²⁰"), =HYPERLINK("CSG21.html#group40B21", "40B²¹"), =HYPERLINK("CSG21.html#group40C21", "40C²¹"), =HYPERLINK("CSG23.html#group120L23", "120L²³")</f>
        <v/>
      </c>
      <c r="M812">
        <f>HYPERLINK("CSG0.html#group2A0", "2A⁰"), =HYPERLINK("CSG0.html#group5A0", "5A⁰"), =HYPERLINK("CSG0.html#group10A0", "10A⁰"), =HYPERLINK("CSG2.html#group20D2", "20D²"), =HYPERLINK("CSG0.html#group4A0", "4A⁰"), =HYPERLINK("CSG0.html#group4D0", "4D⁰"), =HYPERLINK("CSG0.html#group8A0", "8A⁰"), =HYPERLINK("CSG0.html#group8E0", "8E⁰"), =HYPERLINK("CSG0.html#group1A0", "1A⁰"), =HYPERLINK("CSG1.html#group20A1", "20A¹"), =HYPERLINK("CSG2.html#group40A2", "40A²")</f>
        <v/>
      </c>
      <c r="N812">
        <f>HYPERLINK("CSG21.html#group40B21", "40B²¹"), =HYPERLINK("CSG20.html#group120A20", "120A²⁰"), =HYPERLINK("CSG21.html#group40C21", "40C²¹"), =HYPERLINK("CSG23.html#group120L23", "120L²³"), =HYPERLINK("CSG18.html#group40B18", "40B¹⁸"), =HYPERLINK("CSG8.html#group80E8", "80E⁸"), =HYPERLINK("CSG16.html#group120D16", "120D¹⁶"), =HYPERLINK("CSG14.html#group40A14", "40A¹⁴"), =HYPERLINK("CSG18.html#group120E18", "120E¹⁸"), =HYPERLINK("CSG16.html#group120A16", "120A¹⁶"), =HYPERLINK("CSG18.html#group40A18", "40A¹⁸")</f>
        <v/>
      </c>
    </row>
    <row r="813">
      <c r="A813" t="inlineStr">
        <is>
          <t>42A⁴</t>
        </is>
      </c>
      <c r="B813" t="inlineStr"/>
      <c r="C813" t="inlineStr">
        <is>
          <t>42</t>
        </is>
      </c>
      <c r="D813" t="inlineStr">
        <is>
          <t>2</t>
        </is>
      </c>
      <c r="E813" t="inlineStr">
        <is>
          <t>7</t>
        </is>
      </c>
      <c r="F813" t="inlineStr">
        <is>
          <t>0</t>
        </is>
      </c>
      <c r="G813" t="inlineStr">
        <is>
          <t>0</t>
        </is>
      </c>
      <c r="H813" t="inlineStr">
        <is>
          <t>42¹</t>
        </is>
      </c>
      <c r="I813" t="n">
        <v>1</v>
      </c>
      <c r="J813" t="inlineStr">
        <is>
          <t>2¹, 6²</t>
        </is>
      </c>
      <c r="K813">
        <f>HYPERLINK("CSG0.html#group21A0", "21A⁰"), =HYPERLINK("CSG1.html#group6A1", "6A¹"), =HYPERLINK("CSG1.html#group14A1", "14A¹")</f>
        <v/>
      </c>
      <c r="L813">
        <f>HYPERLINK("CSG7.html#group42A7", "42A⁷"), =HYPERLINK("CSG7.html#group42B7", "42B⁷"), =HYPERLINK("CSG7.html#group42C7", "42C⁷"), =HYPERLINK("CSG10.html#group42A10", "42A¹⁰"), =HYPERLINK("CSG10.html#group42C10", "42C¹⁰"), =HYPERLINK("CSG11.html#group126A11", "126A¹¹"), =HYPERLINK("CSG13.html#group42A13", "42A¹³"), =HYPERLINK("CSG14.html#group84A14", "84A¹⁴"), =HYPERLINK("CSG18.html#group210A18", "210A¹⁸"), =HYPERLINK("CSG21.html#group210A21", "210A²¹")</f>
        <v/>
      </c>
      <c r="M813">
        <f>HYPERLINK("CSG0.html#group2A0", "2A⁰"), =HYPERLINK("CSG1.html#group14A1", "14A¹"), =HYPERLINK("CSG0.html#group21A0", "21A⁰"), =HYPERLINK("CSG1.html#group6A1", "6A¹"), =HYPERLINK("CSG0.html#group3A0", "3A⁰"), =HYPERLINK("CSG0.html#group1A0", "1A⁰"), =HYPERLINK("CSG0.html#group7A0", "7A⁰")</f>
        <v/>
      </c>
      <c r="N813">
        <f>HYPERLINK("CSG21.html#group126D21", "126D²¹"), =HYPERLINK("CSG20.html#group84H20", "84H²⁰"), =HYPERLINK("CSG19.html#group42M19", "42M¹⁹"), =HYPERLINK("CSG7.html#group42B7", "42B⁷"), =HYPERLINK("CSG14.html#group84A14", "84A¹⁴"), =HYPERLINK("CSG10.html#group42C10", "42C¹⁰"), =HYPERLINK("CSG21.html#group126H21", "126H²¹"), =HYPERLINK("CSG20.html#group84F20", "84F²⁰"), =HYPERLINK("CSG10.html#group42A10", "42A¹⁰"), =HYPERLINK("CSG19.html#group42B19", "42B¹⁹"), =HYPERLINK("CSG18.html#group210A18", "210A¹⁸"), =HYPERLINK("CSG19.html#group42E19", "42E¹⁹"), =HYPERLINK("CSG13.html#group42A13", "42A¹³"), =HYPERLINK("CSG21.html#group210A21", "210A²¹"), =HYPERLINK("CSG19.html#group42F19", "42F¹⁹"), =HYPERLINK("CSG11.html#group126A11", "126A¹¹"), =HYPERLINK("CSG19.html#group42G19", "42G¹⁹"), =HYPERLINK("CSG19.html#group42K19", "42K¹⁹"), =HYPERLINK("CSG21.html#group126C21", "126C²¹"), =HYPERLINK("CSG13.html#group42D13", "42D¹³"), =HYPERLINK("CSG21.html#group126A21", "126A²¹"), =HYPERLINK("CSG13.html#group42C13", "42C¹³"), =HYPERLINK("CSG21.html#group126G21", "126G²¹"), =HYPERLINK("CSG21.html#group126F21", "126F²¹"), =HYPERLINK("CSG19.html#group42D19", "42D¹⁹"), =HYPERLINK("CSG20.html#group84B20", "84B²⁰"), =HYPERLINK("CSG21.html#group126B21", "126B²¹"), =HYPERLINK("CSG19.html#group42L19", "42L¹⁹"), =HYPERLINK("CSG13.html#group42E13", "42E¹³"), =HYPERLINK("CSG20.html#group84C20", "84C²⁰"), =HYPERLINK("CSG7.html#group42A7", "42A⁷"), =HYPERLINK("CSG21.html#group126I21", "126I²¹"), =HYPERLINK("CSG7.html#group42C7", "42C⁷"), =HYPERLINK("CSG20.html#group126E20", "126E²⁰"), =HYPERLINK("CSG19.html#group42J19", "42J¹⁹"), =HYPERLINK("CSG21.html#group126E21", "126E²¹")</f>
        <v/>
      </c>
    </row>
    <row r="814">
      <c r="A814" t="inlineStr">
        <is>
          <t>42B⁴</t>
        </is>
      </c>
      <c r="B814" t="inlineStr"/>
      <c r="C814" t="inlineStr">
        <is>
          <t>48</t>
        </is>
      </c>
      <c r="D814" t="inlineStr">
        <is>
          <t>1</t>
        </is>
      </c>
      <c r="E814" t="inlineStr">
        <is>
          <t>8</t>
        </is>
      </c>
      <c r="F814" t="inlineStr">
        <is>
          <t>0</t>
        </is>
      </c>
      <c r="G814" t="inlineStr">
        <is>
          <t>0</t>
        </is>
      </c>
      <c r="H814" t="inlineStr">
        <is>
          <t>6¹, 42¹</t>
        </is>
      </c>
      <c r="I814" t="n">
        <v>2</v>
      </c>
      <c r="J814" t="inlineStr">
        <is>
          <t>1², 6¹</t>
        </is>
      </c>
      <c r="K814">
        <f>HYPERLINK("CSG0.html#group14B0", "14B⁰"), =HYPERLINK("CSG1.html#group6A1", "6A¹"), =HYPERLINK("CSG2.html#group21A2", "21A²")</f>
        <v/>
      </c>
      <c r="L814">
        <f>HYPERLINK("CSG7.html#group42E7", "42E⁷"), =HYPERLINK("CSG8.html#group84A8", "84A⁸"), =HYPERLINK("CSG8.html#group84B8", "84B⁸"), =HYPERLINK("CSG10.html#group42D10", "42D¹⁰"), =HYPERLINK("CSG10.html#group42E10", "42E¹⁰"), =HYPERLINK("CSG10.html#group42G10", "42G¹⁰"), =HYPERLINK("CSG12.html#group126B12", "126B¹²"), =HYPERLINK("CSG15.html#group84C15", "84C¹⁵"), =HYPERLINK("CSG20.html#group210A20", "210A²⁰"), =HYPERLINK("CSG23.html#group210B23", "210B²³")</f>
        <v/>
      </c>
      <c r="M814">
        <f>HYPERLINK("CSG0.html#group2A0", "2A⁰"), =HYPERLINK("CSG2.html#group21A2", "21A²"), =HYPERLINK("CSG0.html#group7B0", "7B⁰"), =HYPERLINK("CSG0.html#group14B0", "14B⁰"), =HYPERLINK("CSG1.html#group6A1", "6A¹"), =HYPERLINK("CSG0.html#group3A0", "3A⁰"), =HYPERLINK("CSG0.html#group1A0", "1A⁰")</f>
        <v/>
      </c>
      <c r="N814">
        <f>HYPERLINK("CSG23.html#group210B23", "210B²³"), =HYPERLINK("CSG19.html#group42Q19", "42Q¹⁹"), =HYPERLINK("CSG10.html#group42G10", "42G¹⁰"), =HYPERLINK("CSG24.html#group252D24", "252D²⁴"), =HYPERLINK("CSG19.html#group42O19", "42O¹⁹"), =HYPERLINK("CSG19.html#group42P19", "42P¹⁹"), =HYPERLINK("CSG20.html#group84I20", "84I²⁰"), =HYPERLINK("CSG20.html#group84K20", "84K²⁰"), =HYPERLINK("CSG15.html#group84C15", "84C¹⁵"), =HYPERLINK("CSG23.html#group126D23", "126D²³"), =HYPERLINK("CSG22.html#group84E22", "84E²²"), =HYPERLINK("CSG8.html#group84A8", "84A⁸"), =HYPERLINK("CSG23.html#group126H23", "126H²³"), =HYPERLINK("CSG15.html#group84B15", "84B¹⁵"), =HYPERLINK("CSG15.html#group84A15", "84A¹⁵"), =HYPERLINK("CSG8.html#group84B8", "84B⁸"), =HYPERLINK("CSG22.html#group84F22", "84F²²"), =HYPERLINK("CSG7.html#group42E7", "42E⁷"), =HYPERLINK("CSG23.html#group126F23", "126F²³"), =HYPERLINK("CSG22.html#group84A22", "84A²²"), =HYPERLINK("CSG23.html#group126B23", "126B²³"), =HYPERLINK("CSG21.html#group84A21", "84A²¹"), =HYPERLINK("CSG13.html#group42G13", "42G¹³"), =HYPERLINK("CSG20.html#group210A20", "210A²⁰"), =HYPERLINK("CSG23.html#group126E23", "126E²³"), =HYPERLINK("CSG10.html#group42E10", "42E¹⁰"), =HYPERLINK("CSG24.html#group252A24", "252A²⁴"), =HYPERLINK("CSG24.html#group252B24", "252B²⁴"), =HYPERLINK("CSG22.html#group84D22", "84D²²"), =HYPERLINK("CSG12.html#group126B12", "126B¹²"), =HYPERLINK("CSG21.html#group84F21", "84F²¹"), =HYPERLINK("CSG22.html#group84B22", "84B²²"), =HYPERLINK("CSG10.html#group42D10", "42D¹⁰"), =HYPERLINK("CSG22.html#group84H22", "84H²²"), =HYPERLINK("CSG21.html#group126M21", "126M²¹")</f>
        <v/>
      </c>
    </row>
    <row r="815">
      <c r="A815" t="inlineStr">
        <is>
          <t>42C⁴</t>
        </is>
      </c>
      <c r="B815" t="inlineStr"/>
      <c r="C815" t="inlineStr">
        <is>
          <t>48</t>
        </is>
      </c>
      <c r="D815" t="inlineStr">
        <is>
          <t>1</t>
        </is>
      </c>
      <c r="E815" t="inlineStr">
        <is>
          <t>24</t>
        </is>
      </c>
      <c r="F815" t="inlineStr">
        <is>
          <t>0</t>
        </is>
      </c>
      <c r="G815" t="inlineStr">
        <is>
          <t>0</t>
        </is>
      </c>
      <c r="H815" t="inlineStr">
        <is>
          <t>6¹, 42¹</t>
        </is>
      </c>
      <c r="I815" t="n">
        <v>2</v>
      </c>
      <c r="J815" t="inlineStr">
        <is>
          <t>1², 2², 6¹, 12¹</t>
        </is>
      </c>
      <c r="K815">
        <f>HYPERLINK("CSG0.html#group6B0", "6B⁰"), =HYPERLINK("CSG2.html#group21A2", "21A²")</f>
        <v/>
      </c>
      <c r="L815">
        <f>HYPERLINK("CSG7.html#group42D7", "42D⁷"), =HYPERLINK("CSG7.html#group42E7", "42E⁷"), =HYPERLINK("CSG10.html#group42H10", "42H¹⁰"), =HYPERLINK("CSG10.html#group42I10", "42I¹⁰"), =HYPERLINK("CSG12.html#group126A12", "126A¹²"), =HYPERLINK("CSG12.html#group126C12", "126C¹²"), =HYPERLINK("CSG12.html#group126D12", "126D¹²"), =HYPERLINK("CSG15.html#group84E15", "84E¹⁵"), =HYPERLINK("CSG20.html#group210B20", "210B²⁰"), =HYPERLINK("CSG23.html#group210E23", "210E²³")</f>
        <v/>
      </c>
      <c r="M815">
        <f>HYPERLINK("CSG0.html#group6B0", "6B⁰"), =HYPERLINK("CSG2.html#group21A2", "21A²"), =HYPERLINK("CSG0.html#group3A0", "3A⁰"), =HYPERLINK("CSG0.html#group1A0", "1A⁰"), =HYPERLINK("CSG0.html#group7B0", "7B⁰")</f>
        <v/>
      </c>
      <c r="N815">
        <f>HYPERLINK("CSG7.html#group42E7", "42E⁷"), =HYPERLINK("CSG12.html#group126A12", "126A¹²"), =HYPERLINK("CSG23.html#group126F23", "126F²³"), =HYPERLINK("CSG19.html#group42Q19", "42Q¹⁹"), =HYPERLINK("CSG7.html#group42D7", "42D⁷"), =HYPERLINK("CSG15.html#group84D15", "84D¹⁵"), =HYPERLINK("CSG19.html#group42N19", "42N¹⁹"), =HYPERLINK("CSG21.html#group84C21", "84C²¹"), =HYPERLINK("CSG12.html#group126D12", "126D¹²"), =HYPERLINK("CSG23.html#group126B23", "126B²³"), =HYPERLINK("CSG23.html#group126C23", "126C²³"), =HYPERLINK("CSG19.html#group42O19", "42O¹⁹"), =HYPERLINK("CSG13.html#group42G13", "42G¹³"), =HYPERLINK("CSG10.html#group42I10", "42I¹⁰"), =HYPERLINK("CSG23.html#group126E23", "126E²³"), =HYPERLINK("CSG19.html#group42P19", "42P¹⁹"), =HYPERLINK("CSG21.html#group126N21", "126N²¹"), =HYPERLINK("CSG23.html#group210E23", "210E²³"), =HYPERLINK("CSG20.html#group210B20", "210B²⁰"), =HYPERLINK("CSG23.html#group126A23", "126A²³"), =HYPERLINK("CSG21.html#group126L21", "126L²¹"), =HYPERLINK("CSG23.html#group126D23", "126D²³"), =HYPERLINK("CSG23.html#group126G23", "126G²³"), =HYPERLINK("CSG23.html#group126I23", "126I²³"), =HYPERLINK("CSG23.html#group126H23", "126H²³"), =HYPERLINK("CSG10.html#group42H10", "42H¹⁰"), =HYPERLINK("CSG21.html#group84E21", "84E²¹"), =HYPERLINK("CSG15.html#group84E15", "84E¹⁵"), =HYPERLINK("CSG15.html#group84B15", "84B¹⁵"), =HYPERLINK("CSG12.html#group126C12", "126C¹²"), =HYPERLINK("CSG15.html#group84A15", "84A¹⁵"), =HYPERLINK("CSG21.html#group84H21", "84H²¹"), =HYPERLINK("CSG19.html#group42R19", "42R¹⁹"), =HYPERLINK("CSG21.html#group126M21", "126M²¹")</f>
        <v/>
      </c>
    </row>
    <row r="816">
      <c r="A816" t="inlineStr">
        <is>
          <t>42D⁴</t>
        </is>
      </c>
      <c r="B816" t="inlineStr"/>
      <c r="C816" t="inlineStr">
        <is>
          <t>56</t>
        </is>
      </c>
      <c r="D816" t="inlineStr">
        <is>
          <t>2</t>
        </is>
      </c>
      <c r="E816" t="inlineStr">
        <is>
          <t>28</t>
        </is>
      </c>
      <c r="F816" t="inlineStr">
        <is>
          <t>0</t>
        </is>
      </c>
      <c r="G816" t="inlineStr">
        <is>
          <t>2</t>
        </is>
      </c>
      <c r="H816" t="inlineStr">
        <is>
          <t>14¹, 42¹</t>
        </is>
      </c>
      <c r="I816" t="n">
        <v>2</v>
      </c>
      <c r="J816" t="inlineStr">
        <is>
          <t>2², 4¹, 6⁴, 12²</t>
        </is>
      </c>
      <c r="K816">
        <f>HYPERLINK("CSG0.html#group14A0", "14A⁰"), =HYPERLINK("CSG2.html#group21B2", "21B²")</f>
        <v/>
      </c>
      <c r="L816">
        <f>HYPERLINK("CSG7.html#group42F7", "42F⁷"), =HYPERLINK("CSG11.html#group42D11", "42D¹¹"), =HYPERLINK("CSG12.html#group42F12", "42F¹²"), =HYPERLINK("CSG12.html#group42G12", "42G¹²"), =HYPERLINK("CSG12.html#group126E12", "126E¹²"), =HYPERLINK("CSG13.html#group42B13", "42B¹³"), =HYPERLINK("CSG13.html#group126A13", "126A¹³"), =HYPERLINK("CSG14.html#group126A14", "126A¹⁴"), =HYPERLINK("CSG15.html#group42A15", "42A¹⁵"), =HYPERLINK("CSG17.html#group84A17", "84A¹⁷"), =HYPERLINK("CSG22.html#group210A22", "210A²²")</f>
        <v/>
      </c>
      <c r="M816">
        <f>HYPERLINK("CSG0.html#group3B0", "3B⁰"), =HYPERLINK("CSG0.html#group14A0", "14A⁰"), =HYPERLINK("CSG2.html#group21B2", "21B²"), =HYPERLINK("CSG0.html#group1A0", "1A⁰"), =HYPERLINK("CSG0.html#group7A0", "7A⁰")</f>
        <v/>
      </c>
      <c r="N816">
        <f>HYPERLINK("CSG12.html#group126E12", "126E¹²"), =HYPERLINK("CSG23.html#group42E23", "42E²³"), =HYPERLINK("CSG23.html#group126J23", "126J²³"), =HYPERLINK("CSG23.html#group42C23", "42C²³"), =HYPERLINK("CSG24.html#group126A24", "126A²⁴"), =HYPERLINK("CSG13.html#group42B13", "42B¹³"), =HYPERLINK("CSG15.html#group42A15", "42A¹⁵"), =HYPERLINK("CSG24.html#group42B24", "42B²⁴"), =HYPERLINK("CSG23.html#group42F23", "42F²³"), =HYPERLINK("CSG7.html#group42F7", "42F⁷"), =HYPERLINK("CSG11.html#group42D11", "42D¹¹"), =HYPERLINK("CSG15.html#group84G15", "84G¹⁵"), =HYPERLINK("CSG21.html#group42D21", "42D²¹"), =HYPERLINK("CSG12.html#group42G12", "42G¹²"), =HYPERLINK("CSG23.html#group42I23", "42I²³"), =HYPERLINK("CSG13.html#group126A13", "126A¹³"), =HYPERLINK("CSG23.html#group42H23", "42H²³"), =HYPERLINK("CSG22.html#group210A22", "210A²²"), =HYPERLINK("CSG12.html#group42F12", "42F¹²"), =HYPERLINK("CSG17.html#group84A17", "84A¹⁷"), =HYPERLINK("CSG23.html#group126K23", "126K²³"), =HYPERLINK("CSG14.html#group126A14", "126A¹⁴"), =HYPERLINK("CSG23.html#group126L23", "126L²³"), =HYPERLINK("CSG23.html#group42G23", "42G²³")</f>
        <v/>
      </c>
    </row>
    <row r="817">
      <c r="A817" t="inlineStr">
        <is>
          <t>42E⁴</t>
        </is>
      </c>
      <c r="B817" t="inlineStr"/>
      <c r="C817" t="inlineStr">
        <is>
          <t>56</t>
        </is>
      </c>
      <c r="D817" t="inlineStr">
        <is>
          <t>2</t>
        </is>
      </c>
      <c r="E817" t="inlineStr">
        <is>
          <t>28</t>
        </is>
      </c>
      <c r="F817" t="inlineStr">
        <is>
          <t>0</t>
        </is>
      </c>
      <c r="G817" t="inlineStr">
        <is>
          <t>2</t>
        </is>
      </c>
      <c r="H817" t="inlineStr">
        <is>
          <t>14¹, 42¹</t>
        </is>
      </c>
      <c r="I817" t="n">
        <v>2</v>
      </c>
      <c r="J817" t="inlineStr">
        <is>
          <t>2², 4¹, 6⁴, 12²</t>
        </is>
      </c>
      <c r="K817">
        <f>HYPERLINK("CSG0.html#group6C0", "6C⁰"), =HYPERLINK("CSG1.html#group14A1", "14A¹"), =HYPERLINK("CSG2.html#group21B2", "21B²")</f>
        <v/>
      </c>
      <c r="L817">
        <f>HYPERLINK("CSG7.html#group42F7", "42F⁷"), =HYPERLINK("CSG8.html#group84D8", "84D⁸"), =HYPERLINK("CSG8.html#group84E8", "84E⁸"), =HYPERLINK("CSG12.html#group42C12", "42C¹²"), =HYPERLINK("CSG12.html#group42D12", "42D¹²"), =HYPERLINK("CSG12.html#group42E12", "42E¹²"), =HYPERLINK("CSG12.html#group126F12", "126F¹²"), =HYPERLINK("CSG12.html#group126G12", "126G¹²"), =HYPERLINK("CSG13.html#group42C13", "42C¹³"), =HYPERLINK("CSG13.html#group126B13", "126B¹³"), =HYPERLINK("CSG13.html#group126C13", "126C¹³"), =HYPERLINK("CSG14.html#group126B14", "126B¹⁴"), =HYPERLINK("CSG14.html#group126C14", "126C¹⁴"), =HYPERLINK("CSG15.html#group42B15", "42B¹⁵"), =HYPERLINK("CSG17.html#group84C17", "84C¹⁷"), =HYPERLINK("CSG22.html#group210B22", "210B²²")</f>
        <v/>
      </c>
      <c r="M817">
        <f>HYPERLINK("CSG0.html#group3B0", "3B⁰"), =HYPERLINK("CSG0.html#group2A0", "2A⁰"), =HYPERLINK("CSG2.html#group21B2", "21B²"), =HYPERLINK("CSG0.html#group6C0", "6C⁰"), =HYPERLINK("CSG1.html#group14A1", "14A¹"), =HYPERLINK("CSG0.html#group1A0", "1A⁰"), =HYPERLINK("CSG0.html#group7A0", "7A⁰")</f>
        <v/>
      </c>
      <c r="N817">
        <f>HYPERLINK("CSG8.html#group84D8", "84D⁸"), =HYPERLINK("CSG12.html#group126G12", "126G¹²"), =HYPERLINK("CSG23.html#group42E23", "42E²³"), =HYPERLINK("CSG13.html#group42C13", "42C¹³"), =HYPERLINK("CSG23.html#group126J23", "126J²³"), =HYPERLINK("CSG22.html#group210B22", "210B²²"), =HYPERLINK("CSG24.html#group126A24", "126A²⁴"), =HYPERLINK("CSG15.html#group42B15", "42B¹⁵"), =HYPERLINK("CSG17.html#group84C17", "84C¹⁷"), =HYPERLINK("CSG24.html#group252E24", "252E²⁴"), =HYPERLINK("CSG23.html#group42F23", "42F²³"), =HYPERLINK("CSG24.html#group42B24", "42B²⁴"), =HYPERLINK("CSG7.html#group42F7", "42F⁷"), =HYPERLINK("CSG24.html#group84B24", "84B²⁴"), =HYPERLINK("CSG14.html#group126B14", "126B¹⁴"), =HYPERLINK("CSG8.html#group84E8", "84E⁸"), =HYPERLINK("CSG12.html#group42E12", "42E¹²"), =HYPERLINK("CSG23.html#group42G23", "42G²³"), =HYPERLINK("CSG24.html#group252F24", "252F²⁴"), =HYPERLINK("CSG21.html#group42D21", "42D²¹"), =HYPERLINK("CSG13.html#group126B13", "126B¹³"), =HYPERLINK("CSG23.html#group42H23", "42H²³"), =HYPERLINK("CSG13.html#group126C13", "126C¹³"), =HYPERLINK("CSG24.html#group84A24", "84A²⁴"), =HYPERLINK("CSG12.html#group42D12", "42D¹²"), =HYPERLINK("CSG23.html#group42D23", "42D²³"), =HYPERLINK("CSG12.html#group126F12", "126F¹²"), =HYPERLINK("CSG12.html#group42C12", "42C¹²"), =HYPERLINK("CSG15.html#group84G15", "84G¹⁵"), =HYPERLINK("CSG23.html#group126K23", "126K²³"), =HYPERLINK("CSG23.html#group126L23", "126L²³"), =HYPERLINK("CSG14.html#group126C14", "126C¹⁴")</f>
        <v/>
      </c>
    </row>
    <row r="818">
      <c r="A818" t="inlineStr">
        <is>
          <t>42F⁴</t>
        </is>
      </c>
      <c r="B818" t="inlineStr"/>
      <c r="C818" t="inlineStr">
        <is>
          <t>84</t>
        </is>
      </c>
      <c r="D818" t="inlineStr">
        <is>
          <t>2</t>
        </is>
      </c>
      <c r="E818" t="inlineStr">
        <is>
          <t>21</t>
        </is>
      </c>
      <c r="F818" t="inlineStr">
        <is>
          <t>12</t>
        </is>
      </c>
      <c r="G818" t="inlineStr">
        <is>
          <t>0</t>
        </is>
      </c>
      <c r="H818" t="inlineStr">
        <is>
          <t>42²</t>
        </is>
      </c>
      <c r="I818" t="n">
        <v>2</v>
      </c>
      <c r="J818" t="inlineStr">
        <is>
          <t>2¹, 4¹, 6², 12²</t>
        </is>
      </c>
      <c r="K818">
        <f>HYPERLINK("CSG0.html#group6E0", "6E⁰"), =HYPERLINK("CSG1.html#group42B1", "42B¹"), =HYPERLINK("CSG2.html#group21D2", "21D²")</f>
        <v/>
      </c>
      <c r="L818">
        <f>HYPERLINK("CSG9.html#group42C9", "42C⁹"), =HYPERLINK("CSG11.html#group42B11", "42B¹¹"), =HYPERLINK("CSG11.html#group84E11", "84E¹¹"), =HYPERLINK("CSG11.html#group84F11", "84F¹¹"), =HYPERLINK("CSG12.html#group126J12", "126J¹²"), =HYPERLINK("CSG13.html#group42C13", "42C¹³"), =HYPERLINK("CSG14.html#group42A14", "42A¹⁴"), =HYPERLINK("CSG16.html#group42E16", "42E¹⁶"), =HYPERLINK("CSG17.html#group126E17", "126E¹⁷"), =HYPERLINK("CSG17.html#group126H17", "126H¹⁷"), =HYPERLINK("CSG18.html#group126D18", "126D¹⁸"), =HYPERLINK("CSG18.html#group126E18", "126E¹⁸"), =HYPERLINK("CSG18.html#group126J18", "126J¹⁸"), =HYPERLINK("CSG18.html#group126K18", "126K¹⁸"), =HYPERLINK("CSG21.html#group42A21", "42A²¹"), =HYPERLINK("CSG21.html#group84N21", "84N²¹")</f>
        <v/>
      </c>
      <c r="M818">
        <f>HYPERLINK("CSG2.html#group21D2", "21D²"), =HYPERLINK("CSG0.html#group6B0", "6B⁰"), =HYPERLINK("CSG0.html#group6E0", "6E⁰"), =HYPERLINK("CSG0.html#group21A0", "21A⁰"), =HYPERLINK("CSG0.html#group3C0", "3C⁰"), =HYPERLINK("CSG1.html#group42B1", "42B¹"), =HYPERLINK("CSG0.html#group3A0", "3A⁰"), =HYPERLINK("CSG0.html#group1A0", "1A⁰"), =HYPERLINK("CSG0.html#group7A0", "7A⁰")</f>
        <v/>
      </c>
      <c r="N818">
        <f>HYPERLINK("CSG13.html#group42C13", "42C¹³"), =HYPERLINK("CSG16.html#group42E16", "42E¹⁶"), =HYPERLINK("CSG18.html#group126E18", "126E¹⁸"), =HYPERLINK("CSG12.html#group126J12", "126J¹²"), =HYPERLINK("CSG17.html#group126E17", "126E¹⁷"), =HYPERLINK("CSG11.html#group42B11", "42B¹¹"), =HYPERLINK("CSG21.html#group84N21", "84N²¹"), =HYPERLINK("CSG11.html#group84F11", "84F¹¹"), =HYPERLINK("CSG14.html#group42A14", "42A¹⁴"), =HYPERLINK("CSG23.html#group84A23", "84A²³"), =HYPERLINK("CSG9.html#group42C9", "42C⁹"), =HYPERLINK("CSG17.html#group126H17", "126H¹⁷"), =HYPERLINK("CSG18.html#group126D18", "126D¹⁸"), =HYPERLINK("CSG21.html#group42A21", "42A²¹"), =HYPERLINK("CSG18.html#group126J18", "126J¹⁸"), =HYPERLINK("CSG11.html#group84E11", "84E¹¹"), =HYPERLINK("CSG18.html#group126K18", "126K¹⁸")</f>
        <v/>
      </c>
    </row>
    <row r="819">
      <c r="A819" t="inlineStr">
        <is>
          <t>42G⁴</t>
        </is>
      </c>
      <c r="B819" t="inlineStr"/>
      <c r="C819" t="inlineStr">
        <is>
          <t>84</t>
        </is>
      </c>
      <c r="D819" t="inlineStr">
        <is>
          <t>2</t>
        </is>
      </c>
      <c r="E819" t="inlineStr">
        <is>
          <t>21</t>
        </is>
      </c>
      <c r="F819" t="inlineStr">
        <is>
          <t>12</t>
        </is>
      </c>
      <c r="G819" t="inlineStr">
        <is>
          <t>0</t>
        </is>
      </c>
      <c r="H819" t="inlineStr">
        <is>
          <t>42²</t>
        </is>
      </c>
      <c r="I819" t="n">
        <v>2</v>
      </c>
      <c r="J819" t="inlineStr">
        <is>
          <t>4³, 12⁶</t>
        </is>
      </c>
      <c r="K819">
        <f>HYPERLINK("CSG1.html#group21D1", "21D¹"), =HYPERLINK("CSG1.html#group42B1", "42B¹"), =HYPERLINK("CSG2.html#group42A2", "42A²")</f>
        <v/>
      </c>
      <c r="L819">
        <f>HYPERLINK("CSG9.html#group42C9", "42C⁹"), =HYPERLINK("CSG11.html#group42B11", "42B¹¹"), =HYPERLINK("CSG13.html#group42D13", "42D¹³"), =HYPERLINK("CSG14.html#group42E14", "42E¹⁴"), =HYPERLINK("CSG14.html#group126E14", "126E¹⁴"), =HYPERLINK("CSG16.html#group42H16", "42H¹⁶"), =HYPERLINK("CSG16.html#group126A16", "126A¹⁶"), =HYPERLINK("CSG16.html#group126C16", "126C¹⁶"), =HYPERLINK("CSG18.html#group126B18", "126B¹⁸"), =HYPERLINK("CSG18.html#group126H18", "126H¹⁸"), =HYPERLINK("CSG21.html#group42E21", "42E²¹"), =HYPERLINK("CSG21.html#group84O21", "84O²¹")</f>
        <v/>
      </c>
      <c r="M819">
        <f>HYPERLINK("CSG0.html#group6B0", "6B⁰"), =HYPERLINK("CSG2.html#group42A2", "42A²"), =HYPERLINK("CSG1.html#group21D1", "21D¹"), =HYPERLINK("CSG0.html#group21A0", "21A⁰"), =HYPERLINK("CSG1.html#group42B1", "42B¹"), =HYPERLINK("CSG0.html#group3A0", "3A⁰"), =HYPERLINK("CSG0.html#group1A0", "1A⁰"), =HYPERLINK("CSG0.html#group7A0", "7A⁰")</f>
        <v/>
      </c>
      <c r="N819">
        <f>HYPERLINK("CSG11.html#group42B11", "42B¹¹"), =HYPERLINK("CSG16.html#group42H16", "42H¹⁶"), =HYPERLINK("CSG13.html#group42D13", "42D¹³"), =HYPERLINK("CSG14.html#group126E14", "126E¹⁴"), =HYPERLINK("CSG21.html#group42E21", "42E²¹"), =HYPERLINK("CSG23.html#group84A23", "84A²³"), =HYPERLINK("CSG16.html#group126A16", "126A¹⁶"), =HYPERLINK("CSG9.html#group42C9", "42C⁹"), =HYPERLINK("CSG18.html#group126B18", "126B¹⁸"), =HYPERLINK("CSG16.html#group126C16", "126C¹⁶"), =HYPERLINK("CSG18.html#group126H18", "126H¹⁸"), =HYPERLINK("CSG21.html#group84O21", "84O²¹"), =HYPERLINK("CSG14.html#group42E14", "42E¹⁴")</f>
        <v/>
      </c>
    </row>
    <row r="820">
      <c r="A820" t="inlineStr">
        <is>
          <t>42H⁴</t>
        </is>
      </c>
      <c r="B820" t="inlineStr"/>
      <c r="C820" t="inlineStr">
        <is>
          <t>84</t>
        </is>
      </c>
      <c r="D820" t="inlineStr">
        <is>
          <t>2</t>
        </is>
      </c>
      <c r="E820" t="inlineStr">
        <is>
          <t>21</t>
        </is>
      </c>
      <c r="F820" t="inlineStr">
        <is>
          <t>12</t>
        </is>
      </c>
      <c r="G820" t="inlineStr">
        <is>
          <t>0</t>
        </is>
      </c>
      <c r="H820" t="inlineStr">
        <is>
          <t>42²</t>
        </is>
      </c>
      <c r="I820" t="n">
        <v>2</v>
      </c>
      <c r="J820" t="inlineStr">
        <is>
          <t>4³, 12⁶</t>
        </is>
      </c>
      <c r="K820">
        <f>HYPERLINK("CSG1.html#group21D1", "21D¹"), =HYPERLINK("CSG1.html#group42B1", "42B¹"), =HYPERLINK("CSG2.html#group42A2", "42A²")</f>
        <v/>
      </c>
      <c r="L820">
        <f>HYPERLINK("CSG9.html#group42C9", "42C⁹"), =HYPERLINK("CSG11.html#group42B11", "42B¹¹"), =HYPERLINK("CSG13.html#group42D13", "42D¹³"), =HYPERLINK("CSG14.html#group42F14", "42F¹⁴"), =HYPERLINK("CSG14.html#group126F14", "126F¹⁴"), =HYPERLINK("CSG16.html#group42I16", "42I¹⁶"), =HYPERLINK("CSG16.html#group126B16", "126B¹⁶"), =HYPERLINK("CSG16.html#group126D16", "126D¹⁶"), =HYPERLINK("CSG18.html#group126C18", "126C¹⁸"), =HYPERLINK("CSG18.html#group126I18", "126I¹⁸"), =HYPERLINK("CSG21.html#group42E21", "42E²¹"), =HYPERLINK("CSG21.html#group84P21", "84P²¹")</f>
        <v/>
      </c>
      <c r="M820">
        <f>HYPERLINK("CSG0.html#group6B0", "6B⁰"), =HYPERLINK("CSG2.html#group42A2", "42A²"), =HYPERLINK("CSG1.html#group21D1", "21D¹"), =HYPERLINK("CSG0.html#group21A0", "21A⁰"), =HYPERLINK("CSG1.html#group42B1", "42B¹"), =HYPERLINK("CSG0.html#group3A0", "3A⁰"), =HYPERLINK("CSG0.html#group1A0", "1A⁰"), =HYPERLINK("CSG0.html#group7A0", "7A⁰")</f>
        <v/>
      </c>
      <c r="N820">
        <f>HYPERLINK("CSG11.html#group42B11", "42B¹¹"), =HYPERLINK("CSG13.html#group42D13", "42D¹³"), =HYPERLINK("CSG21.html#group84P21", "84P²¹"), =HYPERLINK("CSG14.html#group126F14", "126F¹⁴"), =HYPERLINK("CSG16.html#group126D16", "126D¹⁶"), =HYPERLINK("CSG18.html#group126C18", "126C¹⁸"), =HYPERLINK("CSG18.html#group126I18", "126I¹⁸"), =HYPERLINK("CSG21.html#group42E21", "42E²¹"), =HYPERLINK("CSG23.html#group84A23", "84A²³"), =HYPERLINK("CSG9.html#group42C9", "42C⁹"), =HYPERLINK("CSG16.html#group42I16", "42I¹⁶"), =HYPERLINK("CSG16.html#group126B16", "126B¹⁶"), =HYPERLINK("CSG14.html#group42F14", "42F¹⁴")</f>
        <v/>
      </c>
    </row>
    <row r="821">
      <c r="A821" t="inlineStr">
        <is>
          <t>42I⁴</t>
        </is>
      </c>
      <c r="B821" t="inlineStr"/>
      <c r="C821" t="inlineStr">
        <is>
          <t>126</t>
        </is>
      </c>
      <c r="D821" t="inlineStr">
        <is>
          <t>1</t>
        </is>
      </c>
      <c r="E821" t="inlineStr">
        <is>
          <t>21</t>
        </is>
      </c>
      <c r="F821" t="inlineStr">
        <is>
          <t>24</t>
        </is>
      </c>
      <c r="G821" t="inlineStr">
        <is>
          <t>0</t>
        </is>
      </c>
      <c r="H821" t="inlineStr">
        <is>
          <t>42³</t>
        </is>
      </c>
      <c r="I821" t="n">
        <v>3</v>
      </c>
      <c r="J821" t="inlineStr">
        <is>
          <t>3¹, 6³</t>
        </is>
      </c>
      <c r="K821">
        <f>HYPERLINK("CSG1.html#group14E1", "14E¹"), =HYPERLINK("CSG1.html#group21E1", "21E¹")</f>
        <v/>
      </c>
      <c r="L821">
        <f>HYPERLINK("CSG11.html#group42L11", "42L¹¹"), =HYPERLINK("CSG13.html#group42J13", "42J¹³"), =HYPERLINK("CSG13.html#group42K13", "42K¹³"), =HYPERLINK("CSG15.html#group42C15", "42C¹⁵"), =HYPERLINK("CSG19.html#group42B19", "42B¹⁹"), =HYPERLINK("CSG21.html#group126Q21", "126Q²¹"), =HYPERLINK("CSG22.html#group42A22", "42A²²")</f>
        <v/>
      </c>
      <c r="M821">
        <f>HYPERLINK("CSG0.html#group21A0", "21A⁰"), =HYPERLINK("CSG1.html#group14E1", "14E¹"), =HYPERLINK("CSG0.html#group1A0", "1A⁰"), =HYPERLINK("CSG0.html#group3A0", "3A⁰"), =HYPERLINK("CSG1.html#group21E1", "21E¹"), =HYPERLINK("CSG0.html#group7D0", "7D⁰"), =HYPERLINK("CSG0.html#group7A0", "7A⁰")</f>
        <v/>
      </c>
      <c r="N821">
        <f>HYPERLINK("CSG22.html#group42A22", "42A²²"), =HYPERLINK("CSG11.html#group42L11", "42L¹¹"), =HYPERLINK("CSG13.html#group42J13", "42J¹³"), =HYPERLINK("CSG13.html#group42K13", "42K¹³"), =HYPERLINK("CSG21.html#group126Q21", "126Q²¹"), =HYPERLINK("CSG19.html#group42B19", "42B¹⁹"), =HYPERLINK("CSG15.html#group42C15", "42C¹⁵")</f>
        <v/>
      </c>
    </row>
    <row r="822">
      <c r="A822" t="inlineStr">
        <is>
          <t>44A⁴</t>
        </is>
      </c>
      <c r="B822" t="inlineStr"/>
      <c r="C822" t="inlineStr">
        <is>
          <t>48</t>
        </is>
      </c>
      <c r="D822" t="inlineStr">
        <is>
          <t>1</t>
        </is>
      </c>
      <c r="E822" t="inlineStr">
        <is>
          <t>12</t>
        </is>
      </c>
      <c r="F822" t="inlineStr">
        <is>
          <t>0</t>
        </is>
      </c>
      <c r="G822" t="inlineStr">
        <is>
          <t>0</t>
        </is>
      </c>
      <c r="H822" t="inlineStr">
        <is>
          <t>4¹, 44¹</t>
        </is>
      </c>
      <c r="I822" t="n">
        <v>2</v>
      </c>
      <c r="J822" t="inlineStr">
        <is>
          <t>1², 10¹</t>
        </is>
      </c>
      <c r="K822">
        <f>HYPERLINK("CSG2.html#group22A2", "22A²")</f>
        <v/>
      </c>
      <c r="L822">
        <f>HYPERLINK("CSG10.html#group44B10", "44B¹⁰"), =HYPERLINK("CSG12.html#group132A12", "132A¹²"), =HYPERLINK("CSG12.html#group132B12", "132B¹²"), =HYPERLINK("CSG13.html#group44A13", "44A¹³"), =HYPERLINK("CSG15.html#group132B15", "132B¹⁵"), =HYPERLINK("CSG16.html#group44A16", "44A¹⁶"), =HYPERLINK("CSG20.html#group220A20", "220A²⁰"), =HYPERLINK("CSG23.html#group220B23", "220B²³")</f>
        <v/>
      </c>
      <c r="M822">
        <f>HYPERLINK("CSG0.html#group2A0", "2A⁰"), =HYPERLINK("CSG0.html#group1A0", "1A⁰"), =HYPERLINK("CSG1.html#group11A1", "11A¹"), =HYPERLINK("CSG2.html#group22A2", "22A²")</f>
        <v/>
      </c>
      <c r="N822">
        <f>HYPERLINK("CSG13.html#group44A13", "44A¹³"), =HYPERLINK("CSG19.html#group44B19", "44B¹⁹"), =HYPERLINK("CSG20.html#group220A20", "220A²⁰"), =HYPERLINK("CSG23.html#group132B23", "132B²³"), =HYPERLINK("CSG15.html#group132B15", "132B¹⁵"), =HYPERLINK("CSG16.html#group44A16", "44A¹⁶"), =HYPERLINK("CSG12.html#group132A12", "132A¹²"), =HYPERLINK("CSG12.html#group132B12", "132B¹²"), =HYPERLINK("CSG23.html#group220B23", "220B²³"), =HYPERLINK("CSG10.html#group44B10", "44B¹⁰")</f>
        <v/>
      </c>
    </row>
    <row r="823">
      <c r="A823" t="inlineStr">
        <is>
          <t>44B⁴</t>
        </is>
      </c>
      <c r="B823" t="inlineStr"/>
      <c r="C823" t="inlineStr">
        <is>
          <t>48</t>
        </is>
      </c>
      <c r="D823" t="inlineStr">
        <is>
          <t>1</t>
        </is>
      </c>
      <c r="E823" t="inlineStr">
        <is>
          <t>48</t>
        </is>
      </c>
      <c r="F823" t="inlineStr">
        <is>
          <t>0</t>
        </is>
      </c>
      <c r="G823" t="inlineStr">
        <is>
          <t>0</t>
        </is>
      </c>
      <c r="H823" t="inlineStr">
        <is>
          <t>4¹, 44¹</t>
        </is>
      </c>
      <c r="I823" t="n">
        <v>2</v>
      </c>
      <c r="J823" t="inlineStr">
        <is>
          <t>2⁴, 20²</t>
        </is>
      </c>
      <c r="K823">
        <f>HYPERLINK("CSG0.html#group4A0", "4A⁰"), =HYPERLINK("CSG1.html#group11A1", "11A¹")</f>
        <v/>
      </c>
      <c r="L823">
        <f>HYPERLINK("CSG7.html#group44A7", "44A⁷"), =HYPERLINK("CSG8.html#group88A8", "88A⁸"), =HYPERLINK("CSG10.html#group44C10", "44C¹⁰"), =HYPERLINK("CSG12.html#group132D12", "132D¹²"), =HYPERLINK("CSG15.html#group88C15", "88C¹⁵"), =HYPERLINK("CSG15.html#group132C15", "132C¹⁵"), =HYPERLINK("CSG16.html#group44B16", "44B¹⁶"), =HYPERLINK("CSG20.html#group220B20", "220B²⁰"), =HYPERLINK("CSG23.html#group220C23", "220C²³")</f>
        <v/>
      </c>
      <c r="M823">
        <f>HYPERLINK("CSG0.html#group1A0", "1A⁰"), =HYPERLINK("CSG0.html#group4A0", "4A⁰"), =HYPERLINK("CSG1.html#group11A1", "11A¹")</f>
        <v/>
      </c>
      <c r="N823">
        <f>HYPERLINK("CSG20.html#group88E20", "88E²⁰"), =HYPERLINK("CSG16.html#group44B16", "44B¹⁶"), =HYPERLINK("CSG10.html#group44C10", "44C¹⁰"), =HYPERLINK("CSG15.html#group88B15", "88B¹⁵"), =HYPERLINK("CSG15.html#group88A15", "88A¹⁵"), =HYPERLINK("CSG15.html#group88C15", "88C¹⁵"), =HYPERLINK("CSG24.html#group264B24", "264B²⁴"), =HYPERLINK("CSG23.html#group132F23", "132F²³"), =HYPERLINK("CSG24.html#group264A24", "264A²⁴"), =HYPERLINK("CSG12.html#group132D12", "132D¹²"), =HYPERLINK("CSG22.html#group88A22", "88A²²"), =HYPERLINK("CSG20.html#group220B20", "220B²⁰"), =HYPERLINK("CSG15.html#group132C15", "132C¹⁵"), =HYPERLINK("CSG13.html#group44A13", "44A¹³"), =HYPERLINK("CSG21.html#group88F21", "88F²¹"), =HYPERLINK("CSG19.html#group44A19", "44A¹⁹"), =HYPERLINK("CSG23.html#group220C23", "220C²³"), =HYPERLINK("CSG21.html#group88E21", "88E²¹"), =HYPERLINK("CSG23.html#group132G23", "132G²³"), =HYPERLINK("CSG23.html#group132E23", "132E²³"), =HYPERLINK("CSG7.html#group44A7", "44A⁷"), =HYPERLINK("CSG8.html#group88A8", "88A⁸"), =HYPERLINK("CSG23.html#group132C23", "132C²³"), =HYPERLINK("CSG16.html#group176A16", "176A¹⁶")</f>
        <v/>
      </c>
    </row>
    <row r="824">
      <c r="A824" t="inlineStr">
        <is>
          <t>44C⁴</t>
        </is>
      </c>
      <c r="B824" t="inlineStr"/>
      <c r="C824" t="inlineStr">
        <is>
          <t>66</t>
        </is>
      </c>
      <c r="D824" t="inlineStr">
        <is>
          <t>2</t>
        </is>
      </c>
      <c r="E824" t="inlineStr">
        <is>
          <t>33</t>
        </is>
      </c>
      <c r="F824" t="inlineStr">
        <is>
          <t>6</t>
        </is>
      </c>
      <c r="G824" t="inlineStr">
        <is>
          <t>0</t>
        </is>
      </c>
      <c r="H824" t="inlineStr">
        <is>
          <t>22¹, 44¹</t>
        </is>
      </c>
      <c r="I824" t="n">
        <v>2</v>
      </c>
      <c r="J824" t="inlineStr">
        <is>
          <t>2³, 10⁶</t>
        </is>
      </c>
      <c r="K824">
        <f>HYPERLINK("CSG0.html#group4C0", "4C⁰"), =HYPERLINK("CSG2.html#group22B2", "22B²")</f>
        <v/>
      </c>
      <c r="L824">
        <f>HYPERLINK("CSG8.html#group88B8", "88B⁸"), =HYPERLINK("CSG9.html#group44A9", "44A⁹"), =HYPERLINK("CSG9.html#group88A9", "88A⁹"), =HYPERLINK("CSG10.html#group44A10", "44A¹⁰"), =HYPERLINK("CSG11.html#group88A11", "88A¹¹"), =HYPERLINK("CSG12.html#group132F12", "132F¹²"), =HYPERLINK("CSG21.html#group132A21", "132A²¹"), =HYPERLINK("CSG22.html#group44A22", "44A²²")</f>
        <v/>
      </c>
      <c r="M824">
        <f>HYPERLINK("CSG0.html#group11A0", "11A⁰"), =HYPERLINK("CSG0.html#group2B0", "2B⁰"), =HYPERLINK("CSG2.html#group22B2", "22B²"), =HYPERLINK("CSG0.html#group1A0", "1A⁰"), =HYPERLINK("CSG0.html#group4C0", "4C⁰")</f>
        <v/>
      </c>
      <c r="N824">
        <f>HYPERLINK("CSG10.html#group44A10", "44A¹⁰"), =HYPERLINK("CSG20.html#group88C20", "88C²⁰"), =HYPERLINK("CSG19.html#group176B19", "176B¹⁹"), =HYPERLINK("CSG20.html#group88A20", "88A²⁰"), =HYPERLINK("CSG24.html#group264C24", "264C²⁴"), =HYPERLINK("CSG18.html#group88A18", "88A¹⁸"), =HYPERLINK("CSG22.html#group176B22", "176B²²"), =HYPERLINK("CSG16.html#group176B16", "176B¹⁶"), =HYPERLINK("CSG20.html#group176C20", "176C²⁰"), =HYPERLINK("CSG21.html#group88B21", "88B²¹"), =HYPERLINK("CSG21.html#group88A21", "88A²¹"), =HYPERLINK("CSG12.html#group132F12", "132F¹²"), =HYPERLINK("CSG19.html#group176A19", "176A¹⁹"), =HYPERLINK("CSG22.html#group176A22", "176A²²"), =HYPERLINK("CSG8.html#group88B8", "88B⁸"), =HYPERLINK("CSG9.html#group88A9", "88A⁹"), =HYPERLINK("CSG18.html#group88B18", "88B¹⁸"), =HYPERLINK("CSG19.html#group88A19", "88A¹⁹"), =HYPERLINK("CSG11.html#group88A11", "88A¹¹"), =HYPERLINK("CSG20.html#group44A20", "44A²⁰"), =HYPERLINK("CSG22.html#group44A22", "44A²²"), =HYPERLINK("CSG21.html#group132A21", "132A²¹"), =HYPERLINK("CSG20.html#group88D20", "88D²⁰"), =HYPERLINK("CSG9.html#group44A9", "44A⁹"), =HYPERLINK("CSG19.html#group176C19", "176C¹⁹")</f>
        <v/>
      </c>
    </row>
    <row r="825">
      <c r="A825" t="inlineStr">
        <is>
          <t>44D⁴</t>
        </is>
      </c>
      <c r="B825" t="inlineStr">
        <is>
          <t>Γ₀(44)</t>
        </is>
      </c>
      <c r="C825" t="inlineStr">
        <is>
          <t>72</t>
        </is>
      </c>
      <c r="D825" t="inlineStr">
        <is>
          <t>1</t>
        </is>
      </c>
      <c r="E825" t="inlineStr">
        <is>
          <t>36</t>
        </is>
      </c>
      <c r="F825" t="inlineStr">
        <is>
          <t>0</t>
        </is>
      </c>
      <c r="G825" t="inlineStr">
        <is>
          <t>0</t>
        </is>
      </c>
      <c r="H825" t="inlineStr">
        <is>
          <t>1², 4¹, 11², 44¹</t>
        </is>
      </c>
      <c r="I825" t="n">
        <v>6</v>
      </c>
      <c r="J825" t="inlineStr">
        <is>
          <t>1⁶, 10³</t>
        </is>
      </c>
      <c r="K825">
        <f>HYPERLINK("CSG0.html#group4B0", "4B⁰"), =HYPERLINK("CSG2.html#group22C2", "22C²")</f>
        <v/>
      </c>
      <c r="L825">
        <f>HYPERLINK("CSG8.html#group44B8", "44B⁸"), =HYPERLINK("CSG8.html#group88C8", "88C⁸"), =HYPERLINK("CSG9.html#group44B9", "44B⁹"), =HYPERLINK("CSG9.html#group88B9", "88B⁹"), =HYPERLINK("CSG10.html#group88B10", "88B¹⁰"), =HYPERLINK("CSG16.html#group44C16", "44C¹⁶"), =HYPERLINK("CSG16.html#group132B16", "132B¹⁶"), =HYPERLINK("CSG19.html#group132D19", "132D¹⁹")</f>
        <v/>
      </c>
      <c r="M825">
        <f>HYPERLINK("CSG0.html#group2B0", "2B⁰"), =HYPERLINK("CSG0.html#group4B0", "4B⁰"), =HYPERLINK("CSG2.html#group22C2", "22C²"), =HYPERLINK("CSG0.html#group1A0", "1A⁰"), =HYPERLINK("CSG1.html#group11A1", "11A¹")</f>
        <v/>
      </c>
      <c r="N825">
        <f>HYPERLINK("CSG19.html#group88B19", "88B¹⁹"), =HYPERLINK("CSG19.html#group88G19", "88G¹⁹"), =HYPERLINK("CSG19.html#group176G19", "176G¹⁹"), =HYPERLINK("CSG19.html#group88C19", "88C¹⁹"), =HYPERLINK("CSG19.html#group88H19", "88H¹⁹"), =HYPERLINK("CSG9.html#group88B9", "88B⁹"), =HYPERLINK("CSG21.html#group88C21", "88C²¹"), =HYPERLINK("CSG9.html#group44B9", "44B⁹"), =HYPERLINK("CSG8.html#group44B8", "44B⁸"), =HYPERLINK("CSG17.html#group44D17", "44D¹⁷"), =HYPERLINK("CSG16.html#group44C16", "44C¹⁶"), =HYPERLINK("CSG8.html#group88C8", "88C⁸"), =HYPERLINK("CSG21.html#group176C21", "176C²¹"), =HYPERLINK("CSG19.html#group44B19", "44B¹⁹"), =HYPERLINK("CSG19.html#group44A19", "44A¹⁹"), =HYPERLINK("CSG21.html#group88D21", "88D²¹"), =HYPERLINK("CSG17.html#group88A17", "88A¹⁷"), =HYPERLINK("CSG19.html#group88D19", "88D¹⁹"), =HYPERLINK("CSG19.html#group176E19", "176E¹⁹"), =HYPERLINK("CSG19.html#group132D19", "132D¹⁹"), =HYPERLINK("CSG16.html#group132B16", "132B¹⁶"), =HYPERLINK("CSG19.html#group176D19", "176D¹⁹"), =HYPERLINK("CSG19.html#group176F19", "176F¹⁹"), =HYPERLINK("CSG19.html#group88E19", "88E¹⁹"), =HYPERLINK("CSG21.html#group176B21", "176B²¹"), =HYPERLINK("CSG19.html#group88F19", "88F¹⁹"), =HYPERLINK("CSG10.html#group88B10", "88B¹⁰")</f>
        <v/>
      </c>
    </row>
    <row r="826">
      <c r="A826" t="inlineStr">
        <is>
          <t>45A⁴</t>
        </is>
      </c>
      <c r="B826" t="inlineStr"/>
      <c r="C826" t="inlineStr">
        <is>
          <t>60</t>
        </is>
      </c>
      <c r="D826" t="inlineStr">
        <is>
          <t>1</t>
        </is>
      </c>
      <c r="E826" t="inlineStr">
        <is>
          <t>20</t>
        </is>
      </c>
      <c r="F826" t="inlineStr">
        <is>
          <t>0</t>
        </is>
      </c>
      <c r="G826" t="inlineStr">
        <is>
          <t>0</t>
        </is>
      </c>
      <c r="H826" t="inlineStr">
        <is>
          <t>5³, 45¹</t>
        </is>
      </c>
      <c r="I826" t="n">
        <v>4</v>
      </c>
      <c r="J826" t="inlineStr">
        <is>
          <t>1², 2¹, 4², 8¹</t>
        </is>
      </c>
      <c r="K826">
        <f>HYPERLINK("CSG0.html#group9B0", "9B⁰"), =HYPERLINK("CSG1.html#group15B1", "15B¹")</f>
        <v/>
      </c>
      <c r="L826">
        <f>HYPERLINK("CSG9.html#group90B9", "90B⁹"), =HYPERLINK("CSG10.html#group45B10", "45B¹⁰"), =HYPERLINK("CSG12.html#group45B12", "45B¹²"), =HYPERLINK("CSG12.html#group45C12", "45C¹²"), =HYPERLINK("CSG12.html#group45D12", "45D¹²"), =HYPERLINK("CSG12.html#group90C12", "90C¹²"), =HYPERLINK("CSG12.html#group135A12", "135A¹²"), =HYPERLINK("CSG12.html#group135B12", "135B¹²"), =HYPERLINK("CSG13.html#group45C13", "45C¹³"), =HYPERLINK("CSG13.html#group45H13", "45H¹³"), =HYPERLINK("CSG13.html#group45O13", "45O¹³"), =HYPERLINK("CSG13.html#group135A13", "135A¹³"), =HYPERLINK("CSG13.html#group135C13", "135C¹³"), =HYPERLINK("CSG14.html#group135A14", "135A¹⁴"), =HYPERLINK("CSG14.html#group135B14", "135B¹⁴"), =HYPERLINK("CSG19.html#group180B19", "180B¹⁹")</f>
        <v/>
      </c>
      <c r="M826">
        <f>HYPERLINK("CSG0.html#group3B0", "3B⁰"), =HYPERLINK("CSG0.html#group9B0", "9B⁰"), =HYPERLINK("CSG1.html#group15B1", "15B¹"), =HYPERLINK("CSG0.html#group5A0", "5A⁰"), =HYPERLINK("CSG0.html#group1A0", "1A⁰")</f>
        <v/>
      </c>
      <c r="N826">
        <f>HYPERLINK("CSG10.html#group45B10", "45B¹⁰"), =HYPERLINK("CSG12.html#group135A12", "135A¹²"), =HYPERLINK("CSG12.html#group45D12", "45D¹²"), =HYPERLINK("CSG13.html#group135C13", "135C¹³"), =HYPERLINK("CSG13.html#group45H13", "45H¹³"), =HYPERLINK("CSG14.html#group135B14", "135B¹⁴"), =HYPERLINK("CSG12.html#group45B12", "45B¹²"), =HYPERLINK("CSG19.html#group180A19", "180A¹⁹"), =HYPERLINK("CSG12.html#group45C12", "45C¹²"), =HYPERLINK("CSG13.html#group135A13", "135A¹³"), =HYPERLINK("CSG19.html#group45H19", "45H¹⁹"), =HYPERLINK("CSG19.html#group180B19", "180B¹⁹"), =HYPERLINK("CSG12.html#group135B12", "135B¹²"), =HYPERLINK("CSG13.html#group45C13", "45C¹³"), =HYPERLINK("CSG12.html#group90C12", "90C¹²"), =HYPERLINK("CSG13.html#group45O13", "45O¹³"), =HYPERLINK("CSG9.html#group90B9", "90B⁹"), =HYPERLINK("CSG14.html#group135A14", "135A¹⁴")</f>
        <v/>
      </c>
    </row>
    <row r="827">
      <c r="A827" t="inlineStr">
        <is>
          <t>45B⁴</t>
        </is>
      </c>
      <c r="B827" t="inlineStr"/>
      <c r="C827" t="inlineStr">
        <is>
          <t>60</t>
        </is>
      </c>
      <c r="D827" t="inlineStr">
        <is>
          <t>2</t>
        </is>
      </c>
      <c r="E827" t="inlineStr">
        <is>
          <t>20</t>
        </is>
      </c>
      <c r="F827" t="inlineStr">
        <is>
          <t>0</t>
        </is>
      </c>
      <c r="G827" t="inlineStr">
        <is>
          <t>3</t>
        </is>
      </c>
      <c r="H827" t="inlineStr">
        <is>
          <t>15¹, 45¹</t>
        </is>
      </c>
      <c r="I827" t="n">
        <v>2</v>
      </c>
      <c r="J827" t="inlineStr">
        <is>
          <t>2², 4¹, 8⁴</t>
        </is>
      </c>
      <c r="K827">
        <f>HYPERLINK("CSG1.html#group15B1", "15B¹")</f>
        <v/>
      </c>
      <c r="L827">
        <f>HYPERLINK("CSG8.html#group90D8", "90D⁸"), =HYPERLINK("CSG10.html#group45C10", "45C¹⁰"), =HYPERLINK("CSG13.html#group45B13", "45B¹³"), =HYPERLINK("CSG13.html#group45H13", "45H¹³"), =HYPERLINK("CSG13.html#group45I13", "45I¹³"), =HYPERLINK("CSG14.html#group90E14", "90E¹⁴"), =HYPERLINK("CSG16.html#group45A16", "45A¹⁶"), =HYPERLINK("CSG19.html#group180C19", "180C¹⁹")</f>
        <v/>
      </c>
      <c r="M827">
        <f>HYPERLINK("CSG0.html#group3B0", "3B⁰"), =HYPERLINK("CSG1.html#group15B1", "15B¹"), =HYPERLINK("CSG0.html#group1A0", "1A⁰"), =HYPERLINK("CSG0.html#group5A0", "5A⁰")</f>
        <v/>
      </c>
      <c r="N827">
        <f>HYPERLINK("CSG22.html#group90K22", "90K²²"), =HYPERLINK("CSG14.html#group90E14", "90E¹⁴"), =HYPERLINK("CSG13.html#group45H13", "45H¹³"), =HYPERLINK("CSG16.html#group180B16", "180B¹⁶"), =HYPERLINK("CSG13.html#group45I13", "45I¹³"), =HYPERLINK("CSG8.html#group90D8", "90D⁸"), =HYPERLINK("CSG10.html#group45C10", "45C¹⁰"), =HYPERLINK("CSG19.html#group180C19", "180C¹⁹"), =HYPERLINK("CSG13.html#group45B13", "45B¹³"), =HYPERLINK("CSG16.html#group45A16", "45A¹⁶")</f>
        <v/>
      </c>
    </row>
    <row r="828">
      <c r="A828" t="inlineStr">
        <is>
          <t>45C⁴</t>
        </is>
      </c>
      <c r="B828" t="inlineStr"/>
      <c r="C828" t="inlineStr">
        <is>
          <t>108</t>
        </is>
      </c>
      <c r="D828" t="inlineStr">
        <is>
          <t>2</t>
        </is>
      </c>
      <c r="E828" t="inlineStr">
        <is>
          <t>54</t>
        </is>
      </c>
      <c r="F828" t="inlineStr">
        <is>
          <t>16</t>
        </is>
      </c>
      <c r="G828" t="inlineStr">
        <is>
          <t>0</t>
        </is>
      </c>
      <c r="H828" t="inlineStr">
        <is>
          <t>9², 45²</t>
        </is>
      </c>
      <c r="I828" t="n">
        <v>4</v>
      </c>
      <c r="J828" t="inlineStr">
        <is>
          <t>2⁶, 6⁴, 8³, 24²</t>
        </is>
      </c>
      <c r="K828">
        <f>HYPERLINK("CSG0.html#group15C0", "15C⁰"), =HYPERLINK("CSG2.html#group45A2", "45A²")</f>
        <v/>
      </c>
      <c r="L828">
        <f>HYPERLINK("CSG9.html#group45E9", "45E⁹"), =HYPERLINK("CSG9.html#group90G9", "90G⁹"), =HYPERLINK("CSG11.html#group90K11", "90K¹¹"), =HYPERLINK("CSG13.html#group45N13", "45N¹³"), =HYPERLINK("CSG15.html#group45C15", "45C¹⁵"), =HYPERLINK("CSG15.html#group90L15", "90L¹⁵"), =HYPERLINK("CSG16.html#group45E16", "45E¹⁶"), =HYPERLINK("CSG17.html#group90H17", "90H¹⁷"), =HYPERLINK("CSG18.html#group45C18", "45C¹⁸"), =HYPERLINK("CSG20.html#group90G20", "90G²⁰")</f>
        <v/>
      </c>
      <c r="M828">
        <f>HYPERLINK("CSG0.html#group5B0", "5B⁰"), =HYPERLINK("CSG2.html#group45A2", "45A²"), =HYPERLINK("CSG0.html#group15B0", "15B⁰"), =HYPERLINK("CSG0.html#group3A0", "3A⁰"), =HYPERLINK("CSG0.html#group1A0", "1A⁰"), =HYPERLINK("CSG0.html#group9A0", "9A⁰"), =HYPERLINK("CSG0.html#group15C0", "15C⁰")</f>
        <v/>
      </c>
      <c r="N828">
        <f>HYPERLINK("CSG18.html#group45C18", "45C¹⁸"), =HYPERLINK("CSG13.html#group45N13", "45N¹³"), =HYPERLINK("CSG21.html#group90N21", "90N²¹"), =HYPERLINK("CSG9.html#group90G9", "90G⁹"), =HYPERLINK("CSG20.html#group90G20", "90G²⁰"), =HYPERLINK("CSG15.html#group90L15", "90L¹⁵"), =HYPERLINK("CSG9.html#group45E9", "45E⁹"), =HYPERLINK("CSG23.html#group45D23", "45D²³"), =HYPERLINK("CSG11.html#group90K11", "90K¹¹"), =HYPERLINK("CSG16.html#group45E16", "45E¹⁶"), =HYPERLINK("CSG15.html#group45C15", "45C¹⁵"), =HYPERLINK("CSG17.html#group90H17", "90H¹⁷")</f>
        <v/>
      </c>
    </row>
    <row r="829">
      <c r="A829" t="inlineStr">
        <is>
          <t>46A⁴</t>
        </is>
      </c>
      <c r="B829" t="inlineStr"/>
      <c r="C829" t="inlineStr">
        <is>
          <t>48</t>
        </is>
      </c>
      <c r="D829" t="inlineStr">
        <is>
          <t>1</t>
        </is>
      </c>
      <c r="E829" t="inlineStr">
        <is>
          <t>24</t>
        </is>
      </c>
      <c r="F829" t="inlineStr">
        <is>
          <t>0</t>
        </is>
      </c>
      <c r="G829" t="inlineStr">
        <is>
          <t>0</t>
        </is>
      </c>
      <c r="H829" t="inlineStr">
        <is>
          <t>2¹, 46¹</t>
        </is>
      </c>
      <c r="I829" t="n">
        <v>2</v>
      </c>
      <c r="J829" t="inlineStr">
        <is>
          <t>1², 22¹</t>
        </is>
      </c>
      <c r="K829">
        <f>HYPERLINK("CSG0.html#group2A0", "2A⁰"), =HYPERLINK("CSG2.html#group23A2", "23A²")</f>
        <v/>
      </c>
      <c r="L829">
        <f>HYPERLINK("CSG8.html#group92A8", "92A⁸"), =HYPERLINK("CSG10.html#group46A10", "46A¹⁰"), =HYPERLINK("CSG12.html#group138A12", "138A¹²"), =HYPERLINK("CSG12.html#group138B12", "138B¹²"), =HYPERLINK("CSG15.html#group92A15", "92A¹⁵"), =HYPERLINK("CSG15.html#group138B15", "138B¹⁵"), =HYPERLINK("CSG20.html#group230A20", "230A²⁰"), =HYPERLINK("CSG23.html#group230B23", "230B²³")</f>
        <v/>
      </c>
      <c r="M829">
        <f>HYPERLINK("CSG0.html#group2A0", "2A⁰"), =HYPERLINK("CSG0.html#group1A0", "1A⁰"), =HYPERLINK("CSG2.html#group23A2", "23A²")</f>
        <v/>
      </c>
      <c r="N829">
        <f>HYPERLINK("CSG24.html#group276C24", "276C²⁴"), =HYPERLINK("CSG22.html#group92A22", "92A²²"), =HYPERLINK("CSG12.html#group138A12", "138A¹²"), =HYPERLINK("CSG21.html#group92A21", "92A²¹"), =HYPERLINK("CSG20.html#group92A20", "92A²⁰"), =HYPERLINK("CSG15.html#group92A15", "92A¹⁵"), =HYPERLINK("CSG15.html#group138B15", "138B¹⁵"), =HYPERLINK("CSG24.html#group276A24", "276A²⁴"), =HYPERLINK("CSG20.html#group230A20", "230A²⁰"), =HYPERLINK("CSG24.html#group276B24", "276B²⁴"), =HYPERLINK("CSG23.html#group230B23", "230B²³"), =HYPERLINK("CSG8.html#group92A8", "92A⁸"), =HYPERLINK("CSG10.html#group46A10", "46A¹⁰"), =HYPERLINK("CSG12.html#group138B12", "138B¹²"), =HYPERLINK("CSG23.html#group138B23", "138B²³")</f>
        <v/>
      </c>
    </row>
    <row r="830">
      <c r="A830" t="inlineStr">
        <is>
          <t>47A⁴</t>
        </is>
      </c>
      <c r="B830" t="inlineStr">
        <is>
          <t>Γ₀(47)</t>
        </is>
      </c>
      <c r="C830" t="inlineStr">
        <is>
          <t>48</t>
        </is>
      </c>
      <c r="D830" t="inlineStr">
        <is>
          <t>1</t>
        </is>
      </c>
      <c r="E830" t="inlineStr">
        <is>
          <t>48</t>
        </is>
      </c>
      <c r="F830" t="inlineStr">
        <is>
          <t>0</t>
        </is>
      </c>
      <c r="G830" t="inlineStr">
        <is>
          <t>0</t>
        </is>
      </c>
      <c r="H830" t="inlineStr">
        <is>
          <t>1¹, 47¹</t>
        </is>
      </c>
      <c r="I830" t="n">
        <v>2</v>
      </c>
      <c r="J830" t="inlineStr">
        <is>
          <t>1², 46¹</t>
        </is>
      </c>
      <c r="K830">
        <f>HYPERLINK("CSG0.html#group1A0", "1A⁰")</f>
        <v/>
      </c>
      <c r="L830">
        <f>HYPERLINK("CSG8.html#group94A8", "94A⁸"), =HYPERLINK("CSG11.html#group94A11", "94A¹¹"), =HYPERLINK("CSG12.html#group141A12", "141A¹²"), =HYPERLINK("CSG15.html#group141A15", "141A¹⁵"), =HYPERLINK("CSG16.html#group188B16", "188B¹⁶"), =HYPERLINK("CSG20.html#group235A20", "235A²⁰"), =HYPERLINK("CSG23.html#group235A23", "235A²³")</f>
        <v/>
      </c>
      <c r="M830">
        <f>HYPERLINK("CSG0.html#group1A0", "1A⁰")</f>
        <v/>
      </c>
      <c r="N830">
        <f>HYPERLINK("CSG11.html#group94A11", "94A¹¹"), =HYPERLINK("CSG24.html#group282A24", "282A²⁴"), =HYPERLINK("CSG23.html#group141A23", "141A²³"), =HYPERLINK("CSG22.html#group94A22", "94A²²"), =HYPERLINK("CSG20.html#group235A20", "235A²⁰"), =HYPERLINK("CSG16.html#group188A16", "188A¹⁶"), =HYPERLINK("CSG24.html#group282C24", "282C²⁴"), =HYPERLINK("CSG24.html#group282B24", "282B²⁴"), =HYPERLINK("CSG16.html#group188B16", "188B¹⁶"), =HYPERLINK("CSG8.html#group94A8", "94A⁸"), =HYPERLINK("CSG12.html#group141A12", "141A¹²"), =HYPERLINK("CSG23.html#group188A23", "188A²³"), =HYPERLINK("CSG23.html#group235A23", "235A²³"), =HYPERLINK("CSG22.html#group188A22", "188A²²"), =HYPERLINK("CSG15.html#group141A15", "141A¹⁵")</f>
        <v/>
      </c>
    </row>
    <row r="831">
      <c r="A831" t="inlineStr">
        <is>
          <t>48A⁴</t>
        </is>
      </c>
      <c r="B831" t="inlineStr"/>
      <c r="C831" t="inlineStr">
        <is>
          <t>64</t>
        </is>
      </c>
      <c r="D831" t="inlineStr">
        <is>
          <t>2</t>
        </is>
      </c>
      <c r="E831" t="inlineStr">
        <is>
          <t>32</t>
        </is>
      </c>
      <c r="F831" t="inlineStr">
        <is>
          <t>0</t>
        </is>
      </c>
      <c r="G831" t="inlineStr">
        <is>
          <t>4</t>
        </is>
      </c>
      <c r="H831" t="inlineStr">
        <is>
          <t>16¹, 48¹</t>
        </is>
      </c>
      <c r="I831" t="n">
        <v>2</v>
      </c>
      <c r="J831" t="inlineStr">
        <is>
          <t>8⁴, 16²</t>
        </is>
      </c>
      <c r="K831">
        <f>HYPERLINK("CSG0.html#group16A0", "16A⁰"), =HYPERLINK("CSG2.html#group24A2", "24A²")</f>
        <v/>
      </c>
      <c r="L831">
        <f>HYPERLINK("CSG7.html#group48L7", "48L⁷"), =HYPERLINK("CSG12.html#group144A12", "144A¹²"), =HYPERLINK("CSG14.html#group48A14", "48A¹⁴"), =HYPERLINK("CSG15.html#group48D15", "48D¹⁵"), =HYPERLINK("CSG15.html#group144A15", "144A¹⁵"), =HYPERLINK("CSG16.html#group144A16", "144A¹⁶"), =HYPERLINK("CSG17.html#group48A17", "48A¹⁷"), =HYPERLINK("CSG24.html#group240A24", "240A²⁴")</f>
        <v/>
      </c>
      <c r="M831">
        <f>HYPERLINK("CSG0.html#group8A0", "8A⁰"), =HYPERLINK("CSG0.html#group3B0", "3B⁰"), =HYPERLINK("CSG0.html#group1A0", "1A⁰"), =HYPERLINK("CSG0.html#group16A0", "16A⁰"), =HYPERLINK("CSG2.html#group24A2", "24A²"), =HYPERLINK("CSG0.html#group4A0", "4A⁰"), =HYPERLINK("CSG1.html#group12A1", "12A¹")</f>
        <v/>
      </c>
      <c r="N831">
        <f>HYPERLINK("CSG7.html#group48L7", "48L⁷"), =HYPERLINK("CSG13.html#group48U13", "48U¹³"), =HYPERLINK("CSG12.html#group144A12", "144A¹²"), =HYPERLINK("CSG15.html#group48D15", "48D¹⁵"), =HYPERLINK("CSG17.html#group48A17", "48A¹⁷"), =HYPERLINK("CSG15.html#group144A15", "144A¹⁵"), =HYPERLINK("CSG23.html#group144V23", "144V²³"), =HYPERLINK("CSG16.html#group144A16", "144A¹⁶"), =HYPERLINK("CSG14.html#group48A14", "48A¹⁴"), =HYPERLINK("CSG24.html#group240A24", "240A²⁴")</f>
        <v/>
      </c>
    </row>
    <row r="832">
      <c r="A832" t="inlineStr">
        <is>
          <t>48B⁴</t>
        </is>
      </c>
      <c r="B832" t="inlineStr"/>
      <c r="C832" t="inlineStr">
        <is>
          <t>72</t>
        </is>
      </c>
      <c r="D832" t="inlineStr">
        <is>
          <t>1</t>
        </is>
      </c>
      <c r="E832" t="inlineStr">
        <is>
          <t>6</t>
        </is>
      </c>
      <c r="F832" t="inlineStr">
        <is>
          <t>0</t>
        </is>
      </c>
      <c r="G832" t="inlineStr">
        <is>
          <t>0</t>
        </is>
      </c>
      <c r="H832" t="inlineStr">
        <is>
          <t>3⁴, 12¹, 48¹</t>
        </is>
      </c>
      <c r="I832" t="n">
        <v>6</v>
      </c>
      <c r="J832" t="inlineStr">
        <is>
          <t>1⁴, 2¹</t>
        </is>
      </c>
      <c r="K832">
        <f>HYPERLINK("CSG0.html#group16C0", "16C⁰"), =HYPERLINK("CSG2.html#group24B2", "24B²")</f>
        <v/>
      </c>
      <c r="L832">
        <f>HYPERLINK("CSG7.html#group48R7", "48R⁷"), =HYPERLINK("CSG8.html#group48E8", "48E⁸"), =HYPERLINK("CSG8.html#group48J8", "48J⁸"), =HYPERLINK("CSG8.html#group96A8", "96A⁸"), =HYPERLINK("CSG8.html#group96B8", "96B⁸"), =HYPERLINK("CSG9.html#group48A9", "48A⁹"), =HYPERLINK("CSG9.html#group48F9", "48F⁹"), =HYPERLINK("CSG9.html#group96A9", "96A⁹"), =HYPERLINK("CSG9.html#group96G9", "96G⁹"), =HYPERLINK("CSG10.html#group96A10", "96A¹⁰"), =HYPERLINK("CSG10.html#group96B10", "96B¹⁰"), =HYPERLINK("CSG16.html#group144B16", "144B¹⁶")</f>
        <v/>
      </c>
      <c r="M832">
        <f>HYPERLINK("CSG2.html#group24B2", "24B²"), =HYPERLINK("CSG0.html#group4B0", "4B⁰"), =HYPERLINK("CSG0.html#group16C0", "16C⁰"), =HYPERLINK("CSG0.html#group8C0", "8C⁰"), =HYPERLINK("CSG1.html#group12B1", "12B¹"), =HYPERLINK("CSG0.html#group2B0", "2B⁰"), =HYPERLINK("CSG0.html#group3A0", "3A⁰"), =HYPERLINK("CSG0.html#group1A0", "1A⁰"), =HYPERLINK("CSG0.html#group6D0", "6D⁰")</f>
        <v/>
      </c>
      <c r="N832">
        <f>HYPERLINK("CSG17.html#group48W17", "48W¹⁷"), =HYPERLINK("CSG19.html#group96Q19", "96Q¹⁹"), =HYPERLINK("CSG21.html#group96A21", "96A²¹"), =HYPERLINK("CSG15.html#group48Q15", "48Q¹⁵"), =HYPERLINK("CSG19.html#group96G19", "96G¹⁹"), =HYPERLINK("CSG21.html#group192D21", "192D²¹"), =HYPERLINK("CSG18.html#group48C18", "48C¹⁸"), =HYPERLINK("CSG17.html#group48G17", "48G¹⁷"), =HYPERLINK("CSG13.html#group48W13", "48W¹³"), =HYPERLINK("CSG18.html#group192B18", "192B¹⁸"), =HYPERLINK("CSG17.html#group48AC17", "48AC¹⁷"), =HYPERLINK("CSG18.html#group192A18", "192A¹⁸"), =HYPERLINK("CSG17.html#group48J17", "48J¹⁷"), =HYPERLINK("CSG18.html#group48H18", "48H¹⁸"), =HYPERLINK("CSG17.html#group96L17", "96L¹⁷"), =HYPERLINK("CSG17.html#group96M17", "96M¹⁷"), =HYPERLINK("CSG8.html#group48J8", "48J⁸"), =HYPERLINK("CSG8.html#group96A8", "96A⁸"), =HYPERLINK("CSG9.html#group48F9", "48F⁹"), =HYPERLINK("CSG19.html#group96A19", "96A¹⁹"), =HYPERLINK("CSG21.html#group192A21", "192A²¹"), =HYPERLINK("CSG19.html#group96S19", "96S¹⁹"), =HYPERLINK("CSG19.html#group96C19", "96C¹⁹"), =HYPERLINK("CSG17.html#group96I17", "96I¹⁷"), =HYPERLINK("CSG17.html#group48K17", "48K¹⁷"), =HYPERLINK("CSG19.html#group96AX19", "96AX¹⁹"), =HYPERLINK("CSG21.html#group96E21", "96E²¹"), =HYPERLINK("CSG19.html#group96AW19", "96AW¹⁹"), =HYPERLINK("CSG19.html#group96R19", "96R¹⁹"), =HYPERLINK("CSG16.html#group144B16", "144B¹⁶"), =HYPERLINK("CSG19.html#group192D19", "192D¹⁹"), =HYPERLINK("CSG19.html#group96E19", "96E¹⁹"), =HYPERLINK("CSG19.html#group48C19", "48C¹⁹"), =HYPERLINK("CSG15.html#group48O15", "48O¹⁵"), =HYPERLINK("CSG19.html#group96B19", "96B¹⁹"), =HYPERLINK("CSG21.html#group96B21", "96B²¹"), =HYPERLINK("CSG22.html#group192A22", "192A²²"), =HYPERLINK("CSG17.html#group48D17", "48D¹⁷"), =HYPERLINK("CSG10.html#group96A10", "96A¹⁰"), =HYPERLINK("CSG19.html#group96I19", "96I¹⁹"), =HYPERLINK("CSG9.html#group96G9", "96G⁹"), =HYPERLINK("CSG19.html#group48A19", "48A¹⁹"), =HYPERLINK("CSG17.html#group96A17", "96A¹⁷"), =HYPERLINK("CSG19.html#group48P19", "48P¹⁹"), =HYPERLINK("CSG7.html#group48R7", "48R⁷"), =HYPERLINK("CSG18.html#group96B18", "96B¹⁸"), =HYPERLINK("CSG8.html#group48E8", "48E⁸"), =HYPERLINK("CSG19.html#group96P19", "96P¹⁹"), =HYPERLINK("CSG17.html#group96J17", "96J¹⁷"), =HYPERLINK("CSG19.html#group96F19", "96F¹⁹"), =HYPERLINK("CSG19.html#group192A19", "192A¹⁹"), =HYPERLINK("CSG9.html#group96A9", "96A⁹"), =HYPERLINK("CSG19.html#group192C19", "192C¹⁹"), =HYPERLINK("CSG17.html#group96K17", "96K¹⁷"), =HYPERLINK("CSG19.html#group96D19", "96D¹⁹"), =HYPERLINK("CSG21.html#group192B21", "192B²¹"), =HYPERLINK("CSG21.html#group192C21", "192C²¹"), =HYPERLINK("CSG18.html#group96D18", "96D¹⁸"), =HYPERLINK("CSG15.html#group96M15", "96M¹⁵"), =HYPERLINK("CSG19.html#group48N19", "48N¹⁹"), =HYPERLINK("CSG9.html#group48A9", "48A⁹"), =HYPERLINK("CSG19.html#group96O19", "96O¹⁹"), =HYPERLINK("CSG8.html#group96B8", "96B⁸"), =HYPERLINK("CSG15.html#group96N15", "96N¹⁵"), =HYPERLINK("CSG22.html#group192B22", "192B²²"), =HYPERLINK("CSG17.html#group96AC17", "96AC¹⁷"), =HYPERLINK("CSG10.html#group96B10", "96B¹⁰"), =HYPERLINK("CSG19.html#group192B19", "192B¹⁹"), =HYPERLINK("CSG19.html#group96H19", "96H¹⁹"), =HYPERLINK("CSG21.html#group96H21", "96H²¹")</f>
        <v/>
      </c>
    </row>
    <row r="833">
      <c r="A833" t="inlineStr">
        <is>
          <t>48C⁴</t>
        </is>
      </c>
      <c r="B833" t="inlineStr"/>
      <c r="C833" t="inlineStr">
        <is>
          <t>72</t>
        </is>
      </c>
      <c r="D833" t="inlineStr">
        <is>
          <t>1</t>
        </is>
      </c>
      <c r="E833" t="inlineStr">
        <is>
          <t>9</t>
        </is>
      </c>
      <c r="F833" t="inlineStr">
        <is>
          <t>8</t>
        </is>
      </c>
      <c r="G833" t="inlineStr">
        <is>
          <t>0</t>
        </is>
      </c>
      <c r="H833" t="inlineStr">
        <is>
          <t>24¹, 48¹</t>
        </is>
      </c>
      <c r="I833" t="n">
        <v>2</v>
      </c>
      <c r="J833" t="inlineStr">
        <is>
          <t>1³, 2³</t>
        </is>
      </c>
      <c r="K833">
        <f>HYPERLINK("CSG0.html#group24A0", "24A⁰")</f>
        <v/>
      </c>
      <c r="L833">
        <f>HYPERLINK("CSG7.html#group48N7", "48N⁷"), =HYPERLINK("CSG7.html#group48AH7", "48AH⁷"), =HYPERLINK("CSG9.html#group48K9", "48K⁹"), =HYPERLINK("CSG9.html#group48L9", "48L⁹"), =HYPERLINK("CSG9.html#group48X9", "48X⁹"), =HYPERLINK("CSG9.html#group48Y9", "48Y⁹"), =HYPERLINK("CSG9.html#group48AB9", "48AB⁹"), =HYPERLINK("CSG9.html#group48AE9", "48AE⁹"), =HYPERLINK("CSG11.html#group48E11", "48E¹¹"), =HYPERLINK("CSG11.html#group48G11", "48G¹¹"), =HYPERLINK("CSG11.html#group48I11", "48I¹¹"), =HYPERLINK("CSG12.html#group144B12", "144B¹²"), =HYPERLINK("CSG16.html#group144F16", "144F¹⁶")</f>
        <v/>
      </c>
      <c r="M833">
        <f>HYPERLINK("CSG0.html#group12C0", "12C⁰"), =HYPERLINK("CSG0.html#group24A0", "24A⁰"), =HYPERLINK("CSG0.html#group4C0", "4C⁰"), =HYPERLINK("CSG0.html#group8B0", "8B⁰"), =HYPERLINK("CSG0.html#group2B0", "2B⁰"), =HYPERLINK("CSG0.html#group3A0", "3A⁰"), =HYPERLINK("CSG0.html#group1A0", "1A⁰"), =HYPERLINK("CSG0.html#group6D0", "6D⁰")</f>
        <v/>
      </c>
      <c r="N833">
        <f>HYPERLINK("CSG21.html#group96Y21", "96Y²¹"), =HYPERLINK("CSG21.html#group96AI21", "96AI²¹"), =HYPERLINK("CSG19.html#group48BJ19", "48BJ¹⁹"), =HYPERLINK("CSG21.html#group48R21", "48R²¹"), =HYPERLINK("CSG16.html#group144F16", "144F¹⁶"), =HYPERLINK("CSG19.html#group48BK19", "48BK¹⁹"), =HYPERLINK("CSG19.html#group48AN19", "48AN¹⁹"), =HYPERLINK("CSG21.html#group48AE21", "48AE²¹"), =HYPERLINK("CSG21.html#group48O21", "48O²¹"), =HYPERLINK("CSG21.html#group48BF21", "48BF²¹"), =HYPERLINK("CSG9.html#group48X9", "48X⁹"), =HYPERLINK("CSG17.html#group48Q17", "48Q¹⁷"), =HYPERLINK("CSG7.html#group48AH7", "48AH⁷"), =HYPERLINK("CSG21.html#group48AA21", "48AA²¹"), =HYPERLINK("CSG11.html#group48I11", "48I¹¹"), =HYPERLINK("CSG21.html#group48AC21", "48AC²¹"), =HYPERLINK("CSG21.html#group48AD21", "48AD²¹"), =HYPERLINK("CSG12.html#group144B12", "144B¹²"), =HYPERLINK("CSG17.html#group48CD17", "48CD¹⁷"), =HYPERLINK("CSG9.html#group48K9", "48K⁹"), =HYPERLINK("CSG23.html#group144Y23", "144Y²³"), =HYPERLINK("CSG21.html#group48BC21", "48BC²¹"), =HYPERLINK("CSG21.html#group48BD21", "48BD²¹"), =HYPERLINK("CSG19.html#group48AZ19", "48AZ¹⁹"), =HYPERLINK("CSG21.html#group48AL21", "48AL²¹"), =HYPERLINK("CSG21.html#group96AL21", "96AL²¹"), =HYPERLINK("CSG23.html#group144X23", "144X²³"), =HYPERLINK("CSG19.html#group48BA19", "48BA¹⁹"), =HYPERLINK("CSG19.html#group48AY19", "48AY¹⁹"), =HYPERLINK("CSG21.html#group48AM21", "48AM²¹"), =HYPERLINK("CSG19.html#group48BH19", "48BH¹⁹"), =HYPERLINK("CSG9.html#group48AE9", "48AE⁹"), =HYPERLINK("CSG21.html#group48Q21", "48Q²¹"), =HYPERLINK("CSG21.html#group48BQ21", "48BQ²¹"), =HYPERLINK("CSG11.html#group48G11", "48G¹¹"), =HYPERLINK("CSG21.html#group48AW21", "48AW²¹"), =HYPERLINK("CSG19.html#group48AK19", "48AK¹⁹"), =HYPERLINK("CSG17.html#group48N17", "48N¹⁷"), =HYPERLINK("CSG21.html#group48S21", "48S²¹"), =HYPERLINK("CSG11.html#group48E11", "48E¹¹"), =HYPERLINK("CSG21.html#group96AJ21", "96AJ²¹"), =HYPERLINK("CSG21.html#group96AX21", "96AX²¹"), =HYPERLINK("CSG21.html#group48C21", "48C²¹"), =HYPERLINK("CSG21.html#group96AY21", "96AY²¹"), =HYPERLINK("CSG17.html#group48BR17", "48BR¹⁷"), =HYPERLINK("CSG17.html#group96P17", "96P¹⁷"), =HYPERLINK("CSG9.html#group48AB9", "48AB⁹"), =HYPERLINK("CSG21.html#group96AK21", "96AK²¹"), =HYPERLINK("CSG21.html#group48BR21", "48BR²¹"), =HYPERLINK("CSG19.html#group48AC19", "48AC¹⁹"), =HYPERLINK("CSG17.html#group48CC17", "48CC¹⁷"), =HYPERLINK("CSG19.html#group48AD19", "48AD¹⁹"), =HYPERLINK("CSG21.html#group48M21", "48M²¹"), =HYPERLINK("CSG17.html#group48AW17", "48AW¹⁷"), =HYPERLINK("CSG19.html#group48AO19", "48AO¹⁹"), =HYPERLINK("CSG17.html#group96Q17", "96Q¹⁷"), =HYPERLINK("CSG9.html#group48Y9", "48Y⁹"), =HYPERLINK("CSG17.html#group48BQ17", "48BQ¹⁷"), =HYPERLINK("CSG9.html#group48L9", "48L⁹"), =HYPERLINK("CSG7.html#group48N7", "48N⁷"), =HYPERLINK("CSG19.html#group48AJ19", "48AJ¹⁹"), =HYPERLINK("CSG13.html#group48X13", "48X¹³"), =HYPERLINK("CSG19.html#group48AE19", "48AE¹⁹"), =HYPERLINK("CSG19.html#group48AB19", "48AB¹⁹"), =HYPERLINK("CSG17.html#group48AZ17", "48AZ¹⁷"), =HYPERLINK("CSG19.html#group48BF19", "48BF¹⁹"), =HYPERLINK("CSG19.html#group48BI19", "48BI¹⁹"), =HYPERLINK("CSG21.html#group96AA21", "96AA²¹")</f>
        <v/>
      </c>
    </row>
    <row r="834">
      <c r="A834" t="inlineStr">
        <is>
          <t>48D⁴</t>
        </is>
      </c>
      <c r="B834" t="inlineStr"/>
      <c r="C834" t="inlineStr">
        <is>
          <t>72</t>
        </is>
      </c>
      <c r="D834" t="inlineStr">
        <is>
          <t>1</t>
        </is>
      </c>
      <c r="E834" t="inlineStr">
        <is>
          <t>12</t>
        </is>
      </c>
      <c r="F834" t="inlineStr">
        <is>
          <t>0</t>
        </is>
      </c>
      <c r="G834" t="inlineStr">
        <is>
          <t>0</t>
        </is>
      </c>
      <c r="H834" t="inlineStr">
        <is>
          <t>3², 6³, 48¹</t>
        </is>
      </c>
      <c r="I834" t="n">
        <v>6</v>
      </c>
      <c r="J834" t="inlineStr">
        <is>
          <t>1⁴, 2², 4¹</t>
        </is>
      </c>
      <c r="K834">
        <f>HYPERLINK("CSG0.html#group16D0", "16D⁰"), =HYPERLINK("CSG2.html#group24B2", "24B²")</f>
        <v/>
      </c>
      <c r="L834">
        <f>HYPERLINK("CSG7.html#group48Y7", "48Y⁷"), =HYPERLINK("CSG8.html#group48C8", "48C⁸"), =HYPERLINK("CSG8.html#group48E8", "48E⁸"), =HYPERLINK("CSG8.html#group48K8", "48K⁸"), =HYPERLINK("CSG8.html#group48M8", "48M⁸"), =HYPERLINK("CSG9.html#group48B9", "48B⁹"), =HYPERLINK("CSG9.html#group48P9", "48P⁹"), =HYPERLINK("CSG16.html#group144D16", "144D¹⁶")</f>
        <v/>
      </c>
      <c r="M834">
        <f>HYPERLINK("CSG2.html#group24B2", "24B²"), =HYPERLINK("CSG0.html#group4B0", "4B⁰"), =HYPERLINK("CSG0.html#group16D0", "16D⁰"), =HYPERLINK("CSG0.html#group8C0", "8C⁰"), =HYPERLINK("CSG1.html#group12B1", "12B¹"), =HYPERLINK("CSG0.html#group2B0", "2B⁰"), =HYPERLINK("CSG0.html#group3A0", "3A⁰"), =HYPERLINK("CSG0.html#group1A0", "1A⁰"), =HYPERLINK("CSG0.html#group6D0", "6D⁰")</f>
        <v/>
      </c>
      <c r="N834">
        <f>HYPERLINK("CSG21.html#group96D21", "96D²¹"), =HYPERLINK("CSG17.html#group48AD17", "48AD¹⁷"), =HYPERLINK("CSG9.html#group48B9", "48B⁹"), =HYPERLINK("CSG15.html#group48Q15", "48Q¹⁵"), =HYPERLINK("CSG17.html#group48Z17", "48Z¹⁷"), =HYPERLINK("CSG19.html#group48AP19", "48AP¹⁹"), =HYPERLINK("CSG18.html#group96A18", "96A¹⁸"), =HYPERLINK("CSG17.html#group48D17", "48D¹⁷"), =HYPERLINK("CSG16.html#group144D16", "144D¹⁶"), =HYPERLINK("CSG18.html#group48C18", "48C¹⁸"), =HYPERLINK("CSG21.html#group96R21", "96R²¹"), =HYPERLINK("CSG19.html#group48Q19", "48Q¹⁹"), =HYPERLINK("CSG17.html#group96A17", "96A¹⁷"), =HYPERLINK("CSG7.html#group48Y7", "48Y⁷"), =HYPERLINK("CSG19.html#group96Z19", "96Z¹⁹"), =HYPERLINK("CSG17.html#group48AC17", "48AC¹⁷"), =HYPERLINK("CSG18.html#group48H18", "48H¹⁸"), =HYPERLINK("CSG18.html#group96B18", "96B¹⁸"), =HYPERLINK("CSG8.html#group48E8", "48E⁸"), =HYPERLINK("CSG13.html#group48Z13", "48Z¹³"), =HYPERLINK("CSG19.html#group96P19", "96P¹⁹"), =HYPERLINK("CSG8.html#group48M8", "48M⁸"), =HYPERLINK("CSG19.html#group96C19", "96C¹⁹"), =HYPERLINK("CSG15.html#group48F15", "48F¹⁵"), =HYPERLINK("CSG18.html#group96C18", "96C¹⁸"), =HYPERLINK("CSG8.html#group48K8", "48K⁸"), =HYPERLINK("CSG19.html#group96K19", "96K¹⁹"), =HYPERLINK("CSG21.html#group96C21", "96C²¹"), =HYPERLINK("CSG17.html#group96K17", "96K¹⁷"), =HYPERLINK("CSG18.html#group96D18", "96D¹⁸"), =HYPERLINK("CSG21.html#group96Q21", "96Q²¹"), =HYPERLINK("CSG17.html#group48AB17", "48AB¹⁷"), =HYPERLINK("CSG9.html#group48P9", "48P⁹"), =HYPERLINK("CSG17.html#group48BS17", "48BS¹⁷"), =HYPERLINK("CSG19.html#group48B19", "48B¹⁹"), =HYPERLINK("CSG15.html#group48N15", "48N¹⁵"), =HYPERLINK("CSG15.html#group48R15", "48R¹⁵"), =HYPERLINK("CSG8.html#group48C8", "48C⁸"), =HYPERLINK("CSG17.html#group48I17", "48I¹⁷"), =HYPERLINK("CSG19.html#group48H19", "48H¹⁹")</f>
        <v/>
      </c>
    </row>
    <row r="835">
      <c r="A835" t="inlineStr">
        <is>
          <t>48E⁴</t>
        </is>
      </c>
      <c r="B835" t="inlineStr"/>
      <c r="C835" t="inlineStr">
        <is>
          <t>72</t>
        </is>
      </c>
      <c r="D835" t="inlineStr">
        <is>
          <t>1</t>
        </is>
      </c>
      <c r="E835" t="inlineStr">
        <is>
          <t>12</t>
        </is>
      </c>
      <c r="F835" t="inlineStr">
        <is>
          <t>6</t>
        </is>
      </c>
      <c r="G835" t="inlineStr">
        <is>
          <t>0</t>
        </is>
      </c>
      <c r="H835" t="inlineStr">
        <is>
          <t>12², 48¹</t>
        </is>
      </c>
      <c r="I835" t="n">
        <v>3</v>
      </c>
      <c r="J835" t="inlineStr">
        <is>
          <t>1², 2¹, 4²</t>
        </is>
      </c>
      <c r="K835">
        <f>HYPERLINK("CSG1.html#group16C1", "16C¹"), =HYPERLINK("CSG1.html#group24C1", "24C¹")</f>
        <v/>
      </c>
      <c r="L835">
        <f>HYPERLINK("CSG7.html#group48P7", "48P⁷"), =HYPERLINK("CSG8.html#group48O8", "48O⁸"), =HYPERLINK("CSG8.html#group48Q8", "48Q⁸"), =HYPERLINK("CSG9.html#group48S9", "48S⁹"), =HYPERLINK("CSG9.html#group48U9", "48U⁹"), =HYPERLINK("CSG10.html#group48A10", "48A¹⁰"), =HYPERLINK("CSG10.html#group48C10", "48C¹⁰"), =HYPERLINK("CSG10.html#group96C10", "96C¹⁰"), =HYPERLINK("CSG10.html#group96D10", "96D¹⁰"), =HYPERLINK("CSG15.html#group144B15", "144B¹⁵")</f>
        <v/>
      </c>
      <c r="M835">
        <f>HYPERLINK("CSG0.html#group12C0", "12C⁰"), =HYPERLINK("CSG0.html#group8D0", "8D⁰"), =HYPERLINK("CSG1.html#group16C1", "16C¹"), =HYPERLINK("CSG0.html#group4C0", "4C⁰"), =HYPERLINK("CSG1.html#group24C1", "24C¹"), =HYPERLINK("CSG0.html#group2B0", "2B⁰"), =HYPERLINK("CSG0.html#group3A0", "3A⁰"), =HYPERLINK("CSG0.html#group1A0", "1A⁰"), =HYPERLINK("CSG0.html#group6D0", "6D⁰")</f>
        <v/>
      </c>
      <c r="N835">
        <f>HYPERLINK("CSG21.html#group96AC21", "96AC²¹"), =HYPERLINK("CSG10.html#group48A10", "48A¹⁰"), =HYPERLINK("CSG20.html#group96L20", "96L²⁰"), =HYPERLINK("CSG19.html#group96AC19", "96AC¹⁹"), =HYPERLINK("CSG21.html#group48AQ21", "48AQ²¹"), =HYPERLINK("CSG19.html#group48Y19", "48Y¹⁹"), =HYPERLINK("CSG8.html#group48O8", "48O⁸"), =HYPERLINK("CSG7.html#group48P7", "48P⁷"), =HYPERLINK("CSG17.html#group48AI17", "48AI¹⁷"), =HYPERLINK("CSG21.html#group96AD21", "96AD²¹"), =HYPERLINK("CSG16.html#group48A16", "48A¹⁶"), =HYPERLINK("CSG17.html#group96F17", "96F¹⁷"), =HYPERLINK("CSG21.html#group96AU21", "96AU²¹"), =HYPERLINK("CSG20.html#group96D20", "96D²⁰"), =HYPERLINK("CSG15.html#group48V15", "48V¹⁵"), =HYPERLINK("CSG21.html#group96AV21", "96AV²¹"), =HYPERLINK("CSG19.html#group48J19", "48J¹⁹"), =HYPERLINK("CSG17.html#group96X17", "96X¹⁷"), =HYPERLINK("CSG21.html#group48U21", "48U²¹"), =HYPERLINK("CSG20.html#group96B20", "96B²⁰"), =HYPERLINK("CSG19.html#group48Z19", "48Z¹⁹"), =HYPERLINK("CSG17.html#group48AP17", "48AP¹⁷"), =HYPERLINK("CSG9.html#group48S9", "48S⁹"), =HYPERLINK("CSG15.html#group144B15", "144B¹⁵"), =HYPERLINK("CSG22.html#group96A22", "96A²²"), =HYPERLINK("CSG10.html#group48C10", "48C¹⁰"), =HYPERLINK("CSG22.html#group96D22", "96D²²"), =HYPERLINK("CSG20.html#group96C20", "96C²⁰"), =HYPERLINK("CSG22.html#group96B22", "96B²²"), =HYPERLINK("CSG10.html#group96C10", "96C¹⁰"), =HYPERLINK("CSG18.html#group48E18", "48E¹⁸"), =HYPERLINK("CSG19.html#group96L19", "96L¹⁹"), =HYPERLINK("CSG20.html#group96A20", "96A²⁰"), =HYPERLINK("CSG20.html#group96K20", "96K²⁰"), =HYPERLINK("CSG9.html#group48U9", "48U⁹"), =HYPERLINK("CSG19.html#group48I19", "48I¹⁹"), =HYPERLINK("CSG17.html#group48AH17", "48AH¹⁷"), =HYPERLINK("CSG17.html#group48AL17", "48AL¹⁷"), =HYPERLINK("CSG8.html#group48Q8", "48Q⁸"), =HYPERLINK("CSG19.html#group96M19", "96M¹⁹"), =HYPERLINK("CSG19.html#group48W19", "48W¹⁹"), =HYPERLINK("CSG15.html#group48I15", "48I¹⁵"), =HYPERLINK("CSG19.html#group48O19", "48O¹⁹"), =HYPERLINK("CSG17.html#group96E17", "96E¹⁷"), =HYPERLINK("CSG19.html#group96AD19", "96AD¹⁹"), =HYPERLINK("CSG19.html#group48F19", "48F¹⁹"), =HYPERLINK("CSG19.html#group48B19", "48B¹⁹"), =HYPERLINK("CSG22.html#group96C22", "96C²²"), =HYPERLINK("CSG21.html#group96AW21", "96AW²¹"), =HYPERLINK("CSG17.html#group96Y17", "96Y¹⁷"), =HYPERLINK("CSG16.html#group48H16", "48H¹⁶"), =HYPERLINK("CSG18.html#group48N18", "48N¹⁸"), =HYPERLINK("CSG19.html#group48C19", "48C¹⁹"), =HYPERLINK("CSG19.html#group48AE19", "48AE¹⁹"), =HYPERLINK("CSG20.html#group96M20", "96M²⁰"), =HYPERLINK("CSG17.html#group48BU17", "48BU¹⁷"), =HYPERLINK("CSG21.html#group48BM21", "48BM²¹"), =HYPERLINK("CSG10.html#group96D10", "96D¹⁰")</f>
        <v/>
      </c>
    </row>
    <row r="836">
      <c r="A836" t="inlineStr">
        <is>
          <t>48F⁴</t>
        </is>
      </c>
      <c r="B836" t="inlineStr"/>
      <c r="C836" t="inlineStr">
        <is>
          <t>72</t>
        </is>
      </c>
      <c r="D836" t="inlineStr">
        <is>
          <t>1</t>
        </is>
      </c>
      <c r="E836" t="inlineStr">
        <is>
          <t>18</t>
        </is>
      </c>
      <c r="F836" t="inlineStr">
        <is>
          <t>0</t>
        </is>
      </c>
      <c r="G836" t="inlineStr">
        <is>
          <t>0</t>
        </is>
      </c>
      <c r="H836" t="inlineStr">
        <is>
          <t>3⁴, 12¹, 48¹</t>
        </is>
      </c>
      <c r="I836" t="n">
        <v>6</v>
      </c>
      <c r="J836" t="inlineStr">
        <is>
          <t>1⁴, 2⁵, 4¹</t>
        </is>
      </c>
      <c r="K836">
        <f>HYPERLINK("CSG2.html#group24B2", "24B²")</f>
        <v/>
      </c>
      <c r="L836">
        <f>HYPERLINK("CSG7.html#group48Q7", "48Q⁷"), =HYPERLINK("CSG7.html#group48R7", "48R⁷"), =HYPERLINK("CSG8.html#group48I8", "48I⁸"), =HYPERLINK("CSG8.html#group48K8", "48K⁸"), =HYPERLINK("CSG8.html#group48Y8", "48Y⁸"), =HYPERLINK("CSG9.html#group48E9", "48E⁹"), =HYPERLINK("CSG9.html#group48G9", "48G⁹"), =HYPERLINK("CSG9.html#group48AA9", "48AA⁹"), =HYPERLINK("CSG16.html#group144C16", "144C¹⁶"), =HYPERLINK("CSG16.html#group144G16", "144G¹⁶")</f>
        <v/>
      </c>
      <c r="M836">
        <f>HYPERLINK("CSG2.html#group24B2", "24B²"), =HYPERLINK("CSG0.html#group4B0", "4B⁰"), =HYPERLINK("CSG0.html#group8C0", "8C⁰"), =HYPERLINK("CSG1.html#group12B1", "12B¹"), =HYPERLINK("CSG0.html#group2B0", "2B⁰"), =HYPERLINK("CSG0.html#group3A0", "3A⁰"), =HYPERLINK("CSG0.html#group1A0", "1A⁰"), =HYPERLINK("CSG0.html#group6D0", "6D⁰")</f>
        <v/>
      </c>
      <c r="N836">
        <f>HYPERLINK("CSG21.html#group96K21", "96K²¹"), =HYPERLINK("CSG8.html#group48I8", "48I⁸"), =HYPERLINK("CSG17.html#group48AD17", "48AD¹⁷"), =HYPERLINK("CSG15.html#group48Q15", "48Q¹⁵"), =HYPERLINK("CSG17.html#group48G17", "48G¹⁷"), =HYPERLINK("CSG17.html#group48BT17", "48BT¹⁷"), =HYPERLINK("CSG13.html#group48W13", "48W¹³"), =HYPERLINK("CSG17.html#group96S17", "96S¹⁷"), =HYPERLINK("CSG15.html#group96P15", "96P¹⁵"), =HYPERLINK("CSG19.html#group48P19", "48P¹⁹"), =HYPERLINK("CSG19.html#group48AX19", "48AX¹⁹"), =HYPERLINK("CSG21.html#group96O21", "96O²¹"), =HYPERLINK("CSG7.html#group48R7", "48R⁷"), =HYPERLINK("CSG21.html#group96T21", "96T²¹"), =HYPERLINK("CSG17.html#group48BP17", "48BP¹⁷"), =HYPERLINK("CSG21.html#group96AQ21", "96AQ²¹"), =HYPERLINK("CSG21.html#group96L21", "96L²¹"), =HYPERLINK("CSG9.html#group48G9", "48G⁹"), =HYPERLINK("CSG17.html#group96J17", "96J¹⁷"), =HYPERLINK("CSG16.html#group144G16", "144G¹⁶"), =HYPERLINK("CSG19.html#group96F19", "96F¹⁹"), =HYPERLINK("CSG17.html#group48H17", "48H¹⁷"), =HYPERLINK("CSG17.html#group96I17", "96I¹⁷"), =HYPERLINK("CSG9.html#group48E9", "48E⁹"), =HYPERLINK("CSG17.html#group48K17", "48K¹⁷"), =HYPERLINK("CSG8.html#group48K8", "48K⁸"), =HYPERLINK("CSG19.html#group96D19", "96D¹⁹"), =HYPERLINK("CSG8.html#group48Y8", "48Y⁸"), =HYPERLINK("CSG19.html#group48L19", "48L¹⁹"), =HYPERLINK("CSG19.html#group96N19", "96N¹⁹"), =HYPERLINK("CSG15.html#group96M15", "96M¹⁵"), =HYPERLINK("CSG17.html#group48F17", "48F¹⁷"), =HYPERLINK("CSG7.html#group48Q7", "48Q⁷"), =HYPERLINK("CSG16.html#group144C16", "144C¹⁶"), =HYPERLINK("CSG19.html#group48M19", "48M¹⁹"), =HYPERLINK("CSG9.html#group48AA9", "48AA⁹"), =HYPERLINK("CSG19.html#group48O19", "48O¹⁹"), =HYPERLINK("CSG17.html#group48BS17", "48BS¹⁷"), =HYPERLINK("CSG17.html#group48X17", "48X¹⁷"), =HYPERLINK("CSG15.html#group48N15", "48N¹⁵"), =HYPERLINK("CSG15.html#group96N15", "96N¹⁵"), =HYPERLINK("CSG19.html#group48D19", "48D¹⁹"), =HYPERLINK("CSG15.html#group48O15", "48O¹⁵"), =HYPERLINK("CSG15.html#group48P15", "48P¹⁵"), =HYPERLINK("CSG17.html#group48I17", "48I¹⁷"), =HYPERLINK("CSG17.html#group48E17", "48E¹⁷")</f>
        <v/>
      </c>
    </row>
    <row r="837">
      <c r="A837" t="inlineStr">
        <is>
          <t>48G⁴</t>
        </is>
      </c>
      <c r="B837" t="inlineStr"/>
      <c r="C837" t="inlineStr">
        <is>
          <t>72</t>
        </is>
      </c>
      <c r="D837" t="inlineStr">
        <is>
          <t>1</t>
        </is>
      </c>
      <c r="E837" t="inlineStr">
        <is>
          <t>36</t>
        </is>
      </c>
      <c r="F837" t="inlineStr">
        <is>
          <t>0</t>
        </is>
      </c>
      <c r="G837" t="inlineStr">
        <is>
          <t>0</t>
        </is>
      </c>
      <c r="H837" t="inlineStr">
        <is>
          <t>3², 6³, 48¹</t>
        </is>
      </c>
      <c r="I837" t="n">
        <v>6</v>
      </c>
      <c r="J837" t="inlineStr">
        <is>
          <t>1⁴, 2⁶, 4³, 8¹</t>
        </is>
      </c>
      <c r="K837">
        <f>HYPERLINK("CSG2.html#group24B2", "24B²")</f>
        <v/>
      </c>
      <c r="L837">
        <f>HYPERLINK("CSG7.html#group48X7", "48X⁷"), =HYPERLINK("CSG7.html#group48Y7", "48Y⁷"), =HYPERLINK("CSG8.html#group48D8", "48D⁸"), =HYPERLINK("CSG8.html#group48I8", "48I⁸"), =HYPERLINK("CSG8.html#group48J8", "48J⁸"), =HYPERLINK("CSG8.html#group48L8", "48L⁸"), =HYPERLINK("CSG8.html#group48M8", "48M⁸"), =HYPERLINK("CSG8.html#group48Y8", "48Y⁸"), =HYPERLINK("CSG9.html#group48O9", "48O⁹"), =HYPERLINK("CSG9.html#group48Q9", "48Q⁹"), =HYPERLINK("CSG9.html#group48AC9", "48AC⁹"), =HYPERLINK("CSG16.html#group144E16", "144E¹⁶"), =HYPERLINK("CSG16.html#group144H16", "144H¹⁶")</f>
        <v/>
      </c>
      <c r="M837">
        <f>HYPERLINK("CSG2.html#group24B2", "24B²"), =HYPERLINK("CSG0.html#group4B0", "4B⁰"), =HYPERLINK("CSG0.html#group8C0", "8C⁰"), =HYPERLINK("CSG1.html#group12B1", "12B¹"), =HYPERLINK("CSG0.html#group2B0", "2B⁰"), =HYPERLINK("CSG0.html#group3A0", "3A⁰"), =HYPERLINK("CSG0.html#group1A0", "1A⁰"), =HYPERLINK("CSG0.html#group6D0", "6D⁰")</f>
        <v/>
      </c>
      <c r="N837">
        <f>HYPERLINK("CSG8.html#group48I8", "48I⁸"), =HYPERLINK("CSG17.html#group48W17", "48W¹⁷"), =HYPERLINK("CSG17.html#group48AD17", "48AD¹⁷"), =HYPERLINK("CSG21.html#group96X21", "96X²¹"), =HYPERLINK("CSG19.html#group96Q19", "96Q¹⁹"), =HYPERLINK("CSG15.html#group48Q15", "48Q¹⁵"), =HYPERLINK("CSG9.html#group48Q9", "48Q⁹"), =HYPERLINK("CSG17.html#group48Z17", "48Z¹⁷"), =HYPERLINK("CSG21.html#group96U21", "96U²¹"), =HYPERLINK("CSG17.html#group48Y17", "48Y¹⁷"), =HYPERLINK("CSG17.html#group48BT17", "48BT¹⁷"), =HYPERLINK("CSG21.html#group96AS21", "96AS²¹"), =HYPERLINK("CSG17.html#group48AA17", "48AA¹⁷"), =HYPERLINK("CSG9.html#group48AC9", "48AC⁹"), =HYPERLINK("CSG7.html#group48Y7", "48Y⁷"), =HYPERLINK("CSG17.html#group48AC17", "48AC¹⁷"), =HYPERLINK("CSG19.html#group48AW19", "48AW¹⁹"), =HYPERLINK("CSG21.html#group96W21", "96W²¹"), =HYPERLINK("CSG8.html#group48L8", "48L⁸"), =HYPERLINK("CSG17.html#group48J17", "48J¹⁷"), =HYPERLINK("CSG17.html#group48BP17", "48BP¹⁷"), =HYPERLINK("CSG17.html#group96L17", "96L¹⁷"), =HYPERLINK("CSG15.html#group48E15", "48E¹⁵"), =HYPERLINK("CSG13.html#group48Z13", "48Z¹³"), =HYPERLINK("CSG8.html#group48M8", "48M⁸"), =HYPERLINK("CSG17.html#group96M17", "96M¹⁷"), =HYPERLINK("CSG8.html#group48J8", "48J⁸"), =HYPERLINK("CSG7.html#group48X7", "48X⁷"), =HYPERLINK("CSG17.html#group48H17", "48H¹⁷"), =HYPERLINK("CSG19.html#group48G19", "48G¹⁹"), =HYPERLINK("CSG15.html#group48F15", "48F¹⁵"), =HYPERLINK("CSG19.html#group96AX19", "96AX¹⁹"), =HYPERLINK("CSG19.html#group48I19", "48I¹⁹"), =HYPERLINK("CSG8.html#group48Y8", "48Y⁸"), =HYPERLINK("CSG16.html#group144H16", "144H¹⁶"), =HYPERLINK("CSG19.html#group96R19", "96R¹⁹"), =HYPERLINK("CSG21.html#group96V21", "96V²¹"), =HYPERLINK("CSG21.html#group96AR21", "96AR²¹"), =HYPERLINK("CSG17.html#group48AB17", "48AB¹⁷"), =HYPERLINK("CSG17.html#group48X17", "48X¹⁷"), =HYPERLINK("CSG17.html#group48BS17", "48BS¹⁷"), =HYPERLINK("CSG15.html#group48N15", "48N¹⁵"), =HYPERLINK("CSG8.html#group48D8", "48D⁸"), =HYPERLINK("CSG15.html#group48R15", "48R¹⁵"), =HYPERLINK("CSG9.html#group48O9", "48O⁹"), =HYPERLINK("CSG17.html#group96AC17", "96AC¹⁷"), =HYPERLINK("CSG15.html#group48O15", "48O¹⁵"), =HYPERLINK("CSG15.html#group48P15", "48P¹⁵"), =HYPERLINK("CSG16.html#group144E16", "144E¹⁶")</f>
        <v/>
      </c>
    </row>
    <row r="838">
      <c r="A838" t="inlineStr">
        <is>
          <t>48H⁴</t>
        </is>
      </c>
      <c r="B838" t="inlineStr"/>
      <c r="C838" t="inlineStr">
        <is>
          <t>72</t>
        </is>
      </c>
      <c r="D838" t="inlineStr">
        <is>
          <t>1</t>
        </is>
      </c>
      <c r="E838" t="inlineStr">
        <is>
          <t>36</t>
        </is>
      </c>
      <c r="F838" t="inlineStr">
        <is>
          <t>6</t>
        </is>
      </c>
      <c r="G838" t="inlineStr">
        <is>
          <t>0</t>
        </is>
      </c>
      <c r="H838" t="inlineStr">
        <is>
          <t>12², 48¹</t>
        </is>
      </c>
      <c r="I838" t="n">
        <v>3</v>
      </c>
      <c r="J838" t="inlineStr">
        <is>
          <t>1², 2³, 4³, 8²</t>
        </is>
      </c>
      <c r="K838">
        <f>HYPERLINK("CSG1.html#group24C1", "24C¹")</f>
        <v/>
      </c>
      <c r="L838">
        <f>HYPERLINK("CSG7.html#group48AC7", "48AC⁷"), =HYPERLINK("CSG8.html#group48N8", "48N⁸"), =HYPERLINK("CSG8.html#group48O8", "48O⁸"), =HYPERLINK("CSG8.html#group48P8", "48P⁸"), =HYPERLINK("CSG8.html#group48Z8", "48Z⁸"), =HYPERLINK("CSG9.html#group48R9", "48R⁹"), =HYPERLINK("CSG9.html#group48S9", "48S⁹"), =HYPERLINK("CSG9.html#group48T9", "48T⁹"), =HYPERLINK("CSG9.html#group48AD9", "48AD⁹"), =HYPERLINK("CSG10.html#group48B10", "48B¹⁰"), =HYPERLINK("CSG10.html#group48D10", "48D¹⁰"), =HYPERLINK("CSG15.html#group144C15", "144C¹⁵"), =HYPERLINK("CSG15.html#group144D15", "144D¹⁵")</f>
        <v/>
      </c>
      <c r="M838">
        <f>HYPERLINK("CSG0.html#group12C0", "12C⁰"), =HYPERLINK("CSG0.html#group8D0", "8D⁰"), =HYPERLINK("CSG0.html#group4C0", "4C⁰"), =HYPERLINK("CSG1.html#group24C1", "24C¹"), =HYPERLINK("CSG0.html#group2B0", "2B⁰"), =HYPERLINK("CSG0.html#group3A0", "3A⁰"), =HYPERLINK("CSG0.html#group1A0", "1A⁰"), =HYPERLINK("CSG0.html#group6D0", "6D⁰")</f>
        <v/>
      </c>
      <c r="N838">
        <f>HYPERLINK("CSG9.html#group48AD9", "48AD⁹"), =HYPERLINK("CSG20.html#group96L20", "96L²⁰"), =HYPERLINK("CSG7.html#group48AC7", "48AC⁷"), =HYPERLINK("CSG15.html#group48U15", "48U¹⁵"), =HYPERLINK("CSG19.html#group48Y19", "48Y¹⁹"), =HYPERLINK("CSG8.html#group48Z8", "48Z⁸"), =HYPERLINK("CSG8.html#group48O8", "48O⁸"), =HYPERLINK("CSG17.html#group48AI17", "48AI¹⁷"), =HYPERLINK("CSG10.html#group48D10", "48D¹⁰"), =HYPERLINK("CSG17.html#group48AO17", "48AO¹⁷"), =HYPERLINK("CSG17.html#group48AK17", "48AK¹⁷"), =HYPERLINK("CSG21.html#group48BL21", "48BL²¹"), =HYPERLINK("CSG19.html#group96AB19", "96AB¹⁹"), =HYPERLINK("CSG21.html#group96AU21", "96AU²¹"), =HYPERLINK("CSG18.html#group48L18", "48L¹⁸"), =HYPERLINK("CSG18.html#group48S18", "48S¹⁸"), =HYPERLINK("CSG15.html#group48V15", "48V¹⁵"), =HYPERLINK("CSG21.html#group96AV21", "96AV²¹"), =HYPERLINK("CSG19.html#group48J19", "48J¹⁹"), =HYPERLINK("CSG17.html#group48AJ17", "48AJ¹⁷"), =HYPERLINK("CSG19.html#group48AX19", "48AX¹⁹"), =HYPERLINK("CSG19.html#group48AW19", "48AW¹⁹"), =HYPERLINK("CSG19.html#group48Z19", "48Z¹⁹"), =HYPERLINK("CSG9.html#group48S9", "48S⁹"), =HYPERLINK("CSG21.html#group48BN21", "48BN²¹"), =HYPERLINK("CSG20.html#group96F20", "96F²⁰"), =HYPERLINK("CSG8.html#group48N8", "48N⁸"), =HYPERLINK("CSG17.html#group48BX17", "48BX¹⁷"), =HYPERLINK("CSG19.html#group48U19", "48U¹⁹"), =HYPERLINK("CSG15.html#group48X15", "48X¹⁵"), =HYPERLINK("CSG21.html#group48BV21", "48BV²¹"), =HYPERLINK("CSG9.html#group48R9", "48R⁹"), =HYPERLINK("CSG18.html#group96F18", "96F¹⁸"), =HYPERLINK("CSG18.html#group48O18", "48O¹⁸"), =HYPERLINK("CSG19.html#group48AD19", "48AD¹⁹"), =HYPERLINK("CSG18.html#group96G18", "96G¹⁸"), =HYPERLINK("CSG9.html#group48T9", "48T⁹"), =HYPERLINK("CSG19.html#group48G19", "48G¹⁹"), =HYPERLINK("CSG15.html#group144D15", "144D¹⁵"), =HYPERLINK("CSG19.html#group48X19", "48X¹⁹"), =HYPERLINK("CSG21.html#group48AS21", "48AS²¹"), =HYPERLINK("CSG20.html#group96E20", "96E²⁰"), =HYPERLINK("CSG20.html#group96K20", "96K²⁰"), =HYPERLINK("CSG16.html#group48G16", "48G¹⁶"), =HYPERLINK("CSG17.html#group48AH17", "48AH¹⁷"), =HYPERLINK("CSG17.html#group48AL17", "48AL¹⁷"), =HYPERLINK("CSG8.html#group48P8", "48P⁸"), =HYPERLINK("CSG15.html#group144C15", "144C¹⁵"), =HYPERLINK("CSG10.html#group48B10", "48B¹⁰"), =HYPERLINK("CSG19.html#group48AZ19", "48AZ¹⁹"), =HYPERLINK("CSG19.html#group48W19", "48W¹⁹"), =HYPERLINK("CSG19.html#group48M19", "48M¹⁹"), =HYPERLINK("CSG16.html#group48F16", "48F¹⁶"), =HYPERLINK("CSG16.html#group48I16", "48I¹⁶"), =HYPERLINK("CSG18.html#group96E18", "96E¹⁸"), =HYPERLINK("CSG17.html#group48BV17", "48BV¹⁷"), =HYPERLINK("CSG19.html#group48F19", "48F¹⁹"), =HYPERLINK("CSG19.html#group48V19", "48V¹⁹"), =HYPERLINK("CSG19.html#group48E19", "48E¹⁹"), =HYPERLINK("CSG19.html#group96AA19", "96AA¹⁹"), =HYPERLINK("CSG17.html#group48BU17", "48BU¹⁷"), =HYPERLINK("CSG19.html#group96AZ19", "96AZ¹⁹"), =HYPERLINK("CSG19.html#group48N19", "48N¹⁹"), =HYPERLINK("CSG19.html#group48H19", "48H¹⁹")</f>
        <v/>
      </c>
    </row>
    <row r="839">
      <c r="A839" t="inlineStr">
        <is>
          <t>48I⁴</t>
        </is>
      </c>
      <c r="B839" t="inlineStr"/>
      <c r="C839" t="inlineStr">
        <is>
          <t>96</t>
        </is>
      </c>
      <c r="D839" t="inlineStr">
        <is>
          <t>1</t>
        </is>
      </c>
      <c r="E839" t="inlineStr">
        <is>
          <t>8</t>
        </is>
      </c>
      <c r="F839" t="inlineStr">
        <is>
          <t>0</t>
        </is>
      </c>
      <c r="G839" t="inlineStr">
        <is>
          <t>12</t>
        </is>
      </c>
      <c r="H839" t="inlineStr">
        <is>
          <t>48²</t>
        </is>
      </c>
      <c r="I839" t="n">
        <v>2</v>
      </c>
      <c r="J839" t="inlineStr">
        <is>
          <t>4²</t>
        </is>
      </c>
      <c r="K839">
        <f>HYPERLINK("CSG0.html#group16F0", "16F⁰"), =HYPERLINK("CSG2.html#group24E2", "24E²")</f>
        <v/>
      </c>
      <c r="L839">
        <f>HYPERLINK("CSG22.html#group48A22", "48A²²")</f>
        <v/>
      </c>
      <c r="M839">
        <f>HYPERLINK("CSG0.html#group2A0", "2A⁰"), =HYPERLINK("CSG0.html#group16A0", "16A⁰"), =HYPERLINK("CSG0.html#group6A0", "6A⁰"), =HYPERLINK("CSG2.html#group24E2", "24E²"), =HYPERLINK("CSG0.html#group4A0", "4A⁰"), =HYPERLINK("CSG0.html#group16F0", "16F⁰"), =HYPERLINK("CSG0.html#group4D0", "4D⁰"), =HYPERLINK("CSG1.html#group12E1", "12E¹"), =HYPERLINK("CSG0.html#group8A0", "8A⁰"), =HYPERLINK("CSG0.html#group8E0", "8E⁰"), =HYPERLINK("CSG0.html#group1A0", "1A⁰")</f>
        <v/>
      </c>
      <c r="N839">
        <f>HYPERLINK("CSG22.html#group48A22", "48A²²")</f>
        <v/>
      </c>
    </row>
    <row r="840">
      <c r="A840" t="inlineStr">
        <is>
          <t>48J⁴</t>
        </is>
      </c>
      <c r="B840" t="inlineStr"/>
      <c r="C840" t="inlineStr">
        <is>
          <t>96</t>
        </is>
      </c>
      <c r="D840" t="inlineStr">
        <is>
          <t>1</t>
        </is>
      </c>
      <c r="E840" t="inlineStr">
        <is>
          <t>48</t>
        </is>
      </c>
      <c r="F840" t="inlineStr">
        <is>
          <t>0</t>
        </is>
      </c>
      <c r="G840" t="inlineStr">
        <is>
          <t>0</t>
        </is>
      </c>
      <c r="H840" t="inlineStr">
        <is>
          <t>2⁴, 6⁴, 16¹, 48¹</t>
        </is>
      </c>
      <c r="I840" t="n">
        <v>10</v>
      </c>
      <c r="J840" t="inlineStr">
        <is>
          <t>1⁴, 2⁴, 4⁵, 8²</t>
        </is>
      </c>
      <c r="K840">
        <f>HYPERLINK("CSG0.html#group16E0", "16E⁰"), =HYPERLINK("CSG2.html#group24I2", "24I²")</f>
        <v/>
      </c>
      <c r="L840">
        <f>HYPERLINK("CSG7.html#group48AL7", "48AL⁷"), =HYPERLINK("CSG10.html#group96E10", "96E¹⁰"), =HYPERLINK("CSG10.html#group96F10", "96F¹⁰"), =HYPERLINK("CSG11.html#group48AA11", "48AA¹¹"), =HYPERLINK("CSG11.html#group48AB11", "48AB¹¹"), =HYPERLINK("CSG15.html#group48G15", "48G¹⁵"), =HYPERLINK("CSG15.html#group144E15", "144E¹⁵"), =HYPERLINK("CSG20.html#group144A20", "144A²⁰"), =HYPERLINK("CSG20.html#group144B20", "144B²⁰")</f>
        <v/>
      </c>
      <c r="M840">
        <f>HYPERLINK("CSG0.html#group3B0", "3B⁰"), =HYPERLINK("CSG0.html#group16E0", "16E⁰"), =HYPERLINK("CSG2.html#group24I2", "24I²"), =HYPERLINK("CSG0.html#group8D0", "8D⁰"), =HYPERLINK("CSG1.html#group12F1", "12F¹"), =HYPERLINK("CSG0.html#group4C0", "4C⁰"), =HYPERLINK("CSG0.html#group6F0", "6F⁰"), =HYPERLINK("CSG0.html#group2B0", "2B⁰"), =HYPERLINK("CSG0.html#group1A0", "1A⁰")</f>
        <v/>
      </c>
      <c r="N840">
        <f>HYPERLINK("CSG23.html#group96AI23", "96AI²³"), =HYPERLINK("CSG15.html#group48G15", "48G¹⁵"), =HYPERLINK("CSG13.html#group48AG13", "48AG¹³"), =HYPERLINK("CSG11.html#group48AA11", "48AA¹¹"), =HYPERLINK("CSG21.html#group48CC21", "48CC²¹"), =HYPERLINK("CSG19.html#group96BD19", "96BD¹⁹"), =HYPERLINK("CSG19.html#group96BC19", "96BC¹⁹"), =HYPERLINK("CSG23.html#group96AK23", "96AK²³"), =HYPERLINK("CSG15.html#group144E15", "144E¹⁵"), =HYPERLINK("CSG17.html#group48CK17", "48CK¹⁷"), =HYPERLINK("CSG10.html#group96F10", "96F¹⁰"), =HYPERLINK("CSG20.html#group144B20", "144B²⁰"), =HYPERLINK("CSG17.html#group48CM17", "48CM¹⁷"), =HYPERLINK("CSG7.html#group48AL7", "48AL⁷"), =HYPERLINK("CSG20.html#group144A20", "144A²⁰"), =HYPERLINK("CSG21.html#group48CF21", "48CF²¹"), =HYPERLINK("CSG21.html#group48CO21", "48CO²¹"), =HYPERLINK("CSG10.html#group96E10", "96E¹⁰"), =HYPERLINK("CSG23.html#group96AJ23", "96AJ²³"), =HYPERLINK("CSG21.html#group48CN21", "48CN²¹"), =HYPERLINK("CSG11.html#group48AB11", "48AB¹¹"), =HYPERLINK("CSG23.html#group96AL23", "96AL²³")</f>
        <v/>
      </c>
    </row>
    <row r="841">
      <c r="A841" t="inlineStr">
        <is>
          <t>50A⁴</t>
        </is>
      </c>
      <c r="B841" t="inlineStr"/>
      <c r="C841" t="inlineStr">
        <is>
          <t>60</t>
        </is>
      </c>
      <c r="D841" t="inlineStr">
        <is>
          <t>1</t>
        </is>
      </c>
      <c r="E841" t="inlineStr">
        <is>
          <t>30</t>
        </is>
      </c>
      <c r="F841" t="inlineStr">
        <is>
          <t>4</t>
        </is>
      </c>
      <c r="G841" t="inlineStr">
        <is>
          <t>0</t>
        </is>
      </c>
      <c r="H841" t="inlineStr">
        <is>
          <t>10¹, 50¹</t>
        </is>
      </c>
      <c r="I841" t="n">
        <v>2</v>
      </c>
      <c r="J841" t="inlineStr">
        <is>
          <t>2², 4⁴, 20²</t>
        </is>
      </c>
      <c r="K841">
        <f>HYPERLINK("CSG0.html#group10B0", "10B⁰"), =HYPERLINK("CSG2.html#group25A2", "25A²")</f>
        <v/>
      </c>
      <c r="L841">
        <f>HYPERLINK("CSG9.html#group50A9", "50A⁹"), =HYPERLINK("CSG9.html#group100E9", "100E⁹"), =HYPERLINK("CSG12.html#group50E12", "50E¹²"), =HYPERLINK("CSG12.html#group150A12", "150A¹²"), =HYPERLINK("CSG16.html#group50A16", "50A¹⁶"), =HYPERLINK("CSG17.html#group100A17", "100A¹⁷"), =HYPERLINK("CSG19.html#group150A19", "150A¹⁹"), =HYPERLINK("CSG20.html#group50A20", "50A²⁰")</f>
        <v/>
      </c>
      <c r="M841">
        <f>HYPERLINK("CSG0.html#group5B0", "5B⁰"), =HYPERLINK("CSG2.html#group25A2", "25A²"), =HYPERLINK("CSG0.html#group1A0", "1A⁰"), =HYPERLINK("CSG0.html#group10B0", "10B⁰")</f>
        <v/>
      </c>
      <c r="N841">
        <f>HYPERLINK("CSG9.html#group50A9", "50A⁹"), =HYPERLINK("CSG19.html#group150A19", "150A¹⁹"), =HYPERLINK("CSG9.html#group100E9", "100E⁹"), =HYPERLINK("CSG12.html#group150A12", "150A¹²"), =HYPERLINK("CSG12.html#group50E12", "50E¹²"), =HYPERLINK("CSG20.html#group50A20", "50A²⁰"), =HYPERLINK("CSG19.html#group100A19", "100A¹⁹"), =HYPERLINK("CSG17.html#group100A17", "100A¹⁷"), =HYPERLINK("CSG16.html#group50A16", "50A¹⁶")</f>
        <v/>
      </c>
    </row>
    <row r="842">
      <c r="A842" t="inlineStr">
        <is>
          <t>50B⁴</t>
        </is>
      </c>
      <c r="B842" t="inlineStr"/>
      <c r="C842" t="inlineStr">
        <is>
          <t>60</t>
        </is>
      </c>
      <c r="D842" t="inlineStr">
        <is>
          <t>1</t>
        </is>
      </c>
      <c r="E842" t="inlineStr">
        <is>
          <t>30</t>
        </is>
      </c>
      <c r="F842" t="inlineStr">
        <is>
          <t>4</t>
        </is>
      </c>
      <c r="G842" t="inlineStr">
        <is>
          <t>0</t>
        </is>
      </c>
      <c r="H842" t="inlineStr">
        <is>
          <t>10¹, 50¹</t>
        </is>
      </c>
      <c r="I842" t="n">
        <v>2</v>
      </c>
      <c r="J842" t="inlineStr">
        <is>
          <t>2², 4⁴, 20²</t>
        </is>
      </c>
      <c r="K842">
        <f>HYPERLINK("CSG0.html#group10B0", "10B⁰"), =HYPERLINK("CSG2.html#group25B2", "25B²")</f>
        <v/>
      </c>
      <c r="L842">
        <f>HYPERLINK("CSG9.html#group50B9", "50B⁹"), =HYPERLINK("CSG9.html#group100F9", "100F⁹"), =HYPERLINK("CSG12.html#group50F12", "50F¹²"), =HYPERLINK("CSG12.html#group150B12", "150B¹²"), =HYPERLINK("CSG16.html#group50B16", "50B¹⁶"), =HYPERLINK("CSG17.html#group100B17", "100B¹⁷"), =HYPERLINK("CSG19.html#group150B19", "150B¹⁹"), =HYPERLINK("CSG20.html#group50A20", "50A²⁰")</f>
        <v/>
      </c>
      <c r="M842">
        <f>HYPERLINK("CSG0.html#group5B0", "5B⁰"), =HYPERLINK("CSG0.html#group1A0", "1A⁰"), =HYPERLINK("CSG2.html#group25B2", "25B²"), =HYPERLINK("CSG0.html#group10B0", "10B⁰")</f>
        <v/>
      </c>
      <c r="N842">
        <f>HYPERLINK("CSG12.html#group150B12", "150B¹²"), =HYPERLINK("CSG9.html#group100F9", "100F⁹"), =HYPERLINK("CSG9.html#group50B9", "50B⁹"), =HYPERLINK("CSG16.html#group50B16", "50B¹⁶"), =HYPERLINK("CSG17.html#group100B17", "100B¹⁷"), =HYPERLINK("CSG12.html#group50F12", "50F¹²"), =HYPERLINK("CSG19.html#group100B19", "100B¹⁹"), =HYPERLINK("CSG20.html#group50A20", "50A²⁰"), =HYPERLINK("CSG19.html#group150B19", "150B¹⁹")</f>
        <v/>
      </c>
    </row>
    <row r="843">
      <c r="A843" t="inlineStr">
        <is>
          <t>50C⁴</t>
        </is>
      </c>
      <c r="B843" t="inlineStr"/>
      <c r="C843" t="inlineStr">
        <is>
          <t>60</t>
        </is>
      </c>
      <c r="D843" t="inlineStr">
        <is>
          <t>1</t>
        </is>
      </c>
      <c r="E843" t="inlineStr">
        <is>
          <t>30</t>
        </is>
      </c>
      <c r="F843" t="inlineStr">
        <is>
          <t>4</t>
        </is>
      </c>
      <c r="G843" t="inlineStr">
        <is>
          <t>0</t>
        </is>
      </c>
      <c r="H843" t="inlineStr">
        <is>
          <t>10¹, 50¹</t>
        </is>
      </c>
      <c r="I843" t="n">
        <v>2</v>
      </c>
      <c r="J843" t="inlineStr">
        <is>
          <t>2², 4⁴, 20²</t>
        </is>
      </c>
      <c r="K843">
        <f>HYPERLINK("CSG0.html#group10B0", "10B⁰"), =HYPERLINK("CSG2.html#group25C2", "25C²")</f>
        <v/>
      </c>
      <c r="L843">
        <f>HYPERLINK("CSG9.html#group50C9", "50C⁹"), =HYPERLINK("CSG9.html#group100G9", "100G⁹"), =HYPERLINK("CSG12.html#group50G12", "50G¹²"), =HYPERLINK("CSG12.html#group150C12", "150C¹²"), =HYPERLINK("CSG16.html#group50C16", "50C¹⁶"), =HYPERLINK("CSG17.html#group100C17", "100C¹⁷"), =HYPERLINK("CSG19.html#group150C19", "150C¹⁹"), =HYPERLINK("CSG20.html#group50A20", "50A²⁰")</f>
        <v/>
      </c>
      <c r="M843">
        <f>HYPERLINK("CSG0.html#group5B0", "5B⁰"), =HYPERLINK("CSG0.html#group1A0", "1A⁰"), =HYPERLINK("CSG2.html#group25C2", "25C²"), =HYPERLINK("CSG0.html#group10B0", "10B⁰")</f>
        <v/>
      </c>
      <c r="N843">
        <f>HYPERLINK("CSG16.html#group50C16", "50C¹⁶"), =HYPERLINK("CSG19.html#group150C19", "150C¹⁹"), =HYPERLINK("CSG17.html#group100C17", "100C¹⁷"), =HYPERLINK("CSG12.html#group50G12", "50G¹²"), =HYPERLINK("CSG20.html#group50A20", "50A²⁰"), =HYPERLINK("CSG9.html#group100G9", "100G⁹"), =HYPERLINK("CSG9.html#group50C9", "50C⁹"), =HYPERLINK("CSG19.html#group100C19", "100C¹⁹"), =HYPERLINK("CSG12.html#group150C12", "150C¹²")</f>
        <v/>
      </c>
    </row>
    <row r="844">
      <c r="A844" t="inlineStr">
        <is>
          <t>50D⁴</t>
        </is>
      </c>
      <c r="B844" t="inlineStr"/>
      <c r="C844" t="inlineStr">
        <is>
          <t>60</t>
        </is>
      </c>
      <c r="D844" t="inlineStr">
        <is>
          <t>1</t>
        </is>
      </c>
      <c r="E844" t="inlineStr">
        <is>
          <t>30</t>
        </is>
      </c>
      <c r="F844" t="inlineStr">
        <is>
          <t>4</t>
        </is>
      </c>
      <c r="G844" t="inlineStr">
        <is>
          <t>0</t>
        </is>
      </c>
      <c r="H844" t="inlineStr">
        <is>
          <t>10¹, 50¹</t>
        </is>
      </c>
      <c r="I844" t="n">
        <v>2</v>
      </c>
      <c r="J844" t="inlineStr">
        <is>
          <t>2², 4⁴, 20²</t>
        </is>
      </c>
      <c r="K844">
        <f>HYPERLINK("CSG0.html#group10B0", "10B⁰"), =HYPERLINK("CSG2.html#group25D2", "25D²")</f>
        <v/>
      </c>
      <c r="L844">
        <f>HYPERLINK("CSG9.html#group50D9", "50D⁹"), =HYPERLINK("CSG9.html#group100H9", "100H⁹"), =HYPERLINK("CSG12.html#group50H12", "50H¹²"), =HYPERLINK("CSG12.html#group150D12", "150D¹²"), =HYPERLINK("CSG16.html#group50D16", "50D¹⁶"), =HYPERLINK("CSG17.html#group100D17", "100D¹⁷"), =HYPERLINK("CSG19.html#group150D19", "150D¹⁹"), =HYPERLINK("CSG20.html#group50A20", "50A²⁰")</f>
        <v/>
      </c>
      <c r="M844">
        <f>HYPERLINK("CSG0.html#group5B0", "5B⁰"), =HYPERLINK("CSG0.html#group1A0", "1A⁰"), =HYPERLINK("CSG2.html#group25D2", "25D²"), =HYPERLINK("CSG0.html#group10B0", "10B⁰")</f>
        <v/>
      </c>
      <c r="N844">
        <f>HYPERLINK("CSG12.html#group50H12", "50H¹²"), =HYPERLINK("CSG20.html#group50A20", "50A²⁰"), =HYPERLINK("CSG9.html#group100H9", "100H⁹"), =HYPERLINK("CSG19.html#group100D19", "100D¹⁹"), =HYPERLINK("CSG19.html#group150D19", "150D¹⁹"), =HYPERLINK("CSG9.html#group50D9", "50D⁹"), =HYPERLINK("CSG12.html#group150D12", "150D¹²"), =HYPERLINK("CSG17.html#group100D17", "100D¹⁷"), =HYPERLINK("CSG16.html#group50D16", "50D¹⁶")</f>
        <v/>
      </c>
    </row>
    <row r="845">
      <c r="A845" t="inlineStr">
        <is>
          <t>50E⁴</t>
        </is>
      </c>
      <c r="B845" t="inlineStr"/>
      <c r="C845" t="inlineStr">
        <is>
          <t>100</t>
        </is>
      </c>
      <c r="D845" t="inlineStr">
        <is>
          <t>1</t>
        </is>
      </c>
      <c r="E845" t="inlineStr">
        <is>
          <t>50</t>
        </is>
      </c>
      <c r="F845" t="inlineStr">
        <is>
          <t>4</t>
        </is>
      </c>
      <c r="G845" t="inlineStr">
        <is>
          <t>10</t>
        </is>
      </c>
      <c r="H845" t="inlineStr">
        <is>
          <t>50²</t>
        </is>
      </c>
      <c r="I845" t="n">
        <v>2</v>
      </c>
      <c r="J845" t="inlineStr">
        <is>
          <t>2¹, 4², 20²</t>
        </is>
      </c>
      <c r="K845">
        <f>HYPERLINK("CSG0.html#group10D0", "10D⁰"), =HYPERLINK("CSG2.html#group25E2", "25E²")</f>
        <v/>
      </c>
      <c r="L845">
        <f>HYPERLINK("CSG9.html#group50F9", "50F⁹"), =HYPERLINK("CSG9.html#group100J9", "100J⁹"), =HYPERLINK("CSG17.html#group50A17", "50A¹⁷"), =HYPERLINK("CSG22.html#group50B22", "50B²²"), =HYPERLINK("CSG22.html#group50C22", "50C²²"), =HYPERLINK("CSG22.html#group150A22", "150A²²")</f>
        <v/>
      </c>
      <c r="M845">
        <f>HYPERLINK("CSG0.html#group1A0", "1A⁰"), =HYPERLINK("CSG0.html#group5C0", "5C⁰"), =HYPERLINK("CSG0.html#group10D0", "10D⁰"), =HYPERLINK("CSG2.html#group25E2", "25E²")</f>
        <v/>
      </c>
      <c r="N845">
        <f>HYPERLINK("CSG19.html#group100R19", "100R¹⁹"), =HYPERLINK("CSG9.html#group50F9", "50F⁹"), =HYPERLINK("CSG9.html#group100J9", "100J⁹"), =HYPERLINK("CSG22.html#group150A22", "150A²²"), =HYPERLINK("CSG22.html#group50C22", "50C²²"), =HYPERLINK("CSG17.html#group50A17", "50A¹⁷"), =HYPERLINK("CSG22.html#group50B22", "50B²²")</f>
        <v/>
      </c>
    </row>
    <row r="846">
      <c r="A846" t="inlineStr">
        <is>
          <t>50F⁴</t>
        </is>
      </c>
      <c r="B846" t="inlineStr"/>
      <c r="C846" t="inlineStr">
        <is>
          <t>180</t>
        </is>
      </c>
      <c r="D846" t="inlineStr">
        <is>
          <t>1</t>
        </is>
      </c>
      <c r="E846" t="inlineStr">
        <is>
          <t>18</t>
        </is>
      </c>
      <c r="F846" t="inlineStr">
        <is>
          <t>0</t>
        </is>
      </c>
      <c r="G846" t="inlineStr">
        <is>
          <t>0</t>
        </is>
      </c>
      <c r="H846" t="inlineStr">
        <is>
          <t>1¹⁰, 2¹⁰, 25², 50²</t>
        </is>
      </c>
      <c r="I846" t="n">
        <v>24</v>
      </c>
      <c r="J846" t="inlineStr">
        <is>
          <t>1⁶, 4³</t>
        </is>
      </c>
      <c r="K846">
        <f>HYPERLINK("CSG0.html#group10F0", "10F⁰"), =HYPERLINK("CSG0.html#group25B0", "25B⁰"), =HYPERLINK("CSG2.html#group50B2", "50B²")</f>
        <v/>
      </c>
      <c r="L846">
        <f>HYPERLINK("CSG13.html#group50E13", "50E¹³"), =HYPERLINK("CSG13.html#group100J13", "100J¹³"), =HYPERLINK("CSG19.html#group100N19", "100N¹⁹")</f>
        <v/>
      </c>
      <c r="M846">
        <f>HYPERLINK("CSG0.html#group25A0", "25A⁰"), =HYPERLINK("CSG0.html#group10C0", "10C⁰"), =HYPERLINK("CSG0.html#group5B0", "5B⁰"), =HYPERLINK("CSG0.html#group5D0", "5D⁰"), =HYPERLINK("CSG0.html#group2B0", "2B⁰"), =HYPERLINK("CSG2.html#group50B2", "50B²"), =HYPERLINK("CSG0.html#group1A0", "1A⁰"), =HYPERLINK("CSG0.html#group25B0", "25B⁰"), =HYPERLINK("CSG0.html#group10F0", "10F⁰")</f>
        <v/>
      </c>
      <c r="N846">
        <f>HYPERLINK("CSG13.html#group100J13", "100J¹³"), =HYPERLINK("CSG19.html#group100N19", "100N¹⁹"), =HYPERLINK("CSG13.html#group50E13", "50E¹³")</f>
        <v/>
      </c>
    </row>
    <row r="847">
      <c r="A847" t="inlineStr">
        <is>
          <t>52A⁴</t>
        </is>
      </c>
      <c r="B847" t="inlineStr"/>
      <c r="C847" t="inlineStr">
        <is>
          <t>84</t>
        </is>
      </c>
      <c r="D847" t="inlineStr">
        <is>
          <t>1</t>
        </is>
      </c>
      <c r="E847" t="inlineStr">
        <is>
          <t>42</t>
        </is>
      </c>
      <c r="F847" t="inlineStr">
        <is>
          <t>4</t>
        </is>
      </c>
      <c r="G847" t="inlineStr">
        <is>
          <t>0</t>
        </is>
      </c>
      <c r="H847" t="inlineStr">
        <is>
          <t>1², 4¹, 13², 52¹</t>
        </is>
      </c>
      <c r="I847" t="n">
        <v>6</v>
      </c>
      <c r="J847" t="inlineStr">
        <is>
          <t>1⁶, 12³</t>
        </is>
      </c>
      <c r="K847">
        <f>HYPERLINK("CSG2.html#group26A2", "26A²")</f>
        <v/>
      </c>
      <c r="L847">
        <f>HYPERLINK("CSG9.html#group52A9", "52A⁹"), =HYPERLINK("CSG9.html#group52B9", "52B⁹"), =HYPERLINK("CSG9.html#group104A9", "104A⁹"), =HYPERLINK("CSG10.html#group52A10", "52A¹⁰"), =HYPERLINK("CSG11.html#group52C11", "52C¹¹"), =HYPERLINK("CSG11.html#group104G11", "104G¹¹"), =HYPERLINK("CSG16.html#group156A16", "156A¹⁶"), =HYPERLINK("CSG16.html#group156B16", "156B¹⁶"), =HYPERLINK("CSG23.html#group156C23", "156C²³")</f>
        <v/>
      </c>
      <c r="M847">
        <f>HYPERLINK("CSG0.html#group13A0", "13A⁰"), =HYPERLINK("CSG0.html#group1A0", "1A⁰"), =HYPERLINK("CSG2.html#group26A2", "26A²"), =HYPERLINK("CSG0.html#group2B0", "2B⁰")</f>
        <v/>
      </c>
      <c r="N847">
        <f>HYPERLINK("CSG11.html#group52C11", "52C¹¹"), =HYPERLINK("CSG11.html#group104G11", "104G¹¹"), =HYPERLINK("CSG23.html#group156C23", "156C²³"), =HYPERLINK("CSG10.html#group52A10", "52A¹⁰"), =HYPERLINK("CSG21.html#group104A21", "104A²¹"), =HYPERLINK("CSG23.html#group104J23", "104J²³"), =HYPERLINK("CSG19.html#group104A19", "104A¹⁹"), =HYPERLINK("CSG21.html#group104B21", "104B²¹"), =HYPERLINK("CSG19.html#group52C19", "52C¹⁹"), =HYPERLINK("CSG21.html#group52F21", "52F²¹"), =HYPERLINK("CSG23.html#group52D23", "52D²³"), =HYPERLINK("CSG21.html#group104D21", "104D²¹"), =HYPERLINK("CSG21.html#group52D21", "52D²¹"), =HYPERLINK("CSG9.html#group52B9", "52B⁹"), =HYPERLINK("CSG21.html#group104C21", "104C²¹"), =HYPERLINK("CSG9.html#group104A9", "104A⁹"), =HYPERLINK("CSG16.html#group156A16", "156A¹⁶"), =HYPERLINK("CSG9.html#group52A9", "52A⁹"), =HYPERLINK("CSG21.html#group52C21", "52C²¹"), =HYPERLINK("CSG23.html#group104A23", "104A²³"), =HYPERLINK("CSG23.html#group104S23", "104S²³"), =HYPERLINK("CSG19.html#group52B19", "52B¹⁹"), =HYPERLINK("CSG16.html#group156B16", "156B¹⁶")</f>
        <v/>
      </c>
    </row>
    <row r="848">
      <c r="A848" t="inlineStr">
        <is>
          <t>53A⁴</t>
        </is>
      </c>
      <c r="B848" t="inlineStr">
        <is>
          <t>Γ₀(53)</t>
        </is>
      </c>
      <c r="C848" t="inlineStr">
        <is>
          <t>54</t>
        </is>
      </c>
      <c r="D848" t="inlineStr">
        <is>
          <t>1</t>
        </is>
      </c>
      <c r="E848" t="inlineStr">
        <is>
          <t>54</t>
        </is>
      </c>
      <c r="F848" t="inlineStr">
        <is>
          <t>2</t>
        </is>
      </c>
      <c r="G848" t="inlineStr">
        <is>
          <t>0</t>
        </is>
      </c>
      <c r="H848" t="inlineStr">
        <is>
          <t>1¹, 53¹</t>
        </is>
      </c>
      <c r="I848" t="n">
        <v>2</v>
      </c>
      <c r="J848" t="inlineStr">
        <is>
          <t>1², 52¹</t>
        </is>
      </c>
      <c r="K848">
        <f>HYPERLINK("CSG0.html#group1A0", "1A⁰")</f>
        <v/>
      </c>
      <c r="L848">
        <f>HYPERLINK("CSG8.html#group53A8", "53A⁸"), =HYPERLINK("CSG8.html#group106A8", "106A⁸"), =HYPERLINK("CSG9.html#group106A9", "106A⁹"), =HYPERLINK("CSG12.html#group106A12", "106A¹²"), =HYPERLINK("CSG12.html#group159A12", "159A¹²"), =HYPERLINK("CSG17.html#group159A17", "159A¹⁷"), =HYPERLINK("CSG17.html#group212A17", "212A¹⁷"), =HYPERLINK("CSG22.html#group265A22", "265A²²")</f>
        <v/>
      </c>
      <c r="M848">
        <f>HYPERLINK("CSG0.html#group1A0", "1A⁰")</f>
        <v/>
      </c>
      <c r="N848">
        <f>HYPERLINK("CSG22.html#group265A22", "265A²²"), =HYPERLINK("CSG17.html#group212B17", "212B¹⁷"), =HYPERLINK("CSG8.html#group106A8", "106A⁸"), =HYPERLINK("CSG17.html#group159A17", "159A¹⁷"), =HYPERLINK("CSG8.html#group53A8", "53A⁸"), =HYPERLINK("CSG24.html#group212A24", "212A²⁴"), =HYPERLINK("CSG24.html#group106B24", "106B²⁴"), =HYPERLINK("CSG24.html#group106A24", "106A²⁴"), =HYPERLINK("CSG12.html#group159A12", "159A¹²"), =HYPERLINK("CSG17.html#group106A17", "106A¹⁷"), =HYPERLINK("CSG9.html#group106A9", "106A⁹"), =HYPERLINK("CSG24.html#group159A24", "159A²⁴"), =HYPERLINK("CSG24.html#group318A24", "318A²⁴"), =HYPERLINK("CSG17.html#group212A17", "212A¹⁷"), =HYPERLINK("CSG12.html#group106A12", "106A¹²")</f>
        <v/>
      </c>
    </row>
    <row r="849">
      <c r="A849" t="inlineStr">
        <is>
          <t>54A⁴</t>
        </is>
      </c>
      <c r="B849" t="inlineStr"/>
      <c r="C849" t="inlineStr">
        <is>
          <t>72</t>
        </is>
      </c>
      <c r="D849" t="inlineStr">
        <is>
          <t>1</t>
        </is>
      </c>
      <c r="E849" t="inlineStr">
        <is>
          <t>12</t>
        </is>
      </c>
      <c r="F849" t="inlineStr">
        <is>
          <t>0</t>
        </is>
      </c>
      <c r="G849" t="inlineStr">
        <is>
          <t>0</t>
        </is>
      </c>
      <c r="H849" t="inlineStr">
        <is>
          <t>2³, 6², 54¹</t>
        </is>
      </c>
      <c r="I849" t="n">
        <v>6</v>
      </c>
      <c r="J849" t="inlineStr">
        <is>
          <t>1², 2², 6¹</t>
        </is>
      </c>
      <c r="K849">
        <f>HYPERLINK("CSG1.html#group18C1", "18C¹"), =HYPERLINK("CSG1.html#group27A1", "27A¹")</f>
        <v/>
      </c>
      <c r="L849">
        <f>HYPERLINK("CSG10.html#group54A10", "54A¹⁰"), =HYPERLINK("CSG10.html#group54B10", "54B¹⁰"), =HYPERLINK("CSG10.html#group54E10", "54E¹⁰"), =HYPERLINK("CSG10.html#group108A10", "108A¹⁰"), =HYPERLINK("CSG13.html#group54D13", "54D¹³"), =HYPERLINK("CSG13.html#group54E13", "54E¹³"), =HYPERLINK("CSG13.html#group54J13", "54J¹³"), =HYPERLINK("CSG13.html#group54R13", "54R¹³"), =HYPERLINK("CSG13.html#group162A13", "162A¹³"), =HYPERLINK("CSG13.html#group162B13", "162B¹³"), =HYPERLINK("CSG16.html#group162A16", "162A¹⁶"), =HYPERLINK("CSG16.html#group162B16", "162B¹⁶"), =HYPERLINK("CSG16.html#group162C16", "162C¹⁶"), =HYPERLINK("CSG16.html#group162D16", "162D¹⁶"), =HYPERLINK("CSG19.html#group108A19", "108A¹⁹")</f>
        <v/>
      </c>
      <c r="M849">
        <f>HYPERLINK("CSG0.html#group3B0", "3B⁰"), =HYPERLINK("CSG0.html#group9B0", "9B⁰"), =HYPERLINK("CSG0.html#group2A0", "2A⁰"), =HYPERLINK("CSG1.html#group27A1", "27A¹"), =HYPERLINK("CSG0.html#group1A0", "1A⁰"), =HYPERLINK("CSG1.html#group18C1", "18C¹"), =HYPERLINK("CSG0.html#group6C0", "6C⁰")</f>
        <v/>
      </c>
      <c r="N849">
        <f>HYPERLINK("CSG10.html#group108A10", "108A¹⁰"), =HYPERLINK("CSG13.html#group54D13", "54D¹³"), =HYPERLINK("CSG16.html#group162B16", "162B¹⁶"), =HYPERLINK("CSG16.html#group162D16", "162D¹⁶"), =HYPERLINK("CSG10.html#group54E10", "54E¹⁰"), =HYPERLINK("CSG22.html#group108E22", "108E²²"), =HYPERLINK("CSG16.html#group162A16", "162A¹⁶"), =HYPERLINK("CSG19.html#group108A19", "108A¹⁹"), =HYPERLINK("CSG10.html#group54A10", "54A¹⁰"), =HYPERLINK("CSG13.html#group54J13", "54J¹³"), =HYPERLINK("CSG13.html#group54R13", "54R¹³"), =HYPERLINK("CSG13.html#group162B13", "162B¹³"), =HYPERLINK("CSG16.html#group162C16", "162C¹⁶"), =HYPERLINK("CSG13.html#group162A13", "162A¹³"), =HYPERLINK("CSG10.html#group54B10", "54B¹⁰"), =HYPERLINK("CSG13.html#group54E13", "54E¹³")</f>
        <v/>
      </c>
    </row>
    <row r="850">
      <c r="A850" t="inlineStr">
        <is>
          <t>54B⁴</t>
        </is>
      </c>
      <c r="B850" t="inlineStr"/>
      <c r="C850" t="inlineStr">
        <is>
          <t>72</t>
        </is>
      </c>
      <c r="D850" t="inlineStr">
        <is>
          <t>1</t>
        </is>
      </c>
      <c r="E850" t="inlineStr">
        <is>
          <t>12</t>
        </is>
      </c>
      <c r="F850" t="inlineStr">
        <is>
          <t>0</t>
        </is>
      </c>
      <c r="G850" t="inlineStr">
        <is>
          <t>6</t>
        </is>
      </c>
      <c r="H850" t="inlineStr">
        <is>
          <t>18¹, 54¹</t>
        </is>
      </c>
      <c r="I850" t="n">
        <v>2</v>
      </c>
      <c r="J850" t="inlineStr">
        <is>
          <t>1², 2², 6¹</t>
        </is>
      </c>
      <c r="K850">
        <f>HYPERLINK("CSG0.html#group18B0", "18B⁰"), =HYPERLINK("CSG2.html#group27B2", "27B²")</f>
        <v/>
      </c>
      <c r="L850">
        <f>HYPERLINK("CSG8.html#group108A8", "108A⁸"), =HYPERLINK("CSG10.html#group54C10", "54C¹⁰"), =HYPERLINK("CSG13.html#group54P13", "54P¹³"), =HYPERLINK("CSG13.html#group54T13", "54T¹³"), =HYPERLINK("CSG16.html#group54C16", "54C¹⁶"), =HYPERLINK("CSG16.html#group54F16", "54F¹⁶"), =HYPERLINK("CSG16.html#group54G16", "54G¹⁶"), =HYPERLINK("CSG16.html#group54L16", "54L¹⁶"), =HYPERLINK("CSG21.html#group108B21", "108B²¹")</f>
        <v/>
      </c>
      <c r="M850">
        <f>HYPERLINK("CSG0.html#group3B0", "3B⁰"), =HYPERLINK("CSG0.html#group2A0", "2A⁰"), =HYPERLINK("CSG2.html#group27B2", "27B²"), =HYPERLINK("CSG0.html#group18B0", "18B⁰"), =HYPERLINK("CSG0.html#group6C0", "6C⁰"), =HYPERLINK("CSG0.html#group9C0", "9C⁰"), =HYPERLINK("CSG0.html#group1A0", "1A⁰")</f>
        <v/>
      </c>
      <c r="N850">
        <f>HYPERLINK("CSG22.html#group108B22", "108B²²"), =HYPERLINK("CSG13.html#group54T13", "54T¹³"), =HYPERLINK("CSG16.html#group54F16", "54F¹⁶"), =HYPERLINK("CSG16.html#group54C16", "54C¹⁶"), =HYPERLINK("CSG16.html#group54G16", "54G¹⁶"), =HYPERLINK("CSG16.html#group54L16", "54L¹⁶"), =HYPERLINK("CSG21.html#group108B21", "108B²¹"), =HYPERLINK("CSG13.html#group54P13", "54P¹³"), =HYPERLINK("CSG8.html#group108A8", "108A⁸"), =HYPERLINK("CSG10.html#group54C10", "54C¹⁰")</f>
        <v/>
      </c>
    </row>
    <row r="851">
      <c r="A851" t="inlineStr">
        <is>
          <t>54C⁴</t>
        </is>
      </c>
      <c r="B851" t="inlineStr"/>
      <c r="C851" t="inlineStr">
        <is>
          <t>72</t>
        </is>
      </c>
      <c r="D851" t="inlineStr">
        <is>
          <t>1</t>
        </is>
      </c>
      <c r="E851" t="inlineStr">
        <is>
          <t>24</t>
        </is>
      </c>
      <c r="F851" t="inlineStr">
        <is>
          <t>0</t>
        </is>
      </c>
      <c r="G851" t="inlineStr">
        <is>
          <t>0</t>
        </is>
      </c>
      <c r="H851" t="inlineStr">
        <is>
          <t>2³, 6², 54¹</t>
        </is>
      </c>
      <c r="I851" t="n">
        <v>6</v>
      </c>
      <c r="J851" t="inlineStr">
        <is>
          <t>2⁶, 6²</t>
        </is>
      </c>
      <c r="K851">
        <f>HYPERLINK("CSG1.html#group18C1", "18C¹")</f>
        <v/>
      </c>
      <c r="L851">
        <f>HYPERLINK("CSG10.html#group54A10", "54A¹⁰"), =HYPERLINK("CSG10.html#group54D10", "54D¹⁰"), =HYPERLINK("CSG10.html#group54H10", "54H¹⁰"), =HYPERLINK("CSG10.html#group108B10", "108B¹⁰"), =HYPERLINK("CSG13.html#group54G13", "54G¹³"), =HYPERLINK("CSG13.html#group54H13", "54H¹³"), =HYPERLINK("CSG13.html#group54I13", "54I¹³"), =HYPERLINK("CSG13.html#group54K13", "54K¹³"), =HYPERLINK("CSG13.html#group54M13", "54M¹³"), =HYPERLINK("CSG13.html#group54R13", "54R¹³"), =HYPERLINK("CSG19.html#group108C19", "108C¹⁹")</f>
        <v/>
      </c>
      <c r="M851">
        <f>HYPERLINK("CSG0.html#group3B0", "3B⁰"), =HYPERLINK("CSG0.html#group9B0", "9B⁰"), =HYPERLINK("CSG0.html#group2A0", "2A⁰"), =HYPERLINK("CSG0.html#group1A0", "1A⁰"), =HYPERLINK("CSG1.html#group18C1", "18C¹"), =HYPERLINK("CSG0.html#group6C0", "6C⁰")</f>
        <v/>
      </c>
      <c r="N851">
        <f>HYPERLINK("CSG10.html#group54H10", "54H¹⁰"), =HYPERLINK("CSG10.html#group108B10", "108B¹⁰"), =HYPERLINK("CSG13.html#group54I13", "54I¹³"), =HYPERLINK("CSG13.html#group54G13", "54G¹³"), =HYPERLINK("CSG13.html#group54M13", "54M¹³"), =HYPERLINK("CSG19.html#group108C19", "108C¹⁹"), =HYPERLINK("CSG13.html#group54H13", "54H¹³"), =HYPERLINK("CSG22.html#group108E22", "108E²²"), =HYPERLINK("CSG10.html#group54A10", "54A¹⁰"), =HYPERLINK("CSG13.html#group54R13", "54R¹³"), =HYPERLINK("CSG10.html#group54D10", "54D¹⁰"), =HYPERLINK("CSG13.html#group54K13", "54K¹³")</f>
        <v/>
      </c>
    </row>
    <row r="852">
      <c r="A852" t="inlineStr">
        <is>
          <t>54D⁴</t>
        </is>
      </c>
      <c r="B852" t="inlineStr"/>
      <c r="C852" t="inlineStr">
        <is>
          <t>72</t>
        </is>
      </c>
      <c r="D852" t="inlineStr">
        <is>
          <t>1</t>
        </is>
      </c>
      <c r="E852" t="inlineStr">
        <is>
          <t>24</t>
        </is>
      </c>
      <c r="F852" t="inlineStr">
        <is>
          <t>0</t>
        </is>
      </c>
      <c r="G852" t="inlineStr">
        <is>
          <t>6</t>
        </is>
      </c>
      <c r="H852" t="inlineStr">
        <is>
          <t>18¹, 54¹</t>
        </is>
      </c>
      <c r="I852" t="n">
        <v>2</v>
      </c>
      <c r="J852" t="inlineStr">
        <is>
          <t>2⁶, 6²</t>
        </is>
      </c>
      <c r="K852">
        <f>HYPERLINK("CSG0.html#group18B0", "18B⁰")</f>
        <v/>
      </c>
      <c r="L852">
        <f>HYPERLINK("CSG8.html#group108B8", "108B⁸"), =HYPERLINK("CSG10.html#group54F10", "54F¹⁰"), =HYPERLINK("CSG13.html#group54N13", "54N¹³"), =HYPERLINK("CSG13.html#group54S13", "54S¹³"), =HYPERLINK("CSG13.html#group54T13", "54T¹³"), =HYPERLINK("CSG16.html#group54F16", "54F¹⁶"), =HYPERLINK("CSG16.html#group54I16", "54I¹⁶"), =HYPERLINK("CSG16.html#group54J16", "54J¹⁶"), =HYPERLINK("CSG16.html#group54K16", "54K¹⁶"), =HYPERLINK("CSG16.html#group54M16", "54M¹⁶"), =HYPERLINK("CSG21.html#group108D21", "108D²¹")</f>
        <v/>
      </c>
      <c r="M852">
        <f>HYPERLINK("CSG0.html#group3B0", "3B⁰"), =HYPERLINK("CSG0.html#group2A0", "2A⁰"), =HYPERLINK("CSG0.html#group9C0", "9C⁰"), =HYPERLINK("CSG0.html#group1A0", "1A⁰"), =HYPERLINK("CSG0.html#group18B0", "18B⁰"), =HYPERLINK("CSG0.html#group6C0", "6C⁰")</f>
        <v/>
      </c>
      <c r="N852">
        <f>HYPERLINK("CSG10.html#group54F10", "54F¹⁰"), =HYPERLINK("CSG13.html#group54T13", "54T¹³"), =HYPERLINK("CSG16.html#group54F16", "54F¹⁶"), =HYPERLINK("CSG13.html#group54S13", "54S¹³"), =HYPERLINK("CSG8.html#group108B8", "108B⁸"), =HYPERLINK("CSG16.html#group54I16", "54I¹⁶"), =HYPERLINK("CSG21.html#group108D21", "108D²¹"), =HYPERLINK("CSG13.html#group54N13", "54N¹³"), =HYPERLINK("CSG16.html#group54K16", "54K¹⁶"), =HYPERLINK("CSG16.html#group54M16", "54M¹⁶"), =HYPERLINK("CSG16.html#group54J16", "54J¹⁶"), =HYPERLINK("CSG22.html#group108C22", "108C²²")</f>
        <v/>
      </c>
    </row>
    <row r="853">
      <c r="A853" t="inlineStr">
        <is>
          <t>54E⁴</t>
        </is>
      </c>
      <c r="B853" t="inlineStr">
        <is>
          <t>Γ₀(54)</t>
        </is>
      </c>
      <c r="C853" t="inlineStr">
        <is>
          <t>108</t>
        </is>
      </c>
      <c r="D853" t="inlineStr">
        <is>
          <t>1</t>
        </is>
      </c>
      <c r="E853" t="inlineStr">
        <is>
          <t>36</t>
        </is>
      </c>
      <c r="F853" t="inlineStr">
        <is>
          <t>0</t>
        </is>
      </c>
      <c r="G853" t="inlineStr">
        <is>
          <t>0</t>
        </is>
      </c>
      <c r="H853" t="inlineStr">
        <is>
          <t>1³, 2³, 3², 6², 27¹, 54¹</t>
        </is>
      </c>
      <c r="I853" t="n">
        <v>12</v>
      </c>
      <c r="J853" t="inlineStr">
        <is>
          <t>1⁶, 2⁶, 6³</t>
        </is>
      </c>
      <c r="K853">
        <f>HYPERLINK("CSG0.html#group18E0", "18E⁰"), =HYPERLINK("CSG1.html#group27A1", "27A¹")</f>
        <v/>
      </c>
      <c r="L853">
        <f>HYPERLINK("CSG10.html#group54A10", "54A¹⁰"), =HYPERLINK("CSG10.html#group54I10", "54I¹⁰"), =HYPERLINK("CSG10.html#group108F10", "108F¹⁰"), =HYPERLINK("CSG13.html#group108A13", "108A¹³"), =HYPERLINK("CSG16.html#group54S16", "54S¹⁶"), =HYPERLINK("CSG16.html#group54T16", "54T¹⁶"), =HYPERLINK("CSG16.html#group162E16", "162E¹⁶"), =HYPERLINK("CSG22.html#group162A22", "162A²²"), =HYPERLINK("CSG22.html#group162B22", "162B²²")</f>
        <v/>
      </c>
      <c r="M853">
        <f>HYPERLINK("CSG0.html#group3B0", "3B⁰"), =HYPERLINK("CSG1.html#group27A1", "27A¹"), =HYPERLINK("CSG0.html#group18E0", "18E⁰"), =HYPERLINK("CSG0.html#group6F0", "6F⁰"), =HYPERLINK("CSG0.html#group9B0", "9B⁰"), =HYPERLINK("CSG0.html#group2B0", "2B⁰"), =HYPERLINK("CSG0.html#group1A0", "1A⁰")</f>
        <v/>
      </c>
      <c r="N853">
        <f>HYPERLINK("CSG22.html#group216C22", "216C²²"), =HYPERLINK("CSG16.html#group54S16", "54S¹⁶"), =HYPERLINK("CSG10.html#group108F10", "108F¹⁰"), =HYPERLINK("CSG16.html#group162E16", "162E¹⁶"), =HYPERLINK("CSG22.html#group162A22", "162A²²"), =HYPERLINK("CSG16.html#group54T16", "54T¹⁶"), =HYPERLINK("CSG22.html#group108E22", "108E²²"), =HYPERLINK("CSG10.html#group54A10", "54A¹⁰"), =HYPERLINK("CSG10.html#group54I10", "54I¹⁰"), =HYPERLINK("CSG22.html#group162B22", "162B²²"), =HYPERLINK("CSG22.html#group108F22", "108F²²"), =HYPERLINK("CSG13.html#group108A13", "108A¹³")</f>
        <v/>
      </c>
    </row>
    <row r="854">
      <c r="A854" t="inlineStr">
        <is>
          <t>55A⁴</t>
        </is>
      </c>
      <c r="B854" t="inlineStr"/>
      <c r="C854" t="inlineStr">
        <is>
          <t>66</t>
        </is>
      </c>
      <c r="D854" t="inlineStr">
        <is>
          <t>2</t>
        </is>
      </c>
      <c r="E854" t="inlineStr">
        <is>
          <t>66</t>
        </is>
      </c>
      <c r="F854" t="inlineStr">
        <is>
          <t>6</t>
        </is>
      </c>
      <c r="G854" t="inlineStr">
        <is>
          <t>0</t>
        </is>
      </c>
      <c r="H854" t="inlineStr">
        <is>
          <t>11¹, 55¹</t>
        </is>
      </c>
      <c r="I854" t="n">
        <v>2</v>
      </c>
      <c r="J854" t="inlineStr">
        <is>
          <t>2², 8¹, 10⁴, 40²</t>
        </is>
      </c>
      <c r="K854">
        <f>HYPERLINK("CSG0.html#group5B0", "5B⁰"), =HYPERLINK("CSG0.html#group11A0", "11A⁰")</f>
        <v/>
      </c>
      <c r="L854">
        <f>HYPERLINK("CSG8.html#group110A8", "110A⁸"), =HYPERLINK("CSG10.html#group55A10", "55A¹⁰"), =HYPERLINK("CSG11.html#group110A11", "110A¹¹"), =HYPERLINK("CSG12.html#group165B12", "165B¹²"), =HYPERLINK("CSG14.html#group110B14", "110B¹⁴"), =HYPERLINK("CSG19.html#group220C19", "220C¹⁹"), =HYPERLINK("CSG21.html#group165A21", "165A²¹"), =HYPERLINK("CSG22.html#group55A22", "55A²²"), =HYPERLINK("CSG24.html#group55B24", "55B²⁴"), =HYPERLINK("CSG24.html#group275A24", "275A²⁴")</f>
        <v/>
      </c>
      <c r="M854">
        <f>HYPERLINK("CSG0.html#group5B0", "5B⁰"), =HYPERLINK("CSG0.html#group11A0", "11A⁰"), =HYPERLINK("CSG0.html#group1A0", "1A⁰")</f>
        <v/>
      </c>
      <c r="N854">
        <f>HYPERLINK("CSG24.html#group55B24", "55B²⁴"), =HYPERLINK("CSG24.html#group330D24", "330D²⁴"), =HYPERLINK("CSG8.html#group110A8", "110A⁸"), =HYPERLINK("CSG19.html#group220A19", "220A¹⁹"), =HYPERLINK("CSG11.html#group110A11", "110A¹¹"), =HYPERLINK("CSG21.html#group165A21", "165A²¹"), =HYPERLINK("CSG19.html#group220B19", "220B¹⁹"), =HYPERLINK("CSG21.html#group110A21", "110A²¹"), =HYPERLINK("CSG12.html#group165B12", "165B¹²"), =HYPERLINK("CSG22.html#group55A22", "55A²²"), =HYPERLINK("CSG10.html#group55A10", "55A¹⁰"), =HYPERLINK("CSG19.html#group220C19", "220C¹⁹"), =HYPERLINK("CSG24.html#group275A24", "275A²⁴"), =HYPERLINK("CSG14.html#group110B14", "110B¹⁴")</f>
        <v/>
      </c>
    </row>
    <row r="855">
      <c r="A855" t="inlineStr">
        <is>
          <t>56A⁴</t>
        </is>
      </c>
      <c r="B855" t="inlineStr"/>
      <c r="C855" t="inlineStr">
        <is>
          <t>64</t>
        </is>
      </c>
      <c r="D855" t="inlineStr">
        <is>
          <t>2</t>
        </is>
      </c>
      <c r="E855" t="inlineStr">
        <is>
          <t>32</t>
        </is>
      </c>
      <c r="F855" t="inlineStr">
        <is>
          <t>0</t>
        </is>
      </c>
      <c r="G855" t="inlineStr">
        <is>
          <t>4</t>
        </is>
      </c>
      <c r="H855" t="inlineStr">
        <is>
          <t>8¹, 56¹</t>
        </is>
      </c>
      <c r="I855" t="n">
        <v>2</v>
      </c>
      <c r="J855" t="inlineStr">
        <is>
          <t>4⁴, 24²</t>
        </is>
      </c>
      <c r="K855">
        <f>HYPERLINK("CSG0.html#group8A0", "8A⁰"), =HYPERLINK("CSG2.html#group28A2", "28A²")</f>
        <v/>
      </c>
      <c r="L855">
        <f>HYPERLINK("CSG7.html#group56G7", "56G⁷"), =HYPERLINK("CSG8.html#group112A8", "112A⁸"), =HYPERLINK("CSG14.html#group56A14", "56A¹⁴"), =HYPERLINK("CSG14.html#group56B14", "56B¹⁴"), =HYPERLINK("CSG14.html#group168A14", "168A¹⁴"), =HYPERLINK("CSG14.html#group168B14", "168B¹⁴"), =HYPERLINK("CSG16.html#group168A16", "168A¹⁶"), =HYPERLINK("CSG17.html#group56D17", "56D¹⁷"), =HYPERLINK("CSG19.html#group168B19", "168B¹⁹"), =HYPERLINK("CSG24.html#group280A24", "280A²⁴")</f>
        <v/>
      </c>
      <c r="M855">
        <f>HYPERLINK("CSG0.html#group8A0", "8A⁰"), =HYPERLINK("CSG0.html#group7B0", "7B⁰"), =HYPERLINK("CSG0.html#group1A0", "1A⁰"), =HYPERLINK("CSG0.html#group4A0", "4A⁰"), =HYPERLINK("CSG2.html#group28A2", "28A²")</f>
        <v/>
      </c>
      <c r="N855">
        <f>HYPERLINK("CSG14.html#group168B14", "168B¹⁴"), =HYPERLINK("CSG7.html#group56G7", "56G⁷"), =HYPERLINK("CSG13.html#group56N13", "56N¹³"), =HYPERLINK("CSG14.html#group56B14", "56B¹⁴"), =HYPERLINK("CSG23.html#group56T23", "56T²³"), =HYPERLINK("CSG8.html#group112A8", "112A⁸"), =HYPERLINK("CSG15.html#group112L15", "112L¹⁵"), =HYPERLINK("CSG15.html#group112K15", "112K¹⁵"), =HYPERLINK("CSG19.html#group168B19", "168B¹⁹"), =HYPERLINK("CSG24.html#group280A24", "280A²⁴"), =HYPERLINK("CSG17.html#group56D17", "56D¹⁷"), =HYPERLINK("CSG14.html#group168A14", "168A¹⁴"), =HYPERLINK("CSG16.html#group168A16", "168A¹⁶"), =HYPERLINK("CSG14.html#group56A14", "56A¹⁴")</f>
        <v/>
      </c>
    </row>
    <row r="856">
      <c r="A856" t="inlineStr">
        <is>
          <t>56B⁴</t>
        </is>
      </c>
      <c r="B856" t="inlineStr"/>
      <c r="C856" t="inlineStr">
        <is>
          <t>84</t>
        </is>
      </c>
      <c r="D856" t="inlineStr">
        <is>
          <t>2</t>
        </is>
      </c>
      <c r="E856" t="inlineStr">
        <is>
          <t>21</t>
        </is>
      </c>
      <c r="F856" t="inlineStr">
        <is>
          <t>12</t>
        </is>
      </c>
      <c r="G856" t="inlineStr">
        <is>
          <t>0</t>
        </is>
      </c>
      <c r="H856" t="inlineStr">
        <is>
          <t>28¹, 56¹</t>
        </is>
      </c>
      <c r="I856" t="n">
        <v>2</v>
      </c>
      <c r="J856" t="inlineStr">
        <is>
          <t>2³, 6⁶</t>
        </is>
      </c>
      <c r="K856">
        <f>HYPERLINK("CSG0.html#group8B0", "8B⁰"), =HYPERLINK("CSG2.html#group28C2", "28C²")</f>
        <v/>
      </c>
      <c r="L856">
        <f>HYPERLINK("CSG8.html#group112B8", "112B⁸"), =HYPERLINK("CSG9.html#group56B9", "56B⁹"), =HYPERLINK("CSG10.html#group56B10", "56B¹⁰"), =HYPERLINK("CSG10.html#group56C10", "56C¹⁰"), =HYPERLINK("CSG10.html#group56D10", "56D¹⁰"), =HYPERLINK("CSG10.html#group56E10", "56E¹⁰"), =HYPERLINK("CSG10.html#group112A10", "112A¹⁰"), =HYPERLINK("CSG11.html#group56A11", "56A¹¹"), =HYPERLINK("CSG11.html#group112A11", "112A¹¹"), =HYPERLINK("CSG11.html#group112B11", "112B¹¹"), =HYPERLINK("CSG11.html#group112E11", "112E¹¹"), =HYPERLINK("CSG11.html#group112F11", "112F¹¹"), =HYPERLINK("CSG12.html#group112A12", "112A¹²"), =HYPERLINK("CSG12.html#group168A12", "168A¹²"), =HYPERLINK("CSG13.html#group56D13", "56D¹³"), =HYPERLINK("CSG14.html#group56G14", "56G¹⁴"), =HYPERLINK("CSG14.html#group112A14", "112A¹⁴"), =HYPERLINK("CSG21.html#group56C21", "56C²¹")</f>
        <v/>
      </c>
      <c r="M856">
        <f>HYPERLINK("CSG2.html#group28C2", "28C²"), =HYPERLINK("CSG1.html#group14B1", "14B¹"), =HYPERLINK("CSG0.html#group4C0", "4C⁰"), =HYPERLINK("CSG0.html#group8B0", "8B⁰"), =HYPERLINK("CSG0.html#group2B0", "2B⁰"), =HYPERLINK("CSG0.html#group1A0", "1A⁰"), =HYPERLINK("CSG0.html#group7A0", "7A⁰")</f>
        <v/>
      </c>
      <c r="N856">
        <f>HYPERLINK("CSG13.html#group56D13", "56D¹³"), =HYPERLINK("CSG24.html#group336I24", "336I²⁴"), =HYPERLINK("CSG21.html#group112B21", "112B²¹"), =HYPERLINK("CSG23.html#group56J23", "56J²³"), =HYPERLINK("CSG23.html#group112K23", "112K²³"), =HYPERLINK("CSG12.html#group112A12", "112A¹²"), =HYPERLINK("CSG12.html#group168A12", "168A¹²"), =HYPERLINK("CSG21.html#group56C21", "56C²¹"), =HYPERLINK("CSG23.html#group56D23", "56D²³"), =HYPERLINK("CSG22.html#group56G22", "56G²²"), =HYPERLINK("CSG14.html#group56G14", "56G¹⁴"), =HYPERLINK("CSG24.html#group112V24", "112V²⁴"), =HYPERLINK("CSG9.html#group56B9", "56B⁹"), =HYPERLINK("CSG24.html#group112N24", "112N²⁴"), =HYPERLINK("CSG24.html#group112M24", "112M²⁴"), =HYPERLINK("CSG10.html#group56C10", "56C¹⁰"), =HYPERLINK("CSG23.html#group56N23", "56N²³"), =HYPERLINK("CSG23.html#group112D23", "112D²³"), =HYPERLINK("CSG23.html#group224A23", "224A²³"), =HYPERLINK("CSG24.html#group112Q24", "112Q²⁴"), =HYPERLINK("CSG21.html#group224A21", "224A²¹"), =HYPERLINK("CSG23.html#group112C23", "112C²³"), =HYPERLINK("CSG23.html#group112N23", "112N²³"), =HYPERLINK("CSG24.html#group112R24", "112R²⁴"), =HYPERLINK("CSG23.html#group112J23", "112J²³"), =HYPERLINK("CSG22.html#group56D22", "56D²²"), =HYPERLINK("CSG8.html#group112B8", "112B⁸"), =HYPERLINK("CSG24.html#group112K24", "112K²⁴"), =HYPERLINK("CSG23.html#group112A23", "112A²³"), =HYPERLINK("CSG14.html#group112A14", "112A¹⁴"), =HYPERLINK("CSG22.html#group56F22", "56F²²"), =HYPERLINK("CSG11.html#group112A11", "112A¹¹"), =HYPERLINK("CSG21.html#group56J21", "56J²¹"), =HYPERLINK("CSG11.html#group56A11", "56A¹¹"), =HYPERLINK("CSG24.html#group112P24", "112P²⁴"), =HYPERLINK("CSG10.html#group56B10", "56B¹⁰"), =HYPERLINK("CSG10.html#group56E10", "56E¹⁰"), =HYPERLINK("CSG24.html#group112L24", "112L²⁴"), =HYPERLINK("CSG24.html#group112S24", "112S²⁴"), =HYPERLINK("CSG21.html#group112D21", "112D²¹"), =HYPERLINK("CSG24.html#group112T24", "112T²⁴"), =HYPERLINK("CSG19.html#group112A19", "112A¹⁹"), =HYPERLINK("CSG23.html#group112I23", "112I²³"), =HYPERLINK("CSG21.html#group112A21", "112A²¹"), =HYPERLINK("CSG23.html#group56I23", "56I²³"), =HYPERLINK("CSG10.html#group56D10", "56D¹⁰"), =HYPERLINK("CSG23.html#group112E23", "112E²³"), =HYPERLINK("CSG24.html#group112O24", "112O²⁴"), =HYPERLINK("CSG23.html#group112L23", "112L²³"), =HYPERLINK("CSG21.html#group112C21", "112C²¹"), =HYPERLINK("CSG23.html#group56H23", "56H²³"), =HYPERLINK("CSG23.html#group112H23", "112H²³"), =HYPERLINK("CSG11.html#group112E11", "112E¹¹"), =HYPERLINK("CSG22.html#group56E22", "56E²²"), =HYPERLINK("CSG11.html#group112B11", "112B¹¹"), =HYPERLINK("CSG19.html#group224A19", "224A¹⁹"), =HYPERLINK("CSG23.html#group56M23", "56M²³"), =HYPERLINK("CSG24.html#group112U24", "112U²⁴"), =HYPERLINK("CSG10.html#group112A10", "112A¹⁰"), =HYPERLINK("CSG23.html#group112M23", "112M²³"), =HYPERLINK("CSG11.html#group112F11", "112F¹¹"), =HYPERLINK("CSG21.html#group56K21", "56K²¹")</f>
        <v/>
      </c>
    </row>
    <row r="857">
      <c r="A857" t="inlineStr">
        <is>
          <t>56C⁴</t>
        </is>
      </c>
      <c r="B857" t="inlineStr"/>
      <c r="C857" t="inlineStr">
        <is>
          <t>96</t>
        </is>
      </c>
      <c r="D857" t="inlineStr">
        <is>
          <t>1</t>
        </is>
      </c>
      <c r="E857" t="inlineStr">
        <is>
          <t>24</t>
        </is>
      </c>
      <c r="F857" t="inlineStr">
        <is>
          <t>0</t>
        </is>
      </c>
      <c r="G857" t="inlineStr">
        <is>
          <t>0</t>
        </is>
      </c>
      <c r="H857" t="inlineStr">
        <is>
          <t>1⁴, 7⁴, 8¹, 56¹</t>
        </is>
      </c>
      <c r="I857" t="n">
        <v>10</v>
      </c>
      <c r="J857" t="inlineStr">
        <is>
          <t>1⁶, 6³</t>
        </is>
      </c>
      <c r="K857">
        <f>HYPERLINK("CSG2.html#group28D2", "28D²")</f>
        <v/>
      </c>
      <c r="L857">
        <f>HYPERLINK("CSG9.html#group56C9", "56C⁹"), =HYPERLINK("CSG10.html#group56F10", "56F¹⁰"), =HYPERLINK("CSG11.html#group56L11", "56L¹¹"), =HYPERLINK("CSG20.html#group168E20", "168E²⁰"), =HYPERLINK("CSG20.html#group168G20", "168G²⁰"), =HYPERLINK("CSG23.html#group168R23", "168R²³")</f>
        <v/>
      </c>
      <c r="M857">
        <f>HYPERLINK("CSG0.html#group2B0", "2B⁰"), =HYPERLINK("CSG0.html#group4B0", "4B⁰"), =HYPERLINK("CSG0.html#group1A0", "1A⁰"), =HYPERLINK("CSG0.html#group7B0", "7B⁰"), =HYPERLINK("CSG2.html#group28D2", "28D²"), =HYPERLINK("CSG1.html#group14C1", "14C¹")</f>
        <v/>
      </c>
      <c r="N857">
        <f>HYPERLINK("CSG21.html#group56L21", "56L²¹"), =HYPERLINK("CSG10.html#group56F10", "56F¹⁰"), =HYPERLINK("CSG23.html#group168R23", "168R²³"), =HYPERLINK("CSG21.html#group56M21", "56M²¹"), =HYPERLINK("CSG21.html#group112F21", "112F²¹"), =HYPERLINK("CSG21.html#group112E21", "112E²¹"), =HYPERLINK("CSG20.html#group168G20", "168G²⁰"), =HYPERLINK("CSG11.html#group56L11", "56L¹¹"), =HYPERLINK("CSG20.html#group168E20", "168E²⁰"), =HYPERLINK("CSG9.html#group56C9", "56C⁹"), =HYPERLINK("CSG23.html#group56V23", "56V²³")</f>
        <v/>
      </c>
    </row>
    <row r="858">
      <c r="A858" t="inlineStr">
        <is>
          <t>58A⁴</t>
        </is>
      </c>
      <c r="B858" t="inlineStr"/>
      <c r="C858" t="inlineStr">
        <is>
          <t>60</t>
        </is>
      </c>
      <c r="D858" t="inlineStr">
        <is>
          <t>1</t>
        </is>
      </c>
      <c r="E858" t="inlineStr">
        <is>
          <t>30</t>
        </is>
      </c>
      <c r="F858" t="inlineStr">
        <is>
          <t>4</t>
        </is>
      </c>
      <c r="G858" t="inlineStr">
        <is>
          <t>0</t>
        </is>
      </c>
      <c r="H858" t="inlineStr">
        <is>
          <t>2¹, 58¹</t>
        </is>
      </c>
      <c r="I858" t="n">
        <v>2</v>
      </c>
      <c r="J858" t="inlineStr">
        <is>
          <t>1², 28¹</t>
        </is>
      </c>
      <c r="K858">
        <f>HYPERLINK("CSG2.html#group29A2", "29A²")</f>
        <v/>
      </c>
      <c r="L858">
        <f>HYPERLINK("CSG9.html#group58A9", "58A⁹"), =HYPERLINK("CSG9.html#group116B9", "116B⁹"), =HYPERLINK("CSG12.html#group58B12", "58B¹²"), =HYPERLINK("CSG12.html#group174A12", "174A¹²"), =HYPERLINK("CSG17.html#group116A17", "116A¹⁷"), =HYPERLINK("CSG19.html#group174A19", "174A¹⁹"), =HYPERLINK("CSG22.html#group58A22", "58A²²"), =HYPERLINK("CSG24.html#group290A24", "290A²⁴")</f>
        <v/>
      </c>
      <c r="M858">
        <f>HYPERLINK("CSG0.html#group1A0", "1A⁰"), =HYPERLINK("CSG2.html#group29A2", "29A²")</f>
        <v/>
      </c>
      <c r="N858">
        <f>HYPERLINK("CSG9.html#group116B9", "116B⁹"), =HYPERLINK("CSG12.html#group174A12", "174A¹²"), =HYPERLINK("CSG22.html#group58A22", "58A²²"), =HYPERLINK("CSG19.html#group116A19", "116A¹⁹"), =HYPERLINK("CSG12.html#group58B12", "58B¹²"), =HYPERLINK("CSG19.html#group174A19", "174A¹⁹"), =HYPERLINK("CSG9.html#group58A9", "58A⁹"), =HYPERLINK("CSG24.html#group290A24", "290A²⁴"), =HYPERLINK("CSG17.html#group116A17", "116A¹⁷")</f>
        <v/>
      </c>
    </row>
    <row r="859">
      <c r="A859" t="inlineStr">
        <is>
          <t>60A⁴</t>
        </is>
      </c>
      <c r="B859" t="inlineStr"/>
      <c r="C859" t="inlineStr">
        <is>
          <t>60</t>
        </is>
      </c>
      <c r="D859" t="inlineStr">
        <is>
          <t>1</t>
        </is>
      </c>
      <c r="E859" t="inlineStr">
        <is>
          <t>20</t>
        </is>
      </c>
      <c r="F859" t="inlineStr">
        <is>
          <t>6</t>
        </is>
      </c>
      <c r="G859" t="inlineStr">
        <is>
          <t>0</t>
        </is>
      </c>
      <c r="H859" t="inlineStr">
        <is>
          <t>60¹</t>
        </is>
      </c>
      <c r="I859" t="n">
        <v>1</v>
      </c>
      <c r="J859" t="inlineStr">
        <is>
          <t>2², 8²</t>
        </is>
      </c>
      <c r="K859">
        <f>HYPERLINK("CSG0.html#group12A0", "12A⁰"), =HYPERLINK("CSG1.html#group15A1", "15A¹"), =HYPERLINK("CSG1.html#group20A1", "20A¹")</f>
        <v/>
      </c>
      <c r="L859">
        <f>HYPERLINK("CSG8.html#group60D8", "60D⁸"), =HYPERLINK("CSG9.html#group60C9", "60C⁹"), =HYPERLINK("CSG9.html#group120A9", "120A⁹"), =HYPERLINK("CSG9.html#group120B9", "120B⁹"), =HYPERLINK("CSG10.html#group60A10", "60A¹⁰"), =HYPERLINK("CSG10.html#group60B10", "60B¹⁰"), =HYPERLINK("CSG13.html#group60B13", "60B¹³"), =HYPERLINK("CSG13.html#group180A13", "180A¹³"), =HYPERLINK("CSG17.html#group120C17", "120C¹⁷"), =HYPERLINK("CSG19.html#group60F19", "60F¹⁹")</f>
        <v/>
      </c>
      <c r="M859">
        <f>HYPERLINK("CSG0.html#group5A0", "5A⁰"), =HYPERLINK("CSG0.html#group12A0", "12A⁰"), =HYPERLINK("CSG0.html#group4A0", "4A⁰"), =HYPERLINK("CSG1.html#group20A1", "20A¹"), =HYPERLINK("CSG0.html#group3A0", "3A⁰"), =HYPERLINK("CSG0.html#group1A0", "1A⁰"), =HYPERLINK("CSG1.html#group15A1", "15A¹")</f>
        <v/>
      </c>
      <c r="N859">
        <f>HYPERLINK("CSG9.html#group120A9", "120A⁹"), =HYPERLINK("CSG20.html#group120A20", "120A²⁰"), =HYPERLINK("CSG20.html#group120B20", "120B²⁰"), =HYPERLINK("CSG13.html#group180A13", "180A¹³"), =HYPERLINK("CSG8.html#group60D8", "60D⁸"), =HYPERLINK("CSG17.html#group60E17", "60E¹⁷"), =HYPERLINK("CSG19.html#group240B19", "240B¹⁹"), =HYPERLINK("CSG22.html#group60B22", "60B²²"), =HYPERLINK("CSG9.html#group120B9", "120B⁹"), =HYPERLINK("CSG18.html#group120C18", "120C¹⁸"), =HYPERLINK("CSG23.html#group60J23", "60J²³"), =HYPERLINK("CSG17.html#group120C17", "120C¹⁷"), =HYPERLINK("CSG19.html#group60F19", "60F¹⁹"), =HYPERLINK("CSG10.html#group60A10", "60A¹⁰"), =HYPERLINK("CSG24.html#group60A24", "60A²⁴"), =HYPERLINK("CSG10.html#group60B10", "60B¹⁰"), =HYPERLINK("CSG19.html#group60C19", "60C¹⁹"), =HYPERLINK("CSG19.html#group120C19", "120C¹⁹"), =HYPERLINK("CSG19.html#group120D19", "120D¹⁹"), =HYPERLINK("CSG18.html#group120F18", "120F¹⁸"), =HYPERLINK("CSG19.html#group240A19", "240A¹⁹"), =HYPERLINK("CSG18.html#group120B18", "120B¹⁸"), =HYPERLINK("CSG22.html#group60C22", "60C²²"), =HYPERLINK("CSG19.html#group60G19", "60G¹⁹"), =HYPERLINK("CSG9.html#group60C9", "60C⁹"), =HYPERLINK("CSG13.html#group60B13", "60B¹³")</f>
        <v/>
      </c>
    </row>
    <row r="860">
      <c r="A860" t="inlineStr">
        <is>
          <t>60B⁴</t>
        </is>
      </c>
      <c r="B860" t="inlineStr"/>
      <c r="C860" t="inlineStr">
        <is>
          <t>80</t>
        </is>
      </c>
      <c r="D860" t="inlineStr">
        <is>
          <t>1</t>
        </is>
      </c>
      <c r="E860" t="inlineStr">
        <is>
          <t>20</t>
        </is>
      </c>
      <c r="F860" t="inlineStr">
        <is>
          <t>0</t>
        </is>
      </c>
      <c r="G860" t="inlineStr">
        <is>
          <t>8</t>
        </is>
      </c>
      <c r="H860" t="inlineStr">
        <is>
          <t>20¹, 60¹</t>
        </is>
      </c>
      <c r="I860" t="n">
        <v>2</v>
      </c>
      <c r="J860" t="inlineStr">
        <is>
          <t>1², 2¹, 4², 8¹</t>
        </is>
      </c>
      <c r="K860">
        <f>HYPERLINK("CSG0.html#group12B0", "12B⁰"), =HYPERLINK("CSG2.html#group30D2", "30D²")</f>
        <v/>
      </c>
      <c r="L860">
        <f>HYPERLINK("CSG12.html#group180A12", "180A¹²"), =HYPERLINK("CSG14.html#group60G14", "60G¹⁴"), =HYPERLINK("CSG15.html#group60T15", "60T¹⁵"), =HYPERLINK("CSG15.html#group60Y15", "60Y¹⁵"), =HYPERLINK("CSG15.html#group180A15", "180A¹⁵"), =HYPERLINK("CSG15.html#group180B15", "180B¹⁵"), =HYPERLINK("CSG16.html#group180A16", "180A¹⁶"), =HYPERLINK("CSG16.html#group180B16", "180B¹⁶"), =HYPERLINK("CSG16.html#group180C16", "180C¹⁶"), =HYPERLINK("CSG17.html#group60L17", "60L¹⁷"), =HYPERLINK("CSG17.html#group180A17", "180A¹⁷"), =HYPERLINK("CSG18.html#group60A18", "60A¹⁸"), =HYPERLINK("CSG18.html#group60B18", "60B¹⁸"), =HYPERLINK("CSG18.html#group180B18", "180B¹⁸"), =HYPERLINK("CSG19.html#group60A19", "60A¹⁹"), =HYPERLINK("CSG19.html#group180A19", "180A¹⁹"), =HYPERLINK("CSG20.html#group180A20", "180A²⁰"), =HYPERLINK("CSG20.html#group180B20", "180B²⁰"), =HYPERLINK("CSG20.html#group180D20", "180D²⁰"), =HYPERLINK("CSG21.html#group60S21", "60S²¹"), =HYPERLINK("CSG21.html#group60T21", "60T²¹")</f>
        <v/>
      </c>
      <c r="M860">
        <f>HYPERLINK("CSG0.html#group3B0", "3B⁰"), =HYPERLINK("CSG0.html#group2A0", "2A⁰"), =HYPERLINK("CSG0.html#group5A0", "5A⁰"), =HYPERLINK("CSG0.html#group10A0", "10A⁰"), =HYPERLINK("CSG2.html#group30D2", "30D²"), =HYPERLINK("CSG0.html#group6C0", "6C⁰"), =HYPERLINK("CSG1.html#group15B1", "15B¹"), =HYPERLINK("CSG0.html#group1A0", "1A⁰"), =HYPERLINK("CSG0.html#group12B0", "12B⁰")</f>
        <v/>
      </c>
      <c r="N860">
        <f>HYPERLINK("CSG20.html#group180B20", "180B²⁰"), =HYPERLINK("CSG18.html#group60B18", "60B¹⁸"), =HYPERLINK("CSG20.html#group180A20", "180A²⁰"), =HYPERLINK("CSG17.html#group60L17", "60L¹⁷"), =HYPERLINK("CSG20.html#group180D20", "180D²⁰"), =HYPERLINK("CSG16.html#group180B16", "180B¹⁶"), =HYPERLINK("CSG19.html#group180A19", "180A¹⁹"), =HYPERLINK("CSG18.html#group180B18", "180B¹⁸"), =HYPERLINK("CSG15.html#group180A15", "180A¹⁵"), =HYPERLINK("CSG21.html#group60S21", "60S²¹"), =HYPERLINK("CSG16.html#group180C16", "180C¹⁶"), =HYPERLINK("CSG15.html#group60T15", "60T¹⁵"), =HYPERLINK("CSG21.html#group60T21", "60T²¹"), =HYPERLINK("CSG15.html#group180B15", "180B¹⁵"), =HYPERLINK("CSG18.html#group60A18", "60A¹⁸"), =HYPERLINK("CSG15.html#group60Y15", "60Y¹⁵"), =HYPERLINK("CSG19.html#group60A19", "60A¹⁹"), =HYPERLINK("CSG16.html#group180A16", "180A¹⁶"), =HYPERLINK("CSG17.html#group180A17", "180A¹⁷"), =HYPERLINK("CSG14.html#group60G14", "60G¹⁴"), =HYPERLINK("CSG12.html#group180A12", "180A¹²")</f>
        <v/>
      </c>
    </row>
    <row r="861">
      <c r="A861" t="inlineStr">
        <is>
          <t>60C⁴</t>
        </is>
      </c>
      <c r="B861" t="inlineStr"/>
      <c r="C861" t="inlineStr">
        <is>
          <t>108</t>
        </is>
      </c>
      <c r="D861" t="inlineStr">
        <is>
          <t>1</t>
        </is>
      </c>
      <c r="E861" t="inlineStr">
        <is>
          <t>18</t>
        </is>
      </c>
      <c r="F861" t="inlineStr">
        <is>
          <t>12</t>
        </is>
      </c>
      <c r="G861" t="inlineStr">
        <is>
          <t>0</t>
        </is>
      </c>
      <c r="H861" t="inlineStr">
        <is>
          <t>3², 12¹, 15², 60¹</t>
        </is>
      </c>
      <c r="I861" t="n">
        <v>6</v>
      </c>
      <c r="J861" t="inlineStr">
        <is>
          <t>1⁶, 4³</t>
        </is>
      </c>
      <c r="K861">
        <f>HYPERLINK("CSG0.html#group20A0", "20A⁰"), =HYPERLINK("CSG2.html#group30E2", "30E²")</f>
        <v/>
      </c>
      <c r="L861">
        <f>HYPERLINK("CSG9.html#group60M9", "60M⁹"), =HYPERLINK("CSG9.html#group60N9", "60N⁹"), =HYPERLINK("CSG11.html#group60O11", "60O¹¹"), =HYPERLINK("CSG11.html#group60R11", "60R¹¹"), =HYPERLINK("CSG11.html#group120C11", "120C¹¹"), =HYPERLINK("CSG11.html#group120D11", "120D¹¹"), =HYPERLINK("CSG13.html#group60N13", "60N¹³"), =HYPERLINK("CSG13.html#group60W13", "60W¹³"), =HYPERLINK("CSG13.html#group120K13", "120K¹³"), =HYPERLINK("CSG13.html#group120L13", "120L¹³"), =HYPERLINK("CSG15.html#group60C15", "60C¹⁵"), =HYPERLINK("CSG20.html#group180H20", "180H²⁰")</f>
        <v/>
      </c>
      <c r="M861">
        <f>HYPERLINK("CSG0.html#group20A0", "20A⁰"), =HYPERLINK("CSG0.html#group15B0", "15B⁰"), =HYPERLINK("CSG2.html#group30E2", "30E²"), =HYPERLINK("CSG0.html#group5B0", "5B⁰"), =HYPERLINK("CSG0.html#group10C0", "10C⁰"), =HYPERLINK("CSG0.html#group2B0", "2B⁰"), =HYPERLINK("CSG0.html#group3A0", "3A⁰"), =HYPERLINK("CSG0.html#group1A0", "1A⁰"), =HYPERLINK("CSG0.html#group6D0", "6D⁰")</f>
        <v/>
      </c>
      <c r="N861">
        <f>HYPERLINK("CSG21.html#group60X21", "60X²¹"), =HYPERLINK("CSG23.html#group60R23", "60R²³"), =HYPERLINK("CSG11.html#group60R11", "60R¹¹"), =HYPERLINK("CSG11.html#group120C11", "120C¹¹"), =HYPERLINK("CSG23.html#group120S23", "120S²³"), =HYPERLINK("CSG21.html#group60W21", "60W²¹"), =HYPERLINK("CSG11.html#group60O11", "60O¹¹"), =HYPERLINK("CSG13.html#group120L13", "120L¹³"), =HYPERLINK("CSG15.html#group60C15", "60C¹⁵"), =HYPERLINK("CSG13.html#group60N13", "60N¹³"), =HYPERLINK("CSG23.html#group120R23", "120R²³"), =HYPERLINK("CSG9.html#group60N9", "60N⁹"), =HYPERLINK("CSG11.html#group120D11", "120D¹¹"), =HYPERLINK("CSG21.html#group120O21", "120O²¹"), =HYPERLINK("CSG20.html#group180H20", "180H²⁰"), =HYPERLINK("CSG13.html#group60W13", "60W¹³"), =HYPERLINK("CSG23.html#group60N23", "60N²³"), =HYPERLINK("CSG13.html#group120K13", "120K¹³"), =HYPERLINK("CSG23.html#group120Q23", "120Q²³"), =HYPERLINK("CSG9.html#group60M9", "60M⁹")</f>
        <v/>
      </c>
    </row>
    <row r="862">
      <c r="A862" t="inlineStr">
        <is>
          <t>61A⁴</t>
        </is>
      </c>
      <c r="B862" t="inlineStr">
        <is>
          <t>Γ₀(61)</t>
        </is>
      </c>
      <c r="C862" t="inlineStr">
        <is>
          <t>62</t>
        </is>
      </c>
      <c r="D862" t="inlineStr">
        <is>
          <t>1</t>
        </is>
      </c>
      <c r="E862" t="inlineStr">
        <is>
          <t>62</t>
        </is>
      </c>
      <c r="F862" t="inlineStr">
        <is>
          <t>2</t>
        </is>
      </c>
      <c r="G862" t="inlineStr">
        <is>
          <t>2</t>
        </is>
      </c>
      <c r="H862" t="inlineStr">
        <is>
          <t>1¹, 61¹</t>
        </is>
      </c>
      <c r="I862" t="n">
        <v>2</v>
      </c>
      <c r="J862" t="inlineStr">
        <is>
          <t>1², 60¹</t>
        </is>
      </c>
      <c r="K862">
        <f>HYPERLINK("CSG0.html#group1A0", "1A⁰")</f>
        <v/>
      </c>
      <c r="L862">
        <f>HYPERLINK("CSG8.html#group61A8", "61A⁸"), =HYPERLINK("CSG8.html#group122A8", "122A⁸"), =HYPERLINK("CSG9.html#group122A9", "122A⁹"), =HYPERLINK("CSG12.html#group61A12", "61A¹²"), =HYPERLINK("CSG13.html#group183A13", "183A¹³"), =HYPERLINK("CSG14.html#group122A14", "122A¹⁴"), =HYPERLINK("CSG14.html#group183A14", "183A¹⁴"), =HYPERLINK("CSG16.html#group61A16", "61A¹⁶"), =HYPERLINK("CSG19.html#group183A19", "183A¹⁹"), =HYPERLINK("CSG19.html#group244A19", "244A¹⁹"), =HYPERLINK("CSG24.html#group305A24", "305A²⁴")</f>
        <v/>
      </c>
      <c r="M862">
        <f>HYPERLINK("CSG0.html#group1A0", "1A⁰")</f>
        <v/>
      </c>
      <c r="N862">
        <f>HYPERLINK("CSG8.html#group122A8", "122A⁸"), =HYPERLINK("CSG19.html#group244A19", "244A¹⁹"), =HYPERLINK("CSG19.html#group183A19", "183A¹⁹"), =HYPERLINK("CSG24.html#group305A24", "305A²⁴"), =HYPERLINK("CSG8.html#group61A8", "61A⁸"), =HYPERLINK("CSG14.html#group183A14", "183A¹⁴"), =HYPERLINK("CSG17.html#group244A17", "244A¹⁷"), =HYPERLINK("CSG16.html#group61A16", "61A¹⁶"), =HYPERLINK("CSG9.html#group122A9", "122A⁹"), =HYPERLINK("CSG13.html#group183A13", "183A¹³"), =HYPERLINK("CSG17.html#group122A17", "122A¹⁷"), =HYPERLINK("CSG14.html#group122A14", "122A¹⁴"), =HYPERLINK("CSG12.html#group61A12", "61A¹²")</f>
        <v/>
      </c>
    </row>
    <row r="863">
      <c r="A863" t="inlineStr">
        <is>
          <t>62A⁴</t>
        </is>
      </c>
      <c r="B863" t="inlineStr"/>
      <c r="C863" t="inlineStr">
        <is>
          <t>64</t>
        </is>
      </c>
      <c r="D863" t="inlineStr">
        <is>
          <t>1</t>
        </is>
      </c>
      <c r="E863" t="inlineStr">
        <is>
          <t>32</t>
        </is>
      </c>
      <c r="F863" t="inlineStr">
        <is>
          <t>0</t>
        </is>
      </c>
      <c r="G863" t="inlineStr">
        <is>
          <t>4</t>
        </is>
      </c>
      <c r="H863" t="inlineStr">
        <is>
          <t>2¹, 62¹</t>
        </is>
      </c>
      <c r="I863" t="n">
        <v>2</v>
      </c>
      <c r="J863" t="inlineStr">
        <is>
          <t>1², 30¹</t>
        </is>
      </c>
      <c r="K863">
        <f>HYPERLINK("CSG0.html#group2A0", "2A⁰"), =HYPERLINK("CSG2.html#group31A2", "31A²")</f>
        <v/>
      </c>
      <c r="L863">
        <f>HYPERLINK("CSG8.html#group124A8", "124A⁸"), =HYPERLINK("CSG12.html#group62A12", "62A¹²"), =HYPERLINK("CSG14.html#group62A14", "62A¹⁴"), =HYPERLINK("CSG14.html#group62B14", "62B¹⁴"), =HYPERLINK("CSG14.html#group186A14", "186A¹⁴"), =HYPERLINK("CSG14.html#group186B14", "186B¹⁴"), =HYPERLINK("CSG15.html#group186A15", "186A¹⁵"), =HYPERLINK("CSG16.html#group62A16", "62A¹⁶"), =HYPERLINK("CSG16.html#group186A16", "186A¹⁶"), =HYPERLINK("CSG19.html#group124A19", "124A¹⁹"), =HYPERLINK("CSG19.html#group186B19", "186B¹⁹"), =HYPERLINK("CSG24.html#group310A24", "310A²⁴")</f>
        <v/>
      </c>
      <c r="M863">
        <f>HYPERLINK("CSG0.html#group2A0", "2A⁰"), =HYPERLINK("CSG2.html#group31A2", "31A²"), =HYPERLINK("CSG0.html#group1A0", "1A⁰")</f>
        <v/>
      </c>
      <c r="N863">
        <f>HYPERLINK("CSG8.html#group124A8", "124A⁸"), =HYPERLINK("CSG14.html#group186A14", "186A¹⁴"), =HYPERLINK("CSG16.html#group186A16", "186A¹⁶"), =HYPERLINK("CSG19.html#group124A19", "124A¹⁹"), =HYPERLINK("CSG15.html#group186A15", "186A¹⁵"), =HYPERLINK("CSG19.html#group186B19", "186B¹⁹"), =HYPERLINK("CSG14.html#group186B14", "186B¹⁴"), =HYPERLINK("CSG16.html#group62A16", "62A¹⁶"), =HYPERLINK("CSG24.html#group310A24", "310A²⁴"), =HYPERLINK("CSG12.html#group62A12", "62A¹²"), =HYPERLINK("CSG14.html#group62A14", "62A¹⁴"), =HYPERLINK("CSG14.html#group62B14", "62B¹⁴")</f>
        <v/>
      </c>
    </row>
    <row r="864">
      <c r="A864" t="inlineStr">
        <is>
          <t>63A⁴</t>
        </is>
      </c>
      <c r="B864" t="inlineStr"/>
      <c r="C864" t="inlineStr">
        <is>
          <t>96</t>
        </is>
      </c>
      <c r="D864" t="inlineStr">
        <is>
          <t>2</t>
        </is>
      </c>
      <c r="E864" t="inlineStr">
        <is>
          <t>32</t>
        </is>
      </c>
      <c r="F864" t="inlineStr">
        <is>
          <t>0</t>
        </is>
      </c>
      <c r="G864" t="inlineStr">
        <is>
          <t>3</t>
        </is>
      </c>
      <c r="H864" t="inlineStr">
        <is>
          <t>1³, 7³, 9¹, 63¹</t>
        </is>
      </c>
      <c r="I864" t="n">
        <v>8</v>
      </c>
      <c r="J864" t="inlineStr">
        <is>
          <t>2⁸, 12⁴</t>
        </is>
      </c>
      <c r="K864">
        <f>HYPERLINK("CSG1.html#group21B1", "21B¹")</f>
        <v/>
      </c>
      <c r="L864">
        <f>HYPERLINK("CSG7.html#group63F7", "63F⁷"), =HYPERLINK("CSG11.html#group126F11", "126F¹¹"), =HYPERLINK("CSG11.html#group126E11", "126E¹¹"), =HYPERLINK("CSG13.html#group63E13", "63E¹³"), =HYPERLINK("CSG16.html#group63F16", "63F¹⁶"), =HYPERLINK("CSG17.html#group126K17", "126K¹⁷"), =HYPERLINK("CSG19.html#group63M19", "63M¹⁹"), =HYPERLINK("CSG19.html#group63O19", "63O¹⁹")</f>
        <v/>
      </c>
      <c r="M864">
        <f>HYPERLINK("CSG0.html#group3B0", "3B⁰"), =HYPERLINK("CSG0.html#group1A0", "1A⁰"), =HYPERLINK("CSG0.html#group7B0", "7B⁰"), =HYPERLINK("CSG1.html#group21B1", "21B¹")</f>
        <v/>
      </c>
      <c r="N864">
        <f>HYPERLINK("CSG11.html#group126F11", "126F¹¹"), =HYPERLINK("CSG13.html#group63E13", "63E¹³"), =HYPERLINK("CSG11.html#group126E11", "126E¹¹"), =HYPERLINK("CSG17.html#group126K17", "126K¹⁷"), =HYPERLINK("CSG7.html#group63F7", "63F⁷"), =HYPERLINK("CSG19.html#group63O19", "63O¹⁹"), =HYPERLINK("CSG21.html#group126U21", "126U²¹"), =HYPERLINK("CSG19.html#group63M19", "63M¹⁹"), =HYPERLINK("CSG16.html#group63F16", "63F¹⁶")</f>
        <v/>
      </c>
    </row>
    <row r="865">
      <c r="A865" t="inlineStr">
        <is>
          <t>65A⁴</t>
        </is>
      </c>
      <c r="B865" t="inlineStr"/>
      <c r="C865" t="inlineStr">
        <is>
          <t>70</t>
        </is>
      </c>
      <c r="D865" t="inlineStr">
        <is>
          <t>1</t>
        </is>
      </c>
      <c r="E865" t="inlineStr">
        <is>
          <t>70</t>
        </is>
      </c>
      <c r="F865" t="inlineStr">
        <is>
          <t>2</t>
        </is>
      </c>
      <c r="G865" t="inlineStr">
        <is>
          <t>4</t>
        </is>
      </c>
      <c r="H865" t="inlineStr">
        <is>
          <t>5¹, 65¹</t>
        </is>
      </c>
      <c r="I865" t="n">
        <v>2</v>
      </c>
      <c r="J865" t="inlineStr">
        <is>
          <t>1², 4², 12¹, 48¹</t>
        </is>
      </c>
      <c r="K865">
        <f>HYPERLINK("CSG0.html#group5A0", "5A⁰"), =HYPERLINK("CSG0.html#group13A0", "13A⁰")</f>
        <v/>
      </c>
      <c r="L865">
        <f>HYPERLINK("CSG8.html#group65A8", "65A⁸"), =HYPERLINK("CSG8.html#group130A8", "130A⁸"), =HYPERLINK("CSG9.html#group130A9", "130A⁹"), =HYPERLINK("CSG12.html#group65A12", "65A¹²"), =HYPERLINK("CSG12.html#group65B12", "65B¹²"), =HYPERLINK("CSG14.html#group65A14", "65A¹⁴"), =HYPERLINK("CSG14.html#group65B14", "65B¹⁴"), =HYPERLINK("CSG14.html#group195A14", "195A¹⁴"), =HYPERLINK("CSG14.html#group195B14", "195B¹⁴"), =HYPERLINK("CSG15.html#group195A15", "195A¹⁵"), =HYPERLINK("CSG15.html#group195B15", "195B¹⁵"), =HYPERLINK("CSG16.html#group130A16", "130A¹⁶"), =HYPERLINK("CSG16.html#group195A16", "195A¹⁶"), =HYPERLINK("CSG19.html#group65B19", "65B¹⁹"), =HYPERLINK("CSG21.html#group195A21", "195A²¹"), =HYPERLINK("CSG21.html#group260A21", "260A²¹")</f>
        <v/>
      </c>
      <c r="M865">
        <f>HYPERLINK("CSG0.html#group13A0", "13A⁰"), =HYPERLINK("CSG0.html#group1A0", "1A⁰"), =HYPERLINK("CSG0.html#group5A0", "5A⁰")</f>
        <v/>
      </c>
      <c r="N865">
        <f>HYPERLINK("CSG9.html#group130A9", "130A⁹"), =HYPERLINK("CSG21.html#group260A21", "260A²¹"), =HYPERLINK("CSG17.html#group260A17", "260A¹⁷"), =HYPERLINK("CSG16.html#group195A16", "195A¹⁶"), =HYPERLINK("CSG8.html#group65A8", "65A⁸"), =HYPERLINK("CSG14.html#group195B14", "195B¹⁴"), =HYPERLINK("CSG14.html#group65B14", "65B¹⁴"), =HYPERLINK("CSG14.html#group195A14", "195A¹⁴"), =HYPERLINK("CSG19.html#group65B19", "65B¹⁹"), =HYPERLINK("CSG21.html#group195A21", "195A²¹"), =HYPERLINK("CSG14.html#group65A14", "65A¹⁴"), =HYPERLINK("CSG16.html#group130A16", "130A¹⁶"), =HYPERLINK("CSG8.html#group130A8", "130A⁸"), =HYPERLINK("CSG12.html#group65B12", "65B¹²"), =HYPERLINK("CSG15.html#group195A15", "195A¹⁵"), =HYPERLINK("CSG17.html#group130B17", "130B¹⁷"), =HYPERLINK("CSG12.html#group65A12", "65A¹²"), =HYPERLINK("CSG15.html#group195B15", "195B¹⁵")</f>
        <v/>
      </c>
    </row>
    <row r="866">
      <c r="A866" t="inlineStr">
        <is>
          <t>66A⁴</t>
        </is>
      </c>
      <c r="B866" t="inlineStr"/>
      <c r="C866" t="inlineStr">
        <is>
          <t>66</t>
        </is>
      </c>
      <c r="D866" t="inlineStr">
        <is>
          <t>2</t>
        </is>
      </c>
      <c r="E866" t="inlineStr">
        <is>
          <t>22</t>
        </is>
      </c>
      <c r="F866" t="inlineStr">
        <is>
          <t>0</t>
        </is>
      </c>
      <c r="G866" t="inlineStr">
        <is>
          <t>6</t>
        </is>
      </c>
      <c r="H866" t="inlineStr">
        <is>
          <t>66¹</t>
        </is>
      </c>
      <c r="I866" t="n">
        <v>1</v>
      </c>
      <c r="J866" t="inlineStr">
        <is>
          <t>4¹, 20²</t>
        </is>
      </c>
      <c r="K866">
        <f>HYPERLINK("CSG0.html#group6A0", "6A⁰"), =HYPERLINK("CSG1.html#group22A1", "22A¹")</f>
        <v/>
      </c>
      <c r="L866">
        <f>HYPERLINK("CSG16.html#group66A16", "66A¹⁶"), =HYPERLINK("CSG19.html#group66A19", "66A¹⁹"), =HYPERLINK("CSG20.html#group132A20", "132A²⁰"), =HYPERLINK("CSG20.html#group132C20", "132C²⁰"), =HYPERLINK("CSG22.html#group66C22", "66C²²"), =HYPERLINK("CSG24.html#group330C24", "330C²⁴")</f>
        <v/>
      </c>
      <c r="M866">
        <f>HYPERLINK("CSG0.html#group11A0", "11A⁰"), =HYPERLINK("CSG0.html#group2A0", "2A⁰"), =HYPERLINK("CSG1.html#group22A1", "22A¹"), =HYPERLINK("CSG0.html#group6A0", "6A⁰"), =HYPERLINK("CSG0.html#group1A0", "1A⁰")</f>
        <v/>
      </c>
      <c r="N866">
        <f>HYPERLINK("CSG20.html#group132A20", "132A²⁰"), =HYPERLINK("CSG24.html#group330C24", "330C²⁴"), =HYPERLINK("CSG19.html#group66A19", "66A¹⁹"), =HYPERLINK("CSG16.html#group66A16", "66A¹⁶"), =HYPERLINK("CSG22.html#group66C22", "66C²²"), =HYPERLINK("CSG20.html#group132C20", "132C²⁰")</f>
        <v/>
      </c>
    </row>
    <row r="867">
      <c r="A867" t="inlineStr">
        <is>
          <t>70A⁴</t>
        </is>
      </c>
      <c r="B867" t="inlineStr"/>
      <c r="C867" t="inlineStr">
        <is>
          <t>70</t>
        </is>
      </c>
      <c r="D867" t="inlineStr">
        <is>
          <t>2</t>
        </is>
      </c>
      <c r="E867" t="inlineStr">
        <is>
          <t>35</t>
        </is>
      </c>
      <c r="F867" t="inlineStr">
        <is>
          <t>4</t>
        </is>
      </c>
      <c r="G867" t="inlineStr">
        <is>
          <t>4</t>
        </is>
      </c>
      <c r="H867" t="inlineStr">
        <is>
          <t>70¹</t>
        </is>
      </c>
      <c r="I867" t="n">
        <v>1</v>
      </c>
      <c r="J867" t="inlineStr">
        <is>
          <t>2¹, 6², 8¹, 24²</t>
        </is>
      </c>
      <c r="K867">
        <f>HYPERLINK("CSG0.html#group14A0", "14A⁰"), =HYPERLINK("CSG2.html#group35A2", "35A²")</f>
        <v/>
      </c>
      <c r="L867">
        <f>HYPERLINK("CSG9.html#group70B9", "70B⁹"), =HYPERLINK("CSG13.html#group210A13", "210A¹³"), =HYPERLINK("CSG13.html#group210B13", "210B¹³"), =HYPERLINK("CSG14.html#group70A14", "70A¹⁴"), =HYPERLINK("CSG14.html#group70C14", "70C¹⁴"), =HYPERLINK("CSG15.html#group210A15", "210A¹⁵"), =HYPERLINK("CSG16.html#group70B16", "70B¹⁶"), =HYPERLINK("CSG16.html#group70C16", "70C¹⁶"), =HYPERLINK("CSG19.html#group70C19", "70C¹⁹"), =HYPERLINK("CSG20.html#group140B20", "140B²⁰"), =HYPERLINK("CSG21.html#group70D21", "70D²¹"), =HYPERLINK("CSG22.html#group210A22", "210A²²")</f>
        <v/>
      </c>
      <c r="M867">
        <f>HYPERLINK("CSG0.html#group14A0", "14A⁰"), =HYPERLINK("CSG0.html#group5A0", "5A⁰"), =HYPERLINK("CSG0.html#group1A0", "1A⁰"), =HYPERLINK("CSG2.html#group35A2", "35A²"), =HYPERLINK("CSG0.html#group7A0", "7A⁰")</f>
        <v/>
      </c>
      <c r="N867">
        <f>HYPERLINK("CSG14.html#group70C14", "70C¹⁴"), =HYPERLINK("CSG13.html#group210A13", "210A¹³"), =HYPERLINK("CSG22.html#group210A22", "210A²²"), =HYPERLINK("CSG14.html#group70A14", "70A¹⁴"), =HYPERLINK("CSG15.html#group210A15", "210A¹⁵"), =HYPERLINK("CSG16.html#group70C16", "70C¹⁶"), =HYPERLINK("CSG20.html#group140B20", "140B²⁰"), =HYPERLINK("CSG21.html#group70D21", "70D²¹"), =HYPERLINK("CSG9.html#group70B9", "70B⁹"), =HYPERLINK("CSG16.html#group70B16", "70B¹⁶"), =HYPERLINK("CSG13.html#group210B13", "210B¹³"), =HYPERLINK("CSG19.html#group70C19", "70C¹⁹")</f>
        <v/>
      </c>
    </row>
    <row r="868">
      <c r="A868" t="inlineStr">
        <is>
          <t>70B⁴</t>
        </is>
      </c>
      <c r="B868" t="inlineStr"/>
      <c r="C868" t="inlineStr">
        <is>
          <t>80</t>
        </is>
      </c>
      <c r="D868" t="inlineStr">
        <is>
          <t>1</t>
        </is>
      </c>
      <c r="E868" t="inlineStr">
        <is>
          <t>40</t>
        </is>
      </c>
      <c r="F868" t="inlineStr">
        <is>
          <t>0</t>
        </is>
      </c>
      <c r="G868" t="inlineStr">
        <is>
          <t>8</t>
        </is>
      </c>
      <c r="H868" t="inlineStr">
        <is>
          <t>10¹, 70¹</t>
        </is>
      </c>
      <c r="I868" t="n">
        <v>2</v>
      </c>
      <c r="J868" t="inlineStr">
        <is>
          <t>1², 4², 6¹, 24¹</t>
        </is>
      </c>
      <c r="K868">
        <f>HYPERLINK("CSG0.html#group10A0", "10A⁰"), =HYPERLINK("CSG0.html#group14B0", "14B⁰"), =HYPERLINK("CSG2.html#group35B2", "35B²")</f>
        <v/>
      </c>
      <c r="L868">
        <f>HYPERLINK("CSG8.html#group140A8", "140A⁸"), =HYPERLINK("CSG14.html#group70D14", "70D¹⁴"), =HYPERLINK("CSG14.html#group70E14", "70E¹⁴"), =HYPERLINK("CSG14.html#group70F14", "70F¹⁴"), =HYPERLINK("CSG14.html#group70G14", "70G¹⁴"), =HYPERLINK("CSG16.html#group70D16", "70D¹⁶"), =HYPERLINK("CSG16.html#group70E16", "70E¹⁶"), =HYPERLINK("CSG16.html#group210E16", "210E¹⁶"), =HYPERLINK("CSG16.html#group210F16", "210F¹⁶"), =HYPERLINK("CSG16.html#group210G16", "210G¹⁶"), =HYPERLINK("CSG17.html#group210C17", "210C¹⁷"), =HYPERLINK("CSG17.html#group210D17", "210D¹⁷"), =HYPERLINK("CSG18.html#group70A18", "70A¹⁸"), =HYPERLINK("CSG18.html#group70B18", "70B¹⁸"), =HYPERLINK("CSG18.html#group70C18", "70C¹⁸"), =HYPERLINK("CSG18.html#group210B18", "210B¹⁸"), =HYPERLINK("CSG18.html#group210C18", "210C¹⁸"), =HYPERLINK("CSG18.html#group210D18", "210D¹⁸"), =HYPERLINK("CSG18.html#group210E18", "210E¹⁸"), =HYPERLINK("CSG20.html#group210A20", "210A²⁰"), =HYPERLINK("CSG21.html#group70G21", "70G²¹"), =HYPERLINK("CSG23.html#group140C23", "140C²³"), =HYPERLINK("CSG23.html#group210J23", "210J²³")</f>
        <v/>
      </c>
      <c r="M868">
        <f>HYPERLINK("CSG0.html#group2A0", "2A⁰"), =HYPERLINK("CSG0.html#group5A0", "5A⁰"), =HYPERLINK("CSG0.html#group10A0", "10A⁰"), =HYPERLINK("CSG0.html#group7B0", "7B⁰"), =HYPERLINK("CSG0.html#group14B0", "14B⁰"), =HYPERLINK("CSG2.html#group35B2", "35B²"), =HYPERLINK("CSG0.html#group1A0", "1A⁰")</f>
        <v/>
      </c>
      <c r="N868">
        <f>HYPERLINK("CSG14.html#group70D14", "70D¹⁴"), =HYPERLINK("CSG16.html#group210E16", "210E¹⁶"), =HYPERLINK("CSG18.html#group210B18", "210B¹⁸"), =HYPERLINK("CSG20.html#group210A20", "210A²⁰"), =HYPERLINK("CSG23.html#group140C23", "140C²³"), =HYPERLINK("CSG18.html#group210C18", "210C¹⁸"), =HYPERLINK("CSG21.html#group70G21", "70G²¹"), =HYPERLINK("CSG17.html#group210D17", "210D¹⁷"), =HYPERLINK("CSG18.html#group70A18", "70A¹⁸"), =HYPERLINK("CSG16.html#group70D16", "70D¹⁶"), =HYPERLINK("CSG18.html#group70B18", "70B¹⁸"), =HYPERLINK("CSG8.html#group140A8", "140A⁸"), =HYPERLINK("CSG18.html#group210D18", "210D¹⁸"), =HYPERLINK("CSG14.html#group70F14", "70F¹⁴"), =HYPERLINK("CSG17.html#group210C17", "210C¹⁷"), =HYPERLINK("CSG23.html#group210J23", "210J²³"), =HYPERLINK("CSG16.html#group70E16", "70E¹⁶"), =HYPERLINK("CSG16.html#group210G16", "210G¹⁶"), =HYPERLINK("CSG16.html#group210F16", "210F¹⁶"), =HYPERLINK("CSG18.html#group70C18", "70C¹⁸"), =HYPERLINK("CSG14.html#group70E14", "70E¹⁴"), =HYPERLINK("CSG14.html#group70G14", "70G¹⁴"), =HYPERLINK("CSG18.html#group210E18", "210E¹⁸")</f>
        <v/>
      </c>
    </row>
    <row r="869">
      <c r="A869" t="inlineStr">
        <is>
          <t>70C⁴</t>
        </is>
      </c>
      <c r="B869" t="inlineStr"/>
      <c r="C869" t="inlineStr">
        <is>
          <t>84</t>
        </is>
      </c>
      <c r="D869" t="inlineStr">
        <is>
          <t>2</t>
        </is>
      </c>
      <c r="E869" t="inlineStr">
        <is>
          <t>42</t>
        </is>
      </c>
      <c r="F869" t="inlineStr">
        <is>
          <t>12</t>
        </is>
      </c>
      <c r="G869" t="inlineStr">
        <is>
          <t>0</t>
        </is>
      </c>
      <c r="H869" t="inlineStr">
        <is>
          <t>14¹, 70¹</t>
        </is>
      </c>
      <c r="I869" t="n">
        <v>2</v>
      </c>
      <c r="J869" t="inlineStr">
        <is>
          <t>2², 6⁴, 8¹, 24²</t>
        </is>
      </c>
      <c r="K869">
        <f>HYPERLINK("CSG0.html#group10B0", "10B⁰"), =HYPERLINK("CSG2.html#group35C2", "35C²")</f>
        <v/>
      </c>
      <c r="L869">
        <f>HYPERLINK("CSG9.html#group70E9", "70E⁹"), =HYPERLINK("CSG11.html#group70D11", "70D¹¹"), =HYPERLINK("CSG11.html#group140A11", "140A¹¹"), =HYPERLINK("CSG11.html#group140B11", "140B¹¹"), =HYPERLINK("CSG11.html#group140C11", "140C¹¹"), =HYPERLINK("CSG11.html#group140D11", "140D¹¹"), =HYPERLINK("CSG12.html#group210A12", "210A¹²"), =HYPERLINK("CSG13.html#group70C13", "70C¹³"), =HYPERLINK("CSG14.html#group70H14", "70H¹⁴"), =HYPERLINK("CSG16.html#group70H16", "70H¹⁶"), =HYPERLINK("CSG21.html#group70H21", "70H²¹"), =HYPERLINK("CSG21.html#group140D21", "140D²¹")</f>
        <v/>
      </c>
      <c r="M869">
        <f>HYPERLINK("CSG2.html#group35C2", "35C²"), =HYPERLINK("CSG0.html#group5B0", "5B⁰"), =HYPERLINK("CSG0.html#group1A0", "1A⁰"), =HYPERLINK("CSG0.html#group7A0", "7A⁰"), =HYPERLINK("CSG0.html#group10B0", "10B⁰")</f>
        <v/>
      </c>
      <c r="N869">
        <f>HYPERLINK("CSG21.html#group70H21", "70H²¹"), =HYPERLINK("CSG14.html#group70H14", "70H¹⁴"), =HYPERLINK("CSG21.html#group140D21", "140D²¹"), =HYPERLINK("CSG23.html#group140E23", "140E²³"), =HYPERLINK("CSG16.html#group70H16", "70H¹⁶"), =HYPERLINK("CSG13.html#group70C13", "70C¹³"), =HYPERLINK("CSG11.html#group140B11", "140B¹¹"), =HYPERLINK("CSG11.html#group70D11", "70D¹¹"), =HYPERLINK("CSG12.html#group210A12", "210A¹²"), =HYPERLINK("CSG11.html#group140D11", "140D¹¹"), =HYPERLINK("CSG23.html#group140F23", "140F²³"), =HYPERLINK("CSG9.html#group70E9", "70E⁹"), =HYPERLINK("CSG11.html#group140A11", "140A¹¹"), =HYPERLINK("CSG11.html#group140C11", "140C¹¹")</f>
        <v/>
      </c>
    </row>
    <row r="870">
      <c r="A870" t="inlineStr">
        <is>
          <t>72A⁴</t>
        </is>
      </c>
      <c r="B870" t="inlineStr"/>
      <c r="C870" t="inlineStr">
        <is>
          <t>72</t>
        </is>
      </c>
      <c r="D870" t="inlineStr">
        <is>
          <t>2</t>
        </is>
      </c>
      <c r="E870" t="inlineStr">
        <is>
          <t>36</t>
        </is>
      </c>
      <c r="F870" t="inlineStr">
        <is>
          <t>10</t>
        </is>
      </c>
      <c r="G870" t="inlineStr">
        <is>
          <t>0</t>
        </is>
      </c>
      <c r="H870" t="inlineStr">
        <is>
          <t>72¹</t>
        </is>
      </c>
      <c r="I870" t="n">
        <v>1</v>
      </c>
      <c r="J870" t="inlineStr">
        <is>
          <t>4², 8², 24²</t>
        </is>
      </c>
      <c r="K870">
        <f>HYPERLINK("CSG1.html#group24A1", "24A¹"), =HYPERLINK("CSG1.html#group36A1", "36A¹")</f>
        <v/>
      </c>
      <c r="L870">
        <f>HYPERLINK("CSG8.html#group72J8", "72J⁸"), =HYPERLINK("CSG8.html#group72K8", "72K⁸"), =HYPERLINK("CSG9.html#group72G9", "72G⁹"), =HYPERLINK("CSG10.html#group72I10", "72I¹⁰"), =HYPERLINK("CSG10.html#group144A10", "144A¹⁰"), =HYPERLINK("CSG10.html#group144B10", "144B¹⁰"), =HYPERLINK("CSG10.html#group144C10", "144C¹⁰"), =HYPERLINK("CSG10.html#group144D10", "144D¹⁰"), =HYPERLINK("CSG11.html#group72G11", "72G¹¹"), =HYPERLINK("CSG11.html#group72H11", "72H¹¹"), =HYPERLINK("CSG12.html#group72A12", "72A¹²"), =HYPERLINK("CSG14.html#group72L14", "72L¹⁴"), =HYPERLINK("CSG15.html#group72L15", "72L¹⁵"), =HYPERLINK("CSG18.html#group72A18", "72A¹⁸")</f>
        <v/>
      </c>
      <c r="M870">
        <f>HYPERLINK("CSG1.html#group36A1", "36A¹"), =HYPERLINK("CSG0.html#group12A0", "12A⁰"), =HYPERLINK("CSG1.html#group24A1", "24A¹"), =HYPERLINK("CSG0.html#group4A0", "4A⁰"), =HYPERLINK("CSG0.html#group9A0", "9A⁰"), =HYPERLINK("CSG0.html#group8A0", "8A⁰"), =HYPERLINK("CSG0.html#group3A0", "3A⁰"), =HYPERLINK("CSG0.html#group1A0", "1A⁰")</f>
        <v/>
      </c>
      <c r="N870">
        <f>HYPERLINK("CSG20.html#group144F20", "144F²⁰"), =HYPERLINK("CSG10.html#group144B10", "144B¹⁰"), =HYPERLINK("CSG10.html#group72I10", "72I¹⁰"), =HYPERLINK("CSG23.html#group72F23", "72F²³"), =HYPERLINK("CSG22.html#group144J22", "144J²²"), =HYPERLINK("CSG11.html#group72H11", "72H¹¹"), =HYPERLINK("CSG24.html#group144A24", "144A²⁴"), =HYPERLINK("CSG8.html#group72K8", "72K⁸"), =HYPERLINK("CSG20.html#group144D20", "144D²⁰"), =HYPERLINK("CSG23.html#group72H23", "72H²³"), =HYPERLINK("CSG21.html#group72Q21", "72Q²¹"), =HYPERLINK("CSG23.html#group144Q23", "144Q²³"), =HYPERLINK("CSG15.html#group72L15", "72L¹⁵"), =HYPERLINK("CSG21.html#group144M21", "144M²¹"), =HYPERLINK("CSG23.html#group144R23", "144R²³"), =HYPERLINK("CSG14.html#group72L14", "72L¹⁴"), =HYPERLINK("CSG20.html#group144E20", "144E²⁰"), =HYPERLINK("CSG24.html#group144B24", "144B²⁴"), =HYPERLINK("CSG8.html#group72J8", "72J⁸"), =HYPERLINK("CSG11.html#group72G11", "72G¹¹"), =HYPERLINK("CSG10.html#group144C10", "144C¹⁰"), =HYPERLINK("CSG10.html#group144D10", "144D¹⁰"), =HYPERLINK("CSG22.html#group144I22", "144I²²"), =HYPERLINK("CSG23.html#group72B23", "72B²³"), =HYPERLINK("CSG20.html#group144C20", "144C²⁰"), =HYPERLINK("CSG23.html#group144T23", "144T²³"), =HYPERLINK("CSG10.html#group144A10", "144A¹⁰"), =HYPERLINK("CSG21.html#group144N21", "144N²¹"), =HYPERLINK("CSG18.html#group72A18", "72A¹⁸"), =HYPERLINK("CSG21.html#group72P21", "72P²¹"), =HYPERLINK("CSG12.html#group72A12", "72A¹²"), =HYPERLINK("CSG24.html#group144C24", "144C²⁴"), =HYPERLINK("CSG23.html#group144S23", "144S²³"), =HYPERLINK("CSG9.html#group72G9", "72G⁹"), =HYPERLINK("CSG17.html#group72W17", "72W¹⁷")</f>
        <v/>
      </c>
    </row>
    <row r="871">
      <c r="A871" t="inlineStr">
        <is>
          <t>72B⁴</t>
        </is>
      </c>
      <c r="B871" t="inlineStr"/>
      <c r="C871" t="inlineStr">
        <is>
          <t>72</t>
        </is>
      </c>
      <c r="D871" t="inlineStr">
        <is>
          <t>2</t>
        </is>
      </c>
      <c r="E871" t="inlineStr">
        <is>
          <t>36</t>
        </is>
      </c>
      <c r="F871" t="inlineStr">
        <is>
          <t>10</t>
        </is>
      </c>
      <c r="G871" t="inlineStr">
        <is>
          <t>0</t>
        </is>
      </c>
      <c r="H871" t="inlineStr">
        <is>
          <t>72¹</t>
        </is>
      </c>
      <c r="I871" t="n">
        <v>1</v>
      </c>
      <c r="J871" t="inlineStr">
        <is>
          <t>4², 8², 24²</t>
        </is>
      </c>
      <c r="K871">
        <f>HYPERLINK("CSG1.html#group24B1", "24B¹"), =HYPERLINK("CSG1.html#group36A1", "36A¹")</f>
        <v/>
      </c>
      <c r="L871">
        <f>HYPERLINK("CSG8.html#group72H8", "72H⁸"), =HYPERLINK("CSG8.html#group72I8", "72I⁸"), =HYPERLINK("CSG9.html#group72G9", "72G⁹"), =HYPERLINK("CSG10.html#group72I10", "72I¹⁰"), =HYPERLINK("CSG11.html#group72E11", "72E¹¹"), =HYPERLINK("CSG11.html#group72F11", "72F¹¹"), =HYPERLINK("CSG12.html#group72B12", "72B¹²"), =HYPERLINK("CSG14.html#group72N14", "72N¹⁴"), =HYPERLINK("CSG14.html#group72O14", "72O¹⁴"), =HYPERLINK("CSG15.html#group72M15", "72M¹⁵"), =HYPERLINK("CSG18.html#group72B18", "72B¹⁸")</f>
        <v/>
      </c>
      <c r="M871">
        <f>HYPERLINK("CSG1.html#group36A1", "36A¹"), =HYPERLINK("CSG1.html#group24B1", "24B¹"), =HYPERLINK("CSG0.html#group12A0", "12A⁰"), =HYPERLINK("CSG0.html#group3A0", "3A⁰"), =HYPERLINK("CSG0.html#group1A0", "1A⁰"), =HYPERLINK("CSG0.html#group4A0", "4A⁰"), =HYPERLINK("CSG0.html#group9A0", "9A⁰")</f>
        <v/>
      </c>
      <c r="N871">
        <f>HYPERLINK("CSG20.html#group144H20", "144H²⁰"), =HYPERLINK("CSG8.html#group72H8", "72H⁸"), =HYPERLINK("CSG11.html#group72E11", "72E¹¹"), =HYPERLINK("CSG14.html#group72N14", "72N¹⁴"), =HYPERLINK("CSG10.html#group72I10", "72I¹⁰"), =HYPERLINK("CSG23.html#group72B23", "72B²³"), =HYPERLINK("CSG23.html#group72F23", "72F²³"), =HYPERLINK("CSG18.html#group72B18", "72B¹⁸"), =HYPERLINK("CSG22.html#group144I22", "144I²²"), =HYPERLINK("CSG22.html#group144J22", "144J²²"), =HYPERLINK("CSG21.html#group144M21", "144M²¹"), =HYPERLINK("CSG8.html#group72I8", "72I⁸"), =HYPERLINK("CSG21.html#group72Q21", "72Q²¹"), =HYPERLINK("CSG23.html#group72G23", "72G²³"), =HYPERLINK("CSG21.html#group144N21", "144N²¹"), =HYPERLINK("CSG21.html#group72P21", "72P²¹"), =HYPERLINK("CSG15.html#group72M15", "72M¹⁵"), =HYPERLINK("CSG14.html#group72O14", "72O¹⁴"), =HYPERLINK("CSG12.html#group72B12", "72B¹²"), =HYPERLINK("CSG9.html#group72G9", "72G⁹"), =HYPERLINK("CSG17.html#group72W17", "72W¹⁷"), =HYPERLINK("CSG20.html#group144G20", "144G²⁰"), =HYPERLINK("CSG11.html#group72F11", "72F¹¹")</f>
        <v/>
      </c>
    </row>
    <row r="872">
      <c r="A872" t="inlineStr">
        <is>
          <t>72C⁴</t>
        </is>
      </c>
      <c r="B872" t="inlineStr"/>
      <c r="C872" t="inlineStr">
        <is>
          <t>72</t>
        </is>
      </c>
      <c r="D872" t="inlineStr">
        <is>
          <t>2</t>
        </is>
      </c>
      <c r="E872" t="inlineStr">
        <is>
          <t>36</t>
        </is>
      </c>
      <c r="F872" t="inlineStr">
        <is>
          <t>10</t>
        </is>
      </c>
      <c r="G872" t="inlineStr">
        <is>
          <t>0</t>
        </is>
      </c>
      <c r="H872" t="inlineStr">
        <is>
          <t>72¹</t>
        </is>
      </c>
      <c r="I872" t="n">
        <v>1</v>
      </c>
      <c r="J872" t="inlineStr">
        <is>
          <t>8⁶, 24⁴</t>
        </is>
      </c>
      <c r="K872">
        <f>HYPERLINK("CSG1.html#group24B1", "24B¹"), =HYPERLINK("CSG1.html#group36A1", "36A¹")</f>
        <v/>
      </c>
      <c r="L872">
        <f>HYPERLINK("CSG8.html#group72H8", "72H⁸"), =HYPERLINK("CSG8.html#group72J8", "72J⁸"), =HYPERLINK("CSG9.html#group72F9", "72F⁹"), =HYPERLINK("CSG10.html#group72F10", "72F¹⁰"), =HYPERLINK("CSG11.html#group72G11", "72G¹¹"), =HYPERLINK("CSG11.html#group72E11", "72E¹¹"), =HYPERLINK("CSG12.html#group72C12", "72C¹²"), =HYPERLINK("CSG14.html#group72M14", "72M¹⁴"), =HYPERLINK("CSG14.html#group72N14", "72N¹⁴"), =HYPERLINK("CSG15.html#group72X15", "72X¹⁵"), =HYPERLINK("CSG18.html#group72C18", "72C¹⁸")</f>
        <v/>
      </c>
      <c r="M872">
        <f>HYPERLINK("CSG1.html#group36A1", "36A¹"), =HYPERLINK("CSG1.html#group24B1", "24B¹"), =HYPERLINK("CSG0.html#group12A0", "12A⁰"), =HYPERLINK("CSG0.html#group3A0", "3A⁰"), =HYPERLINK("CSG0.html#group1A0", "1A⁰"), =HYPERLINK("CSG0.html#group4A0", "4A⁰"), =HYPERLINK("CSG0.html#group9A0", "9A⁰")</f>
        <v/>
      </c>
      <c r="N872">
        <f>HYPERLINK("CSG8.html#group72J8", "72J⁸"), =HYPERLINK("CSG10.html#group72F10", "72F¹⁰"), =HYPERLINK("CSG15.html#group72X15", "72X¹⁵"), =HYPERLINK("CSG11.html#group72G11", "72G¹¹"), =HYPERLINK("CSG23.html#group72A23", "72A²³"), =HYPERLINK("CSG8.html#group72H8", "72H⁸"), =HYPERLINK("CSG9.html#group72F9", "72F⁹"), =HYPERLINK("CSG11.html#group72E11", "72E¹¹"), =HYPERLINK("CSG14.html#group72N14", "72N¹⁴"), =HYPERLINK("CSG18.html#group72C18", "72C¹⁸"), =HYPERLINK("CSG14.html#group72M14", "72M¹⁴"), =HYPERLINK("CSG23.html#group72F23", "72F²³"), =HYPERLINK("CSG20.html#group144C20", "144C²⁰"), =HYPERLINK("CSG23.html#group144T23", "144T²³"), =HYPERLINK("CSG23.html#group144Q23", "144Q²³"), =HYPERLINK("CSG23.html#group72H23", "72H²³"), =HYPERLINK("CSG23.html#group72G23", "72G²³"), =HYPERLINK("CSG20.html#group144E20", "144E²⁰"), =HYPERLINK("CSG21.html#group72P21", "72P²¹"), =HYPERLINK("CSG22.html#group144F22", "144F²²"), =HYPERLINK("CSG12.html#group72C12", "72C¹²"), =HYPERLINK("CSG17.html#group72W17", "72W¹⁷"), =HYPERLINK("CSG20.html#group144G20", "144G²⁰")</f>
        <v/>
      </c>
    </row>
    <row r="873">
      <c r="A873" t="inlineStr">
        <is>
          <t>72D⁴</t>
        </is>
      </c>
      <c r="B873" t="inlineStr"/>
      <c r="C873" t="inlineStr">
        <is>
          <t>72</t>
        </is>
      </c>
      <c r="D873" t="inlineStr">
        <is>
          <t>2</t>
        </is>
      </c>
      <c r="E873" t="inlineStr">
        <is>
          <t>36</t>
        </is>
      </c>
      <c r="F873" t="inlineStr">
        <is>
          <t>10</t>
        </is>
      </c>
      <c r="G873" t="inlineStr">
        <is>
          <t>0</t>
        </is>
      </c>
      <c r="H873" t="inlineStr">
        <is>
          <t>72¹</t>
        </is>
      </c>
      <c r="I873" t="n">
        <v>1</v>
      </c>
      <c r="J873" t="inlineStr">
        <is>
          <t>8⁶, 24⁴</t>
        </is>
      </c>
      <c r="K873">
        <f>HYPERLINK("CSG1.html#group24B1", "24B¹"), =HYPERLINK("CSG1.html#group36A1", "36A¹")</f>
        <v/>
      </c>
      <c r="L873">
        <f>HYPERLINK("CSG8.html#group72I8", "72I⁸"), =HYPERLINK("CSG8.html#group72K8", "72K⁸"), =HYPERLINK("CSG9.html#group72F9", "72F⁹"), =HYPERLINK("CSG10.html#group72E10", "72E¹⁰"), =HYPERLINK("CSG11.html#group72H11", "72H¹¹"), =HYPERLINK("CSG11.html#group72F11", "72F¹¹"), =HYPERLINK("CSG12.html#group72C12", "72C¹²"), =HYPERLINK("CSG14.html#group72M14", "72M¹⁴"), =HYPERLINK("CSG14.html#group72O14", "72O¹⁴"), =HYPERLINK("CSG15.html#group72X15", "72X¹⁵"), =HYPERLINK("CSG18.html#group72D18", "72D¹⁸")</f>
        <v/>
      </c>
      <c r="M873">
        <f>HYPERLINK("CSG1.html#group36A1", "36A¹"), =HYPERLINK("CSG1.html#group24B1", "24B¹"), =HYPERLINK("CSG0.html#group12A0", "12A⁰"), =HYPERLINK("CSG0.html#group3A0", "3A⁰"), =HYPERLINK("CSG0.html#group1A0", "1A⁰"), =HYPERLINK("CSG0.html#group4A0", "4A⁰"), =HYPERLINK("CSG0.html#group9A0", "9A⁰")</f>
        <v/>
      </c>
      <c r="N873">
        <f>HYPERLINK("CSG20.html#group144H20", "144H²⁰"), =HYPERLINK("CSG15.html#group72X15", "72X¹⁵"), =HYPERLINK("CSG23.html#group72A23", "72A²³"), =HYPERLINK("CSG9.html#group72F9", "72F⁹"), =HYPERLINK("CSG20.html#group144F20", "144F²⁰"), =HYPERLINK("CSG14.html#group72M14", "72M¹⁴"), =HYPERLINK("CSG10.html#group72E10", "72E¹⁰"), =HYPERLINK("CSG23.html#group72F23", "72F²³"), =HYPERLINK("CSG11.html#group72H11", "72H¹¹"), =HYPERLINK("CSG23.html#group144R23", "144R²³"), =HYPERLINK("CSG8.html#group72K8", "72K⁸"), =HYPERLINK("CSG8.html#group72I8", "72I⁸"), =HYPERLINK("CSG20.html#group144D20", "144D²⁰"), =HYPERLINK("CSG23.html#group72H23", "72H²³"), =HYPERLINK("CSG21.html#group72Q21", "72Q²¹"), =HYPERLINK("CSG18.html#group72D18", "72D¹⁸"), =HYPERLINK("CSG23.html#group72G23", "72G²³"), =HYPERLINK("CSG22.html#group144C22", "144C²²"), =HYPERLINK("CSG14.html#group72O14", "72O¹⁴"), =HYPERLINK("CSG23.html#group144S23", "144S²³"), =HYPERLINK("CSG12.html#group72C12", "72C¹²"), =HYPERLINK("CSG17.html#group72W17", "72W¹⁷"), =HYPERLINK("CSG11.html#group72F11", "72F¹¹")</f>
        <v/>
      </c>
    </row>
    <row r="874">
      <c r="A874" t="inlineStr">
        <is>
          <t>72E⁴</t>
        </is>
      </c>
      <c r="B874" t="inlineStr"/>
      <c r="C874" t="inlineStr">
        <is>
          <t>108</t>
        </is>
      </c>
      <c r="D874" t="inlineStr">
        <is>
          <t>1</t>
        </is>
      </c>
      <c r="E874" t="inlineStr">
        <is>
          <t>27</t>
        </is>
      </c>
      <c r="F874" t="inlineStr">
        <is>
          <t>20</t>
        </is>
      </c>
      <c r="G874" t="inlineStr">
        <is>
          <t>0</t>
        </is>
      </c>
      <c r="H874" t="inlineStr">
        <is>
          <t>36¹, 72¹</t>
        </is>
      </c>
      <c r="I874" t="n">
        <v>2</v>
      </c>
      <c r="J874" t="inlineStr">
        <is>
          <t>1³, 2³, 6³</t>
        </is>
      </c>
      <c r="K874">
        <f>HYPERLINK("CSG0.html#group24A0", "24A⁰"), =HYPERLINK("CSG2.html#group36B2", "36B²")</f>
        <v/>
      </c>
      <c r="L874">
        <f>HYPERLINK("CSG8.html#group144A8", "144A⁸"), =HYPERLINK("CSG9.html#group72H9", "72H⁹"), =HYPERLINK("CSG10.html#group144E10", "144E¹⁰"), =HYPERLINK("CSG11.html#group72N11", "72N¹¹"), =HYPERLINK("CSG12.html#group72F12", "72F¹²"), =HYPERLINK("CSG12.html#group72G12", "72G¹²"), =HYPERLINK("CSG12.html#group72J12", "72J¹²"), =HYPERLINK("CSG12.html#group72K12", "72K¹²"), =HYPERLINK("CSG12.html#group72N12", "72N¹²"), =HYPERLINK("CSG12.html#group72O12", "72O¹²"), =HYPERLINK("CSG12.html#group144B12", "144B¹²"), =HYPERLINK("CSG13.html#group72I13", "72I¹³"), =HYPERLINK("CSG13.html#group144A13", "144A¹³"), =HYPERLINK("CSG13.html#group144B13", "144B¹³"), =HYPERLINK("CSG13.html#group144C13", "144C¹³"), =HYPERLINK("CSG13.html#group144D13", "144D¹³"), =HYPERLINK("CSG13.html#group144E13", "144E¹³"), =HYPERLINK("CSG13.html#group144F13", "144F¹³"), =HYPERLINK("CSG14.html#group144A14", "144A¹⁴"), =HYPERLINK("CSG15.html#group72O15", "72O¹⁵"), =HYPERLINK("CSG16.html#group144F16", "144F¹⁶"), =HYPERLINK("CSG17.html#group72C17", "72C¹⁷"), =HYPERLINK("CSG18.html#group72E18", "72E¹⁸"), =HYPERLINK("CSG18.html#group144A18", "144A¹⁸")</f>
        <v/>
      </c>
      <c r="M874">
        <f>HYPERLINK("CSG0.html#group12C0", "12C⁰"), =HYPERLINK("CSG0.html#group24A0", "24A⁰"), =HYPERLINK("CSG0.html#group9A0", "9A⁰"), =HYPERLINK("CSG2.html#group36B2", "36B²"), =HYPERLINK("CSG0.html#group4C0", "4C⁰"), =HYPERLINK("CSG0.html#group8B0", "8B⁰"), =HYPERLINK("CSG0.html#group2B0", "2B⁰"), =HYPERLINK("CSG1.html#group18E1", "18E¹"), =HYPERLINK("CSG0.html#group3A0", "3A⁰"), =HYPERLINK("CSG0.html#group1A0", "1A⁰"), =HYPERLINK("CSG0.html#group6D0", "6D⁰")</f>
        <v/>
      </c>
      <c r="N874">
        <f>HYPERLINK("CSG18.html#group144A18", "144A¹⁸"), =HYPERLINK("CSG13.html#group144C13", "144C¹³"), =HYPERLINK("CSG12.html#group144B12", "144B¹²"), =HYPERLINK("CSG14.html#group144A14", "144A¹⁴"), =HYPERLINK("CSG12.html#group72K12", "72K¹²"), =HYPERLINK("CSG13.html#group144B13", "144B¹³"), =HYPERLINK("CSG23.html#group144Y23", "144Y²³"), =HYPERLINK("CSG13.html#group144A13", "144A¹³"), =HYPERLINK("CSG12.html#group72N12", "72N¹²"), =HYPERLINK("CSG16.html#group144F16", "144F¹⁶"), =HYPERLINK("CSG21.html#group72AA21", "72AA²¹"), =HYPERLINK("CSG9.html#group72H9", "72H⁹"), =HYPERLINK("CSG17.html#group72C17", "72C¹⁷"), =HYPERLINK("CSG13.html#group72I13", "72I¹³"), =HYPERLINK("CSG15.html#group72O15", "72O¹⁵"), =HYPERLINK("CSG23.html#group144X23", "144X²³"), =HYPERLINK("CSG12.html#group72F12", "72F¹²"), =HYPERLINK("CSG21.html#group288A21", "288A²¹"), =HYPERLINK("CSG12.html#group72O12", "72O¹²"), =HYPERLINK("CSG18.html#group72E18", "72E¹⁸"), =HYPERLINK("CSG10.html#group144E10", "144E¹⁰"), =HYPERLINK("CSG23.html#group144W23", "144W²³"), =HYPERLINK("CSG13.html#group144F13", "144F¹³"), =HYPERLINK("CSG13.html#group144E13", "144E¹³"), =HYPERLINK("CSG8.html#group144A8", "144A⁸"), =HYPERLINK("CSG23.html#group288A23", "288A²³"), =HYPERLINK("CSG13.html#group144D13", "144D¹³"), =HYPERLINK("CSG19.html#group144J19", "144J¹⁹"), =HYPERLINK("CSG12.html#group72G12", "72G¹²"), =HYPERLINK("CSG12.html#group72J12", "72J¹²"), =HYPERLINK("CSG11.html#group72N11", "72N¹¹")</f>
        <v/>
      </c>
    </row>
    <row r="875">
      <c r="A875" t="inlineStr">
        <is>
          <t>74A⁴</t>
        </is>
      </c>
      <c r="B875" t="inlineStr"/>
      <c r="C875" t="inlineStr">
        <is>
          <t>76</t>
        </is>
      </c>
      <c r="D875" t="inlineStr">
        <is>
          <t>1</t>
        </is>
      </c>
      <c r="E875" t="inlineStr">
        <is>
          <t>38</t>
        </is>
      </c>
      <c r="F875" t="inlineStr">
        <is>
          <t>4</t>
        </is>
      </c>
      <c r="G875" t="inlineStr">
        <is>
          <t>4</t>
        </is>
      </c>
      <c r="H875" t="inlineStr">
        <is>
          <t>2¹, 74¹</t>
        </is>
      </c>
      <c r="I875" t="n">
        <v>2</v>
      </c>
      <c r="J875" t="inlineStr">
        <is>
          <t>1², 36¹</t>
        </is>
      </c>
      <c r="K875">
        <f>HYPERLINK("CSG2.html#group37A2", "37A²")</f>
        <v/>
      </c>
      <c r="L875">
        <f>HYPERLINK("CSG9.html#group74A9", "74A⁹"), =HYPERLINK("CSG9.html#group148A9", "148A⁹"), =HYPERLINK("CSG10.html#group74A10", "74A¹⁰"), =HYPERLINK("CSG16.html#group74B16", "74B¹⁶"), =HYPERLINK("CSG16.html#group222A16", "222A¹⁶"), =HYPERLINK("CSG16.html#group222B16", "222B¹⁶"), =HYPERLINK("CSG21.html#group148A21", "148A²¹"), =HYPERLINK("CSG23.html#group222A23", "222A²³")</f>
        <v/>
      </c>
      <c r="M875">
        <f>HYPERLINK("CSG2.html#group37A2", "37A²"), =HYPERLINK("CSG0.html#group1A0", "1A⁰")</f>
        <v/>
      </c>
      <c r="N875">
        <f>HYPERLINK("CSG16.html#group222B16", "222B¹⁶"), =HYPERLINK("CSG23.html#group222A23", "222A²³"), =HYPERLINK("CSG9.html#group74A9", "74A⁹"), =HYPERLINK("CSG16.html#group222A16", "222A¹⁶"), =HYPERLINK("CSG9.html#group148A9", "148A⁹"), =HYPERLINK("CSG16.html#group74B16", "74B¹⁶"), =HYPERLINK("CSG10.html#group74A10", "74A¹⁰"), =HYPERLINK("CSG19.html#group148A19", "148A¹⁹"), =HYPERLINK("CSG21.html#group148A21", "148A²¹")</f>
        <v/>
      </c>
    </row>
    <row r="876">
      <c r="A876" t="inlineStr">
        <is>
          <t>75A⁴</t>
        </is>
      </c>
      <c r="B876" t="inlineStr"/>
      <c r="C876" t="inlineStr">
        <is>
          <t>90</t>
        </is>
      </c>
      <c r="D876" t="inlineStr">
        <is>
          <t>1</t>
        </is>
      </c>
      <c r="E876" t="inlineStr">
        <is>
          <t>30</t>
        </is>
      </c>
      <c r="F876" t="inlineStr">
        <is>
          <t>6</t>
        </is>
      </c>
      <c r="G876" t="inlineStr">
        <is>
          <t>0</t>
        </is>
      </c>
      <c r="H876" t="inlineStr">
        <is>
          <t>3⁵, 75¹</t>
        </is>
      </c>
      <c r="I876" t="n">
        <v>6</v>
      </c>
      <c r="J876" t="inlineStr">
        <is>
          <t>1², 4², 20¹</t>
        </is>
      </c>
      <c r="K876">
        <f>HYPERLINK("CSG0.html#group15B0", "15B⁰"), =HYPERLINK("CSG0.html#group25A0", "25A⁰")</f>
        <v/>
      </c>
      <c r="L876">
        <f>HYPERLINK("CSG8.html#group75A8", "75A⁸"), =HYPERLINK("CSG9.html#group75E9", "75E⁹"), =HYPERLINK("CSG10.html#group75A10", "75A¹⁰"), =HYPERLINK("CSG10.html#group150A10", "150A¹⁰"), =HYPERLINK("CSG11.html#group150A11", "150A¹¹"), =HYPERLINK("CSG12.html#group150E12", "150E¹²"), =HYPERLINK("CSG13.html#group150A13", "150A¹³"), =HYPERLINK("CSG16.html#group150A16", "150A¹⁶"), =HYPERLINK("CSG18.html#group225A18", "225A¹⁸"), =HYPERLINK("CSG24.html#group75C24", "75C²⁴")</f>
        <v/>
      </c>
      <c r="M876">
        <f>HYPERLINK("CSG0.html#group25A0", "25A⁰"), =HYPERLINK("CSG0.html#group5B0", "5B⁰"), =HYPERLINK("CSG0.html#group15B0", "15B⁰"), =HYPERLINK("CSG0.html#group3A0", "3A⁰"), =HYPERLINK("CSG0.html#group1A0", "1A⁰")</f>
        <v/>
      </c>
      <c r="N876">
        <f>HYPERLINK("CSG11.html#group150A11", "150A¹¹"), =HYPERLINK("CSG10.html#group150A10", "150A¹⁰"), =HYPERLINK("CSG10.html#group75A10", "75A¹⁰"), =HYPERLINK("CSG21.html#group150A21", "150A²¹"), =HYPERLINK("CSG17.html#group75E17", "75E¹⁷"), =HYPERLINK("CSG13.html#group150A13", "150A¹³"), =HYPERLINK("CSG19.html#group75C19", "75C¹⁹"), =HYPERLINK("CSG8.html#group75A8", "75A⁸"), =HYPERLINK("CSG12.html#group150E12", "150E¹²"), =HYPERLINK("CSG19.html#group75D19", "75D¹⁹"), =HYPERLINK("CSG16.html#group150A16", "150A¹⁶"), =HYPERLINK("CSG24.html#group75C24", "75C²⁴"), =HYPERLINK("CSG23.html#group150B23", "150B²³"), =HYPERLINK("CSG23.html#group150C23", "150C²³"), =HYPERLINK("CSG23.html#group150D23", "150D²³"), =HYPERLINK("CSG9.html#group75E9", "75E⁹"), =HYPERLINK("CSG18.html#group225A18", "225A¹⁸")</f>
        <v/>
      </c>
    </row>
    <row r="877">
      <c r="A877" t="inlineStr">
        <is>
          <t>76A⁴</t>
        </is>
      </c>
      <c r="B877" t="inlineStr"/>
      <c r="C877" t="inlineStr">
        <is>
          <t>80</t>
        </is>
      </c>
      <c r="D877" t="inlineStr">
        <is>
          <t>1</t>
        </is>
      </c>
      <c r="E877" t="inlineStr">
        <is>
          <t>20</t>
        </is>
      </c>
      <c r="F877" t="inlineStr">
        <is>
          <t>0</t>
        </is>
      </c>
      <c r="G877" t="inlineStr">
        <is>
          <t>8</t>
        </is>
      </c>
      <c r="H877" t="inlineStr">
        <is>
          <t>4¹, 76¹</t>
        </is>
      </c>
      <c r="I877" t="n">
        <v>2</v>
      </c>
      <c r="J877" t="inlineStr">
        <is>
          <t>1², 18¹</t>
        </is>
      </c>
      <c r="K877">
        <f>HYPERLINK("CSG2.html#group38A2", "38A²")</f>
        <v/>
      </c>
      <c r="L877">
        <f>HYPERLINK("CSG10.html#group76A10", "76A¹⁰"), =HYPERLINK("CSG16.html#group228A16", "228A¹⁶"), =HYPERLINK("CSG16.html#group228B16", "228B¹⁶"), =HYPERLINK("CSG18.html#group76A18", "76A¹⁸"), =HYPERLINK("CSG18.html#group76B18", "76B¹⁸"), =HYPERLINK("CSG20.html#group228A20", "228A²⁰"), =HYPERLINK("CSG20.html#group228D20", "228D²⁰"), =HYPERLINK("CSG21.html#group76A21", "76A²¹"), =HYPERLINK("CSG23.html#group228B23", "228B²³")</f>
        <v/>
      </c>
      <c r="M877">
        <f>HYPERLINK("CSG0.html#group2A0", "2A⁰"), =HYPERLINK("CSG0.html#group1A0", "1A⁰"), =HYPERLINK("CSG1.html#group19A1", "19A¹"), =HYPERLINK("CSG2.html#group38A2", "38A²")</f>
        <v/>
      </c>
      <c r="N877">
        <f>HYPERLINK("CSG21.html#group76A21", "76A²¹"), =HYPERLINK("CSG20.html#group228A20", "228A²⁰"), =HYPERLINK("CSG23.html#group228B23", "228B²³"), =HYPERLINK("CSG16.html#group228B16", "228B¹⁶"), =HYPERLINK("CSG16.html#group228A16", "228A¹⁶"), =HYPERLINK("CSG20.html#group228D20", "228D²⁰"), =HYPERLINK("CSG18.html#group76A18", "76A¹⁸"), =HYPERLINK("CSG10.html#group76A10", "76A¹⁰"), =HYPERLINK("CSG18.html#group76B18", "76B¹⁸")</f>
        <v/>
      </c>
    </row>
    <row r="878">
      <c r="A878" t="inlineStr">
        <is>
          <t>77A⁴</t>
        </is>
      </c>
      <c r="B878" t="inlineStr"/>
      <c r="C878" t="inlineStr">
        <is>
          <t>77</t>
        </is>
      </c>
      <c r="D878" t="inlineStr">
        <is>
          <t>2</t>
        </is>
      </c>
      <c r="E878" t="inlineStr">
        <is>
          <t>77</t>
        </is>
      </c>
      <c r="F878" t="inlineStr">
        <is>
          <t>9</t>
        </is>
      </c>
      <c r="G878" t="inlineStr">
        <is>
          <t>2</t>
        </is>
      </c>
      <c r="H878" t="inlineStr">
        <is>
          <t>77¹</t>
        </is>
      </c>
      <c r="I878" t="n">
        <v>1</v>
      </c>
      <c r="J878" t="inlineStr">
        <is>
          <t>4¹, 12², 20², 60⁴</t>
        </is>
      </c>
      <c r="K878">
        <f>HYPERLINK("CSG0.html#group7A0", "7A⁰"), =HYPERLINK("CSG0.html#group11A0", "11A⁰")</f>
        <v/>
      </c>
      <c r="L878">
        <f>HYPERLINK("CSG9.html#group154A9", "154A⁹"), =HYPERLINK("CSG10.html#group77A10", "77A¹⁰"), =HYPERLINK("CSG12.html#group154A12", "154A¹²"), =HYPERLINK("CSG13.html#group231A13", "231A¹³"), =HYPERLINK("CSG15.html#group77A15", "77A¹⁵"), =HYPERLINK("CSG17.html#group154A17", "154A¹⁷"), =HYPERLINK("CSG21.html#group77A21", "77A²¹"), =HYPERLINK("CSG21.html#group308A21", "308A²¹")</f>
        <v/>
      </c>
      <c r="M878">
        <f>HYPERLINK("CSG0.html#group11A0", "11A⁰"), =HYPERLINK("CSG0.html#group1A0", "1A⁰"), =HYPERLINK("CSG0.html#group7A0", "7A⁰")</f>
        <v/>
      </c>
      <c r="N878">
        <f>HYPERLINK("CSG10.html#group77A10", "77A¹⁰"), =HYPERLINK("CSG12.html#group154A12", "154A¹²"), =HYPERLINK("CSG17.html#group154A17", "154A¹⁷"), =HYPERLINK("CSG13.html#group231A13", "231A¹³"), =HYPERLINK("CSG15.html#group77A15", "77A¹⁵"), =HYPERLINK("CSG23.html#group154A23", "154A²³"), =HYPERLINK("CSG9.html#group154A9", "154A⁹"), =HYPERLINK("CSG21.html#group77A21", "77A²¹"), =HYPERLINK("CSG21.html#group308A21", "308A²¹")</f>
        <v/>
      </c>
    </row>
    <row r="879">
      <c r="A879" t="inlineStr">
        <is>
          <t>77B⁴</t>
        </is>
      </c>
      <c r="B879" t="inlineStr"/>
      <c r="C879" t="inlineStr">
        <is>
          <t>77</t>
        </is>
      </c>
      <c r="D879" t="inlineStr">
        <is>
          <t>2</t>
        </is>
      </c>
      <c r="E879" t="inlineStr">
        <is>
          <t>77</t>
        </is>
      </c>
      <c r="F879" t="inlineStr">
        <is>
          <t>9</t>
        </is>
      </c>
      <c r="G879" t="inlineStr">
        <is>
          <t>2</t>
        </is>
      </c>
      <c r="H879" t="inlineStr">
        <is>
          <t>77¹</t>
        </is>
      </c>
      <c r="I879" t="n">
        <v>1</v>
      </c>
      <c r="J879" t="inlineStr">
        <is>
          <t>4¹, 12², 20², 60⁴</t>
        </is>
      </c>
      <c r="K879">
        <f>HYPERLINK("CSG0.html#group7A0", "7A⁰"), =HYPERLINK("CSG0.html#group11A0", "11A⁰")</f>
        <v/>
      </c>
      <c r="L879">
        <f>HYPERLINK("CSG9.html#group154B9", "154B⁹"), =HYPERLINK("CSG10.html#group77B10", "77B¹⁰"), =HYPERLINK("CSG12.html#group154B12", "154B¹²"), =HYPERLINK("CSG13.html#group231B13", "231B¹³"), =HYPERLINK("CSG15.html#group77A15", "77A¹⁵"), =HYPERLINK("CSG17.html#group154B17", "154B¹⁷"), =HYPERLINK("CSG21.html#group77A21", "77A²¹"), =HYPERLINK("CSG21.html#group308B21", "308B²¹")</f>
        <v/>
      </c>
      <c r="M879">
        <f>HYPERLINK("CSG0.html#group11A0", "11A⁰"), =HYPERLINK("CSG0.html#group1A0", "1A⁰"), =HYPERLINK("CSG0.html#group7A0", "7A⁰")</f>
        <v/>
      </c>
      <c r="N879">
        <f>HYPERLINK("CSG17.html#group154B17", "154B¹⁷"), =HYPERLINK("CSG10.html#group77B10", "77B¹⁰"), =HYPERLINK("CSG23.html#group154B23", "154B²³"), =HYPERLINK("CSG15.html#group77A15", "77A¹⁵"), =HYPERLINK("CSG21.html#group308B21", "308B²¹"), =HYPERLINK("CSG9.html#group154B9", "154B⁹"), =HYPERLINK("CSG13.html#group231B13", "231B¹³"), =HYPERLINK("CSG21.html#group77A21", "77A²¹"), =HYPERLINK("CSG12.html#group154B12", "154B¹²")</f>
        <v/>
      </c>
    </row>
    <row r="880">
      <c r="A880" t="inlineStr">
        <is>
          <t>78A⁴</t>
        </is>
      </c>
      <c r="B880" t="inlineStr"/>
      <c r="C880" t="inlineStr">
        <is>
          <t>84</t>
        </is>
      </c>
      <c r="D880" t="inlineStr">
        <is>
          <t>1</t>
        </is>
      </c>
      <c r="E880" t="inlineStr">
        <is>
          <t>14</t>
        </is>
      </c>
      <c r="F880" t="inlineStr">
        <is>
          <t>12</t>
        </is>
      </c>
      <c r="G880" t="inlineStr">
        <is>
          <t>0</t>
        </is>
      </c>
      <c r="H880" t="inlineStr">
        <is>
          <t>6¹, 78¹</t>
        </is>
      </c>
      <c r="I880" t="n">
        <v>2</v>
      </c>
      <c r="J880" t="inlineStr">
        <is>
          <t>1², 12¹</t>
        </is>
      </c>
      <c r="K880">
        <f>HYPERLINK("CSG0.html#group26A0", "26A⁰"), =HYPERLINK("CSG2.html#group39A2", "39A²")</f>
        <v/>
      </c>
      <c r="L880">
        <f>HYPERLINK("CSG9.html#group78B9", "78B⁹"), =HYPERLINK("CSG10.html#group78A10", "78A¹⁰"), =HYPERLINK("CSG11.html#group78B11", "78B¹¹"), =HYPERLINK("CSG11.html#group156B11", "156B¹¹"), =HYPERLINK("CSG11.html#group156C11", "156C¹¹"), =HYPERLINK("CSG13.html#group78A13", "78A¹³"), =HYPERLINK("CSG16.html#group78B16", "78B¹⁶"), =HYPERLINK("CSG16.html#group234A16", "234A¹⁶"), =HYPERLINK("CSG21.html#group156A21", "156A²¹")</f>
        <v/>
      </c>
      <c r="M880">
        <f>HYPERLINK("CSG0.html#group13A0", "13A⁰"), =HYPERLINK("CSG2.html#group39A2", "39A²"), =HYPERLINK("CSG0.html#group26A0", "26A⁰"), =HYPERLINK("CSG0.html#group3A0", "3A⁰"), =HYPERLINK("CSG0.html#group1A0", "1A⁰")</f>
        <v/>
      </c>
      <c r="N880">
        <f>HYPERLINK("CSG16.html#group78B16", "78B¹⁶"), =HYPERLINK("CSG13.html#group78A13", "78A¹³"), =HYPERLINK("CSG21.html#group156A21", "156A²¹"), =HYPERLINK("CSG23.html#group156B23", "156B²³"), =HYPERLINK("CSG23.html#group156H23", "156H²³"), =HYPERLINK("CSG21.html#group78A21", "78A²¹"), =HYPERLINK("CSG9.html#group78B9", "78B⁹"), =HYPERLINK("CSG11.html#group78B11", "78B¹¹"), =HYPERLINK("CSG16.html#group234A16", "234A¹⁶"), =HYPERLINK("CSG11.html#group156B11", "156B¹¹"), =HYPERLINK("CSG23.html#group156A23", "156A²³"), =HYPERLINK("CSG10.html#group78A10", "78A¹⁰"), =HYPERLINK("CSG11.html#group156C11", "156C¹¹")</f>
        <v/>
      </c>
    </row>
    <row r="881">
      <c r="A881" t="inlineStr">
        <is>
          <t>80A⁴</t>
        </is>
      </c>
      <c r="B881" t="inlineStr"/>
      <c r="C881" t="inlineStr">
        <is>
          <t>80</t>
        </is>
      </c>
      <c r="D881" t="inlineStr">
        <is>
          <t>2</t>
        </is>
      </c>
      <c r="E881" t="inlineStr">
        <is>
          <t>40</t>
        </is>
      </c>
      <c r="F881" t="inlineStr">
        <is>
          <t>2</t>
        </is>
      </c>
      <c r="G881" t="inlineStr">
        <is>
          <t>8</t>
        </is>
      </c>
      <c r="H881" t="inlineStr">
        <is>
          <t>80¹</t>
        </is>
      </c>
      <c r="I881" t="n">
        <v>1</v>
      </c>
      <c r="J881" t="inlineStr">
        <is>
          <t>8², 32²</t>
        </is>
      </c>
      <c r="K881">
        <f>HYPERLINK("CSG0.html#group16A0", "16A⁰"), =HYPERLINK("CSG2.html#group40A2", "40A²")</f>
        <v/>
      </c>
      <c r="L881">
        <f>HYPERLINK("CSG8.html#group80E8", "80E⁸"), =HYPERLINK("CSG15.html#group240A15", "240A¹⁵"), =HYPERLINK("CSG15.html#group240B15", "240B¹⁵"), =HYPERLINK("CSG18.html#group80D18", "80D¹⁸"), =HYPERLINK("CSG19.html#group80K19", "80K¹⁹"), =HYPERLINK("CSG19.html#group240A19", "240A¹⁹"), =HYPERLINK("CSG22.html#group80A22", "80A²²"), =HYPERLINK("CSG23.html#group80E23", "80E²³"), =HYPERLINK("CSG24.html#group240A24", "240A²⁴")</f>
        <v/>
      </c>
      <c r="M881">
        <f>HYPERLINK("CSG0.html#group8A0", "8A⁰"), =HYPERLINK("CSG1.html#group20A1", "20A¹"), =HYPERLINK("CSG0.html#group5A0", "5A⁰"), =HYPERLINK("CSG0.html#group1A0", "1A⁰"), =HYPERLINK("CSG0.html#group16A0", "16A⁰"), =HYPERLINK("CSG2.html#group40A2", "40A²"), =HYPERLINK("CSG0.html#group4A0", "4A⁰")</f>
        <v/>
      </c>
      <c r="N881">
        <f>HYPERLINK("CSG15.html#group240B15", "240B¹⁵"), =HYPERLINK("CSG18.html#group80D18", "80D¹⁸"), =HYPERLINK("CSG15.html#group240A15", "240A¹⁵"), =HYPERLINK("CSG8.html#group80E8", "80E⁸"), =HYPERLINK("CSG19.html#group240A19", "240A¹⁹"), =HYPERLINK("CSG19.html#group80K19", "80K¹⁹"), =HYPERLINK("CSG23.html#group80E23", "80E²³"), =HYPERLINK("CSG24.html#group240A24", "240A²⁴"), =HYPERLINK("CSG22.html#group80A22", "80A²²")</f>
        <v/>
      </c>
    </row>
    <row r="882">
      <c r="A882" t="inlineStr">
        <is>
          <t>81A⁴</t>
        </is>
      </c>
      <c r="B882" t="inlineStr">
        <is>
          <t>Γ₀(81)</t>
        </is>
      </c>
      <c r="C882" t="inlineStr">
        <is>
          <t>108</t>
        </is>
      </c>
      <c r="D882" t="inlineStr">
        <is>
          <t>1</t>
        </is>
      </c>
      <c r="E882" t="inlineStr">
        <is>
          <t>36</t>
        </is>
      </c>
      <c r="F882" t="inlineStr">
        <is>
          <t>0</t>
        </is>
      </c>
      <c r="G882" t="inlineStr">
        <is>
          <t>0</t>
        </is>
      </c>
      <c r="H882" t="inlineStr">
        <is>
          <t>1⁹, 9², 81¹</t>
        </is>
      </c>
      <c r="I882" t="n">
        <v>12</v>
      </c>
      <c r="J882" t="inlineStr">
        <is>
          <t>1², 2², 6², 18¹</t>
        </is>
      </c>
      <c r="K882">
        <f>HYPERLINK("CSG1.html#group27A1", "27A¹")</f>
        <v/>
      </c>
      <c r="L882">
        <f>HYPERLINK("CSG10.html#group81A10", "81A¹⁰"), =HYPERLINK("CSG13.html#group162A13", "162A¹³"), =HYPERLINK("CSG16.html#group162E16", "162E¹⁶"), =HYPERLINK("CSG16.html#group243A16", "243A¹⁶"), =HYPERLINK("CSG19.html#group81C19", "81C¹⁹"), =HYPERLINK("CSG19.html#group81E19", "81E¹⁹"), =HYPERLINK("CSG19.html#group243A19", "243A¹⁹"), =HYPERLINK("CSG22.html#group243A22", "243A²²")</f>
        <v/>
      </c>
      <c r="M882">
        <f>HYPERLINK("CSG0.html#group3B0", "3B⁰"), =HYPERLINK("CSG0.html#group1A0", "1A⁰"), =HYPERLINK("CSG0.html#group9B0", "9B⁰"), =HYPERLINK("CSG1.html#group27A1", "27A¹")</f>
        <v/>
      </c>
      <c r="N882">
        <f>HYPERLINK("CSG19.html#group243A19", "243A¹⁹"), =HYPERLINK("CSG19.html#group81C19", "81C¹⁹"), =HYPERLINK("CSG10.html#group81A10", "81A¹⁰"), =HYPERLINK("CSG16.html#group162E16", "162E¹⁶"), =HYPERLINK("CSG22.html#group243A22", "243A²²"), =HYPERLINK("CSG16.html#group243A16", "243A¹⁶"), =HYPERLINK("CSG13.html#group162A13", "162A¹³"), =HYPERLINK("CSG19.html#group81E19", "81E¹⁹")</f>
        <v/>
      </c>
    </row>
    <row r="883">
      <c r="A883" t="inlineStr">
        <is>
          <t>84A⁴</t>
        </is>
      </c>
      <c r="B883" t="inlineStr"/>
      <c r="C883" t="inlineStr">
        <is>
          <t>96</t>
        </is>
      </c>
      <c r="D883" t="inlineStr">
        <is>
          <t>1</t>
        </is>
      </c>
      <c r="E883" t="inlineStr">
        <is>
          <t>16</t>
        </is>
      </c>
      <c r="F883" t="inlineStr">
        <is>
          <t>0</t>
        </is>
      </c>
      <c r="G883" t="inlineStr">
        <is>
          <t>12</t>
        </is>
      </c>
      <c r="H883" t="inlineStr">
        <is>
          <t>12¹, 84¹</t>
        </is>
      </c>
      <c r="I883" t="n">
        <v>2</v>
      </c>
      <c r="J883" t="inlineStr">
        <is>
          <t>2², 12¹</t>
        </is>
      </c>
      <c r="K883">
        <f>HYPERLINK("CSG0.html#group28A0", "28A⁰"), =HYPERLINK("CSG2.html#group42B2", "42B²")</f>
        <v/>
      </c>
      <c r="L883">
        <f>HYPERLINK("CSG16.html#group84K16", "84K¹⁶"), =HYPERLINK("CSG22.html#group84A22", "84A²²"), =HYPERLINK("CSG22.html#group84C22", "84C²²")</f>
        <v/>
      </c>
      <c r="M883">
        <f>HYPERLINK("CSG2.html#group42B2", "42B²"), =HYPERLINK("CSG0.html#group2A0", "2A⁰"), =HYPERLINK("CSG0.html#group14B0", "14B⁰"), =HYPERLINK("CSG0.html#group28A0", "28A⁰"), =HYPERLINK("CSG0.html#group1A0", "1A⁰"), =HYPERLINK("CSG0.html#group7B0", "7B⁰"), =HYPERLINK("CSG0.html#group6A0", "6A⁰")</f>
        <v/>
      </c>
      <c r="N883">
        <f>HYPERLINK("CSG22.html#group84A22", "84A²²"), =HYPERLINK("CSG16.html#group84K16", "84K¹⁶"), =HYPERLINK("CSG22.html#group84C22", "84C²²")</f>
        <v/>
      </c>
    </row>
    <row r="884">
      <c r="A884" t="inlineStr">
        <is>
          <t>84B⁴</t>
        </is>
      </c>
      <c r="B884" t="inlineStr"/>
      <c r="C884" t="inlineStr">
        <is>
          <t>96</t>
        </is>
      </c>
      <c r="D884" t="inlineStr">
        <is>
          <t>2</t>
        </is>
      </c>
      <c r="E884" t="inlineStr">
        <is>
          <t>8</t>
        </is>
      </c>
      <c r="F884" t="inlineStr">
        <is>
          <t>0</t>
        </is>
      </c>
      <c r="G884" t="inlineStr">
        <is>
          <t>12</t>
        </is>
      </c>
      <c r="H884" t="inlineStr">
        <is>
          <t>12¹, 84¹</t>
        </is>
      </c>
      <c r="I884" t="n">
        <v>2</v>
      </c>
      <c r="J884" t="inlineStr">
        <is>
          <t>2², 12¹</t>
        </is>
      </c>
      <c r="K884">
        <f>HYPERLINK("CSG0.html#group28A0", "28A⁰"), =HYPERLINK("CSG2.html#group42C2", "42C²")</f>
        <v/>
      </c>
      <c r="L884">
        <f>HYPERLINK("CSG16.html#group84K16", "84K¹⁶"), =HYPERLINK("CSG22.html#group84B22", "84B²²"), =HYPERLINK("CSG22.html#group84K22", "84K²²")</f>
        <v/>
      </c>
      <c r="M884">
        <f>HYPERLINK("CSG2.html#group42C2", "42C²"), =HYPERLINK("CSG0.html#group2A0", "2A⁰"), =HYPERLINK("CSG0.html#group28A0", "28A⁰"), =HYPERLINK("CSG0.html#group1A0", "1A⁰"), =HYPERLINK("CSG0.html#group7B0", "7B⁰"), =HYPERLINK("CSG1.html#group21A1", "21A¹"), =HYPERLINK("CSG0.html#group14B0", "14B⁰")</f>
        <v/>
      </c>
      <c r="N884">
        <f>HYPERLINK("CSG16.html#group84K16", "84K¹⁶"), =HYPERLINK("CSG22.html#group84K22", "84K²²"), =HYPERLINK("CSG22.html#group84B22", "84B²²")</f>
        <v/>
      </c>
    </row>
    <row r="885">
      <c r="A885" t="inlineStr">
        <is>
          <t>90A⁴</t>
        </is>
      </c>
      <c r="B885" t="inlineStr"/>
      <c r="C885" t="inlineStr">
        <is>
          <t>108</t>
        </is>
      </c>
      <c r="D885" t="inlineStr">
        <is>
          <t>1</t>
        </is>
      </c>
      <c r="E885" t="inlineStr">
        <is>
          <t>54</t>
        </is>
      </c>
      <c r="F885" t="inlineStr">
        <is>
          <t>20</t>
        </is>
      </c>
      <c r="G885" t="inlineStr">
        <is>
          <t>0</t>
        </is>
      </c>
      <c r="H885" t="inlineStr">
        <is>
          <t>18¹, 90¹</t>
        </is>
      </c>
      <c r="I885" t="n">
        <v>2</v>
      </c>
      <c r="J885" t="inlineStr">
        <is>
          <t>1², 2², 4¹, 6², 8¹, 24¹</t>
        </is>
      </c>
      <c r="K885">
        <f>HYPERLINK("CSG0.html#group30A0", "30A⁰"), =HYPERLINK("CSG2.html#group45A2", "45A²")</f>
        <v/>
      </c>
      <c r="L885">
        <f>HYPERLINK("CSG9.html#group90G9", "90G⁹"), =HYPERLINK("CSG11.html#group90I11", "90I¹¹"), =HYPERLINK("CSG13.html#group90E13", "90E¹³"), =HYPERLINK("CSG13.html#group180C13", "180C¹³"), =HYPERLINK("CSG13.html#group180D13", "180D¹³"), =HYPERLINK("CSG13.html#group180E13", "180E¹³"), =HYPERLINK("CSG13.html#group180F13", "180F¹³"), =HYPERLINK("CSG15.html#group90K15", "90K¹⁵"), =HYPERLINK("CSG17.html#group90D17", "90D¹⁷"), =HYPERLINK("CSG18.html#group90D18", "90D¹⁸"), =HYPERLINK("CSG20.html#group90F20", "90F²⁰")</f>
        <v/>
      </c>
      <c r="M885">
        <f>HYPERLINK("CSG0.html#group30A0", "30A⁰"), =HYPERLINK("CSG2.html#group45A2", "45A²"), =HYPERLINK("CSG0.html#group15B0", "15B⁰"), =HYPERLINK("CSG0.html#group9A0", "9A⁰"), =HYPERLINK("CSG0.html#group5B0", "5B⁰"), =HYPERLINK("CSG0.html#group3A0", "3A⁰"), =HYPERLINK("CSG0.html#group1A0", "1A⁰"), =HYPERLINK("CSG0.html#group10B0", "10B⁰")</f>
        <v/>
      </c>
      <c r="N885">
        <f>HYPERLINK("CSG13.html#group90E13", "90E¹³"), =HYPERLINK("CSG13.html#group180F13", "180F¹³"), =HYPERLINK("CSG9.html#group90G9", "90G⁹"), =HYPERLINK("CSG13.html#group180E13", "180E¹³"), =HYPERLINK("CSG15.html#group90K15", "90K¹⁵"), =HYPERLINK("CSG21.html#group90N21", "90N²¹"), =HYPERLINK("CSG20.html#group90F20", "90F²⁰"), =HYPERLINK("CSG11.html#group90I11", "90I¹¹"), =HYPERLINK("CSG18.html#group90D18", "90D¹⁸"), =HYPERLINK("CSG13.html#group180D13", "180D¹³"), =HYPERLINK("CSG13.html#group180C13", "180C¹³"), =HYPERLINK("CSG17.html#group90D17", "90D¹⁷")</f>
        <v/>
      </c>
    </row>
    <row r="886">
      <c r="A886" t="inlineStr">
        <is>
          <t>108A⁴</t>
        </is>
      </c>
      <c r="B886" t="inlineStr"/>
      <c r="C886" t="inlineStr">
        <is>
          <t>144</t>
        </is>
      </c>
      <c r="D886" t="inlineStr">
        <is>
          <t>1</t>
        </is>
      </c>
      <c r="E886" t="inlineStr">
        <is>
          <t>12</t>
        </is>
      </c>
      <c r="F886" t="inlineStr">
        <is>
          <t>0</t>
        </is>
      </c>
      <c r="G886" t="inlineStr">
        <is>
          <t>24</t>
        </is>
      </c>
      <c r="H886" t="inlineStr">
        <is>
          <t>36¹, 108¹</t>
        </is>
      </c>
      <c r="I886" t="n">
        <v>2</v>
      </c>
      <c r="J886" t="inlineStr">
        <is>
          <t>1², 2², 6¹</t>
        </is>
      </c>
      <c r="K886">
        <f>HYPERLINK("CSG0.html#group36A0", "36A⁰"), =HYPERLINK("CSG2.html#group54A2", "54A²")</f>
        <v/>
      </c>
      <c r="L886">
        <f>HYPERLINK("CSG22.html#group108B22", "108B²²"), =HYPERLINK("CSG22.html#group108C22", "108C²²"), =HYPERLINK("CSG22.html#group108D22", "108D²²")</f>
        <v/>
      </c>
      <c r="M886">
        <f>HYPERLINK("CSG0.html#group3B0", "3B⁰"), =HYPERLINK("CSG0.html#group2A0", "2A⁰"), =HYPERLINK("CSG0.html#group18B0", "18B⁰"), =HYPERLINK("CSG0.html#group6C0", "6C⁰"), =HYPERLINK("CSG1.html#group27B1", "27B¹"), =HYPERLINK("CSG2.html#group54A2", "54A²"), =HYPERLINK("CSG0.html#group9C0", "9C⁰"), =HYPERLINK("CSG0.html#group1A0", "1A⁰"), =HYPERLINK("CSG0.html#group36A0", "36A⁰"), =HYPERLINK("CSG0.html#group12B0", "12B⁰")</f>
        <v/>
      </c>
      <c r="N886">
        <f>HYPERLINK("CSG22.html#group108D22", "108D²²"), =HYPERLINK("CSG22.html#group108B22", "108B²²"), =HYPERLINK("CSG22.html#group108C22", "108C²²")</f>
        <v/>
      </c>
    </row>
    <row r="887">
      <c r="A887" t="inlineStr">
        <is>
          <t>8A⁵</t>
        </is>
      </c>
      <c r="B887" t="inlineStr">
        <is>
          <t>Γ(8)</t>
        </is>
      </c>
      <c r="C887" t="inlineStr">
        <is>
          <t>192</t>
        </is>
      </c>
      <c r="D887" t="inlineStr">
        <is>
          <t>1</t>
        </is>
      </c>
      <c r="E887" t="inlineStr">
        <is>
          <t>1</t>
        </is>
      </c>
      <c r="F887" t="inlineStr">
        <is>
          <t>0</t>
        </is>
      </c>
      <c r="G887" t="inlineStr">
        <is>
          <t>0</t>
        </is>
      </c>
      <c r="H887" t="inlineStr">
        <is>
          <t>8²⁴</t>
        </is>
      </c>
      <c r="I887" t="n">
        <v>24</v>
      </c>
      <c r="J887" t="inlineStr">
        <is>
          <t>1¹</t>
        </is>
      </c>
      <c r="K887">
        <f>HYPERLINK("CSG1.html#group8J1", "8J¹"), =HYPERLINK("CSG1.html#group8K1", "8K¹"), =HYPERLINK("CSG2.html#group8C2", "8C²"), =HYPERLINK("CSG3.html#group8A3", "8A³"), =HYPERLINK("CSG3.html#group8B3", "8B³")</f>
        <v/>
      </c>
      <c r="L887">
        <f>HYPERLINK("CSG13.html#group16B13", "16B¹³"), =HYPERLINK("CSG17.html#group16A17", "16A¹⁷"), =HYPERLINK("CSG21.html#group16B21", "16B²¹")</f>
        <v/>
      </c>
      <c r="M887">
        <f>HYPERLINK("CSG0.html#group2A0", "2A⁰"), =HYPERLINK("CSG3.html#group8B3", "8B³"), =HYPERLINK("CSG0.html#group4C0", "4C⁰"), =HYPERLINK("CSG2.html#group8C2", "8C²"), =HYPERLINK("CSG0.html#group8A0", "8A⁰"), =HYPERLINK("CSG0.html#group4G0", "4G⁰"), =HYPERLINK("CSG0.html#group2B0", "2B⁰"), =HYPERLINK("CSG0.html#group4E0", "4E⁰"), =HYPERLINK("CSG0.html#group8C0", "8C⁰"), =HYPERLINK("CSG1.html#group8E1", "8E¹"), =HYPERLINK("CSG0.html#group4B0", "4B⁰"), =HYPERLINK("CSG1.html#group8J1", "8J¹"), =HYPERLINK("CSG1.html#group8F1", "8F¹"), =HYPERLINK("CSG0.html#group1A0", "1A⁰"), =HYPERLINK("CSG1.html#group8H1", "8H¹"), =HYPERLINK("CSG0.html#group8K0", "8K⁰"), =HYPERLINK("CSG0.html#group8G0", "8G⁰"), =HYPERLINK("CSG0.html#group4D0", "4D⁰"), =HYPERLINK("CSG1.html#group8G1", "8G¹"), =HYPERLINK("CSG0.html#group8P0", "8P⁰"), =HYPERLINK("CSG0.html#group8M0", "8M⁰"), =HYPERLINK("CSG0.html#group8N0", "8N⁰"), =HYPERLINK("CSG1.html#group8A1", "8A¹"), =HYPERLINK("CSG3.html#group8A3", "8A³"), =HYPERLINK("CSG1.html#group8K1", "8K¹"), =HYPERLINK("CSG0.html#group8D0", "8D⁰"), =HYPERLINK("CSG2.html#group8B2", "8B²"), =HYPERLINK("CSG0.html#group8B0", "8B⁰"), =HYPERLINK("CSG0.html#group8E0", "8E⁰"), =HYPERLINK("CSG1.html#group8B1", "8B¹"), =HYPERLINK("CSG0.html#group8I0", "8I⁰"), =HYPERLINK("CSG1.html#group8D1", "8D¹"), =HYPERLINK("CSG0.html#group8H0", "8H⁰"), =HYPERLINK("CSG2.html#group8A2", "8A²"), =HYPERLINK("CSG0.html#group8F0", "8F⁰"), =HYPERLINK("CSG1.html#group8C1", "8C¹"), =HYPERLINK("CSG0.html#group4A0", "4A⁰"), =HYPERLINK("CSG1.html#group8I1", "8I¹"), =HYPERLINK("CSG0.html#group8L0", "8L⁰"), =HYPERLINK("CSG0.html#group4F0", "4F⁰"), =HYPERLINK("CSG0.html#group8J0", "8J⁰"), =HYPERLINK("CSG0.html#group2C0", "2C⁰"), =HYPERLINK("CSG0.html#group8O0", "8O⁰")</f>
        <v/>
      </c>
      <c r="N887">
        <f>HYPERLINK("CSG13.html#group16B13", "16B¹³"), =HYPERLINK("CSG21.html#group16B21", "16B²¹"), =HYPERLINK("CSG17.html#group16A17", "16A¹⁷")</f>
        <v/>
      </c>
    </row>
    <row r="888">
      <c r="A888" t="inlineStr">
        <is>
          <t>10A⁵</t>
        </is>
      </c>
      <c r="B888" t="inlineStr"/>
      <c r="C888" t="inlineStr">
        <is>
          <t>120</t>
        </is>
      </c>
      <c r="D888" t="inlineStr">
        <is>
          <t>1</t>
        </is>
      </c>
      <c r="E888" t="inlineStr">
        <is>
          <t>1</t>
        </is>
      </c>
      <c r="F888" t="inlineStr">
        <is>
          <t>0</t>
        </is>
      </c>
      <c r="G888" t="inlineStr">
        <is>
          <t>0</t>
        </is>
      </c>
      <c r="H888" t="inlineStr">
        <is>
          <t>10¹²</t>
        </is>
      </c>
      <c r="I888" t="n">
        <v>12</v>
      </c>
      <c r="J888" t="inlineStr">
        <is>
          <t>1¹</t>
        </is>
      </c>
      <c r="K888">
        <f>HYPERLINK("CSG0.html#group5H0", "5H⁰"), =HYPERLINK("CSG1.html#group10D1", "10D¹"), =HYPERLINK("CSG1.html#group10H1", "10H¹"), =HYPERLINK("CSG2.html#group10C2", "10C²"), =HYPERLINK("CSG3.html#group10B3", "10B³")</f>
        <v/>
      </c>
      <c r="L888">
        <f>HYPERLINK("CSG13.html#group10A13", "10A¹³"), =HYPERLINK("CSG15.html#group20A15", "20A¹⁵")</f>
        <v/>
      </c>
      <c r="M888">
        <f>HYPERLINK("CSG1.html#group10H1", "10H¹"), =HYPERLINK("CSG0.html#group2A0", "2A⁰"), =HYPERLINK("CSG0.html#group5A0", "5A⁰"), =HYPERLINK("CSG2.html#group10A2", "10A²"), =HYPERLINK("CSG0.html#group10D0", "10D⁰"), =HYPERLINK("CSG0.html#group5B0", "5B⁰"), =HYPERLINK("CSG0.html#group5F0", "5F⁰"), =HYPERLINK("CSG1.html#group10A1", "10A¹"), =HYPERLINK("CSG0.html#group5D0", "5D⁰"), =HYPERLINK("CSG1.html#group10D1", "10D¹"), =HYPERLINK("CSG0.html#group1A0", "1A⁰"), =HYPERLINK("CSG0.html#group5H0", "5H⁰"), =HYPERLINK("CSG1.html#group10E1", "10E¹"), =HYPERLINK("CSG0.html#group10B0", "10B⁰"), =HYPERLINK("CSG0.html#group10A0", "10A⁰"), =HYPERLINK("CSG3.html#group10B3", "10B³"), =HYPERLINK("CSG2.html#group10C2", "10C²"), =HYPERLINK("CSG0.html#group5E0", "5E⁰"), =HYPERLINK("CSG1.html#group10C1", "10C¹"), =HYPERLINK("CSG0.html#group5C0", "5C⁰"), =HYPERLINK("CSG0.html#group5G0", "5G⁰")</f>
        <v/>
      </c>
      <c r="N888">
        <f>HYPERLINK("CSG13.html#group10A13", "10A¹³"), =HYPERLINK("CSG15.html#group20A15", "20A¹⁵")</f>
        <v/>
      </c>
    </row>
    <row r="889">
      <c r="A889" t="inlineStr">
        <is>
          <t>10B⁵</t>
        </is>
      </c>
      <c r="B889" t="inlineStr"/>
      <c r="C889" t="inlineStr">
        <is>
          <t>120</t>
        </is>
      </c>
      <c r="D889" t="inlineStr">
        <is>
          <t>1</t>
        </is>
      </c>
      <c r="E889" t="inlineStr">
        <is>
          <t>10</t>
        </is>
      </c>
      <c r="F889" t="inlineStr">
        <is>
          <t>0</t>
        </is>
      </c>
      <c r="G889" t="inlineStr">
        <is>
          <t>0</t>
        </is>
      </c>
      <c r="H889" t="inlineStr">
        <is>
          <t>10¹²</t>
        </is>
      </c>
      <c r="I889" t="n">
        <v>12</v>
      </c>
      <c r="J889" t="inlineStr">
        <is>
          <t>2¹, 4²</t>
        </is>
      </c>
      <c r="K889">
        <f>HYPERLINK("CSG1.html#group10H1", "10H¹"), =HYPERLINK("CSG2.html#group10B2", "10B²"), =HYPERLINK("CSG2.html#group10D2", "10D²"), =HYPERLINK("CSG2.html#group10E2", "10E²"), =HYPERLINK("CSG3.html#group10A3", "10A³")</f>
        <v/>
      </c>
      <c r="L889">
        <f>HYPERLINK("CSG11.html#group20B11", "20B¹¹"), =HYPERLINK("CSG13.html#group10A13", "10A¹³"), =HYPERLINK("CSG13.html#group20A13", "20A¹³"), =HYPERLINK("CSG15.html#group20C15", "20C¹⁵")</f>
        <v/>
      </c>
      <c r="M889">
        <f>HYPERLINK("CSG1.html#group10H1", "10H¹"), =HYPERLINK("CSG0.html#group2A0", "2A⁰"), =HYPERLINK("CSG0.html#group5A0", "5A⁰"), =HYPERLINK("CSG0.html#group10D0", "10D⁰"), =HYPERLINK("CSG1.html#group10B1", "10B¹"), =HYPERLINK("CSG0.html#group5F0", "5F⁰"), =HYPERLINK("CSG3.html#group10A3", "10A³"), =HYPERLINK("CSG0.html#group2B0", "2B⁰"), =HYPERLINK("CSG2.html#group10B2", "10B²"), =HYPERLINK("CSG0.html#group1A0", "1A⁰"), =HYPERLINK("CSG2.html#group10D2", "10D²"), =HYPERLINK("CSG1.html#group10F1", "10F¹"), =HYPERLINK("CSG0.html#group10A0", "10A⁰"), =HYPERLINK("CSG2.html#group10E2", "10E²"), =HYPERLINK("CSG1.html#group10C1", "10C¹"), =HYPERLINK("CSG0.html#group5C0", "5C⁰"), =HYPERLINK("CSG0.html#group2C0", "2C⁰")</f>
        <v/>
      </c>
      <c r="N889">
        <f>HYPERLINK("CSG13.html#group20A13", "20A¹³"), =HYPERLINK("CSG13.html#group10A13", "10A¹³"), =HYPERLINK("CSG15.html#group20C15", "20C¹⁵"), =HYPERLINK("CSG11.html#group20B11", "20B¹¹")</f>
        <v/>
      </c>
    </row>
    <row r="890">
      <c r="A890" t="inlineStr">
        <is>
          <t>11A⁵</t>
        </is>
      </c>
      <c r="B890" t="inlineStr"/>
      <c r="C890" t="inlineStr">
        <is>
          <t>165</t>
        </is>
      </c>
      <c r="D890" t="inlineStr">
        <is>
          <t>1</t>
        </is>
      </c>
      <c r="E890" t="inlineStr">
        <is>
          <t>55</t>
        </is>
      </c>
      <c r="F890" t="inlineStr">
        <is>
          <t>9</t>
        </is>
      </c>
      <c r="G890" t="inlineStr">
        <is>
          <t>0</t>
        </is>
      </c>
      <c r="H890" t="inlineStr">
        <is>
          <t>11¹⁵</t>
        </is>
      </c>
      <c r="I890" t="n">
        <v>15</v>
      </c>
      <c r="J890" t="inlineStr">
        <is>
          <t>5¹, 10⁵</t>
        </is>
      </c>
      <c r="K890">
        <f>HYPERLINK("CSG1.html#group11B1", "11B¹"), =HYPERLINK("CSG1.html#group11C1", "11C¹")</f>
        <v/>
      </c>
      <c r="L890">
        <f>HYPERLINK("CSG12.html#group11A12", "11A¹²"), =HYPERLINK("CSG18.html#group22B18", "22B¹⁸"), =HYPERLINK("CSG21.html#group22B21", "22B²¹")</f>
        <v/>
      </c>
      <c r="M890">
        <f>HYPERLINK("CSG0.html#group11A0", "11A⁰"), =HYPERLINK("CSG1.html#group11C1", "11C¹"), =HYPERLINK("CSG1.html#group11B1", "11B¹"), =HYPERLINK("CSG0.html#group1A0", "1A⁰")</f>
        <v/>
      </c>
      <c r="N890">
        <f>HYPERLINK("CSG12.html#group11A12", "11A¹²"), =HYPERLINK("CSG18.html#group22B18", "22B¹⁸"), =HYPERLINK("CSG21.html#group22B21", "22B²¹")</f>
        <v/>
      </c>
    </row>
    <row r="891">
      <c r="A891" t="inlineStr">
        <is>
          <t>12A⁵</t>
        </is>
      </c>
      <c r="B891" t="inlineStr"/>
      <c r="C891" t="inlineStr">
        <is>
          <t>96</t>
        </is>
      </c>
      <c r="D891" t="inlineStr">
        <is>
          <t>1</t>
        </is>
      </c>
      <c r="E891" t="inlineStr">
        <is>
          <t>4</t>
        </is>
      </c>
      <c r="F891" t="inlineStr">
        <is>
          <t>0</t>
        </is>
      </c>
      <c r="G891" t="inlineStr">
        <is>
          <t>0</t>
        </is>
      </c>
      <c r="H891" t="inlineStr">
        <is>
          <t>12⁸</t>
        </is>
      </c>
      <c r="I891" t="n">
        <v>8</v>
      </c>
      <c r="J891" t="inlineStr">
        <is>
          <t>2²</t>
        </is>
      </c>
      <c r="K891">
        <f>HYPERLINK("CSG1.html#group6D1", "6D¹"), =HYPERLINK("CSG1.html#group12I1", "12I¹"), =HYPERLINK("CSG1.html#group12Q1", "12Q¹"), =HYPERLINK("CSG3.html#group12B3", "12B³"), =HYPERLINK("CSG3.html#group12C3", "12C³")</f>
        <v/>
      </c>
      <c r="L891">
        <f>HYPERLINK("CSG9.html#group12A9", "12A⁹"), =HYPERLINK("CSG13.html#group12A13", "12A¹³"), =HYPERLINK("CSG13.html#group24A13", "24A¹³"), =HYPERLINK("CSG13.html#group24B13", "24B¹³"), =HYPERLINK("CSG17.html#group36C17", "36C¹⁷"), =HYPERLINK("CSG17.html#group36E17", "36E¹⁷"), =HYPERLINK("CSG19.html#group36E19", "36E¹⁹"), =HYPERLINK("CSG19.html#group36H19", "36H¹⁹"), =HYPERLINK("CSG21.html#group36A21", "36A²¹"), =HYPERLINK("CSG21.html#group36B21", "36B²¹")</f>
        <v/>
      </c>
      <c r="M891">
        <f>HYPERLINK("CSG1.html#group12G1", "12G¹"), =HYPERLINK("CSG0.html#group2A0", "2A⁰"), =HYPERLINK("CSG0.html#group3B0", "3B⁰"), =HYPERLINK("CSG0.html#group6B0", "6B⁰"), =HYPERLINK("CSG1.html#group12I1", "12I¹"), =HYPERLINK("CSG3.html#group12B3", "12B³"), =HYPERLINK("CSG0.html#group6C0", "6C⁰"), =HYPERLINK("CSG3.html#group12C3", "12C³"), =HYPERLINK("CSG0.html#group12F0", "12F⁰"), =HYPERLINK("CSG0.html#group1A0", "1A⁰"), =HYPERLINK("CSG0.html#group12A0", "12A⁰"), =HYPERLINK("CSG1.html#group6D1", "6D¹"), =HYPERLINK("CSG0.html#group6E0", "6E⁰"), =HYPERLINK("CSG1.html#group6B1", "6B¹"), =HYPERLINK("CSG0.html#group4A0", "4A⁰"), =HYPERLINK("CSG0.html#group4D0", "4D⁰"), =HYPERLINK("CSG1.html#group12A1", "12A¹"), =HYPERLINK("CSG2.html#group12A2", "12A²"), =HYPERLINK("CSG1.html#group12Q1", "12Q¹"), =HYPERLINK("CSG0.html#group3C0", "3C⁰"), =HYPERLINK("CSG1.html#group6A1", "6A¹"), =HYPERLINK("CSG0.html#group3A0", "3A⁰"), =HYPERLINK("CSG0.html#group3D0", "3D⁰")</f>
        <v/>
      </c>
      <c r="N891">
        <f>HYPERLINK("CSG17.html#group36C17", "36C¹⁷"), =HYPERLINK("CSG19.html#group36H19", "36H¹⁹"), =HYPERLINK("CSG21.html#group36B21", "36B²¹"), =HYPERLINK("CSG17.html#group36E17", "36E¹⁷"), =HYPERLINK("CSG13.html#group12A13", "12A¹³"), =HYPERLINK("CSG21.html#group36A21", "36A²¹"), =HYPERLINK("CSG13.html#group24B13", "24B¹³"), =HYPERLINK("CSG19.html#group36E19", "36E¹⁹"), =HYPERLINK("CSG13.html#group24A13", "24A¹³"), =HYPERLINK("CSG9.html#group12A9", "12A⁹")</f>
        <v/>
      </c>
    </row>
    <row r="892">
      <c r="A892" t="inlineStr">
        <is>
          <t>12B⁵</t>
        </is>
      </c>
      <c r="B892" t="inlineStr"/>
      <c r="C892" t="inlineStr">
        <is>
          <t>144</t>
        </is>
      </c>
      <c r="D892" t="inlineStr">
        <is>
          <t>1</t>
        </is>
      </c>
      <c r="E892" t="inlineStr">
        <is>
          <t>3</t>
        </is>
      </c>
      <c r="F892" t="inlineStr">
        <is>
          <t>0</t>
        </is>
      </c>
      <c r="G892" t="inlineStr">
        <is>
          <t>0</t>
        </is>
      </c>
      <c r="H892" t="inlineStr">
        <is>
          <t>6⁸, 12⁸</t>
        </is>
      </c>
      <c r="I892" t="n">
        <v>16</v>
      </c>
      <c r="J892" t="inlineStr">
        <is>
          <t>1³</t>
        </is>
      </c>
      <c r="K892">
        <f>HYPERLINK("CSG1.html#group6F1", "6F¹"), =HYPERLINK("CSG1.html#group12P1", "12P¹"), =HYPERLINK("CSG1.html#group12S1", "12S¹"), =HYPERLINK("CSG1.html#group12T1", "12T¹"), =HYPERLINK("CSG3.html#group12D3", "12D³"), =HYPERLINK("CSG3.html#group12E3", "12E³"), =HYPERLINK("CSG3.html#group12F3", "12F³"), =HYPERLINK("CSG3.html#group12G3", "12G³")</f>
        <v/>
      </c>
      <c r="L892">
        <f>HYPERLINK("CSG9.html#group12B9", "12B⁹"), =HYPERLINK("CSG13.html#group12A13", "12A¹³"), =HYPERLINK("CSG13.html#group12B13", "12B¹³"), =HYPERLINK("CSG13.html#group24J13", "24J¹³"), =HYPERLINK("CSG13.html#group24K13", "24K¹³"), =HYPERLINK("CSG13.html#group24O13", "24O¹³"), =HYPERLINK("CSG13.html#group24P13", "24P¹³"), =HYPERLINK("CSG17.html#group24A17", "24A¹⁷"), =HYPERLINK("CSG17.html#group24C17", "24C¹⁷"), =HYPERLINK("CSG21.html#group36E21", "36E²¹")</f>
        <v/>
      </c>
      <c r="M892">
        <f>HYPERLINK("CSG1.html#group12T1", "12T¹"), =HYPERLINK("CSG0.html#group2A0", "2A⁰"), =HYPERLINK("CSG0.html#group12C0", "12C⁰"), =HYPERLINK("CSG1.html#group12K1", "12K¹"), =HYPERLINK("CSG2.html#group12D2", "12D²"), =HYPERLINK("CSG3.html#group12F3", "12F³"), =HYPERLINK("CSG0.html#group4C0", "4C⁰"), =HYPERLINK("CSG1.html#group6C1", "6C¹"), =HYPERLINK("CSG0.html#group6G0", "6G⁰"), =HYPERLINK("CSG2.html#group12E2", "12E²"), =HYPERLINK("CSG1.html#group12S1", "12S¹"), =HYPERLINK("CSG0.html#group2B0", "2B⁰"), =HYPERLINK("CSG0.html#group4E0", "4E⁰"), =HYPERLINK("CSG2.html#group12B2", "12B²"), =HYPERLINK("CSG1.html#group12N1", "12N¹"), =HYPERLINK("CSG0.html#group4B0", "4B⁰"), =HYPERLINK("CSG3.html#group12G3", "12G³"), =HYPERLINK("CSG0.html#group1A0", "1A⁰"), =HYPERLINK("CSG1.html#group6B1", "6B¹"), =HYPERLINK("CSG0.html#group12E0", "12E⁰"), =HYPERLINK("CSG0.html#group3C0", "3C⁰"), =HYPERLINK("CSG0.html#group6K0", "6K⁰"), =HYPERLINK("CSG1.html#group6A1", "6A¹"), =HYPERLINK("CSG1.html#group12B1", "12B¹"), =HYPERLINK("CSG0.html#group6H0", "6H⁰"), =HYPERLINK("CSG0.html#group3A0", "3A⁰"), =HYPERLINK("CSG0.html#group6F0", "6F⁰"), =HYPERLINK("CSG1.html#group6E1", "6E¹"), =HYPERLINK("CSG0.html#group3B0", "3B⁰"), =HYPERLINK("CSG0.html#group6B0", "6B⁰"), =HYPERLINK("CSG1.html#group12F1", "12F¹"), =HYPERLINK("CSG0.html#group6I0", "6I⁰"), =HYPERLINK("CSG1.html#group6F1", "6F¹"), =HYPERLINK("CSG0.html#group6C0", "6C⁰"), =HYPERLINK("CSG1.html#group12P1", "12P¹"), =HYPERLINK("CSG1.html#group12L1", "12L¹"), =HYPERLINK("CSG0.html#group3D0", "3D⁰"), =HYPERLINK("CSG0.html#group12G0", "12G⁰"), =HYPERLINK("CSG3.html#group12D3", "12D³"), =HYPERLINK("CSG1.html#group12C1", "12C¹"), =HYPERLINK("CSG0.html#group6E0", "6E⁰"), =HYPERLINK("CSG0.html#group6L0", "6L⁰"), =HYPERLINK("CSG1.html#group6D1", "6D¹"), =HYPERLINK("CSG0.html#group6A0", "6A⁰"), =HYPERLINK("CSG0.html#group6J0", "6J⁰"), =HYPERLINK("CSG3.html#group12E3", "12E³"), =HYPERLINK("CSG0.html#group12D0", "12D⁰"), =HYPERLINK("CSG0.html#group12H0", "12H⁰"), =HYPERLINK("CSG2.html#group12C2", "12C²"), =HYPERLINK("CSG0.html#group2C0", "2C⁰"), =HYPERLINK("CSG0.html#group6D0", "6D⁰")</f>
        <v/>
      </c>
      <c r="N892">
        <f>HYPERLINK("CSG21.html#group36E21", "36E²¹"), =HYPERLINK("CSG13.html#group12A13", "12A¹³"), =HYPERLINK("CSG9.html#group12B9", "12B⁹"), =HYPERLINK("CSG13.html#group24J13", "24J¹³"), =HYPERLINK("CSG13.html#group24P13", "24P¹³"), =HYPERLINK("CSG13.html#group12B13", "12B¹³"), =HYPERLINK("CSG13.html#group24K13", "24K¹³"), =HYPERLINK("CSG13.html#group24O13", "24O¹³"), =HYPERLINK("CSG17.html#group24A17", "24A¹⁷"), =HYPERLINK("CSG17.html#group24C17", "24C¹⁷")</f>
        <v/>
      </c>
    </row>
    <row r="893">
      <c r="A893" t="inlineStr">
        <is>
          <t>12C⁵</t>
        </is>
      </c>
      <c r="B893" t="inlineStr"/>
      <c r="C893" t="inlineStr">
        <is>
          <t>144</t>
        </is>
      </c>
      <c r="D893" t="inlineStr">
        <is>
          <t>1</t>
        </is>
      </c>
      <c r="E893" t="inlineStr">
        <is>
          <t>18</t>
        </is>
      </c>
      <c r="F893" t="inlineStr">
        <is>
          <t>8</t>
        </is>
      </c>
      <c r="G893" t="inlineStr">
        <is>
          <t>0</t>
        </is>
      </c>
      <c r="H893" t="inlineStr">
        <is>
          <t>12¹²</t>
        </is>
      </c>
      <c r="I893" t="n">
        <v>12</v>
      </c>
      <c r="J893" t="inlineStr">
        <is>
          <t>2³, 4³</t>
        </is>
      </c>
      <c r="K893">
        <f>HYPERLINK("CSG1.html#group12T1", "12T¹"), =HYPERLINK("CSG1.html#group12U1", "12U¹"), =HYPERLINK("CSG3.html#group12H3", "12H³")</f>
        <v/>
      </c>
      <c r="L893">
        <f>HYPERLINK("CSG11.html#group12A11", "12A¹¹"), =HYPERLINK("CSG13.html#group12B13", "12B¹³"), =HYPERLINK("CSG13.html#group24Q13", "24Q¹³"), =HYPERLINK("CSG15.html#group24K15", "24K¹⁵"), =HYPERLINK("CSG17.html#group24M17", "24M¹⁷"), =HYPERLINK("CSG23.html#group36B23", "36B²³"), =HYPERLINK("CSG23.html#group36C23", "36C²³")</f>
        <v/>
      </c>
      <c r="M893">
        <f>HYPERLINK("CSG1.html#group12T1", "12T¹"), =HYPERLINK("CSG1.html#group12U1", "12U¹"), =HYPERLINK("CSG1.html#group12D1", "12D¹"), =HYPERLINK("CSG0.html#group6B0", "6B⁰"), =HYPERLINK("CSG0.html#group12C0", "12C⁰"), =HYPERLINK("CSG0.html#group3A0", "3A⁰"), =HYPERLINK("CSG0.html#group4C0", "4C⁰"), =HYPERLINK("CSG0.html#group6G0", "6G⁰"), =HYPERLINK("CSG0.html#group2B0", "2B⁰"), =HYPERLINK("CSG1.html#group12N1", "12N¹"), =HYPERLINK("CSG0.html#group1A0", "1A⁰"), =HYPERLINK("CSG1.html#group12L1", "12L¹"), =HYPERLINK("CSG0.html#group12G0", "12G⁰"), =HYPERLINK("CSG1.html#group12C1", "12C¹"), =HYPERLINK("CSG0.html#group6E0", "6E⁰"), =HYPERLINK("CSG0.html#group6L0", "6L⁰"), =HYPERLINK("CSG0.html#group3C0", "3C⁰"), =HYPERLINK("CSG0.html#group12D0", "12D⁰"), =HYPERLINK("CSG0.html#group6H0", "6H⁰"), =HYPERLINK("CSG0.html#group12H0", "12H⁰"), =HYPERLINK("CSG3.html#group12H3", "12H³"), =HYPERLINK("CSG0.html#group6D0", "6D⁰")</f>
        <v/>
      </c>
      <c r="N893">
        <f>HYPERLINK("CSG13.html#group12B13", "12B¹³"), =HYPERLINK("CSG13.html#group24Q13", "24Q¹³"), =HYPERLINK("CSG23.html#group36C23", "36C²³"), =HYPERLINK("CSG23.html#group36B23", "36B²³"), =HYPERLINK("CSG17.html#group24M17", "24M¹⁷"), =HYPERLINK("CSG15.html#group24K15", "24K¹⁵"), =HYPERLINK("CSG11.html#group12A11", "12A¹¹")</f>
        <v/>
      </c>
    </row>
    <row r="894">
      <c r="A894" t="inlineStr">
        <is>
          <t>12D⁵</t>
        </is>
      </c>
      <c r="B894" t="inlineStr"/>
      <c r="C894" t="inlineStr">
        <is>
          <t>144</t>
        </is>
      </c>
      <c r="D894" t="inlineStr">
        <is>
          <t>1</t>
        </is>
      </c>
      <c r="E894" t="inlineStr">
        <is>
          <t>18</t>
        </is>
      </c>
      <c r="F894" t="inlineStr">
        <is>
          <t>8</t>
        </is>
      </c>
      <c r="G894" t="inlineStr">
        <is>
          <t>0</t>
        </is>
      </c>
      <c r="H894" t="inlineStr">
        <is>
          <t>12¹²</t>
        </is>
      </c>
      <c r="I894" t="n">
        <v>12</v>
      </c>
      <c r="J894" t="inlineStr">
        <is>
          <t>1², 2⁴, 4²</t>
        </is>
      </c>
      <c r="K894">
        <f>HYPERLINK("CSG1.html#group12Q1", "12Q¹"), =HYPERLINK("CSG1.html#group12T1", "12T¹"), =HYPERLINK("CSG2.html#group12H2", "12H²"), =HYPERLINK("CSG2.html#group12I2", "12I²"), =HYPERLINK("CSG3.html#group12I3", "12I³"), =HYPERLINK("CSG3.html#group12J3", "12J³")</f>
        <v/>
      </c>
      <c r="L894">
        <f>HYPERLINK("CSG11.html#group12A11", "12A¹¹"), =HYPERLINK("CSG13.html#group12A13", "12A¹³"), =HYPERLINK("CSG13.html#group24R13", "24R¹³"), =HYPERLINK("CSG13.html#group24T13", "24T¹³"), =HYPERLINK("CSG13.html#group24U13", "24U¹³"), =HYPERLINK("CSG15.html#group24L15", "24L¹⁵"), =HYPERLINK("CSG17.html#group24N17", "24N¹⁷"), =HYPERLINK("CSG17.html#group24AA17", "24AA¹⁷"), =HYPERLINK("CSG17.html#group24AE17", "24AE¹⁷"), =HYPERLINK("CSG23.html#group36D23", "36D²³")</f>
        <v/>
      </c>
      <c r="M894">
        <f>HYPERLINK("CSG1.html#group12T1", "12T¹"), =HYPERLINK("CSG2.html#group12I2", "12I²"), =HYPERLINK("CSG1.html#group12G1", "12G¹"), =HYPERLINK("CSG0.html#group6B0", "6B⁰"), =HYPERLINK("CSG0.html#group12C0", "12C⁰"), =HYPERLINK("CSG0.html#group3A0", "3A⁰"), =HYPERLINK("CSG0.html#group4C0", "4C⁰"), =HYPERLINK("CSG0.html#group12F0", "12F⁰"), =HYPERLINK("CSG0.html#group6G0", "6G⁰"), =HYPERLINK("CSG0.html#group2B0", "2B⁰"), =HYPERLINK("CSG1.html#group12M1", "12M¹"), =HYPERLINK("CSG1.html#group12N1", "12N¹"), =HYPERLINK("CSG0.html#group1A0", "1A⁰"), =HYPERLINK("CSG1.html#group12L1", "12L¹"), =HYPERLINK("CSG3.html#group12J3", "12J³"), =HYPERLINK("CSG2.html#group12H2", "12H²"), =HYPERLINK("CSG0.html#group12G0", "12G⁰"), =HYPERLINK("CSG0.html#group12A0", "12A⁰"), =HYPERLINK("CSG1.html#group12C1", "12C¹"), =HYPERLINK("CSG3.html#group12I3", "12I³"), =HYPERLINK("CSG0.html#group6E0", "6E⁰"), =HYPERLINK("CSG0.html#group6L0", "6L⁰"), =HYPERLINK("CSG0.html#group4A0", "4A⁰"), =HYPERLINK("CSG1.html#group12Q1", "12Q¹"), =HYPERLINK("CSG0.html#group3C0", "3C⁰"), =HYPERLINK("CSG1.html#group12J1", "12J¹"), =HYPERLINK("CSG0.html#group12D0", "12D⁰"), =HYPERLINK("CSG0.html#group4F0", "4F⁰"), =HYPERLINK("CSG0.html#group6H0", "6H⁰"), =HYPERLINK("CSG0.html#group12H0", "12H⁰"), =HYPERLINK("CSG0.html#group6D0", "6D⁰")</f>
        <v/>
      </c>
      <c r="N894">
        <f>HYPERLINK("CSG23.html#group36D23", "36D²³"), =HYPERLINK("CSG13.html#group24T13", "24T¹³"), =HYPERLINK("CSG13.html#group12A13", "12A¹³"), =HYPERLINK("CSG13.html#group24R13", "24R¹³"), =HYPERLINK("CSG13.html#group24U13", "24U¹³"), =HYPERLINK("CSG17.html#group24AA17", "24AA¹⁷"), =HYPERLINK("CSG17.html#group24AE17", "24AE¹⁷"), =HYPERLINK("CSG15.html#group24L15", "24L¹⁵"), =HYPERLINK("CSG17.html#group24N17", "24N¹⁷"), =HYPERLINK("CSG11.html#group12A11", "12A¹¹")</f>
        <v/>
      </c>
    </row>
    <row r="895">
      <c r="A895" t="inlineStr">
        <is>
          <t>12E⁵</t>
        </is>
      </c>
      <c r="B895" t="inlineStr"/>
      <c r="C895" t="inlineStr">
        <is>
          <t>192</t>
        </is>
      </c>
      <c r="D895" t="inlineStr">
        <is>
          <t>1</t>
        </is>
      </c>
      <c r="E895" t="inlineStr">
        <is>
          <t>4</t>
        </is>
      </c>
      <c r="F895" t="inlineStr">
        <is>
          <t>0</t>
        </is>
      </c>
      <c r="G895" t="inlineStr">
        <is>
          <t>0</t>
        </is>
      </c>
      <c r="H895" t="inlineStr">
        <is>
          <t>4¹², 12¹²</t>
        </is>
      </c>
      <c r="I895" t="n">
        <v>24</v>
      </c>
      <c r="J895" t="inlineStr">
        <is>
          <t>1², 2¹</t>
        </is>
      </c>
      <c r="K895">
        <f>HYPERLINK("CSG1.html#group12R1", "12R¹"), =HYPERLINK("CSG1.html#group12V1", "12V¹"), =HYPERLINK("CSG3.html#group12K3", "12K³"), =HYPERLINK("CSG3.html#group12L3", "12L³")</f>
        <v/>
      </c>
      <c r="L895">
        <f>HYPERLINK("CSG13.html#group24AB13", "24AB¹³"), =HYPERLINK("CSG17.html#group24AP17", "24AP¹⁷"), =HYPERLINK("CSG21.html#group24B21", "24B²¹")</f>
        <v/>
      </c>
      <c r="M895">
        <f>HYPERLINK("CSG0.html#group3B0", "3B⁰"), =HYPERLINK("CSG0.html#group2A0", "2A⁰"), =HYPERLINK("CSG1.html#group12I1", "12I¹"), =HYPERLINK("CSG1.html#group12V1", "12V¹"), =HYPERLINK("CSG0.html#group6I0", "6I⁰"), =HYPERLINK("CSG1.html#group12F1", "12F¹"), =HYPERLINK("CSG0.html#group6C0", "6C⁰"), =HYPERLINK("CSG0.html#group12I0", "12I⁰"), =HYPERLINK("CSG0.html#group4C0", "4C⁰"), =HYPERLINK("CSG0.html#group12J0", "12J⁰"), =HYPERLINK("CSG0.html#group4G0", "4G⁰"), =HYPERLINK("CSG0.html#group2B0", "2B⁰"), =HYPERLINK("CSG0.html#group4E0", "4E⁰"), =HYPERLINK("CSG1.html#group12P1", "12P¹"), =HYPERLINK("CSG0.html#group4B0", "4B⁰"), =HYPERLINK("CSG0.html#group1A0", "1A⁰"), =HYPERLINK("CSG2.html#group12F2", "12F²"), =HYPERLINK("CSG0.html#group4A0", "4A⁰"), =HYPERLINK("CSG0.html#group4D0", "4D⁰"), =HYPERLINK("CSG3.html#group12L3", "12L³"), =HYPERLINK("CSG1.html#group12A1", "12A¹"), =HYPERLINK("CSG2.html#group12G2", "12G²"), =HYPERLINK("CSG3.html#group12K3", "12K³"), =HYPERLINK("CSG1.html#group12R1", "12R¹"), =HYPERLINK("CSG0.html#group4F0", "4F⁰"), =HYPERLINK("CSG0.html#group6F0", "6F⁰"), =HYPERLINK("CSG0.html#group2C0", "2C⁰"), =HYPERLINK("CSG0.html#group12E0", "12E⁰"), =HYPERLINK("CSG0.html#group12B0", "12B⁰")</f>
        <v/>
      </c>
      <c r="N895">
        <f>HYPERLINK("CSG21.html#group24B21", "24B²¹"), =HYPERLINK("CSG13.html#group24AB13", "24AB¹³"), =HYPERLINK("CSG17.html#group24AP17", "24AP¹⁷")</f>
        <v/>
      </c>
    </row>
    <row r="896">
      <c r="A896" t="inlineStr">
        <is>
          <t>14A⁵</t>
        </is>
      </c>
      <c r="B896" t="inlineStr"/>
      <c r="C896" t="inlineStr">
        <is>
          <t>84</t>
        </is>
      </c>
      <c r="D896" t="inlineStr">
        <is>
          <t>1</t>
        </is>
      </c>
      <c r="E896" t="inlineStr">
        <is>
          <t>21</t>
        </is>
      </c>
      <c r="F896" t="inlineStr">
        <is>
          <t>0</t>
        </is>
      </c>
      <c r="G896" t="inlineStr">
        <is>
          <t>0</t>
        </is>
      </c>
      <c r="H896" t="inlineStr">
        <is>
          <t>14⁶</t>
        </is>
      </c>
      <c r="I896" t="n">
        <v>6</v>
      </c>
      <c r="J896" t="inlineStr">
        <is>
          <t>3¹, 6³</t>
        </is>
      </c>
      <c r="K896">
        <f>HYPERLINK("CSG1.html#group7A1", "7A¹"), =HYPERLINK("CSG2.html#group14B2", "14B²")</f>
        <v/>
      </c>
      <c r="L896">
        <f>HYPERLINK("CSG9.html#group14A9", "14A⁹"), =HYPERLINK("CSG13.html#group14B13", "14B¹³"), =HYPERLINK("CSG19.html#group42A19", "42A¹⁹"), =HYPERLINK("CSG23.html#group28A23", "28A²³"), =HYPERLINK("CSG23.html#group42C23", "42C²³")</f>
        <v/>
      </c>
      <c r="M896">
        <f>HYPERLINK("CSG0.html#group14A0", "14A⁰"), =HYPERLINK("CSG2.html#group14B2", "14B²"), =HYPERLINK("CSG0.html#group7D0", "7D⁰"), =HYPERLINK("CSG0.html#group1A0", "1A⁰"), =HYPERLINK("CSG0.html#group7A0", "7A⁰"), =HYPERLINK("CSG1.html#group7A1", "7A¹")</f>
        <v/>
      </c>
      <c r="N896">
        <f>HYPERLINK("CSG13.html#group14B13", "14B¹³"), =HYPERLINK("CSG19.html#group42A19", "42A¹⁹"), =HYPERLINK("CSG23.html#group42C23", "42C²³"), =HYPERLINK("CSG9.html#group14A9", "14A⁹"), =HYPERLINK("CSG17.html#group14A17", "14A¹⁷"), =HYPERLINK("CSG23.html#group28A23", "28A²³")</f>
        <v/>
      </c>
    </row>
    <row r="897">
      <c r="A897" t="inlineStr">
        <is>
          <t>14B⁵</t>
        </is>
      </c>
      <c r="B897" t="inlineStr"/>
      <c r="C897" t="inlineStr">
        <is>
          <t>84</t>
        </is>
      </c>
      <c r="D897" t="inlineStr">
        <is>
          <t>1</t>
        </is>
      </c>
      <c r="E897" t="inlineStr">
        <is>
          <t>21</t>
        </is>
      </c>
      <c r="F897" t="inlineStr">
        <is>
          <t>0</t>
        </is>
      </c>
      <c r="G897" t="inlineStr">
        <is>
          <t>0</t>
        </is>
      </c>
      <c r="H897" t="inlineStr">
        <is>
          <t>14⁶</t>
        </is>
      </c>
      <c r="I897" t="n">
        <v>6</v>
      </c>
      <c r="J897" t="inlineStr">
        <is>
          <t>3¹, 6³</t>
        </is>
      </c>
      <c r="K897">
        <f>HYPERLINK("CSG1.html#group7A1", "7A¹"), =HYPERLINK("CSG1.html#group14E1", "14E¹"), =HYPERLINK("CSG3.html#group14A3", "14A³")</f>
        <v/>
      </c>
      <c r="L897">
        <f>HYPERLINK("CSG9.html#group14A9", "14A⁹"), =HYPERLINK("CSG13.html#group14A13", "14A¹³"), =HYPERLINK("CSG19.html#group42B19", "42B¹⁹"), =HYPERLINK("CSG19.html#group42C19", "42C¹⁹"), =HYPERLINK("CSG23.html#group28B23", "28B²³"), =HYPERLINK("CSG23.html#group42D23", "42D²³")</f>
        <v/>
      </c>
      <c r="M897">
        <f>HYPERLINK("CSG0.html#group2A0", "2A⁰"), =HYPERLINK("CSG1.html#group14E1", "14E¹"), =HYPERLINK("CSG0.html#group7D0", "7D⁰"), =HYPERLINK("CSG3.html#group14A3", "14A³"), =HYPERLINK("CSG1.html#group14A1", "14A¹"), =HYPERLINK("CSG1.html#group7A1", "7A¹"), =HYPERLINK("CSG0.html#group1A0", "1A⁰"), =HYPERLINK("CSG0.html#group7A0", "7A⁰")</f>
        <v/>
      </c>
      <c r="N897">
        <f>HYPERLINK("CSG19.html#group42C19", "42C¹⁹"), =HYPERLINK("CSG9.html#group14A9", "14A⁹"), =HYPERLINK("CSG19.html#group42B19", "42B¹⁹"), =HYPERLINK("CSG23.html#group28B23", "28B²³"), =HYPERLINK("CSG13.html#group14A13", "14A¹³"), =HYPERLINK("CSG23.html#group42D23", "42D²³"), =HYPERLINK("CSG17.html#group14A17", "14A¹⁷")</f>
        <v/>
      </c>
    </row>
    <row r="898">
      <c r="A898" t="inlineStr">
        <is>
          <t>14C⁵</t>
        </is>
      </c>
      <c r="B898" t="inlineStr"/>
      <c r="C898" t="inlineStr">
        <is>
          <t>84</t>
        </is>
      </c>
      <c r="D898" t="inlineStr">
        <is>
          <t>2</t>
        </is>
      </c>
      <c r="E898" t="inlineStr">
        <is>
          <t>7</t>
        </is>
      </c>
      <c r="F898" t="inlineStr">
        <is>
          <t>0</t>
        </is>
      </c>
      <c r="G898" t="inlineStr">
        <is>
          <t>0</t>
        </is>
      </c>
      <c r="H898" t="inlineStr">
        <is>
          <t>14⁶</t>
        </is>
      </c>
      <c r="I898" t="n">
        <v>6</v>
      </c>
      <c r="J898" t="inlineStr">
        <is>
          <t>2¹, 6²</t>
        </is>
      </c>
      <c r="K898">
        <f>HYPERLINK("CSG0.html#group7G0", "7G⁰"), =HYPERLINK("CSG1.html#group14D1", "14D¹"), =HYPERLINK("CSG2.html#group14B2", "14B²"), =HYPERLINK("CSG3.html#group14A3", "14A³")</f>
        <v/>
      </c>
      <c r="L898">
        <f>HYPERLINK("CSG9.html#group14A9", "14A⁹"), =HYPERLINK("CSG13.html#group14C13", "14C¹³"), =HYPERLINK("CSG19.html#group42F19", "42F¹⁹"), =HYPERLINK("CSG19.html#group42H19", "42H¹⁹"), =HYPERLINK("CSG23.html#group28D23", "28D²³"), =HYPERLINK("CSG23.html#group42E23", "42E²³")</f>
        <v/>
      </c>
      <c r="M898">
        <f>HYPERLINK("CSG0.html#group2A0", "2A⁰"), =HYPERLINK("CSG0.html#group14A0", "14A⁰"), =HYPERLINK("CSG2.html#group14B2", "14B²"), =HYPERLINK("CSG0.html#group7D0", "7D⁰"), =HYPERLINK("CSG3.html#group14A3", "14A³"), =HYPERLINK("CSG0.html#group7C0", "7C⁰"), =HYPERLINK("CSG1.html#group14A1", "14A¹"), =HYPERLINK("CSG0.html#group1A0", "1A⁰"), =HYPERLINK("CSG0.html#group7G0", "7G⁰"), =HYPERLINK("CSG1.html#group14D1", "14D¹"), =HYPERLINK("CSG0.html#group7A0", "7A⁰")</f>
        <v/>
      </c>
      <c r="N898">
        <f>HYPERLINK("CSG23.html#group42E23", "42E²³"), =HYPERLINK("CSG19.html#group42F19", "42F¹⁹"), =HYPERLINK("CSG13.html#group14C13", "14C¹³"), =HYPERLINK("CSG9.html#group14A9", "14A⁹"), =HYPERLINK("CSG17.html#group14A17", "14A¹⁷"), =HYPERLINK("CSG23.html#group28D23", "28D²³"), =HYPERLINK("CSG19.html#group42H19", "42H¹⁹")</f>
        <v/>
      </c>
    </row>
    <row r="899">
      <c r="A899" t="inlineStr">
        <is>
          <t>14D⁵</t>
        </is>
      </c>
      <c r="B899" t="inlineStr"/>
      <c r="C899" t="inlineStr">
        <is>
          <t>84</t>
        </is>
      </c>
      <c r="D899" t="inlineStr">
        <is>
          <t>2</t>
        </is>
      </c>
      <c r="E899" t="inlineStr">
        <is>
          <t>7</t>
        </is>
      </c>
      <c r="F899" t="inlineStr">
        <is>
          <t>0</t>
        </is>
      </c>
      <c r="G899" t="inlineStr">
        <is>
          <t>0</t>
        </is>
      </c>
      <c r="H899" t="inlineStr">
        <is>
          <t>14⁶</t>
        </is>
      </c>
      <c r="I899" t="n">
        <v>6</v>
      </c>
      <c r="J899" t="inlineStr">
        <is>
          <t>2¹, 6²</t>
        </is>
      </c>
      <c r="K899">
        <f>HYPERLINK("CSG1.html#group14D1", "14D¹"), =HYPERLINK("CSG2.html#group14A2", "14A²"), =HYPERLINK("CSG2.html#group14C2", "14C²"), =HYPERLINK("CSG3.html#group14B3", "14B³")</f>
        <v/>
      </c>
      <c r="L899">
        <f>HYPERLINK("CSG11.html#group28C11", "28C¹¹"), =HYPERLINK("CSG13.html#group14C13", "14C¹³"), =HYPERLINK("CSG17.html#group14B17", "14B¹⁷"), =HYPERLINK("CSG19.html#group42G19", "42G¹⁹"), =HYPERLINK("CSG19.html#group42I19", "42I¹⁹"), =HYPERLINK("CSG23.html#group42F23", "42F²³")</f>
        <v/>
      </c>
      <c r="M899">
        <f>HYPERLINK("CSG0.html#group2A0", "2A⁰"), =HYPERLINK("CSG0.html#group14A0", "14A⁰"), =HYPERLINK("CSG2.html#group14A2", "14A²"), =HYPERLINK("CSG3.html#group14B3", "14B³"), =HYPERLINK("CSG1.html#group14B1", "14B¹"), =HYPERLINK("CSG0.html#group7C0", "7C⁰"), =HYPERLINK("CSG2.html#group14C2", "14C²"), =HYPERLINK("CSG1.html#group14A1", "14A¹"), =HYPERLINK("CSG0.html#group1A0", "1A⁰"), =HYPERLINK("CSG0.html#group2B0", "2B⁰"), =HYPERLINK("CSG1.html#group14D1", "14D¹"), =HYPERLINK("CSG0.html#group2C0", "2C⁰"), =HYPERLINK("CSG0.html#group7A0", "7A⁰")</f>
        <v/>
      </c>
      <c r="N899">
        <f>HYPERLINK("CSG19.html#group42I19", "42I¹⁹"), =HYPERLINK("CSG23.html#group42F23", "42F²³"), =HYPERLINK("CSG23.html#group56F23", "56F²³"), =HYPERLINK("CSG23.html#group28C23", "28C²³"), =HYPERLINK("CSG13.html#group14C13", "14C¹³"), =HYPERLINK("CSG11.html#group28C11", "28C¹¹"), =HYPERLINK("CSG17.html#group14B17", "14B¹⁷"), =HYPERLINK("CSG19.html#group42G19", "42G¹⁹"), =HYPERLINK("CSG23.html#group56A23", "56A²³")</f>
        <v/>
      </c>
    </row>
    <row r="900">
      <c r="A900" t="inlineStr">
        <is>
          <t>14E⁵</t>
        </is>
      </c>
      <c r="B900" t="inlineStr"/>
      <c r="C900" t="inlineStr">
        <is>
          <t>112</t>
        </is>
      </c>
      <c r="D900" t="inlineStr">
        <is>
          <t>1</t>
        </is>
      </c>
      <c r="E900" t="inlineStr">
        <is>
          <t>28</t>
        </is>
      </c>
      <c r="F900" t="inlineStr">
        <is>
          <t>0</t>
        </is>
      </c>
      <c r="G900" t="inlineStr">
        <is>
          <t>4</t>
        </is>
      </c>
      <c r="H900" t="inlineStr">
        <is>
          <t>14⁸</t>
        </is>
      </c>
      <c r="I900" t="n">
        <v>8</v>
      </c>
      <c r="J900" t="inlineStr">
        <is>
          <t>1¹, 3¹, 6⁴</t>
        </is>
      </c>
      <c r="K900">
        <f>HYPERLINK("CSG0.html#group14B0", "14B⁰"), =HYPERLINK("CSG1.html#group7B1", "7B¹"), =HYPERLINK("CSG1.html#group14D1", "14D¹"), =HYPERLINK("CSG1.html#group14G1", "14G¹"), =HYPERLINK("CSG3.html#group14C3", "14C³")</f>
        <v/>
      </c>
      <c r="L900">
        <f>HYPERLINK("CSG13.html#group28A13", "28A¹³"), =HYPERLINK("CSG15.html#group14A15", "14A¹⁵"), =HYPERLINK("CSG17.html#group14A17", "14A¹⁷"), =HYPERLINK("CSG17.html#group14B17", "14B¹⁷"), =HYPERLINK("CSG23.html#group42A23", "42A²³"), =HYPERLINK("CSG23.html#group42B23", "42B²³"), =HYPERLINK("CSG24.html#group42A24", "42A²⁴")</f>
        <v/>
      </c>
      <c r="M900">
        <f>HYPERLINK("CSG0.html#group2A0", "2A⁰"), =HYPERLINK("CSG0.html#group14A0", "14A⁰"), =HYPERLINK("CSG0.html#group7B0", "7B⁰"), =HYPERLINK("CSG0.html#group7C0", "7C⁰"), =HYPERLINK("CSG3.html#group14C3", "14C³"), =HYPERLINK("CSG0.html#group14B0", "14B⁰"), =HYPERLINK("CSG0.html#group7F0", "7F⁰"), =HYPERLINK("CSG1.html#group14A1", "14A¹"), =HYPERLINK("CSG0.html#group1A0", "1A⁰"), =HYPERLINK("CSG1.html#group14G1", "14G¹"), =HYPERLINK("CSG1.html#group14D1", "14D¹"), =HYPERLINK("CSG1.html#group7B1", "7B¹"), =HYPERLINK("CSG0.html#group7A0", "7A⁰")</f>
        <v/>
      </c>
      <c r="N900">
        <f>HYPERLINK("CSG17.html#group14B17", "14B¹⁷"), =HYPERLINK("CSG23.html#group42B23", "42B²³"), =HYPERLINK("CSG15.html#group14A15", "14A¹⁵"), =HYPERLINK("CSG17.html#group14A17", "14A¹⁷"), =HYPERLINK("CSG13.html#group28A13", "28A¹³"), =HYPERLINK("CSG23.html#group42A23", "42A²³"), =HYPERLINK("CSG24.html#group42A24", "42A²⁴")</f>
        <v/>
      </c>
    </row>
    <row r="901">
      <c r="A901" t="inlineStr">
        <is>
          <t>14F⁵</t>
        </is>
      </c>
      <c r="B901" t="inlineStr"/>
      <c r="C901" t="inlineStr">
        <is>
          <t>126</t>
        </is>
      </c>
      <c r="D901" t="inlineStr">
        <is>
          <t>1</t>
        </is>
      </c>
      <c r="E901" t="inlineStr">
        <is>
          <t>63</t>
        </is>
      </c>
      <c r="F901" t="inlineStr">
        <is>
          <t>2</t>
        </is>
      </c>
      <c r="G901" t="inlineStr">
        <is>
          <t>0</t>
        </is>
      </c>
      <c r="H901" t="inlineStr">
        <is>
          <t>7⁶, 14⁶</t>
        </is>
      </c>
      <c r="I901" t="n">
        <v>12</v>
      </c>
      <c r="J901" t="inlineStr">
        <is>
          <t>3³, 6⁹</t>
        </is>
      </c>
      <c r="K901">
        <f>HYPERLINK("CSG1.html#group7A1", "7A¹"), =HYPERLINK("CSG2.html#group14F2", "14F²")</f>
        <v/>
      </c>
      <c r="L901">
        <f>HYPERLINK("CSG9.html#group14C9", "14C⁹"), =HYPERLINK("CSG13.html#group14A13", "14A¹³"), =HYPERLINK("CSG13.html#group14B13", "14B¹³"), =HYPERLINK("CSG13.html#group28B13", "28B¹³"), =HYPERLINK("CSG13.html#group28C13", "28C¹³"), =HYPERLINK("CSG15.html#group28C15", "28C¹⁵"), =HYPERLINK("CSG15.html#group28D15", "28D¹⁵")</f>
        <v/>
      </c>
      <c r="M901">
        <f>HYPERLINK("CSG2.html#group14F2", "14F²"), =HYPERLINK("CSG0.html#group2B0", "2B⁰"), =HYPERLINK("CSG0.html#group7D0", "7D⁰"), =HYPERLINK("CSG1.html#group14B1", "14B¹"), =HYPERLINK("CSG0.html#group1A0", "1A⁰"), =HYPERLINK("CSG0.html#group7A0", "7A⁰"), =HYPERLINK("CSG1.html#group7A1", "7A¹")</f>
        <v/>
      </c>
      <c r="N901">
        <f>HYPERLINK("CSG15.html#group28D15", "28D¹⁵"), =HYPERLINK("CSG23.html#group14A23", "14A²³"), =HYPERLINK("CSG9.html#group14C9", "14C⁹"), =HYPERLINK("CSG13.html#group28B13", "28B¹³"), =HYPERLINK("CSG13.html#group28C13", "28C¹³"), =HYPERLINK("CSG19.html#group14A19", "14A¹⁹"), =HYPERLINK("CSG13.html#group14B13", "14B¹³"), =HYPERLINK("CSG15.html#group28C15", "28C¹⁵"), =HYPERLINK("CSG23.html#group28E23", "28E²³"), =HYPERLINK("CSG13.html#group14A13", "14A¹³")</f>
        <v/>
      </c>
    </row>
    <row r="902">
      <c r="A902" t="inlineStr">
        <is>
          <t>14G⁵</t>
        </is>
      </c>
      <c r="B902" t="inlineStr"/>
      <c r="C902" t="inlineStr">
        <is>
          <t>126</t>
        </is>
      </c>
      <c r="D902" t="inlineStr">
        <is>
          <t>1</t>
        </is>
      </c>
      <c r="E902" t="inlineStr">
        <is>
          <t>63</t>
        </is>
      </c>
      <c r="F902" t="inlineStr">
        <is>
          <t>8</t>
        </is>
      </c>
      <c r="G902" t="inlineStr">
        <is>
          <t>0</t>
        </is>
      </c>
      <c r="H902" t="inlineStr">
        <is>
          <t>14⁹</t>
        </is>
      </c>
      <c r="I902" t="n">
        <v>9</v>
      </c>
      <c r="J902" t="inlineStr">
        <is>
          <t>3³, 6⁹</t>
        </is>
      </c>
      <c r="K902">
        <f>HYPERLINK("CSG1.html#group14E1", "14E¹"), =HYPERLINK("CSG2.html#group14F2", "14F²")</f>
        <v/>
      </c>
      <c r="L902">
        <f>HYPERLINK("CSG11.html#group14A11", "14A¹¹"), =HYPERLINK("CSG12.html#group28D12", "28D¹²"), =HYPERLINK("CSG13.html#group14A13", "14A¹³"), =HYPERLINK("CSG14.html#group28A14", "28A¹⁴"), =HYPERLINK("CSG16.html#group28A16", "28A¹⁶"), =HYPERLINK("CSG22.html#group42A22", "42A²²")</f>
        <v/>
      </c>
      <c r="M902">
        <f>HYPERLINK("CSG1.html#group14E1", "14E¹"), =HYPERLINK("CSG0.html#group7D0", "7D⁰"), =HYPERLINK("CSG1.html#group14B1", "14B¹"), =HYPERLINK("CSG2.html#group14F2", "14F²"), =HYPERLINK("CSG0.html#group2B0", "2B⁰"), =HYPERLINK("CSG0.html#group1A0", "1A⁰"), =HYPERLINK("CSG0.html#group7A0", "7A⁰")</f>
        <v/>
      </c>
      <c r="N902">
        <f>HYPERLINK("CSG11.html#group14A11", "14A¹¹"), =HYPERLINK("CSG22.html#group42A22", "42A²²"), =HYPERLINK("CSG23.html#group14A23", "14A²³"), =HYPERLINK("CSG12.html#group28D12", "28D¹²"), =HYPERLINK("CSG14.html#group28A14", "28A¹⁴"), =HYPERLINK("CSG16.html#group28A16", "28A¹⁶"), =HYPERLINK("CSG13.html#group14A13", "14A¹³")</f>
        <v/>
      </c>
    </row>
    <row r="903">
      <c r="A903" t="inlineStr">
        <is>
          <t>15A⁵</t>
        </is>
      </c>
      <c r="B903" t="inlineStr"/>
      <c r="C903" t="inlineStr">
        <is>
          <t>120</t>
        </is>
      </c>
      <c r="D903" t="inlineStr">
        <is>
          <t>1</t>
        </is>
      </c>
      <c r="E903" t="inlineStr">
        <is>
          <t>30</t>
        </is>
      </c>
      <c r="F903" t="inlineStr">
        <is>
          <t>8</t>
        </is>
      </c>
      <c r="G903" t="inlineStr">
        <is>
          <t>0</t>
        </is>
      </c>
      <c r="H903" t="inlineStr">
        <is>
          <t>15⁸</t>
        </is>
      </c>
      <c r="I903" t="n">
        <v>8</v>
      </c>
      <c r="J903" t="inlineStr">
        <is>
          <t>2¹, 4³, 8²</t>
        </is>
      </c>
      <c r="K903">
        <f>HYPERLINK("CSG2.html#group15D2", "15D²"), =HYPERLINK("CSG3.html#group15C3", "15C³")</f>
        <v/>
      </c>
      <c r="L903">
        <f>HYPERLINK("CSG11.html#group15A11", "15A¹¹"), =HYPERLINK("CSG13.html#group15A13", "15A¹³"), =HYPERLINK("CSG13.html#group30M13", "30M¹³"), =HYPERLINK("CSG15.html#group30D15", "30D¹⁵"), =HYPERLINK("CSG17.html#group15A17", "15A¹⁷"), =HYPERLINK("CSG17.html#group30C17", "30C¹⁷"), =HYPERLINK("CSG21.html#group30C21", "30C²¹"), =HYPERLINK("CSG21.html#group45B21", "45B²¹"), =HYPERLINK("CSG21.html#group45C21", "45C²¹"), =HYPERLINK("CSG21.html#group45D21", "45D²¹")</f>
        <v/>
      </c>
      <c r="M903">
        <f>HYPERLINK("CSG1.html#group15D1", "15D¹"), =HYPERLINK("CSG0.html#group5C0", "5C⁰"), =HYPERLINK("CSG2.html#group15D2", "15D²"), =HYPERLINK("CSG0.html#group3C0", "3C⁰"), =HYPERLINK("CSG3.html#group15C3", "15C³"), =HYPERLINK("CSG0.html#group3A0", "3A⁰"), =HYPERLINK("CSG0.html#group1A0", "1A⁰")</f>
        <v/>
      </c>
      <c r="N903">
        <f>HYPERLINK("CSG13.html#group30M13", "30M¹³"), =HYPERLINK("CSG11.html#group15A11", "15A¹¹"), =HYPERLINK("CSG17.html#group15A17", "15A¹⁷"), =HYPERLINK("CSG15.html#group30D15", "30D¹⁵"), =HYPERLINK("CSG21.html#group45D21", "45D²¹"), =HYPERLINK("CSG13.html#group15A13", "15A¹³"), =HYPERLINK("CSG21.html#group45B21", "45B²¹"), =HYPERLINK("CSG17.html#group30C17", "30C¹⁷"), =HYPERLINK("CSG21.html#group30C21", "30C²¹"), =HYPERLINK("CSG21.html#group45C21", "45C²¹")</f>
        <v/>
      </c>
    </row>
    <row r="904">
      <c r="A904" t="inlineStr">
        <is>
          <t>15B⁵</t>
        </is>
      </c>
      <c r="B904" t="inlineStr"/>
      <c r="C904" t="inlineStr">
        <is>
          <t>120</t>
        </is>
      </c>
      <c r="D904" t="inlineStr">
        <is>
          <t>1</t>
        </is>
      </c>
      <c r="E904" t="inlineStr">
        <is>
          <t>60</t>
        </is>
      </c>
      <c r="F904" t="inlineStr">
        <is>
          <t>0</t>
        </is>
      </c>
      <c r="G904" t="inlineStr">
        <is>
          <t>0</t>
        </is>
      </c>
      <c r="H904" t="inlineStr">
        <is>
          <t>5⁶, 15⁶</t>
        </is>
      </c>
      <c r="I904" t="n">
        <v>12</v>
      </c>
      <c r="J904" t="inlineStr">
        <is>
          <t>1², 2³, 4⁷, 8³</t>
        </is>
      </c>
      <c r="K904">
        <f>HYPERLINK("CSG0.html#group5G0", "5G⁰"), =HYPERLINK("CSG1.html#group15C1", "15C¹"), =HYPERLINK("CSG2.html#group15C2", "15C²"), =HYPERLINK("CSG3.html#group15A3", "15A³")</f>
        <v/>
      </c>
      <c r="L904">
        <f>HYPERLINK("CSG9.html#group15B9", "15B⁹"), =HYPERLINK("CSG15.html#group30B15", "30B¹⁵"), =HYPERLINK("CSG15.html#group30C15", "30C¹⁵"), =HYPERLINK("CSG19.html#group15B19", "15B¹⁹"), =HYPERLINK("CSG19.html#group30B19", "30B¹⁹"), =HYPERLINK("CSG19.html#group45H19", "45H¹⁹")</f>
        <v/>
      </c>
      <c r="M904">
        <f>HYPERLINK("CSG1.html#group15C1", "15C¹"), =HYPERLINK("CSG3.html#group15A3", "15A³"), =HYPERLINK("CSG0.html#group3B0", "3B⁰"), =HYPERLINK("CSG0.html#group5A0", "5A⁰"), =HYPERLINK("CSG0.html#group5C0", "5C⁰"), =HYPERLINK("CSG0.html#group5B0", "5B⁰"), =HYPERLINK("CSG0.html#group5E0", "5E⁰"), =HYPERLINK("CSG1.html#group15B1", "15B¹"), =HYPERLINK("CSG2.html#group15C2", "15C²"), =HYPERLINK("CSG0.html#group1A0", "1A⁰"), =HYPERLINK("CSG0.html#group5G0", "5G⁰")</f>
        <v/>
      </c>
      <c r="N904">
        <f>HYPERLINK("CSG19.html#group30B19", "30B¹⁹"), =HYPERLINK("CSG19.html#group15B19", "15B¹⁹"), =HYPERLINK("CSG9.html#group15B9", "15B⁹"), =HYPERLINK("CSG15.html#group30C15", "30C¹⁵"), =HYPERLINK("CSG15.html#group30B15", "30B¹⁵"), =HYPERLINK("CSG17.html#group15B17", "15B¹⁷"), =HYPERLINK("CSG19.html#group45H19", "45H¹⁹")</f>
        <v/>
      </c>
    </row>
    <row r="905">
      <c r="A905" t="inlineStr">
        <is>
          <t>15C⁵</t>
        </is>
      </c>
      <c r="B905" t="inlineStr"/>
      <c r="C905" t="inlineStr">
        <is>
          <t>144</t>
        </is>
      </c>
      <c r="D905" t="inlineStr">
        <is>
          <t>1</t>
        </is>
      </c>
      <c r="E905" t="inlineStr">
        <is>
          <t>6</t>
        </is>
      </c>
      <c r="F905" t="inlineStr">
        <is>
          <t>0</t>
        </is>
      </c>
      <c r="G905" t="inlineStr">
        <is>
          <t>0</t>
        </is>
      </c>
      <c r="H905" t="inlineStr">
        <is>
          <t>3⁸, 15⁸</t>
        </is>
      </c>
      <c r="I905" t="n">
        <v>16</v>
      </c>
      <c r="J905" t="inlineStr">
        <is>
          <t>1², 4¹</t>
        </is>
      </c>
      <c r="K905">
        <f>HYPERLINK("CSG1.html#group15G1", "15G¹"), =HYPERLINK("CSG1.html#group15H1", "15H¹"), =HYPERLINK("CSG3.html#group15E3", "15E³"), =HYPERLINK("CSG3.html#group15F3", "15F³")</f>
        <v/>
      </c>
      <c r="L905">
        <f>HYPERLINK("CSG9.html#group15C9", "15C⁹"), =HYPERLINK("CSG17.html#group30G17", "30G¹⁷"), =HYPERLINK("CSG17.html#group30H17", "30H¹⁷"), =HYPERLINK("CSG21.html#group30G21", "30G²¹"), =HYPERLINK("CSG21.html#group45E21", "45E²¹")</f>
        <v/>
      </c>
      <c r="M905">
        <f>HYPERLINK("CSG0.html#group3B0", "3B⁰"), =HYPERLINK("CSG0.html#group5B0", "5B⁰"), =HYPERLINK("CSG1.html#group15G1", "15G¹"), =HYPERLINK("CSG0.html#group5D0", "5D⁰"), =HYPERLINK("CSG3.html#group15F3", "15F³"), =HYPERLINK("CSG1.html#group15H1", "15H¹"), =HYPERLINK("CSG0.html#group1A0", "1A⁰"), =HYPERLINK("CSG1.html#group15C1", "15C¹"), =HYPERLINK("CSG0.html#group15B0", "15B⁰"), =HYPERLINK("CSG3.html#group15E3", "15E³"), =HYPERLINK("CSG2.html#group15B2", "15B²"), =HYPERLINK("CSG0.html#group3C0", "3C⁰"), =HYPERLINK("CSG0.html#group15C0", "15C⁰"), =HYPERLINK("CSG0.html#group3A0", "3A⁰"), =HYPERLINK("CSG0.html#group3D0", "3D⁰"), =HYPERLINK("CSG1.html#group15E1", "15E¹")</f>
        <v/>
      </c>
      <c r="N905">
        <f>HYPERLINK("CSG17.html#group30G17", "30G¹⁷"), =HYPERLINK("CSG21.html#group30G21", "30G²¹"), =HYPERLINK("CSG21.html#group45E21", "45E²¹"), =HYPERLINK("CSG17.html#group30H17", "30H¹⁷"), =HYPERLINK("CSG9.html#group15C9", "15C⁹")</f>
        <v/>
      </c>
    </row>
    <row r="906">
      <c r="A906" t="inlineStr">
        <is>
          <t>15D⁵</t>
        </is>
      </c>
      <c r="B906" t="inlineStr"/>
      <c r="C906" t="inlineStr">
        <is>
          <t>160</t>
        </is>
      </c>
      <c r="D906" t="inlineStr">
        <is>
          <t>1</t>
        </is>
      </c>
      <c r="E906" t="inlineStr">
        <is>
          <t>40</t>
        </is>
      </c>
      <c r="F906" t="inlineStr">
        <is>
          <t>0</t>
        </is>
      </c>
      <c r="G906" t="inlineStr">
        <is>
          <t>4</t>
        </is>
      </c>
      <c r="H906" t="inlineStr">
        <is>
          <t>5⁸, 15⁸</t>
        </is>
      </c>
      <c r="I906" t="n">
        <v>16</v>
      </c>
      <c r="J906" t="inlineStr">
        <is>
          <t>2², 4⁵, 8²</t>
        </is>
      </c>
      <c r="K906">
        <f>HYPERLINK("CSG3.html#group15G3", "15G³")</f>
        <v/>
      </c>
      <c r="L906">
        <f>HYPERLINK("CSG17.html#group15B17", "15B¹⁷"), =HYPERLINK("CSG17.html#group30K17", "30K¹⁷"), =HYPERLINK("CSG23.html#group15A23", "15A²³"), =HYPERLINK("CSG23.html#group45E23", "45E²³")</f>
        <v/>
      </c>
      <c r="M906">
        <f>HYPERLINK("CSG0.html#group3B0", "3B⁰"), =HYPERLINK("CSG0.html#group5A0", "5A⁰"), =HYPERLINK("CSG3.html#group15G3", "15G³"), =HYPERLINK("CSG1.html#group15B1", "15B¹"), =HYPERLINK("CSG0.html#group5F0", "5F⁰"), =HYPERLINK("CSG0.html#group1A0", "1A⁰"), =HYPERLINK("CSG2.html#group15C2", "15C²"), =HYPERLINK("CSG0.html#group5C0", "5C⁰")</f>
        <v/>
      </c>
      <c r="N906">
        <f>HYPERLINK("CSG23.html#group45E23", "45E²³"), =HYPERLINK("CSG23.html#group15A23", "15A²³"), =HYPERLINK("CSG17.html#group30K17", "30K¹⁷"), =HYPERLINK("CSG17.html#group15B17", "15B¹⁷")</f>
        <v/>
      </c>
    </row>
    <row r="907">
      <c r="A907" t="inlineStr">
        <is>
          <t>16A⁵</t>
        </is>
      </c>
      <c r="B907" t="inlineStr"/>
      <c r="C907" t="inlineStr">
        <is>
          <t>96</t>
        </is>
      </c>
      <c r="D907" t="inlineStr">
        <is>
          <t>1</t>
        </is>
      </c>
      <c r="E907" t="inlineStr">
        <is>
          <t>3</t>
        </is>
      </c>
      <c r="F907" t="inlineStr">
        <is>
          <t>0</t>
        </is>
      </c>
      <c r="G907" t="inlineStr">
        <is>
          <t>0</t>
        </is>
      </c>
      <c r="H907" t="inlineStr">
        <is>
          <t>8⁴, 16⁴</t>
        </is>
      </c>
      <c r="I907" t="n">
        <v>8</v>
      </c>
      <c r="J907" t="inlineStr">
        <is>
          <t>1³</t>
        </is>
      </c>
      <c r="K907">
        <f>HYPERLINK("CSG1.html#group8F1", "8F¹"), =HYPERLINK("CSG2.html#group16E2", "16E²"), =HYPERLINK("CSG3.html#group16D3", "16D³"), =HYPERLINK("CSG3.html#group16E3", "16E³")</f>
        <v/>
      </c>
      <c r="L907">
        <f>HYPERLINK("CSG9.html#group16A9", "16A⁹"), =HYPERLINK("CSG9.html#group16D9", "16D⁹"), =HYPERLINK("CSG9.html#group16E9", "16E⁹"), =HYPERLINK("CSG13.html#group32C13", "32C¹³"), =HYPERLINK("CSG13.html#group32F13", "32F¹³"), =HYPERLINK("CSG21.html#group48E21", "48E²¹")</f>
        <v/>
      </c>
      <c r="M907">
        <f>HYPERLINK("CSG0.html#group2A0", "2A⁰"), =HYPERLINK("CSG3.html#group16D3", "16D³"), =HYPERLINK("CSG1.html#group8A1", "8A¹"), =HYPERLINK("CSG0.html#group8D0", "8D⁰"), =HYPERLINK("CSG0.html#group4C0", "4C⁰"), =HYPERLINK("CSG0.html#group8B0", "8B⁰"), =HYPERLINK("CSG0.html#group4G0", "4G⁰"), =HYPERLINK("CSG0.html#group2B0", "2B⁰"), =HYPERLINK("CSG1.html#group8B1", "8B¹"), =HYPERLINK("CSG0.html#group8C0", "8C⁰"), =HYPERLINK("CSG0.html#group4E0", "4E⁰"), =HYPERLINK("CSG0.html#group4B0", "4B⁰"), =HYPERLINK("CSG1.html#group8F1", "8F¹"), =HYPERLINK("CSG0.html#group1A0", "1A⁰"), =HYPERLINK("CSG2.html#group16E2", "16E²"), =HYPERLINK("CSG0.html#group8H0", "8H⁰"), =HYPERLINK("CSG1.html#group16D1", "16D¹"), =HYPERLINK("CSG1.html#group8C1", "8C¹"), =HYPERLINK("CSG2.html#group16B2", "16B²"), =HYPERLINK("CSG0.html#group8G0", "8G⁰"), =HYPERLINK("CSG0.html#group4A0", "4A⁰"), =HYPERLINK("CSG0.html#group4D0", "4D⁰"), =HYPERLINK("CSG0.html#group4F0", "4F⁰"), =HYPERLINK("CSG0.html#group2C0", "2C⁰"), =HYPERLINK("CSG3.html#group16E3", "16E³")</f>
        <v/>
      </c>
      <c r="N907">
        <f>HYPERLINK("CSG21.html#group16C21", "16C²¹"), =HYPERLINK("CSG9.html#group16D9", "16D⁹"), =HYPERLINK("CSG21.html#group32F21", "32F²¹"), =HYPERLINK("CSG9.html#group16A9", "16A⁹"), =HYPERLINK("CSG17.html#group16A17", "16A¹⁷"), =HYPERLINK("CSG21.html#group16D21", "16D²¹"), =HYPERLINK("CSG21.html#group48E21", "48E²¹"), =HYPERLINK("CSG21.html#group32D21", "32D²¹"), =HYPERLINK("CSG13.html#group32F13", "32F¹³"), =HYPERLINK("CSG9.html#group16E9", "16E⁹"), =HYPERLINK("CSG13.html#group32C13", "32C¹³"), =HYPERLINK("CSG17.html#group16B17", "16B¹⁷")</f>
        <v/>
      </c>
    </row>
    <row r="908">
      <c r="A908" t="inlineStr">
        <is>
          <t>16B⁵</t>
        </is>
      </c>
      <c r="B908" t="inlineStr"/>
      <c r="C908" t="inlineStr">
        <is>
          <t>96</t>
        </is>
      </c>
      <c r="D908" t="inlineStr">
        <is>
          <t>1</t>
        </is>
      </c>
      <c r="E908" t="inlineStr">
        <is>
          <t>3</t>
        </is>
      </c>
      <c r="F908" t="inlineStr">
        <is>
          <t>0</t>
        </is>
      </c>
      <c r="G908" t="inlineStr">
        <is>
          <t>0</t>
        </is>
      </c>
      <c r="H908" t="inlineStr">
        <is>
          <t>8⁴, 16⁴</t>
        </is>
      </c>
      <c r="I908" t="n">
        <v>8</v>
      </c>
      <c r="J908" t="inlineStr">
        <is>
          <t>1³</t>
        </is>
      </c>
      <c r="K908">
        <f>HYPERLINK("CSG1.html#group8F1", "8F¹"), =HYPERLINK("CSG1.html#group16F1", "16F¹"), =HYPERLINK("CSG3.html#group16A3", "16A³"), =HYPERLINK("CSG3.html#group16B3", "16B³"), =HYPERLINK("CSG3.html#group16C3", "16C³")</f>
        <v/>
      </c>
      <c r="L908">
        <f>HYPERLINK("CSG9.html#group16B9", "16B⁹"), =HYPERLINK("CSG9.html#group16C9", "16C⁹"), =HYPERLINK("CSG9.html#group16E9", "16E⁹"), =HYPERLINK("CSG13.html#group32A13", "32A¹³"), =HYPERLINK("CSG13.html#group32B13", "32B¹³"), =HYPERLINK("CSG21.html#group48F21", "48F²¹")</f>
        <v/>
      </c>
      <c r="M908">
        <f>HYPERLINK("CSG0.html#group2A0", "2A⁰"), =HYPERLINK("CSG1.html#group8A1", "8A¹"), =HYPERLINK("CSG3.html#group16C3", "16C³"), =HYPERLINK("CSG0.html#group8D0", "8D⁰"), =HYPERLINK("CSG0.html#group4C0", "4C⁰"), =HYPERLINK("CSG3.html#group16A3", "16A³"), =HYPERLINK("CSG3.html#group16B3", "16B³"), =HYPERLINK("CSG0.html#group8B0", "8B⁰"), =HYPERLINK("CSG1.html#group16B1", "16B¹"), =HYPERLINK("CSG0.html#group2B0", "2B⁰"), =HYPERLINK("CSG1.html#group8B1", "8B¹"), =HYPERLINK("CSG0.html#group4E0", "4E⁰"), =HYPERLINK("CSG0.html#group4G0", "4G⁰"), =HYPERLINK("CSG0.html#group4B0", "4B⁰"), =HYPERLINK("CSG1.html#group8F1", "8F¹"), =HYPERLINK("CSG0.html#group1A0", "1A⁰"), =HYPERLINK("CSG0.html#group8C0", "8C⁰"), =HYPERLINK("CSG2.html#group16A2", "16A²"), =HYPERLINK("CSG0.html#group8H0", "8H⁰"), =HYPERLINK("CSG0.html#group16B0", "16B⁰"), =HYPERLINK("CSG1.html#group8C1", "8C¹"), =HYPERLINK("CSG0.html#group8G0", "8G⁰"), =HYPERLINK("CSG0.html#group4A0", "4A⁰"), =HYPERLINK("CSG0.html#group4D0", "4D⁰"), =HYPERLINK("CSG0.html#group4F0", "4F⁰"), =HYPERLINK("CSG1.html#group16F1", "16F¹"), =HYPERLINK("CSG0.html#group2C0", "2C⁰")</f>
        <v/>
      </c>
      <c r="N908">
        <f>HYPERLINK("CSG13.html#group32B13", "32B¹³"), =HYPERLINK("CSG21.html#group16C21", "16C²¹"), =HYPERLINK("CSG9.html#group16C9", "16C⁹"), =HYPERLINK("CSG9.html#group16B9", "16B⁹"), =HYPERLINK("CSG17.html#group16A17", "16A¹⁷"), =HYPERLINK("CSG21.html#group16A21", "16A²¹"), =HYPERLINK("CSG21.html#group32E21", "32E²¹"), =HYPERLINK("CSG21.html#group32A21", "32A²¹"), =HYPERLINK("CSG13.html#group32A13", "32A¹³"), =HYPERLINK("CSG21.html#group32B21", "32B²¹"), =HYPERLINK("CSG21.html#group48F21", "48F²¹"), =HYPERLINK("CSG9.html#group16E9", "16E⁹"), =HYPERLINK("CSG21.html#group16E21", "16E²¹"), =HYPERLINK("CSG17.html#group16B17", "16B¹⁷")</f>
        <v/>
      </c>
    </row>
    <row r="909">
      <c r="A909" t="inlineStr">
        <is>
          <t>16C⁵</t>
        </is>
      </c>
      <c r="B909" t="inlineStr"/>
      <c r="C909" t="inlineStr">
        <is>
          <t>96</t>
        </is>
      </c>
      <c r="D909" t="inlineStr">
        <is>
          <t>1</t>
        </is>
      </c>
      <c r="E909" t="inlineStr">
        <is>
          <t>6</t>
        </is>
      </c>
      <c r="F909" t="inlineStr">
        <is>
          <t>0</t>
        </is>
      </c>
      <c r="G909" t="inlineStr">
        <is>
          <t>0</t>
        </is>
      </c>
      <c r="H909" t="inlineStr">
        <is>
          <t>8⁴, 16⁴</t>
        </is>
      </c>
      <c r="I909" t="n">
        <v>8</v>
      </c>
      <c r="J909" t="inlineStr">
        <is>
          <t>1⁴, 2¹</t>
        </is>
      </c>
      <c r="K909">
        <f>HYPERLINK("CSG1.html#group8G1", "8G¹"), =HYPERLINK("CSG2.html#group16F2", "16F²"), =HYPERLINK("CSG3.html#group16A3", "16A³"), =HYPERLINK("CSG3.html#group16D3", "16D³")</f>
        <v/>
      </c>
      <c r="L909">
        <f>HYPERLINK("CSG9.html#group16E9", "16E⁹"), =HYPERLINK("CSG9.html#group16F9", "16F⁹"), =HYPERLINK("CSG13.html#group32D13", "32D¹³"), =HYPERLINK("CSG13.html#group32E13", "32E¹³"), =HYPERLINK("CSG13.html#group32L13", "32L¹³"), =HYPERLINK("CSG21.html#group48I21", "48I²¹")</f>
        <v/>
      </c>
      <c r="M909">
        <f>HYPERLINK("CSG0.html#group2A0", "2A⁰"), =HYPERLINK("CSG3.html#group16D3", "16D³"), =HYPERLINK("CSG1.html#group8A1", "8A¹"), =HYPERLINK("CSG0.html#group4C0", "4C⁰"), =HYPERLINK("CSG3.html#group16A3", "16A³"), =HYPERLINK("CSG0.html#group8B0", "8B⁰"), =HYPERLINK("CSG1.html#group16B1", "16B¹"), =HYPERLINK("CSG0.html#group8L0", "8L⁰"), =HYPERLINK("CSG0.html#group2B0", "2B⁰"), =HYPERLINK("CSG1.html#group8B1", "8B¹"), =HYPERLINK("CSG0.html#group4E0", "4E⁰"), =HYPERLINK("CSG0.html#group4B0", "4B⁰"), =HYPERLINK("CSG0.html#group1A0", "1A⁰"), =HYPERLINK("CSG1.html#group16D1", "16D¹"), =HYPERLINK("CSG2.html#group16B2", "16B²"), =HYPERLINK("CSG2.html#group16F2", "16F²"), =HYPERLINK("CSG1.html#group8G1", "8G¹"), =HYPERLINK("CSG0.html#group8J0", "8J⁰"), =HYPERLINK("CSG0.html#group2C0", "2C⁰")</f>
        <v/>
      </c>
      <c r="N909">
        <f>HYPERLINK("CSG9.html#group16F9", "16F⁹"), =HYPERLINK("CSG13.html#group32E13", "32E¹³"), =HYPERLINK("CSG21.html#group48I21", "48I²¹"), =HYPERLINK("CSG17.html#group16A17", "16A¹⁷"), =HYPERLINK("CSG13.html#group32D13", "32D¹³"), =HYPERLINK("CSG13.html#group32L13", "32L¹³"), =HYPERLINK("CSG9.html#group16E9", "16E⁹"), =HYPERLINK("CSG21.html#group32Q21", "32Q²¹"), =HYPERLINK("CSG17.html#group16B17", "16B¹⁷")</f>
        <v/>
      </c>
    </row>
    <row r="910">
      <c r="A910" t="inlineStr">
        <is>
          <t>16D⁵</t>
        </is>
      </c>
      <c r="B910" t="inlineStr"/>
      <c r="C910" t="inlineStr">
        <is>
          <t>96</t>
        </is>
      </c>
      <c r="D910" t="inlineStr">
        <is>
          <t>1</t>
        </is>
      </c>
      <c r="E910" t="inlineStr">
        <is>
          <t>6</t>
        </is>
      </c>
      <c r="F910" t="inlineStr">
        <is>
          <t>0</t>
        </is>
      </c>
      <c r="G910" t="inlineStr">
        <is>
          <t>0</t>
        </is>
      </c>
      <c r="H910" t="inlineStr">
        <is>
          <t>8⁴, 16⁴</t>
        </is>
      </c>
      <c r="I910" t="n">
        <v>8</v>
      </c>
      <c r="J910" t="inlineStr">
        <is>
          <t>1⁴, 2¹</t>
        </is>
      </c>
      <c r="K910">
        <f>HYPERLINK("CSG1.html#group8G1", "8G¹"), =HYPERLINK("CSG1.html#group16J1", "16J¹"), =HYPERLINK("CSG3.html#group16B3", "16B³"), =HYPERLINK("CSG3.html#group16D3", "16D³"), =HYPERLINK("CSG3.html#group16F3", "16F³")</f>
        <v/>
      </c>
      <c r="L910">
        <f>HYPERLINK("CSG9.html#group16E9", "16E⁹"), =HYPERLINK("CSG9.html#group16G9", "16G⁹"), =HYPERLINK("CSG13.html#group32G13", "32G¹³"), =HYPERLINK("CSG13.html#group32H13", "32H¹³"), =HYPERLINK("CSG13.html#group32M13", "32M¹³"), =HYPERLINK("CSG21.html#group48J21", "48J²¹")</f>
        <v/>
      </c>
      <c r="M910">
        <f>HYPERLINK("CSG0.html#group2A0", "2A⁰"), =HYPERLINK("CSG3.html#group16D3", "16D³"), =HYPERLINK("CSG1.html#group8A1", "8A¹"), =HYPERLINK("CSG0.html#group4C0", "4C⁰"), =HYPERLINK("CSG3.html#group16B3", "16B³"), =HYPERLINK("CSG0.html#group8B0", "8B⁰"), =HYPERLINK("CSG0.html#group8L0", "8L⁰"), =HYPERLINK("CSG0.html#group2B0", "2B⁰"), =HYPERLINK("CSG1.html#group8B1", "8B¹"), =HYPERLINK("CSG0.html#group4E0", "4E⁰"), =HYPERLINK("CSG1.html#group16J1", "16J¹"), =HYPERLINK("CSG0.html#group4B0", "4B⁰"), =HYPERLINK("CSG0.html#group1A0", "1A⁰"), =HYPERLINK("CSG2.html#group16A2", "16A²"), =HYPERLINK("CSG0.html#group16B0", "16B⁰"), =HYPERLINK("CSG1.html#group16D1", "16D¹"), =HYPERLINK("CSG2.html#group16B2", "16B²"), =HYPERLINK("CSG1.html#group8G1", "8G¹"), =HYPERLINK("CSG3.html#group16F3", "16F³"), =HYPERLINK("CSG0.html#group8J0", "8J⁰"), =HYPERLINK("CSG0.html#group2C0", "2C⁰")</f>
        <v/>
      </c>
      <c r="N910">
        <f>HYPERLINK("CSG9.html#group16G9", "16G⁹"), =HYPERLINK("CSG13.html#group32H13", "32H¹³"), =HYPERLINK("CSG13.html#group32M13", "32M¹³"), =HYPERLINK("CSG17.html#group16A17", "16A¹⁷"), =HYPERLINK("CSG21.html#group32R21", "32R²¹"), =HYPERLINK("CSG21.html#group48J21", "48J²¹"), =HYPERLINK("CSG9.html#group16E9", "16E⁹"), =HYPERLINK("CSG13.html#group32G13", "32G¹³"), =HYPERLINK("CSG17.html#group16B17", "16B¹⁷")</f>
        <v/>
      </c>
    </row>
    <row r="911">
      <c r="A911" t="inlineStr">
        <is>
          <t>16E⁵</t>
        </is>
      </c>
      <c r="B911" t="inlineStr"/>
      <c r="C911" t="inlineStr">
        <is>
          <t>96</t>
        </is>
      </c>
      <c r="D911" t="inlineStr">
        <is>
          <t>1</t>
        </is>
      </c>
      <c r="E911" t="inlineStr">
        <is>
          <t>12</t>
        </is>
      </c>
      <c r="F911" t="inlineStr">
        <is>
          <t>0</t>
        </is>
      </c>
      <c r="G911" t="inlineStr">
        <is>
          <t>0</t>
        </is>
      </c>
      <c r="H911" t="inlineStr">
        <is>
          <t>8⁴, 16⁴</t>
        </is>
      </c>
      <c r="I911" t="n">
        <v>8</v>
      </c>
      <c r="J911" t="inlineStr">
        <is>
          <t>2², 4²</t>
        </is>
      </c>
      <c r="K911">
        <f>HYPERLINK("CSG1.html#group8H1", "8H¹"), =HYPERLINK("CSG1.html#group16H1", "16H¹"), =HYPERLINK("CSG3.html#group16C3", "16C³")</f>
        <v/>
      </c>
      <c r="L911">
        <f>HYPERLINK("CSG9.html#group16C9", "16C⁹"), =HYPERLINK("CSG9.html#group16H9", "16H⁹"), =HYPERLINK("CSG11.html#group16B11", "16B¹¹"), =HYPERLINK("CSG11.html#group16C11", "16C¹¹"), =HYPERLINK("CSG21.html#group48T21", "48T²¹")</f>
        <v/>
      </c>
      <c r="M911">
        <f>HYPERLINK("CSG3.html#group16C3", "16C³"), =HYPERLINK("CSG0.html#group8D0", "8D⁰"), =HYPERLINK("CSG0.html#group4C0", "4C⁰"), =HYPERLINK("CSG0.html#group8B0", "8B⁰"), =HYPERLINK("CSG0.html#group8A0", "8A⁰"), =HYPERLINK("CSG1.html#group16B1", "16B¹"), =HYPERLINK("CSG0.html#group2B0", "2B⁰"), =HYPERLINK("CSG0.html#group1A0", "1A⁰"), =HYPERLINK("CSG0.html#group8K0", "8K⁰"), =HYPERLINK("CSG1.html#group8H1", "8H¹"), =HYPERLINK("CSG1.html#group8D1", "8D¹"), =HYPERLINK("CSG2.html#group16A2", "16A²"), =HYPERLINK("CSG0.html#group8H0", "8H⁰"), =HYPERLINK("CSG0.html#group4A0", "4A⁰"), =HYPERLINK("CSG0.html#group4F0", "4F⁰"), =HYPERLINK("CSG1.html#group16H1", "16H¹")</f>
        <v/>
      </c>
      <c r="N911">
        <f>HYPERLINK("CSG9.html#group16C9", "16C⁹"), =HYPERLINK("CSG21.html#group16E21", "16E²¹"), =HYPERLINK("CSG21.html#group16F21", "16F²¹"), =HYPERLINK("CSG23.html#group32G23", "32G²³"), =HYPERLINK("CSG17.html#group16A17", "16A¹⁷"), =HYPERLINK("CSG9.html#group16H9", "16H⁹"), =HYPERLINK("CSG21.html#group32A21", "32A²¹"), =HYPERLINK("CSG11.html#group16C11", "16C¹¹"), =HYPERLINK("CSG21.html#group48T21", "48T²¹"), =HYPERLINK("CSG21.html#group32B21", "32B²¹"), =HYPERLINK("CSG21.html#group32P21", "32P²¹"), =HYPERLINK("CSG11.html#group16B11", "16B¹¹")</f>
        <v/>
      </c>
    </row>
    <row r="912">
      <c r="A912" t="inlineStr">
        <is>
          <t>16F⁵</t>
        </is>
      </c>
      <c r="B912" t="inlineStr"/>
      <c r="C912" t="inlineStr">
        <is>
          <t>96</t>
        </is>
      </c>
      <c r="D912" t="inlineStr">
        <is>
          <t>1</t>
        </is>
      </c>
      <c r="E912" t="inlineStr">
        <is>
          <t>12</t>
        </is>
      </c>
      <c r="F912" t="inlineStr">
        <is>
          <t>0</t>
        </is>
      </c>
      <c r="G912" t="inlineStr">
        <is>
          <t>0</t>
        </is>
      </c>
      <c r="H912" t="inlineStr">
        <is>
          <t>8⁴, 16⁴</t>
        </is>
      </c>
      <c r="I912" t="n">
        <v>8</v>
      </c>
      <c r="J912" t="inlineStr">
        <is>
          <t>1², 2¹, 4²</t>
        </is>
      </c>
      <c r="K912">
        <f>HYPERLINK("CSG1.html#group8I1", "8I¹"), =HYPERLINK("CSG1.html#group16I1", "16I¹"), =HYPERLINK("CSG3.html#group16C3", "16C³")</f>
        <v/>
      </c>
      <c r="L912">
        <f>HYPERLINK("CSG9.html#group16B9", "16B⁹"), =HYPERLINK("CSG9.html#group16H9", "16H⁹"), =HYPERLINK("CSG11.html#group32C11", "32C¹¹"), =HYPERLINK("CSG11.html#group32D11", "32D¹¹"), =HYPERLINK("CSG21.html#group48U21", "48U²¹")</f>
        <v/>
      </c>
      <c r="M912">
        <f>HYPERLINK("CSG0.html#group8H0", "8H⁰"), =HYPERLINK("CSG0.html#group16E0", "16E⁰"), =HYPERLINK("CSG0.html#group8F0", "8F⁰"), =HYPERLINK("CSG1.html#group16I1", "16I¹"), =HYPERLINK("CSG3.html#group16C3", "16C³"), =HYPERLINK("CSG0.html#group8D0", "8D⁰"), =HYPERLINK("CSG0.html#group4A0", "4A⁰"), =HYPERLINK("CSG1.html#group8I1", "8I¹"), =HYPERLINK("CSG1.html#group16C1", "16C¹"), =HYPERLINK("CSG0.html#group4C0", "4C⁰"), =HYPERLINK("CSG0.html#group8B0", "8B⁰"), =HYPERLINK("CSG1.html#group16B1", "16B¹"), =HYPERLINK("CSG0.html#group2B0", "2B⁰"), =HYPERLINK("CSG0.html#group4F0", "4F⁰"), =HYPERLINK("CSG0.html#group1A0", "1A⁰"), =HYPERLINK("CSG2.html#group16A2", "16A²")</f>
        <v/>
      </c>
      <c r="N912">
        <f>HYPERLINK("CSG21.html#group16C21", "16C²¹"), =HYPERLINK("CSG21.html#group48U21", "48U²¹"), =HYPERLINK("CSG23.html#group64B23", "64B²³"), =HYPERLINK("CSG11.html#group32C11", "32C¹¹"), =HYPERLINK("CSG21.html#group16F21", "16F²¹"), =HYPERLINK("CSG9.html#group16B9", "16B⁹"), =HYPERLINK("CSG21.html#group16A21", "16A²¹"), =HYPERLINK("CSG21.html#group32E21", "32E²¹"), =HYPERLINK("CSG9.html#group16H9", "16H⁹"), =HYPERLINK("CSG11.html#group32D11", "32D¹¹"), =HYPERLINK("CSG21.html#group32P21", "32P²¹"), =HYPERLINK("CSG17.html#group16A17", "16A¹⁷")</f>
        <v/>
      </c>
    </row>
    <row r="913">
      <c r="A913" t="inlineStr">
        <is>
          <t>16G⁵</t>
        </is>
      </c>
      <c r="B913" t="inlineStr"/>
      <c r="C913" t="inlineStr">
        <is>
          <t>96</t>
        </is>
      </c>
      <c r="D913" t="inlineStr">
        <is>
          <t>1</t>
        </is>
      </c>
      <c r="E913" t="inlineStr">
        <is>
          <t>12</t>
        </is>
      </c>
      <c r="F913" t="inlineStr">
        <is>
          <t>0</t>
        </is>
      </c>
      <c r="G913" t="inlineStr">
        <is>
          <t>0</t>
        </is>
      </c>
      <c r="H913" t="inlineStr">
        <is>
          <t>8⁴, 16⁴</t>
        </is>
      </c>
      <c r="I913" t="n">
        <v>8</v>
      </c>
      <c r="J913" t="inlineStr">
        <is>
          <t>2⁶</t>
        </is>
      </c>
      <c r="K913">
        <f>HYPERLINK("CSG0.html#group8P0", "8P⁰"), =HYPERLINK("CSG2.html#group16E2", "16E²"), =HYPERLINK("CSG2.html#group16F2", "16F²"), =HYPERLINK("CSG3.html#group16C3", "16C³"), =HYPERLINK("CSG3.html#group16F3", "16F³")</f>
        <v/>
      </c>
      <c r="L913">
        <f>HYPERLINK("CSG9.html#group16E9", "16E⁹"), =HYPERLINK("CSG9.html#group16H9", "16H⁹"), =HYPERLINK("CSG13.html#group32Q13", "32Q¹³"), =HYPERLINK("CSG21.html#group48V21", "48V²¹")</f>
        <v/>
      </c>
      <c r="M913">
        <f>HYPERLINK("CSG3.html#group16C3", "16C³"), =HYPERLINK("CSG0.html#group8D0", "8D⁰"), =HYPERLINK("CSG0.html#group4C0", "4C⁰"), =HYPERLINK("CSG0.html#group8B0", "8B⁰"), =HYPERLINK("CSG1.html#group16B1", "16B¹"), =HYPERLINK("CSG0.html#group8L0", "8L⁰"), =HYPERLINK("CSG0.html#group2B0", "2B⁰"), =HYPERLINK("CSG0.html#group1A0", "1A⁰"), =HYPERLINK("CSG2.html#group16E2", "16E²"), =HYPERLINK("CSG2.html#group16A2", "16A²"), =HYPERLINK("CSG0.html#group8H0", "8H⁰"), =HYPERLINK("CSG1.html#group16D1", "16D¹"), =HYPERLINK("CSG2.html#group16F2", "16F²"), =HYPERLINK("CSG0.html#group4A0", "4A⁰"), =HYPERLINK("CSG3.html#group16F3", "16F³"), =HYPERLINK("CSG0.html#group4F0", "4F⁰"), =HYPERLINK("CSG0.html#group8P0", "8P⁰")</f>
        <v/>
      </c>
      <c r="N913">
        <f>HYPERLINK("CSG21.html#group16F21", "16F²¹"), =HYPERLINK("CSG13.html#group32Q13", "32Q¹³"), =HYPERLINK("CSG9.html#group16H9", "16H⁹"), =HYPERLINK("CSG9.html#group16E9", "16E⁹"), =HYPERLINK("CSG21.html#group48V21", "48V²¹"), =HYPERLINK("CSG21.html#group32P21", "32P²¹"), =HYPERLINK("CSG17.html#group16A17", "16A¹⁷"), =HYPERLINK("CSG17.html#group16B17", "16B¹⁷")</f>
        <v/>
      </c>
    </row>
    <row r="914">
      <c r="A914" t="inlineStr">
        <is>
          <t>16H⁵</t>
        </is>
      </c>
      <c r="B914" t="inlineStr"/>
      <c r="C914" t="inlineStr">
        <is>
          <t>96</t>
        </is>
      </c>
      <c r="D914" t="inlineStr">
        <is>
          <t>1</t>
        </is>
      </c>
      <c r="E914" t="inlineStr">
        <is>
          <t>24</t>
        </is>
      </c>
      <c r="F914" t="inlineStr">
        <is>
          <t>0</t>
        </is>
      </c>
      <c r="G914" t="inlineStr">
        <is>
          <t>0</t>
        </is>
      </c>
      <c r="H914" t="inlineStr">
        <is>
          <t>8⁴, 16⁴</t>
        </is>
      </c>
      <c r="I914" t="n">
        <v>8</v>
      </c>
      <c r="J914" t="inlineStr">
        <is>
          <t>2², 4⁵</t>
        </is>
      </c>
      <c r="K914">
        <f>HYPERLINK("CSG2.html#group8B2", "8B²"), =HYPERLINK("CSG2.html#group16D2", "16D²"), =HYPERLINK("CSG3.html#group16E3", "16E³")</f>
        <v/>
      </c>
      <c r="L914">
        <f>HYPERLINK("CSG9.html#group16D9", "16D⁹"), =HYPERLINK("CSG11.html#group16D11", "16D¹¹"), =HYPERLINK("CSG11.html#group32H11", "32H¹¹"), =HYPERLINK("CSG13.html#group32P13", "32P¹³"), =HYPERLINK("CSG21.html#group48AQ21", "48AQ²¹")</f>
        <v/>
      </c>
      <c r="M914">
        <f>HYPERLINK("CSG2.html#group16D2", "16D²"), =HYPERLINK("CSG1.html#group8A1", "8A¹"), =HYPERLINK("CSG0.html#group8D0", "8D⁰"), =HYPERLINK("CSG0.html#group4C0", "4C⁰"), =HYPERLINK("CSG2.html#group8B2", "8B²"), =HYPERLINK("CSG0.html#group8A0", "8A⁰"), =HYPERLINK("CSG0.html#group2B0", "2B⁰"), =HYPERLINK("CSG0.html#group1A0", "1A⁰"), =HYPERLINK("CSG0.html#group8K0", "8K⁰"), =HYPERLINK("CSG1.html#group8D1", "8D¹"), =HYPERLINK("CSG0.html#group16E0", "16E⁰"), =HYPERLINK("CSG1.html#group8C1", "8C¹"), =HYPERLINK("CSG2.html#group16B2", "16B²"), =HYPERLINK("CSG0.html#group4A0", "4A⁰"), =HYPERLINK("CSG1.html#group16C1", "16C¹"), =HYPERLINK("CSG0.html#group4F0", "4F⁰"), =HYPERLINK("CSG3.html#group16E3", "16E³")</f>
        <v/>
      </c>
      <c r="N914">
        <f>HYPERLINK("CSG9.html#group16D9", "16D⁹"), =HYPERLINK("CSG11.html#group16D11", "16D¹¹"), =HYPERLINK("CSG23.html#group64A23", "64A²³"), =HYPERLINK("CSG21.html#group48AQ21", "48AQ²¹"), =HYPERLINK("CSG21.html#group16D21", "16D²¹"), =HYPERLINK("CSG23.html#group32F23", "32F²³"), =HYPERLINK("CSG13.html#group32P13", "32P¹³"), =HYPERLINK("CSG11.html#group32H11", "32H¹¹"), =HYPERLINK("CSG21.html#group32D21", "32D²¹"), =HYPERLINK("CSG17.html#group16A17", "16A¹⁷")</f>
        <v/>
      </c>
    </row>
    <row r="915">
      <c r="A915" t="inlineStr">
        <is>
          <t>16I⁵</t>
        </is>
      </c>
      <c r="B915" t="inlineStr"/>
      <c r="C915" t="inlineStr">
        <is>
          <t>96</t>
        </is>
      </c>
      <c r="D915" t="inlineStr">
        <is>
          <t>1</t>
        </is>
      </c>
      <c r="E915" t="inlineStr">
        <is>
          <t>24</t>
        </is>
      </c>
      <c r="F915" t="inlineStr">
        <is>
          <t>4</t>
        </is>
      </c>
      <c r="G915" t="inlineStr">
        <is>
          <t>0</t>
        </is>
      </c>
      <c r="H915" t="inlineStr">
        <is>
          <t>16⁶</t>
        </is>
      </c>
      <c r="I915" t="n">
        <v>6</v>
      </c>
      <c r="J915" t="inlineStr">
        <is>
          <t>4², 8²</t>
        </is>
      </c>
      <c r="K915">
        <f>HYPERLINK("CSG1.html#group8H1", "8H¹")</f>
        <v/>
      </c>
      <c r="L915">
        <f>HYPERLINK("CSG9.html#group16J9", "16J⁹"), =HYPERLINK("CSG10.html#group16A10", "16A¹⁰"), =HYPERLINK("CSG10.html#group16C10", "16C¹⁰"), =HYPERLINK("CSG11.html#group16A11", "16A¹¹"), =HYPERLINK("CSG11.html#group16C11", "16C¹¹"), =HYPERLINK("CSG13.html#group32R13", "32R¹³"), =HYPERLINK("CSG19.html#group48S19", "48S¹⁹")</f>
        <v/>
      </c>
      <c r="M915">
        <f>HYPERLINK("CSG0.html#group8H0", "8H⁰"), =HYPERLINK("CSG0.html#group8D0", "8D⁰"), =HYPERLINK("CSG0.html#group4A0", "4A⁰"), =HYPERLINK("CSG0.html#group8K0", "8K⁰"), =HYPERLINK("CSG0.html#group4C0", "4C⁰"), =HYPERLINK("CSG0.html#group8B0", "8B⁰"), =HYPERLINK("CSG0.html#group8A0", "8A⁰"), =HYPERLINK("CSG0.html#group2B0", "2B⁰"), =HYPERLINK("CSG0.html#group4F0", "4F⁰"), =HYPERLINK("CSG0.html#group1A0", "1A⁰"), =HYPERLINK("CSG1.html#group8D1", "8D¹"), =HYPERLINK("CSG1.html#group8H1", "8H¹")</f>
        <v/>
      </c>
      <c r="N915">
        <f>HYPERLINK("CSG22.html#group32A22", "32A²²"), =HYPERLINK("CSG11.html#group16A11", "16A¹¹"), =HYPERLINK("CSG19.html#group16A19", "16A¹⁹"), =HYPERLINK("CSG21.html#group16D21", "16D²¹"), =HYPERLINK("CSG23.html#group32B23", "32B²³"), =HYPERLINK("CSG10.html#group16C10", "16C¹⁰"), =HYPERLINK("CSG19.html#group48S19", "48S¹⁹"), =HYPERLINK("CSG9.html#group16J9", "16J⁹"), =HYPERLINK("CSG10.html#group16A10", "16A¹⁰"), =HYPERLINK("CSG13.html#group32R13", "32R¹³"), =HYPERLINK("CSG21.html#group16F21", "16F²¹"), =HYPERLINK("CSG24.html#group32A24", "32A²⁴"), =HYPERLINK("CSG22.html#group32B22", "32B²²"), =HYPERLINK("CSG24.html#group32B24", "32B²⁴"), =HYPERLINK("CSG21.html#group32W21", "32W²¹"), =HYPERLINK("CSG21.html#group16B21", "16B²¹"), =HYPERLINK("CSG11.html#group16C11", "16C¹¹"), =HYPERLINK("CSG21.html#group32J21", "32J²¹"), =HYPERLINK("CSG21.html#group16E21", "16E²¹")</f>
        <v/>
      </c>
    </row>
    <row r="916">
      <c r="A916" t="inlineStr">
        <is>
          <t>16J⁵</t>
        </is>
      </c>
      <c r="B916" t="inlineStr"/>
      <c r="C916" t="inlineStr">
        <is>
          <t>96</t>
        </is>
      </c>
      <c r="D916" t="inlineStr">
        <is>
          <t>1</t>
        </is>
      </c>
      <c r="E916" t="inlineStr">
        <is>
          <t>24</t>
        </is>
      </c>
      <c r="F916" t="inlineStr">
        <is>
          <t>4</t>
        </is>
      </c>
      <c r="G916" t="inlineStr">
        <is>
          <t>0</t>
        </is>
      </c>
      <c r="H916" t="inlineStr">
        <is>
          <t>16⁶</t>
        </is>
      </c>
      <c r="I916" t="n">
        <v>6</v>
      </c>
      <c r="J916" t="inlineStr">
        <is>
          <t>4², 8²</t>
        </is>
      </c>
      <c r="K916">
        <f>HYPERLINK("CSG1.html#group8H1", "8H¹"), =HYPERLINK("CSG3.html#group16G3", "16G³")</f>
        <v/>
      </c>
      <c r="L916">
        <f>HYPERLINK("CSG9.html#group16I9", "16I⁹"), =HYPERLINK("CSG10.html#group16B10", "16B¹⁰"), =HYPERLINK("CSG10.html#group16C10", "16C¹⁰"), =HYPERLINK("CSG11.html#group16A11", "16A¹¹"), =HYPERLINK("CSG11.html#group16B11", "16B¹¹"), =HYPERLINK("CSG19.html#group48T19", "48T¹⁹")</f>
        <v/>
      </c>
      <c r="M916">
        <f>HYPERLINK("CSG0.html#group8H0", "8H⁰"), =HYPERLINK("CSG0.html#group16A0", "16A⁰"), =HYPERLINK("CSG0.html#group8D0", "8D⁰"), =HYPERLINK("CSG0.html#group4A0", "4A⁰"), =HYPERLINK("CSG0.html#group8K0", "8K⁰"), =HYPERLINK("CSG0.html#group4C0", "4C⁰"), =HYPERLINK("CSG0.html#group8A0", "8A⁰"), =HYPERLINK("CSG0.html#group8B0", "8B⁰"), =HYPERLINK("CSG3.html#group16G3", "16G³"), =HYPERLINK("CSG0.html#group2B0", "2B⁰"), =HYPERLINK("CSG0.html#group4F0", "4F⁰"), =HYPERLINK("CSG0.html#group1A0", "1A⁰"), =HYPERLINK("CSG1.html#group8D1", "8D¹"), =HYPERLINK("CSG1.html#group8H1", "8H¹")</f>
        <v/>
      </c>
      <c r="N916">
        <f>HYPERLINK("CSG11.html#group16A11", "16A¹¹"), =HYPERLINK("CSG19.html#group48T19", "48T¹⁹"), =HYPERLINK("CSG19.html#group16A19", "16A¹⁹"), =HYPERLINK("CSG24.html#group32C24", "32C²⁴"), =HYPERLINK("CSG21.html#group16D21", "16D²¹"), =HYPERLINK("CSG21.html#group32X21", "32X²¹"), =HYPERLINK("CSG10.html#group16C10", "16C¹⁰"), =HYPERLINK("CSG24.html#group32D24", "32D²⁴"), =HYPERLINK("CSG21.html#group32I21", "32I²¹"), =HYPERLINK("CSG11.html#group16B11", "16B¹¹"), =HYPERLINK("CSG21.html#group16F21", "16F²¹"), =HYPERLINK("CSG23.html#group32G23", "32G²³"), =HYPERLINK("CSG10.html#group16B10", "16B¹⁰"), =HYPERLINK("CSG23.html#group32A23", "32A²³"), =HYPERLINK("CSG21.html#group16B21", "16B²¹"), =HYPERLINK("CSG9.html#group16I9", "16I⁹"), =HYPERLINK("CSG21.html#group16E21", "16E²¹")</f>
        <v/>
      </c>
    </row>
    <row r="917">
      <c r="A917" t="inlineStr">
        <is>
          <t>16K⁵</t>
        </is>
      </c>
      <c r="B917" t="inlineStr"/>
      <c r="C917" t="inlineStr">
        <is>
          <t>128</t>
        </is>
      </c>
      <c r="D917" t="inlineStr">
        <is>
          <t>1</t>
        </is>
      </c>
      <c r="E917" t="inlineStr">
        <is>
          <t>16</t>
        </is>
      </c>
      <c r="F917" t="inlineStr">
        <is>
          <t>0</t>
        </is>
      </c>
      <c r="G917" t="inlineStr">
        <is>
          <t>8</t>
        </is>
      </c>
      <c r="H917" t="inlineStr">
        <is>
          <t>16⁸</t>
        </is>
      </c>
      <c r="I917" t="n">
        <v>8</v>
      </c>
      <c r="J917" t="inlineStr">
        <is>
          <t>4⁴</t>
        </is>
      </c>
      <c r="K917">
        <f>HYPERLINK("CSG0.html#group16F0", "16F⁰"), =HYPERLINK("CSG1.html#group8J1", "8J¹"), =HYPERLINK("CSG2.html#group16H2", "16H²")</f>
        <v/>
      </c>
      <c r="L917">
        <f>HYPERLINK("CSG13.html#group32S13", "32S¹³"), =HYPERLINK("CSG21.html#group16B21", "16B²¹")</f>
        <v/>
      </c>
      <c r="M917">
        <f>HYPERLINK("CSG0.html#group2A0", "2A⁰"), =HYPERLINK("CSG0.html#group8F0", "8F⁰"), =HYPERLINK("CSG0.html#group16A0", "16A⁰"), =HYPERLINK("CSG2.html#group16H2", "16H²"), =HYPERLINK("CSG0.html#group4A0", "4A⁰"), =HYPERLINK("CSG0.html#group16F0", "16F⁰"), =HYPERLINK("CSG0.html#group4D0", "4D⁰"), =HYPERLINK("CSG0.html#group8A0", "8A⁰"), =HYPERLINK("CSG0.html#group8E0", "8E⁰"), =HYPERLINK("CSG1.html#group8E1", "8E¹"), =HYPERLINK("CSG0.html#group8M0", "8M⁰"), =HYPERLINK("CSG1.html#group8J1", "8J¹"), =HYPERLINK("CSG0.html#group1A0", "1A⁰")</f>
        <v/>
      </c>
      <c r="N917">
        <f>HYPERLINK("CSG21.html#group16B21", "16B²¹"), =HYPERLINK("CSG13.html#group32S13", "32S¹³")</f>
        <v/>
      </c>
    </row>
    <row r="918">
      <c r="A918" t="inlineStr">
        <is>
          <t>16L⁵</t>
        </is>
      </c>
      <c r="B918" t="inlineStr"/>
      <c r="C918" t="inlineStr">
        <is>
          <t>128</t>
        </is>
      </c>
      <c r="D918" t="inlineStr">
        <is>
          <t>2</t>
        </is>
      </c>
      <c r="E918" t="inlineStr">
        <is>
          <t>64</t>
        </is>
      </c>
      <c r="F918" t="inlineStr">
        <is>
          <t>8</t>
        </is>
      </c>
      <c r="G918" t="inlineStr">
        <is>
          <t>2</t>
        </is>
      </c>
      <c r="H918" t="inlineStr">
        <is>
          <t>16⁸</t>
        </is>
      </c>
      <c r="I918" t="n">
        <v>8</v>
      </c>
      <c r="J918" t="inlineStr">
        <is>
          <t>8¹⁶</t>
        </is>
      </c>
      <c r="K918">
        <f>HYPERLINK("CSG0.html#group8M0", "8M⁰"), =HYPERLINK("CSG2.html#group16G2", "16G²")</f>
        <v/>
      </c>
      <c r="L918">
        <f>HYPERLINK("CSG11.html#group16E11", "16E¹¹"), =HYPERLINK("CSG13.html#group16A13", "16A¹³"), =HYPERLINK("CSG19.html#group16B19", "16B¹⁹"), =HYPERLINK("CSG23.html#group48E23", "48E²³")</f>
        <v/>
      </c>
      <c r="M918">
        <f>HYPERLINK("CSG0.html#group8A0", "8A⁰"), =HYPERLINK("CSG2.html#group16G2", "16G²"), =HYPERLINK("CSG0.html#group8F0", "8F⁰"), =HYPERLINK("CSG0.html#group8M0", "8M⁰"), =HYPERLINK("CSG0.html#group1A0", "1A⁰"), =HYPERLINK("CSG0.html#group4A0", "4A⁰")</f>
        <v/>
      </c>
      <c r="N918">
        <f>HYPERLINK("CSG11.html#group16E11", "16E¹¹"), =HYPERLINK("CSG23.html#group48E23", "48E²³"), =HYPERLINK("CSG13.html#group16A13", "16A¹³"), =HYPERLINK("CSG19.html#group16B19", "16B¹⁹")</f>
        <v/>
      </c>
    </row>
    <row r="919">
      <c r="A919" t="inlineStr">
        <is>
          <t>16M⁵</t>
        </is>
      </c>
      <c r="B919" t="inlineStr"/>
      <c r="C919" t="inlineStr">
        <is>
          <t>192</t>
        </is>
      </c>
      <c r="D919" t="inlineStr">
        <is>
          <t>1</t>
        </is>
      </c>
      <c r="E919" t="inlineStr">
        <is>
          <t>3</t>
        </is>
      </c>
      <c r="F919" t="inlineStr">
        <is>
          <t>0</t>
        </is>
      </c>
      <c r="G919" t="inlineStr">
        <is>
          <t>0</t>
        </is>
      </c>
      <c r="H919" t="inlineStr">
        <is>
          <t>4¹⁶, 16⁸</t>
        </is>
      </c>
      <c r="I919" t="n">
        <v>24</v>
      </c>
      <c r="J919" t="inlineStr">
        <is>
          <t>1³</t>
        </is>
      </c>
      <c r="K919">
        <f>HYPERLINK("CSG1.html#group8K1", "8K¹"), =HYPERLINK("CSG1.html#group16M1", "16M¹"), =HYPERLINK("CSG2.html#group16L2", "16L²"), =HYPERLINK("CSG3.html#group16H3", "16H³"), =HYPERLINK("CSG3.html#group16I3", "16I³"), =HYPERLINK("CSG3.html#group16J3", "16J³")</f>
        <v/>
      </c>
      <c r="L919">
        <f>HYPERLINK("CSG13.html#group16C13", "16C¹³"), =HYPERLINK("CSG13.html#group32T13", "32T¹³"), =HYPERLINK("CSG17.html#group16A17", "16A¹⁷"), =HYPERLINK("CSG17.html#group32A17", "32A¹⁷"), =HYPERLINK("CSG21.html#group32C21", "32C²¹")</f>
        <v/>
      </c>
      <c r="M919">
        <f>HYPERLINK("CSG0.html#group2A0", "2A⁰"), =HYPERLINK("CSG0.html#group16G0", "16G⁰"), =HYPERLINK("CSG1.html#group16I1", "16I¹"), =HYPERLINK("CSG0.html#group4C0", "4C⁰"), =HYPERLINK("CSG0.html#group4G0", "4G⁰"), =HYPERLINK("CSG0.html#group2B0", "2B⁰"), =HYPERLINK("CSG0.html#group4E0", "4E⁰"), =HYPERLINK("CSG0.html#group8L0", "8L⁰"), =HYPERLINK("CSG0.html#group8C0", "8C⁰"), =HYPERLINK("CSG3.html#group16J3", "16J³"), =HYPERLINK("CSG0.html#group4B0", "4B⁰"), =HYPERLINK("CSG1.html#group8F1", "8F¹"), =HYPERLINK("CSG0.html#group8K0", "8K⁰"), =HYPERLINK("CSG0.html#group1A0", "1A⁰"), =HYPERLINK("CSG0.html#group16H0", "16H⁰"), =HYPERLINK("CSG0.html#group16E0", "16E⁰"), =HYPERLINK("CSG0.html#group8G0", "8G⁰"), =HYPERLINK("CSG1.html#group8G1", "8G¹"), =HYPERLINK("CSG0.html#group4D0", "4D⁰"), =HYPERLINK("CSG0.html#group16C0", "16C⁰"), =HYPERLINK("CSG1.html#group16M1", "16M¹"), =HYPERLINK("CSG0.html#group8P0", "8P⁰"), =HYPERLINK("CSG1.html#group16H1", "16H¹"), =HYPERLINK("CSG2.html#group16D2", "16D²"), =HYPERLINK("CSG0.html#group8N0", "8N⁰"), =HYPERLINK("CSG1.html#group8A1", "8A¹"), =HYPERLINK("CSG2.html#group16C2", "16C²"), =HYPERLINK("CSG1.html#group8K1", "8K¹"), =HYPERLINK("CSG0.html#group8D0", "8D⁰"), =HYPERLINK("CSG1.html#group16E1", "16E¹"), =HYPERLINK("CSG0.html#group8B0", "8B⁰"), =HYPERLINK("CSG1.html#group8B1", "8B¹"), =HYPERLINK("CSG0.html#group8I0", "8I⁰"), =HYPERLINK("CSG2.html#group16L2", "16L²"), =HYPERLINK("CSG3.html#group16I3", "16I³"), =HYPERLINK("CSG1.html#group16A1", "16A¹"), =HYPERLINK("CSG3.html#group16H3", "16H³"), =HYPERLINK("CSG0.html#group8H0", "8H⁰"), =HYPERLINK("CSG1.html#group8C1", "8C¹"), =HYPERLINK("CSG1.html#group16G1", "16G¹"), =HYPERLINK("CSG0.html#group4A0", "4A⁰"), =HYPERLINK("CSG1.html#group16C1", "16C¹"), =HYPERLINK("CSG0.html#group16D0", "16D⁰"), =HYPERLINK("CSG0.html#group4F0", "4F⁰"), =HYPERLINK("CSG0.html#group8J0", "8J⁰"), =HYPERLINK("CSG0.html#group2C0", "2C⁰"), =HYPERLINK("CSG0.html#group8O0", "8O⁰")</f>
        <v/>
      </c>
      <c r="N919">
        <f>HYPERLINK("CSG13.html#group32T13", "32T¹³"), =HYPERLINK("CSG13.html#group16C13", "16C¹³"), =HYPERLINK("CSG17.html#group32A17", "32A¹⁷"), =HYPERLINK("CSG17.html#group16A17", "16A¹⁷"), =HYPERLINK("CSG21.html#group32C21", "32C²¹")</f>
        <v/>
      </c>
    </row>
    <row r="920">
      <c r="A920" t="inlineStr">
        <is>
          <t>16N⁵</t>
        </is>
      </c>
      <c r="B920" t="inlineStr"/>
      <c r="C920" t="inlineStr">
        <is>
          <t>192</t>
        </is>
      </c>
      <c r="D920" t="inlineStr">
        <is>
          <t>1</t>
        </is>
      </c>
      <c r="E920" t="inlineStr">
        <is>
          <t>12</t>
        </is>
      </c>
      <c r="F920" t="inlineStr">
        <is>
          <t>0</t>
        </is>
      </c>
      <c r="G920" t="inlineStr">
        <is>
          <t>0</t>
        </is>
      </c>
      <c r="H920" t="inlineStr">
        <is>
          <t>2⁸, 4⁴, 8⁴, 16⁸</t>
        </is>
      </c>
      <c r="I920" t="n">
        <v>24</v>
      </c>
      <c r="J920" t="inlineStr">
        <is>
          <t>1⁴, 2², 4¹</t>
        </is>
      </c>
      <c r="K920">
        <f>HYPERLINK("CSG1.html#group16M1", "16M¹"), =HYPERLINK("CSG2.html#group16J2", "16J²"), =HYPERLINK("CSG2.html#group16K2", "16K²"), =HYPERLINK("CSG3.html#group16N3", "16N³")</f>
        <v/>
      </c>
      <c r="L920">
        <f>HYPERLINK("CSG13.html#group16C13", "16C¹³"), =HYPERLINK("CSG13.html#group32U13", "32U¹³"), =HYPERLINK("CSG17.html#group32B17", "32B¹⁷"), =HYPERLINK("CSG17.html#group32D17", "32D¹⁷")</f>
        <v/>
      </c>
      <c r="M920">
        <f>HYPERLINK("CSG0.html#group16G0", "16G⁰"), =HYPERLINK("CSG0.html#group2A0", "2A⁰"), =HYPERLINK("CSG0.html#group4C0", "4C⁰"), =HYPERLINK("CSG1.html#group16A1", "16A¹"), =HYPERLINK("CSG0.html#group8C0", "8C⁰"), =HYPERLINK("CSG0.html#group2B0", "2B⁰"), =HYPERLINK("CSG0.html#group4E0", "4E⁰"), =HYPERLINK("CSG0.html#group4B0", "4B⁰"), =HYPERLINK("CSG0.html#group1A0", "1A⁰"), =HYPERLINK("CSG2.html#group16J2", "16J²"), =HYPERLINK("CSG0.html#group16H0", "16H⁰"), =HYPERLINK("CSG0.html#group16E0", "16E⁰"), =HYPERLINK("CSG0.html#group8G0", "8G⁰"), =HYPERLINK("CSG0.html#group16C0", "16C⁰"), =HYPERLINK("CSG1.html#group16M1", "16M¹"), =HYPERLINK("CSG0.html#group8D0", "8D⁰"), =HYPERLINK("CSG1.html#group16E1", "16E¹"), =HYPERLINK("CSG0.html#group8I0", "8I⁰"), =HYPERLINK("CSG2.html#group16K2", "16K²"), =HYPERLINK("CSG3.html#group16N3", "16N³"), =HYPERLINK("CSG1.html#group16G1", "16G¹"), =HYPERLINK("CSG0.html#group16D0", "16D⁰"), =HYPERLINK("CSG0.html#group8J0", "8J⁰"), =HYPERLINK("CSG0.html#group2C0", "2C⁰"), =HYPERLINK("CSG0.html#group8O0", "8O⁰")</f>
        <v/>
      </c>
      <c r="N920">
        <f>HYPERLINK("CSG17.html#group32D17", "32D¹⁷"), =HYPERLINK("CSG17.html#group32B17", "32B¹⁷"), =HYPERLINK("CSG13.html#group16C13", "16C¹³"), =HYPERLINK("CSG13.html#group32U13", "32U¹³")</f>
        <v/>
      </c>
    </row>
    <row r="921">
      <c r="A921" t="inlineStr">
        <is>
          <t>16O⁵</t>
        </is>
      </c>
      <c r="B921" t="inlineStr"/>
      <c r="C921" t="inlineStr">
        <is>
          <t>192</t>
        </is>
      </c>
      <c r="D921" t="inlineStr">
        <is>
          <t>1</t>
        </is>
      </c>
      <c r="E921" t="inlineStr">
        <is>
          <t>12</t>
        </is>
      </c>
      <c r="F921" t="inlineStr">
        <is>
          <t>0</t>
        </is>
      </c>
      <c r="G921" t="inlineStr">
        <is>
          <t>0</t>
        </is>
      </c>
      <c r="H921" t="inlineStr">
        <is>
          <t>4⁸, 8¹², 16⁴</t>
        </is>
      </c>
      <c r="I921" t="n">
        <v>24</v>
      </c>
      <c r="J921" t="inlineStr">
        <is>
          <t>1⁸, 2²</t>
        </is>
      </c>
      <c r="K921">
        <f>HYPERLINK("CSG1.html#group8K1", "8K¹"), =HYPERLINK("CSG2.html#group16I2", "16I²"), =HYPERLINK("CSG2.html#group16K2", "16K²"), =HYPERLINK("CSG3.html#group16O3", "16O³")</f>
        <v/>
      </c>
      <c r="L921">
        <f>HYPERLINK("CSG13.html#group16B13", "16B¹³"), =HYPERLINK("CSG13.html#group16C13", "16C¹³"), =HYPERLINK("CSG17.html#group16B17", "16B¹⁷"), =HYPERLINK("CSG17.html#group32E17", "32E¹⁷")</f>
        <v/>
      </c>
      <c r="M921">
        <f>HYPERLINK("CSG0.html#group2A0", "2A⁰"), =HYPERLINK("CSG0.html#group4C0", "4C⁰"), =HYPERLINK("CSG0.html#group4G0", "4G⁰"), =HYPERLINK("CSG0.html#group2B0", "2B⁰"), =HYPERLINK("CSG0.html#group4E0", "4E⁰"), =HYPERLINK("CSG0.html#group8L0", "8L⁰"), =HYPERLINK("CSG0.html#group8C0", "8C⁰"), =HYPERLINK("CSG0.html#group4B0", "4B⁰"), =HYPERLINK("CSG1.html#group8F1", "8F¹"), =HYPERLINK("CSG0.html#group8K0", "8K⁰"), =HYPERLINK("CSG0.html#group1A0", "1A⁰"), =HYPERLINK("CSG0.html#group8G0", "8G⁰"), =HYPERLINK("CSG1.html#group8G1", "8G¹"), =HYPERLINK("CSG0.html#group4D0", "4D⁰"), =HYPERLINK("CSG0.html#group8P0", "8P⁰"), =HYPERLINK("CSG1.html#group16K1", "16K¹"), =HYPERLINK("CSG0.html#group8N0", "8N⁰"), =HYPERLINK("CSG1.html#group8A1", "8A¹"), =HYPERLINK("CSG1.html#group8K1", "8K¹"), =HYPERLINK("CSG0.html#group8D0", "8D⁰"), =HYPERLINK("CSG3.html#group16O3", "16O³"), =HYPERLINK("CSG2.html#group16I2", "16I²"), =HYPERLINK("CSG0.html#group8B0", "8B⁰"), =HYPERLINK("CSG1.html#group8B1", "8B¹"), =HYPERLINK("CSG0.html#group8I0", "8I⁰"), =HYPERLINK("CSG2.html#group16K2", "16K²"), =HYPERLINK("CSG0.html#group8H0", "8H⁰"), =HYPERLINK("CSG1.html#group16L1", "16L¹"), =HYPERLINK("CSG1.html#group8C1", "8C¹"), =HYPERLINK("CSG0.html#group4A0", "4A⁰"), =HYPERLINK("CSG0.html#group4F0", "4F⁰"), =HYPERLINK("CSG0.html#group8J0", "8J⁰"), =HYPERLINK("CSG0.html#group2C0", "2C⁰"), =HYPERLINK("CSG0.html#group8O0", "8O⁰")</f>
        <v/>
      </c>
      <c r="N921">
        <f>HYPERLINK("CSG13.html#group16B13", "16B¹³"), =HYPERLINK("CSG17.html#group32E17", "32E¹⁷"), =HYPERLINK("CSG13.html#group16C13", "16C¹³"), =HYPERLINK("CSG17.html#group16B17", "16B¹⁷")</f>
        <v/>
      </c>
    </row>
    <row r="922">
      <c r="A922" t="inlineStr">
        <is>
          <t>17A⁵</t>
        </is>
      </c>
      <c r="B922" t="inlineStr">
        <is>
          <t>Γ₁(17)</t>
        </is>
      </c>
      <c r="C922" t="inlineStr">
        <is>
          <t>144</t>
        </is>
      </c>
      <c r="D922" t="inlineStr">
        <is>
          <t>1</t>
        </is>
      </c>
      <c r="E922" t="inlineStr">
        <is>
          <t>18</t>
        </is>
      </c>
      <c r="F922" t="inlineStr">
        <is>
          <t>0</t>
        </is>
      </c>
      <c r="G922" t="inlineStr">
        <is>
          <t>0</t>
        </is>
      </c>
      <c r="H922" t="inlineStr">
        <is>
          <t>1⁸, 17⁸</t>
        </is>
      </c>
      <c r="I922" t="n">
        <v>16</v>
      </c>
      <c r="J922" t="inlineStr">
        <is>
          <t>1², 16¹</t>
        </is>
      </c>
      <c r="K922">
        <f>HYPERLINK("CSG1.html#group17C1", "17C¹")</f>
        <v/>
      </c>
      <c r="L922">
        <f>HYPERLINK("CSG17.html#group34A17", "34A¹⁷"), =HYPERLINK("CSG21.html#group34A21", "34A²¹")</f>
        <v/>
      </c>
      <c r="M922">
        <f>HYPERLINK("CSG1.html#group17A1", "17A¹"), =HYPERLINK("CSG0.html#group1A0", "1A⁰"), =HYPERLINK("CSG1.html#group17C1", "17C¹"), =HYPERLINK("CSG1.html#group17B1", "17B¹")</f>
        <v/>
      </c>
      <c r="N922">
        <f>HYPERLINK("CSG21.html#group34A21", "34A²¹"), =HYPERLINK("CSG17.html#group34A17", "34A¹⁷")</f>
        <v/>
      </c>
    </row>
    <row r="923">
      <c r="A923" t="inlineStr">
        <is>
          <t>18A⁵</t>
        </is>
      </c>
      <c r="B923" t="inlineStr"/>
      <c r="C923" t="inlineStr">
        <is>
          <t>72</t>
        </is>
      </c>
      <c r="D923" t="inlineStr">
        <is>
          <t>1</t>
        </is>
      </c>
      <c r="E923" t="inlineStr">
        <is>
          <t>3</t>
        </is>
      </c>
      <c r="F923" t="inlineStr">
        <is>
          <t>0</t>
        </is>
      </c>
      <c r="G923" t="inlineStr">
        <is>
          <t>0</t>
        </is>
      </c>
      <c r="H923" t="inlineStr">
        <is>
          <t>18⁴</t>
        </is>
      </c>
      <c r="I923" t="n">
        <v>4</v>
      </c>
      <c r="J923" t="inlineStr">
        <is>
          <t>1¹, 2¹</t>
        </is>
      </c>
      <c r="K923">
        <f>HYPERLINK("CSG0.html#group18D0", "18D⁰"), =HYPERLINK("CSG1.html#group6D1", "6D¹"), =HYPERLINK("CSG2.html#group9A2", "9A²"), =HYPERLINK("CSG2.html#group18G2", "18G²"), =HYPERLINK("CSG3.html#group18A3", "18A³"), =HYPERLINK("CSG3.html#group18C3", "18C³")</f>
        <v/>
      </c>
      <c r="L923">
        <f>HYPERLINK("CSG11.html#group36A11", "36A¹¹"), =HYPERLINK("CSG13.html#group18A13", "18A¹³"), =HYPERLINK("CSG13.html#group18B13", "18B¹³"), =HYPERLINK("CSG13.html#group18C13", "18C¹³"), =HYPERLINK("CSG13.html#group18F13", "18F¹³"), =HYPERLINK("CSG13.html#group18H13", "18H¹³"), =HYPERLINK("CSG21.html#group36A21", "36A²¹")</f>
        <v/>
      </c>
      <c r="M923">
        <f>HYPERLINK("CSG0.html#group3B0", "3B⁰"), =HYPERLINK("CSG0.html#group2A0", "2A⁰"), =HYPERLINK("CSG0.html#group6B0", "6B⁰"), =HYPERLINK("CSG0.html#group6C0", "6C⁰"), =HYPERLINK("CSG3.html#group18A3", "18A³"), =HYPERLINK("CSG2.html#group18A2", "18A²"), =HYPERLINK("CSG0.html#group1A0", "1A⁰"), =HYPERLINK("CSG1.html#group9B1", "9B¹"), =HYPERLINK("CSG0.html#group18A0", "18A⁰"), =HYPERLINK("CSG0.html#group9D0", "9D⁰"), =HYPERLINK("CSG0.html#group18D0", "18D⁰"), =HYPERLINK("CSG1.html#group6D1", "6D¹"), =HYPERLINK("CSG2.html#group9A2", "9A²"), =HYPERLINK("CSG0.html#group6E0", "6E⁰"), =HYPERLINK("CSG1.html#group6B1", "6B¹"), =HYPERLINK("CSG0.html#group9A0", "9A⁰"), =HYPERLINK("CSG3.html#group18C3", "18C³"), =HYPERLINK("CSG0.html#group3C0", "3C⁰"), =HYPERLINK("CSG1.html#group6A1", "6A¹"), =HYPERLINK("CSG2.html#group18G2", "18G²"), =HYPERLINK("CSG0.html#group3A0", "3A⁰"), =HYPERLINK("CSG0.html#group3D0", "3D⁰"), =HYPERLINK("CSG1.html#group18A1", "18A¹")</f>
        <v/>
      </c>
      <c r="N923">
        <f>HYPERLINK("CSG13.html#group18A13", "18A¹³"), =HYPERLINK("CSG13.html#group18B13", "18B¹³"), =HYPERLINK("CSG13.html#group18H13", "18H¹³"), =HYPERLINK("CSG13.html#group18F13", "18F¹³"), =HYPERLINK("CSG21.html#group36A21", "36A²¹"), =HYPERLINK("CSG13.html#group18C13", "18C¹³"), =HYPERLINK("CSG11.html#group36A11", "36A¹¹")</f>
        <v/>
      </c>
    </row>
    <row r="924">
      <c r="A924" t="inlineStr">
        <is>
          <t>18B⁵</t>
        </is>
      </c>
      <c r="B924" t="inlineStr"/>
      <c r="C924" t="inlineStr">
        <is>
          <t>72</t>
        </is>
      </c>
      <c r="D924" t="inlineStr">
        <is>
          <t>1</t>
        </is>
      </c>
      <c r="E924" t="inlineStr">
        <is>
          <t>6</t>
        </is>
      </c>
      <c r="F924" t="inlineStr">
        <is>
          <t>0</t>
        </is>
      </c>
      <c r="G924" t="inlineStr">
        <is>
          <t>0</t>
        </is>
      </c>
      <c r="H924" t="inlineStr">
        <is>
          <t>18⁴</t>
        </is>
      </c>
      <c r="I924" t="n">
        <v>4</v>
      </c>
      <c r="J924" t="inlineStr">
        <is>
          <t>2³</t>
        </is>
      </c>
      <c r="K924">
        <f>HYPERLINK("CSG1.html#group6D1", "6D¹"), =HYPERLINK("CSG2.html#group18H2", "18H²"), =HYPERLINK("CSG3.html#group18B3", "18B³")</f>
        <v/>
      </c>
      <c r="L924">
        <f>HYPERLINK("CSG11.html#group36B11", "36B¹¹"), =HYPERLINK("CSG13.html#group18B13", "18B¹³"), =HYPERLINK("CSG13.html#group18D13", "18D¹³"), =HYPERLINK("CSG13.html#group18E13", "18E¹³"), =HYPERLINK("CSG13.html#group18G13", "18G¹³"), =HYPERLINK("CSG13.html#group18H13", "18H¹³"), =HYPERLINK("CSG21.html#group36B21", "36B²¹")</f>
        <v/>
      </c>
      <c r="M924">
        <f>HYPERLINK("CSG0.html#group2A0", "2A⁰"), =HYPERLINK("CSG0.html#group3B0", "3B⁰"), =HYPERLINK("CSG0.html#group6B0", "6B⁰"), =HYPERLINK("CSG0.html#group6C0", "6C⁰"), =HYPERLINK("CSG1.html#group18B1", "18B¹"), =HYPERLINK("CSG0.html#group1A0", "1A⁰"), =HYPERLINK("CSG1.html#group6D1", "6D¹"), =HYPERLINK("CSG2.html#group18H2", "18H²"), =HYPERLINK("CSG0.html#group6E0", "6E⁰"), =HYPERLINK("CSG1.html#group6B1", "6B¹"), =HYPERLINK("CSG3.html#group18B3", "18B³"), =HYPERLINK("CSG0.html#group3C0", "3C⁰"), =HYPERLINK("CSG1.html#group6A1", "6A¹"), =HYPERLINK("CSG0.html#group3A0", "3A⁰"), =HYPERLINK("CSG0.html#group3D0", "3D⁰")</f>
        <v/>
      </c>
      <c r="N924">
        <f>HYPERLINK("CSG13.html#group18B13", "18B¹³"), =HYPERLINK("CSG13.html#group18G13", "18G¹³"), =HYPERLINK("CSG21.html#group36B21", "36B²¹"), =HYPERLINK("CSG13.html#group18E13", "18E¹³"), =HYPERLINK("CSG13.html#group18H13", "18H¹³"), =HYPERLINK("CSG13.html#group18D13", "18D¹³"), =HYPERLINK("CSG11.html#group36B11", "36B¹¹")</f>
        <v/>
      </c>
    </row>
    <row r="925">
      <c r="A925" t="inlineStr">
        <is>
          <t>20A⁵</t>
        </is>
      </c>
      <c r="B925" t="inlineStr"/>
      <c r="C925" t="inlineStr">
        <is>
          <t>80</t>
        </is>
      </c>
      <c r="D925" t="inlineStr">
        <is>
          <t>1</t>
        </is>
      </c>
      <c r="E925" t="inlineStr">
        <is>
          <t>40</t>
        </is>
      </c>
      <c r="F925" t="inlineStr">
        <is>
          <t>0</t>
        </is>
      </c>
      <c r="G925" t="inlineStr">
        <is>
          <t>2</t>
        </is>
      </c>
      <c r="H925" t="inlineStr">
        <is>
          <t>20⁴</t>
        </is>
      </c>
      <c r="I925" t="n">
        <v>4</v>
      </c>
      <c r="J925" t="inlineStr">
        <is>
          <t>4², 8⁴</t>
        </is>
      </c>
      <c r="K925">
        <f>HYPERLINK("CSG0.html#group4D0", "4D⁰"), =HYPERLINK("CSG1.html#group10C1", "10C¹"), =HYPERLINK("CSG2.html#group20E2", "20E²")</f>
        <v/>
      </c>
      <c r="L925">
        <f>HYPERLINK("CSG9.html#group20A9", "20A⁹"), =HYPERLINK("CSG11.html#group40A11", "40A¹¹"), =HYPERLINK("CSG11.html#group40B11", "40B¹¹"), =HYPERLINK("CSG15.html#group20D15", "20D¹⁵"), =HYPERLINK("CSG15.html#group20F15", "20F¹⁵"), =HYPERLINK("CSG18.html#group60E18", "60E¹⁸"), =HYPERLINK("CSG19.html#group60E19", "60E¹⁹"), =HYPERLINK("CSG23.html#group40A23", "40A²³"), =HYPERLINK("CSG23.html#group60B23", "60B²³")</f>
        <v/>
      </c>
      <c r="M925">
        <f>HYPERLINK("CSG0.html#group2A0", "2A⁰"), =HYPERLINK("CSG0.html#group4A0", "4A⁰"), =HYPERLINK("CSG0.html#group4D0", "4D⁰"), =HYPERLINK("CSG0.html#group5C0", "5C⁰"), =HYPERLINK("CSG1.html#group10C1", "10C¹"), =HYPERLINK("CSG0.html#group1A0", "1A⁰"), =HYPERLINK("CSG2.html#group20E2", "20E²")</f>
        <v/>
      </c>
      <c r="N925">
        <f>HYPERLINK("CSG21.html#group40B21", "40B²¹"), =HYPERLINK("CSG17.html#group20A17", "20A¹⁷"), =HYPERLINK("CSG11.html#group40B11", "40B¹¹"), =HYPERLINK("CSG15.html#group20F15", "20F¹⁵"), =HYPERLINK("CSG19.html#group60E19", "60E¹⁹"), =HYPERLINK("CSG23.html#group60B23", "60B²³"), =HYPERLINK("CSG23.html#group80B23", "80B²³"), =HYPERLINK("CSG9.html#group20A9", "20A⁹"), =HYPERLINK("CSG23.html#group80A23", "80A²³"), =HYPERLINK("CSG18.html#group60E18", "60E¹⁸"), =HYPERLINK("CSG15.html#group20D15", "20D¹⁵"), =HYPERLINK("CSG23.html#group40A23", "40A²³"), =HYPERLINK("CSG23.html#group80C23", "80C²³"), =HYPERLINK("CSG11.html#group40A11", "40A¹¹"), =HYPERLINK("CSG21.html#group40A21", "40A²¹")</f>
        <v/>
      </c>
    </row>
    <row r="926">
      <c r="A926" t="inlineStr">
        <is>
          <t>20B⁵</t>
        </is>
      </c>
      <c r="B926" t="inlineStr"/>
      <c r="C926" t="inlineStr">
        <is>
          <t>80</t>
        </is>
      </c>
      <c r="D926" t="inlineStr">
        <is>
          <t>1</t>
        </is>
      </c>
      <c r="E926" t="inlineStr">
        <is>
          <t>40</t>
        </is>
      </c>
      <c r="F926" t="inlineStr">
        <is>
          <t>0</t>
        </is>
      </c>
      <c r="G926" t="inlineStr">
        <is>
          <t>2</t>
        </is>
      </c>
      <c r="H926" t="inlineStr">
        <is>
          <t>20⁴</t>
        </is>
      </c>
      <c r="I926" t="n">
        <v>4</v>
      </c>
      <c r="J926" t="inlineStr">
        <is>
          <t>4², 8⁴</t>
        </is>
      </c>
      <c r="K926">
        <f>HYPERLINK("CSG0.html#group5F0", "5F⁰"), =HYPERLINK("CSG1.html#group20A1", "20A¹"), =HYPERLINK("CSG2.html#group20E2", "20E²")</f>
        <v/>
      </c>
      <c r="L926">
        <f>HYPERLINK("CSG9.html#group20A9", "20A⁹"), =HYPERLINK("CSG11.html#group40D11", "40D¹¹"), =HYPERLINK("CSG15.html#group20B15", "20B¹⁵"), =HYPERLINK("CSG15.html#group20G15", "20G¹⁵"), =HYPERLINK("CSG18.html#group60F18", "60F¹⁸"), =HYPERLINK("CSG19.html#group60F19", "60F¹⁹"), =HYPERLINK("CSG23.html#group40B23", "40B²³"), =HYPERLINK("CSG23.html#group60C23", "60C²³")</f>
        <v/>
      </c>
      <c r="M926">
        <f>HYPERLINK("CSG0.html#group5A0", "5A⁰"), =HYPERLINK("CSG0.html#group4A0", "4A⁰"), =HYPERLINK("CSG0.html#group5C0", "5C⁰"), =HYPERLINK("CSG0.html#group5F0", "5F⁰"), =HYPERLINK("CSG1.html#group20A1", "20A¹"), =HYPERLINK("CSG0.html#group1A0", "1A⁰"), =HYPERLINK("CSG2.html#group20E2", "20E²")</f>
        <v/>
      </c>
      <c r="N926">
        <f>HYPERLINK("CSG21.html#group40B21", "40B²¹"), =HYPERLINK("CSG17.html#group20A17", "20A¹⁷"), =HYPERLINK("CSG19.html#group60F19", "60F¹⁹"), =HYPERLINK("CSG9.html#group20A9", "20A⁹"), =HYPERLINK("CSG23.html#group60C23", "60C²³"), =HYPERLINK("CSG11.html#group40D11", "40D¹¹"), =HYPERLINK("CSG23.html#group80E23", "80E²³"), =HYPERLINK("CSG15.html#group20B15", "20B¹⁵"), =HYPERLINK("CSG15.html#group20G15", "20G¹⁵"), =HYPERLINK("CSG18.html#group60F18", "60F¹⁸"), =HYPERLINK("CSG23.html#group40B23", "40B²³"), =HYPERLINK("CSG21.html#group40A21", "40A²¹")</f>
        <v/>
      </c>
    </row>
    <row r="927">
      <c r="A927" t="inlineStr">
        <is>
          <t>20C⁵</t>
        </is>
      </c>
      <c r="B927" t="inlineStr"/>
      <c r="C927" t="inlineStr">
        <is>
          <t>90</t>
        </is>
      </c>
      <c r="D927" t="inlineStr">
        <is>
          <t>1</t>
        </is>
      </c>
      <c r="E927" t="inlineStr">
        <is>
          <t>45</t>
        </is>
      </c>
      <c r="F927" t="inlineStr">
        <is>
          <t>2</t>
        </is>
      </c>
      <c r="G927" t="inlineStr">
        <is>
          <t>0</t>
        </is>
      </c>
      <c r="H927" t="inlineStr">
        <is>
          <t>10³, 20³</t>
        </is>
      </c>
      <c r="I927" t="n">
        <v>6</v>
      </c>
      <c r="J927" t="inlineStr">
        <is>
          <t>1³, 2³, 4⁹</t>
        </is>
      </c>
      <c r="K927">
        <f>HYPERLINK("CSG1.html#group10I1", "10I¹")</f>
        <v/>
      </c>
      <c r="L927">
        <f>HYPERLINK("CSG9.html#group20B9", "20B⁹"), =HYPERLINK("CSG9.html#group20C9", "20C⁹"), =HYPERLINK("CSG9.html#group20D9", "20D⁹"), =HYPERLINK("CSG10.html#group20C10", "20C¹⁰"), =HYPERLINK("CSG10.html#group20D10", "20D¹⁰"), =HYPERLINK("CSG10.html#group20E10", "20E¹⁰"), =HYPERLINK("CSG19.html#group60J19", "60J¹⁹")</f>
        <v/>
      </c>
      <c r="M927">
        <f>HYPERLINK("CSG0.html#group5E0", "5E⁰"), =HYPERLINK("CSG0.html#group5A0", "5A⁰"), =HYPERLINK("CSG0.html#group2B0", "2B⁰"), =HYPERLINK("CSG1.html#group10I1", "10I¹"), =HYPERLINK("CSG0.html#group1A0", "1A⁰"), =HYPERLINK("CSG1.html#group10B1", "10B¹")</f>
        <v/>
      </c>
      <c r="N927">
        <f>HYPERLINK("CSG9.html#group20D9", "20D⁹"), =HYPERLINK("CSG17.html#group20B17", "20B¹⁷"), =HYPERLINK("CSG19.html#group20A19", "20A¹⁹"), =HYPERLINK("CSG22.html#group40I22", "40I²²"), =HYPERLINK("CSG22.html#group20B22", "20B²²"), =HYPERLINK("CSG21.html#group20B21", "20B²¹"), =HYPERLINK("CSG24.html#group40E24", "40E²⁴"), =HYPERLINK("CSG21.html#group20C21", "20C²¹"), =HYPERLINK("CSG10.html#group20E10", "20E¹⁰"), =HYPERLINK("CSG19.html#group20C19", "20C¹⁹"), =HYPERLINK("CSG22.html#group20C22", "20C²²"), =HYPERLINK("CSG9.html#group20B9", "20B⁹"), =HYPERLINK("CSG24.html#group40F24", "40F²⁴"), =HYPERLINK("CSG19.html#group60J19", "60J¹⁹"), =HYPERLINK("CSG21.html#group40I21", "40I²¹"), =HYPERLINK("CSG21.html#group40H21", "40H²¹"), =HYPERLINK("CSG22.html#group40H22", "40H²²"), =HYPERLINK("CSG9.html#group20C9", "20C⁹"), =HYPERLINK("CSG19.html#group20B19", "20B¹⁹"), =HYPERLINK("CSG19.html#group20D19", "20D¹⁹"), =HYPERLINK("CSG10.html#group20C10", "20C¹⁰"), =HYPERLINK("CSG10.html#group20D10", "20D¹⁰"), =HYPERLINK("CSG23.html#group40C23", "40C²³"), =HYPERLINK("CSG23.html#group40D23", "40D²³")</f>
        <v/>
      </c>
    </row>
    <row r="928">
      <c r="A928" t="inlineStr">
        <is>
          <t>20D⁵</t>
        </is>
      </c>
      <c r="B928" t="inlineStr"/>
      <c r="C928" t="inlineStr">
        <is>
          <t>96</t>
        </is>
      </c>
      <c r="D928" t="inlineStr">
        <is>
          <t>1</t>
        </is>
      </c>
      <c r="E928" t="inlineStr">
        <is>
          <t>24</t>
        </is>
      </c>
      <c r="F928" t="inlineStr">
        <is>
          <t>0</t>
        </is>
      </c>
      <c r="G928" t="inlineStr">
        <is>
          <t>0</t>
        </is>
      </c>
      <c r="H928" t="inlineStr">
        <is>
          <t>4⁴, 20⁴</t>
        </is>
      </c>
      <c r="I928" t="n">
        <v>8</v>
      </c>
      <c r="J928" t="inlineStr">
        <is>
          <t>2⁴, 8²</t>
        </is>
      </c>
      <c r="K928">
        <f>HYPERLINK("CSG1.html#group10D1", "10D¹"), =HYPERLINK("CSG1.html#group20G1", "20G¹"), =HYPERLINK("CSG3.html#group20B3", "20B³"), =HYPERLINK("CSG3.html#group20C3", "20C³")</f>
        <v/>
      </c>
      <c r="L928">
        <f>HYPERLINK("CSG9.html#group20E9", "20E⁹"), =HYPERLINK("CSG13.html#group20E13", "20E¹³"), =HYPERLINK("CSG13.html#group40B13", "40B¹³"), =HYPERLINK("CSG13.html#group40C13", "40C¹³"), =HYPERLINK("CSG21.html#group60F21", "60F²¹"), =HYPERLINK("CSG21.html#group60H21", "60H²¹")</f>
        <v/>
      </c>
      <c r="M928">
        <f>HYPERLINK("CSG0.html#group2A0", "2A⁰"), =HYPERLINK("CSG0.html#group4A0", "4A⁰"), =HYPERLINK("CSG0.html#group4D0", "4D⁰"), =HYPERLINK("CSG3.html#group20C3", "20C³"), =HYPERLINK("CSG1.html#group20G1", "20G¹"), =HYPERLINK("CSG0.html#group5B0", "5B⁰"), =HYPERLINK("CSG0.html#group5D0", "5D⁰"), =HYPERLINK("CSG1.html#group10A1", "10A¹"), =HYPERLINK("CSG1.html#group10D1", "10D¹"), =HYPERLINK("CSG0.html#group1A0", "1A⁰"), =HYPERLINK("CSG3.html#group20B3", "20B³"), =HYPERLINK("CSG1.html#group20B1", "20B¹"), =HYPERLINK("CSG0.html#group10B0", "10B⁰")</f>
        <v/>
      </c>
      <c r="N928">
        <f>HYPERLINK("CSG21.html#group60F21", "60F²¹"), =HYPERLINK("CSG9.html#group20E9", "20E⁹"), =HYPERLINK("CSG13.html#group40C13", "40C¹³"), =HYPERLINK("CSG13.html#group40B13", "40B¹³"), =HYPERLINK("CSG13.html#group20E13", "20E¹³"), =HYPERLINK("CSG21.html#group60H21", "60H²¹")</f>
        <v/>
      </c>
    </row>
    <row r="929">
      <c r="A929" t="inlineStr">
        <is>
          <t>20E⁵</t>
        </is>
      </c>
      <c r="B929" t="inlineStr"/>
      <c r="C929" t="inlineStr">
        <is>
          <t>120</t>
        </is>
      </c>
      <c r="D929" t="inlineStr">
        <is>
          <t>1</t>
        </is>
      </c>
      <c r="E929" t="inlineStr">
        <is>
          <t>30</t>
        </is>
      </c>
      <c r="F929" t="inlineStr">
        <is>
          <t>0</t>
        </is>
      </c>
      <c r="G929" t="inlineStr">
        <is>
          <t>0</t>
        </is>
      </c>
      <c r="H929" t="inlineStr">
        <is>
          <t>5⁸, 20⁴</t>
        </is>
      </c>
      <c r="I929" t="n">
        <v>12</v>
      </c>
      <c r="J929" t="inlineStr">
        <is>
          <t>2³, 4⁶</t>
        </is>
      </c>
      <c r="K929">
        <f>HYPERLINK("CSG2.html#group10D2", "10D²"), =HYPERLINK("CSG2.html#group20A2", "20A²"), =HYPERLINK("CSG2.html#group20F2", "20F²"), =HYPERLINK("CSG3.html#group20E3", "20E³")</f>
        <v/>
      </c>
      <c r="L929">
        <f>HYPERLINK("CSG11.html#group20C11", "20C¹¹"), =HYPERLINK("CSG11.html#group40J11", "40J¹¹"), =HYPERLINK("CSG13.html#group20A13", "20A¹³"), =HYPERLINK("CSG13.html#group20G13", "20G¹³"), =HYPERLINK("CSG13.html#group40G13", "40G¹³"), =HYPERLINK("CSG15.html#group40A15", "40A¹⁵")</f>
        <v/>
      </c>
      <c r="M929">
        <f>HYPERLINK("CSG2.html#group20A2", "20A²"), =HYPERLINK("CSG0.html#group5A0", "5A⁰"), =HYPERLINK("CSG3.html#group20E3", "20E³"), =HYPERLINK("CSG1.html#group10B1", "10B¹"), =HYPERLINK("CSG0.html#group5C0", "5C⁰"), =HYPERLINK("CSG0.html#group5F0", "5F⁰"), =HYPERLINK("CSG0.html#group1A0", "1A⁰"), =HYPERLINK("CSG0.html#group2B0", "2B⁰"), =HYPERLINK("CSG2.html#group20F2", "20F²"), =HYPERLINK("CSG0.html#group4B0", "4B⁰"), =HYPERLINK("CSG2.html#group10D2", "10D²"), =HYPERLINK("CSG1.html#group10F1", "10F¹")</f>
        <v/>
      </c>
      <c r="N929">
        <f>HYPERLINK("CSG13.html#group20A13", "20A¹³"), =HYPERLINK("CSG13.html#group20G13", "20G¹³"), =HYPERLINK("CSG15.html#group40A15", "40A¹⁵"), =HYPERLINK("CSG11.html#group40J11", "40J¹¹"), =HYPERLINK("CSG11.html#group20C11", "20C¹¹"), =HYPERLINK("CSG13.html#group40G13", "40G¹³")</f>
        <v/>
      </c>
    </row>
    <row r="930">
      <c r="A930" t="inlineStr">
        <is>
          <t>20F⁵</t>
        </is>
      </c>
      <c r="B930" t="inlineStr"/>
      <c r="C930" t="inlineStr">
        <is>
          <t>120</t>
        </is>
      </c>
      <c r="D930" t="inlineStr">
        <is>
          <t>1</t>
        </is>
      </c>
      <c r="E930" t="inlineStr">
        <is>
          <t>30</t>
        </is>
      </c>
      <c r="F930" t="inlineStr">
        <is>
          <t>8</t>
        </is>
      </c>
      <c r="G930" t="inlineStr">
        <is>
          <t>0</t>
        </is>
      </c>
      <c r="H930" t="inlineStr">
        <is>
          <t>10⁴, 20⁴</t>
        </is>
      </c>
      <c r="I930" t="n">
        <v>8</v>
      </c>
      <c r="J930" t="inlineStr">
        <is>
          <t>2³, 4⁶</t>
        </is>
      </c>
      <c r="K930">
        <f>HYPERLINK("CSG2.html#group10E2", "10E²"), =HYPERLINK("CSG2.html#group20F2", "20F²"), =HYPERLINK("CSG3.html#group20F3", "20F³")</f>
        <v/>
      </c>
      <c r="L930">
        <f>HYPERLINK("CSG11.html#group20D11", "20D¹¹"), =HYPERLINK("CSG13.html#group20A13", "20A¹³"), =HYPERLINK("CSG13.html#group20C13", "20C¹³"), =HYPERLINK("CSG13.html#group20D13", "20D¹³"), =HYPERLINK("CSG13.html#group40F13", "40F¹³"), =HYPERLINK("CSG13.html#group40H13", "40H¹³"), =HYPERLINK("CSG13.html#group40I13", "40I¹³"), =HYPERLINK("CSG15.html#group40J15", "40J¹⁵"), =HYPERLINK("CSG17.html#group20B17", "20B¹⁷"), =HYPERLINK("CSG17.html#group40B17", "40B¹⁷"), =HYPERLINK("CSG21.html#group60U21", "60U²¹")</f>
        <v/>
      </c>
      <c r="M930">
        <f>HYPERLINK("CSG2.html#group10E2", "10E²"), =HYPERLINK("CSG0.html#group10D0", "10D⁰"), =HYPERLINK("CSG0.html#group4C0", "4C⁰"), =HYPERLINK("CSG0.html#group1A0", "1A⁰"), =HYPERLINK("CSG0.html#group2B0", "2B⁰"), =HYPERLINK("CSG2.html#group20F2", "20F²"), =HYPERLINK("CSG0.html#group5C0", "5C⁰"), =HYPERLINK("CSG3.html#group20F3", "20F³"), =HYPERLINK("CSG1.html#group10F1", "10F¹")</f>
        <v/>
      </c>
      <c r="N930">
        <f>HYPERLINK("CSG13.html#group20A13", "20A¹³"), =HYPERLINK("CSG17.html#group20B17", "20B¹⁷"), =HYPERLINK("CSG13.html#group20C13", "20C¹³"), =HYPERLINK("CSG13.html#group20D13", "20D¹³"), =HYPERLINK("CSG15.html#group40J15", "40J¹⁵"), =HYPERLINK("CSG11.html#group20D11", "20D¹¹"), =HYPERLINK("CSG13.html#group40H13", "40H¹³"), =HYPERLINK("CSG17.html#group40B17", "40B¹⁷"), =HYPERLINK("CSG13.html#group40I13", "40I¹³"), =HYPERLINK("CSG13.html#group40F13", "40F¹³"), =HYPERLINK("CSG21.html#group60U21", "60U²¹")</f>
        <v/>
      </c>
    </row>
    <row r="931">
      <c r="A931" t="inlineStr">
        <is>
          <t>20G⁵</t>
        </is>
      </c>
      <c r="B931" t="inlineStr"/>
      <c r="C931" t="inlineStr">
        <is>
          <t>120</t>
        </is>
      </c>
      <c r="D931" t="inlineStr">
        <is>
          <t>2</t>
        </is>
      </c>
      <c r="E931" t="inlineStr">
        <is>
          <t>30</t>
        </is>
      </c>
      <c r="F931" t="inlineStr">
        <is>
          <t>4</t>
        </is>
      </c>
      <c r="G931" t="inlineStr">
        <is>
          <t>0</t>
        </is>
      </c>
      <c r="H931" t="inlineStr">
        <is>
          <t>10⁸, 20²</t>
        </is>
      </c>
      <c r="I931" t="n">
        <v>10</v>
      </c>
      <c r="J931" t="inlineStr">
        <is>
          <t>4³, 8⁶</t>
        </is>
      </c>
      <c r="K931">
        <f>HYPERLINK("CSG2.html#group10E2", "10E²")</f>
        <v/>
      </c>
      <c r="L931">
        <f>HYPERLINK("CSG11.html#group20B11", "20B¹¹"), =HYPERLINK("CSG13.html#group20D13", "20D¹³"), =HYPERLINK("CSG15.html#group20H15", "20H¹⁵"), =HYPERLINK("CSG15.html#group20I15", "20I¹⁵"), =HYPERLINK("CSG23.html#group60K23", "60K²³")</f>
        <v/>
      </c>
      <c r="M931">
        <f>HYPERLINK("CSG0.html#group2B0", "2B⁰"), =HYPERLINK("CSG2.html#group10E2", "10E²"), =HYPERLINK("CSG0.html#group1A0", "1A⁰"), =HYPERLINK("CSG0.html#group10D0", "10D⁰"), =HYPERLINK("CSG0.html#group5C0", "5C⁰"), =HYPERLINK("CSG1.html#group10F1", "10F¹")</f>
        <v/>
      </c>
      <c r="N931">
        <f>HYPERLINK("CSG15.html#group20H15", "20H¹⁵"), =HYPERLINK("CSG15.html#group20I15", "20I¹⁵"), =HYPERLINK("CSG11.html#group20B11", "20B¹¹"), =HYPERLINK("CSG13.html#group20D13", "20D¹³"), =HYPERLINK("CSG23.html#group60K23", "60K²³")</f>
        <v/>
      </c>
    </row>
    <row r="932">
      <c r="A932" t="inlineStr">
        <is>
          <t>20H⁵</t>
        </is>
      </c>
      <c r="B932" t="inlineStr"/>
      <c r="C932" t="inlineStr">
        <is>
          <t>120</t>
        </is>
      </c>
      <c r="D932" t="inlineStr">
        <is>
          <t>2</t>
        </is>
      </c>
      <c r="E932" t="inlineStr">
        <is>
          <t>60</t>
        </is>
      </c>
      <c r="F932" t="inlineStr">
        <is>
          <t>4</t>
        </is>
      </c>
      <c r="G932" t="inlineStr">
        <is>
          <t>6</t>
        </is>
      </c>
      <c r="H932" t="inlineStr">
        <is>
          <t>20⁶</t>
        </is>
      </c>
      <c r="I932" t="n">
        <v>6</v>
      </c>
      <c r="J932" t="inlineStr">
        <is>
          <t>8¹⁵</t>
        </is>
      </c>
      <c r="K932">
        <f>HYPERLINK("CSG1.html#group10J1", "10J¹"), =HYPERLINK("CSG1.html#group20F1", "20F¹")</f>
        <v/>
      </c>
      <c r="L932">
        <f>HYPERLINK("CSG11.html#group20A11", "20A¹¹"), =HYPERLINK("CSG21.html#group20A21", "20A²¹")</f>
        <v/>
      </c>
      <c r="M932">
        <f>HYPERLINK("CSG1.html#group10J1", "10J¹"), =HYPERLINK("CSG0.html#group1A0", "1A⁰"), =HYPERLINK("CSG0.html#group5C0", "5C⁰"), =HYPERLINK("CSG0.html#group10D0", "10D⁰"), =HYPERLINK("CSG1.html#group20F1", "20F¹")</f>
        <v/>
      </c>
      <c r="N932">
        <f>HYPERLINK("CSG11.html#group20A11", "20A¹¹"), =HYPERLINK("CSG21.html#group20A21", "20A²¹")</f>
        <v/>
      </c>
    </row>
    <row r="933">
      <c r="A933" t="inlineStr">
        <is>
          <t>20I⁵</t>
        </is>
      </c>
      <c r="B933" t="inlineStr"/>
      <c r="C933" t="inlineStr">
        <is>
          <t>144</t>
        </is>
      </c>
      <c r="D933" t="inlineStr">
        <is>
          <t>1</t>
        </is>
      </c>
      <c r="E933" t="inlineStr">
        <is>
          <t>18</t>
        </is>
      </c>
      <c r="F933" t="inlineStr">
        <is>
          <t>0</t>
        </is>
      </c>
      <c r="G933" t="inlineStr">
        <is>
          <t>0</t>
        </is>
      </c>
      <c r="H933" t="inlineStr">
        <is>
          <t>2⁴, 4⁴, 10⁴, 20⁴</t>
        </is>
      </c>
      <c r="I933" t="n">
        <v>16</v>
      </c>
      <c r="J933" t="inlineStr">
        <is>
          <t>1⁶, 4³</t>
        </is>
      </c>
      <c r="K933">
        <f>HYPERLINK("CSG1.html#group10K1", "10K¹"), =HYPERLINK("CSG1.html#group20H1", "20H¹"), =HYPERLINK("CSG1.html#group20I1", "20I¹"), =HYPERLINK("CSG3.html#group20H3", "20H³"), =HYPERLINK("CSG3.html#group20G3", "20G³"), =HYPERLINK("CSG3.html#group20I3", "20I³"), =HYPERLINK("CSG3.html#group20J3", "20J³")</f>
        <v/>
      </c>
      <c r="L933">
        <f>HYPERLINK("CSG9.html#group20F9", "20F⁹"), =HYPERLINK("CSG13.html#group20E13", "20E¹³"), =HYPERLINK("CSG13.html#group20F13", "20F¹³"), =HYPERLINK("CSG13.html#group40J13", "40J¹³"), =HYPERLINK("CSG13.html#group40K13", "40K¹³"), =HYPERLINK("CSG13.html#group40Q13", "40Q¹³"), =HYPERLINK("CSG13.html#group40R13", "40R¹³"), =HYPERLINK("CSG17.html#group40T17", "40T¹⁷"), =HYPERLINK("CSG17.html#group40Y17", "40Y¹⁷")</f>
        <v/>
      </c>
      <c r="M933">
        <f>HYPERLINK("CSG1.html#group20E1", "20E¹"), =HYPERLINK("CSG0.html#group2A0", "2A⁰"), =HYPERLINK("CSG0.html#group10G0", "10G⁰"), =HYPERLINK("CSG3.html#group20G3", "20G³"), =HYPERLINK("CSG0.html#group4C0", "4C⁰"), =HYPERLINK("CSG0.html#group5B0", "5B⁰"), =HYPERLINK("CSG0.html#group5D0", "5D⁰"), =HYPERLINK("CSG1.html#group10A1", "10A¹"), =HYPERLINK("CSG0.html#group2B0", "2B⁰"), =HYPERLINK("CSG1.html#group20D1", "20D¹"), =HYPERLINK("CSG1.html#group20H1", "20H¹"), =HYPERLINK("CSG0.html#group4E0", "4E⁰"), =HYPERLINK("CSG0.html#group4B0", "4B⁰"), =HYPERLINK("CSG1.html#group10D1", "10D¹"), =HYPERLINK("CSG0.html#group1A0", "1A⁰"), =HYPERLINK("CSG3.html#group20H3", "20H³"), =HYPERLINK("CSG0.html#group10F0", "10F⁰"), =HYPERLINK("CSG0.html#group10B0", "10B⁰"), =HYPERLINK("CSG0.html#group20A0", "20A⁰"), =HYPERLINK("CSG1.html#group20I1", "20I¹"), =HYPERLINK("CSG0.html#group10C0", "10C⁰"), =HYPERLINK("CSG1.html#group10K1", "10K¹"), =HYPERLINK("CSG3.html#group20I3", "20I³"), =HYPERLINK("CSG3.html#group20J3", "20J³"), =HYPERLINK("CSG0.html#group2C0", "2C⁰"), =HYPERLINK("CSG2.html#group20C2", "20C²"), =HYPERLINK("CSG1.html#group10G1", "10G¹")</f>
        <v/>
      </c>
      <c r="N933">
        <f>HYPERLINK("CSG13.html#group40J13", "40J¹³"), =HYPERLINK("CSG17.html#group40T17", "40T¹⁷"), =HYPERLINK("CSG13.html#group40R13", "40R¹³"), =HYPERLINK("CSG13.html#group20E13", "20E¹³"), =HYPERLINK("CSG13.html#group40K13", "40K¹³"), =HYPERLINK("CSG9.html#group20F9", "20F⁹"), =HYPERLINK("CSG17.html#group40Y17", "40Y¹⁷"), =HYPERLINK("CSG13.html#group40Q13", "40Q¹³"), =HYPERLINK("CSG13.html#group20F13", "20F¹³")</f>
        <v/>
      </c>
    </row>
    <row r="934">
      <c r="A934" t="inlineStr">
        <is>
          <t>20J⁵</t>
        </is>
      </c>
      <c r="B934" t="inlineStr"/>
      <c r="C934" t="inlineStr">
        <is>
          <t>144</t>
        </is>
      </c>
      <c r="D934" t="inlineStr">
        <is>
          <t>1</t>
        </is>
      </c>
      <c r="E934" t="inlineStr">
        <is>
          <t>36</t>
        </is>
      </c>
      <c r="F934" t="inlineStr">
        <is>
          <t>8</t>
        </is>
      </c>
      <c r="G934" t="inlineStr">
        <is>
          <t>0</t>
        </is>
      </c>
      <c r="H934" t="inlineStr">
        <is>
          <t>4⁶, 20⁶</t>
        </is>
      </c>
      <c r="I934" t="n">
        <v>12</v>
      </c>
      <c r="J934" t="inlineStr">
        <is>
          <t>1⁴, 2⁴, 4², 8²</t>
        </is>
      </c>
      <c r="K934">
        <f>HYPERLINK("CSG1.html#group20G1", "20G¹"), =HYPERLINK("CSG1.html#group20I1", "20I¹"), =HYPERLINK("CSG3.html#group20K3", "20K³"), =HYPERLINK("CSG3.html#group20L3", "20L³")</f>
        <v/>
      </c>
      <c r="L934">
        <f>HYPERLINK("CSG11.html#group20E11", "20E¹¹"), =HYPERLINK("CSG13.html#group20E13", "20E¹³"), =HYPERLINK("CSG13.html#group40M13", "40M¹³"), =HYPERLINK("CSG13.html#group40S13", "40S¹³"), =HYPERLINK("CSG13.html#group40T13", "40T¹³"), =HYPERLINK("CSG15.html#group40AG15", "40AG¹⁵"), =HYPERLINK("CSG17.html#group40Z17", "40Z¹⁷"), =HYPERLINK("CSG17.html#group40AI17", "40AI¹⁷"), =HYPERLINK("CSG17.html#group40AN17", "40AN¹⁷")</f>
        <v/>
      </c>
      <c r="M934">
        <f>HYPERLINK("CSG1.html#group20E1", "20E¹"), =HYPERLINK("CSG0.html#group10G0", "10G⁰"), =HYPERLINK("CSG0.html#group4C0", "4C⁰"), =HYPERLINK("CSG0.html#group5B0", "5B⁰"), =HYPERLINK("CSG0.html#group2B0", "2B⁰"), =HYPERLINK("CSG3.html#group20K3", "20K³"), =HYPERLINK("CSG0.html#group1A0", "1A⁰"), =HYPERLINK("CSG1.html#group20B1", "20B¹"), =HYPERLINK("CSG0.html#group10B0", "10B⁰"), =HYPERLINK("CSG0.html#group20A0", "20A⁰"), =HYPERLINK("CSG1.html#group20I1", "20I¹"), =HYPERLINK("CSG0.html#group4A0", "4A⁰"), =HYPERLINK("CSG1.html#group20G1", "20G¹"), =HYPERLINK("CSG0.html#group10C0", "10C⁰"), =HYPERLINK("CSG0.html#group4F0", "4F⁰"), =HYPERLINK("CSG3.html#group20L3", "20L³")</f>
        <v/>
      </c>
      <c r="N934">
        <f>HYPERLINK("CSG13.html#group40M13", "40M¹³"), =HYPERLINK("CSG13.html#group20E13", "20E¹³"), =HYPERLINK("CSG17.html#group40Z17", "40Z¹⁷"), =HYPERLINK("CSG17.html#group40AN17", "40AN¹⁷"), =HYPERLINK("CSG11.html#group20E11", "20E¹¹"), =HYPERLINK("CSG13.html#group40S13", "40S¹³"), =HYPERLINK("CSG13.html#group40T13", "40T¹³"), =HYPERLINK("CSG15.html#group40AG15", "40AG¹⁵"), =HYPERLINK("CSG17.html#group40AI17", "40AI¹⁷")</f>
        <v/>
      </c>
    </row>
    <row r="935">
      <c r="A935" t="inlineStr">
        <is>
          <t>20K⁵</t>
        </is>
      </c>
      <c r="B935" t="inlineStr"/>
      <c r="C935" t="inlineStr">
        <is>
          <t>144</t>
        </is>
      </c>
      <c r="D935" t="inlineStr">
        <is>
          <t>2</t>
        </is>
      </c>
      <c r="E935" t="inlineStr">
        <is>
          <t>18</t>
        </is>
      </c>
      <c r="F935" t="inlineStr">
        <is>
          <t>8</t>
        </is>
      </c>
      <c r="G935" t="inlineStr">
        <is>
          <t>0</t>
        </is>
      </c>
      <c r="H935" t="inlineStr">
        <is>
          <t>4⁶, 20⁶</t>
        </is>
      </c>
      <c r="I935" t="n">
        <v>12</v>
      </c>
      <c r="J935" t="inlineStr">
        <is>
          <t>2⁶, 8³</t>
        </is>
      </c>
      <c r="K935">
        <f>HYPERLINK("CSG1.html#group20I1", "20I¹"), =HYPERLINK("CSG1.html#group20J1", "20J¹"), =HYPERLINK("CSG3.html#group20M3", "20M³")</f>
        <v/>
      </c>
      <c r="L935">
        <f>HYPERLINK("CSG11.html#group20E11", "20E¹¹"), =HYPERLINK("CSG13.html#group20F13", "20F¹³"), =HYPERLINK("CSG13.html#group40W13", "40W¹³"), =HYPERLINK("CSG15.html#group40AH15", "40AH¹⁵"), =HYPERLINK("CSG17.html#group40AQ17", "40AQ¹⁷")</f>
        <v/>
      </c>
      <c r="M935">
        <f>HYPERLINK("CSG1.html#group20E1", "20E¹"), =HYPERLINK("CSG0.html#group20A0", "20A⁰"), =HYPERLINK("CSG1.html#group20C1", "20C¹"), =HYPERLINK("CSG3.html#group20M3", "20M³"), =HYPERLINK("CSG0.html#group10G0", "10G⁰"), =HYPERLINK("CSG1.html#group20I1", "20I¹"), =HYPERLINK("CSG0.html#group4C0", "4C⁰"), =HYPERLINK("CSG0.html#group5B0", "5B⁰"), =HYPERLINK("CSG0.html#group10C0", "10C⁰"), =HYPERLINK("CSG0.html#group1A0", "1A⁰"), =HYPERLINK("CSG0.html#group2B0", "2B⁰"), =HYPERLINK("CSG1.html#group20J1", "20J¹"), =HYPERLINK("CSG0.html#group10B0", "10B⁰")</f>
        <v/>
      </c>
      <c r="N935">
        <f>HYPERLINK("CSG11.html#group20E11", "20E¹¹"), =HYPERLINK("CSG17.html#group40AQ17", "40AQ¹⁷"), =HYPERLINK("CSG13.html#group40W13", "40W¹³"), =HYPERLINK("CSG15.html#group40AH15", "40AH¹⁵"), =HYPERLINK("CSG13.html#group20F13", "20F¹³")</f>
        <v/>
      </c>
    </row>
    <row r="936">
      <c r="A936" t="inlineStr">
        <is>
          <t>21A⁵</t>
        </is>
      </c>
      <c r="B936" t="inlineStr"/>
      <c r="C936" t="inlineStr">
        <is>
          <t>84</t>
        </is>
      </c>
      <c r="D936" t="inlineStr">
        <is>
          <t>1</t>
        </is>
      </c>
      <c r="E936" t="inlineStr">
        <is>
          <t>84</t>
        </is>
      </c>
      <c r="F936" t="inlineStr">
        <is>
          <t>0</t>
        </is>
      </c>
      <c r="G936" t="inlineStr">
        <is>
          <t>0</t>
        </is>
      </c>
      <c r="H936" t="inlineStr">
        <is>
          <t>7³, 21³</t>
        </is>
      </c>
      <c r="I936" t="n">
        <v>6</v>
      </c>
      <c r="J936" t="inlineStr">
        <is>
          <t>3², 6⁷, 12³</t>
        </is>
      </c>
      <c r="K936">
        <f>HYPERLINK("CSG0.html#group7D0", "7D⁰"), =HYPERLINK("CSG2.html#group21B2", "21B²")</f>
        <v/>
      </c>
      <c r="L936">
        <f>HYPERLINK("CSG9.html#group21A9", "21A⁹"), =HYPERLINK("CSG9.html#group21C9", "21C⁹"), =HYPERLINK("CSG12.html#group42B12", "42B¹²"), =HYPERLINK("CSG12.html#group42C12", "42C¹²"), =HYPERLINK("CSG12.html#group42F12", "42F¹²"), =HYPERLINK("CSG16.html#group21A16", "21A¹⁶"), =HYPERLINK("CSG16.html#group42A16", "42A¹⁶"), =HYPERLINK("CSG16.html#group63C16", "63C¹⁶"), =HYPERLINK("CSG19.html#group63A19", "63A¹⁹"), =HYPERLINK("CSG19.html#group63B19", "63B¹⁹")</f>
        <v/>
      </c>
      <c r="M936">
        <f>HYPERLINK("CSG0.html#group3B0", "3B⁰"), =HYPERLINK("CSG2.html#group21B2", "21B²"), =HYPERLINK("CSG0.html#group7D0", "7D⁰"), =HYPERLINK("CSG0.html#group1A0", "1A⁰"), =HYPERLINK("CSG0.html#group7A0", "7A⁰")</f>
        <v/>
      </c>
      <c r="N936">
        <f>HYPERLINK("CSG16.html#group63C16", "63C¹⁶"), =HYPERLINK("CSG23.html#group42E23", "42E²³"), =HYPERLINK("CSG23.html#group42C23", "42C²³"), =HYPERLINK("CSG12.html#group42B12", "42B¹²"), =HYPERLINK("CSG17.html#group21A17", "21A¹⁷"), =HYPERLINK("CSG9.html#group21A9", "21A⁹"), =HYPERLINK("CSG19.html#group63B19", "63B¹⁹"), =HYPERLINK("CSG16.html#group21A16", "21A¹⁶"), =HYPERLINK("CSG19.html#group63A19", "63A¹⁹"), =HYPERLINK("CSG23.html#group42D23", "42D²³"), =HYPERLINK("CSG12.html#group42F12", "42F¹²"), =HYPERLINK("CSG12.html#group42C12", "42C¹²"), =HYPERLINK("CSG9.html#group21C9", "21C⁹"), =HYPERLINK("CSG16.html#group42A16", "42A¹⁶"), =HYPERLINK("CSG23.html#group42I23", "42I²³")</f>
        <v/>
      </c>
    </row>
    <row r="937">
      <c r="A937" t="inlineStr">
        <is>
          <t>21B⁵</t>
        </is>
      </c>
      <c r="B937" t="inlineStr"/>
      <c r="C937" t="inlineStr">
        <is>
          <t>84</t>
        </is>
      </c>
      <c r="D937" t="inlineStr">
        <is>
          <t>2</t>
        </is>
      </c>
      <c r="E937" t="inlineStr">
        <is>
          <t>21</t>
        </is>
      </c>
      <c r="F937" t="inlineStr">
        <is>
          <t>4</t>
        </is>
      </c>
      <c r="G937" t="inlineStr">
        <is>
          <t>0</t>
        </is>
      </c>
      <c r="H937" t="inlineStr">
        <is>
          <t>21⁴</t>
        </is>
      </c>
      <c r="I937" t="n">
        <v>4</v>
      </c>
      <c r="J937" t="inlineStr">
        <is>
          <t>2¹, 4¹, 6², 12²</t>
        </is>
      </c>
      <c r="K937">
        <f>HYPERLINK("CSG1.html#group21D1", "21D¹"), =HYPERLINK("CSG2.html#group21C2", "21C²"), =HYPERLINK("CSG2.html#group21D2", "21D²")</f>
        <v/>
      </c>
      <c r="L937">
        <f>HYPERLINK("CSG11.html#group21B11", "21B¹¹"), =HYPERLINK("CSG11.html#group42B11", "42B¹¹"), =HYPERLINK("CSG13.html#group21B13", "21B¹³"), =HYPERLINK("CSG13.html#group42E13", "42E¹³"), =HYPERLINK("CSG17.html#group42C17", "42C¹⁷"), =HYPERLINK("CSG17.html#group63A17", "63A¹⁷"), =HYPERLINK("CSG17.html#group63B17", "63B¹⁷"), =HYPERLINK("CSG17.html#group63C17", "63C¹⁷"), =HYPERLINK("CSG19.html#group63E19", "63E¹⁹"), =HYPERLINK("CSG19.html#group63D19", "63D¹⁹"), =HYPERLINK("CSG21.html#group21B21", "21B²¹")</f>
        <v/>
      </c>
      <c r="M937">
        <f>HYPERLINK("CSG2.html#group21D2", "21D²"), =HYPERLINK("CSG1.html#group21D1", "21D¹"), =HYPERLINK("CSG0.html#group7C0", "7C⁰"), =HYPERLINK("CSG2.html#group21C2", "21C²"), =HYPERLINK("CSG0.html#group21A0", "21A⁰"), =HYPERLINK("CSG0.html#group3C0", "3C⁰"), =HYPERLINK("CSG0.html#group3A0", "3A⁰"), =HYPERLINK("CSG0.html#group1A0", "1A⁰"), =HYPERLINK("CSG0.html#group7A0", "7A⁰")</f>
        <v/>
      </c>
      <c r="N937">
        <f>HYPERLINK("CSG11.html#group42B11", "42B¹¹"), =HYPERLINK("CSG11.html#group21B11", "21B¹¹"), =HYPERLINK("CSG21.html#group21B21", "21B²¹"), =HYPERLINK("CSG19.html#group63E19", "63E¹⁹"), =HYPERLINK("CSG17.html#group63C17", "63C¹⁷"), =HYPERLINK("CSG19.html#group63D19", "63D¹⁹"), =HYPERLINK("CSG17.html#group63A17", "63A¹⁷"), =HYPERLINK("CSG17.html#group63B17", "63B¹⁷"), =HYPERLINK("CSG13.html#group42E13", "42E¹³"), =HYPERLINK("CSG13.html#group21B13", "21B¹³"), =HYPERLINK("CSG17.html#group42C17", "42C¹⁷")</f>
        <v/>
      </c>
    </row>
    <row r="938">
      <c r="A938" t="inlineStr">
        <is>
          <t>21C⁵</t>
        </is>
      </c>
      <c r="B938" t="inlineStr"/>
      <c r="C938" t="inlineStr">
        <is>
          <t>96</t>
        </is>
      </c>
      <c r="D938" t="inlineStr">
        <is>
          <t>1</t>
        </is>
      </c>
      <c r="E938" t="inlineStr">
        <is>
          <t>8</t>
        </is>
      </c>
      <c r="F938" t="inlineStr">
        <is>
          <t>0</t>
        </is>
      </c>
      <c r="G938" t="inlineStr">
        <is>
          <t>0</t>
        </is>
      </c>
      <c r="H938" t="inlineStr">
        <is>
          <t>3⁴, 21⁴</t>
        </is>
      </c>
      <c r="I938" t="n">
        <v>8</v>
      </c>
      <c r="J938" t="inlineStr">
        <is>
          <t>1², 6¹</t>
        </is>
      </c>
      <c r="K938">
        <f>HYPERLINK("CSG0.html#group3D0", "3D⁰"), =HYPERLINK("CSG1.html#group21B1", "21B¹"), =HYPERLINK("CSG3.html#group21A3", "21A³")</f>
        <v/>
      </c>
      <c r="L938">
        <f>HYPERLINK("CSG9.html#group21D9", "21D⁹"), =HYPERLINK("CSG13.html#group21C13", "21C¹³"), =HYPERLINK("CSG13.html#group42F13", "42F¹³"), =HYPERLINK("CSG13.html#group42G13", "42G¹³"), =HYPERLINK("CSG17.html#group42I17", "42I¹⁷"), =HYPERLINK("CSG17.html#group63D17", "63D¹⁷"), =HYPERLINK("CSG17.html#group63H17", "63H¹⁷"), =HYPERLINK("CSG19.html#group63I19", "63I¹⁹"), =HYPERLINK("CSG19.html#group63O19", "63O¹⁹"), =HYPERLINK("CSG21.html#group63A21", "63A²¹"), =HYPERLINK("CSG21.html#group63B21", "63B²¹")</f>
        <v/>
      </c>
      <c r="M938">
        <f>HYPERLINK("CSG0.html#group3B0", "3B⁰"), =HYPERLINK("CSG1.html#group21B1", "21B¹"), =HYPERLINK("CSG2.html#group21A2", "21A²"), =HYPERLINK("CSG0.html#group7B0", "7B⁰"), =HYPERLINK("CSG0.html#group3C0", "3C⁰"), =HYPERLINK("CSG0.html#group3A0", "3A⁰"), =HYPERLINK("CSG0.html#group1A0", "1A⁰"), =HYPERLINK("CSG3.html#group21A3", "21A³"), =HYPERLINK("CSG0.html#group3D0", "3D⁰")</f>
        <v/>
      </c>
      <c r="N938">
        <f>HYPERLINK("CSG19.html#group63I19", "63I¹⁹"), =HYPERLINK("CSG9.html#group21D9", "21D⁹"), =HYPERLINK("CSG17.html#group63D17", "63D¹⁷"), =HYPERLINK("CSG17.html#group63H17", "63H¹⁷"), =HYPERLINK("CSG13.html#group42G13", "42G¹³"), =HYPERLINK("CSG19.html#group63O19", "63O¹⁹"), =HYPERLINK("CSG21.html#group63B21", "63B²¹"), =HYPERLINK("CSG21.html#group63A21", "63A²¹"), =HYPERLINK("CSG17.html#group42I17", "42I¹⁷"), =HYPERLINK("CSG13.html#group21C13", "21C¹³"), =HYPERLINK("CSG13.html#group42F13", "42F¹³")</f>
        <v/>
      </c>
    </row>
    <row r="939">
      <c r="A939" t="inlineStr">
        <is>
          <t>21D⁵</t>
        </is>
      </c>
      <c r="B939" t="inlineStr"/>
      <c r="C939" t="inlineStr">
        <is>
          <t>126</t>
        </is>
      </c>
      <c r="D939" t="inlineStr">
        <is>
          <t>2</t>
        </is>
      </c>
      <c r="E939" t="inlineStr">
        <is>
          <t>63</t>
        </is>
      </c>
      <c r="F939" t="inlineStr">
        <is>
          <t>14</t>
        </is>
      </c>
      <c r="G939" t="inlineStr">
        <is>
          <t>0</t>
        </is>
      </c>
      <c r="H939" t="inlineStr">
        <is>
          <t>21⁶</t>
        </is>
      </c>
      <c r="I939" t="n">
        <v>6</v>
      </c>
      <c r="J939" t="inlineStr">
        <is>
          <t>6⁷, 12⁷</t>
        </is>
      </c>
      <c r="K939">
        <f>HYPERLINK("CSG1.html#group21D1", "21D¹"), =HYPERLINK("CSG1.html#group21E1", "21E¹")</f>
        <v/>
      </c>
      <c r="L939">
        <f>HYPERLINK("CSG11.html#group21D11", "21D¹¹"), =HYPERLINK("CSG12.html#group21B12", "21B¹²"), =HYPERLINK("CSG12.html#group21C12", "21C¹²"), =HYPERLINK("CSG13.html#group21B13", "21B¹³"), =HYPERLINK("CSG13.html#group42K13", "42K¹³"), =HYPERLINK("CSG14.html#group21A14", "21A¹⁴"), =HYPERLINK("CSG14.html#group42E14", "42E¹⁴"), =HYPERLINK("CSG14.html#group42F14", "42F¹⁴"), =HYPERLINK("CSG15.html#group21A15", "21A¹⁵"), =HYPERLINK("CSG15.html#group42G15", "42G¹⁵"), =HYPERLINK("CSG16.html#group42F16", "42F¹⁶"), =HYPERLINK("CSG16.html#group42G16", "42G¹⁶"), =HYPERLINK("CSG17.html#group42D17", "42D¹⁷"), =HYPERLINK("CSG19.html#group42M19", "42M¹⁹"), =HYPERLINK("CSG23.html#group42L23", "42L²³"), =HYPERLINK("CSG23.html#group63B23", "63B²³"), =HYPERLINK("CSG24.html#group63G24", "63G²⁴"), =HYPERLINK("CSG24.html#group63F24", "63F²⁴")</f>
        <v/>
      </c>
      <c r="M939">
        <f>HYPERLINK("CSG0.html#group21A0", "21A⁰"), =HYPERLINK("CSG0.html#group1A0", "1A⁰"), =HYPERLINK("CSG0.html#group3A0", "3A⁰"), =HYPERLINK("CSG1.html#group21E1", "21E¹"), =HYPERLINK("CSG1.html#group21D1", "21D¹"), =HYPERLINK("CSG0.html#group7D0", "7D⁰"), =HYPERLINK("CSG0.html#group7A0", "7A⁰")</f>
        <v/>
      </c>
      <c r="N939">
        <f>HYPERLINK("CSG16.html#group42G16", "42G¹⁶"), =HYPERLINK("CSG17.html#group42D17", "42D¹⁷"), =HYPERLINK("CSG19.html#group42M19", "42M¹⁹"), =HYPERLINK("CSG15.html#group42G15", "42G¹⁵"), =HYPERLINK("CSG11.html#group21D11", "21D¹¹"), =HYPERLINK("CSG14.html#group42E14", "42E¹⁴"), =HYPERLINK("CSG14.html#group42F14", "42F¹⁴"), =HYPERLINK("CSG13.html#group21B13", "21B¹³"), =HYPERLINK("CSG14.html#group21A14", "21A¹⁴"), =HYPERLINK("CSG12.html#group21C12", "21C¹²"), =HYPERLINK("CSG13.html#group42K13", "42K¹³"), =HYPERLINK("CSG12.html#group21B12", "21B¹²"), =HYPERLINK("CSG24.html#group63G24", "63G²⁴"), =HYPERLINK("CSG16.html#group42F16", "42F¹⁶"), =HYPERLINK("CSG24.html#group63F24", "63F²⁴"), =HYPERLINK("CSG23.html#group42L23", "42L²³"), =HYPERLINK("CSG15.html#group21A15", "21A¹⁵"), =HYPERLINK("CSG23.html#group63B23", "63B²³")</f>
        <v/>
      </c>
    </row>
    <row r="940">
      <c r="A940" t="inlineStr">
        <is>
          <t>21E⁵</t>
        </is>
      </c>
      <c r="B940" t="inlineStr">
        <is>
          <t>Γ₁(21)</t>
        </is>
      </c>
      <c r="C940" t="inlineStr">
        <is>
          <t>192</t>
        </is>
      </c>
      <c r="D940" t="inlineStr">
        <is>
          <t>1</t>
        </is>
      </c>
      <c r="E940" t="inlineStr">
        <is>
          <t>32</t>
        </is>
      </c>
      <c r="F940" t="inlineStr">
        <is>
          <t>0</t>
        </is>
      </c>
      <c r="G940" t="inlineStr">
        <is>
          <t>0</t>
        </is>
      </c>
      <c r="H940" t="inlineStr">
        <is>
          <t>1⁶, 3⁶, 7⁶, 21⁶</t>
        </is>
      </c>
      <c r="I940" t="n">
        <v>24</v>
      </c>
      <c r="J940" t="inlineStr">
        <is>
          <t>1⁴, 2², 6², 12¹</t>
        </is>
      </c>
      <c r="K940">
        <f>HYPERLINK("CSG1.html#group21F1", "21F¹"), =HYPERLINK("CSG3.html#group21D3", "21D³")</f>
        <v/>
      </c>
      <c r="L940">
        <f>HYPERLINK("CSG21.html#group42G21", "42G²¹")</f>
        <v/>
      </c>
      <c r="M940">
        <f>HYPERLINK("CSG0.html#group3B0", "3B⁰"), =HYPERLINK("CSG0.html#group1A0", "1A⁰"), =HYPERLINK("CSG0.html#group7E0", "7E⁰"), =HYPERLINK("CSG1.html#group21B1", "21B¹"), =HYPERLINK("CSG3.html#group21D3", "21D³"), =HYPERLINK("CSG0.html#group7B0", "7B⁰"), =HYPERLINK("CSG1.html#group21F1", "21F¹")</f>
        <v/>
      </c>
      <c r="N940">
        <f>HYPERLINK("CSG21.html#group42G21", "42G²¹")</f>
        <v/>
      </c>
    </row>
    <row r="941">
      <c r="A941" t="inlineStr">
        <is>
          <t>22A⁵</t>
        </is>
      </c>
      <c r="B941" t="inlineStr"/>
      <c r="C941" t="inlineStr">
        <is>
          <t>66</t>
        </is>
      </c>
      <c r="D941" t="inlineStr">
        <is>
          <t>2</t>
        </is>
      </c>
      <c r="E941" t="inlineStr">
        <is>
          <t>11</t>
        </is>
      </c>
      <c r="F941" t="inlineStr">
        <is>
          <t>0</t>
        </is>
      </c>
      <c r="G941" t="inlineStr">
        <is>
          <t>0</t>
        </is>
      </c>
      <c r="H941" t="inlineStr">
        <is>
          <t>22³</t>
        </is>
      </c>
      <c r="I941" t="n">
        <v>3</v>
      </c>
      <c r="J941" t="inlineStr">
        <is>
          <t>2¹, 10²</t>
        </is>
      </c>
      <c r="K941">
        <f>HYPERLINK("CSG0.html#group2C0", "2C⁰"), =HYPERLINK("CSG1.html#group22A1", "22A¹"), =HYPERLINK("CSG2.html#group22B2", "22B²")</f>
        <v/>
      </c>
      <c r="L941">
        <f>HYPERLINK("CSG10.html#group44A10", "44A¹⁰"), =HYPERLINK("CSG16.html#group66A16", "66A¹⁶"), =HYPERLINK("CSG20.html#group66A20", "66A²⁰"), =HYPERLINK("CSG21.html#group22C21", "22C²¹")</f>
        <v/>
      </c>
      <c r="M941">
        <f>HYPERLINK("CSG0.html#group11A0", "11A⁰"), =HYPERLINK("CSG0.html#group2A0", "2A⁰"), =HYPERLINK("CSG1.html#group22A1", "22A¹"), =HYPERLINK("CSG0.html#group2B0", "2B⁰"), =HYPERLINK("CSG2.html#group22B2", "22B²"), =HYPERLINK("CSG0.html#group1A0", "1A⁰"), =HYPERLINK("CSG0.html#group2C0", "2C⁰")</f>
        <v/>
      </c>
      <c r="N941">
        <f>HYPERLINK("CSG20.html#group66A20", "66A²⁰"), =HYPERLINK("CSG10.html#group44A10", "44A¹⁰"), =HYPERLINK("CSG20.html#group88C20", "88C²⁰"), =HYPERLINK("CSG16.html#group66A16", "66A¹⁶"), =HYPERLINK("CSG20.html#group88A20", "88A²⁰"), =HYPERLINK("CSG20.html#group44A20", "44A²⁰"), =HYPERLINK("CSG21.html#group88A21", "88A²¹"), =HYPERLINK("CSG21.html#group22C21", "22C²¹")</f>
        <v/>
      </c>
    </row>
    <row r="942">
      <c r="A942" t="inlineStr">
        <is>
          <t>22B⁵</t>
        </is>
      </c>
      <c r="B942" t="inlineStr"/>
      <c r="C942" t="inlineStr">
        <is>
          <t>110</t>
        </is>
      </c>
      <c r="D942" t="inlineStr">
        <is>
          <t>1</t>
        </is>
      </c>
      <c r="E942" t="inlineStr">
        <is>
          <t>55</t>
        </is>
      </c>
      <c r="F942" t="inlineStr">
        <is>
          <t>0</t>
        </is>
      </c>
      <c r="G942" t="inlineStr">
        <is>
          <t>8</t>
        </is>
      </c>
      <c r="H942" t="inlineStr">
        <is>
          <t>22⁵</t>
        </is>
      </c>
      <c r="I942" t="n">
        <v>5</v>
      </c>
      <c r="J942" t="inlineStr">
        <is>
          <t>5¹, 10⁵</t>
        </is>
      </c>
      <c r="K942">
        <f>HYPERLINK("CSG1.html#group11B1", "11B¹"), =HYPERLINK("CSG1.html#group22A1", "22A¹")</f>
        <v/>
      </c>
      <c r="L942">
        <f>HYPERLINK("CSG17.html#group22B17", "22B¹⁷"), =HYPERLINK("CSG21.html#group22B21", "22B²¹"), =HYPERLINK("CSG21.html#group22C21", "22C²¹"), =HYPERLINK("CSG22.html#group66A22", "66A²²"), =HYPERLINK("CSG22.html#group66B22", "66B²²"), =HYPERLINK("CSG22.html#group66C22", "66C²²"), =HYPERLINK("CSG24.html#group66A24", "66A²⁴"), =HYPERLINK("CSG24.html#group66B24", "66B²⁴")</f>
        <v/>
      </c>
      <c r="M942">
        <f>HYPERLINK("CSG0.html#group11A0", "11A⁰"), =HYPERLINK("CSG0.html#group2A0", "2A⁰"), =HYPERLINK("CSG1.html#group22A1", "22A¹"), =HYPERLINK("CSG1.html#group11B1", "11B¹"), =HYPERLINK("CSG0.html#group1A0", "1A⁰")</f>
        <v/>
      </c>
      <c r="N942">
        <f>HYPERLINK("CSG17.html#group22B17", "22B¹⁷"), =HYPERLINK("CSG22.html#group66A22", "66A²²"), =HYPERLINK("CSG24.html#group66A24", "66A²⁴"), =HYPERLINK("CSG21.html#group22C21", "22C²¹"), =HYPERLINK("CSG22.html#group66B22", "66B²²"), =HYPERLINK("CSG22.html#group66C22", "66C²²"), =HYPERLINK("CSG21.html#group22B21", "22B²¹"), =HYPERLINK("CSG24.html#group66B24", "66B²⁴")</f>
        <v/>
      </c>
    </row>
    <row r="943">
      <c r="A943" t="inlineStr">
        <is>
          <t>22C⁵</t>
        </is>
      </c>
      <c r="B943" t="inlineStr"/>
      <c r="C943" t="inlineStr">
        <is>
          <t>110</t>
        </is>
      </c>
      <c r="D943" t="inlineStr">
        <is>
          <t>2</t>
        </is>
      </c>
      <c r="E943" t="inlineStr">
        <is>
          <t>55</t>
        </is>
      </c>
      <c r="F943" t="inlineStr">
        <is>
          <t>8</t>
        </is>
      </c>
      <c r="G943" t="inlineStr">
        <is>
          <t>2</t>
        </is>
      </c>
      <c r="H943" t="inlineStr">
        <is>
          <t>22⁵</t>
        </is>
      </c>
      <c r="I943" t="n">
        <v>5</v>
      </c>
      <c r="J943" t="inlineStr">
        <is>
          <t>10¹¹</t>
        </is>
      </c>
      <c r="K943">
        <f>HYPERLINK("CSG1.html#group11C1", "11C¹")</f>
        <v/>
      </c>
      <c r="L943">
        <f>HYPERLINK("CSG10.html#group22B10", "22B¹⁰"), =HYPERLINK("CSG12.html#group22A12", "22A¹²"), =HYPERLINK("CSG13.html#group22B13", "22B¹³"), =HYPERLINK("CSG18.html#group22B18", "22B¹⁸"), =HYPERLINK("CSG19.html#group22A19", "22A¹⁹"), =HYPERLINK("CSG20.html#group66B20", "66B²⁰")</f>
        <v/>
      </c>
      <c r="M943">
        <f>HYPERLINK("CSG1.html#group11C1", "11C¹"), =HYPERLINK("CSG0.html#group1A0", "1A⁰")</f>
        <v/>
      </c>
      <c r="N943">
        <f>HYPERLINK("CSG12.html#group22A12", "22A¹²"), =HYPERLINK("CSG19.html#group22A19", "22A¹⁹"), =HYPERLINK("CSG20.html#group66B20", "66B²⁰"), =HYPERLINK("CSG13.html#group22B13", "22B¹³"), =HYPERLINK("CSG18.html#group22B18", "22B¹⁸"), =HYPERLINK("CSG10.html#group22B10", "22B¹⁰")</f>
        <v/>
      </c>
    </row>
    <row r="944">
      <c r="A944" t="inlineStr">
        <is>
          <t>24A⁵</t>
        </is>
      </c>
      <c r="B944" t="inlineStr"/>
      <c r="C944" t="inlineStr">
        <is>
          <t>72</t>
        </is>
      </c>
      <c r="D944" t="inlineStr">
        <is>
          <t>1</t>
        </is>
      </c>
      <c r="E944" t="inlineStr">
        <is>
          <t>3</t>
        </is>
      </c>
      <c r="F944" t="inlineStr">
        <is>
          <t>0</t>
        </is>
      </c>
      <c r="G944" t="inlineStr">
        <is>
          <t>0</t>
        </is>
      </c>
      <c r="H944" t="inlineStr">
        <is>
          <t>12², 24²</t>
        </is>
      </c>
      <c r="I944" t="n">
        <v>4</v>
      </c>
      <c r="J944" t="inlineStr">
        <is>
          <t>1³</t>
        </is>
      </c>
      <c r="K944">
        <f>HYPERLINK("CSG0.html#group24A0", "24A⁰"), =HYPERLINK("CSG1.html#group8B1", "8B¹"), =HYPERLINK("CSG2.html#group12B2", "12B²"), =HYPERLINK("CSG3.html#group24A3", "24A³")</f>
        <v/>
      </c>
      <c r="L944">
        <f>HYPERLINK("CSG9.html#group24C9", "24C⁹"), =HYPERLINK("CSG9.html#group24D9", "24D⁹"), =HYPERLINK("CSG9.html#group24F9", "24F⁹"), =HYPERLINK("CSG9.html#group24J9", "24J⁹"), =HYPERLINK("CSG9.html#group24S9", "24S⁹"), =HYPERLINK("CSG11.html#group48A11", "48A¹¹"), =HYPERLINK("CSG11.html#group48B11", "48B¹¹"), =HYPERLINK("CSG11.html#group48D11", "48D¹¹"), =HYPERLINK("CSG11.html#group48F11", "48F¹¹"), =HYPERLINK("CSG11.html#group48I11", "48I¹¹"), =HYPERLINK("CSG11.html#group48M11", "48M¹¹"), =HYPERLINK("CSG17.html#group72C17", "72C¹⁷")</f>
        <v/>
      </c>
      <c r="M944">
        <f>HYPERLINK("CSG0.html#group2A0", "2A⁰"), =HYPERLINK("CSG3.html#group24A3", "24A³"), =HYPERLINK("CSG0.html#group12C0", "12C⁰"), =HYPERLINK("CSG1.html#group8A1", "8A¹"), =HYPERLINK("CSG1.html#group6C1", "6C¹"), =HYPERLINK("CSG0.html#group4C0", "4C⁰"), =HYPERLINK("CSG2.html#group12B2", "12B²"), =HYPERLINK("CSG0.html#group8B0", "8B⁰"), =HYPERLINK("CSG0.html#group2B0", "2B⁰"), =HYPERLINK("CSG1.html#group8B1", "8B¹"), =HYPERLINK("CSG0.html#group4E0", "4E⁰"), =HYPERLINK("CSG0.html#group4B0", "4B⁰"), =HYPERLINK("CSG0.html#group1A0", "1A⁰"), =HYPERLINK("CSG0.html#group6A0", "6A⁰"), =HYPERLINK("CSG0.html#group24A0", "24A⁰"), =HYPERLINK("CSG1.html#group12B1", "12B¹"), =HYPERLINK("CSG1.html#group6A1", "6A¹"), =HYPERLINK("CSG0.html#group3A0", "3A⁰"), =HYPERLINK("CSG0.html#group2C0", "2C⁰"), =HYPERLINK("CSG0.html#group6D0", "6D⁰")</f>
        <v/>
      </c>
      <c r="N944">
        <f>HYPERLINK("CSG9.html#group24F9", "24F⁹"), =HYPERLINK("CSG21.html#group48AO21", "48AO²¹"), =HYPERLINK("CSG11.html#group48M11", "48M¹¹"), =HYPERLINK("CSG23.html#group96I23", "96I²³"), =HYPERLINK("CSG23.html#group96O23", "96O²³"), =HYPERLINK("CSG21.html#group48I21", "48I²¹"), =HYPERLINK("CSG19.html#group48R19", "48R¹⁹"), =HYPERLINK("CSG17.html#group24I17", "24I¹⁷"), =HYPERLINK("CSG21.html#group48R21", "48R²¹"), =HYPERLINK("CSG21.html#group48L21", "48L²¹"), =HYPERLINK("CSG21.html#group48S21", "48S²¹"), =HYPERLINK("CSG23.html#group96K23", "96K²³"), =HYPERLINK("CSG17.html#group24F17", "24F¹⁷"), =HYPERLINK("CSG19.html#group24F19", "24F¹⁹"), =HYPERLINK("CSG19.html#group48A19", "48A¹⁹"), =HYPERLINK("CSG21.html#group48AH21", "48AH²¹"), =HYPERLINK("CSG17.html#group72C17", "72C¹⁷"), =HYPERLINK("CSG11.html#group48B11", "48B¹¹"), =HYPERLINK("CSG21.html#group48P21", "48P²¹"), =HYPERLINK("CSG21.html#group48O21", "48O²¹"), =HYPERLINK("CSG11.html#group48D11", "48D¹¹"), =HYPERLINK("CSG21.html#group48AN21", "48AN²¹"), =HYPERLINK("CSG21.html#group48AI21", "48AI²¹"), =HYPERLINK("CSG23.html#group96D23", "96D²³"), =HYPERLINK("CSG9.html#group24J9", "24J⁹"), =HYPERLINK("CSG21.html#group48J21", "48J²¹"), =HYPERLINK("CSG23.html#group96G23", "96G²³"), =HYPERLINK("CSG21.html#group48BR21", "48BR²¹"), =HYPERLINK("CSG21.html#group48F21", "48F²¹"), =HYPERLINK("CSG23.html#group96C23", "96C²³"), =HYPERLINK("CSG21.html#group48BS21", "48BS²¹"), =HYPERLINK("CSG19.html#group48AR19", "48AR¹⁹"), =HYPERLINK("CSG11.html#group48F11", "48F¹¹"), =HYPERLINK("CSG23.html#group96J23", "96J²³"), =HYPERLINK("CSG11.html#group48I11", "48I¹¹"), =HYPERLINK("CSG17.html#group24U17", "24U¹⁷"), =HYPERLINK("CSG17.html#group24V17", "24V¹⁷"), =HYPERLINK("CSG17.html#group24B17", "24B¹⁷"), =HYPERLINK("CSG21.html#group48AK21", "48AK²¹"), =HYPERLINK("CSG19.html#group48G19", "48G¹⁹"), =HYPERLINK("CSG19.html#group24A19", "24A¹⁹"), =HYPERLINK("CSG9.html#group24S9", "24S⁹"), =HYPERLINK("CSG17.html#group24Q17", "24Q¹⁷"), =HYPERLINK("CSG23.html#group96E23", "96E²³"), =HYPERLINK("CSG17.html#group24J17", "24J¹⁷"), =HYPERLINK("CSG23.html#group96F23", "96F²³"), =HYPERLINK("CSG21.html#group48AL21", "48AL²¹"), =HYPERLINK("CSG9.html#group24D9", "24D⁹"), =HYPERLINK("CSG21.html#group48N21", "48N²¹"), =HYPERLINK("CSG11.html#group48A11", "48A¹¹"), =HYPERLINK("CSG23.html#group96P23", "96P²³"), =HYPERLINK("CSG9.html#group24C9", "24C⁹"), =HYPERLINK("CSG21.html#group48AJ21", "48AJ²¹"), =HYPERLINK("CSG19.html#group48B19", "48B¹⁹"), =HYPERLINK("CSG17.html#group24T17", "24T¹⁷"), =HYPERLINK("CSG21.html#group48K21", "48K²¹"), =HYPERLINK("CSG21.html#group48E21", "48E²¹"), =HYPERLINK("CSG21.html#group48AM21", "48AM²¹"), =HYPERLINK("CSG19.html#group48D19", "48D¹⁹"), =HYPERLINK("CSG21.html#group48AP21", "48AP²¹"), =HYPERLINK("CSG21.html#group48Q21", "48Q²¹"), =HYPERLINK("CSG21.html#group48BQ21", "48BQ²¹"), =HYPERLINK("CSG23.html#group96B23", "96B²³"), =HYPERLINK("CSG21.html#group48AG21", "48AG²¹"), =HYPERLINK("CSG23.html#group96L23", "96L²³"), =HYPERLINK("CSG19.html#group24G19", "24G¹⁹"), =HYPERLINK("CSG17.html#group24C17", "24C¹⁷"), =HYPERLINK("CSG19.html#group24D19", "24D¹⁹")</f>
        <v/>
      </c>
    </row>
    <row r="945">
      <c r="A945" t="inlineStr">
        <is>
          <t>24B⁵</t>
        </is>
      </c>
      <c r="B945" t="inlineStr"/>
      <c r="C945" t="inlineStr">
        <is>
          <t>72</t>
        </is>
      </c>
      <c r="D945" t="inlineStr">
        <is>
          <t>1</t>
        </is>
      </c>
      <c r="E945" t="inlineStr">
        <is>
          <t>6</t>
        </is>
      </c>
      <c r="F945" t="inlineStr">
        <is>
          <t>0</t>
        </is>
      </c>
      <c r="G945" t="inlineStr">
        <is>
          <t>0</t>
        </is>
      </c>
      <c r="H945" t="inlineStr">
        <is>
          <t>12², 24²</t>
        </is>
      </c>
      <c r="I945" t="n">
        <v>4</v>
      </c>
      <c r="J945" t="inlineStr">
        <is>
          <t>1², 2²</t>
        </is>
      </c>
      <c r="K945">
        <f>HYPERLINK("CSG1.html#group8C1", "8C¹"), =HYPERLINK("CSG1.html#group12J1", "12J¹"), =HYPERLINK("CSG1.html#group24C1", "24C¹"), =HYPERLINK("CSG3.html#group24A3", "24A³")</f>
        <v/>
      </c>
      <c r="L945">
        <f>HYPERLINK("CSG9.html#group24C9", "24C⁹"), =HYPERLINK("CSG9.html#group24Q9", "24Q⁹"), =HYPERLINK("CSG9.html#group24R9", "24R⁹"), =HYPERLINK("CSG10.html#group24C10", "24C¹⁰"), =HYPERLINK("CSG10.html#group24E10", "24E¹⁰"), =HYPERLINK("CSG10.html#group48C10", "48C¹⁰"), =HYPERLINK("CSG10.html#group48D10", "48D¹⁰"), =HYPERLINK("CSG11.html#group48J11", "48J¹¹"), =HYPERLINK("CSG11.html#group48O11", "48O¹¹"), =HYPERLINK("CSG17.html#group72F17", "72F¹⁷")</f>
        <v/>
      </c>
      <c r="M945">
        <f>HYPERLINK("CSG3.html#group24A3", "24A³"), =HYPERLINK("CSG0.html#group12C0", "12C⁰"), =HYPERLINK("CSG1.html#group8A1", "8A¹"), =HYPERLINK("CSG0.html#group8D0", "8D⁰"), =HYPERLINK("CSG0.html#group4C0", "4C⁰"), =HYPERLINK("CSG0.html#group2B0", "2B⁰"), =HYPERLINK("CSG0.html#group1A0", "1A⁰"), =HYPERLINK("CSG0.html#group12A0", "12A⁰"), =HYPERLINK("CSG1.html#group8C1", "8C¹"),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945">
        <f>HYPERLINK("CSG10.html#group24C10", "24C¹⁰"), =HYPERLINK("CSG19.html#group24P19", "24P¹⁹"), =HYPERLINK("CSG11.html#group48O11", "48O¹¹"), =HYPERLINK("CSG21.html#group48AQ21", "48AQ²¹"), =HYPERLINK("CSG21.html#group48AY21", "48AY²¹"), =HYPERLINK("CSG19.html#group48Y19", "48Y¹⁹"), =HYPERLINK("CSG10.html#group48D10", "48D¹⁰"), =HYPERLINK("CSG19.html#group24M19", "24M¹⁹"), =HYPERLINK("CSG21.html#group48L21", "48L²¹"), =HYPERLINK("CSG20.html#group48B20", "48B²⁰"), =HYPERLINK("CSG21.html#group48BL21", "48BL²¹"), =HYPERLINK("CSG19.html#group24F19", "24F¹⁹"), =HYPERLINK("CSG17.html#group24F17", "24F¹⁷"), =HYPERLINK("CSG22.html#group48D22", "48D²²"), =HYPERLINK("CSG19.html#group48A19", "48A¹⁹"), =HYPERLINK("CSG9.html#group24Q9", "24Q⁹"), =HYPERLINK("CSG20.html#group96B20", "96B²⁰"), =HYPERLINK("CSG21.html#group48AZ21", "48AZ²¹"), =HYPERLINK("CSG19.html#group48Z19", "48Z¹⁹"), =HYPERLINK("CSG23.html#group96AD23", "96AD²³"), =HYPERLINK("CSG21.html#group48BN21", "48BN²¹"), =HYPERLINK("CSG22.html#group48C22", "48C²²"), =HYPERLINK("CSG20.html#group48A20", "48A²⁰"), =HYPERLINK("CSG10.html#group48C10", "48C¹⁰"), =HYPERLINK("CSG21.html#group48BV21", "48BV²¹"), =HYPERLINK("CSG19.html#group48U19", "48U¹⁹"), =HYPERLINK("CSG17.html#group24E17", "24E¹⁷"), =HYPERLINK("CSG21.html#group48F21", "48F²¹"), =HYPERLINK("CSG22.html#group96D22", "96D²²"), =HYPERLINK("CSG22.html#group96B22", "96B²²"), =HYPERLINK("CSG10.html#group24E10", "24E¹⁰"), =HYPERLINK("CSG19.html#group48G19", "48G¹⁹"), =HYPERLINK("CSG20.html#group96A20", "96A²⁰"), =HYPERLINK("CSG19.html#group24A19", "24A¹⁹"), =HYPERLINK("CSG11.html#group48J11", "48J¹¹"), =HYPERLINK("CSG17.html#group24B17", "24B¹⁷"), =HYPERLINK("CSG17.html#group24J17", "24J¹⁷"), =HYPERLINK("CSG21.html#group48AT21", "48AT²¹"), =HYPERLINK("CSG17.html#group24N17", "24N¹⁷"), =HYPERLINK("CSG9.html#group24R9", "24R⁹"), =HYPERLINK("CSG23.html#group96AC23", "96AC²³"), =HYPERLINK("CSG19.html#group48V19", "48V¹⁹"), =HYPERLINK("CSG19.html#group48B19", "48B¹⁹"), =HYPERLINK("CSG17.html#group72F17", "72F¹⁷"), =HYPERLINK("CSG21.html#group48BA21", "48BA²¹"), =HYPERLINK("CSG21.html#group48E21", "48E²¹"), =HYPERLINK("CSG19.html#group48D19", "48D¹⁹"), =HYPERLINK("CSG19.html#group24Q19", "24Q¹⁹"), =HYPERLINK("CSG19.html#group24G19", "24G¹⁹"), =HYPERLINK("CSG21.html#group48Q21", "48Q²¹"), =HYPERLINK("CSG9.html#group24C9", "24C⁹"), =HYPERLINK("CSG21.html#group48BM21", "48BM²¹"), =HYPERLINK("CSG19.html#group24L19", "24L¹⁹"), =HYPERLINK("CSG19.html#group24D19", "24D¹⁹")</f>
        <v/>
      </c>
    </row>
    <row r="946">
      <c r="A946" t="inlineStr">
        <is>
          <t>24C⁵</t>
        </is>
      </c>
      <c r="B946" t="inlineStr"/>
      <c r="C946" t="inlineStr">
        <is>
          <t>72</t>
        </is>
      </c>
      <c r="D946" t="inlineStr">
        <is>
          <t>1</t>
        </is>
      </c>
      <c r="E946" t="inlineStr">
        <is>
          <t>9</t>
        </is>
      </c>
      <c r="F946" t="inlineStr">
        <is>
          <t>0</t>
        </is>
      </c>
      <c r="G946" t="inlineStr">
        <is>
          <t>0</t>
        </is>
      </c>
      <c r="H946" t="inlineStr">
        <is>
          <t>12², 24²</t>
        </is>
      </c>
      <c r="I946" t="n">
        <v>4</v>
      </c>
      <c r="J946" t="inlineStr">
        <is>
          <t>1³, 2³</t>
        </is>
      </c>
      <c r="K946">
        <f>HYPERLINK("CSG1.html#group12L1", "12L¹"), =HYPERLINK("CSG2.html#group24C2", "24C²")</f>
        <v/>
      </c>
      <c r="L946">
        <f>HYPERLINK("CSG9.html#group24A9", "24A⁹"), =HYPERLINK("CSG9.html#group24E9", "24E⁹"), =HYPERLINK("CSG9.html#group24G9", "24G⁹"), =HYPERLINK("CSG9.html#group24P9", "24P⁹"), =HYPERLINK("CSG9.html#group24O9", "24O⁹"), =HYPERLINK("CSG15.html#group72H15", "72H¹⁵"), =HYPERLINK("CSG17.html#group72A17", "72A¹⁷"), =HYPERLINK("CSG17.html#group72I17", "72I¹⁷")</f>
        <v/>
      </c>
      <c r="M946">
        <f>HYPERLINK("CSG0.html#group12C0", "12C⁰"), =HYPERLINK("CSG1.html#group12C1", "12C¹"), =HYPERLINK("CSG0.html#group4C0", "4C⁰"), =HYPERLINK("CSG0.html#group6G0", "6G⁰"), =HYPERLINK("CSG0.html#group3C0", "3C⁰"), =HYPERLINK("CSG0.html#group1A0", "1A⁰"), =HYPERLINK("CSG0.html#group2B0", "2B⁰"), =HYPERLINK("CSG2.html#group24C2", "24C²"), =HYPERLINK("CSG0.html#group3A0", "3A⁰"), =HYPERLINK("CSG1.html#group12L1", "12L¹"), =HYPERLINK("CSG0.html#group6D0", "6D⁰")</f>
        <v/>
      </c>
      <c r="N946">
        <f>HYPERLINK("CSG21.html#group48Z21", "48Z²¹"), =HYPERLINK("CSG17.html#group72I17", "72I¹⁷"), =HYPERLINK("CSG19.html#group48X19", "48X¹⁹"), =HYPERLINK("CSG21.html#group48AV21", "48AV²¹"), =HYPERLINK("CSG21.html#group48BE21", "48BE²¹"), =HYPERLINK("CSG17.html#group24G17", "24G¹⁷"), =HYPERLINK("CSG17.html#group24H17", "24H¹⁷"), =HYPERLINK("CSG21.html#group48H21", "48H²¹"), =HYPERLINK("CSG9.html#group24G9", "24G⁹"), =HYPERLINK("CSG19.html#group24N19", "24N¹⁹"), =HYPERLINK("CSG15.html#group72H15", "72H¹⁵"), =HYPERLINK("CSG17.html#group24N17", "24N¹⁷"), =HYPERLINK("CSG17.html#group24O17", "24O¹⁷"), =HYPERLINK("CSG17.html#group72A17", "72A¹⁷"), =HYPERLINK("CSG17.html#group24L17", "24L¹⁷"), =HYPERLINK("CSG9.html#group24O9", "24O⁹"), =HYPERLINK("CSG19.html#group48W19", "48W¹⁹"), =HYPERLINK("CSG21.html#group48W21", "48W²¹"), =HYPERLINK("CSG17.html#group24Z17", "24Z¹⁷"), =HYPERLINK("CSG21.html#group48C21", "48C²¹"), =HYPERLINK("CSG9.html#group24A9", "24A⁹"), =HYPERLINK("CSG21.html#group48AU21", "48AU²¹"), =HYPERLINK("CSG21.html#group48Y21", "48Y²¹"), =HYPERLINK("CSG17.html#group24M17", "24M¹⁷"), =HYPERLINK("CSG19.html#group24O19", "24O¹⁹"), =HYPERLINK("CSG21.html#group48D21", "48D²¹"), =HYPERLINK("CSG17.html#group24D17", "24D¹⁷"), =HYPERLINK("CSG17.html#group24C17", "24C¹⁷"), =HYPERLINK("CSG9.html#group24E9", "24E⁹"), =HYPERLINK("CSG9.html#group24P9", "24P⁹")</f>
        <v/>
      </c>
    </row>
    <row r="947">
      <c r="A947" t="inlineStr">
        <is>
          <t>24D⁵</t>
        </is>
      </c>
      <c r="B947" t="inlineStr"/>
      <c r="C947" t="inlineStr">
        <is>
          <t>72</t>
        </is>
      </c>
      <c r="D947" t="inlineStr">
        <is>
          <t>1</t>
        </is>
      </c>
      <c r="E947" t="inlineStr">
        <is>
          <t>9</t>
        </is>
      </c>
      <c r="F947" t="inlineStr">
        <is>
          <t>0</t>
        </is>
      </c>
      <c r="G947" t="inlineStr">
        <is>
          <t>0</t>
        </is>
      </c>
      <c r="H947" t="inlineStr">
        <is>
          <t>12², 24²</t>
        </is>
      </c>
      <c r="I947" t="n">
        <v>4</v>
      </c>
      <c r="J947" t="inlineStr">
        <is>
          <t>1³, 2³</t>
        </is>
      </c>
      <c r="K947">
        <f>HYPERLINK("CSG0.html#group12H0", "12H⁰"), =HYPERLINK("CSG2.html#group24C2", "24C²"), =HYPERLINK("CSG3.html#group24A3", "24A³")</f>
        <v/>
      </c>
      <c r="L947">
        <f>HYPERLINK("CSG9.html#group24E9", "24E⁹"), =HYPERLINK("CSG9.html#group24J9", "24J⁹"), =HYPERLINK("CSG9.html#group24M9", "24M⁹"), =HYPERLINK("CSG9.html#group24Q9", "24Q⁹"), =HYPERLINK("CSG11.html#group48N11", "48N¹¹"), =HYPERLINK("CSG11.html#group48R11", "48R¹¹"), =HYPERLINK("CSG17.html#group72D17", "72D¹⁷"), =HYPERLINK("CSG17.html#group72H17", "72H¹⁷")</f>
        <v/>
      </c>
      <c r="M947">
        <f>HYPERLINK("CSG3.html#group24A3", "24A³"), =HYPERLINK("CSG0.html#group6B0", "6B⁰"), =HYPERLINK("CSG0.html#group12C0", "12C⁰"), =HYPERLINK("CSG0.html#group3A0", "3A⁰"), =HYPERLINK("CSG1.html#group8A1", "8A¹"), =HYPERLINK("CSG0.html#group4C0", "4C⁰"), =HYPERLINK("CSG0.html#group2B0", "2B⁰"), =HYPERLINK("CSG0.html#group12D0", "12D⁰"), =HYPERLINK("CSG2.html#group24C2", "24C²"), =HYPERLINK("CSG0.html#group6H0", "6H⁰"), =HYPERLINK("CSG0.html#group12H0", "12H⁰"), =HYPERLINK("CSG0.html#group1A0", "1A⁰"), =HYPERLINK("CSG0.html#group6D0", "6D⁰")</f>
        <v/>
      </c>
      <c r="N947">
        <f>HYPERLINK("CSG17.html#group72H17", "72H¹⁷"), =HYPERLINK("CSG21.html#group48AO21", "48AO²¹"), =HYPERLINK("CSG19.html#group24P19", "24P¹⁹"), =HYPERLINK("CSG21.html#group48AV21", "48AV²¹"), =HYPERLINK("CSG21.html#group48AY21", "48AY²¹"), =HYPERLINK("CSG19.html#group48Y19", "48Y¹⁹"), =HYPERLINK("CSG21.html#group48BE21", "48BE²¹"), =HYPERLINK("CSG11.html#group48R11", "48R¹¹"), =HYPERLINK("CSG9.html#group24M9", "24M⁹"), =HYPERLINK("CSG17.html#group24I17", "24I¹⁷"), =HYPERLINK("CSG21.html#group48S21", "48S²¹"), =HYPERLINK("CSG19.html#group48AQ19", "48AQ¹⁹"), =HYPERLINK("CSG9.html#group24Q9", "24Q⁹"), =HYPERLINK("CSG23.html#group96X23", "96X²³"), =HYPERLINK("CSG17.html#group72D17", "72D¹⁷"), =HYPERLINK("CSG23.html#group96W23", "96W²³"), =HYPERLINK("CSG21.html#group48P21", "48P²¹"), =HYPERLINK("CSG21.html#group48O21", "48O²¹"), =HYPERLINK("CSG19.html#group24R19", "24R¹⁹"), =HYPERLINK("CSG17.html#group24M17", "24M¹⁷"), =HYPERLINK("CSG9.html#group24J9", "24J⁹"), =HYPERLINK("CSG23.html#group96AB23", "96AB²³"), =HYPERLINK("CSG19.html#group48U19", "48U¹⁹"), =HYPERLINK("CSG11.html#group48N11", "48N¹¹"), =HYPERLINK("CSG17.html#group24V17", "24V¹⁷"), =HYPERLINK("CSG23.html#group96Q23", "96Q²³"), =HYPERLINK("CSG21.html#group48BK21", "48BK²¹"), =HYPERLINK("CSG17.html#group24J17", "24J¹⁷"), =HYPERLINK("CSG17.html#group24N17", "24N¹⁷"), =HYPERLINK("CSG21.html#group48AT21", "48AT²¹"), =HYPERLINK("CSG17.html#group24O17", "24O¹⁷"), =HYPERLINK("CSG23.html#group96AA23", "96AA²³"), =HYPERLINK("CSG17.html#group24T17", "24T¹⁷"), =HYPERLINK("CSG21.html#group48K21", "48K²¹"), =HYPERLINK("CSG23.html#group96R23", "96R²³"), =HYPERLINK("CSG21.html#group48AP21", "48AP²¹"), =HYPERLINK("CSG19.html#group24L19", "24L¹⁹"), =HYPERLINK("CSG21.html#group48BJ21", "48BJ²¹"), =HYPERLINK("CSG17.html#group24C17", "24C¹⁷"), =HYPERLINK("CSG9.html#group24E9", "24E⁹")</f>
        <v/>
      </c>
    </row>
    <row r="948">
      <c r="A948" t="inlineStr">
        <is>
          <t>24E⁵</t>
        </is>
      </c>
      <c r="B948" t="inlineStr"/>
      <c r="C948" t="inlineStr">
        <is>
          <t>72</t>
        </is>
      </c>
      <c r="D948" t="inlineStr">
        <is>
          <t>1</t>
        </is>
      </c>
      <c r="E948" t="inlineStr">
        <is>
          <t>9</t>
        </is>
      </c>
      <c r="F948" t="inlineStr">
        <is>
          <t>0</t>
        </is>
      </c>
      <c r="G948" t="inlineStr">
        <is>
          <t>0</t>
        </is>
      </c>
      <c r="H948" t="inlineStr">
        <is>
          <t>12², 24²</t>
        </is>
      </c>
      <c r="I948" t="n">
        <v>4</v>
      </c>
      <c r="J948" t="inlineStr">
        <is>
          <t>1³, 2³</t>
        </is>
      </c>
      <c r="K948">
        <f>HYPERLINK("CSG1.html#group12L1", "12L¹"), =HYPERLINK("CSG1.html#group24D1", "24D¹"), =HYPERLINK("CSG3.html#group24A3", "24A³")</f>
        <v/>
      </c>
      <c r="L948">
        <f>HYPERLINK("CSG9.html#group24B9", "24B⁹"), =HYPERLINK("CSG9.html#group24E9", "24E⁹"), =HYPERLINK("CSG9.html#group24J9", "24J⁹"), =HYPERLINK("CSG9.html#group24N9", "24N⁹"), =HYPERLINK("CSG9.html#group24R9", "24R⁹"), =HYPERLINK("CSG11.html#group48P11", "48P¹¹"), =HYPERLINK("CSG11.html#group48S11", "48S¹¹"), =HYPERLINK("CSG15.html#group72I15", "72I¹⁵"), =HYPERLINK("CSG17.html#group72B17", "72B¹⁷"), =HYPERLINK("CSG17.html#group72J17", "72J¹⁷")</f>
        <v/>
      </c>
      <c r="M948">
        <f>HYPERLINK("CSG3.html#group24A3", "24A³"), =HYPERLINK("CSG0.html#group12C0", "12C⁰"), =HYPERLINK("CSG1.html#group12C1", "12C¹"), =HYPERLINK("CSG1.html#group8A1", "8A¹"), =HYPERLINK("CSG0.html#group4C0", "4C⁰"), =HYPERLINK("CSG1.html#group24D1", "24D¹"), =HYPERLINK("CSG0.html#group6G0", "6G⁰"), =HYPERLINK("CSG0.html#group3C0", "3C⁰"), =HYPERLINK("CSG0.html#group1A0", "1A⁰"), =HYPERLINK("CSG0.html#group2B0", "2B⁰"), =HYPERLINK("CSG0.html#group3A0", "3A⁰"), =HYPERLINK("CSG1.html#group12L1", "12L¹"), =HYPERLINK("CSG0.html#group6D0", "6D⁰")</f>
        <v/>
      </c>
      <c r="N948">
        <f>HYPERLINK("CSG21.html#group48AO21", "48AO²¹"), =HYPERLINK("CSG23.html#group96Z23", "96Z²³"), =HYPERLINK("CSG21.html#group48AV21", "48AV²¹"), =HYPERLINK("CSG21.html#group48BE21", "48BE²¹"), =HYPERLINK("CSG19.html#group24M19", "24M¹⁹"), =HYPERLINK("CSG17.html#group72B17", "72B¹⁷"), =HYPERLINK("CSG17.html#group24I17", "24I¹⁷"), =HYPERLINK("CSG21.html#group48S21", "48S²¹"), =HYPERLINK("CSG11.html#group48P11", "48P¹¹"), =HYPERLINK("CSG21.html#group48AZ21", "48AZ²¹"), =HYPERLINK("CSG21.html#group48P21", "48P²¹"), =HYPERLINK("CSG21.html#group48O21", "48O²¹"), =HYPERLINK("CSG19.html#group48Z19", "48Z¹⁹"), =HYPERLINK("CSG21.html#group48A21", "48A²¹"), =HYPERLINK("CSG17.html#group24M17", "24M¹⁷"), =HYPERLINK("CSG23.html#group96T23", "96T²³"), =HYPERLINK("CSG17.html#group72J17", "72J¹⁷"), =HYPERLINK("CSG21.html#group48G21", "48G²¹"), =HYPERLINK("CSG23.html#group96S23", "96S²³"), =HYPERLINK("CSG21.html#group48BT21", "48BT²¹"), =HYPERLINK("CSG9.html#group24J9", "24J⁹"), =HYPERLINK("CSG17.html#group24K17", "24K¹⁷"), =HYPERLINK("CSG17.html#group24E17", "24E¹⁷"), =HYPERLINK("CSG17.html#group24V17", "24V¹⁷"), =HYPERLINK("CSG21.html#group48X21", "48X²¹"), =HYPERLINK("CSG9.html#group24B9", "24B⁹"), =HYPERLINK("CSG17.html#group24J17", "24J¹⁷"), =HYPERLINK("CSG17.html#group24N17", "24N¹⁷"), =HYPERLINK("CSG17.html#group24O17", "24O¹⁷"), =HYPERLINK("CSG9.html#group24R9", "24R⁹"), =HYPERLINK("CSG23.html#group96Y23", "96Y²³"), =HYPERLINK("CSG21.html#group48B21", "48B²¹"), =HYPERLINK("CSG19.html#group48V19", "48V¹⁹"), =HYPERLINK("CSG15.html#group72I15", "72I¹⁵"), =HYPERLINK("CSG21.html#group48BA21", "48BA²¹"), =HYPERLINK("CSG17.html#group24T17", "24T¹⁷"), =HYPERLINK("CSG21.html#group48K21", "48K²¹"), =HYPERLINK("CSG19.html#group24Q19", "24Q¹⁹"), =HYPERLINK("CSG21.html#group48AP21", "48AP²¹"), =HYPERLINK("CSG9.html#group24N9", "24N⁹"), =HYPERLINK("CSG11.html#group48S11", "48S¹¹"), =HYPERLINK("CSG17.html#group24C17", "24C¹⁷"), =HYPERLINK("CSG9.html#group24E9", "24E⁹")</f>
        <v/>
      </c>
    </row>
    <row r="949">
      <c r="A949" t="inlineStr">
        <is>
          <t>24F⁵</t>
        </is>
      </c>
      <c r="B949" t="inlineStr"/>
      <c r="C949" t="inlineStr">
        <is>
          <t>72</t>
        </is>
      </c>
      <c r="D949" t="inlineStr">
        <is>
          <t>1</t>
        </is>
      </c>
      <c r="E949" t="inlineStr">
        <is>
          <t>9</t>
        </is>
      </c>
      <c r="F949" t="inlineStr">
        <is>
          <t>0</t>
        </is>
      </c>
      <c r="G949" t="inlineStr">
        <is>
          <t>0</t>
        </is>
      </c>
      <c r="H949" t="inlineStr">
        <is>
          <t>12², 24²</t>
        </is>
      </c>
      <c r="I949" t="n">
        <v>4</v>
      </c>
      <c r="J949" t="inlineStr">
        <is>
          <t>1³, 2³</t>
        </is>
      </c>
      <c r="K949">
        <f>HYPERLINK("CSG1.html#group24D1", "24D¹"), =HYPERLINK("CSG2.html#group12B2", "12B²"), =HYPERLINK("CSG2.html#group24C2", "24C²")</f>
        <v/>
      </c>
      <c r="L949">
        <f>HYPERLINK("CSG9.html#group24G9", "24G⁹"), =HYPERLINK("CSG9.html#group24H9", "24H⁹"), =HYPERLINK("CSG9.html#group24I9", "24I⁹"), =HYPERLINK("CSG9.html#group24J9", "24J⁹"), =HYPERLINK("CSG9.html#group24T9", "24T⁹"), =HYPERLINK("CSG9.html#group24U9", "24U⁹"), =HYPERLINK("CSG9.html#group24Z9", "24Z⁹"), =HYPERLINK("CSG17.html#group72E17", "72E¹⁷"), =HYPERLINK("CSG17.html#group72K17", "72K¹⁷")</f>
        <v/>
      </c>
      <c r="M949">
        <f>HYPERLINK("CSG0.html#group2A0", "2A⁰"), =HYPERLINK("CSG0.html#group12C0", "12C⁰"), =HYPERLINK("CSG1.html#group6C1", "6C¹"), =HYPERLINK("CSG1.html#group24D1", "24D¹"), =HYPERLINK("CSG2.html#group12B2", "12B²"), =HYPERLINK("CSG0.html#group4C0", "4C⁰"), =HYPERLINK("CSG0.html#group2B0", "2B⁰"), =HYPERLINK("CSG0.html#group4E0", "4E⁰"), =HYPERLINK("CSG2.html#group24C2", "24C²"), =HYPERLINK("CSG0.html#group4B0", "4B⁰"), =HYPERLINK("CSG0.html#group1A0", "1A⁰"), =HYPERLINK("CSG0.html#group6A0", "6A⁰"), =HYPERLINK("CSG1.html#group12B1", "12B¹"), =HYPERLINK("CSG1.html#group6A1", "6A¹"), =HYPERLINK("CSG0.html#group3A0", "3A⁰"), =HYPERLINK("CSG0.html#group2C0", "2C⁰"), =HYPERLINK("CSG0.html#group6D0", "6D⁰")</f>
        <v/>
      </c>
      <c r="N949">
        <f>HYPERLINK("CSG21.html#group48AO21", "48AO²¹"), =HYPERLINK("CSG9.html#group24G9", "24G⁹"), =HYPERLINK("CSG17.html#group24AJ17", "24AJ¹⁷"), =HYPERLINK("CSG17.html#group72K17", "72K¹⁷"), =HYPERLINK("CSG17.html#group24I17", "24I¹⁷"), =HYPERLINK("CSG19.html#group24F19", "24F¹⁹"), =HYPERLINK("CSG21.html#group48S21", "48S²¹"), =HYPERLINK("CSG17.html#group24Z17", "24Z¹⁷"), =HYPERLINK("CSG19.html#group48P19", "48P¹⁹"), =HYPERLINK("CSG19.html#group48AW19", "48AW¹⁹"), =HYPERLINK("CSG21.html#group48AU21", "48AU²¹"), =HYPERLINK("CSG21.html#group48P21", "48P²¹"), =HYPERLINK("CSG21.html#group48O21", "48O²¹"), =HYPERLINK("CSG21.html#group48Y21", "48Y²¹"), =HYPERLINK("CSG19.html#group24E19", "24E¹⁹"), =HYPERLINK("CSG17.html#group24P17", "24P¹⁷"), =HYPERLINK("CSG19.html#group24I19", "24I¹⁹"), =HYPERLINK("CSG9.html#group24J9", "24J⁹"), =HYPERLINK("CSG17.html#group24W17", "24W¹⁷"), =HYPERLINK("CSG9.html#group24H9", "24H⁹"), =HYPERLINK("CSG21.html#group48Z21", "48Z²¹"), =HYPERLINK("CSG17.html#group24V17", "24V¹⁷"), =HYPERLINK("CSG17.html#group24G17", "24G¹⁷"), =HYPERLINK("CSG17.html#group24H17", "24H¹⁷"), =HYPERLINK("CSG19.html#group48I19", "48I¹⁹"), =HYPERLINK("CSG17.html#group24J17", "24J¹⁷"), =HYPERLINK("CSG19.html#group24H19", "24H¹⁹"), =HYPERLINK("CSG19.html#group24S19", "24S¹⁹"), =HYPERLINK("CSG19.html#group48L19", "48L¹⁹"), =HYPERLINK("CSG17.html#group24S17", "24S¹⁷"), =HYPERLINK("CSG17.html#group72E17", "72E¹⁷"), =HYPERLINK("CSG9.html#group24U9", "24U⁹"), =HYPERLINK("CSG17.html#group24R17", "24R¹⁷"), =HYPERLINK("CSG9.html#group24I9", "24I⁹"), =HYPERLINK("CSG17.html#group24T17", "24T¹⁷"), =HYPERLINK("CSG21.html#group48K21", "48K²¹"), =HYPERLINK("CSG9.html#group24T9", "24T⁹"), =HYPERLINK("CSG9.html#group24Z9", "24Z⁹"), =HYPERLINK("CSG21.html#group48AP21", "48AP²¹"), =HYPERLINK("CSG17.html#group24C17", "24C¹⁷"), =HYPERLINK("CSG19.html#group48H19", "48H¹⁹")</f>
        <v/>
      </c>
    </row>
    <row r="950">
      <c r="A950" t="inlineStr">
        <is>
          <t>24G⁵</t>
        </is>
      </c>
      <c r="B950" t="inlineStr"/>
      <c r="C950" t="inlineStr">
        <is>
          <t>72</t>
        </is>
      </c>
      <c r="D950" t="inlineStr">
        <is>
          <t>1</t>
        </is>
      </c>
      <c r="E950" t="inlineStr">
        <is>
          <t>18</t>
        </is>
      </c>
      <c r="F950" t="inlineStr">
        <is>
          <t>0</t>
        </is>
      </c>
      <c r="G950" t="inlineStr">
        <is>
          <t>0</t>
        </is>
      </c>
      <c r="H950" t="inlineStr">
        <is>
          <t>12², 24²</t>
        </is>
      </c>
      <c r="I950" t="n">
        <v>4</v>
      </c>
      <c r="J950" t="inlineStr">
        <is>
          <t>1², 2⁴, 4²</t>
        </is>
      </c>
      <c r="K950">
        <f>HYPERLINK("CSG1.html#group12M1", "12M¹"), =HYPERLINK("CSG1.html#group24E1", "24E¹"), =HYPERLINK("CSG3.html#group24A3", "24A³")</f>
        <v/>
      </c>
      <c r="L950">
        <f>HYPERLINK("CSG9.html#group24F9", "24F⁹"), =HYPERLINK("CSG9.html#group24M9", "24M⁹"), =HYPERLINK("CSG9.html#group24N9", "24N⁹"), =HYPERLINK("CSG9.html#group24Q9", "24Q⁹"), =HYPERLINK("CSG9.html#group24R9", "24R⁹"), =HYPERLINK("CSG11.html#group48T11", "48T¹¹"), =HYPERLINK("CSG11.html#group48U11", "48U¹¹"), =HYPERLINK("CSG11.html#group48V11", "48V¹¹"), =HYPERLINK("CSG17.html#group72G17", "72G¹⁷"), =HYPERLINK("CSG17.html#group72L17", "72L¹⁷")</f>
        <v/>
      </c>
      <c r="M950">
        <f>HYPERLINK("CSG1.html#group24E1", "24E¹"), =HYPERLINK("CSG3.html#group24A3", "24A³"), =HYPERLINK("CSG0.html#group12C0", "12C⁰"), =HYPERLINK("CSG1.html#group8A1", "8A¹"), =HYPERLINK("CSG0.html#group4C0", "4C⁰"), =HYPERLINK("CSG1.html#group12M1", "12M¹"), =HYPERLINK("CSG0.html#group2B0", "2B⁰"), =HYPERLINK("CSG0.html#group3A0", "3A⁰"), =HYPERLINK("CSG0.html#group1A0", "1A⁰"), =HYPERLINK("CSG0.html#group6D0", "6D⁰")</f>
        <v/>
      </c>
      <c r="N950">
        <f>HYPERLINK("CSG9.html#group24F9", "24F⁹"), =HYPERLINK("CSG19.html#group24P19", "24P¹⁹"), =HYPERLINK("CSG21.html#group48BQ21", "48BQ²¹"), =HYPERLINK("CSG21.html#group48AY21", "48AY²¹"), =HYPERLINK("CSG19.html#group48Y19", "48Y¹⁹"), =HYPERLINK("CSG11.html#group48T11", "48T¹¹"), =HYPERLINK("CSG23.html#group96AG23", "96AG²³"), =HYPERLINK("CSG19.html#group24M19", "24M¹⁹"), =HYPERLINK("CSG9.html#group24M9", "24M⁹"), =HYPERLINK("CSG17.html#group24I17", "24I¹⁷"), =HYPERLINK("CSG21.html#group48R21", "48R²¹"), =HYPERLINK("CSG19.html#group48AQ19", "48AQ¹⁹"), =HYPERLINK("CSG9.html#group24Q9", "24Q⁹"), =HYPERLINK("CSG21.html#group48AZ21", "48AZ²¹"), =HYPERLINK("CSG19.html#group48Z19", "48Z¹⁹"), =HYPERLINK("CSG19.html#group24R19", "24R¹⁹"), =HYPERLINK("CSG21.html#group48AN21", "48AN²¹"), =HYPERLINK("CSG21.html#group48BT21", "48BT²¹"), =HYPERLINK("CSG19.html#group48U19", "48U¹⁹"), =HYPERLINK("CSG17.html#group24E17", "24E¹⁷"), =HYPERLINK("CSG17.html#group24U17", "24U¹⁷"), =HYPERLINK("CSG17.html#group72L17", "72L¹⁷"), =HYPERLINK("CSG9.html#group24N9", "24N⁹"), =HYPERLINK("CSG17.html#group24Q17", "24Q¹⁷"), =HYPERLINK("CSG21.html#group48BK21", "48BK²¹"), =HYPERLINK("CSG17.html#group24J17", "24J¹⁷"), =HYPERLINK("CSG21.html#group48AT21", "48AT²¹"), =HYPERLINK("CSG17.html#group24N17", "24N¹⁷"), =HYPERLINK("CSG23.html#group96AE23", "96AE²³"), =HYPERLINK("CSG9.html#group24R9", "24R⁹"), =HYPERLINK("CSG21.html#group48N21", "48N²¹"), =HYPERLINK("CSG19.html#group48V19", "48V¹⁹"), =HYPERLINK("CSG23.html#group96AF23", "96AF²³"), =HYPERLINK("CSG11.html#group48V11", "48V¹¹"), =HYPERLINK("CSG21.html#group48BA21", "48BA²¹"), =HYPERLINK("CSG17.html#group72G17", "72G¹⁷"), =HYPERLINK("CSG19.html#group24Q19", "24Q¹⁹"), =HYPERLINK("CSG23.html#group96AH23", "96AH²³"), =HYPERLINK("CSG21.html#group48AG21", "48AG²¹"), =HYPERLINK("CSG19.html#group24L19", "24L¹⁹"), =HYPERLINK("CSG21.html#group48BJ21", "48BJ²¹"), =HYPERLINK("CSG11.html#group48U11", "48U¹¹")</f>
        <v/>
      </c>
    </row>
    <row r="951">
      <c r="A951" t="inlineStr">
        <is>
          <t>24H⁵</t>
        </is>
      </c>
      <c r="B951" t="inlineStr"/>
      <c r="C951" t="inlineStr">
        <is>
          <t>96</t>
        </is>
      </c>
      <c r="D951" t="inlineStr">
        <is>
          <t>1</t>
        </is>
      </c>
      <c r="E951" t="inlineStr">
        <is>
          <t>12</t>
        </is>
      </c>
      <c r="F951" t="inlineStr">
        <is>
          <t>0</t>
        </is>
      </c>
      <c r="G951" t="inlineStr">
        <is>
          <t>0</t>
        </is>
      </c>
      <c r="H951" t="inlineStr">
        <is>
          <t>4², 8², 12², 24²</t>
        </is>
      </c>
      <c r="I951" t="n">
        <v>8</v>
      </c>
      <c r="J951" t="inlineStr">
        <is>
          <t>1⁶, 2³</t>
        </is>
      </c>
      <c r="K951">
        <f>HYPERLINK("CSG1.html#group12P1", "12P¹")</f>
        <v/>
      </c>
      <c r="L951">
        <f>HYPERLINK("CSG9.html#group24AB9", "24AB⁹"), =HYPERLINK("CSG9.html#group24AC9", "24AC⁹"), =HYPERLINK("CSG9.html#group24AE9", "24AE⁹"), =HYPERLINK("CSG9.html#group24AK9", "24AK⁹"), =HYPERLINK("CSG17.html#group24A17", "24A¹⁷"), =HYPERLINK("CSG17.html#group72M17", "72M¹⁷"), =HYPERLINK("CSG21.html#group72B21", "72B²¹"), =HYPERLINK("CSG21.html#group72A21", "72A²¹")</f>
        <v/>
      </c>
      <c r="M951">
        <f>HYPERLINK("CSG0.html#group3B0", "3B⁰"), =HYPERLINK("CSG0.html#group2A0", "2A⁰"), =HYPERLINK("CSG0.html#group6I0", "6I⁰"), =HYPERLINK("CSG1.html#group12F1", "12F¹"), =HYPERLINK("CSG0.html#group6C0", "6C⁰"), =HYPERLINK("CSG0.html#group4C0", "4C⁰"), =HYPERLINK("CSG0.html#group1A0", "1A⁰"), =HYPERLINK("CSG0.html#group2B0", "2B⁰"), =HYPERLINK("CSG0.html#group4E0", "4E⁰"), =HYPERLINK("CSG1.html#group12P1", "12P¹"), =HYPERLINK("CSG0.html#group4B0", "4B⁰"), =HYPERLINK("CSG0.html#group6F0", "6F⁰"), =HYPERLINK("CSG0.html#group2C0", "2C⁰"), =HYPERLINK("CSG0.html#group12E0", "12E⁰")</f>
        <v/>
      </c>
      <c r="N951">
        <f>HYPERLINK("CSG9.html#group24AE9", "24AE⁹"), =HYPERLINK("CSG17.html#group24AT17", "24AT¹⁷"), =HYPERLINK("CSG21.html#group24F21", "24F²¹"), =HYPERLINK("CSG9.html#group24AK9", "24AK⁹"), =HYPERLINK("CSG21.html#group48CC21", "48CC²¹"), =HYPERLINK("CSG21.html#group24E21", "24E²¹"), =HYPERLINK("CSG17.html#group24AQ17", "24AQ¹⁷"), =HYPERLINK("CSG17.html#group72M17", "72M¹⁷"), =HYPERLINK("CSG21.html#group72A21", "72A²¹"), =HYPERLINK("CSG21.html#group72B21", "72B²¹"), =HYPERLINK("CSG17.html#group24AP17", "24AP¹⁷"), =HYPERLINK("CSG9.html#group24AC9", "24AC⁹"), =HYPERLINK("CSG17.html#group24AR17", "24AR¹⁷"), =HYPERLINK("CSG17.html#group24A17", "24A¹⁷"), =HYPERLINK("CSG21.html#group48CJ21", "48CJ²¹"), =HYPERLINK("CSG21.html#group24C21", "24C²¹"), =HYPERLINK("CSG9.html#group24AB9", "24AB⁹"), =HYPERLINK("CSG21.html#group48CA21", "48CA²¹")</f>
        <v/>
      </c>
    </row>
    <row r="952">
      <c r="A952" t="inlineStr">
        <is>
          <t>24I⁵</t>
        </is>
      </c>
      <c r="B952" t="inlineStr"/>
      <c r="C952" t="inlineStr">
        <is>
          <t>96</t>
        </is>
      </c>
      <c r="D952" t="inlineStr">
        <is>
          <t>1</t>
        </is>
      </c>
      <c r="E952" t="inlineStr">
        <is>
          <t>12</t>
        </is>
      </c>
      <c r="F952" t="inlineStr">
        <is>
          <t>0</t>
        </is>
      </c>
      <c r="G952" t="inlineStr">
        <is>
          <t>0</t>
        </is>
      </c>
      <c r="H952" t="inlineStr">
        <is>
          <t>4², 8², 12², 24²</t>
        </is>
      </c>
      <c r="I952" t="n">
        <v>8</v>
      </c>
      <c r="J952" t="inlineStr">
        <is>
          <t>1⁶, 2³</t>
        </is>
      </c>
      <c r="K952">
        <f>HYPERLINK("CSG1.html#group8B1", "8B¹"), =HYPERLINK("CSG1.html#group12P1", "12P¹"), =HYPERLINK("CSG3.html#group24B3", "24B³"), =HYPERLINK("CSG3.html#group24C3", "24C³")</f>
        <v/>
      </c>
      <c r="L952">
        <f>HYPERLINK("CSG9.html#group24AB9", "24AB⁹"), =HYPERLINK("CSG9.html#group24AD9", "24AD⁹"), =HYPERLINK("CSG9.html#group24AF9", "24AF⁹"), =HYPERLINK("CSG9.html#group24AG9", "24AG⁹"), =HYPERLINK("CSG9.html#group24AH9", "24AH⁹"), =HYPERLINK("CSG13.html#group48A13", "48A¹³"), =HYPERLINK("CSG13.html#group48B13", "48B¹³"), =HYPERLINK("CSG13.html#group48C13", "48C¹³"), =HYPERLINK("CSG13.html#group48D13", "48D¹³"), =HYPERLINK("CSG13.html#group48I13", "48I¹³"), =HYPERLINK("CSG13.html#group48J13", "48J¹³"), =HYPERLINK("CSG17.html#group24C17", "24C¹⁷"), =HYPERLINK("CSG17.html#group72N17", "72N¹⁷"), =HYPERLINK("CSG21.html#group72D21", "72D²¹"), =HYPERLINK("CSG21.html#group72C21", "72C²¹")</f>
        <v/>
      </c>
      <c r="M952">
        <f>HYPERLINK("CSG0.html#group3B0", "3B⁰"), =HYPERLINK("CSG0.html#group2A0", "2A⁰"), =HYPERLINK("CSG1.html#group8A1", "8A¹"), =HYPERLINK("CSG3.html#group24B3", "24B³"), =HYPERLINK("CSG1.html#group12F1", "12F¹"), =HYPERLINK("CSG0.html#group6I0", "6I⁰"), =HYPERLINK("CSG0.html#group4C0", "4C⁰"), =HYPERLINK("CSG0.html#group6C0", "6C⁰"), =HYPERLINK("CSG0.html#group8B0", "8B⁰"), =HYPERLINK("CSG0.html#group2B0", "2B⁰"), =HYPERLINK("CSG1.html#group8B1", "8B¹"), =HYPERLINK("CSG0.html#group4E0", "4E⁰"), =HYPERLINK("CSG1.html#group12P1", "12P¹"), =HYPERLINK("CSG0.html#group4B0", "4B⁰"), =HYPERLINK("CSG0.html#group1A0", "1A⁰"), =HYPERLINK("CSG3.html#group24C3", "24C³"), =HYPERLINK("CSG0.html#group6F0", "6F⁰"), =HYPERLINK("CSG0.html#group2C0", "2C⁰"), =HYPERLINK("CSG0.html#group12E0", "12E⁰")</f>
        <v/>
      </c>
      <c r="N952">
        <f>HYPERLINK("CSG21.html#group48CE21", "48CE²¹"), =HYPERLINK("CSG21.html#group24F21", "24F²¹"), =HYPERLINK("CSG13.html#group48B13", "48B¹³"), =HYPERLINK("CSG9.html#group24AG9", "24AG⁹"), =HYPERLINK("CSG13.html#group48D13", "48D¹³"), =HYPERLINK("CSG13.html#group48J13", "48J¹³"), =HYPERLINK("CSG21.html#group72D21", "72D²¹"), =HYPERLINK("CSG9.html#group24AH9", "24AH⁹"), =HYPERLINK("CSG17.html#group24AQ17", "24AQ¹⁷"), =HYPERLINK("CSG21.html#group48CP21", "48CP²¹"), =HYPERLINK("CSG21.html#group24A21", "24A²¹"), =HYPERLINK("CSG17.html#group24AS17", "24AS¹⁷"), =HYPERLINK("CSG9.html#group24AD9", "24AD⁹"), =HYPERLINK("CSG21.html#group48CB21", "48CB²¹"), =HYPERLINK("CSG17.html#group24AN17", "24AN¹⁷"), =HYPERLINK("CSG21.html#group24D21", "24D²¹"), =HYPERLINK("CSG13.html#group48I13", "48I¹³"), =HYPERLINK("CSG21.html#group48CD21", "48CD²¹"), =HYPERLINK("CSG17.html#group24AP17", "24AP¹⁷"), =HYPERLINK("CSG17.html#group72N17", "72N¹⁷"), =HYPERLINK("CSG13.html#group48A13", "48A¹³"), =HYPERLINK("CSG21.html#group48CF21", "48CF²¹"), =HYPERLINK("CSG13.html#group48C13", "48C¹³"), =HYPERLINK("CSG21.html#group48CQ21", "48CQ²¹"), =HYPERLINK("CSG21.html#group72C21", "72C²¹"), =HYPERLINK("CSG9.html#group24AB9", "24AB⁹"), =HYPERLINK("CSG17.html#group24C17", "24C¹⁷"), =HYPERLINK("CSG21.html#group24G21", "24G²¹"), =HYPERLINK("CSG9.html#group24AF9", "24AF⁹"), =HYPERLINK("CSG17.html#group24AO17", "24AO¹⁷")</f>
        <v/>
      </c>
    </row>
    <row r="953">
      <c r="A953" t="inlineStr">
        <is>
          <t>24J⁵</t>
        </is>
      </c>
      <c r="B953" t="inlineStr"/>
      <c r="C953" t="inlineStr">
        <is>
          <t>96</t>
        </is>
      </c>
      <c r="D953" t="inlineStr">
        <is>
          <t>1</t>
        </is>
      </c>
      <c r="E953" t="inlineStr">
        <is>
          <t>24</t>
        </is>
      </c>
      <c r="F953" t="inlineStr">
        <is>
          <t>0</t>
        </is>
      </c>
      <c r="G953" t="inlineStr">
        <is>
          <t>0</t>
        </is>
      </c>
      <c r="H953" t="inlineStr">
        <is>
          <t>4², 8², 12², 24²</t>
        </is>
      </c>
      <c r="I953" t="n">
        <v>8</v>
      </c>
      <c r="J953" t="inlineStr">
        <is>
          <t>1⁴, 2⁶, 4²</t>
        </is>
      </c>
      <c r="K953">
        <f>HYPERLINK("CSG0.html#group8H0", "8H⁰"), =HYPERLINK("CSG2.html#group12G2", "12G²"), =HYPERLINK("CSG2.html#group24I2", "24I²"), =HYPERLINK("CSG3.html#group24B3", "24B³")</f>
        <v/>
      </c>
      <c r="L953">
        <f>HYPERLINK("CSG9.html#group24AF9", "24AF⁹"), =HYPERLINK("CSG9.html#group24AJ9", "24AJ⁹"), =HYPERLINK("CSG11.html#group24F11", "24F¹¹"), =HYPERLINK("CSG11.html#group24I11", "24I¹¹"), =HYPERLINK("CSG11.html#group48Z11", "48Z¹¹"), =HYPERLINK("CSG11.html#group48AA11", "48AA¹¹"), =HYPERLINK("CSG13.html#group48G13", "48G¹³"), =HYPERLINK("CSG13.html#group48H13", "48H¹³"), =HYPERLINK("CSG13.html#group48K13", "48K¹³"), =HYPERLINK("CSG17.html#group24D17", "24D¹⁷"), =HYPERLINK("CSG17.html#group72Q17", "72Q¹⁷"), =HYPERLINK("CSG21.html#group72E21", "72E²¹"), =HYPERLINK("CSG21.html#group72F21", "72F²¹")</f>
        <v/>
      </c>
      <c r="M953">
        <f>HYPERLINK("CSG0.html#group3B0", "3B⁰"), =HYPERLINK("CSG3.html#group24B3", "24B³"), =HYPERLINK("CSG0.html#group8D0", "8D⁰"), =HYPERLINK("CSG1.html#group12F1", "12F¹"), =HYPERLINK("CSG0.html#group4C0", "4C⁰"), =HYPERLINK("CSG0.html#group8B0", "8B⁰"), =HYPERLINK("CSG0.html#group2B0", "2B⁰"), =HYPERLINK("CSG0.html#group1A0", "1A⁰"), =HYPERLINK("CSG0.html#group8H0", "8H⁰"), =HYPERLINK("CSG2.html#group24I2", "24I²"), =HYPERLINK("CSG0.html#group4A0", "4A⁰"), =HYPERLINK("CSG1.html#group12A1", "12A¹"), =HYPERLINK("CSG2.html#group12G2", "12G²"), =HYPERLINK("CSG0.html#group4F0", "4F⁰"), =HYPERLINK("CSG0.html#group6F0", "6F⁰")</f>
        <v/>
      </c>
      <c r="N953">
        <f>HYPERLINK("CSG21.html#group72F21", "72F²¹"), =HYPERLINK("CSG23.html#group96AI23", "96AI²³"), =HYPERLINK("CSG21.html#group48CE21", "48CE²¹"), =HYPERLINK("CSG11.html#group24I11", "24I¹¹"), =HYPERLINK("CSG21.html#group24F21", "24F²¹"), =HYPERLINK("CSG11.html#group48AA11", "48AA¹¹"), =HYPERLINK("CSG13.html#group48K13", "48K¹³"), =HYPERLINK("CSG21.html#group72E21", "72E²¹"), =HYPERLINK("CSG17.html#group72Q17", "72Q¹⁷"), =HYPERLINK("CSG21.html#group24A21", "24A²¹"), =HYPERLINK("CSG23.html#group96AL23", "96AL²³"), =HYPERLINK("CSG21.html#group48CB21", "48CB²¹"), =HYPERLINK("CSG23.html#group48C23", "48C²³"), =HYPERLINK("CSG17.html#group24AN17", "24AN¹⁷"), =HYPERLINK("CSG21.html#group24J21", "24J²¹"), =HYPERLINK("CSG11.html#group24F11", "24F¹¹"), =HYPERLINK("CSG13.html#group48H13", "48H¹³"), =HYPERLINK("CSG23.html#group48B23", "48B²³"), =HYPERLINK("CSG21.html#group48CD21", "48CD²¹"), =HYPERLINK("CSG21.html#group24D21", "24D²¹"), =HYPERLINK("CSG17.html#group24AP17", "24AP¹⁷"), =HYPERLINK("CSG9.html#group24AJ9", "24AJ⁹"), =HYPERLINK("CSG11.html#group48Z11", "48Z¹¹"), =HYPERLINK("CSG17.html#group24D17", "24D¹⁷"), =HYPERLINK("CSG21.html#group48CF21", "48CF²¹"), =HYPERLINK("CSG21.html#group48CO21", "48CO²¹"), =HYPERLINK("CSG13.html#group48G13", "48G¹³"), =HYPERLINK("CSG21.html#group24G21", "24G²¹"), =HYPERLINK("CSG9.html#group24AF9", "24AF⁹"), =HYPERLINK("CSG17.html#group24AO17", "24AO¹⁷")</f>
        <v/>
      </c>
    </row>
    <row r="954">
      <c r="A954" t="inlineStr">
        <is>
          <t>24K⁵</t>
        </is>
      </c>
      <c r="B954" t="inlineStr"/>
      <c r="C954" t="inlineStr">
        <is>
          <t>96</t>
        </is>
      </c>
      <c r="D954" t="inlineStr">
        <is>
          <t>1</t>
        </is>
      </c>
      <c r="E954" t="inlineStr">
        <is>
          <t>24</t>
        </is>
      </c>
      <c r="F954" t="inlineStr">
        <is>
          <t>0</t>
        </is>
      </c>
      <c r="G954" t="inlineStr">
        <is>
          <t>0</t>
        </is>
      </c>
      <c r="H954" t="inlineStr">
        <is>
          <t>4², 8², 12², 24²</t>
        </is>
      </c>
      <c r="I954" t="n">
        <v>8</v>
      </c>
      <c r="J954" t="inlineStr">
        <is>
          <t>1⁴, 2⁶, 4²</t>
        </is>
      </c>
      <c r="K954">
        <f>HYPERLINK("CSG1.html#group8C1", "8C¹"), =HYPERLINK("CSG2.html#group12G2", "12G²"), =HYPERLINK("CSG2.html#group24I2", "24I²"), =HYPERLINK("CSG3.html#group24C3", "24C³")</f>
        <v/>
      </c>
      <c r="L954">
        <f>HYPERLINK("CSG9.html#group24AF9", "24AF⁹"), =HYPERLINK("CSG9.html#group24AI9", "24AI⁹"), =HYPERLINK("CSG11.html#group24G11", "24G¹¹"), =HYPERLINK("CSG11.html#group24H11", "24H¹¹"), =HYPERLINK("CSG11.html#group48Y11", "48Y¹¹"), =HYPERLINK("CSG11.html#group48AB11", "48AB¹¹"), =HYPERLINK("CSG13.html#group48E13", "48E¹³"), =HYPERLINK("CSG13.html#group48F13", "48F¹³"), =HYPERLINK("CSG13.html#group48L13", "48L¹³"), =HYPERLINK("CSG17.html#group24E17", "24E¹⁷"), =HYPERLINK("CSG17.html#group72R17", "72R¹⁷"), =HYPERLINK("CSG21.html#group72G21", "72G²¹"), =HYPERLINK("CSG21.html#group72H21", "72H²¹")</f>
        <v/>
      </c>
      <c r="M954">
        <f>HYPERLINK("CSG3.html#group24C3", "24C³"), =HYPERLINK("CSG0.html#group3B0", "3B⁰"), =HYPERLINK("CSG1.html#group8C1", "8C¹"), =HYPERLINK("CSG2.html#group24I2", "24I²"), =HYPERLINK("CSG1.html#group8A1", "8A¹"), =HYPERLINK("CSG0.html#group8D0", "8D⁰"), =HYPERLINK("CSG1.html#group12F1", "12F¹"), =HYPERLINK("CSG0.html#group4A0", "4A⁰"), =HYPERLINK("CSG1.html#group12A1", "12A¹"), =HYPERLINK("CSG0.html#group4C0", "4C⁰"), =HYPERLINK("CSG0.html#group1A0", "1A⁰"), =HYPERLINK("CSG2.html#group12G2", "12G²"), =HYPERLINK("CSG0.html#group2B0", "2B⁰"), =HYPERLINK("CSG0.html#group4F0", "4F⁰"), =HYPERLINK("CSG0.html#group6F0", "6F⁰")</f>
        <v/>
      </c>
      <c r="N954">
        <f>HYPERLINK("CSG21.html#group48CE21", "48CE²¹"), =HYPERLINK("CSG21.html#group72G21", "72G²¹"), =HYPERLINK("CSG11.html#group24H11", "24H¹¹"), =HYPERLINK("CSG21.html#group24F21", "24F²¹"), =HYPERLINK("CSG11.html#group48Y11", "48Y¹¹"), =HYPERLINK("CSG23.html#group48D23", "48D²³"), =HYPERLINK("CSG21.html#group24A21", "24A²¹"), =HYPERLINK("CSG21.html#group48CB21", "48CB²¹"), =HYPERLINK("CSG23.html#group96AK23", "96AK²³"), =HYPERLINK("CSG21.html#group72H21", "72H²¹"), =HYPERLINK("CSG17.html#group24AN17", "24AN¹⁷"), =HYPERLINK("CSG13.html#group48F13", "48F¹³"), =HYPERLINK("CSG13.html#group48L13", "48L¹³"), =HYPERLINK("CSG21.html#group24D21", "24D²¹"), =HYPERLINK("CSG21.html#group48CD21", "48CD²¹"), =HYPERLINK("CSG17.html#group24AO17", "24AO¹⁷"), =HYPERLINK("CSG17.html#group24AP17", "24AP¹⁷"), =HYPERLINK("CSG11.html#group24G11", "24G¹¹"), =HYPERLINK("CSG23.html#group48A23", "48A²³"), =HYPERLINK("CSG9.html#group24AI9", "24AI⁹"), =HYPERLINK("CSG17.html#group72R17", "72R¹⁷"), =HYPERLINK("CSG21.html#group48CF21", "48CF²¹"), =HYPERLINK("CSG13.html#group48E13", "48E¹³"), =HYPERLINK("CSG23.html#group96AJ23", "96AJ²³"), =HYPERLINK("CSG21.html#group48CN21", "48CN²¹"), =HYPERLINK("CSG17.html#group24E17", "24E¹⁷"), =HYPERLINK("CSG11.html#group48AB11", "48AB¹¹"), =HYPERLINK("CSG21.html#group24G21", "24G²¹"), =HYPERLINK("CSG9.html#group24AF9", "24AF⁹"), =HYPERLINK("CSG21.html#group24I21", "24I²¹")</f>
        <v/>
      </c>
    </row>
    <row r="955">
      <c r="A955" t="inlineStr">
        <is>
          <t>24L⁵</t>
        </is>
      </c>
      <c r="B955" t="inlineStr"/>
      <c r="C955" t="inlineStr">
        <is>
          <t>96</t>
        </is>
      </c>
      <c r="D955" t="inlineStr">
        <is>
          <t>1</t>
        </is>
      </c>
      <c r="E955" t="inlineStr">
        <is>
          <t>24</t>
        </is>
      </c>
      <c r="F955" t="inlineStr">
        <is>
          <t>8</t>
        </is>
      </c>
      <c r="G955" t="inlineStr">
        <is>
          <t>0</t>
        </is>
      </c>
      <c r="H955" t="inlineStr">
        <is>
          <t>24⁴</t>
        </is>
      </c>
      <c r="I955" t="n">
        <v>4</v>
      </c>
      <c r="J955" t="inlineStr">
        <is>
          <t>4², 8²</t>
        </is>
      </c>
      <c r="K955">
        <f>HYPERLINK("CSG1.html#group12Q1", "12Q¹")</f>
        <v/>
      </c>
      <c r="L955">
        <f>HYPERLINK("CSG11.html#group24K11", "24K¹¹"), =HYPERLINK("CSG13.html#group24A13", "24A¹³"), =HYPERLINK("CSG17.html#group24AA17", "24AA¹⁷"), =HYPERLINK("CSG17.html#group72S17", "72S¹⁷"), =HYPERLINK("CSG19.html#group72S19", "72S¹⁹"), =HYPERLINK("CSG19.html#group72U19", "72U¹⁹"), =HYPERLINK("CSG21.html#group24L21", "24L²¹"), =HYPERLINK("CSG21.html#group72S21", "72S²¹"), =HYPERLINK("CSG21.html#group72V21", "72V²¹")</f>
        <v/>
      </c>
      <c r="M955">
        <f>HYPERLINK("CSG1.html#group12G1", "12G¹"), =HYPERLINK("CSG0.html#group12A0", "12A⁰"), =HYPERLINK("CSG0.html#group6B0", "6B⁰"), =HYPERLINK("CSG0.html#group6E0", "6E⁰"), =HYPERLINK("CSG0.html#group4A0", "4A⁰"), =HYPERLINK("CSG0.html#group12F0", "12F⁰"), =HYPERLINK("CSG1.html#group12Q1", "12Q¹"), =HYPERLINK("CSG0.html#group3C0", "3C⁰"), =HYPERLINK("CSG0.html#group3A0", "3A⁰"), =HYPERLINK("CSG0.html#group1A0", "1A⁰")</f>
        <v/>
      </c>
      <c r="N955">
        <f>HYPERLINK("CSG21.html#group72V21", "72V²¹"), =HYPERLINK("CSG11.html#group24K11", "24K¹¹"), =HYPERLINK("CSG17.html#group24AA17", "24AA¹⁷"), =HYPERLINK("CSG21.html#group72S21", "72S²¹"), =HYPERLINK("CSG13.html#group24A13", "24A¹³"), =HYPERLINK("CSG19.html#group72S19", "72S¹⁹"), =HYPERLINK("CSG19.html#group72U19", "72U¹⁹"), =HYPERLINK("CSG21.html#group24L21", "24L²¹"), =HYPERLINK("CSG17.html#group72S17", "72S¹⁷")</f>
        <v/>
      </c>
    </row>
    <row r="956">
      <c r="A956" t="inlineStr">
        <is>
          <t>24M⁵</t>
        </is>
      </c>
      <c r="B956" t="inlineStr"/>
      <c r="C956" t="inlineStr">
        <is>
          <t>96</t>
        </is>
      </c>
      <c r="D956" t="inlineStr">
        <is>
          <t>1</t>
        </is>
      </c>
      <c r="E956" t="inlineStr">
        <is>
          <t>48</t>
        </is>
      </c>
      <c r="F956" t="inlineStr">
        <is>
          <t>0</t>
        </is>
      </c>
      <c r="G956" t="inlineStr">
        <is>
          <t>0</t>
        </is>
      </c>
      <c r="H956" t="inlineStr">
        <is>
          <t>4², 8², 12², 24²</t>
        </is>
      </c>
      <c r="I956" t="n">
        <v>8</v>
      </c>
      <c r="J956" t="inlineStr">
        <is>
          <t>1⁸, 2⁸, 4⁴, 8¹</t>
        </is>
      </c>
      <c r="K956">
        <f>HYPERLINK("CSG3.html#group24C3", "24C³")</f>
        <v/>
      </c>
      <c r="L956">
        <f>HYPERLINK("CSG9.html#group24AG9", "24AG⁹"), =HYPERLINK("CSG9.html#group24AI9", "24AI⁹"), =HYPERLINK("CSG13.html#group48M13", "48M¹³"), =HYPERLINK("CSG13.html#group48N13", "48N¹³"), =HYPERLINK("CSG13.html#group48S13", "48S¹³"), =HYPERLINK("CSG17.html#group24K17", "24K¹⁷"), =HYPERLINK("CSG17.html#group72T17", "72T¹⁷"), =HYPERLINK("CSG21.html#group72J21", "72J²¹"), =HYPERLINK("CSG21.html#group72I21", "72I²¹")</f>
        <v/>
      </c>
      <c r="M956">
        <f>HYPERLINK("CSG3.html#group24C3", "24C³"), =HYPERLINK("CSG0.html#group3B0", "3B⁰"), =HYPERLINK("CSG1.html#group8A1", "8A¹"), =HYPERLINK("CSG1.html#group12F1", "12F¹"), =HYPERLINK("CSG0.html#group4C0", "4C⁰"), =HYPERLINK("CSG0.html#group1A0", "1A⁰"), =HYPERLINK("CSG0.html#group2B0", "2B⁰"), =HYPERLINK("CSG0.html#group6F0", "6F⁰")</f>
        <v/>
      </c>
      <c r="N956">
        <f>HYPERLINK("CSG13.html#group48M13", "48M¹³"), =HYPERLINK("CSG13.html#group48N13", "48N¹³"), =HYPERLINK("CSG21.html#group72J21", "72J²¹"), =HYPERLINK("CSG9.html#group24AG9", "24AG⁹"), =HYPERLINK("CSG21.html#group72I21", "72I²¹"), =HYPERLINK("CSG9.html#group24AI9", "24AI⁹"), =HYPERLINK("CSG17.html#group24AQ17", "24AQ¹⁷"), =HYPERLINK("CSG17.html#group24AS17", "24AS¹⁷"), =HYPERLINK("CSG13.html#group48S13", "48S¹³"), =HYPERLINK("CSG21.html#group48CN21", "48CN²¹"), =HYPERLINK("CSG17.html#group24K17", "24K¹⁷"), =HYPERLINK("CSG17.html#group72T17", "72T¹⁷"), =HYPERLINK("CSG17.html#group24AN17", "24AN¹⁷"), =HYPERLINK("CSG21.html#group24I21", "24I²¹")</f>
        <v/>
      </c>
    </row>
    <row r="957">
      <c r="A957" t="inlineStr">
        <is>
          <t>24N⁵</t>
        </is>
      </c>
      <c r="B957" t="inlineStr"/>
      <c r="C957" t="inlineStr">
        <is>
          <t>96</t>
        </is>
      </c>
      <c r="D957" t="inlineStr">
        <is>
          <t>1</t>
        </is>
      </c>
      <c r="E957" t="inlineStr">
        <is>
          <t>48</t>
        </is>
      </c>
      <c r="F957" t="inlineStr">
        <is>
          <t>0</t>
        </is>
      </c>
      <c r="G957" t="inlineStr">
        <is>
          <t>0</t>
        </is>
      </c>
      <c r="H957" t="inlineStr">
        <is>
          <t>4², 8², 12², 24²</t>
        </is>
      </c>
      <c r="I957" t="n">
        <v>8</v>
      </c>
      <c r="J957" t="inlineStr">
        <is>
          <t>1⁸, 2⁸, 4⁴, 8¹</t>
        </is>
      </c>
      <c r="K957">
        <f>HYPERLINK("CSG0.html#group8L0", "8L⁰"), =HYPERLINK("CSG3.html#group24B3", "24B³")</f>
        <v/>
      </c>
      <c r="L957">
        <f>HYPERLINK("CSG9.html#group24AH9", "24AH⁹"), =HYPERLINK("CSG9.html#group24AJ9", "24AJ⁹"), =HYPERLINK("CSG13.html#group48O13", "48O¹³"), =HYPERLINK("CSG13.html#group48P13", "48P¹³"), =HYPERLINK("CSG13.html#group48T13", "48T¹³"), =HYPERLINK("CSG17.html#group24L17", "24L¹⁷"), =HYPERLINK("CSG17.html#group72U17", "72U¹⁷"), =HYPERLINK("CSG21.html#group72L21", "72L²¹"), =HYPERLINK("CSG21.html#group72K21", "72K²¹")</f>
        <v/>
      </c>
      <c r="M957">
        <f>HYPERLINK("CSG0.html#group3B0", "3B⁰"), =HYPERLINK("CSG3.html#group24B3", "24B³"), =HYPERLINK("CSG1.html#group12F1", "12F¹"), =HYPERLINK("CSG0.html#group4C0", "4C⁰"), =HYPERLINK("CSG0.html#group8B0", "8B⁰"), =HYPERLINK("CSG0.html#group8L0", "8L⁰"), =HYPERLINK("CSG0.html#group2B0", "2B⁰"), =HYPERLINK("CSG0.html#group1A0", "1A⁰"), =HYPERLINK("CSG0.html#group6F0", "6F⁰")</f>
        <v/>
      </c>
      <c r="N957">
        <f>HYPERLINK("CSG17.html#group72U17", "72U¹⁷"), =HYPERLINK("CSG13.html#group48P13", "48P¹³"), =HYPERLINK("CSG9.html#group24AJ9", "24AJ⁹"), =HYPERLINK("CSG9.html#group24AH9", "24AH⁹"), =HYPERLINK("CSG21.html#group72L21", "72L²¹"), =HYPERLINK("CSG21.html#group48CO21", "48CO²¹"), =HYPERLINK("CSG17.html#group24AQ17", "24AQ¹⁷"), =HYPERLINK("CSG21.html#group48CP21", "48CP²¹"), =HYPERLINK("CSG13.html#group48T13", "48T¹³"), =HYPERLINK("CSG21.html#group48CQ21", "48CQ²¹"), =HYPERLINK("CSG21.html#group24J21", "24J²¹"), =HYPERLINK("CSG21.html#group72K21", "72K²¹"), =HYPERLINK("CSG13.html#group48O13", "48O¹³"), =HYPERLINK("CSG17.html#group24AS17", "24AS¹⁷"), =HYPERLINK("CSG17.html#group24L17", "24L¹⁷"), =HYPERLINK("CSG17.html#group24AO17", "24AO¹⁷")</f>
        <v/>
      </c>
    </row>
    <row r="958">
      <c r="A958" t="inlineStr">
        <is>
          <t>24O⁵</t>
        </is>
      </c>
      <c r="B958" t="inlineStr"/>
      <c r="C958" t="inlineStr">
        <is>
          <t>96</t>
        </is>
      </c>
      <c r="D958" t="inlineStr">
        <is>
          <t>1</t>
        </is>
      </c>
      <c r="E958" t="inlineStr">
        <is>
          <t>48</t>
        </is>
      </c>
      <c r="F958" t="inlineStr">
        <is>
          <t>8</t>
        </is>
      </c>
      <c r="G958" t="inlineStr">
        <is>
          <t>0</t>
        </is>
      </c>
      <c r="H958" t="inlineStr">
        <is>
          <t>24⁴</t>
        </is>
      </c>
      <c r="I958" t="n">
        <v>4</v>
      </c>
      <c r="J958" t="inlineStr">
        <is>
          <t>4⁴, 8⁴</t>
        </is>
      </c>
      <c r="K958">
        <f>HYPERLINK("CSG1.html#group12G1", "12G¹"), =HYPERLINK("CSG1.html#group24F1", "24F¹")</f>
        <v/>
      </c>
      <c r="L958">
        <f>HYPERLINK("CSG9.html#group24AL9", "24AL⁹"), =HYPERLINK("CSG11.html#group24L11", "24L¹¹"), =HYPERLINK("CSG11.html#group24M11", "24M¹¹"), =HYPERLINK("CSG13.html#group24C13", "24C¹³"), =HYPERLINK("CSG13.html#group24F13", "24F¹³"), =HYPERLINK("CSG17.html#group24AH17", "24AH¹⁷"), =HYPERLINK("CSG17.html#group72V17", "72V¹⁷"), =HYPERLINK("CSG19.html#group72Q19", "72Q¹⁹"), =HYPERLINK("CSG21.html#group72W21", "72W²¹")</f>
        <v/>
      </c>
      <c r="M958">
        <f>HYPERLINK("CSG1.html#group12G1", "12G¹"), =HYPERLINK("CSG1.html#group24F1", "24F¹"), =HYPERLINK("CSG0.html#group12A0", "12A⁰"), =HYPERLINK("CSG0.html#group8F0", "8F⁰"), =HYPERLINK("CSG0.html#group4A0", "4A⁰"), =HYPERLINK("CSG0.html#group3C0", "3C⁰"), =HYPERLINK("CSG0.html#group3A0", "3A⁰"), =HYPERLINK("CSG0.html#group1A0", "1A⁰")</f>
        <v/>
      </c>
      <c r="N958">
        <f>HYPERLINK("CSG21.html#group24L21", "24L²¹"), =HYPERLINK("CSG9.html#group24AL9", "24AL⁹"), =HYPERLINK("CSG11.html#group24L11", "24L¹¹"), =HYPERLINK("CSG17.html#group72V17", "72V¹⁷"), =HYPERLINK("CSG21.html#group24M21", "24M²¹"), =HYPERLINK("CSG21.html#group24K21", "24K²¹"), =HYPERLINK("CSG17.html#group24AH17", "24AH¹⁷"), =HYPERLINK("CSG11.html#group24M11", "24M¹¹"), =HYPERLINK("CSG21.html#group72W21", "72W²¹"), =HYPERLINK("CSG13.html#group24C13", "24C¹³"), =HYPERLINK("CSG19.html#group72Q19", "72Q¹⁹"), =HYPERLINK("CSG13.html#group24F13", "24F¹³")</f>
        <v/>
      </c>
    </row>
    <row r="959">
      <c r="A959" t="inlineStr">
        <is>
          <t>24P⁵</t>
        </is>
      </c>
      <c r="B959" t="inlineStr"/>
      <c r="C959" t="inlineStr">
        <is>
          <t>96</t>
        </is>
      </c>
      <c r="D959" t="inlineStr">
        <is>
          <t>2</t>
        </is>
      </c>
      <c r="E959" t="inlineStr">
        <is>
          <t>12</t>
        </is>
      </c>
      <c r="F959" t="inlineStr">
        <is>
          <t>8</t>
        </is>
      </c>
      <c r="G959" t="inlineStr">
        <is>
          <t>0</t>
        </is>
      </c>
      <c r="H959" t="inlineStr">
        <is>
          <t>24⁴</t>
        </is>
      </c>
      <c r="I959" t="n">
        <v>4</v>
      </c>
      <c r="J959" t="inlineStr">
        <is>
          <t>4², 8²</t>
        </is>
      </c>
      <c r="K959">
        <f>HYPERLINK("CSG1.html#group12Q1", "12Q¹"), =HYPERLINK("CSG2.html#group24G2", "24G²"), =HYPERLINK("CSG2.html#group24H2", "24H²"), =HYPERLINK("CSG2.html#group24K2", "24K²"), =HYPERLINK("CSG3.html#group24D3", "24D³"), =HYPERLINK("CSG3.html#group24E3", "24E³")</f>
        <v/>
      </c>
      <c r="L959">
        <f>HYPERLINK("CSG11.html#group24K11", "24K¹¹"), =HYPERLINK("CSG13.html#group24B13", "24B¹³"), =HYPERLINK("CSG13.html#group48Q13", "48Q¹³"), =HYPERLINK("CSG13.html#group48R13", "48R¹³"), =HYPERLINK("CSG17.html#group24AE17", "24AE¹⁷"), =HYPERLINK("CSG17.html#group72W17", "72W¹⁷"), =HYPERLINK("CSG19.html#group72T19", "72T¹⁹"), =HYPERLINK("CSG19.html#group72V19", "72V¹⁹"), =HYPERLINK("CSG21.html#group24M21", "24M²¹"), =HYPERLINK("CSG21.html#group72P21", "72P²¹"), =HYPERLINK("CSG21.html#group72Q21", "72Q²¹"), =HYPERLINK("CSG21.html#group72T21", "72T²¹"), =HYPERLINK("CSG21.html#group72U21", "72U²¹")</f>
        <v/>
      </c>
      <c r="M959">
        <f>HYPERLINK("CSG1.html#group12G1", "12G¹"), =HYPERLINK("CSG0.html#group6B0", "6B⁰"), =HYPERLINK("CSG3.html#group24D3", "24D³"), =HYPERLINK("CSG0.html#group8A0", "8A⁰"), =HYPERLINK("CSG0.html#group12F0", "12F⁰"), =HYPERLINK("CSG1.html#group24B1", "24B¹"), =HYPERLINK("CSG0.html#group1A0", "1A⁰"), =HYPERLINK("CSG3.html#group24E3", "24E³"), =HYPERLINK("CSG0.html#group12A0", "12A⁰"), =HYPERLINK("CSG2.html#group24K2", "24K²"), =HYPERLINK("CSG1.html#group24A1", "24A¹"), =HYPERLINK("CSG0.html#group6E0", "6E⁰"), =HYPERLINK("CSG0.html#group4A0", "4A⁰"), =HYPERLINK("CSG1.html#group12Q1", "12Q¹"), =HYPERLINK("CSG0.html#group3C0", "3C⁰"), =HYPERLINK("CSG0.html#group3A0", "3A⁰"), =HYPERLINK("CSG2.html#group24G2", "24G²"), =HYPERLINK("CSG2.html#group24H2", "24H²")</f>
        <v/>
      </c>
      <c r="N959">
        <f>HYPERLINK("CSG13.html#group48R13", "48R¹³"), =HYPERLINK("CSG11.html#group24K11", "24K¹¹"), =HYPERLINK("CSG21.html#group72Q21", "72Q²¹"), =HYPERLINK("CSG21.html#group72U21", "72U²¹"), =HYPERLINK("CSG19.html#group72T19", "72T¹⁹"), =HYPERLINK("CSG13.html#group24B13", "24B¹³"), =HYPERLINK("CSG21.html#group24M21", "24M²¹"), =HYPERLINK("CSG21.html#group72P21", "72P²¹"), =HYPERLINK("CSG17.html#group24AE17", "24AE¹⁷"), =HYPERLINK("CSG13.html#group48Q13", "48Q¹³"), =HYPERLINK("CSG21.html#group72T21", "72T²¹"), =HYPERLINK("CSG19.html#group72V19", "72V¹⁹"), =HYPERLINK("CSG17.html#group72W17", "72W¹⁷")</f>
        <v/>
      </c>
    </row>
    <row r="960">
      <c r="A960" t="inlineStr">
        <is>
          <t>24Q⁵</t>
        </is>
      </c>
      <c r="B960" t="inlineStr"/>
      <c r="C960" t="inlineStr">
        <is>
          <t>128</t>
        </is>
      </c>
      <c r="D960" t="inlineStr">
        <is>
          <t>1</t>
        </is>
      </c>
      <c r="E960" t="inlineStr">
        <is>
          <t>16</t>
        </is>
      </c>
      <c r="F960" t="inlineStr">
        <is>
          <t>0</t>
        </is>
      </c>
      <c r="G960" t="inlineStr">
        <is>
          <t>8</t>
        </is>
      </c>
      <c r="H960" t="inlineStr">
        <is>
          <t>8⁴, 24⁴</t>
        </is>
      </c>
      <c r="I960" t="n">
        <v>8</v>
      </c>
      <c r="J960" t="inlineStr">
        <is>
          <t>2⁴, 4²</t>
        </is>
      </c>
      <c r="K960">
        <f>HYPERLINK("CSG1.html#group12R1", "12R¹"), =HYPERLINK("CSG3.html#group24F3", "24F³"), =HYPERLINK("CSG3.html#group24G3", "24G³")</f>
        <v/>
      </c>
      <c r="L960">
        <f>HYPERLINK("CSG13.html#group48U13", "48U¹³"), =HYPERLINK("CSG21.html#group24B21", "24B²¹"), =HYPERLINK("CSG21.html#group24H21", "24H²¹"), =HYPERLINK("CSG21.html#group72Y21", "72Y²¹"), =HYPERLINK("CSG21.html#group72Z21", "72Z²¹")</f>
        <v/>
      </c>
      <c r="M960">
        <f>HYPERLINK("CSG0.html#group2A0", "2A⁰"), =HYPERLINK("CSG0.html#group3B0", "3B⁰"), =HYPERLINK("CSG1.html#group12I1", "12I¹"), =HYPERLINK("CSG2.html#group24A2", "24A²"), =HYPERLINK("CSG0.html#group4A0", "4A⁰"), =HYPERLINK("CSG0.html#group4D0", "4D⁰"), =HYPERLINK("CSG1.html#group12A1", "12A¹"), =HYPERLINK("CSG0.html#group6C0", "6C⁰"), =HYPERLINK("CSG0.html#group8A0", "8A⁰"), =HYPERLINK("CSG0.html#group8E0", "8E⁰"), =HYPERLINK("CSG1.html#group12R1", "12R¹"), =HYPERLINK("CSG3.html#group24G3", "24G³"), =HYPERLINK("CSG0.html#group1A0", "1A⁰"), =HYPERLINK("CSG0.html#group12B0", "12B⁰"), =HYPERLINK("CSG3.html#group24F3", "24F³")</f>
        <v/>
      </c>
      <c r="N960">
        <f>HYPERLINK("CSG21.html#group24B21", "24B²¹"), =HYPERLINK("CSG13.html#group48U13", "48U¹³"), =HYPERLINK("CSG21.html#group72Z21", "72Z²¹"), =HYPERLINK("CSG21.html#group24H21", "24H²¹"), =HYPERLINK("CSG21.html#group72Y21", "72Y²¹")</f>
        <v/>
      </c>
    </row>
    <row r="961">
      <c r="A961" t="inlineStr">
        <is>
          <t>24R⁵</t>
        </is>
      </c>
      <c r="B961" t="inlineStr"/>
      <c r="C961" t="inlineStr">
        <is>
          <t>144</t>
        </is>
      </c>
      <c r="D961" t="inlineStr">
        <is>
          <t>1</t>
        </is>
      </c>
      <c r="E961" t="inlineStr">
        <is>
          <t>6</t>
        </is>
      </c>
      <c r="F961" t="inlineStr">
        <is>
          <t>0</t>
        </is>
      </c>
      <c r="G961" t="inlineStr">
        <is>
          <t>0</t>
        </is>
      </c>
      <c r="H961" t="inlineStr">
        <is>
          <t>3⁸, 6⁴, 24⁴</t>
        </is>
      </c>
      <c r="I961" t="n">
        <v>16</v>
      </c>
      <c r="J961" t="inlineStr">
        <is>
          <t>1⁴, 2¹</t>
        </is>
      </c>
      <c r="K961">
        <f>HYPERLINK("CSG1.html#group12S1", "12S¹"), =HYPERLINK("CSG1.html#group24G1", "24G¹"), =HYPERLINK("CSG3.html#group24K3", "24K³"), =HYPERLINK("CSG3.html#group24L3", "24L³")</f>
        <v/>
      </c>
      <c r="L961">
        <f>HYPERLINK("CSG9.html#group24AP9", "24AP⁹"), =HYPERLINK("CSG13.html#group24K13", "24K¹³"), =HYPERLINK("CSG13.html#group24L13", "24L¹³"), =HYPERLINK("CSG13.html#group24M13", "24M¹³"), =HYPERLINK("CSG13.html#group24N13", "24N¹³"), =HYPERLINK("CSG13.html#group48V13", "48V¹³"), =HYPERLINK("CSG13.html#group48W13", "48W¹³"), =HYPERLINK("CSG13.html#group48Y13", "48Y¹³"), =HYPERLINK("CSG13.html#group48Z13", "48Z¹³"), =HYPERLINK("CSG17.html#group48B17", "48B¹⁷"), =HYPERLINK("CSG17.html#group48C17", "48C¹⁷"), =HYPERLINK("CSG21.html#group72AB21", "72AB²¹")</f>
        <v/>
      </c>
      <c r="M961">
        <f>HYPERLINK("CSG0.html#group3B0", "3B⁰"), =HYPERLINK("CSG1.html#group12K1", "12K¹"), =HYPERLINK("CSG1.html#group24G1", "24G¹"), =HYPERLINK("CSG0.html#group6G0", "6G⁰"), =HYPERLINK("CSG1.html#group12S1", "12S¹"), =HYPERLINK("CSG0.html#group2B0", "2B⁰"), =HYPERLINK("CSG0.html#group8C0", "8C⁰"), =HYPERLINK("CSG0.html#group4B0", "4B⁰"), =HYPERLINK("CSG0.html#group1A0", "1A⁰"), =HYPERLINK("CSG0.html#group3D0", "3D⁰"), =HYPERLINK("CSG2.html#group24B2", "24B²"), =HYPERLINK("CSG0.html#group12G0", "12G⁰"), =HYPERLINK("CSG2.html#group24D2", "24D²"), =HYPERLINK("CSG0.html#group12E0", "12E⁰"), =HYPERLINK("CSG0.html#group3C0", "3C⁰"), =HYPERLINK("CSG0.html#group6K0", "6K⁰"), =HYPERLINK("CSG1.html#group12B1", "12B¹"), =HYPERLINK("CSG3.html#group24K3", "24K³"), =HYPERLINK("CSG0.html#group12D0", "12D⁰"), =HYPERLINK("CSG0.html#group3A0", "3A⁰"), =HYPERLINK("CSG3.html#group24L3", "24L³"), =HYPERLINK("CSG0.html#group6F0", "6F⁰"), =HYPERLINK("CSG0.html#group6D0", "6D⁰")</f>
        <v/>
      </c>
      <c r="N961">
        <f>HYPERLINK("CSG13.html#group24L13", "24L¹³"), =HYPERLINK("CSG17.html#group48B17", "48B¹⁷"), =HYPERLINK("CSG13.html#group48Y13", "48Y¹³"), =HYPERLINK("CSG13.html#group24N13", "24N¹³"), =HYPERLINK("CSG17.html#group48C17", "48C¹⁷"), =HYPERLINK("CSG21.html#group72AB21", "72AB²¹"), =HYPERLINK("CSG13.html#group48Z13", "48Z¹³"), =HYPERLINK("CSG13.html#group48V13", "48V¹³"), =HYPERLINK("CSG13.html#group24M13", "24M¹³"), =HYPERLINK("CSG13.html#group24K13", "24K¹³"), =HYPERLINK("CSG13.html#group48W13", "48W¹³"), =HYPERLINK("CSG9.html#group24AP9", "24AP⁹")</f>
        <v/>
      </c>
    </row>
    <row r="962">
      <c r="A962" t="inlineStr">
        <is>
          <t>24S⁵</t>
        </is>
      </c>
      <c r="B962" t="inlineStr"/>
      <c r="C962" t="inlineStr">
        <is>
          <t>144</t>
        </is>
      </c>
      <c r="D962" t="inlineStr">
        <is>
          <t>1</t>
        </is>
      </c>
      <c r="E962" t="inlineStr">
        <is>
          <t>9</t>
        </is>
      </c>
      <c r="F962" t="inlineStr">
        <is>
          <t>16</t>
        </is>
      </c>
      <c r="G962" t="inlineStr">
        <is>
          <t>0</t>
        </is>
      </c>
      <c r="H962" t="inlineStr">
        <is>
          <t>12⁴, 24⁴</t>
        </is>
      </c>
      <c r="I962" t="n">
        <v>8</v>
      </c>
      <c r="J962" t="inlineStr">
        <is>
          <t>1³, 2³</t>
        </is>
      </c>
      <c r="K962">
        <f>HYPERLINK("CSG1.html#group12T1", "12T¹"), =HYPERLINK("CSG1.html#group24H1", "24H¹"), =HYPERLINK("CSG3.html#group24H3", "24H³"), =HYPERLINK("CSG3.html#group24I3", "24I³"), =HYPERLINK("CSG3.html#group24S3", "24S³")</f>
        <v/>
      </c>
      <c r="L962">
        <f>HYPERLINK("CSG13.html#group24Q13", "24Q¹³"), =HYPERLINK("CSG13.html#group24R13", "24R¹³"), =HYPERLINK("CSG13.html#group24S13", "24S¹³"), =HYPERLINK("CSG13.html#group24W13", "24W¹³"), =HYPERLINK("CSG13.html#group24Y13", "24Y¹³"), =HYPERLINK("CSG13.html#group48X13", "48X¹³"), =HYPERLINK("CSG17.html#group24C17", "24C¹⁷"), =HYPERLINK("CSG17.html#group48L17", "48L¹⁷"), =HYPERLINK("CSG17.html#group48M17", "48M¹⁷"), =HYPERLINK("CSG17.html#group48R17", "48R¹⁷"), =HYPERLINK("CSG17.html#group48AR17", "48AR¹⁷"), =HYPERLINK("CSG17.html#group48AV17", "48AV¹⁷"), =HYPERLINK("CSG21.html#group48M21", "48M²¹"), =HYPERLINK("CSG21.html#group72AA21", "72AA²¹")</f>
        <v/>
      </c>
      <c r="M962">
        <f>HYPERLINK("CSG1.html#group12T1", "12T¹"), =HYPERLINK("CSG0.html#group6B0", "6B⁰"), =HYPERLINK("CSG0.html#group12C0", "12C⁰"), =HYPERLINK("CSG0.html#group3A0", "3A⁰"), =HYPERLINK("CSG0.html#group4C0", "4C⁰"), =HYPERLINK("CSG1.html#group24D1", "24D¹"), =HYPERLINK("CSG3.html#group24I3", "24I³"), =HYPERLINK("CSG0.html#group6G0", "6G⁰"), =HYPERLINK("CSG0.html#group8B0", "8B⁰"), =HYPERLINK("CSG0.html#group2B0", "2B⁰"), =HYPERLINK("CSG2.html#group24C2", "24C²"), =HYPERLINK("CSG1.html#group12N1", "12N¹"), =HYPERLINK("CSG0.html#group1A0", "1A⁰"), =HYPERLINK("CSG1.html#group12L1", "12L¹"), =HYPERLINK("CSG0.html#group12G0", "12G⁰"), =HYPERLINK("CSG1.html#group12C1", "12C¹"), =HYPERLINK("CSG3.html#group24H3", "24H³"), =HYPERLINK("CSG0.html#group6E0", "6E⁰"), =HYPERLINK("CSG0.html#group6L0", "6L⁰"), =HYPERLINK("CSG3.html#group24S3", "24S³"), =HYPERLINK("CSG0.html#group24A0", "24A⁰"), =HYPERLINK("CSG0.html#group3C0", "3C⁰"), =HYPERLINK("CSG0.html#group12D0", "12D⁰"), =HYPERLINK("CSG0.html#group6H0", "6H⁰"), =HYPERLINK("CSG0.html#group12H0", "12H⁰"), =HYPERLINK("CSG1.html#group24H1", "24H¹"), =HYPERLINK("CSG0.html#group6D0", "6D⁰")</f>
        <v/>
      </c>
      <c r="N962">
        <f>HYPERLINK("CSG21.html#group72AA21", "72AA²¹"), =HYPERLINK("CSG21.html#group48M21", "48M²¹"), =HYPERLINK("CSG13.html#group24S13", "24S¹³"), =HYPERLINK("CSG13.html#group24Y13", "24Y¹³"), =HYPERLINK("CSG17.html#group48R17", "48R¹⁷"), =HYPERLINK("CSG17.html#group48M17", "48M¹⁷"), =HYPERLINK("CSG13.html#group24W13", "24W¹³"), =HYPERLINK("CSG13.html#group24R13", "24R¹³"), =HYPERLINK("CSG13.html#group48X13", "48X¹³"), =HYPERLINK("CSG17.html#group48L17", "48L¹⁷"), =HYPERLINK("CSG13.html#group24Q13", "24Q¹³"), =HYPERLINK("CSG17.html#group48AV17", "48AV¹⁷"), =HYPERLINK("CSG17.html#group24C17", "24C¹⁷"), =HYPERLINK("CSG17.html#group48AR17", "48AR¹⁷")</f>
        <v/>
      </c>
    </row>
    <row r="963">
      <c r="A963" t="inlineStr">
        <is>
          <t>24T⁵</t>
        </is>
      </c>
      <c r="B963" t="inlineStr"/>
      <c r="C963" t="inlineStr">
        <is>
          <t>144</t>
        </is>
      </c>
      <c r="D963" t="inlineStr">
        <is>
          <t>1</t>
        </is>
      </c>
      <c r="E963" t="inlineStr">
        <is>
          <t>18</t>
        </is>
      </c>
      <c r="F963" t="inlineStr">
        <is>
          <t>8</t>
        </is>
      </c>
      <c r="G963" t="inlineStr">
        <is>
          <t>0</t>
        </is>
      </c>
      <c r="H963" t="inlineStr">
        <is>
          <t>6⁸, 24⁴</t>
        </is>
      </c>
      <c r="I963" t="n">
        <v>12</v>
      </c>
      <c r="J963" t="inlineStr">
        <is>
          <t>2³, 4³</t>
        </is>
      </c>
      <c r="K963">
        <f>HYPERLINK("CSG1.html#group12T1", "12T¹"), =HYPERLINK("CSG1.html#group24I1", "24I¹"), =HYPERLINK("CSG3.html#group24M3", "24M³")</f>
        <v/>
      </c>
      <c r="L963">
        <f>HYPERLINK("CSG11.html#group24N11", "24N¹¹"), =HYPERLINK("CSG13.html#group24J13", "24J¹³"), =HYPERLINK("CSG13.html#group24Q13", "24Q¹³"), =HYPERLINK("CSG15.html#group24L15", "24L¹⁵"), =HYPERLINK("CSG17.html#group24M17", "24M¹⁷"), =HYPERLINK("CSG23.html#group72I23", "72I²³"), =HYPERLINK("CSG23.html#group72J23", "72J²³")</f>
        <v/>
      </c>
      <c r="M963">
        <f>HYPERLINK("CSG1.html#group12T1", "12T¹"), =HYPERLINK("CSG1.html#group24I1", "24I¹"), =HYPERLINK("CSG0.html#group6B0", "6B⁰"), =HYPERLINK("CSG0.html#group12C0", "12C⁰"), =HYPERLINK("CSG0.html#group3A0", "3A⁰"), =HYPERLINK("CSG0.html#group4C0", "4C⁰"), =HYPERLINK("CSG0.html#group6G0", "6G⁰"), =HYPERLINK("CSG3.html#group24M3", "24M³"), =HYPERLINK("CSG0.html#group2B0", "2B⁰"), =HYPERLINK("CSG1.html#group12N1", "12N¹"), =HYPERLINK("CSG0.html#group1A0", "1A⁰"), =HYPERLINK("CSG1.html#group12L1", "12L¹"), =HYPERLINK("CSG0.html#group12G0", "12G⁰"), =HYPERLINK("CSG1.html#group12C1", "12C¹"), =HYPERLINK("CSG0.html#group6E0", "6E⁰"), =HYPERLINK("CSG0.html#group6L0", "6L⁰"), =HYPERLINK("CSG0.html#group3C0", "3C⁰"), =HYPERLINK("CSG0.html#group12D0", "12D⁰"), =HYPERLINK("CSG0.html#group6H0", "6H⁰"), =HYPERLINK("CSG0.html#group12H0", "12H⁰"), =HYPERLINK("CSG0.html#group6D0", "6D⁰")</f>
        <v/>
      </c>
      <c r="N963">
        <f>HYPERLINK("CSG11.html#group24N11", "24N¹¹"), =HYPERLINK("CSG23.html#group72J23", "72J²³"), =HYPERLINK("CSG13.html#group24Q13", "24Q¹³"), =HYPERLINK("CSG15.html#group24L15", "24L¹⁵"), =HYPERLINK("CSG23.html#group72I23", "72I²³"), =HYPERLINK("CSG17.html#group24M17", "24M¹⁷"), =HYPERLINK("CSG13.html#group24J13", "24J¹³")</f>
        <v/>
      </c>
    </row>
    <row r="964">
      <c r="A964" t="inlineStr">
        <is>
          <t>24U⁵</t>
        </is>
      </c>
      <c r="B964" t="inlineStr"/>
      <c r="C964" t="inlineStr">
        <is>
          <t>144</t>
        </is>
      </c>
      <c r="D964" t="inlineStr">
        <is>
          <t>1</t>
        </is>
      </c>
      <c r="E964" t="inlineStr">
        <is>
          <t>18</t>
        </is>
      </c>
      <c r="F964" t="inlineStr">
        <is>
          <t>8</t>
        </is>
      </c>
      <c r="G964" t="inlineStr">
        <is>
          <t>0</t>
        </is>
      </c>
      <c r="H964" t="inlineStr">
        <is>
          <t>6⁸, 24⁴</t>
        </is>
      </c>
      <c r="I964" t="n">
        <v>12</v>
      </c>
      <c r="J964" t="inlineStr">
        <is>
          <t>1², 2⁴, 4²</t>
        </is>
      </c>
      <c r="K964">
        <f>HYPERLINK("CSG1.html#group12T1", "12T¹"), =HYPERLINK("CSG2.html#group24N2", "24N²"), =HYPERLINK("CSG2.html#group24O2", "24O²"), =HYPERLINK("CSG3.html#group24N3", "24N³"), =HYPERLINK("CSG3.html#group24O3", "24O³")</f>
        <v/>
      </c>
      <c r="L964">
        <f>HYPERLINK("CSG11.html#group24N11", "24N¹¹"), =HYPERLINK("CSG13.html#group24K13", "24K¹³"), =HYPERLINK("CSG13.html#group24R13", "24R¹³"), =HYPERLINK("CSG13.html#group48AC13", "48AC¹³"), =HYPERLINK("CSG13.html#group48AD13", "48AD¹³"), =HYPERLINK("CSG15.html#group24K15", "24K¹⁵"), =HYPERLINK("CSG17.html#group24N17", "24N¹⁷"), =HYPERLINK("CSG17.html#group48AG17", "48AG¹⁷"), =HYPERLINK("CSG17.html#group48AH17", "48AH¹⁷"), =HYPERLINK("CSG23.html#group72K23", "72K²³")</f>
        <v/>
      </c>
      <c r="M964">
        <f>HYPERLINK("CSG1.html#group12T1", "12T¹"), =HYPERLINK("CSG2.html#group24O2", "24O²"), =HYPERLINK("CSG1.html#group24E1", "24E¹"), =HYPERLINK("CSG0.html#group6B0", "6B⁰"), =HYPERLINK("CSG0.html#group12C0", "12C⁰"), =HYPERLINK("CSG0.html#group3A0", "3A⁰"), =HYPERLINK("CSG2.html#group24N2", "24N²"), =HYPERLINK("CSG0.html#group8D0", "8D⁰"), =HYPERLINK("CSG0.html#group4C0", "4C⁰"), =HYPERLINK("CSG0.html#group6G0", "6G⁰"), =HYPERLINK("CSG0.html#group2B0", "2B⁰"), =HYPERLINK("CSG1.html#group12N1", "12N¹"), =HYPERLINK("CSG0.html#group1A0", "1A⁰"), =HYPERLINK("CSG3.html#group24O3", "24O³"), =HYPERLINK("CSG1.html#group12L1", "12L¹"), =HYPERLINK("CSG0.html#group12G0", "12G⁰"), =HYPERLINK("CSG1.html#group12C1", "12C¹"), =HYPERLINK("CSG0.html#group6E0", "6E⁰"), =HYPERLINK("CSG0.html#group6L0", "6L⁰"), =HYPERLINK("CSG3.html#group24N3", "24N³"), =HYPERLINK("CSG1.html#group24C1", "24C¹"), =HYPERLINK("CSG0.html#group3C0", "3C⁰"), =HYPERLINK("CSG0.html#group12D0", "12D⁰"), =HYPERLINK("CSG0.html#group6H0", "6H⁰"), =HYPERLINK("CSG0.html#group12H0", "12H⁰"), =HYPERLINK("CSG0.html#group6D0", "6D⁰")</f>
        <v/>
      </c>
      <c r="N964">
        <f>HYPERLINK("CSG23.html#group72K23", "72K²³"), =HYPERLINK("CSG13.html#group48AC13", "48AC¹³"), =HYPERLINK("CSG15.html#group24K15", "24K¹⁵"), =HYPERLINK("CSG17.html#group48AG17", "48AG¹⁷"), =HYPERLINK("CSG13.html#group24R13", "24R¹³"), =HYPERLINK("CSG17.html#group48AH17", "48AH¹⁷"), =HYPERLINK("CSG11.html#group24N11", "24N¹¹"), =HYPERLINK("CSG13.html#group24K13", "24K¹³"), =HYPERLINK("CSG13.html#group48AD13", "48AD¹³"), =HYPERLINK("CSG17.html#group24N17", "24N¹⁷")</f>
        <v/>
      </c>
    </row>
    <row r="965">
      <c r="A965" t="inlineStr">
        <is>
          <t>24V⁵</t>
        </is>
      </c>
      <c r="B965" t="inlineStr"/>
      <c r="C965" t="inlineStr">
        <is>
          <t>144</t>
        </is>
      </c>
      <c r="D965" t="inlineStr">
        <is>
          <t>1</t>
        </is>
      </c>
      <c r="E965" t="inlineStr">
        <is>
          <t>18</t>
        </is>
      </c>
      <c r="F965" t="inlineStr">
        <is>
          <t>16</t>
        </is>
      </c>
      <c r="G965" t="inlineStr">
        <is>
          <t>0</t>
        </is>
      </c>
      <c r="H965" t="inlineStr">
        <is>
          <t>12⁴, 24⁴</t>
        </is>
      </c>
      <c r="I965" t="n">
        <v>8</v>
      </c>
      <c r="J965" t="inlineStr">
        <is>
          <t>2⁵, 4²</t>
        </is>
      </c>
      <c r="K965">
        <f>HYPERLINK("CSG1.html#group24H1", "24H¹"), =HYPERLINK("CSG2.html#group12H2", "12H²"), =HYPERLINK("CSG2.html#group24N2", "24N²"), =HYPERLINK("CSG2.html#group24P2", "24P²"), =HYPERLINK("CSG3.html#group24T3", "24T³")</f>
        <v/>
      </c>
      <c r="L965">
        <f>HYPERLINK("CSG13.html#group24R13", "24R¹³"), =HYPERLINK("CSG13.html#group24Z13", "24Z¹³"), =HYPERLINK("CSG13.html#group24AA13", "24AA¹³"), =HYPERLINK("CSG13.html#group48AA13", "48AA¹³"), =HYPERLINK("CSG15.html#group24S15", "24S¹⁵"), =HYPERLINK("CSG15.html#group24T15", "24T¹⁵"), =HYPERLINK("CSG15.html#group48AB15", "48AB¹⁵"), =HYPERLINK("CSG15.html#group48AC15", "48AC¹⁵"), =HYPERLINK("CSG17.html#group24I17", "24I¹⁷"), =HYPERLINK("CSG17.html#group48BC17", "48BC¹⁷"), =HYPERLINK("CSG17.html#group48BD17", "48BD¹⁷"), =HYPERLINK("CSG17.html#group48BQ17", "48BQ¹⁷"), =HYPERLINK("CSG21.html#group48AA21", "48AA²¹")</f>
        <v/>
      </c>
      <c r="M965">
        <f>HYPERLINK("CSG1.html#group24E1", "24E¹"), =HYPERLINK("CSG0.html#group6B0", "6B⁰"), =HYPERLINK("CSG0.html#group12C0", "12C⁰"), =HYPERLINK("CSG2.html#group24N2", "24N²"), =HYPERLINK("CSG0.html#group4C0", "4C⁰"), =HYPERLINK("CSG1.html#group24D1", "24D¹"), =HYPERLINK("CSG0.html#group8B0", "8B⁰"), =HYPERLINK("CSG2.html#group24P2", "24P²"), =HYPERLINK("CSG1.html#group12M1", "12M¹"), =HYPERLINK("CSG0.html#group2B0", "2B⁰"), =HYPERLINK("CSG0.html#group12H0", "12H⁰"), =HYPERLINK("CSG0.html#group1A0", "1A⁰"), =HYPERLINK("CSG2.html#group12H2", "12H²"), =HYPERLINK("CSG0.html#group24A0", "24A⁰"), =HYPERLINK("CSG3.html#group24T3", "24T³"), =HYPERLINK("CSG0.html#group12D0", "12D⁰"), =HYPERLINK("CSG0.html#group6H0", "6H⁰"), =HYPERLINK("CSG0.html#group3A0", "3A⁰"), =HYPERLINK("CSG1.html#group24H1", "24H¹"), =HYPERLINK("CSG0.html#group6D0", "6D⁰")</f>
        <v/>
      </c>
      <c r="N965">
        <f>HYPERLINK("CSG15.html#group24T15", "24T¹⁵"), =HYPERLINK("CSG21.html#group48AA21", "48AA²¹"), =HYPERLINK("CSG17.html#group48BQ17", "48BQ¹⁷"), =HYPERLINK("CSG13.html#group48AA13", "48AA¹³"), =HYPERLINK("CSG13.html#group24AA13", "24AA¹³"), =HYPERLINK("CSG17.html#group48BD17", "48BD¹⁷"), =HYPERLINK("CSG17.html#group48BC17", "48BC¹⁷"), =HYPERLINK("CSG15.html#group48AC15", "48AC¹⁵"), =HYPERLINK("CSG13.html#group24R13", "24R¹³"), =HYPERLINK("CSG15.html#group48AB15", "48AB¹⁵"), =HYPERLINK("CSG17.html#group24I17", "24I¹⁷"), =HYPERLINK("CSG15.html#group24S15", "24S¹⁵"), =HYPERLINK("CSG13.html#group24Z13", "24Z¹³")</f>
        <v/>
      </c>
    </row>
    <row r="966">
      <c r="A966" t="inlineStr">
        <is>
          <t>24W⁵</t>
        </is>
      </c>
      <c r="B966" t="inlineStr"/>
      <c r="C966" t="inlineStr">
        <is>
          <t>144</t>
        </is>
      </c>
      <c r="D966" t="inlineStr">
        <is>
          <t>1</t>
        </is>
      </c>
      <c r="E966" t="inlineStr">
        <is>
          <t>18</t>
        </is>
      </c>
      <c r="F966" t="inlineStr">
        <is>
          <t>16</t>
        </is>
      </c>
      <c r="G966" t="inlineStr">
        <is>
          <t>0</t>
        </is>
      </c>
      <c r="H966" t="inlineStr">
        <is>
          <t>12⁴, 24⁴</t>
        </is>
      </c>
      <c r="I966" t="n">
        <v>8</v>
      </c>
      <c r="J966" t="inlineStr">
        <is>
          <t>1², 2⁴, 4²</t>
        </is>
      </c>
      <c r="K966">
        <f>HYPERLINK("CSG1.html#group24H1", "24H¹"), =HYPERLINK("CSG2.html#group12I2", "12I²"), =HYPERLINK("CSG2.html#group24L2", "24L²"), =HYPERLINK("CSG2.html#group24O2", "24O²"), =HYPERLINK("CSG2.html#group24P2", "24P²"), =HYPERLINK("CSG3.html#group24P3", "24P³"), =HYPERLINK("CSG3.html#group24Q3", "24Q³")</f>
        <v/>
      </c>
      <c r="L966">
        <f>HYPERLINK("CSG13.html#group24R13", "24R¹³"), =HYPERLINK("CSG13.html#group24V13", "24V¹³"), =HYPERLINK("CSG13.html#group24X13", "24X¹³"), =HYPERLINK("CSG13.html#group48AB13", "48AB¹³"), =HYPERLINK("CSG15.html#group24O15", "24O¹⁵"), =HYPERLINK("CSG15.html#group24P15", "24P¹⁵"), =HYPERLINK("CSG15.html#group24Q15", "24Q¹⁵"), =HYPERLINK("CSG15.html#group24R15", "24R¹⁵"), =HYPERLINK("CSG15.html#group48S15", "48S¹⁵"), =HYPERLINK("CSG15.html#group48T15", "48T¹⁵"), =HYPERLINK("CSG15.html#group48U15", "48U¹⁵"), =HYPERLINK("CSG15.html#group48V15", "48V¹⁵"), =HYPERLINK("CSG17.html#group24J17", "24J¹⁷"), =HYPERLINK("CSG17.html#group48AQ17", "48AQ¹⁷"), =HYPERLINK("CSG17.html#group48AS17", "48AS¹⁷"), =HYPERLINK("CSG17.html#group48BR17", "48BR¹⁷"), =HYPERLINK("CSG21.html#group48AE21", "48AE²¹")</f>
        <v/>
      </c>
      <c r="M966">
        <f>HYPERLINK("CSG2.html#group12I2", "12I²"), =HYPERLINK("CSG2.html#group24O2", "24O²"), =HYPERLINK("CSG3.html#group24Q3", "24Q³"), =HYPERLINK("CSG1.html#group24E1", "24E¹"), =HYPERLINK("CSG0.html#group6B0", "6B⁰"), =HYPERLINK("CSG0.html#group12C0", "12C⁰"), =HYPERLINK("CSG0.html#group3A0", "3A⁰"), =HYPERLINK("CSG0.html#group8D0", "8D⁰"), =HYPERLINK("CSG0.html#group4C0", "4C⁰"), =HYPERLINK("CSG1.html#group24D1", "24D¹"), =HYPERLINK("CSG0.html#group12F0", "12F⁰"), =HYPERLINK("CSG0.html#group8B0", "8B⁰"), =HYPERLINK("CSG2.html#group24P2", "24P²"), =HYPERLINK("CSG1.html#group12M1", "12M¹"), =HYPERLINK("CSG3.html#group24P3", "24P³"), =HYPERLINK("CSG0.html#group2B0", "2B⁰"), =HYPERLINK("CSG2.html#group24L2", "24L²"), =HYPERLINK("CSG0.html#group1A0", "1A⁰"), =HYPERLINK("CSG0.html#group8H0", "8H⁰"), =HYPERLINK("CSG0.html#group12A0", "12A⁰"), =HYPERLINK("CSG0.html#group24A0", "24A⁰"), =HYPERLINK("CSG0.html#group4A0", "4A⁰"), =HYPERLINK("CSG1.html#group24C1", "24C¹"), =HYPERLINK("CSG1.html#group12J1", "12J¹"), =HYPERLINK("CSG0.html#group12D0", "12D⁰"), =HYPERLINK("CSG0.html#group4F0", "4F⁰"), =HYPERLINK("CSG0.html#group6H0", "6H⁰"), =HYPERLINK("CSG0.html#group12H0", "12H⁰"), =HYPERLINK("CSG1.html#group24H1", "24H¹"), =HYPERLINK("CSG0.html#group6D0", "6D⁰")</f>
        <v/>
      </c>
      <c r="N966">
        <f>HYPERLINK("CSG15.html#group48U15", "48U¹⁵"), =HYPERLINK("CSG13.html#group24R13", "24R¹³"), =HYPERLINK("CSG13.html#group24V13", "24V¹³"), =HYPERLINK("CSG17.html#group24J17", "24J¹⁷"), =HYPERLINK("CSG15.html#group48S15", "48S¹⁵"), =HYPERLINK("CSG15.html#group24O15", "24O¹⁵"), =HYPERLINK("CSG15.html#group48V15", "48V¹⁵"), =HYPERLINK("CSG15.html#group24Q15", "24Q¹⁵"), =HYPERLINK("CSG15.html#group48T15", "48T¹⁵"), =HYPERLINK("CSG21.html#group48AE21", "48AE²¹"), =HYPERLINK("CSG17.html#group48BR17", "48BR¹⁷"), =HYPERLINK("CSG17.html#group48AQ17", "48AQ¹⁷"), =HYPERLINK("CSG15.html#group24P15", "24P¹⁵"), =HYPERLINK("CSG13.html#group24X13", "24X¹³"), =HYPERLINK("CSG13.html#group48AB13", "48AB¹³"), =HYPERLINK("CSG15.html#group24R15", "24R¹⁵"), =HYPERLINK("CSG17.html#group48AS17", "48AS¹⁷")</f>
        <v/>
      </c>
    </row>
    <row r="967">
      <c r="A967" t="inlineStr">
        <is>
          <t>24X⁵</t>
        </is>
      </c>
      <c r="B967" t="inlineStr"/>
      <c r="C967" t="inlineStr">
        <is>
          <t>144</t>
        </is>
      </c>
      <c r="D967" t="inlineStr">
        <is>
          <t>1</t>
        </is>
      </c>
      <c r="E967" t="inlineStr">
        <is>
          <t>36</t>
        </is>
      </c>
      <c r="F967" t="inlineStr">
        <is>
          <t>16</t>
        </is>
      </c>
      <c r="G967" t="inlineStr">
        <is>
          <t>0</t>
        </is>
      </c>
      <c r="H967" t="inlineStr">
        <is>
          <t>12⁴, 24⁴</t>
        </is>
      </c>
      <c r="I967" t="n">
        <v>8</v>
      </c>
      <c r="J967" t="inlineStr">
        <is>
          <t>2⁸, 4³, 8¹</t>
        </is>
      </c>
      <c r="K967">
        <f>HYPERLINK("CSG1.html#group24H1", "24H¹"), =HYPERLINK("CSG2.html#group24Q2", "24Q²")</f>
        <v/>
      </c>
      <c r="L967">
        <f>HYPERLINK("CSG13.html#group24V13", "24V¹³"), =HYPERLINK("CSG13.html#group24Y13", "24Y¹³"), =HYPERLINK("CSG13.html#group24Z13", "24Z¹³"), =HYPERLINK("CSG13.html#group24AA13", "24AA¹³"), =HYPERLINK("CSG13.html#group48AE13", "48AE¹³"), =HYPERLINK("CSG17.html#group24T17", "24T¹⁷"), =HYPERLINK("CSG17.html#group48BE17", "48BE¹⁷"), =HYPERLINK("CSG17.html#group48BF17", "48BF¹⁷"), =HYPERLINK("CSG17.html#group48BY17", "48BY¹⁷"), =HYPERLINK("CSG17.html#group48CC17", "48CC¹⁷"), =HYPERLINK("CSG21.html#group48AW21", "48AW²¹")</f>
        <v/>
      </c>
      <c r="M967">
        <f>HYPERLINK("CSG0.html#group6B0", "6B⁰"), =HYPERLINK("CSG0.html#group12C0", "12C⁰"), =HYPERLINK("CSG0.html#group24A0", "24A⁰"), =HYPERLINK("CSG0.html#group4C0", "4C⁰"), =HYPERLINK("CSG1.html#group24D1", "24D¹"), =HYPERLINK("CSG0.html#group8B0", "8B⁰"), =HYPERLINK("CSG2.html#group24Q2", "24Q²"), =HYPERLINK("CSG0.html#group2B0", "2B⁰"), =HYPERLINK("CSG0.html#group12D0", "12D⁰"), =HYPERLINK("CSG0.html#group12H0", "12H⁰"), =HYPERLINK("CSG0.html#group6H0", "6H⁰"), =HYPERLINK("CSG0.html#group3A0", "3A⁰"), =HYPERLINK("CSG1.html#group24H1", "24H¹"), =HYPERLINK("CSG0.html#group1A0", "1A⁰"), =HYPERLINK("CSG0.html#group6D0", "6D⁰")</f>
        <v/>
      </c>
      <c r="N967">
        <f>HYPERLINK("CSG13.html#group48AE13", "48AE¹³"), =HYPERLINK("CSG17.html#group48BF17", "48BF¹⁷"), =HYPERLINK("CSG21.html#group48AW21", "48AW²¹"), =HYPERLINK("CSG13.html#group24Y13", "24Y¹³"), =HYPERLINK("CSG17.html#group48BY17", "48BY¹⁷"), =HYPERLINK("CSG17.html#group24T17", "24T¹⁷"), =HYPERLINK("CSG17.html#group48BE17", "48BE¹⁷"), =HYPERLINK("CSG13.html#group24V13", "24V¹³"), =HYPERLINK("CSG17.html#group48CC17", "48CC¹⁷"), =HYPERLINK("CSG13.html#group24AA13", "24AA¹³"), =HYPERLINK("CSG13.html#group24Z13", "24Z¹³")</f>
        <v/>
      </c>
    </row>
    <row r="968">
      <c r="A968" t="inlineStr">
        <is>
          <t>24Y⁵</t>
        </is>
      </c>
      <c r="B968" t="inlineStr"/>
      <c r="C968" t="inlineStr">
        <is>
          <t>144</t>
        </is>
      </c>
      <c r="D968" t="inlineStr">
        <is>
          <t>1</t>
        </is>
      </c>
      <c r="E968" t="inlineStr">
        <is>
          <t>36</t>
        </is>
      </c>
      <c r="F968" t="inlineStr">
        <is>
          <t>16</t>
        </is>
      </c>
      <c r="G968" t="inlineStr">
        <is>
          <t>0</t>
        </is>
      </c>
      <c r="H968" t="inlineStr">
        <is>
          <t>12⁴, 24⁴</t>
        </is>
      </c>
      <c r="I968" t="n">
        <v>8</v>
      </c>
      <c r="J968" t="inlineStr">
        <is>
          <t>1⁴, 2⁶, 4³, 8¹</t>
        </is>
      </c>
      <c r="K968">
        <f>HYPERLINK("CSG1.html#group24H1", "24H¹"), =HYPERLINK("CSG2.html#group24M2", "24M²"), =HYPERLINK("CSG2.html#group24Q2", "24Q²")</f>
        <v/>
      </c>
      <c r="L968">
        <f>HYPERLINK("CSG13.html#group24X13", "24X¹³"), =HYPERLINK("CSG13.html#group24Y13", "24Y¹³"), =HYPERLINK("CSG13.html#group24Z13", "24Z¹³"), =HYPERLINK("CSG13.html#group24AA13", "24AA¹³"), =HYPERLINK("CSG13.html#group48AF13", "48AF¹³"), =HYPERLINK("CSG17.html#group24V17", "24V¹⁷"), =HYPERLINK("CSG17.html#group48BG17", "48BG¹⁷"), =HYPERLINK("CSG17.html#group48BH17", "48BH¹⁷"), =HYPERLINK("CSG17.html#group48CA17", "48CA¹⁷"), =HYPERLINK("CSG17.html#group48CD17", "48CD¹⁷"), =HYPERLINK("CSG21.html#group48BF21", "48BF²¹")</f>
        <v/>
      </c>
      <c r="M968">
        <f>HYPERLINK("CSG0.html#group6B0", "6B⁰"), =HYPERLINK("CSG0.html#group12C0", "12C⁰"), =HYPERLINK("CSG0.html#group4C0", "4C⁰"), =HYPERLINK("CSG1.html#group24D1", "24D¹"), =HYPERLINK("CSG0.html#group8B0", "8B⁰"), =HYPERLINK("CSG2.html#group24Q2", "24Q²"), =HYPERLINK("CSG0.html#group8L0", "8L⁰"), =HYPERLINK("CSG0.html#group2B0", "2B⁰"), =HYPERLINK("CSG0.html#group12H0", "12H⁰"), =HYPERLINK("CSG0.html#group1A0", "1A⁰"), =HYPERLINK("CSG0.html#group24A0", "24A⁰"), =HYPERLINK("CSG2.html#group24M2", "24M²"), =HYPERLINK("CSG0.html#group12D0", "12D⁰"), =HYPERLINK("CSG0.html#group6H0", "6H⁰"), =HYPERLINK("CSG0.html#group3A0", "3A⁰"), =HYPERLINK("CSG1.html#group24H1", "24H¹"), =HYPERLINK("CSG0.html#group6D0", "6D⁰")</f>
        <v/>
      </c>
      <c r="N968">
        <f>HYPERLINK("CSG17.html#group48CA17", "48CA¹⁷"), =HYPERLINK("CSG13.html#group24Y13", "24Y¹³"), =HYPERLINK("CSG17.html#group24V17", "24V¹⁷"), =HYPERLINK("CSG17.html#group48CD17", "48CD¹⁷"), =HYPERLINK("CSG21.html#group48BF21", "48BF²¹"), =HYPERLINK("CSG13.html#group24X13", "24X¹³"), =HYPERLINK("CSG13.html#group48AF13", "48AF¹³"), =HYPERLINK("CSG17.html#group48BG17", "48BG¹⁷"), =HYPERLINK("CSG17.html#group48BH17", "48BH¹⁷"), =HYPERLINK("CSG13.html#group24AA13", "24AA¹³"), =HYPERLINK("CSG13.html#group24Z13", "24Z¹³")</f>
        <v/>
      </c>
    </row>
    <row r="969">
      <c r="A969" t="inlineStr">
        <is>
          <t>24Z⁵</t>
        </is>
      </c>
      <c r="B969" t="inlineStr"/>
      <c r="C969" t="inlineStr">
        <is>
          <t>192</t>
        </is>
      </c>
      <c r="D969" t="inlineStr">
        <is>
          <t>1</t>
        </is>
      </c>
      <c r="E969" t="inlineStr">
        <is>
          <t>12</t>
        </is>
      </c>
      <c r="F969" t="inlineStr">
        <is>
          <t>0</t>
        </is>
      </c>
      <c r="G969" t="inlineStr">
        <is>
          <t>0</t>
        </is>
      </c>
      <c r="H969" t="inlineStr">
        <is>
          <t>2⁸, 6⁸, 8⁴, 24⁴</t>
        </is>
      </c>
      <c r="I969" t="n">
        <v>24</v>
      </c>
      <c r="J969" t="inlineStr">
        <is>
          <t>1⁶, 2³</t>
        </is>
      </c>
      <c r="K969">
        <f>HYPERLINK("CSG1.html#group12V1", "12V¹"), =HYPERLINK("CSG1.html#group24J1", "24J¹"), =HYPERLINK("CSG3.html#group24U3", "24U³"), =HYPERLINK("CSG3.html#group24V3", "24V³"), =HYPERLINK("CSG3.html#group24W3", "24W³")</f>
        <v/>
      </c>
      <c r="L969">
        <f>HYPERLINK("CSG13.html#group24AC13", "24AC¹³"), =HYPERLINK("CSG13.html#group48AG13", "48AG¹³"), =HYPERLINK("CSG17.html#group24AP17", "24AP¹⁷"), =HYPERLINK("CSG17.html#group48CN17", "48CN¹⁷"), =HYPERLINK("CSG21.html#group48BZ21", "48BZ²¹")</f>
        <v/>
      </c>
      <c r="M969">
        <f>HYPERLINK("CSG0.html#group3B0", "3B⁰"), =HYPERLINK("CSG0.html#group2A0", "2A⁰"), =HYPERLINK("CSG3.html#group24V3", "24V³"), =HYPERLINK("CSG1.html#group12V1", "12V¹"), =HYPERLINK("CSG0.html#group8D0", "8D⁰"), =HYPERLINK("CSG0.html#group6I0", "6I⁰"), =HYPERLINK("CSG1.html#group12F1", "12F¹"), =HYPERLINK("CSG1.html#group24G1", "24G¹"), =HYPERLINK("CSG0.html#group6C0", "6C⁰"), =HYPERLINK("CSG0.html#group4C0", "4C⁰"), =HYPERLINK("CSG0.html#group12I0", "12I⁰"), =HYPERLINK("CSG0.html#group12J0", "12J⁰"), =HYPERLINK("CSG0.html#group2B0", "2B⁰"), =HYPERLINK("CSG0.html#group8C0", "8C⁰"), =HYPERLINK("CSG0.html#group4E0", "4E⁰"), =HYPERLINK("CSG1.html#group12P1", "12P¹"), =HYPERLINK("CSG0.html#group4B0", "4B⁰"), =HYPERLINK("CSG0.html#group1A0", "1A⁰"), =HYPERLINK("CSG1.html#group24J1", "24J¹"), =HYPERLINK("CSG3.html#group24U3", "24U³"), =HYPERLINK("CSG2.html#group24I2", "24I²"), =HYPERLINK("CSG0.html#group24B0", "24B⁰"), =HYPERLINK("CSG0.html#group8G0", "8G⁰"), =HYPERLINK("CSG3.html#group24W3", "24W³"), =HYPERLINK("CSG2.html#group24F2", "24F²"), =HYPERLINK("CSG0.html#group6F0", "6F⁰"), =HYPERLINK("CSG0.html#group2C0", "2C⁰"), =HYPERLINK("CSG0.html#group12E0", "12E⁰")</f>
        <v/>
      </c>
      <c r="N969">
        <f>HYPERLINK("CSG17.html#group48CN17", "48CN¹⁷"), =HYPERLINK("CSG13.html#group24AC13", "24AC¹³"), =HYPERLINK("CSG17.html#group24AP17", "24AP¹⁷"), =HYPERLINK("CSG21.html#group48BZ21", "48BZ²¹"), =HYPERLINK("CSG13.html#group48AG13", "48AG¹³")</f>
        <v/>
      </c>
    </row>
    <row r="970">
      <c r="A970" t="inlineStr">
        <is>
          <t>24AA⁵</t>
        </is>
      </c>
      <c r="B970" t="inlineStr">
        <is>
          <t>Γ₁(24)</t>
        </is>
      </c>
      <c r="C970" t="inlineStr">
        <is>
          <t>192</t>
        </is>
      </c>
      <c r="D970" t="inlineStr">
        <is>
          <t>1</t>
        </is>
      </c>
      <c r="E970" t="inlineStr">
        <is>
          <t>48</t>
        </is>
      </c>
      <c r="F970" t="inlineStr">
        <is>
          <t>0</t>
        </is>
      </c>
      <c r="G970" t="inlineStr">
        <is>
          <t>0</t>
        </is>
      </c>
      <c r="H970" t="inlineStr">
        <is>
          <t>1⁴, 2², 3⁴, 4², 6², 8⁴, 12², 24⁴</t>
        </is>
      </c>
      <c r="I970" t="n">
        <v>24</v>
      </c>
      <c r="J970" t="inlineStr">
        <is>
          <t>1⁸, 2⁸, 4⁴, 8¹</t>
        </is>
      </c>
      <c r="K970">
        <f>HYPERLINK("CSG1.html#group24J1", "24J¹"), =HYPERLINK("CSG3.html#group24X3", "24X³"), =HYPERLINK("CSG3.html#group24Y3", "24Y³")</f>
        <v/>
      </c>
      <c r="L970">
        <f>HYPERLINK("CSG13.html#group24AC13", "24AC¹³"), =HYPERLINK("CSG13.html#group48AH13", "48AH¹³"), =HYPERLINK("CSG17.html#group48CO17", "48CO¹⁷")</f>
        <v/>
      </c>
      <c r="M970">
        <f>HYPERLINK("CSG1.html#group24J1", "24J¹"), =HYPERLINK("CSG0.html#group3B0", "3B⁰"), =HYPERLINK("CSG3.html#group24X3", "24X³"), =HYPERLINK("CSG0.html#group24B0", "24B⁰"), =HYPERLINK("CSG1.html#group24G1", "24G¹"), =HYPERLINK("CSG0.html#group6F0", "6F⁰"), =HYPERLINK("CSG0.html#group12J0", "12J⁰"), =HYPERLINK("CSG0.html#group2B0", "2B⁰"), =HYPERLINK("CSG0.html#group8C0", "8C⁰"), =HYPERLINK("CSG3.html#group24Y3", "24Y³"), =HYPERLINK("CSG0.html#group8I0", "8I⁰"), =HYPERLINK("CSG0.html#group4B0", "4B⁰"), =HYPERLINK("CSG0.html#group1A0", "1A⁰"), =HYPERLINK("CSG0.html#group12E0", "12E⁰")</f>
        <v/>
      </c>
      <c r="N970">
        <f>HYPERLINK("CSG13.html#group24AC13", "24AC¹³"), =HYPERLINK("CSG13.html#group48AH13", "48AH¹³"), =HYPERLINK("CSG17.html#group48CO17", "48CO¹⁷")</f>
        <v/>
      </c>
    </row>
    <row r="971">
      <c r="A971" t="inlineStr">
        <is>
          <t>24AB⁵</t>
        </is>
      </c>
      <c r="B971" t="inlineStr"/>
      <c r="C971" t="inlineStr">
        <is>
          <t>192</t>
        </is>
      </c>
      <c r="D971" t="inlineStr">
        <is>
          <t>1</t>
        </is>
      </c>
      <c r="E971" t="inlineStr">
        <is>
          <t>48</t>
        </is>
      </c>
      <c r="F971" t="inlineStr">
        <is>
          <t>0</t>
        </is>
      </c>
      <c r="G971" t="inlineStr">
        <is>
          <t>0</t>
        </is>
      </c>
      <c r="H971" t="inlineStr">
        <is>
          <t>2⁴, 4⁶, 6⁴, 8², 12⁶, 24²</t>
        </is>
      </c>
      <c r="I971" t="n">
        <v>24</v>
      </c>
      <c r="J971" t="inlineStr">
        <is>
          <t>1¹⁶, 2¹², 4²</t>
        </is>
      </c>
      <c r="K971">
        <f>HYPERLINK("CSG1.html#group12V1", "12V¹"), =HYPERLINK("CSG3.html#group24Z3", "24Z³"), =HYPERLINK("CSG3.html#group24AA3", "24AA³")</f>
        <v/>
      </c>
      <c r="L971">
        <f>HYPERLINK("CSG13.html#group24AB13", "24AB¹³"), =HYPERLINK("CSG13.html#group24AC13", "24AC¹³"), =HYPERLINK("CSG17.html#group24AQ17", "24AQ¹⁷")</f>
        <v/>
      </c>
      <c r="M971">
        <f>HYPERLINK("CSG0.html#group3B0", "3B⁰"), =HYPERLINK("CSG0.html#group2A0", "2A⁰"), =HYPERLINK("CSG3.html#group24Z3", "24Z³"), =HYPERLINK("CSG1.html#group12V1", "12V¹"), =HYPERLINK("CSG3.html#group24AA3", "24AA³"), =HYPERLINK("CSG0.html#group6I0", "6I⁰"), =HYPERLINK("CSG1.html#group12F1", "12F¹"), =HYPERLINK("CSG0.html#group6C0", "6C⁰"), =HYPERLINK("CSG0.html#group12I0", "12I⁰"), =HYPERLINK("CSG0.html#group4C0", "4C⁰"), =HYPERLINK("CSG0.html#group12J0", "12J⁰"), =HYPERLINK("CSG0.html#group2B0", "2B⁰"), =HYPERLINK("CSG0.html#group4E0", "4E⁰"), =HYPERLINK("CSG1.html#group12P1", "12P¹"), =HYPERLINK("CSG0.html#group4B0", "4B⁰"), =HYPERLINK("CSG0.html#group1A0", "1A⁰"), =HYPERLINK("CSG0.html#group6F0", "6F⁰"), =HYPERLINK("CSG0.html#group2C0", "2C⁰"), =HYPERLINK("CSG0.html#group12E0", "12E⁰"), =HYPERLINK("CSG0.html#group8J0", "8J⁰")</f>
        <v/>
      </c>
      <c r="N971">
        <f>HYPERLINK("CSG13.html#group24AC13", "24AC¹³"), =HYPERLINK("CSG17.html#group24AQ17", "24AQ¹⁷"), =HYPERLINK("CSG13.html#group24AB13", "24AB¹³")</f>
        <v/>
      </c>
    </row>
    <row r="972">
      <c r="A972" t="inlineStr">
        <is>
          <t>26A⁵</t>
        </is>
      </c>
      <c r="B972" t="inlineStr"/>
      <c r="C972" t="inlineStr">
        <is>
          <t>84</t>
        </is>
      </c>
      <c r="D972" t="inlineStr">
        <is>
          <t>1</t>
        </is>
      </c>
      <c r="E972" t="inlineStr">
        <is>
          <t>14</t>
        </is>
      </c>
      <c r="F972" t="inlineStr">
        <is>
          <t>0</t>
        </is>
      </c>
      <c r="G972" t="inlineStr">
        <is>
          <t>0</t>
        </is>
      </c>
      <c r="H972" t="inlineStr">
        <is>
          <t>2³, 26³</t>
        </is>
      </c>
      <c r="I972" t="n">
        <v>6</v>
      </c>
      <c r="J972" t="inlineStr">
        <is>
          <t>1², 12¹</t>
        </is>
      </c>
      <c r="K972">
        <f>HYPERLINK("CSG0.html#group13C0", "13C⁰"), =HYPERLINK("CSG1.html#group26A1", "26A¹")</f>
        <v/>
      </c>
      <c r="L972">
        <f>HYPERLINK("CSG9.html#group26A9", "26A⁹"), =HYPERLINK("CSG13.html#group26B13", "26B¹³"), =HYPERLINK("CSG19.html#group78A19", "78A¹⁹"), =HYPERLINK("CSG19.html#group78C19", "78C¹⁹"), =HYPERLINK("CSG23.html#group52F23", "52F²³"), =HYPERLINK("CSG23.html#group78B23", "78B²³")</f>
        <v/>
      </c>
      <c r="M972">
        <f>HYPERLINK("CSG0.html#group13A0", "13A⁰"), =HYPERLINK("CSG0.html#group2A0", "2A⁰"), =HYPERLINK("CSG1.html#group26A1", "26A¹"), =HYPERLINK("CSG0.html#group13C0", "13C⁰"), =HYPERLINK("CSG0.html#group1A0", "1A⁰")</f>
        <v/>
      </c>
      <c r="N972">
        <f>HYPERLINK("CSG9.html#group26A9", "26A⁹"), =HYPERLINK("CSG23.html#group78B23", "78B²³"), =HYPERLINK("CSG23.html#group52F23", "52F²³"), =HYPERLINK("CSG23.html#group52A23", "52A²³"), =HYPERLINK("CSG19.html#group78C19", "78C¹⁹"), =HYPERLINK("CSG13.html#group26B13", "26B¹³"), =HYPERLINK("CSG19.html#group78A19", "78A¹⁹")</f>
        <v/>
      </c>
    </row>
    <row r="973">
      <c r="A973" t="inlineStr">
        <is>
          <t>26B⁵</t>
        </is>
      </c>
      <c r="B973" t="inlineStr"/>
      <c r="C973" t="inlineStr">
        <is>
          <t>84</t>
        </is>
      </c>
      <c r="D973" t="inlineStr">
        <is>
          <t>1</t>
        </is>
      </c>
      <c r="E973" t="inlineStr">
        <is>
          <t>14</t>
        </is>
      </c>
      <c r="F973" t="inlineStr">
        <is>
          <t>0</t>
        </is>
      </c>
      <c r="G973" t="inlineStr">
        <is>
          <t>0</t>
        </is>
      </c>
      <c r="H973" t="inlineStr">
        <is>
          <t>2³, 26³</t>
        </is>
      </c>
      <c r="I973" t="n">
        <v>6</v>
      </c>
      <c r="J973" t="inlineStr">
        <is>
          <t>1², 12¹</t>
        </is>
      </c>
      <c r="K973">
        <f>HYPERLINK("CSG0.html#group2C0", "2C⁰"), =HYPERLINK("CSG1.html#group26A1", "26A¹"), =HYPERLINK("CSG2.html#group26A2", "26A²")</f>
        <v/>
      </c>
      <c r="L973">
        <f>HYPERLINK("CSG9.html#group26B9", "26B⁹"), =HYPERLINK("CSG11.html#group52C11", "52C¹¹"), =HYPERLINK("CSG11.html#group52D11", "52D¹¹"), =HYPERLINK("CSG13.html#group26B13", "26B¹³"), =HYPERLINK("CSG19.html#group78B19", "78B¹⁹"), =HYPERLINK("CSG19.html#group78E19", "78E¹⁹"), =HYPERLINK("CSG23.html#group78C23", "78C²³")</f>
        <v/>
      </c>
      <c r="M973">
        <f>HYPERLINK("CSG0.html#group2A0", "2A⁰"), =HYPERLINK("CSG1.html#group26A1", "26A¹"), =HYPERLINK("CSG0.html#group13A0", "13A⁰"), =HYPERLINK("CSG0.html#group2B0", "2B⁰"), =HYPERLINK("CSG0.html#group1A0", "1A⁰"), =HYPERLINK("CSG0.html#group2C0", "2C⁰"), =HYPERLINK("CSG2.html#group26A2", "26A²")</f>
        <v/>
      </c>
      <c r="N973">
        <f>HYPERLINK("CSG11.html#group52C11", "52C¹¹"), =HYPERLINK("CSG11.html#group52D11", "52D¹¹"), =HYPERLINK("CSG13.html#group26B13", "26B¹³"), =HYPERLINK("CSG19.html#group78E19", "78E¹⁹"), =HYPERLINK("CSG23.html#group104M23", "104M²³"), =HYPERLINK("CSG23.html#group104B23", "104B²³"), =HYPERLINK("CSG19.html#group52A19", "52A¹⁹"), =HYPERLINK("CSG23.html#group78C23", "78C²³"), =HYPERLINK("CSG23.html#group52D23", "52D²³"), =HYPERLINK("CSG19.html#group78B19", "78B¹⁹"), =HYPERLINK("CSG23.html#group104C23", "104C²³"), =HYPERLINK("CSG23.html#group52C23", "52C²³"), =HYPERLINK("CSG23.html#group52B23", "52B²³"), =HYPERLINK("CSG9.html#group26B9", "26B⁹"), =HYPERLINK("CSG21.html#group52C21", "52C²¹"), =HYPERLINK("CSG23.html#group104S23", "104S²³"), =HYPERLINK("CSG23.html#group104N23", "104N²³")</f>
        <v/>
      </c>
    </row>
    <row r="974">
      <c r="A974" t="inlineStr">
        <is>
          <t>26C⁵</t>
        </is>
      </c>
      <c r="B974" t="inlineStr"/>
      <c r="C974" t="inlineStr">
        <is>
          <t>168</t>
        </is>
      </c>
      <c r="D974" t="inlineStr">
        <is>
          <t>1</t>
        </is>
      </c>
      <c r="E974" t="inlineStr">
        <is>
          <t>28</t>
        </is>
      </c>
      <c r="F974" t="inlineStr">
        <is>
          <t>0</t>
        </is>
      </c>
      <c r="G974" t="inlineStr">
        <is>
          <t>12</t>
        </is>
      </c>
      <c r="H974" t="inlineStr">
        <is>
          <t>2⁶, 26⁶</t>
        </is>
      </c>
      <c r="I974" t="n">
        <v>12</v>
      </c>
      <c r="J974" t="inlineStr">
        <is>
          <t>1⁴, 12²</t>
        </is>
      </c>
      <c r="K974">
        <f>HYPERLINK("CSG1.html#group26B1", "26B¹"), =HYPERLINK("CSG3.html#group26A3", "26A³")</f>
        <v/>
      </c>
      <c r="L974">
        <f>HYPERLINK("CSG15.html#group52A15", "52A¹⁵")</f>
        <v/>
      </c>
      <c r="M974">
        <f>HYPERLINK("CSG0.html#group2A0", "2A⁰"), =HYPERLINK("CSG1.html#group26B1", "26B¹"), =HYPERLINK("CSG1.html#group26A1", "26A¹"), =HYPERLINK("CSG0.html#group13A0", "13A⁰"), =HYPERLINK("CSG3.html#group26A3", "26A³"), =HYPERLINK("CSG0.html#group26A0", "26A⁰"), =HYPERLINK("CSG0.html#group13B0", "13B⁰"), =HYPERLINK("CSG0.html#group1A0", "1A⁰")</f>
        <v/>
      </c>
      <c r="N974">
        <f>HYPERLINK("CSG15.html#group52A15", "52A¹⁵")</f>
        <v/>
      </c>
    </row>
    <row r="975">
      <c r="A975" t="inlineStr">
        <is>
          <t>28A⁵</t>
        </is>
      </c>
      <c r="B975" t="inlineStr"/>
      <c r="C975" t="inlineStr">
        <is>
          <t>84</t>
        </is>
      </c>
      <c r="D975" t="inlineStr">
        <is>
          <t>2</t>
        </is>
      </c>
      <c r="E975" t="inlineStr">
        <is>
          <t>21</t>
        </is>
      </c>
      <c r="F975" t="inlineStr">
        <is>
          <t>0</t>
        </is>
      </c>
      <c r="G975" t="inlineStr">
        <is>
          <t>0</t>
        </is>
      </c>
      <c r="H975" t="inlineStr">
        <is>
          <t>7⁴, 28²</t>
        </is>
      </c>
      <c r="I975" t="n">
        <v>6</v>
      </c>
      <c r="J975" t="inlineStr">
        <is>
          <t>2³, 6⁶</t>
        </is>
      </c>
      <c r="K975">
        <f>HYPERLINK("CSG2.html#group14A2", "14A²"), =HYPERLINK("CSG2.html#group28B2", "28B²"), =HYPERLINK("CSG3.html#group28A3", "28A³")</f>
        <v/>
      </c>
      <c r="L975">
        <f>HYPERLINK("CSG11.html#group28C11", "28C¹¹"), =HYPERLINK("CSG11.html#group56B11", "56B¹¹"), =HYPERLINK("CSG13.html#group28D13", "28D¹³"), =HYPERLINK("CSG17.html#group28A17", "28A¹⁷"), =HYPERLINK("CSG19.html#group84A19", "84A¹⁹"), =HYPERLINK("CSG19.html#group84B19", "84B¹⁹"), =HYPERLINK("CSG23.html#group84B23", "84B²³")</f>
        <v/>
      </c>
      <c r="M975">
        <f>HYPERLINK("CSG2.html#group14A2", "14A²"), =HYPERLINK("CSG1.html#group14B1", "14B¹"), =HYPERLINK("CSG0.html#group7C0", "7C⁰"), =HYPERLINK("CSG3.html#group28A3", "28A³"), =HYPERLINK("CSG0.html#group2B0", "2B⁰"), =HYPERLINK("CSG0.html#group4B0", "4B⁰"), =HYPERLINK("CSG0.html#group1A0", "1A⁰"), =HYPERLINK("CSG2.html#group28B2", "28B²"), =HYPERLINK("CSG0.html#group7A0", "7A⁰")</f>
        <v/>
      </c>
      <c r="N975">
        <f>HYPERLINK("CSG23.html#group112F23", "112F²³"), =HYPERLINK("CSG23.html#group56E23", "56E²³"), =HYPERLINK("CSG19.html#group84A19", "84A¹⁹"), =HYPERLINK("CSG23.html#group56F23", "56F²³"), =HYPERLINK("CSG19.html#group84B19", "84B¹⁹"), =HYPERLINK("CSG17.html#group28A17", "28A¹⁷"), =HYPERLINK("CSG11.html#group28C11", "28C¹¹"), =HYPERLINK("CSG23.html#group28C23", "28C²³"), =HYPERLINK("CSG23.html#group112B23", "112B²³"), =HYPERLINK("CSG13.html#group28D13", "28D¹³"), =HYPERLINK("CSG23.html#group84B23", "84B²³"), =HYPERLINK("CSG23.html#group56A23", "56A²³"), =HYPERLINK("CSG11.html#group56B11", "56B¹¹")</f>
        <v/>
      </c>
    </row>
    <row r="976">
      <c r="A976" t="inlineStr">
        <is>
          <t>28B⁵</t>
        </is>
      </c>
      <c r="B976" t="inlineStr"/>
      <c r="C976" t="inlineStr">
        <is>
          <t>84</t>
        </is>
      </c>
      <c r="D976" t="inlineStr">
        <is>
          <t>2</t>
        </is>
      </c>
      <c r="E976" t="inlineStr">
        <is>
          <t>21</t>
        </is>
      </c>
      <c r="F976" t="inlineStr">
        <is>
          <t>4</t>
        </is>
      </c>
      <c r="G976" t="inlineStr">
        <is>
          <t>0</t>
        </is>
      </c>
      <c r="H976" t="inlineStr">
        <is>
          <t>14², 28²</t>
        </is>
      </c>
      <c r="I976" t="n">
        <v>4</v>
      </c>
      <c r="J976" t="inlineStr">
        <is>
          <t>2³, 6⁶</t>
        </is>
      </c>
      <c r="K976">
        <f>HYPERLINK("CSG2.html#group14A2", "14A²"), =HYPERLINK("CSG2.html#group28C2", "28C²"), =HYPERLINK("CSG3.html#group28B3", "28B³")</f>
        <v/>
      </c>
      <c r="L976">
        <f>HYPERLINK("CSG11.html#group28C11", "28C¹¹"), =HYPERLINK("CSG11.html#group28D11", "28D¹¹"), =HYPERLINK("CSG11.html#group56A11", "56A¹¹"), =HYPERLINK("CSG11.html#group56C11", "56C¹¹"), =HYPERLINK("CSG13.html#group28E13", "28E¹³"), =HYPERLINK("CSG13.html#group56B13", "56B¹³"), =HYPERLINK("CSG17.html#group84D17", "84D¹⁷"), =HYPERLINK("CSG17.html#group84E17", "84E¹⁷"), =HYPERLINK("CSG21.html#group28E21", "28E²¹")</f>
        <v/>
      </c>
      <c r="M976">
        <f>HYPERLINK("CSG2.html#group28C2", "28C²"), =HYPERLINK("CSG2.html#group14A2", "14A²"), =HYPERLINK("CSG1.html#group14B1", "14B¹"), =HYPERLINK("CSG0.html#group7C0", "7C⁰"), =HYPERLINK("CSG0.html#group4C0", "4C⁰"), =HYPERLINK("CSG0.html#group2B0", "2B⁰"), =HYPERLINK("CSG3.html#group28B3", "28B³"), =HYPERLINK("CSG0.html#group1A0", "1A⁰"), =HYPERLINK("CSG0.html#group7A0", "7A⁰")</f>
        <v/>
      </c>
      <c r="N976">
        <f>HYPERLINK("CSG21.html#group28E21", "28E²¹"), =HYPERLINK("CSG11.html#group56A11", "56A¹¹"), =HYPERLINK("CSG11.html#group56C11", "56C¹¹"), =HYPERLINK("CSG13.html#group56B13", "56B¹³"), =HYPERLINK("CSG17.html#group84E17", "84E¹⁷"), =HYPERLINK("CSG23.html#group56F23", "56F²³"), =HYPERLINK("CSG23.html#group56D23", "56D²³"), =HYPERLINK("CSG11.html#group28C11", "28C¹¹"), =HYPERLINK("CSG13.html#group28E13", "28E¹³"), =HYPERLINK("CSG23.html#group56A23", "56A²³"), =HYPERLINK("CSG23.html#group56G23", "56G²³"), =HYPERLINK("CSG23.html#group112G23", "112G²³"), =HYPERLINK("CSG11.html#group28D11", "28D¹¹"), =HYPERLINK("CSG23.html#group56H23", "56H²³"), =HYPERLINK("CSG23.html#group28C23", "28C²³"), =HYPERLINK("CSG17.html#group84D17", "84D¹⁷"), =HYPERLINK("CSG23.html#group112A23", "112A²³")</f>
        <v/>
      </c>
    </row>
    <row r="977">
      <c r="A977" t="inlineStr">
        <is>
          <t>28C⁵</t>
        </is>
      </c>
      <c r="B977" t="inlineStr"/>
      <c r="C977" t="inlineStr">
        <is>
          <t>84</t>
        </is>
      </c>
      <c r="D977" t="inlineStr">
        <is>
          <t>2</t>
        </is>
      </c>
      <c r="E977" t="inlineStr">
        <is>
          <t>42</t>
        </is>
      </c>
      <c r="F977" t="inlineStr">
        <is>
          <t>6</t>
        </is>
      </c>
      <c r="G977" t="inlineStr">
        <is>
          <t>0</t>
        </is>
      </c>
      <c r="H977" t="inlineStr">
        <is>
          <t>28³</t>
        </is>
      </c>
      <c r="I977" t="n">
        <v>3</v>
      </c>
      <c r="J977" t="inlineStr">
        <is>
          <t>2², 4², 6⁴, 12⁴</t>
        </is>
      </c>
      <c r="K977">
        <f>HYPERLINK("CSG2.html#group28C2", "28C²")</f>
        <v/>
      </c>
      <c r="L977">
        <f>HYPERLINK("CSG10.html#group28A10", "28A¹⁰"), =HYPERLINK("CSG10.html#group56B10", "56B¹⁰"), =HYPERLINK("CSG11.html#group28D11", "28D¹¹"), =HYPERLINK("CSG11.html#group56D11", "56D¹¹"), =HYPERLINK("CSG12.html#group28C12", "28C¹²"), =HYPERLINK("CSG12.html#group56D12", "56D¹²"), =HYPERLINK("CSG13.html#group56E13", "56E¹³"), =HYPERLINK("CSG15.html#group28H15", "28H¹⁵"), =HYPERLINK("CSG16.html#group84A16", "84A¹⁶"), =HYPERLINK("CSG21.html#group28I21", "28I²¹")</f>
        <v/>
      </c>
      <c r="M977">
        <f>HYPERLINK("CSG2.html#group28C2", "28C²"), =HYPERLINK("CSG0.html#group4C0", "4C⁰"), =HYPERLINK("CSG0.html#group2B0", "2B⁰"), =HYPERLINK("CSG1.html#group14B1", "14B¹"), =HYPERLINK("CSG0.html#group1A0", "1A⁰"), =HYPERLINK("CSG0.html#group7A0", "7A⁰")</f>
        <v/>
      </c>
      <c r="N977">
        <f>HYPERLINK("CSG21.html#group56J21", "56J²¹"), =HYPERLINK("CSG10.html#group56B10", "56B¹⁰"), =HYPERLINK("CSG22.html#group56C22", "56C²²"), =HYPERLINK("CSG24.html#group112J24", "112J²⁴"), =HYPERLINK("CSG24.html#group56J24", "56J²⁴"), =HYPERLINK("CSG23.html#group56D23", "56D²³"), =HYPERLINK("CSG21.html#group112A21", "112A²¹"), =HYPERLINK("CSG22.html#group56G22", "56G²²"), =HYPERLINK("CSG24.html#group112N24", "112N²⁴"), =HYPERLINK("CSG23.html#group56G23", "56G²³"), =HYPERLINK("CSG10.html#group28A10", "28A¹⁰"), =HYPERLINK("CSG24.html#group112M24", "112M²⁴"), =HYPERLINK("CSG23.html#group112D23", "112D²³"), =HYPERLINK("CSG24.html#group56G24", "56G²⁴"), =HYPERLINK("CSG11.html#group28D11", "28D¹¹"), =HYPERLINK("CSG13.html#group56E13", "56E¹³"), =HYPERLINK("CSG15.html#group28H15", "28H¹⁵"), =HYPERLINK("CSG21.html#group28I21", "28I²¹"), =HYPERLINK("CSG24.html#group112I24", "112I²⁴"), =HYPERLINK("CSG12.html#group28C12", "28C¹²"), =HYPERLINK("CSG11.html#group56D11", "56D¹¹"), =HYPERLINK("CSG12.html#group56D12", "56D¹²"), =HYPERLINK("CSG23.html#group28C23", "28C²³"), =HYPERLINK("CSG16.html#group84A16", "84A¹⁶"), =HYPERLINK("CSG22.html#group56F22", "56F²²")</f>
        <v/>
      </c>
    </row>
    <row r="978">
      <c r="A978" t="inlineStr">
        <is>
          <t>28D⁵</t>
        </is>
      </c>
      <c r="B978" t="inlineStr"/>
      <c r="C978" t="inlineStr">
        <is>
          <t>84</t>
        </is>
      </c>
      <c r="D978" t="inlineStr">
        <is>
          <t>2</t>
        </is>
      </c>
      <c r="E978" t="inlineStr">
        <is>
          <t>42</t>
        </is>
      </c>
      <c r="F978" t="inlineStr">
        <is>
          <t>6</t>
        </is>
      </c>
      <c r="G978" t="inlineStr">
        <is>
          <t>0</t>
        </is>
      </c>
      <c r="H978" t="inlineStr">
        <is>
          <t>28³</t>
        </is>
      </c>
      <c r="I978" t="n">
        <v>3</v>
      </c>
      <c r="J978" t="inlineStr">
        <is>
          <t>2², 4², 6⁴, 12⁴</t>
        </is>
      </c>
      <c r="K978">
        <f>HYPERLINK("CSG0.html#group4F0", "4F⁰"), =HYPERLINK("CSG1.html#group28A1", "28A¹"), =HYPERLINK("CSG2.html#group28C2", "28C²")</f>
        <v/>
      </c>
      <c r="L978">
        <f>HYPERLINK("CSG10.html#group28A10", "28A¹⁰"), =HYPERLINK("CSG10.html#group56C10", "56C¹⁰"), =HYPERLINK("CSG11.html#group28D11", "28D¹¹"), =HYPERLINK("CSG11.html#group56E11", "56E¹¹"), =HYPERLINK("CSG11.html#group56F11", "56F¹¹"), =HYPERLINK("CSG11.html#group56G11", "56G¹¹"), =HYPERLINK("CSG12.html#group28B12", "28B¹²"), =HYPERLINK("CSG12.html#group56E12", "56E¹²"), =HYPERLINK("CSG12.html#group56J12", "56J¹²"), =HYPERLINK("CSG12.html#group56K12", "56K¹²"), =HYPERLINK("CSG13.html#group56F13", "56F¹³"), =HYPERLINK("CSG15.html#group28F15", "28F¹⁵"), =HYPERLINK("CSG16.html#group84B16", "84B¹⁶"), =HYPERLINK("CSG21.html#group28J21", "28J²¹")</f>
        <v/>
      </c>
      <c r="M978">
        <f>HYPERLINK("CSG2.html#group28C2", "28C²"), =HYPERLINK("CSG1.html#group14B1", "14B¹"), =HYPERLINK("CSG0.html#group4A0", "4A⁰"), =HYPERLINK("CSG0.html#group4C0", "4C⁰"), =HYPERLINK("CSG0.html#group2B0", "2B⁰"), =HYPERLINK("CSG0.html#group4F0", "4F⁰"), =HYPERLINK("CSG1.html#group28A1", "28A¹"), =HYPERLINK("CSG0.html#group1A0", "1A⁰"), =HYPERLINK("CSG0.html#group7A0", "7A⁰")</f>
        <v/>
      </c>
      <c r="N978">
        <f>HYPERLINK("CSG11.html#group56G11", "56G¹¹"), =HYPERLINK("CSG21.html#group112B21", "112B²¹"), =HYPERLINK("CSG12.html#group28B12", "28B¹²"), =HYPERLINK("CSG23.html#group56J23", "56J²³"), =HYPERLINK("CSG24.html#group112X24", "112X²⁴"), =HYPERLINK("CSG23.html#group112K23", "112K²³"), =HYPERLINK("CSG24.html#group56J24", "56J²⁴"), =HYPERLINK("CSG23.html#group56D23", "56D²³"), =HYPERLINK("CSG21.html#group28J21", "28J²¹"), =HYPERLINK("CSG23.html#group56G23", "56G²³"), =HYPERLINK("CSG10.html#group56C10", "56C¹⁰"), =HYPERLINK("CSG23.html#group56N23", "56N²³"), =HYPERLINK("CSG24.html#group112W24", "112W²⁴"), =HYPERLINK("CSG11.html#group56E11", "56E¹¹"), =HYPERLINK("CSG24.html#group112Z24", "112Z²⁴"), =HYPERLINK("CSG24.html#group56H24", "56H²⁴"), =HYPERLINK("CSG11.html#group56F11", "56F¹¹"), =HYPERLINK("CSG24.html#group56B24", "56B²⁴"), =HYPERLINK("CSG12.html#group56E12", "56E¹²"), =HYPERLINK("CSG13.html#group56F13", "56F¹³"), =HYPERLINK("CSG23.html#group112J23", "112J²³"), =HYPERLINK("CSG22.html#group56D22", "56D²²"), =HYPERLINK("CSG15.html#group28F15", "28F¹⁵"), =HYPERLINK("CSG23.html#group28C23", "28C²³"), =HYPERLINK("CSG24.html#group112K24", "112K²⁴"), =HYPERLINK("CSG24.html#group56I24", "56I²⁴"), =HYPERLINK("CSG21.html#group56J21", "56J²¹"), =HYPERLINK("CSG24.html#group112Y24", "112Y²⁴"), =HYPERLINK("CSG22.html#group56C22", "56C²²"), =HYPERLINK("CSG24.html#group112L24", "112L²⁴"), =HYPERLINK("CSG23.html#group112I23", "112I²³"), =HYPERLINK("CSG12.html#group56J12", "56J¹²"), =HYPERLINK("CSG23.html#group56I23", "56I²³"), =HYPERLINK("CSG24.html#group56A24", "56A²⁴"), =HYPERLINK("CSG16.html#group84B16", "84B¹⁶"), =HYPERLINK("CSG23.html#group112E23", "112E²³"), =HYPERLINK("CSG10.html#group28A10", "28A¹⁰"), =HYPERLINK("CSG11.html#group28D11", "28D¹¹"), =HYPERLINK("CSG23.html#group112H23", "112H²³"), =HYPERLINK("CSG22.html#group56E22", "56E²²"), =HYPERLINK("CSG23.html#group56M23", "56M²³"), =HYPERLINK("CSG12.html#group56K12", "56K¹²")</f>
        <v/>
      </c>
    </row>
    <row r="979">
      <c r="A979" t="inlineStr">
        <is>
          <t>28E⁵</t>
        </is>
      </c>
      <c r="B979" t="inlineStr"/>
      <c r="C979" t="inlineStr">
        <is>
          <t>96</t>
        </is>
      </c>
      <c r="D979" t="inlineStr">
        <is>
          <t>1</t>
        </is>
      </c>
      <c r="E979" t="inlineStr">
        <is>
          <t>24</t>
        </is>
      </c>
      <c r="F979" t="inlineStr">
        <is>
          <t>0</t>
        </is>
      </c>
      <c r="G979" t="inlineStr">
        <is>
          <t>0</t>
        </is>
      </c>
      <c r="H979" t="inlineStr">
        <is>
          <t>2², 4², 14², 28²</t>
        </is>
      </c>
      <c r="I979" t="n">
        <v>8</v>
      </c>
      <c r="J979" t="inlineStr">
        <is>
          <t>1⁶, 6³</t>
        </is>
      </c>
      <c r="K979">
        <f>HYPERLINK("CSG0.html#group4E0", "4E⁰"), =HYPERLINK("CSG2.html#group14E2", "14E²"), =HYPERLINK("CSG2.html#group28D2", "28D²"), =HYPERLINK("CSG3.html#group28C3", "28C³")</f>
        <v/>
      </c>
      <c r="L979">
        <f>HYPERLINK("CSG9.html#group28F9", "28F⁹"), =HYPERLINK("CSG11.html#group28E11", "28E¹¹"), =HYPERLINK("CSG11.html#group28F11", "28F¹¹"), =HYPERLINK("CSG11.html#group56L11", "56L¹¹"), =HYPERLINK("CSG11.html#group56M11", "56M¹¹"), =HYPERLINK("CSG11.html#group56Q11", "56Q¹¹"), =HYPERLINK("CSG11.html#group56R11", "56R¹¹"), =HYPERLINK("CSG13.html#group28F13", "28F¹³"), =HYPERLINK("CSG13.html#group56G13", "56G¹³"), =HYPERLINK("CSG13.html#group56H13", "56H¹³"), =HYPERLINK("CSG21.html#group84A21", "84A²¹"), =HYPERLINK("CSG21.html#group84G21", "84G²¹")</f>
        <v/>
      </c>
      <c r="M979">
        <f>HYPERLINK("CSG0.html#group2A0", "2A⁰"), =HYPERLINK("CSG0.html#group4B0", "4B⁰"), =HYPERLINK("CSG0.html#group7B0", "7B⁰"), =HYPERLINK("CSG2.html#group28D2", "28D²"), =HYPERLINK("CSG0.html#group4C0", "4C⁰"), =HYPERLINK("CSG1.html#group14C1", "14C¹"), =HYPERLINK("CSG0.html#group14B0", "14B⁰"), =HYPERLINK("CSG0.html#group2B0", "2B⁰"), =HYPERLINK("CSG0.html#group4E0", "4E⁰"), =HYPERLINK("CSG2.html#group14E2", "14E²"), =HYPERLINK("CSG3.html#group28C3", "28C³"), =HYPERLINK("CSG0.html#group1A0", "1A⁰"), =HYPERLINK("CSG0.html#group2C0", "2C⁰")</f>
        <v/>
      </c>
      <c r="N979">
        <f>HYPERLINK("CSG23.html#group112P23", "112P²³"), =HYPERLINK("CSG23.html#group112O23", "112O²³"), =HYPERLINK("CSG11.html#group28F11", "28F¹¹"), =HYPERLINK("CSG21.html#group84A21", "84A²¹"), =HYPERLINK("CSG23.html#group56O23", "56O²³"), =HYPERLINK("CSG11.html#group56L11", "56L¹¹"), =HYPERLINK("CSG23.html#group56P23", "56P²³"), =HYPERLINK("CSG23.html#group56W23", "56W²³"), =HYPERLINK("CSG21.html#group28M21", "28M²¹"), =HYPERLINK("CSG11.html#group56M11", "56M¹¹"), =HYPERLINK("CSG11.html#group56Q11", "56Q¹¹"), =HYPERLINK("CSG21.html#group56L21", "56L²¹"), =HYPERLINK("CSG11.html#group28E11", "28E¹¹"), =HYPERLINK("CSG9.html#group28F9", "28F⁹"), =HYPERLINK("CSG21.html#group56N21", "56N²¹"), =HYPERLINK("CSG13.html#group56G13", "56G¹³"), =HYPERLINK("CSG21.html#group84G21", "84G²¹"), =HYPERLINK("CSG13.html#group28F13", "28F¹³"), =HYPERLINK("CSG23.html#group56R23", "56R²³"), =HYPERLINK("CSG11.html#group56R11", "56R¹¹"), =HYPERLINK("CSG23.html#group56V23", "56V²³"), =HYPERLINK("CSG23.html#group56Q23", "56Q²³"), =HYPERLINK("CSG13.html#group56H13", "56H¹³")</f>
        <v/>
      </c>
    </row>
    <row r="980">
      <c r="A980" t="inlineStr">
        <is>
          <t>28F⁵</t>
        </is>
      </c>
      <c r="B980" t="inlineStr"/>
      <c r="C980" t="inlineStr">
        <is>
          <t>112</t>
        </is>
      </c>
      <c r="D980" t="inlineStr">
        <is>
          <t>1</t>
        </is>
      </c>
      <c r="E980" t="inlineStr">
        <is>
          <t>28</t>
        </is>
      </c>
      <c r="F980" t="inlineStr">
        <is>
          <t>8</t>
        </is>
      </c>
      <c r="G980" t="inlineStr">
        <is>
          <t>4</t>
        </is>
      </c>
      <c r="H980" t="inlineStr">
        <is>
          <t>28⁴</t>
        </is>
      </c>
      <c r="I980" t="n">
        <v>4</v>
      </c>
      <c r="J980" t="inlineStr">
        <is>
          <t>2¹, 6¹, 12⁴</t>
        </is>
      </c>
      <c r="K980">
        <f>HYPERLINK("CSG1.html#group14G1", "14G¹")</f>
        <v/>
      </c>
      <c r="L980">
        <f>HYPERLINK("CSG13.html#group28A13", "28A¹³"), =HYPERLINK("CSG19.html#group28A19", "28A¹⁹"), =HYPERLINK("CSG21.html#group28A21", "28A²¹"), =HYPERLINK("CSG21.html#group28G21", "28G²¹"), =HYPERLINK("CSG21.html#group84I21", "84I²¹")</f>
        <v/>
      </c>
      <c r="M980">
        <f>HYPERLINK("CSG0.html#group7F0", "7F⁰"), =HYPERLINK("CSG0.html#group14A0", "14A⁰"), =HYPERLINK("CSG1.html#group14G1", "14G¹"), =HYPERLINK("CSG0.html#group1A0", "1A⁰"), =HYPERLINK("CSG0.html#group7A0", "7A⁰")</f>
        <v/>
      </c>
      <c r="N980">
        <f>HYPERLINK("CSG21.html#group84I21", "84I²¹"), =HYPERLINK("CSG21.html#group28G21", "28G²¹"), =HYPERLINK("CSG13.html#group28A13", "28A¹³"), =HYPERLINK("CSG19.html#group28A19", "28A¹⁹"), =HYPERLINK("CSG21.html#group28A21", "28A²¹")</f>
        <v/>
      </c>
    </row>
    <row r="981">
      <c r="A981" t="inlineStr">
        <is>
          <t>28G⁵</t>
        </is>
      </c>
      <c r="B981" t="inlineStr"/>
      <c r="C981" t="inlineStr">
        <is>
          <t>112</t>
        </is>
      </c>
      <c r="D981" t="inlineStr">
        <is>
          <t>1</t>
        </is>
      </c>
      <c r="E981" t="inlineStr">
        <is>
          <t>28</t>
        </is>
      </c>
      <c r="F981" t="inlineStr">
        <is>
          <t>8</t>
        </is>
      </c>
      <c r="G981" t="inlineStr">
        <is>
          <t>4</t>
        </is>
      </c>
      <c r="H981" t="inlineStr">
        <is>
          <t>28⁴</t>
        </is>
      </c>
      <c r="I981" t="n">
        <v>4</v>
      </c>
      <c r="J981" t="inlineStr">
        <is>
          <t>2¹, 6¹, 12⁴</t>
        </is>
      </c>
      <c r="K981">
        <f>HYPERLINK("CSG1.html#group14G1", "14G¹")</f>
        <v/>
      </c>
      <c r="L981">
        <f>HYPERLINK("CSG13.html#group28A13", "28A¹³"), =HYPERLINK("CSG19.html#group28B19", "28B¹⁹"), =HYPERLINK("CSG21.html#group28A21", "28A²¹"), =HYPERLINK("CSG21.html#group28H21", "28H²¹"), =HYPERLINK("CSG21.html#group84J21", "84J²¹")</f>
        <v/>
      </c>
      <c r="M981">
        <f>HYPERLINK("CSG0.html#group7F0", "7F⁰"), =HYPERLINK("CSG0.html#group14A0", "14A⁰"), =HYPERLINK("CSG1.html#group14G1", "14G¹"), =HYPERLINK("CSG0.html#group1A0", "1A⁰"), =HYPERLINK("CSG0.html#group7A0", "7A⁰")</f>
        <v/>
      </c>
      <c r="N981">
        <f>HYPERLINK("CSG21.html#group84J21", "84J²¹"), =HYPERLINK("CSG19.html#group28B19", "28B¹⁹"), =HYPERLINK("CSG13.html#group28A13", "28A¹³"), =HYPERLINK("CSG21.html#group28H21", "28H²¹"), =HYPERLINK("CSG21.html#group28A21", "28A²¹")</f>
        <v/>
      </c>
    </row>
    <row r="982">
      <c r="A982" t="inlineStr">
        <is>
          <t>28H⁵</t>
        </is>
      </c>
      <c r="B982" t="inlineStr"/>
      <c r="C982" t="inlineStr">
        <is>
          <t>126</t>
        </is>
      </c>
      <c r="D982" t="inlineStr">
        <is>
          <t>1</t>
        </is>
      </c>
      <c r="E982" t="inlineStr">
        <is>
          <t>63</t>
        </is>
      </c>
      <c r="F982" t="inlineStr">
        <is>
          <t>8</t>
        </is>
      </c>
      <c r="G982" t="inlineStr">
        <is>
          <t>0</t>
        </is>
      </c>
      <c r="H982" t="inlineStr">
        <is>
          <t>7⁶, 28³</t>
        </is>
      </c>
      <c r="I982" t="n">
        <v>9</v>
      </c>
      <c r="J982" t="inlineStr">
        <is>
          <t>3³, 6⁹</t>
        </is>
      </c>
      <c r="K982">
        <f>HYPERLINK("CSG2.html#group14F2", "14F²")</f>
        <v/>
      </c>
      <c r="L982">
        <f>HYPERLINK("CSG11.html#group28I11", "28I¹¹"), =HYPERLINK("CSG12.html#group28D12", "28D¹²"), =HYPERLINK("CSG13.html#group28C13", "28C¹³"), =HYPERLINK("CSG14.html#group28B14", "28B¹⁴"), =HYPERLINK("CSG16.html#group28B16", "28B¹⁶"), =HYPERLINK("CSG22.html#group84M22", "84M²²")</f>
        <v/>
      </c>
      <c r="M982">
        <f>HYPERLINK("CSG2.html#group14F2", "14F²"), =HYPERLINK("CSG0.html#group2B0", "2B⁰"), =HYPERLINK("CSG0.html#group7D0", "7D⁰"), =HYPERLINK("CSG1.html#group14B1", "14B¹"), =HYPERLINK("CSG0.html#group1A0", "1A⁰"), =HYPERLINK("CSG0.html#group7A0", "7A⁰")</f>
        <v/>
      </c>
      <c r="N982">
        <f>HYPERLINK("CSG22.html#group84M22", "84M²²"), =HYPERLINK("CSG16.html#group28B16", "28B¹⁶"), =HYPERLINK("CSG12.html#group28D12", "28D¹²"), =HYPERLINK("CSG23.html#group28E23", "28E²³"), =HYPERLINK("CSG14.html#group28B14", "28B¹⁴"), =HYPERLINK("CSG13.html#group28C13", "28C¹³"), =HYPERLINK("CSG11.html#group28I11", "28I¹¹")</f>
        <v/>
      </c>
    </row>
    <row r="983">
      <c r="A983" t="inlineStr">
        <is>
          <t>28I⁵</t>
        </is>
      </c>
      <c r="B983" t="inlineStr"/>
      <c r="C983" t="inlineStr">
        <is>
          <t>128</t>
        </is>
      </c>
      <c r="D983" t="inlineStr">
        <is>
          <t>1</t>
        </is>
      </c>
      <c r="E983" t="inlineStr">
        <is>
          <t>32</t>
        </is>
      </c>
      <c r="F983" t="inlineStr">
        <is>
          <t>0</t>
        </is>
      </c>
      <c r="G983" t="inlineStr">
        <is>
          <t>8</t>
        </is>
      </c>
      <c r="H983" t="inlineStr">
        <is>
          <t>4⁴, 28⁴</t>
        </is>
      </c>
      <c r="I983" t="n">
        <v>8</v>
      </c>
      <c r="J983" t="inlineStr">
        <is>
          <t>2⁴, 12²</t>
        </is>
      </c>
      <c r="K983">
        <f>HYPERLINK("CSG0.html#group28A0", "28A⁰"), =HYPERLINK("CSG3.html#group28E3", "28E³")</f>
        <v/>
      </c>
      <c r="L983">
        <f>HYPERLINK("CSG13.html#group56N13", "56N¹³"), =HYPERLINK("CSG17.html#group28E17", "28E¹⁷"), =HYPERLINK("CSG21.html#group28M21", "28M²¹"), =HYPERLINK("CSG21.html#group28N21", "28N²¹")</f>
        <v/>
      </c>
      <c r="M983">
        <f>HYPERLINK("CSG0.html#group2A0", "2A⁰"), =HYPERLINK("CSG0.html#group28A0", "28A⁰"), =HYPERLINK("CSG0.html#group4A0", "4A⁰"), =HYPERLINK("CSG0.html#group4D0", "4D⁰"), =HYPERLINK("CSG0.html#group7B0", "7B⁰"), =HYPERLINK("CSG0.html#group14B0", "14B⁰"), =HYPERLINK("CSG3.html#group28E3", "28E³"), =HYPERLINK("CSG0.html#group1A0", "1A⁰"), =HYPERLINK("CSG2.html#group28A2", "28A²")</f>
        <v/>
      </c>
      <c r="N983">
        <f>HYPERLINK("CSG21.html#group28N21", "28N²¹"), =HYPERLINK("CSG21.html#group28M21", "28M²¹"), =HYPERLINK("CSG13.html#group56N13", "56N¹³"), =HYPERLINK("CSG17.html#group28E17", "28E¹⁷")</f>
        <v/>
      </c>
    </row>
    <row r="984">
      <c r="A984" t="inlineStr">
        <is>
          <t>30A⁵</t>
        </is>
      </c>
      <c r="B984" t="inlineStr"/>
      <c r="C984" t="inlineStr">
        <is>
          <t>60</t>
        </is>
      </c>
      <c r="D984" t="inlineStr">
        <is>
          <t>1</t>
        </is>
      </c>
      <c r="E984" t="inlineStr">
        <is>
          <t>10</t>
        </is>
      </c>
      <c r="F984" t="inlineStr">
        <is>
          <t>0</t>
        </is>
      </c>
      <c r="G984" t="inlineStr">
        <is>
          <t>0</t>
        </is>
      </c>
      <c r="H984" t="inlineStr">
        <is>
          <t>30²</t>
        </is>
      </c>
      <c r="I984" t="n">
        <v>2</v>
      </c>
      <c r="J984" t="inlineStr">
        <is>
          <t>2¹, 4²</t>
        </is>
      </c>
      <c r="K984">
        <f>HYPERLINK("CSG1.html#group6A1", "6A¹"), =HYPERLINK("CSG1.html#group10C1", "10C¹"), =HYPERLINK("CSG1.html#group15D1", "15D¹")</f>
        <v/>
      </c>
      <c r="L984">
        <f>HYPERLINK("CSG9.html#group30B9", "30B⁹"), =HYPERLINK("CSG9.html#group30D9", "30D⁹"), =HYPERLINK("CSG9.html#group30E9", "30E⁹"), =HYPERLINK("CSG13.html#group30A13", "30A¹³"), =HYPERLINK("CSG13.html#group30D13", "30D¹³"), =HYPERLINK("CSG15.html#group90E15", "90E¹⁵"), =HYPERLINK("CSG19.html#group60E19", "60E¹⁹")</f>
        <v/>
      </c>
      <c r="M984">
        <f>HYPERLINK("CSG0.html#group2A0", "2A⁰"), =HYPERLINK("CSG1.html#group15D1", "15D¹"), =HYPERLINK("CSG0.html#group5C0", "5C⁰"), =HYPERLINK("CSG1.html#group10C1", "10C¹"), =HYPERLINK("CSG1.html#group6A1", "6A¹"), =HYPERLINK("CSG0.html#group3A0", "3A⁰"), =HYPERLINK("CSG0.html#group1A0", "1A⁰")</f>
        <v/>
      </c>
      <c r="N984">
        <f>HYPERLINK("CSG9.html#group30E9", "30E⁹"), =HYPERLINK("CSG19.html#group60E19", "60E¹⁹"), =HYPERLINK("CSG13.html#group30A13", "30A¹³"), =HYPERLINK("CSG9.html#group30B9", "30B⁹"), =HYPERLINK("CSG17.html#group30B17", "30B¹⁷"), =HYPERLINK("CSG13.html#group30D13", "30D¹³"), =HYPERLINK("CSG9.html#group30D9", "30D⁹"), =HYPERLINK("CSG15.html#group90E15", "90E¹⁵"), =HYPERLINK("CSG19.html#group60B19", "60B¹⁹"), =HYPERLINK("CSG17.html#group30C17", "30C¹⁷"), =HYPERLINK("CSG17.html#group30E17", "30E¹⁷"), =HYPERLINK("CSG19.html#group60D19", "60D¹⁹")</f>
        <v/>
      </c>
    </row>
    <row r="985">
      <c r="A985" t="inlineStr">
        <is>
          <t>30B⁵</t>
        </is>
      </c>
      <c r="B985" t="inlineStr"/>
      <c r="C985" t="inlineStr">
        <is>
          <t>60</t>
        </is>
      </c>
      <c r="D985" t="inlineStr">
        <is>
          <t>1</t>
        </is>
      </c>
      <c r="E985" t="inlineStr">
        <is>
          <t>15</t>
        </is>
      </c>
      <c r="F985" t="inlineStr">
        <is>
          <t>0</t>
        </is>
      </c>
      <c r="G985" t="inlineStr">
        <is>
          <t>0</t>
        </is>
      </c>
      <c r="H985" t="inlineStr">
        <is>
          <t>30²</t>
        </is>
      </c>
      <c r="I985" t="n">
        <v>2</v>
      </c>
      <c r="J985" t="inlineStr">
        <is>
          <t>1¹, 2¹, 4¹, 8¹</t>
        </is>
      </c>
      <c r="K985">
        <f>HYPERLINK("CSG1.html#group6B1", "6B¹"), =HYPERLINK("CSG2.html#group15A2", "15A²"), =HYPERLINK("CSG2.html#group30A2", "30A²"), =HYPERLINK("CSG3.html#group30A3", "30A³")</f>
        <v/>
      </c>
      <c r="L985">
        <f>HYPERLINK("CSG9.html#group30A9", "30A⁹"), =HYPERLINK("CSG13.html#group30B13", "30B¹³"), =HYPERLINK("CSG13.html#group30C13", "30C¹³"), =HYPERLINK("CSG13.html#group30F13", "30F¹³"), =HYPERLINK("CSG14.html#group90C14", "90C¹⁴"), =HYPERLINK("CSG15.html#group90A15", "90A¹⁵"), =HYPERLINK("CSG15.html#group90B15", "90B¹⁵"), =HYPERLINK("CSG15.html#group90C15", "90C¹⁵"), =HYPERLINK("CSG15.html#group90D15", "90D¹⁵"), =HYPERLINK("CSG15.html#group90F15", "90F¹⁵"), =HYPERLINK("CSG17.html#group30E17", "30E¹⁷"), =HYPERLINK("CSG19.html#group60G19", "60G¹⁹")</f>
        <v/>
      </c>
      <c r="M985">
        <f>HYPERLINK("CSG0.html#group2A0", "2A⁰"), =HYPERLINK("CSG3.html#group30A3", "30A³"), =HYPERLINK("CSG0.html#group5A0", "5A⁰"), =HYPERLINK("CSG2.html#group30A2", "30A²"), =HYPERLINK("CSG0.html#group6B0", "6B⁰"), =HYPERLINK("CSG0.html#group10A0", "10A⁰"), =HYPERLINK("CSG2.html#group15A2", "15A²"), =HYPERLINK("CSG1.html#group6B1", "6B¹"), =HYPERLINK("CSG0.html#group3C0", "3C⁰"), =HYPERLINK("CSG1.html#group6A1", "6A¹"), =HYPERLINK("CSG0.html#group3A0", "3A⁰"), =HYPERLINK("CSG0.html#group1A0", "1A⁰"), =HYPERLINK("CSG1.html#group15A1", "15A¹")</f>
        <v/>
      </c>
      <c r="N985">
        <f>HYPERLINK("CSG13.html#group30B13", "30B¹³"), =HYPERLINK("CSG15.html#group90D15", "90D¹⁵"), =HYPERLINK("CSG15.html#group90C15", "90C¹⁵"), =HYPERLINK("CSG15.html#group90F15", "90F¹⁵"), =HYPERLINK("CSG14.html#group90C14", "90C¹⁴"), =HYPERLINK("CSG19.html#group60A19", "60A¹⁹"), =HYPERLINK("CSG15.html#group90B15", "90B¹⁵"), =HYPERLINK("CSG13.html#group30F13", "30F¹³"), =HYPERLINK("CSG15.html#group90A15", "90A¹⁵"), =HYPERLINK("CSG17.html#group30E17", "30E¹⁷"), =HYPERLINK("CSG9.html#group30A9", "30A⁹"), =HYPERLINK("CSG19.html#group60G19", "60G¹⁹"), =HYPERLINK("CSG13.html#group30C13", "30C¹³")</f>
        <v/>
      </c>
    </row>
    <row r="986">
      <c r="A986" t="inlineStr">
        <is>
          <t>30C⁵</t>
        </is>
      </c>
      <c r="B986" t="inlineStr"/>
      <c r="C986" t="inlineStr">
        <is>
          <t>72</t>
        </is>
      </c>
      <c r="D986" t="inlineStr">
        <is>
          <t>1</t>
        </is>
      </c>
      <c r="E986" t="inlineStr">
        <is>
          <t>6</t>
        </is>
      </c>
      <c r="F986" t="inlineStr">
        <is>
          <t>0</t>
        </is>
      </c>
      <c r="G986" t="inlineStr">
        <is>
          <t>0</t>
        </is>
      </c>
      <c r="H986" t="inlineStr">
        <is>
          <t>6², 30²</t>
        </is>
      </c>
      <c r="I986" t="n">
        <v>4</v>
      </c>
      <c r="J986" t="inlineStr">
        <is>
          <t>1², 4¹</t>
        </is>
      </c>
      <c r="K986">
        <f>HYPERLINK("CSG0.html#group30A0", "30A⁰"), =HYPERLINK("CSG1.html#group10D1", "10D¹"), =HYPERLINK("CSG2.html#group15B2", "15B²"), =HYPERLINK("CSG3.html#group30B3", "30B³")</f>
        <v/>
      </c>
      <c r="L986">
        <f>HYPERLINK("CSG9.html#group30K9", "30K⁹"), =HYPERLINK("CSG11.html#group60A11", "60A¹¹"), =HYPERLINK("CSG11.html#group60C11", "60C¹¹"), =HYPERLINK("CSG13.html#group30H13", "30H¹³"), =HYPERLINK("CSG17.html#group90D17", "90D¹⁷"), =HYPERLINK("CSG21.html#group60F21", "60F²¹")</f>
        <v/>
      </c>
      <c r="M986">
        <f>HYPERLINK("CSG0.html#group30A0", "30A⁰"), =HYPERLINK("CSG0.html#group2A0", "2A⁰"), =HYPERLINK("CSG0.html#group15B0", "15B⁰"), =HYPERLINK("CSG2.html#group15B2", "15B²"), =HYPERLINK("CSG0.html#group5B0", "5B⁰"), =HYPERLINK("CSG0.html#group5D0", "5D⁰"), =HYPERLINK("CSG1.html#group10A1", "10A¹"), =HYPERLINK("CSG1.html#group6A1", "6A¹"), =HYPERLINK("CSG0.html#group3A0", "3A⁰"), =HYPERLINK("CSG1.html#group10D1", "10D¹"), =HYPERLINK("CSG0.html#group1A0", "1A⁰"), =HYPERLINK("CSG3.html#group30B3", "30B³"), =HYPERLINK("CSG0.html#group10B0", "10B⁰")</f>
        <v/>
      </c>
      <c r="N986">
        <f>HYPERLINK("CSG11.html#group60C11", "60C¹¹"), =HYPERLINK("CSG11.html#group60A11", "60A¹¹"), =HYPERLINK("CSG13.html#group30H13", "30H¹³"), =HYPERLINK("CSG17.html#group30H17", "30H¹⁷"), =HYPERLINK("CSG9.html#group30K9", "30K⁹"), =HYPERLINK("CSG21.html#group60F21", "60F²¹"), =HYPERLINK("CSG21.html#group60D21", "60D²¹"), =HYPERLINK("CSG21.html#group60C21", "60C²¹"), =HYPERLINK("CSG17.html#group90D17", "90D¹⁷")</f>
        <v/>
      </c>
    </row>
    <row r="987">
      <c r="A987" t="inlineStr">
        <is>
          <t>30D⁵</t>
        </is>
      </c>
      <c r="B987" t="inlineStr"/>
      <c r="C987" t="inlineStr">
        <is>
          <t>72</t>
        </is>
      </c>
      <c r="D987" t="inlineStr">
        <is>
          <t>1</t>
        </is>
      </c>
      <c r="E987" t="inlineStr">
        <is>
          <t>12</t>
        </is>
      </c>
      <c r="F987" t="inlineStr">
        <is>
          <t>0</t>
        </is>
      </c>
      <c r="G987" t="inlineStr">
        <is>
          <t>0</t>
        </is>
      </c>
      <c r="H987" t="inlineStr">
        <is>
          <t>6², 30²</t>
        </is>
      </c>
      <c r="I987" t="n">
        <v>4</v>
      </c>
      <c r="J987" t="inlineStr">
        <is>
          <t>2², 8¹</t>
        </is>
      </c>
      <c r="K987">
        <f>HYPERLINK("CSG1.html#group10D1", "10D¹"), =HYPERLINK("CSG3.html#group30C3", "30C³")</f>
        <v/>
      </c>
      <c r="L987">
        <f>HYPERLINK("CSG11.html#group60B11", "60B¹¹"), =HYPERLINK("CSG13.html#group30H13", "30H¹³"), =HYPERLINK("CSG17.html#group30J17", "30J¹⁷"), =HYPERLINK("CSG21.html#group60H21", "60H²¹"), =HYPERLINK("CSG21.html#group60P21", "60P²¹")</f>
        <v/>
      </c>
      <c r="M987">
        <f>HYPERLINK("CSG0.html#group2A0", "2A⁰"), =HYPERLINK("CSG0.html#group6A0", "6A⁰"), =HYPERLINK("CSG3.html#group30C3", "30C³"), =HYPERLINK("CSG0.html#group5B0", "5B⁰"), =HYPERLINK("CSG0.html#group5D0", "5D⁰"), =HYPERLINK("CSG1.html#group10A1", "10A¹"), =HYPERLINK("CSG1.html#group10D1", "10D¹"), =HYPERLINK("CSG0.html#group1A0", "1A⁰"), =HYPERLINK("CSG0.html#group10B0", "10B⁰")</f>
        <v/>
      </c>
      <c r="N987">
        <f>HYPERLINK("CSG11.html#group60B11", "60B¹¹"), =HYPERLINK("CSG21.html#group60P21", "60P²¹"), =HYPERLINK("CSG13.html#group30H13", "30H¹³"), =HYPERLINK("CSG17.html#group30J17", "30J¹⁷"), =HYPERLINK("CSG21.html#group60H21", "60H²¹")</f>
        <v/>
      </c>
    </row>
    <row r="988">
      <c r="A988" t="inlineStr">
        <is>
          <t>30E⁵</t>
        </is>
      </c>
      <c r="B988" t="inlineStr"/>
      <c r="C988" t="inlineStr">
        <is>
          <t>72</t>
        </is>
      </c>
      <c r="D988" t="inlineStr">
        <is>
          <t>1</t>
        </is>
      </c>
      <c r="E988" t="inlineStr">
        <is>
          <t>18</t>
        </is>
      </c>
      <c r="F988" t="inlineStr">
        <is>
          <t>0</t>
        </is>
      </c>
      <c r="G988" t="inlineStr">
        <is>
          <t>0</t>
        </is>
      </c>
      <c r="H988" t="inlineStr">
        <is>
          <t>6², 30²</t>
        </is>
      </c>
      <c r="I988" t="n">
        <v>4</v>
      </c>
      <c r="J988" t="inlineStr">
        <is>
          <t>1², 2², 4¹, 8¹</t>
        </is>
      </c>
      <c r="K988">
        <f>HYPERLINK("CSG1.html#group15E1", "15E¹"), =HYPERLINK("CSG2.html#group30C2", "30C²")</f>
        <v/>
      </c>
      <c r="L988">
        <f>HYPERLINK("CSG9.html#group30G9", "30G⁹"), =HYPERLINK("CSG9.html#group30I9", "30I⁹"), =HYPERLINK("CSG9.html#group30J9", "30J⁹"), =HYPERLINK("CSG13.html#group30K13", "30K¹³"), =HYPERLINK("CSG15.html#group90I15", "90I¹⁵"), =HYPERLINK("CSG17.html#group90A17", "90A¹⁷"), =HYPERLINK("CSG17.html#group90I17", "90I¹⁷"), =HYPERLINK("CSG21.html#group60K21", "60K²¹")</f>
        <v/>
      </c>
      <c r="M988">
        <f>HYPERLINK("CSG0.html#group5B0", "5B⁰"), =HYPERLINK("CSG0.html#group3C0", "3C⁰"), =HYPERLINK("CSG0.html#group15B0", "15B⁰"), =HYPERLINK("CSG0.html#group3A0", "3A⁰"), =HYPERLINK("CSG0.html#group1A0", "1A⁰"), =HYPERLINK("CSG1.html#group15E1", "15E¹"), =HYPERLINK("CSG2.html#group30C2", "30C²")</f>
        <v/>
      </c>
      <c r="N988">
        <f>HYPERLINK("CSG21.html#group60G21", "60G²¹"), =HYPERLINK("CSG15.html#group90I15", "90I¹⁵"), =HYPERLINK("CSG17.html#group90I17", "90I¹⁷"), =HYPERLINK("CSG9.html#group30J9", "30J⁹"), =HYPERLINK("CSG17.html#group30H17", "30H¹⁷"), =HYPERLINK("CSG21.html#group60K21", "60K²¹"), =HYPERLINK("CSG9.html#group30I9", "30I⁹"), =HYPERLINK("CSG13.html#group30K13", "30K¹³"), =HYPERLINK("CSG17.html#group90A17", "90A¹⁷"), =HYPERLINK("CSG21.html#group60Q21", "60Q²¹"), =HYPERLINK("CSG9.html#group30G9", "30G⁹"), =HYPERLINK("CSG17.html#group30I17", "30I¹⁷")</f>
        <v/>
      </c>
    </row>
    <row r="989">
      <c r="A989" t="inlineStr">
        <is>
          <t>30F⁵</t>
        </is>
      </c>
      <c r="B989" t="inlineStr"/>
      <c r="C989" t="inlineStr">
        <is>
          <t>72</t>
        </is>
      </c>
      <c r="D989" t="inlineStr">
        <is>
          <t>1</t>
        </is>
      </c>
      <c r="E989" t="inlineStr">
        <is>
          <t>18</t>
        </is>
      </c>
      <c r="F989" t="inlineStr">
        <is>
          <t>0</t>
        </is>
      </c>
      <c r="G989" t="inlineStr">
        <is>
          <t>0</t>
        </is>
      </c>
      <c r="H989" t="inlineStr">
        <is>
          <t>6², 30²</t>
        </is>
      </c>
      <c r="I989" t="n">
        <v>4</v>
      </c>
      <c r="J989" t="inlineStr">
        <is>
          <t>1², 2², 4¹, 8¹</t>
        </is>
      </c>
      <c r="K989">
        <f>HYPERLINK("CSG0.html#group15C0", "15C⁰"), =HYPERLINK("CSG2.html#group30C2", "30C²"), =HYPERLINK("CSG3.html#group30B3", "30B³")</f>
        <v/>
      </c>
      <c r="L989">
        <f>HYPERLINK("CSG9.html#group30I9", "30I⁹"), =HYPERLINK("CSG9.html#group30K9", "30K⁹"), =HYPERLINK("CSG13.html#group30I13", "30I¹³"), =HYPERLINK("CSG17.html#group90E17", "90E¹⁷"), =HYPERLINK("CSG17.html#group90H17", "90H¹⁷"), =HYPERLINK("CSG21.html#group60M21", "60M²¹")</f>
        <v/>
      </c>
      <c r="M989">
        <f>HYPERLINK("CSG0.html#group2A0", "2A⁰"), =HYPERLINK("CSG0.html#group15B0", "15B⁰"), =HYPERLINK("CSG0.html#group5B0", "5B⁰"), =HYPERLINK("CSG1.html#group10A1", "10A¹"), =HYPERLINK("CSG0.html#group15C0", "15C⁰"), =HYPERLINK("CSG1.html#group6A1", "6A¹"), =HYPERLINK("CSG0.html#group3A0", "3A⁰"), =HYPERLINK("CSG0.html#group1A0", "1A⁰"), =HYPERLINK("CSG3.html#group30B3", "30B³"), =HYPERLINK("CSG2.html#group30C2", "30C²")</f>
        <v/>
      </c>
      <c r="N989">
        <f>HYPERLINK("CSG17.html#group30H17", "30H¹⁷"), =HYPERLINK("CSG9.html#group30K9", "30K⁹"), =HYPERLINK("CSG9.html#group30I9", "30I⁹"), =HYPERLINK("CSG17.html#group90E17", "90E¹⁷"), =HYPERLINK("CSG21.html#group60M21", "60M²¹"), =HYPERLINK("CSG17.html#group30I17", "30I¹⁷"), =HYPERLINK("CSG21.html#group60D21", "60D²¹"), =HYPERLINK("CSG13.html#group30I13", "30I¹³"), =HYPERLINK("CSG21.html#group60C21", "60C²¹"), =HYPERLINK("CSG17.html#group90H17", "90H¹⁷")</f>
        <v/>
      </c>
    </row>
    <row r="990">
      <c r="A990" t="inlineStr">
        <is>
          <t>30G⁵</t>
        </is>
      </c>
      <c r="B990" t="inlineStr"/>
      <c r="C990" t="inlineStr">
        <is>
          <t>72</t>
        </is>
      </c>
      <c r="D990" t="inlineStr">
        <is>
          <t>1</t>
        </is>
      </c>
      <c r="E990" t="inlineStr">
        <is>
          <t>18</t>
        </is>
      </c>
      <c r="F990" t="inlineStr">
        <is>
          <t>0</t>
        </is>
      </c>
      <c r="G990" t="inlineStr">
        <is>
          <t>0</t>
        </is>
      </c>
      <c r="H990" t="inlineStr">
        <is>
          <t>6², 30²</t>
        </is>
      </c>
      <c r="I990" t="n">
        <v>4</v>
      </c>
      <c r="J990" t="inlineStr">
        <is>
          <t>1², 2², 4¹, 8¹</t>
        </is>
      </c>
      <c r="K990">
        <f>HYPERLINK("CSG1.html#group30C1", "30C¹"), =HYPERLINK("CSG2.html#group15B2", "15B²"), =HYPERLINK("CSG2.html#group30C2", "30C²")</f>
        <v/>
      </c>
      <c r="L990">
        <f>HYPERLINK("CSG9.html#group30J9", "30J⁹"), =HYPERLINK("CSG9.html#group30K9", "30K⁹"), =HYPERLINK("CSG13.html#group30L13", "30L¹³"), =HYPERLINK("CSG17.html#group90F17", "90F¹⁷"), =HYPERLINK("CSG17.html#group90G17", "90G¹⁷"), =HYPERLINK("CSG17.html#group90J17", "90J¹⁷"), =HYPERLINK("CSG21.html#group60N21", "60N²¹")</f>
        <v/>
      </c>
      <c r="M990">
        <f>HYPERLINK("CSG0.html#group15B0", "15B⁰"), =HYPERLINK("CSG0.html#group6B0", "6B⁰"), =HYPERLINK("CSG2.html#group15B2", "15B²"), =HYPERLINK("CSG0.html#group5B0", "5B⁰"), =HYPERLINK("CSG0.html#group5D0", "5D⁰"), =HYPERLINK("CSG0.html#group3A0", "3A⁰"), =HYPERLINK("CSG0.html#group1A0", "1A⁰"), =HYPERLINK("CSG1.html#group30C1", "30C¹"), =HYPERLINK("CSG2.html#group30C2", "30C²")</f>
        <v/>
      </c>
      <c r="N990">
        <f>HYPERLINK("CSG21.html#group60G21", "60G²¹"), =HYPERLINK("CSG17.html#group90G17", "90G¹⁷"), =HYPERLINK("CSG21.html#group60N21", "60N²¹"), =HYPERLINK("CSG9.html#group30J9", "30J⁹"), =HYPERLINK("CSG17.html#group90F17", "90F¹⁷"), =HYPERLINK("CSG17.html#group30H17", "30H¹⁷"), =HYPERLINK("CSG9.html#group30K9", "30K⁹"), =HYPERLINK("CSG17.html#group90J17", "90J¹⁷"), =HYPERLINK("CSG13.html#group30L13", "30L¹³"), =HYPERLINK("CSG21.html#group60D21", "60D²¹"), =HYPERLINK("CSG21.html#group60C21", "60C²¹")</f>
        <v/>
      </c>
    </row>
    <row r="991">
      <c r="A991" t="inlineStr">
        <is>
          <t>30H⁵</t>
        </is>
      </c>
      <c r="B991" t="inlineStr"/>
      <c r="C991" t="inlineStr">
        <is>
          <t>72</t>
        </is>
      </c>
      <c r="D991" t="inlineStr">
        <is>
          <t>1</t>
        </is>
      </c>
      <c r="E991" t="inlineStr">
        <is>
          <t>18</t>
        </is>
      </c>
      <c r="F991" t="inlineStr">
        <is>
          <t>0</t>
        </is>
      </c>
      <c r="G991" t="inlineStr">
        <is>
          <t>0</t>
        </is>
      </c>
      <c r="H991" t="inlineStr">
        <is>
          <t>6², 30²</t>
        </is>
      </c>
      <c r="I991" t="n">
        <v>4</v>
      </c>
      <c r="J991" t="inlineStr">
        <is>
          <t>1², 2², 4¹, 8¹</t>
        </is>
      </c>
      <c r="K991">
        <f>HYPERLINK("CSG1.html#group6B1", "6B¹"), =HYPERLINK("CSG1.html#group15E1", "15E¹"), =HYPERLINK("CSG1.html#group30C1", "30C¹"), =HYPERLINK("CSG3.html#group30B3", "30B³")</f>
        <v/>
      </c>
      <c r="L991">
        <f>HYPERLINK("CSG9.html#group30H9", "30H⁹"), =HYPERLINK("CSG9.html#group30I9", "30I⁹"), =HYPERLINK("CSG9.html#group30K9", "30K⁹"), =HYPERLINK("CSG13.html#group30J13", "30J¹³"), =HYPERLINK("CSG15.html#group90J15", "90J¹⁵"), =HYPERLINK("CSG17.html#group90B17", "90B¹⁷"), =HYPERLINK("CSG17.html#group90C17", "90C¹⁷"), =HYPERLINK("CSG17.html#group90K17", "90K¹⁷"), =HYPERLINK("CSG21.html#group60O21", "60O²¹")</f>
        <v/>
      </c>
      <c r="M991">
        <f>HYPERLINK("CSG0.html#group2A0", "2A⁰"), =HYPERLINK("CSG0.html#group15B0", "15B⁰"), =HYPERLINK("CSG0.html#group6B0", "6B⁰"), =HYPERLINK("CSG1.html#group6B1", "6B¹"), =HYPERLINK("CSG1.html#group15E1", "15E¹"), =HYPERLINK("CSG0.html#group5B0", "5B⁰"), =HYPERLINK("CSG0.html#group3C0", "3C⁰"), =HYPERLINK("CSG1.html#group10A1", "10A¹"), =HYPERLINK("CSG1.html#group6A1", "6A¹"), =HYPERLINK("CSG0.html#group3A0", "3A⁰"), =HYPERLINK("CSG0.html#group1A0", "1A⁰"), =HYPERLINK("CSG3.html#group30B3", "30B³"), =HYPERLINK("CSG1.html#group30C1", "30C¹")</f>
        <v/>
      </c>
      <c r="N991">
        <f>HYPERLINK("CSG15.html#group90J15", "90J¹⁵"), =HYPERLINK("CSG21.html#group60B21", "60B²¹"), =HYPERLINK("CSG17.html#group90B17", "90B¹⁷"), =HYPERLINK("CSG17.html#group90K17", "90K¹⁷"), =HYPERLINK("CSG17.html#group30H17", "30H¹⁷"), =HYPERLINK("CSG9.html#group30K9", "30K⁹"), =HYPERLINK("CSG9.html#group30I9", "30I⁹"), =HYPERLINK("CSG17.html#group90C17", "90C¹⁷"), =HYPERLINK("CSG21.html#group60A21", "60A²¹"), =HYPERLINK("CSG9.html#group30H9", "30H⁹"), =HYPERLINK("CSG21.html#group60C21", "60C²¹"), =HYPERLINK("CSG17.html#group30I17", "30I¹⁷"), =HYPERLINK("CSG13.html#group30J13", "30J¹³"), =HYPERLINK("CSG21.html#group60D21", "60D²¹"), =HYPERLINK("CSG21.html#group60O21", "60O²¹")</f>
        <v/>
      </c>
    </row>
    <row r="992">
      <c r="A992" t="inlineStr">
        <is>
          <t>30I⁵</t>
        </is>
      </c>
      <c r="B992" t="inlineStr"/>
      <c r="C992" t="inlineStr">
        <is>
          <t>80</t>
        </is>
      </c>
      <c r="D992" t="inlineStr">
        <is>
          <t>1</t>
        </is>
      </c>
      <c r="E992" t="inlineStr">
        <is>
          <t>40</t>
        </is>
      </c>
      <c r="F992" t="inlineStr">
        <is>
          <t>0</t>
        </is>
      </c>
      <c r="G992" t="inlineStr">
        <is>
          <t>2</t>
        </is>
      </c>
      <c r="H992" t="inlineStr">
        <is>
          <t>10², 30²</t>
        </is>
      </c>
      <c r="I992" t="n">
        <v>4</v>
      </c>
      <c r="J992" t="inlineStr">
        <is>
          <t>2², 4⁵, 8²</t>
        </is>
      </c>
      <c r="K992">
        <f>HYPERLINK("CSG0.html#group10D0", "10D⁰"), =HYPERLINK("CSG2.html#group15C2", "15C²")</f>
        <v/>
      </c>
      <c r="L992">
        <f>HYPERLINK("CSG9.html#group30N9", "30N⁹"), =HYPERLINK("CSG11.html#group60K11", "60K¹¹"), =HYPERLINK("CSG14.html#group30A14", "30A¹⁴"), =HYPERLINK("CSG15.html#group30B15", "30B¹⁵"), =HYPERLINK("CSG15.html#group30E15", "30E¹⁵"), =HYPERLINK("CSG17.html#group30A17", "30A¹⁷"), =HYPERLINK("CSG17.html#group90L17", "90L¹⁷"), =HYPERLINK("CSG17.html#group90N17", "90N¹⁷"), =HYPERLINK("CSG19.html#group90A19", "90A¹⁹"), =HYPERLINK("CSG23.html#group60A23", "60A²³")</f>
        <v/>
      </c>
      <c r="M992">
        <f>HYPERLINK("CSG0.html#group3B0", "3B⁰"), =HYPERLINK("CSG0.html#group1A0", "1A⁰"), =HYPERLINK("CSG2.html#group15C2", "15C²"), =HYPERLINK("CSG0.html#group5C0", "5C⁰"), =HYPERLINK("CSG0.html#group10D0", "10D⁰")</f>
        <v/>
      </c>
      <c r="N992">
        <f>HYPERLINK("CSG17.html#group90L17", "90L¹⁷"), =HYPERLINK("CSG17.html#group30K17", "30K¹⁷"), =HYPERLINK("CSG11.html#group60K11", "60K¹¹"), =HYPERLINK("CSG15.html#group30B15", "30B¹⁵"), =HYPERLINK("CSG23.html#group60A23", "60A²³"), =HYPERLINK("CSG21.html#group60R21", "60R²¹"), =HYPERLINK("CSG14.html#group30A14", "30A¹⁴"), =HYPERLINK("CSG17.html#group90N17", "90N¹⁷"), =HYPERLINK("CSG19.html#group90A19", "90A¹⁹"), =HYPERLINK("CSG15.html#group30E15", "30E¹⁵"), =HYPERLINK("CSG17.html#group30A17", "30A¹⁷"), =HYPERLINK("CSG9.html#group30N9", "30N⁹"), =HYPERLINK("CSG21.html#group60S21", "60S²¹")</f>
        <v/>
      </c>
    </row>
    <row r="993">
      <c r="A993" t="inlineStr">
        <is>
          <t>30J⁵</t>
        </is>
      </c>
      <c r="B993" t="inlineStr"/>
      <c r="C993" t="inlineStr">
        <is>
          <t>80</t>
        </is>
      </c>
      <c r="D993" t="inlineStr">
        <is>
          <t>1</t>
        </is>
      </c>
      <c r="E993" t="inlineStr">
        <is>
          <t>40</t>
        </is>
      </c>
      <c r="F993" t="inlineStr">
        <is>
          <t>0</t>
        </is>
      </c>
      <c r="G993" t="inlineStr">
        <is>
          <t>2</t>
        </is>
      </c>
      <c r="H993" t="inlineStr">
        <is>
          <t>10², 30²</t>
        </is>
      </c>
      <c r="I993" t="n">
        <v>4</v>
      </c>
      <c r="J993" t="inlineStr">
        <is>
          <t>2², 4⁵, 8²</t>
        </is>
      </c>
      <c r="K993">
        <f>HYPERLINK("CSG0.html#group6C0", "6C⁰"), =HYPERLINK("CSG1.html#group10C1", "10C¹"), =HYPERLINK("CSG2.html#group15C2", "15C²")</f>
        <v/>
      </c>
      <c r="L993">
        <f>HYPERLINK("CSG9.html#group30N9", "30N⁹"), =HYPERLINK("CSG11.html#group60H11", "60H¹¹"), =HYPERLINK("CSG11.html#group60I11", "60I¹¹"), =HYPERLINK("CSG15.html#group30A15", "30A¹⁵"), =HYPERLINK("CSG15.html#group30C15", "30C¹⁵"), =HYPERLINK("CSG16.html#group30A16", "30A¹⁶"), =HYPERLINK("CSG16.html#group90A16", "90A¹⁶"), =HYPERLINK("CSG17.html#group30B17", "30B¹⁷"), =HYPERLINK("CSG17.html#group90M17", "90M¹⁷"), =HYPERLINK("CSG17.html#group90O17", "90O¹⁷"), =HYPERLINK("CSG18.html#group90A18", "90A¹⁸"), =HYPERLINK("CSG19.html#group90B19", "90B¹⁹"), =HYPERLINK("CSG19.html#group90C19", "90C¹⁹"), =HYPERLINK("CSG23.html#group60B23", "60B²³")</f>
        <v/>
      </c>
      <c r="M993">
        <f>HYPERLINK("CSG0.html#group2A0", "2A⁰"), =HYPERLINK("CSG0.html#group3B0", "3B⁰"), =HYPERLINK("CSG0.html#group5C0", "5C⁰"), =HYPERLINK("CSG0.html#group6C0", "6C⁰"), =HYPERLINK("CSG1.html#group10C1", "10C¹"), =HYPERLINK("CSG2.html#group15C2", "15C²"), =HYPERLINK("CSG0.html#group1A0", "1A⁰")</f>
        <v/>
      </c>
      <c r="N993">
        <f>HYPERLINK("CSG15.html#group30A15", "30A¹⁵"), =HYPERLINK("CSG23.html#group60B23", "60B²³"), =HYPERLINK("CSG17.html#group30K17", "30K¹⁷"), =HYPERLINK("CSG17.html#group90O17", "90O¹⁷"), =HYPERLINK("CSG16.html#group30A16", "30A¹⁶"), =HYPERLINK("CSG17.html#group30B17", "30B¹⁷"), =HYPERLINK("CSG19.html#group90B19", "90B¹⁹"), =HYPERLINK("CSG11.html#group60I11", "60I¹¹"), =HYPERLINK("CSG21.html#group60R21", "60R²¹"), =HYPERLINK("CSG18.html#group90A18", "90A¹⁸"), =HYPERLINK("CSG19.html#group90C19", "90C¹⁹"), =HYPERLINK("CSG11.html#group60H11", "60H¹¹"), =HYPERLINK("CSG17.html#group90M17", "90M¹⁷"), =HYPERLINK("CSG15.html#group30C15", "30C¹⁵"), =HYPERLINK("CSG16.html#group90A16", "90A¹⁶"), =HYPERLINK("CSG9.html#group30N9", "30N⁹"), =HYPERLINK("CSG21.html#group60S21", "60S²¹")</f>
        <v/>
      </c>
    </row>
    <row r="994">
      <c r="A994" t="inlineStr">
        <is>
          <t>30K⁵</t>
        </is>
      </c>
      <c r="B994" t="inlineStr"/>
      <c r="C994" t="inlineStr">
        <is>
          <t>90</t>
        </is>
      </c>
      <c r="D994" t="inlineStr">
        <is>
          <t>1</t>
        </is>
      </c>
      <c r="E994" t="inlineStr">
        <is>
          <t>30</t>
        </is>
      </c>
      <c r="F994" t="inlineStr">
        <is>
          <t>6</t>
        </is>
      </c>
      <c r="G994" t="inlineStr">
        <is>
          <t>0</t>
        </is>
      </c>
      <c r="H994" t="inlineStr">
        <is>
          <t>15², 30²</t>
        </is>
      </c>
      <c r="I994" t="n">
        <v>4</v>
      </c>
      <c r="J994" t="inlineStr">
        <is>
          <t>2³, 4⁶</t>
        </is>
      </c>
      <c r="K994">
        <f>HYPERLINK("CSG0.html#group6D0", "6D⁰"), =HYPERLINK("CSG1.html#group10F1", "10F¹"), =HYPERLINK("CSG1.html#group15D1", "15D¹")</f>
        <v/>
      </c>
      <c r="L994">
        <f>HYPERLINK("CSG10.html#group30C10", "30C¹⁰"), =HYPERLINK("CSG10.html#group30H10", "30H¹⁰"), =HYPERLINK("CSG10.html#group60C10", "60C¹⁰"), =HYPERLINK("CSG11.html#group30C11", "30C¹¹"), =HYPERLINK("CSG11.html#group30D11", "30D¹¹"), =HYPERLINK("CSG11.html#group60L11", "60L¹¹"), =HYPERLINK("CSG11.html#group60M11", "60M¹¹"), =HYPERLINK("CSG12.html#group30B12", "30B¹²"), =HYPERLINK("CSG12.html#group30G12", "30G¹²"), =HYPERLINK("CSG12.html#group60D12", "60D¹²"), =HYPERLINK("CSG12.html#group60E12", "60E¹²"), =HYPERLINK("CSG13.html#group30A13", "30A¹³"), =HYPERLINK("CSG13.html#group60A13", "60A¹³"), =HYPERLINK("CSG13.html#group60E13", "60E¹³"), =HYPERLINK("CSG14.html#group60B14", "60B¹⁴"), =HYPERLINK("CSG16.html#group30C16", "30C¹⁶"), =HYPERLINK("CSG19.html#group90H19", "90H¹⁹")</f>
        <v/>
      </c>
      <c r="M994">
        <f>HYPERLINK("CSG1.html#group15D1", "15D¹"), =HYPERLINK("CSG0.html#group5C0", "5C⁰"), =HYPERLINK("CSG0.html#group2B0", "2B⁰"), =HYPERLINK("CSG0.html#group3A0", "3A⁰"), =HYPERLINK("CSG0.html#group1A0", "1A⁰"), =HYPERLINK("CSG0.html#group6D0", "6D⁰"), =HYPERLINK("CSG1.html#group10F1", "10F¹")</f>
        <v/>
      </c>
      <c r="N994">
        <f>HYPERLINK("CSG16.html#group30C16", "30C¹⁶"), =HYPERLINK("CSG23.html#group60E23", "60E²³"), =HYPERLINK("CSG13.html#group60A13", "60A¹³"), =HYPERLINK("CSG11.html#group60M11", "60M¹¹"), =HYPERLINK("CSG13.html#group60E13", "60E¹³"), =HYPERLINK("CSG23.html#group30G23", "30G²³"), =HYPERLINK("CSG10.html#group30C10", "30C¹⁰"), =HYPERLINK("CSG23.html#group120M23", "120M²³"), =HYPERLINK("CSG23.html#group60L23", "60L²³"), =HYPERLINK("CSG23.html#group30K23", "30K²³"), =HYPERLINK("CSG23.html#group120O23", "120O²³"), =HYPERLINK("CSG23.html#group60I23", "60I²³"), =HYPERLINK("CSG23.html#group30A23", "30A²³"), =HYPERLINK("CSG23.html#group60M23", "60M²³"), =HYPERLINK("CSG23.html#group120P23", "120P²³"), =HYPERLINK("CSG23.html#group60K23", "60K²³"), =HYPERLINK("CSG23.html#group120N23", "120N²³"), =HYPERLINK("CSG19.html#group90H19", "90H¹⁹"), =HYPERLINK("CSG11.html#group30D11", "30D¹¹"), =HYPERLINK("CSG13.html#group30A13", "30A¹³"), =HYPERLINK("CSG10.html#group30H10", "30H¹⁰"), =HYPERLINK("CSG23.html#group60D23", "60D²³"), =HYPERLINK("CSG12.html#group30B12", "30B¹²"), =HYPERLINK("CSG23.html#group30F23", "30F²³"), =HYPERLINK("CSG21.html#group30D21", "30D²¹"), =HYPERLINK("CSG23.html#group60H23", "60H²³"), =HYPERLINK("CSG12.html#group60D12", "60D¹²"), =HYPERLINK("CSG23.html#group30H23", "30H²³"), =HYPERLINK("CSG11.html#group30C11", "30C¹¹"), =HYPERLINK("CSG12.html#group60E12", "60E¹²"), =HYPERLINK("CSG11.html#group60L11", "60L¹¹"), =HYPERLINK("CSG23.html#group60G23", "60G²³"), =HYPERLINK("CSG21.html#group60V21", "60V²¹"), =HYPERLINK("CSG12.html#group30G12", "30G¹²"), =HYPERLINK("CSG10.html#group60C10", "60C¹⁰"), =HYPERLINK("CSG21.html#group30C21", "30C²¹"), =HYPERLINK("CSG23.html#group60F23", "60F²³"), =HYPERLINK("CSG14.html#group60B14", "60B¹⁴"), =HYPERLINK("CSG21.html#group60U21", "60U²¹")</f>
        <v/>
      </c>
    </row>
    <row r="995">
      <c r="A995" t="inlineStr">
        <is>
          <t>30L⁵</t>
        </is>
      </c>
      <c r="B995" t="inlineStr"/>
      <c r="C995" t="inlineStr">
        <is>
          <t>90</t>
        </is>
      </c>
      <c r="D995" t="inlineStr">
        <is>
          <t>1</t>
        </is>
      </c>
      <c r="E995" t="inlineStr">
        <is>
          <t>45</t>
        </is>
      </c>
      <c r="F995" t="inlineStr">
        <is>
          <t>8</t>
        </is>
      </c>
      <c r="G995" t="inlineStr">
        <is>
          <t>0</t>
        </is>
      </c>
      <c r="H995" t="inlineStr">
        <is>
          <t>30³</t>
        </is>
      </c>
      <c r="I995" t="n">
        <v>3</v>
      </c>
      <c r="J995" t="inlineStr">
        <is>
          <t>1¹, 2², 4⁴, 8³</t>
        </is>
      </c>
      <c r="K995">
        <f>HYPERLINK("CSG1.html#group15F1", "15F¹")</f>
        <v/>
      </c>
      <c r="L995">
        <f>HYPERLINK("CSG10.html#group30D10", "30D¹⁰"), =HYPERLINK("CSG10.html#group30E10", "30E¹⁰"), =HYPERLINK("CSG10.html#group30I10", "30I¹⁰"), =HYPERLINK("CSG11.html#group30A11", "30A¹¹"), =HYPERLINK("CSG11.html#group30B11", "30B¹¹"), =HYPERLINK("CSG11.html#group30E11", "30E¹¹"), =HYPERLINK("CSG12.html#group30C12", "30C¹²"), =HYPERLINK("CSG12.html#group30D12", "30D¹²"), =HYPERLINK("CSG13.html#group30G13", "30G¹³"), =HYPERLINK("CSG17.html#group30F17", "30F¹⁷"), =HYPERLINK("CSG18.html#group90C18", "90C¹⁸"), =HYPERLINK("CSG19.html#group90I19", "90I¹⁹"), =HYPERLINK("CSG24.html#group60A24", "60A²⁴")</f>
        <v/>
      </c>
      <c r="M995">
        <f>HYPERLINK("CSG1.html#group15F1", "15F¹"), =HYPERLINK("CSG0.html#group5E0", "5E⁰"), =HYPERLINK("CSG0.html#group5A0", "5A⁰"), =HYPERLINK("CSG0.html#group3A0", "3A⁰"), =HYPERLINK("CSG0.html#group1A0", "1A⁰"), =HYPERLINK("CSG1.html#group15A1", "15A¹"), =HYPERLINK("CSG0.html#group15A0", "15A⁰")</f>
        <v/>
      </c>
      <c r="N995">
        <f>HYPERLINK("CSG11.html#group30A11", "30A¹¹"), =HYPERLINK("CSG10.html#group30I10", "30I¹⁰"), =HYPERLINK("CSG21.html#group30B21", "30B²¹"), =HYPERLINK("CSG10.html#group30E10", "30E¹⁰"), =HYPERLINK("CSG17.html#group30F17", "30F¹⁷"), =HYPERLINK("CSG23.html#group30E23", "30E²³"), =HYPERLINK("CSG11.html#group30E11", "30E¹¹"), =HYPERLINK("CSG23.html#group30D23", "30D²³"), =HYPERLINK("CSG10.html#group30D10", "30D¹⁰"), =HYPERLINK("CSG18.html#group90C18", "90C¹⁸"), =HYPERLINK("CSG21.html#group30F21", "30F²¹"), =HYPERLINK("CSG24.html#group60A24", "60A²⁴"), =HYPERLINK("CSG19.html#group90I19", "90I¹⁹"), =HYPERLINK("CSG13.html#group30G13", "30G¹³"), =HYPERLINK("CSG12.html#group30D12", "30D¹²"), =HYPERLINK("CSG12.html#group30C12", "30C¹²"), =HYPERLINK("CSG23.html#group30C23", "30C²³"), =HYPERLINK("CSG23.html#group30J23", "30J²³"), =HYPERLINK("CSG23.html#group30B23", "30B²³"), =HYPERLINK("CSG21.html#group30A21", "30A²¹"), =HYPERLINK("CSG11.html#group30B11", "30B¹¹")</f>
        <v/>
      </c>
    </row>
    <row r="996">
      <c r="A996" t="inlineStr">
        <is>
          <t>30M⁵</t>
        </is>
      </c>
      <c r="B996" t="inlineStr"/>
      <c r="C996" t="inlineStr">
        <is>
          <t>96</t>
        </is>
      </c>
      <c r="D996" t="inlineStr">
        <is>
          <t>1</t>
        </is>
      </c>
      <c r="E996" t="inlineStr">
        <is>
          <t>24</t>
        </is>
      </c>
      <c r="F996" t="inlineStr">
        <is>
          <t>0</t>
        </is>
      </c>
      <c r="G996" t="inlineStr">
        <is>
          <t>0</t>
        </is>
      </c>
      <c r="H996" t="inlineStr">
        <is>
          <t>2², 6², 10², 30²</t>
        </is>
      </c>
      <c r="I996" t="n">
        <v>8</v>
      </c>
      <c r="J996" t="inlineStr">
        <is>
          <t>1⁴, 2², 4², 8¹</t>
        </is>
      </c>
      <c r="K996">
        <f>HYPERLINK("CSG1.html#group15G1", "15G¹")</f>
        <v/>
      </c>
      <c r="L996">
        <f>HYPERLINK("CSG9.html#group30P9", "30P⁹"), =HYPERLINK("CSG13.html#group30R13", "30R¹³"), =HYPERLINK("CSG17.html#group30G17", "30G¹⁷"), =HYPERLINK("CSG17.html#group90Q17", "90Q¹⁷"), =HYPERLINK("CSG21.html#group90C21", "90C²¹"), =HYPERLINK("CSG21.html#group90D21", "90D²¹")</f>
        <v/>
      </c>
      <c r="M996">
        <f>HYPERLINK("CSG0.html#group5B0", "5B⁰"), =HYPERLINK("CSG1.html#group15C1", "15C¹"), =HYPERLINK("CSG1.html#group15G1", "15G¹"), =HYPERLINK("CSG0.html#group5D0", "5D⁰"), =HYPERLINK("CSG0.html#group3B0", "3B⁰"), =HYPERLINK("CSG0.html#group1A0", "1A⁰")</f>
        <v/>
      </c>
      <c r="N996">
        <f>HYPERLINK("CSG13.html#group30R13", "30R¹³"), =HYPERLINK("CSG17.html#group90Q17", "90Q¹⁷"), =HYPERLINK("CSG17.html#group30G17", "30G¹⁷"), =HYPERLINK("CSG21.html#group90D21", "90D²¹"), =HYPERLINK("CSG21.html#group90C21", "90C²¹"), =HYPERLINK("CSG9.html#group30P9", "30P⁹")</f>
        <v/>
      </c>
    </row>
    <row r="997">
      <c r="A997" t="inlineStr">
        <is>
          <t>30N⁵</t>
        </is>
      </c>
      <c r="B997" t="inlineStr"/>
      <c r="C997" t="inlineStr">
        <is>
          <t>96</t>
        </is>
      </c>
      <c r="D997" t="inlineStr">
        <is>
          <t>1</t>
        </is>
      </c>
      <c r="E997" t="inlineStr">
        <is>
          <t>24</t>
        </is>
      </c>
      <c r="F997" t="inlineStr">
        <is>
          <t>0</t>
        </is>
      </c>
      <c r="G997" t="inlineStr">
        <is>
          <t>0</t>
        </is>
      </c>
      <c r="H997" t="inlineStr">
        <is>
          <t>2², 6², 10², 30²</t>
        </is>
      </c>
      <c r="I997" t="n">
        <v>8</v>
      </c>
      <c r="J997" t="inlineStr">
        <is>
          <t>1⁴, 2², 4², 8¹</t>
        </is>
      </c>
      <c r="K997">
        <f>HYPERLINK("CSG1.html#group10D1", "10D¹"), =HYPERLINK("CSG1.html#group15G1", "15G¹"), =HYPERLINK("CSG3.html#group30F3", "30F³"), =HYPERLINK("CSG3.html#group30G3", "30G³")</f>
        <v/>
      </c>
      <c r="L997">
        <f>HYPERLINK("CSG9.html#group30P9", "30P⁹"), =HYPERLINK("CSG13.html#group30P13", "30P¹³"), =HYPERLINK("CSG13.html#group60I13", "60I¹³"), =HYPERLINK("CSG13.html#group60J13", "60J¹³"), =HYPERLINK("CSG17.html#group30H17", "30H¹⁷"), =HYPERLINK("CSG17.html#group30J17", "30J¹⁷"), =HYPERLINK("CSG17.html#group90R17", "90R¹⁷"), =HYPERLINK("CSG17.html#group90S17", "90S¹⁷"), =HYPERLINK("CSG21.html#group90E21", "90E²¹"), =HYPERLINK("CSG21.html#group90F21", "90F²¹"), =HYPERLINK("CSG21.html#group90G21", "90G²¹"), =HYPERLINK("CSG21.html#group90H21", "90H²¹")</f>
        <v/>
      </c>
      <c r="M997">
        <f>HYPERLINK("CSG0.html#group2A0", "2A⁰"), =HYPERLINK("CSG1.html#group15C1", "15C¹"), =HYPERLINK("CSG0.html#group3B0", "3B⁰"), =HYPERLINK("CSG3.html#group30F3", "30F³"), =HYPERLINK("CSG0.html#group6C0", "6C⁰"), =HYPERLINK("CSG0.html#group5B0", "5B⁰"), =HYPERLINK("CSG1.html#group15G1", "15G¹"), =HYPERLINK("CSG0.html#group5D0", "5D⁰"), =HYPERLINK("CSG1.html#group10A1", "10A¹"), =HYPERLINK("CSG3.html#group30G3", "30G³"), =HYPERLINK("CSG1.html#group10D1", "10D¹"), =HYPERLINK("CSG0.html#group1A0", "1A⁰"), =HYPERLINK("CSG0.html#group10B0", "10B⁰")</f>
        <v/>
      </c>
      <c r="N997">
        <f>HYPERLINK("CSG21.html#group90E21", "90E²¹"), =HYPERLINK("CSG21.html#group90G21", "90G²¹"), =HYPERLINK("CSG17.html#group30H17", "30H¹⁷"), =HYPERLINK("CSG13.html#group30P13", "30P¹³"), =HYPERLINK("CSG17.html#group30J17", "30J¹⁷"), =HYPERLINK("CSG13.html#group60J13", "60J¹³"), =HYPERLINK("CSG17.html#group90R17", "90R¹⁷"), =HYPERLINK("CSG13.html#group60I13", "60I¹³"), =HYPERLINK("CSG17.html#group90S17", "90S¹⁷"), =HYPERLINK("CSG21.html#group90H21", "90H²¹"), =HYPERLINK("CSG9.html#group30P9", "30P⁹"), =HYPERLINK("CSG21.html#group90F21", "90F²¹")</f>
        <v/>
      </c>
    </row>
    <row r="998">
      <c r="A998" t="inlineStr">
        <is>
          <t>30O⁵</t>
        </is>
      </c>
      <c r="B998" t="inlineStr"/>
      <c r="C998" t="inlineStr">
        <is>
          <t>108</t>
        </is>
      </c>
      <c r="D998" t="inlineStr">
        <is>
          <t>1</t>
        </is>
      </c>
      <c r="E998" t="inlineStr">
        <is>
          <t>54</t>
        </is>
      </c>
      <c r="F998" t="inlineStr">
        <is>
          <t>4</t>
        </is>
      </c>
      <c r="G998" t="inlineStr">
        <is>
          <t>0</t>
        </is>
      </c>
      <c r="H998" t="inlineStr">
        <is>
          <t>3², 6², 15², 30²</t>
        </is>
      </c>
      <c r="I998" t="n">
        <v>8</v>
      </c>
      <c r="J998" t="inlineStr">
        <is>
          <t>1⁶, 2⁶, 4³, 8³</t>
        </is>
      </c>
      <c r="K998">
        <f>HYPERLINK("CSG0.html#group6G0", "6G⁰"), =HYPERLINK("CSG1.html#group15E1", "15E¹"), =HYPERLINK("CSG2.html#group30E2", "30E²")</f>
        <v/>
      </c>
      <c r="L998">
        <f>HYPERLINK("CSG9.html#group30Q9", "30Q⁹"), =HYPERLINK("CSG11.html#group30G11", "30G¹¹"), =HYPERLINK("CSG11.html#group30H11", "30H¹¹"), =HYPERLINK("CSG11.html#group30I11", "30I¹¹"), =HYPERLINK("CSG11.html#group30J11", "30J¹¹"), =HYPERLINK("CSG11.html#group60N11", "60N¹¹"), =HYPERLINK("CSG11.html#group60O11", "60O¹¹"), =HYPERLINK("CSG13.html#group30J13", "30J¹³"), =HYPERLINK("CSG13.html#group30K13", "30K¹³"), =HYPERLINK("CSG13.html#group60Q13", "60Q¹³"), =HYPERLINK("CSG13.html#group60T13", "60T¹³"), =HYPERLINK("CSG13.html#group60U13", "60U¹³"), =HYPERLINK("CSG13.html#group60Y13", "60Y¹³"), =HYPERLINK("CSG15.html#group60E15", "60E¹⁵"), =HYPERLINK("CSG15.html#group60G15", "60G¹⁵"), =HYPERLINK("CSG19.html#group90K19", "90K¹⁹"), =HYPERLINK("CSG21.html#group90I21", "90I²¹"), =HYPERLINK("CSG23.html#group90B23", "90B²³")</f>
        <v/>
      </c>
      <c r="M998">
        <f>HYPERLINK("CSG0.html#group15B0", "15B⁰"), =HYPERLINK("CSG2.html#group30E2", "30E²"), =HYPERLINK("CSG0.html#group5B0", "5B⁰"), =HYPERLINK("CSG0.html#group6G0", "6G⁰"), =HYPERLINK("CSG0.html#group3C0", "3C⁰"), =HYPERLINK("CSG0.html#group10C0", "10C⁰"), =HYPERLINK("CSG0.html#group2B0", "2B⁰"), =HYPERLINK("CSG0.html#group3A0", "3A⁰"), =HYPERLINK("CSG0.html#group1A0", "1A⁰"), =HYPERLINK("CSG0.html#group6D0", "6D⁰"), =HYPERLINK("CSG1.html#group15E1", "15E¹")</f>
        <v/>
      </c>
      <c r="N998">
        <f>HYPERLINK("CSG11.html#group30J11", "30J¹¹"), =HYPERLINK("CSG11.html#group30G11", "30G¹¹"), =HYPERLINK("CSG23.html#group30L23", "30L²³"), =HYPERLINK("CSG21.html#group30H21", "30H²¹"), =HYPERLINK("CSG11.html#group60N11", "60N¹¹"), =HYPERLINK("CSG19.html#group30C19", "30C¹⁹"), =HYPERLINK("CSG11.html#group60O11", "60O¹¹"), =HYPERLINK("CSG21.html#group90I21", "90I²¹"), =HYPERLINK("CSG21.html#group60W21", "60W²¹"), =HYPERLINK("CSG13.html#group30K13", "30K¹³"), =HYPERLINK("CSG23.html#group60Q23", "60Q²³"), =HYPERLINK("CSG11.html#group30H11", "30H¹¹"), =HYPERLINK("CSG15.html#group60G15", "60G¹⁵"), =HYPERLINK("CSG13.html#group60Y13", "60Y¹³"), =HYPERLINK("CSG11.html#group30I11", "30I¹¹"), =HYPERLINK("CSG9.html#group30Q9", "30Q⁹"), =HYPERLINK("CSG19.html#group90K19", "90K¹⁹"), =HYPERLINK("CSG13.html#group60Q13", "60Q¹³"), =HYPERLINK("CSG15.html#group60E15", "60E¹⁵"), =HYPERLINK("CSG21.html#group30G21", "30G²¹"), =HYPERLINK("CSG23.html#group90B23", "90B²³"), =HYPERLINK("CSG13.html#group60T13", "60T¹³"), =HYPERLINK("CSG13.html#group60U13", "60U¹³"), =HYPERLINK("CSG13.html#group30J13", "30J¹³")</f>
        <v/>
      </c>
    </row>
    <row r="999">
      <c r="A999" t="inlineStr">
        <is>
          <t>30P⁵</t>
        </is>
      </c>
      <c r="B999" t="inlineStr"/>
      <c r="C999" t="inlineStr">
        <is>
          <t>108</t>
        </is>
      </c>
      <c r="D999" t="inlineStr">
        <is>
          <t>1</t>
        </is>
      </c>
      <c r="E999" t="inlineStr">
        <is>
          <t>54</t>
        </is>
      </c>
      <c r="F999" t="inlineStr">
        <is>
          <t>8</t>
        </is>
      </c>
      <c r="G999" t="inlineStr">
        <is>
          <t>0</t>
        </is>
      </c>
      <c r="H999" t="inlineStr">
        <is>
          <t>6³, 30³</t>
        </is>
      </c>
      <c r="I999" t="n">
        <v>6</v>
      </c>
      <c r="J999" t="inlineStr">
        <is>
          <t>1⁶, 2⁶, 4³, 8³</t>
        </is>
      </c>
      <c r="K999">
        <f>HYPERLINK("CSG0.html#group6H0", "6H⁰"), =HYPERLINK("CSG1.html#group30C1", "30C¹"), =HYPERLINK("CSG2.html#group30E2", "30E²")</f>
        <v/>
      </c>
      <c r="L999">
        <f>HYPERLINK("CSG9.html#group30R9", "30R⁹"), =HYPERLINK("CSG11.html#group30I11", "30I¹¹"), =HYPERLINK("CSG11.html#group30K11", "30K¹¹"), =HYPERLINK("CSG11.html#group60R11", "60R¹¹"), =HYPERLINK("CSG11.html#group60S11", "60S¹¹"), =HYPERLINK("CSG13.html#group30J13", "30J¹³"), =HYPERLINK("CSG13.html#group30L13", "30L¹³"), =HYPERLINK("CSG13.html#group60AD13", "60AD¹³"), =HYPERLINK("CSG13.html#group60AF13", "60AF¹³"), =HYPERLINK("CSG15.html#group60H15", "60H¹⁵"), =HYPERLINK("CSG15.html#group60M15", "60M¹⁵"), =HYPERLINK("CSG21.html#group90K21", "90K²¹"), =HYPERLINK("CSG23.html#group90A23", "90A²³")</f>
        <v/>
      </c>
      <c r="M999">
        <f>HYPERLINK("CSG0.html#group15B0", "15B⁰"), =HYPERLINK("CSG0.html#group6B0", "6B⁰"), =HYPERLINK("CSG2.html#group30E2", "30E²"), =HYPERLINK("CSG0.html#group5B0", "5B⁰"), =HYPERLINK("CSG0.html#group10C0", "10C⁰"), =HYPERLINK("CSG0.html#group2B0", "2B⁰"), =HYPERLINK("CSG0.html#group6H0", "6H⁰"), =HYPERLINK("CSG0.html#group3A0", "3A⁰"), =HYPERLINK("CSG0.html#group1A0", "1A⁰"), =HYPERLINK("CSG0.html#group6D0", "6D⁰"), =HYPERLINK("CSG1.html#group30C1", "30C¹")</f>
        <v/>
      </c>
      <c r="N999">
        <f>HYPERLINK("CSG21.html#group60X21", "60X²¹"), =HYPERLINK("CSG21.html#group30H21", "30H²¹"), =HYPERLINK("CSG11.html#group60R11", "60R¹¹"), =HYPERLINK("CSG13.html#group60AD13", "60AD¹³"), =HYPERLINK("CSG9.html#group30R9", "30R⁹"), =HYPERLINK("CSG21.html#group90K21", "90K²¹"), =HYPERLINK("CSG23.html#group90A23", "90A²³"), =HYPERLINK("CSG15.html#group60H15", "60H¹⁵"), =HYPERLINK("CSG13.html#group30L13", "30L¹³"), =HYPERLINK("CSG23.html#group60O23", "60O²³"), =HYPERLINK("CSG23.html#group60P23", "60P²³"), =HYPERLINK("CSG11.html#group60S11", "60S¹¹"), =HYPERLINK("CSG15.html#group60M15", "60M¹⁵"), =HYPERLINK("CSG11.html#group30K11", "30K¹¹"), =HYPERLINK("CSG23.html#group60S23", "60S²³"), =HYPERLINK("CSG13.html#group60AF13", "60AF¹³"), =HYPERLINK("CSG11.html#group30I11", "30I¹¹"), =HYPERLINK("CSG13.html#group30J13", "30J¹³")</f>
        <v/>
      </c>
    </row>
    <row r="1000">
      <c r="A1000" t="inlineStr">
        <is>
          <t>30Q⁵</t>
        </is>
      </c>
      <c r="B1000" t="inlineStr"/>
      <c r="C1000" t="inlineStr">
        <is>
          <t>120</t>
        </is>
      </c>
      <c r="D1000" t="inlineStr">
        <is>
          <t>1</t>
        </is>
      </c>
      <c r="E1000" t="inlineStr">
        <is>
          <t>30</t>
        </is>
      </c>
      <c r="F1000" t="inlineStr">
        <is>
          <t>16</t>
        </is>
      </c>
      <c r="G1000" t="inlineStr">
        <is>
          <t>0</t>
        </is>
      </c>
      <c r="H1000" t="inlineStr">
        <is>
          <t>30⁴</t>
        </is>
      </c>
      <c r="I1000" t="n">
        <v>4</v>
      </c>
      <c r="J1000" t="inlineStr">
        <is>
          <t>2¹, 4³, 8²</t>
        </is>
      </c>
      <c r="K1000">
        <f>HYPERLINK("CSG2.html#group15D2", "15D²"), =HYPERLINK("CSG2.html#group30F2", "30F²"), =HYPERLINK("CSG3.html#group30H3", "30H³")</f>
        <v/>
      </c>
      <c r="L1000">
        <f>HYPERLINK("CSG13.html#group30M13", "30M¹³"), =HYPERLINK("CSG15.html#group60R15", "60R¹⁵"), =HYPERLINK("CSG15.html#group60S15", "60S¹⁵"), =HYPERLINK("CSG15.html#group60Z15", "60Z¹⁵"), =HYPERLINK("CSG17.html#group30E17", "30E¹⁷"), =HYPERLINK("CSG21.html#group30B21", "30B²¹"), =HYPERLINK("CSG21.html#group30D21", "30D²¹"), =HYPERLINK("CSG21.html#group30E21", "30E²¹"), =HYPERLINK("CSG21.html#group90M21", "90M²¹")</f>
        <v/>
      </c>
      <c r="M1000">
        <f>HYPERLINK("CSG1.html#group15D1", "15D¹"), =HYPERLINK("CSG0.html#group6B0", "6B⁰"), =HYPERLINK("CSG0.html#group3A0", "3A⁰"), =HYPERLINK("CSG0.html#group10D0", "10D⁰"), =HYPERLINK("CSG0.html#group5C0", "5C⁰"), =HYPERLINK("CSG2.html#group15D2", "15D²"), =HYPERLINK("CSG0.html#group1A0", "1A⁰"), =HYPERLINK("CSG3.html#group30H3", "30H³"), =HYPERLINK("CSG2.html#group30F2", "30F²")</f>
        <v/>
      </c>
      <c r="N1000">
        <f>HYPERLINK("CSG13.html#group30M13", "30M¹³"), =HYPERLINK("CSG21.html#group30E21", "30E²¹"), =HYPERLINK("CSG21.html#group30D21", "30D²¹"), =HYPERLINK("CSG15.html#group60R15", "60R¹⁵"), =HYPERLINK("CSG21.html#group30B21", "30B²¹"), =HYPERLINK("CSG15.html#group60S15", "60S¹⁵"), =HYPERLINK("CSG15.html#group60Z15", "60Z¹⁵"), =HYPERLINK("CSG21.html#group90M21", "90M²¹"), =HYPERLINK("CSG17.html#group30E17", "30E¹⁷")</f>
        <v/>
      </c>
    </row>
    <row r="1001">
      <c r="A1001" t="inlineStr">
        <is>
          <t>30R⁵</t>
        </is>
      </c>
      <c r="B1001" t="inlineStr"/>
      <c r="C1001" t="inlineStr">
        <is>
          <t>144</t>
        </is>
      </c>
      <c r="D1001" t="inlineStr">
        <is>
          <t>1</t>
        </is>
      </c>
      <c r="E1001" t="inlineStr">
        <is>
          <t>18</t>
        </is>
      </c>
      <c r="F1001" t="inlineStr">
        <is>
          <t>16</t>
        </is>
      </c>
      <c r="G1001" t="inlineStr">
        <is>
          <t>0</t>
        </is>
      </c>
      <c r="H1001" t="inlineStr">
        <is>
          <t>6⁴, 30⁴</t>
        </is>
      </c>
      <c r="I1001" t="n">
        <v>8</v>
      </c>
      <c r="J1001" t="inlineStr">
        <is>
          <t>1², 2², 4¹, 8¹</t>
        </is>
      </c>
      <c r="K1001">
        <f>HYPERLINK("CSG1.html#group15H1", "15H¹"), =HYPERLINK("CSG1.html#group30D1", "30D¹"), =HYPERLINK("CSG3.html#group30I3", "30I³"), =HYPERLINK("CSG3.html#group30J3", "30J³"), =HYPERLINK("CSG3.html#group30L3", "30L³")</f>
        <v/>
      </c>
      <c r="L1001">
        <f>HYPERLINK("CSG13.html#group30Q13", "30Q¹³"), =HYPERLINK("CSG17.html#group30H17", "30H¹⁷"), =HYPERLINK("CSG17.html#group60N17", "60N¹⁷"), =HYPERLINK("CSG17.html#group60X17", "60X¹⁷"), =HYPERLINK("CSG21.html#group30H21", "30H²¹"), =HYPERLINK("CSG21.html#group90N21", "90N²¹")</f>
        <v/>
      </c>
      <c r="M1001">
        <f>HYPERLINK("CSG0.html#group30A0", "30A⁰"), =HYPERLINK("CSG3.html#group30L3", "30L³"), =HYPERLINK("CSG0.html#group6B0", "6B⁰"), =HYPERLINK("CSG3.html#group30I3", "30I³"), =HYPERLINK("CSG3.html#group30J3", "30J³"), =HYPERLINK("CSG0.html#group5B0", "5B⁰"), =HYPERLINK("CSG1.html#group15H1", "15H¹"), =HYPERLINK("CSG0.html#group1A0", "1A⁰"), =HYPERLINK("CSG1.html#group30D1", "30D¹"), =HYPERLINK("CSG0.html#group10B0", "10B⁰"), =HYPERLINK("CSG0.html#group15B0", "15B⁰"), =HYPERLINK("CSG0.html#group6E0", "6E⁰"), =HYPERLINK("CSG1.html#group15E1", "15E¹"), =HYPERLINK("CSG0.html#group3C0", "3C⁰"), =HYPERLINK("CSG0.html#group15C0", "15C⁰"), =HYPERLINK("CSG0.html#group3A0", "3A⁰"), =HYPERLINK("CSG1.html#group30C1", "30C¹"), =HYPERLINK("CSG2.html#group30C2", "30C²")</f>
        <v/>
      </c>
      <c r="N1001">
        <f>HYPERLINK("CSG13.html#group30Q13", "30Q¹³"), =HYPERLINK("CSG21.html#group30H21", "30H²¹"), =HYPERLINK("CSG17.html#group60X17", "60X¹⁷"), =HYPERLINK("CSG17.html#group30H17", "30H¹⁷"), =HYPERLINK("CSG21.html#group90N21", "90N²¹"), =HYPERLINK("CSG17.html#group60N17", "60N¹⁷")</f>
        <v/>
      </c>
    </row>
    <row r="1002">
      <c r="A1002" t="inlineStr">
        <is>
          <t>30S⁵</t>
        </is>
      </c>
      <c r="B1002" t="inlineStr"/>
      <c r="C1002" t="inlineStr">
        <is>
          <t>144</t>
        </is>
      </c>
      <c r="D1002" t="inlineStr">
        <is>
          <t>1</t>
        </is>
      </c>
      <c r="E1002" t="inlineStr">
        <is>
          <t>72</t>
        </is>
      </c>
      <c r="F1002" t="inlineStr">
        <is>
          <t>0</t>
        </is>
      </c>
      <c r="G1002" t="inlineStr">
        <is>
          <t>0</t>
        </is>
      </c>
      <c r="H1002" t="inlineStr">
        <is>
          <t>1², 2², 3², 5², 6², 10², 15², 30²</t>
        </is>
      </c>
      <c r="I1002" t="n">
        <v>16</v>
      </c>
      <c r="J1002" t="inlineStr">
        <is>
          <t>1¹², 2⁶, 4⁶, 8³</t>
        </is>
      </c>
      <c r="K1002">
        <f>HYPERLINK("CSG0.html#group10F0", "10F⁰"), =HYPERLINK("CSG1.html#group15G1", "15G¹"), =HYPERLINK("CSG3.html#group30K3", "30K³")</f>
        <v/>
      </c>
      <c r="L1002">
        <f>HYPERLINK("CSG9.html#group30S9", "30S⁹"), =HYPERLINK("CSG13.html#group30P13", "30P¹³"), =HYPERLINK("CSG13.html#group30R13", "30R¹³"), =HYPERLINK("CSG13.html#group60AI13", "60AI¹³"), =HYPERLINK("CSG13.html#group60AJ13", "60AJ¹³"), =HYPERLINK("CSG17.html#group60O17", "60O¹⁷"), =HYPERLINK("CSG17.html#group60Q17", "60Q¹⁷"), =HYPERLINK("CSG21.html#group30G21", "30G²¹"), =HYPERLINK("CSG21.html#group90O21", "90O²¹")</f>
        <v/>
      </c>
      <c r="M1002">
        <f>HYPERLINK("CSG1.html#group15C1", "15C¹"), =HYPERLINK("CSG0.html#group3B0", "3B⁰"), =HYPERLINK("CSG0.html#group5B0", "5B⁰"), =HYPERLINK("CSG0.html#group10C0", "10C⁰"), =HYPERLINK("CSG1.html#group15G1", "15G¹"), =HYPERLINK("CSG0.html#group5D0", "5D⁰"), =HYPERLINK("CSG0.html#group2B0", "2B⁰"), =HYPERLINK("CSG3.html#group30K3", "30K³"), =HYPERLINK("CSG0.html#group6F0", "6F⁰"), =HYPERLINK("CSG0.html#group1A0", "1A⁰"), =HYPERLINK("CSG0.html#group10F0", "10F⁰")</f>
        <v/>
      </c>
      <c r="N1002">
        <f>HYPERLINK("CSG13.html#group30R13", "30R¹³"), =HYPERLINK("CSG9.html#group30S9", "30S⁹"), =HYPERLINK("CSG13.html#group60AI13", "60AI¹³"), =HYPERLINK("CSG13.html#group30P13", "30P¹³"), =HYPERLINK("CSG17.html#group60O17", "60O¹⁷"), =HYPERLINK("CSG17.html#group60Q17", "60Q¹⁷"), =HYPERLINK("CSG21.html#group30G21", "30G²¹"), =HYPERLINK("CSG13.html#group60AJ13", "60AJ¹³"), =HYPERLINK("CSG21.html#group90O21", "90O²¹")</f>
        <v/>
      </c>
    </row>
    <row r="1003">
      <c r="A1003" t="inlineStr">
        <is>
          <t>32A⁵</t>
        </is>
      </c>
      <c r="B1003" t="inlineStr"/>
      <c r="C1003" t="inlineStr">
        <is>
          <t>96</t>
        </is>
      </c>
      <c r="D1003" t="inlineStr">
        <is>
          <t>1</t>
        </is>
      </c>
      <c r="E1003" t="inlineStr">
        <is>
          <t>6</t>
        </is>
      </c>
      <c r="F1003" t="inlineStr">
        <is>
          <t>0</t>
        </is>
      </c>
      <c r="G1003" t="inlineStr">
        <is>
          <t>0</t>
        </is>
      </c>
      <c r="H1003" t="inlineStr">
        <is>
          <t>4⁴, 8², 32²</t>
        </is>
      </c>
      <c r="I1003" t="n">
        <v>8</v>
      </c>
      <c r="J1003" t="inlineStr">
        <is>
          <t>1⁴, 2¹</t>
        </is>
      </c>
      <c r="K1003">
        <f>HYPERLINK("CSG1.html#group16E1", "16E¹"), =HYPERLINK("CSG3.html#group32C3", "32C³")</f>
        <v/>
      </c>
      <c r="L1003">
        <f>HYPERLINK("CSG9.html#group32A9", "32A⁹"), =HYPERLINK("CSG9.html#group32D9", "32D⁹"), =HYPERLINK("CSG9.html#group32E9", "32E⁹"), =HYPERLINK("CSG13.html#group64C13", "64C¹³"), =HYPERLINK("CSG13.html#group64D13", "64D¹³"), =HYPERLINK("CSG21.html#group96A21", "96A²¹")</f>
        <v/>
      </c>
      <c r="M1003">
        <f>HYPERLINK("CSG0.html#group2A0", "2A⁰"), =HYPERLINK("CSG0.html#group8D0", "8D⁰"), =HYPERLINK("CSG1.html#group16E1", "16E¹"), =HYPERLINK("CSG0.html#group4C0", "4C⁰"), =HYPERLINK("CSG1.html#group16A1", "16A¹"), =HYPERLINK("CSG0.html#group8C0", "8C⁰"), =HYPERLINK("CSG0.html#group2B0", "2B⁰"), =HYPERLINK("CSG0.html#group4E0", "4E⁰"), =HYPERLINK("CSG0.html#group4B0", "4B⁰"), =HYPERLINK("CSG0.html#group1A0", "1A⁰"), =HYPERLINK("CSG3.html#group32C3", "32C³"), =HYPERLINK("CSG0.html#group8G0", "8G⁰"), =HYPERLINK("CSG0.html#group16C0", "16C⁰"), =HYPERLINK("CSG0.html#group2C0", "2C⁰")</f>
        <v/>
      </c>
      <c r="N1003">
        <f>HYPERLINK("CSG21.html#group32F21", "32F²¹"), =HYPERLINK("CSG13.html#group64D13", "64D¹³"), =HYPERLINK("CSG17.html#group32B17", "32B¹⁷"), =HYPERLINK("CSG21.html#group96A21", "96A²¹"), =HYPERLINK("CSG21.html#group64F21", "64F²¹"), =HYPERLINK("CSG9.html#group32A9", "32A⁹"), =HYPERLINK("CSG21.html#group32A21", "32A²¹"), =HYPERLINK("CSG9.html#group32D9", "32D⁹"), =HYPERLINK("CSG21.html#group64E21", "64E²¹"), =HYPERLINK("CSG21.html#group32H21", "32H²¹"), =HYPERLINK("CSG17.html#group32A17", "32A¹⁷"), =HYPERLINK("CSG9.html#group32E9", "32E⁹"), =HYPERLINK("CSG13.html#group64C13", "64C¹³")</f>
        <v/>
      </c>
    </row>
    <row r="1004">
      <c r="A1004" t="inlineStr">
        <is>
          <t>32B⁵</t>
        </is>
      </c>
      <c r="B1004" t="inlineStr"/>
      <c r="C1004" t="inlineStr">
        <is>
          <t>96</t>
        </is>
      </c>
      <c r="D1004" t="inlineStr">
        <is>
          <t>1</t>
        </is>
      </c>
      <c r="E1004" t="inlineStr">
        <is>
          <t>6</t>
        </is>
      </c>
      <c r="F1004" t="inlineStr">
        <is>
          <t>0</t>
        </is>
      </c>
      <c r="G1004" t="inlineStr">
        <is>
          <t>0</t>
        </is>
      </c>
      <c r="H1004" t="inlineStr">
        <is>
          <t>4⁴, 8², 32²</t>
        </is>
      </c>
      <c r="I1004" t="n">
        <v>8</v>
      </c>
      <c r="J1004" t="inlineStr">
        <is>
          <t>1⁴, 2¹</t>
        </is>
      </c>
      <c r="K1004">
        <f>HYPERLINK("CSG1.html#group16E1", "16E¹"), =HYPERLINK("CSG3.html#group32A3", "32A³"), =HYPERLINK("CSG3.html#group32B3", "32B³")</f>
        <v/>
      </c>
      <c r="L1004">
        <f>HYPERLINK("CSG9.html#group32B9", "32B⁹"), =HYPERLINK("CSG9.html#group32C9", "32C⁹"), =HYPERLINK("CSG9.html#group32E9", "32E⁹"), =HYPERLINK("CSG13.html#group64A13", "64A¹³"), =HYPERLINK("CSG13.html#group64B13", "64B¹³"), =HYPERLINK("CSG21.html#group96B21", "96B²¹")</f>
        <v/>
      </c>
      <c r="M1004">
        <f>HYPERLINK("CSG0.html#group2A0", "2A⁰"), =HYPERLINK("CSG0.html#group8G0", "8G⁰"), =HYPERLINK("CSG0.html#group8D0", "8D⁰"), =HYPERLINK("CSG1.html#group16E1", "16E¹"), =HYPERLINK("CSG0.html#group16C0", "16C⁰"), =HYPERLINK("CSG0.html#group4C0", "4C⁰"), =HYPERLINK("CSG3.html#group32A3", "32A³"), =HYPERLINK("CSG1.html#group16A1", "16A¹"), =HYPERLINK("CSG0.html#group8C0", "8C⁰"), =HYPERLINK("CSG0.html#group4E0", "4E⁰"), =HYPERLINK("CSG0.html#group2B0", "2B⁰"), =HYPERLINK("CSG0.html#group4B0", "4B⁰"), =HYPERLINK("CSG0.html#group1A0", "1A⁰"), =HYPERLINK("CSG0.html#group2C0", "2C⁰"), =HYPERLINK("CSG3.html#group32B3", "32B³")</f>
        <v/>
      </c>
      <c r="N1004">
        <f>HYPERLINK("CSG21.html#group32F21", "32F²¹"), =HYPERLINK("CSG21.html#group64B21", "64B²¹"), =HYPERLINK("CSG9.html#group32C9", "32C⁹"), =HYPERLINK("CSG13.html#group64A13", "64A¹³"), =HYPERLINK("CSG17.html#group32B17", "32B¹⁷"), =HYPERLINK("CSG21.html#group96B21", "96B²¹"), =HYPERLINK("CSG21.html#group32G21", "32G²¹"), =HYPERLINK("CSG21.html#group64A21", "64A²¹"), =HYPERLINK("CSG9.html#group32B9", "32B⁹"), =HYPERLINK("CSG21.html#group64D21", "64D²¹"), =HYPERLINK("CSG17.html#group32A17", "32A¹⁷"), =HYPERLINK("CSG21.html#group32B21", "32B²¹"), =HYPERLINK("CSG9.html#group32E9", "32E⁹"), =HYPERLINK("CSG13.html#group64B13", "64B¹³")</f>
        <v/>
      </c>
    </row>
    <row r="1005">
      <c r="A1005" t="inlineStr">
        <is>
          <t>32C⁵</t>
        </is>
      </c>
      <c r="B1005" t="inlineStr"/>
      <c r="C1005" t="inlineStr">
        <is>
          <t>96</t>
        </is>
      </c>
      <c r="D1005" t="inlineStr">
        <is>
          <t>1</t>
        </is>
      </c>
      <c r="E1005" t="inlineStr">
        <is>
          <t>12</t>
        </is>
      </c>
      <c r="F1005" t="inlineStr">
        <is>
          <t>0</t>
        </is>
      </c>
      <c r="G1005" t="inlineStr">
        <is>
          <t>0</t>
        </is>
      </c>
      <c r="H1005" t="inlineStr">
        <is>
          <t>4⁴, 8², 32²</t>
        </is>
      </c>
      <c r="I1005" t="n">
        <v>8</v>
      </c>
      <c r="J1005" t="inlineStr">
        <is>
          <t>1⁴, 2², 4¹</t>
        </is>
      </c>
      <c r="K1005">
        <f>HYPERLINK("CSG1.html#group16G1", "16G¹"), =HYPERLINK("CSG3.html#group32A3", "32A³"), =HYPERLINK("CSG3.html#group32C3", "32C³")</f>
        <v/>
      </c>
      <c r="L1005">
        <f>HYPERLINK("CSG9.html#group32E9", "32E⁹"), =HYPERLINK("CSG9.html#group32I9", "32I⁹"), =HYPERLINK("CSG13.html#group64F13", "64F¹³"), =HYPERLINK("CSG13.html#group64E13", "64E¹³"), =HYPERLINK("CSG13.html#group64I13", "64I¹³"), =HYPERLINK("CSG21.html#group96C21", "96C²¹")</f>
        <v/>
      </c>
      <c r="M1005">
        <f>HYPERLINK("CSG1.html#group16G1", "16G¹"), =HYPERLINK("CSG0.html#group16D0", "16D⁰"), =HYPERLINK("CSG3.html#group32A3", "32A³"), =HYPERLINK("CSG1.html#group16A1", "16A¹"), =HYPERLINK("CSG0.html#group8C0", "8C⁰"), =HYPERLINK("CSG0.html#group2B0", "2B⁰"), =HYPERLINK("CSG0.html#group8I0", "8I⁰"), =HYPERLINK("CSG0.html#group4B0", "4B⁰"), =HYPERLINK("CSG0.html#group1A0", "1A⁰"), =HYPERLINK("CSG3.html#group32C3", "32C³")</f>
        <v/>
      </c>
      <c r="N1005">
        <f>HYPERLINK("CSG17.html#group32B17", "32B¹⁷"), =HYPERLINK("CSG13.html#group64E13", "64E¹³"), =HYPERLINK("CSG21.html#group96C21", "96C²¹"), =HYPERLINK("CSG13.html#group64F13", "64F¹³"), =HYPERLINK("CSG21.html#group64N21", "64N²¹"), =HYPERLINK("CSG21.html#group32N21", "32N²¹"), =HYPERLINK("CSG17.html#group32A17", "32A¹⁷"), =HYPERLINK("CSG9.html#group32I9", "32I⁹"), =HYPERLINK("CSG13.html#group64I13", "64I¹³"), =HYPERLINK("CSG9.html#group32E9", "32E⁹")</f>
        <v/>
      </c>
    </row>
    <row r="1006">
      <c r="A1006" t="inlineStr">
        <is>
          <t>32D⁵</t>
        </is>
      </c>
      <c r="B1006" t="inlineStr"/>
      <c r="C1006" t="inlineStr">
        <is>
          <t>96</t>
        </is>
      </c>
      <c r="D1006" t="inlineStr">
        <is>
          <t>1</t>
        </is>
      </c>
      <c r="E1006" t="inlineStr">
        <is>
          <t>12</t>
        </is>
      </c>
      <c r="F1006" t="inlineStr">
        <is>
          <t>0</t>
        </is>
      </c>
      <c r="G1006" t="inlineStr">
        <is>
          <t>0</t>
        </is>
      </c>
      <c r="H1006" t="inlineStr">
        <is>
          <t>4⁴, 8², 32²</t>
        </is>
      </c>
      <c r="I1006" t="n">
        <v>8</v>
      </c>
      <c r="J1006" t="inlineStr">
        <is>
          <t>1⁴, 2², 4¹</t>
        </is>
      </c>
      <c r="K1006">
        <f>HYPERLINK("CSG1.html#group16G1", "16G¹"), =HYPERLINK("CSG3.html#group32B3", "32B³"), =HYPERLINK("CSG3.html#group32C3", "32C³")</f>
        <v/>
      </c>
      <c r="L1006">
        <f>HYPERLINK("CSG9.html#group32E9", "32E⁹"), =HYPERLINK("CSG9.html#group32J9", "32J⁹"), =HYPERLINK("CSG13.html#group64H13", "64H¹³"), =HYPERLINK("CSG13.html#group64G13", "64G¹³"), =HYPERLINK("CSG13.html#group64J13", "64J¹³"), =HYPERLINK("CSG21.html#group96D21", "96D²¹")</f>
        <v/>
      </c>
      <c r="M1006">
        <f>HYPERLINK("CSG1.html#group16G1", "16G¹"), =HYPERLINK("CSG0.html#group16D0", "16D⁰"), =HYPERLINK("CSG1.html#group16A1", "16A¹"), =HYPERLINK("CSG0.html#group8C0", "8C⁰"), =HYPERLINK("CSG0.html#group2B0", "2B⁰"), =HYPERLINK("CSG0.html#group8I0", "8I⁰"), =HYPERLINK("CSG0.html#group4B0", "4B⁰"), =HYPERLINK("CSG0.html#group1A0", "1A⁰"), =HYPERLINK("CSG3.html#group32C3", "32C³"), =HYPERLINK("CSG3.html#group32B3", "32B³")</f>
        <v/>
      </c>
      <c r="N1006">
        <f>HYPERLINK("CSG21.html#group32O21", "32O²¹"), =HYPERLINK("CSG21.html#group96D21", "96D²¹"), =HYPERLINK("CSG13.html#group64J13", "64J¹³"), =HYPERLINK("CSG17.html#group32B17", "32B¹⁷"), =HYPERLINK("CSG21.html#group64O21", "64O²¹"), =HYPERLINK("CSG9.html#group32J9", "32J⁹"), =HYPERLINK("CSG13.html#group64G13", "64G¹³"), =HYPERLINK("CSG17.html#group32A17", "32A¹⁷"), =HYPERLINK("CSG9.html#group32E9", "32E⁹"), =HYPERLINK("CSG13.html#group64H13", "64H¹³")</f>
        <v/>
      </c>
    </row>
    <row r="1007">
      <c r="A1007" t="inlineStr">
        <is>
          <t>32E⁵</t>
        </is>
      </c>
      <c r="B1007" t="inlineStr"/>
      <c r="C1007" t="inlineStr">
        <is>
          <t>96</t>
        </is>
      </c>
      <c r="D1007" t="inlineStr">
        <is>
          <t>1</t>
        </is>
      </c>
      <c r="E1007" t="inlineStr">
        <is>
          <t>12</t>
        </is>
      </c>
      <c r="F1007" t="inlineStr">
        <is>
          <t>8</t>
        </is>
      </c>
      <c r="G1007" t="inlineStr">
        <is>
          <t>0</t>
        </is>
      </c>
      <c r="H1007" t="inlineStr">
        <is>
          <t>16², 32²</t>
        </is>
      </c>
      <c r="I1007" t="n">
        <v>4</v>
      </c>
      <c r="J1007" t="inlineStr">
        <is>
          <t>2², 4²</t>
        </is>
      </c>
      <c r="K1007">
        <f>HYPERLINK("CSG1.html#group16F1", "16F¹")</f>
        <v/>
      </c>
      <c r="L1007">
        <f>HYPERLINK("CSG9.html#group32F9", "32F⁹"), =HYPERLINK("CSG11.html#group32F11", "32F¹¹"), =HYPERLINK("CSG11.html#group32G11", "32G¹¹"), =HYPERLINK("CSG13.html#group32A13", "32A¹³"), =HYPERLINK("CSG13.html#group32I13", "32I¹³"), =HYPERLINK("CSG17.html#group96B17", "96B¹⁷")</f>
        <v/>
      </c>
      <c r="M1007">
        <f>HYPERLINK("CSG0.html#group8H0", "8H⁰"), =HYPERLINK("CSG0.html#group16B0", "16B⁰"), =HYPERLINK("CSG0.html#group8D0", "8D⁰"), =HYPERLINK("CSG0.html#group4A0", "4A⁰"), =HYPERLINK("CSG0.html#group4C0", "4C⁰"), =HYPERLINK("CSG0.html#group8B0", "8B⁰"), =HYPERLINK("CSG1.html#group16B1", "16B¹"), =HYPERLINK("CSG0.html#group2B0", "2B⁰"), =HYPERLINK("CSG0.html#group4F0", "4F⁰"), =HYPERLINK("CSG1.html#group16F1", "16F¹"), =HYPERLINK("CSG0.html#group1A0", "1A⁰")</f>
        <v/>
      </c>
      <c r="N1007">
        <f>HYPERLINK("CSG23.html#group32H23", "32H²³"), =HYPERLINK("CSG23.html#group32C23", "32C²³"), =HYPERLINK("CSG13.html#group32I13", "32I¹³"), =HYPERLINK("CSG23.html#group32D23", "32D²³"), =HYPERLINK("CSG9.html#group32F9", "32F⁹"), =HYPERLINK("CSG17.html#group96B17", "96B¹⁷"), =HYPERLINK("CSG21.html#group64G21", "64G²¹"), =HYPERLINK("CSG21.html#group32M21", "32M²¹"), =HYPERLINK("CSG21.html#group32I21", "32I²¹"), =HYPERLINK("CSG11.html#group32G11", "32G¹¹"), =HYPERLINK("CSG13.html#group32A13", "32A¹³"), =HYPERLINK("CSG11.html#group32F11", "32F¹¹"), =HYPERLINK("CSG21.html#group32J21", "32J²¹")</f>
        <v/>
      </c>
    </row>
    <row r="1008">
      <c r="A1008" t="inlineStr">
        <is>
          <t>32F⁵</t>
        </is>
      </c>
      <c r="B1008" t="inlineStr"/>
      <c r="C1008" t="inlineStr">
        <is>
          <t>96</t>
        </is>
      </c>
      <c r="D1008" t="inlineStr">
        <is>
          <t>1</t>
        </is>
      </c>
      <c r="E1008" t="inlineStr">
        <is>
          <t>12</t>
        </is>
      </c>
      <c r="F1008" t="inlineStr">
        <is>
          <t>8</t>
        </is>
      </c>
      <c r="G1008" t="inlineStr">
        <is>
          <t>0</t>
        </is>
      </c>
      <c r="H1008" t="inlineStr">
        <is>
          <t>16², 32²</t>
        </is>
      </c>
      <c r="I1008" t="n">
        <v>4</v>
      </c>
      <c r="J1008" t="inlineStr">
        <is>
          <t>1², 2¹, 4²</t>
        </is>
      </c>
      <c r="K1008">
        <f>HYPERLINK("CSG1.html#group16F1", "16F¹")</f>
        <v/>
      </c>
      <c r="L1008">
        <f>HYPERLINK("CSG9.html#group32G9", "32G⁹"), =HYPERLINK("CSG11.html#group32G11", "32G¹¹"), =HYPERLINK("CSG11.html#group32E11", "32E¹¹"), =HYPERLINK("CSG13.html#group32A13", "32A¹³"), =HYPERLINK("CSG13.html#group32J13", "32J¹³"), =HYPERLINK("CSG17.html#group96C17", "96C¹⁷")</f>
        <v/>
      </c>
      <c r="M1008">
        <f>HYPERLINK("CSG0.html#group8H0", "8H⁰"), =HYPERLINK("CSG0.html#group16B0", "16B⁰"), =HYPERLINK("CSG0.html#group8D0", "8D⁰"), =HYPERLINK("CSG0.html#group4A0", "4A⁰"), =HYPERLINK("CSG0.html#group4C0", "4C⁰"), =HYPERLINK("CSG0.html#group8B0", "8B⁰"), =HYPERLINK("CSG1.html#group16B1", "16B¹"), =HYPERLINK("CSG0.html#group2B0", "2B⁰"), =HYPERLINK("CSG0.html#group4F0", "4F⁰"), =HYPERLINK("CSG1.html#group16F1", "16F¹"), =HYPERLINK("CSG0.html#group1A0", "1A⁰")</f>
        <v/>
      </c>
      <c r="N1008">
        <f>HYPERLINK("CSG23.html#group32H23", "32H²³"), =HYPERLINK("CSG21.html#group32K21", "32K²¹"), =HYPERLINK("CSG21.html#group32L21", "32L²¹"), =HYPERLINK("CSG11.html#group32E11", "32E¹¹"), =HYPERLINK("CSG13.html#group32A13", "32A¹³"), =HYPERLINK("CSG17.html#group96C17", "96C¹⁷"), =HYPERLINK("CSG21.html#group32M21", "32M²¹"), =HYPERLINK("CSG23.html#group32B23", "32B²³"), =HYPERLINK("CSG23.html#group32A23", "32A²³"), =HYPERLINK("CSG11.html#group32G11", "32G¹¹"), =HYPERLINK("CSG13.html#group32J13", "32J¹³"), =HYPERLINK("CSG9.html#group32G9", "32G⁹"), =HYPERLINK("CSG21.html#group64H21", "64H²¹")</f>
        <v/>
      </c>
    </row>
    <row r="1009">
      <c r="A1009" t="inlineStr">
        <is>
          <t>32G⁵</t>
        </is>
      </c>
      <c r="B1009" t="inlineStr"/>
      <c r="C1009" t="inlineStr">
        <is>
          <t>96</t>
        </is>
      </c>
      <c r="D1009" t="inlineStr">
        <is>
          <t>1</t>
        </is>
      </c>
      <c r="E1009" t="inlineStr">
        <is>
          <t>12</t>
        </is>
      </c>
      <c r="F1009" t="inlineStr">
        <is>
          <t>8</t>
        </is>
      </c>
      <c r="G1009" t="inlineStr">
        <is>
          <t>0</t>
        </is>
      </c>
      <c r="H1009" t="inlineStr">
        <is>
          <t>16², 32²</t>
        </is>
      </c>
      <c r="I1009" t="n">
        <v>4</v>
      </c>
      <c r="J1009" t="inlineStr">
        <is>
          <t>2⁶</t>
        </is>
      </c>
      <c r="K1009">
        <f>HYPERLINK("CSG1.html#group16F1", "16F¹"), =HYPERLINK("CSG1.html#group32B1", "32B¹"), =HYPERLINK("CSG3.html#group32D3", "32D³")</f>
        <v/>
      </c>
      <c r="L1009">
        <f>HYPERLINK("CSG9.html#group32H9", "32H⁹"), =HYPERLINK("CSG11.html#group32F11", "32F¹¹"), =HYPERLINK("CSG11.html#group32E11", "32E¹¹"), =HYPERLINK("CSG13.html#group32B13", "32B¹³"), =HYPERLINK("CSG13.html#group32K13", "32K¹³"), =HYPERLINK("CSG17.html#group96D17", "96D¹⁷")</f>
        <v/>
      </c>
      <c r="M1009">
        <f>HYPERLINK("CSG0.html#group16B0", "16B⁰"), =HYPERLINK("CSG0.html#group8H0", "8H⁰"), =HYPERLINK("CSG0.html#group8D0", "8D⁰"), =HYPERLINK("CSG0.html#group4A0", "4A⁰"), =HYPERLINK("CSG0.html#group4C0", "4C⁰"), =HYPERLINK("CSG0.html#group8B0", "8B⁰"), =HYPERLINK("CSG1.html#group16B1", "16B¹"), =HYPERLINK("CSG3.html#group32D3", "32D³"), =HYPERLINK("CSG1.html#group32B1", "32B¹"), =HYPERLINK("CSG0.html#group2B0", "2B⁰"), =HYPERLINK("CSG0.html#group4F0", "4F⁰"), =HYPERLINK("CSG1.html#group16F1", "16F¹"), =HYPERLINK("CSG0.html#group1A0", "1A⁰")</f>
        <v/>
      </c>
      <c r="N1009">
        <f>HYPERLINK("CSG13.html#group32B13", "32B¹³"), =HYPERLINK("CSG13.html#group32K13", "32K¹³"), =HYPERLINK("CSG21.html#group64I21", "64I²¹"), =HYPERLINK("CSG23.html#group32C23", "32C²³"), =HYPERLINK("CSG9.html#group32H9", "32H⁹"), =HYPERLINK("CSG11.html#group32E11", "32E¹¹"), =HYPERLINK("CSG23.html#group32D23", "32D²³"), =HYPERLINK("CSG21.html#group32M21", "32M²¹"), =HYPERLINK("CSG23.html#group32B23", "32B²³"), =HYPERLINK("CSG23.html#group32A23", "32A²³"), =HYPERLINK("CSG17.html#group96D17", "96D¹⁷"), =HYPERLINK("CSG11.html#group32F11", "32F¹¹"), =HYPERLINK("CSG21.html#group32Y21", "32Y²¹")</f>
        <v/>
      </c>
    </row>
    <row r="1010">
      <c r="A1010" t="inlineStr">
        <is>
          <t>32H⁵</t>
        </is>
      </c>
      <c r="B1010" t="inlineStr"/>
      <c r="C1010" t="inlineStr">
        <is>
          <t>96</t>
        </is>
      </c>
      <c r="D1010" t="inlineStr">
        <is>
          <t>1</t>
        </is>
      </c>
      <c r="E1010" t="inlineStr">
        <is>
          <t>24</t>
        </is>
      </c>
      <c r="F1010" t="inlineStr">
        <is>
          <t>4</t>
        </is>
      </c>
      <c r="G1010" t="inlineStr">
        <is>
          <t>0</t>
        </is>
      </c>
      <c r="H1010" t="inlineStr">
        <is>
          <t>8⁴, 32²</t>
        </is>
      </c>
      <c r="I1010" t="n">
        <v>6</v>
      </c>
      <c r="J1010" t="inlineStr">
        <is>
          <t>1², 2¹, 4¹, 8²</t>
        </is>
      </c>
      <c r="K1010">
        <f>HYPERLINK("CSG1.html#group16I1", "16I¹"), =HYPERLINK("CSG3.html#group32I3", "32I³")</f>
        <v/>
      </c>
      <c r="L1010">
        <f>HYPERLINK("CSG9.html#group32M9", "32M⁹"), =HYPERLINK("CSG10.html#group32A10", "32A¹⁰"), =HYPERLINK("CSG10.html#group32C10", "32C¹⁰"), =HYPERLINK("CSG11.html#group32A11", "32A¹¹"), =HYPERLINK("CSG11.html#group32C11", "32C¹¹"), =HYPERLINK("CSG19.html#group96L19", "96L¹⁹")</f>
        <v/>
      </c>
      <c r="M1010">
        <f>HYPERLINK("CSG0.html#group8H0", "8H⁰"), =HYPERLINK("CSG0.html#group16E0", "16E⁰"), =HYPERLINK("CSG1.html#group16I1", "16I¹"), =HYPERLINK("CSG0.html#group8D0", "8D⁰"), =HYPERLINK("CSG0.html#group4A0", "4A⁰"), =HYPERLINK("CSG1.html#group16C1", "16C¹"), =HYPERLINK("CSG0.html#group4C0", "4C⁰"), =HYPERLINK("CSG0.html#group8B0", "8B⁰"), =HYPERLINK("CSG3.html#group32I3", "32I³"), =HYPERLINK("CSG0.html#group2B0", "2B⁰"), =HYPERLINK("CSG0.html#group4F0", "4F⁰"), =HYPERLINK("CSG0.html#group1A0", "1A⁰")</f>
        <v/>
      </c>
      <c r="N1010">
        <f>HYPERLINK("CSG19.html#group96L19", "96L¹⁹"), =HYPERLINK("CSG11.html#group32C11", "32C¹¹"), =HYPERLINK("CSG9.html#group32M9", "32M⁹"), =HYPERLINK("CSG21.html#group64Q21", "64Q²¹"), =HYPERLINK("CSG21.html#group32C21", "32C²¹"), =HYPERLINK("CSG24.html#group32D24", "32D²⁴"), =HYPERLINK("CSG21.html#group32K21", "32K²¹"), =HYPERLINK("CSG23.html#group64B23", "64B²³"), =HYPERLINK("CSG10.html#group32C10", "32C¹⁰"), =HYPERLINK("CSG10.html#group32A10", "32A¹⁰"), =HYPERLINK("CSG21.html#group32E21", "32E²¹"), =HYPERLINK("CSG19.html#group32E19", "32E¹⁹"), =HYPERLINK("CSG24.html#group32B24", "32B²⁴"), =HYPERLINK("CSG21.html#group32D21", "32D²¹"), =HYPERLINK("CSG11.html#group32A11", "32A¹¹"), =HYPERLINK("CSG23.html#group32D23", "32D²³"), =HYPERLINK("CSG21.html#group32P21", "32P²¹")</f>
        <v/>
      </c>
    </row>
    <row r="1011">
      <c r="A1011" t="inlineStr">
        <is>
          <t>32I⁵</t>
        </is>
      </c>
      <c r="B1011" t="inlineStr"/>
      <c r="C1011" t="inlineStr">
        <is>
          <t>96</t>
        </is>
      </c>
      <c r="D1011" t="inlineStr">
        <is>
          <t>1</t>
        </is>
      </c>
      <c r="E1011" t="inlineStr">
        <is>
          <t>24</t>
        </is>
      </c>
      <c r="F1011" t="inlineStr">
        <is>
          <t>4</t>
        </is>
      </c>
      <c r="G1011" t="inlineStr">
        <is>
          <t>0</t>
        </is>
      </c>
      <c r="H1011" t="inlineStr">
        <is>
          <t>8⁴, 32²</t>
        </is>
      </c>
      <c r="I1011" t="n">
        <v>6</v>
      </c>
      <c r="J1011" t="inlineStr">
        <is>
          <t>2⁴, 8²</t>
        </is>
      </c>
      <c r="K1011">
        <f>HYPERLINK("CSG1.html#group16I1", "16I¹")</f>
        <v/>
      </c>
      <c r="L1011">
        <f>HYPERLINK("CSG9.html#group32N9", "32N⁹"), =HYPERLINK("CSG10.html#group32A10", "32A¹⁰"), =HYPERLINK("CSG10.html#group32B10", "32B¹⁰"), =HYPERLINK("CSG11.html#group32A11", "32A¹¹"), =HYPERLINK("CSG11.html#group32D11", "32D¹¹"), =HYPERLINK("CSG13.html#group64U13", "64U¹³"), =HYPERLINK("CSG19.html#group96M19", "96M¹⁹")</f>
        <v/>
      </c>
      <c r="M1011">
        <f>HYPERLINK("CSG0.html#group8H0", "8H⁰"), =HYPERLINK("CSG0.html#group16E0", "16E⁰"), =HYPERLINK("CSG1.html#group16I1", "16I¹"), =HYPERLINK("CSG0.html#group8D0", "8D⁰"), =HYPERLINK("CSG0.html#group4A0", "4A⁰"), =HYPERLINK("CSG1.html#group16C1", "16C¹"), =HYPERLINK("CSG0.html#group4C0", "4C⁰"), =HYPERLINK("CSG0.html#group8B0", "8B⁰"), =HYPERLINK("CSG0.html#group2B0", "2B⁰"), =HYPERLINK("CSG0.html#group4F0", "4F⁰"), =HYPERLINK("CSG0.html#group1A0", "1A⁰")</f>
        <v/>
      </c>
      <c r="N1011">
        <f>HYPERLINK("CSG23.html#group32C23", "32C²³"), =HYPERLINK("CSG24.html#group32C24", "32C²⁴"), =HYPERLINK("CSG21.html#group32C21", "32C²¹"), =HYPERLINK("CSG22.html#group64A22", "64A²²"), =HYPERLINK("CSG11.html#group32D11", "32D¹¹"), =HYPERLINK("CSG19.html#group96M19", "96M¹⁹"), =HYPERLINK("CSG13.html#group64U13", "64U¹³"), =HYPERLINK("CSG21.html#group32L21", "32L²¹"), =HYPERLINK("CSG24.html#group32A24", "32A²⁴"), =HYPERLINK("CSG10.html#group32A10", "32A¹⁰"), =HYPERLINK("CSG10.html#group32B10", "32B¹⁰"), =HYPERLINK("CSG21.html#group32E21", "32E²¹"), =HYPERLINK("CSG19.html#group32E19", "32E¹⁹"), =HYPERLINK("CSG22.html#group64B22", "64B²²"), =HYPERLINK("CSG21.html#group32D21", "32D²¹"), =HYPERLINK("CSG11.html#group32A11", "32A¹¹"), =HYPERLINK("CSG21.html#group64P21", "64P²¹"), =HYPERLINK("CSG9.html#group32N9", "32N⁹"), =HYPERLINK("CSG21.html#group32P21", "32P²¹")</f>
        <v/>
      </c>
    </row>
    <row r="1012">
      <c r="A1012" t="inlineStr">
        <is>
          <t>32J⁵</t>
        </is>
      </c>
      <c r="B1012" t="inlineStr"/>
      <c r="C1012" t="inlineStr">
        <is>
          <t>96</t>
        </is>
      </c>
      <c r="D1012" t="inlineStr">
        <is>
          <t>1</t>
        </is>
      </c>
      <c r="E1012" t="inlineStr">
        <is>
          <t>24</t>
        </is>
      </c>
      <c r="F1012" t="inlineStr">
        <is>
          <t>8</t>
        </is>
      </c>
      <c r="G1012" t="inlineStr">
        <is>
          <t>0</t>
        </is>
      </c>
      <c r="H1012" t="inlineStr">
        <is>
          <t>16², 32²</t>
        </is>
      </c>
      <c r="I1012" t="n">
        <v>4</v>
      </c>
      <c r="J1012" t="inlineStr">
        <is>
          <t>2⁸, 8¹</t>
        </is>
      </c>
      <c r="K1012">
        <f>HYPERLINK("CSG1.html#group16J1", "16J¹"), =HYPERLINK("CSG3.html#group32E3", "32E³"), =HYPERLINK("CSG3.html#group32F3", "32F³")</f>
        <v/>
      </c>
      <c r="L1012">
        <f>HYPERLINK("CSG9.html#group32P9", "32P⁹"), =HYPERLINK("CSG11.html#group32I11", "32I¹¹"), =HYPERLINK("CSG11.html#group32K11", "32K¹¹"), =HYPERLINK("CSG13.html#group32G13", "32G¹³"), =HYPERLINK("CSG13.html#group32O13", "32O¹³"), =HYPERLINK("CSG13.html#group64L13", "64L¹³"), =HYPERLINK("CSG13.html#group64M13", "64M¹³"), =HYPERLINK("CSG13.html#group64P13", "64P¹³"), =HYPERLINK("CSG13.html#group64Q13", "64Q¹³"), =HYPERLINK("CSG17.html#group96G17", "96G¹⁷")</f>
        <v/>
      </c>
      <c r="M1012">
        <f>HYPERLINK("CSG0.html#group16B0", "16B⁰"), =HYPERLINK("CSG1.html#group16D1", "16D¹"), =HYPERLINK("CSG0.html#group4C0", "4C⁰"), =HYPERLINK("CSG0.html#group8B0", "8B⁰"), =HYPERLINK("CSG3.html#group32E3", "32E³"), =HYPERLINK("CSG0.html#group8L0", "8L⁰"), =HYPERLINK("CSG0.html#group2B0", "2B⁰"), =HYPERLINK("CSG3.html#group32F3", "32F³"), =HYPERLINK("CSG1.html#group16J1", "16J¹"), =HYPERLINK("CSG0.html#group1A0", "1A⁰")</f>
        <v/>
      </c>
      <c r="N1012">
        <f>HYPERLINK("CSG13.html#group64M13", "64M¹³"), =HYPERLINK("CSG23.html#group32H23", "32H²³"), =HYPERLINK("CSG9.html#group32P9", "32P⁹"), =HYPERLINK("CSG11.html#group32I11", "32I¹¹"), =HYPERLINK("CSG11.html#group32K11", "32K¹¹"), =HYPERLINK("CSG23.html#group32E23", "32E²³"), =HYPERLINK("CSG21.html#group32U21", "32U²¹"), =HYPERLINK("CSG21.html#group64M21", "64M²¹"), =HYPERLINK("CSG13.html#group32O13", "32O¹³"), =HYPERLINK("CSG21.html#group32V21", "32V²¹"), =HYPERLINK("CSG13.html#group64L13", "64L¹³"), =HYPERLINK("CSG17.html#group96G17", "96G¹⁷"), =HYPERLINK("CSG13.html#group64P13", "64P¹³"), =HYPERLINK("CSG21.html#group32Y21", "32Y²¹"), =HYPERLINK("CSG13.html#group64Q13", "64Q¹³"), =HYPERLINK("CSG13.html#group32G13", "32G¹³")</f>
        <v/>
      </c>
    </row>
    <row r="1013">
      <c r="A1013" t="inlineStr">
        <is>
          <t>32K⁵</t>
        </is>
      </c>
      <c r="B1013" t="inlineStr"/>
      <c r="C1013" t="inlineStr">
        <is>
          <t>96</t>
        </is>
      </c>
      <c r="D1013" t="inlineStr">
        <is>
          <t>1</t>
        </is>
      </c>
      <c r="E1013" t="inlineStr">
        <is>
          <t>24</t>
        </is>
      </c>
      <c r="F1013" t="inlineStr">
        <is>
          <t>8</t>
        </is>
      </c>
      <c r="G1013" t="inlineStr">
        <is>
          <t>0</t>
        </is>
      </c>
      <c r="H1013" t="inlineStr">
        <is>
          <t>16², 32²</t>
        </is>
      </c>
      <c r="I1013" t="n">
        <v>4</v>
      </c>
      <c r="J1013" t="inlineStr">
        <is>
          <t>2⁸, 8¹</t>
        </is>
      </c>
      <c r="K1013">
        <f>HYPERLINK("CSG1.html#group16J1", "16J¹"), =HYPERLINK("CSG3.html#group32G3", "32G³"), =HYPERLINK("CSG3.html#group32H3", "32H³")</f>
        <v/>
      </c>
      <c r="L1013">
        <f>HYPERLINK("CSG9.html#group32O9", "32O⁹"), =HYPERLINK("CSG11.html#group32J11", "32J¹¹"), =HYPERLINK("CSG11.html#group32K11", "32K¹¹"), =HYPERLINK("CSG13.html#group32H13", "32H¹³"), =HYPERLINK("CSG13.html#group32N13", "32N¹³"), =HYPERLINK("CSG13.html#group64N13", "64N¹³"), =HYPERLINK("CSG13.html#group64O13", "64O¹³"), =HYPERLINK("CSG13.html#group64S13", "64S¹³"), =HYPERLINK("CSG13.html#group64R13", "64R¹³"), =HYPERLINK("CSG17.html#group96H17", "96H¹⁷")</f>
        <v/>
      </c>
      <c r="M1013">
        <f>HYPERLINK("CSG0.html#group16B0", "16B⁰"), =HYPERLINK("CSG1.html#group16D1", "16D¹"), =HYPERLINK("CSG0.html#group4C0", "4C⁰"), =HYPERLINK("CSG0.html#group8B0", "8B⁰"), =HYPERLINK("CSG0.html#group8L0", "8L⁰"), =HYPERLINK("CSG0.html#group2B0", "2B⁰"), =HYPERLINK("CSG3.html#group32G3", "32G³"), =HYPERLINK("CSG1.html#group16J1", "16J¹"), =HYPERLINK("CSG0.html#group1A0", "1A⁰"), =HYPERLINK("CSG3.html#group32H3", "32H³")</f>
        <v/>
      </c>
      <c r="N1013">
        <f>HYPERLINK("CSG23.html#group32H23", "32H²³"), =HYPERLINK("CSG13.html#group32H13", "32H¹³"), =HYPERLINK("CSG11.html#group32K11", "32K¹¹"), =HYPERLINK("CSG23.html#group32E23", "32E²³"), =HYPERLINK("CSG13.html#group32N13", "32N¹³"), =HYPERLINK("CSG13.html#group64O13", "64O¹³"), =HYPERLINK("CSG17.html#group96H17", "96H¹⁷"), =HYPERLINK("CSG13.html#group64S13", "64S¹³"), =HYPERLINK("CSG21.html#group32S21", "32S²¹"), =HYPERLINK("CSG13.html#group64R13", "64R¹³"), =HYPERLINK("CSG9.html#group32O9", "32O⁹"), =HYPERLINK("CSG21.html#group64L21", "64L²¹"), =HYPERLINK("CSG21.html#group32T21", "32T²¹"), =HYPERLINK("CSG21.html#group32Y21", "32Y²¹"), =HYPERLINK("CSG11.html#group32J11", "32J¹¹"), =HYPERLINK("CSG13.html#group64N13", "64N¹³")</f>
        <v/>
      </c>
    </row>
    <row r="1014">
      <c r="A1014" t="inlineStr">
        <is>
          <t>32L⁵</t>
        </is>
      </c>
      <c r="B1014" t="inlineStr"/>
      <c r="C1014" t="inlineStr">
        <is>
          <t>96</t>
        </is>
      </c>
      <c r="D1014" t="inlineStr">
        <is>
          <t>2</t>
        </is>
      </c>
      <c r="E1014" t="inlineStr">
        <is>
          <t>12</t>
        </is>
      </c>
      <c r="F1014" t="inlineStr">
        <is>
          <t>8</t>
        </is>
      </c>
      <c r="G1014" t="inlineStr">
        <is>
          <t>0</t>
        </is>
      </c>
      <c r="H1014" t="inlineStr">
        <is>
          <t>16², 32²</t>
        </is>
      </c>
      <c r="I1014" t="n">
        <v>4</v>
      </c>
      <c r="J1014" t="inlineStr">
        <is>
          <t>2⁸, 4²</t>
        </is>
      </c>
      <c r="K1014">
        <f>HYPERLINK("CSG1.html#group16J1", "16J¹"), =HYPERLINK("CSG1.html#group32B1", "32B¹"), =HYPERLINK("CSG3.html#group32D3", "32D³")</f>
        <v/>
      </c>
      <c r="L1014">
        <f>HYPERLINK("CSG9.html#group32H9", "32H⁹"), =HYPERLINK("CSG11.html#group32I11", "32I¹¹"), =HYPERLINK("CSG11.html#group32J11", "32J¹¹"), =HYPERLINK("CSG13.html#group32K13", "32K¹³"), =HYPERLINK("CSG13.html#group32M13", "32M¹³"), =HYPERLINK("CSG17.html#group96AB17", "96AB¹⁷")</f>
        <v/>
      </c>
      <c r="M1014">
        <f>HYPERLINK("CSG0.html#group16B0", "16B⁰"), =HYPERLINK("CSG1.html#group16D1", "16D¹"), =HYPERLINK("CSG0.html#group4C0", "4C⁰"), =HYPERLINK("CSG0.html#group8B0", "8B⁰"), =HYPERLINK("CSG3.html#group32D3", "32D³"), =HYPERLINK("CSG1.html#group32B1", "32B¹"), =HYPERLINK("CSG0.html#group8L0", "8L⁰"), =HYPERLINK("CSG0.html#group2B0", "2B⁰"), =HYPERLINK("CSG1.html#group16J1", "16J¹"), =HYPERLINK("CSG0.html#group1A0", "1A⁰")</f>
        <v/>
      </c>
      <c r="N1014">
        <f>HYPERLINK("CSG13.html#group32K13", "32K¹³"), =HYPERLINK("CSG11.html#group32I11", "32I¹¹"), =HYPERLINK("CSG21.html#group64I21", "64I²¹"), =HYPERLINK("CSG9.html#group32H9", "32H⁹"), =HYPERLINK("CSG21.html#group32M21", "32M²¹"), =HYPERLINK("CSG13.html#group32M13", "32M¹³"), =HYPERLINK("CSG21.html#group32Y21", "32Y²¹"), =HYPERLINK("CSG11.html#group32J11", "32J¹¹"), =HYPERLINK("CSG17.html#group96AB17", "96AB¹⁷")</f>
        <v/>
      </c>
    </row>
    <row r="1015">
      <c r="A1015" t="inlineStr">
        <is>
          <t>32M⁵</t>
        </is>
      </c>
      <c r="B1015" t="inlineStr"/>
      <c r="C1015" t="inlineStr">
        <is>
          <t>192</t>
        </is>
      </c>
      <c r="D1015" t="inlineStr">
        <is>
          <t>1</t>
        </is>
      </c>
      <c r="E1015" t="inlineStr">
        <is>
          <t>6</t>
        </is>
      </c>
      <c r="F1015" t="inlineStr">
        <is>
          <t>0</t>
        </is>
      </c>
      <c r="G1015" t="inlineStr">
        <is>
          <t>0</t>
        </is>
      </c>
      <c r="H1015" t="inlineStr">
        <is>
          <t>2¹⁶, 8⁴, 32⁴</t>
        </is>
      </c>
      <c r="I1015" t="n">
        <v>24</v>
      </c>
      <c r="J1015" t="inlineStr">
        <is>
          <t>1⁴, 2¹</t>
        </is>
      </c>
      <c r="K1015">
        <f>HYPERLINK("CSG1.html#group16M1", "16M¹"), =HYPERLINK("CSG1.html#group32E1", "32E¹"), =HYPERLINK("CSG3.html#group32J3", "32J³"), =HYPERLINK("CSG3.html#group32K3", "32K³"), =HYPERLINK("CSG3.html#group32M3", "32M³")</f>
        <v/>
      </c>
      <c r="L1015">
        <f>HYPERLINK("CSG13.html#group32U13", "32U¹³"), =HYPERLINK("CSG13.html#group64V13", "64V¹³"), =HYPERLINK("CSG17.html#group32A17", "32A¹⁷"), =HYPERLINK("CSG17.html#group64A17", "64A¹⁷"), =HYPERLINK("CSG21.html#group64C21", "64C²¹")</f>
        <v/>
      </c>
      <c r="M1015">
        <f>HYPERLINK("CSG0.html#group16G0", "16G⁰"), =HYPERLINK("CSG0.html#group2A0", "2A⁰"), =HYPERLINK("CSG3.html#group32M3", "32M³"), =HYPERLINK("CSG0.html#group4C0", "4C⁰"), =HYPERLINK("CSG1.html#group16A1", "16A¹"), =HYPERLINK("CSG0.html#group8C0", "8C⁰"), =HYPERLINK("CSG0.html#group2B0", "2B⁰"), =HYPERLINK("CSG0.html#group4E0", "4E⁰"), =HYPERLINK("CSG0.html#group4B0", "4B⁰"), =HYPERLINK("CSG0.html#group1A0", "1A⁰"), =HYPERLINK("CSG0.html#group16H0", "16H⁰"), =HYPERLINK("CSG0.html#group16E0", "16E⁰"), =HYPERLINK("CSG1.html#group32A1", "32A¹"), =HYPERLINK("CSG0.html#group8G0", "8G⁰"), =HYPERLINK("CSG0.html#group16C0", "16C⁰"), =HYPERLINK("CSG0.html#group32A0", "32A⁰"), =HYPERLINK("CSG1.html#group16M1", "16M¹"), =HYPERLINK("CSG1.html#group32E1", "32E¹"), =HYPERLINK("CSG0.html#group8D0", "8D⁰"), =HYPERLINK("CSG1.html#group16E1", "16E¹"), =HYPERLINK("CSG0.html#group8I0", "8I⁰"), =HYPERLINK("CSG3.html#group32K3", "32K³"), =HYPERLINK("CSG3.html#group32J3", "32J³"), =HYPERLINK("CSG1.html#group16G1", "16G¹"), =HYPERLINK("CSG0.html#group16D0", "16D⁰"), =HYPERLINK("CSG2.html#group32A2", "32A²"), =HYPERLINK("CSG0.html#group8J0", "8J⁰"), =HYPERLINK("CSG0.html#group2C0", "2C⁰"), =HYPERLINK("CSG0.html#group8O0", "8O⁰")</f>
        <v/>
      </c>
      <c r="N1015">
        <f>HYPERLINK("CSG21.html#group64C21", "64C²¹"), =HYPERLINK("CSG13.html#group64V13", "64V¹³"), =HYPERLINK("CSG17.html#group32A17", "32A¹⁷"), =HYPERLINK("CSG17.html#group64A17", "64A¹⁷"), =HYPERLINK("CSG13.html#group32U13", "32U¹³")</f>
        <v/>
      </c>
    </row>
    <row r="1016">
      <c r="A1016" t="inlineStr">
        <is>
          <t>32N⁵</t>
        </is>
      </c>
      <c r="B1016" t="inlineStr"/>
      <c r="C1016" t="inlineStr">
        <is>
          <t>192</t>
        </is>
      </c>
      <c r="D1016" t="inlineStr">
        <is>
          <t>1</t>
        </is>
      </c>
      <c r="E1016" t="inlineStr">
        <is>
          <t>12</t>
        </is>
      </c>
      <c r="F1016" t="inlineStr">
        <is>
          <t>0</t>
        </is>
      </c>
      <c r="G1016" t="inlineStr">
        <is>
          <t>0</t>
        </is>
      </c>
      <c r="H1016" t="inlineStr">
        <is>
          <t>2⁸, 4¹², 32⁴</t>
        </is>
      </c>
      <c r="I1016" t="n">
        <v>24</v>
      </c>
      <c r="J1016" t="inlineStr">
        <is>
          <t>1⁴, 2², 4¹</t>
        </is>
      </c>
      <c r="K1016">
        <f>HYPERLINK("CSG1.html#group16M1", "16M¹"), =HYPERLINK("CSG2.html#group32B2", "32B²"), =HYPERLINK("CSG2.html#group32C2", "32C²"), =HYPERLINK("CSG3.html#group32O3", "32O³")</f>
        <v/>
      </c>
      <c r="L1016">
        <f>HYPERLINK("CSG13.html#group32T13", "32T¹³"), =HYPERLINK("CSG13.html#group32U13", "32U¹³"), =HYPERLINK("CSG17.html#group32B17", "32B¹⁷"), =HYPERLINK("CSG17.html#group64D17", "64D¹⁷")</f>
        <v/>
      </c>
      <c r="M1016">
        <f>HYPERLINK("CSG0.html#group16G0", "16G⁰"), =HYPERLINK("CSG0.html#group2A0", "2A⁰"), =HYPERLINK("CSG0.html#group4C0", "4C⁰"), =HYPERLINK("CSG1.html#group16A1", "16A¹"), =HYPERLINK("CSG0.html#group8C0", "8C⁰"), =HYPERLINK("CSG0.html#group2B0", "2B⁰"), =HYPERLINK("CSG0.html#group4E0", "4E⁰"), =HYPERLINK("CSG1.html#group32D1", "32D¹"), =HYPERLINK("CSG0.html#group4B0", "4B⁰"), =HYPERLINK("CSG0.html#group1A0", "1A⁰"), =HYPERLINK("CSG0.html#group16H0", "16H⁰"), =HYPERLINK("CSG0.html#group16E0", "16E⁰"), =HYPERLINK("CSG3.html#group32O3", "32O³"), =HYPERLINK("CSG0.html#group8G0", "8G⁰"), =HYPERLINK("CSG0.html#group16C0", "16C⁰"), =HYPERLINK("CSG1.html#group16M1", "16M¹"), =HYPERLINK("CSG2.html#group32C2", "32C²"), =HYPERLINK("CSG0.html#group8D0", "8D⁰"), =HYPERLINK("CSG1.html#group16E1", "16E¹"), =HYPERLINK("CSG0.html#group8I0", "8I⁰"), =HYPERLINK("CSG2.html#group32B2", "32B²"), =HYPERLINK("CSG1.html#group32C1", "32C¹"), =HYPERLINK("CSG1.html#group16G1", "16G¹"), =HYPERLINK("CSG0.html#group16D0", "16D⁰"), =HYPERLINK("CSG0.html#group8J0", "8J⁰"), =HYPERLINK("CSG0.html#group2C0", "2C⁰"), =HYPERLINK("CSG0.html#group8O0", "8O⁰")</f>
        <v/>
      </c>
      <c r="N1016">
        <f>HYPERLINK("CSG17.html#group32B17", "32B¹⁷"), =HYPERLINK("CSG13.html#group32T13", "32T¹³"), =HYPERLINK("CSG13.html#group32U13", "32U¹³"), =HYPERLINK("CSG17.html#group64D17", "64D¹⁷")</f>
        <v/>
      </c>
    </row>
    <row r="1017">
      <c r="A1017" t="inlineStr">
        <is>
          <t>32O⁵</t>
        </is>
      </c>
      <c r="B1017" t="inlineStr"/>
      <c r="C1017" t="inlineStr">
        <is>
          <t>192</t>
        </is>
      </c>
      <c r="D1017" t="inlineStr">
        <is>
          <t>1</t>
        </is>
      </c>
      <c r="E1017" t="inlineStr">
        <is>
          <t>24</t>
        </is>
      </c>
      <c r="F1017" t="inlineStr">
        <is>
          <t>0</t>
        </is>
      </c>
      <c r="G1017" t="inlineStr">
        <is>
          <t>0</t>
        </is>
      </c>
      <c r="H1017" t="inlineStr">
        <is>
          <t>1⁸, 2⁴, 4⁴, 8⁴, 32⁴</t>
        </is>
      </c>
      <c r="I1017" t="n">
        <v>24</v>
      </c>
      <c r="J1017" t="inlineStr">
        <is>
          <t>1⁴, 2², 4², 8¹</t>
        </is>
      </c>
      <c r="K1017">
        <f>HYPERLINK("CSG1.html#group32E1", "32E¹"), =HYPERLINK("CSG2.html#group16J2", "16J²"), =HYPERLINK("CSG2.html#group32C2", "32C²")</f>
        <v/>
      </c>
      <c r="L1017">
        <f>HYPERLINK("CSG13.html#group32U13", "32U¹³"), =HYPERLINK("CSG13.html#group64W13", "64W¹³"), =HYPERLINK("CSG17.html#group32C17", "32C¹⁷"), =HYPERLINK("CSG17.html#group64B17", "64B¹⁷"), =HYPERLINK("CSG17.html#group64C17", "64C¹⁷")</f>
        <v/>
      </c>
      <c r="M1017">
        <f>HYPERLINK("CSG1.html#group32A1", "32A¹"), =HYPERLINK("CSG2.html#group32C2", "32C²"), =HYPERLINK("CSG0.html#group16C0", "16C⁰"), =HYPERLINK("CSG0.html#group16D0", "16D⁰"), =HYPERLINK("CSG0.html#group32A0", "32A⁰"), =HYPERLINK("CSG0.html#group1A0", "1A⁰"), =HYPERLINK("CSG0.html#group8C0", "8C⁰"), =HYPERLINK("CSG0.html#group2B0", "2B⁰"), =HYPERLINK("CSG0.html#group8I0", "8I⁰"), =HYPERLINK("CSG0.html#group4B0", "4B⁰"), =HYPERLINK("CSG1.html#group32E1", "32E¹"), =HYPERLINK("CSG2.html#group16J2", "16J²"), =HYPERLINK("CSG0.html#group16H0", "16H⁰")</f>
        <v/>
      </c>
      <c r="N1017">
        <f>HYPERLINK("CSG17.html#group64C17", "64C¹⁷"), =HYPERLINK("CSG17.html#group64B17", "64B¹⁷"), =HYPERLINK("CSG17.html#group32C17", "32C¹⁷"), =HYPERLINK("CSG13.html#group64W13", "64W¹³"), =HYPERLINK("CSG13.html#group32U13", "32U¹³")</f>
        <v/>
      </c>
    </row>
    <row r="1018">
      <c r="A1018" t="inlineStr">
        <is>
          <t>33A⁵</t>
        </is>
      </c>
      <c r="B1018" t="inlineStr"/>
      <c r="C1018" t="inlineStr">
        <is>
          <t>72</t>
        </is>
      </c>
      <c r="D1018" t="inlineStr">
        <is>
          <t>1</t>
        </is>
      </c>
      <c r="E1018" t="inlineStr">
        <is>
          <t>36</t>
        </is>
      </c>
      <c r="F1018" t="inlineStr">
        <is>
          <t>0</t>
        </is>
      </c>
      <c r="G1018" t="inlineStr">
        <is>
          <t>0</t>
        </is>
      </c>
      <c r="H1018" t="inlineStr">
        <is>
          <t>3², 33²</t>
        </is>
      </c>
      <c r="I1018" t="n">
        <v>4</v>
      </c>
      <c r="J1018" t="inlineStr">
        <is>
          <t>1², 2², 10¹, 20¹</t>
        </is>
      </c>
      <c r="K1018">
        <f>HYPERLINK("CSG0.html#group3C0", "3C⁰"), =HYPERLINK("CSG3.html#group33A3", "33A³")</f>
        <v/>
      </c>
      <c r="L1018">
        <f>HYPERLINK("CSG9.html#group33A9", "33A⁹"), =HYPERLINK("CSG11.html#group66B11", "66B¹¹"), =HYPERLINK("CSG11.html#group66C11", "66C¹¹"), =HYPERLINK("CSG15.html#group66A15", "66A¹⁵"), =HYPERLINK("CSG15.html#group99C15", "99C¹⁵"), =HYPERLINK("CSG17.html#group99A17", "99A¹⁷"), =HYPERLINK("CSG17.html#group99B17", "99B¹⁷"), =HYPERLINK("CSG21.html#group33B21", "33B²¹"), =HYPERLINK("CSG23.html#group132G23", "132G²³")</f>
        <v/>
      </c>
      <c r="M1018">
        <f>HYPERLINK("CSG0.html#group3C0", "3C⁰"), =HYPERLINK("CSG0.html#group3A0", "3A⁰"), =HYPERLINK("CSG3.html#group33A3", "33A³"), =HYPERLINK("CSG0.html#group1A0", "1A⁰"), =HYPERLINK("CSG1.html#group11A1", "11A¹")</f>
        <v/>
      </c>
      <c r="N1018">
        <f>HYPERLINK("CSG17.html#group99B17", "99B¹⁷"), =HYPERLINK("CSG23.html#group132B23", "132B²³"), =HYPERLINK("CSG11.html#group66B11", "66B¹¹"), =HYPERLINK("CSG15.html#group66A15", "66A¹⁵"), =HYPERLINK("CSG15.html#group99C15", "99C¹⁵"), =HYPERLINK("CSG21.html#group33B21", "33B²¹"), =HYPERLINK("CSG17.html#group33B17", "33B¹⁷"), =HYPERLINK("CSG23.html#group132G23", "132G²³"), =HYPERLINK("CSG11.html#group66C11", "66C¹¹"), =HYPERLINK("CSG9.html#group33A9", "33A⁹"), =HYPERLINK("CSG17.html#group99A17", "99A¹⁷"), =HYPERLINK("CSG21.html#group66B21", "66B²¹"), =HYPERLINK("CSG23.html#group132D23", "132D²³"), =HYPERLINK("CSG21.html#group66C21", "66C²¹"), =HYPERLINK("CSG23.html#group132A23", "132A²³")</f>
        <v/>
      </c>
    </row>
    <row r="1019">
      <c r="A1019" t="inlineStr">
        <is>
          <t>33B⁵</t>
        </is>
      </c>
      <c r="B1019" t="inlineStr"/>
      <c r="C1019" t="inlineStr">
        <is>
          <t>96</t>
        </is>
      </c>
      <c r="D1019" t="inlineStr">
        <is>
          <t>1</t>
        </is>
      </c>
      <c r="E1019" t="inlineStr">
        <is>
          <t>48</t>
        </is>
      </c>
      <c r="F1019" t="inlineStr">
        <is>
          <t>0</t>
        </is>
      </c>
      <c r="G1019" t="inlineStr">
        <is>
          <t>0</t>
        </is>
      </c>
      <c r="H1019" t="inlineStr">
        <is>
          <t>1², 3², 11², 33²</t>
        </is>
      </c>
      <c r="I1019" t="n">
        <v>8</v>
      </c>
      <c r="J1019" t="inlineStr">
        <is>
          <t>1⁴, 2², 10², 20¹</t>
        </is>
      </c>
      <c r="K1019">
        <f>HYPERLINK("CSG3.html#group33C3", "33C³")</f>
        <v/>
      </c>
      <c r="L1019">
        <f>HYPERLINK("CSG13.html#group66A13", "66A¹³"), =HYPERLINK("CSG17.html#group33B17", "33B¹⁷"), =HYPERLINK("CSG17.html#group66A17", "66A¹⁷"), =HYPERLINK("CSG17.html#group99C17", "99C¹⁷"), =HYPERLINK("CSG21.html#group33C21", "33C²¹"), =HYPERLINK("CSG21.html#group99A21", "99A²¹"), =HYPERLINK("CSG21.html#group99B21", "99B²¹")</f>
        <v/>
      </c>
      <c r="M1019">
        <f>HYPERLINK("CSG0.html#group3B0", "3B⁰"), =HYPERLINK("CSG0.html#group1A0", "1A⁰"), =HYPERLINK("CSG1.html#group11A1", "11A¹"), =HYPERLINK("CSG3.html#group33C3", "33C³")</f>
        <v/>
      </c>
      <c r="N1019">
        <f>HYPERLINK("CSG17.html#group33B17", "33B¹⁷"), =HYPERLINK("CSG21.html#group99B21", "99B²¹"), =HYPERLINK("CSG21.html#group33C21", "33C²¹"), =HYPERLINK("CSG21.html#group99A21", "99A²¹"), =HYPERLINK("CSG17.html#group66A17", "66A¹⁷"), =HYPERLINK("CSG17.html#group99C17", "99C¹⁷"), =HYPERLINK("CSG13.html#group66A13", "66A¹³")</f>
        <v/>
      </c>
    </row>
    <row r="1020">
      <c r="A1020" t="inlineStr">
        <is>
          <t>34A⁵</t>
        </is>
      </c>
      <c r="B1020" t="inlineStr"/>
      <c r="C1020" t="inlineStr">
        <is>
          <t>72</t>
        </is>
      </c>
      <c r="D1020" t="inlineStr">
        <is>
          <t>1</t>
        </is>
      </c>
      <c r="E1020" t="inlineStr">
        <is>
          <t>18</t>
        </is>
      </c>
      <c r="F1020" t="inlineStr">
        <is>
          <t>0</t>
        </is>
      </c>
      <c r="G1020" t="inlineStr">
        <is>
          <t>0</t>
        </is>
      </c>
      <c r="H1020" t="inlineStr">
        <is>
          <t>2², 34²</t>
        </is>
      </c>
      <c r="I1020" t="n">
        <v>4</v>
      </c>
      <c r="J1020" t="inlineStr">
        <is>
          <t>1², 16¹</t>
        </is>
      </c>
      <c r="K1020">
        <f>HYPERLINK("CSG1.html#group17B1", "17B¹")</f>
        <v/>
      </c>
      <c r="L1020">
        <f>HYPERLINK("CSG9.html#group34A9", "34A⁹"), =HYPERLINK("CSG13.html#group34D13", "34D¹³"), =HYPERLINK("CSG17.html#group102A17", "102A¹⁷"), =HYPERLINK("CSG21.html#group68A21", "68A²¹"), =HYPERLINK("CSG21.html#group102A21", "102A²¹")</f>
        <v/>
      </c>
      <c r="M1020">
        <f>HYPERLINK("CSG0.html#group1A0", "1A⁰"), =HYPERLINK("CSG1.html#group17A1", "17A¹"), =HYPERLINK("CSG1.html#group17B1", "17B¹")</f>
        <v/>
      </c>
      <c r="N1020">
        <f>HYPERLINK("CSG9.html#group34A9", "34A⁹"), =HYPERLINK("CSG17.html#group34A17", "34A¹⁷"), =HYPERLINK("CSG13.html#group34D13", "34D¹³"), =HYPERLINK("CSG21.html#group68A21", "68A²¹"), =HYPERLINK("CSG17.html#group102A17", "102A¹⁷"), =HYPERLINK("CSG21.html#group102A21", "102A²¹")</f>
        <v/>
      </c>
    </row>
    <row r="1021">
      <c r="A1021" t="inlineStr">
        <is>
          <t>34B⁵</t>
        </is>
      </c>
      <c r="B1021" t="inlineStr"/>
      <c r="C1021" t="inlineStr">
        <is>
          <t>72</t>
        </is>
      </c>
      <c r="D1021" t="inlineStr">
        <is>
          <t>1</t>
        </is>
      </c>
      <c r="E1021" t="inlineStr">
        <is>
          <t>18</t>
        </is>
      </c>
      <c r="F1021" t="inlineStr">
        <is>
          <t>0</t>
        </is>
      </c>
      <c r="G1021" t="inlineStr">
        <is>
          <t>0</t>
        </is>
      </c>
      <c r="H1021" t="inlineStr">
        <is>
          <t>2², 34²</t>
        </is>
      </c>
      <c r="I1021" t="n">
        <v>4</v>
      </c>
      <c r="J1021" t="inlineStr">
        <is>
          <t>1², 16¹</t>
        </is>
      </c>
      <c r="K1021">
        <f>HYPERLINK("CSG1.html#group17B1", "17B¹"), =HYPERLINK("CSG3.html#group34A3", "34A³"), =HYPERLINK("CSG3.html#group34B3", "34B³")</f>
        <v/>
      </c>
      <c r="L1021">
        <f>HYPERLINK("CSG9.html#group34A9", "34A⁹"), =HYPERLINK("CSG13.html#group34C13", "34C¹³"), =HYPERLINK("CSG17.html#group102B17", "102B¹⁷"), =HYPERLINK("CSG17.html#group102C17", "102C¹⁷"), =HYPERLINK("CSG21.html#group68B21", "68B²¹"), =HYPERLINK("CSG21.html#group102B21", "102B²¹")</f>
        <v/>
      </c>
      <c r="M1021">
        <f>HYPERLINK("CSG0.html#group2A0", "2A⁰"), =HYPERLINK("CSG1.html#group17A1", "17A¹"), =HYPERLINK("CSG3.html#group34B3", "34B³"), =HYPERLINK("CSG0.html#group1A0", "1A⁰"), =HYPERLINK("CSG1.html#group17B1", "17B¹"), =HYPERLINK("CSG3.html#group34A3", "34A³")</f>
        <v/>
      </c>
      <c r="N1021">
        <f>HYPERLINK("CSG21.html#group68B21", "68B²¹"), =HYPERLINK("CSG9.html#group34A9", "34A⁹"), =HYPERLINK("CSG17.html#group34A17", "34A¹⁷"), =HYPERLINK("CSG13.html#group34C13", "34C¹³"), =HYPERLINK("CSG17.html#group102C17", "102C¹⁷"), =HYPERLINK("CSG21.html#group102B21", "102B²¹"), =HYPERLINK("CSG17.html#group102B17", "102B¹⁷")</f>
        <v/>
      </c>
    </row>
    <row r="1022">
      <c r="A1022" t="inlineStr">
        <is>
          <t>34C⁵</t>
        </is>
      </c>
      <c r="B1022" t="inlineStr"/>
      <c r="C1022" t="inlineStr">
        <is>
          <t>108</t>
        </is>
      </c>
      <c r="D1022" t="inlineStr">
        <is>
          <t>1</t>
        </is>
      </c>
      <c r="E1022" t="inlineStr">
        <is>
          <t>54</t>
        </is>
      </c>
      <c r="F1022" t="inlineStr">
        <is>
          <t>4</t>
        </is>
      </c>
      <c r="G1022" t="inlineStr">
        <is>
          <t>0</t>
        </is>
      </c>
      <c r="H1022" t="inlineStr">
        <is>
          <t>1², 2², 17², 34²</t>
        </is>
      </c>
      <c r="I1022" t="n">
        <v>8</v>
      </c>
      <c r="J1022" t="inlineStr">
        <is>
          <t>1⁶, 16³</t>
        </is>
      </c>
      <c r="K1022">
        <f>HYPERLINK("CSG1.html#group17B1", "17B¹"), =HYPERLINK("CSG3.html#group34C3", "34C³")</f>
        <v/>
      </c>
      <c r="L1022">
        <f>HYPERLINK("CSG9.html#group34B9", "34B⁹"), =HYPERLINK("CSG13.html#group34C13", "34C¹³"), =HYPERLINK("CSG13.html#group34D13", "34D¹³"), =HYPERLINK("CSG13.html#group68A13", "68A¹³"), =HYPERLINK("CSG13.html#group68B13", "68B¹³"), =HYPERLINK("CSG13.html#group68C13", "68C¹³"), =HYPERLINK("CSG13.html#group68D13", "68D¹³"), =HYPERLINK("CSG21.html#group102C21", "102C²¹")</f>
        <v/>
      </c>
      <c r="M1022">
        <f>HYPERLINK("CSG1.html#group17A1", "17A¹"), =HYPERLINK("CSG0.html#group2B0", "2B⁰"), =HYPERLINK("CSG3.html#group34C3", "34C³"), =HYPERLINK("CSG0.html#group1A0", "1A⁰"), =HYPERLINK("CSG1.html#group17B1", "17B¹")</f>
        <v/>
      </c>
      <c r="N1022">
        <f>HYPERLINK("CSG13.html#group68D13", "68D¹³"), =HYPERLINK("CSG13.html#group34C13", "34C¹³"), =HYPERLINK("CSG13.html#group68C13", "68C¹³"), =HYPERLINK("CSG13.html#group68B13", "68B¹³"), =HYPERLINK("CSG21.html#group34B21", "34B²¹"), =HYPERLINK("CSG9.html#group34B9", "34B⁹"), =HYPERLINK("CSG13.html#group34D13", "34D¹³"), =HYPERLINK("CSG21.html#group34A21", "34A²¹"), =HYPERLINK("CSG21.html#group68C21", "68C²¹"), =HYPERLINK("CSG21.html#group102C21", "102C²¹"), =HYPERLINK("CSG13.html#group68A13", "68A¹³")</f>
        <v/>
      </c>
    </row>
    <row r="1023">
      <c r="A1023" t="inlineStr">
        <is>
          <t>34D⁵</t>
        </is>
      </c>
      <c r="B1023" t="inlineStr"/>
      <c r="C1023" t="inlineStr">
        <is>
          <t>144</t>
        </is>
      </c>
      <c r="D1023" t="inlineStr">
        <is>
          <t>1</t>
        </is>
      </c>
      <c r="E1023" t="inlineStr">
        <is>
          <t>18</t>
        </is>
      </c>
      <c r="F1023" t="inlineStr">
        <is>
          <t>16</t>
        </is>
      </c>
      <c r="G1023" t="inlineStr">
        <is>
          <t>0</t>
        </is>
      </c>
      <c r="H1023" t="inlineStr">
        <is>
          <t>2⁴, 34⁴</t>
        </is>
      </c>
      <c r="I1023" t="n">
        <v>8</v>
      </c>
      <c r="J1023" t="inlineStr">
        <is>
          <t>1², 16¹</t>
        </is>
      </c>
      <c r="K1023">
        <f>HYPERLINK("CSG1.html#group17C1", "17C¹")</f>
        <v/>
      </c>
      <c r="L1023">
        <f>HYPERLINK("CSG17.html#group34A17", "34A¹⁷"), =HYPERLINK("CSG17.html#group68B17", "68B¹⁷"), =HYPERLINK("CSG21.html#group34B21", "34B²¹"), =HYPERLINK("CSG21.html#group102D21", "102D²¹")</f>
        <v/>
      </c>
      <c r="M1023">
        <f>HYPERLINK("CSG1.html#group17A1", "17A¹"), =HYPERLINK("CSG0.html#group1A0", "1A⁰"), =HYPERLINK("CSG1.html#group17C1", "17C¹"), =HYPERLINK("CSG1.html#group17B1", "17B¹")</f>
        <v/>
      </c>
      <c r="N1023">
        <f>HYPERLINK("CSG17.html#group68B17", "68B¹⁷"), =HYPERLINK("CSG21.html#group102D21", "102D²¹"), =HYPERLINK("CSG17.html#group34A17", "34A¹⁷"), =HYPERLINK("CSG21.html#group34B21", "34B²¹")</f>
        <v/>
      </c>
    </row>
    <row r="1024">
      <c r="A1024" t="inlineStr">
        <is>
          <t>35A⁵</t>
        </is>
      </c>
      <c r="B1024" t="inlineStr"/>
      <c r="C1024" t="inlineStr">
        <is>
          <t>80</t>
        </is>
      </c>
      <c r="D1024" t="inlineStr">
        <is>
          <t>1</t>
        </is>
      </c>
      <c r="E1024" t="inlineStr">
        <is>
          <t>80</t>
        </is>
      </c>
      <c r="F1024" t="inlineStr">
        <is>
          <t>0</t>
        </is>
      </c>
      <c r="G1024" t="inlineStr">
        <is>
          <t>2</t>
        </is>
      </c>
      <c r="H1024" t="inlineStr">
        <is>
          <t>5², 35²</t>
        </is>
      </c>
      <c r="I1024" t="n">
        <v>4</v>
      </c>
      <c r="J1024" t="inlineStr">
        <is>
          <t>2², 4⁴, 12¹, 24²</t>
        </is>
      </c>
      <c r="K1024">
        <f>HYPERLINK("CSG0.html#group5C0", "5C⁰"), =HYPERLINK("CSG0.html#group7B0", "7B⁰")</f>
        <v/>
      </c>
      <c r="L1024">
        <f>HYPERLINK("CSG9.html#group35C9", "35C⁹"), =HYPERLINK("CSG11.html#group70B11", "70B¹¹"), =HYPERLINK("CSG11.html#group70C11", "70C¹¹"), =HYPERLINK("CSG15.html#group35B15", "35B¹⁵"), =HYPERLINK("CSG15.html#group35C15", "35C¹⁵"), =HYPERLINK("CSG17.html#group70D17", "70D¹⁷"), =HYPERLINK("CSG18.html#group105A18", "105A¹⁸"), =HYPERLINK("CSG19.html#group105A19", "105A¹⁹"), =HYPERLINK("CSG23.html#group105A23", "105A²³")</f>
        <v/>
      </c>
      <c r="M1024">
        <f>HYPERLINK("CSG0.html#group5C0", "5C⁰"), =HYPERLINK("CSG0.html#group7B0", "7B⁰"), =HYPERLINK("CSG0.html#group1A0", "1A⁰")</f>
        <v/>
      </c>
      <c r="N1024">
        <f>HYPERLINK("CSG18.html#group105A18", "105A¹⁸"), =HYPERLINK("CSG9.html#group35C9", "35C⁹"), =HYPERLINK("CSG19.html#group105A19", "105A¹⁹"), =HYPERLINK("CSG11.html#group70C11", "70C¹¹"), =HYPERLINK("CSG23.html#group140A23", "140A²³"), =HYPERLINK("CSG23.html#group140B23", "140B²³"), =HYPERLINK("CSG15.html#group35B15", "35B¹⁵"), =HYPERLINK("CSG23.html#group105A23", "105A²³"), =HYPERLINK("CSG11.html#group70B11", "70B¹¹"), =HYPERLINK("CSG17.html#group70D17", "70D¹⁷"), =HYPERLINK("CSG17.html#group35A17", "35A¹⁷"), =HYPERLINK("CSG21.html#group70G21", "70G²¹"), =HYPERLINK("CSG21.html#group70F21", "70F²¹"), =HYPERLINK("CSG23.html#group140D23", "140D²³"), =HYPERLINK("CSG15.html#group35C15", "35C¹⁵")</f>
        <v/>
      </c>
    </row>
    <row r="1025">
      <c r="A1025" t="inlineStr">
        <is>
          <t>35B⁵</t>
        </is>
      </c>
      <c r="B1025" t="inlineStr"/>
      <c r="C1025" t="inlineStr">
        <is>
          <t>84</t>
        </is>
      </c>
      <c r="D1025" t="inlineStr">
        <is>
          <t>2</t>
        </is>
      </c>
      <c r="E1025" t="inlineStr">
        <is>
          <t>42</t>
        </is>
      </c>
      <c r="F1025" t="inlineStr">
        <is>
          <t>4</t>
        </is>
      </c>
      <c r="G1025" t="inlineStr">
        <is>
          <t>0</t>
        </is>
      </c>
      <c r="H1025" t="inlineStr">
        <is>
          <t>7², 35²</t>
        </is>
      </c>
      <c r="I1025" t="n">
        <v>4</v>
      </c>
      <c r="J1025" t="inlineStr">
        <is>
          <t>2², 6⁴, 8¹, 24²</t>
        </is>
      </c>
      <c r="K1025">
        <f>HYPERLINK("CSG0.html#group7C0", "7C⁰"), =HYPERLINK("CSG2.html#group35C2", "35C²")</f>
        <v/>
      </c>
      <c r="L1025">
        <f>HYPERLINK("CSG11.html#group35A11", "35A¹¹"), =HYPERLINK("CSG11.html#group70D11", "70D¹¹"), =HYPERLINK("CSG13.html#group35C13", "35C¹³"), =HYPERLINK("CSG13.html#group70D13", "70D¹³"), =HYPERLINK("CSG17.html#group70E17", "70E¹⁷"), =HYPERLINK("CSG17.html#group105A17", "105A¹⁷"), =HYPERLINK("CSG17.html#group105B17", "105B¹⁷"), =HYPERLINK("CSG21.html#group35B21", "35B²¹")</f>
        <v/>
      </c>
      <c r="M1025">
        <f>HYPERLINK("CSG2.html#group35C2", "35C²"), =HYPERLINK("CSG0.html#group5B0", "5B⁰"), =HYPERLINK("CSG0.html#group1A0", "1A⁰"), =HYPERLINK("CSG0.html#group7C0", "7C⁰"), =HYPERLINK("CSG0.html#group7A0", "7A⁰")</f>
        <v/>
      </c>
      <c r="N1025">
        <f>HYPERLINK("CSG17.html#group70E17", "70E¹⁷"), =HYPERLINK("CSG13.html#group35C13", "35C¹³"), =HYPERLINK("CSG17.html#group105A17", "105A¹⁷"), =HYPERLINK("CSG13.html#group70D13", "70D¹³"), =HYPERLINK("CSG11.html#group35A11", "35A¹¹"), =HYPERLINK("CSG11.html#group70D11", "70D¹¹"), =HYPERLINK("CSG21.html#group35B21", "35B²¹"), =HYPERLINK("CSG17.html#group105B17", "105B¹⁷")</f>
        <v/>
      </c>
    </row>
    <row r="1026">
      <c r="A1026" t="inlineStr">
        <is>
          <t>35C⁵</t>
        </is>
      </c>
      <c r="B1026" t="inlineStr"/>
      <c r="C1026" t="inlineStr">
        <is>
          <t>96</t>
        </is>
      </c>
      <c r="D1026" t="inlineStr">
        <is>
          <t>1</t>
        </is>
      </c>
      <c r="E1026" t="inlineStr">
        <is>
          <t>48</t>
        </is>
      </c>
      <c r="F1026" t="inlineStr">
        <is>
          <t>0</t>
        </is>
      </c>
      <c r="G1026" t="inlineStr">
        <is>
          <t>0</t>
        </is>
      </c>
      <c r="H1026" t="inlineStr">
        <is>
          <t>1², 5², 7², 35²</t>
        </is>
      </c>
      <c r="I1026" t="n">
        <v>8</v>
      </c>
      <c r="J1026" t="inlineStr">
        <is>
          <t>1⁴, 4², 6², 24¹</t>
        </is>
      </c>
      <c r="K1026">
        <f>HYPERLINK("CSG0.html#group5D0", "5D⁰"), =HYPERLINK("CSG3.html#group35A3", "35A³")</f>
        <v/>
      </c>
      <c r="L1026">
        <f>HYPERLINK("CSG9.html#group35E9", "35E⁹"), =HYPERLINK("CSG13.html#group35D13", "35D¹³"), =HYPERLINK("CSG13.html#group70E13", "70E¹³"), =HYPERLINK("CSG13.html#group70F13", "70F¹³"), =HYPERLINK("CSG17.html#group70J17", "70J¹⁷"), =HYPERLINK("CSG21.html#group105B21", "105B²¹"), =HYPERLINK("CSG21.html#group105E21", "105E²¹")</f>
        <v/>
      </c>
      <c r="M1026">
        <f>HYPERLINK("CSG0.html#group5B0", "5B⁰"), =HYPERLINK("CSG0.html#group7B0", "7B⁰"), =HYPERLINK("CSG0.html#group5D0", "5D⁰"), =HYPERLINK("CSG0.html#group1A0", "1A⁰"), =HYPERLINK("CSG3.html#group35A3", "35A³")</f>
        <v/>
      </c>
      <c r="N1026">
        <f>HYPERLINK("CSG13.html#group35D13", "35D¹³"), =HYPERLINK("CSG13.html#group70F13", "70F¹³"), =HYPERLINK("CSG9.html#group35E9", "35E⁹"), =HYPERLINK("CSG13.html#group70E13", "70E¹³"), =HYPERLINK("CSG21.html#group105E21", "105E²¹"), =HYPERLINK("CSG17.html#group70J17", "70J¹⁷"), =HYPERLINK("CSG21.html#group105B21", "105B²¹")</f>
        <v/>
      </c>
    </row>
    <row r="1027">
      <c r="A1027" t="inlineStr">
        <is>
          <t>36A⁵</t>
        </is>
      </c>
      <c r="B1027" t="inlineStr"/>
      <c r="C1027" t="inlineStr">
        <is>
          <t>72</t>
        </is>
      </c>
      <c r="D1027" t="inlineStr">
        <is>
          <t>1</t>
        </is>
      </c>
      <c r="E1027" t="inlineStr">
        <is>
          <t>12</t>
        </is>
      </c>
      <c r="F1027" t="inlineStr">
        <is>
          <t>0</t>
        </is>
      </c>
      <c r="G1027" t="inlineStr">
        <is>
          <t>0</t>
        </is>
      </c>
      <c r="H1027" t="inlineStr">
        <is>
          <t>6¹, 12¹, 18¹, 36¹</t>
        </is>
      </c>
      <c r="I1027" t="n">
        <v>4</v>
      </c>
      <c r="J1027" t="inlineStr">
        <is>
          <t>1⁶, 2³</t>
        </is>
      </c>
      <c r="K1027">
        <f>HYPERLINK("CSG1.html#group12F1", "12F¹"), =HYPERLINK("CSG2.html#group18D2", "18D²")</f>
        <v/>
      </c>
      <c r="L1027">
        <f>HYPERLINK("CSG9.html#group36C9", "36C⁹"), =HYPERLINK("CSG10.html#group36J10", "36J¹⁰"), =HYPERLINK("CSG10.html#group72C10", "72C¹⁰"), =HYPERLINK("CSG11.html#group72A11", "72A¹¹"), =HYPERLINK("CSG11.html#group72C11", "72C¹¹"), =HYPERLINK("CSG13.html#group36D13", "36D¹³"), =HYPERLINK("CSG13.html#group36J13", "36J¹³"), =HYPERLINK("CSG17.html#group108C17", "108C¹⁷"), =HYPERLINK("CSG17.html#group108A17", "108A¹⁷"), =HYPERLINK("CSG17.html#group108B17", "108B¹⁷")</f>
        <v/>
      </c>
      <c r="M1027">
        <f>HYPERLINK("CSG0.html#group3B0", "3B⁰"), =HYPERLINK("CSG1.html#group12F1", "12F¹"), =HYPERLINK("CSG0.html#group4C0", "4C⁰"), =HYPERLINK("CSG2.html#group18D2", "18D²"), =HYPERLINK("CSG0.html#group1A0", "1A⁰"), =HYPERLINK("CSG0.html#group2B0", "2B⁰"), =HYPERLINK("CSG0.html#group9C0", "9C⁰"), =HYPERLINK("CSG0.html#group6F0", "6F⁰")</f>
        <v/>
      </c>
      <c r="N1027">
        <f>HYPERLINK("CSG17.html#group108C17", "108C¹⁷"), =HYPERLINK("CSG19.html#group72A19", "72A¹⁹"), =HYPERLINK("CSG21.html#group72G21", "72G²¹"), =HYPERLINK("CSG10.html#group36J10", "36J¹⁰"), =HYPERLINK("CSG20.html#group72A20", "72A²⁰"), =HYPERLINK("CSG23.html#group144A23", "144A²³"), =HYPERLINK("CSG11.html#group72C11", "72C¹¹"), =HYPERLINK("CSG21.html#group72I21", "72I²¹"), =HYPERLINK("CSG23.html#group144E23", "144E²³"), =HYPERLINK("CSG21.html#group72E21", "72E²¹"), =HYPERLINK("CSG19.html#group72C19", "72C¹⁹"), =HYPERLINK("CSG19.html#group72M19", "72M¹⁹"), =HYPERLINK("CSG22.html#group72A22", "72A²²"), =HYPERLINK("CSG13.html#group36D13", "36D¹³"), =HYPERLINK("CSG21.html#group72A21", "72A²¹"), =HYPERLINK("CSG23.html#group144I23", "144I²³"), =HYPERLINK("CSG21.html#group72K21", "72K²¹"), =HYPERLINK("CSG17.html#group108B17", "108B¹⁷"), =HYPERLINK("CSG17.html#group108A17", "108A¹⁷"), =HYPERLINK("CSG23.html#group144M23", "144M²³"), =HYPERLINK("CSG19.html#group36C19", "36C¹⁹"), =HYPERLINK("CSG23.html#group144O23", "144O²³"), =HYPERLINK("CSG13.html#group36J13", "36J¹³"), =HYPERLINK("CSG9.html#group36C9", "36C⁹"), =HYPERLINK("CSG22.html#group144A22", "144A²²"), =HYPERLINK("CSG10.html#group72C10", "72C¹⁰"), =HYPERLINK("CSG23.html#group144K23", "144K²³"), =HYPERLINK("CSG11.html#group72A11", "72A¹¹"), =HYPERLINK("CSG19.html#group36A19", "36A¹⁹"), =HYPERLINK("CSG20.html#group144A20", "144A²⁰"), =HYPERLINK("CSG23.html#group144C23", "144C²³"), =HYPERLINK("CSG23.html#group144G23", "144G²³"), =HYPERLINK("CSG21.html#group72C21", "72C²¹"), =HYPERLINK("CSG17.html#group36A17", "36A¹⁷"), =HYPERLINK("CSG19.html#group72K19", "72K¹⁹")</f>
        <v/>
      </c>
    </row>
    <row r="1028">
      <c r="A1028" t="inlineStr">
        <is>
          <t>36B⁵</t>
        </is>
      </c>
      <c r="B1028" t="inlineStr"/>
      <c r="C1028" t="inlineStr">
        <is>
          <t>72</t>
        </is>
      </c>
      <c r="D1028" t="inlineStr">
        <is>
          <t>1</t>
        </is>
      </c>
      <c r="E1028" t="inlineStr">
        <is>
          <t>12</t>
        </is>
      </c>
      <c r="F1028" t="inlineStr">
        <is>
          <t>0</t>
        </is>
      </c>
      <c r="G1028" t="inlineStr">
        <is>
          <t>0</t>
        </is>
      </c>
      <c r="H1028" t="inlineStr">
        <is>
          <t>6¹, 12¹, 18¹, 36¹</t>
        </is>
      </c>
      <c r="I1028" t="n">
        <v>4</v>
      </c>
      <c r="J1028" t="inlineStr">
        <is>
          <t>1⁶, 2³</t>
        </is>
      </c>
      <c r="K1028">
        <f>HYPERLINK("CSG1.html#group12F1", "12F¹"), =HYPERLINK("CSG2.html#group18E2", "18E²")</f>
        <v/>
      </c>
      <c r="L1028">
        <f>HYPERLINK("CSG9.html#group36D9", "36D⁹"), =HYPERLINK("CSG10.html#group36K10", "36K¹⁰"), =HYPERLINK("CSG10.html#group72D10", "72D¹⁰"), =HYPERLINK("CSG11.html#group72B11", "72B¹¹"), =HYPERLINK("CSG11.html#group72D11", "72D¹¹"), =HYPERLINK("CSG13.html#group36D13", "36D¹³"), =HYPERLINK("CSG13.html#group36K13", "36K¹³")</f>
        <v/>
      </c>
      <c r="M1028">
        <f>HYPERLINK("CSG0.html#group3B0", "3B⁰"), =HYPERLINK("CSG1.html#group12F1", "12F¹"), =HYPERLINK("CSG0.html#group4C0", "4C⁰"), =HYPERLINK("CSG2.html#group18E2", "18E²"), =HYPERLINK("CSG1.html#group9A1", "9A¹"), =HYPERLINK("CSG0.html#group1A0", "1A⁰"), =HYPERLINK("CSG0.html#group2B0", "2B⁰"), =HYPERLINK("CSG0.html#group6F0", "6F⁰")</f>
        <v/>
      </c>
      <c r="N1028">
        <f>HYPERLINK("CSG21.html#group72F21", "72F²¹"), =HYPERLINK("CSG23.html#group144N23", "144N²³"), =HYPERLINK("CSG21.html#group72J21", "72J²¹"), =HYPERLINK("CSG23.html#group144H23", "144H²³"), =HYPERLINK("CSG22.html#group144B22", "144B²²"), =HYPERLINK("CSG21.html#group72D21", "72D²¹"), =HYPERLINK("CSG19.html#group72B19", "72B¹⁹"), =HYPERLINK("CSG17.html#group36B17", "36B¹⁷"), =HYPERLINK("CSG13.html#group36D13", "36D¹³"), =HYPERLINK("CSG22.html#group72B22", "72B²²"), =HYPERLINK("CSG19.html#group72D19", "72D¹⁹"), =HYPERLINK("CSG19.html#group36B19", "36B¹⁹"), =HYPERLINK("CSG10.html#group36K10", "36K¹⁰"), =HYPERLINK("CSG13.html#group36K13", "36K¹³"), =HYPERLINK("CSG21.html#group72B21", "72B²¹"), =HYPERLINK("CSG21.html#group72H21", "72H²¹"), =HYPERLINK("CSG20.html#group72B20", "72B²⁰"), =HYPERLINK("CSG9.html#group36D9", "36D⁹"), =HYPERLINK("CSG20.html#group144B20", "144B²⁰"), =HYPERLINK("CSG23.html#group144F23", "144F²³"), =HYPERLINK("CSG23.html#group144B23", "144B²³"), =HYPERLINK("CSG19.html#group72N19", "72N¹⁹"), =HYPERLINK("CSG19.html#group72L19", "72L¹⁹"), =HYPERLINK("CSG23.html#group144L23", "144L²³"), =HYPERLINK("CSG11.html#group72D11", "72D¹¹"), =HYPERLINK("CSG23.html#group144J23", "144J²³"), =HYPERLINK("CSG10.html#group72D10", "72D¹⁰"), =HYPERLINK("CSG21.html#group72L21", "72L²¹"), =HYPERLINK("CSG19.html#group36D19", "36D¹⁹"), =HYPERLINK("CSG23.html#group144D23", "144D²³"), =HYPERLINK("CSG23.html#group144P23", "144P²³"), =HYPERLINK("CSG11.html#group72B11", "72B¹¹")</f>
        <v/>
      </c>
    </row>
    <row r="1029">
      <c r="A1029" t="inlineStr">
        <is>
          <t>36C⁵</t>
        </is>
      </c>
      <c r="B1029" t="inlineStr"/>
      <c r="C1029" t="inlineStr">
        <is>
          <t>72</t>
        </is>
      </c>
      <c r="D1029" t="inlineStr">
        <is>
          <t>2</t>
        </is>
      </c>
      <c r="E1029" t="inlineStr">
        <is>
          <t>18</t>
        </is>
      </c>
      <c r="F1029" t="inlineStr">
        <is>
          <t>4</t>
        </is>
      </c>
      <c r="G1029" t="inlineStr">
        <is>
          <t>0</t>
        </is>
      </c>
      <c r="H1029" t="inlineStr">
        <is>
          <t>36²</t>
        </is>
      </c>
      <c r="I1029" t="n">
        <v>2</v>
      </c>
      <c r="J1029" t="inlineStr">
        <is>
          <t>4³, 12²</t>
        </is>
      </c>
      <c r="K1029">
        <f>HYPERLINK("CSG1.html#group12D1", "12D¹"), =HYPERLINK("CSG2.html#group18G2", "18G²")</f>
        <v/>
      </c>
      <c r="L1029">
        <f>HYPERLINK("CSG11.html#group36A11", "36A¹¹"), =HYPERLINK("CSG13.html#group36O13", "36O¹³"), =HYPERLINK("CSG15.html#group36E15", "36E¹⁵"), =HYPERLINK("CSG15.html#group36L15", "36L¹⁵"), =HYPERLINK("CSG15.html#group36O15", "36O¹⁵"), =HYPERLINK("CSG19.html#group36K19", "36K¹⁹")</f>
        <v/>
      </c>
      <c r="M1029">
        <f>HYPERLINK("CSG1.html#group12D1", "12D¹"), =HYPERLINK("CSG0.html#group6B0", "6B⁰"), =HYPERLINK("CSG0.html#group6E0", "6E⁰"), =HYPERLINK("CSG1.html#group9B1", "9B¹"), =HYPERLINK("CSG0.html#group9A0", "9A⁰"), =HYPERLINK("CSG0.html#group3C0", "3C⁰"), =HYPERLINK("CSG2.html#group18G2", "18G²"), =HYPERLINK("CSG0.html#group3A0", "3A⁰"), =HYPERLINK("CSG0.html#group1A0", "1A⁰"), =HYPERLINK("CSG0.html#group18A0", "18A⁰"), =HYPERLINK("CSG1.html#group18A1", "18A¹")</f>
        <v/>
      </c>
      <c r="N1029">
        <f>HYPERLINK("CSG15.html#group36O15", "36O¹⁵"), =HYPERLINK("CSG15.html#group36L15", "36L¹⁵"), =HYPERLINK("CSG15.html#group36E15", "36E¹⁵"), =HYPERLINK("CSG19.html#group36K19", "36K¹⁹"), =HYPERLINK("CSG13.html#group36O13", "36O¹³"), =HYPERLINK("CSG11.html#group36A11", "36A¹¹")</f>
        <v/>
      </c>
    </row>
    <row r="1030">
      <c r="A1030" t="inlineStr">
        <is>
          <t>36D⁵</t>
        </is>
      </c>
      <c r="B1030" t="inlineStr"/>
      <c r="C1030" t="inlineStr">
        <is>
          <t>72</t>
        </is>
      </c>
      <c r="D1030" t="inlineStr">
        <is>
          <t>2</t>
        </is>
      </c>
      <c r="E1030" t="inlineStr">
        <is>
          <t>36</t>
        </is>
      </c>
      <c r="F1030" t="inlineStr">
        <is>
          <t>4</t>
        </is>
      </c>
      <c r="G1030" t="inlineStr">
        <is>
          <t>0</t>
        </is>
      </c>
      <c r="H1030" t="inlineStr">
        <is>
          <t>36²</t>
        </is>
      </c>
      <c r="I1030" t="n">
        <v>2</v>
      </c>
      <c r="J1030" t="inlineStr">
        <is>
          <t>4⁶, 12⁴</t>
        </is>
      </c>
      <c r="K1030">
        <f>HYPERLINK("CSG1.html#group12D1", "12D¹"), =HYPERLINK("CSG2.html#group18H2", "18H²")</f>
        <v/>
      </c>
      <c r="L1030">
        <f>HYPERLINK("CSG11.html#group36B11", "36B¹¹"), =HYPERLINK("CSG13.html#group36Q13", "36Q¹³"), =HYPERLINK("CSG15.html#group36G15", "36G¹⁵"), =HYPERLINK("CSG15.html#group36H15", "36H¹⁵"), =HYPERLINK("CSG15.html#group36L15", "36L¹⁵"), =HYPERLINK("CSG15.html#group36O15", "36O¹⁵"), =HYPERLINK("CSG19.html#group36L19", "36L¹⁹")</f>
        <v/>
      </c>
      <c r="M1030">
        <f>HYPERLINK("CSG1.html#group12D1", "12D¹"), =HYPERLINK("CSG0.html#group6B0", "6B⁰"), =HYPERLINK("CSG2.html#group18H2", "18H²"), =HYPERLINK("CSG0.html#group6E0", "6E⁰"), =HYPERLINK("CSG1.html#group18B1", "18B¹"), =HYPERLINK("CSG0.html#group3C0", "3C⁰"), =HYPERLINK("CSG0.html#group3A0", "3A⁰"), =HYPERLINK("CSG0.html#group1A0", "1A⁰")</f>
        <v/>
      </c>
      <c r="N1030">
        <f>HYPERLINK("CSG15.html#group36O15", "36O¹⁵"), =HYPERLINK("CSG15.html#group36L15", "36L¹⁵"), =HYPERLINK("CSG13.html#group36Q13", "36Q¹³"), =HYPERLINK("CSG15.html#group36H15", "36H¹⁵"), =HYPERLINK("CSG11.html#group36B11", "36B¹¹"), =HYPERLINK("CSG15.html#group36G15", "36G¹⁵"), =HYPERLINK("CSG19.html#group36L19", "36L¹⁹")</f>
        <v/>
      </c>
    </row>
    <row r="1031">
      <c r="A1031" t="inlineStr">
        <is>
          <t>36E⁵</t>
        </is>
      </c>
      <c r="B1031" t="inlineStr"/>
      <c r="C1031" t="inlineStr">
        <is>
          <t>72</t>
        </is>
      </c>
      <c r="D1031" t="inlineStr">
        <is>
          <t>2</t>
        </is>
      </c>
      <c r="E1031" t="inlineStr">
        <is>
          <t>36</t>
        </is>
      </c>
      <c r="F1031" t="inlineStr">
        <is>
          <t>4</t>
        </is>
      </c>
      <c r="G1031" t="inlineStr">
        <is>
          <t>0</t>
        </is>
      </c>
      <c r="H1031" t="inlineStr">
        <is>
          <t>36²</t>
        </is>
      </c>
      <c r="I1031" t="n">
        <v>2</v>
      </c>
      <c r="J1031" t="inlineStr">
        <is>
          <t>4⁶, 12⁴</t>
        </is>
      </c>
      <c r="K1031">
        <f>HYPERLINK("CSG1.html#group9B1", "9B¹"), =HYPERLINK("CSG1.html#group12G1", "12G¹"), =HYPERLINK("CSG1.html#group36A1", "36A¹")</f>
        <v/>
      </c>
      <c r="L1031">
        <f>HYPERLINK("CSG9.html#group36K9", "36K⁹"), =HYPERLINK("CSG11.html#group36C11", "36C¹¹"), =HYPERLINK("CSG11.html#group36F11", "36F¹¹"), =HYPERLINK("CSG11.html#group72G11", "72G¹¹"), =HYPERLINK("CSG11.html#group72H11", "72H¹¹"), =HYPERLINK("CSG11.html#group72E11", "72E¹¹"), =HYPERLINK("CSG11.html#group72F11", "72F¹¹"), =HYPERLINK("CSG13.html#group36R13", "36R¹³"), =HYPERLINK("CSG15.html#group36F15", "36F¹⁵"), =HYPERLINK("CSG15.html#group36N15", "36N¹⁵"), =HYPERLINK("CSG21.html#group72W21", "72W²¹")</f>
        <v/>
      </c>
      <c r="M1031">
        <f>HYPERLINK("CSG1.html#group12G1", "12G¹"), =HYPERLINK("CSG1.html#group36A1", "36A¹"), =HYPERLINK("CSG0.html#group12A0", "12A⁰"), =HYPERLINK("CSG0.html#group4A0", "4A⁰"), =HYPERLINK("CSG0.html#group9A0", "9A⁰"), =HYPERLINK("CSG0.html#group3C0", "3C⁰"), =HYPERLINK("CSG0.html#group3A0", "3A⁰"), =HYPERLINK("CSG0.html#group1A0", "1A⁰"), =HYPERLINK("CSG1.html#group9B1", "9B¹")</f>
        <v/>
      </c>
      <c r="N1031">
        <f>HYPERLINK("CSG15.html#group36N15", "36N¹⁵"), =HYPERLINK("CSG11.html#group36C11", "36C¹¹"), =HYPERLINK("CSG11.html#group36F11", "36F¹¹"), =HYPERLINK("CSG11.html#group72G11", "72G¹¹"), =HYPERLINK("CSG11.html#group72E11", "72E¹¹"), =HYPERLINK("CSG9.html#group36K9", "36K⁹"), =HYPERLINK("CSG21.html#group72S21", "72S²¹"), =HYPERLINK("CSG23.html#group72F23", "72F²³"), =HYPERLINK("CSG23.html#group144T23", "144T²³"), =HYPERLINK("CSG11.html#group72H11", "72H¹¹"), =HYPERLINK("CSG23.html#group144Q23", "144Q²³"), =HYPERLINK("CSG23.html#group144R23", "144R²³"), =HYPERLINK("CSG23.html#group72H23", "72H²³"), =HYPERLINK("CSG21.html#group72Q21", "72Q²¹"), =HYPERLINK("CSG23.html#group72G23", "72G²³"), =HYPERLINK("CSG19.html#group36K19", "36K¹⁹"), =HYPERLINK("CSG21.html#group36A21", "36A²¹"), =HYPERLINK("CSG15.html#group36F15", "36F¹⁵"), =HYPERLINK("CSG21.html#group72P21", "72P²¹"), =HYPERLINK("CSG23.html#group144S23", "144S²³"), =HYPERLINK("CSG21.html#group72W21", "72W²¹"), =HYPERLINK("CSG11.html#group72F11", "72F¹¹"), =HYPERLINK("CSG13.html#group36R13", "36R¹³")</f>
        <v/>
      </c>
    </row>
    <row r="1032">
      <c r="A1032" t="inlineStr">
        <is>
          <t>36F⁵</t>
        </is>
      </c>
      <c r="B1032" t="inlineStr"/>
      <c r="C1032" t="inlineStr">
        <is>
          <t>96</t>
        </is>
      </c>
      <c r="D1032" t="inlineStr">
        <is>
          <t>1</t>
        </is>
      </c>
      <c r="E1032" t="inlineStr">
        <is>
          <t>16</t>
        </is>
      </c>
      <c r="F1032" t="inlineStr">
        <is>
          <t>0</t>
        </is>
      </c>
      <c r="G1032" t="inlineStr">
        <is>
          <t>0</t>
        </is>
      </c>
      <c r="H1032" t="inlineStr">
        <is>
          <t>4⁶, 36²</t>
        </is>
      </c>
      <c r="I1032" t="n">
        <v>8</v>
      </c>
      <c r="J1032" t="inlineStr">
        <is>
          <t>2⁴, 4²</t>
        </is>
      </c>
      <c r="K1032">
        <f>HYPERLINK("CSG1.html#group12I1", "12I¹"), =HYPERLINK("CSG1.html#group18C1", "18C¹"), =HYPERLINK("CSG3.html#group36B3", "36B³")</f>
        <v/>
      </c>
      <c r="L1032">
        <f>HYPERLINK("CSG9.html#group36M9", "36M⁹"), =HYPERLINK("CSG13.html#group36T13", "36T¹³"), =HYPERLINK("CSG13.html#group72A13", "72A¹³"), =HYPERLINK("CSG13.html#group72B13", "72B¹³"), =HYPERLINK("CSG17.html#group36D17", "36D¹⁷"), =HYPERLINK("CSG17.html#group36G17", "36G¹⁷"), =HYPERLINK("CSG17.html#group108D17", "108D¹⁷"), =HYPERLINK("CSG17.html#group108E17", "108E¹⁷"), =HYPERLINK("CSG19.html#group36E19", "36E¹⁹"), =HYPERLINK("CSG19.html#group36G19", "36G¹⁹"), =HYPERLINK("CSG19.html#group108A19", "108A¹⁹"), =HYPERLINK("CSG19.html#group108C19", "108C¹⁹"), =HYPERLINK("CSG21.html#group108A21", "108A²¹"), =HYPERLINK("CSG21.html#group108C21", "108C²¹")</f>
        <v/>
      </c>
      <c r="M1032">
        <f>HYPERLINK("CSG0.html#group3B0", "3B⁰"), =HYPERLINK("CSG0.html#group2A0", "2A⁰"), =HYPERLINK("CSG1.html#group12I1", "12I¹"), =HYPERLINK("CSG0.html#group4A0", "4A⁰"), =HYPERLINK("CSG1.html#group18C1", "18C¹"), =HYPERLINK("CSG1.html#group12A1", "12A¹"), =HYPERLINK("CSG0.html#group6C0", "6C⁰"), =HYPERLINK("CSG0.html#group4D0", "4D⁰"), =HYPERLINK("CSG0.html#group9B0", "9B⁰"), =HYPERLINK("CSG3.html#group36B3", "36B³"), =HYPERLINK("CSG0.html#group1A0", "1A⁰")</f>
        <v/>
      </c>
      <c r="N1032">
        <f>HYPERLINK("CSG21.html#group108A21", "108A²¹"), =HYPERLINK("CSG17.html#group108E17", "108E¹⁷"), =HYPERLINK("CSG21.html#group108C21", "108C²¹"), =HYPERLINK("CSG19.html#group36E19", "36E¹⁹"), =HYPERLINK("CSG19.html#group108C19", "108C¹⁹"), =HYPERLINK("CSG13.html#group36T13", "36T¹³"), =HYPERLINK("CSG19.html#group108A19", "108A¹⁹"), =HYPERLINK("CSG17.html#group36G17", "36G¹⁷"), =HYPERLINK("CSG17.html#group36D17", "36D¹⁷"), =HYPERLINK("CSG19.html#group36G19", "36G¹⁹"), =HYPERLINK("CSG17.html#group108D17", "108D¹⁷"), =HYPERLINK("CSG13.html#group72B13", "72B¹³"), =HYPERLINK("CSG9.html#group36M9", "36M⁹"), =HYPERLINK("CSG13.html#group72A13", "72A¹³")</f>
        <v/>
      </c>
    </row>
    <row r="1033">
      <c r="A1033" t="inlineStr">
        <is>
          <t>36G⁵</t>
        </is>
      </c>
      <c r="B1033" t="inlineStr"/>
      <c r="C1033" t="inlineStr">
        <is>
          <t>96</t>
        </is>
      </c>
      <c r="D1033" t="inlineStr">
        <is>
          <t>1</t>
        </is>
      </c>
      <c r="E1033" t="inlineStr">
        <is>
          <t>16</t>
        </is>
      </c>
      <c r="F1033" t="inlineStr">
        <is>
          <t>0</t>
        </is>
      </c>
      <c r="G1033" t="inlineStr">
        <is>
          <t>6</t>
        </is>
      </c>
      <c r="H1033" t="inlineStr">
        <is>
          <t>12², 36²</t>
        </is>
      </c>
      <c r="I1033" t="n">
        <v>4</v>
      </c>
      <c r="J1033" t="inlineStr">
        <is>
          <t>2⁴, 4²</t>
        </is>
      </c>
      <c r="K1033">
        <f>HYPERLINK("CSG0.html#group18B0", "18B⁰"), =HYPERLINK("CSG1.html#group12I1", "12I¹"), =HYPERLINK("CSG3.html#group36C3", "36C³")</f>
        <v/>
      </c>
      <c r="L1033">
        <f>HYPERLINK("CSG9.html#group36N9", "36N⁹"), =HYPERLINK("CSG11.html#group72I11", "72I¹¹"), =HYPERLINK("CSG11.html#group72J11", "72J¹¹"), =HYPERLINK("CSG16.html#group36F16", "36F¹⁶"), =HYPERLINK("CSG17.html#group36F17", "36F¹⁷"), =HYPERLINK("CSG17.html#group36H17", "36H¹⁷"), =HYPERLINK("CSG19.html#group36A19", "36A¹⁹"), =HYPERLINK("CSG19.html#group36E19", "36E¹⁹"), =HYPERLINK("CSG19.html#group108B19", "108B¹⁹"), =HYPERLINK("CSG20.html#group108A20", "108A²⁰"), =HYPERLINK("CSG21.html#group108B21", "108B²¹"), =HYPERLINK("CSG21.html#group108D21", "108D²¹"), =HYPERLINK("CSG22.html#group108A22", "108A²²"), =HYPERLINK("CSG23.html#group108A23", "108A²³")</f>
        <v/>
      </c>
      <c r="M1033">
        <f>HYPERLINK("CSG0.html#group3B0", "3B⁰"), =HYPERLINK("CSG0.html#group2A0", "2A⁰"), =HYPERLINK("CSG1.html#group12I1", "12I¹"), =HYPERLINK("CSG0.html#group18B0", "18B⁰"), =HYPERLINK("CSG0.html#group4A0", "4A⁰"), =HYPERLINK("CSG0.html#group4D0", "4D⁰"), =HYPERLINK("CSG0.html#group6C0", "6C⁰"), =HYPERLINK("CSG1.html#group12A1", "12A¹"), =HYPERLINK("CSG0.html#group9C0", "9C⁰"), =HYPERLINK("CSG0.html#group1A0", "1A⁰"), =HYPERLINK("CSG3.html#group36C3", "36C³")</f>
        <v/>
      </c>
      <c r="N1033">
        <f>HYPERLINK("CSG20.html#group108A20", "108A²⁰"), =HYPERLINK("CSG21.html#group72Y21", "72Y²¹"), =HYPERLINK("CSG23.html#group144V23", "144V²³"), =HYPERLINK("CSG17.html#group36H17", "36H¹⁷"), =HYPERLINK("CSG11.html#group72J11", "72J¹¹"), =HYPERLINK("CSG19.html#group36E19", "36E¹⁹"), =HYPERLINK("CSG23.html#group144U23", "144U²³"), =HYPERLINK("CSG19.html#group36A19", "36A¹⁹"), =HYPERLINK("CSG16.html#group36F16", "36F¹⁶"), =HYPERLINK("CSG9.html#group36N9", "36N⁹"), =HYPERLINK("CSG23.html#group108A23", "108A²³"), =HYPERLINK("CSG21.html#group108D21", "108D²¹"), =HYPERLINK("CSG19.html#group108B19", "108B¹⁹"), =HYPERLINK("CSG21.html#group108B21", "108B²¹"), =HYPERLINK("CSG11.html#group72I11", "72I¹¹"), =HYPERLINK("CSG22.html#group108A22", "108A²²"), =HYPERLINK("CSG17.html#group36F17", "36F¹⁷")</f>
        <v/>
      </c>
    </row>
    <row r="1034">
      <c r="A1034" t="inlineStr">
        <is>
          <t>36H⁵</t>
        </is>
      </c>
      <c r="B1034" t="inlineStr"/>
      <c r="C1034" t="inlineStr">
        <is>
          <t>108</t>
        </is>
      </c>
      <c r="D1034" t="inlineStr">
        <is>
          <t>1</t>
        </is>
      </c>
      <c r="E1034" t="inlineStr">
        <is>
          <t>9</t>
        </is>
      </c>
      <c r="F1034" t="inlineStr">
        <is>
          <t>12</t>
        </is>
      </c>
      <c r="G1034" t="inlineStr">
        <is>
          <t>0</t>
        </is>
      </c>
      <c r="H1034" t="inlineStr">
        <is>
          <t>18², 36²</t>
        </is>
      </c>
      <c r="I1034" t="n">
        <v>4</v>
      </c>
      <c r="J1034" t="inlineStr">
        <is>
          <t>1³, 2³</t>
        </is>
      </c>
      <c r="K1034">
        <f>HYPERLINK("CSG1.html#group12L1", "12L¹"), =HYPERLINK("CSG2.html#group18I2", "18I²"), =HYPERLINK("CSG2.html#group36B2", "36B²"), =HYPERLINK("CSG3.html#group36E3", "36E³")</f>
        <v/>
      </c>
      <c r="L1034">
        <f>HYPERLINK("CSG9.html#group36O9", "36O⁹"), =HYPERLINK("CSG11.html#group72M11", "72M¹¹"), =HYPERLINK("CSG11.html#group72N11", "72N¹¹"), =HYPERLINK("CSG13.html#group36H13", "36H¹³"), =HYPERLINK("CSG13.html#group36I13", "36I¹³"), =HYPERLINK("CSG13.html#group72G13", "72G¹³"), =HYPERLINK("CSG13.html#group72H13", "72H¹³"), =HYPERLINK("CSG15.html#group36A15", "36A¹⁵"), =HYPERLINK("CSG15.html#group36D15", "36D¹⁵"), =HYPERLINK("CSG17.html#group72A17", "72A¹⁷"), =HYPERLINK("CSG17.html#group72B17", "72B¹⁷"), =HYPERLINK("CSG19.html#group36N19", "36N¹⁹"), =HYPERLINK("CSG19.html#group36R19", "36R¹⁹")</f>
        <v/>
      </c>
      <c r="M1034">
        <f>HYPERLINK("CSG0.html#group12C0", "12C⁰"), =HYPERLINK("CSG3.html#group36E3", "36E³"), =HYPERLINK("CSG2.html#group36B2", "36B²"), =HYPERLINK("CSG0.html#group4C0", "4C⁰"), =HYPERLINK("CSG0.html#group6G0", "6G⁰"), =HYPERLINK("CSG0.html#group2B0", "2B⁰"), =HYPERLINK("CSG0.html#group1A0", "1A⁰"), =HYPERLINK("CSG1.html#group12L1", "12L¹"), =HYPERLINK("CSG0.html#group9D0", "9D⁰"), =HYPERLINK("CSG1.html#group12C1", "12C¹"), =HYPERLINK("CSG0.html#group9A0", "9A⁰"), =HYPERLINK("CSG0.html#group3C0", "3C⁰"), =HYPERLINK("CSG1.html#group18E1", "18E¹"), =HYPERLINK("CSG0.html#group3A0", "3A⁰"), =HYPERLINK("CSG2.html#group18I2", "18I²"), =HYPERLINK("CSG0.html#group6D0", "6D⁰")</f>
        <v/>
      </c>
      <c r="N1034">
        <f>HYPERLINK("CSG21.html#group72AA21", "72AA²¹"), =HYPERLINK("CSG23.html#group144X23", "144X²³"), =HYPERLINK("CSG13.html#group36I13", "36I¹³"), =HYPERLINK("CSG23.html#group144W23", "144W²³"), =HYPERLINK("CSG19.html#group36R19", "36R¹⁹"), =HYPERLINK("CSG23.html#group36A23", "36A²³"), =HYPERLINK("CSG13.html#group36H13", "36H¹³"), =HYPERLINK("CSG15.html#group36A15", "36A¹⁵"), =HYPERLINK("CSG9.html#group36O9", "36O⁹"), =HYPERLINK("CSG13.html#group72G13", "72G¹³"), =HYPERLINK("CSG15.html#group36D15", "36D¹⁵"), =HYPERLINK("CSG17.html#group72B17", "72B¹⁷"), =HYPERLINK("CSG13.html#group72H13", "72H¹³"), =HYPERLINK("CSG11.html#group72M11", "72M¹¹"), =HYPERLINK("CSG17.html#group72A17", "72A¹⁷"), =HYPERLINK("CSG19.html#group36N19", "36N¹⁹"), =HYPERLINK("CSG11.html#group72N11", "72N¹¹")</f>
        <v/>
      </c>
    </row>
    <row r="1035">
      <c r="A1035" t="inlineStr">
        <is>
          <t>36I⁵</t>
        </is>
      </c>
      <c r="B1035" t="inlineStr"/>
      <c r="C1035" t="inlineStr">
        <is>
          <t>108</t>
        </is>
      </c>
      <c r="D1035" t="inlineStr">
        <is>
          <t>1</t>
        </is>
      </c>
      <c r="E1035" t="inlineStr">
        <is>
          <t>54</t>
        </is>
      </c>
      <c r="F1035" t="inlineStr">
        <is>
          <t>4</t>
        </is>
      </c>
      <c r="G1035" t="inlineStr">
        <is>
          <t>0</t>
        </is>
      </c>
      <c r="H1035" t="inlineStr">
        <is>
          <t>6³, 12³, 18¹, 36¹</t>
        </is>
      </c>
      <c r="I1035" t="n">
        <v>8</v>
      </c>
      <c r="J1035" t="inlineStr">
        <is>
          <t>1³, 2³, 3³, 6⁶</t>
        </is>
      </c>
      <c r="K1035">
        <f>HYPERLINK("CSG1.html#group12L1", "12L¹"), =HYPERLINK("CSG1.html#group18I1", "18I¹")</f>
        <v/>
      </c>
      <c r="L1035">
        <f>HYPERLINK("CSG9.html#group36P9", "36P⁹"), =HYPERLINK("CSG11.html#group36I11", "36I¹¹"), =HYPERLINK("CSG11.html#group36N11", "36N¹¹"), =HYPERLINK("CSG12.html#group36C12", "36C¹²"), =HYPERLINK("CSG12.html#group36D12", "36D¹²"), =HYPERLINK("CSG12.html#group72I12", "72I¹²"), =HYPERLINK("CSG12.html#group72H12", "72H¹²"), =HYPERLINK("CSG13.html#group72K13", "72K¹³"), =HYPERLINK("CSG13.html#group72J13", "72J¹³"), =HYPERLINK("CSG15.html#group72H15", "72H¹⁵"), =HYPERLINK("CSG15.html#group72I15", "72I¹⁵"), =HYPERLINK("CSG19.html#group36N19", "36N¹⁹"), =HYPERLINK("CSG21.html#group36C21", "36C²¹")</f>
        <v/>
      </c>
      <c r="M1035">
        <f>HYPERLINK("CSG0.html#group12C0", "12C⁰"), =HYPERLINK("CSG1.html#group12C1", "12C¹"), =HYPERLINK("CSG1.html#group18I1", "18I¹"), =HYPERLINK("CSG0.html#group4C0", "4C⁰"), =HYPERLINK("CSG0.html#group6G0", "6G⁰"), =HYPERLINK("CSG0.html#group3C0", "3C⁰"), =HYPERLINK("CSG0.html#group1A0", "1A⁰"), =HYPERLINK("CSG0.html#group2B0", "2B⁰"), =HYPERLINK("CSG0.html#group9E0", "9E⁰"), =HYPERLINK("CSG0.html#group3A0", "3A⁰"), =HYPERLINK("CSG1.html#group12L1", "12L¹"), =HYPERLINK("CSG0.html#group6D0", "6D⁰")</f>
        <v/>
      </c>
      <c r="N1035">
        <f>HYPERLINK("CSG21.html#group36E21", "36E²¹"), =HYPERLINK("CSG13.html#group72K13", "72K¹³"), =HYPERLINK("CSG12.html#group36D12", "36D¹²"), =HYPERLINK("CSG15.html#group72H15", "72H¹⁵"), =HYPERLINK("CSG13.html#group72J13", "72J¹³"), =HYPERLINK("CSG9.html#group36P9", "36P⁹"), =HYPERLINK("CSG11.html#group36I11", "36I¹¹"), =HYPERLINK("CSG19.html#group36N19", "36N¹⁹"), =HYPERLINK("CSG12.html#group72I12", "72I¹²"), =HYPERLINK("CSG23.html#group36B23", "36B²³"), =HYPERLINK("CSG23.html#group36D23", "36D²³"), =HYPERLINK("CSG23.html#group72J23", "72J²³"), =HYPERLINK("CSG23.html#group72K23", "72K²³"), =HYPERLINK("CSG23.html#group72I23", "72I²³"), =HYPERLINK("CSG15.html#group72I15", "72I¹⁵"), =HYPERLINK("CSG12.html#group36C12", "36C¹²"), =HYPERLINK("CSG11.html#group36N11", "36N¹¹"), =HYPERLINK("CSG12.html#group72H12", "72H¹²"), =HYPERLINK("CSG19.html#group36U19", "36U¹⁹"), =HYPERLINK("CSG23.html#group36C23", "36C²³"), =HYPERLINK("CSG21.html#group36C21", "36C²¹")</f>
        <v/>
      </c>
    </row>
    <row r="1036">
      <c r="A1036" t="inlineStr">
        <is>
          <t>36J⁵</t>
        </is>
      </c>
      <c r="B1036" t="inlineStr"/>
      <c r="C1036" t="inlineStr">
        <is>
          <t>108</t>
        </is>
      </c>
      <c r="D1036" t="inlineStr">
        <is>
          <t>1</t>
        </is>
      </c>
      <c r="E1036" t="inlineStr">
        <is>
          <t>108</t>
        </is>
      </c>
      <c r="F1036" t="inlineStr">
        <is>
          <t>14</t>
        </is>
      </c>
      <c r="G1036" t="inlineStr">
        <is>
          <t>0</t>
        </is>
      </c>
      <c r="H1036" t="inlineStr">
        <is>
          <t>36³</t>
        </is>
      </c>
      <c r="I1036" t="n">
        <v>3</v>
      </c>
      <c r="J1036" t="inlineStr">
        <is>
          <t>6², 12⁸</t>
        </is>
      </c>
      <c r="K1036">
        <f>HYPERLINK("CSG0.html#group9G0", "9G⁰"), =HYPERLINK("CSG1.html#group36A1", "36A¹")</f>
        <v/>
      </c>
      <c r="L1036">
        <f>HYPERLINK("CSG10.html#group36T10", "36T¹⁰"), =HYPERLINK("CSG12.html#group36G12", "36G¹²"), =HYPERLINK("CSG13.html#group36R13", "36R¹³"), =HYPERLINK("CSG14.html#group72L14", "72L¹⁴"), =HYPERLINK("CSG14.html#group72M14", "72M¹⁴"), =HYPERLINK("CSG14.html#group72N14", "72N¹⁴"), =HYPERLINK("CSG14.html#group72O14", "72O¹⁴"), =HYPERLINK("CSG15.html#group36F15", "36F¹⁵"), =HYPERLINK("CSG16.html#group36D16", "36D¹⁶"), =HYPERLINK("CSG19.html#group36P19", "36P¹⁹"), =HYPERLINK("CSG20.html#group36B20", "36B²⁰"), =HYPERLINK("CSG20.html#group108B20", "108B²⁰")</f>
        <v/>
      </c>
      <c r="M1036">
        <f>HYPERLINK("CSG1.html#group36A1", "36A¹"), =HYPERLINK("CSG0.html#group12A0", "12A⁰"), =HYPERLINK("CSG0.html#group9A0", "9A⁰"), =HYPERLINK("CSG0.html#group3A0", "3A⁰"), =HYPERLINK("CSG0.html#group1A0", "1A⁰"), =HYPERLINK("CSG0.html#group4A0", "4A⁰"), =HYPERLINK("CSG0.html#group9G0", "9G⁰")</f>
        <v/>
      </c>
      <c r="N1036">
        <f>HYPERLINK("CSG16.html#group36D16", "36D¹⁶"), =HYPERLINK("CSG14.html#group72L14", "72L¹⁴"), =HYPERLINK("CSG15.html#group36F15", "36F¹⁵"), =HYPERLINK("CSG14.html#group72N14", "72N¹⁴"), =HYPERLINK("CSG12.html#group36G12", "36G¹²"), =HYPERLINK("CSG20.html#group108B20", "108B²⁰"), =HYPERLINK("CSG14.html#group72O14", "72O¹⁴"), =HYPERLINK("CSG14.html#group72M14", "72M¹⁴"), =HYPERLINK("CSG10.html#group36T10", "36T¹⁰"), =HYPERLINK("CSG20.html#group36B20", "36B²⁰"), =HYPERLINK("CSG19.html#group36P19", "36P¹⁹"), =HYPERLINK("CSG13.html#group36R13", "36R¹³")</f>
        <v/>
      </c>
    </row>
    <row r="1037">
      <c r="A1037" t="inlineStr">
        <is>
          <t>36K⁵</t>
        </is>
      </c>
      <c r="B1037" t="inlineStr"/>
      <c r="C1037" t="inlineStr">
        <is>
          <t>108</t>
        </is>
      </c>
      <c r="D1037" t="inlineStr">
        <is>
          <t>2</t>
        </is>
      </c>
      <c r="E1037" t="inlineStr">
        <is>
          <t>27</t>
        </is>
      </c>
      <c r="F1037" t="inlineStr">
        <is>
          <t>12</t>
        </is>
      </c>
      <c r="G1037" t="inlineStr">
        <is>
          <t>0</t>
        </is>
      </c>
      <c r="H1037" t="inlineStr">
        <is>
          <t>18², 36²</t>
        </is>
      </c>
      <c r="I1037" t="n">
        <v>4</v>
      </c>
      <c r="J1037" t="inlineStr">
        <is>
          <t>2⁹, 6⁶</t>
        </is>
      </c>
      <c r="K1037">
        <f>HYPERLINK("CSG1.html#group12N1", "12N¹"), =HYPERLINK("CSG2.html#group18L2", "18L²"), =HYPERLINK("CSG2.html#group36C2", "36C²"), =HYPERLINK("CSG3.html#group36E3", "36E³")</f>
        <v/>
      </c>
      <c r="L1037">
        <f>HYPERLINK("CSG9.html#group36O9", "36O⁹"), =HYPERLINK("CSG14.html#group72K14", "72K¹⁴"), =HYPERLINK("CSG15.html#group36I15", "36I¹⁵"), =HYPERLINK("CSG15.html#group36J15", "36J¹⁵"), =HYPERLINK("CSG19.html#group36S19", "36S¹⁹"), =HYPERLINK("CSG19.html#group36T19", "36T¹⁹")</f>
        <v/>
      </c>
      <c r="M1037">
        <f>HYPERLINK("CSG0.html#group6B0", "6B⁰"), =HYPERLINK("CSG3.html#group36E3", "36E³"), =HYPERLINK("CSG1.html#group12C1", "12C¹"), =HYPERLINK("CSG0.html#group9A0", "9A⁰"), =HYPERLINK("CSG0.html#group6D0", "6D⁰"), =HYPERLINK("CSG0.html#group6H0", "6H⁰"), =HYPERLINK("CSG1.html#group18E1", "18E¹"), =HYPERLINK("CSG0.html#group2B0", "2B⁰"), =HYPERLINK("CSG0.html#group12D0", "12D⁰"), =HYPERLINK("CSG1.html#group12N1", "12N¹"), =HYPERLINK("CSG0.html#group3A0", "3A⁰"), =HYPERLINK("CSG0.html#group1A0", "1A⁰"), =HYPERLINK("CSG0.html#group18A0", "18A⁰"), =HYPERLINK("CSG2.html#group18L2", "18L²"), =HYPERLINK("CSG2.html#group36C2", "36C²")</f>
        <v/>
      </c>
      <c r="N1037">
        <f>HYPERLINK("CSG21.html#group72AA21", "72AA²¹"), =HYPERLINK("CSG19.html#group36T19", "36T¹⁹"), =HYPERLINK("CSG9.html#group36O9", "36O⁹"), =HYPERLINK("CSG19.html#group36S19", "36S¹⁹"), =HYPERLINK("CSG23.html#group36A23", "36A²³"), =HYPERLINK("CSG14.html#group72K14", "72K¹⁴"), =HYPERLINK("CSG15.html#group36J15", "36J¹⁵"), =HYPERLINK("CSG15.html#group36I15", "36I¹⁵")</f>
        <v/>
      </c>
    </row>
    <row r="1038">
      <c r="A1038" t="inlineStr">
        <is>
          <t>36L⁵</t>
        </is>
      </c>
      <c r="B1038" t="inlineStr"/>
      <c r="C1038" t="inlineStr">
        <is>
          <t>144</t>
        </is>
      </c>
      <c r="D1038" t="inlineStr">
        <is>
          <t>1</t>
        </is>
      </c>
      <c r="E1038" t="inlineStr">
        <is>
          <t>12</t>
        </is>
      </c>
      <c r="F1038" t="inlineStr">
        <is>
          <t>0</t>
        </is>
      </c>
      <c r="G1038" t="inlineStr">
        <is>
          <t>0</t>
        </is>
      </c>
      <c r="H1038" t="inlineStr">
        <is>
          <t>2⁶, 4⁶, 18², 36²</t>
        </is>
      </c>
      <c r="I1038" t="n">
        <v>16</v>
      </c>
      <c r="J1038" t="inlineStr">
        <is>
          <t>1⁶, 2³</t>
        </is>
      </c>
      <c r="K1038">
        <f>HYPERLINK("CSG1.html#group12P1", "12P¹"), =HYPERLINK("CSG1.html#group18J1", "18J¹"), =HYPERLINK("CSG1.html#group36C1", "36C¹"), =HYPERLINK("CSG3.html#group36G3", "36G³")</f>
        <v/>
      </c>
      <c r="L1038">
        <f>HYPERLINK("CSG9.html#group36Q9", "36Q⁹"), =HYPERLINK("CSG13.html#group36T13", "36T¹³"), =HYPERLINK("CSG13.html#group36U13", "36U¹³"), =HYPERLINK("CSG13.html#group72R13", "72R¹³"), =HYPERLINK("CSG13.html#group72Q13", "72Q¹³"), =HYPERLINK("CSG13.html#group72W13", "72W¹³"), =HYPERLINK("CSG13.html#group72V13", "72V¹³"), =HYPERLINK("CSG17.html#group72M17", "72M¹⁷"), =HYPERLINK("CSG17.html#group72N17", "72N¹⁷"), =HYPERLINK("CSG21.html#group36F21", "36F²¹"), =HYPERLINK("CSG21.html#group108E21", "108E²¹")</f>
        <v/>
      </c>
      <c r="M1038">
        <f>HYPERLINK("CSG0.html#group3B0", "3B⁰"), =HYPERLINK("CSG0.html#group2A0", "2A⁰"), =HYPERLINK("CSG0.html#group6I0", "6I⁰"), =HYPERLINK("CSG0.html#group2C0", "2C⁰"), =HYPERLINK("CSG1.html#group12F1", "12F¹"), =HYPERLINK("CSG0.html#group6C0", "6C⁰"), =HYPERLINK("CSG0.html#group4C0", "4C⁰"), =HYPERLINK("CSG0.html#group9B0", "9B⁰"), =HYPERLINK("CSG0.html#group2B0", "2B⁰"), =HYPERLINK("CSG0.html#group4E0", "4E⁰"), =HYPERLINK("CSG1.html#group12P1", "12P¹"), =HYPERLINK("CSG1.html#group18J1", "18J¹"), =HYPERLINK("CSG0.html#group4B0", "4B⁰"), =HYPERLINK("CSG0.html#group1A0", "1A⁰"), =HYPERLINK("CSG0.html#group18C0", "18C⁰"), =HYPERLINK("CSG0.html#group18E0", "18E⁰"), =HYPERLINK("CSG1.html#group18C1", "18C¹"), =HYPERLINK("CSG1.html#group36C1", "36C¹"), =HYPERLINK("CSG0.html#group6F0", "6F⁰"), =HYPERLINK("CSG3.html#group36G3", "36G³"), =HYPERLINK("CSG0.html#group12E0", "12E⁰")</f>
        <v/>
      </c>
      <c r="N1038">
        <f>HYPERLINK("CSG13.html#group72W13", "72W¹³"), =HYPERLINK("CSG13.html#group36U13", "36U¹³"), =HYPERLINK("CSG17.html#group72N17", "72N¹⁷"), =HYPERLINK("CSG9.html#group36Q9", "36Q⁹"), =HYPERLINK("CSG13.html#group36T13", "36T¹³"), =HYPERLINK("CSG17.html#group72M17", "72M¹⁷"), =HYPERLINK("CSG21.html#group36F21", "36F²¹"), =HYPERLINK("CSG13.html#group72R13", "72R¹³"), =HYPERLINK("CSG21.html#group108E21", "108E²¹"), =HYPERLINK("CSG13.html#group72V13", "72V¹³"), =HYPERLINK("CSG13.html#group72Q13", "72Q¹³")</f>
        <v/>
      </c>
    </row>
    <row r="1039">
      <c r="A1039" t="inlineStr">
        <is>
          <t>36M⁵</t>
        </is>
      </c>
      <c r="B1039" t="inlineStr"/>
      <c r="C1039" t="inlineStr">
        <is>
          <t>144</t>
        </is>
      </c>
      <c r="D1039" t="inlineStr">
        <is>
          <t>1</t>
        </is>
      </c>
      <c r="E1039" t="inlineStr">
        <is>
          <t>12</t>
        </is>
      </c>
      <c r="F1039" t="inlineStr">
        <is>
          <t>24</t>
        </is>
      </c>
      <c r="G1039" t="inlineStr">
        <is>
          <t>0</t>
        </is>
      </c>
      <c r="H1039" t="inlineStr">
        <is>
          <t>36⁴</t>
        </is>
      </c>
      <c r="I1039" t="n">
        <v>4</v>
      </c>
      <c r="J1039" t="inlineStr">
        <is>
          <t>2², 4²</t>
        </is>
      </c>
      <c r="K1039">
        <f>HYPERLINK("CSG0.html#group18D0", "18D⁰"), =HYPERLINK("CSG1.html#group12Q1", "12Q¹"), =HYPERLINK("CSG2.html#group36D2", "36D²"), =HYPERLINK("CSG3.html#group36H3", "36H³")</f>
        <v/>
      </c>
      <c r="L1039">
        <f>HYPERLINK("CSG15.html#group36P15", "36P¹⁵"), =HYPERLINK("CSG17.html#group72S17", "72S¹⁷"), =HYPERLINK("CSG17.html#group72W17", "72W¹⁷"), =HYPERLINK("CSG21.html#group36A21", "36A²¹")</f>
        <v/>
      </c>
      <c r="M1039">
        <f>HYPERLINK("CSG1.html#group12G1", "12G¹"), =HYPERLINK("CSG2.html#group36D2", "36D²"), =HYPERLINK("CSG0.html#group6B0", "6B⁰"), =HYPERLINK("CSG3.html#group36H3", "36H³"), =HYPERLINK("CSG0.html#group12F0", "12F⁰"), =HYPERLINK("CSG0.html#group1A0", "1A⁰"), =HYPERLINK("CSG0.html#group18A0", "18A⁰"), =HYPERLINK("CSG1.html#group36A1", "36A¹"), =HYPERLINK("CSG0.html#group12A0", "12A⁰"), =HYPERLINK("CSG0.html#group9D0", "9D⁰"), =HYPERLINK("CSG0.html#group18D0", "18D⁰"), =HYPERLINK("CSG0.html#group6E0", "6E⁰"), =HYPERLINK("CSG0.html#group4A0", "4A⁰"), =HYPERLINK("CSG0.html#group9A0", "9A⁰"), =HYPERLINK("CSG1.html#group12Q1", "12Q¹"), =HYPERLINK("CSG0.html#group3C0", "3C⁰"), =HYPERLINK("CSG0.html#group3A0", "3A⁰")</f>
        <v/>
      </c>
      <c r="N1039">
        <f>HYPERLINK("CSG15.html#group36P15", "36P¹⁵"), =HYPERLINK("CSG21.html#group36A21", "36A²¹"), =HYPERLINK("CSG17.html#group72W17", "72W¹⁷"), =HYPERLINK("CSG17.html#group72S17", "72S¹⁷")</f>
        <v/>
      </c>
    </row>
    <row r="1040">
      <c r="A1040" t="inlineStr">
        <is>
          <t>39A⁵</t>
        </is>
      </c>
      <c r="B1040" t="inlineStr"/>
      <c r="C1040" t="inlineStr">
        <is>
          <t>84</t>
        </is>
      </c>
      <c r="D1040" t="inlineStr">
        <is>
          <t>1</t>
        </is>
      </c>
      <c r="E1040" t="inlineStr">
        <is>
          <t>42</t>
        </is>
      </c>
      <c r="F1040" t="inlineStr">
        <is>
          <t>4</t>
        </is>
      </c>
      <c r="G1040" t="inlineStr">
        <is>
          <t>0</t>
        </is>
      </c>
      <c r="H1040" t="inlineStr">
        <is>
          <t>3², 39²</t>
        </is>
      </c>
      <c r="I1040" t="n">
        <v>4</v>
      </c>
      <c r="J1040" t="inlineStr">
        <is>
          <t>1², 2², 12¹, 24¹</t>
        </is>
      </c>
      <c r="K1040">
        <f>HYPERLINK("CSG0.html#group3C0", "3C⁰"), =HYPERLINK("CSG2.html#group39A2", "39A²")</f>
        <v/>
      </c>
      <c r="L1040">
        <f>HYPERLINK("CSG9.html#group39A9", "39A⁹"), =HYPERLINK("CSG11.html#group39A11", "39A¹¹"), =HYPERLINK("CSG11.html#group39B11", "39B¹¹"), =HYPERLINK("CSG11.html#group78A11", "78A¹¹"), =HYPERLINK("CSG11.html#group78B11", "78B¹¹"), =HYPERLINK("CSG13.html#group39B13", "39B¹³"), =HYPERLINK("CSG13.html#group78B13", "78B¹³"), =HYPERLINK("CSG13.html#group78E13", "78E¹³"), =HYPERLINK("CSG17.html#group78A17", "78A¹⁷"), =HYPERLINK("CSG17.html#group117A17", "117A¹⁷"), =HYPERLINK("CSG17.html#group117B17", "117B¹⁷"), =HYPERLINK("CSG17.html#group117C17", "117C¹⁷"), =HYPERLINK("CSG19.html#group117A19", "117A¹⁹")</f>
        <v/>
      </c>
      <c r="M1040">
        <f>HYPERLINK("CSG0.html#group13A0", "13A⁰"), =HYPERLINK("CSG2.html#group39A2", "39A²"), =HYPERLINK("CSG0.html#group3C0", "3C⁰"), =HYPERLINK("CSG0.html#group3A0", "3A⁰"), =HYPERLINK("CSG0.html#group1A0", "1A⁰")</f>
        <v/>
      </c>
      <c r="N1040">
        <f>HYPERLINK("CSG17.html#group117A17", "117A¹⁷"), =HYPERLINK("CSG11.html#group78A11", "78A¹¹"), =HYPERLINK("CSG17.html#group117B17", "117B¹⁷"), =HYPERLINK("CSG19.html#group117A19", "117A¹⁹"), =HYPERLINK("CSG13.html#group78B13", "78B¹³"), =HYPERLINK("CSG21.html#group39B21", "39B²¹"), =HYPERLINK("CSG23.html#group78D23", "78D²³"), =HYPERLINK("CSG9.html#group39A9", "39A⁹"), =HYPERLINK("CSG13.html#group39B13", "39B¹³"), =HYPERLINK("CSG21.html#group78A21", "78A²¹"), =HYPERLINK("CSG11.html#group78B11", "78B¹¹"), =HYPERLINK("CSG17.html#group117C17", "117C¹⁷"), =HYPERLINK("CSG11.html#group39B11", "39B¹¹"), =HYPERLINK("CSG11.html#group39A11", "39A¹¹"), =HYPERLINK("CSG17.html#group78A17", "78A¹⁷"), =HYPERLINK("CSG13.html#group78E13", "78E¹³"), =HYPERLINK("CSG19.html#group39A19", "39A¹⁹")</f>
        <v/>
      </c>
    </row>
    <row r="1041">
      <c r="A1041" t="inlineStr">
        <is>
          <t>39B⁵</t>
        </is>
      </c>
      <c r="B1041" t="inlineStr"/>
      <c r="C1041" t="inlineStr">
        <is>
          <t>112</t>
        </is>
      </c>
      <c r="D1041" t="inlineStr">
        <is>
          <t>1</t>
        </is>
      </c>
      <c r="E1041" t="inlineStr">
        <is>
          <t>56</t>
        </is>
      </c>
      <c r="F1041" t="inlineStr">
        <is>
          <t>0</t>
        </is>
      </c>
      <c r="G1041" t="inlineStr">
        <is>
          <t>4</t>
        </is>
      </c>
      <c r="H1041" t="inlineStr">
        <is>
          <t>1², 3², 13², 39²</t>
        </is>
      </c>
      <c r="I1041" t="n">
        <v>8</v>
      </c>
      <c r="J1041" t="inlineStr">
        <is>
          <t>1⁴, 2², 12², 24¹</t>
        </is>
      </c>
      <c r="K1041">
        <f>HYPERLINK("CSG0.html#group13B0", "13B⁰"), =HYPERLINK("CSG3.html#group39A3", "39A³")</f>
        <v/>
      </c>
      <c r="L1041">
        <f>HYPERLINK("CSG9.html#group39C9", "39C⁹"), =HYPERLINK("CSG13.html#group78F13", "78F¹³"), =HYPERLINK("CSG13.html#group78G13", "78G¹³"), =HYPERLINK("CSG17.html#group39A17", "39A¹⁷"), =HYPERLINK("CSG19.html#group39B19", "39B¹⁹"), =HYPERLINK("CSG19.html#group117B19", "117B¹⁹"), =HYPERLINK("CSG21.html#group39B21", "39B²¹"), =HYPERLINK("CSG21.html#group78C21", "78C²¹"), =HYPERLINK("CSG21.html#group117A21", "117A²¹"), =HYPERLINK("CSG21.html#group117B21", "117B²¹"), =HYPERLINK("CSG23.html#group117A23", "117A²³")</f>
        <v/>
      </c>
      <c r="M1041">
        <f>HYPERLINK("CSG0.html#group13A0", "13A⁰"), =HYPERLINK("CSG0.html#group3B0", "3B⁰"), =HYPERLINK("CSG3.html#group39A3", "39A³"), =HYPERLINK("CSG0.html#group13B0", "13B⁰"), =HYPERLINK("CSG0.html#group1A0", "1A⁰")</f>
        <v/>
      </c>
      <c r="N1041">
        <f>HYPERLINK("CSG19.html#group39B19", "39B¹⁹"), =HYPERLINK("CSG21.html#group39B21", "39B²¹"), =HYPERLINK("CSG13.html#group78F13", "78F¹³"), =HYPERLINK("CSG17.html#group39A17", "39A¹⁷"), =HYPERLINK("CSG21.html#group117A21", "117A²¹"), =HYPERLINK("CSG23.html#group117A23", "117A²³"), =HYPERLINK("CSG21.html#group117B21", "117B²¹"), =HYPERLINK("CSG21.html#group78C21", "78C²¹"), =HYPERLINK("CSG19.html#group117B19", "117B¹⁹"), =HYPERLINK("CSG9.html#group39C9", "39C⁹"), =HYPERLINK("CSG13.html#group78G13", "78G¹³")</f>
        <v/>
      </c>
    </row>
    <row r="1042">
      <c r="A1042" t="inlineStr">
        <is>
          <t>40A⁵</t>
        </is>
      </c>
      <c r="B1042" t="inlineStr"/>
      <c r="C1042" t="inlineStr">
        <is>
          <t>60</t>
        </is>
      </c>
      <c r="D1042" t="inlineStr">
        <is>
          <t>1</t>
        </is>
      </c>
      <c r="E1042" t="inlineStr">
        <is>
          <t>15</t>
        </is>
      </c>
      <c r="F1042" t="inlineStr">
        <is>
          <t>0</t>
        </is>
      </c>
      <c r="G1042" t="inlineStr">
        <is>
          <t>0</t>
        </is>
      </c>
      <c r="H1042" t="inlineStr">
        <is>
          <t>20¹, 40¹</t>
        </is>
      </c>
      <c r="I1042" t="n">
        <v>2</v>
      </c>
      <c r="J1042" t="inlineStr">
        <is>
          <t>1³, 4³</t>
        </is>
      </c>
      <c r="K1042">
        <f>HYPERLINK("CSG1.html#group8A1", "8A¹"), =HYPERLINK("CSG2.html#group20B2", "20B²")</f>
        <v/>
      </c>
      <c r="L1042">
        <f>HYPERLINK("CSG9.html#group40A9", "40A⁹"), =HYPERLINK("CSG9.html#group40B9", "40B⁹"), =HYPERLINK("CSG10.html#group80B10", "80B¹⁰"), =HYPERLINK("CSG13.html#group40A13", "40A¹³"), =HYPERLINK("CSG15.html#group120A15", "120A¹⁵"), =HYPERLINK("CSG15.html#group120B15", "120B¹⁵"), =HYPERLINK("CSG17.html#group40F17", "40F¹⁷"), =HYPERLINK("CSG19.html#group120B19", "120B¹⁹")</f>
        <v/>
      </c>
      <c r="M1042">
        <f>HYPERLINK("CSG0.html#group5A0", "5A⁰"), =HYPERLINK("CSG0.html#group2B0", "2B⁰"), =HYPERLINK("CSG1.html#group8A1", "8A¹"), =HYPERLINK("CSG0.html#group1A0", "1A⁰"), =HYPERLINK("CSG1.html#group10B1", "10B¹"), =HYPERLINK("CSG2.html#group20B2", "20B²"), =HYPERLINK("CSG0.html#group4C0", "4C⁰")</f>
        <v/>
      </c>
      <c r="N1042">
        <f>HYPERLINK("CSG9.html#group40B9", "40B⁹"), =HYPERLINK("CSG19.html#group80A19", "80A¹⁹"), =HYPERLINK("CSG19.html#group120B19", "120B¹⁹"), =HYPERLINK("CSG15.html#group120B15", "120B¹⁵"), =HYPERLINK("CSG19.html#group80F19", "80F¹⁹"), =HYPERLINK("CSG17.html#group40F17", "40F¹⁷"), =HYPERLINK("CSG13.html#group40A13", "40A¹³"), =HYPERLINK("CSG19.html#group80G19", "80G¹⁹"), =HYPERLINK("CSG9.html#group40A9", "40A⁹"), =HYPERLINK("CSG18.html#group80B18", "80B¹⁸"), =HYPERLINK("CSG18.html#group40C18", "40C¹⁸"), =HYPERLINK("CSG20.html#group160A20", "160A²⁰"), =HYPERLINK("CSG20.html#group160B20", "160B²⁰"), =HYPERLINK("CSG10.html#group80B10", "80B¹⁰"), =HYPERLINK("CSG15.html#group120A15", "120A¹⁵"), =HYPERLINK("CSG17.html#group40A17", "40A¹⁷"), =HYPERLINK("CSG19.html#group80B19", "80B¹⁹"), =HYPERLINK("CSG17.html#group40G17", "40G¹⁷")</f>
        <v/>
      </c>
    </row>
    <row r="1043">
      <c r="A1043" t="inlineStr">
        <is>
          <t>40B⁵</t>
        </is>
      </c>
      <c r="B1043" t="inlineStr"/>
      <c r="C1043" t="inlineStr">
        <is>
          <t>72</t>
        </is>
      </c>
      <c r="D1043" t="inlineStr">
        <is>
          <t>1</t>
        </is>
      </c>
      <c r="E1043" t="inlineStr">
        <is>
          <t>18</t>
        </is>
      </c>
      <c r="F1043" t="inlineStr">
        <is>
          <t>0</t>
        </is>
      </c>
      <c r="G1043" t="inlineStr">
        <is>
          <t>0</t>
        </is>
      </c>
      <c r="H1043" t="inlineStr">
        <is>
          <t>4¹, 8¹, 20¹, 40¹</t>
        </is>
      </c>
      <c r="I1043" t="n">
        <v>4</v>
      </c>
      <c r="J1043" t="inlineStr">
        <is>
          <t>1⁶, 4³</t>
        </is>
      </c>
      <c r="K1043">
        <f>HYPERLINK("CSG1.html#group20E1", "20E¹")</f>
        <v/>
      </c>
      <c r="L1043">
        <f>HYPERLINK("CSG9.html#group40F9", "40F⁹"), =HYPERLINK("CSG9.html#group40H9", "40H⁹"), =HYPERLINK("CSG9.html#group40I9", "40I⁹"), =HYPERLINK("CSG9.html#group40O9", "40O⁹"), =HYPERLINK("CSG9.html#group40N9", "40N⁹"), =HYPERLINK("CSG17.html#group120A17", "120A¹⁷"), =HYPERLINK("CSG21.html#group120B21", "120B²¹")</f>
        <v/>
      </c>
      <c r="M1043">
        <f>HYPERLINK("CSG0.html#group5B0", "5B⁰"), =HYPERLINK("CSG1.html#group20E1", "20E¹"), =HYPERLINK("CSG0.html#group10C0", "10C⁰"), =HYPERLINK("CSG0.html#group2B0", "2B⁰"), =HYPERLINK("CSG0.html#group1A0", "1A⁰"), =HYPERLINK("CSG0.html#group4C0", "4C⁰")</f>
        <v/>
      </c>
      <c r="N1043">
        <f>HYPERLINK("CSG21.html#group80N21", "80N²¹"), =HYPERLINK("CSG17.html#group40AQ17", "40AQ¹⁷"), =HYPERLINK("CSG19.html#group40F19", "40F¹⁹"), =HYPERLINK("CSG17.html#group40AH17", "40AH¹⁷"), =HYPERLINK("CSG9.html#group40N9", "40N⁹"), =HYPERLINK("CSG9.html#group40O9", "40O⁹"), =HYPERLINK("CSG17.html#group40AA17", "40AA¹⁷"), =HYPERLINK("CSG19.html#group40D19", "40D¹⁹"), =HYPERLINK("CSG9.html#group40H9", "40H⁹"), =HYPERLINK("CSG21.html#group80F21", "80F²¹"), =HYPERLINK("CSG9.html#group40F9", "40F⁹"), =HYPERLINK("CSG17.html#group40Z17", "40Z¹⁷"), =HYPERLINK("CSG21.html#group80AA21", "80AA²¹"), =HYPERLINK("CSG21.html#group80R21", "80R²¹"), =HYPERLINK("CSG17.html#group40U17", "40U¹⁷"), =HYPERLINK("CSG9.html#group40I9", "40I⁹"), =HYPERLINK("CSG17.html#group40Y17", "40Y¹⁷"), =HYPERLINK("CSG19.html#group80R19", "80R¹⁹"), =HYPERLINK("CSG21.html#group80H21", "80H²¹"), =HYPERLINK("CSG17.html#group40AC17", "40AC¹⁷"), =HYPERLINK("CSG21.html#group80AD21", "80AD²¹"), =HYPERLINK("CSG21.html#group120B21", "120B²¹"), =HYPERLINK("CSG21.html#group80U21", "80U²¹"), =HYPERLINK("CSG19.html#group80P19", "80P¹⁹"), =HYPERLINK("CSG17.html#group120A17", "120A¹⁷"), =HYPERLINK("CSG21.html#group80Y21", "80Y²¹"), =HYPERLINK("CSG17.html#group40AG17", "40AG¹⁷"), =HYPERLINK("CSG21.html#group80AC21", "80AC²¹"), =HYPERLINK("CSG17.html#group40W17", "40W¹⁷")</f>
        <v/>
      </c>
    </row>
    <row r="1044">
      <c r="A1044" t="inlineStr">
        <is>
          <t>40C⁵</t>
        </is>
      </c>
      <c r="B1044" t="inlineStr"/>
      <c r="C1044" t="inlineStr">
        <is>
          <t>72</t>
        </is>
      </c>
      <c r="D1044" t="inlineStr">
        <is>
          <t>1</t>
        </is>
      </c>
      <c r="E1044" t="inlineStr">
        <is>
          <t>18</t>
        </is>
      </c>
      <c r="F1044" t="inlineStr">
        <is>
          <t>0</t>
        </is>
      </c>
      <c r="G1044" t="inlineStr">
        <is>
          <t>0</t>
        </is>
      </c>
      <c r="H1044" t="inlineStr">
        <is>
          <t>4¹, 8¹, 20¹, 40¹</t>
        </is>
      </c>
      <c r="I1044" t="n">
        <v>4</v>
      </c>
      <c r="J1044" t="inlineStr">
        <is>
          <t>1⁶, 4³</t>
        </is>
      </c>
      <c r="K1044">
        <f>HYPERLINK("CSG1.html#group8A1", "8A¹"), =HYPERLINK("CSG1.html#group20E1", "20E¹")</f>
        <v/>
      </c>
      <c r="L1044">
        <f>HYPERLINK("CSG9.html#group40F9", "40F⁹"), =HYPERLINK("CSG9.html#group40G9", "40G⁹"), =HYPERLINK("CSG9.html#group40J9", "40J⁹"), =HYPERLINK("CSG9.html#group40M9", "40M⁹"), =HYPERLINK("CSG9.html#group40P9", "40P⁹"), =HYPERLINK("CSG11.html#group80C11", "80C¹¹"), =HYPERLINK("CSG11.html#group80D11", "80D¹¹"), =HYPERLINK("CSG17.html#group120B17", "120B¹⁷"), =HYPERLINK("CSG21.html#group120D21", "120D²¹")</f>
        <v/>
      </c>
      <c r="M1044">
        <f>HYPERLINK("CSG0.html#group5B0", "5B⁰"), =HYPERLINK("CSG1.html#group20E1", "20E¹"), =HYPERLINK("CSG0.html#group10C0", "10C⁰"), =HYPERLINK("CSG0.html#group2B0", "2B⁰"), =HYPERLINK("CSG1.html#group8A1", "8A¹"), =HYPERLINK("CSG0.html#group1A0", "1A⁰"), =HYPERLINK("CSG0.html#group4C0", "4C⁰")</f>
        <v/>
      </c>
      <c r="N1044">
        <f>HYPERLINK("CSG17.html#group40AB17", "40AB¹⁷"), =HYPERLINK("CSG11.html#group80C11", "80C¹¹"), =HYPERLINK("CSG21.html#group80J21", "80J²¹"), =HYPERLINK("CSG19.html#group80S19", "80S¹⁹"), =HYPERLINK("CSG11.html#group80D11", "80D¹¹"), =HYPERLINK("CSG21.html#group80Z21", "80Z²¹"), =HYPERLINK("CSG17.html#group40X17", "40X¹⁷"), =HYPERLINK("CSG17.html#group40Y17", "40Y¹⁷"), =HYPERLINK("CSG17.html#group40AE17", "40AE¹⁷"), =HYPERLINK("CSG17.html#group120B17", "120B¹⁷"), =HYPERLINK("CSG23.html#group160C23", "160C²³"), =HYPERLINK("CSG9.html#group40P9", "40P⁹"), =HYPERLINK("CSG21.html#group80A21", "80A²¹"), =HYPERLINK("CSG21.html#group80I21", "80I²¹"), =HYPERLINK("CSG21.html#group80C21", "80C²¹"), =HYPERLINK("CSG21.html#group120D21", "120D²¹"), =HYPERLINK("CSG21.html#group80Q21", "80Q²¹"), =HYPERLINK("CSG21.html#group80G21", "80G²¹"), =HYPERLINK("CSG19.html#group40E19", "40E¹⁹"), =HYPERLINK("CSG17.html#group40AQ17", "40AQ¹⁷"), =HYPERLINK("CSG21.html#group80B21", "80B²¹"), =HYPERLINK("CSG21.html#group80P21", "80P²¹"), =HYPERLINK("CSG17.html#group40AF17", "40AF¹⁷"), =HYPERLINK("CSG9.html#group40F9", "40F⁹"), =HYPERLINK("CSG17.html#group40Z17", "40Z¹⁷"), =HYPERLINK("CSG17.html#group40V17", "40V¹⁷"), =HYPERLINK("CSG19.html#group40G19", "40G¹⁹"), =HYPERLINK("CSG19.html#group80Q19", "80Q¹⁹"), =HYPERLINK("CSG9.html#group40J9", "40J⁹"), =HYPERLINK("CSG21.html#group80AE21", "80AE²¹"), =HYPERLINK("CSG9.html#group40M9", "40M⁹"), =HYPERLINK("CSG23.html#group160A23", "160A²³"), =HYPERLINK("CSG17.html#group40AC17", "40AC¹⁷"), =HYPERLINK("CSG17.html#group40AD17", "40AD¹⁷"), =HYPERLINK("CSG21.html#group80U21", "80U²¹"), =HYPERLINK("CSG21.html#group80Y21", "80Y²¹"), =HYPERLINK("CSG21.html#group80T21", "80T²¹"), =HYPERLINK("CSG21.html#group80D21", "80D²¹"), =HYPERLINK("CSG23.html#group160D23", "160D²³"), =HYPERLINK("CSG21.html#group80S21", "80S²¹"), =HYPERLINK("CSG23.html#group160B23", "160B²³"), =HYPERLINK("CSG9.html#group40G9", "40G⁹")</f>
        <v/>
      </c>
    </row>
    <row r="1045">
      <c r="A1045" t="inlineStr">
        <is>
          <t>40D⁵</t>
        </is>
      </c>
      <c r="B1045" t="inlineStr"/>
      <c r="C1045" t="inlineStr">
        <is>
          <t>80</t>
        </is>
      </c>
      <c r="D1045" t="inlineStr">
        <is>
          <t>1</t>
        </is>
      </c>
      <c r="E1045" t="inlineStr">
        <is>
          <t>80</t>
        </is>
      </c>
      <c r="F1045" t="inlineStr">
        <is>
          <t>4</t>
        </is>
      </c>
      <c r="G1045" t="inlineStr">
        <is>
          <t>2</t>
        </is>
      </c>
      <c r="H1045" t="inlineStr">
        <is>
          <t>40²</t>
        </is>
      </c>
      <c r="I1045" t="n">
        <v>2</v>
      </c>
      <c r="J1045" t="inlineStr">
        <is>
          <t>4⁴, 16⁴</t>
        </is>
      </c>
      <c r="K1045">
        <f>HYPERLINK("CSG0.html#group8F0", "8F⁰"), =HYPERLINK("CSG1.html#group20A1", "20A¹")</f>
        <v/>
      </c>
      <c r="L1045">
        <f>HYPERLINK("CSG10.html#group40B10", "40B¹⁰"), =HYPERLINK("CSG11.html#group40C11", "40C¹¹"), =HYPERLINK("CSG15.html#group40K15", "40K¹⁵"), =HYPERLINK("CSG16.html#group120E16", "120E¹⁶"), =HYPERLINK("CSG17.html#group40O17", "40O¹⁷"), =HYPERLINK("CSG17.html#group120C17", "120C¹⁷"), =HYPERLINK("CSG23.html#group40B23", "40B²³"), =HYPERLINK("CSG23.html#group80D23", "80D²³")</f>
        <v/>
      </c>
      <c r="M1045">
        <f>HYPERLINK("CSG1.html#group20A1", "20A¹"), =HYPERLINK("CSG0.html#group5A0", "5A⁰"), =HYPERLINK("CSG0.html#group8F0", "8F⁰"), =HYPERLINK("CSG0.html#group1A0", "1A⁰"), =HYPERLINK("CSG0.html#group4A0", "4A⁰")</f>
        <v/>
      </c>
      <c r="N1045">
        <f>HYPERLINK("CSG17.html#group40O17", "40O¹⁷"), =HYPERLINK("CSG23.html#group80D23", "80D²³"), =HYPERLINK("CSG22.html#group80A22", "80A²²"), =HYPERLINK("CSG16.html#group120E16", "120E¹⁶"), =HYPERLINK("CSG11.html#group40C11", "40C¹¹"), =HYPERLINK("CSG15.html#group40K15", "40K¹⁵"), =HYPERLINK("CSG21.html#group40C21", "40C²¹"), =HYPERLINK("CSG23.html#group40B23", "40B²³"), =HYPERLINK("CSG10.html#group40B10", "40B¹⁰"), =HYPERLINK("CSG17.html#group120C17", "120C¹⁷")</f>
        <v/>
      </c>
    </row>
    <row r="1046">
      <c r="A1046" t="inlineStr">
        <is>
          <t>40E⁵</t>
        </is>
      </c>
      <c r="B1046" t="inlineStr"/>
      <c r="C1046" t="inlineStr">
        <is>
          <t>80</t>
        </is>
      </c>
      <c r="D1046" t="inlineStr">
        <is>
          <t>2</t>
        </is>
      </c>
      <c r="E1046" t="inlineStr">
        <is>
          <t>40</t>
        </is>
      </c>
      <c r="F1046" t="inlineStr">
        <is>
          <t>4</t>
        </is>
      </c>
      <c r="G1046" t="inlineStr">
        <is>
          <t>2</t>
        </is>
      </c>
      <c r="H1046" t="inlineStr">
        <is>
          <t>40²</t>
        </is>
      </c>
      <c r="I1046" t="n">
        <v>2</v>
      </c>
      <c r="J1046" t="inlineStr">
        <is>
          <t>8², 16⁴</t>
        </is>
      </c>
      <c r="K1046">
        <f>HYPERLINK("CSG2.html#group20E2", "20E²")</f>
        <v/>
      </c>
      <c r="L1046">
        <f>HYPERLINK("CSG9.html#group40U9", "40U⁹"), =HYPERLINK("CSG11.html#group40A11", "40A¹¹"), =HYPERLINK("CSG11.html#group40D11", "40D¹¹"), =HYPERLINK("CSG17.html#group40P17", "40P¹⁷"), =HYPERLINK("CSG17.html#group40R17", "40R¹⁷"), =HYPERLINK("CSG17.html#group120E17", "120E¹⁷"), =HYPERLINK("CSG21.html#group40D21", "40D²¹")</f>
        <v/>
      </c>
      <c r="M1046">
        <f>HYPERLINK("CSG0.html#group5C0", "5C⁰"), =HYPERLINK("CSG2.html#group20E2", "20E²"), =HYPERLINK("CSG0.html#group1A0", "1A⁰"), =HYPERLINK("CSG0.html#group4A0", "4A⁰")</f>
        <v/>
      </c>
      <c r="N1046">
        <f>HYPERLINK("CSG21.html#group40B21", "40B²¹"), =HYPERLINK("CSG17.html#group120E17", "120E¹⁷"), =HYPERLINK("CSG19.html#group40K19", "40K¹⁹"), =HYPERLINK("CSG19.html#group40J19", "40J¹⁹"), =HYPERLINK("CSG21.html#group80AI21", "80AI²¹"), =HYPERLINK("CSG21.html#group80AH21", "80AH²¹"), =HYPERLINK("CSG17.html#group40P17", "40P¹⁷"), =HYPERLINK("CSG9.html#group40U9", "40U⁹"), =HYPERLINK("CSG11.html#group40D11", "40D¹¹"), =HYPERLINK("CSG23.html#group80E23", "80E²³"), =HYPERLINK("CSG23.html#group80C23", "80C²³"), =HYPERLINK("CSG17.html#group40R17", "40R¹⁷"), =HYPERLINK("CSG11.html#group40A11", "40A¹¹"), =HYPERLINK("CSG21.html#group40D21", "40D²¹")</f>
        <v/>
      </c>
    </row>
    <row r="1047">
      <c r="A1047" t="inlineStr">
        <is>
          <t>40F⁵</t>
        </is>
      </c>
      <c r="B1047" t="inlineStr"/>
      <c r="C1047" t="inlineStr">
        <is>
          <t>80</t>
        </is>
      </c>
      <c r="D1047" t="inlineStr">
        <is>
          <t>2</t>
        </is>
      </c>
      <c r="E1047" t="inlineStr">
        <is>
          <t>40</t>
        </is>
      </c>
      <c r="F1047" t="inlineStr">
        <is>
          <t>4</t>
        </is>
      </c>
      <c r="G1047" t="inlineStr">
        <is>
          <t>2</t>
        </is>
      </c>
      <c r="H1047" t="inlineStr">
        <is>
          <t>40²</t>
        </is>
      </c>
      <c r="I1047" t="n">
        <v>2</v>
      </c>
      <c r="J1047" t="inlineStr">
        <is>
          <t>8², 16⁴</t>
        </is>
      </c>
      <c r="K1047">
        <f>HYPERLINK("CSG0.html#group8A0", "8A⁰"), =HYPERLINK("CSG2.html#group20E2", "20E²")</f>
        <v/>
      </c>
      <c r="L1047">
        <f>HYPERLINK("CSG9.html#group40U9", "40U⁹"), =HYPERLINK("CSG11.html#group40B11", "40B¹¹"), =HYPERLINK("CSG11.html#group40D11", "40D¹¹"), =HYPERLINK("CSG11.html#group80E11", "80E¹¹"), =HYPERLINK("CSG11.html#group80F11", "80F¹¹"), =HYPERLINK("CSG17.html#group40Q17", "40Q¹⁷"), =HYPERLINK("CSG17.html#group40S17", "40S¹⁷"), =HYPERLINK("CSG17.html#group120F17", "120F¹⁷"), =HYPERLINK("CSG21.html#group40E21", "40E²¹")</f>
        <v/>
      </c>
      <c r="M1047">
        <f>HYPERLINK("CSG0.html#group8A0", "8A⁰"), =HYPERLINK("CSG0.html#group4A0", "4A⁰"), =HYPERLINK("CSG0.html#group1A0", "1A⁰"), =HYPERLINK("CSG2.html#group20E2", "20E²"), =HYPERLINK("CSG0.html#group5C0", "5C⁰")</f>
        <v/>
      </c>
      <c r="N1047">
        <f>HYPERLINK("CSG21.html#group40B21", "40B²¹"), =HYPERLINK("CSG11.html#group40B11", "40B¹¹"), =HYPERLINK("CSG11.html#group80E11", "80E¹¹"), =HYPERLINK("CSG21.html#group80AI21", "80AI²¹"), =HYPERLINK("CSG21.html#group40E21", "40E²¹"), =HYPERLINK("CSG9.html#group40U9", "40U⁹"), =HYPERLINK("CSG11.html#group40D11", "40D¹¹"), =HYPERLINK("CSG17.html#group120F17", "120F¹⁷"), =HYPERLINK("CSG23.html#group80E23", "80E²³"), =HYPERLINK("CSG17.html#group40Q17", "40Q¹⁷"), =HYPERLINK("CSG23.html#group80B23", "80B²³"), =HYPERLINK("CSG19.html#group40K19", "40K¹⁹"), =HYPERLINK("CSG19.html#group40J19", "40J¹⁹"), =HYPERLINK("CSG23.html#group80A23", "80A²³"), =HYPERLINK("CSG21.html#group80AH21", "80AH²¹"), =HYPERLINK("CSG17.html#group40S17", "40S¹⁷"), =HYPERLINK("CSG11.html#group80F11", "80F¹¹")</f>
        <v/>
      </c>
    </row>
    <row r="1048">
      <c r="A1048" t="inlineStr">
        <is>
          <t>40G⁵</t>
        </is>
      </c>
      <c r="B1048" t="inlineStr"/>
      <c r="C1048" t="inlineStr">
        <is>
          <t>96</t>
        </is>
      </c>
      <c r="D1048" t="inlineStr">
        <is>
          <t>1</t>
        </is>
      </c>
      <c r="E1048" t="inlineStr">
        <is>
          <t>24</t>
        </is>
      </c>
      <c r="F1048" t="inlineStr">
        <is>
          <t>8</t>
        </is>
      </c>
      <c r="G1048" t="inlineStr">
        <is>
          <t>0</t>
        </is>
      </c>
      <c r="H1048" t="inlineStr">
        <is>
          <t>8², 40²</t>
        </is>
      </c>
      <c r="I1048" t="n">
        <v>4</v>
      </c>
      <c r="J1048" t="inlineStr">
        <is>
          <t>4⁴, 16²</t>
        </is>
      </c>
      <c r="K1048">
        <f>HYPERLINK("CSG1.html#group20G1", "20G¹")</f>
        <v/>
      </c>
      <c r="L1048">
        <f>HYPERLINK("CSG11.html#group40F11", "40F¹¹"), =HYPERLINK("CSG13.html#group40B13", "40B¹³"), =HYPERLINK("CSG17.html#group40AI17", "40AI¹⁷"), =HYPERLINK("CSG17.html#group120I17", "120I¹⁷"), =HYPERLINK("CSG21.html#group40J21", "40J²¹")</f>
        <v/>
      </c>
      <c r="M1048">
        <f>HYPERLINK("CSG0.html#group5B0", "5B⁰"), =HYPERLINK("CSG0.html#group10B0", "10B⁰"), =HYPERLINK("CSG0.html#group1A0", "1A⁰"), =HYPERLINK("CSG0.html#group4A0", "4A⁰"), =HYPERLINK("CSG1.html#group20B1", "20B¹"), =HYPERLINK("CSG1.html#group20G1", "20G¹")</f>
        <v/>
      </c>
      <c r="N1048">
        <f>HYPERLINK("CSG17.html#group120I17", "120I¹⁷"), =HYPERLINK("CSG21.html#group40J21", "40J²¹"), =HYPERLINK("CSG11.html#group40F11", "40F¹¹"), =HYPERLINK("CSG13.html#group40B13", "40B¹³"), =HYPERLINK("CSG17.html#group40AI17", "40AI¹⁷")</f>
        <v/>
      </c>
    </row>
    <row r="1049">
      <c r="A1049" t="inlineStr">
        <is>
          <t>40H⁵</t>
        </is>
      </c>
      <c r="B1049" t="inlineStr"/>
      <c r="C1049" t="inlineStr">
        <is>
          <t>96</t>
        </is>
      </c>
      <c r="D1049" t="inlineStr">
        <is>
          <t>1</t>
        </is>
      </c>
      <c r="E1049" t="inlineStr">
        <is>
          <t>24</t>
        </is>
      </c>
      <c r="F1049" t="inlineStr">
        <is>
          <t>8</t>
        </is>
      </c>
      <c r="G1049" t="inlineStr">
        <is>
          <t>0</t>
        </is>
      </c>
      <c r="H1049" t="inlineStr">
        <is>
          <t>8², 40²</t>
        </is>
      </c>
      <c r="I1049" t="n">
        <v>4</v>
      </c>
      <c r="J1049" t="inlineStr">
        <is>
          <t>4⁴, 16²</t>
        </is>
      </c>
      <c r="K1049">
        <f>HYPERLINK("CSG1.html#group20G1", "20G¹")</f>
        <v/>
      </c>
      <c r="L1049">
        <f>HYPERLINK("CSG11.html#group40G11", "40G¹¹"), =HYPERLINK("CSG13.html#group40B13", "40B¹³"), =HYPERLINK("CSG17.html#group40AI17", "40AI¹⁷"), =HYPERLINK("CSG17.html#group120J17", "120J¹⁷"), =HYPERLINK("CSG21.html#group40K21", "40K²¹")</f>
        <v/>
      </c>
      <c r="M1049">
        <f>HYPERLINK("CSG0.html#group5B0", "5B⁰"), =HYPERLINK("CSG0.html#group10B0", "10B⁰"), =HYPERLINK("CSG0.html#group1A0", "1A⁰"), =HYPERLINK("CSG0.html#group4A0", "4A⁰"), =HYPERLINK("CSG1.html#group20B1", "20B¹"), =HYPERLINK("CSG1.html#group20G1", "20G¹")</f>
        <v/>
      </c>
      <c r="N1049">
        <f>HYPERLINK("CSG21.html#group40K21", "40K²¹"), =HYPERLINK("CSG11.html#group40G11", "40G¹¹"), =HYPERLINK("CSG17.html#group120J17", "120J¹⁷"), =HYPERLINK("CSG13.html#group40B13", "40B¹³"), =HYPERLINK("CSG17.html#group40AI17", "40AI¹⁷")</f>
        <v/>
      </c>
    </row>
    <row r="1050">
      <c r="A1050" t="inlineStr">
        <is>
          <t>40I⁵</t>
        </is>
      </c>
      <c r="B1050" t="inlineStr"/>
      <c r="C1050" t="inlineStr">
        <is>
          <t>96</t>
        </is>
      </c>
      <c r="D1050" t="inlineStr">
        <is>
          <t>1</t>
        </is>
      </c>
      <c r="E1050" t="inlineStr">
        <is>
          <t>96</t>
        </is>
      </c>
      <c r="F1050" t="inlineStr">
        <is>
          <t>8</t>
        </is>
      </c>
      <c r="G1050" t="inlineStr">
        <is>
          <t>0</t>
        </is>
      </c>
      <c r="H1050" t="inlineStr">
        <is>
          <t>8², 40²</t>
        </is>
      </c>
      <c r="I1050" t="n">
        <v>4</v>
      </c>
      <c r="J1050" t="inlineStr">
        <is>
          <t>4⁸, 16⁴</t>
        </is>
      </c>
      <c r="K1050">
        <f>HYPERLINK("CSG0.html#group8F0", "8F⁰"), =HYPERLINK("CSG1.html#group20B1", "20B¹")</f>
        <v/>
      </c>
      <c r="L1050">
        <f>HYPERLINK("CSG9.html#group40V9", "40V⁹"), =HYPERLINK("CSG11.html#group40H11", "40H¹¹"), =HYPERLINK("CSG11.html#group40I11", "40I¹¹"), =HYPERLINK("CSG13.html#group40D13", "40D¹³"), =HYPERLINK("CSG13.html#group40E13", "40E¹³"), =HYPERLINK("CSG17.html#group40AP17", "40AP¹⁷"), =HYPERLINK("CSG17.html#group120M17", "120M¹⁷")</f>
        <v/>
      </c>
      <c r="M1050">
        <f>HYPERLINK("CSG0.html#group5B0", "5B⁰"), =HYPERLINK("CSG0.html#group8F0", "8F⁰"), =HYPERLINK("CSG0.html#group1A0", "1A⁰"), =HYPERLINK("CSG0.html#group4A0", "4A⁰"), =HYPERLINK("CSG1.html#group20B1", "20B¹")</f>
        <v/>
      </c>
      <c r="N1050">
        <f>HYPERLINK("CSG21.html#group40K21", "40K²¹"), =HYPERLINK("CSG9.html#group40V9", "40V⁹"), =HYPERLINK("CSG17.html#group40AP17", "40AP¹⁷"), =HYPERLINK("CSG11.html#group40H11", "40H¹¹"), =HYPERLINK("CSG21.html#group40J21", "40J²¹"), =HYPERLINK("CSG17.html#group120M17", "120M¹⁷"), =HYPERLINK("CSG11.html#group40I11", "40I¹¹"), =HYPERLINK("CSG21.html#group40L21", "40L²¹"), =HYPERLINK("CSG13.html#group40E13", "40E¹³"), =HYPERLINK("CSG21.html#group40M21", "40M²¹"), =HYPERLINK("CSG13.html#group40D13", "40D¹³")</f>
        <v/>
      </c>
    </row>
    <row r="1051">
      <c r="A1051" t="inlineStr">
        <is>
          <t>40J⁵</t>
        </is>
      </c>
      <c r="B1051" t="inlineStr"/>
      <c r="C1051" t="inlineStr">
        <is>
          <t>96</t>
        </is>
      </c>
      <c r="D1051" t="inlineStr">
        <is>
          <t>2</t>
        </is>
      </c>
      <c r="E1051" t="inlineStr">
        <is>
          <t>24</t>
        </is>
      </c>
      <c r="F1051" t="inlineStr">
        <is>
          <t>8</t>
        </is>
      </c>
      <c r="G1051" t="inlineStr">
        <is>
          <t>0</t>
        </is>
      </c>
      <c r="H1051" t="inlineStr">
        <is>
          <t>8², 40²</t>
        </is>
      </c>
      <c r="I1051" t="n">
        <v>4</v>
      </c>
      <c r="J1051" t="inlineStr">
        <is>
          <t>4⁴, 16²</t>
        </is>
      </c>
      <c r="K1051">
        <f>HYPERLINK("CSG1.html#group20G1", "20G¹"), =HYPERLINK("CSG3.html#group40A3", "40A³"), =HYPERLINK("CSG3.html#group40B3", "40B³")</f>
        <v/>
      </c>
      <c r="L1051">
        <f>HYPERLINK("CSG11.html#group40F11", "40F¹¹"), =HYPERLINK("CSG11.html#group40G11", "40G¹¹"), =HYPERLINK("CSG13.html#group40C13", "40C¹³"), =HYPERLINK("CSG13.html#group80A13", "80A¹³"), =HYPERLINK("CSG13.html#group80B13", "80B¹³"), =HYPERLINK("CSG17.html#group40AN17", "40AN¹⁷"), =HYPERLINK("CSG17.html#group120P17", "120P¹⁷"), =HYPERLINK("CSG21.html#group40M21", "40M²¹")</f>
        <v/>
      </c>
      <c r="M1051">
        <f>HYPERLINK("CSG3.html#group40A3", "40A³"), =HYPERLINK("CSG0.html#group4A0", "4A⁰"), =HYPERLINK("CSG3.html#group40B3", "40B³"), =HYPERLINK("CSG1.html#group20G1", "20G¹"), =HYPERLINK("CSG0.html#group5B0", "5B⁰"), =HYPERLINK("CSG0.html#group8A0", "8A⁰"), =HYPERLINK("CSG0.html#group1A0", "1A⁰"), =HYPERLINK("CSG1.html#group20B1", "20B¹"), =HYPERLINK("CSG0.html#group10B0", "10B⁰")</f>
        <v/>
      </c>
      <c r="N1051">
        <f>HYPERLINK("CSG11.html#group40G11", "40G¹¹"), =HYPERLINK("CSG17.html#group120P17", "120P¹⁷"), =HYPERLINK("CSG13.html#group80A13", "80A¹³"), =HYPERLINK("CSG13.html#group40C13", "40C¹³"), =HYPERLINK("CSG11.html#group40F11", "40F¹¹"), =HYPERLINK("CSG13.html#group80B13", "80B¹³"), =HYPERLINK("CSG21.html#group40M21", "40M²¹"), =HYPERLINK("CSG17.html#group40AN17", "40AN¹⁷")</f>
        <v/>
      </c>
    </row>
    <row r="1052">
      <c r="A1052" t="inlineStr">
        <is>
          <t>40K⁵</t>
        </is>
      </c>
      <c r="B1052" t="inlineStr"/>
      <c r="C1052" t="inlineStr">
        <is>
          <t>120</t>
        </is>
      </c>
      <c r="D1052" t="inlineStr">
        <is>
          <t>2</t>
        </is>
      </c>
      <c r="E1052" t="inlineStr">
        <is>
          <t>30</t>
        </is>
      </c>
      <c r="F1052" t="inlineStr">
        <is>
          <t>4</t>
        </is>
      </c>
      <c r="G1052" t="inlineStr">
        <is>
          <t>0</t>
        </is>
      </c>
      <c r="H1052" t="inlineStr">
        <is>
          <t>5⁸, 40²</t>
        </is>
      </c>
      <c r="I1052" t="n">
        <v>10</v>
      </c>
      <c r="J1052" t="inlineStr">
        <is>
          <t>4³, 8⁶</t>
        </is>
      </c>
      <c r="K1052">
        <f>HYPERLINK("CSG2.html#group20F2", "20F²")</f>
        <v/>
      </c>
      <c r="L1052">
        <f>HYPERLINK("CSG11.html#group40J11", "40J¹¹"), =HYPERLINK("CSG13.html#group40I13", "40I¹³"), =HYPERLINK("CSG15.html#group40T15", "40T¹⁵"), =HYPERLINK("CSG15.html#group40AJ15", "40AJ¹⁵"), =HYPERLINK("CSG23.html#group120O23", "120O²³")</f>
        <v/>
      </c>
      <c r="M1052">
        <f>HYPERLINK("CSG0.html#group1A0", "1A⁰"), =HYPERLINK("CSG0.html#group2B0", "2B⁰"), =HYPERLINK("CSG2.html#group20F2", "20F²"), =HYPERLINK("CSG0.html#group5C0", "5C⁰"), =HYPERLINK("CSG1.html#group10F1", "10F¹")</f>
        <v/>
      </c>
      <c r="N1052">
        <f>HYPERLINK("CSG15.html#group40AJ15", "40AJ¹⁵"), =HYPERLINK("CSG15.html#group40T15", "40T¹⁵"), =HYPERLINK("CSG13.html#group40I13", "40I¹³"), =HYPERLINK("CSG11.html#group40J11", "40J¹¹"), =HYPERLINK("CSG23.html#group120O23", "120O²³")</f>
        <v/>
      </c>
    </row>
    <row r="1053">
      <c r="A1053" t="inlineStr">
        <is>
          <t>40L⁵</t>
        </is>
      </c>
      <c r="B1053" t="inlineStr"/>
      <c r="C1053" t="inlineStr">
        <is>
          <t>144</t>
        </is>
      </c>
      <c r="D1053" t="inlineStr">
        <is>
          <t>1</t>
        </is>
      </c>
      <c r="E1053" t="inlineStr">
        <is>
          <t>18</t>
        </is>
      </c>
      <c r="F1053" t="inlineStr">
        <is>
          <t>16</t>
        </is>
      </c>
      <c r="G1053" t="inlineStr">
        <is>
          <t>0</t>
        </is>
      </c>
      <c r="H1053" t="inlineStr">
        <is>
          <t>4², 8², 20², 40²</t>
        </is>
      </c>
      <c r="I1053" t="n">
        <v>8</v>
      </c>
      <c r="J1053" t="inlineStr">
        <is>
          <t>1⁶, 4³</t>
        </is>
      </c>
      <c r="K1053">
        <f>HYPERLINK("CSG1.html#group20I1", "20I¹"), =HYPERLINK("CSG3.html#group40C3", "40C³"), =HYPERLINK("CSG3.html#group40D3", "40D³")</f>
        <v/>
      </c>
      <c r="L1053">
        <f>HYPERLINK("CSG13.html#group40M13", "40M¹³"), =HYPERLINK("CSG13.html#group40N13", "40N¹³"), =HYPERLINK("CSG13.html#group40U13", "40U¹³"), =HYPERLINK("CSG13.html#group40V13", "40V¹³"), =HYPERLINK("CSG13.html#group40W13", "40W¹³"), =HYPERLINK("CSG13.html#group80C13", "80C¹³"), =HYPERLINK("CSG17.html#group40Y17", "40Y¹⁷"), =HYPERLINK("CSG17.html#group80AA17", "80AA¹⁷"), =HYPERLINK("CSG17.html#group80AF17", "80AF¹⁷"), =HYPERLINK("CSG17.html#group80AS17", "80AS¹⁷"), =HYPERLINK("CSG17.html#group80AT17", "80AT¹⁷"), =HYPERLINK("CSG17.html#group80BC17", "80BC¹⁷"), =HYPERLINK("CSG21.html#group80E21", "80E²¹"), =HYPERLINK("CSG21.html#group120O21", "120O²¹")</f>
        <v/>
      </c>
      <c r="M1053">
        <f>HYPERLINK("CSG3.html#group40C3", "40C³"), =HYPERLINK("CSG1.html#group20E1", "20E¹"), =HYPERLINK("CSG0.html#group20A0", "20A⁰"), =HYPERLINK("CSG0.html#group10G0", "10G⁰"), =HYPERLINK("CSG1.html#group20I1", "20I¹"), =HYPERLINK("CSG0.html#group4C0", "4C⁰"), =HYPERLINK("CSG0.html#group5B0", "5B⁰"), =HYPERLINK("CSG0.html#group10C0", "10C⁰"), =HYPERLINK("CSG0.html#group8B0", "8B⁰"), =HYPERLINK("CSG0.html#group1A0", "1A⁰"), =HYPERLINK("CSG0.html#group2B0", "2B⁰"), =HYPERLINK("CSG3.html#group40D3", "40D³"), =HYPERLINK("CSG0.html#group10B0", "10B⁰")</f>
        <v/>
      </c>
      <c r="N1053">
        <f>HYPERLINK("CSG13.html#group40M13", "40M¹³"), =HYPERLINK("CSG13.html#group40V13", "40V¹³"), =HYPERLINK("CSG17.html#group80AA17", "80AA¹⁷"), =HYPERLINK("CSG13.html#group40W13", "40W¹³"), =HYPERLINK("CSG13.html#group40U13", "40U¹³"), =HYPERLINK("CSG21.html#group80E21", "80E²¹"), =HYPERLINK("CSG17.html#group80AT17", "80AT¹⁷"), =HYPERLINK("CSG17.html#group80AF17", "80AF¹⁷"), =HYPERLINK("CSG17.html#group40Y17", "40Y¹⁷"), =HYPERLINK("CSG17.html#group80BC17", "80BC¹⁷"), =HYPERLINK("CSG13.html#group80C13", "80C¹³"), =HYPERLINK("CSG21.html#group120O21", "120O²¹"), =HYPERLINK("CSG17.html#group80AS17", "80AS¹⁷"), =HYPERLINK("CSG13.html#group40N13", "40N¹³")</f>
        <v/>
      </c>
    </row>
    <row r="1054">
      <c r="A1054" t="inlineStr">
        <is>
          <t>40M⁵</t>
        </is>
      </c>
      <c r="B1054" t="inlineStr"/>
      <c r="C1054" t="inlineStr">
        <is>
          <t>144</t>
        </is>
      </c>
      <c r="D1054" t="inlineStr">
        <is>
          <t>1</t>
        </is>
      </c>
      <c r="E1054" t="inlineStr">
        <is>
          <t>36</t>
        </is>
      </c>
      <c r="F1054" t="inlineStr">
        <is>
          <t>0</t>
        </is>
      </c>
      <c r="G1054" t="inlineStr">
        <is>
          <t>0</t>
        </is>
      </c>
      <c r="H1054" t="inlineStr">
        <is>
          <t>1⁴, 2², 5⁴, 8², 10², 40²</t>
        </is>
      </c>
      <c r="I1054" t="n">
        <v>16</v>
      </c>
      <c r="J1054" t="inlineStr">
        <is>
          <t>1⁸, 2², 4⁴, 8¹</t>
        </is>
      </c>
      <c r="K1054">
        <f>HYPERLINK("CSG1.html#group20H1", "20H¹"), =HYPERLINK("CSG3.html#group40E3", "40E³"), =HYPERLINK("CSG3.html#group40F3", "40F³")</f>
        <v/>
      </c>
      <c r="L1054">
        <f>HYPERLINK("CSG9.html#group40W9", "40W⁹"), =HYPERLINK("CSG13.html#group40K13", "40K¹³"), =HYPERLINK("CSG13.html#group40L13", "40L¹³"), =HYPERLINK("CSG13.html#group40O13", "40O¹³"), =HYPERLINK("CSG13.html#group40P13", "40P¹³"), =HYPERLINK("CSG13.html#group80D13", "80D¹³"), =HYPERLINK("CSG13.html#group80E13", "80E¹³"), =HYPERLINK("CSG13.html#group80F13", "80F¹³"), =HYPERLINK("CSG13.html#group80G13", "80G¹³"), =HYPERLINK("CSG17.html#group80U17", "80U¹⁷"), =HYPERLINK("CSG17.html#group80V17", "80V¹⁷")</f>
        <v/>
      </c>
      <c r="M1054">
        <f>HYPERLINK("CSG0.html#group20A0", "20A⁰"), =HYPERLINK("CSG3.html#group40F3", "40F³"), =HYPERLINK("CSG0.html#group5B0", "5B⁰"), =HYPERLINK("CSG0.html#group10C0", "10C⁰"), =HYPERLINK("CSG0.html#group5D0", "5D⁰"), =HYPERLINK("CSG3.html#group40E3", "40E³"), =HYPERLINK("CSG1.html#group20D1", "20D¹"), =HYPERLINK("CSG0.html#group8C0", "8C⁰"), =HYPERLINK("CSG1.html#group20H1", "20H¹"), =HYPERLINK("CSG0.html#group2B0", "2B⁰"), =HYPERLINK("CSG0.html#group4B0", "4B⁰"), =HYPERLINK("CSG0.html#group1A0", "1A⁰"), =HYPERLINK("CSG0.html#group10F0", "10F⁰")</f>
        <v/>
      </c>
      <c r="N1054">
        <f>HYPERLINK("CSG13.html#group80G13", "80G¹³"), =HYPERLINK("CSG13.html#group80F13", "80F¹³"), =HYPERLINK("CSG13.html#group40O13", "40O¹³"), =HYPERLINK("CSG13.html#group80D13", "80D¹³"), =HYPERLINK("CSG17.html#group80V17", "80V¹⁷"), =HYPERLINK("CSG9.html#group40W9", "40W⁹"), =HYPERLINK("CSG13.html#group40K13", "40K¹³"), =HYPERLINK("CSG13.html#group40P13", "40P¹³"), =HYPERLINK("CSG13.html#group80E13", "80E¹³"), =HYPERLINK("CSG17.html#group80U17", "80U¹⁷"), =HYPERLINK("CSG13.html#group40L13", "40L¹³")</f>
        <v/>
      </c>
    </row>
    <row r="1055">
      <c r="A1055" t="inlineStr">
        <is>
          <t>40N⁵</t>
        </is>
      </c>
      <c r="B1055" t="inlineStr"/>
      <c r="C1055" t="inlineStr">
        <is>
          <t>144</t>
        </is>
      </c>
      <c r="D1055" t="inlineStr">
        <is>
          <t>1</t>
        </is>
      </c>
      <c r="E1055" t="inlineStr">
        <is>
          <t>36</t>
        </is>
      </c>
      <c r="F1055" t="inlineStr">
        <is>
          <t>8</t>
        </is>
      </c>
      <c r="G1055" t="inlineStr">
        <is>
          <t>0</t>
        </is>
      </c>
      <c r="H1055" t="inlineStr">
        <is>
          <t>2⁴, 8², 10⁴, 40²</t>
        </is>
      </c>
      <c r="I1055" t="n">
        <v>12</v>
      </c>
      <c r="J1055" t="inlineStr">
        <is>
          <t>1⁴, 2⁴, 4², 8²</t>
        </is>
      </c>
      <c r="K1055">
        <f>HYPERLINK("CSG1.html#group20I1", "20I¹"), =HYPERLINK("CSG3.html#group40G3", "40G³"), =HYPERLINK("CSG3.html#group40H3", "40H³")</f>
        <v/>
      </c>
      <c r="L1055">
        <f>HYPERLINK("CSG11.html#group40K11", "40K¹¹"), =HYPERLINK("CSG13.html#group40K13", "40K¹³"), =HYPERLINK("CSG13.html#group40M13", "40M¹³"), =HYPERLINK("CSG13.html#group80H13", "80H¹³"), =HYPERLINK("CSG13.html#group80I13", "80I¹³"), =HYPERLINK("CSG15.html#group40AH15", "40AH¹⁵"), =HYPERLINK("CSG17.html#group40Z17", "40Z¹⁷"), =HYPERLINK("CSG17.html#group80AM17", "80AM¹⁷"), =HYPERLINK("CSG17.html#group80AN17", "80AN¹⁷")</f>
        <v/>
      </c>
      <c r="M1055">
        <f>HYPERLINK("CSG1.html#group20E1", "20E¹"), =HYPERLINK("CSG0.html#group20A0", "20A⁰"), =HYPERLINK("CSG0.html#group10G0", "10G⁰"), =HYPERLINK("CSG1.html#group20I1", "20I¹"), =HYPERLINK("CSG3.html#group40H3", "40H³"), =HYPERLINK("CSG0.html#group8D0", "8D⁰"), =HYPERLINK("CSG0.html#group4C0", "4C⁰"), =HYPERLINK("CSG0.html#group5B0", "5B⁰"), =HYPERLINK("CSG0.html#group10C0", "10C⁰"), =HYPERLINK("CSG0.html#group2B0", "2B⁰"), =HYPERLINK("CSG0.html#group10B0", "10B⁰"), =HYPERLINK("CSG0.html#group1A0", "1A⁰"), =HYPERLINK("CSG3.html#group40G3", "40G³")</f>
        <v/>
      </c>
      <c r="N1055">
        <f>HYPERLINK("CSG13.html#group40M13", "40M¹³"), =HYPERLINK("CSG17.html#group80AN17", "80AN¹⁷"), =HYPERLINK("CSG13.html#group80H13", "80H¹³"), =HYPERLINK("CSG11.html#group40K11", "40K¹¹"), =HYPERLINK("CSG17.html#group40Z17", "40Z¹⁷"), =HYPERLINK("CSG13.html#group40K13", "40K¹³"), =HYPERLINK("CSG17.html#group80AM17", "80AM¹⁷"), =HYPERLINK("CSG13.html#group80I13", "80I¹³"), =HYPERLINK("CSG15.html#group40AH15", "40AH¹⁵")</f>
        <v/>
      </c>
    </row>
    <row r="1056">
      <c r="A1056" t="inlineStr">
        <is>
          <t>40O⁵</t>
        </is>
      </c>
      <c r="B1056" t="inlineStr"/>
      <c r="C1056" t="inlineStr">
        <is>
          <t>144</t>
        </is>
      </c>
      <c r="D1056" t="inlineStr">
        <is>
          <t>2</t>
        </is>
      </c>
      <c r="E1056" t="inlineStr">
        <is>
          <t>18</t>
        </is>
      </c>
      <c r="F1056" t="inlineStr">
        <is>
          <t>8</t>
        </is>
      </c>
      <c r="G1056" t="inlineStr">
        <is>
          <t>0</t>
        </is>
      </c>
      <c r="H1056" t="inlineStr">
        <is>
          <t>2⁴, 8², 10⁴, 40²</t>
        </is>
      </c>
      <c r="I1056" t="n">
        <v>12</v>
      </c>
      <c r="J1056" t="inlineStr">
        <is>
          <t>2⁶, 8³</t>
        </is>
      </c>
      <c r="K1056">
        <f>HYPERLINK("CSG1.html#group20I1", "20I¹"), =HYPERLINK("CSG1.html#group40A1", "40A¹"), =HYPERLINK("CSG3.html#group40I3", "40I³")</f>
        <v/>
      </c>
      <c r="L1056">
        <f>HYPERLINK("CSG11.html#group40K11", "40K¹¹"), =HYPERLINK("CSG13.html#group40J13", "40J¹³"), =HYPERLINK("CSG13.html#group40W13", "40W¹³"), =HYPERLINK("CSG15.html#group40AG15", "40AG¹⁵"), =HYPERLINK("CSG17.html#group40AQ17", "40AQ¹⁷")</f>
        <v/>
      </c>
      <c r="M1056">
        <f>HYPERLINK("CSG1.html#group20E1", "20E¹"), =HYPERLINK("CSG0.html#group20A0", "20A⁰"), =HYPERLINK("CSG1.html#group40A1", "40A¹"), =HYPERLINK("CSG0.html#group10G0", "10G⁰"), =HYPERLINK("CSG1.html#group20I1", "20I¹"), =HYPERLINK("CSG3.html#group40I3", "40I³"), =HYPERLINK("CSG0.html#group4C0", "4C⁰"), =HYPERLINK("CSG0.html#group5B0", "5B⁰"), =HYPERLINK("CSG0.html#group10C0", "10C⁰"), =HYPERLINK("CSG0.html#group2B0", "2B⁰"), =HYPERLINK("CSG0.html#group1A0", "1A⁰"), =HYPERLINK("CSG0.html#group10B0", "10B⁰")</f>
        <v/>
      </c>
      <c r="N1056">
        <f>HYPERLINK("CSG13.html#group40J13", "40J¹³"), =HYPERLINK("CSG17.html#group40AQ17", "40AQ¹⁷"), =HYPERLINK("CSG13.html#group40W13", "40W¹³"), =HYPERLINK("CSG11.html#group40K11", "40K¹¹"), =HYPERLINK("CSG15.html#group40AG15", "40AG¹⁵")</f>
        <v/>
      </c>
    </row>
    <row r="1057">
      <c r="A1057" t="inlineStr">
        <is>
          <t>41A⁵</t>
        </is>
      </c>
      <c r="B1057" t="inlineStr"/>
      <c r="C1057" t="inlineStr">
        <is>
          <t>84</t>
        </is>
      </c>
      <c r="D1057" t="inlineStr">
        <is>
          <t>1</t>
        </is>
      </c>
      <c r="E1057" t="inlineStr">
        <is>
          <t>42</t>
        </is>
      </c>
      <c r="F1057" t="inlineStr">
        <is>
          <t>4</t>
        </is>
      </c>
      <c r="G1057" t="inlineStr">
        <is>
          <t>0</t>
        </is>
      </c>
      <c r="H1057" t="inlineStr">
        <is>
          <t>1², 41²</t>
        </is>
      </c>
      <c r="I1057" t="n">
        <v>4</v>
      </c>
      <c r="J1057" t="inlineStr">
        <is>
          <t>1², 40¹</t>
        </is>
      </c>
      <c r="K1057">
        <f>HYPERLINK("CSG3.html#group41A3", "41A³")</f>
        <v/>
      </c>
      <c r="L1057">
        <f>HYPERLINK("CSG11.html#group41A11", "41A¹¹"), =HYPERLINK("CSG11.html#group82A11", "82A¹¹"), =HYPERLINK("CSG13.html#group82A13", "82A¹³"), =HYPERLINK("CSG17.html#group82A17", "82A¹⁷"), =HYPERLINK("CSG17.html#group123A17", "123A¹⁷"), =HYPERLINK("CSG21.html#group41A21", "41A²¹")</f>
        <v/>
      </c>
      <c r="M1057">
        <f>HYPERLINK("CSG0.html#group1A0", "1A⁰"), =HYPERLINK("CSG3.html#group41A3", "41A³")</f>
        <v/>
      </c>
      <c r="N1057">
        <f>HYPERLINK("CSG17.html#group123A17", "123A¹⁷"), =HYPERLINK("CSG21.html#group41A21", "41A²¹"), =HYPERLINK("CSG11.html#group82A11", "82A¹¹"), =HYPERLINK("CSG11.html#group41A11", "41A¹¹"), =HYPERLINK("CSG17.html#group82A17", "82A¹⁷"), =HYPERLINK("CSG13.html#group82A13", "82A¹³")</f>
        <v/>
      </c>
    </row>
    <row r="1058">
      <c r="A1058" t="inlineStr">
        <is>
          <t>42A⁵</t>
        </is>
      </c>
      <c r="B1058" t="inlineStr"/>
      <c r="C1058" t="inlineStr">
        <is>
          <t>72</t>
        </is>
      </c>
      <c r="D1058" t="inlineStr">
        <is>
          <t>1</t>
        </is>
      </c>
      <c r="E1058" t="inlineStr">
        <is>
          <t>24</t>
        </is>
      </c>
      <c r="F1058" t="inlineStr">
        <is>
          <t>0</t>
        </is>
      </c>
      <c r="G1058" t="inlineStr">
        <is>
          <t>0</t>
        </is>
      </c>
      <c r="H1058" t="inlineStr">
        <is>
          <t>3¹, 6¹, 21¹, 42¹</t>
        </is>
      </c>
      <c r="I1058" t="n">
        <v>4</v>
      </c>
      <c r="J1058" t="inlineStr">
        <is>
          <t>1⁶, 6³</t>
        </is>
      </c>
      <c r="K1058">
        <f>HYPERLINK("CSG0.html#group6D0", "6D⁰"), =HYPERLINK("CSG1.html#group14C1", "14C¹"), =HYPERLINK("CSG2.html#group21A2", "21A²")</f>
        <v/>
      </c>
      <c r="L1058">
        <f>HYPERLINK("CSG9.html#group42A9", "42A⁹"), =HYPERLINK("CSG10.html#group42E10", "42E¹⁰"), =HYPERLINK("CSG10.html#group42I10", "42I¹⁰"), =HYPERLINK("CSG10.html#group84B10", "84B¹⁰"), =HYPERLINK("CSG10.html#group84C10", "84C¹⁰"), =HYPERLINK("CSG11.html#group84A11", "84A¹¹"), =HYPERLINK("CSG11.html#group84B11", "84B¹¹"), =HYPERLINK("CSG13.html#group42H13", "42H¹³"), =HYPERLINK("CSG17.html#group126A17", "126A¹⁷")</f>
        <v/>
      </c>
      <c r="M1058">
        <f>HYPERLINK("CSG2.html#group21A2", "21A²"), =HYPERLINK("CSG0.html#group7B0", "7B⁰"), =HYPERLINK("CSG1.html#group14C1", "14C¹"), =HYPERLINK("CSG0.html#group2B0", "2B⁰"), =HYPERLINK("CSG0.html#group3A0", "3A⁰"), =HYPERLINK("CSG0.html#group1A0", "1A⁰"), =HYPERLINK("CSG0.html#group6D0", "6D⁰")</f>
        <v/>
      </c>
      <c r="N1058">
        <f>HYPERLINK("CSG23.html#group168D23", "168D²³"), =HYPERLINK("CSG21.html#group84C21", "84C²¹"), =HYPERLINK("CSG21.html#group84B21", "84B²¹"), =HYPERLINK("CSG19.html#group42P19", "42P¹⁹"), =HYPERLINK("CSG20.html#group168E20", "168E²⁰"), =HYPERLINK("CSG17.html#group42I17", "42I¹⁷"), =HYPERLINK("CSG20.html#group84I20", "84I²⁰"), =HYPERLINK("CSG9.html#group42A9", "42A⁹"), =HYPERLINK("CSG20.html#group84K20", "84K²⁰"), =HYPERLINK("CSG20.html#group84J20", "84J²⁰"), =HYPERLINK("CSG22.html#group84J22", "84J²²"), =HYPERLINK("CSG23.html#group168C23", "168C²³"), =HYPERLINK("CSG10.html#group84B10", "84B¹⁰"), =HYPERLINK("CSG21.html#group84D21", "84D²¹"), =HYPERLINK("CSG19.html#group42R19", "42R¹⁹"), =HYPERLINK("CSG11.html#group84A11", "84A¹¹"), =HYPERLINK("CSG22.html#group168B22", "168B²²"), =HYPERLINK("CSG11.html#group84B11", "84B¹¹"), =HYPERLINK("CSG22.html#group84F22", "84F²²"), =HYPERLINK("CSG22.html#group84A22", "84A²²"), =HYPERLINK("CSG21.html#group84A21", "84A²¹"), =HYPERLINK("CSG10.html#group84C10", "84C¹⁰"), =HYPERLINK("CSG22.html#group84I22", "84I²²"), =HYPERLINK("CSG10.html#group42I10", "42I¹⁰"), =HYPERLINK("CSG19.html#group84K19", "84K¹⁹"), =HYPERLINK("CSG23.html#group168A23", "168A²³"), =HYPERLINK("CSG10.html#group42E10", "42E¹⁰"), =HYPERLINK("CSG23.html#group168B23", "168B²³"), =HYPERLINK("CSG17.html#group126A17", "126A¹⁷"), =HYPERLINK("CSG22.html#group168A22", "168A²²"), =HYPERLINK("CSG20.html#group168F20", "168F²⁰"), =HYPERLINK("CSG20.html#group84L20", "84L²⁰"), =HYPERLINK("CSG19.html#group84J19", "84J¹⁹"), =HYPERLINK("CSG22.html#group168C22", "168C²²"), =HYPERLINK("CSG21.html#group168B21", "168B²¹"), =HYPERLINK("CSG13.html#group42H13", "42H¹³"), =HYPERLINK("CSG22.html#group168D22", "168D²²"), =HYPERLINK("CSG21.html#group84F21", "84F²¹"), =HYPERLINK("CSG21.html#group84E21", "84E²¹"), =HYPERLINK("CSG21.html#group84H21", "84H²¹"), =HYPERLINK("CSG21.html#group168C21", "168C²¹")</f>
        <v/>
      </c>
    </row>
    <row r="1059">
      <c r="A1059" t="inlineStr">
        <is>
          <t>42B⁵</t>
        </is>
      </c>
      <c r="B1059" t="inlineStr"/>
      <c r="C1059" t="inlineStr">
        <is>
          <t>72</t>
        </is>
      </c>
      <c r="D1059" t="inlineStr">
        <is>
          <t>2</t>
        </is>
      </c>
      <c r="E1059" t="inlineStr">
        <is>
          <t>24</t>
        </is>
      </c>
      <c r="F1059" t="inlineStr">
        <is>
          <t>0</t>
        </is>
      </c>
      <c r="G1059" t="inlineStr">
        <is>
          <t>0</t>
        </is>
      </c>
      <c r="H1059" t="inlineStr">
        <is>
          <t>3¹, 6¹, 21¹, 42¹</t>
        </is>
      </c>
      <c r="I1059" t="n">
        <v>4</v>
      </c>
      <c r="J1059" t="inlineStr">
        <is>
          <t>2⁶, 12³</t>
        </is>
      </c>
      <c r="K1059">
        <f>HYPERLINK("CSG1.html#group14C1", "14C¹"), =HYPERLINK("CSG1.html#group21A1", "21A¹")</f>
        <v/>
      </c>
      <c r="L1059">
        <f>HYPERLINK("CSG10.html#group42J10", "42J¹⁰"), =HYPERLINK("CSG10.html#group84D10", "84D¹⁰"), =HYPERLINK("CSG11.html#group84C11", "84C¹¹"), =HYPERLINK("CSG13.html#group42H13", "42H¹³"), =HYPERLINK("CSG17.html#group42J17", "42J¹⁷")</f>
        <v/>
      </c>
      <c r="M1059">
        <f>HYPERLINK("CSG0.html#group2B0", "2B⁰"), =HYPERLINK("CSG1.html#group14C1", "14C¹"), =HYPERLINK("CSG0.html#group1A0", "1A⁰"), =HYPERLINK("CSG0.html#group7B0", "7B⁰"), =HYPERLINK("CSG1.html#group21A1", "21A¹")</f>
        <v/>
      </c>
      <c r="N1059">
        <f>HYPERLINK("CSG13.html#group42H13", "42H¹³"), =HYPERLINK("CSG10.html#group42J10", "42J¹⁰"), =HYPERLINK("CSG11.html#group84C11", "84C¹¹"), =HYPERLINK("CSG20.html#group84N20", "84N²⁰"), =HYPERLINK("CSG23.html#group168F23", "168F²³"), =HYPERLINK("CSG22.html#group168F22", "168F²²"), =HYPERLINK("CSG21.html#group84G21", "84G²¹"), =HYPERLINK("CSG20.html#group168G20", "168G²⁰"), =HYPERLINK("CSG22.html#group168E22", "168E²²"), =HYPERLINK("CSG20.html#group84M20", "84M²⁰"), =HYPERLINK("CSG21.html#group168D21", "168D²¹"), =HYPERLINK("CSG22.html#group84K22", "84K²²"), =HYPERLINK("CSG17.html#group42J17", "42J¹⁷"), =HYPERLINK("CSG10.html#group84D10", "84D¹⁰"), =HYPERLINK("CSG23.html#group168E23", "168E²³"), =HYPERLINK("CSG22.html#group84L22", "84L²²")</f>
        <v/>
      </c>
    </row>
    <row r="1060">
      <c r="A1060" t="inlineStr">
        <is>
          <t>42C⁵</t>
        </is>
      </c>
      <c r="B1060" t="inlineStr"/>
      <c r="C1060" t="inlineStr">
        <is>
          <t>84</t>
        </is>
      </c>
      <c r="D1060" t="inlineStr">
        <is>
          <t>2</t>
        </is>
      </c>
      <c r="E1060" t="inlineStr">
        <is>
          <t>14</t>
        </is>
      </c>
      <c r="F1060" t="inlineStr">
        <is>
          <t>0</t>
        </is>
      </c>
      <c r="G1060" t="inlineStr">
        <is>
          <t>6</t>
        </is>
      </c>
      <c r="H1060" t="inlineStr">
        <is>
          <t>42²</t>
        </is>
      </c>
      <c r="I1060" t="n">
        <v>2</v>
      </c>
      <c r="J1060" t="inlineStr">
        <is>
          <t>4¹, 12²</t>
        </is>
      </c>
      <c r="K1060">
        <f>HYPERLINK("CSG1.html#group14D1", "14D¹"), =HYPERLINK("CSG1.html#group21C1", "21C¹")</f>
        <v/>
      </c>
      <c r="L1060">
        <f>HYPERLINK("CSG16.html#group42B16", "42B¹⁶"), =HYPERLINK("CSG19.html#group42F19", "42F¹⁹"), =HYPERLINK("CSG19.html#group42I19", "42I¹⁹"), =HYPERLINK("CSG23.html#group42B23", "42B²³"), =HYPERLINK("CSG23.html#group42G23", "42G²³"), =HYPERLINK("CSG23.html#group42J23", "42J²³")</f>
        <v/>
      </c>
      <c r="M1060">
        <f>HYPERLINK("CSG0.html#group2A0", "2A⁰"), =HYPERLINK("CSG0.html#group14A0", "14A⁰"), =HYPERLINK("CSG0.html#group7C0", "7C⁰"), =HYPERLINK("CSG1.html#group14A1", "14A¹"), =HYPERLINK("CSG1.html#group21C1", "21C¹"), =HYPERLINK("CSG0.html#group1A0", "1A⁰"), =HYPERLINK("CSG1.html#group14D1", "14D¹"), =HYPERLINK("CSG0.html#group7A0", "7A⁰")</f>
        <v/>
      </c>
      <c r="N1060">
        <f>HYPERLINK("CSG19.html#group42I19", "42I¹⁹"), =HYPERLINK("CSG19.html#group42F19", "42F¹⁹"), =HYPERLINK("CSG23.html#group42B23", "42B²³"), =HYPERLINK("CSG16.html#group42B16", "42B¹⁶"), =HYPERLINK("CSG23.html#group42J23", "42J²³"), =HYPERLINK("CSG23.html#group42G23", "42G²³")</f>
        <v/>
      </c>
    </row>
    <row r="1061">
      <c r="A1061" t="inlineStr">
        <is>
          <t>42D⁵</t>
        </is>
      </c>
      <c r="B1061" t="inlineStr"/>
      <c r="C1061" t="inlineStr">
        <is>
          <t>84</t>
        </is>
      </c>
      <c r="D1061" t="inlineStr">
        <is>
          <t>2</t>
        </is>
      </c>
      <c r="E1061" t="inlineStr">
        <is>
          <t>14</t>
        </is>
      </c>
      <c r="F1061" t="inlineStr">
        <is>
          <t>0</t>
        </is>
      </c>
      <c r="G1061" t="inlineStr">
        <is>
          <t>6</t>
        </is>
      </c>
      <c r="H1061" t="inlineStr">
        <is>
          <t>42²</t>
        </is>
      </c>
      <c r="I1061" t="n">
        <v>2</v>
      </c>
      <c r="J1061" t="inlineStr">
        <is>
          <t>4¹, 12²</t>
        </is>
      </c>
      <c r="K1061">
        <f>HYPERLINK("CSG1.html#group14D1", "14D¹"), =HYPERLINK("CSG3.html#group42A3", "42A³")</f>
        <v/>
      </c>
      <c r="L1061">
        <f>HYPERLINK("CSG16.html#group42B16", "42B¹⁶"), =HYPERLINK("CSG19.html#group42G19", "42G¹⁹"), =HYPERLINK("CSG19.html#group42H19", "42H¹⁹"), =HYPERLINK("CSG23.html#group42A23", "42A²³"), =HYPERLINK("CSG23.html#group42H23", "42H²³")</f>
        <v/>
      </c>
      <c r="M1061">
        <f>HYPERLINK("CSG0.html#group2A0", "2A⁰"), =HYPERLINK("CSG0.html#group14A0", "14A⁰"), =HYPERLINK("CSG0.html#group6A0", "6A⁰"), =HYPERLINK("CSG3.html#group42A3", "42A³"), =HYPERLINK("CSG0.html#group7C0", "7C⁰"), =HYPERLINK("CSG1.html#group14A1", "14A¹"), =HYPERLINK("CSG0.html#group1A0", "1A⁰"), =HYPERLINK("CSG1.html#group14D1", "14D¹"), =HYPERLINK("CSG0.html#group7A0", "7A⁰")</f>
        <v/>
      </c>
      <c r="N1061">
        <f>HYPERLINK("CSG23.html#group42H23", "42H²³"), =HYPERLINK("CSG19.html#group42G19", "42G¹⁹"), =HYPERLINK("CSG23.html#group42A23", "42A²³"), =HYPERLINK("CSG16.html#group42B16", "42B¹⁶"), =HYPERLINK("CSG19.html#group42H19", "42H¹⁹")</f>
        <v/>
      </c>
    </row>
    <row r="1062">
      <c r="A1062" t="inlineStr">
        <is>
          <t>42E⁵</t>
        </is>
      </c>
      <c r="B1062" t="inlineStr"/>
      <c r="C1062" t="inlineStr">
        <is>
          <t>84</t>
        </is>
      </c>
      <c r="D1062" t="inlineStr">
        <is>
          <t>2</t>
        </is>
      </c>
      <c r="E1062" t="inlineStr">
        <is>
          <t>21</t>
        </is>
      </c>
      <c r="F1062" t="inlineStr">
        <is>
          <t>8</t>
        </is>
      </c>
      <c r="G1062" t="inlineStr">
        <is>
          <t>0</t>
        </is>
      </c>
      <c r="H1062" t="inlineStr">
        <is>
          <t>42²</t>
        </is>
      </c>
      <c r="I1062" t="n">
        <v>2</v>
      </c>
      <c r="J1062" t="inlineStr">
        <is>
          <t>2¹, 4¹, 6², 12²</t>
        </is>
      </c>
      <c r="K1062">
        <f>HYPERLINK("CSG1.html#group42A1", "42A¹"), =HYPERLINK("CSG2.html#group21D2", "21D²"), =HYPERLINK("CSG2.html#group42A2", "42A²")</f>
        <v/>
      </c>
      <c r="L1062">
        <f>HYPERLINK("CSG9.html#group42C9", "42C⁹"), =HYPERLINK("CSG13.html#group42B13", "42B¹³"), =HYPERLINK("CSG13.html#group42E13", "42E¹³"), =HYPERLINK("CSG15.html#group126F15", "126F¹⁵"), =HYPERLINK("CSG17.html#group42E17", "42E¹⁷"), =HYPERLINK("CSG17.html#group42F17", "42F¹⁷"), =HYPERLINK("CSG17.html#group42H17", "42H¹⁷"), =HYPERLINK("CSG18.html#group126G18", "126G¹⁸"), =HYPERLINK("CSG19.html#group126C19", "126C¹⁹"), =HYPERLINK("CSG19.html#group126B19", "126B¹⁹"), =HYPERLINK("CSG21.html#group42B21", "42B²¹"), =HYPERLINK("CSG23.html#group84D23", "84D²³")</f>
        <v/>
      </c>
      <c r="M1062">
        <f>HYPERLINK("CSG0.html#group14A0", "14A⁰"), =HYPERLINK("CSG2.html#group21D2", "21D²"), =HYPERLINK("CSG2.html#group42A2", "42A²"), =HYPERLINK("CSG1.html#group42A1", "42A¹"), =HYPERLINK("CSG0.html#group21A0", "21A⁰"), =HYPERLINK("CSG0.html#group3C0", "3C⁰"), =HYPERLINK("CSG0.html#group3A0", "3A⁰"), =HYPERLINK("CSG0.html#group1A0", "1A⁰"), =HYPERLINK("CSG0.html#group7A0", "7A⁰")</f>
        <v/>
      </c>
      <c r="N1062">
        <f>HYPERLINK("CSG18.html#group126G18", "126G¹⁸"), =HYPERLINK("CSG13.html#group42B13", "42B¹³"), =HYPERLINK("CSG23.html#group84A23", "84A²³"), =HYPERLINK("CSG9.html#group42C9", "42C⁹"), =HYPERLINK("CSG17.html#group42F17", "42F¹⁷"), =HYPERLINK("CSG15.html#group126F15", "126F¹⁵"), =HYPERLINK("CSG19.html#group126B19", "126B¹⁹"), =HYPERLINK("CSG19.html#group126C19", "126C¹⁹"), =HYPERLINK("CSG23.html#group84D23", "84D²³"), =HYPERLINK("CSG21.html#group42B21", "42B²¹"), =HYPERLINK("CSG13.html#group42E13", "42E¹³"), =HYPERLINK("CSG17.html#group42E17", "42E¹⁷"), =HYPERLINK("CSG17.html#group42H17", "42H¹⁷")</f>
        <v/>
      </c>
    </row>
    <row r="1063">
      <c r="A1063" t="inlineStr">
        <is>
          <t>42F⁵</t>
        </is>
      </c>
      <c r="B1063" t="inlineStr"/>
      <c r="C1063" t="inlineStr">
        <is>
          <t>84</t>
        </is>
      </c>
      <c r="D1063" t="inlineStr">
        <is>
          <t>2</t>
        </is>
      </c>
      <c r="E1063" t="inlineStr">
        <is>
          <t>21</t>
        </is>
      </c>
      <c r="F1063" t="inlineStr">
        <is>
          <t>8</t>
        </is>
      </c>
      <c r="G1063" t="inlineStr">
        <is>
          <t>0</t>
        </is>
      </c>
      <c r="H1063" t="inlineStr">
        <is>
          <t>42²</t>
        </is>
      </c>
      <c r="I1063" t="n">
        <v>2</v>
      </c>
      <c r="J1063" t="inlineStr">
        <is>
          <t>2¹, 4¹, 6², 12²</t>
        </is>
      </c>
      <c r="K1063">
        <f>HYPERLINK("CSG1.html#group42B1", "42B¹"), =HYPERLINK("CSG2.html#group21C2", "21C²"), =HYPERLINK("CSG2.html#group42A2", "42A²")</f>
        <v/>
      </c>
      <c r="L1063">
        <f>HYPERLINK("CSG11.html#group42B11", "42B¹¹"), =HYPERLINK("CSG13.html#group42E13", "42E¹³"), =HYPERLINK("CSG13.html#group42I13", "42I¹³"), =HYPERLINK("CSG17.html#group42G17", "42G¹⁷"), =HYPERLINK("CSG17.html#group126C17", "126C¹⁷"), =HYPERLINK("CSG17.html#group126D17", "126D¹⁷"), =HYPERLINK("CSG19.html#group126A19", "126A¹⁹"), =HYPERLINK("CSG19.html#group126E19", "126E¹⁹"), =HYPERLINK("CSG23.html#group84E23", "84E²³")</f>
        <v/>
      </c>
      <c r="M1063">
        <f>HYPERLINK("CSG0.html#group6B0", "6B⁰"), =HYPERLINK("CSG2.html#group42A2", "42A²"), =HYPERLINK("CSG0.html#group7C0", "7C⁰"), =HYPERLINK("CSG2.html#group21C2", "21C²"), =HYPERLINK("CSG0.html#group21A0", "21A⁰"), =HYPERLINK("CSG1.html#group42B1", "42B¹"), =HYPERLINK("CSG0.html#group3A0", "3A⁰"), =HYPERLINK("CSG0.html#group1A0", "1A⁰"), =HYPERLINK("CSG0.html#group7A0", "7A⁰")</f>
        <v/>
      </c>
      <c r="N1063">
        <f>HYPERLINK("CSG11.html#group42B11", "42B¹¹"), =HYPERLINK("CSG17.html#group126C17", "126C¹⁷"), =HYPERLINK("CSG17.html#group42G17", "42G¹⁷"), =HYPERLINK("CSG19.html#group126E19", "126E¹⁹"), =HYPERLINK("CSG13.html#group42I13", "42I¹³"), =HYPERLINK("CSG19.html#group126A19", "126A¹⁹"), =HYPERLINK("CSG23.html#group84E23", "84E²³"), =HYPERLINK("CSG17.html#group126D17", "126D¹⁷"), =HYPERLINK("CSG13.html#group42E13", "42E¹³")</f>
        <v/>
      </c>
    </row>
    <row r="1064">
      <c r="A1064" t="inlineStr">
        <is>
          <t>42G⁵</t>
        </is>
      </c>
      <c r="B1064" t="inlineStr">
        <is>
          <t>Γ₀(42)</t>
        </is>
      </c>
      <c r="C1064" t="inlineStr">
        <is>
          <t>96</t>
        </is>
      </c>
      <c r="D1064" t="inlineStr">
        <is>
          <t>1</t>
        </is>
      </c>
      <c r="E1064" t="inlineStr">
        <is>
          <t>96</t>
        </is>
      </c>
      <c r="F1064" t="inlineStr">
        <is>
          <t>0</t>
        </is>
      </c>
      <c r="G1064" t="inlineStr">
        <is>
          <t>0</t>
        </is>
      </c>
      <c r="H1064" t="inlineStr">
        <is>
          <t>1¹, 2¹, 3¹, 6¹, 7¹, 14¹, 21¹, 42¹</t>
        </is>
      </c>
      <c r="I1064" t="n">
        <v>8</v>
      </c>
      <c r="J1064" t="inlineStr">
        <is>
          <t>1¹², 2⁶, 6⁶, 12³</t>
        </is>
      </c>
      <c r="K1064">
        <f>HYPERLINK("CSG0.html#group6F0", "6F⁰"), =HYPERLINK("CSG1.html#group14C1", "14C¹"), =HYPERLINK("CSG1.html#group21B1", "21B¹")</f>
        <v/>
      </c>
      <c r="L1064">
        <f>HYPERLINK("CSG9.html#group42E9", "42E⁹"), =HYPERLINK("CSG11.html#group42G11", "42G¹¹"), =HYPERLINK("CSG11.html#group42I11", "42I¹¹"), =HYPERLINK("CSG11.html#group84H11", "84H¹¹"), =HYPERLINK("CSG11.html#group84I11", "84I¹¹"), =HYPERLINK("CSG13.html#group42L13", "42L¹³"), =HYPERLINK("CSG13.html#group84F13", "84F¹³"), =HYPERLINK("CSG13.html#group84G13", "84G¹³"), =HYPERLINK("CSG17.html#group42I17", "42I¹⁷"), =HYPERLINK("CSG17.html#group42J17", "42J¹⁷"), =HYPERLINK("CSG17.html#group126J17", "126J¹⁷"), =HYPERLINK("CSG17.html#group126K17", "126K¹⁷"), =HYPERLINK("CSG21.html#group126J21", "126J²¹"), =HYPERLINK("CSG21.html#group126K21", "126K²¹"), =HYPERLINK("CSG21.html#group126O21", "126O²¹"), =HYPERLINK("CSG21.html#group126P21", "126P²¹")</f>
        <v/>
      </c>
      <c r="M1064">
        <f>HYPERLINK("CSG0.html#group3B0", "3B⁰"), =HYPERLINK("CSG1.html#group21B1", "21B¹"), =HYPERLINK("CSG0.html#group7B0", "7B⁰"), =HYPERLINK("CSG1.html#group14C1", "14C¹"), =HYPERLINK("CSG0.html#group6F0", "6F⁰"), =HYPERLINK("CSG0.html#group2B0", "2B⁰"), =HYPERLINK("CSG0.html#group1A0", "1A⁰")</f>
        <v/>
      </c>
      <c r="N1064">
        <f>HYPERLINK("CSG21.html#group42H21", "42H²¹"), =HYPERLINK("CSG17.html#group126J17", "126J¹⁷"), =HYPERLINK("CSG13.html#group42L13", "42L¹³"), =HYPERLINK("CSG21.html#group84Q21", "84Q²¹"), =HYPERLINK("CSG21.html#group126J21", "126J²¹"), =HYPERLINK("CSG23.html#group84J23", "84J²³"), =HYPERLINK("CSG11.html#group84H11", "84H¹¹"), =HYPERLINK("CSG17.html#group42I17", "42I¹⁷"), =HYPERLINK("CSG17.html#group42J17", "42J¹⁷"), =HYPERLINK("CSG23.html#group84L23", "84L²³"), =HYPERLINK("CSG11.html#group84I11", "84I¹¹"), =HYPERLINK("CSG21.html#group126P21", "126P²¹"), =HYPERLINK("CSG11.html#group42I11", "42I¹¹"), =HYPERLINK("CSG23.html#group168Q23", "168Q²³"), =HYPERLINK("CSG23.html#group84I23", "84I²³"), =HYPERLINK("CSG23.html#group168R23", "168R²³"), =HYPERLINK("CSG17.html#group126K17", "126K¹⁷"), =HYPERLINK("CSG13.html#group84F13", "84F¹³"), =HYPERLINK("CSG21.html#group126O21", "126O²¹"), =HYPERLINK("CSG9.html#group42E9", "42E⁹"), =HYPERLINK("CSG21.html#group126K21", "126K²¹"), =HYPERLINK("CSG23.html#group84K23", "84K²³"), =HYPERLINK("CSG13.html#group84G13", "84G¹³"), =HYPERLINK("CSG11.html#group42G11", "42G¹¹")</f>
        <v/>
      </c>
    </row>
    <row r="1065">
      <c r="A1065" t="inlineStr">
        <is>
          <t>42H⁵</t>
        </is>
      </c>
      <c r="B1065" t="inlineStr"/>
      <c r="C1065" t="inlineStr">
        <is>
          <t>126</t>
        </is>
      </c>
      <c r="D1065" t="inlineStr">
        <is>
          <t>1</t>
        </is>
      </c>
      <c r="E1065" t="inlineStr">
        <is>
          <t>63</t>
        </is>
      </c>
      <c r="F1065" t="inlineStr">
        <is>
          <t>20</t>
        </is>
      </c>
      <c r="G1065" t="inlineStr">
        <is>
          <t>0</t>
        </is>
      </c>
      <c r="H1065" t="inlineStr">
        <is>
          <t>42³</t>
        </is>
      </c>
      <c r="I1065" t="n">
        <v>3</v>
      </c>
      <c r="J1065" t="inlineStr">
        <is>
          <t>3¹, 6⁴, 12³</t>
        </is>
      </c>
      <c r="K1065">
        <f>HYPERLINK("CSG1.html#group21E1", "21E¹"), =HYPERLINK("CSG1.html#group42B1", "42B¹")</f>
        <v/>
      </c>
      <c r="L1065">
        <f>HYPERLINK("CSG11.html#group42L11", "42L¹¹"), =HYPERLINK("CSG13.html#group42I13", "42I¹³"), =HYPERLINK("CSG14.html#group42A14", "42A¹⁴"), =HYPERLINK("CSG14.html#group42D14", "42D¹⁴"), =HYPERLINK("CSG14.html#group42E14", "42E¹⁴"), =HYPERLINK("CSG14.html#group42F14", "42F¹⁴"), =HYPERLINK("CSG15.html#group42G15", "42G¹⁵"), =HYPERLINK("CSG17.html#group42B17", "42B¹⁷"), =HYPERLINK("CSG19.html#group42E19", "42E¹⁹"), =HYPERLINK("CSG21.html#group126R21", "126R²¹"), =HYPERLINK("CSG23.html#group42K23", "42K²³")</f>
        <v/>
      </c>
      <c r="M1065">
        <f>HYPERLINK("CSG0.html#group6B0", "6B⁰"), =HYPERLINK("CSG0.html#group7D0", "7D⁰"), =HYPERLINK("CSG1.html#group21E1", "21E¹"), =HYPERLINK("CSG0.html#group21A0", "21A⁰"), =HYPERLINK("CSG1.html#group42B1", "42B¹"), =HYPERLINK("CSG0.html#group3A0", "3A⁰"), =HYPERLINK("CSG0.html#group1A0", "1A⁰"), =HYPERLINK("CSG0.html#group7A0", "7A⁰")</f>
        <v/>
      </c>
      <c r="N1065">
        <f>HYPERLINK("CSG21.html#group126R21", "126R²¹"), =HYPERLINK("CSG23.html#group42K23", "42K²³"), =HYPERLINK("CSG14.html#group42A14", "42A¹⁴"), =HYPERLINK("CSG13.html#group42I13", "42I¹³"), =HYPERLINK("CSG17.html#group42B17", "42B¹⁷"), =HYPERLINK("CSG15.html#group42G15", "42G¹⁵"), =HYPERLINK("CSG19.html#group42E19", "42E¹⁹"), =HYPERLINK("CSG14.html#group42E14", "42E¹⁴"), =HYPERLINK("CSG11.html#group42L11", "42L¹¹"), =HYPERLINK("CSG14.html#group42F14", "42F¹⁴"), =HYPERLINK("CSG14.html#group42D14", "42D¹⁴")</f>
        <v/>
      </c>
    </row>
    <row r="1066">
      <c r="A1066" t="inlineStr">
        <is>
          <t>42I⁵</t>
        </is>
      </c>
      <c r="B1066" t="inlineStr"/>
      <c r="C1066" t="inlineStr">
        <is>
          <t>128</t>
        </is>
      </c>
      <c r="D1066" t="inlineStr">
        <is>
          <t>1</t>
        </is>
      </c>
      <c r="E1066" t="inlineStr">
        <is>
          <t>32</t>
        </is>
      </c>
      <c r="F1066" t="inlineStr">
        <is>
          <t>0</t>
        </is>
      </c>
      <c r="G1066" t="inlineStr">
        <is>
          <t>8</t>
        </is>
      </c>
      <c r="H1066" t="inlineStr">
        <is>
          <t>2², 6², 14², 42²</t>
        </is>
      </c>
      <c r="I1066" t="n">
        <v>8</v>
      </c>
      <c r="J1066" t="inlineStr">
        <is>
          <t>1⁴, 2², 6², 12¹</t>
        </is>
      </c>
      <c r="K1066">
        <f>HYPERLINK("CSG1.html#group21F1", "21F¹"), =HYPERLINK("CSG3.html#group42D3", "42D³"), =HYPERLINK("CSG3.html#group42E3", "42E³")</f>
        <v/>
      </c>
      <c r="L1066">
        <f>HYPERLINK("CSG13.html#group84K13", "84K¹³"), =HYPERLINK("CSG17.html#group42L17", "42L¹⁷"), =HYPERLINK("CSG21.html#group42G21", "42G²¹"), =HYPERLINK("CSG21.html#group42H21", "42H²¹"), =HYPERLINK("CSG21.html#group42I21", "42I²¹"), =HYPERLINK("CSG21.html#group42J21", "42J²¹"), =HYPERLINK("CSG21.html#group126S21", "126S²¹"), =HYPERLINK("CSG21.html#group126T21", "126T²¹"), =HYPERLINK("CSG21.html#group126U21", "126U²¹"), =HYPERLINK("CSG23.html#group42M23", "42M²³"), =HYPERLINK("CSG23.html#group126M23", "126M²³")</f>
        <v/>
      </c>
      <c r="M1066">
        <f>HYPERLINK("CSG0.html#group3B0", "3B⁰"), =HYPERLINK("CSG0.html#group2A0", "2A⁰"), =HYPERLINK("CSG1.html#group21B1", "21B¹"), =HYPERLINK("CSG0.html#group7B0", "7B⁰"), =HYPERLINK("CSG3.html#group42E3", "42E³"), =HYPERLINK("CSG0.html#group6C0", "6C⁰"), =HYPERLINK("CSG0.html#group14B0", "14B⁰"), =HYPERLINK("CSG3.html#group42D3", "42D³"), =HYPERLINK("CSG0.html#group1A0", "1A⁰"), =HYPERLINK("CSG1.html#group21F1", "21F¹")</f>
        <v/>
      </c>
      <c r="N1066">
        <f>HYPERLINK("CSG21.html#group42H21", "42H²¹"), =HYPERLINK("CSG17.html#group42L17", "42L¹⁷"), =HYPERLINK("CSG23.html#group42M23", "42M²³"), =HYPERLINK("CSG21.html#group42G21", "42G²¹"), =HYPERLINK("CSG21.html#group126T21", "126T²¹"), =HYPERLINK("CSG23.html#group126M23", "126M²³"), =HYPERLINK("CSG21.html#group42J21", "42J²¹"), =HYPERLINK("CSG21.html#group126U21", "126U²¹"), =HYPERLINK("CSG21.html#group42I21", "42I²¹"), =HYPERLINK("CSG13.html#group84K13", "84K¹³"), =HYPERLINK("CSG21.html#group126S21", "126S²¹")</f>
        <v/>
      </c>
    </row>
    <row r="1067">
      <c r="A1067" t="inlineStr">
        <is>
          <t>44A⁵</t>
        </is>
      </c>
      <c r="B1067" t="inlineStr"/>
      <c r="C1067" t="inlineStr">
        <is>
          <t>66</t>
        </is>
      </c>
      <c r="D1067" t="inlineStr">
        <is>
          <t>2</t>
        </is>
      </c>
      <c r="E1067" t="inlineStr">
        <is>
          <t>33</t>
        </is>
      </c>
      <c r="F1067" t="inlineStr">
        <is>
          <t>0</t>
        </is>
      </c>
      <c r="G1067" t="inlineStr">
        <is>
          <t>0</t>
        </is>
      </c>
      <c r="H1067" t="inlineStr">
        <is>
          <t>11², 44¹</t>
        </is>
      </c>
      <c r="I1067" t="n">
        <v>3</v>
      </c>
      <c r="J1067" t="inlineStr">
        <is>
          <t>2³, 10⁶</t>
        </is>
      </c>
      <c r="K1067">
        <f>HYPERLINK("CSG0.html#group4B0", "4B⁰"), =HYPERLINK("CSG2.html#group22B2", "22B²")</f>
        <v/>
      </c>
      <c r="L1067">
        <f>HYPERLINK("CSG10.html#group44A10", "44A¹⁰"), =HYPERLINK("CSG10.html#group88A10", "88A¹⁰"), =HYPERLINK("CSG16.html#group132A16", "132A¹⁶"), =HYPERLINK("CSG20.html#group132B20", "132B²⁰"), =HYPERLINK("CSG21.html#group44B21", "44B²¹")</f>
        <v/>
      </c>
      <c r="M1067">
        <f>HYPERLINK("CSG0.html#group11A0", "11A⁰"), =HYPERLINK("CSG0.html#group2B0", "2B⁰"), =HYPERLINK("CSG2.html#group22B2", "22B²"), =HYPERLINK("CSG0.html#group4B0", "4B⁰"), =HYPERLINK("CSG0.html#group1A0", "1A⁰")</f>
        <v/>
      </c>
      <c r="N1067">
        <f>HYPERLINK("CSG10.html#group44A10", "44A¹⁰"), =HYPERLINK("CSG20.html#group88C20", "88C²⁰"), =HYPERLINK("CSG20.html#group176B20", "176B²⁰"), =HYPERLINK("CSG21.html#group176A21", "176A²¹"), =HYPERLINK("CSG20.html#group176A20", "176A²⁰"), =HYPERLINK("CSG16.html#group132A16", "132A¹⁶"), =HYPERLINK("CSG20.html#group88A20", "88A²⁰"), =HYPERLINK("CSG20.html#group44A20", "44A²⁰"), =HYPERLINK("CSG20.html#group88B20", "88B²⁰"), =HYPERLINK("CSG21.html#group44B21", "44B²¹"), =HYPERLINK("CSG21.html#group88A21", "88A²¹"), =HYPERLINK("CSG10.html#group88A10", "88A¹⁰"), =HYPERLINK("CSG20.html#group132B20", "132B²⁰")</f>
        <v/>
      </c>
    </row>
    <row r="1068">
      <c r="A1068" t="inlineStr">
        <is>
          <t>44B⁵</t>
        </is>
      </c>
      <c r="B1068" t="inlineStr"/>
      <c r="C1068" t="inlineStr">
        <is>
          <t>72</t>
        </is>
      </c>
      <c r="D1068" t="inlineStr">
        <is>
          <t>1</t>
        </is>
      </c>
      <c r="E1068" t="inlineStr">
        <is>
          <t>36</t>
        </is>
      </c>
      <c r="F1068" t="inlineStr">
        <is>
          <t>0</t>
        </is>
      </c>
      <c r="G1068" t="inlineStr">
        <is>
          <t>0</t>
        </is>
      </c>
      <c r="H1068" t="inlineStr">
        <is>
          <t>2¹, 4¹, 22¹, 44¹</t>
        </is>
      </c>
      <c r="I1068" t="n">
        <v>4</v>
      </c>
      <c r="J1068" t="inlineStr">
        <is>
          <t>1⁶, 10³</t>
        </is>
      </c>
      <c r="K1068">
        <f>HYPERLINK("CSG0.html#group4C0", "4C⁰"), =HYPERLINK("CSG2.html#group22C2", "22C²")</f>
        <v/>
      </c>
      <c r="L1068">
        <f>HYPERLINK("CSG9.html#group44B9", "44B⁹"), =HYPERLINK("CSG10.html#group44C10", "44C¹⁰"), =HYPERLINK("CSG10.html#group88C10", "88C¹⁰"), =HYPERLINK("CSG11.html#group88B11", "88B¹¹"), =HYPERLINK("CSG11.html#group88C11", "88C¹¹"), =HYPERLINK("CSG17.html#group132A17", "132A¹⁷"), =HYPERLINK("CSG21.html#group44C21", "44C²¹"), =HYPERLINK("CSG21.html#group132C21", "132C²¹")</f>
        <v/>
      </c>
      <c r="M1068">
        <f>HYPERLINK("CSG0.html#group2B0", "2B⁰"), =HYPERLINK("CSG2.html#group22C2", "22C²"), =HYPERLINK("CSG0.html#group1A0", "1A⁰"), =HYPERLINK("CSG1.html#group11A1", "11A¹"), =HYPERLINK("CSG0.html#group4C0", "4C⁰")</f>
        <v/>
      </c>
      <c r="N1068">
        <f>HYPERLINK("CSG20.html#group88E20", "88E²⁰"), =HYPERLINK("CSG17.html#group132A17", "132A¹⁷"), =HYPERLINK("CSG19.html#group88B19", "88B¹⁹"), =HYPERLINK("CSG19.html#group88G19", "88G¹⁹"), =HYPERLINK("CSG10.html#group44C10", "44C¹⁰"), =HYPERLINK("CSG20.html#group176D20", "176D²⁰"), =HYPERLINK("CSG23.html#group176D23", "176D²³"), =HYPERLINK("CSG19.html#group88C19", "88C¹⁹"), =HYPERLINK("CSG19.html#group88H19", "88H¹⁹"), =HYPERLINK("CSG11.html#group88B11", "88B¹¹"), =HYPERLINK("CSG21.html#group44C21", "44C²¹"), =HYPERLINK("CSG21.html#group88H21", "88H²¹"), =HYPERLINK("CSG23.html#group176G23", "176G²³"), =HYPERLINK("CSG23.html#group176C23", "176C²³"), =HYPERLINK("CSG21.html#group88G21", "88G²¹"), =HYPERLINK("CSG21.html#group88C21", "88C²¹"), =HYPERLINK("CSG9.html#group44B9", "44B⁹"), =HYPERLINK("CSG22.html#group88A22", "88A²²"), =HYPERLINK("CSG17.html#group44D17", "44D¹⁷"), =HYPERLINK("CSG23.html#group176A23", "176A²³"), =HYPERLINK("CSG23.html#group176B23", "176B²³"), =HYPERLINK("CSG21.html#group88F21", "88F²¹"), =HYPERLINK("CSG19.html#group44B19", "44B¹⁹"), =HYPERLINK("CSG19.html#group44A19", "44A¹⁹"), =HYPERLINK("CSG21.html#group88D21", "88D²¹"), =HYPERLINK("CSG21.html#group88E21", "88E²¹"), =HYPERLINK("CSG23.html#group176F23", "176F²³"), =HYPERLINK("CSG21.html#group132C21", "132C²¹"), =HYPERLINK("CSG22.html#group176C22", "176C²²"), =HYPERLINK("CSG11.html#group88C11", "88C¹¹"), =HYPERLINK("CSG23.html#group176E23", "176E²³"), =HYPERLINK("CSG23.html#group176H23", "176H²³"), =HYPERLINK("CSG10.html#group88C10", "88C¹⁰")</f>
        <v/>
      </c>
    </row>
    <row r="1069">
      <c r="A1069" t="inlineStr">
        <is>
          <t>45A⁵</t>
        </is>
      </c>
      <c r="B1069" t="inlineStr"/>
      <c r="C1069" t="inlineStr">
        <is>
          <t>60</t>
        </is>
      </c>
      <c r="D1069" t="inlineStr">
        <is>
          <t>1</t>
        </is>
      </c>
      <c r="E1069" t="inlineStr">
        <is>
          <t>20</t>
        </is>
      </c>
      <c r="F1069" t="inlineStr">
        <is>
          <t>0</t>
        </is>
      </c>
      <c r="G1069" t="inlineStr">
        <is>
          <t>0</t>
        </is>
      </c>
      <c r="H1069" t="inlineStr">
        <is>
          <t>15¹, 45¹</t>
        </is>
      </c>
      <c r="I1069" t="n">
        <v>2</v>
      </c>
      <c r="J1069" t="inlineStr">
        <is>
          <t>1², 2¹, 4², 8¹</t>
        </is>
      </c>
      <c r="K1069">
        <f>HYPERLINK("CSG1.html#group9A1", "9A¹"), =HYPERLINK("CSG1.html#group15B1", "15B¹")</f>
        <v/>
      </c>
      <c r="L1069">
        <f>HYPERLINK("CSG10.html#group90A10", "90A¹⁰"), =HYPERLINK("CSG13.html#group45B13", "45B¹³"), =HYPERLINK("CSG13.html#group45C13", "45C¹³"), =HYPERLINK("CSG13.html#group45D13", "45D¹³"), =HYPERLINK("CSG13.html#group45E13", "45E¹³"), =HYPERLINK("CSG13.html#group45F13", "45F¹³"), =HYPERLINK("CSG13.html#group45G13", "45G¹³"), =HYPERLINK("CSG14.html#group90B14", "90B¹⁴"), =HYPERLINK("CSG17.html#group45A17", "45A¹⁷"), =HYPERLINK("CSG20.html#group180C20", "180C²⁰")</f>
        <v/>
      </c>
      <c r="M1069">
        <f>HYPERLINK("CSG1.html#group15B1", "15B¹"), =HYPERLINK("CSG0.html#group3B0", "3B⁰"), =HYPERLINK("CSG0.html#group5A0", "5A⁰"), =HYPERLINK("CSG0.html#group1A0", "1A⁰"), =HYPERLINK("CSG1.html#group9A1", "9A¹")</f>
        <v/>
      </c>
      <c r="N1069">
        <f>HYPERLINK("CSG13.html#group45G13", "45G¹³"), =HYPERLINK("CSG20.html#group180C20", "180C²⁰"), =HYPERLINK("CSG13.html#group45E13", "45E¹³"), =HYPERLINK("CSG10.html#group90A10", "90A¹⁰"), =HYPERLINK("CSG20.html#group180A20", "180A²⁰"), =HYPERLINK("CSG13.html#group45D13", "45D¹³"), =HYPERLINK("CSG14.html#group90B14", "90B¹⁴"), =HYPERLINK("CSG13.html#group45F13", "45F¹³"), =HYPERLINK("CSG13.html#group45C13", "45C¹³"), =HYPERLINK("CSG13.html#group45B13", "45B¹³"), =HYPERLINK("CSG17.html#group45A17", "45A¹⁷")</f>
        <v/>
      </c>
    </row>
    <row r="1070">
      <c r="A1070" t="inlineStr">
        <is>
          <t>45B⁵</t>
        </is>
      </c>
      <c r="B1070" t="inlineStr"/>
      <c r="C1070" t="inlineStr">
        <is>
          <t>60</t>
        </is>
      </c>
      <c r="D1070" t="inlineStr">
        <is>
          <t>2</t>
        </is>
      </c>
      <c r="E1070" t="inlineStr">
        <is>
          <t>20</t>
        </is>
      </c>
      <c r="F1070" t="inlineStr">
        <is>
          <t>0</t>
        </is>
      </c>
      <c r="G1070" t="inlineStr">
        <is>
          <t>0</t>
        </is>
      </c>
      <c r="H1070" t="inlineStr">
        <is>
          <t>15¹, 45¹</t>
        </is>
      </c>
      <c r="I1070" t="n">
        <v>2</v>
      </c>
      <c r="J1070" t="inlineStr">
        <is>
          <t>2², 4¹, 8⁴</t>
        </is>
      </c>
      <c r="K1070">
        <f>HYPERLINK("CSG1.html#group15B1", "15B¹")</f>
        <v/>
      </c>
      <c r="L1070">
        <f>HYPERLINK("CSG10.html#group90C10", "90C¹⁰"), =HYPERLINK("CSG13.html#group45A13", "45A¹³"), =HYPERLINK("CSG13.html#group45G13", "45G¹³"), =HYPERLINK("CSG13.html#group45H13", "45H¹³"), =HYPERLINK("CSG13.html#group45I13", "45I¹³"), =HYPERLINK("CSG14.html#group90F14", "90F¹⁴"), =HYPERLINK("CSG17.html#group45B17", "45B¹⁷"), =HYPERLINK("CSG20.html#group180E20", "180E²⁰")</f>
        <v/>
      </c>
      <c r="M1070">
        <f>HYPERLINK("CSG0.html#group3B0", "3B⁰"), =HYPERLINK("CSG1.html#group15B1", "15B¹"), =HYPERLINK("CSG0.html#group1A0", "1A⁰"), =HYPERLINK("CSG0.html#group5A0", "5A⁰")</f>
        <v/>
      </c>
      <c r="N1070">
        <f>HYPERLINK("CSG13.html#group45G13", "45G¹³"), =HYPERLINK("CSG10.html#group90C10", "90C¹⁰"), =HYPERLINK("CSG20.html#group180D20", "180D²⁰"), =HYPERLINK("CSG13.html#group45H13", "45H¹³"), =HYPERLINK("CSG13.html#group45I13", "45I¹³"), =HYPERLINK("CSG20.html#group180E20", "180E²⁰"), =HYPERLINK("CSG14.html#group90F14", "90F¹⁴"), =HYPERLINK("CSG17.html#group45B17", "45B¹⁷"), =HYPERLINK("CSG13.html#group45A13", "45A¹³")</f>
        <v/>
      </c>
    </row>
    <row r="1071">
      <c r="A1071" t="inlineStr">
        <is>
          <t>45C⁵</t>
        </is>
      </c>
      <c r="B1071" t="inlineStr"/>
      <c r="C1071" t="inlineStr">
        <is>
          <t>72</t>
        </is>
      </c>
      <c r="D1071" t="inlineStr">
        <is>
          <t>1</t>
        </is>
      </c>
      <c r="E1071" t="inlineStr">
        <is>
          <t>24</t>
        </is>
      </c>
      <c r="F1071" t="inlineStr">
        <is>
          <t>0</t>
        </is>
      </c>
      <c r="G1071" t="inlineStr">
        <is>
          <t>0</t>
        </is>
      </c>
      <c r="H1071" t="inlineStr">
        <is>
          <t>3¹, 9¹, 15¹, 45¹</t>
        </is>
      </c>
      <c r="I1071" t="n">
        <v>4</v>
      </c>
      <c r="J1071" t="inlineStr">
        <is>
          <t>1⁴, 2², 4², 8¹</t>
        </is>
      </c>
      <c r="K1071">
        <f>HYPERLINK("CSG0.html#group9C0", "9C⁰"), =HYPERLINK("CSG1.html#group15C1", "15C¹")</f>
        <v/>
      </c>
      <c r="L1071">
        <f>HYPERLINK("CSG9.html#group45C9", "45C⁹"), =HYPERLINK("CSG11.html#group90A11", "90A¹¹"), =HYPERLINK("CSG11.html#group90C11", "90C¹¹"), =HYPERLINK("CSG13.html#group45K13", "45K¹³"), =HYPERLINK("CSG13.html#group45L13", "45L¹³"), =HYPERLINK("CSG15.html#group90G15", "90G¹⁵"), =HYPERLINK("CSG17.html#group135A17", "135A¹⁷"), =HYPERLINK("CSG17.html#group135B17", "135B¹⁷"), =HYPERLINK("CSG17.html#group135C17", "135C¹⁷"), =HYPERLINK("CSG23.html#group180I23", "180I²³")</f>
        <v/>
      </c>
      <c r="M1071">
        <f>HYPERLINK("CSG0.html#group5B0", "5B⁰"), =HYPERLINK("CSG1.html#group15C1", "15C¹"), =HYPERLINK("CSG0.html#group3B0", "3B⁰"), =HYPERLINK("CSG0.html#group9C0", "9C⁰"), =HYPERLINK("CSG0.html#group1A0", "1A⁰")</f>
        <v/>
      </c>
      <c r="N1071">
        <f>HYPERLINK("CSG21.html#group90E21", "90E²¹"), =HYPERLINK("CSG17.html#group135C17", "135C¹⁷"), =HYPERLINK("CSG23.html#group180C23", "180C²³"), =HYPERLINK("CSG15.html#group90G15", "90G¹⁵"), =HYPERLINK("CSG9.html#group45C9", "45C⁹"), =HYPERLINK("CSG17.html#group45E17", "45E¹⁷"), =HYPERLINK("CSG21.html#group90C21", "90C²¹"), =HYPERLINK("CSG11.html#group90A11", "90A¹¹"), =HYPERLINK("CSG11.html#group90C11", "90C¹¹"), =HYPERLINK("CSG17.html#group135B17", "135B¹⁷"), =HYPERLINK("CSG23.html#group180I23", "180I²³"), =HYPERLINK("CSG23.html#group180K23", "180K²³"), =HYPERLINK("CSG23.html#group180A23", "180A²³"), =HYPERLINK("CSG17.html#group135A17", "135A¹⁷"), =HYPERLINK("CSG13.html#group45K13", "45K¹³"), =HYPERLINK("CSG13.html#group45L13", "45L¹³")</f>
        <v/>
      </c>
    </row>
    <row r="1072">
      <c r="A1072" t="inlineStr">
        <is>
          <t>45D⁵</t>
        </is>
      </c>
      <c r="B1072" t="inlineStr"/>
      <c r="C1072" t="inlineStr">
        <is>
          <t>72</t>
        </is>
      </c>
      <c r="D1072" t="inlineStr">
        <is>
          <t>1</t>
        </is>
      </c>
      <c r="E1072" t="inlineStr">
        <is>
          <t>24</t>
        </is>
      </c>
      <c r="F1072" t="inlineStr">
        <is>
          <t>0</t>
        </is>
      </c>
      <c r="G1072" t="inlineStr">
        <is>
          <t>0</t>
        </is>
      </c>
      <c r="H1072" t="inlineStr">
        <is>
          <t>3¹, 9¹, 15¹, 45¹</t>
        </is>
      </c>
      <c r="I1072" t="n">
        <v>4</v>
      </c>
      <c r="J1072" t="inlineStr">
        <is>
          <t>1⁴, 2², 4², 8¹</t>
        </is>
      </c>
      <c r="K1072">
        <f>HYPERLINK("CSG1.html#group9A1", "9A¹"), =HYPERLINK("CSG1.html#group15C1", "15C¹")</f>
        <v/>
      </c>
      <c r="L1072">
        <f>HYPERLINK("CSG9.html#group45D9", "45D⁹"), =HYPERLINK("CSG11.html#group90B11", "90B¹¹"), =HYPERLINK("CSG11.html#group90D11", "90D¹¹"), =HYPERLINK("CSG13.html#group45K13", "45K¹³"), =HYPERLINK("CSG13.html#group45M13", "45M¹³"), =HYPERLINK("CSG15.html#group90H15", "90H¹⁵"), =HYPERLINK("CSG23.html#group180J23", "180J²³")</f>
        <v/>
      </c>
      <c r="M1072">
        <f>HYPERLINK("CSG0.html#group5B0", "5B⁰"), =HYPERLINK("CSG1.html#group15C1", "15C¹"), =HYPERLINK("CSG0.html#group3B0", "3B⁰"), =HYPERLINK("CSG0.html#group1A0", "1A⁰"), =HYPERLINK("CSG1.html#group9A1", "9A¹")</f>
        <v/>
      </c>
      <c r="N1072">
        <f>HYPERLINK("CSG15.html#group90H15", "90H¹⁵"), =HYPERLINK("CSG11.html#group90D11", "90D¹¹"), =HYPERLINK("CSG17.html#group45F17", "45F¹⁷"), =HYPERLINK("CSG9.html#group45D9", "45D⁹"), =HYPERLINK("CSG23.html#group180L23", "180L²³"), =HYPERLINK("CSG23.html#group180B23", "180B²³"), =HYPERLINK("CSG23.html#group180D23", "180D²³"), =HYPERLINK("CSG13.html#group45K13", "45K¹³"), =HYPERLINK("CSG11.html#group90B11", "90B¹¹"), =HYPERLINK("CSG21.html#group90D21", "90D²¹"), =HYPERLINK("CSG13.html#group45M13", "45M¹³"), =HYPERLINK("CSG21.html#group90F21", "90F²¹"), =HYPERLINK("CSG23.html#group180J23", "180J²³")</f>
        <v/>
      </c>
    </row>
    <row r="1073">
      <c r="A1073" t="inlineStr">
        <is>
          <t>45E⁵</t>
        </is>
      </c>
      <c r="B1073" t="inlineStr"/>
      <c r="C1073" t="inlineStr">
        <is>
          <t>90</t>
        </is>
      </c>
      <c r="D1073" t="inlineStr">
        <is>
          <t>1</t>
        </is>
      </c>
      <c r="E1073" t="inlineStr">
        <is>
          <t>90</t>
        </is>
      </c>
      <c r="F1073" t="inlineStr">
        <is>
          <t>10</t>
        </is>
      </c>
      <c r="G1073" t="inlineStr">
        <is>
          <t>0</t>
        </is>
      </c>
      <c r="H1073" t="inlineStr">
        <is>
          <t>45²</t>
        </is>
      </c>
      <c r="I1073" t="n">
        <v>2</v>
      </c>
      <c r="J1073" t="inlineStr">
        <is>
          <t>2¹, 4³, 8², 12¹, 24²</t>
        </is>
      </c>
      <c r="K1073">
        <f>HYPERLINK("CSG0.html#group9A0", "9A⁰"), =HYPERLINK("CSG1.html#group15D1", "15D¹")</f>
        <v/>
      </c>
      <c r="L1073">
        <f>HYPERLINK("CSG10.html#group45D10", "45D¹⁰"), =HYPERLINK("CSG10.html#group90F10", "90F¹⁰"), =HYPERLINK("CSG11.html#group45A11", "45A¹¹"), =HYPERLINK("CSG11.html#group90G11", "90G¹¹"), =HYPERLINK("CSG12.html#group45F12", "45F¹²"), =HYPERLINK("CSG12.html#group90D12", "90D¹²"), =HYPERLINK("CSG13.html#group45J13", "45J¹³"), =HYPERLINK("CSG13.html#group90B13", "90B¹³"), =HYPERLINK("CSG14.html#group45C14", "45C¹⁴"), =HYPERLINK("CSG14.html#group90G14", "90G¹⁴"), =HYPERLINK("CSG15.html#group90E15", "90E¹⁵"), =HYPERLINK("CSG17.html#group45D17", "45D¹⁷"), =HYPERLINK("CSG18.html#group45A18", "45A¹⁸"), =HYPERLINK("CSG19.html#group90H19", "90H¹⁹")</f>
        <v/>
      </c>
      <c r="M1073">
        <f>HYPERLINK("CSG1.html#group15D1", "15D¹"), =HYPERLINK("CSG0.html#group1A0", "1A⁰"), =HYPERLINK("CSG0.html#group3A0", "3A⁰"), =HYPERLINK("CSG0.html#group5C0", "5C⁰"), =HYPERLINK("CSG0.html#group9A0", "9A⁰")</f>
        <v/>
      </c>
      <c r="N1073">
        <f>HYPERLINK("CSG18.html#group45A18", "45A¹⁸"), =HYPERLINK("CSG19.html#group90H19", "90H¹⁹"), =HYPERLINK("CSG21.html#group45B21", "45B²¹"), =HYPERLINK("CSG21.html#group90M21", "90M²¹"), =HYPERLINK("CSG23.html#group90D23", "90D²³"), =HYPERLINK("CSG10.html#group45D10", "45D¹⁰"), =HYPERLINK("CSG12.html#group45F12", "45F¹²"), =HYPERLINK("CSG11.html#group45A11", "45A¹¹"), =HYPERLINK("CSG17.html#group45D17", "45D¹⁷"), =HYPERLINK("CSG13.html#group90B13", "90B¹³"), =HYPERLINK("CSG13.html#group45J13", "45J¹³"), =HYPERLINK("CSG12.html#group90D12", "90D¹²"), =HYPERLINK("CSG10.html#group90F10", "90F¹⁰"), =HYPERLINK("CSG14.html#group90G14", "90G¹⁴"), =HYPERLINK("CSG15.html#group90E15", "90E¹⁵"), =HYPERLINK("CSG23.html#group90F23", "90F²³"), =HYPERLINK("CSG23.html#group90C23", "90C²³"), =HYPERLINK("CSG11.html#group90G11", "90G¹¹"), =HYPERLINK("CSG14.html#group45C14", "45C¹⁴")</f>
        <v/>
      </c>
    </row>
    <row r="1074">
      <c r="A1074" t="inlineStr">
        <is>
          <t>45F⁵</t>
        </is>
      </c>
      <c r="B1074" t="inlineStr"/>
      <c r="C1074" t="inlineStr">
        <is>
          <t>108</t>
        </is>
      </c>
      <c r="D1074" t="inlineStr">
        <is>
          <t>1</t>
        </is>
      </c>
      <c r="E1074" t="inlineStr">
        <is>
          <t>18</t>
        </is>
      </c>
      <c r="F1074" t="inlineStr">
        <is>
          <t>12</t>
        </is>
      </c>
      <c r="G1074" t="inlineStr">
        <is>
          <t>0</t>
        </is>
      </c>
      <c r="H1074" t="inlineStr">
        <is>
          <t>9², 45²</t>
        </is>
      </c>
      <c r="I1074" t="n">
        <v>4</v>
      </c>
      <c r="J1074" t="inlineStr">
        <is>
          <t>1², 2², 4¹, 8¹</t>
        </is>
      </c>
      <c r="K1074">
        <f>HYPERLINK("CSG0.html#group9D0", "9D⁰"), =HYPERLINK("CSG1.html#group15E1", "15E¹"), =HYPERLINK("CSG2.html#group45A2", "45A²")</f>
        <v/>
      </c>
      <c r="L1074">
        <f>HYPERLINK("CSG9.html#group45E9", "45E⁹"), =HYPERLINK("CSG11.html#group90H11", "90H¹¹"), =HYPERLINK("CSG11.html#group90I11", "90I¹¹"), =HYPERLINK("CSG15.html#group45A15", "45A¹⁵"), =HYPERLINK("CSG15.html#group45B15", "45B¹⁵"), =HYPERLINK("CSG17.html#group90A17", "90A¹⁷"), =HYPERLINK("CSG17.html#group90B17", "90B¹⁷"), =HYPERLINK("CSG19.html#group45F19", "45F¹⁹"), =HYPERLINK("CSG19.html#group45G19", "45G¹⁹"), =HYPERLINK("CSG21.html#group90I21", "90I²¹")</f>
        <v/>
      </c>
      <c r="M1074">
        <f>HYPERLINK("CSG2.html#group45A2", "45A²"), =HYPERLINK("CSG0.html#group15B0", "15B⁰"), =HYPERLINK("CSG0.html#group9D0", "9D⁰"), =HYPERLINK("CSG0.html#group9A0", "9A⁰"), =HYPERLINK("CSG0.html#group5B0", "5B⁰"), =HYPERLINK("CSG0.html#group3C0", "3C⁰"), =HYPERLINK("CSG0.html#group3A0", "3A⁰"), =HYPERLINK("CSG0.html#group1A0", "1A⁰"), =HYPERLINK("CSG1.html#group15E1", "15E¹")</f>
        <v/>
      </c>
      <c r="N1074">
        <f>HYPERLINK("CSG17.html#group90B17", "90B¹⁷"), =HYPERLINK("CSG21.html#group90N21", "90N²¹"), =HYPERLINK("CSG15.html#group45A15", "45A¹⁵"), =HYPERLINK("CSG11.html#group90H11", "90H¹¹"), =HYPERLINK("CSG11.html#group90I11", "90I¹¹"), =HYPERLINK("CSG21.html#group90I21", "90I²¹"), =HYPERLINK("CSG9.html#group45E9", "45E⁹"), =HYPERLINK("CSG15.html#group45B15", "45B¹⁵"), =HYPERLINK("CSG23.html#group45D23", "45D²³"), =HYPERLINK("CSG17.html#group90A17", "90A¹⁷"), =HYPERLINK("CSG19.html#group45F19", "45F¹⁹"), =HYPERLINK("CSG19.html#group45G19", "45G¹⁹")</f>
        <v/>
      </c>
    </row>
    <row r="1075">
      <c r="A1075" t="inlineStr">
        <is>
          <t>45G⁵</t>
        </is>
      </c>
      <c r="B1075" t="inlineStr"/>
      <c r="C1075" t="inlineStr">
        <is>
          <t>108</t>
        </is>
      </c>
      <c r="D1075" t="inlineStr">
        <is>
          <t>1</t>
        </is>
      </c>
      <c r="E1075" t="inlineStr">
        <is>
          <t>108</t>
        </is>
      </c>
      <c r="F1075" t="inlineStr">
        <is>
          <t>4</t>
        </is>
      </c>
      <c r="G1075" t="inlineStr">
        <is>
          <t>0</t>
        </is>
      </c>
      <c r="H1075" t="inlineStr">
        <is>
          <t>3³, 9¹, 15³, 45¹</t>
        </is>
      </c>
      <c r="I1075" t="n">
        <v>8</v>
      </c>
      <c r="J1075" t="inlineStr">
        <is>
          <t>1², 2², 3², 4¹, 6⁴, 8¹, 12¹, 24²</t>
        </is>
      </c>
      <c r="K1075">
        <f>HYPERLINK("CSG0.html#group9E0", "9E⁰"), =HYPERLINK("CSG1.html#group15E1", "15E¹")</f>
        <v/>
      </c>
      <c r="L1075">
        <f>HYPERLINK("CSG9.html#group45F9", "45F⁹"), =HYPERLINK("CSG11.html#group45F11", "45F¹¹"), =HYPERLINK("CSG11.html#group45H11", "45H¹¹"), =HYPERLINK("CSG13.html#group90F13", "90F¹³"), =HYPERLINK("CSG13.html#group90G13", "90G¹³"), =HYPERLINK("CSG15.html#group90I15", "90I¹⁵"), =HYPERLINK("CSG15.html#group90J15", "90J¹⁵"), =HYPERLINK("CSG19.html#group45F19", "45F¹⁹"), =HYPERLINK("CSG19.html#group90K19", "90K¹⁹"), =HYPERLINK("CSG21.html#group45A21", "45A²¹")</f>
        <v/>
      </c>
      <c r="M1075">
        <f>HYPERLINK("CSG0.html#group5B0", "5B⁰"), =HYPERLINK("CSG0.html#group3C0", "3C⁰"), =HYPERLINK("CSG0.html#group15B0", "15B⁰"), =HYPERLINK("CSG0.html#group9E0", "9E⁰"), =HYPERLINK("CSG0.html#group3A0", "3A⁰"), =HYPERLINK("CSG0.html#group1A0", "1A⁰"), =HYPERLINK("CSG1.html#group15E1", "15E¹")</f>
        <v/>
      </c>
      <c r="N1075">
        <f>HYPERLINK("CSG15.html#group90I15", "90I¹⁵"), =HYPERLINK("CSG13.html#group90G13", "90G¹³"), =HYPERLINK("CSG15.html#group90J15", "90J¹⁵"), =HYPERLINK("CSG9.html#group45F9", "45F⁹"), =HYPERLINK("CSG21.html#group45E21", "45E²¹"), =HYPERLINK("CSG11.html#group45H11", "45H¹¹"), =HYPERLINK("CSG11.html#group45F11", "45F¹¹"), =HYPERLINK("CSG13.html#group90F13", "90F¹³"), =HYPERLINK("CSG19.html#group90K19", "90K¹⁹"), =HYPERLINK("CSG19.html#group45I19", "45I¹⁹"), =HYPERLINK("CSG21.html#group45A21", "45A²¹"), =HYPERLINK("CSG19.html#group45F19", "45F¹⁹")</f>
        <v/>
      </c>
    </row>
    <row r="1076">
      <c r="A1076" t="inlineStr">
        <is>
          <t>45H⁵</t>
        </is>
      </c>
      <c r="B1076" t="inlineStr"/>
      <c r="C1076" t="inlineStr">
        <is>
          <t>144</t>
        </is>
      </c>
      <c r="D1076" t="inlineStr">
        <is>
          <t>1</t>
        </is>
      </c>
      <c r="E1076" t="inlineStr">
        <is>
          <t>24</t>
        </is>
      </c>
      <c r="F1076" t="inlineStr">
        <is>
          <t>0</t>
        </is>
      </c>
      <c r="G1076" t="inlineStr">
        <is>
          <t>0</t>
        </is>
      </c>
      <c r="H1076" t="inlineStr">
        <is>
          <t>1⁶, 5⁶, 9², 45²</t>
        </is>
      </c>
      <c r="I1076" t="n">
        <v>16</v>
      </c>
      <c r="J1076" t="inlineStr">
        <is>
          <t>1⁴, 2², 4², 8¹</t>
        </is>
      </c>
      <c r="K1076">
        <f>HYPERLINK("CSG1.html#group15G1", "15G¹"), =HYPERLINK("CSG3.html#group45D3", "45D³")</f>
        <v/>
      </c>
      <c r="L1076">
        <f>HYPERLINK("CSG9.html#group45G9", "45G⁹"), =HYPERLINK("CSG17.html#group90Q17", "90Q¹⁷"), =HYPERLINK("CSG17.html#group90R17", "90R¹⁷"), =HYPERLINK("CSG21.html#group45F21", "45F²¹"), =HYPERLINK("CSG21.html#group90O21", "90O²¹"), =HYPERLINK("CSG21.html#group135A21", "135A²¹")</f>
        <v/>
      </c>
      <c r="M1076">
        <f>HYPERLINK("CSG1.html#group15C1", "15C¹"), =HYPERLINK("CSG0.html#group3B0", "3B⁰"), =HYPERLINK("CSG0.html#group5B0", "5B⁰"), =HYPERLINK("CSG0.html#group9B0", "9B⁰"), =HYPERLINK("CSG1.html#group15G1", "15G¹"), =HYPERLINK("CSG3.html#group45D3", "45D³"), =HYPERLINK("CSG0.html#group5D0", "5D⁰"), =HYPERLINK("CSG0.html#group1A0", "1A⁰")</f>
        <v/>
      </c>
      <c r="N1076">
        <f>HYPERLINK("CSG17.html#group90Q17", "90Q¹⁷"), =HYPERLINK("CSG17.html#group90R17", "90R¹⁷"), =HYPERLINK("CSG9.html#group45G9", "45G⁹"), =HYPERLINK("CSG21.html#group135A21", "135A²¹"), =HYPERLINK("CSG21.html#group45F21", "45F²¹"), =HYPERLINK("CSG21.html#group90O21", "90O²¹")</f>
        <v/>
      </c>
    </row>
    <row r="1077">
      <c r="A1077" t="inlineStr">
        <is>
          <t>46A⁵</t>
        </is>
      </c>
      <c r="B1077" t="inlineStr">
        <is>
          <t>Γ₀(46)</t>
        </is>
      </c>
      <c r="C1077" t="inlineStr">
        <is>
          <t>72</t>
        </is>
      </c>
      <c r="D1077" t="inlineStr">
        <is>
          <t>1</t>
        </is>
      </c>
      <c r="E1077" t="inlineStr">
        <is>
          <t>72</t>
        </is>
      </c>
      <c r="F1077" t="inlineStr">
        <is>
          <t>0</t>
        </is>
      </c>
      <c r="G1077" t="inlineStr">
        <is>
          <t>0</t>
        </is>
      </c>
      <c r="H1077" t="inlineStr">
        <is>
          <t>1¹, 2¹, 23¹, 46¹</t>
        </is>
      </c>
      <c r="I1077" t="n">
        <v>4</v>
      </c>
      <c r="J1077" t="inlineStr">
        <is>
          <t>1⁶, 22³</t>
        </is>
      </c>
      <c r="K1077">
        <f>HYPERLINK("CSG0.html#group2B0", "2B⁰"), =HYPERLINK("CSG2.html#group23A2", "23A²")</f>
        <v/>
      </c>
      <c r="L1077">
        <f>HYPERLINK("CSG10.html#group46A10", "46A¹⁰"), =HYPERLINK("CSG10.html#group92A10", "92A¹⁰"), =HYPERLINK("CSG11.html#group92A11", "92A¹¹"), =HYPERLINK("CSG17.html#group138A17", "138A¹⁷"), =HYPERLINK("CSG21.html#group138A21", "138A²¹")</f>
        <v/>
      </c>
      <c r="M1077">
        <f>HYPERLINK("CSG2.html#group23A2", "23A²"), =HYPERLINK("CSG0.html#group1A0", "1A⁰"), =HYPERLINK("CSG0.html#group2B0", "2B⁰")</f>
        <v/>
      </c>
      <c r="N1077">
        <f>HYPERLINK("CSG10.html#group92A10", "92A¹⁰"), =HYPERLINK("CSG21.html#group92A21", "92A²¹"), =HYPERLINK("CSG11.html#group92A11", "92A¹¹"), =HYPERLINK("CSG21.html#group138A21", "138A²¹"), =HYPERLINK("CSG22.html#group184A22", "184A²²"), =HYPERLINK("CSG22.html#group92B22", "92B²²"), =HYPERLINK("CSG20.html#group92A20", "92A²⁰"), =HYPERLINK("CSG22.html#group92A22", "92A²²"), =HYPERLINK("CSG20.html#group92B20", "92B²⁰"), =HYPERLINK("CSG20.html#group184A20", "184A²⁰"), =HYPERLINK("CSG23.html#group184A23", "184A²³"), =HYPERLINK("CSG22.html#group184B22", "184B²²"), =HYPERLINK("CSG21.html#group184A21", "184A²¹"), =HYPERLINK("CSG10.html#group46A10", "46A¹⁰"), =HYPERLINK("CSG23.html#group184B23", "184B²³"), =HYPERLINK("CSG17.html#group138A17", "138A¹⁷")</f>
        <v/>
      </c>
    </row>
    <row r="1078">
      <c r="A1078" t="inlineStr">
        <is>
          <t>48A⁵</t>
        </is>
      </c>
      <c r="B1078" t="inlineStr"/>
      <c r="C1078" t="inlineStr">
        <is>
          <t>72</t>
        </is>
      </c>
      <c r="D1078" t="inlineStr">
        <is>
          <t>1</t>
        </is>
      </c>
      <c r="E1078" t="inlineStr">
        <is>
          <t>6</t>
        </is>
      </c>
      <c r="F1078" t="inlineStr">
        <is>
          <t>0</t>
        </is>
      </c>
      <c r="G1078" t="inlineStr">
        <is>
          <t>0</t>
        </is>
      </c>
      <c r="H1078" t="inlineStr">
        <is>
          <t>6², 12¹, 48¹</t>
        </is>
      </c>
      <c r="I1078" t="n">
        <v>4</v>
      </c>
      <c r="J1078" t="inlineStr">
        <is>
          <t>1⁴, 2¹</t>
        </is>
      </c>
      <c r="K1078">
        <f>HYPERLINK("CSG1.html#group16A1", "16A¹"), =HYPERLINK("CSG2.html#group24B2", "24B²")</f>
        <v/>
      </c>
      <c r="L1078">
        <f>HYPERLINK("CSG9.html#group48A9", "48A⁹"), =HYPERLINK("CSG9.html#group48B9", "48B⁹"), =HYPERLINK("CSG9.html#group48D9", "48D⁹"), =HYPERLINK("CSG9.html#group48G9", "48G⁹"), =HYPERLINK("CSG9.html#group48Q9", "48Q⁹"), =HYPERLINK("CSG11.html#group96A11", "96A¹¹"), =HYPERLINK("CSG11.html#group96B11", "96B¹¹"), =HYPERLINK("CSG11.html#group96C11", "96C¹¹"), =HYPERLINK("CSG11.html#group96D11", "96D¹¹"), =HYPERLINK("CSG11.html#group96E11", "96E¹¹"), =HYPERLINK("CSG11.html#group96F11", "96F¹¹"), =HYPERLINK("CSG17.html#group144A17", "144A¹⁷")</f>
        <v/>
      </c>
      <c r="M1078">
        <f>HYPERLINK("CSG2.html#group24B2", "24B²"), =HYPERLINK("CSG0.html#group4B0", "4B⁰"), =HYPERLINK("CSG1.html#group16A1", "16A¹"), =HYPERLINK("CSG0.html#group8C0", "8C⁰"), =HYPERLINK("CSG1.html#group12B1", "12B¹"), =HYPERLINK("CSG0.html#group2B0", "2B⁰"), =HYPERLINK("CSG0.html#group3A0", "3A⁰"), =HYPERLINK("CSG0.html#group1A0", "1A⁰"), =HYPERLINK("CSG0.html#group6D0", "6D⁰")</f>
        <v/>
      </c>
      <c r="N1078">
        <f>HYPERLINK("CSG21.html#group96D21", "96D²¹"), =HYPERLINK("CSG23.html#group192E23", "192E²³"), =HYPERLINK("CSG9.html#group48B9", "48B⁹"), =HYPERLINK("CSG21.html#group96A21", "96A²¹"), =HYPERLINK("CSG21.html#group96S21", "96S²¹"), =HYPERLINK("CSG21.html#group96U21", "96U²¹"), =HYPERLINK("CSG17.html#group48Y17", "48Y¹⁷"), =HYPERLINK("CSG19.html#group48Q19", "48Q¹⁹"), =HYPERLINK("CSG21.html#group96G21", "96G²¹"), =HYPERLINK("CSG21.html#group96W21", "96W²¹"), =HYPERLINK("CSG17.html#group48J17", "48J¹⁷"), =HYPERLINK("CSG21.html#group96AQ21", "96AQ²¹"), =HYPERLINK("CSG21.html#group96L21", "96L²¹"), =HYPERLINK("CSG23.html#group192I23", "192I²³"), =HYPERLINK("CSG9.html#group48G9", "48G⁹"), =HYPERLINK("CSG19.html#group96A19", "96A¹⁹"), =HYPERLINK("CSG17.html#group144A17", "144A¹⁷"), =HYPERLINK("CSG11.html#group96C11", "96C¹¹"), =HYPERLINK("CSG23.html#group192K23", "192K²³"), =HYPERLINK("CSG17.html#group48K17", "48K¹⁷"), =HYPERLINK("CSG21.html#group96C21", "96C²¹"), =HYPERLINK("CSG21.html#group96E21", "96E²¹"), =HYPERLINK("CSG21.html#group96Q21", "96Q²¹"), =HYPERLINK("CSG21.html#group96F21", "96F²¹"), =HYPERLINK("CSG23.html#group192H23", "192H²³"), =HYPERLINK("CSG23.html#group192D23", "192D²³"), =HYPERLINK("CSG17.html#group48AB17", "48AB¹⁷"), =HYPERLINK("CSG21.html#group96J21", "96J²¹"), =HYPERLINK("CSG19.html#group96E19", "96E¹⁹"), =HYPERLINK("CSG19.html#group48C19", "48C¹⁹"), =HYPERLINK("CSG23.html#group192B23", "192B²³"), =HYPERLINK("CSG19.html#group96B19", "96B¹⁹"), =HYPERLINK("CSG11.html#group96D11", "96D¹¹"), =HYPERLINK("CSG23.html#group192C23", "192C²³"), =HYPERLINK("CSG21.html#group96K21", "96K²¹"), =HYPERLINK("CSG21.html#group96X21", "96X²¹"), =HYPERLINK("CSG17.html#group48AD17", "48AD¹⁷"), =HYPERLINK("CSG19.html#group96H19", "96H¹⁹"), =HYPERLINK("CSG9.html#group48Q9", "48Q⁹"), =HYPERLINK("CSG21.html#group96B21", "96B²¹"), =HYPERLINK("CSG19.html#group48AP19", "48AP¹⁹"), =HYPERLINK("CSG17.html#group48D17", "48D¹⁷"), =HYPERLINK("CSG11.html#group96E11", "96E¹¹"), =HYPERLINK("CSG23.html#group192J23", "192J²³"), =HYPERLINK("CSG21.html#group96R21", "96R²¹"), =HYPERLINK("CSG21.html#group96I21", "96I²¹"), =HYPERLINK("CSG19.html#group48A19", "48A¹⁹"), =HYPERLINK("CSG19.html#group48P19", "48P¹⁹"), =HYPERLINK("CSG21.html#group96T21", "96T²¹"), =HYPERLINK("CSG23.html#group192G23", "192G²³"), =HYPERLINK("CSG21.html#group96O21", "96O²¹"), =HYPERLINK("CSG19.html#group96Z19", "96Z¹⁹"), =HYPERLINK("CSG11.html#group96B11", "96B¹¹"), =HYPERLINK("CSG23.html#group192A23", "192A²³"), =HYPERLINK("CSG11.html#group96A11", "96A¹¹"), =HYPERLINK("CSG19.html#group96K19", "96K¹⁹"), =HYPERLINK("CSG23.html#group192F23", "192F²³"), =HYPERLINK("CSG9.html#group48D9", "48D⁹"), =HYPERLINK("CSG17.html#group48F17", "48F¹⁷"), =HYPERLINK("CSG21.html#group96V21", "96V²¹"), =HYPERLINK("CSG9.html#group48A9", "48A⁹"), =HYPERLINK("CSG21.html#group96AR21", "96AR²¹"), =HYPERLINK("CSG17.html#group48X17", "48X¹⁷"), =HYPERLINK("CSG11.html#group96F11", "96F¹¹"), =HYPERLINK("CSG17.html#group48C17", "48C¹⁷"), =HYPERLINK("CSG23.html#group192L23", "192L²³"), =HYPERLINK("CSG21.html#group96AS21", "96AS²¹"), =HYPERLINK("CSG19.html#group48N19", "48N¹⁹"), =HYPERLINK("CSG21.html#group96P21", "96P²¹"), =HYPERLINK("CSG21.html#group96H21", "96H²¹")</f>
        <v/>
      </c>
    </row>
    <row r="1079">
      <c r="A1079" t="inlineStr">
        <is>
          <t>48B⁵</t>
        </is>
      </c>
      <c r="B1079" t="inlineStr"/>
      <c r="C1079" t="inlineStr">
        <is>
          <t>72</t>
        </is>
      </c>
      <c r="D1079" t="inlineStr">
        <is>
          <t>1</t>
        </is>
      </c>
      <c r="E1079" t="inlineStr">
        <is>
          <t>18</t>
        </is>
      </c>
      <c r="F1079" t="inlineStr">
        <is>
          <t>0</t>
        </is>
      </c>
      <c r="G1079" t="inlineStr">
        <is>
          <t>0</t>
        </is>
      </c>
      <c r="H1079" t="inlineStr">
        <is>
          <t>6², 12¹, 48¹</t>
        </is>
      </c>
      <c r="I1079" t="n">
        <v>4</v>
      </c>
      <c r="J1079" t="inlineStr">
        <is>
          <t>1⁴, 2⁵, 4¹</t>
        </is>
      </c>
      <c r="K1079">
        <f>HYPERLINK("CSG2.html#group24B2", "24B²")</f>
        <v/>
      </c>
      <c r="L1079">
        <f>HYPERLINK("CSG9.html#group48C9", "48C⁹"), =HYPERLINK("CSG9.html#group48D9", "48D⁹"), =HYPERLINK("CSG9.html#group48E9", "48E⁹"), =HYPERLINK("CSG9.html#group48F9", "48F⁹"), =HYPERLINK("CSG9.html#group48O9", "48O⁹"), =HYPERLINK("CSG9.html#group48P9", "48P⁹"), =HYPERLINK("CSG9.html#group48AA9", "48AA⁹"), =HYPERLINK("CSG9.html#group48AC9", "48AC⁹"), =HYPERLINK("CSG17.html#group144B17", "144B¹⁷"), =HYPERLINK("CSG17.html#group144C17", "144C¹⁷")</f>
        <v/>
      </c>
      <c r="M1079">
        <f>HYPERLINK("CSG2.html#group24B2", "24B²"), =HYPERLINK("CSG0.html#group4B0", "4B⁰"), =HYPERLINK("CSG0.html#group8C0", "8C⁰"), =HYPERLINK("CSG1.html#group12B1", "12B¹"), =HYPERLINK("CSG0.html#group2B0", "2B⁰"), =HYPERLINK("CSG0.html#group3A0", "3A⁰"), =HYPERLINK("CSG0.html#group1A0", "1A⁰"), =HYPERLINK("CSG0.html#group6D0", "6D⁰")</f>
        <v/>
      </c>
      <c r="N1079">
        <f>HYPERLINK("CSG21.html#group96P21", "96P²¹"), =HYPERLINK("CSG17.html#group48W17", "48W¹⁷"), =HYPERLINK("CSG17.html#group48Z17", "48Z¹⁷"), =HYPERLINK("CSG19.html#group96G19", "96G¹⁹"), =HYPERLINK("CSG21.html#group96N21", "96N²¹"), =HYPERLINK("CSG21.html#group96S21", "96S²¹"), =HYPERLINK("CSG17.html#group48G17", "48G¹⁷"), =HYPERLINK("CSG17.html#group48Y17", "48Y¹⁷"), =HYPERLINK("CSG17.html#group48BT17", "48BT¹⁷"), =HYPERLINK("CSG19.html#group96I19", "96I¹⁹"), =HYPERLINK("CSG17.html#group48AA17", "48AA¹⁷"), =HYPERLINK("CSG21.html#group96I21", "96I²¹"), =HYPERLINK("CSG9.html#group48AC9", "48AC⁹"), =HYPERLINK("CSG19.html#group48P19", "48P¹⁹"), =HYPERLINK("CSG17.html#group48AC17", "48AC¹⁷"), =HYPERLINK("CSG19.html#group48AX19", "48AX¹⁹"), =HYPERLINK("CSG21.html#group96G21", "96G²¹"), =HYPERLINK("CSG17.html#group48BP17", "48BP¹⁷"), =HYPERLINK("CSG17.html#group144B17", "144B¹⁷"), =HYPERLINK("CSG9.html#group48F9", "48F⁹"), =HYPERLINK("CSG19.html#group96S19", "96S¹⁹"), =HYPERLINK("CSG17.html#group48H17", "48H¹⁷"), =HYPERLINK("CSG17.html#group144C17", "144C¹⁷"), =HYPERLINK("CSG9.html#group48E9", "48E⁹"), =HYPERLINK("CSG17.html#group48K17", "48K¹⁷"), =HYPERLINK("CSG21.html#group96AB21", "96AB²¹"), =HYPERLINK("CSG19.html#group48L19", "48L¹⁹"), =HYPERLINK("CSG9.html#group48D9", "48D⁹"), =HYPERLINK("CSG21.html#group96F21", "96F²¹"), =HYPERLINK("CSG21.html#group96M21", "96M²¹"), =HYPERLINK("CSG17.html#group48F17", "48F¹⁷"), =HYPERLINK("CSG19.html#group96AW19", "96AW¹⁹"), =HYPERLINK("CSG19.html#group48M19", "48M¹⁹"), =HYPERLINK("CSG19.html#group48O19", "48O¹⁹"), =HYPERLINK("CSG17.html#group48AB17", "48AB¹⁷"), =HYPERLINK("CSG9.html#group48AA9", "48AA⁹"), =HYPERLINK("CSG9.html#group48P9", "48P⁹"), =HYPERLINK("CSG9.html#group48C9", "48C⁹"), =HYPERLINK("CSG17.html#group48BS17", "48BS¹⁷"), =HYPERLINK("CSG17.html#group48C17", "48C¹⁷"), =HYPERLINK("CSG21.html#group96J21", "96J²¹"), =HYPERLINK("CSG19.html#group96O19", "96O¹⁹"), =HYPERLINK("CSG19.html#group48D19", "48D¹⁹"), =HYPERLINK("CSG9.html#group48O9", "48O⁹"), =HYPERLINK("CSG17.html#group48I17", "48I¹⁷"), =HYPERLINK("CSG17.html#group48E17", "48E¹⁷")</f>
        <v/>
      </c>
    </row>
    <row r="1080">
      <c r="A1080" t="inlineStr">
        <is>
          <t>48C⁵</t>
        </is>
      </c>
      <c r="B1080" t="inlineStr"/>
      <c r="C1080" t="inlineStr">
        <is>
          <t>96</t>
        </is>
      </c>
      <c r="D1080" t="inlineStr">
        <is>
          <t>1</t>
        </is>
      </c>
      <c r="E1080" t="inlineStr">
        <is>
          <t>24</t>
        </is>
      </c>
      <c r="F1080" t="inlineStr">
        <is>
          <t>0</t>
        </is>
      </c>
      <c r="G1080" t="inlineStr">
        <is>
          <t>0</t>
        </is>
      </c>
      <c r="H1080" t="inlineStr">
        <is>
          <t>2², 4¹, 6², 12¹, 16¹, 48¹</t>
        </is>
      </c>
      <c r="I1080" t="n">
        <v>8</v>
      </c>
      <c r="J1080" t="inlineStr">
        <is>
          <t>1⁸, 2⁶, 4¹</t>
        </is>
      </c>
      <c r="K1080">
        <f>HYPERLINK("CSG1.html#group24G1", "24G¹")</f>
        <v/>
      </c>
      <c r="L1080">
        <f>HYPERLINK("CSG9.html#group48AG9", "48AG⁹"), =HYPERLINK("CSG9.html#group48AH9", "48AH⁹"), =HYPERLINK("CSG9.html#group48AJ9", "48AJ⁹"), =HYPERLINK("CSG9.html#group48AN9", "48AN⁹"), =HYPERLINK("CSG9.html#group48AM9", "48AM⁹"), =HYPERLINK("CSG17.html#group48B17", "48B¹⁷"), =HYPERLINK("CSG17.html#group144D17", "144D¹⁷"), =HYPERLINK("CSG21.html#group144E21", "144E²¹"), =HYPERLINK("CSG21.html#group144F21", "144F²¹")</f>
        <v/>
      </c>
      <c r="M1080">
        <f>HYPERLINK("CSG0.html#group3B0", "3B⁰"), =HYPERLINK("CSG1.html#group24G1", "24G¹"), =HYPERLINK("CSG0.html#group1A0", "1A⁰"), =HYPERLINK("CSG0.html#group8C0", "8C⁰"), =HYPERLINK("CSG0.html#group2B0", "2B⁰"), =HYPERLINK("CSG0.html#group4B0", "4B⁰"), =HYPERLINK("CSG0.html#group6F0", "6F⁰"), =HYPERLINK("CSG0.html#group12E0", "12E⁰")</f>
        <v/>
      </c>
      <c r="N1080">
        <f>HYPERLINK("CSG21.html#group144F21", "144F²¹"), =HYPERLINK("CSG17.html#group48CO17", "48CO¹⁷"), =HYPERLINK("CSG21.html#group96BC21", "96BC²¹"), =HYPERLINK("CSG21.html#group96BJ21", "96BJ²¹"), =HYPERLINK("CSG9.html#group48AJ9", "48AJ⁹"), =HYPERLINK("CSG9.html#group48AG9", "48AG⁹"), =HYPERLINK("CSG17.html#group48CP17", "48CP¹⁷"), =HYPERLINK("CSG9.html#group48AM9", "48AM⁹"), =HYPERLINK("CSG17.html#group48CK17", "48CK¹⁷"), =HYPERLINK("CSG21.html#group48CI21", "48CI²¹"), =HYPERLINK("CSG21.html#group48CG21", "48CG²¹"), =HYPERLINK("CSG21.html#group48CD21", "48CD²¹"), =HYPERLINK("CSG17.html#group48B17", "48B¹⁷"), =HYPERLINK("CSG21.html#group144E21", "144E²¹"), =HYPERLINK("CSG9.html#group48AH9", "48AH⁹"), =HYPERLINK("CSG17.html#group144D17", "144D¹⁷"), =HYPERLINK("CSG21.html#group96BE21", "96BE²¹"), =HYPERLINK("CSG9.html#group48AN9", "48AN⁹"), =HYPERLINK("CSG17.html#group48CL17", "48CL¹⁷"), =HYPERLINK("CSG17.html#group48CN17", "48CN¹⁷"), =HYPERLINK("CSG21.html#group48CJ21", "48CJ²¹")</f>
        <v/>
      </c>
    </row>
    <row r="1081">
      <c r="A1081" t="inlineStr">
        <is>
          <t>48D⁵</t>
        </is>
      </c>
      <c r="B1081" t="inlineStr"/>
      <c r="C1081" t="inlineStr">
        <is>
          <t>96</t>
        </is>
      </c>
      <c r="D1081" t="inlineStr">
        <is>
          <t>1</t>
        </is>
      </c>
      <c r="E1081" t="inlineStr">
        <is>
          <t>24</t>
        </is>
      </c>
      <c r="F1081" t="inlineStr">
        <is>
          <t>0</t>
        </is>
      </c>
      <c r="G1081" t="inlineStr">
        <is>
          <t>0</t>
        </is>
      </c>
      <c r="H1081" t="inlineStr">
        <is>
          <t>2², 4¹, 6², 12¹, 16¹, 48¹</t>
        </is>
      </c>
      <c r="I1081" t="n">
        <v>8</v>
      </c>
      <c r="J1081" t="inlineStr">
        <is>
          <t>1⁸, 2⁶, 4¹</t>
        </is>
      </c>
      <c r="K1081">
        <f>HYPERLINK("CSG1.html#group16A1", "16A¹"), =HYPERLINK("CSG1.html#group24G1", "24G¹")</f>
        <v/>
      </c>
      <c r="L1081">
        <f>HYPERLINK("CSG9.html#group48AG9", "48AG⁹"), =HYPERLINK("CSG9.html#group48AI9", "48AI⁹"), =HYPERLINK("CSG9.html#group48AK9", "48AK⁹"), =HYPERLINK("CSG9.html#group48AL9", "48AL⁹"), =HYPERLINK("CSG9.html#group48AO9", "48AO⁹"), =HYPERLINK("CSG13.html#group96A13", "96A¹³"), =HYPERLINK("CSG13.html#group96B13", "96B¹³"), =HYPERLINK("CSG13.html#group96C13", "96C¹³"), =HYPERLINK("CSG13.html#group96D13", "96D¹³"), =HYPERLINK("CSG13.html#group96E13", "96E¹³"), =HYPERLINK("CSG13.html#group96F13", "96F¹³"), =HYPERLINK("CSG17.html#group48C17", "48C¹⁷"), =HYPERLINK("CSG17.html#group144E17", "144E¹⁷"), =HYPERLINK("CSG21.html#group144G21", "144G²¹"), =HYPERLINK("CSG21.html#group144H21", "144H²¹")</f>
        <v/>
      </c>
      <c r="M1081">
        <f>HYPERLINK("CSG0.html#group3B0", "3B⁰"), =HYPERLINK("CSG1.html#group24G1", "24G¹"), =HYPERLINK("CSG0.html#group6F0", "6F⁰"), =HYPERLINK("CSG1.html#group16A1", "16A¹"), =HYPERLINK("CSG0.html#group8C0", "8C⁰"), =HYPERLINK("CSG0.html#group2B0", "2B⁰"), =HYPERLINK("CSG0.html#group4B0", "4B⁰"), =HYPERLINK("CSG0.html#group1A0", "1A⁰"), =HYPERLINK("CSG0.html#group12E0", "12E⁰")</f>
        <v/>
      </c>
      <c r="N1081">
        <f>HYPERLINK("CSG21.html#group48CE21", "48CE²¹"), =HYPERLINK("CSG13.html#group96C13", "96C¹³"), =HYPERLINK("CSG9.html#group48AL9", "48AL⁹"), =HYPERLINK("CSG21.html#group48CJ21", "48CJ²¹"), =HYPERLINK("CSG17.html#group48CO17", "48CO¹⁷"), =HYPERLINK("CSG21.html#group96BL21", "96BL²¹"), =HYPERLINK("CSG21.html#group96BA21", "96BA²¹"), =HYPERLINK("CSG21.html#group96BF21", "96BF²¹"), =HYPERLINK("CSG17.html#group48CJ17", "48CJ¹⁷"), =HYPERLINK("CSG21.html#group48CM21", "48CM²¹"), =HYPERLINK("CSG9.html#group48AG9", "48AG⁹"), =HYPERLINK("CSG21.html#group96BM21", "96BM²¹"), =HYPERLINK("CSG21.html#group96BD21", "96BD²¹"), =HYPERLINK("CSG13.html#group96E13", "96E¹³"), =HYPERLINK("CSG17.html#group48CM17", "48CM¹⁷"), =HYPERLINK("CSG17.html#group48CQ17", "48CQ¹⁷"), =HYPERLINK("CSG21.html#group144G21", "144G²¹"), =HYPERLINK("CSG21.html#group48CH21", "48CH²¹"), =HYPERLINK("CSG21.html#group144H21", "144H²¹"), =HYPERLINK("CSG17.html#group48C17", "48C¹⁷"), =HYPERLINK("CSG9.html#group48AI9", "48AI⁹"), =HYPERLINK("CSG21.html#group96AZ21", "96AZ²¹"), =HYPERLINK("CSG21.html#group48CL21", "48CL²¹"), =HYPERLINK("CSG13.html#group96A13", "96A¹³"), =HYPERLINK("CSG21.html#group48CK21", "48CK²¹"), =HYPERLINK("CSG9.html#group48AK9", "48AK⁹"), =HYPERLINK("CSG13.html#group96F13", "96F¹³"), =HYPERLINK("CSG9.html#group48AO9", "48AO⁹"), =HYPERLINK("CSG13.html#group96D13", "96D¹³"), =HYPERLINK("CSG17.html#group48CN17", "48CN¹⁷"), =HYPERLINK("CSG13.html#group96B13", "96B¹³"), =HYPERLINK("CSG17.html#group144E17", "144E¹⁷")</f>
        <v/>
      </c>
    </row>
    <row r="1082">
      <c r="A1082" t="inlineStr">
        <is>
          <t>48E⁵</t>
        </is>
      </c>
      <c r="B1082" t="inlineStr"/>
      <c r="C1082" t="inlineStr">
        <is>
          <t>144</t>
        </is>
      </c>
      <c r="D1082" t="inlineStr">
        <is>
          <t>1</t>
        </is>
      </c>
      <c r="E1082" t="inlineStr">
        <is>
          <t>6</t>
        </is>
      </c>
      <c r="F1082" t="inlineStr">
        <is>
          <t>24</t>
        </is>
      </c>
      <c r="G1082" t="inlineStr">
        <is>
          <t>0</t>
        </is>
      </c>
      <c r="H1082" t="inlineStr">
        <is>
          <t>24², 48²</t>
        </is>
      </c>
      <c r="I1082" t="n">
        <v>4</v>
      </c>
      <c r="J1082" t="inlineStr">
        <is>
          <t>1², 2²</t>
        </is>
      </c>
      <c r="K1082">
        <f>HYPERLINK("CSG0.html#group48A0", "48A⁰"), =HYPERLINK("CSG1.html#group16F1", "16F¹"), =HYPERLINK("CSG2.html#group24L2", "24L²"), =HYPERLINK("CSG3.html#group48C3", "48C³")</f>
        <v/>
      </c>
      <c r="L1082">
        <f>HYPERLINK("CSG11.html#group96I11", "96I¹¹"), =HYPERLINK("CSG13.html#group48AB13", "48AB¹³"), =HYPERLINK("CSG15.html#group48H15", "48H¹⁵"), =HYPERLINK("CSG15.html#group48I15", "48I¹⁵"), =HYPERLINK("CSG15.html#group48J15", "48J¹⁵"), =HYPERLINK("CSG15.html#group48W15", "48W¹⁵"), =HYPERLINK("CSG15.html#group48X15", "48X¹⁵"), =HYPERLINK("CSG15.html#group48Y15", "48Y¹⁵"), =HYPERLINK("CSG15.html#group96O15", "96O¹⁵"), =HYPERLINK("CSG17.html#group48Q17", "48Q¹⁷"), =HYPERLINK("CSG17.html#group96B17", "96B¹⁷"), =HYPERLINK("CSG17.html#group96C17", "96C¹⁷"), =HYPERLINK("CSG17.html#group96D17", "96D¹⁷"), =HYPERLINK("CSG17.html#group96N17", "96N¹⁷"), =HYPERLINK("CSG17.html#group96O17", "96O¹⁷"), =HYPERLINK("CSG17.html#group96R17", "96R¹⁷"), =HYPERLINK("CSG19.html#group96J19", "96J¹⁹"), =HYPERLINK("CSG21.html#group48F21", "48F²¹"), =HYPERLINK("CSG23.html#group96A23", "96A²³")</f>
        <v/>
      </c>
      <c r="M1082">
        <f>HYPERLINK("CSG0.html#group12C0", "12C⁰"), =HYPERLINK("CSG0.html#group8D0", "8D⁰"), =HYPERLINK("CSG0.html#group4C0", "4C⁰"), =HYPERLINK("CSG0.html#group8B0", "8B⁰"), =HYPERLINK("CSG1.html#group16B1", "16B¹"), =HYPERLINK("CSG0.html#group48A0", "48A⁰"), =HYPERLINK("CSG0.html#group2B0", "2B⁰"), =HYPERLINK("CSG2.html#group24L2", "24L²"), =HYPERLINK("CSG0.html#group1A0", "1A⁰"), =HYPERLINK("CSG0.html#group8H0", "8H⁰"), =HYPERLINK("CSG3.html#group48C3", "48C³"), =HYPERLINK("CSG0.html#group16B0", "16B⁰"),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=HYPERLINK("CSG1.html#group16F1", "16F¹"), =HYPERLINK("CSG0.html#group3A0", "3A⁰"), =HYPERLINK("CSG0.html#group6D0", "6D⁰")</f>
        <v/>
      </c>
      <c r="N1082">
        <f>HYPERLINK("CSG17.html#group96R17", "96R¹⁷"), =HYPERLINK("CSG17.html#group96B17", "96B¹⁷"), =HYPERLINK("CSG15.html#group48J15", "48J¹⁵"), =HYPERLINK("CSG15.html#group48H15", "48H¹⁵"), =HYPERLINK("CSG15.html#group48W15", "48W¹⁵"), =HYPERLINK("CSG19.html#group96J19", "96J¹⁹"), =HYPERLINK("CSG15.html#group48Y15", "48Y¹⁵"), =HYPERLINK("CSG17.html#group96D17", "96D¹⁷"), =HYPERLINK("CSG17.html#group96O17", "96O¹⁷"), =HYPERLINK("CSG15.html#group48I15", "48I¹⁵"), =HYPERLINK("CSG17.html#group96C17", "96C¹⁷"), =HYPERLINK("CSG15.html#group96O15", "96O¹⁵"), =HYPERLINK("CSG13.html#group48AB13", "48AB¹³"), =HYPERLINK("CSG15.html#group48X15", "48X¹⁵"), =HYPERLINK("CSG11.html#group96I11", "96I¹¹"), =HYPERLINK("CSG17.html#group48Q17", "48Q¹⁷"), =HYPERLINK("CSG23.html#group96A23", "96A²³"), =HYPERLINK("CSG21.html#group48F21", "48F²¹"), =HYPERLINK("CSG17.html#group96N17", "96N¹⁷")</f>
        <v/>
      </c>
    </row>
    <row r="1083">
      <c r="A1083" t="inlineStr">
        <is>
          <t>48F⁵</t>
        </is>
      </c>
      <c r="B1083" t="inlineStr"/>
      <c r="C1083" t="inlineStr">
        <is>
          <t>144</t>
        </is>
      </c>
      <c r="D1083" t="inlineStr">
        <is>
          <t>1</t>
        </is>
      </c>
      <c r="E1083" t="inlineStr">
        <is>
          <t>12</t>
        </is>
      </c>
      <c r="F1083" t="inlineStr">
        <is>
          <t>24</t>
        </is>
      </c>
      <c r="G1083" t="inlineStr">
        <is>
          <t>0</t>
        </is>
      </c>
      <c r="H1083" t="inlineStr">
        <is>
          <t>24², 48²</t>
        </is>
      </c>
      <c r="I1083" t="n">
        <v>4</v>
      </c>
      <c r="J1083" t="inlineStr">
        <is>
          <t>1⁴, 2², 4¹</t>
        </is>
      </c>
      <c r="K1083">
        <f>HYPERLINK("CSG0.html#group48A0", "48A⁰"), =HYPERLINK("CSG1.html#group16J1", "16J¹"), =HYPERLINK("CSG2.html#group24M2", "24M²"), =HYPERLINK("CSG3.html#group48E3", "48E³")</f>
        <v/>
      </c>
      <c r="L1083">
        <f>HYPERLINK("CSG11.html#group96J11", "96J¹¹"), =HYPERLINK("CSG13.html#group48AF13", "48AF¹³"), =HYPERLINK("CSG15.html#group48J15", "48J¹⁵"), =HYPERLINK("CSG15.html#group48L15", "48L¹⁵"), =HYPERLINK("CSG15.html#group48M15", "48M¹⁵"), =HYPERLINK("CSG15.html#group48AD15", "48AD¹⁵"), =HYPERLINK("CSG15.html#group48AE15", "48AE¹⁵"), =HYPERLINK("CSG15.html#group48AF15", "48AF¹⁵"), =HYPERLINK("CSG15.html#group96S15", "96S¹⁵"), =HYPERLINK("CSG17.html#group48AZ17", "48AZ¹⁷"), =HYPERLINK("CSG17.html#group96G17", "96G¹⁷"), =HYPERLINK("CSG17.html#group96H17", "96H¹⁷"), =HYPERLINK("CSG17.html#group96Z17", "96Z¹⁷"), =HYPERLINK("CSG17.html#group96AA17", "96AA¹⁷"), =HYPERLINK("CSG17.html#group96AB17", "96AB¹⁷"), =HYPERLINK("CSG17.html#group96AE17", "96AE¹⁷"), =HYPERLINK("CSG19.html#group96W19", "96W¹⁹"), =HYPERLINK("CSG21.html#group48J21", "48J²¹"), =HYPERLINK("CSG23.html#group96H23", "96H²³")</f>
        <v/>
      </c>
      <c r="M1083">
        <f>HYPERLINK("CSG0.html#group12C0", "12C⁰"), =HYPERLINK("CSG0.html#group4C0", "4C⁰"), =HYPERLINK("CSG0.html#group8B0", "8B⁰"), =HYPERLINK("CSG0.html#group48A0", "48A⁰"), =HYPERLINK("CSG0.html#group8L0", "8L⁰"), =HYPERLINK("CSG0.html#group2B0", "2B⁰"), =HYPERLINK("CSG1.html#group16J1", "16J¹"), =HYPERLINK("CSG0.html#group1A0", "1A⁰"), =HYPERLINK("CSG0.html#group16B0", "16B⁰"), =HYPERLINK("CSG1.html#group16D1", "16D¹"), =HYPERLINK("CSG3.html#group48E3", "48E³"), =HYPERLINK("CSG0.html#group24A0", "24A⁰"), =HYPERLINK("CSG2.html#group24M2", "24M²"), =HYPERLINK("CSG0.html#group3A0", "3A⁰"), =HYPERLINK("CSG0.html#group6D0", "6D⁰")</f>
        <v/>
      </c>
      <c r="N1083">
        <f>HYPERLINK("CSG15.html#group48J15", "48J¹⁵"), =HYPERLINK("CSG17.html#group96H17", "96H¹⁷"), =HYPERLINK("CSG17.html#group96AA17", "96AA¹⁷"), =HYPERLINK("CSG15.html#group48L15", "48L¹⁵"), =HYPERLINK("CSG17.html#group96G17", "96G¹⁷"), =HYPERLINK("CSG15.html#group48AE15", "48AE¹⁵"), =HYPERLINK("CSG17.html#group96Z17", "96Z¹⁷"), =HYPERLINK("CSG23.html#group96H23", "96H²³"), =HYPERLINK("CSG15.html#group48AD15", "48AD¹⁵"), =HYPERLINK("CSG15.html#group48M15", "48M¹⁵"), =HYPERLINK("CSG13.html#group48AF13", "48AF¹³"), =HYPERLINK("CSG19.html#group96W19", "96W¹⁹"), =HYPERLINK("CSG21.html#group48J21", "48J²¹"), =HYPERLINK("CSG17.html#group48AZ17", "48AZ¹⁷"), =HYPERLINK("CSG15.html#group96S15", "96S¹⁵"), =HYPERLINK("CSG11.html#group96J11", "96J¹¹"), =HYPERLINK("CSG17.html#group96AE17", "96AE¹⁷"), =HYPERLINK("CSG15.html#group48AF15", "48AF¹⁵"), =HYPERLINK("CSG17.html#group96AB17", "96AB¹⁷")</f>
        <v/>
      </c>
    </row>
    <row r="1084">
      <c r="A1084" t="inlineStr">
        <is>
          <t>48G⁵</t>
        </is>
      </c>
      <c r="B1084" t="inlineStr"/>
      <c r="C1084" t="inlineStr">
        <is>
          <t>144</t>
        </is>
      </c>
      <c r="D1084" t="inlineStr">
        <is>
          <t>1</t>
        </is>
      </c>
      <c r="E1084" t="inlineStr">
        <is>
          <t>18</t>
        </is>
      </c>
      <c r="F1084" t="inlineStr">
        <is>
          <t>24</t>
        </is>
      </c>
      <c r="G1084" t="inlineStr">
        <is>
          <t>0</t>
        </is>
      </c>
      <c r="H1084" t="inlineStr">
        <is>
          <t>24², 48²</t>
        </is>
      </c>
      <c r="I1084" t="n">
        <v>4</v>
      </c>
      <c r="J1084" t="inlineStr">
        <is>
          <t>1², 2⁴, 4²</t>
        </is>
      </c>
      <c r="K1084">
        <f>HYPERLINK("CSG0.html#group48A0", "48A⁰"), =HYPERLINK("CSG2.html#group24P2", "24P²"), =HYPERLINK("CSG3.html#group48F3", "48F³")</f>
        <v/>
      </c>
      <c r="L1084">
        <f>HYPERLINK("CSG13.html#group48AA13", "48AA¹³"), =HYPERLINK("CSG13.html#group48AB13", "48AB¹³"), =HYPERLINK("CSG13.html#group96G13", "96G¹³"), =HYPERLINK("CSG15.html#group48Z15", "48Z¹⁵"), =HYPERLINK("CSG15.html#group48AA15", "48AA¹⁵"), =HYPERLINK("CSG15.html#group48AF15", "48AF¹⁵"), =HYPERLINK("CSG15.html#group96Q15", "96Q¹⁵"), =HYPERLINK("CSG15.html#group96R15", "96R¹⁵"), =HYPERLINK("CSG17.html#group48N17", "48N¹⁷"), =HYPERLINK("CSG17.html#group48Q17", "48Q¹⁷"), =HYPERLINK("CSG17.html#group96AD17", "96AD¹⁷"), =HYPERLINK("CSG19.html#group96T19", "96T¹⁹"), =HYPERLINK("CSG19.html#group96V19", "96V¹⁹"), =HYPERLINK("CSG21.html#group48N21", "48N²¹"), =HYPERLINK("CSG21.html#group96Z21", "96Z²¹")</f>
        <v/>
      </c>
      <c r="M1084">
        <f>HYPERLINK("CSG0.html#group16B0", "16B⁰"), =HYPERLINK("CSG1.html#group24E1", "24E¹"), =HYPERLINK("CSG0.html#group12C0", "12C⁰"), =HYPERLINK("CSG0.html#group24A0", "24A⁰"), =HYPERLINK("CSG0.html#group4C0", "4C⁰"), =HYPERLINK("CSG0.html#group8B0", "8B⁰"), =HYPERLINK("CSG2.html#group24P2", "24P²"), =HYPERLINK("CSG0.html#group48A0", "48A⁰"), =HYPERLINK("CSG1.html#group12M1", "12M¹"), =HYPERLINK("CSG0.html#group2B0", "2B⁰"), =HYPERLINK("CSG3.html#group48F3", "48F³"), =HYPERLINK("CSG0.html#group3A0", "3A⁰"), =HYPERLINK("CSG0.html#group1A0", "1A⁰"), =HYPERLINK("CSG0.html#group6D0", "6D⁰")</f>
        <v/>
      </c>
      <c r="N1084">
        <f>HYPERLINK("CSG15.html#group96R15", "96R¹⁵"), =HYPERLINK("CSG13.html#group96G13", "96G¹³"), =HYPERLINK("CSG21.html#group48N21", "48N²¹"), =HYPERLINK("CSG13.html#group48AA13", "48AA¹³"), =HYPERLINK("CSG15.html#group48Z15", "48Z¹⁵"), =HYPERLINK("CSG19.html#group96T19", "96T¹⁹"), =HYPERLINK("CSG17.html#group48N17", "48N¹⁷"), =HYPERLINK("CSG15.html#group48AA15", "48AA¹⁵"), =HYPERLINK("CSG13.html#group48AB13", "48AB¹³"), =HYPERLINK("CSG17.html#group96AD17", "96AD¹⁷"), =HYPERLINK("CSG21.html#group96Z21", "96Z²¹"), =HYPERLINK("CSG19.html#group96V19", "96V¹⁹"), =HYPERLINK("CSG17.html#group48Q17", "48Q¹⁷"), =HYPERLINK("CSG15.html#group48AF15", "48AF¹⁵"), =HYPERLINK("CSG15.html#group96Q15", "96Q¹⁵")</f>
        <v/>
      </c>
    </row>
    <row r="1085">
      <c r="A1085" t="inlineStr">
        <is>
          <t>48H⁵</t>
        </is>
      </c>
      <c r="B1085" t="inlineStr"/>
      <c r="C1085" t="inlineStr">
        <is>
          <t>144</t>
        </is>
      </c>
      <c r="D1085" t="inlineStr">
        <is>
          <t>1</t>
        </is>
      </c>
      <c r="E1085" t="inlineStr">
        <is>
          <t>36</t>
        </is>
      </c>
      <c r="F1085" t="inlineStr">
        <is>
          <t>24</t>
        </is>
      </c>
      <c r="G1085" t="inlineStr">
        <is>
          <t>0</t>
        </is>
      </c>
      <c r="H1085" t="inlineStr">
        <is>
          <t>24², 48²</t>
        </is>
      </c>
      <c r="I1085" t="n">
        <v>4</v>
      </c>
      <c r="J1085" t="inlineStr">
        <is>
          <t>1⁴, 2⁶, 4³, 8¹</t>
        </is>
      </c>
      <c r="K1085">
        <f>HYPERLINK("CSG0.html#group48A0", "48A⁰"), =HYPERLINK("CSG2.html#group24Q2", "24Q²"), =HYPERLINK("CSG3.html#group48H3", "48H³")</f>
        <v/>
      </c>
      <c r="L1085">
        <f>HYPERLINK("CSG13.html#group48AE13", "48AE¹³"), =HYPERLINK("CSG13.html#group48AF13", "48AF¹³"), =HYPERLINK("CSG13.html#group96H13", "96H¹³"), =HYPERLINK("CSG15.html#group48Y15", "48Y¹⁵"), =HYPERLINK("CSG15.html#group48Z15", "48Z¹⁵"), =HYPERLINK("CSG15.html#group48AA15", "48AA¹⁵"), =HYPERLINK("CSG15.html#group48AF15", "48AF¹⁵"), =HYPERLINK("CSG15.html#group96T15", "96T¹⁵"), =HYPERLINK("CSG15.html#group96U15", "96U¹⁵"), =HYPERLINK("CSG15.html#group96W15", "96W¹⁵"), =HYPERLINK("CSG17.html#group48AW17", "48AW¹⁷"), =HYPERLINK("CSG17.html#group48AZ17", "48AZ¹⁷"), =HYPERLINK("CSG17.html#group96AF17", "96AF¹⁷"), =HYPERLINK("CSG17.html#group96AG17", "96AG¹⁷"), =HYPERLINK("CSG19.html#group96X19", "96X¹⁹"), =HYPERLINK("CSG19.html#group96Y19", "96Y¹⁹"), =HYPERLINK("CSG19.html#group96AY19", "96AY¹⁹"), =HYPERLINK("CSG21.html#group48AK21", "48AK²¹"), =HYPERLINK("CSG21.html#group96AT21", "96AT²¹")</f>
        <v/>
      </c>
      <c r="M1085">
        <f>HYPERLINK("CSG0.html#group16B0", "16B⁰"), =HYPERLINK("CSG0.html#group12C0", "12C⁰"), =HYPERLINK("CSG0.html#group24A0", "24A⁰"), =HYPERLINK("CSG0.html#group4C0", "4C⁰"), =HYPERLINK("CSG0.html#group8B0", "8B⁰"), =HYPERLINK("CSG2.html#group24Q2", "24Q²"), =HYPERLINK("CSG0.html#group48A0", "48A⁰"), =HYPERLINK("CSG0.html#group2B0", "2B⁰"), =HYPERLINK("CSG0.html#group3A0", "3A⁰"), =HYPERLINK("CSG0.html#group1A0", "1A⁰"), =HYPERLINK("CSG3.html#group48H3", "48H³"), =HYPERLINK("CSG0.html#group6D0", "6D⁰")</f>
        <v/>
      </c>
      <c r="N1085">
        <f>HYPERLINK("CSG15.html#group96U15", "96U¹⁵"), =HYPERLINK("CSG17.html#group48AW17", "48AW¹⁷"), =HYPERLINK("CSG13.html#group96H13", "96H¹³"), =HYPERLINK("CSG21.html#group48AK21", "48AK²¹"), =HYPERLINK("CSG15.html#group48AA15", "48AA¹⁵"), =HYPERLINK("CSG19.html#group96Y19", "96Y¹⁹"), =HYPERLINK("CSG15.html#group48Y15", "48Y¹⁵"), =HYPERLINK("CSG21.html#group96AT21", "96AT²¹"), =HYPERLINK("CSG13.html#group48AE13", "48AE¹³"), =HYPERLINK("CSG19.html#group96X19", "96X¹⁹"), =HYPERLINK("CSG15.html#group96T15", "96T¹⁵"), =HYPERLINK("CSG15.html#group48AF15", "48AF¹⁵"), =HYPERLINK("CSG17.html#group96AG17", "96AG¹⁷"), =HYPERLINK("CSG19.html#group96AY19", "96AY¹⁹"), =HYPERLINK("CSG15.html#group48Z15", "48Z¹⁵"), =HYPERLINK("CSG13.html#group48AF13", "48AF¹³"), =HYPERLINK("CSG17.html#group48AZ17", "48AZ¹⁷"), =HYPERLINK("CSG15.html#group96W15", "96W¹⁵"), =HYPERLINK("CSG17.html#group96AF17", "96AF¹⁷")</f>
        <v/>
      </c>
    </row>
    <row r="1086">
      <c r="A1086" t="inlineStr">
        <is>
          <t>48I⁵</t>
        </is>
      </c>
      <c r="B1086" t="inlineStr"/>
      <c r="C1086" t="inlineStr">
        <is>
          <t>192</t>
        </is>
      </c>
      <c r="D1086" t="inlineStr">
        <is>
          <t>1</t>
        </is>
      </c>
      <c r="E1086" t="inlineStr">
        <is>
          <t>24</t>
        </is>
      </c>
      <c r="F1086" t="inlineStr">
        <is>
          <t>0</t>
        </is>
      </c>
      <c r="G1086" t="inlineStr">
        <is>
          <t>0</t>
        </is>
      </c>
      <c r="H1086" t="inlineStr">
        <is>
          <t>1⁸, 3⁸, 4², 12², 16², 48²</t>
        </is>
      </c>
      <c r="I1086" t="n">
        <v>24</v>
      </c>
      <c r="J1086" t="inlineStr">
        <is>
          <t>1⁸, 2⁶, 4¹</t>
        </is>
      </c>
      <c r="K1086">
        <f>HYPERLINK("CSG1.html#group24J1", "24J¹"), =HYPERLINK("CSG3.html#group48I3", "48I³"), =HYPERLINK("CSG3.html#group48J3", "48J³")</f>
        <v/>
      </c>
      <c r="L1086">
        <f>HYPERLINK("CSG13.html#group48AH13", "48AH¹³"), =HYPERLINK("CSG13.html#group96I13", "96I¹³"), =HYPERLINK("CSG17.html#group48CN17", "48CN¹⁷"), =HYPERLINK("CSG17.html#group96AH17", "96AH¹⁷"), =HYPERLINK("CSG21.html#group96BB21", "96BB²¹")</f>
        <v/>
      </c>
      <c r="M1086">
        <f>HYPERLINK("CSG1.html#group24J1", "24J¹"), =HYPERLINK("CSG0.html#group3B0", "3B⁰"), =HYPERLINK("CSG0.html#group24B0", "24B⁰"), =HYPERLINK("CSG3.html#group48J3", "48J³"), =HYPERLINK("CSG0.html#group16C0", "16C⁰"), =HYPERLINK("CSG1.html#group24G1", "24G¹"), =HYPERLINK("CSG0.html#group6F0", "6F⁰"), =HYPERLINK("CSG0.html#group12J0", "12J⁰"), =HYPERLINK("CSG0.html#group2B0", "2B⁰"), =HYPERLINK("CSG3.html#group48I3", "48I³"), =HYPERLINK("CSG0.html#group8C0", "8C⁰"), =HYPERLINK("CSG0.html#group4B0", "4B⁰"), =HYPERLINK("CSG0.html#group1A0", "1A⁰"), =HYPERLINK("CSG0.html#group12E0", "12E⁰")</f>
        <v/>
      </c>
      <c r="N1086">
        <f>HYPERLINK("CSG21.html#group96BB21", "96BB²¹"), =HYPERLINK("CSG17.html#group48CN17", "48CN¹⁷"), =HYPERLINK("CSG13.html#group96I13", "96I¹³"), =HYPERLINK("CSG17.html#group96AH17", "96AH¹⁷"), =HYPERLINK("CSG13.html#group48AH13", "48AH¹³")</f>
        <v/>
      </c>
    </row>
    <row r="1087">
      <c r="A1087" t="inlineStr">
        <is>
          <t>48J⁵</t>
        </is>
      </c>
      <c r="B1087" t="inlineStr"/>
      <c r="C1087" t="inlineStr">
        <is>
          <t>192</t>
        </is>
      </c>
      <c r="D1087" t="inlineStr">
        <is>
          <t>1</t>
        </is>
      </c>
      <c r="E1087" t="inlineStr">
        <is>
          <t>48</t>
        </is>
      </c>
      <c r="F1087" t="inlineStr">
        <is>
          <t>0</t>
        </is>
      </c>
      <c r="G1087" t="inlineStr">
        <is>
          <t>0</t>
        </is>
      </c>
      <c r="H1087" t="inlineStr">
        <is>
          <t>1⁴, 2⁶, 3⁴, 6⁶, 16², 48²</t>
        </is>
      </c>
      <c r="I1087" t="n">
        <v>24</v>
      </c>
      <c r="J1087" t="inlineStr">
        <is>
          <t>1⁸, 2⁸, 4⁴, 8¹</t>
        </is>
      </c>
      <c r="K1087">
        <f>HYPERLINK("CSG1.html#group24J1", "24J¹"), =HYPERLINK("CSG3.html#group48K3", "48K³"), =HYPERLINK("CSG3.html#group48L3", "48L³")</f>
        <v/>
      </c>
      <c r="L1087">
        <f>HYPERLINK("CSG13.html#group48AG13", "48AG¹³"), =HYPERLINK("CSG13.html#group48AH13", "48AH¹³"), =HYPERLINK("CSG17.html#group48CO17", "48CO¹⁷")</f>
        <v/>
      </c>
      <c r="M1087">
        <f>HYPERLINK("CSG1.html#group24J1", "24J¹"), =HYPERLINK("CSG0.html#group3B0", "3B⁰"), =HYPERLINK("CSG0.html#group24B0", "24B⁰"), =HYPERLINK("CSG3.html#group48K3", "48K³"), =HYPERLINK("CSG1.html#group24G1", "24G¹"), =HYPERLINK("CSG0.html#group16D0", "16D⁰"), =HYPERLINK("CSG0.html#group6F0", "6F⁰"), =HYPERLINK("CSG0.html#group12J0", "12J⁰"), =HYPERLINK("CSG0.html#group2B0", "2B⁰"), =HYPERLINK("CSG0.html#group8C0", "8C⁰"), =HYPERLINK("CSG0.html#group4B0", "4B⁰"), =HYPERLINK("CSG0.html#group1A0", "1A⁰"), =HYPERLINK("CSG0.html#group12E0", "12E⁰"), =HYPERLINK("CSG3.html#group48L3", "48L³")</f>
        <v/>
      </c>
      <c r="N1087">
        <f>HYPERLINK("CSG13.html#group48AG13", "48AG¹³"), =HYPERLINK("CSG13.html#group48AH13", "48AH¹³"), =HYPERLINK("CSG17.html#group48CO17", "48CO¹⁷")</f>
        <v/>
      </c>
    </row>
    <row r="1088">
      <c r="A1088" t="inlineStr">
        <is>
          <t>50A⁵</t>
        </is>
      </c>
      <c r="B1088" t="inlineStr"/>
      <c r="C1088" t="inlineStr">
        <is>
          <t>60</t>
        </is>
      </c>
      <c r="D1088" t="inlineStr">
        <is>
          <t>1</t>
        </is>
      </c>
      <c r="E1088" t="inlineStr">
        <is>
          <t>30</t>
        </is>
      </c>
      <c r="F1088" t="inlineStr">
        <is>
          <t>0</t>
        </is>
      </c>
      <c r="G1088" t="inlineStr">
        <is>
          <t>0</t>
        </is>
      </c>
      <c r="H1088" t="inlineStr">
        <is>
          <t>10¹, 50¹</t>
        </is>
      </c>
      <c r="I1088" t="n">
        <v>2</v>
      </c>
      <c r="J1088" t="inlineStr">
        <is>
          <t>2², 4⁴, 20²</t>
        </is>
      </c>
      <c r="K1088">
        <f>HYPERLINK("CSG1.html#group10A1", "10A¹"), =HYPERLINK("CSG2.html#group25A2", "25A²")</f>
        <v/>
      </c>
      <c r="L1088">
        <f>HYPERLINK("CSG9.html#group50A9", "50A⁹"), =HYPERLINK("CSG13.html#group50A13", "50A¹³"), =HYPERLINK("CSG15.html#group150A15", "150A¹⁵"), =HYPERLINK("CSG15.html#group150E15", "150E¹⁵"), =HYPERLINK("CSG19.html#group100I19", "100I¹⁹"), =HYPERLINK("CSG19.html#group150E19", "150E¹⁹"), =HYPERLINK("CSG21.html#group50A21", "50A²¹"), =HYPERLINK("CSG21.html#group50E21", "50E²¹")</f>
        <v/>
      </c>
      <c r="M1088">
        <f>HYPERLINK("CSG0.html#group5B0", "5B⁰"), =HYPERLINK("CSG0.html#group2A0", "2A⁰"), =HYPERLINK("CSG1.html#group10A1", "10A¹"), =HYPERLINK("CSG2.html#group25A2", "25A²"), =HYPERLINK("CSG0.html#group1A0", "1A⁰")</f>
        <v/>
      </c>
      <c r="N1088">
        <f>HYPERLINK("CSG9.html#group50A9", "50A⁹"), =HYPERLINK("CSG21.html#group50E21", "50E²¹"), =HYPERLINK("CSG19.html#group100I19", "100I¹⁹"), =HYPERLINK("CSG15.html#group150A15", "150A¹⁵"), =HYPERLINK("CSG19.html#group100A19", "100A¹⁹"), =HYPERLINK("CSG19.html#group150E19", "150E¹⁹"), =HYPERLINK("CSG13.html#group50A13", "50A¹³"), =HYPERLINK("CSG15.html#group150E15", "150E¹⁵"), =HYPERLINK("CSG21.html#group50A21", "50A²¹")</f>
        <v/>
      </c>
    </row>
    <row r="1089">
      <c r="A1089" t="inlineStr">
        <is>
          <t>50B⁵</t>
        </is>
      </c>
      <c r="B1089" t="inlineStr"/>
      <c r="C1089" t="inlineStr">
        <is>
          <t>60</t>
        </is>
      </c>
      <c r="D1089" t="inlineStr">
        <is>
          <t>1</t>
        </is>
      </c>
      <c r="E1089" t="inlineStr">
        <is>
          <t>30</t>
        </is>
      </c>
      <c r="F1089" t="inlineStr">
        <is>
          <t>0</t>
        </is>
      </c>
      <c r="G1089" t="inlineStr">
        <is>
          <t>0</t>
        </is>
      </c>
      <c r="H1089" t="inlineStr">
        <is>
          <t>10¹, 50¹</t>
        </is>
      </c>
      <c r="I1089" t="n">
        <v>2</v>
      </c>
      <c r="J1089" t="inlineStr">
        <is>
          <t>2², 4⁴, 20²</t>
        </is>
      </c>
      <c r="K1089">
        <f>HYPERLINK("CSG1.html#group10A1", "10A¹"), =HYPERLINK("CSG2.html#group25B2", "25B²")</f>
        <v/>
      </c>
      <c r="L1089">
        <f>HYPERLINK("CSG9.html#group50B9", "50B⁹"), =HYPERLINK("CSG13.html#group50B13", "50B¹³"), =HYPERLINK("CSG15.html#group150B15", "150B¹⁵"), =HYPERLINK("CSG15.html#group150F15", "150F¹⁵"), =HYPERLINK("CSG19.html#group100J19", "100J¹⁹"), =HYPERLINK("CSG19.html#group150F19", "150F¹⁹"), =HYPERLINK("CSG21.html#group50B21", "50B²¹"), =HYPERLINK("CSG21.html#group50E21", "50E²¹")</f>
        <v/>
      </c>
      <c r="M1089">
        <f>HYPERLINK("CSG0.html#group5B0", "5B⁰"), =HYPERLINK("CSG0.html#group2A0", "2A⁰"), =HYPERLINK("CSG1.html#group10A1", "10A¹"), =HYPERLINK("CSG0.html#group1A0", "1A⁰"), =HYPERLINK("CSG2.html#group25B2", "25B²")</f>
        <v/>
      </c>
      <c r="N1089">
        <f>HYPERLINK("CSG9.html#group50B9", "50B⁹"), =HYPERLINK("CSG21.html#group50E21", "50E²¹"), =HYPERLINK("CSG13.html#group50B13", "50B¹³"), =HYPERLINK("CSG19.html#group100B19", "100B¹⁹"), =HYPERLINK("CSG19.html#group100J19", "100J¹⁹"), =HYPERLINK("CSG21.html#group50B21", "50B²¹"), =HYPERLINK("CSG15.html#group150B15", "150B¹⁵"), =HYPERLINK("CSG19.html#group150F19", "150F¹⁹"), =HYPERLINK("CSG15.html#group150F15", "150F¹⁵")</f>
        <v/>
      </c>
    </row>
    <row r="1090">
      <c r="A1090" t="inlineStr">
        <is>
          <t>50C⁵</t>
        </is>
      </c>
      <c r="B1090" t="inlineStr"/>
      <c r="C1090" t="inlineStr">
        <is>
          <t>60</t>
        </is>
      </c>
      <c r="D1090" t="inlineStr">
        <is>
          <t>1</t>
        </is>
      </c>
      <c r="E1090" t="inlineStr">
        <is>
          <t>30</t>
        </is>
      </c>
      <c r="F1090" t="inlineStr">
        <is>
          <t>0</t>
        </is>
      </c>
      <c r="G1090" t="inlineStr">
        <is>
          <t>0</t>
        </is>
      </c>
      <c r="H1090" t="inlineStr">
        <is>
          <t>10¹, 50¹</t>
        </is>
      </c>
      <c r="I1090" t="n">
        <v>2</v>
      </c>
      <c r="J1090" t="inlineStr">
        <is>
          <t>2², 4⁴, 20²</t>
        </is>
      </c>
      <c r="K1090">
        <f>HYPERLINK("CSG1.html#group10A1", "10A¹"), =HYPERLINK("CSG2.html#group25C2", "25C²")</f>
        <v/>
      </c>
      <c r="L1090">
        <f>HYPERLINK("CSG9.html#group50C9", "50C⁹"), =HYPERLINK("CSG13.html#group50C13", "50C¹³"), =HYPERLINK("CSG15.html#group150C15", "150C¹⁵"), =HYPERLINK("CSG15.html#group150G15", "150G¹⁵"), =HYPERLINK("CSG19.html#group100K19", "100K¹⁹"), =HYPERLINK("CSG19.html#group150G19", "150G¹⁹"), =HYPERLINK("CSG21.html#group50C21", "50C²¹"), =HYPERLINK("CSG21.html#group50E21", "50E²¹")</f>
        <v/>
      </c>
      <c r="M1090">
        <f>HYPERLINK("CSG0.html#group5B0", "5B⁰"), =HYPERLINK("CSG0.html#group2A0", "2A⁰"), =HYPERLINK("CSG1.html#group10A1", "10A¹"), =HYPERLINK("CSG0.html#group1A0", "1A⁰"), =HYPERLINK("CSG2.html#group25C2", "25C²")</f>
        <v/>
      </c>
      <c r="N1090">
        <f>HYPERLINK("CSG21.html#group50E21", "50E²¹"), =HYPERLINK("CSG15.html#group150C15", "150C¹⁵"), =HYPERLINK("CSG19.html#group100C19", "100C¹⁹"), =HYPERLINK("CSG19.html#group150G19", "150G¹⁹"), =HYPERLINK("CSG9.html#group50C9", "50C⁹"), =HYPERLINK("CSG15.html#group150G15", "150G¹⁵"), =HYPERLINK("CSG21.html#group50C21", "50C²¹"), =HYPERLINK("CSG13.html#group50C13", "50C¹³"), =HYPERLINK("CSG19.html#group100K19", "100K¹⁹")</f>
        <v/>
      </c>
    </row>
    <row r="1091">
      <c r="A1091" t="inlineStr">
        <is>
          <t>50D⁵</t>
        </is>
      </c>
      <c r="B1091" t="inlineStr"/>
      <c r="C1091" t="inlineStr">
        <is>
          <t>60</t>
        </is>
      </c>
      <c r="D1091" t="inlineStr">
        <is>
          <t>1</t>
        </is>
      </c>
      <c r="E1091" t="inlineStr">
        <is>
          <t>30</t>
        </is>
      </c>
      <c r="F1091" t="inlineStr">
        <is>
          <t>0</t>
        </is>
      </c>
      <c r="G1091" t="inlineStr">
        <is>
          <t>0</t>
        </is>
      </c>
      <c r="H1091" t="inlineStr">
        <is>
          <t>10¹, 50¹</t>
        </is>
      </c>
      <c r="I1091" t="n">
        <v>2</v>
      </c>
      <c r="J1091" t="inlineStr">
        <is>
          <t>2², 4⁴, 20²</t>
        </is>
      </c>
      <c r="K1091">
        <f>HYPERLINK("CSG1.html#group10A1", "10A¹"), =HYPERLINK("CSG2.html#group25D2", "25D²")</f>
        <v/>
      </c>
      <c r="L1091">
        <f>HYPERLINK("CSG9.html#group50D9", "50D⁹"), =HYPERLINK("CSG13.html#group50D13", "50D¹³"), =HYPERLINK("CSG15.html#group150D15", "150D¹⁵"), =HYPERLINK("CSG15.html#group150H15", "150H¹⁵"), =HYPERLINK("CSG19.html#group100L19", "100L¹⁹"), =HYPERLINK("CSG19.html#group150H19", "150H¹⁹"), =HYPERLINK("CSG21.html#group50D21", "50D²¹"), =HYPERLINK("CSG21.html#group50E21", "50E²¹")</f>
        <v/>
      </c>
      <c r="M1091">
        <f>HYPERLINK("CSG0.html#group5B0", "5B⁰"), =HYPERLINK("CSG0.html#group2A0", "2A⁰"), =HYPERLINK("CSG1.html#group10A1", "10A¹"), =HYPERLINK("CSG0.html#group1A0", "1A⁰"), =HYPERLINK("CSG2.html#group25D2", "25D²")</f>
        <v/>
      </c>
      <c r="N1091">
        <f>HYPERLINK("CSG13.html#group50D13", "50D¹³"), =HYPERLINK("CSG19.html#group150H19", "150H¹⁹"), =HYPERLINK("CSG21.html#group50D21", "50D²¹"), =HYPERLINK("CSG15.html#group150H15", "150H¹⁵"), =HYPERLINK("CSG21.html#group50E21", "50E²¹"), =HYPERLINK("CSG19.html#group100L19", "100L¹⁹"), =HYPERLINK("CSG15.html#group150D15", "150D¹⁵"), =HYPERLINK("CSG9.html#group50D9", "50D⁹"), =HYPERLINK("CSG19.html#group100D19", "100D¹⁹")</f>
        <v/>
      </c>
    </row>
    <row r="1092">
      <c r="A1092" t="inlineStr">
        <is>
          <t>50E⁵</t>
        </is>
      </c>
      <c r="B1092" t="inlineStr"/>
      <c r="C1092" t="inlineStr">
        <is>
          <t>100</t>
        </is>
      </c>
      <c r="D1092" t="inlineStr">
        <is>
          <t>1</t>
        </is>
      </c>
      <c r="E1092" t="inlineStr">
        <is>
          <t>50</t>
        </is>
      </c>
      <c r="F1092" t="inlineStr">
        <is>
          <t>0</t>
        </is>
      </c>
      <c r="G1092" t="inlineStr">
        <is>
          <t>10</t>
        </is>
      </c>
      <c r="H1092" t="inlineStr">
        <is>
          <t>50²</t>
        </is>
      </c>
      <c r="I1092" t="n">
        <v>2</v>
      </c>
      <c r="J1092" t="inlineStr">
        <is>
          <t>2¹, 4², 20²</t>
        </is>
      </c>
      <c r="K1092">
        <f>HYPERLINK("CSG1.html#group10C1", "10C¹"), =HYPERLINK("CSG2.html#group25E2", "25E²")</f>
        <v/>
      </c>
      <c r="L1092">
        <f>HYPERLINK("CSG9.html#group50F9", "50F⁹"), =HYPERLINK("CSG20.html#group150E20", "150E²⁰"), =HYPERLINK("CSG23.html#group50A23", "50A²³"), =HYPERLINK("CSG23.html#group50B23", "50B²³")</f>
        <v/>
      </c>
      <c r="M1092">
        <f>HYPERLINK("CSG0.html#group2A0", "2A⁰"), =HYPERLINK("CSG1.html#group10C1", "10C¹"), =HYPERLINK("CSG0.html#group1A0", "1A⁰"), =HYPERLINK("CSG0.html#group5C0", "5C⁰"), =HYPERLINK("CSG2.html#group25E2", "25E²")</f>
        <v/>
      </c>
      <c r="N1092">
        <f>HYPERLINK("CSG19.html#group100R19", "100R¹⁹"), =HYPERLINK("CSG20.html#group150E20", "150E²⁰"), =HYPERLINK("CSG9.html#group50F9", "50F⁹"), =HYPERLINK("CSG23.html#group50B23", "50B²³"), =HYPERLINK("CSG23.html#group50A23", "50A²³")</f>
        <v/>
      </c>
    </row>
    <row r="1093">
      <c r="A1093" t="inlineStr">
        <is>
          <t>50F⁵</t>
        </is>
      </c>
      <c r="B1093" t="inlineStr"/>
      <c r="C1093" t="inlineStr">
        <is>
          <t>120</t>
        </is>
      </c>
      <c r="D1093" t="inlineStr">
        <is>
          <t>1</t>
        </is>
      </c>
      <c r="E1093" t="inlineStr">
        <is>
          <t>6</t>
        </is>
      </c>
      <c r="F1093" t="inlineStr">
        <is>
          <t>0</t>
        </is>
      </c>
      <c r="G1093" t="inlineStr">
        <is>
          <t>0</t>
        </is>
      </c>
      <c r="H1093" t="inlineStr">
        <is>
          <t>2¹⁰, 50²</t>
        </is>
      </c>
      <c r="I1093" t="n">
        <v>12</v>
      </c>
      <c r="J1093" t="inlineStr">
        <is>
          <t>1², 4¹</t>
        </is>
      </c>
      <c r="K1093">
        <f>HYPERLINK("CSG0.html#group25B0", "25B⁰"), =HYPERLINK("CSG1.html#group10D1", "10D¹"), =HYPERLINK("CSG2.html#group50A2", "50A²"), =HYPERLINK("CSG3.html#group50A3", "50A³")</f>
        <v/>
      </c>
      <c r="L1093">
        <f>HYPERLINK("CSG13.html#group50E13", "50E¹³"), =HYPERLINK("CSG15.html#group100A15", "100A¹⁵")</f>
        <v/>
      </c>
      <c r="M1093">
        <f>HYPERLINK("CSG0.html#group2A0", "2A⁰"), =HYPERLINK("CSG2.html#group50A2", "50A²"), =HYPERLINK("CSG3.html#group50A3", "50A³"), =HYPERLINK("CSG0.html#group25A0", "25A⁰"), =HYPERLINK("CSG0.html#group5B0", "5B⁰"), =HYPERLINK("CSG1.html#group10A1", "10A¹"), =HYPERLINK("CSG0.html#group5D0", "5D⁰"), =HYPERLINK("CSG1.html#group10D1", "10D¹"), =HYPERLINK("CSG0.html#group1A0", "1A⁰"), =HYPERLINK("CSG0.html#group25B0", "25B⁰"), =HYPERLINK("CSG0.html#group10B0", "10B⁰")</f>
        <v/>
      </c>
      <c r="N1093">
        <f>HYPERLINK("CSG13.html#group50E13", "50E¹³"), =HYPERLINK("CSG15.html#group100A15", "100A¹⁵")</f>
        <v/>
      </c>
    </row>
    <row r="1094">
      <c r="A1094" t="inlineStr">
        <is>
          <t>51A⁵</t>
        </is>
      </c>
      <c r="B1094" t="inlineStr">
        <is>
          <t>Γ₀(51)</t>
        </is>
      </c>
      <c r="C1094" t="inlineStr">
        <is>
          <t>72</t>
        </is>
      </c>
      <c r="D1094" t="inlineStr">
        <is>
          <t>1</t>
        </is>
      </c>
      <c r="E1094" t="inlineStr">
        <is>
          <t>72</t>
        </is>
      </c>
      <c r="F1094" t="inlineStr">
        <is>
          <t>0</t>
        </is>
      </c>
      <c r="G1094" t="inlineStr">
        <is>
          <t>0</t>
        </is>
      </c>
      <c r="H1094" t="inlineStr">
        <is>
          <t>1¹, 3¹, 17¹, 51¹</t>
        </is>
      </c>
      <c r="I1094" t="n">
        <v>4</v>
      </c>
      <c r="J1094" t="inlineStr">
        <is>
          <t>1⁴, 2², 16², 32¹</t>
        </is>
      </c>
      <c r="K1094">
        <f>HYPERLINK("CSG0.html#group3B0", "3B⁰"), =HYPERLINK("CSG1.html#group17A1", "17A¹")</f>
        <v/>
      </c>
      <c r="L1094">
        <f>HYPERLINK("CSG9.html#group51A9", "51A⁹"), =HYPERLINK("CSG11.html#group102A11", "102A¹¹"), =HYPERLINK("CSG11.html#group102B11", "102B¹¹"), =HYPERLINK("CSG15.html#group51A15", "51A¹⁵"), =HYPERLINK("CSG15.html#group102C15", "102C¹⁵"), =HYPERLINK("CSG15.html#group153A15", "153A¹⁵"), =HYPERLINK("CSG17.html#group153A17", "153A¹⁷"), =HYPERLINK("CSG17.html#group153B17", "153B¹⁷"), =HYPERLINK("CSG23.html#group204C23", "204C²³")</f>
        <v/>
      </c>
      <c r="M1094">
        <f>HYPERLINK("CSG0.html#group3B0", "3B⁰"), =HYPERLINK("CSG0.html#group1A0", "1A⁰"), =HYPERLINK("CSG1.html#group17A1", "17A¹")</f>
        <v/>
      </c>
      <c r="N1094">
        <f>HYPERLINK("CSG23.html#group204C23", "204C²³"), =HYPERLINK("CSG23.html#group204B23", "204B²³"), =HYPERLINK("CSG15.html#group51A15", "51A¹⁵"), =HYPERLINK("CSG15.html#group102C15", "102C¹⁵"), =HYPERLINK("CSG15.html#group153A15", "153A¹⁵"), =HYPERLINK("CSG23.html#group204A23", "204A²³"), =HYPERLINK("CSG11.html#group102A11", "102A¹¹"), =HYPERLINK("CSG17.html#group153A17", "153A¹⁷"), =HYPERLINK("CSG9.html#group51A9", "51A⁹"), =HYPERLINK("CSG17.html#group51A17", "51A¹⁷"), =HYPERLINK("CSG11.html#group102B11", "102B¹¹"), =HYPERLINK("CSG21.html#group102A21", "102A²¹"), =HYPERLINK("CSG23.html#group204D23", "204D²³"), =HYPERLINK("CSG21.html#group102B21", "102B²¹"), =HYPERLINK("CSG17.html#group153B17", "153B¹⁷")</f>
        <v/>
      </c>
    </row>
    <row r="1095">
      <c r="A1095" t="inlineStr">
        <is>
          <t>51B⁵</t>
        </is>
      </c>
      <c r="B1095" t="inlineStr"/>
      <c r="C1095" t="inlineStr">
        <is>
          <t>108</t>
        </is>
      </c>
      <c r="D1095" t="inlineStr">
        <is>
          <t>1</t>
        </is>
      </c>
      <c r="E1095" t="inlineStr">
        <is>
          <t>18</t>
        </is>
      </c>
      <c r="F1095" t="inlineStr">
        <is>
          <t>12</t>
        </is>
      </c>
      <c r="G1095" t="inlineStr">
        <is>
          <t>0</t>
        </is>
      </c>
      <c r="H1095" t="inlineStr">
        <is>
          <t>3², 51²</t>
        </is>
      </c>
      <c r="I1095" t="n">
        <v>4</v>
      </c>
      <c r="J1095" t="inlineStr">
        <is>
          <t>1², 16¹</t>
        </is>
      </c>
      <c r="K1095">
        <f>HYPERLINK("CSG1.html#group17B1", "17B¹"), =HYPERLINK("CSG3.html#group51A3", "51A³")</f>
        <v/>
      </c>
      <c r="L1095">
        <f>HYPERLINK("CSG9.html#group51B9", "51B⁹"), =HYPERLINK("CSG13.html#group51A13", "51A¹³"), =HYPERLINK("CSG13.html#group51B13", "51B¹³"), =HYPERLINK("CSG13.html#group102A13", "102A¹³"), =HYPERLINK("CSG13.html#group102B13", "102B¹³"), =HYPERLINK("CSG17.html#group102A17", "102A¹⁷"), =HYPERLINK("CSG17.html#group102B17", "102B¹⁷"), =HYPERLINK("CSG21.html#group102C21", "102C²¹"), =HYPERLINK("CSG21.html#group153A21", "153A²¹")</f>
        <v/>
      </c>
      <c r="M1095">
        <f>HYPERLINK("CSG0.html#group1A0", "1A⁰"), =HYPERLINK("CSG1.html#group17A1", "17A¹"), =HYPERLINK("CSG0.html#group3A0", "3A⁰"), =HYPERLINK("CSG3.html#group51A3", "51A³"), =HYPERLINK("CSG1.html#group17B1", "17B¹")</f>
        <v/>
      </c>
      <c r="N1095">
        <f>HYPERLINK("CSG13.html#group102A13", "102A¹³"), =HYPERLINK("CSG21.html#group153A21", "153A²¹"), =HYPERLINK("CSG21.html#group51A21", "51A²¹"), =HYPERLINK("CSG13.html#group102B13", "102B¹³"), =HYPERLINK("CSG9.html#group51B9", "51B⁹"), =HYPERLINK("CSG17.html#group102B17", "102B¹⁷"), =HYPERLINK("CSG13.html#group51A13", "51A¹³"), =HYPERLINK("CSG21.html#group102D21", "102D²¹"), =HYPERLINK("CSG17.html#group102A17", "102A¹⁷"), =HYPERLINK("CSG21.html#group102C21", "102C²¹"), =HYPERLINK("CSG13.html#group51B13", "51B¹³")</f>
        <v/>
      </c>
    </row>
    <row r="1096">
      <c r="A1096" t="inlineStr">
        <is>
          <t>52A⁵</t>
        </is>
      </c>
      <c r="B1096" t="inlineStr">
        <is>
          <t>Γ₀(52)</t>
        </is>
      </c>
      <c r="C1096" t="inlineStr">
        <is>
          <t>84</t>
        </is>
      </c>
      <c r="D1096" t="inlineStr">
        <is>
          <t>1</t>
        </is>
      </c>
      <c r="E1096" t="inlineStr">
        <is>
          <t>42</t>
        </is>
      </c>
      <c r="F1096" t="inlineStr">
        <is>
          <t>0</t>
        </is>
      </c>
      <c r="G1096" t="inlineStr">
        <is>
          <t>0</t>
        </is>
      </c>
      <c r="H1096" t="inlineStr">
        <is>
          <t>1², 4¹, 13², 52¹</t>
        </is>
      </c>
      <c r="I1096" t="n">
        <v>6</v>
      </c>
      <c r="J1096" t="inlineStr">
        <is>
          <t>1⁶, 12³</t>
        </is>
      </c>
      <c r="K1096">
        <f>HYPERLINK("CSG0.html#group4B0", "4B⁰"), =HYPERLINK("CSG2.html#group26A2", "26A²")</f>
        <v/>
      </c>
      <c r="L1096">
        <f>HYPERLINK("CSG9.html#group52A9", "52A⁹"), =HYPERLINK("CSG11.html#group52B11", "52B¹¹"), =HYPERLINK("CSG11.html#group52D11", "52D¹¹"), =HYPERLINK("CSG11.html#group104C11", "104C¹¹"), =HYPERLINK("CSG11.html#group104D11", "104D¹¹"), =HYPERLINK("CSG13.html#group52B13", "52B¹³"), =HYPERLINK("CSG19.html#group156A19", "156A¹⁹"), =HYPERLINK("CSG19.html#group156C19", "156C¹⁹"), =HYPERLINK("CSG23.html#group156D23", "156D²³")</f>
        <v/>
      </c>
      <c r="M1096">
        <f>HYPERLINK("CSG0.html#group13A0", "13A⁰"), =HYPERLINK("CSG0.html#group2B0", "2B⁰"), =HYPERLINK("CSG0.html#group4B0", "4B⁰"), =HYPERLINK("CSG0.html#group1A0", "1A⁰"), =HYPERLINK("CSG2.html#group26A2", "26A²")</f>
        <v/>
      </c>
      <c r="N1096">
        <f>HYPERLINK("CSG23.html#group156D23", "156D²³"), =HYPERLINK("CSG19.html#group156A19", "156A¹⁹"), =HYPERLINK("CSG19.html#group156C19", "156C¹⁹"), =HYPERLINK("CSG23.html#group208C23", "208C²³"), =HYPERLINK("CSG11.html#group52B11", "52B¹¹"), =HYPERLINK("CSG11.html#group104D11", "104D¹¹"), =HYPERLINK("CSG23.html#group104M23", "104M²³"), =HYPERLINK("CSG23.html#group104B23", "104B²³"), =HYPERLINK("CSG19.html#group104A19", "104A¹⁹"), =HYPERLINK("CSG23.html#group104E23", "104E²³"), =HYPERLINK("CSG21.html#group104B21", "104B²¹"), =HYPERLINK("CSG23.html#group208D23", "208D²³"), =HYPERLINK("CSG13.html#group52B13", "52B¹³"), =HYPERLINK("CSG23.html#group208F23", "208F²³"), =HYPERLINK("CSG23.html#group104L23", "104L²³"), =HYPERLINK("CSG23.html#group52D23", "52D²³"), =HYPERLINK("CSG11.html#group104C11", "104C¹¹"), =HYPERLINK("CSG23.html#group104C23", "104C²³"), =HYPERLINK("CSG23.html#group52C23", "52C²³"), =HYPERLINK("CSG23.html#group208I23", "208I²³"), =HYPERLINK("CSG9.html#group52A9", "52A⁹"), =HYPERLINK("CSG21.html#group52C21", "52C²¹"), =HYPERLINK("CSG23.html#group104A23", "104A²³"), =HYPERLINK("CSG23.html#group104K23", "104K²³"), =HYPERLINK("CSG11.html#group52D11", "52D¹¹"), =HYPERLINK("CSG23.html#group104N23", "104N²³"), =HYPERLINK("CSG23.html#group208E23", "208E²³"), =HYPERLINK("CSG19.html#group52B19", "52B¹⁹"), =HYPERLINK("CSG23.html#group52H23", "52H²³")</f>
        <v/>
      </c>
    </row>
    <row r="1097">
      <c r="A1097" t="inlineStr">
        <is>
          <t>52B⁵</t>
        </is>
      </c>
      <c r="B1097" t="inlineStr"/>
      <c r="C1097" t="inlineStr">
        <is>
          <t>84</t>
        </is>
      </c>
      <c r="D1097" t="inlineStr">
        <is>
          <t>1</t>
        </is>
      </c>
      <c r="E1097" t="inlineStr">
        <is>
          <t>42</t>
        </is>
      </c>
      <c r="F1097" t="inlineStr">
        <is>
          <t>4</t>
        </is>
      </c>
      <c r="G1097" t="inlineStr">
        <is>
          <t>0</t>
        </is>
      </c>
      <c r="H1097" t="inlineStr">
        <is>
          <t>2¹, 4¹, 26¹, 52¹</t>
        </is>
      </c>
      <c r="I1097" t="n">
        <v>4</v>
      </c>
      <c r="J1097" t="inlineStr">
        <is>
          <t>1⁶, 12³</t>
        </is>
      </c>
      <c r="K1097">
        <f>HYPERLINK("CSG0.html#group4C0", "4C⁰"), =HYPERLINK("CSG2.html#group26A2", "26A²")</f>
        <v/>
      </c>
      <c r="L1097">
        <f>HYPERLINK("CSG9.html#group52B9", "52B⁹"), =HYPERLINK("CSG11.html#group52A11", "52A¹¹"), =HYPERLINK("CSG11.html#group52D11", "52D¹¹"), =HYPERLINK("CSG11.html#group52E11", "52E¹¹"), =HYPERLINK("CSG11.html#group52F11", "52F¹¹"), =HYPERLINK("CSG11.html#group104A11", "104A¹¹"), =HYPERLINK("CSG11.html#group104B11", "104B¹¹"), =HYPERLINK("CSG11.html#group104E11", "104E¹¹"), =HYPERLINK("CSG11.html#group104F11", "104F¹¹"), =HYPERLINK("CSG13.html#group52C13", "52C¹³"), =HYPERLINK("CSG13.html#group104A13", "104A¹³"), =HYPERLINK("CSG13.html#group104B13", "104B¹³"), =HYPERLINK("CSG17.html#group156B17", "156B¹⁷"), =HYPERLINK("CSG17.html#group156D17", "156D¹⁷")</f>
        <v/>
      </c>
      <c r="M1097">
        <f>HYPERLINK("CSG0.html#group13A0", "13A⁰"), =HYPERLINK("CSG0.html#group2B0", "2B⁰"), =HYPERLINK("CSG0.html#group1A0", "1A⁰"), =HYPERLINK("CSG2.html#group26A2", "26A²"), =HYPERLINK("CSG0.html#group4C0", "4C⁰")</f>
        <v/>
      </c>
      <c r="N1097">
        <f>HYPERLINK("CSG11.html#group52E11", "52E¹¹"), =HYPERLINK("CSG23.html#group104I23", "104I²³"), =HYPERLINK("CSG23.html#group104M23", "104M²³"), =HYPERLINK("CSG23.html#group104O23", "104O²³"), =HYPERLINK("CSG19.html#group52C19", "52C¹⁹"), =HYPERLINK("CSG11.html#group52A11", "52A¹¹"), =HYPERLINK("CSG23.html#group52D23", "52D²³"), =HYPERLINK("CSG23.html#group104F23", "104F²³"), =HYPERLINK("CSG21.html#group52D21", "52D²¹"), =HYPERLINK("CSG23.html#group52C23", "52C²³"), =HYPERLINK("CSG13.html#group52C13", "52C¹³"), =HYPERLINK("CSG13.html#group104B13", "104B¹³"), =HYPERLINK("CSG11.html#group52D11", "52D¹¹"), =HYPERLINK("CSG23.html#group208B23", "208B²³"), =HYPERLINK("CSG23.html#group104N23", "104N²³"), =HYPERLINK("CSG23.html#group208G23", "208G²³"), =HYPERLINK("CSG17.html#group156B17", "156B¹⁷"), =HYPERLINK("CSG11.html#group104E11", "104E¹¹"), =HYPERLINK("CSG21.html#group104A21", "104A²¹"), =HYPERLINK("CSG11.html#group104A11", "104A¹¹"), =HYPERLINK("CSG23.html#group104J23", "104J²³"), =HYPERLINK("CSG23.html#group104B23", "104B²³"), =HYPERLINK("CSG11.html#group104B11", "104B¹¹"), =HYPERLINK("CSG23.html#group104G23", "104G²³"), =HYPERLINK("CSG23.html#group208H23", "208H²³"), =HYPERLINK("CSG21.html#group52F21", "52F²¹"), =HYPERLINK("CSG23.html#group104Q23", "104Q²³"), =HYPERLINK("CSG23.html#group208A23", "208A²³"), =HYPERLINK("CSG23.html#group104C23", "104C²³"), =HYPERLINK("CSG21.html#group104D21", "104D²¹"), =HYPERLINK("CSG11.html#group52F11", "52F¹¹"), =HYPERLINK("CSG11.html#group104F11", "104F¹¹"), =HYPERLINK("CSG23.html#group104H23", "104H²³"), =HYPERLINK("CSG9.html#group52B9", "52B⁹"), =HYPERLINK("CSG23.html#group104D23", "104D²³"), =HYPERLINK("CSG21.html#group104C21", "104C²¹"), =HYPERLINK("CSG17.html#group156D17", "156D¹⁷"), =HYPERLINK("CSG23.html#group52G23", "52G²³"), =HYPERLINK("CSG21.html#group52C21", "52C²¹"), =HYPERLINK("CSG23.html#group104R23", "104R²³"), =HYPERLINK("CSG23.html#group104P23", "104P²³"), =HYPERLINK("CSG13.html#group104A13", "104A¹³")</f>
        <v/>
      </c>
    </row>
    <row r="1098">
      <c r="A1098" t="inlineStr">
        <is>
          <t>52C⁵</t>
        </is>
      </c>
      <c r="B1098" t="inlineStr"/>
      <c r="C1098" t="inlineStr">
        <is>
          <t>112</t>
        </is>
      </c>
      <c r="D1098" t="inlineStr">
        <is>
          <t>1</t>
        </is>
      </c>
      <c r="E1098" t="inlineStr">
        <is>
          <t>56</t>
        </is>
      </c>
      <c r="F1098" t="inlineStr">
        <is>
          <t>8</t>
        </is>
      </c>
      <c r="G1098" t="inlineStr">
        <is>
          <t>4</t>
        </is>
      </c>
      <c r="H1098" t="inlineStr">
        <is>
          <t>4², 52²</t>
        </is>
      </c>
      <c r="I1098" t="n">
        <v>4</v>
      </c>
      <c r="J1098" t="inlineStr">
        <is>
          <t>2⁴, 24²</t>
        </is>
      </c>
      <c r="K1098">
        <f>HYPERLINK("CSG0.html#group26A0", "26A⁰"), =HYPERLINK("CSG3.html#group52A3", "52A³")</f>
        <v/>
      </c>
      <c r="L1098">
        <f>HYPERLINK("CSG11.html#group52H11", "52H¹¹"), =HYPERLINK("CSG13.html#group52A13", "52A¹³"), =HYPERLINK("CSG13.html#group104C13", "104C¹³"), =HYPERLINK("CSG13.html#group104D13", "104D¹³"), =HYPERLINK("CSG13.html#group104E13", "104E¹³"), =HYPERLINK("CSG17.html#group52A17", "52A¹⁷"), =HYPERLINK("CSG19.html#group156F19", "156F¹⁹"), =HYPERLINK("CSG21.html#group52D21", "52D²¹"), =HYPERLINK("CSG21.html#group156A21", "156A²¹")</f>
        <v/>
      </c>
      <c r="M1098">
        <f>HYPERLINK("CSG0.html#group13A0", "13A⁰"), =HYPERLINK("CSG0.html#group26A0", "26A⁰"), =HYPERLINK("CSG3.html#group52A3", "52A³"), =HYPERLINK("CSG0.html#group1A0", "1A⁰"), =HYPERLINK("CSG0.html#group4A0", "4A⁰")</f>
        <v/>
      </c>
      <c r="N1098">
        <f>HYPERLINK("CSG11.html#group52H11", "52H¹¹"), =HYPERLINK("CSG21.html#group52D21", "52D²¹"), =HYPERLINK("CSG17.html#group52A17", "52A¹⁷"), =HYPERLINK("CSG21.html#group156A21", "156A²¹"), =HYPERLINK("CSG13.html#group104D13", "104D¹³"), =HYPERLINK("CSG13.html#group104C13", "104C¹³"), =HYPERLINK("CSG13.html#group52A13", "52A¹³"), =HYPERLINK("CSG19.html#group156F19", "156F¹⁹"), =HYPERLINK("CSG13.html#group104E13", "104E¹³")</f>
        <v/>
      </c>
    </row>
    <row r="1099">
      <c r="A1099" t="inlineStr">
        <is>
          <t>54A⁵</t>
        </is>
      </c>
      <c r="B1099" t="inlineStr"/>
      <c r="C1099" t="inlineStr">
        <is>
          <t>72</t>
        </is>
      </c>
      <c r="D1099" t="inlineStr">
        <is>
          <t>1</t>
        </is>
      </c>
      <c r="E1099" t="inlineStr">
        <is>
          <t>12</t>
        </is>
      </c>
      <c r="F1099" t="inlineStr">
        <is>
          <t>0</t>
        </is>
      </c>
      <c r="G1099" t="inlineStr">
        <is>
          <t>0</t>
        </is>
      </c>
      <c r="H1099" t="inlineStr">
        <is>
          <t>6³, 54¹</t>
        </is>
      </c>
      <c r="I1099" t="n">
        <v>4</v>
      </c>
      <c r="J1099" t="inlineStr">
        <is>
          <t>1², 2², 6¹</t>
        </is>
      </c>
      <c r="K1099">
        <f>HYPERLINK("CSG1.html#group18C1", "18C¹"), =HYPERLINK("CSG2.html#group27A2", "27A²")</f>
        <v/>
      </c>
      <c r="L1099">
        <f>HYPERLINK("CSG11.html#group108A11", "108A¹¹"), =HYPERLINK("CSG13.html#group54B13", "54B¹³"), =HYPERLINK("CSG13.html#group54C13", "54C¹³"), =HYPERLINK("CSG13.html#group54D13", "54D¹³"), =HYPERLINK("CSG13.html#group54E13", "54E¹³"), =HYPERLINK("CSG13.html#group54K13", "54K¹³"), =HYPERLINK("CSG13.html#group54M13", "54M¹³"), =HYPERLINK("CSG13.html#group54Q13", "54Q¹³"), =HYPERLINK("CSG21.html#group108A21", "108A²¹")</f>
        <v/>
      </c>
      <c r="M1099">
        <f>HYPERLINK("CSG0.html#group3B0", "3B⁰"), =HYPERLINK("CSG0.html#group9B0", "9B⁰"), =HYPERLINK("CSG0.html#group2A0", "2A⁰"), =HYPERLINK("CSG2.html#group27A2", "27A²"), =HYPERLINK("CSG0.html#group1A0", "1A⁰"), =HYPERLINK("CSG1.html#group18C1", "18C¹"), =HYPERLINK("CSG0.html#group6C0", "6C⁰")</f>
        <v/>
      </c>
      <c r="N1099">
        <f>HYPERLINK("CSG21.html#group108A21", "108A²¹"), =HYPERLINK("CSG13.html#group54D13", "54D¹³"), =HYPERLINK("CSG13.html#group54Q13", "54Q¹³"), =HYPERLINK("CSG13.html#group54K13", "54K¹³"), =HYPERLINK("CSG13.html#group54C13", "54C¹³"), =HYPERLINK("CSG11.html#group108A11", "108A¹¹"), =HYPERLINK("CSG13.html#group54B13", "54B¹³"), =HYPERLINK("CSG13.html#group54M13", "54M¹³"), =HYPERLINK("CSG13.html#group54E13", "54E¹³")</f>
        <v/>
      </c>
    </row>
    <row r="1100">
      <c r="A1100" t="inlineStr">
        <is>
          <t>54B⁵</t>
        </is>
      </c>
      <c r="B1100" t="inlineStr"/>
      <c r="C1100" t="inlineStr">
        <is>
          <t>72</t>
        </is>
      </c>
      <c r="D1100" t="inlineStr">
        <is>
          <t>1</t>
        </is>
      </c>
      <c r="E1100" t="inlineStr">
        <is>
          <t>24</t>
        </is>
      </c>
      <c r="F1100" t="inlineStr">
        <is>
          <t>0</t>
        </is>
      </c>
      <c r="G1100" t="inlineStr">
        <is>
          <t>0</t>
        </is>
      </c>
      <c r="H1100" t="inlineStr">
        <is>
          <t>6³, 54¹</t>
        </is>
      </c>
      <c r="I1100" t="n">
        <v>4</v>
      </c>
      <c r="J1100" t="inlineStr">
        <is>
          <t>2⁶, 6²</t>
        </is>
      </c>
      <c r="K1100">
        <f>HYPERLINK("CSG1.html#group18C1", "18C¹")</f>
        <v/>
      </c>
      <c r="L1100">
        <f>HYPERLINK("CSG11.html#group108B11", "108B¹¹"), =HYPERLINK("CSG13.html#group54B13", "54B¹³"), =HYPERLINK("CSG13.html#group54F13", "54F¹³"), =HYPERLINK("CSG13.html#group54G13", "54G¹³"), =HYPERLINK("CSG13.html#group54H13", "54H¹³"), =HYPERLINK("CSG13.html#group54I13", "54I¹³"), =HYPERLINK("CSG13.html#group54J13", "54J¹³"), =HYPERLINK("CSG13.html#group54L13", "54L¹³"), =HYPERLINK("CSG13.html#group54Q13", "54Q¹³"), =HYPERLINK("CSG13.html#group54R13", "54R¹³"), =HYPERLINK("CSG21.html#group108C21", "108C²¹")</f>
        <v/>
      </c>
      <c r="M1100">
        <f>HYPERLINK("CSG0.html#group3B0", "3B⁰"), =HYPERLINK("CSG0.html#group9B0", "9B⁰"), =HYPERLINK("CSG0.html#group2A0", "2A⁰"), =HYPERLINK("CSG0.html#group1A0", "1A⁰"), =HYPERLINK("CSG1.html#group18C1", "18C¹"), =HYPERLINK("CSG0.html#group6C0", "6C⁰")</f>
        <v/>
      </c>
      <c r="N1100">
        <f>HYPERLINK("CSG13.html#group54I13", "54I¹³"), =HYPERLINK("CSG21.html#group108C21", "108C²¹"), =HYPERLINK("CSG13.html#group54B13", "54B¹³"), =HYPERLINK("CSG13.html#group54G13", "54G¹³"), =HYPERLINK("CSG13.html#group54H13", "54H¹³"), =HYPERLINK("CSG13.html#group54L13", "54L¹³"), =HYPERLINK("CSG13.html#group54J13", "54J¹³"), =HYPERLINK("CSG13.html#group54R13", "54R¹³"), =HYPERLINK("CSG11.html#group108B11", "108B¹¹"), =HYPERLINK("CSG13.html#group54F13", "54F¹³"), =HYPERLINK("CSG13.html#group54Q13", "54Q¹³")</f>
        <v/>
      </c>
    </row>
    <row r="1101">
      <c r="A1101" t="inlineStr">
        <is>
          <t>54C⁵</t>
        </is>
      </c>
      <c r="B1101" t="inlineStr"/>
      <c r="C1101" t="inlineStr">
        <is>
          <t>72</t>
        </is>
      </c>
      <c r="D1101" t="inlineStr">
        <is>
          <t>1</t>
        </is>
      </c>
      <c r="E1101" t="inlineStr">
        <is>
          <t>24</t>
        </is>
      </c>
      <c r="F1101" t="inlineStr">
        <is>
          <t>0</t>
        </is>
      </c>
      <c r="G1101" t="inlineStr">
        <is>
          <t>3</t>
        </is>
      </c>
      <c r="H1101" t="inlineStr">
        <is>
          <t>18¹, 54¹</t>
        </is>
      </c>
      <c r="I1101" t="n">
        <v>2</v>
      </c>
      <c r="J1101" t="inlineStr">
        <is>
          <t>2⁶, 6²</t>
        </is>
      </c>
      <c r="K1101">
        <f>HYPERLINK("CSG0.html#group18B0", "18B⁰")</f>
        <v/>
      </c>
      <c r="L1101">
        <f>HYPERLINK("CSG10.html#group108C10", "108C¹⁰"), =HYPERLINK("CSG13.html#group54O13", "54O¹³"), =HYPERLINK("CSG13.html#group54P13", "54P¹³"), =HYPERLINK("CSG13.html#group54S13", "54S¹³"), =HYPERLINK("CSG16.html#group54D16", "54D¹⁶"), =HYPERLINK("CSG16.html#group54I16", "54I¹⁶"), =HYPERLINK("CSG16.html#group54J16", "54J¹⁶"), =HYPERLINK("CSG16.html#group54K16", "54K¹⁶"), =HYPERLINK("CSG16.html#group54L16", "54L¹⁶"), =HYPERLINK("CSG16.html#group54P16", "54P¹⁶"), =HYPERLINK("CSG22.html#group108A22", "108A²²")</f>
        <v/>
      </c>
      <c r="M1101">
        <f>HYPERLINK("CSG0.html#group3B0", "3B⁰"), =HYPERLINK("CSG0.html#group2A0", "2A⁰"), =HYPERLINK("CSG0.html#group9C0", "9C⁰"), =HYPERLINK("CSG0.html#group1A0", "1A⁰"), =HYPERLINK("CSG0.html#group18B0", "18B⁰"), =HYPERLINK("CSG0.html#group6C0", "6C⁰")</f>
        <v/>
      </c>
      <c r="N1101">
        <f>HYPERLINK("CSG16.html#group54J16", "54J¹⁶"), =HYPERLINK("CSG13.html#group54S13", "54S¹³"), =HYPERLINK("CSG16.html#group54I16", "54I¹⁶"), =HYPERLINK("CSG16.html#group54L16", "54L¹⁶"), =HYPERLINK("CSG16.html#group54D16", "54D¹⁶"), =HYPERLINK("CSG16.html#group54K16", "54K¹⁶"), =HYPERLINK("CSG13.html#group54P13", "54P¹³"), =HYPERLINK("CSG13.html#group54O13", "54O¹³"), =HYPERLINK("CSG22.html#group108A22", "108A²²"), =HYPERLINK("CSG10.html#group108C10", "108C¹⁰"), =HYPERLINK("CSG16.html#group54P16", "54P¹⁶")</f>
        <v/>
      </c>
    </row>
    <row r="1102">
      <c r="A1102" t="inlineStr">
        <is>
          <t>55A⁵</t>
        </is>
      </c>
      <c r="B1102" t="inlineStr"/>
      <c r="C1102" t="inlineStr">
        <is>
          <t>60</t>
        </is>
      </c>
      <c r="D1102" t="inlineStr">
        <is>
          <t>1</t>
        </is>
      </c>
      <c r="E1102" t="inlineStr">
        <is>
          <t>60</t>
        </is>
      </c>
      <c r="F1102" t="inlineStr">
        <is>
          <t>0</t>
        </is>
      </c>
      <c r="G1102" t="inlineStr">
        <is>
          <t>0</t>
        </is>
      </c>
      <c r="H1102" t="inlineStr">
        <is>
          <t>5¹, 55¹</t>
        </is>
      </c>
      <c r="I1102" t="n">
        <v>2</v>
      </c>
      <c r="J1102" t="inlineStr">
        <is>
          <t>1², 4², 10¹, 40¹</t>
        </is>
      </c>
      <c r="K1102">
        <f>HYPERLINK("CSG0.html#group5A0", "5A⁰"), =HYPERLINK("CSG1.html#group11A1", "11A¹")</f>
        <v/>
      </c>
      <c r="L1102">
        <f>HYPERLINK("CSG10.html#group110A10", "110A¹⁰"), =HYPERLINK("CSG13.html#group55A13", "55A¹³"), =HYPERLINK("CSG14.html#group110A14", "110A¹⁴"), =HYPERLINK("CSG15.html#group165A15", "165A¹⁵"), =HYPERLINK("CSG15.html#group165B15", "165B¹⁵"), =HYPERLINK("CSG17.html#group55A17", "55A¹⁷"), =HYPERLINK("CSG19.html#group165A19", "165A¹⁹"), =HYPERLINK("CSG20.html#group220B20", "220B²⁰"), =HYPERLINK("CSG21.html#group55A21", "55A²¹")</f>
        <v/>
      </c>
      <c r="M1102">
        <f>HYPERLINK("CSG0.html#group1A0", "1A⁰"), =HYPERLINK("CSG0.html#group5A0", "5A⁰"), =HYPERLINK("CSG1.html#group11A1", "11A¹")</f>
        <v/>
      </c>
      <c r="N1102">
        <f>HYPERLINK("CSG13.html#group55A13", "55A¹³"), =HYPERLINK("CSG17.html#group55A17", "55A¹⁷"), =HYPERLINK("CSG19.html#group165A19", "165A¹⁹"), =HYPERLINK("CSG10.html#group110A10", "110A¹⁰"), =HYPERLINK("CSG20.html#group220A20", "220A²⁰"), =HYPERLINK("CSG15.html#group165A15", "165A¹⁵"), =HYPERLINK("CSG14.html#group110A14", "110A¹⁴"), =HYPERLINK("CSG15.html#group165B15", "165B¹⁵"), =HYPERLINK("CSG21.html#group55A21", "55A²¹"), =HYPERLINK("CSG20.html#group220B20", "220B²⁰")</f>
        <v/>
      </c>
    </row>
    <row r="1103">
      <c r="A1103" t="inlineStr">
        <is>
          <t>55B⁵</t>
        </is>
      </c>
      <c r="B1103" t="inlineStr">
        <is>
          <t>Γ₀(55)</t>
        </is>
      </c>
      <c r="C1103" t="inlineStr">
        <is>
          <t>72</t>
        </is>
      </c>
      <c r="D1103" t="inlineStr">
        <is>
          <t>1</t>
        </is>
      </c>
      <c r="E1103" t="inlineStr">
        <is>
          <t>72</t>
        </is>
      </c>
      <c r="F1103" t="inlineStr">
        <is>
          <t>0</t>
        </is>
      </c>
      <c r="G1103" t="inlineStr">
        <is>
          <t>0</t>
        </is>
      </c>
      <c r="H1103" t="inlineStr">
        <is>
          <t>1¹, 5¹, 11¹, 55¹</t>
        </is>
      </c>
      <c r="I1103" t="n">
        <v>4</v>
      </c>
      <c r="J1103" t="inlineStr">
        <is>
          <t>1⁴, 4², 10², 40¹</t>
        </is>
      </c>
      <c r="K1103">
        <f>HYPERLINK("CSG0.html#group5B0", "5B⁰"), =HYPERLINK("CSG1.html#group11A1", "11A¹")</f>
        <v/>
      </c>
      <c r="L1103">
        <f>HYPERLINK("CSG9.html#group55B9", "55B⁹"), =HYPERLINK("CSG11.html#group110B11", "110B¹¹"), =HYPERLINK("CSG11.html#group110C11", "110C¹¹"), =HYPERLINK("CSG15.html#group110A15", "110A¹⁵"), =HYPERLINK("CSG17.html#group165A17", "165A¹⁷"), =HYPERLINK("CSG21.html#group55B21", "55B²¹"), =HYPERLINK("CSG21.html#group165B21", "165B²¹"), =HYPERLINK("CSG23.html#group220C23", "220C²³")</f>
        <v/>
      </c>
      <c r="M1103">
        <f>HYPERLINK("CSG0.html#group5B0", "5B⁰"), =HYPERLINK("CSG0.html#group1A0", "1A⁰"), =HYPERLINK("CSG1.html#group11A1", "11A¹")</f>
        <v/>
      </c>
      <c r="N1103">
        <f>HYPERLINK("CSG21.html#group110C21", "110C²¹"), =HYPERLINK("CSG23.html#group220D23", "220D²³"), =HYPERLINK("CSG23.html#group220C23", "220C²³"), =HYPERLINK("CSG17.html#group165A17", "165A¹⁷"), =HYPERLINK("CSG21.html#group55B21", "55B²¹"), =HYPERLINK("CSG23.html#group220B23", "220B²³"), =HYPERLINK("CSG11.html#group110C11", "110C¹¹"), =HYPERLINK("CSG17.html#group55B17", "55B¹⁷"), =HYPERLINK("CSG21.html#group165B21", "165B²¹"), =HYPERLINK("CSG9.html#group55B9", "55B⁹"), =HYPERLINK("CSG21.html#group110B21", "110B²¹"), =HYPERLINK("CSG11.html#group110B11", "110B¹¹"), =HYPERLINK("CSG15.html#group110A15", "110A¹⁵"), =HYPERLINK("CSG23.html#group220A23", "220A²³")</f>
        <v/>
      </c>
    </row>
    <row r="1104">
      <c r="A1104" t="inlineStr">
        <is>
          <t>56A⁵</t>
        </is>
      </c>
      <c r="B1104" t="inlineStr"/>
      <c r="C1104" t="inlineStr">
        <is>
          <t>84</t>
        </is>
      </c>
      <c r="D1104" t="inlineStr">
        <is>
          <t>2</t>
        </is>
      </c>
      <c r="E1104" t="inlineStr">
        <is>
          <t>21</t>
        </is>
      </c>
      <c r="F1104" t="inlineStr">
        <is>
          <t>8</t>
        </is>
      </c>
      <c r="G1104" t="inlineStr">
        <is>
          <t>0</t>
        </is>
      </c>
      <c r="H1104" t="inlineStr">
        <is>
          <t>28¹, 56¹</t>
        </is>
      </c>
      <c r="I1104" t="n">
        <v>2</v>
      </c>
      <c r="J1104" t="inlineStr">
        <is>
          <t>2³, 6⁶</t>
        </is>
      </c>
      <c r="K1104">
        <f>HYPERLINK("CSG2.html#group28C2", "28C²")</f>
        <v/>
      </c>
      <c r="L1104">
        <f>HYPERLINK("CSG9.html#group56B9", "56B⁹"), =HYPERLINK("CSG11.html#group56E11", "56E¹¹"), =HYPERLINK("CSG11.html#group56D11", "56D¹¹"), =HYPERLINK("CSG13.html#group56B13", "56B¹³"), =HYPERLINK("CSG13.html#group56C13", "56C¹³"), =HYPERLINK("CSG15.html#group168A15", "168A¹⁵"), =HYPERLINK("CSG17.html#group56B17", "56B¹⁷"), =HYPERLINK("CSG21.html#group56D21", "56D²¹")</f>
        <v/>
      </c>
      <c r="M1104">
        <f>HYPERLINK("CSG2.html#group28C2", "28C²"), =HYPERLINK("CSG0.html#group4C0", "4C⁰"), =HYPERLINK("CSG0.html#group2B0", "2B⁰"), =HYPERLINK("CSG1.html#group14B1", "14B¹"), =HYPERLINK("CSG0.html#group1A0", "1A⁰"), =HYPERLINK("CSG0.html#group7A0", "7A⁰")</f>
        <v/>
      </c>
      <c r="N1104">
        <f>HYPERLINK("CSG15.html#group168A15", "168A¹⁵"), =HYPERLINK("CSG21.html#group56J21", "56J²¹"), =HYPERLINK("CSG11.html#group56E11", "56E¹¹"), =HYPERLINK("CSG13.html#group56B13", "56B¹³"), =HYPERLINK("CSG13.html#group56C13", "56C¹³"), =HYPERLINK("CSG24.html#group56H24", "56H²⁴"), =HYPERLINK("CSG23.html#group112C23", "112C²³"), =HYPERLINK("CSG24.html#group112J24", "112J²⁴"), =HYPERLINK("CSG21.html#group56D21", "56D²¹"), =HYPERLINK("CSG24.html#group112I24", "112I²⁴"), =HYPERLINK("CSG11.html#group56D11", "56D¹¹"), =HYPERLINK("CSG19.html#group112A19", "112A¹⁹"), =HYPERLINK("CSG21.html#group56K21", "56K²¹"), =HYPERLINK("CSG17.html#group56B17", "56B¹⁷"), =HYPERLINK("CSG9.html#group56B9", "56B⁹"), =HYPERLINK("CSG24.html#group56I24", "56I²⁴"), =HYPERLINK("CSG23.html#group112L23", "112L²³")</f>
        <v/>
      </c>
    </row>
    <row r="1105">
      <c r="A1105" t="inlineStr">
        <is>
          <t>56B⁵</t>
        </is>
      </c>
      <c r="B1105" t="inlineStr"/>
      <c r="C1105" t="inlineStr">
        <is>
          <t>84</t>
        </is>
      </c>
      <c r="D1105" t="inlineStr">
        <is>
          <t>2</t>
        </is>
      </c>
      <c r="E1105" t="inlineStr">
        <is>
          <t>42</t>
        </is>
      </c>
      <c r="F1105" t="inlineStr">
        <is>
          <t>6</t>
        </is>
      </c>
      <c r="G1105" t="inlineStr">
        <is>
          <t>0</t>
        </is>
      </c>
      <c r="H1105" t="inlineStr">
        <is>
          <t>14², 56¹</t>
        </is>
      </c>
      <c r="I1105" t="n">
        <v>3</v>
      </c>
      <c r="J1105" t="inlineStr">
        <is>
          <t>2², 4², 6⁴, 12⁴</t>
        </is>
      </c>
      <c r="K1105">
        <f>HYPERLINK("CSG2.html#group28C2", "28C²")</f>
        <v/>
      </c>
      <c r="L1105">
        <f>HYPERLINK("CSG10.html#group56A10", "56A¹⁰"), =HYPERLINK("CSG10.html#group56B10", "56B¹⁰"), =HYPERLINK("CSG11.html#group56C11", "56C¹¹"), =HYPERLINK("CSG11.html#group56E11", "56E¹¹"), =HYPERLINK("CSG12.html#group56A12", "56A¹²"), =HYPERLINK("CSG12.html#group56E12", "56E¹²"), =HYPERLINK("CSG13.html#group56E13", "56E¹³"), =HYPERLINK("CSG15.html#group56H15", "56H¹⁵"), =HYPERLINK("CSG16.html#group168C16", "168C¹⁶"), =HYPERLINK("CSG21.html#group56G21", "56G²¹")</f>
        <v/>
      </c>
      <c r="M1105">
        <f>HYPERLINK("CSG2.html#group28C2", "28C²"), =HYPERLINK("CSG0.html#group4C0", "4C⁰"), =HYPERLINK("CSG0.html#group2B0", "2B⁰"), =HYPERLINK("CSG1.html#group14B1", "14B¹"), =HYPERLINK("CSG0.html#group1A0", "1A⁰"), =HYPERLINK("CSG0.html#group7A0", "7A⁰")</f>
        <v/>
      </c>
      <c r="N1105">
        <f>HYPERLINK("CSG24.html#group56F24", "56F²⁴"), =HYPERLINK("CSG16.html#group168C16", "168C¹⁶"), =HYPERLINK("CSG21.html#group56J21", "56J²¹"), =HYPERLINK("CSG22.html#group112A22", "112A²²"), =HYPERLINK("CSG12.html#group56A12", "56A¹²"), =HYPERLINK("CSG11.html#group56C11", "56C¹¹"), =HYPERLINK("CSG24.html#group112H24", "112H²⁴"), =HYPERLINK("CSG10.html#group56B10", "56B¹⁰"), =HYPERLINK("CSG21.html#group56G21", "56G²¹"), =HYPERLINK("CSG23.html#group56D23", "56D²³"), =HYPERLINK("CSG21.html#group112A21", "112A²¹"), =HYPERLINK("CSG22.html#group56G22", "56G²²"), =HYPERLINK("CSG10.html#group56A10", "56A¹⁰"), =HYPERLINK("CSG23.html#group56A23", "56A²³"), =HYPERLINK("CSG24.html#group112N24", "112N²⁴"), =HYPERLINK("CSG24.html#group112M24", "112M²⁴"), =HYPERLINK("CSG23.html#group112G23", "112G²³"), =HYPERLINK("CSG23.html#group112D23", "112D²³"), =HYPERLINK("CSG11.html#group56E11", "56E¹¹"), =HYPERLINK("CSG13.html#group56E13", "56E¹³"), =HYPERLINK("CSG24.html#group56H24", "56H²⁴"), =HYPERLINK("CSG12.html#group56E12", "56E¹²"), =HYPERLINK("CSG15.html#group56H15", "56H¹⁵"), =HYPERLINK("CSG24.html#group56I24", "56I²⁴"), =HYPERLINK("CSG22.html#group56F22", "56F²²")</f>
        <v/>
      </c>
    </row>
    <row r="1106">
      <c r="A1106" t="inlineStr">
        <is>
          <t>56C⁵</t>
        </is>
      </c>
      <c r="B1106" t="inlineStr"/>
      <c r="C1106" t="inlineStr">
        <is>
          <t>84</t>
        </is>
      </c>
      <c r="D1106" t="inlineStr">
        <is>
          <t>2</t>
        </is>
      </c>
      <c r="E1106" t="inlineStr">
        <is>
          <t>42</t>
        </is>
      </c>
      <c r="F1106" t="inlineStr">
        <is>
          <t>6</t>
        </is>
      </c>
      <c r="G1106" t="inlineStr">
        <is>
          <t>0</t>
        </is>
      </c>
      <c r="H1106" t="inlineStr">
        <is>
          <t>14², 56¹</t>
        </is>
      </c>
      <c r="I1106" t="n">
        <v>3</v>
      </c>
      <c r="J1106" t="inlineStr">
        <is>
          <t>2², 4², 6⁴, 12⁴</t>
        </is>
      </c>
      <c r="K1106">
        <f>HYPERLINK("CSG0.html#group8D0", "8D⁰"), =HYPERLINK("CSG2.html#group28C2", "28C²")</f>
        <v/>
      </c>
      <c r="L1106">
        <f>HYPERLINK("CSG10.html#group56A10", "56A¹⁰"), =HYPERLINK("CSG10.html#group56C10", "56C¹⁰"), =HYPERLINK("CSG11.html#group56C11", "56C¹¹"), =HYPERLINK("CSG11.html#group56D11", "56D¹¹"), =HYPERLINK("CSG11.html#group112C11", "112C¹¹"), =HYPERLINK("CSG11.html#group112D11", "112D¹¹"), =HYPERLINK("CSG12.html#group56B12", "56B¹²"), =HYPERLINK("CSG12.html#group56D12", "56D¹²"), =HYPERLINK("CSG12.html#group112F12", "112F¹²"), =HYPERLINK("CSG12.html#group112G12", "112G¹²"), =HYPERLINK("CSG13.html#group56F13", "56F¹³"), =HYPERLINK("CSG15.html#group56G15", "56G¹⁵"), =HYPERLINK("CSG16.html#group168D16", "168D¹⁶"), =HYPERLINK("CSG21.html#group56H21", "56H²¹")</f>
        <v/>
      </c>
      <c r="M1106">
        <f>HYPERLINK("CSG2.html#group28C2", "28C²"), =HYPERLINK("CSG0.html#group1A0", "1A⁰"), =HYPERLINK("CSG0.html#group2B0", "2B⁰"), =HYPERLINK("CSG0.html#group4C0", "4C⁰"), =HYPERLINK("CSG1.html#group14B1", "14B¹"), =HYPERLINK("CSG0.html#group8D0", "8D⁰"), =HYPERLINK("CSG0.html#group7A0", "7A⁰")</f>
        <v/>
      </c>
      <c r="N1106">
        <f>HYPERLINK("CSG24.html#group224C24", "224C²⁴"), =HYPERLINK("CSG22.html#group112A22", "112A²²"), =HYPERLINK("CSG21.html#group112B21", "112B²¹"), =HYPERLINK("CSG21.html#group56H21", "56H²¹"), =HYPERLINK("CSG24.html#group112H24", "112H²⁴"), =HYPERLINK("CSG11.html#group112D11", "112D¹¹"), =HYPERLINK("CSG23.html#group56J23", "56J²³"), =HYPERLINK("CSG24.html#group56D24", "56D²⁴"), =HYPERLINK("CSG23.html#group112K23", "112K²³"), =HYPERLINK("CSG23.html#group56D23", "56D²³"), =HYPERLINK("CSG24.html#group224F24", "224F²⁴"), =HYPERLINK("CSG10.html#group56A10", "56A¹⁰"), =HYPERLINK("CSG10.html#group56C10", "56C¹⁰"), =HYPERLINK("CSG23.html#group56N23", "56N²³"), =HYPERLINK("CSG15.html#group56G15", "56G¹⁵"), =HYPERLINK("CSG12.html#group112G12", "112G¹²"), =HYPERLINK("CSG11.html#group56D11", "56D¹¹"), =HYPERLINK("CSG13.html#group56F13", "56F¹³"), =HYPERLINK("CSG23.html#group112J23", "112J²³"), =HYPERLINK("CSG22.html#group56D22", "56D²²"), =HYPERLINK("CSG11.html#group112C11", "112C¹¹"), =HYPERLINK("CSG24.html#group112A24", "112A²⁴"), =HYPERLINK("CSG24.html#group112K24", "112K²⁴"), =HYPERLINK("CSG21.html#group56J21", "56J²¹"), =HYPERLINK("CSG11.html#group56C11", "56C¹¹"), =HYPERLINK("CSG24.html#group224E24", "224E²⁴"), =HYPERLINK("CSG24.html#group112L24", "112L²⁴"), =HYPERLINK("CSG24.html#group112J24", "112J²⁴"), =HYPERLINK("CSG12.html#group56B12", "56B¹²"), =HYPERLINK("CSG23.html#group112I23", "112I²³"), =HYPERLINK("CSG23.html#group56I23", "56I²³"), =HYPERLINK("CSG23.html#group112E23", "112E²³"), =HYPERLINK("CSG23.html#group56A23", "56A²³"), =HYPERLINK("CSG23.html#group112G23", "112G²³"), =HYPERLINK("CSG23.html#group112H23", "112H²³"), =HYPERLINK("CSG22.html#group56E22", "56E²²"), =HYPERLINK("CSG16.html#group168D16", "168D¹⁶"), =HYPERLINK("CSG23.html#group56M23", "56M²³"), =HYPERLINK("CSG12.html#group112F12", "112F¹²"), =HYPERLINK("CSG24.html#group112I24", "112I²⁴"), =HYPERLINK("CSG24.html#group56C24", "56C²⁴"), =HYPERLINK("CSG12.html#group56D12", "56D¹²"), =HYPERLINK("CSG24.html#group112B24", "112B²⁴"), =HYPERLINK("CSG24.html#group224D24", "224D²⁴")</f>
        <v/>
      </c>
    </row>
    <row r="1107">
      <c r="A1107" t="inlineStr">
        <is>
          <t>56D⁵</t>
        </is>
      </c>
      <c r="B1107" t="inlineStr">
        <is>
          <t>Γ₀(56)</t>
        </is>
      </c>
      <c r="C1107" t="inlineStr">
        <is>
          <t>96</t>
        </is>
      </c>
      <c r="D1107" t="inlineStr">
        <is>
          <t>1</t>
        </is>
      </c>
      <c r="E1107" t="inlineStr">
        <is>
          <t>48</t>
        </is>
      </c>
      <c r="F1107" t="inlineStr">
        <is>
          <t>0</t>
        </is>
      </c>
      <c r="G1107" t="inlineStr">
        <is>
          <t>0</t>
        </is>
      </c>
      <c r="H1107" t="inlineStr">
        <is>
          <t>1², 2¹, 7², 8¹, 14¹, 56¹</t>
        </is>
      </c>
      <c r="I1107" t="n">
        <v>8</v>
      </c>
      <c r="J1107" t="inlineStr">
        <is>
          <t>1⁸, 2², 6⁴, 12¹</t>
        </is>
      </c>
      <c r="K1107">
        <f>HYPERLINK("CSG0.html#group8C0", "8C⁰"), =HYPERLINK("CSG2.html#group28D2", "28D²")</f>
        <v/>
      </c>
      <c r="L1107">
        <f>HYPERLINK("CSG9.html#group56C9", "56C⁹"), =HYPERLINK("CSG11.html#group56M11", "56M¹¹"), =HYPERLINK("CSG11.html#group56N11", "56N¹¹"), =HYPERLINK("CSG11.html#group56O11", "56O¹¹"), =HYPERLINK("CSG11.html#group56P11", "56P¹¹"), =HYPERLINK("CSG11.html#group112G11", "112G¹¹"), =HYPERLINK("CSG11.html#group112H11", "112H¹¹"), =HYPERLINK("CSG11.html#group112I11", "112I¹¹"), =HYPERLINK("CSG11.html#group112J11", "112J¹¹"), =HYPERLINK("CSG13.html#group56O13", "56O¹³"), =HYPERLINK("CSG13.html#group112C13", "112C¹³"), =HYPERLINK("CSG13.html#group112D13", "112D¹³"), =HYPERLINK("CSG21.html#group168B21", "168B²¹"), =HYPERLINK("CSG21.html#group168D21", "168D²¹")</f>
        <v/>
      </c>
      <c r="M1107">
        <f>HYPERLINK("CSG0.html#group7B0", "7B⁰"), =HYPERLINK("CSG2.html#group28D2", "28D²"), =HYPERLINK("CSG1.html#group14C1", "14C¹"), =HYPERLINK("CSG0.html#group8C0", "8C⁰"), =HYPERLINK("CSG0.html#group2B0", "2B⁰"), =HYPERLINK("CSG0.html#group4B0", "4B⁰"), =HYPERLINK("CSG0.html#group1A0", "1A⁰")</f>
        <v/>
      </c>
      <c r="N1107">
        <f>HYPERLINK("CSG23.html#group112P23", "112P²³"), =HYPERLINK("CSG11.html#group112J11", "112J¹¹"), =HYPERLINK("CSG21.html#group56M21", "56M²¹"), =HYPERLINK("CSG23.html#group56U23", "56U²³"), =HYPERLINK("CSG23.html#group112O23", "112O²³"), =HYPERLINK("CSG13.html#group112D13", "112D¹³"), =HYPERLINK("CSG21.html#group112E21", "112E²¹"), =HYPERLINK("CSG13.html#group56O13", "56O¹³"), =HYPERLINK("CSG11.html#group56O11", "56O¹¹"), =HYPERLINK("CSG23.html#group112R23", "112R²³"), =HYPERLINK("CSG21.html#group168D21", "168D²¹"), =HYPERLINK("CSG9.html#group56C9", "56C⁹"), =HYPERLINK("CSG23.html#group224C23", "224C²³"), =HYPERLINK("CSG11.html#group112G11", "112G¹¹"), =HYPERLINK("CSG21.html#group168B21", "168B²¹"), =HYPERLINK("CSG11.html#group56M11", "56M¹¹"), =HYPERLINK("CSG23.html#group112T23", "112T²³"), =HYPERLINK("CSG21.html#group56L21", "56L²¹"), =HYPERLINK("CSG23.html#group112S23", "112S²³"), =HYPERLINK("CSG13.html#group112C13", "112C¹³"), =HYPERLINK("CSG23.html#group112U23", "112U²³"), =HYPERLINK("CSG23.html#group112Q23", "112Q²³"), =HYPERLINK("CSG21.html#group112F21", "112F²¹"), =HYPERLINK("CSG23.html#group56R23", "56R²³"), =HYPERLINK("CSG23.html#group224B23", "224B²³"), =HYPERLINK("CSG11.html#group56P11", "56P¹¹"), =HYPERLINK("CSG11.html#group56N11", "56N¹¹"), =HYPERLINK("CSG23.html#group56Q23", "56Q²³"), =HYPERLINK("CSG11.html#group112H11", "112H¹¹"), =HYPERLINK("CSG11.html#group112I11", "112I¹¹")</f>
        <v/>
      </c>
    </row>
    <row r="1108">
      <c r="A1108" t="inlineStr">
        <is>
          <t>57A⁵</t>
        </is>
      </c>
      <c r="B1108" t="inlineStr"/>
      <c r="C1108" t="inlineStr">
        <is>
          <t>60</t>
        </is>
      </c>
      <c r="D1108" t="inlineStr">
        <is>
          <t>1</t>
        </is>
      </c>
      <c r="E1108" t="inlineStr">
        <is>
          <t>20</t>
        </is>
      </c>
      <c r="F1108" t="inlineStr">
        <is>
          <t>0</t>
        </is>
      </c>
      <c r="G1108" t="inlineStr">
        <is>
          <t>0</t>
        </is>
      </c>
      <c r="H1108" t="inlineStr">
        <is>
          <t>3¹, 57¹</t>
        </is>
      </c>
      <c r="I1108" t="n">
        <v>2</v>
      </c>
      <c r="J1108" t="inlineStr">
        <is>
          <t>1², 18¹</t>
        </is>
      </c>
      <c r="K1108">
        <f>HYPERLINK("CSG0.html#group3A0", "3A⁰"), =HYPERLINK("CSG1.html#group19A1", "19A¹")</f>
        <v/>
      </c>
      <c r="L1108">
        <f>HYPERLINK("CSG9.html#group57A9", "57A⁹"), =HYPERLINK("CSG10.html#group114A10", "114A¹⁰"), =HYPERLINK("CSG10.html#group114B10", "114B¹⁰"), =HYPERLINK("CSG13.html#group57A13", "57A¹³"), =HYPERLINK("CSG14.html#group114A14", "114A¹⁴"), =HYPERLINK("CSG15.html#group171A15", "171A¹⁵"), =HYPERLINK("CSG20.html#group228C20", "228C²⁰")</f>
        <v/>
      </c>
      <c r="M1108">
        <f>HYPERLINK("CSG0.html#group3A0", "3A⁰"), =HYPERLINK("CSG1.html#group19A1", "19A¹"), =HYPERLINK("CSG0.html#group1A0", "1A⁰")</f>
        <v/>
      </c>
      <c r="N1108">
        <f>HYPERLINK("CSG19.html#group114A19", "114A¹⁹"), =HYPERLINK("CSG20.html#group228A20", "228A²⁰"), =HYPERLINK("CSG15.html#group171A15", "171A¹⁵"), =HYPERLINK("CSG9.html#group57A9", "57A⁹"), =HYPERLINK("CSG13.html#group57A13", "57A¹³"), =HYPERLINK("CSG10.html#group114A10", "114A¹⁰"), =HYPERLINK("CSG20.html#group228B20", "228B²⁰"), =HYPERLINK("CSG17.html#group57A17", "57A¹⁷"), =HYPERLINK("CSG14.html#group114A14", "114A¹⁴"), =HYPERLINK("CSG19.html#group114B19", "114B¹⁹"), =HYPERLINK("CSG10.html#group114B10", "114B¹⁰"), =HYPERLINK("CSG20.html#group228C20", "228C²⁰")</f>
        <v/>
      </c>
    </row>
    <row r="1109">
      <c r="A1109" t="inlineStr">
        <is>
          <t>57B⁵</t>
        </is>
      </c>
      <c r="B1109" t="inlineStr"/>
      <c r="C1109" t="inlineStr">
        <is>
          <t>60</t>
        </is>
      </c>
      <c r="D1109" t="inlineStr">
        <is>
          <t>2</t>
        </is>
      </c>
      <c r="E1109" t="inlineStr">
        <is>
          <t>20</t>
        </is>
      </c>
      <c r="F1109" t="inlineStr">
        <is>
          <t>0</t>
        </is>
      </c>
      <c r="G1109" t="inlineStr">
        <is>
          <t>0</t>
        </is>
      </c>
      <c r="H1109" t="inlineStr">
        <is>
          <t>3¹, 57¹</t>
        </is>
      </c>
      <c r="I1109" t="n">
        <v>2</v>
      </c>
      <c r="J1109" t="inlineStr">
        <is>
          <t>2², 36¹</t>
        </is>
      </c>
      <c r="K1109">
        <f>HYPERLINK("CSG1.html#group19A1", "19A¹")</f>
        <v/>
      </c>
      <c r="L1109">
        <f>HYPERLINK("CSG10.html#group114C10", "114C¹⁰"), =HYPERLINK("CSG13.html#group57A13", "57A¹³"), =HYPERLINK("CSG14.html#group114B14", "114B¹⁴"), =HYPERLINK("CSG17.html#group57B17", "57B¹⁷"), =HYPERLINK("CSG20.html#group228E20", "228E²⁰")</f>
        <v/>
      </c>
      <c r="M1109">
        <f>HYPERLINK("CSG1.html#group19A1", "19A¹"), =HYPERLINK("CSG0.html#group1A0", "1A⁰")</f>
        <v/>
      </c>
      <c r="N1109">
        <f>HYPERLINK("CSG20.html#group228D20", "228D²⁰"), =HYPERLINK("CSG17.html#group57B17", "57B¹⁷"), =HYPERLINK("CSG13.html#group57A13", "57A¹³"), =HYPERLINK("CSG20.html#group228E20", "228E²⁰"), =HYPERLINK("CSG14.html#group114B14", "114B¹⁴"), =HYPERLINK("CSG10.html#group114C10", "114C¹⁰")</f>
        <v/>
      </c>
    </row>
    <row r="1110">
      <c r="A1110" t="inlineStr">
        <is>
          <t>57C⁵</t>
        </is>
      </c>
      <c r="B1110" t="inlineStr">
        <is>
          <t>Γ₀(57)</t>
        </is>
      </c>
      <c r="C1110" t="inlineStr">
        <is>
          <t>80</t>
        </is>
      </c>
      <c r="D1110" t="inlineStr">
        <is>
          <t>1</t>
        </is>
      </c>
      <c r="E1110" t="inlineStr">
        <is>
          <t>80</t>
        </is>
      </c>
      <c r="F1110" t="inlineStr">
        <is>
          <t>0</t>
        </is>
      </c>
      <c r="G1110" t="inlineStr">
        <is>
          <t>2</t>
        </is>
      </c>
      <c r="H1110" t="inlineStr">
        <is>
          <t>1¹, 3¹, 19¹, 57¹</t>
        </is>
      </c>
      <c r="I1110" t="n">
        <v>4</v>
      </c>
      <c r="J1110" t="inlineStr">
        <is>
          <t>1⁴, 2², 18², 36¹</t>
        </is>
      </c>
      <c r="K1110">
        <f>HYPERLINK("CSG0.html#group3B0", "3B⁰"), =HYPERLINK("CSG1.html#group19A1", "19A¹")</f>
        <v/>
      </c>
      <c r="L1110">
        <f>HYPERLINK("CSG9.html#group57B9", "57B⁹"), =HYPERLINK("CSG11.html#group114A11", "114A¹¹"), =HYPERLINK("CSG11.html#group114B11", "114B¹¹"), =HYPERLINK("CSG13.html#group57B13", "57B¹³"), =HYPERLINK("CSG17.html#group57A17", "57A¹⁷"), =HYPERLINK("CSG17.html#group57B17", "57B¹⁷"), =HYPERLINK("CSG17.html#group114A17", "114A¹⁷"), =HYPERLINK("CSG17.html#group171A17", "171A¹⁷"), =HYPERLINK("CSG17.html#group171B17", "171B¹⁷"), =HYPERLINK("CSG17.html#group171C17", "171C¹⁷"), =HYPERLINK("CSG17.html#group171D17", "171D¹⁷"), =HYPERLINK("CSG19.html#group171A19", "171A¹⁹"), =HYPERLINK("CSG19.html#group171B19", "171B¹⁹")</f>
        <v/>
      </c>
      <c r="M1110">
        <f>HYPERLINK("CSG0.html#group3B0", "3B⁰"), =HYPERLINK("CSG0.html#group1A0", "1A⁰"), =HYPERLINK("CSG1.html#group19A1", "19A¹")</f>
        <v/>
      </c>
      <c r="N1110">
        <f>HYPERLINK("CSG17.html#group171D17", "171D¹⁷"), =HYPERLINK("CSG17.html#group57B17", "57B¹⁷"), =HYPERLINK("CSG23.html#group228B23", "228B²³"), =HYPERLINK("CSG17.html#group57A17", "57A¹⁷"), =HYPERLINK("CSG23.html#group228A23", "228A²³"), =HYPERLINK("CSG19.html#group171A19", "171A¹⁹"), =HYPERLINK("CSG17.html#group171A17", "171A¹⁷"), =HYPERLINK("CSG17.html#group171B17", "171B¹⁷"), =HYPERLINK("CSG17.html#group114A17", "114A¹⁷"), =HYPERLINK("CSG13.html#group57B13", "57B¹³"), =HYPERLINK("CSG17.html#group171C17", "171C¹⁷"), =HYPERLINK("CSG21.html#group114A21", "114A²¹"), =HYPERLINK("CSG11.html#group114A11", "114A¹¹"), =HYPERLINK("CSG9.html#group57B9", "57B⁹"), =HYPERLINK("CSG19.html#group171B19", "171B¹⁹"), =HYPERLINK("CSG11.html#group114B11", "114B¹¹")</f>
        <v/>
      </c>
    </row>
    <row r="1111">
      <c r="A1111" t="inlineStr">
        <is>
          <t>58A⁵</t>
        </is>
      </c>
      <c r="B1111" t="inlineStr"/>
      <c r="C1111" t="inlineStr">
        <is>
          <t>60</t>
        </is>
      </c>
      <c r="D1111" t="inlineStr">
        <is>
          <t>1</t>
        </is>
      </c>
      <c r="E1111" t="inlineStr">
        <is>
          <t>30</t>
        </is>
      </c>
      <c r="F1111" t="inlineStr">
        <is>
          <t>0</t>
        </is>
      </c>
      <c r="G1111" t="inlineStr">
        <is>
          <t>0</t>
        </is>
      </c>
      <c r="H1111" t="inlineStr">
        <is>
          <t>2¹, 58¹</t>
        </is>
      </c>
      <c r="I1111" t="n">
        <v>2</v>
      </c>
      <c r="J1111" t="inlineStr">
        <is>
          <t>1², 28¹</t>
        </is>
      </c>
      <c r="K1111">
        <f>HYPERLINK("CSG0.html#group2A0", "2A⁰"), =HYPERLINK("CSG2.html#group29A2", "29A²")</f>
        <v/>
      </c>
      <c r="L1111">
        <f>HYPERLINK("CSG9.html#group58A9", "58A⁹"), =HYPERLINK("CSG13.html#group58A13", "58A¹³"), =HYPERLINK("CSG15.html#group174A15", "174A¹⁵"), =HYPERLINK("CSG15.html#group174B15", "174B¹⁵"), =HYPERLINK("CSG19.html#group116C19", "116C¹⁹"), =HYPERLINK("CSG19.html#group174B19", "174B¹⁹")</f>
        <v/>
      </c>
      <c r="M1111">
        <f>HYPERLINK("CSG0.html#group2A0", "2A⁰"), =HYPERLINK("CSG0.html#group1A0", "1A⁰"), =HYPERLINK("CSG2.html#group29A2", "29A²")</f>
        <v/>
      </c>
      <c r="N1111">
        <f>HYPERLINK("CSG19.html#group116C19", "116C¹⁹"), =HYPERLINK("CSG9.html#group58A9", "58A⁹"), =HYPERLINK("CSG13.html#group58A13", "58A¹³"), =HYPERLINK("CSG15.html#group174A15", "174A¹⁵"), =HYPERLINK("CSG19.html#group174B19", "174B¹⁹"), =HYPERLINK("CSG15.html#group174B15", "174B¹⁵"), =HYPERLINK("CSG19.html#group116A19", "116A¹⁹")</f>
        <v/>
      </c>
    </row>
    <row r="1112">
      <c r="A1112" t="inlineStr">
        <is>
          <t>59A⁵</t>
        </is>
      </c>
      <c r="B1112" t="inlineStr">
        <is>
          <t>Γ₀(59)</t>
        </is>
      </c>
      <c r="C1112" t="inlineStr">
        <is>
          <t>60</t>
        </is>
      </c>
      <c r="D1112" t="inlineStr">
        <is>
          <t>1</t>
        </is>
      </c>
      <c r="E1112" t="inlineStr">
        <is>
          <t>60</t>
        </is>
      </c>
      <c r="F1112" t="inlineStr">
        <is>
          <t>0</t>
        </is>
      </c>
      <c r="G1112" t="inlineStr">
        <is>
          <t>0</t>
        </is>
      </c>
      <c r="H1112" t="inlineStr">
        <is>
          <t>1¹, 59¹</t>
        </is>
      </c>
      <c r="I1112" t="n">
        <v>2</v>
      </c>
      <c r="J1112" t="inlineStr">
        <is>
          <t>1², 58¹</t>
        </is>
      </c>
      <c r="K1112">
        <f>HYPERLINK("CSG0.html#group1A0", "1A⁰")</f>
        <v/>
      </c>
      <c r="L1112">
        <f>HYPERLINK("CSG10.html#group118A10", "118A¹⁰"), =HYPERLINK("CSG14.html#group118A14", "118A¹⁴"), =HYPERLINK("CSG15.html#group177A15", "177A¹⁵"), =HYPERLINK("CSG19.html#group177A19", "177A¹⁹"), =HYPERLINK("CSG20.html#group236B20", "236B²⁰")</f>
        <v/>
      </c>
      <c r="M1112">
        <f>HYPERLINK("CSG0.html#group1A0", "1A⁰")</f>
        <v/>
      </c>
      <c r="N1112">
        <f>HYPERLINK("CSG14.html#group118A14", "118A¹⁴"), =HYPERLINK("CSG20.html#group236B20", "236B²⁰"), =HYPERLINK("CSG20.html#group236A20", "236A²⁰"), =HYPERLINK("CSG19.html#group177A19", "177A¹⁹"), =HYPERLINK("CSG15.html#group177A15", "177A¹⁵"), =HYPERLINK("CSG10.html#group118A10", "118A¹⁰")</f>
        <v/>
      </c>
    </row>
    <row r="1113">
      <c r="A1113" t="inlineStr">
        <is>
          <t>60A⁵</t>
        </is>
      </c>
      <c r="B1113" t="inlineStr"/>
      <c r="C1113" t="inlineStr">
        <is>
          <t>108</t>
        </is>
      </c>
      <c r="D1113" t="inlineStr">
        <is>
          <t>1</t>
        </is>
      </c>
      <c r="E1113" t="inlineStr">
        <is>
          <t>18</t>
        </is>
      </c>
      <c r="F1113" t="inlineStr">
        <is>
          <t>12</t>
        </is>
      </c>
      <c r="G1113" t="inlineStr">
        <is>
          <t>0</t>
        </is>
      </c>
      <c r="H1113" t="inlineStr">
        <is>
          <t>6¹, 12¹, 30¹, 60¹</t>
        </is>
      </c>
      <c r="I1113" t="n">
        <v>4</v>
      </c>
      <c r="J1113" t="inlineStr">
        <is>
          <t>1⁶, 4³</t>
        </is>
      </c>
      <c r="K1113">
        <f>HYPERLINK("CSG0.html#group12C0", "12C⁰"), =HYPERLINK("CSG1.html#group20E1", "20E¹"), =HYPERLINK("CSG2.html#group30E2", "30E²")</f>
        <v/>
      </c>
      <c r="L1113">
        <f>HYPERLINK("CSG9.html#group60M9", "60M⁹"), =HYPERLINK("CSG11.html#group60Q11", "60Q¹¹"), =HYPERLINK("CSG11.html#group60S11", "60S¹¹"), =HYPERLINK("CSG11.html#group120A11", "120A¹¹"), =HYPERLINK("CSG11.html#group120B11", "120B¹¹"), =HYPERLINK("CSG13.html#group60O13", "60O¹³"), =HYPERLINK("CSG13.html#group60P13", "60P¹³"), =HYPERLINK("CSG13.html#group60X13", "60X¹³"), =HYPERLINK("CSG13.html#group60Y13", "60Y¹³"), =HYPERLINK("CSG13.html#group60Z13", "60Z¹³"), =HYPERLINK("CSG13.html#group60AA13", "60AA¹³"), =HYPERLINK("CSG13.html#group120E13", "120E¹³"), =HYPERLINK("CSG13.html#group120F13", "120F¹³"), =HYPERLINK("CSG13.html#group120G13", "120G¹³"), =HYPERLINK("CSG13.html#group120H13", "120H¹³"), =HYPERLINK("CSG13.html#group120I13", "120I¹³"), =HYPERLINK("CSG13.html#group120J13", "120J¹³"), =HYPERLINK("CSG15.html#group60A15", "60A¹⁵"), =HYPERLINK("CSG15.html#group60D15", "60D¹⁵"), =HYPERLINK("CSG15.html#group120G15", "120G¹⁵"), =HYPERLINK("CSG15.html#group120H15", "120H¹⁵"), =HYPERLINK("CSG17.html#group120A17", "120A¹⁷"), =HYPERLINK("CSG17.html#group120B17", "120B¹⁷"), =HYPERLINK("CSG21.html#group180I21", "180I²¹")</f>
        <v/>
      </c>
      <c r="M1113">
        <f>HYPERLINK("CSG1.html#group20E1", "20E¹"), =HYPERLINK("CSG0.html#group15B0", "15B⁰"), =HYPERLINK("CSG0.html#group12C0", "12C⁰"), =HYPERLINK("CSG2.html#group30E2", "30E²"), =HYPERLINK("CSG0.html#group4C0", "4C⁰"), =HYPERLINK("CSG0.html#group5B0", "5B⁰"), =HYPERLINK("CSG0.html#group10C0", "10C⁰"), =HYPERLINK("CSG0.html#group2B0", "2B⁰"), =HYPERLINK("CSG0.html#group3A0", "3A⁰"), =HYPERLINK("CSG0.html#group1A0", "1A⁰"), =HYPERLINK("CSG0.html#group6D0", "6D⁰")</f>
        <v/>
      </c>
      <c r="N1113">
        <f>HYPERLINK("CSG11.html#group120A11", "120A¹¹"), =HYPERLINK("CSG13.html#group120G13", "120G¹³"), =HYPERLINK("CSG21.html#group60X21", "60X²¹"), =HYPERLINK("CSG23.html#group60R23", "60R²³"), =HYPERLINK("CSG13.html#group60X13", "60X¹³"), =HYPERLINK("CSG11.html#group120B11", "120B¹¹"), =HYPERLINK("CSG15.html#group120H15", "120H¹⁵"), =HYPERLINK("CSG13.html#group120J13", "120J¹³"), =HYPERLINK("CSG13.html#group60Z13", "60Z¹³"), =HYPERLINK("CSG13.html#group60P13", "60P¹³"), =HYPERLINK("CSG23.html#group240A23", "240A²³"), =HYPERLINK("CSG17.html#group120B17", "120B¹⁷"), =HYPERLINK("CSG21.html#group120O21", "120O²¹"), =HYPERLINK("CSG23.html#group60N23", "60N²³"), =HYPERLINK("CSG13.html#group120E13", "120E¹³"), =HYPERLINK("CSG15.html#group60A15", "60A¹⁵"), =HYPERLINK("CSG15.html#group120G15", "120G¹⁵"), =HYPERLINK("CSG13.html#group60Y13", "60Y¹³"), =HYPERLINK("CSG13.html#group120I13", "120I¹³"), =HYPERLINK("CSG11.html#group60S11", "60S¹¹"), =HYPERLINK("CSG15.html#group60D15", "60D¹⁵"), =HYPERLINK("CSG13.html#group60AA13", "60AA¹³"), =HYPERLINK("CSG13.html#group120F13", "120F¹³"), =HYPERLINK("CSG9.html#group60M9", "60M⁹"), =HYPERLINK("CSG13.html#group60O13", "60O¹³"), =HYPERLINK("CSG11.html#group60Q11", "60Q¹¹"), =HYPERLINK("CSG17.html#group120A17", "120A¹⁷"), =HYPERLINK("CSG21.html#group180I21", "180I²¹"), =HYPERLINK("CSG13.html#group120H13", "120H¹³"), =HYPERLINK("CSG23.html#group240B23", "240B²³")</f>
        <v/>
      </c>
    </row>
    <row r="1114">
      <c r="A1114" t="inlineStr">
        <is>
          <t>60B⁵</t>
        </is>
      </c>
      <c r="B1114" t="inlineStr"/>
      <c r="C1114" t="inlineStr">
        <is>
          <t>108</t>
        </is>
      </c>
      <c r="D1114" t="inlineStr">
        <is>
          <t>1</t>
        </is>
      </c>
      <c r="E1114" t="inlineStr">
        <is>
          <t>54</t>
        </is>
      </c>
      <c r="F1114" t="inlineStr">
        <is>
          <t>8</t>
        </is>
      </c>
      <c r="G1114" t="inlineStr">
        <is>
          <t>0</t>
        </is>
      </c>
      <c r="H1114" t="inlineStr">
        <is>
          <t>3², 12¹, 15², 60¹</t>
        </is>
      </c>
      <c r="I1114" t="n">
        <v>6</v>
      </c>
      <c r="J1114" t="inlineStr">
        <is>
          <t>1⁶, 2⁶, 4³, 8³</t>
        </is>
      </c>
      <c r="K1114">
        <f>HYPERLINK("CSG0.html#group12D0", "12D⁰"), =HYPERLINK("CSG2.html#group30E2", "30E²")</f>
        <v/>
      </c>
      <c r="L1114">
        <f>HYPERLINK("CSG9.html#group60N9", "60N⁹"), =HYPERLINK("CSG11.html#group60N11", "60N¹¹"), =HYPERLINK("CSG11.html#group60P11", "60P¹¹"), =HYPERLINK("CSG11.html#group60S11", "60S¹¹"), =HYPERLINK("CSG11.html#group60U11", "60U¹¹"), =HYPERLINK("CSG13.html#group60S13", "60S¹³"), =HYPERLINK("CSG13.html#group60T13", "60T¹³"), =HYPERLINK("CSG13.html#group60AE13", "60AE¹³"), =HYPERLINK("CSG13.html#group60AF13", "60AF¹³"), =HYPERLINK("CSG15.html#group60I15", "60I¹⁵"), =HYPERLINK("CSG15.html#group60N15", "60N¹⁵"), =HYPERLINK("CSG21.html#group180J21", "180J²¹"), =HYPERLINK("CSG23.html#group180M23", "180M²³")</f>
        <v/>
      </c>
      <c r="M1114">
        <f>HYPERLINK("CSG0.html#group15B0", "15B⁰"), =HYPERLINK("CSG2.html#group30E2", "30E²"), =HYPERLINK("CSG0.html#group5B0", "5B⁰"), =HYPERLINK("CSG0.html#group10C0", "10C⁰"), =HYPERLINK("CSG0.html#group2B0", "2B⁰"), =HYPERLINK("CSG0.html#group12D0", "12D⁰"), =HYPERLINK("CSG0.html#group3A0", "3A⁰"), =HYPERLINK("CSG0.html#group1A0", "1A⁰"), =HYPERLINK("CSG0.html#group6D0", "6D⁰")</f>
        <v/>
      </c>
      <c r="N1114">
        <f>HYPERLINK("CSG11.html#group60U11", "60U¹¹"), =HYPERLINK("CSG21.html#group60X21", "60X²¹"), =HYPERLINK("CSG11.html#group60N11", "60N¹¹"), =HYPERLINK("CSG23.html#group120S23", "120S²³"), =HYPERLINK("CSG21.html#group60W21", "60W²¹"), =HYPERLINK("CSG23.html#group120R23", "120R²³"), =HYPERLINK("CSG15.html#group60N15", "60N¹⁵"), =HYPERLINK("CSG21.html#group180J21", "180J²¹"), =HYPERLINK("CSG9.html#group60N9", "60N⁹"), =HYPERLINK("CSG13.html#group60S13", "60S¹³"), =HYPERLINK("CSG23.html#group120Q23", "120Q²³"), =HYPERLINK("CSG11.html#group60S11", "60S¹¹"), =HYPERLINK("CSG15.html#group60I15", "60I¹⁵"), =HYPERLINK("CSG11.html#group60P11", "60P¹¹"), =HYPERLINK("CSG23.html#group180M23", "180M²³"), =HYPERLINK("CSG13.html#group60T13", "60T¹³"), =HYPERLINK("CSG13.html#group60AF13", "60AF¹³"), =HYPERLINK("CSG13.html#group60AE13", "60AE¹³")</f>
        <v/>
      </c>
    </row>
    <row r="1115">
      <c r="A1115" t="inlineStr">
        <is>
          <t>60C⁵</t>
        </is>
      </c>
      <c r="B1115" t="inlineStr"/>
      <c r="C1115" t="inlineStr">
        <is>
          <t>144</t>
        </is>
      </c>
      <c r="D1115" t="inlineStr">
        <is>
          <t>1</t>
        </is>
      </c>
      <c r="E1115" t="inlineStr">
        <is>
          <t>24</t>
        </is>
      </c>
      <c r="F1115" t="inlineStr">
        <is>
          <t>24</t>
        </is>
      </c>
      <c r="G1115" t="inlineStr">
        <is>
          <t>0</t>
        </is>
      </c>
      <c r="H1115" t="inlineStr">
        <is>
          <t>12², 60²</t>
        </is>
      </c>
      <c r="I1115" t="n">
        <v>4</v>
      </c>
      <c r="J1115" t="inlineStr">
        <is>
          <t>2⁴, 8²</t>
        </is>
      </c>
      <c r="K1115">
        <f>HYPERLINK("CSG0.html#group30A0", "30A⁰"), =HYPERLINK("CSG1.html#group20G1", "20G¹"), =HYPERLINK("CSG3.html#group60B3", "60B³")</f>
        <v/>
      </c>
      <c r="L1115">
        <f>HYPERLINK("CSG13.html#group60AK13", "60AK¹³"), =HYPERLINK("CSG15.html#group60AE15", "60AE¹⁵"), =HYPERLINK("CSG15.html#group60AG15", "60AG¹⁵"), =HYPERLINK("CSG17.html#group60W17", "60W¹⁷"), =HYPERLINK("CSG17.html#group120I17", "120I¹⁷"), =HYPERLINK("CSG17.html#group120J17", "120J¹⁷"), =HYPERLINK("CSG17.html#group120K17", "120K¹⁷"), =HYPERLINK("CSG17.html#group120L17", "120L¹⁷"), =HYPERLINK("CSG17.html#group120P17", "120P¹⁷"), =HYPERLINK("CSG17.html#group120Q17", "120Q¹⁷"), =HYPERLINK("CSG21.html#group60F21", "60F²¹")</f>
        <v/>
      </c>
      <c r="M1115">
        <f>HYPERLINK("CSG0.html#group30A0", "30A⁰"), =HYPERLINK("CSG0.html#group15B0", "15B⁰"), =HYPERLINK("CSG0.html#group12A0", "12A⁰"), =HYPERLINK("CSG0.html#group4A0", "4A⁰"), =HYPERLINK("CSG1.html#group20G1", "20G¹"), =HYPERLINK("CSG0.html#group5B0", "5B⁰"), =HYPERLINK("CSG3.html#group60B3", "60B³"), =HYPERLINK("CSG0.html#group3A0", "3A⁰"), =HYPERLINK("CSG0.html#group1A0", "1A⁰"), =HYPERLINK("CSG1.html#group20B1", "20B¹"), =HYPERLINK("CSG0.html#group10B0", "10B⁰")</f>
        <v/>
      </c>
      <c r="N1115">
        <f>HYPERLINK("CSG17.html#group60W17", "60W¹⁷"), =HYPERLINK("CSG17.html#group120L17", "120L¹⁷"), =HYPERLINK("CSG17.html#group120P17", "120P¹⁷"), =HYPERLINK("CSG15.html#group60AG15", "60AG¹⁵"), =HYPERLINK("CSG17.html#group120J17", "120J¹⁷"), =HYPERLINK("CSG21.html#group60F21", "60F²¹"), =HYPERLINK("CSG13.html#group60AK13", "60AK¹³"), =HYPERLINK("CSG17.html#group120I17", "120I¹⁷"), =HYPERLINK("CSG15.html#group60AE15", "60AE¹⁵"), =HYPERLINK("CSG17.html#group120K17", "120K¹⁷"), =HYPERLINK("CSG17.html#group120Q17", "120Q¹⁷")</f>
        <v/>
      </c>
    </row>
    <row r="1116">
      <c r="A1116" t="inlineStr">
        <is>
          <t>63A⁵</t>
        </is>
      </c>
      <c r="B1116" t="inlineStr">
        <is>
          <t>Γ₀(63)</t>
        </is>
      </c>
      <c r="C1116" t="inlineStr">
        <is>
          <t>96</t>
        </is>
      </c>
      <c r="D1116" t="inlineStr">
        <is>
          <t>1</t>
        </is>
      </c>
      <c r="E1116" t="inlineStr">
        <is>
          <t>32</t>
        </is>
      </c>
      <c r="F1116" t="inlineStr">
        <is>
          <t>0</t>
        </is>
      </c>
      <c r="G1116" t="inlineStr">
        <is>
          <t>0</t>
        </is>
      </c>
      <c r="H1116" t="inlineStr">
        <is>
          <t>1³, 7³, 9¹, 63¹</t>
        </is>
      </c>
      <c r="I1116" t="n">
        <v>8</v>
      </c>
      <c r="J1116" t="inlineStr">
        <is>
          <t>1⁴, 2², 6², 12¹</t>
        </is>
      </c>
      <c r="K1116">
        <f>HYPERLINK("CSG0.html#group9B0", "9B⁰"), =HYPERLINK("CSG1.html#group21B1", "21B¹")</f>
        <v/>
      </c>
      <c r="L1116">
        <f>HYPERLINK("CSG9.html#group63E9", "63E⁹"), =HYPERLINK("CSG13.html#group63E13", "63E¹³"), =HYPERLINK("CSG13.html#group126D13", "126D¹³"), =HYPERLINK("CSG13.html#group126E13", "126E¹³"), =HYPERLINK("CSG17.html#group63E17", "63E¹⁷"), =HYPERLINK("CSG17.html#group63F17", "63F¹⁷"), =HYPERLINK("CSG17.html#group63G17", "63G¹⁷"), =HYPERLINK("CSG17.html#group126J17", "126J¹⁷"), =HYPERLINK("CSG17.html#group189A17", "189A¹⁷"), =HYPERLINK("CSG17.html#group189B17", "189B¹⁷"), =HYPERLINK("CSG19.html#group63I19", "63I¹⁹"), =HYPERLINK("CSG19.html#group63N19", "63N¹⁹"), =HYPERLINK("CSG19.html#group189C19", "189C¹⁹"), =HYPERLINK("CSG19.html#group189E19", "189E¹⁹"), =HYPERLINK("CSG21.html#group189B21", "189B²¹"), =HYPERLINK("CSG21.html#group189D21", "189D²¹")</f>
        <v/>
      </c>
      <c r="M1116">
        <f>HYPERLINK("CSG0.html#group3B0", "3B⁰"), =HYPERLINK("CSG0.html#group9B0", "9B⁰"), =HYPERLINK("CSG1.html#group21B1", "21B¹"), =HYPERLINK("CSG0.html#group1A0", "1A⁰"), =HYPERLINK("CSG0.html#group7B0", "7B⁰")</f>
        <v/>
      </c>
      <c r="N1116">
        <f>HYPERLINK("CSG13.html#group63E13", "63E¹³"), =HYPERLINK("CSG17.html#group126J17", "126J¹⁷"), =HYPERLINK("CSG19.html#group63I19", "63I¹⁹"), =HYPERLINK("CSG9.html#group63E9", "63E⁹"), =HYPERLINK("CSG17.html#group63E17", "63E¹⁷"), =HYPERLINK("CSG21.html#group189B21", "189B²¹"), =HYPERLINK("CSG13.html#group126D13", "126D¹³"), =HYPERLINK("CSG13.html#group126E13", "126E¹³"), =HYPERLINK("CSG17.html#group63G17", "63G¹⁷"), =HYPERLINK("CSG17.html#group189B17", "189B¹⁷"), =HYPERLINK("CSG19.html#group189E19", "189E¹⁹"), =HYPERLINK("CSG17.html#group63F17", "63F¹⁷"), =HYPERLINK("CSG17.html#group189A17", "189A¹⁷"), =HYPERLINK("CSG19.html#group63N19", "63N¹⁹"), =HYPERLINK("CSG21.html#group189D21", "189D²¹"), =HYPERLINK("CSG19.html#group189C19", "189C¹⁹")</f>
        <v/>
      </c>
    </row>
    <row r="1117">
      <c r="A1117" t="inlineStr">
        <is>
          <t>63B⁵</t>
        </is>
      </c>
      <c r="B1117" t="inlineStr"/>
      <c r="C1117" t="inlineStr">
        <is>
          <t>96</t>
        </is>
      </c>
      <c r="D1117" t="inlineStr">
        <is>
          <t>1</t>
        </is>
      </c>
      <c r="E1117" t="inlineStr">
        <is>
          <t>32</t>
        </is>
      </c>
      <c r="F1117" t="inlineStr">
        <is>
          <t>0</t>
        </is>
      </c>
      <c r="G1117" t="inlineStr">
        <is>
          <t>6</t>
        </is>
      </c>
      <c r="H1117" t="inlineStr">
        <is>
          <t>3¹, 9¹, 21¹, 63¹</t>
        </is>
      </c>
      <c r="I1117" t="n">
        <v>4</v>
      </c>
      <c r="J1117" t="inlineStr">
        <is>
          <t>1⁴, 2², 6², 12¹</t>
        </is>
      </c>
      <c r="K1117">
        <f>HYPERLINK("CSG0.html#group9C0", "9C⁰"), =HYPERLINK("CSG1.html#group21B1", "21B¹")</f>
        <v/>
      </c>
      <c r="L1117">
        <f>HYPERLINK("CSG9.html#group63F9", "63F⁹"), =HYPERLINK("CSG11.html#group126B11", "126B¹¹"), =HYPERLINK("CSG11.html#group126C11", "126C¹¹"), =HYPERLINK("CSG16.html#group63F16", "63F¹⁶"), =HYPERLINK("CSG17.html#group63I17", "63I¹⁷"), =HYPERLINK("CSG17.html#group63J17", "63J¹⁷"), =HYPERLINK("CSG17.html#group63K17", "63K¹⁷"), =HYPERLINK("CSG19.html#group63G19", "63G¹⁹"), =HYPERLINK("CSG19.html#group63I19", "63I¹⁹"), =HYPERLINK("CSG19.html#group189D19", "189D¹⁹"), =HYPERLINK("CSG20.html#group189C20", "189C²⁰"), =HYPERLINK("CSG21.html#group126J21", "126J²¹"), =HYPERLINK("CSG21.html#group189C21", "189C²¹"), =HYPERLINK("CSG21.html#group189E21", "189E²¹"), =HYPERLINK("CSG22.html#group189A22", "189A²²"), =HYPERLINK("CSG23.html#group189A23", "189A²³")</f>
        <v/>
      </c>
      <c r="M1117">
        <f>HYPERLINK("CSG0.html#group9C0", "9C⁰"), =HYPERLINK("CSG0.html#group3B0", "3B⁰"), =HYPERLINK("CSG1.html#group21B1", "21B¹"), =HYPERLINK("CSG0.html#group1A0", "1A⁰"), =HYPERLINK("CSG0.html#group7B0", "7B⁰")</f>
        <v/>
      </c>
      <c r="N1117">
        <f>HYPERLINK("CSG23.html#group252B23", "252B²³"), =HYPERLINK("CSG9.html#group63F9", "63F⁹"), =HYPERLINK("CSG19.html#group63I19", "63I¹⁹"), =HYPERLINK("CSG21.html#group126J21", "126J²¹"), =HYPERLINK("CSG21.html#group189C21", "189C²¹"), =HYPERLINK("CSG21.html#group189E21", "189E²¹"), =HYPERLINK("CSG17.html#group63I17", "63I¹⁷"), =HYPERLINK("CSG16.html#group63F16", "63F¹⁶"), =HYPERLINK("CSG23.html#group252A23", "252A²³"), =HYPERLINK("CSG21.html#group126S21", "126S²¹"), =HYPERLINK("CSG20.html#group189C20", "189C²⁰"), =HYPERLINK("CSG19.html#group189D19", "189D¹⁹"), =HYPERLINK("CSG17.html#group63J17", "63J¹⁷"), =HYPERLINK("CSG23.html#group189A23", "189A²³"), =HYPERLINK("CSG11.html#group126B11", "126B¹¹"), =HYPERLINK("CSG17.html#group63K17", "63K¹⁷"), =HYPERLINK("CSG22.html#group189A22", "189A²²"), =HYPERLINK("CSG11.html#group126C11", "126C¹¹"), =HYPERLINK("CSG19.html#group63G19", "63G¹⁹")</f>
        <v/>
      </c>
    </row>
    <row r="1118">
      <c r="A1118" t="inlineStr">
        <is>
          <t>64A⁵</t>
        </is>
      </c>
      <c r="B1118" t="inlineStr"/>
      <c r="C1118" t="inlineStr">
        <is>
          <t>96</t>
        </is>
      </c>
      <c r="D1118" t="inlineStr">
        <is>
          <t>1</t>
        </is>
      </c>
      <c r="E1118" t="inlineStr">
        <is>
          <t>12</t>
        </is>
      </c>
      <c r="F1118" t="inlineStr">
        <is>
          <t>0</t>
        </is>
      </c>
      <c r="G1118" t="inlineStr">
        <is>
          <t>0</t>
        </is>
      </c>
      <c r="H1118" t="inlineStr">
        <is>
          <t>2⁴, 4², 16¹, 64¹</t>
        </is>
      </c>
      <c r="I1118" t="n">
        <v>8</v>
      </c>
      <c r="J1118" t="inlineStr">
        <is>
          <t>1⁴, 2², 4¹</t>
        </is>
      </c>
      <c r="K1118">
        <f>HYPERLINK("CSG1.html#group32A1", "32A¹")</f>
        <v/>
      </c>
      <c r="L1118">
        <f>HYPERLINK("CSG9.html#group64A9", "64A⁹"), =HYPERLINK("CSG9.html#group64B9", "64B⁹"), =HYPERLINK("CSG9.html#group64E9", "64E⁹"), =HYPERLINK("CSG13.html#group128A13", "128A¹³"), =HYPERLINK("CSG13.html#group128B13", "128B¹³"), =HYPERLINK("CSG21.html#group192A21", "192A²¹")</f>
        <v/>
      </c>
      <c r="M1118">
        <f>HYPERLINK("CSG0.html#group8C0", "8C⁰"), =HYPERLINK("CSG0.html#group2B0", "2B⁰"), =HYPERLINK("CSG1.html#group32A1", "32A¹"), =HYPERLINK("CSG0.html#group4B0", "4B⁰"), =HYPERLINK("CSG0.html#group1A0", "1A⁰"), =HYPERLINK("CSG0.html#group16C0", "16C⁰")</f>
        <v/>
      </c>
      <c r="N1118">
        <f>HYPERLINK("CSG9.html#group64E9", "64E⁹"), =HYPERLINK("CSG17.html#group64A17", "64A¹⁷"), =HYPERLINK("CSG21.html#group128C21", "128C²¹"), =HYPERLINK("CSG21.html#group64F21", "64F²¹"), =HYPERLINK("CSG21.html#group64A21", "64A²¹"), =HYPERLINK("CSG13.html#group128B13", "128B¹³"), =HYPERLINK("CSG21.html#group128D21", "128D²¹"), =HYPERLINK("CSG9.html#group64A9", "64A⁹"), =HYPERLINK("CSG21.html#group192A21", "192A²¹"), =HYPERLINK("CSG17.html#group64B17", "64B¹⁷"), =HYPERLINK("CSG21.html#group64K21", "64K²¹"), =HYPERLINK("CSG21.html#group128B21", "128B²¹"), =HYPERLINK("CSG9.html#group64B9", "64B⁹"), =HYPERLINK("CSG13.html#group128A13", "128A¹³")</f>
        <v/>
      </c>
    </row>
    <row r="1119">
      <c r="A1119" t="inlineStr">
        <is>
          <t>64B⁵</t>
        </is>
      </c>
      <c r="B1119" t="inlineStr"/>
      <c r="C1119" t="inlineStr">
        <is>
          <t>96</t>
        </is>
      </c>
      <c r="D1119" t="inlineStr">
        <is>
          <t>1</t>
        </is>
      </c>
      <c r="E1119" t="inlineStr">
        <is>
          <t>12</t>
        </is>
      </c>
      <c r="F1119" t="inlineStr">
        <is>
          <t>0</t>
        </is>
      </c>
      <c r="G1119" t="inlineStr">
        <is>
          <t>0</t>
        </is>
      </c>
      <c r="H1119" t="inlineStr">
        <is>
          <t>2⁴, 4², 16¹, 64¹</t>
        </is>
      </c>
      <c r="I1119" t="n">
        <v>8</v>
      </c>
      <c r="J1119" t="inlineStr">
        <is>
          <t>1⁴, 2², 4¹</t>
        </is>
      </c>
      <c r="K1119">
        <f>HYPERLINK("CSG1.html#group32A1", "32A¹")</f>
        <v/>
      </c>
      <c r="L1119">
        <f>HYPERLINK("CSG9.html#group64A9", "64A⁹"), =HYPERLINK("CSG9.html#group64C9", "64C⁹"), =HYPERLINK("CSG9.html#group64D9", "64D⁹"), =HYPERLINK("CSG13.html#group128C13", "128C¹³"), =HYPERLINK("CSG13.html#group128D13", "128D¹³"), =HYPERLINK("CSG21.html#group192B21", "192B²¹")</f>
        <v/>
      </c>
      <c r="M1119">
        <f>HYPERLINK("CSG0.html#group8C0", "8C⁰"), =HYPERLINK("CSG0.html#group2B0", "2B⁰"), =HYPERLINK("CSG1.html#group32A1", "32A¹"), =HYPERLINK("CSG0.html#group4B0", "4B⁰"), =HYPERLINK("CSG0.html#group1A0", "1A⁰"), =HYPERLINK("CSG0.html#group16C0", "16C⁰")</f>
        <v/>
      </c>
      <c r="N1119">
        <f>HYPERLINK("CSG9.html#group64C9", "64C⁹"), =HYPERLINK("CSG9.html#group64D9", "64D⁹"), =HYPERLINK("CSG21.html#group128E21", "128E²¹"), =HYPERLINK("CSG17.html#group64A17", "64A¹⁷"), =HYPERLINK("CSG21.html#group64F21", "64F²¹"), =HYPERLINK("CSG21.html#group128F21", "128F²¹"), =HYPERLINK("CSG13.html#group128C13", "128C¹³"), =HYPERLINK("CSG9.html#group64A9", "64A⁹"), =HYPERLINK("CSG21.html#group192B21", "192B²¹"), =HYPERLINK("CSG21.html#group64J21", "64J²¹"), =HYPERLINK("CSG17.html#group64B17", "64B¹⁷"), =HYPERLINK("CSG21.html#group64B21", "64B²¹"), =HYPERLINK("CSG13.html#group128D13", "128D¹³")</f>
        <v/>
      </c>
    </row>
    <row r="1120">
      <c r="A1120" t="inlineStr">
        <is>
          <t>64C⁵</t>
        </is>
      </c>
      <c r="B1120" t="inlineStr"/>
      <c r="C1120" t="inlineStr">
        <is>
          <t>192</t>
        </is>
      </c>
      <c r="D1120" t="inlineStr">
        <is>
          <t>1</t>
        </is>
      </c>
      <c r="E1120" t="inlineStr">
        <is>
          <t>12</t>
        </is>
      </c>
      <c r="F1120" t="inlineStr">
        <is>
          <t>0</t>
        </is>
      </c>
      <c r="G1120" t="inlineStr">
        <is>
          <t>0</t>
        </is>
      </c>
      <c r="H1120" t="inlineStr">
        <is>
          <t>1¹⁶, 4⁴, 16², 64²</t>
        </is>
      </c>
      <c r="I1120" t="n">
        <v>24</v>
      </c>
      <c r="J1120" t="inlineStr">
        <is>
          <t>1⁴, 2², 4¹</t>
        </is>
      </c>
      <c r="K1120">
        <f>HYPERLINK("CSG1.html#group32E1", "32E¹"), =HYPERLINK("CSG3.html#group64A3", "64A³"), =HYPERLINK("CSG3.html#group64B3", "64B³")</f>
        <v/>
      </c>
      <c r="L1120">
        <f>HYPERLINK("CSG13.html#group64W13", "64W¹³"), =HYPERLINK("CSG13.html#group128E13", "128E¹³"), =HYPERLINK("CSG17.html#group64A17", "64A¹⁷"), =HYPERLINK("CSG17.html#group128A17", "128A¹⁷"), =HYPERLINK("CSG21.html#group128A21", "128A²¹")</f>
        <v/>
      </c>
      <c r="M1120">
        <f>HYPERLINK("CSG1.html#group32A1", "32A¹"), =HYPERLINK("CSG0.html#group4B0", "4B⁰"), =HYPERLINK("CSG0.html#group16C0", "16C⁰"), =HYPERLINK("CSG0.html#group16D0", "16D⁰"), =HYPERLINK("CSG0.html#group32A0", "32A⁰"), =HYPERLINK("CSG3.html#group64B3", "64B³"), =HYPERLINK("CSG0.html#group1A0", "1A⁰"), =HYPERLINK("CSG0.html#group8C0", "8C⁰"), =HYPERLINK("CSG0.html#group2B0", "2B⁰"), =HYPERLINK("CSG0.html#group8I0", "8I⁰"), =HYPERLINK("CSG3.html#group64A3", "64A³"), =HYPERLINK("CSG1.html#group32E1", "32E¹"), =HYPERLINK("CSG0.html#group16H0", "16H⁰")</f>
        <v/>
      </c>
      <c r="N1120">
        <f>HYPERLINK("CSG21.html#group128A21", "128A²¹"), =HYPERLINK("CSG17.html#group128A17", "128A¹⁷"), =HYPERLINK("CSG17.html#group64A17", "64A¹⁷"), =HYPERLINK("CSG13.html#group128E13", "128E¹³"), =HYPERLINK("CSG13.html#group64W13", "64W¹³")</f>
        <v/>
      </c>
    </row>
    <row r="1121">
      <c r="A1121" t="inlineStr">
        <is>
          <t>64D⁵</t>
        </is>
      </c>
      <c r="B1121" t="inlineStr"/>
      <c r="C1121" t="inlineStr">
        <is>
          <t>192</t>
        </is>
      </c>
      <c r="D1121" t="inlineStr">
        <is>
          <t>1</t>
        </is>
      </c>
      <c r="E1121" t="inlineStr">
        <is>
          <t>24</t>
        </is>
      </c>
      <c r="F1121" t="inlineStr">
        <is>
          <t>0</t>
        </is>
      </c>
      <c r="G1121" t="inlineStr">
        <is>
          <t>0</t>
        </is>
      </c>
      <c r="H1121" t="inlineStr">
        <is>
          <t>1⁸, 2¹², 16², 64²</t>
        </is>
      </c>
      <c r="I1121" t="n">
        <v>24</v>
      </c>
      <c r="J1121" t="inlineStr">
        <is>
          <t>1⁴, 2², 4², 8¹</t>
        </is>
      </c>
      <c r="K1121">
        <f>HYPERLINK("CSG1.html#group32E1", "32E¹"), =HYPERLINK("CSG2.html#group64A2", "64A²")</f>
        <v/>
      </c>
      <c r="L1121">
        <f>HYPERLINK("CSG13.html#group64V13", "64V¹³"), =HYPERLINK("CSG13.html#group64W13", "64W¹³"), =HYPERLINK("CSG17.html#group64B17", "64B¹⁷"), =HYPERLINK("CSG17.html#group128B17", "128B¹⁷")</f>
        <v/>
      </c>
      <c r="M1121">
        <f>HYPERLINK("CSG1.html#group32A1", "32A¹"), =HYPERLINK("CSG0.html#group16C0", "16C⁰"), =HYPERLINK("CSG0.html#group16D0", "16D⁰"), =HYPERLINK("CSG0.html#group32A0", "32A⁰"), =HYPERLINK("CSG0.html#group1A0", "1A⁰"), =HYPERLINK("CSG0.html#group8C0", "8C⁰"), =HYPERLINK("CSG0.html#group2B0", "2B⁰"), =HYPERLINK("CSG0.html#group8I0", "8I⁰"), =HYPERLINK("CSG2.html#group64A2", "64A²"), =HYPERLINK("CSG0.html#group4B0", "4B⁰"), =HYPERLINK("CSG1.html#group32E1", "32E¹"), =HYPERLINK("CSG0.html#group16H0", "16H⁰")</f>
        <v/>
      </c>
      <c r="N1121">
        <f>HYPERLINK("CSG17.html#group128B17", "128B¹⁷"), =HYPERLINK("CSG17.html#group64B17", "64B¹⁷"), =HYPERLINK("CSG13.html#group64W13", "64W¹³"), =HYPERLINK("CSG13.html#group64V13", "64V¹³")</f>
        <v/>
      </c>
    </row>
    <row r="1122">
      <c r="A1122" t="inlineStr">
        <is>
          <t>65A⁵</t>
        </is>
      </c>
      <c r="B1122" t="inlineStr">
        <is>
          <t>Γ₀(65)</t>
        </is>
      </c>
      <c r="C1122" t="inlineStr">
        <is>
          <t>84</t>
        </is>
      </c>
      <c r="D1122" t="inlineStr">
        <is>
          <t>1</t>
        </is>
      </c>
      <c r="E1122" t="inlineStr">
        <is>
          <t>84</t>
        </is>
      </c>
      <c r="F1122" t="inlineStr">
        <is>
          <t>4</t>
        </is>
      </c>
      <c r="G1122" t="inlineStr">
        <is>
          <t>0</t>
        </is>
      </c>
      <c r="H1122" t="inlineStr">
        <is>
          <t>1¹, 5¹, 13¹, 65¹</t>
        </is>
      </c>
      <c r="I1122" t="n">
        <v>4</v>
      </c>
      <c r="J1122" t="inlineStr">
        <is>
          <t>1⁴, 4², 12², 48¹</t>
        </is>
      </c>
      <c r="K1122">
        <f>HYPERLINK("CSG0.html#group5B0", "5B⁰"), =HYPERLINK("CSG0.html#group13A0", "13A⁰")</f>
        <v/>
      </c>
      <c r="L1122">
        <f>HYPERLINK("CSG9.html#group65B9", "65B⁹"), =HYPERLINK("CSG11.html#group65A11", "65A¹¹"), =HYPERLINK("CSG11.html#group65B11", "65B¹¹"), =HYPERLINK("CSG11.html#group130A11", "130A¹¹"), =HYPERLINK("CSG11.html#group130B11", "130B¹¹"), =HYPERLINK("CSG13.html#group65A13", "65A¹³"), =HYPERLINK("CSG13.html#group130A13", "130A¹³"), =HYPERLINK("CSG13.html#group130B13", "130B¹³"), =HYPERLINK("CSG17.html#group130A17", "130A¹⁷"), =HYPERLINK("CSG17.html#group195A17", "195A¹⁷"), =HYPERLINK("CSG17.html#group195B17", "195B¹⁷")</f>
        <v/>
      </c>
      <c r="M1122">
        <f>HYPERLINK("CSG0.html#group5B0", "5B⁰"), =HYPERLINK("CSG0.html#group13A0", "13A⁰"), =HYPERLINK("CSG0.html#group1A0", "1A⁰")</f>
        <v/>
      </c>
      <c r="N1122">
        <f>HYPERLINK("CSG11.html#group65B11", "65B¹¹"), =HYPERLINK("CSG21.html#group65A21", "65A²¹"), =HYPERLINK("CSG17.html#group195A17", "195A¹⁷"), =HYPERLINK("CSG23.html#group130B23", "130B²³"), =HYPERLINK("CSG21.html#group130C21", "130C²¹"), =HYPERLINK("CSG13.html#group130B13", "130B¹³"), =HYPERLINK("CSG11.html#group130B11", "130B¹¹"), =HYPERLINK("CSG11.html#group130A11", "130A¹¹"), =HYPERLINK("CSG17.html#group195B17", "195B¹⁷"), =HYPERLINK("CSG11.html#group65A11", "65A¹¹"), =HYPERLINK("CSG23.html#group130A23", "130A²³"), =HYPERLINK("CSG13.html#group65A13", "65A¹³"), =HYPERLINK("CSG9.html#group65B9", "65B⁹"), =HYPERLINK("CSG17.html#group130A17", "130A¹⁷"), =HYPERLINK("CSG13.html#group130A13", "130A¹³"), =HYPERLINK("CSG19.html#group65C19", "65C¹⁹"), =HYPERLINK("CSG19.html#group65D19", "65D¹⁹")</f>
        <v/>
      </c>
    </row>
    <row r="1123">
      <c r="A1123" t="inlineStr">
        <is>
          <t>67A⁵</t>
        </is>
      </c>
      <c r="B1123" t="inlineStr">
        <is>
          <t>Γ₀(67)</t>
        </is>
      </c>
      <c r="C1123" t="inlineStr">
        <is>
          <t>68</t>
        </is>
      </c>
      <c r="D1123" t="inlineStr">
        <is>
          <t>1</t>
        </is>
      </c>
      <c r="E1123" t="inlineStr">
        <is>
          <t>68</t>
        </is>
      </c>
      <c r="F1123" t="inlineStr">
        <is>
          <t>0</t>
        </is>
      </c>
      <c r="G1123" t="inlineStr">
        <is>
          <t>2</t>
        </is>
      </c>
      <c r="H1123" t="inlineStr">
        <is>
          <t>1¹, 67¹</t>
        </is>
      </c>
      <c r="I1123" t="n">
        <v>2</v>
      </c>
      <c r="J1123" t="inlineStr">
        <is>
          <t>1², 66¹</t>
        </is>
      </c>
      <c r="K1123">
        <f>HYPERLINK("CSG0.html#group1A0", "1A⁰")</f>
        <v/>
      </c>
      <c r="L1123">
        <f>HYPERLINK("CSG10.html#group134A10", "134A¹⁰"), =HYPERLINK("CSG15.html#group67A15", "67A¹⁵"), =HYPERLINK("CSG16.html#group134A16", "134A¹⁶"), =HYPERLINK("CSG16.html#group201A16", "201A¹⁶"), =HYPERLINK("CSG17.html#group201A17", "201A¹⁷"), =HYPERLINK("CSG21.html#group201A21", "201A²¹"), =HYPERLINK("CSG22.html#group268A22", "268A²²")</f>
        <v/>
      </c>
      <c r="M1123">
        <f>HYPERLINK("CSG0.html#group1A0", "1A⁰")</f>
        <v/>
      </c>
      <c r="N1123">
        <f>HYPERLINK("CSG16.html#group134A16", "134A¹⁶"), =HYPERLINK("CSG15.html#group67A15", "67A¹⁵"), =HYPERLINK("CSG17.html#group201A17", "201A¹⁷"), =HYPERLINK("CSG16.html#group201A16", "201A¹⁶"), =HYPERLINK("CSG21.html#group201A21", "201A²¹"), =HYPERLINK("CSG20.html#group268A20", "268A²⁰"), =HYPERLINK("CSG10.html#group134A10", "134A¹⁰"), =HYPERLINK("CSG22.html#group268A22", "268A²²")</f>
        <v/>
      </c>
    </row>
    <row r="1124">
      <c r="A1124" t="inlineStr">
        <is>
          <t>68A⁵</t>
        </is>
      </c>
      <c r="B1124" t="inlineStr"/>
      <c r="C1124" t="inlineStr">
        <is>
          <t>72</t>
        </is>
      </c>
      <c r="D1124" t="inlineStr">
        <is>
          <t>1</t>
        </is>
      </c>
      <c r="E1124" t="inlineStr">
        <is>
          <t>72</t>
        </is>
      </c>
      <c r="F1124" t="inlineStr">
        <is>
          <t>4</t>
        </is>
      </c>
      <c r="G1124" t="inlineStr">
        <is>
          <t>0</t>
        </is>
      </c>
      <c r="H1124" t="inlineStr">
        <is>
          <t>4¹, 68¹</t>
        </is>
      </c>
      <c r="I1124" t="n">
        <v>2</v>
      </c>
      <c r="J1124" t="inlineStr">
        <is>
          <t>2⁴, 32²</t>
        </is>
      </c>
      <c r="K1124">
        <f>HYPERLINK("CSG0.html#group4A0", "4A⁰"), =HYPERLINK("CSG1.html#group17A1", "17A¹")</f>
        <v/>
      </c>
      <c r="L1124">
        <f>HYPERLINK("CSG9.html#group68A9", "68A⁹"), =HYPERLINK("CSG11.html#group68A11", "68A¹¹"), =HYPERLINK("CSG11.html#group68B11", "68B¹¹"), =HYPERLINK("CSG11.html#group136A11", "136A¹¹"), =HYPERLINK("CSG11.html#group136B11", "136B¹¹"), =HYPERLINK("CSG15.html#group68F15", "68F¹⁵"), =HYPERLINK("CSG15.html#group204A15", "204A¹⁵"), =HYPERLINK("CSG21.html#group136A21", "136A²¹"), =HYPERLINK("CSG23.html#group204C23", "204C²³")</f>
        <v/>
      </c>
      <c r="M1124">
        <f>HYPERLINK("CSG1.html#group17A1", "17A¹"), =HYPERLINK("CSG0.html#group1A0", "1A⁰"), =HYPERLINK("CSG0.html#group4A0", "4A⁰")</f>
        <v/>
      </c>
      <c r="N1124">
        <f>HYPERLINK("CSG17.html#group68A17", "68A¹⁷"), =HYPERLINK("CSG23.html#group204C23", "204C²³"), =HYPERLINK("CSG21.html#group136B21", "136B²¹"), =HYPERLINK("CSG21.html#group68A21", "68A²¹"), =HYPERLINK("CSG11.html#group136A11", "136A¹¹"), =HYPERLINK("CSG23.html#group136C23", "136C²³"), =HYPERLINK("CSG23.html#group272B23", "272B²³"), =HYPERLINK("CSG23.html#group136B23", "136B²³"), =HYPERLINK("CSG23.html#group272A23", "272A²³"), =HYPERLINK("CSG15.html#group68F15", "68F¹⁵"), =HYPERLINK("CSG21.html#group68B21", "68B²¹"), =HYPERLINK("CSG21.html#group136A21", "136A²¹"), =HYPERLINK("CSG11.html#group68A11", "68A¹¹"), =HYPERLINK("CSG11.html#group136B11", "136B¹¹"), =HYPERLINK("CSG15.html#group204A15", "204A¹⁵"), =HYPERLINK("CSG21.html#group136C21", "136C²¹"), =HYPERLINK("CSG23.html#group136A23", "136A²³"), =HYPERLINK("CSG9.html#group68A9", "68A⁹"), =HYPERLINK("CSG11.html#group68B11", "68B¹¹")</f>
        <v/>
      </c>
    </row>
    <row r="1125">
      <c r="A1125" t="inlineStr">
        <is>
          <t>70A⁵</t>
        </is>
      </c>
      <c r="B1125" t="inlineStr"/>
      <c r="C1125" t="inlineStr">
        <is>
          <t>70</t>
        </is>
      </c>
      <c r="D1125" t="inlineStr">
        <is>
          <t>2</t>
        </is>
      </c>
      <c r="E1125" t="inlineStr">
        <is>
          <t>35</t>
        </is>
      </c>
      <c r="F1125" t="inlineStr">
        <is>
          <t>0</t>
        </is>
      </c>
      <c r="G1125" t="inlineStr">
        <is>
          <t>4</t>
        </is>
      </c>
      <c r="H1125" t="inlineStr">
        <is>
          <t>70¹</t>
        </is>
      </c>
      <c r="I1125" t="n">
        <v>1</v>
      </c>
      <c r="J1125" t="inlineStr">
        <is>
          <t>2¹, 6², 8¹, 24²</t>
        </is>
      </c>
      <c r="K1125">
        <f>HYPERLINK("CSG0.html#group10A0", "10A⁰"), =HYPERLINK("CSG1.html#group14A1", "14A¹"), =HYPERLINK("CSG2.html#group35A2", "35A²")</f>
        <v/>
      </c>
      <c r="L1125">
        <f>HYPERLINK("CSG9.html#group70B9", "70B⁹"), =HYPERLINK("CSG15.html#group70B15", "70B¹⁵"), =HYPERLINK("CSG16.html#group210A16", "210A¹⁶"), =HYPERLINK("CSG16.html#group210B16", "210B¹⁶"), =HYPERLINK("CSG16.html#group210C16", "210C¹⁶"), =HYPERLINK("CSG17.html#group70A17", "70A¹⁷"), =HYPERLINK("CSG17.html#group70B17", "70B¹⁷"), =HYPERLINK("CSG17.html#group70C17", "70C¹⁷"), =HYPERLINK("CSG17.html#group210A17", "210A¹⁷"), =HYPERLINK("CSG17.html#group210B17", "210B¹⁷"), =HYPERLINK("CSG18.html#group210A18", "210A¹⁸"), =HYPERLINK("CSG21.html#group70A21", "70A²¹"), =HYPERLINK("CSG21.html#group70E21", "70E²¹"), =HYPERLINK("CSG22.html#group140A22", "140A²²"), =HYPERLINK("CSG22.html#group210B22", "210B²²")</f>
        <v/>
      </c>
      <c r="M1125">
        <f>HYPERLINK("CSG0.html#group2A0", "2A⁰"), =HYPERLINK("CSG0.html#group5A0", "5A⁰"), =HYPERLINK("CSG0.html#group10A0", "10A⁰"), =HYPERLINK("CSG1.html#group14A1", "14A¹"), =HYPERLINK("CSG0.html#group1A0", "1A⁰"), =HYPERLINK("CSG2.html#group35A2", "35A²"), =HYPERLINK("CSG0.html#group7A0", "7A⁰")</f>
        <v/>
      </c>
      <c r="N1125">
        <f>HYPERLINK("CSG17.html#group210B17", "210B¹⁷"), =HYPERLINK("CSG21.html#group70A21", "70A²¹"), =HYPERLINK("CSG16.html#group210C16", "210C¹⁶"), =HYPERLINK("CSG15.html#group70B15", "70B¹⁵"), =HYPERLINK("CSG22.html#group210B22", "210B²²"), =HYPERLINK("CSG16.html#group210A16", "210A¹⁶"), =HYPERLINK("CSG17.html#group70A17", "70A¹⁷"), =HYPERLINK("CSG18.html#group210A18", "210A¹⁸"), =HYPERLINK("CSG22.html#group140A22", "140A²²"), =HYPERLINK("CSG17.html#group210A17", "210A¹⁷"), =HYPERLINK("CSG17.html#group70C17", "70C¹⁷"), =HYPERLINK("CSG9.html#group70B9", "70B⁹"), =HYPERLINK("CSG17.html#group70B17", "70B¹⁷"), =HYPERLINK("CSG16.html#group210B16", "210B¹⁶"), =HYPERLINK("CSG21.html#group70E21", "70E²¹")</f>
        <v/>
      </c>
    </row>
    <row r="1126">
      <c r="A1126" t="inlineStr">
        <is>
          <t>70B⁵</t>
        </is>
      </c>
      <c r="B1126" t="inlineStr"/>
      <c r="C1126" t="inlineStr">
        <is>
          <t>84</t>
        </is>
      </c>
      <c r="D1126" t="inlineStr">
        <is>
          <t>2</t>
        </is>
      </c>
      <c r="E1126" t="inlineStr">
        <is>
          <t>42</t>
        </is>
      </c>
      <c r="F1126" t="inlineStr">
        <is>
          <t>8</t>
        </is>
      </c>
      <c r="G1126" t="inlineStr">
        <is>
          <t>0</t>
        </is>
      </c>
      <c r="H1126" t="inlineStr">
        <is>
          <t>14¹, 70¹</t>
        </is>
      </c>
      <c r="I1126" t="n">
        <v>2</v>
      </c>
      <c r="J1126" t="inlineStr">
        <is>
          <t>2², 6⁴, 8¹, 24²</t>
        </is>
      </c>
      <c r="K1126">
        <f>HYPERLINK("CSG0.html#group14A0", "14A⁰"), =HYPERLINK("CSG2.html#group35C2", "35C²")</f>
        <v/>
      </c>
      <c r="L1126">
        <f>HYPERLINK("CSG9.html#group70E9", "70E⁹"), =HYPERLINK("CSG13.html#group70B13", "70B¹³"), =HYPERLINK("CSG13.html#group70D13", "70D¹³"), =HYPERLINK("CSG15.html#group210C15", "210C¹⁵"), =HYPERLINK("CSG17.html#group70F17", "70F¹⁷"), =HYPERLINK("CSG17.html#group70G17", "70G¹⁷"), =HYPERLINK("CSG17.html#group70H17", "70H¹⁷"), =HYPERLINK("CSG21.html#group70I21", "70I²¹"), =HYPERLINK("CSG23.html#group140H23", "140H²³")</f>
        <v/>
      </c>
      <c r="M1126">
        <f>HYPERLINK("CSG2.html#group35C2", "35C²"), =HYPERLINK("CSG0.html#group5B0", "5B⁰"), =HYPERLINK("CSG0.html#group14A0", "14A⁰"), =HYPERLINK("CSG0.html#group1A0", "1A⁰"), =HYPERLINK("CSG0.html#group7A0", "7A⁰")</f>
        <v/>
      </c>
      <c r="N1126">
        <f>HYPERLINK("CSG13.html#group70B13", "70B¹³"), =HYPERLINK("CSG13.html#group70D13", "70D¹³"), =HYPERLINK("CSG21.html#group70I21", "70I²¹"), =HYPERLINK("CSG15.html#group210C15", "210C¹⁵"), =HYPERLINK("CSG17.html#group70G17", "70G¹⁷"), =HYPERLINK("CSG23.html#group140E23", "140E²³"), =HYPERLINK("CSG23.html#group140H23", "140H²³"), =HYPERLINK("CSG17.html#group70F17", "70F¹⁷"), =HYPERLINK("CSG17.html#group70H17", "70H¹⁷"), =HYPERLINK("CSG23.html#group140F23", "140F²³"), =HYPERLINK("CSG9.html#group70E9", "70E⁹")</f>
        <v/>
      </c>
    </row>
    <row r="1127">
      <c r="A1127" t="inlineStr">
        <is>
          <t>72A⁵</t>
        </is>
      </c>
      <c r="B1127" t="inlineStr"/>
      <c r="C1127" t="inlineStr">
        <is>
          <t>108</t>
        </is>
      </c>
      <c r="D1127" t="inlineStr">
        <is>
          <t>2</t>
        </is>
      </c>
      <c r="E1127" t="inlineStr">
        <is>
          <t>27</t>
        </is>
      </c>
      <c r="F1127" t="inlineStr">
        <is>
          <t>16</t>
        </is>
      </c>
      <c r="G1127" t="inlineStr">
        <is>
          <t>0</t>
        </is>
      </c>
      <c r="H1127" t="inlineStr">
        <is>
          <t>36¹, 72¹</t>
        </is>
      </c>
      <c r="I1127" t="n">
        <v>2</v>
      </c>
      <c r="J1127" t="inlineStr">
        <is>
          <t>2⁹, 6⁶</t>
        </is>
      </c>
      <c r="K1127">
        <f>HYPERLINK("CSG1.html#group24D1", "24D¹"), =HYPERLINK("CSG2.html#group36B2", "36B²")</f>
        <v/>
      </c>
      <c r="L1127">
        <f>HYPERLINK("CSG9.html#group72H9", "72H⁹"), =HYPERLINK("CSG11.html#group72M11", "72M¹¹"), =HYPERLINK("CSG11.html#group72R11", "72R¹¹"), =HYPERLINK("CSG13.html#group72M13", "72M¹³"), =HYPERLINK("CSG13.html#group72N13", "72N¹³"), =HYPERLINK("CSG13.html#group72O13", "72O¹³"), =HYPERLINK("CSG13.html#group72P13", "72P¹³"), =HYPERLINK("CSG15.html#group72N15", "72N¹⁵"), =HYPERLINK("CSG15.html#group72Q15", "72Q¹⁵"), =HYPERLINK("CSG17.html#group72J17", "72J¹⁷"), =HYPERLINK("CSG17.html#group72K17", "72K¹⁷"), =HYPERLINK("CSG19.html#group72W19", "72W¹⁹"), =HYPERLINK("CSG21.html#group72X21", "72X²¹")</f>
        <v/>
      </c>
      <c r="M1127">
        <f>HYPERLINK("CSG0.html#group12C0", "12C⁰"), =HYPERLINK("CSG0.html#group9A0", "9A⁰"), =HYPERLINK("CSG2.html#group36B2", "36B²"), =HYPERLINK("CSG1.html#group24D1", "24D¹"), =HYPERLINK("CSG0.html#group4C0", "4C⁰"), =HYPERLINK("CSG0.html#group2B0", "2B⁰"), =HYPERLINK("CSG1.html#group18E1", "18E¹"), =HYPERLINK("CSG0.html#group3A0", "3A⁰"), =HYPERLINK("CSG0.html#group1A0", "1A⁰"), =HYPERLINK("CSG0.html#group6D0", "6D⁰")</f>
        <v/>
      </c>
      <c r="N1127">
        <f>HYPERLINK("CSG21.html#group72AA21", "72AA²¹"), =HYPERLINK("CSG9.html#group72H9", "72H⁹"), =HYPERLINK("CSG19.html#group72W19", "72W¹⁹"), =HYPERLINK("CSG21.html#group72X21", "72X²¹"), =HYPERLINK("CSG15.html#group72N15", "72N¹⁵"), =HYPERLINK("CSG11.html#group72R11", "72R¹¹"), =HYPERLINK("CSG17.html#group72J17", "72J¹⁷"), =HYPERLINK("CSG13.html#group72P13", "72P¹³"), =HYPERLINK("CSG23.html#group144Y23", "144Y²³"), =HYPERLINK("CSG19.html#group144J19", "144J¹⁹"), =HYPERLINK("CSG17.html#group72K17", "72K¹⁷"), =HYPERLINK("CSG15.html#group72Q15", "72Q¹⁵"), =HYPERLINK("CSG11.html#group72M11", "72M¹¹"), =HYPERLINK("CSG13.html#group72M13", "72M¹³"), =HYPERLINK("CSG13.html#group72O13", "72O¹³"), =HYPERLINK("CSG13.html#group72N13", "72N¹³")</f>
        <v/>
      </c>
    </row>
    <row r="1128">
      <c r="A1128" t="inlineStr">
        <is>
          <t>72B⁵</t>
        </is>
      </c>
      <c r="B1128" t="inlineStr">
        <is>
          <t>Γ₀(72)</t>
        </is>
      </c>
      <c r="C1128" t="inlineStr">
        <is>
          <t>144</t>
        </is>
      </c>
      <c r="D1128" t="inlineStr">
        <is>
          <t>1</t>
        </is>
      </c>
      <c r="E1128" t="inlineStr">
        <is>
          <t>24</t>
        </is>
      </c>
      <c r="F1128" t="inlineStr">
        <is>
          <t>0</t>
        </is>
      </c>
      <c r="G1128" t="inlineStr">
        <is>
          <t>0</t>
        </is>
      </c>
      <c r="H1128" t="inlineStr">
        <is>
          <t>1⁶, 2³, 8³, 9², 18¹, 72¹</t>
        </is>
      </c>
      <c r="I1128" t="n">
        <v>16</v>
      </c>
      <c r="J1128" t="inlineStr">
        <is>
          <t>1⁸, 2⁶, 4¹</t>
        </is>
      </c>
      <c r="K1128">
        <f>HYPERLINK("CSG1.html#group24G1", "24G¹"), =HYPERLINK("CSG1.html#group36C1", "36C¹")</f>
        <v/>
      </c>
      <c r="L1128">
        <f>HYPERLINK("CSG9.html#group72I9", "72I⁹"), =HYPERLINK("CSG13.html#group72R13", "72R¹³"), =HYPERLINK("CSG13.html#group72S13", "72S¹³"), =HYPERLINK("CSG13.html#group72U13", "72U¹³"), =HYPERLINK("CSG13.html#group72T13", "72T¹³"), =HYPERLINK("CSG13.html#group144H13", "144H¹³"), =HYPERLINK("CSG13.html#group144G13", "144G¹³"), =HYPERLINK("CSG13.html#group144J13", "144J¹³"), =HYPERLINK("CSG13.html#group144I13", "144I¹³"), =HYPERLINK("CSG17.html#group144E17", "144E¹⁷"), =HYPERLINK("CSG17.html#group144D17", "144D¹⁷"), =HYPERLINK("CSG21.html#group72AC21", "72AC²¹"), =HYPERLINK("CSG21.html#group216B21", "216B²¹")</f>
        <v/>
      </c>
      <c r="M1128">
        <f>HYPERLINK("CSG0.html#group3B0", "3B⁰"), =HYPERLINK("CSG0.html#group18E0", "18E⁰"), =HYPERLINK("CSG1.html#group24G1", "24G¹"), =HYPERLINK("CSG0.html#group9B0", "9B⁰"), =HYPERLINK("CSG0.html#group1A0", "1A⁰"), =HYPERLINK("CSG0.html#group8C0", "8C⁰"), =HYPERLINK("CSG0.html#group2B0", "2B⁰"), =HYPERLINK("CSG1.html#group36C1", "36C¹"), =HYPERLINK("CSG0.html#group4B0", "4B⁰"), =HYPERLINK("CSG0.html#group6F0", "6F⁰"), =HYPERLINK("CSG0.html#group12E0", "12E⁰")</f>
        <v/>
      </c>
      <c r="N1128">
        <f>HYPERLINK("CSG13.html#group72S13", "72S¹³"), =HYPERLINK("CSG13.html#group144H13", "144H¹³"), =HYPERLINK("CSG21.html#group72AC21", "72AC²¹"), =HYPERLINK("CSG21.html#group216B21", "216B²¹"), =HYPERLINK("CSG17.html#group144D17", "144D¹⁷"), =HYPERLINK("CSG13.html#group144J13", "144J¹³"), =HYPERLINK("CSG13.html#group144G13", "144G¹³"), =HYPERLINK("CSG13.html#group72U13", "72U¹³"), =HYPERLINK("CSG13.html#group72R13", "72R¹³"), =HYPERLINK("CSG9.html#group72I9", "72I⁹"), =HYPERLINK("CSG13.html#group144I13", "144I¹³"), =HYPERLINK("CSG17.html#group144E17", "144E¹⁷"), =HYPERLINK("CSG13.html#group72T13", "72T¹³")</f>
        <v/>
      </c>
    </row>
    <row r="1129">
      <c r="A1129" t="inlineStr">
        <is>
          <t>73A⁵</t>
        </is>
      </c>
      <c r="B1129" t="inlineStr">
        <is>
          <t>Γ₀(73)</t>
        </is>
      </c>
      <c r="C1129" t="inlineStr">
        <is>
          <t>74</t>
        </is>
      </c>
      <c r="D1129" t="inlineStr">
        <is>
          <t>1</t>
        </is>
      </c>
      <c r="E1129" t="inlineStr">
        <is>
          <t>74</t>
        </is>
      </c>
      <c r="F1129" t="inlineStr">
        <is>
          <t>2</t>
        </is>
      </c>
      <c r="G1129" t="inlineStr">
        <is>
          <t>2</t>
        </is>
      </c>
      <c r="H1129" t="inlineStr">
        <is>
          <t>1¹, 73¹</t>
        </is>
      </c>
      <c r="I1129" t="n">
        <v>2</v>
      </c>
      <c r="J1129" t="inlineStr">
        <is>
          <t>1², 72¹</t>
        </is>
      </c>
      <c r="K1129">
        <f>HYPERLINK("CSG0.html#group1A0", "1A⁰")</f>
        <v/>
      </c>
      <c r="L1129">
        <f>HYPERLINK("CSG9.html#group73A9", "73A⁹"), =HYPERLINK("CSG11.html#group146A11", "146A¹¹"), =HYPERLINK("CSG11.html#group146B11", "146B¹¹"), =HYPERLINK("CSG13.html#group73A13", "73A¹³"), =HYPERLINK("CSG17.html#group146A17", "146A¹⁷"), =HYPERLINK("CSG17.html#group219A17", "219A¹⁷"), =HYPERLINK("CSG17.html#group219B17", "219B¹⁷"), =HYPERLINK("CSG23.html#group219A23", "219A²³"), =HYPERLINK("CSG23.html#group292A23", "292A²³")</f>
        <v/>
      </c>
      <c r="M1129">
        <f>HYPERLINK("CSG0.html#group1A0", "1A⁰")</f>
        <v/>
      </c>
      <c r="N1129">
        <f>HYPERLINK("CSG11.html#group146B11", "146B¹¹"), =HYPERLINK("CSG17.html#group146A17", "146A¹⁷"), =HYPERLINK("CSG17.html#group219A17", "219A¹⁷"), =HYPERLINK("CSG23.html#group292A23", "292A²³"), =HYPERLINK("CSG9.html#group73A9", "73A⁹"), =HYPERLINK("CSG21.html#group146A21", "146A²¹"), =HYPERLINK("CSG19.html#group146A19", "146A¹⁹"), =HYPERLINK("CSG17.html#group219B17", "219B¹⁷"), =HYPERLINK("CSG11.html#group146A11", "146A¹¹"), =HYPERLINK("CSG19.html#group73A19", "73A¹⁹"), =HYPERLINK("CSG23.html#group219A23", "219A²³"), =HYPERLINK("CSG13.html#group73A13", "73A¹³")</f>
        <v/>
      </c>
    </row>
    <row r="1130">
      <c r="A1130" t="inlineStr">
        <is>
          <t>74A⁵</t>
        </is>
      </c>
      <c r="B1130" t="inlineStr"/>
      <c r="C1130" t="inlineStr">
        <is>
          <t>76</t>
        </is>
      </c>
      <c r="D1130" t="inlineStr">
        <is>
          <t>1</t>
        </is>
      </c>
      <c r="E1130" t="inlineStr">
        <is>
          <t>38</t>
        </is>
      </c>
      <c r="F1130" t="inlineStr">
        <is>
          <t>0</t>
        </is>
      </c>
      <c r="G1130" t="inlineStr">
        <is>
          <t>4</t>
        </is>
      </c>
      <c r="H1130" t="inlineStr">
        <is>
          <t>2¹, 74¹</t>
        </is>
      </c>
      <c r="I1130" t="n">
        <v>2</v>
      </c>
      <c r="J1130" t="inlineStr">
        <is>
          <t>1², 36¹</t>
        </is>
      </c>
      <c r="K1130">
        <f>HYPERLINK("CSG0.html#group2A0", "2A⁰"), =HYPERLINK("CSG2.html#group37A2", "37A²")</f>
        <v/>
      </c>
      <c r="L1130">
        <f>HYPERLINK("CSG9.html#group74A9", "74A⁹"), =HYPERLINK("CSG13.html#group74A13", "74A¹³"), =HYPERLINK("CSG17.html#group74A17", "74A¹⁷"), =HYPERLINK("CSG17.html#group74B17", "74B¹⁷"), =HYPERLINK("CSG17.html#group222A17", "222A¹⁷"), =HYPERLINK("CSG17.html#group222C17", "222C¹⁷"), =HYPERLINK("CSG19.html#group222A19", "222A¹⁹"), =HYPERLINK("CSG19.html#group222B19", "222B¹⁹"), =HYPERLINK("CSG23.html#group148B23", "148B²³"), =HYPERLINK("CSG23.html#group222B23", "222B²³")</f>
        <v/>
      </c>
      <c r="M1130">
        <f>HYPERLINK("CSG2.html#group37A2", "37A²"), =HYPERLINK("CSG0.html#group2A0", "2A⁰"), =HYPERLINK("CSG0.html#group1A0", "1A⁰")</f>
        <v/>
      </c>
      <c r="N1130">
        <f>HYPERLINK("CSG19.html#group222A19", "222A¹⁹"), =HYPERLINK("CSG9.html#group74A9", "74A⁹"), =HYPERLINK("CSG19.html#group148A19", "148A¹⁹"), =HYPERLINK("CSG17.html#group74A17", "74A¹⁷"), =HYPERLINK("CSG23.html#group222B23", "222B²³"), =HYPERLINK("CSG17.html#group222C17", "222C¹⁷"), =HYPERLINK("CSG17.html#group222A17", "222A¹⁷"), =HYPERLINK("CSG23.html#group148B23", "148B²³"), =HYPERLINK("CSG19.html#group222B19", "222B¹⁹"), =HYPERLINK("CSG17.html#group74B17", "74B¹⁷"), =HYPERLINK("CSG13.html#group74A13", "74A¹³")</f>
        <v/>
      </c>
    </row>
    <row r="1131">
      <c r="A1131" t="inlineStr">
        <is>
          <t>75A⁵</t>
        </is>
      </c>
      <c r="B1131" t="inlineStr">
        <is>
          <t>Γ₀(75)</t>
        </is>
      </c>
      <c r="C1131" t="inlineStr">
        <is>
          <t>120</t>
        </is>
      </c>
      <c r="D1131" t="inlineStr">
        <is>
          <t>1</t>
        </is>
      </c>
      <c r="E1131" t="inlineStr">
        <is>
          <t>120</t>
        </is>
      </c>
      <c r="F1131" t="inlineStr">
        <is>
          <t>0</t>
        </is>
      </c>
      <c r="G1131" t="inlineStr">
        <is>
          <t>0</t>
        </is>
      </c>
      <c r="H1131" t="inlineStr">
        <is>
          <t>1⁵, 3⁵, 25¹, 75¹</t>
        </is>
      </c>
      <c r="I1131" t="n">
        <v>12</v>
      </c>
      <c r="J1131" t="inlineStr">
        <is>
          <t>1⁴, 2², 4⁴, 8², 20², 40¹</t>
        </is>
      </c>
      <c r="K1131">
        <f>HYPERLINK("CSG0.html#group25A0", "25A⁰"), =HYPERLINK("CSG1.html#group15C1", "15C¹")</f>
        <v/>
      </c>
      <c r="L1131">
        <f>HYPERLINK("CSG9.html#group75F9", "75F⁹"), =HYPERLINK("CSG15.html#group150I15", "150I¹⁵"), =HYPERLINK("CSG15.html#group150J15", "150J¹⁵"), =HYPERLINK("CSG19.html#group75D19", "75D¹⁹"), =HYPERLINK("CSG19.html#group150I19", "150I¹⁹"), =HYPERLINK("CSG19.html#group225A19", "225A¹⁹")</f>
        <v/>
      </c>
      <c r="M1131">
        <f>HYPERLINK("CSG0.html#group25A0", "25A⁰"), =HYPERLINK("CSG1.html#group15C1", "15C¹"), =HYPERLINK("CSG0.html#group5B0", "5B⁰"), =HYPERLINK("CSG0.html#group3B0", "3B⁰"), =HYPERLINK("CSG0.html#group1A0", "1A⁰")</f>
        <v/>
      </c>
      <c r="N1131">
        <f>HYPERLINK("CSG19.html#group75D19", "75D¹⁹"), =HYPERLINK("CSG15.html#group150J15", "150J¹⁵"), =HYPERLINK("CSG9.html#group75F9", "75F⁹"), =HYPERLINK("CSG17.html#group75F17", "75F¹⁷"), =HYPERLINK("CSG15.html#group150I15", "150I¹⁵"), =HYPERLINK("CSG19.html#group150I19", "150I¹⁹"), =HYPERLINK("CSG19.html#group225A19", "225A¹⁹")</f>
        <v/>
      </c>
    </row>
    <row r="1132">
      <c r="A1132" t="inlineStr">
        <is>
          <t>78A⁵</t>
        </is>
      </c>
      <c r="B1132" t="inlineStr"/>
      <c r="C1132" t="inlineStr">
        <is>
          <t>84</t>
        </is>
      </c>
      <c r="D1132" t="inlineStr">
        <is>
          <t>1</t>
        </is>
      </c>
      <c r="E1132" t="inlineStr">
        <is>
          <t>28</t>
        </is>
      </c>
      <c r="F1132" t="inlineStr">
        <is>
          <t>0</t>
        </is>
      </c>
      <c r="G1132" t="inlineStr">
        <is>
          <t>6</t>
        </is>
      </c>
      <c r="H1132" t="inlineStr">
        <is>
          <t>6¹, 78¹</t>
        </is>
      </c>
      <c r="I1132" t="n">
        <v>2</v>
      </c>
      <c r="J1132" t="inlineStr">
        <is>
          <t>2², 24¹</t>
        </is>
      </c>
      <c r="K1132">
        <f>HYPERLINK("CSG0.html#group6A0", "6A⁰"), =HYPERLINK("CSG1.html#group26A1", "26A¹")</f>
        <v/>
      </c>
      <c r="L1132">
        <f>HYPERLINK("CSG9.html#group78A9", "78A⁹"), =HYPERLINK("CSG16.html#group78D16", "78D¹⁶"), =HYPERLINK("CSG19.html#group78B19", "78B¹⁹"), =HYPERLINK("CSG19.html#group78C19", "78C¹⁹"), =HYPERLINK("CSG23.html#group78E23", "78E²³")</f>
        <v/>
      </c>
      <c r="M1132">
        <f>HYPERLINK("CSG0.html#group13A0", "13A⁰"), =HYPERLINK("CSG0.html#group2A0", "2A⁰"), =HYPERLINK("CSG1.html#group26A1", "26A¹"), =HYPERLINK("CSG0.html#group6A0", "6A⁰"), =HYPERLINK("CSG0.html#group1A0", "1A⁰")</f>
        <v/>
      </c>
      <c r="N1132">
        <f>HYPERLINK("CSG16.html#group78D16", "78D¹⁶"), =HYPERLINK("CSG23.html#group78E23", "78E²³"), =HYPERLINK("CSG19.html#group78C19", "78C¹⁹"), =HYPERLINK("CSG19.html#group156D19", "156D¹⁹"), =HYPERLINK("CSG9.html#group78A9", "78A⁹"), =HYPERLINK("CSG19.html#group78B19", "78B¹⁹")</f>
        <v/>
      </c>
    </row>
    <row r="1133">
      <c r="A1133" t="inlineStr">
        <is>
          <t>78B⁵</t>
        </is>
      </c>
      <c r="B1133" t="inlineStr"/>
      <c r="C1133" t="inlineStr">
        <is>
          <t>84</t>
        </is>
      </c>
      <c r="D1133" t="inlineStr">
        <is>
          <t>1</t>
        </is>
      </c>
      <c r="E1133" t="inlineStr">
        <is>
          <t>42</t>
        </is>
      </c>
      <c r="F1133" t="inlineStr">
        <is>
          <t>8</t>
        </is>
      </c>
      <c r="G1133" t="inlineStr">
        <is>
          <t>0</t>
        </is>
      </c>
      <c r="H1133" t="inlineStr">
        <is>
          <t>6¹, 78¹</t>
        </is>
      </c>
      <c r="I1133" t="n">
        <v>2</v>
      </c>
      <c r="J1133" t="inlineStr">
        <is>
          <t>1², 2², 12¹, 24¹</t>
        </is>
      </c>
      <c r="K1133">
        <f>HYPERLINK("CSG0.html#group6B0", "6B⁰"), =HYPERLINK("CSG2.html#group39A2", "39A²")</f>
        <v/>
      </c>
      <c r="L1133">
        <f>HYPERLINK("CSG9.html#group78B9", "78B⁹"), =HYPERLINK("CSG11.html#group78A11", "78A¹¹"), =HYPERLINK("CSG11.html#group78E11", "78E¹¹"), =HYPERLINK("CSG13.html#group78D13", "78D¹³"), =HYPERLINK("CSG13.html#group78E13", "78E¹³"), =HYPERLINK("CSG13.html#group78H13", "78H¹³"), =HYPERLINK("CSG17.html#group78B17", "78B¹⁷"), =HYPERLINK("CSG17.html#group234A17", "234A¹⁷"), =HYPERLINK("CSG19.html#group234A19", "234A¹⁹"), =HYPERLINK("CSG19.html#group234B19", "234B¹⁹"), =HYPERLINK("CSG23.html#group156F23", "156F²³")</f>
        <v/>
      </c>
      <c r="M1133">
        <f>HYPERLINK("CSG0.html#group13A0", "13A⁰"), =HYPERLINK("CSG2.html#group39A2", "39A²"), =HYPERLINK("CSG0.html#group6B0", "6B⁰"), =HYPERLINK("CSG0.html#group3A0", "3A⁰"), =HYPERLINK("CSG0.html#group1A0", "1A⁰")</f>
        <v/>
      </c>
      <c r="N1133">
        <f>HYPERLINK("CSG11.html#group78A11", "78A¹¹"), =HYPERLINK("CSG19.html#group234A19", "234A¹⁹"), =HYPERLINK("CSG23.html#group156B23", "156B²³"), =HYPERLINK("CSG23.html#group156F23", "156F²³"), =HYPERLINK("CSG13.html#group78D13", "78D¹³"), =HYPERLINK("CSG9.html#group78B9", "78B⁹"), =HYPERLINK("CSG21.html#group78A21", "78A²¹"), =HYPERLINK("CSG13.html#group78H13", "78H¹³"), =HYPERLINK("CSG23.html#group156A23", "156A²³"), =HYPERLINK("CSG11.html#group78E11", "78E¹¹"), =HYPERLINK("CSG19.html#group234B19", "234B¹⁹"), =HYPERLINK("CSG23.html#group156H23", "156H²³"), =HYPERLINK("CSG13.html#group78E13", "78E¹³"), =HYPERLINK("CSG17.html#group78B17", "78B¹⁷"), =HYPERLINK("CSG17.html#group234A17", "234A¹⁷")</f>
        <v/>
      </c>
    </row>
    <row r="1134">
      <c r="A1134" t="inlineStr">
        <is>
          <t>78C⁵</t>
        </is>
      </c>
      <c r="B1134" t="inlineStr"/>
      <c r="C1134" t="inlineStr">
        <is>
          <t>84</t>
        </is>
      </c>
      <c r="D1134" t="inlineStr">
        <is>
          <t>2</t>
        </is>
      </c>
      <c r="E1134" t="inlineStr">
        <is>
          <t>14</t>
        </is>
      </c>
      <c r="F1134" t="inlineStr">
        <is>
          <t>0</t>
        </is>
      </c>
      <c r="G1134" t="inlineStr">
        <is>
          <t>6</t>
        </is>
      </c>
      <c r="H1134" t="inlineStr">
        <is>
          <t>6¹, 78¹</t>
        </is>
      </c>
      <c r="I1134" t="n">
        <v>2</v>
      </c>
      <c r="J1134" t="inlineStr">
        <is>
          <t>2², 24¹</t>
        </is>
      </c>
      <c r="K1134">
        <f>HYPERLINK("CSG1.html#group26A1", "26A¹"), =HYPERLINK("CSG1.html#group39A1", "39A¹")</f>
        <v/>
      </c>
      <c r="L1134">
        <f>HYPERLINK("CSG9.html#group78C9", "78C⁹"), =HYPERLINK("CSG16.html#group78D16", "78D¹⁶"), =HYPERLINK("CSG19.html#group78A19", "78A¹⁹"), =HYPERLINK("CSG19.html#group78E19", "78E¹⁹"), =HYPERLINK("CSG23.html#group78H23", "78H²³")</f>
        <v/>
      </c>
      <c r="M1134">
        <f>HYPERLINK("CSG0.html#group13A0", "13A⁰"), =HYPERLINK("CSG0.html#group2A0", "2A⁰"), =HYPERLINK("CSG1.html#group26A1", "26A¹"), =HYPERLINK("CSG1.html#group39A1", "39A¹"), =HYPERLINK("CSG0.html#group1A0", "1A⁰")</f>
        <v/>
      </c>
      <c r="N1134">
        <f>HYPERLINK("CSG9.html#group78C9", "78C⁹"), =HYPERLINK("CSG16.html#group78D16", "78D¹⁶"), =HYPERLINK("CSG19.html#group78E19", "78E¹⁹"), =HYPERLINK("CSG19.html#group156E19", "156E¹⁹"), =HYPERLINK("CSG19.html#group78A19", "78A¹⁹"), =HYPERLINK("CSG23.html#group78H23", "78H²³")</f>
        <v/>
      </c>
    </row>
    <row r="1135">
      <c r="A1135" t="inlineStr">
        <is>
          <t>88A⁵</t>
        </is>
      </c>
      <c r="B1135" t="inlineStr"/>
      <c r="C1135" t="inlineStr">
        <is>
          <t>88</t>
        </is>
      </c>
      <c r="D1135" t="inlineStr">
        <is>
          <t>2</t>
        </is>
      </c>
      <c r="E1135" t="inlineStr">
        <is>
          <t>44</t>
        </is>
      </c>
      <c r="F1135" t="inlineStr">
        <is>
          <t>6</t>
        </is>
      </c>
      <c r="G1135" t="inlineStr">
        <is>
          <t>4</t>
        </is>
      </c>
      <c r="H1135" t="inlineStr">
        <is>
          <t>88¹</t>
        </is>
      </c>
      <c r="I1135" t="n">
        <v>1</v>
      </c>
      <c r="J1135" t="inlineStr">
        <is>
          <t>8², 40⁴</t>
        </is>
      </c>
      <c r="K1135">
        <f>HYPERLINK("CSG0.html#group8A0", "8A⁰"), =HYPERLINK("CSG2.html#group44A2", "44A²")</f>
        <v/>
      </c>
      <c r="L1135">
        <f>HYPERLINK("CSG11.html#group176A11", "176A¹¹"), =HYPERLINK("CSG12.html#group88A12", "88A¹²"), =HYPERLINK("CSG18.html#group264A18", "264A¹⁸"), =HYPERLINK("CSG20.html#group88D20", "88D²⁰"), =HYPERLINK("CSG24.html#group88A24", "88A²⁴")</f>
        <v/>
      </c>
      <c r="M1135">
        <f>HYPERLINK("CSG0.html#group8A0", "8A⁰"), =HYPERLINK("CSG0.html#group11A0", "11A⁰"), =HYPERLINK("CSG2.html#group44A2", "44A²"), =HYPERLINK("CSG0.html#group1A0", "1A⁰"), =HYPERLINK("CSG0.html#group4A0", "4A⁰")</f>
        <v/>
      </c>
      <c r="N1135">
        <f>HYPERLINK("CSG11.html#group176A11", "176A¹¹"), =HYPERLINK("CSG18.html#group264A18", "264A¹⁸"), =HYPERLINK("CSG24.html#group88A24", "88A²⁴"), =HYPERLINK("CSG24.html#group176A24", "176A²⁴"), =HYPERLINK("CSG20.html#group88D20", "88D²⁰"), =HYPERLINK("CSG12.html#group88A12", "88A¹²")</f>
        <v/>
      </c>
    </row>
    <row r="1136">
      <c r="A1136" t="inlineStr">
        <is>
          <t>88B⁵</t>
        </is>
      </c>
      <c r="B1136" t="inlineStr"/>
      <c r="C1136" t="inlineStr">
        <is>
          <t>88</t>
        </is>
      </c>
      <c r="D1136" t="inlineStr">
        <is>
          <t>2</t>
        </is>
      </c>
      <c r="E1136" t="inlineStr">
        <is>
          <t>44</t>
        </is>
      </c>
      <c r="F1136" t="inlineStr">
        <is>
          <t>6</t>
        </is>
      </c>
      <c r="G1136" t="inlineStr">
        <is>
          <t>4</t>
        </is>
      </c>
      <c r="H1136" t="inlineStr">
        <is>
          <t>88¹</t>
        </is>
      </c>
      <c r="I1136" t="n">
        <v>1</v>
      </c>
      <c r="J1136" t="inlineStr">
        <is>
          <t>8², 40⁴</t>
        </is>
      </c>
      <c r="K1136">
        <f>HYPERLINK("CSG0.html#group8A0", "8A⁰"), =HYPERLINK("CSG2.html#group44A2", "44A²")</f>
        <v/>
      </c>
      <c r="L1136">
        <f>HYPERLINK("CSG11.html#group176B11", "176B¹¹"), =HYPERLINK("CSG12.html#group88A12", "88A¹²"), =HYPERLINK("CSG18.html#group264B18", "264B¹⁸"), =HYPERLINK("CSG20.html#group88D20", "88D²⁰"), =HYPERLINK("CSG24.html#group88B24", "88B²⁴")</f>
        <v/>
      </c>
      <c r="M1136">
        <f>HYPERLINK("CSG0.html#group8A0", "8A⁰"), =HYPERLINK("CSG0.html#group11A0", "11A⁰"), =HYPERLINK("CSG2.html#group44A2", "44A²"), =HYPERLINK("CSG0.html#group1A0", "1A⁰"), =HYPERLINK("CSG0.html#group4A0", "4A⁰")</f>
        <v/>
      </c>
      <c r="N1136">
        <f>HYPERLINK("CSG24.html#group88B24", "88B²⁴"), =HYPERLINK("CSG18.html#group264B18", "264B¹⁸"), =HYPERLINK("CSG24.html#group176A24", "176A²⁴"), =HYPERLINK("CSG11.html#group176B11", "176B¹¹"), =HYPERLINK("CSG20.html#group88D20", "88D²⁰"), =HYPERLINK("CSG12.html#group88A12", "88A¹²")</f>
        <v/>
      </c>
    </row>
    <row r="1137">
      <c r="A1137" t="inlineStr">
        <is>
          <t>90A⁵</t>
        </is>
      </c>
      <c r="B1137" t="inlineStr"/>
      <c r="C1137" t="inlineStr">
        <is>
          <t>108</t>
        </is>
      </c>
      <c r="D1137" t="inlineStr">
        <is>
          <t>2</t>
        </is>
      </c>
      <c r="E1137" t="inlineStr">
        <is>
          <t>54</t>
        </is>
      </c>
      <c r="F1137" t="inlineStr">
        <is>
          <t>16</t>
        </is>
      </c>
      <c r="G1137" t="inlineStr">
        <is>
          <t>0</t>
        </is>
      </c>
      <c r="H1137" t="inlineStr">
        <is>
          <t>18¹, 90¹</t>
        </is>
      </c>
      <c r="I1137" t="n">
        <v>2</v>
      </c>
      <c r="J1137" t="inlineStr">
        <is>
          <t>2⁶, 6⁴, 8³, 24²</t>
        </is>
      </c>
      <c r="K1137">
        <f>HYPERLINK("CSG0.html#group18A0", "18A⁰"), =HYPERLINK("CSG1.html#group30C1", "30C¹"), =HYPERLINK("CSG2.html#group45A2", "45A²")</f>
        <v/>
      </c>
      <c r="L1137">
        <f>HYPERLINK("CSG9.html#group90G9", "90G⁹"), =HYPERLINK("CSG11.html#group90H11", "90H¹¹"), =HYPERLINK("CSG11.html#group90K11", "90K¹¹"), =HYPERLINK("CSG15.html#group90M15", "90M¹⁵"), =HYPERLINK("CSG15.html#group90N15", "90N¹⁵"), =HYPERLINK("CSG17.html#group90J17", "90J¹⁷"), =HYPERLINK("CSG17.html#group90K17", "90K¹⁷"), =HYPERLINK("CSG19.html#group90J19", "90J¹⁹"), =HYPERLINK("CSG21.html#group90J21", "90J²¹"), =HYPERLINK("CSG21.html#group90K21", "90K²¹"), =HYPERLINK("CSG21.html#group90L21", "90L²¹")</f>
        <v/>
      </c>
      <c r="M1137">
        <f>HYPERLINK("CSG2.html#group45A2", "45A²"), =HYPERLINK("CSG0.html#group15B0", "15B⁰"), =HYPERLINK("CSG0.html#group6B0", "6B⁰"), =HYPERLINK("CSG0.html#group9A0", "9A⁰"), =HYPERLINK("CSG0.html#group5B0", "5B⁰"), =HYPERLINK("CSG0.html#group3A0", "3A⁰"), =HYPERLINK("CSG0.html#group1A0", "1A⁰"), =HYPERLINK("CSG0.html#group18A0", "18A⁰"), =HYPERLINK("CSG1.html#group30C1", "30C¹")</f>
        <v/>
      </c>
      <c r="N1137">
        <f>HYPERLINK("CSG21.html#group90J21", "90J²¹"), =HYPERLINK("CSG15.html#group90N15", "90N¹⁵"), =HYPERLINK("CSG15.html#group90M15", "90M¹⁵"), =HYPERLINK("CSG19.html#group90J19", "90J¹⁹"), =HYPERLINK("CSG9.html#group90G9", "90G⁹"), =HYPERLINK("CSG21.html#group90N21", "90N²¹"), =HYPERLINK("CSG17.html#group90K17", "90K¹⁷"), =HYPERLINK("CSG11.html#group90H11", "90H¹¹"), =HYPERLINK("CSG21.html#group90K21", "90K²¹"), =HYPERLINK("CSG17.html#group90J17", "90J¹⁷"), =HYPERLINK("CSG11.html#group90K11", "90K¹¹"), =HYPERLINK("CSG21.html#group90L21", "90L²¹")</f>
        <v/>
      </c>
    </row>
    <row r="1138">
      <c r="A1138" t="inlineStr">
        <is>
          <t>96A⁵</t>
        </is>
      </c>
      <c r="B1138" t="inlineStr"/>
      <c r="C1138" t="inlineStr">
        <is>
          <t>144</t>
        </is>
      </c>
      <c r="D1138" t="inlineStr">
        <is>
          <t>1</t>
        </is>
      </c>
      <c r="E1138" t="inlineStr">
        <is>
          <t>36</t>
        </is>
      </c>
      <c r="F1138" t="inlineStr">
        <is>
          <t>28</t>
        </is>
      </c>
      <c r="G1138" t="inlineStr">
        <is>
          <t>0</t>
        </is>
      </c>
      <c r="H1138" t="inlineStr">
        <is>
          <t>48¹, 96¹</t>
        </is>
      </c>
      <c r="I1138" t="n">
        <v>2</v>
      </c>
      <c r="J1138" t="inlineStr">
        <is>
          <t>2⁶, 4⁶</t>
        </is>
      </c>
      <c r="K1138">
        <f>HYPERLINK("CSG0.html#group48A0", "48A⁰")</f>
        <v/>
      </c>
      <c r="L1138">
        <f>HYPERLINK("CSG11.html#group96K11", "96K¹¹"), =HYPERLINK("CSG13.html#group96G13", "96G¹³"), =HYPERLINK("CSG13.html#group96H13", "96H¹³"), =HYPERLINK("CSG15.html#group96O15", "96O¹⁵"), =HYPERLINK("CSG15.html#group96Q15", "96Q¹⁵"), =HYPERLINK("CSG15.html#group96S15", "96S¹⁵"), =HYPERLINK("CSG15.html#group96T15", "96T¹⁵"), =HYPERLINK("CSG15.html#group96U15", "96U¹⁵"), =HYPERLINK("CSG15.html#group96V15", "96V¹⁵"), =HYPERLINK("CSG17.html#group96P17", "96P¹⁷"), =HYPERLINK("CSG17.html#group96R17", "96R¹⁷"), =HYPERLINK("CSG17.html#group96AD17", "96AD¹⁷"), =HYPERLINK("CSG17.html#group96AE17", "96AE¹⁷"), =HYPERLINK("CSG17.html#group96AF17", "96AF¹⁷"), =HYPERLINK("CSG17.html#group96AG17", "96AG¹⁷"), =HYPERLINK("CSG19.html#group96V19", "96V¹⁹"), =HYPERLINK("CSG19.html#group96AY19", "96AY¹⁹"), =HYPERLINK("CSG21.html#group96AA21", "96AA²¹"), =HYPERLINK("CSG23.html#group96P23", "96P²³"), =HYPERLINK("CSG23.html#group288A23", "288A²³")</f>
        <v/>
      </c>
      <c r="M1138">
        <f>HYPERLINK("CSG0.html#group16B0", "16B⁰"), =HYPERLINK("CSG0.html#group12C0", "12C⁰"), =HYPERLINK("CSG0.html#group24A0", "24A⁰"), =HYPERLINK("CSG0.html#group4C0", "4C⁰"), =HYPERLINK("CSG0.html#group8B0", "8B⁰"), =HYPERLINK("CSG0.html#group48A0", "48A⁰"), =HYPERLINK("CSG0.html#group2B0", "2B⁰"), =HYPERLINK("CSG0.html#group3A0", "3A⁰"), =HYPERLINK("CSG0.html#group1A0", "1A⁰"), =HYPERLINK("CSG0.html#group6D0", "6D⁰")</f>
        <v/>
      </c>
      <c r="N1138">
        <f>HYPERLINK("CSG15.html#group96U15", "96U¹⁵"), =HYPERLINK("CSG15.html#group96V15", "96V¹⁵"), =HYPERLINK("CSG17.html#group96R17", "96R¹⁷"), =HYPERLINK("CSG15.html#group96S15", "96S¹⁵"), =HYPERLINK("CSG13.html#group96H13", "96H¹³"), =HYPERLINK("CSG15.html#group96Q15", "96Q¹⁵"), =HYPERLINK("CSG13.html#group96G13", "96G¹³"), =HYPERLINK("CSG15.html#group96T15", "96T¹⁵"), =HYPERLINK("CSG23.html#group96P23", "96P²³"), =HYPERLINK("CSG17.html#group96AG17", "96AG¹⁷"), =HYPERLINK("CSG17.html#group96P17", "96P¹⁷"), =HYPERLINK("CSG19.html#group96AY19", "96AY¹⁹"), =HYPERLINK("CSG11.html#group96K11", "96K¹¹"), =HYPERLINK("CSG15.html#group96O15", "96O¹⁵"), =HYPERLINK("CSG23.html#group288A23", "288A²³"), =HYPERLINK("CSG17.html#group96AD17", "96AD¹⁷"), =HYPERLINK("CSG17.html#group96AE17", "96AE¹⁷"), =HYPERLINK("CSG19.html#group96V19", "96V¹⁹"), =HYPERLINK("CSG17.html#group96AF17", "96AF¹⁷"), =HYPERLINK("CSG21.html#group96AA21", "96AA²¹")</f>
        <v/>
      </c>
    </row>
    <row r="1139">
      <c r="A1139" t="inlineStr">
        <is>
          <t>98A⁵</t>
        </is>
      </c>
      <c r="B1139" t="inlineStr"/>
      <c r="C1139" t="inlineStr">
        <is>
          <t>112</t>
        </is>
      </c>
      <c r="D1139" t="inlineStr">
        <is>
          <t>1</t>
        </is>
      </c>
      <c r="E1139" t="inlineStr">
        <is>
          <t>56</t>
        </is>
      </c>
      <c r="F1139" t="inlineStr">
        <is>
          <t>0</t>
        </is>
      </c>
      <c r="G1139" t="inlineStr">
        <is>
          <t>4</t>
        </is>
      </c>
      <c r="H1139" t="inlineStr">
        <is>
          <t>2⁷, 98¹</t>
        </is>
      </c>
      <c r="I1139" t="n">
        <v>8</v>
      </c>
      <c r="J1139" t="inlineStr">
        <is>
          <t>1², 6², 42¹</t>
        </is>
      </c>
      <c r="K1139">
        <f>HYPERLINK("CSG0.html#group14B0", "14B⁰"), =HYPERLINK("CSG1.html#group49A1", "49A¹")</f>
        <v/>
      </c>
      <c r="L1139">
        <f>HYPERLINK("CSG13.html#group196A13", "196A¹³"), =HYPERLINK("CSG15.html#group98A15", "98A¹⁵"), =HYPERLINK("CSG17.html#group98A17", "98A¹⁷"), =HYPERLINK("CSG17.html#group98B17", "98B¹⁷"), =HYPERLINK("CSG23.html#group294A23", "294A²³"), =HYPERLINK("CSG23.html#group294B23", "294B²³"), =HYPERLINK("CSG24.html#group294A24", "294A²⁴")</f>
        <v/>
      </c>
      <c r="M1139">
        <f>HYPERLINK("CSG1.html#group49A1", "49A¹"), =HYPERLINK("CSG0.html#group2A0", "2A⁰"), =HYPERLINK("CSG0.html#group1A0", "1A⁰"), =HYPERLINK("CSG0.html#group7B0", "7B⁰"), =HYPERLINK("CSG0.html#group14B0", "14B⁰")</f>
        <v/>
      </c>
      <c r="N1139">
        <f>HYPERLINK("CSG15.html#group98A15", "98A¹⁵"), =HYPERLINK("CSG17.html#group98B17", "98B¹⁷"), =HYPERLINK("CSG24.html#group294A24", "294A²⁴"), =HYPERLINK("CSG13.html#group196A13", "196A¹³"), =HYPERLINK("CSG17.html#group98A17", "98A¹⁷"), =HYPERLINK("CSG23.html#group294B23", "294B²³"), =HYPERLINK("CSG23.html#group294A23", "294A²³")</f>
        <v/>
      </c>
    </row>
    <row r="1140">
      <c r="A1140" t="inlineStr">
        <is>
          <t>99A⁵</t>
        </is>
      </c>
      <c r="B1140" t="inlineStr"/>
      <c r="C1140" t="inlineStr">
        <is>
          <t>99</t>
        </is>
      </c>
      <c r="D1140" t="inlineStr">
        <is>
          <t>2</t>
        </is>
      </c>
      <c r="E1140" t="inlineStr">
        <is>
          <t>99</t>
        </is>
      </c>
      <c r="F1140" t="inlineStr">
        <is>
          <t>15</t>
        </is>
      </c>
      <c r="G1140" t="inlineStr">
        <is>
          <t>0</t>
        </is>
      </c>
      <c r="H1140" t="inlineStr">
        <is>
          <t>99¹</t>
        </is>
      </c>
      <c r="I1140" t="n">
        <v>1</v>
      </c>
      <c r="J1140" t="inlineStr">
        <is>
          <t>2¹, 4¹, 10², 12¹, 20², 60²</t>
        </is>
      </c>
      <c r="K1140">
        <f>HYPERLINK("CSG0.html#group9A0", "9A⁰"), =HYPERLINK("CSG1.html#group33A1", "33A¹")</f>
        <v/>
      </c>
      <c r="L1140">
        <f>HYPERLINK("CSG11.html#group198A11", "198A¹¹"), =HYPERLINK("CSG11.html#group198B11", "198B¹¹"), =HYPERLINK("CSG12.html#group99A12", "99A¹²"), =HYPERLINK("CSG14.html#group198A14", "198A¹⁴"), =HYPERLINK("CSG15.html#group99A15", "99A¹⁵"), =HYPERLINK("CSG15.html#group99B15", "99B¹⁵"), =HYPERLINK("CSG17.html#group198A17", "198A¹⁷"), =HYPERLINK("CSG19.html#group99A19", "99A¹⁹"), =HYPERLINK("CSG21.html#group198E21", "198E²¹")</f>
        <v/>
      </c>
      <c r="M1140">
        <f>HYPERLINK("CSG0.html#group11A0", "11A⁰"), =HYPERLINK("CSG0.html#group9A0", "9A⁰"), =HYPERLINK("CSG0.html#group3A0", "3A⁰"), =HYPERLINK("CSG0.html#group1A0", "1A⁰"), =HYPERLINK("CSG1.html#group33A1", "33A¹")</f>
        <v/>
      </c>
      <c r="N1140">
        <f>HYPERLINK("CSG12.html#group99A12", "99A¹²"), =HYPERLINK("CSG21.html#group198E21", "198E²¹"), =HYPERLINK("CSG19.html#group99A19", "99A¹⁹"), =HYPERLINK("CSG14.html#group198A14", "198A¹⁴"), =HYPERLINK("CSG11.html#group198A11", "198A¹¹"), =HYPERLINK("CSG15.html#group99B15", "99B¹⁵"), =HYPERLINK("CSG11.html#group198B11", "198B¹¹"), =HYPERLINK("CSG24.html#group198A24", "198A²⁴"), =HYPERLINK("CSG15.html#group99A15", "99A¹⁵"), =HYPERLINK("CSG17.html#group198A17", "198A¹⁷")</f>
        <v/>
      </c>
    </row>
    <row r="1141">
      <c r="A1141" t="inlineStr">
        <is>
          <t>126A⁵</t>
        </is>
      </c>
      <c r="B1141" t="inlineStr"/>
      <c r="C1141" t="inlineStr">
        <is>
          <t>126</t>
        </is>
      </c>
      <c r="D1141" t="inlineStr">
        <is>
          <t>2</t>
        </is>
      </c>
      <c r="E1141" t="inlineStr">
        <is>
          <t>63</t>
        </is>
      </c>
      <c r="F1141" t="inlineStr">
        <is>
          <t>24</t>
        </is>
      </c>
      <c r="G1141" t="inlineStr">
        <is>
          <t>0</t>
        </is>
      </c>
      <c r="H1141" t="inlineStr">
        <is>
          <t>126¹</t>
        </is>
      </c>
      <c r="I1141" t="n">
        <v>1</v>
      </c>
      <c r="J1141" t="inlineStr">
        <is>
          <t>4³, 12⁸, 36⁴</t>
        </is>
      </c>
      <c r="K1141">
        <f>HYPERLINK("CSG0.html#group18A0", "18A⁰"), =HYPERLINK("CSG1.html#group42B1", "42B¹"), =HYPERLINK("CSG2.html#group63A2", "63A²")</f>
        <v/>
      </c>
      <c r="L1141">
        <f>HYPERLINK("CSG12.html#group126J12", "126J¹²"), =HYPERLINK("CSG13.html#group126J13", "126J¹³"), =HYPERLINK("CSG14.html#group126F14", "126F¹⁴"), =HYPERLINK("CSG16.html#group126A16", "126A¹⁶"), =HYPERLINK("CSG17.html#group126C17", "126C¹⁷"), =HYPERLINK("CSG18.html#group126D18", "126D¹⁸"), =HYPERLINK("CSG21.html#group126G21", "126G²¹"), =HYPERLINK("CSG21.html#group126R21", "126R²¹"), =HYPERLINK("CSG22.html#group126A22", "126A²²")</f>
        <v/>
      </c>
      <c r="M1141">
        <f>HYPERLINK("CSG0.html#group6B0", "6B⁰"), =HYPERLINK("CSG0.html#group7A0", "7A⁰"), =HYPERLINK("CSG0.html#group9A0", "9A⁰"), =HYPERLINK("CSG0.html#group21A0", "21A⁰"), =HYPERLINK("CSG1.html#group42B1", "42B¹"), =HYPERLINK("CSG0.html#group3A0", "3A⁰"), =HYPERLINK("CSG0.html#group1A0", "1A⁰"), =HYPERLINK("CSG0.html#group18A0", "18A⁰"), =HYPERLINK("CSG2.html#group63A2", "63A²")</f>
        <v/>
      </c>
      <c r="N1141">
        <f>HYPERLINK("CSG17.html#group126C17", "126C¹⁷"), =HYPERLINK("CSG13.html#group126J13", "126J¹³"), =HYPERLINK("CSG21.html#group126R21", "126R²¹"), =HYPERLINK("CSG14.html#group126F14", "126F¹⁴"), =HYPERLINK("CSG21.html#group126G21", "126G²¹"), =HYPERLINK("CSG16.html#group126A16", "126A¹⁶"), =HYPERLINK("CSG18.html#group126D18", "126D¹⁸"), =HYPERLINK("CSG22.html#group126A22", "126A²²"), =HYPERLINK("CSG12.html#group126J12", "126J¹²")</f>
        <v/>
      </c>
    </row>
    <row r="1142">
      <c r="A1142" t="inlineStr">
        <is>
          <t>126B⁵</t>
        </is>
      </c>
      <c r="B1142" t="inlineStr"/>
      <c r="C1142" t="inlineStr">
        <is>
          <t>126</t>
        </is>
      </c>
      <c r="D1142" t="inlineStr">
        <is>
          <t>2</t>
        </is>
      </c>
      <c r="E1142" t="inlineStr">
        <is>
          <t>63</t>
        </is>
      </c>
      <c r="F1142" t="inlineStr">
        <is>
          <t>24</t>
        </is>
      </c>
      <c r="G1142" t="inlineStr">
        <is>
          <t>0</t>
        </is>
      </c>
      <c r="H1142" t="inlineStr">
        <is>
          <t>126¹</t>
        </is>
      </c>
      <c r="I1142" t="n">
        <v>1</v>
      </c>
      <c r="J1142" t="inlineStr">
        <is>
          <t>4³, 12⁸, 36⁴</t>
        </is>
      </c>
      <c r="K1142">
        <f>HYPERLINK("CSG0.html#group18A0", "18A⁰"), =HYPERLINK("CSG1.html#group42B1", "42B¹"), =HYPERLINK("CSG2.html#group63A2", "63A²")</f>
        <v/>
      </c>
      <c r="L1142">
        <f>HYPERLINK("CSG12.html#group126J12", "126J¹²"), =HYPERLINK("CSG13.html#group126K13", "126K¹³"), =HYPERLINK("CSG14.html#group126E14", "126E¹⁴"), =HYPERLINK("CSG16.html#group126B16", "126B¹⁶"), =HYPERLINK("CSG17.html#group126D17", "126D¹⁷"), =HYPERLINK("CSG18.html#group126E18", "126E¹⁸"), =HYPERLINK("CSG21.html#group126H21", "126H²¹"), =HYPERLINK("CSG21.html#group126R21", "126R²¹"), =HYPERLINK("CSG22.html#group126A22", "126A²²")</f>
        <v/>
      </c>
      <c r="M1142">
        <f>HYPERLINK("CSG0.html#group6B0", "6B⁰"), =HYPERLINK("CSG0.html#group7A0", "7A⁰"), =HYPERLINK("CSG0.html#group9A0", "9A⁰"), =HYPERLINK("CSG0.html#group21A0", "21A⁰"), =HYPERLINK("CSG1.html#group42B1", "42B¹"), =HYPERLINK("CSG0.html#group3A0", "3A⁰"), =HYPERLINK("CSG0.html#group1A0", "1A⁰"), =HYPERLINK("CSG0.html#group18A0", "18A⁰"), =HYPERLINK("CSG2.html#group63A2", "63A²")</f>
        <v/>
      </c>
      <c r="N1142">
        <f>HYPERLINK("CSG21.html#group126R21", "126R²¹"), =HYPERLINK("CSG14.html#group126E14", "126E¹⁴"), =HYPERLINK("CSG13.html#group126K13", "126K¹³"), =HYPERLINK("CSG18.html#group126E18", "126E¹⁸"), =HYPERLINK("CSG22.html#group126A22", "126A²²"), =HYPERLINK("CSG17.html#group126D17", "126D¹⁷"), =HYPERLINK("CSG16.html#group126B16", "126B¹⁶"), =HYPERLINK("CSG12.html#group126J12", "126J¹²"), =HYPERLINK("CSG21.html#group126H21", "126H²¹")</f>
        <v/>
      </c>
    </row>
    <row r="1143">
      <c r="A1143" t="inlineStr">
        <is>
          <t>10A⁶</t>
        </is>
      </c>
      <c r="B1143" t="inlineStr"/>
      <c r="C1143" t="inlineStr">
        <is>
          <t>180</t>
        </is>
      </c>
      <c r="D1143" t="inlineStr">
        <is>
          <t>1</t>
        </is>
      </c>
      <c r="E1143" t="inlineStr">
        <is>
          <t>45</t>
        </is>
      </c>
      <c r="F1143" t="inlineStr">
        <is>
          <t>4</t>
        </is>
      </c>
      <c r="G1143" t="inlineStr">
        <is>
          <t>0</t>
        </is>
      </c>
      <c r="H1143" t="inlineStr">
        <is>
          <t>10¹⁸</t>
        </is>
      </c>
      <c r="I1143" t="n">
        <v>18</v>
      </c>
      <c r="J1143" t="inlineStr">
        <is>
          <t>1³, 2³, 4⁹</t>
        </is>
      </c>
      <c r="K1143">
        <f>HYPERLINK("CSG0.html#group10G0", "10G⁰"), =HYPERLINK("CSG1.html#group10J1", "10J¹"), =HYPERLINK("CSG2.html#group10C2", "10C²"), =HYPERLINK("CSG2.html#group10E2", "10E²"), =HYPERLINK("CSG2.html#group10F2", "10F²"), =HYPERLINK("CSG3.html#group10C3", "10C³")</f>
        <v/>
      </c>
      <c r="L1143">
        <f>HYPERLINK("CSG13.html#group10A13", "10A¹³"), =HYPERLINK("CSG15.html#group20I15", "20I¹⁵"), =HYPERLINK("CSG17.html#group20B17", "20B¹⁷"), =HYPERLINK("CSG19.html#group20B19", "20B¹⁹"), =HYPERLINK("CSG21.html#group20A21", "20A²¹")</f>
        <v/>
      </c>
      <c r="M1143">
        <f>HYPERLINK("CSG0.html#group5A0", "5A⁰"), =HYPERLINK("CSG0.html#group10G0", "10G⁰"), =HYPERLINK("CSG1.html#group10B1", "10B¹"), =HYPERLINK("CSG0.html#group10D0", "10D⁰"), =HYPERLINK("CSG0.html#group5B0", "5B⁰"), =HYPERLINK("CSG0.html#group2B0", "2B⁰"), =HYPERLINK("CSG1.html#group10E1", "10E¹"), =HYPERLINK("CSG0.html#group1A0", "1A⁰"), =HYPERLINK("CSG1.html#group10F1", "10F¹"), =HYPERLINK("CSG0.html#group10B0", "10B⁰"), =HYPERLINK("CSG3.html#group10C3", "10C³"), =HYPERLINK("CSG1.html#group10J1", "10J¹"), =HYPERLINK("CSG2.html#group10E2", "10E²"), =HYPERLINK("CSG1.html#group10I1", "10I¹"), =HYPERLINK("CSG2.html#group10F2", "10F²"), =HYPERLINK("CSG2.html#group10C2", "10C²"), =HYPERLINK("CSG0.html#group5E0", "5E⁰"), =HYPERLINK("CSG0.html#group10C0", "10C⁰"), =HYPERLINK("CSG0.html#group5C0", "5C⁰"), =HYPERLINK("CSG0.html#group5G0", "5G⁰")</f>
        <v/>
      </c>
      <c r="N1143">
        <f>HYPERLINK("CSG17.html#group20B17", "20B¹⁷"), =HYPERLINK("CSG13.html#group10A13", "10A¹³"), =HYPERLINK("CSG19.html#group20B19", "20B¹⁹"), =HYPERLINK("CSG15.html#group20I15", "20I¹⁵"), =HYPERLINK("CSG21.html#group20A21", "20A²¹")</f>
        <v/>
      </c>
    </row>
    <row r="1144">
      <c r="A1144" t="inlineStr">
        <is>
          <t>11A⁶</t>
        </is>
      </c>
      <c r="B1144" t="inlineStr"/>
      <c r="C1144" t="inlineStr">
        <is>
          <t>132</t>
        </is>
      </c>
      <c r="D1144" t="inlineStr">
        <is>
          <t>1</t>
        </is>
      </c>
      <c r="E1144" t="inlineStr">
        <is>
          <t>66</t>
        </is>
      </c>
      <c r="F1144" t="inlineStr">
        <is>
          <t>0</t>
        </is>
      </c>
      <c r="G1144" t="inlineStr">
        <is>
          <t>0</t>
        </is>
      </c>
      <c r="H1144" t="inlineStr">
        <is>
          <t>11¹²</t>
        </is>
      </c>
      <c r="I1144" t="n">
        <v>12</v>
      </c>
      <c r="J1144" t="inlineStr">
        <is>
          <t>1¹, 5¹, 10⁶</t>
        </is>
      </c>
      <c r="K1144">
        <f>HYPERLINK("CSG1.html#group11A1", "11A¹"), =HYPERLINK("CSG2.html#group11A2", "11A²")</f>
        <v/>
      </c>
      <c r="L1144">
        <f>HYPERLINK("CSG17.html#group22A17", "22A¹⁷"), =HYPERLINK("CSG22.html#group22A22", "22A²²")</f>
        <v/>
      </c>
      <c r="M1144">
        <f>HYPERLINK("CSG0.html#group11A0", "11A⁰"), =HYPERLINK("CSG0.html#group1A0", "1A⁰"), =HYPERLINK("CSG1.html#group11A1", "11A¹"), =HYPERLINK("CSG2.html#group11A2", "11A²")</f>
        <v/>
      </c>
      <c r="N1144">
        <f>HYPERLINK("CSG22.html#group22A22", "22A²²"), =HYPERLINK("CSG17.html#group22A17", "22A¹⁷")</f>
        <v/>
      </c>
    </row>
    <row r="1145">
      <c r="A1145" t="inlineStr">
        <is>
          <t>14A⁶</t>
        </is>
      </c>
      <c r="B1145" t="inlineStr"/>
      <c r="C1145" t="inlineStr">
        <is>
          <t>126</t>
        </is>
      </c>
      <c r="D1145" t="inlineStr">
        <is>
          <t>2</t>
        </is>
      </c>
      <c r="E1145" t="inlineStr">
        <is>
          <t>63</t>
        </is>
      </c>
      <c r="F1145" t="inlineStr">
        <is>
          <t>4</t>
        </is>
      </c>
      <c r="G1145" t="inlineStr">
        <is>
          <t>0</t>
        </is>
      </c>
      <c r="H1145" t="inlineStr">
        <is>
          <t>14⁹</t>
        </is>
      </c>
      <c r="I1145" t="n">
        <v>9</v>
      </c>
      <c r="J1145" t="inlineStr">
        <is>
          <t>6²¹</t>
        </is>
      </c>
      <c r="K1145">
        <f>HYPERLINK("CSG1.html#group14F1", "14F¹"), =HYPERLINK("CSG2.html#group14B2", "14B²"), =HYPERLINK("CSG2.html#group14C2", "14C²"), =HYPERLINK("CSG2.html#group14F2", "14F²")</f>
        <v/>
      </c>
      <c r="L1145">
        <f>HYPERLINK("CSG11.html#group14A11", "14A¹¹"), =HYPERLINK("CSG13.html#group14B13", "14B¹³"), =HYPERLINK("CSG13.html#group14C13", "14C¹³"), =HYPERLINK("CSG14.html#group28B14", "28B¹⁴"), =HYPERLINK("CSG14.html#group28C14", "28C¹⁴"), =HYPERLINK("CSG16.html#group28D16", "28D¹⁶"), =HYPERLINK("CSG16.html#group28E16", "28E¹⁶")</f>
        <v/>
      </c>
      <c r="M1145">
        <f>HYPERLINK("CSG0.html#group14A0", "14A⁰"), =HYPERLINK("CSG2.html#group14B2", "14B²"), =HYPERLINK("CSG1.html#group14F1", "14F¹"), =HYPERLINK("CSG0.html#group7D0", "7D⁰"), =HYPERLINK("CSG1.html#group14B1", "14B¹"), =HYPERLINK("CSG2.html#group14C2", "14C²"), =HYPERLINK("CSG2.html#group14F2", "14F²"), =HYPERLINK("CSG0.html#group2B0", "2B⁰"), =HYPERLINK("CSG0.html#group1A0", "1A⁰"), =HYPERLINK("CSG0.html#group7A0", "7A⁰")</f>
        <v/>
      </c>
      <c r="N1145">
        <f>HYPERLINK("CSG11.html#group14A11", "14A¹¹"), =HYPERLINK("CSG16.html#group28E16", "28E¹⁶"), =HYPERLINK("CSG13.html#group14B13", "14B¹³"), =HYPERLINK("CSG13.html#group14C13", "14C¹³"), =HYPERLINK("CSG16.html#group28D16", "28D¹⁶"), =HYPERLINK("CSG14.html#group28C14", "28C¹⁴"), =HYPERLINK("CSG14.html#group28B14", "28B¹⁴"), =HYPERLINK("CSG23.html#group14A23", "14A²³")</f>
        <v/>
      </c>
    </row>
    <row r="1146">
      <c r="A1146" t="inlineStr">
        <is>
          <t>14B⁶</t>
        </is>
      </c>
      <c r="B1146" t="inlineStr"/>
      <c r="C1146" t="inlineStr">
        <is>
          <t>168</t>
        </is>
      </c>
      <c r="D1146" t="inlineStr">
        <is>
          <t>1</t>
        </is>
      </c>
      <c r="E1146" t="inlineStr">
        <is>
          <t>168</t>
        </is>
      </c>
      <c r="F1146" t="inlineStr">
        <is>
          <t>8</t>
        </is>
      </c>
      <c r="G1146" t="inlineStr">
        <is>
          <t>3</t>
        </is>
      </c>
      <c r="H1146" t="inlineStr">
        <is>
          <t>14¹²</t>
        </is>
      </c>
      <c r="I1146" t="n">
        <v>12</v>
      </c>
      <c r="J1146" t="inlineStr">
        <is>
          <t>3², 6²⁷</t>
        </is>
      </c>
      <c r="K1146">
        <f>HYPERLINK("CSG1.html#group14F1", "14F¹"), =HYPERLINK("CSG1.html#group14G1", "14G¹")</f>
        <v/>
      </c>
      <c r="L1146">
        <f>HYPERLINK("CSG15.html#group14A15", "14A¹⁵"), =HYPERLINK("CSG19.html#group28A19", "28A¹⁹"), =HYPERLINK("CSG19.html#group28B19", "28B¹⁹"), =HYPERLINK("CSG23.html#group14A23", "14A²³")</f>
        <v/>
      </c>
      <c r="M1146">
        <f>HYPERLINK("CSG0.html#group7F0", "7F⁰"), =HYPERLINK("CSG0.html#group14A0", "14A⁰"), =HYPERLINK("CSG1.html#group14F1", "14F¹"), =HYPERLINK("CSG1.html#group14G1", "14G¹"), =HYPERLINK("CSG0.html#group1A0", "1A⁰"), =HYPERLINK("CSG0.html#group7A0", "7A⁰")</f>
        <v/>
      </c>
      <c r="N1146">
        <f>HYPERLINK("CSG19.html#group28B19", "28B¹⁹"), =HYPERLINK("CSG23.html#group14A23", "14A²³"), =HYPERLINK("CSG19.html#group28A19", "28A¹⁹"), =HYPERLINK("CSG15.html#group14A15", "14A¹⁵")</f>
        <v/>
      </c>
    </row>
    <row r="1147">
      <c r="A1147" t="inlineStr">
        <is>
          <t>16A⁶</t>
        </is>
      </c>
      <c r="B1147" t="inlineStr"/>
      <c r="C1147" t="inlineStr">
        <is>
          <t>96</t>
        </is>
      </c>
      <c r="D1147" t="inlineStr">
        <is>
          <t>1</t>
        </is>
      </c>
      <c r="E1147" t="inlineStr">
        <is>
          <t>4</t>
        </is>
      </c>
      <c r="F1147" t="inlineStr">
        <is>
          <t>0</t>
        </is>
      </c>
      <c r="G1147" t="inlineStr">
        <is>
          <t>0</t>
        </is>
      </c>
      <c r="H1147" t="inlineStr">
        <is>
          <t>16⁶</t>
        </is>
      </c>
      <c r="I1147" t="n">
        <v>6</v>
      </c>
      <c r="J1147" t="inlineStr">
        <is>
          <t>2²</t>
        </is>
      </c>
      <c r="K1147">
        <f>HYPERLINK("CSG0.html#group16F0", "16F⁰"), =HYPERLINK("CSG2.html#group8A2", "8A²"), =HYPERLINK("CSG3.html#group16G3", "16G³")</f>
        <v/>
      </c>
      <c r="L1147">
        <f>HYPERLINK("CSG11.html#group16A11", "16A¹¹"), =HYPERLINK("CSG22.html#group48A22", "48A²²")</f>
        <v/>
      </c>
      <c r="M1147">
        <f>HYPERLINK("CSG0.html#group2A0", "2A⁰"), =HYPERLINK("CSG0.html#group16A0", "16A⁰"), =HYPERLINK("CSG0.html#group4C0", "4C⁰"), =HYPERLINK("CSG0.html#group8A0", "8A⁰"), =HYPERLINK("CSG0.html#group8E0", "8E⁰"), =HYPERLINK("CSG3.html#group16G3", "16G³"), =HYPERLINK("CSG0.html#group4G0", "4G⁰"), =HYPERLINK("CSG0.html#group2B0", "2B⁰"), =HYPERLINK("CSG0.html#group4E0", "4E⁰"), =HYPERLINK("CSG0.html#group4B0", "4B⁰"), =HYPERLINK("CSG0.html#group1A0", "1A⁰"), =HYPERLINK("CSG1.html#group8D1", "8D¹"), =HYPERLINK("CSG2.html#group8A2", "8A²"), =HYPERLINK("CSG0.html#group4A0", "4A⁰"), =HYPERLINK("CSG0.html#group4D0", "4D⁰"), =HYPERLINK("CSG0.html#group16F0", "16F⁰"), =HYPERLINK("CSG0.html#group4F0", "4F⁰"), =HYPERLINK("CSG0.html#group2C0", "2C⁰")</f>
        <v/>
      </c>
      <c r="N1147">
        <f>HYPERLINK("CSG22.html#group48A22", "48A²²"), =HYPERLINK("CSG21.html#group16B21", "16B²¹"), =HYPERLINK("CSG11.html#group16A11", "16A¹¹"), =HYPERLINK("CSG21.html#group16D21", "16D²¹"), =HYPERLINK("CSG21.html#group16E21", "16E²¹")</f>
        <v/>
      </c>
    </row>
    <row r="1148">
      <c r="A1148" t="inlineStr">
        <is>
          <t>16B⁶</t>
        </is>
      </c>
      <c r="B1148" t="inlineStr"/>
      <c r="C1148" t="inlineStr">
        <is>
          <t>96</t>
        </is>
      </c>
      <c r="D1148" t="inlineStr">
        <is>
          <t>1</t>
        </is>
      </c>
      <c r="E1148" t="inlineStr">
        <is>
          <t>24</t>
        </is>
      </c>
      <c r="F1148" t="inlineStr">
        <is>
          <t>0</t>
        </is>
      </c>
      <c r="G1148" t="inlineStr">
        <is>
          <t>0</t>
        </is>
      </c>
      <c r="H1148" t="inlineStr">
        <is>
          <t>16⁶</t>
        </is>
      </c>
      <c r="I1148" t="n">
        <v>6</v>
      </c>
      <c r="J1148" t="inlineStr">
        <is>
          <t>4², 8²</t>
        </is>
      </c>
      <c r="K1148">
        <f>HYPERLINK("CSG2.html#group8B2", "8B²"), =HYPERLINK("CSG3.html#group16G3", "16G³")</f>
        <v/>
      </c>
      <c r="L1148">
        <f>HYPERLINK("CSG11.html#group16A11", "16A¹¹"), =HYPERLINK("CSG11.html#group16D11", "16D¹¹"), =HYPERLINK("CSG22.html#group48C22", "48C²²")</f>
        <v/>
      </c>
      <c r="M1148">
        <f>HYPERLINK("CSG0.html#group16A0", "16A⁰"), =HYPERLINK("CSG1.html#group8C1", "8C¹"), =HYPERLINK("CSG1.html#group8A1", "8A¹"), =HYPERLINK("CSG0.html#group8D0", "8D⁰"), =HYPERLINK("CSG0.html#group4A0", "4A⁰"), =HYPERLINK("CSG0.html#group8K0", "8K⁰"), =HYPERLINK("CSG0.html#group4C0", "4C⁰"), =HYPERLINK("CSG2.html#group8B2", "8B²"), =HYPERLINK("CSG0.html#group8A0", "8A⁰"), =HYPERLINK("CSG3.html#group16G3", "16G³"), =HYPERLINK("CSG0.html#group2B0", "2B⁰"), =HYPERLINK("CSG0.html#group4F0", "4F⁰"), =HYPERLINK("CSG0.html#group1A0", "1A⁰"), =HYPERLINK("CSG1.html#group8D1", "8D¹")</f>
        <v/>
      </c>
      <c r="N1148">
        <f>HYPERLINK("CSG23.html#group32F23", "32F²³"), =HYPERLINK("CSG21.html#group16B21", "16B²¹"), =HYPERLINK("CSG11.html#group16A11", "16A¹¹"), =HYPERLINK("CSG21.html#group16E21", "16E²¹"), =HYPERLINK("CSG21.html#group16D21", "16D²¹"), =HYPERLINK("CSG11.html#group16D11", "16D¹¹"), =HYPERLINK("CSG22.html#group48C22", "48C²²")</f>
        <v/>
      </c>
    </row>
    <row r="1149">
      <c r="A1149" t="inlineStr">
        <is>
          <t>16C⁶</t>
        </is>
      </c>
      <c r="B1149" t="inlineStr"/>
      <c r="C1149" t="inlineStr">
        <is>
          <t>192</t>
        </is>
      </c>
      <c r="D1149" t="inlineStr">
        <is>
          <t>1</t>
        </is>
      </c>
      <c r="E1149" t="inlineStr">
        <is>
          <t>48</t>
        </is>
      </c>
      <c r="F1149" t="inlineStr">
        <is>
          <t>4</t>
        </is>
      </c>
      <c r="G1149" t="inlineStr">
        <is>
          <t>0</t>
        </is>
      </c>
      <c r="H1149" t="inlineStr">
        <is>
          <t>8¹⁶, 16⁴</t>
        </is>
      </c>
      <c r="I1149" t="n">
        <v>20</v>
      </c>
      <c r="J1149" t="inlineStr">
        <is>
          <t>4², 8⁵</t>
        </is>
      </c>
      <c r="K1149">
        <f>HYPERLINK("CSG2.html#group8C2", "8C²"), =HYPERLINK("CSG3.html#group16P3", "16P³"), =HYPERLINK("CSG3.html#group16Q3", "16Q³")</f>
        <v/>
      </c>
      <c r="L1149">
        <f>HYPERLINK("CSG13.html#group16B13", "16B¹³"), =HYPERLINK("CSG18.html#group32A18", "32A¹⁸"), =HYPERLINK("CSG18.html#group32B18", "32B¹⁸"), =HYPERLINK("CSG19.html#group16A19", "16A¹⁹"), =HYPERLINK("CSG21.html#group16F21", "16F²¹")</f>
        <v/>
      </c>
      <c r="M1149">
        <f>HYPERLINK("CSG0.html#group8D0", "8D⁰"), =HYPERLINK("CSG0.html#group4C0", "4C⁰"), =HYPERLINK("CSG2.html#group8C2", "8C²"), =HYPERLINK("CSG0.html#group8B0", "8B⁰"), =HYPERLINK("CSG3.html#group16P3", "16P³"), =HYPERLINK("CSG0.html#group8A0", "8A⁰"), =HYPERLINK("CSG0.html#group8L0", "8L⁰"), =HYPERLINK("CSG0.html#group2B0", "2B⁰"), =HYPERLINK("CSG0.html#group1A0", "1A⁰"), =HYPERLINK("CSG0.html#group8K0", "8K⁰"), =HYPERLINK("CSG1.html#group8D1", "8D¹"), =HYPERLINK("CSG1.html#group8H1", "8H¹"), =HYPERLINK("CSG0.html#group8H0", "8H⁰"), =HYPERLINK("CSG1.html#group16L1", "16L¹"), =HYPERLINK("CSG0.html#group8F0", "8F⁰"), =HYPERLINK("CSG0.html#group4A0", "4A⁰"), =HYPERLINK("CSG1.html#group8I1", "8I¹"), =HYPERLINK("CSG0.html#group4F0", "4F⁰"), =HYPERLINK("CSG0.html#group8M0", "8M⁰"), =HYPERLINK("CSG3.html#group16Q3", "16Q³"), =HYPERLINK("CSG0.html#group8P0", "8P⁰"), =HYPERLINK("CSG1.html#group16K1", "16K¹")</f>
        <v/>
      </c>
      <c r="N1149">
        <f>HYPERLINK("CSG18.html#group32A18", "32A¹⁸"), =HYPERLINK("CSG21.html#group16F21", "16F²¹"), =HYPERLINK("CSG19.html#group16A19", "16A¹⁹"), =HYPERLINK("CSG13.html#group16B13", "16B¹³"), =HYPERLINK("CSG18.html#group32B18", "32B¹⁸")</f>
        <v/>
      </c>
    </row>
    <row r="1150">
      <c r="A1150" t="inlineStr">
        <is>
          <t>17A⁶</t>
        </is>
      </c>
      <c r="B1150" t="inlineStr"/>
      <c r="C1150" t="inlineStr">
        <is>
          <t>136</t>
        </is>
      </c>
      <c r="D1150" t="inlineStr">
        <is>
          <t>1</t>
        </is>
      </c>
      <c r="E1150" t="inlineStr">
        <is>
          <t>136</t>
        </is>
      </c>
      <c r="F1150" t="inlineStr">
        <is>
          <t>8</t>
        </is>
      </c>
      <c r="G1150" t="inlineStr">
        <is>
          <t>1</t>
        </is>
      </c>
      <c r="H1150" t="inlineStr">
        <is>
          <t>17⁸</t>
        </is>
      </c>
      <c r="I1150" t="n">
        <v>8</v>
      </c>
      <c r="J1150" t="inlineStr">
        <is>
          <t>8¹, 16⁸</t>
        </is>
      </c>
      <c r="K1150">
        <f>HYPERLINK("CSG0.html#group1A0", "1A⁰")</f>
        <v/>
      </c>
      <c r="L1150">
        <f>HYPERLINK("CSG15.html#group17A15", "17A¹⁵"), =HYPERLINK("CSG15.html#group34A15", "34A¹⁵"), =HYPERLINK("CSG19.html#group34A19", "34A¹⁹"), =HYPERLINK("CSG20.html#group17A20", "17A²⁰")</f>
        <v/>
      </c>
      <c r="M1150">
        <f>HYPERLINK("CSG0.html#group1A0", "1A⁰")</f>
        <v/>
      </c>
      <c r="N1150">
        <f>HYPERLINK("CSG19.html#group34A19", "34A¹⁹"), =HYPERLINK("CSG15.html#group17A15", "17A¹⁵"), =HYPERLINK("CSG15.html#group34A15", "34A¹⁵"), =HYPERLINK("CSG20.html#group17A20", "17A²⁰")</f>
        <v/>
      </c>
    </row>
    <row r="1151">
      <c r="A1151" t="inlineStr">
        <is>
          <t>18A⁶</t>
        </is>
      </c>
      <c r="B1151" t="inlineStr"/>
      <c r="C1151" t="inlineStr">
        <is>
          <t>108</t>
        </is>
      </c>
      <c r="D1151" t="inlineStr">
        <is>
          <t>1</t>
        </is>
      </c>
      <c r="E1151" t="inlineStr">
        <is>
          <t>9</t>
        </is>
      </c>
      <c r="F1151" t="inlineStr">
        <is>
          <t>0</t>
        </is>
      </c>
      <c r="G1151" t="inlineStr">
        <is>
          <t>0</t>
        </is>
      </c>
      <c r="H1151" t="inlineStr">
        <is>
          <t>9⁴, 18⁴</t>
        </is>
      </c>
      <c r="I1151" t="n">
        <v>8</v>
      </c>
      <c r="J1151" t="inlineStr">
        <is>
          <t>1³, 2³</t>
        </is>
      </c>
      <c r="K1151">
        <f>HYPERLINK("CSG0.html#group6K0", "6K⁰"), =HYPERLINK("CSG2.html#group9A2", "9A²"), =HYPERLINK("CSG2.html#group18I2", "18I²"), =HYPERLINK("CSG3.html#group18E3", "18E³")</f>
        <v/>
      </c>
      <c r="L1151">
        <f>HYPERLINK("CSG13.html#group18B13", "18B¹³"), =HYPERLINK("CSG13.html#group36C13", "36C¹³"), =HYPERLINK("CSG15.html#group36A15", "36A¹⁵"), =HYPERLINK("CSG16.html#group18A16", "18A¹⁶"), =HYPERLINK("CSG16.html#group18B16", "18B¹⁶")</f>
        <v/>
      </c>
      <c r="M1151">
        <f>HYPERLINK("CSG0.html#group3B0", "3B⁰"), =HYPERLINK("CSG0.html#group6G0", "6G⁰"), =HYPERLINK("CSG0.html#group2B0", "2B⁰"), =HYPERLINK("CSG0.html#group1A0", "1A⁰"), =HYPERLINK("CSG1.html#group9B1", "9B¹"), =HYPERLINK("CSG3.html#group18E3", "18E³"), =HYPERLINK("CSG0.html#group9D0", "9D⁰"), =HYPERLINK("CSG2.html#group9A2", "9A²"), =HYPERLINK("CSG0.html#group9A0", "9A⁰"), =HYPERLINK("CSG0.html#group6F0", "6F⁰"), =HYPERLINK("CSG0.html#group3C0", "3C⁰"), =HYPERLINK("CSG0.html#group6K0", "6K⁰"), =HYPERLINK("CSG1.html#group18E1", "18E¹"), =HYPERLINK("CSG0.html#group3A0", "3A⁰"), =HYPERLINK("CSG0.html#group3D0", "3D⁰"), =HYPERLINK("CSG2.html#group18I2", "18I²"), =HYPERLINK("CSG0.html#group6D0", "6D⁰")</f>
        <v/>
      </c>
      <c r="N1151">
        <f>HYPERLINK("CSG15.html#group36A15", "36A¹⁵"), =HYPERLINK("CSG13.html#group18B13", "18B¹³"), =HYPERLINK("CSG16.html#group18A16", "18A¹⁶"), =HYPERLINK("CSG16.html#group18B16", "18B¹⁶"), =HYPERLINK("CSG13.html#group36C13", "36C¹³")</f>
        <v/>
      </c>
    </row>
    <row r="1152">
      <c r="A1152" t="inlineStr">
        <is>
          <t>18B⁶</t>
        </is>
      </c>
      <c r="B1152" t="inlineStr"/>
      <c r="C1152" t="inlineStr">
        <is>
          <t>108</t>
        </is>
      </c>
      <c r="D1152" t="inlineStr">
        <is>
          <t>1</t>
        </is>
      </c>
      <c r="E1152" t="inlineStr">
        <is>
          <t>27</t>
        </is>
      </c>
      <c r="F1152" t="inlineStr">
        <is>
          <t>4</t>
        </is>
      </c>
      <c r="G1152" t="inlineStr">
        <is>
          <t>0</t>
        </is>
      </c>
      <c r="H1152" t="inlineStr">
        <is>
          <t>18⁶</t>
        </is>
      </c>
      <c r="I1152" t="n">
        <v>6</v>
      </c>
      <c r="J1152" t="inlineStr">
        <is>
          <t>3¹, 6⁴</t>
        </is>
      </c>
      <c r="K1152">
        <f>HYPERLINK("CSG1.html#group18F1", "18F¹"), =HYPERLINK("CSG2.html#group9B2", "9B²"), =HYPERLINK("CSG2.html#group18G2", "18G²"), =HYPERLINK("CSG2.html#group18K2", "18K²")</f>
        <v/>
      </c>
      <c r="L1152">
        <f>HYPERLINK("CSG13.html#group18A13", "18A¹³"), =HYPERLINK("CSG15.html#group36E15", "36E¹⁵"), =HYPERLINK("CSG16.html#group18C16", "18C¹⁶"), =HYPERLINK("CSG18.html#group18A18", "18A¹⁸"), =HYPERLINK("CSG21.html#group54A21", "54A²¹"), =HYPERLINK("CSG21.html#group54B21", "54B²¹"), =HYPERLINK("CSG24.html#group54A24", "54A²⁴"), =HYPERLINK("CSG24.html#group54B24", "54B²⁴")</f>
        <v/>
      </c>
      <c r="M1152">
        <f>HYPERLINK("CSG0.html#group6B0", "6B⁰"), =HYPERLINK("CSG0.html#group9G0", "9G⁰"), =HYPERLINK("CSG2.html#group18K2", "18K²"), =HYPERLINK("CSG2.html#group9B2", "9B²"), =HYPERLINK("CSG0.html#group9E0", "9E⁰"), =HYPERLINK("CSG0.html#group1A0", "1A⁰"), =HYPERLINK("CSG0.html#group18A0", "18A⁰"), =HYPERLINK("CSG1.html#group9B1", "9B¹"), =HYPERLINK("CSG0.html#group6E0", "6E⁰"), =HYPERLINK("CSG0.html#group9A0", "9A⁰"), =HYPERLINK("CSG0.html#group3C0", "3C⁰"), =HYPERLINK("CSG1.html#group18F1", "18F¹"), =HYPERLINK("CSG2.html#group18G2", "18G²"), =HYPERLINK("CSG0.html#group3A0", "3A⁰"), =HYPERLINK("CSG1.html#group18A1", "18A¹")</f>
        <v/>
      </c>
      <c r="N1152">
        <f>HYPERLINK("CSG16.html#group18C16", "18C¹⁶"), =HYPERLINK("CSG15.html#group36E15", "36E¹⁵"), =HYPERLINK("CSG24.html#group54B24", "54B²⁴"), =HYPERLINK("CSG18.html#group18A18", "18A¹⁸"), =HYPERLINK("CSG21.html#group54B21", "54B²¹"), =HYPERLINK("CSG13.html#group18A13", "18A¹³"), =HYPERLINK("CSG21.html#group54A21", "54A²¹"), =HYPERLINK("CSG24.html#group54A24", "54A²⁴")</f>
        <v/>
      </c>
    </row>
    <row r="1153">
      <c r="A1153" t="inlineStr">
        <is>
          <t>18C⁶</t>
        </is>
      </c>
      <c r="B1153" t="inlineStr"/>
      <c r="C1153" t="inlineStr">
        <is>
          <t>108</t>
        </is>
      </c>
      <c r="D1153" t="inlineStr">
        <is>
          <t>1</t>
        </is>
      </c>
      <c r="E1153" t="inlineStr">
        <is>
          <t>108</t>
        </is>
      </c>
      <c r="F1153" t="inlineStr">
        <is>
          <t>4</t>
        </is>
      </c>
      <c r="G1153" t="inlineStr">
        <is>
          <t>0</t>
        </is>
      </c>
      <c r="H1153" t="inlineStr">
        <is>
          <t>18⁶</t>
        </is>
      </c>
      <c r="I1153" t="n">
        <v>6</v>
      </c>
      <c r="J1153" t="inlineStr">
        <is>
          <t>3², 6¹⁷</t>
        </is>
      </c>
      <c r="K1153">
        <f>HYPERLINK("CSG1.html#group18F1", "18F¹"), =HYPERLINK("CSG1.html#group18G1", "18G¹"), =HYPERLINK("CSG2.html#group18H2", "18H²")</f>
        <v/>
      </c>
      <c r="L1153">
        <f>HYPERLINK("CSG13.html#group18E13", "18E¹³"), =HYPERLINK("CSG15.html#group36G15", "36G¹⁵"), =HYPERLINK("CSG15.html#group36H15", "36H¹⁵"), =HYPERLINK("CSG16.html#group18F16", "18F¹⁶"), =HYPERLINK("CSG18.html#group18A18", "18A¹⁸")</f>
        <v/>
      </c>
      <c r="M1153">
        <f>HYPERLINK("CSG0.html#group6B0", "6B⁰"), =HYPERLINK("CSG2.html#group18H2", "18H²"), =HYPERLINK("CSG0.html#group6E0", "6E⁰"), =HYPERLINK("CSG1.html#group18B1", "18B¹"), =HYPERLINK("CSG0.html#group3C0", "3C⁰"), =HYPERLINK("CSG1.html#group18G1", "18G¹"), =HYPERLINK("CSG1.html#group18F1", "18F¹"), =HYPERLINK("CSG0.html#group9E0", "9E⁰"), =HYPERLINK("CSG0.html#group3A0", "3A⁰"), =HYPERLINK("CSG0.html#group1A0", "1A⁰")</f>
        <v/>
      </c>
      <c r="N1153">
        <f>HYPERLINK("CSG16.html#group18F16", "18F¹⁶"), =HYPERLINK("CSG13.html#group18E13", "18E¹³"), =HYPERLINK("CSG15.html#group36H15", "36H¹⁵"), =HYPERLINK("CSG18.html#group18A18", "18A¹⁸"), =HYPERLINK("CSG15.html#group36G15", "36G¹⁵")</f>
        <v/>
      </c>
    </row>
    <row r="1154">
      <c r="A1154" t="inlineStr">
        <is>
          <t>18D⁶</t>
        </is>
      </c>
      <c r="B1154" t="inlineStr"/>
      <c r="C1154" t="inlineStr">
        <is>
          <t>108</t>
        </is>
      </c>
      <c r="D1154" t="inlineStr">
        <is>
          <t>2</t>
        </is>
      </c>
      <c r="E1154" t="inlineStr">
        <is>
          <t>27</t>
        </is>
      </c>
      <c r="F1154" t="inlineStr">
        <is>
          <t>4</t>
        </is>
      </c>
      <c r="G1154" t="inlineStr">
        <is>
          <t>0</t>
        </is>
      </c>
      <c r="H1154" t="inlineStr">
        <is>
          <t>18⁶</t>
        </is>
      </c>
      <c r="I1154" t="n">
        <v>6</v>
      </c>
      <c r="J1154" t="inlineStr">
        <is>
          <t>2⁹, 6⁶</t>
        </is>
      </c>
      <c r="K1154">
        <f>HYPERLINK("CSG0.html#group6L0", "6L⁰"), =HYPERLINK("CSG2.html#group18G2", "18G²"), =HYPERLINK("CSG2.html#group18H2", "18H²"), =HYPERLINK("CSG2.html#group18L2", "18L²"), =HYPERLINK("CSG3.html#group18D3", "18D³"), =HYPERLINK("CSG3.html#group18E3", "18E³")</f>
        <v/>
      </c>
      <c r="L1154">
        <f>HYPERLINK("CSG13.html#group18B13", "18B¹³"), =HYPERLINK("CSG13.html#group36P13", "36P¹³"), =HYPERLINK("CSG13.html#group36S13", "36S¹³"), =HYPERLINK("CSG15.html#group36I15", "36I¹⁵"), =HYPERLINK("CSG15.html#group36L15", "36L¹⁵"), =HYPERLINK("CSG16.html#group18G16", "18G¹⁶"), =HYPERLINK("CSG18.html#group18A18", "18A¹⁸")</f>
        <v/>
      </c>
      <c r="M1154">
        <f>HYPERLINK("CSG0.html#group6B0", "6B⁰"), =HYPERLINK("CSG1.html#group18B1", "18B¹"), =HYPERLINK("CSG0.html#group6G0", "6G⁰"), =HYPERLINK("CSG0.html#group2B0", "2B⁰"), =HYPERLINK("CSG0.html#group1A0", "1A⁰"), =HYPERLINK("CSG1.html#group9B1", "9B¹"), =HYPERLINK("CSG0.html#group18A0", "18A⁰"), =HYPERLINK("CSG2.html#group18L2", "18L²"), =HYPERLINK("CSG3.html#group18E3", "18E³"), =HYPERLINK("CSG3.html#group18D3", "18D³"), =HYPERLINK("CSG2.html#group18H2", "18H²"), =HYPERLINK("CSG0.html#group6E0", "6E⁰"), =HYPERLINK("CSG0.html#group6L0", "6L⁰"), =HYPERLINK("CSG0.html#group9A0", "9A⁰"), =HYPERLINK("CSG1.html#group18E1", "18E¹"), =HYPERLINK("CSG0.html#group3C0", "3C⁰"), =HYPERLINK("CSG2.html#group18G2", "18G²"), =HYPERLINK("CSG0.html#group6H0", "6H⁰"), =HYPERLINK("CSG0.html#group3A0", "3A⁰"), =HYPERLINK("CSG1.html#group18A1", "18A¹"), =HYPERLINK("CSG0.html#group6D0", "6D⁰")</f>
        <v/>
      </c>
      <c r="N1154">
        <f>HYPERLINK("CSG15.html#group36L15", "36L¹⁵"), =HYPERLINK("CSG16.html#group18G16", "18G¹⁶"), =HYPERLINK("CSG13.html#group18B13", "18B¹³"), =HYPERLINK("CSG13.html#group36P13", "36P¹³"), =HYPERLINK("CSG18.html#group18A18", "18A¹⁸"), =HYPERLINK("CSG13.html#group36S13", "36S¹³"), =HYPERLINK("CSG15.html#group36I15", "36I¹⁵")</f>
        <v/>
      </c>
    </row>
    <row r="1155">
      <c r="A1155" t="inlineStr">
        <is>
          <t>18E⁶</t>
        </is>
      </c>
      <c r="B1155" t="inlineStr"/>
      <c r="C1155" t="inlineStr">
        <is>
          <t>108</t>
        </is>
      </c>
      <c r="D1155" t="inlineStr">
        <is>
          <t>2</t>
        </is>
      </c>
      <c r="E1155" t="inlineStr">
        <is>
          <t>54</t>
        </is>
      </c>
      <c r="F1155" t="inlineStr">
        <is>
          <t>4</t>
        </is>
      </c>
      <c r="G1155" t="inlineStr">
        <is>
          <t>0</t>
        </is>
      </c>
      <c r="H1155" t="inlineStr">
        <is>
          <t>18⁶</t>
        </is>
      </c>
      <c r="I1155" t="n">
        <v>6</v>
      </c>
      <c r="J1155" t="inlineStr">
        <is>
          <t>6¹⁸</t>
        </is>
      </c>
      <c r="K1155">
        <f>HYPERLINK("CSG1.html#group18G1", "18G¹"), =HYPERLINK("CSG2.html#group18G2", "18G²"), =HYPERLINK("CSG2.html#group18H2", "18H²"), =HYPERLINK("CSG2.html#group18M2", "18M²")</f>
        <v/>
      </c>
      <c r="L1155">
        <f>HYPERLINK("CSG13.html#group18H13", "18H¹³"), =HYPERLINK("CSG15.html#group36O15", "36O¹⁵"), =HYPERLINK("CSG16.html#group18H16", "18H¹⁶"), =HYPERLINK("CSG18.html#group18A18", "18A¹⁸")</f>
        <v/>
      </c>
      <c r="M1155">
        <f>HYPERLINK("CSG0.html#group6B0", "6B⁰"), =HYPERLINK("CSG0.html#group3A0", "3A⁰"), =HYPERLINK("CSG2.html#group18H2", "18H²"), =HYPERLINK("CSG0.html#group6E0", "6E⁰"), =HYPERLINK("CSG1.html#group9B1", "9B¹"), =HYPERLINK("CSG0.html#group9A0", "9A⁰"), =HYPERLINK("CSG1.html#group18B1", "18B¹"), =HYPERLINK("CSG0.html#group3C0", "3C⁰"), =HYPERLINK("CSG1.html#group18G1", "18G¹"), =HYPERLINK("CSG2.html#group18G2", "18G²"), =HYPERLINK("CSG2.html#group18M2", "18M²"), =HYPERLINK("CSG0.html#group1A0", "1A⁰"), =HYPERLINK("CSG0.html#group18A0", "18A⁰"), =HYPERLINK("CSG1.html#group18A1", "18A¹")</f>
        <v/>
      </c>
      <c r="N1155">
        <f>HYPERLINK("CSG15.html#group36O15", "36O¹⁵"), =HYPERLINK("CSG13.html#group18H13", "18H¹³"), =HYPERLINK("CSG16.html#group18H16", "18H¹⁶"), =HYPERLINK("CSG18.html#group18A18", "18A¹⁸")</f>
        <v/>
      </c>
    </row>
    <row r="1156">
      <c r="A1156" t="inlineStr">
        <is>
          <t>20A⁶</t>
        </is>
      </c>
      <c r="B1156" t="inlineStr"/>
      <c r="C1156" t="inlineStr">
        <is>
          <t>120</t>
        </is>
      </c>
      <c r="D1156" t="inlineStr">
        <is>
          <t>1</t>
        </is>
      </c>
      <c r="E1156" t="inlineStr">
        <is>
          <t>40</t>
        </is>
      </c>
      <c r="F1156" t="inlineStr">
        <is>
          <t>0</t>
        </is>
      </c>
      <c r="G1156" t="inlineStr">
        <is>
          <t>6</t>
        </is>
      </c>
      <c r="H1156" t="inlineStr">
        <is>
          <t>20⁶</t>
        </is>
      </c>
      <c r="I1156" t="n">
        <v>6</v>
      </c>
      <c r="J1156" t="inlineStr">
        <is>
          <t>4², 8⁴</t>
        </is>
      </c>
      <c r="K1156">
        <f>HYPERLINK("CSG0.html#group10E0", "10E⁰"), =HYPERLINK("CSG2.html#group20D2", "20D²")</f>
        <v/>
      </c>
      <c r="L1156">
        <f>HYPERLINK("CSG14.html#group40A14", "40A¹⁴"), =HYPERLINK("CSG22.html#group20A22", "20A²²")</f>
        <v/>
      </c>
      <c r="M1156">
        <f>HYPERLINK("CSG0.html#group2A0", "2A⁰"), =HYPERLINK("CSG0.html#group5A0", "5A⁰"), =HYPERLINK("CSG0.html#group10A0", "10A⁰"), =HYPERLINK("CSG2.html#group20D2", "20D²"), =HYPERLINK("CSG0.html#group10E0", "10E⁰"), =HYPERLINK("CSG0.html#group4A0", "4A⁰"), =HYPERLINK("CSG0.html#group4D0", "4D⁰"), =HYPERLINK("CSG1.html#group20A1", "20A¹"), =HYPERLINK("CSG0.html#group1A0", "1A⁰")</f>
        <v/>
      </c>
      <c r="N1156">
        <f>HYPERLINK("CSG22.html#group20A22", "20A²²"), =HYPERLINK("CSG14.html#group40A14", "40A¹⁴")</f>
        <v/>
      </c>
    </row>
    <row r="1157">
      <c r="A1157" t="inlineStr">
        <is>
          <t>20B⁶</t>
        </is>
      </c>
      <c r="B1157" t="inlineStr"/>
      <c r="C1157" t="inlineStr">
        <is>
          <t>120</t>
        </is>
      </c>
      <c r="D1157" t="inlineStr">
        <is>
          <t>1</t>
        </is>
      </c>
      <c r="E1157" t="inlineStr">
        <is>
          <t>60</t>
        </is>
      </c>
      <c r="F1157" t="inlineStr">
        <is>
          <t>8</t>
        </is>
      </c>
      <c r="G1157" t="inlineStr">
        <is>
          <t>0</t>
        </is>
      </c>
      <c r="H1157" t="inlineStr">
        <is>
          <t>20⁶</t>
        </is>
      </c>
      <c r="I1157" t="n">
        <v>6</v>
      </c>
      <c r="J1157" t="inlineStr">
        <is>
          <t>2², 4², 8⁶</t>
        </is>
      </c>
      <c r="K1157">
        <f>HYPERLINK("CSG1.html#group10E1", "10E¹"), =HYPERLINK("CSG3.html#group20D3", "20D³")</f>
        <v/>
      </c>
      <c r="L1157">
        <f>HYPERLINK("CSG13.html#group20B13", "20B¹³"), =HYPERLINK("CSG15.html#group20F15", "20F¹⁵"), =HYPERLINK("CSG16.html#group40D16", "40D¹⁶"), =HYPERLINK("CSG16.html#group40E16", "40E¹⁶"), =HYPERLINK("CSG20.html#group20B20", "20B²⁰"), =HYPERLINK("CSG22.html#group60C22", "60C²²")</f>
        <v/>
      </c>
      <c r="M1157">
        <f>HYPERLINK("CSG0.html#group5A0", "5A⁰"), =HYPERLINK("CSG0.html#group4A0", "4A⁰"), =HYPERLINK("CSG0.html#group5E0", "5E⁰"), =HYPERLINK("CSG1.html#group20A1", "20A¹"), =HYPERLINK("CSG1.html#group10E1", "10E¹"), =HYPERLINK("CSG0.html#group1A0", "1A⁰"), =HYPERLINK("CSG3.html#group20D3", "20D³")</f>
        <v/>
      </c>
      <c r="N1157">
        <f>HYPERLINK("CSG20.html#group20B20", "20B²⁰"), =HYPERLINK("CSG13.html#group20B13", "20B¹³"), =HYPERLINK("CSG15.html#group20F15", "20F¹⁵"), =HYPERLINK("CSG22.html#group60C22", "60C²²"), =HYPERLINK("CSG16.html#group40D16", "40D¹⁶"), =HYPERLINK("CSG16.html#group40E16", "40E¹⁶")</f>
        <v/>
      </c>
    </row>
    <row r="1158">
      <c r="A1158" t="inlineStr">
        <is>
          <t>20C⁶</t>
        </is>
      </c>
      <c r="B1158" t="inlineStr"/>
      <c r="C1158" t="inlineStr">
        <is>
          <t>120</t>
        </is>
      </c>
      <c r="D1158" t="inlineStr">
        <is>
          <t>1</t>
        </is>
      </c>
      <c r="E1158" t="inlineStr">
        <is>
          <t>120</t>
        </is>
      </c>
      <c r="F1158" t="inlineStr">
        <is>
          <t>0</t>
        </is>
      </c>
      <c r="G1158" t="inlineStr">
        <is>
          <t>6</t>
        </is>
      </c>
      <c r="H1158" t="inlineStr">
        <is>
          <t>20⁶</t>
        </is>
      </c>
      <c r="I1158" t="n">
        <v>6</v>
      </c>
      <c r="J1158" t="inlineStr">
        <is>
          <t>4², 8¹⁴</t>
        </is>
      </c>
      <c r="K1158">
        <f>HYPERLINK("CSG0.html#group10E0", "10E⁰")</f>
        <v/>
      </c>
      <c r="L1158">
        <f>HYPERLINK("CSG14.html#group40B14", "40B¹⁴"), =HYPERLINK("CSG22.html#group20B22", "20B²²")</f>
        <v/>
      </c>
      <c r="M1158">
        <f>HYPERLINK("CSG0.html#group2A0", "2A⁰"), =HYPERLINK("CSG0.html#group5A0", "5A⁰"), =HYPERLINK("CSG0.html#group10A0", "10A⁰"), =HYPERLINK("CSG0.html#group1A0", "1A⁰"), =HYPERLINK("CSG0.html#group10E0", "10E⁰")</f>
        <v/>
      </c>
      <c r="N1158">
        <f>HYPERLINK("CSG14.html#group40B14", "40B¹⁴"), =HYPERLINK("CSG22.html#group20B22", "20B²²")</f>
        <v/>
      </c>
    </row>
    <row r="1159">
      <c r="A1159" t="inlineStr">
        <is>
          <t>20D⁶</t>
        </is>
      </c>
      <c r="B1159" t="inlineStr"/>
      <c r="C1159" t="inlineStr">
        <is>
          <t>180</t>
        </is>
      </c>
      <c r="D1159" t="inlineStr">
        <is>
          <t>1</t>
        </is>
      </c>
      <c r="E1159" t="inlineStr">
        <is>
          <t>45</t>
        </is>
      </c>
      <c r="F1159" t="inlineStr">
        <is>
          <t>4</t>
        </is>
      </c>
      <c r="G1159" t="inlineStr">
        <is>
          <t>0</t>
        </is>
      </c>
      <c r="H1159" t="inlineStr">
        <is>
          <t>5¹², 20⁶</t>
        </is>
      </c>
      <c r="I1159" t="n">
        <v>18</v>
      </c>
      <c r="J1159" t="inlineStr">
        <is>
          <t>1³, 2³, 4⁹</t>
        </is>
      </c>
      <c r="K1159">
        <f>HYPERLINK("CSG0.html#group20A0", "20A⁰"), =HYPERLINK("CSG2.html#group10F2", "10F²"), =HYPERLINK("CSG2.html#group20F2", "20F²"), =HYPERLINK("CSG3.html#group20P3", "20P³")</f>
        <v/>
      </c>
      <c r="L1159">
        <f>HYPERLINK("CSG13.html#group20G13", "20G¹³"), =HYPERLINK("CSG15.html#group40AJ15", "40AJ¹⁵"), =HYPERLINK("CSG17.html#group20B17", "20B¹⁷"), =HYPERLINK("CSG19.html#group20C19", "20C¹⁹"), =HYPERLINK("CSG21.html#group40G21", "40G²¹")</f>
        <v/>
      </c>
      <c r="M1159">
        <f>HYPERLINK("CSG0.html#group5A0", "5A⁰"), =HYPERLINK("CSG1.html#group10B1", "10B¹"), =HYPERLINK("CSG0.html#group5B0", "5B⁰"), =HYPERLINK("CSG0.html#group2B0", "2B⁰"), =HYPERLINK("CSG2.html#group20F2", "20F²"), =HYPERLINK("CSG0.html#group1A0", "1A⁰"), =HYPERLINK("CSG1.html#group10F1", "10F¹"), =HYPERLINK("CSG0.html#group20A0", "20A⁰"), =HYPERLINK("CSG1.html#group10I1", "10I¹"), =HYPERLINK("CSG2.html#group10F2", "10F²"), =HYPERLINK("CSG0.html#group5E0", "5E⁰"), =HYPERLINK("CSG3.html#group20P3", "20P³"), =HYPERLINK("CSG0.html#group10C0", "10C⁰"), =HYPERLINK("CSG0.html#group5C0", "5C⁰"), =HYPERLINK("CSG0.html#group5G0", "5G⁰")</f>
        <v/>
      </c>
      <c r="N1159">
        <f>HYPERLINK("CSG17.html#group20B17", "20B¹⁷"), =HYPERLINK("CSG21.html#group40G21", "40G²¹"), =HYPERLINK("CSG13.html#group20G13", "20G¹³"), =HYPERLINK("CSG15.html#group40AJ15", "40AJ¹⁵"), =HYPERLINK("CSG19.html#group20C19", "20C¹⁹")</f>
        <v/>
      </c>
    </row>
    <row r="1160">
      <c r="A1160" t="inlineStr">
        <is>
          <t>21A⁶</t>
        </is>
      </c>
      <c r="B1160" t="inlineStr"/>
      <c r="C1160" t="inlineStr">
        <is>
          <t>84</t>
        </is>
      </c>
      <c r="D1160" t="inlineStr">
        <is>
          <t>2</t>
        </is>
      </c>
      <c r="E1160" t="inlineStr">
        <is>
          <t>7</t>
        </is>
      </c>
      <c r="F1160" t="inlineStr">
        <is>
          <t>0</t>
        </is>
      </c>
      <c r="G1160" t="inlineStr">
        <is>
          <t>0</t>
        </is>
      </c>
      <c r="H1160" t="inlineStr">
        <is>
          <t>21⁴</t>
        </is>
      </c>
      <c r="I1160" t="n">
        <v>4</v>
      </c>
      <c r="J1160" t="inlineStr">
        <is>
          <t>2¹, 6²</t>
        </is>
      </c>
      <c r="K1160">
        <f>HYPERLINK("CSG0.html#group3D0", "3D⁰"), =HYPERLINK("CSG2.html#group21B2", "21B²"), =HYPERLINK("CSG2.html#group21D2", "21D²")</f>
        <v/>
      </c>
      <c r="L1160">
        <f>HYPERLINK("CSG11.html#group21B11", "21B¹¹"), =HYPERLINK("CSG13.html#group42B13", "42B¹³"), =HYPERLINK("CSG13.html#group42C13", "42C¹³"), =HYPERLINK("CSG16.html#group21A16", "21A¹⁶"), =HYPERLINK("CSG18.html#group42B18", "42B¹⁸"), =HYPERLINK("CSG18.html#group63A18", "63A¹⁸"), =HYPERLINK("CSG19.html#group63C19", "63C¹⁹"), =HYPERLINK("CSG20.html#group63A20", "63A²⁰"), =HYPERLINK("CSG21.html#group21A21", "21A²¹")</f>
        <v/>
      </c>
      <c r="M1160">
        <f>HYPERLINK("CSG0.html#group3B0", "3B⁰"), =HYPERLINK("CSG2.html#group21D2", "21D²"), =HYPERLINK("CSG2.html#group21B2", "21B²"), =HYPERLINK("CSG0.html#group21A0", "21A⁰"), =HYPERLINK("CSG0.html#group3C0", "3C⁰"), =HYPERLINK("CSG0.html#group7A0", "7A⁰"), =HYPERLINK("CSG0.html#group3A0", "3A⁰"), =HYPERLINK("CSG0.html#group1A0", "1A⁰"), =HYPERLINK("CSG0.html#group3D0", "3D⁰")</f>
        <v/>
      </c>
      <c r="N1160">
        <f>HYPERLINK("CSG11.html#group21B11", "21B¹¹"), =HYPERLINK("CSG13.html#group42C13", "42C¹³"), =HYPERLINK("CSG18.html#group63A18", "63A¹⁸"), =HYPERLINK("CSG19.html#group63C19", "63C¹⁹"), =HYPERLINK("CSG21.html#group21A21", "21A²¹"), =HYPERLINK("CSG13.html#group42B13", "42B¹³"), =HYPERLINK("CSG18.html#group42B18", "42B¹⁸"), =HYPERLINK("CSG16.html#group21A16", "21A¹⁶"), =HYPERLINK("CSG20.html#group63A20", "63A²⁰")</f>
        <v/>
      </c>
    </row>
    <row r="1161">
      <c r="A1161" t="inlineStr">
        <is>
          <t>21B⁶</t>
        </is>
      </c>
      <c r="B1161" t="inlineStr"/>
      <c r="C1161" t="inlineStr">
        <is>
          <t>112</t>
        </is>
      </c>
      <c r="D1161" t="inlineStr">
        <is>
          <t>1</t>
        </is>
      </c>
      <c r="E1161" t="inlineStr">
        <is>
          <t>112</t>
        </is>
      </c>
      <c r="F1161" t="inlineStr">
        <is>
          <t>0</t>
        </is>
      </c>
      <c r="G1161" t="inlineStr">
        <is>
          <t>1</t>
        </is>
      </c>
      <c r="H1161" t="inlineStr">
        <is>
          <t>7⁴, 21⁴</t>
        </is>
      </c>
      <c r="I1161" t="n">
        <v>8</v>
      </c>
      <c r="J1161" t="inlineStr">
        <is>
          <t>1², 2¹, 3², 6⁹, 12⁴</t>
        </is>
      </c>
      <c r="K1161">
        <f>HYPERLINK("CSG0.html#group7F0", "7F⁰"), =HYPERLINK("CSG2.html#group21B2", "21B²")</f>
        <v/>
      </c>
      <c r="L1161">
        <f>HYPERLINK("CSG11.html#group21C11", "21C¹¹"), =HYPERLINK("CSG15.html#group42A15", "42A¹⁵"), =HYPERLINK("CSG15.html#group42B15", "42B¹⁵"), =HYPERLINK("CSG17.html#group21A17", "21A¹⁷"), =HYPERLINK("CSG21.html#group21A21", "21A²¹"), =HYPERLINK("CSG21.html#group42C21", "42C²¹"), =HYPERLINK("CSG21.html#group63C21", "63C²¹"), =HYPERLINK("CSG24.html#group63A24", "63A²⁴")</f>
        <v/>
      </c>
      <c r="M1161">
        <f>HYPERLINK("CSG0.html#group7F0", "7F⁰"), =HYPERLINK("CSG0.html#group3B0", "3B⁰"), =HYPERLINK("CSG2.html#group21B2", "21B²"), =HYPERLINK("CSG0.html#group1A0", "1A⁰"), =HYPERLINK("CSG0.html#group7A0", "7A⁰")</f>
        <v/>
      </c>
      <c r="N1161">
        <f>HYPERLINK("CSG21.html#group63C21", "63C²¹"), =HYPERLINK("CSG21.html#group21C21", "21C²¹"), =HYPERLINK("CSG21.html#group21A21", "21A²¹"), =HYPERLINK("CSG17.html#group21A17", "21A¹⁷"), =HYPERLINK("CSG15.html#group42B15", "42B¹⁵"), =HYPERLINK("CSG15.html#group42A15", "42A¹⁵"), =HYPERLINK("CSG21.html#group42C21", "42C²¹"), =HYPERLINK("CSG24.html#group63A24", "63A²⁴"), =HYPERLINK("CSG11.html#group21C11", "21C¹¹")</f>
        <v/>
      </c>
    </row>
    <row r="1162">
      <c r="A1162" t="inlineStr">
        <is>
          <t>21C⁶</t>
        </is>
      </c>
      <c r="B1162" t="inlineStr"/>
      <c r="C1162" t="inlineStr">
        <is>
          <t>126</t>
        </is>
      </c>
      <c r="D1162" t="inlineStr">
        <is>
          <t>1</t>
        </is>
      </c>
      <c r="E1162" t="inlineStr">
        <is>
          <t>63</t>
        </is>
      </c>
      <c r="F1162" t="inlineStr">
        <is>
          <t>10</t>
        </is>
      </c>
      <c r="G1162" t="inlineStr">
        <is>
          <t>0</t>
        </is>
      </c>
      <c r="H1162" t="inlineStr">
        <is>
          <t>21⁶</t>
        </is>
      </c>
      <c r="I1162" t="n">
        <v>6</v>
      </c>
      <c r="J1162" t="inlineStr">
        <is>
          <t>3¹, 6⁴, 12³</t>
        </is>
      </c>
      <c r="K1162">
        <f>HYPERLINK("CSG1.html#group21E1", "21E¹"), =HYPERLINK("CSG2.html#group21D2", "21D²")</f>
        <v/>
      </c>
      <c r="L1162">
        <f>HYPERLINK("CSG12.html#group21A12", "21A¹²"), =HYPERLINK("CSG13.html#group21B13", "21B¹³"), =HYPERLINK("CSG14.html#group21A14", "21A¹⁴"), =HYPERLINK("CSG14.html#group42A14", "42A¹⁴"), =HYPERLINK("CSG15.html#group21B15", "21B¹⁵"), =HYPERLINK("CSG15.html#group42C15", "42C¹⁵"), =HYPERLINK("CSG16.html#group21A16", "21A¹⁶"), =HYPERLINK("CSG16.html#group42D16", "42D¹⁶"), =HYPERLINK("CSG17.html#group42E17", "42E¹⁷"), =HYPERLINK("CSG18.html#group42A18", "42A¹⁸"), =HYPERLINK("CSG19.html#group42E19", "42E¹⁹"), =HYPERLINK("CSG22.html#group63A22", "63A²²"), =HYPERLINK("CSG24.html#group42C24", "42C²⁴"), =HYPERLINK("CSG24.html#group63C24", "63C²⁴")</f>
        <v/>
      </c>
      <c r="M1162">
        <f>HYPERLINK("CSG2.html#group21D2", "21D²"), =HYPERLINK("CSG0.html#group7D0", "7D⁰"), =HYPERLINK("CSG1.html#group21E1", "21E¹"), =HYPERLINK("CSG0.html#group21A0", "21A⁰"), =HYPERLINK("CSG0.html#group3C0", "3C⁰"), =HYPERLINK("CSG0.html#group3A0", "3A⁰"), =HYPERLINK("CSG0.html#group1A0", "1A⁰"), =HYPERLINK("CSG0.html#group7A0", "7A⁰")</f>
        <v/>
      </c>
      <c r="N1162">
        <f>HYPERLINK("CSG14.html#group21A14", "21A¹⁴"), =HYPERLINK("CSG14.html#group42A14", "42A¹⁴"), =HYPERLINK("CSG24.html#group63C24", "63C²⁴"), =HYPERLINK("CSG15.html#group21B15", "21B¹⁵"), =HYPERLINK("CSG15.html#group42C15", "42C¹⁵"), =HYPERLINK("CSG16.html#group21A16", "21A¹⁶"), =HYPERLINK("CSG19.html#group42E19", "42E¹⁹"), =HYPERLINK("CSG18.html#group42A18", "42A¹⁸"), =HYPERLINK("CSG22.html#group63A22", "63A²²"), =HYPERLINK("CSG24.html#group42C24", "42C²⁴"), =HYPERLINK("CSG16.html#group42D16", "42D¹⁶"), =HYPERLINK("CSG12.html#group21A12", "21A¹²"), =HYPERLINK("CSG17.html#group42E17", "42E¹⁷"), =HYPERLINK("CSG13.html#group21B13", "21B¹³")</f>
        <v/>
      </c>
    </row>
    <row r="1163">
      <c r="A1163" t="inlineStr">
        <is>
          <t>22A⁶</t>
        </is>
      </c>
      <c r="B1163" t="inlineStr"/>
      <c r="C1163" t="inlineStr">
        <is>
          <t>120</t>
        </is>
      </c>
      <c r="D1163" t="inlineStr">
        <is>
          <t>1</t>
        </is>
      </c>
      <c r="E1163" t="inlineStr">
        <is>
          <t>12</t>
        </is>
      </c>
      <c r="F1163" t="inlineStr">
        <is>
          <t>0</t>
        </is>
      </c>
      <c r="G1163" t="inlineStr">
        <is>
          <t>0</t>
        </is>
      </c>
      <c r="H1163" t="inlineStr">
        <is>
          <t>2⁵, 22⁵</t>
        </is>
      </c>
      <c r="I1163" t="n">
        <v>10</v>
      </c>
      <c r="J1163" t="inlineStr">
        <is>
          <t>1², 10¹</t>
        </is>
      </c>
      <c r="K1163">
        <f>HYPERLINK("CSG1.html#group11D1", "11D¹"), =HYPERLINK("CSG2.html#group22A2", "22A²")</f>
        <v/>
      </c>
      <c r="L1163">
        <f>HYPERLINK("CSG16.html#group22A16", "22A¹⁶"), =HYPERLINK("CSG16.html#group44A16", "44A¹⁶")</f>
        <v/>
      </c>
      <c r="M1163">
        <f>HYPERLINK("CSG1.html#group11D1", "11D¹"), =HYPERLINK("CSG0.html#group2A0", "2A⁰"), =HYPERLINK("CSG0.html#group1A0", "1A⁰"), =HYPERLINK("CSG1.html#group11A1", "11A¹"), =HYPERLINK("CSG2.html#group22A2", "22A²")</f>
        <v/>
      </c>
      <c r="N1163">
        <f>HYPERLINK("CSG16.html#group22A16", "22A¹⁶"), =HYPERLINK("CSG16.html#group44A16", "44A¹⁶")</f>
        <v/>
      </c>
    </row>
    <row r="1164">
      <c r="A1164" t="inlineStr">
        <is>
          <t>22B⁶</t>
        </is>
      </c>
      <c r="B1164" t="inlineStr"/>
      <c r="C1164" t="inlineStr">
        <is>
          <t>132</t>
        </is>
      </c>
      <c r="D1164" t="inlineStr">
        <is>
          <t>1</t>
        </is>
      </c>
      <c r="E1164" t="inlineStr">
        <is>
          <t>66</t>
        </is>
      </c>
      <c r="F1164" t="inlineStr">
        <is>
          <t>12</t>
        </is>
      </c>
      <c r="G1164" t="inlineStr">
        <is>
          <t>0</t>
        </is>
      </c>
      <c r="H1164" t="inlineStr">
        <is>
          <t>22⁶</t>
        </is>
      </c>
      <c r="I1164" t="n">
        <v>6</v>
      </c>
      <c r="J1164" t="inlineStr">
        <is>
          <t>1¹, 5¹, 10⁶</t>
        </is>
      </c>
      <c r="K1164">
        <f>HYPERLINK("CSG2.html#group11A2", "11A²")</f>
        <v/>
      </c>
      <c r="L1164">
        <f>HYPERLINK("CSG17.html#group22A17", "22A¹⁷"), =HYPERLINK("CSG17.html#group44A17", "44A¹⁷"), =HYPERLINK("CSG17.html#group44B17", "44B¹⁷"), =HYPERLINK("CSG22.html#group22B22", "22B²²"), =HYPERLINK("CSG22.html#group66E22", "66E²²")</f>
        <v/>
      </c>
      <c r="M1164">
        <f>HYPERLINK("CSG0.html#group11A0", "11A⁰"), =HYPERLINK("CSG0.html#group1A0", "1A⁰"), =HYPERLINK("CSG2.html#group11A2", "11A²")</f>
        <v/>
      </c>
      <c r="N1164">
        <f>HYPERLINK("CSG17.html#group44B17", "44B¹⁷"), =HYPERLINK("CSG22.html#group66E22", "66E²²"), =HYPERLINK("CSG22.html#group22B22", "22B²²"), =HYPERLINK("CSG17.html#group44A17", "44A¹⁷"), =HYPERLINK("CSG17.html#group22A17", "22A¹⁷")</f>
        <v/>
      </c>
    </row>
    <row r="1165">
      <c r="A1165" t="inlineStr">
        <is>
          <t>22C⁶</t>
        </is>
      </c>
      <c r="B1165" t="inlineStr">
        <is>
          <t>Γ₁(22)</t>
        </is>
      </c>
      <c r="C1165" t="inlineStr">
        <is>
          <t>180</t>
        </is>
      </c>
      <c r="D1165" t="inlineStr">
        <is>
          <t>1</t>
        </is>
      </c>
      <c r="E1165" t="inlineStr">
        <is>
          <t>36</t>
        </is>
      </c>
      <c r="F1165" t="inlineStr">
        <is>
          <t>0</t>
        </is>
      </c>
      <c r="G1165" t="inlineStr">
        <is>
          <t>0</t>
        </is>
      </c>
      <c r="H1165" t="inlineStr">
        <is>
          <t>1⁵, 2⁵, 11⁵, 22⁵</t>
        </is>
      </c>
      <c r="I1165" t="n">
        <v>20</v>
      </c>
      <c r="J1165" t="inlineStr">
        <is>
          <t>1⁶, 10³</t>
        </is>
      </c>
      <c r="K1165">
        <f>HYPERLINK("CSG1.html#group11D1", "11D¹"), =HYPERLINK("CSG2.html#group22C2", "22C²")</f>
        <v/>
      </c>
      <c r="L1165">
        <f>HYPERLINK("CSG16.html#group22A16", "22A¹⁶"), =HYPERLINK("CSG16.html#group44C16", "44C¹⁶"), =HYPERLINK("CSG21.html#group44C21", "44C²¹")</f>
        <v/>
      </c>
      <c r="M1165">
        <f>HYPERLINK("CSG0.html#group2B0", "2B⁰"), =HYPERLINK("CSG2.html#group22C2", "22C²"), =HYPERLINK("CSG0.html#group1A0", "1A⁰"), =HYPERLINK("CSG1.html#group11A1", "11A¹"), =HYPERLINK("CSG1.html#group11D1", "11D¹")</f>
        <v/>
      </c>
      <c r="N1165">
        <f>HYPERLINK("CSG16.html#group22A16", "22A¹⁶"), =HYPERLINK("CSG16.html#group44C16", "44C¹⁶"), =HYPERLINK("CSG21.html#group44C21", "44C²¹")</f>
        <v/>
      </c>
    </row>
    <row r="1166">
      <c r="A1166" t="inlineStr">
        <is>
          <t>24A⁶</t>
        </is>
      </c>
      <c r="B1166" t="inlineStr"/>
      <c r="C1166" t="inlineStr">
        <is>
          <t>96</t>
        </is>
      </c>
      <c r="D1166" t="inlineStr">
        <is>
          <t>1</t>
        </is>
      </c>
      <c r="E1166" t="inlineStr">
        <is>
          <t>32</t>
        </is>
      </c>
      <c r="F1166" t="inlineStr">
        <is>
          <t>0</t>
        </is>
      </c>
      <c r="G1166" t="inlineStr">
        <is>
          <t>3</t>
        </is>
      </c>
      <c r="H1166" t="inlineStr">
        <is>
          <t>24⁴</t>
        </is>
      </c>
      <c r="I1166" t="n">
        <v>4</v>
      </c>
      <c r="J1166" t="inlineStr">
        <is>
          <t>8⁴</t>
        </is>
      </c>
      <c r="K1166">
        <f>HYPERLINK("CSG1.html#group8E1", "8E¹"), =HYPERLINK("CSG1.html#group12E1", "12E¹")</f>
        <v/>
      </c>
      <c r="L1166">
        <f>HYPERLINK("CSG11.html#group24C11", "24C¹¹"), =HYPERLINK("CSG19.html#group24A19", "24A¹⁹"), =HYPERLINK("CSG24.html#group24A24", "24A²⁴")</f>
        <v/>
      </c>
      <c r="M1166">
        <f>HYPERLINK("CSG0.html#group2A0", "2A⁰"), =HYPERLINK("CSG0.html#group8F0", "8F⁰"), =HYPERLINK("CSG0.html#group6A0", "6A⁰"), =HYPERLINK("CSG0.html#group4A0", "4A⁰"), =HYPERLINK("CSG0.html#group4D0", "4D⁰"), =HYPERLINK("CSG1.html#group12E1", "12E¹"), =HYPERLINK("CSG1.html#group8E1", "8E¹"), =HYPERLINK("CSG0.html#group1A0", "1A⁰")</f>
        <v/>
      </c>
      <c r="N1166">
        <f>HYPERLINK("CSG24.html#group24A24", "24A²⁴"), =HYPERLINK("CSG11.html#group24C11", "24C¹¹"), =HYPERLINK("CSG19.html#group24A19", "24A¹⁹")</f>
        <v/>
      </c>
    </row>
    <row r="1167">
      <c r="A1167" t="inlineStr">
        <is>
          <t>24B⁶</t>
        </is>
      </c>
      <c r="B1167" t="inlineStr"/>
      <c r="C1167" t="inlineStr">
        <is>
          <t>96</t>
        </is>
      </c>
      <c r="D1167" t="inlineStr">
        <is>
          <t>1</t>
        </is>
      </c>
      <c r="E1167" t="inlineStr">
        <is>
          <t>48</t>
        </is>
      </c>
      <c r="F1167" t="inlineStr">
        <is>
          <t>0</t>
        </is>
      </c>
      <c r="G1167" t="inlineStr">
        <is>
          <t>0</t>
        </is>
      </c>
      <c r="H1167" t="inlineStr">
        <is>
          <t>8³, 24³</t>
        </is>
      </c>
      <c r="I1167" t="n">
        <v>6</v>
      </c>
      <c r="J1167" t="inlineStr">
        <is>
          <t>2⁴, 4⁶, 8²</t>
        </is>
      </c>
      <c r="K1167">
        <f>HYPERLINK("CSG1.html#group8D1", "8D¹"), =HYPERLINK("CSG2.html#group12G2", "12G²"), =HYPERLINK("CSG2.html#group24A2", "24A²")</f>
        <v/>
      </c>
      <c r="L1167">
        <f>HYPERLINK("CSG11.html#group24B11", "24B¹¹"), =HYPERLINK("CSG11.html#group24F11", "24F¹¹"), =HYPERLINK("CSG11.html#group24G11", "24G¹¹"), =HYPERLINK("CSG14.html#group48A14", "48A¹⁴"), =HYPERLINK("CSG19.html#group24J19", "24J¹⁹"), =HYPERLINK("CSG19.html#group72O19", "72O¹⁹"), =HYPERLINK("CSG22.html#group72A22", "72A²²"), =HYPERLINK("CSG22.html#group72B22", "72B²²")</f>
        <v/>
      </c>
      <c r="M1167">
        <f>HYPERLINK("CSG0.html#group3B0", "3B⁰"), =HYPERLINK("CSG2.html#group24A2", "24A²"), =HYPERLINK("CSG0.html#group4A0", "4A⁰"), =HYPERLINK("CSG1.html#group12F1", "12F¹"), =HYPERLINK("CSG1.html#group12A1", "12A¹"), =HYPERLINK("CSG0.html#group4C0", "4C⁰"), =HYPERLINK("CSG0.html#group8A0", "8A⁰"), =HYPERLINK("CSG0.html#group6F0", "6F⁰"), =HYPERLINK("CSG2.html#group12G2", "12G²"), =HYPERLINK("CSG0.html#group2B0", "2B⁰"), =HYPERLINK("CSG0.html#group4F0", "4F⁰"), =HYPERLINK("CSG0.html#group1A0", "1A⁰"), =HYPERLINK("CSG1.html#group8D1", "8D¹")</f>
        <v/>
      </c>
      <c r="N1167">
        <f>HYPERLINK("CSG23.html#group48B23", "48B²³"), =HYPERLINK("CSG11.html#group24B11", "24B¹¹"), =HYPERLINK("CSG11.html#group24G11", "24G¹¹"), =HYPERLINK("CSG23.html#group48A23", "48A²³"), =HYPERLINK("CSG21.html#group24B21", "24B²¹"), =HYPERLINK("CSG22.html#group72A22", "72A²²"), =HYPERLINK("CSG19.html#group72O19", "72O¹⁹"), =HYPERLINK("CSG23.html#group48D23", "48D²³"), =HYPERLINK("CSG14.html#group48A14", "48A¹⁴"), =HYPERLINK("CSG22.html#group72B22", "72B²²"), =HYPERLINK("CSG21.html#group24J21", "24J²¹"), =HYPERLINK("CSG19.html#group24J19", "24J¹⁹"), =HYPERLINK("CSG23.html#group48C23", "48C²³"), =HYPERLINK("CSG21.html#group24C21", "24C²¹"), =HYPERLINK("CSG21.html#group24G21", "24G²¹"), =HYPERLINK("CSG11.html#group24F11", "24F¹¹"), =HYPERLINK("CSG21.html#group24I21", "24I²¹")</f>
        <v/>
      </c>
    </row>
    <row r="1168">
      <c r="A1168" t="inlineStr">
        <is>
          <t>24C⁶</t>
        </is>
      </c>
      <c r="B1168" t="inlineStr"/>
      <c r="C1168" t="inlineStr">
        <is>
          <t>96</t>
        </is>
      </c>
      <c r="D1168" t="inlineStr">
        <is>
          <t>1</t>
        </is>
      </c>
      <c r="E1168" t="inlineStr">
        <is>
          <t>96</t>
        </is>
      </c>
      <c r="F1168" t="inlineStr">
        <is>
          <t>0</t>
        </is>
      </c>
      <c r="G1168" t="inlineStr">
        <is>
          <t>3</t>
        </is>
      </c>
      <c r="H1168" t="inlineStr">
        <is>
          <t>24⁴</t>
        </is>
      </c>
      <c r="I1168" t="n">
        <v>4</v>
      </c>
      <c r="J1168" t="inlineStr">
        <is>
          <t>8¹²</t>
        </is>
      </c>
      <c r="K1168">
        <f>HYPERLINK("CSG1.html#group12E1", "12E¹")</f>
        <v/>
      </c>
      <c r="L1168">
        <f>HYPERLINK("CSG11.html#group24J11", "24J¹¹"), =HYPERLINK("CSG19.html#group24E19", "24E¹⁹"), =HYPERLINK("CSG24.html#group24A24", "24A²⁴")</f>
        <v/>
      </c>
      <c r="M1168">
        <f>HYPERLINK("CSG0.html#group2A0", "2A⁰"), =HYPERLINK("CSG0.html#group6A0", "6A⁰"), =HYPERLINK("CSG0.html#group1A0", "1A⁰"), =HYPERLINK("CSG0.html#group4A0", "4A⁰"), =HYPERLINK("CSG0.html#group4D0", "4D⁰"), =HYPERLINK("CSG1.html#group12E1", "12E¹")</f>
        <v/>
      </c>
      <c r="N1168">
        <f>HYPERLINK("CSG24.html#group24A24", "24A²⁴"), =HYPERLINK("CSG11.html#group24J11", "24J¹¹"), =HYPERLINK("CSG19.html#group24E19", "24E¹⁹")</f>
        <v/>
      </c>
    </row>
    <row r="1169">
      <c r="A1169" t="inlineStr">
        <is>
          <t>24D⁶</t>
        </is>
      </c>
      <c r="B1169" t="inlineStr"/>
      <c r="C1169" t="inlineStr">
        <is>
          <t>144</t>
        </is>
      </c>
      <c r="D1169" t="inlineStr">
        <is>
          <t>1</t>
        </is>
      </c>
      <c r="E1169" t="inlineStr">
        <is>
          <t>12</t>
        </is>
      </c>
      <c r="F1169" t="inlineStr">
        <is>
          <t>12</t>
        </is>
      </c>
      <c r="G1169" t="inlineStr">
        <is>
          <t>0</t>
        </is>
      </c>
      <c r="H1169" t="inlineStr">
        <is>
          <t>12⁴, 24⁴</t>
        </is>
      </c>
      <c r="I1169" t="n">
        <v>8</v>
      </c>
      <c r="J1169" t="inlineStr">
        <is>
          <t>2⁶</t>
        </is>
      </c>
      <c r="K1169">
        <f>HYPERLINK("CSG0.html#group8P0", "8P⁰"), =HYPERLINK("CSG2.html#group24L2", "24L²"), =HYPERLINK("CSG2.html#group24M2", "24M²")</f>
        <v/>
      </c>
      <c r="L1169">
        <f>HYPERLINK("CSG13.html#group24X13", "24X¹³"), =HYPERLINK("CSG15.html#group24M15", "24M¹⁵"), =HYPERLINK("CSG15.html#group48J15", "48J¹⁵"), =HYPERLINK("CSG16.html#group24A16", "24A¹⁶"), =HYPERLINK("CSG16.html#group24B16", "24B¹⁶"), =HYPERLINK("CSG16.html#group48A16", "48A¹⁶"), =HYPERLINK("CSG16.html#group48F16", "48F¹⁶"), =HYPERLINK("CSG17.html#group24B17", "24B¹⁷"), =HYPERLINK("CSG17.html#group48AT17", "48AT¹⁷"), =HYPERLINK("CSG19.html#group48AJ19", "48AJ¹⁹"), =HYPERLINK("CSG21.html#group48V21", "48V²¹")</f>
        <v/>
      </c>
      <c r="M1169">
        <f>HYPERLINK("CSG0.html#group12C0", "12C⁰"), =HYPERLINK("CSG0.html#group3A0", "3A⁰"), =HYPERLINK("CSG0.html#group8D0", "8D⁰"), =HYPERLINK("CSG0.html#group4C0", "4C⁰"), =HYPERLINK("CSG0.html#group8B0", "8B⁰"), =HYPERLINK("CSG0.html#group8L0", "8L⁰"), =HYPERLINK("CSG0.html#group2B0", "2B⁰"), =HYPERLINK("CSG2.html#group24L2", "24L²"), =HYPERLINK("CSG0.html#group1A0", "1A⁰"), =HYPERLINK("CSG0.html#group8H0", "8H⁰"), =HYPERLINK("CSG0.html#group12A0", "12A⁰"), =HYPERLINK("CSG0.html#group24A0", "24A⁰"), =HYPERLINK("CSG0.html#group4A0", "4A⁰"), =HYPERLINK("CSG2.html#group24M2", "24M²"), =HYPERLINK("CSG1.html#group24C1", "24C¹"), =HYPERLINK("CSG1.html#group12J1", "12J¹"), =HYPERLINK("CSG0.html#group4F0", "4F⁰"), =HYPERLINK("CSG0.html#group8P0", "8P⁰"), =HYPERLINK("CSG0.html#group6D0", "6D⁰")</f>
        <v/>
      </c>
      <c r="N1169">
        <f>HYPERLINK("CSG16.html#group48F16", "48F¹⁶"), =HYPERLINK("CSG17.html#group48AT17", "48AT¹⁷"), =HYPERLINK("CSG17.html#group24B17", "24B¹⁷"), =HYPERLINK("CSG19.html#group48AJ19", "48AJ¹⁹"), =HYPERLINK("CSG16.html#group24B16", "24B¹⁶"), =HYPERLINK("CSG15.html#group48J15", "48J¹⁵"), =HYPERLINK("CSG13.html#group24X13", "24X¹³"), =HYPERLINK("CSG16.html#group24A16", "24A¹⁶"), =HYPERLINK("CSG16.html#group48A16", "48A¹⁶"), =HYPERLINK("CSG21.html#group48V21", "48V²¹"), =HYPERLINK("CSG15.html#group24M15", "24M¹⁵")</f>
        <v/>
      </c>
    </row>
    <row r="1170">
      <c r="A1170" t="inlineStr">
        <is>
          <t>24E⁶</t>
        </is>
      </c>
      <c r="B1170" t="inlineStr"/>
      <c r="C1170" t="inlineStr">
        <is>
          <t>144</t>
        </is>
      </c>
      <c r="D1170" t="inlineStr">
        <is>
          <t>1</t>
        </is>
      </c>
      <c r="E1170" t="inlineStr">
        <is>
          <t>36</t>
        </is>
      </c>
      <c r="F1170" t="inlineStr">
        <is>
          <t>8</t>
        </is>
      </c>
      <c r="G1170" t="inlineStr">
        <is>
          <t>0</t>
        </is>
      </c>
      <c r="H1170" t="inlineStr">
        <is>
          <t>12⁸, 24²</t>
        </is>
      </c>
      <c r="I1170" t="n">
        <v>10</v>
      </c>
      <c r="J1170" t="inlineStr">
        <is>
          <t>2², 4⁴, 8²</t>
        </is>
      </c>
      <c r="K1170">
        <f>HYPERLINK("CSG2.html#group12I2", "12I²"), =HYPERLINK("CSG3.html#group24R3", "24R³")</f>
        <v/>
      </c>
      <c r="L1170">
        <f>HYPERLINK("CSG13.html#group24U13", "24U¹³"), =HYPERLINK("CSG15.html#group24A15", "24A¹⁵"), =HYPERLINK("CSG15.html#group24O15", "24O¹⁵"), =HYPERLINK("CSG16.html#group48J16", "48J¹⁶"), =HYPERLINK("CSG17.html#group24AK17", "24AK¹⁷"), =HYPERLINK("CSG19.html#group24L19", "24L¹⁹")</f>
        <v/>
      </c>
      <c r="M1170">
        <f>HYPERLINK("CSG2.html#group12I2", "12I²"), =HYPERLINK("CSG0.html#group6B0", "6B⁰"), =HYPERLINK("CSG0.html#group12C0", "12C⁰"), =HYPERLINK("CSG0.html#group3A0", "3A⁰"), =HYPERLINK("CSG0.html#group6H0", "6H⁰"), =HYPERLINK("CSG0.html#group4C0", "4C⁰"), =HYPERLINK("CSG0.html#group12F0", "12F⁰"), =HYPERLINK("CSG1.html#group12M1", "12M¹"), =HYPERLINK("CSG0.html#group2B0", "2B⁰"), =HYPERLINK("CSG0.html#group1A0", "1A⁰"), =HYPERLINK("CSG0.html#group12A0", "12A⁰"), =HYPERLINK("CSG0.html#group4A0", "4A⁰"), =HYPERLINK("CSG3.html#group24R3", "24R³"), =HYPERLINK("CSG1.html#group12J1", "12J¹"), =HYPERLINK("CSG0.html#group12D0", "12D⁰"), =HYPERLINK("CSG0.html#group4F0", "4F⁰"), =HYPERLINK("CSG0.html#group12H0", "12H⁰"), =HYPERLINK("CSG0.html#group6D0", "6D⁰")</f>
        <v/>
      </c>
      <c r="N1170">
        <f>HYPERLINK("CSG13.html#group24U13", "24U¹³"), =HYPERLINK("CSG16.html#group48J16", "48J¹⁶"), =HYPERLINK("CSG17.html#group24AK17", "24AK¹⁷"), =HYPERLINK("CSG19.html#group24L19", "24L¹⁹"), =HYPERLINK("CSG15.html#group24A15", "24A¹⁵"), =HYPERLINK("CSG15.html#group24O15", "24O¹⁵")</f>
        <v/>
      </c>
    </row>
    <row r="1171">
      <c r="A1171" t="inlineStr">
        <is>
          <t>24F⁶</t>
        </is>
      </c>
      <c r="B1171" t="inlineStr"/>
      <c r="C1171" t="inlineStr">
        <is>
          <t>144</t>
        </is>
      </c>
      <c r="D1171" t="inlineStr">
        <is>
          <t>1</t>
        </is>
      </c>
      <c r="E1171" t="inlineStr">
        <is>
          <t>36</t>
        </is>
      </c>
      <c r="F1171" t="inlineStr">
        <is>
          <t>8</t>
        </is>
      </c>
      <c r="G1171" t="inlineStr">
        <is>
          <t>0</t>
        </is>
      </c>
      <c r="H1171" t="inlineStr">
        <is>
          <t>12⁸, 24²</t>
        </is>
      </c>
      <c r="I1171" t="n">
        <v>10</v>
      </c>
      <c r="J1171" t="inlineStr">
        <is>
          <t>2², 4⁴, 8²</t>
        </is>
      </c>
      <c r="K1171">
        <f>HYPERLINK("CSG2.html#group12I2", "12I²"), =HYPERLINK("CSG3.html#group24J3", "24J³"), =HYPERLINK("CSG3.html#group24R3", "24R³")</f>
        <v/>
      </c>
      <c r="L1171">
        <f>HYPERLINK("CSG13.html#group24U13", "24U¹³"), =HYPERLINK("CSG15.html#group24B15", "24B¹⁵"), =HYPERLINK("CSG15.html#group24P15", "24P¹⁵"), =HYPERLINK("CSG16.html#group48C16", "48C¹⁶"), =HYPERLINK("CSG16.html#group48B16", "48B¹⁶"), =HYPERLINK("CSG16.html#group48D16", "48D¹⁶"), =HYPERLINK("CSG16.html#group48E16", "48E¹⁶"), =HYPERLINK("CSG17.html#group24AL17", "24AL¹⁷"), =HYPERLINK("CSG19.html#group24P19", "24P¹⁹")</f>
        <v/>
      </c>
      <c r="M1171">
        <f>HYPERLINK("CSG2.html#group12I2", "12I²"), =HYPERLINK("CSG0.html#group6B0", "6B⁰"), =HYPERLINK("CSG0.html#group12C0", "12C⁰"), =HYPERLINK("CSG0.html#group3A0", "3A⁰"), =HYPERLINK("CSG0.html#group6H0", "6H⁰"), =HYPERLINK("CSG0.html#group4C0", "4C⁰"), =HYPERLINK("CSG0.html#group12F0", "12F⁰"), =HYPERLINK("CSG1.html#group12M1", "12M¹"), =HYPERLINK("CSG0.html#group2B0", "2B⁰"), =HYPERLINK("CSG0.html#group1A0", "1A⁰"), =HYPERLINK("CSG0.html#group8K0", "8K⁰"), =HYPERLINK("CSG3.html#group24J3", "24J³"), =HYPERLINK("CSG0.html#group12A0", "12A⁰"), =HYPERLINK("CSG0.html#group4A0", "4A⁰"), =HYPERLINK("CSG3.html#group24R3", "24R³"), =HYPERLINK("CSG1.html#group12J1", "12J¹"), =HYPERLINK("CSG0.html#group12D0", "12D⁰"), =HYPERLINK("CSG0.html#group4F0", "4F⁰"), =HYPERLINK("CSG0.html#group12H0", "12H⁰"), =HYPERLINK("CSG0.html#group6D0", "6D⁰")</f>
        <v/>
      </c>
      <c r="N1171">
        <f>HYPERLINK("CSG19.html#group24P19", "24P¹⁹"), =HYPERLINK("CSG16.html#group48D16", "48D¹⁶"), =HYPERLINK("CSG16.html#group48E16", "48E¹⁶"), =HYPERLINK("CSG15.html#group24B15", "24B¹⁵"), =HYPERLINK("CSG17.html#group24AL17", "24AL¹⁷"), =HYPERLINK("CSG15.html#group24P15", "24P¹⁵"), =HYPERLINK("CSG13.html#group24U13", "24U¹³"), =HYPERLINK("CSG16.html#group48C16", "48C¹⁶"), =HYPERLINK("CSG16.html#group48B16", "48B¹⁶")</f>
        <v/>
      </c>
    </row>
    <row r="1172">
      <c r="A1172" t="inlineStr">
        <is>
          <t>24G⁶</t>
        </is>
      </c>
      <c r="B1172" t="inlineStr"/>
      <c r="C1172" t="inlineStr">
        <is>
          <t>144</t>
        </is>
      </c>
      <c r="D1172" t="inlineStr">
        <is>
          <t>1</t>
        </is>
      </c>
      <c r="E1172" t="inlineStr">
        <is>
          <t>36</t>
        </is>
      </c>
      <c r="F1172" t="inlineStr">
        <is>
          <t>12</t>
        </is>
      </c>
      <c r="G1172" t="inlineStr">
        <is>
          <t>0</t>
        </is>
      </c>
      <c r="H1172" t="inlineStr">
        <is>
          <t>12⁴, 24⁴</t>
        </is>
      </c>
      <c r="I1172" t="n">
        <v>8</v>
      </c>
      <c r="J1172" t="inlineStr">
        <is>
          <t>2⁶, 4⁶</t>
        </is>
      </c>
      <c r="K1172">
        <f>HYPERLINK("CSG2.html#group24L2", "24L²"), =HYPERLINK("CSG2.html#group24Q2", "24Q²")</f>
        <v/>
      </c>
      <c r="L1172">
        <f>HYPERLINK("CSG13.html#group24V13", "24V¹³"), =HYPERLINK("CSG13.html#group24X13", "24X¹³"), =HYPERLINK("CSG15.html#group24M15", "24M¹⁵"), =HYPERLINK("CSG15.html#group24N15", "24N¹⁵"), =HYPERLINK("CSG15.html#group48Y15", "48Y¹⁵"), =HYPERLINK("CSG16.html#group24C16", "24C¹⁶"), =HYPERLINK("CSG16.html#group24D16", "24D¹⁶"), =HYPERLINK("CSG16.html#group24E16", "24E¹⁶"), =HYPERLINK("CSG16.html#group48H16", "48H¹⁶"), =HYPERLINK("CSG16.html#group48G16", "48G¹⁶"), =HYPERLINK("CSG16.html#group48I16", "48I¹⁶"), =HYPERLINK("CSG17.html#group24F17", "24F¹⁷"), =HYPERLINK("CSG17.html#group48AU17", "48AU¹⁷"), =HYPERLINK("CSG17.html#group48BZ17", "48BZ¹⁷"), =HYPERLINK("CSG19.html#group48AK19", "48AK¹⁹"), =HYPERLINK("CSG19.html#group48BA19", "48BA¹⁹"), =HYPERLINK("CSG21.html#group48AX21", "48AX²¹")</f>
        <v/>
      </c>
      <c r="M1172">
        <f>HYPERLINK("CSG0.html#group12C0", "12C⁰"), =HYPERLINK("CSG0.html#group8D0", "8D⁰"), =HYPERLINK("CSG0.html#group4C0", "4C⁰"), =HYPERLINK("CSG0.html#group8B0", "8B⁰"), =HYPERLINK("CSG2.html#group24Q2", "24Q²"), =HYPERLINK("CSG0.html#group2B0", "2B⁰"), =HYPERLINK("CSG2.html#group24L2", "24L²"), =HYPERLINK("CSG0.html#group1A0", "1A⁰"), =HYPERLINK("CSG0.html#group8H0", "8H⁰"),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1172">
        <f>HYPERLINK("CSG19.html#group48AK19", "48AK¹⁹"), =HYPERLINK("CSG16.html#group24E16", "24E¹⁶"), =HYPERLINK("CSG17.html#group48AU17", "48AU¹⁷"), =HYPERLINK("CSG13.html#group24V13", "24V¹³"), =HYPERLINK("CSG15.html#group24N15", "24N¹⁵"), =HYPERLINK("CSG15.html#group48Y15", "48Y¹⁵"), =HYPERLINK("CSG17.html#group24F17", "24F¹⁷"), =HYPERLINK("CSG16.html#group48I16", "48I¹⁶"), =HYPERLINK("CSG17.html#group48BZ17", "48BZ¹⁷"), =HYPERLINK("CSG16.html#group24C16", "24C¹⁶"), =HYPERLINK("CSG19.html#group48BA19", "48BA¹⁹"), =HYPERLINK("CSG21.html#group48AX21", "48AX²¹"), =HYPERLINK("CSG16.html#group48H16", "48H¹⁶"), =HYPERLINK("CSG13.html#group24X13", "24X¹³"), =HYPERLINK("CSG16.html#group24D16", "24D¹⁶"), =HYPERLINK("CSG16.html#group48G16", "48G¹⁶"), =HYPERLINK("CSG15.html#group24M15", "24M¹⁵")</f>
        <v/>
      </c>
    </row>
    <row r="1173">
      <c r="A1173" t="inlineStr">
        <is>
          <t>24H⁶</t>
        </is>
      </c>
      <c r="B1173" t="inlineStr"/>
      <c r="C1173" t="inlineStr">
        <is>
          <t>144</t>
        </is>
      </c>
      <c r="D1173" t="inlineStr">
        <is>
          <t>1</t>
        </is>
      </c>
      <c r="E1173" t="inlineStr">
        <is>
          <t>36</t>
        </is>
      </c>
      <c r="F1173" t="inlineStr">
        <is>
          <t>12</t>
        </is>
      </c>
      <c r="G1173" t="inlineStr">
        <is>
          <t>0</t>
        </is>
      </c>
      <c r="H1173" t="inlineStr">
        <is>
          <t>12⁴, 24⁴</t>
        </is>
      </c>
      <c r="I1173" t="n">
        <v>8</v>
      </c>
      <c r="J1173" t="inlineStr">
        <is>
          <t>4¹⁴, 8²</t>
        </is>
      </c>
      <c r="K1173">
        <f>HYPERLINK("CSG2.html#group24P2", "24P²"), =HYPERLINK("CSG2.html#group24Q2", "24Q²")</f>
        <v/>
      </c>
      <c r="L1173">
        <f>HYPERLINK("CSG13.html#group24V13", "24V¹³"), =HYPERLINK("CSG13.html#group24Z13", "24Z¹³"), =HYPERLINK("CSG15.html#group24N15", "24N¹⁵"), =HYPERLINK("CSG15.html#group24U15", "24U¹⁵"), =HYPERLINK("CSG15.html#group48Z15", "48Z¹⁵"), =HYPERLINK("CSG17.html#group24Q17", "24Q¹⁷"), =HYPERLINK("CSG17.html#group48BA17", "48BA¹⁷"), =HYPERLINK("CSG17.html#group48CE17", "48CE¹⁷"), =HYPERLINK("CSG19.html#group48AN19", "48AN¹⁹"), =HYPERLINK("CSG19.html#group48BH19", "48BH¹⁹"), =HYPERLINK("CSG21.html#group48BH21", "48BH²¹")</f>
        <v/>
      </c>
      <c r="M1173">
        <f>HYPERLINK("CSG1.html#group24E1", "24E¹"), =HYPERLINK("CSG0.html#group12C0", "12C⁰"), =HYPERLINK("CSG0.html#group24A0", "24A⁰"), =HYPERLINK("CSG0.html#group4C0", "4C⁰"), =HYPERLINK("CSG0.html#group8B0", "8B⁰"), =HYPERLINK("CSG2.html#group24P2", "24P²"), =HYPERLINK("CSG2.html#group24Q2", "24Q²"), =HYPERLINK("CSG1.html#group12M1", "12M¹"), =HYPERLINK("CSG0.html#group2B0", "2B⁰"), =HYPERLINK("CSG0.html#group3A0", "3A⁰"), =HYPERLINK("CSG0.html#group1A0", "1A⁰"), =HYPERLINK("CSG0.html#group6D0", "6D⁰")</f>
        <v/>
      </c>
      <c r="N1173">
        <f>HYPERLINK("CSG17.html#group48BA17", "48BA¹⁷"), =HYPERLINK("CSG15.html#group48Z15", "48Z¹⁵"), =HYPERLINK("CSG21.html#group48BH21", "48BH²¹"), =HYPERLINK("CSG17.html#group24Q17", "24Q¹⁷"), =HYPERLINK("CSG13.html#group24V13", "24V¹³"), =HYPERLINK("CSG15.html#group24N15", "24N¹⁵"), =HYPERLINK("CSG19.html#group48BH19", "48BH¹⁹"), =HYPERLINK("CSG15.html#group24U15", "24U¹⁵"), =HYPERLINK("CSG19.html#group48AN19", "48AN¹⁹"), =HYPERLINK("CSG13.html#group24Z13", "24Z¹³"), =HYPERLINK("CSG17.html#group48CE17", "48CE¹⁷")</f>
        <v/>
      </c>
    </row>
    <row r="1174">
      <c r="A1174" t="inlineStr">
        <is>
          <t>24I⁶</t>
        </is>
      </c>
      <c r="B1174" t="inlineStr"/>
      <c r="C1174" t="inlineStr">
        <is>
          <t>144</t>
        </is>
      </c>
      <c r="D1174" t="inlineStr">
        <is>
          <t>1</t>
        </is>
      </c>
      <c r="E1174" t="inlineStr">
        <is>
          <t>36</t>
        </is>
      </c>
      <c r="F1174" t="inlineStr">
        <is>
          <t>12</t>
        </is>
      </c>
      <c r="G1174" t="inlineStr">
        <is>
          <t>0</t>
        </is>
      </c>
      <c r="H1174" t="inlineStr">
        <is>
          <t>12⁴, 24⁴</t>
        </is>
      </c>
      <c r="I1174" t="n">
        <v>8</v>
      </c>
      <c r="J1174" t="inlineStr">
        <is>
          <t>4¹⁴, 8²</t>
        </is>
      </c>
      <c r="K1174">
        <f>HYPERLINK("CSG2.html#group24P2", "24P²"), =HYPERLINK("CSG2.html#group24Q2", "24Q²")</f>
        <v/>
      </c>
      <c r="L1174">
        <f>HYPERLINK("CSG13.html#group24V13", "24V¹³"), =HYPERLINK("CSG13.html#group24AA13", "24AA¹³"), =HYPERLINK("CSG15.html#group24N15", "24N¹⁵"), =HYPERLINK("CSG15.html#group24U15", "24U¹⁵"), =HYPERLINK("CSG15.html#group48AA15", "48AA¹⁵"), =HYPERLINK("CSG17.html#group24Q17", "24Q¹⁷"), =HYPERLINK("CSG17.html#group48BB17", "48BB¹⁷"), =HYPERLINK("CSG17.html#group48CF17", "48CF¹⁷"), =HYPERLINK("CSG19.html#group48AO19", "48AO¹⁹"), =HYPERLINK("CSG19.html#group48BI19", "48BI¹⁹"), =HYPERLINK("CSG21.html#group48BI21", "48BI²¹")</f>
        <v/>
      </c>
      <c r="M1174">
        <f>HYPERLINK("CSG1.html#group24E1", "24E¹"), =HYPERLINK("CSG0.html#group12C0", "12C⁰"), =HYPERLINK("CSG0.html#group24A0", "24A⁰"), =HYPERLINK("CSG0.html#group4C0", "4C⁰"), =HYPERLINK("CSG0.html#group8B0", "8B⁰"), =HYPERLINK("CSG2.html#group24P2", "24P²"), =HYPERLINK("CSG2.html#group24Q2", "24Q²"), =HYPERLINK("CSG1.html#group12M1", "12M¹"), =HYPERLINK("CSG0.html#group2B0", "2B⁰"), =HYPERLINK("CSG0.html#group3A0", "3A⁰"), =HYPERLINK("CSG0.html#group1A0", "1A⁰"), =HYPERLINK("CSG0.html#group6D0", "6D⁰")</f>
        <v/>
      </c>
      <c r="N1174">
        <f>HYPERLINK("CSG17.html#group48BB17", "48BB¹⁷"), =HYPERLINK("CSG21.html#group48BI21", "48BI²¹"), =HYPERLINK("CSG17.html#group48CF17", "48CF¹⁷"), =HYPERLINK("CSG15.html#group48AA15", "48AA¹⁵"), =HYPERLINK("CSG17.html#group24Q17", "24Q¹⁷"), =HYPERLINK("CSG13.html#group24V13", "24V¹³"), =HYPERLINK("CSG15.html#group24N15", "24N¹⁵"), =HYPERLINK("CSG19.html#group48AO19", "48AO¹⁹"), =HYPERLINK("CSG15.html#group24U15", "24U¹⁵"), =HYPERLINK("CSG19.html#group48BI19", "48BI¹⁹"), =HYPERLINK("CSG13.html#group24AA13", "24AA¹³")</f>
        <v/>
      </c>
    </row>
    <row r="1175">
      <c r="A1175" t="inlineStr">
        <is>
          <t>24J⁶</t>
        </is>
      </c>
      <c r="B1175" t="inlineStr"/>
      <c r="C1175" t="inlineStr">
        <is>
          <t>144</t>
        </is>
      </c>
      <c r="D1175" t="inlineStr">
        <is>
          <t>1</t>
        </is>
      </c>
      <c r="E1175" t="inlineStr">
        <is>
          <t>72</t>
        </is>
      </c>
      <c r="F1175" t="inlineStr">
        <is>
          <t>8</t>
        </is>
      </c>
      <c r="G1175" t="inlineStr">
        <is>
          <t>0</t>
        </is>
      </c>
      <c r="H1175" t="inlineStr">
        <is>
          <t>12⁸, 24²</t>
        </is>
      </c>
      <c r="I1175" t="n">
        <v>10</v>
      </c>
      <c r="J1175" t="inlineStr">
        <is>
          <t>4¹⁰, 8⁴</t>
        </is>
      </c>
      <c r="K1175">
        <f>HYPERLINK("CSG2.html#group12H2", "12H²")</f>
        <v/>
      </c>
      <c r="L1175">
        <f>HYPERLINK("CSG13.html#group24T13", "24T¹³"), =HYPERLINK("CSG15.html#group24F15", "24F¹⁵"), =HYPERLINK("CSG15.html#group24T15", "24T¹⁵"), =HYPERLINK("CSG17.html#group24AM17", "24AM¹⁷"), =HYPERLINK("CSG19.html#group24R19", "24R¹⁹")</f>
        <v/>
      </c>
      <c r="M1175">
        <f>HYPERLINK("CSG2.html#group12H2", "12H²"), =HYPERLINK("CSG0.html#group6B0", "6B⁰"), =HYPERLINK("CSG0.html#group12C0", "12C⁰"), =HYPERLINK("CSG0.html#group4C0", "4C⁰"), =HYPERLINK("CSG1.html#group12M1", "12M¹"), =HYPERLINK("CSG0.html#group2B0", "2B⁰"), =HYPERLINK("CSG0.html#group12D0", "12D⁰"), =HYPERLINK("CSG0.html#group6H0", "6H⁰"), =HYPERLINK("CSG0.html#group3A0", "3A⁰"), =HYPERLINK("CSG0.html#group12H0", "12H⁰"), =HYPERLINK("CSG0.html#group1A0", "1A⁰"), =HYPERLINK("CSG0.html#group6D0", "6D⁰")</f>
        <v/>
      </c>
      <c r="N1175">
        <f>HYPERLINK("CSG15.html#group24F15", "24F¹⁵"), =HYPERLINK("CSG15.html#group24T15", "24T¹⁵"), =HYPERLINK("CSG13.html#group24T13", "24T¹³"), =HYPERLINK("CSG19.html#group24R19", "24R¹⁹"), =HYPERLINK("CSG17.html#group24AM17", "24AM¹⁷")</f>
        <v/>
      </c>
    </row>
    <row r="1176">
      <c r="A1176" t="inlineStr">
        <is>
          <t>24K⁶</t>
        </is>
      </c>
      <c r="B1176" t="inlineStr"/>
      <c r="C1176" t="inlineStr">
        <is>
          <t>144</t>
        </is>
      </c>
      <c r="D1176" t="inlineStr">
        <is>
          <t>2</t>
        </is>
      </c>
      <c r="E1176" t="inlineStr">
        <is>
          <t>36</t>
        </is>
      </c>
      <c r="F1176" t="inlineStr">
        <is>
          <t>12</t>
        </is>
      </c>
      <c r="G1176" t="inlineStr">
        <is>
          <t>0</t>
        </is>
      </c>
      <c r="H1176" t="inlineStr">
        <is>
          <t>12⁴, 24⁴</t>
        </is>
      </c>
      <c r="I1176" t="n">
        <v>8</v>
      </c>
      <c r="J1176" t="inlineStr">
        <is>
          <t>2⁸, 4¹⁰, 8²</t>
        </is>
      </c>
      <c r="K1176">
        <f>HYPERLINK("CSG2.html#group24M2", "24M²"), =HYPERLINK("CSG2.html#group24P2", "24P²"), =HYPERLINK("CSG2.html#group24Q2", "24Q²")</f>
        <v/>
      </c>
      <c r="L1176">
        <f>HYPERLINK("CSG13.html#group24X13", "24X¹³"), =HYPERLINK("CSG13.html#group24Z13", "24Z¹³"), =HYPERLINK("CSG13.html#group24AA13", "24AA¹³"), =HYPERLINK("CSG15.html#group24M15", "24M¹⁵"), =HYPERLINK("CSG15.html#group24U15", "24U¹⁵"), =HYPERLINK("CSG15.html#group48AF15", "48AF¹⁵"), =HYPERLINK("CSG17.html#group24U17", "24U¹⁷"), =HYPERLINK("CSG17.html#group48CB17", "48CB¹⁷"), =HYPERLINK("CSG17.html#group48CG17", "48CG¹⁷"), =HYPERLINK("CSG17.html#group48CH17", "48CH¹⁷"), =HYPERLINK("CSG19.html#group48BF19", "48BF¹⁹"), =HYPERLINK("CSG19.html#group48BJ19", "48BJ¹⁹"), =HYPERLINK("CSG19.html#group48BK19", "48BK¹⁹"), =HYPERLINK("CSG21.html#group48BU21", "48BU²¹")</f>
        <v/>
      </c>
      <c r="M1176">
        <f>HYPERLINK("CSG1.html#group24E1", "24E¹"), =HYPERLINK("CSG0.html#group12C0", "12C⁰"), =HYPERLINK("CSG0.html#group24A0", "24A⁰"), =HYPERLINK("CSG2.html#group24M2", "24M²"), =HYPERLINK("CSG0.html#group4C0", "4C⁰"), =HYPERLINK("CSG0.html#group8B0", "8B⁰"), =HYPERLINK("CSG2.html#group24P2", "24P²"), =HYPERLINK("CSG2.html#group24Q2", "24Q²"), =HYPERLINK("CSG1.html#group12M1", "12M¹"), =HYPERLINK("CSG0.html#group2B0", "2B⁰"), =HYPERLINK("CSG0.html#group8L0", "8L⁰"), =HYPERLINK("CSG0.html#group3A0", "3A⁰"), =HYPERLINK("CSG0.html#group1A0", "1A⁰"), =HYPERLINK("CSG0.html#group6D0", "6D⁰")</f>
        <v/>
      </c>
      <c r="N1176">
        <f>HYPERLINK("CSG21.html#group48BU21", "48BU²¹"), =HYPERLINK("CSG17.html#group24U17", "24U¹⁷"), =HYPERLINK("CSG17.html#group48CG17", "48CG¹⁷"), =HYPERLINK("CSG13.html#group24Z13", "24Z¹³"), =HYPERLINK("CSG19.html#group48BJ19", "48BJ¹⁹"), =HYPERLINK("CSG13.html#group24X13", "24X¹³"), =HYPERLINK("CSG19.html#group48BF19", "48BF¹⁹"), =HYPERLINK("CSG17.html#group48CH17", "48CH¹⁷"), =HYPERLINK("CSG15.html#group24U15", "24U¹⁵"), =HYPERLINK("CSG19.html#group48BK19", "48BK¹⁹"), =HYPERLINK("CSG15.html#group48AF15", "48AF¹⁵"), =HYPERLINK("CSG17.html#group48CB17", "48CB¹⁷"), =HYPERLINK("CSG13.html#group24AA13", "24AA¹³"), =HYPERLINK("CSG15.html#group24M15", "24M¹⁵")</f>
        <v/>
      </c>
    </row>
    <row r="1177">
      <c r="A1177" t="inlineStr">
        <is>
          <t>25A⁶</t>
        </is>
      </c>
      <c r="B1177" t="inlineStr"/>
      <c r="C1177" t="inlineStr">
        <is>
          <t>150</t>
        </is>
      </c>
      <c r="D1177" t="inlineStr">
        <is>
          <t>1</t>
        </is>
      </c>
      <c r="E1177" t="inlineStr">
        <is>
          <t>30</t>
        </is>
      </c>
      <c r="F1177" t="inlineStr">
        <is>
          <t>10</t>
        </is>
      </c>
      <c r="G1177" t="inlineStr">
        <is>
          <t>0</t>
        </is>
      </c>
      <c r="H1177" t="inlineStr">
        <is>
          <t>5⁵, 25⁵</t>
        </is>
      </c>
      <c r="I1177" t="n">
        <v>10</v>
      </c>
      <c r="J1177" t="inlineStr">
        <is>
          <t>2², 4⁴, 20²</t>
        </is>
      </c>
      <c r="K1177">
        <f>HYPERLINK("CSG2.html#group25A2", "25A²")</f>
        <v/>
      </c>
      <c r="L1177">
        <f>HYPERLINK("CSG16.html#group25B16", "25B¹⁶"), =HYPERLINK("CSG16.html#group50A16", "50A¹⁶"), =HYPERLINK("CSG21.html#group50A21", "50A²¹")</f>
        <v/>
      </c>
      <c r="M1177">
        <f>HYPERLINK("CSG0.html#group5B0", "5B⁰"), =HYPERLINK("CSG0.html#group1A0", "1A⁰"), =HYPERLINK("CSG2.html#group25A2", "25A²")</f>
        <v/>
      </c>
      <c r="N1177">
        <f>HYPERLINK("CSG16.html#group50A16", "50A¹⁶"), =HYPERLINK("CSG16.html#group25B16", "25B¹⁶"), =HYPERLINK("CSG21.html#group50A21", "50A²¹")</f>
        <v/>
      </c>
    </row>
    <row r="1178">
      <c r="A1178" t="inlineStr">
        <is>
          <t>25B⁶</t>
        </is>
      </c>
      <c r="B1178" t="inlineStr"/>
      <c r="C1178" t="inlineStr">
        <is>
          <t>150</t>
        </is>
      </c>
      <c r="D1178" t="inlineStr">
        <is>
          <t>1</t>
        </is>
      </c>
      <c r="E1178" t="inlineStr">
        <is>
          <t>30</t>
        </is>
      </c>
      <c r="F1178" t="inlineStr">
        <is>
          <t>10</t>
        </is>
      </c>
      <c r="G1178" t="inlineStr">
        <is>
          <t>0</t>
        </is>
      </c>
      <c r="H1178" t="inlineStr">
        <is>
          <t>5⁵, 25⁵</t>
        </is>
      </c>
      <c r="I1178" t="n">
        <v>10</v>
      </c>
      <c r="J1178" t="inlineStr">
        <is>
          <t>2², 4⁴, 20²</t>
        </is>
      </c>
      <c r="K1178">
        <f>HYPERLINK("CSG2.html#group25B2", "25B²")</f>
        <v/>
      </c>
      <c r="L1178">
        <f>HYPERLINK("CSG16.html#group25C16", "25C¹⁶"), =HYPERLINK("CSG16.html#group50B16", "50B¹⁶"), =HYPERLINK("CSG21.html#group50B21", "50B²¹")</f>
        <v/>
      </c>
      <c r="M1178">
        <f>HYPERLINK("CSG0.html#group5B0", "5B⁰"), =HYPERLINK("CSG0.html#group1A0", "1A⁰"), =HYPERLINK("CSG2.html#group25B2", "25B²")</f>
        <v/>
      </c>
      <c r="N1178">
        <f>HYPERLINK("CSG16.html#group50B16", "50B¹⁶"), =HYPERLINK("CSG16.html#group25C16", "25C¹⁶"), =HYPERLINK("CSG21.html#group50B21", "50B²¹")</f>
        <v/>
      </c>
    </row>
    <row r="1179">
      <c r="A1179" t="inlineStr">
        <is>
          <t>25C⁶</t>
        </is>
      </c>
      <c r="B1179" t="inlineStr"/>
      <c r="C1179" t="inlineStr">
        <is>
          <t>150</t>
        </is>
      </c>
      <c r="D1179" t="inlineStr">
        <is>
          <t>1</t>
        </is>
      </c>
      <c r="E1179" t="inlineStr">
        <is>
          <t>30</t>
        </is>
      </c>
      <c r="F1179" t="inlineStr">
        <is>
          <t>10</t>
        </is>
      </c>
      <c r="G1179" t="inlineStr">
        <is>
          <t>0</t>
        </is>
      </c>
      <c r="H1179" t="inlineStr">
        <is>
          <t>5⁵, 25⁵</t>
        </is>
      </c>
      <c r="I1179" t="n">
        <v>10</v>
      </c>
      <c r="J1179" t="inlineStr">
        <is>
          <t>2², 4⁴, 20²</t>
        </is>
      </c>
      <c r="K1179">
        <f>HYPERLINK("CSG2.html#group25C2", "25C²")</f>
        <v/>
      </c>
      <c r="L1179">
        <f>HYPERLINK("CSG16.html#group25D16", "25D¹⁶"), =HYPERLINK("CSG16.html#group50C16", "50C¹⁶"), =HYPERLINK("CSG21.html#group50C21", "50C²¹")</f>
        <v/>
      </c>
      <c r="M1179">
        <f>HYPERLINK("CSG0.html#group5B0", "5B⁰"), =HYPERLINK("CSG0.html#group1A0", "1A⁰"), =HYPERLINK("CSG2.html#group25C2", "25C²")</f>
        <v/>
      </c>
      <c r="N1179">
        <f>HYPERLINK("CSG21.html#group50C21", "50C²¹"), =HYPERLINK("CSG16.html#group50C16", "50C¹⁶"), =HYPERLINK("CSG16.html#group25D16", "25D¹⁶")</f>
        <v/>
      </c>
    </row>
    <row r="1180">
      <c r="A1180" t="inlineStr">
        <is>
          <t>25D⁶</t>
        </is>
      </c>
      <c r="B1180" t="inlineStr"/>
      <c r="C1180" t="inlineStr">
        <is>
          <t>150</t>
        </is>
      </c>
      <c r="D1180" t="inlineStr">
        <is>
          <t>1</t>
        </is>
      </c>
      <c r="E1180" t="inlineStr">
        <is>
          <t>30</t>
        </is>
      </c>
      <c r="F1180" t="inlineStr">
        <is>
          <t>10</t>
        </is>
      </c>
      <c r="G1180" t="inlineStr">
        <is>
          <t>0</t>
        </is>
      </c>
      <c r="H1180" t="inlineStr">
        <is>
          <t>5⁵, 25⁵</t>
        </is>
      </c>
      <c r="I1180" t="n">
        <v>10</v>
      </c>
      <c r="J1180" t="inlineStr">
        <is>
          <t>2², 4⁴, 20²</t>
        </is>
      </c>
      <c r="K1180">
        <f>HYPERLINK("CSG2.html#group25D2", "25D²")</f>
        <v/>
      </c>
      <c r="L1180">
        <f>HYPERLINK("CSG16.html#group25E16", "25E¹⁶"), =HYPERLINK("CSG16.html#group50D16", "50D¹⁶"), =HYPERLINK("CSG21.html#group50D21", "50D²¹")</f>
        <v/>
      </c>
      <c r="M1180">
        <f>HYPERLINK("CSG0.html#group5B0", "5B⁰"), =HYPERLINK("CSG0.html#group1A0", "1A⁰"), =HYPERLINK("CSG2.html#group25D2", "25D²")</f>
        <v/>
      </c>
      <c r="N1180">
        <f>HYPERLINK("CSG16.html#group25E16", "25E¹⁶"), =HYPERLINK("CSG21.html#group50D21", "50D²¹"), =HYPERLINK("CSG16.html#group50D16", "50D¹⁶")</f>
        <v/>
      </c>
    </row>
    <row r="1181">
      <c r="A1181" t="inlineStr">
        <is>
          <t>25E⁶</t>
        </is>
      </c>
      <c r="B1181" t="inlineStr"/>
      <c r="C1181" t="inlineStr">
        <is>
          <t>150</t>
        </is>
      </c>
      <c r="D1181" t="inlineStr">
        <is>
          <t>1</t>
        </is>
      </c>
      <c r="E1181" t="inlineStr">
        <is>
          <t>75</t>
        </is>
      </c>
      <c r="F1181" t="inlineStr">
        <is>
          <t>2</t>
        </is>
      </c>
      <c r="G1181" t="inlineStr">
        <is>
          <t>0</t>
        </is>
      </c>
      <c r="H1181" t="inlineStr">
        <is>
          <t>5¹⁰, 25⁴</t>
        </is>
      </c>
      <c r="I1181" t="n">
        <v>14</v>
      </c>
      <c r="J1181" t="inlineStr">
        <is>
          <t>2², 4⁴, 10¹, 20⁶</t>
        </is>
      </c>
      <c r="K1181">
        <f>HYPERLINK("CSG0.html#group5G0", "5G⁰"), =HYPERLINK("CSG2.html#group25F2", "25F²")</f>
        <v/>
      </c>
      <c r="L1181">
        <f>HYPERLINK("CSG12.html#group25A12", "25A¹²"), =HYPERLINK("CSG18.html#group50A18", "50A¹⁸"), =HYPERLINK("CSG19.html#group50C19", "50C¹⁹"), =HYPERLINK("CSG24.html#group50A24", "50A²⁴")</f>
        <v/>
      </c>
      <c r="M1181">
        <f>HYPERLINK("CSG2.html#group25F2", "25F²"), =HYPERLINK("CSG0.html#group5A0", "5A⁰"), =HYPERLINK("CSG0.html#group5C0", "5C⁰"), =HYPERLINK("CSG0.html#group5B0", "5B⁰"), =HYPERLINK("CSG0.html#group5E0", "5E⁰"), =HYPERLINK("CSG0.html#group1A0", "1A⁰"), =HYPERLINK("CSG0.html#group5G0", "5G⁰")</f>
        <v/>
      </c>
      <c r="N1181">
        <f>HYPERLINK("CSG18.html#group50A18", "50A¹⁸"), =HYPERLINK("CSG19.html#group50C19", "50C¹⁹"), =HYPERLINK("CSG24.html#group50A24", "50A²⁴"), =HYPERLINK("CSG12.html#group25A12", "25A¹²")</f>
        <v/>
      </c>
    </row>
    <row r="1182">
      <c r="A1182" t="inlineStr">
        <is>
          <t>25F⁶</t>
        </is>
      </c>
      <c r="B1182" t="inlineStr"/>
      <c r="C1182" t="inlineStr">
        <is>
          <t>150</t>
        </is>
      </c>
      <c r="D1182" t="inlineStr">
        <is>
          <t>1</t>
        </is>
      </c>
      <c r="E1182" t="inlineStr">
        <is>
          <t>75</t>
        </is>
      </c>
      <c r="F1182" t="inlineStr">
        <is>
          <t>2</t>
        </is>
      </c>
      <c r="G1182" t="inlineStr">
        <is>
          <t>0</t>
        </is>
      </c>
      <c r="H1182" t="inlineStr">
        <is>
          <t>5¹⁰, 25⁴</t>
        </is>
      </c>
      <c r="I1182" t="n">
        <v>14</v>
      </c>
      <c r="J1182" t="inlineStr">
        <is>
          <t>2², 4⁴, 10¹, 20⁶</t>
        </is>
      </c>
      <c r="K1182">
        <f>HYPERLINK("CSG0.html#group5G0", "5G⁰"), =HYPERLINK("CSG2.html#group25F2", "25F²")</f>
        <v/>
      </c>
      <c r="L1182">
        <f>HYPERLINK("CSG12.html#group25A12", "25A¹²"), =HYPERLINK("CSG18.html#group50B18", "50B¹⁸"), =HYPERLINK("CSG19.html#group50D19", "50D¹⁹"), =HYPERLINK("CSG24.html#group50B24", "50B²⁴")</f>
        <v/>
      </c>
      <c r="M1182">
        <f>HYPERLINK("CSG2.html#group25F2", "25F²"), =HYPERLINK("CSG0.html#group5A0", "5A⁰"), =HYPERLINK("CSG0.html#group5C0", "5C⁰"), =HYPERLINK("CSG0.html#group5B0", "5B⁰"), =HYPERLINK("CSG0.html#group5E0", "5E⁰"), =HYPERLINK("CSG0.html#group1A0", "1A⁰"), =HYPERLINK("CSG0.html#group5G0", "5G⁰")</f>
        <v/>
      </c>
      <c r="N1182">
        <f>HYPERLINK("CSG18.html#group50B18", "50B¹⁸"), =HYPERLINK("CSG24.html#group50B24", "50B²⁴"), =HYPERLINK("CSG19.html#group50D19", "50D¹⁹"), =HYPERLINK("CSG12.html#group25A12", "25A¹²")</f>
        <v/>
      </c>
    </row>
    <row r="1183">
      <c r="A1183" t="inlineStr">
        <is>
          <t>27A⁶</t>
        </is>
      </c>
      <c r="B1183" t="inlineStr"/>
      <c r="C1183" t="inlineStr">
        <is>
          <t>108</t>
        </is>
      </c>
      <c r="D1183" t="inlineStr">
        <is>
          <t>1</t>
        </is>
      </c>
      <c r="E1183" t="inlineStr">
        <is>
          <t>36</t>
        </is>
      </c>
      <c r="F1183" t="inlineStr">
        <is>
          <t>0</t>
        </is>
      </c>
      <c r="G1183" t="inlineStr">
        <is>
          <t>3</t>
        </is>
      </c>
      <c r="H1183" t="inlineStr">
        <is>
          <t>9³, 27³</t>
        </is>
      </c>
      <c r="I1183" t="n">
        <v>6</v>
      </c>
      <c r="J1183" t="inlineStr">
        <is>
          <t>3², 6⁵</t>
        </is>
      </c>
      <c r="K1183">
        <f>HYPERLINK("CSG0.html#group9J0", "9J⁰")</f>
        <v/>
      </c>
      <c r="L1183">
        <f>HYPERLINK("CSG14.html#group54A14", "54A¹⁴"), =HYPERLINK("CSG16.html#group27E16", "27E¹⁶"), =HYPERLINK("CSG18.html#group27A18", "27A¹⁸"), =HYPERLINK("CSG18.html#group27B18", "27B¹⁸"), =HYPERLINK("CSG19.html#group27A19", "27A¹⁹"), =HYPERLINK("CSG19.html#group27D19", "27D¹⁹"), =HYPERLINK("CSG19.html#group27C19", "27C¹⁹"), =HYPERLINK("CSG22.html#group54F22", "54F²²")</f>
        <v/>
      </c>
      <c r="M1183">
        <f>HYPERLINK("CSG0.html#group3B0", "3B⁰"), =HYPERLINK("CSG0.html#group1A0", "1A⁰"), =HYPERLINK("CSG0.html#group9J0", "9J⁰"), =HYPERLINK("CSG0.html#group9C0", "9C⁰")</f>
        <v/>
      </c>
      <c r="N1183">
        <f>HYPERLINK("CSG16.html#group27E16", "27E¹⁶"), =HYPERLINK("CSG19.html#group27D19", "27D¹⁹"), =HYPERLINK("CSG19.html#group27A19", "27A¹⁹"), =HYPERLINK("CSG19.html#group27C19", "27C¹⁹"), =HYPERLINK("CSG18.html#group27A18", "27A¹⁸"), =HYPERLINK("CSG22.html#group54F22", "54F²²"), =HYPERLINK("CSG18.html#group27B18", "27B¹⁸"), =HYPERLINK("CSG14.html#group54A14", "54A¹⁴")</f>
        <v/>
      </c>
    </row>
    <row r="1184">
      <c r="A1184" t="inlineStr">
        <is>
          <t>28A⁶</t>
        </is>
      </c>
      <c r="B1184" t="inlineStr"/>
      <c r="C1184" t="inlineStr">
        <is>
          <t>84</t>
        </is>
      </c>
      <c r="D1184" t="inlineStr">
        <is>
          <t>2</t>
        </is>
      </c>
      <c r="E1184" t="inlineStr">
        <is>
          <t>21</t>
        </is>
      </c>
      <c r="F1184" t="inlineStr">
        <is>
          <t>0</t>
        </is>
      </c>
      <c r="G1184" t="inlineStr">
        <is>
          <t>0</t>
        </is>
      </c>
      <c r="H1184" t="inlineStr">
        <is>
          <t>14², 28²</t>
        </is>
      </c>
      <c r="I1184" t="n">
        <v>4</v>
      </c>
      <c r="J1184" t="inlineStr">
        <is>
          <t>2³, 6⁶</t>
        </is>
      </c>
      <c r="K1184">
        <f>HYPERLINK("CSG2.html#group14C2", "14C²"), =HYPERLINK("CSG3.html#group28A3", "28A³"), =HYPERLINK("CSG3.html#group28B3", "28B³")</f>
        <v/>
      </c>
      <c r="L1184">
        <f>HYPERLINK("CSG11.html#group28C11", "28C¹¹"), =HYPERLINK("CSG12.html#group56C12", "56C¹²"), =HYPERLINK("CSG16.html#group28E16", "28E¹⁶"), =HYPERLINK("CSG20.html#group84A20", "84A²⁰"), =HYPERLINK("CSG21.html#group28B21", "28B²¹")</f>
        <v/>
      </c>
      <c r="M1184">
        <f>HYPERLINK("CSG0.html#group14A0", "14A⁰"), =HYPERLINK("CSG1.html#group14B1", "14B¹"), =HYPERLINK("CSG2.html#group14C2", "14C²"), =HYPERLINK("CSG3.html#group28A3", "28A³"), =HYPERLINK("CSG0.html#group2B0", "2B⁰"), =HYPERLINK("CSG3.html#group28B3", "28B³"), =HYPERLINK("CSG0.html#group4B0", "4B⁰"), =HYPERLINK("CSG0.html#group1A0", "1A⁰"), =HYPERLINK("CSG0.html#group7A0", "7A⁰")</f>
        <v/>
      </c>
      <c r="N1184">
        <f>HYPERLINK("CSG16.html#group28E16", "28E¹⁶"), =HYPERLINK("CSG20.html#group84A20", "84A²⁰"), =HYPERLINK("CSG24.html#group56E24", "56E²⁴"), =HYPERLINK("CSG12.html#group56C12", "56C¹²"), =HYPERLINK("CSG23.html#group56F23", "56F²³"), =HYPERLINK("CSG23.html#group28C23", "28C²³"), =HYPERLINK("CSG11.html#group28C11", "28C¹¹"), =HYPERLINK("CSG24.html#group112G24", "112G²⁴"), =HYPERLINK("CSG23.html#group56A23", "56A²³"), =HYPERLINK("CSG21.html#group28B21", "28B²¹")</f>
        <v/>
      </c>
    </row>
    <row r="1185">
      <c r="A1185" t="inlineStr">
        <is>
          <t>28B⁶</t>
        </is>
      </c>
      <c r="B1185" t="inlineStr"/>
      <c r="C1185" t="inlineStr">
        <is>
          <t>84</t>
        </is>
      </c>
      <c r="D1185" t="inlineStr">
        <is>
          <t>2</t>
        </is>
      </c>
      <c r="E1185" t="inlineStr">
        <is>
          <t>21</t>
        </is>
      </c>
      <c r="F1185" t="inlineStr">
        <is>
          <t>0</t>
        </is>
      </c>
      <c r="G1185" t="inlineStr">
        <is>
          <t>0</t>
        </is>
      </c>
      <c r="H1185" t="inlineStr">
        <is>
          <t>14², 28²</t>
        </is>
      </c>
      <c r="I1185" t="n">
        <v>4</v>
      </c>
      <c r="J1185" t="inlineStr">
        <is>
          <t>2³, 6⁶</t>
        </is>
      </c>
      <c r="K1185">
        <f>HYPERLINK("CSG2.html#group28B2", "28B²"), =HYPERLINK("CSG3.html#group14B3", "14B³"), =HYPERLINK("CSG3.html#group28B3", "28B³")</f>
        <v/>
      </c>
      <c r="L1185">
        <f>HYPERLINK("CSG11.html#group28C11", "28C¹¹"), =HYPERLINK("CSG12.html#group28C12", "28C¹²"), =HYPERLINK("CSG16.html#group28F16", "28F¹⁶"), =HYPERLINK("CSG20.html#group84B20", "84B²⁰"), =HYPERLINK("CSG21.html#group28C21", "28C²¹")</f>
        <v/>
      </c>
      <c r="M1185">
        <f>HYPERLINK("CSG0.html#group2A0", "2A⁰"), =HYPERLINK("CSG3.html#group14B3", "14B³"), =HYPERLINK("CSG1.html#group14B1", "14B¹"), =HYPERLINK("CSG1.html#group14A1", "14A¹"), =HYPERLINK("CSG0.html#group2B0", "2B⁰"), =HYPERLINK("CSG3.html#group28B3", "28B³"), =HYPERLINK("CSG0.html#group1A0", "1A⁰"), =HYPERLINK("CSG0.html#group2C0", "2C⁰"), =HYPERLINK("CSG2.html#group28B2", "28B²"), =HYPERLINK("CSG0.html#group7A0", "7A⁰")</f>
        <v/>
      </c>
      <c r="N1185">
        <f>HYPERLINK("CSG20.html#group84B20", "84B²⁰"), =HYPERLINK("CSG12.html#group28C12", "28C¹²"), =HYPERLINK("CSG23.html#group56F23", "56F²³"), =HYPERLINK("CSG16.html#group28F16", "28F¹⁶"), =HYPERLINK("CSG23.html#group28C23", "28C²³"), =HYPERLINK("CSG11.html#group28C11", "28C¹¹"), =HYPERLINK("CSG23.html#group56A23", "56A²³"), =HYPERLINK("CSG24.html#group56G24", "56G²⁴"), =HYPERLINK("CSG21.html#group28C21", "28C²¹")</f>
        <v/>
      </c>
    </row>
    <row r="1186">
      <c r="A1186" t="inlineStr">
        <is>
          <t>28C⁶</t>
        </is>
      </c>
      <c r="B1186" t="inlineStr"/>
      <c r="C1186" t="inlineStr">
        <is>
          <t>84</t>
        </is>
      </c>
      <c r="D1186" t="inlineStr">
        <is>
          <t>2</t>
        </is>
      </c>
      <c r="E1186" t="inlineStr">
        <is>
          <t>21</t>
        </is>
      </c>
      <c r="F1186" t="inlineStr">
        <is>
          <t>0</t>
        </is>
      </c>
      <c r="G1186" t="inlineStr">
        <is>
          <t>0</t>
        </is>
      </c>
      <c r="H1186" t="inlineStr">
        <is>
          <t>14², 28²</t>
        </is>
      </c>
      <c r="I1186" t="n">
        <v>4</v>
      </c>
      <c r="J1186" t="inlineStr">
        <is>
          <t>2³, 6⁶</t>
        </is>
      </c>
      <c r="K1186">
        <f>HYPERLINK("CSG0.html#group4E0", "4E⁰"), =HYPERLINK("CSG2.html#group28C2", "28C²"), =HYPERLINK("CSG3.html#group14B3", "14B³"), =HYPERLINK("CSG3.html#group28A3", "28A³")</f>
        <v/>
      </c>
      <c r="L1186">
        <f>HYPERLINK("CSG11.html#group28C11", "28C¹¹"), =HYPERLINK("CSG12.html#group28B12", "28B¹²"), =HYPERLINK("CSG12.html#group28C12", "28C¹²"), =HYPERLINK("CSG12.html#group56A12", "56A¹²"), =HYPERLINK("CSG12.html#group56B12", "56B¹²"), =HYPERLINK("CSG12.html#group56H12", "56H¹²"), =HYPERLINK("CSG12.html#group56I12", "56I¹²"), =HYPERLINK("CSG13.html#group56C13", "56C¹³"), =HYPERLINK("CSG13.html#group56D13", "56D¹³"), =HYPERLINK("CSG16.html#group28C16", "28C¹⁶"), =HYPERLINK("CSG20.html#group84C20", "84C²⁰"), =HYPERLINK("CSG21.html#group28D21", "28D²¹")</f>
        <v/>
      </c>
      <c r="M1186">
        <f>HYPERLINK("CSG2.html#group28C2", "28C²"), =HYPERLINK("CSG0.html#group2A0", "2A⁰"), =HYPERLINK("CSG3.html#group14B3", "14B³"), =HYPERLINK("CSG1.html#group14B1", "14B¹"), =HYPERLINK("CSG0.html#group4C0", "4C⁰"), =HYPERLINK("CSG1.html#group14A1", "14A¹"), =HYPERLINK("CSG3.html#group28A3", "28A³"), =HYPERLINK("CSG0.html#group2B0", "2B⁰"), =HYPERLINK("CSG0.html#group4E0", "4E⁰"), =HYPERLINK("CSG0.html#group4B0", "4B⁰"), =HYPERLINK("CSG0.html#group1A0", "1A⁰"), =HYPERLINK("CSG0.html#group2C0", "2C⁰"), =HYPERLINK("CSG0.html#group7A0", "7A⁰")</f>
        <v/>
      </c>
      <c r="N1186">
        <f>HYPERLINK("CSG13.html#group56D13", "56D¹³"), =HYPERLINK("CSG24.html#group56F24", "56F²⁴"), =HYPERLINK("CSG12.html#group56A12", "56A¹²"), =HYPERLINK("CSG12.html#group28B12", "28B¹²"), =HYPERLINK("CSG12.html#group56I12", "56I¹²"), =HYPERLINK("CSG24.html#group56D24", "56D²⁴"), =HYPERLINK("CSG12.html#group56B12", "56B¹²"), =HYPERLINK("CSG23.html#group56F23", "56F²³"), =HYPERLINK("CSG21.html#group28D21", "28D²¹"), =HYPERLINK("CSG16.html#group28C16", "28C¹⁶"), =HYPERLINK("CSG11.html#group28C11", "28C¹¹"), =HYPERLINK("CSG24.html#group56A24", "56A²⁴"), =HYPERLINK("CSG23.html#group56A23", "56A²³"), =HYPERLINK("CSG12.html#group56H12", "56H¹²"), =HYPERLINK("CSG24.html#group56G24", "56G²⁴"), =HYPERLINK("CSG13.html#group56C13", "56C¹³"), =HYPERLINK("CSG20.html#group84C20", "84C²⁰"), =HYPERLINK("CSG24.html#group56B24", "56B²⁴"), =HYPERLINK("CSG24.html#group56C24", "56C²⁴"), =HYPERLINK("CSG12.html#group28C12", "28C¹²"), =HYPERLINK("CSG24.html#group112B24", "112B²⁴"), =HYPERLINK("CSG23.html#group28C23", "28C²³"), =HYPERLINK("CSG24.html#group112A24", "112A²⁴")</f>
        <v/>
      </c>
    </row>
    <row r="1187">
      <c r="A1187" t="inlineStr">
        <is>
          <t>28D⁶</t>
        </is>
      </c>
      <c r="B1187" t="inlineStr"/>
      <c r="C1187" t="inlineStr">
        <is>
          <t>96</t>
        </is>
      </c>
      <c r="D1187" t="inlineStr">
        <is>
          <t>1</t>
        </is>
      </c>
      <c r="E1187" t="inlineStr">
        <is>
          <t>8</t>
        </is>
      </c>
      <c r="F1187" t="inlineStr">
        <is>
          <t>0</t>
        </is>
      </c>
      <c r="G1187" t="inlineStr">
        <is>
          <t>0</t>
        </is>
      </c>
      <c r="H1187" t="inlineStr">
        <is>
          <t>4³, 28³</t>
        </is>
      </c>
      <c r="I1187" t="n">
        <v>6</v>
      </c>
      <c r="J1187" t="inlineStr">
        <is>
          <t>1², 6¹</t>
        </is>
      </c>
      <c r="K1187">
        <f>HYPERLINK("CSG0.html#group28A0", "28A⁰"), =HYPERLINK("CSG2.html#group14D2", "14D²")</f>
        <v/>
      </c>
      <c r="L1187">
        <f>HYPERLINK("CSG16.html#group28G16", "28G¹⁶"), =HYPERLINK("CSG21.html#group28N21", "28N²¹"), =HYPERLINK("CSG22.html#group84B22", "84B²²"), =HYPERLINK("CSG22.html#group84C22", "84C²²")</f>
        <v/>
      </c>
      <c r="M1187">
        <f>HYPERLINK("CSG0.html#group2A0", "2A⁰"), =HYPERLINK("CSG0.html#group7E0", "7E⁰"), =HYPERLINK("CSG0.html#group14B0", "14B⁰"), =HYPERLINK("CSG0.html#group28A0", "28A⁰"), =HYPERLINK("CSG0.html#group1A0", "1A⁰"), =HYPERLINK("CSG0.html#group7B0", "7B⁰"), =HYPERLINK("CSG2.html#group14D2", "14D²")</f>
        <v/>
      </c>
      <c r="N1187">
        <f>HYPERLINK("CSG22.html#group84C22", "84C²²"), =HYPERLINK("CSG16.html#group28G16", "28G¹⁶"), =HYPERLINK("CSG22.html#group84B22", "84B²²"), =HYPERLINK("CSG21.html#group28N21", "28N²¹")</f>
        <v/>
      </c>
    </row>
    <row r="1188">
      <c r="A1188" t="inlineStr">
        <is>
          <t>28E⁶</t>
        </is>
      </c>
      <c r="B1188" t="inlineStr"/>
      <c r="C1188" t="inlineStr">
        <is>
          <t>96</t>
        </is>
      </c>
      <c r="D1188" t="inlineStr">
        <is>
          <t>1</t>
        </is>
      </c>
      <c r="E1188" t="inlineStr">
        <is>
          <t>8</t>
        </is>
      </c>
      <c r="F1188" t="inlineStr">
        <is>
          <t>0</t>
        </is>
      </c>
      <c r="G1188" t="inlineStr">
        <is>
          <t>0</t>
        </is>
      </c>
      <c r="H1188" t="inlineStr">
        <is>
          <t>4³, 28³</t>
        </is>
      </c>
      <c r="I1188" t="n">
        <v>6</v>
      </c>
      <c r="J1188" t="inlineStr">
        <is>
          <t>1², 6¹</t>
        </is>
      </c>
      <c r="K1188">
        <f>HYPERLINK("CSG0.html#group28A0", "28A⁰"), =HYPERLINK("CSG2.html#group14E2", "14E²")</f>
        <v/>
      </c>
      <c r="L1188">
        <f>HYPERLINK("CSG11.html#group28F11", "28F¹¹"), =HYPERLINK("CSG16.html#group28G16", "28G¹⁶"), =HYPERLINK("CSG22.html#group84A22", "84A²²"), =HYPERLINK("CSG22.html#group84K22", "84K²²")</f>
        <v/>
      </c>
      <c r="M1188">
        <f>HYPERLINK("CSG0.html#group2A0", "2A⁰"), =HYPERLINK("CSG0.html#group28A0", "28A⁰"), =HYPERLINK("CSG0.html#group7B0", "7B⁰"), =HYPERLINK("CSG0.html#group14B0", "14B⁰"), =HYPERLINK("CSG1.html#group14C1", "14C¹"), =HYPERLINK("CSG0.html#group2B0", "2B⁰"), =HYPERLINK("CSG2.html#group14E2", "14E²"), =HYPERLINK("CSG0.html#group1A0", "1A⁰"), =HYPERLINK("CSG0.html#group2C0", "2C⁰")</f>
        <v/>
      </c>
      <c r="N1188">
        <f>HYPERLINK("CSG16.html#group28G16", "28G¹⁶"), =HYPERLINK("CSG23.html#group56W23", "56W²³"), =HYPERLINK("CSG22.html#group84K22", "84K²²"), =HYPERLINK("CSG22.html#group84A22", "84A²²"), =HYPERLINK("CSG21.html#group28M21", "28M²¹"), =HYPERLINK("CSG11.html#group28F11", "28F¹¹")</f>
        <v/>
      </c>
    </row>
    <row r="1189">
      <c r="A1189" t="inlineStr">
        <is>
          <t>28F⁶</t>
        </is>
      </c>
      <c r="B1189" t="inlineStr"/>
      <c r="C1189" t="inlineStr">
        <is>
          <t>96</t>
        </is>
      </c>
      <c r="D1189" t="inlineStr">
        <is>
          <t>1</t>
        </is>
      </c>
      <c r="E1189" t="inlineStr">
        <is>
          <t>32</t>
        </is>
      </c>
      <c r="F1189" t="inlineStr">
        <is>
          <t>0</t>
        </is>
      </c>
      <c r="G1189" t="inlineStr">
        <is>
          <t>0</t>
        </is>
      </c>
      <c r="H1189" t="inlineStr">
        <is>
          <t>4³, 28³</t>
        </is>
      </c>
      <c r="I1189" t="n">
        <v>6</v>
      </c>
      <c r="J1189" t="inlineStr">
        <is>
          <t>2⁴, 12²</t>
        </is>
      </c>
      <c r="K1189">
        <f>HYPERLINK("CSG0.html#group7E0", "7E⁰"), =HYPERLINK("CSG2.html#group28A2", "28A²")</f>
        <v/>
      </c>
      <c r="L1189">
        <f>HYPERLINK("CSG11.html#group28G11", "28G¹¹"), =HYPERLINK("CSG14.html#group56B14", "56B¹⁴"), =HYPERLINK("CSG16.html#group28H16", "28H¹⁶"), =HYPERLINK("CSG22.html#group84G22", "84G²²")</f>
        <v/>
      </c>
      <c r="M1189">
        <f>HYPERLINK("CSG0.html#group7E0", "7E⁰"), =HYPERLINK("CSG0.html#group4A0", "4A⁰"), =HYPERLINK("CSG0.html#group1A0", "1A⁰"), =HYPERLINK("CSG0.html#group7B0", "7B⁰"), =HYPERLINK("CSG2.html#group28A2", "28A²")</f>
        <v/>
      </c>
      <c r="N1189">
        <f>HYPERLINK("CSG14.html#group56B14", "56B¹⁴"), =HYPERLINK("CSG21.html#group28N21", "28N²¹"), =HYPERLINK("CSG16.html#group28H16", "28H¹⁶"), =HYPERLINK("CSG11.html#group28G11", "28G¹¹"), =HYPERLINK("CSG22.html#group84G22", "84G²²")</f>
        <v/>
      </c>
    </row>
    <row r="1190">
      <c r="A1190" t="inlineStr">
        <is>
          <t>28G⁶</t>
        </is>
      </c>
      <c r="B1190" t="inlineStr"/>
      <c r="C1190" t="inlineStr">
        <is>
          <t>96</t>
        </is>
      </c>
      <c r="D1190" t="inlineStr">
        <is>
          <t>1</t>
        </is>
      </c>
      <c r="E1190" t="inlineStr">
        <is>
          <t>48</t>
        </is>
      </c>
      <c r="F1190" t="inlineStr">
        <is>
          <t>0</t>
        </is>
      </c>
      <c r="G1190" t="inlineStr">
        <is>
          <t>0</t>
        </is>
      </c>
      <c r="H1190" t="inlineStr">
        <is>
          <t>4³, 28³</t>
        </is>
      </c>
      <c r="I1190" t="n">
        <v>6</v>
      </c>
      <c r="J1190" t="inlineStr">
        <is>
          <t>1⁴, 2⁴, 6², 12²</t>
        </is>
      </c>
      <c r="K1190">
        <f>HYPERLINK("CSG0.html#group4F0", "4F⁰"), =HYPERLINK("CSG2.html#group28A2", "28A²"), =HYPERLINK("CSG3.html#group28C3", "28C³")</f>
        <v/>
      </c>
      <c r="L1190">
        <f>HYPERLINK("CSG11.html#group28E11", "28E¹¹"), =HYPERLINK("CSG12.html#group56L12", "56L¹²"), =HYPERLINK("CSG13.html#group56I13", "56I¹³"), =HYPERLINK("CSG13.html#group56J13", "56J¹³"), =HYPERLINK("CSG14.html#group56A14", "56A¹⁴"), =HYPERLINK("CSG16.html#group28H16", "28H¹⁶"), =HYPERLINK("CSG22.html#group84I22", "84I²²"), =HYPERLINK("CSG22.html#group84L22", "84L²²")</f>
        <v/>
      </c>
      <c r="M1190">
        <f>HYPERLINK("CSG0.html#group7B0", "7B⁰"), =HYPERLINK("CSG0.html#group4A0", "4A⁰"), =HYPERLINK("CSG0.html#group4C0", "4C⁰"), =HYPERLINK("CSG1.html#group14C1", "14C¹"), =HYPERLINK("CSG0.html#group2B0", "2B⁰"), =HYPERLINK("CSG0.html#group4F0", "4F⁰"), =HYPERLINK("CSG3.html#group28C3", "28C³"), =HYPERLINK("CSG0.html#group1A0", "1A⁰"), =HYPERLINK("CSG2.html#group28A2", "28A²")</f>
        <v/>
      </c>
      <c r="N1190">
        <f>HYPERLINK("CSG11.html#group28E11", "28E¹¹"), =HYPERLINK("CSG21.html#group28M21", "28M²¹"), =HYPERLINK("CSG16.html#group28H16", "28H¹⁶"), =HYPERLINK("CSG23.html#group56O23", "56O²³"), =HYPERLINK("CSG12.html#group56L12", "56L¹²"), =HYPERLINK("CSG22.html#group84I22", "84I²²"), =HYPERLINK("CSG23.html#group56P23", "56P²³"), =HYPERLINK("CSG13.html#group56I13", "56I¹³"), =HYPERLINK("CSG13.html#group56J13", "56J¹³"), =HYPERLINK("CSG14.html#group56A14", "56A¹⁴"), =HYPERLINK("CSG22.html#group84L22", "84L²²")</f>
        <v/>
      </c>
    </row>
    <row r="1191">
      <c r="A1191" t="inlineStr">
        <is>
          <t>28H⁶</t>
        </is>
      </c>
      <c r="B1191" t="inlineStr"/>
      <c r="C1191" t="inlineStr">
        <is>
          <t>112</t>
        </is>
      </c>
      <c r="D1191" t="inlineStr">
        <is>
          <t>1</t>
        </is>
      </c>
      <c r="E1191" t="inlineStr">
        <is>
          <t>112</t>
        </is>
      </c>
      <c r="F1191" t="inlineStr">
        <is>
          <t>8</t>
        </is>
      </c>
      <c r="G1191" t="inlineStr">
        <is>
          <t>1</t>
        </is>
      </c>
      <c r="H1191" t="inlineStr">
        <is>
          <t>28⁴</t>
        </is>
      </c>
      <c r="I1191" t="n">
        <v>4</v>
      </c>
      <c r="J1191" t="inlineStr">
        <is>
          <t>2², 6², 12⁸</t>
        </is>
      </c>
      <c r="K1191">
        <f>HYPERLINK("CSG0.html#group7F0", "7F⁰"), =HYPERLINK("CSG1.html#group28A1", "28A¹")</f>
        <v/>
      </c>
      <c r="L1191">
        <f>HYPERLINK("CSG11.html#group28H11", "28H¹¹"), =HYPERLINK("CSG15.html#group28A15", "28A¹⁵"), =HYPERLINK("CSG15.html#group28B15", "28B¹⁵"), =HYPERLINK("CSG15.html#group56B15", "56B¹⁵"), =HYPERLINK("CSG15.html#group56C15", "56C¹⁵"), =HYPERLINK("CSG21.html#group28F21", "28F²¹"), =HYPERLINK("CSG21.html#group28J21", "28J²¹"), =HYPERLINK("CSG21.html#group84M21", "84M²¹")</f>
        <v/>
      </c>
      <c r="M1191">
        <f>HYPERLINK("CSG0.html#group7F0", "7F⁰"), =HYPERLINK("CSG1.html#group28A1", "28A¹"), =HYPERLINK("CSG0.html#group1A0", "1A⁰"), =HYPERLINK("CSG0.html#group4A0", "4A⁰"), =HYPERLINK("CSG0.html#group7A0", "7A⁰")</f>
        <v/>
      </c>
      <c r="N1191">
        <f>HYPERLINK("CSG15.html#group28B15", "28B¹⁵"), =HYPERLINK("CSG21.html#group28F21", "28F²¹"), =HYPERLINK("CSG15.html#group56C15", "56C¹⁵"), =HYPERLINK("CSG15.html#group56B15", "56B¹⁵"), =HYPERLINK("CSG21.html#group28J21", "28J²¹"), =HYPERLINK("CSG15.html#group28A15", "28A¹⁵"), =HYPERLINK("CSG21.html#group84M21", "84M²¹"), =HYPERLINK("CSG11.html#group28H11", "28H¹¹")</f>
        <v/>
      </c>
    </row>
    <row r="1192">
      <c r="A1192" t="inlineStr">
        <is>
          <t>28I⁶</t>
        </is>
      </c>
      <c r="B1192" t="inlineStr"/>
      <c r="C1192" t="inlineStr">
        <is>
          <t>126</t>
        </is>
      </c>
      <c r="D1192" t="inlineStr">
        <is>
          <t>1</t>
        </is>
      </c>
      <c r="E1192" t="inlineStr">
        <is>
          <t>63</t>
        </is>
      </c>
      <c r="F1192" t="inlineStr">
        <is>
          <t>10</t>
        </is>
      </c>
      <c r="G1192" t="inlineStr">
        <is>
          <t>0</t>
        </is>
      </c>
      <c r="H1192" t="inlineStr">
        <is>
          <t>14³, 28³</t>
        </is>
      </c>
      <c r="I1192" t="n">
        <v>6</v>
      </c>
      <c r="J1192" t="inlineStr">
        <is>
          <t>3³, 6⁹</t>
        </is>
      </c>
      <c r="K1192">
        <f>HYPERLINK("CSG2.html#group14F2", "14F²"), =HYPERLINK("CSG2.html#group28C2", "28C²")</f>
        <v/>
      </c>
      <c r="L1192">
        <f>HYPERLINK("CSG12.html#group28D12", "28D¹²"), =HYPERLINK("CSG13.html#group28E13", "28E¹³"), =HYPERLINK("CSG14.html#group28C14", "28C¹⁴"), =HYPERLINK("CSG14.html#group56G14", "56G¹⁴"), =HYPERLINK("CSG15.html#group28D15", "28D¹⁵"), =HYPERLINK("CSG15.html#group28E15", "28E¹⁵"), =HYPERLINK("CSG15.html#group28F15", "28F¹⁵"), =HYPERLINK("CSG15.html#group28H15", "28H¹⁵"), =HYPERLINK("CSG15.html#group56E15", "56E¹⁵"), =HYPERLINK("CSG15.html#group56F15", "56F¹⁵"), =HYPERLINK("CSG15.html#group56G15", "56G¹⁵"), =HYPERLINK("CSG15.html#group56H15", "56H¹⁵"), =HYPERLINK("CSG16.html#group28C16", "28C¹⁶"), =HYPERLINK("CSG16.html#group56C16", "56C¹⁶"), =HYPERLINK("CSG17.html#group56B17", "56B¹⁷"), =HYPERLINK("CSG18.html#group56A18", "56A¹⁸"), =HYPERLINK("CSG19.html#group56A19", "56A¹⁹"), =HYPERLINK("CSG22.html#group84N22", "84N²²")</f>
        <v/>
      </c>
      <c r="M1192">
        <f>HYPERLINK("CSG2.html#group28C2", "28C²"), =HYPERLINK("CSG0.html#group7D0", "7D⁰"), =HYPERLINK("CSG1.html#group14B1", "14B¹"), =HYPERLINK("CSG0.html#group4C0", "4C⁰"), =HYPERLINK("CSG2.html#group14F2", "14F²"), =HYPERLINK("CSG0.html#group2B0", "2B⁰"), =HYPERLINK("CSG0.html#group1A0", "1A⁰"), =HYPERLINK("CSG0.html#group7A0", "7A⁰")</f>
        <v/>
      </c>
      <c r="N1192">
        <f>HYPERLINK("CSG15.html#group28E15", "28E¹⁵"), =HYPERLINK("CSG16.html#group56C16", "56C¹⁶"), =HYPERLINK("CSG16.html#group28C16", "28C¹⁶"), =HYPERLINK("CSG14.html#group56G14", "56G¹⁴"), =HYPERLINK("CSG12.html#group28D12", "28D¹²"), =HYPERLINK("CSG13.html#group28E13", "28E¹³"), =HYPERLINK("CSG17.html#group56B17", "56B¹⁷"), =HYPERLINK("CSG14.html#group28C14", "28C¹⁴"), =HYPERLINK("CSG19.html#group56A19", "56A¹⁹"), =HYPERLINK("CSG15.html#group56E15", "56E¹⁵"), =HYPERLINK("CSG15.html#group28D15", "28D¹⁵"), =HYPERLINK("CSG15.html#group28H15", "28H¹⁵"), =HYPERLINK("CSG15.html#group56G15", "56G¹⁵"), =HYPERLINK("CSG18.html#group56A18", "56A¹⁸"), =HYPERLINK("CSG15.html#group28F15", "28F¹⁵"), =HYPERLINK("CSG22.html#group84N22", "84N²²"), =HYPERLINK("CSG15.html#group56H15", "56H¹⁵"), =HYPERLINK("CSG15.html#group56F15", "56F¹⁵")</f>
        <v/>
      </c>
    </row>
    <row r="1193">
      <c r="A1193" t="inlineStr">
        <is>
          <t>28J⁶</t>
        </is>
      </c>
      <c r="B1193" t="inlineStr"/>
      <c r="C1193" t="inlineStr">
        <is>
          <t>126</t>
        </is>
      </c>
      <c r="D1193" t="inlineStr">
        <is>
          <t>2</t>
        </is>
      </c>
      <c r="E1193" t="inlineStr">
        <is>
          <t>63</t>
        </is>
      </c>
      <c r="F1193" t="inlineStr">
        <is>
          <t>4</t>
        </is>
      </c>
      <c r="G1193" t="inlineStr">
        <is>
          <t>0</t>
        </is>
      </c>
      <c r="H1193" t="inlineStr">
        <is>
          <t>7⁶, 28³</t>
        </is>
      </c>
      <c r="I1193" t="n">
        <v>9</v>
      </c>
      <c r="J1193" t="inlineStr">
        <is>
          <t>6²¹</t>
        </is>
      </c>
      <c r="K1193">
        <f>HYPERLINK("CSG2.html#group14F2", "14F²"), =HYPERLINK("CSG2.html#group28B2", "28B²")</f>
        <v/>
      </c>
      <c r="L1193">
        <f>HYPERLINK("CSG11.html#group28I11", "28I¹¹"), =HYPERLINK("CSG13.html#group28B13", "28B¹³"), =HYPERLINK("CSG13.html#group28D13", "28D¹³"), =HYPERLINK("CSG14.html#group28A14", "28A¹⁴"), =HYPERLINK("CSG14.html#group28C14", "28C¹⁴"), =HYPERLINK("CSG16.html#group28D16", "28D¹⁶"), =HYPERLINK("CSG16.html#group28F16", "28F¹⁶")</f>
        <v/>
      </c>
      <c r="M1193">
        <f>HYPERLINK("CSG2.html#group14F2", "14F²"), =HYPERLINK("CSG0.html#group2B0", "2B⁰"), =HYPERLINK("CSG0.html#group7D0", "7D⁰"), =HYPERLINK("CSG1.html#group14B1", "14B¹"), =HYPERLINK("CSG0.html#group1A0", "1A⁰"), =HYPERLINK("CSG2.html#group28B2", "28B²"), =HYPERLINK("CSG0.html#group7A0", "7A⁰")</f>
        <v/>
      </c>
      <c r="N1193">
        <f>HYPERLINK("CSG16.html#group28F16", "28F¹⁶"), =HYPERLINK("CSG14.html#group28C14", "28C¹⁴"), =HYPERLINK("CSG16.html#group28D16", "28D¹⁶"), =HYPERLINK("CSG14.html#group28A14", "28A¹⁴"), =HYPERLINK("CSG13.html#group28D13", "28D¹³"), =HYPERLINK("CSG23.html#group28E23", "28E²³"), =HYPERLINK("CSG13.html#group28B13", "28B¹³"), =HYPERLINK("CSG11.html#group28I11", "28I¹¹")</f>
        <v/>
      </c>
    </row>
    <row r="1194">
      <c r="A1194" t="inlineStr">
        <is>
          <t>30A⁶</t>
        </is>
      </c>
      <c r="B1194" t="inlineStr"/>
      <c r="C1194" t="inlineStr">
        <is>
          <t>90</t>
        </is>
      </c>
      <c r="D1194" t="inlineStr">
        <is>
          <t>1</t>
        </is>
      </c>
      <c r="E1194" t="inlineStr">
        <is>
          <t>45</t>
        </is>
      </c>
      <c r="F1194" t="inlineStr">
        <is>
          <t>2</t>
        </is>
      </c>
      <c r="G1194" t="inlineStr">
        <is>
          <t>0</t>
        </is>
      </c>
      <c r="H1194" t="inlineStr">
        <is>
          <t>15², 30²</t>
        </is>
      </c>
      <c r="I1194" t="n">
        <v>4</v>
      </c>
      <c r="J1194" t="inlineStr">
        <is>
          <t>1³, 2³, 4³, 8³</t>
        </is>
      </c>
      <c r="K1194">
        <f>HYPERLINK("CSG0.html#group6G0", "6G⁰"), =HYPERLINK("CSG2.html#group15A2", "15A²"), =HYPERLINK("CSG3.html#group30D3", "30D³")</f>
        <v/>
      </c>
      <c r="L1194">
        <f>HYPERLINK("CSG12.html#group30A12", "30A¹²"), =HYPERLINK("CSG12.html#group30E12", "30E¹²"), =HYPERLINK("CSG12.html#group60B12", "60B¹²"), =HYPERLINK("CSG13.html#group30C13", "30C¹³"), =HYPERLINK("CSG13.html#group60C13", "60C¹³"), =HYPERLINK("CSG13.html#group60D13", "60D¹³"), =HYPERLINK("CSG14.html#group60C14", "60C¹⁴"), =HYPERLINK("CSG16.html#group30B16", "30B¹⁶"), =HYPERLINK("CSG19.html#group90G19", "90G¹⁹"), =HYPERLINK("CSG20.html#group90A20", "90A²⁰"), =HYPERLINK("CSG20.html#group90B20", "90B²⁰"), =HYPERLINK("CSG21.html#group90B21", "90B²¹"), =HYPERLINK("CSG23.html#group30F23", "30F²³")</f>
        <v/>
      </c>
      <c r="M1194">
        <f>HYPERLINK("CSG3.html#group30D3", "30D³"), =HYPERLINK("CSG0.html#group5A0", "5A⁰"), =HYPERLINK("CSG2.html#group15A2", "15A²"), =HYPERLINK("CSG1.html#group10B1", "10B¹"), =HYPERLINK("CSG0.html#group6D0", "6D⁰"), =HYPERLINK("CSG0.html#group6G0", "6G⁰"), =HYPERLINK("CSG0.html#group3C0", "3C⁰"), =HYPERLINK("CSG0.html#group2B0", "2B⁰"), =HYPERLINK("CSG0.html#group3A0", "3A⁰"), =HYPERLINK("CSG0.html#group1A0", "1A⁰"), =HYPERLINK("CSG1.html#group15A1", "15A¹")</f>
        <v/>
      </c>
      <c r="N1194">
        <f>HYPERLINK("CSG19.html#group90G19", "90G¹⁹"), =HYPERLINK("CSG14.html#group60C14", "60C¹⁴"), =HYPERLINK("CSG21.html#group90B21", "90B²¹"), =HYPERLINK("CSG13.html#group60C13", "60C¹³"), =HYPERLINK("CSG13.html#group60D13", "60D¹³"), =HYPERLINK("CSG12.html#group30E12", "30E¹²"), =HYPERLINK("CSG12.html#group60B12", "60B¹²"), =HYPERLINK("CSG16.html#group30B16", "30B¹⁶"), =HYPERLINK("CSG20.html#group90B20", "90B²⁰"), =HYPERLINK("CSG23.html#group30F23", "30F²³"), =HYPERLINK("CSG12.html#group30A12", "30A¹²"), =HYPERLINK("CSG20.html#group90A20", "90A²⁰"), =HYPERLINK("CSG13.html#group30C13", "30C¹³")</f>
        <v/>
      </c>
    </row>
    <row r="1195">
      <c r="A1195" t="inlineStr">
        <is>
          <t>30B⁶</t>
        </is>
      </c>
      <c r="B1195" t="inlineStr"/>
      <c r="C1195" t="inlineStr">
        <is>
          <t>90</t>
        </is>
      </c>
      <c r="D1195" t="inlineStr">
        <is>
          <t>1</t>
        </is>
      </c>
      <c r="E1195" t="inlineStr">
        <is>
          <t>45</t>
        </is>
      </c>
      <c r="F1195" t="inlineStr">
        <is>
          <t>4</t>
        </is>
      </c>
      <c r="G1195" t="inlineStr">
        <is>
          <t>0</t>
        </is>
      </c>
      <c r="H1195" t="inlineStr">
        <is>
          <t>30³</t>
        </is>
      </c>
      <c r="I1195" t="n">
        <v>3</v>
      </c>
      <c r="J1195" t="inlineStr">
        <is>
          <t>1³, 2³, 4³, 8³</t>
        </is>
      </c>
      <c r="K1195">
        <f>HYPERLINK("CSG0.html#group6H0", "6H⁰"), =HYPERLINK("CSG2.html#group30A2", "30A²"), =HYPERLINK("CSG3.html#group30D3", "30D³")</f>
        <v/>
      </c>
      <c r="L1195">
        <f>HYPERLINK("CSG12.html#group30E12", "30E¹²"), =HYPERLINK("CSG12.html#group60C12", "60C¹²"), =HYPERLINK("CSG13.html#group30C13", "30C¹³"), =HYPERLINK("CSG13.html#group60H13", "60H¹³"), =HYPERLINK("CSG14.html#group60D14", "60D¹⁴"), =HYPERLINK("CSG16.html#group30D16", "30D¹⁶"), =HYPERLINK("CSG20.html#group90D20", "90D²⁰"), =HYPERLINK("CSG21.html#group90A21", "90A²¹")</f>
        <v/>
      </c>
      <c r="M1195">
        <f>HYPERLINK("CSG3.html#group30D3", "30D³"), =HYPERLINK("CSG0.html#group5A0", "5A⁰"), =HYPERLINK("CSG2.html#group30A2", "30A²"), =HYPERLINK("CSG0.html#group6B0", "6B⁰"), =HYPERLINK("CSG1.html#group10B1", "10B¹"), =HYPERLINK("CSG0.html#group6D0", "6D⁰"), =HYPERLINK("CSG0.html#group2B0", "2B⁰"), =HYPERLINK("CSG0.html#group6H0", "6H⁰"), =HYPERLINK("CSG0.html#group3A0", "3A⁰"), =HYPERLINK("CSG0.html#group1A0", "1A⁰"), =HYPERLINK("CSG1.html#group15A1", "15A¹")</f>
        <v/>
      </c>
      <c r="N1195">
        <f>HYPERLINK("CSG13.html#group60H13", "60H¹³"), =HYPERLINK("CSG16.html#group30D16", "30D¹⁶"), =HYPERLINK("CSG21.html#group90A21", "90A²¹"), =HYPERLINK("CSG12.html#group60C12", "60C¹²"), =HYPERLINK("CSG20.html#group90D20", "90D²⁰"), =HYPERLINK("CSG12.html#group30E12", "30E¹²"), =HYPERLINK("CSG14.html#group60D14", "60D¹⁴"), =HYPERLINK("CSG13.html#group30C13", "30C¹³")</f>
        <v/>
      </c>
    </row>
    <row r="1196">
      <c r="A1196" t="inlineStr">
        <is>
          <t>30C⁶</t>
        </is>
      </c>
      <c r="B1196" t="inlineStr"/>
      <c r="C1196" t="inlineStr">
        <is>
          <t>108</t>
        </is>
      </c>
      <c r="D1196" t="inlineStr">
        <is>
          <t>1</t>
        </is>
      </c>
      <c r="E1196" t="inlineStr">
        <is>
          <t>18</t>
        </is>
      </c>
      <c r="F1196" t="inlineStr">
        <is>
          <t>0</t>
        </is>
      </c>
      <c r="G1196" t="inlineStr">
        <is>
          <t>0</t>
        </is>
      </c>
      <c r="H1196" t="inlineStr">
        <is>
          <t>3², 6², 15², 30²</t>
        </is>
      </c>
      <c r="I1196" t="n">
        <v>8</v>
      </c>
      <c r="J1196" t="inlineStr">
        <is>
          <t>1⁶, 4³</t>
        </is>
      </c>
      <c r="K1196">
        <f>HYPERLINK("CSG0.html#group10F0", "10F⁰"), =HYPERLINK("CSG2.html#group15B2", "15B²"), =HYPERLINK("CSG2.html#group30E2", "30E²")</f>
        <v/>
      </c>
      <c r="L1196">
        <f>HYPERLINK("CSG11.html#group30H11", "30H¹¹"), =HYPERLINK("CSG13.html#group30H13", "30H¹³"), =HYPERLINK("CSG13.html#group30L13", "30L¹³"), =HYPERLINK("CSG13.html#group60N13", "60N¹³"), =HYPERLINK("CSG13.html#group60S13", "60S¹³"), =HYPERLINK("CSG15.html#group60A15", "60A¹⁵"), =HYPERLINK("CSG15.html#group60J15", "60J¹⁵"), =HYPERLINK("CSG24.html#group90A24", "90A²⁴")</f>
        <v/>
      </c>
      <c r="M1196">
        <f>HYPERLINK("CSG0.html#group15B0", "15B⁰"), =HYPERLINK("CSG2.html#group30E2", "30E²"), =HYPERLINK("CSG2.html#group15B2", "15B²"), =HYPERLINK("CSG0.html#group5B0", "5B⁰"), =HYPERLINK("CSG0.html#group5D0", "5D⁰"), =HYPERLINK("CSG0.html#group10C0", "10C⁰"), =HYPERLINK("CSG0.html#group2B0", "2B⁰"), =HYPERLINK("CSG0.html#group3A0", "3A⁰"), =HYPERLINK("CSG0.html#group1A0", "1A⁰"), =HYPERLINK("CSG0.html#group10F0", "10F⁰"), =HYPERLINK("CSG0.html#group6D0", "6D⁰")</f>
        <v/>
      </c>
      <c r="N1196">
        <f>HYPERLINK("CSG15.html#group60J15", "60J¹⁵"), =HYPERLINK("CSG15.html#group60A15", "60A¹⁵"), =HYPERLINK("CSG13.html#group60S13", "60S¹³"), =HYPERLINK("CSG13.html#group60N13", "60N¹³"), =HYPERLINK("CSG24.html#group90A24", "90A²⁴"), =HYPERLINK("CSG21.html#group30G21", "30G²¹"), =HYPERLINK("CSG11.html#group30H11", "30H¹¹"), =HYPERLINK("CSG13.html#group30L13", "30L¹³"), =HYPERLINK("CSG13.html#group30H13", "30H¹³")</f>
        <v/>
      </c>
    </row>
    <row r="1197">
      <c r="A1197" t="inlineStr">
        <is>
          <t>30D⁶</t>
        </is>
      </c>
      <c r="B1197" t="inlineStr"/>
      <c r="C1197" t="inlineStr">
        <is>
          <t>108</t>
        </is>
      </c>
      <c r="D1197" t="inlineStr">
        <is>
          <t>1</t>
        </is>
      </c>
      <c r="E1197" t="inlineStr">
        <is>
          <t>54</t>
        </is>
      </c>
      <c r="F1197" t="inlineStr">
        <is>
          <t>4</t>
        </is>
      </c>
      <c r="G1197" t="inlineStr">
        <is>
          <t>0</t>
        </is>
      </c>
      <c r="H1197" t="inlineStr">
        <is>
          <t>6³, 30³</t>
        </is>
      </c>
      <c r="I1197" t="n">
        <v>6</v>
      </c>
      <c r="J1197" t="inlineStr">
        <is>
          <t>1⁶, 2⁶, 4³, 8³</t>
        </is>
      </c>
      <c r="K1197">
        <f>HYPERLINK("CSG2.html#group30C2", "30C²"), =HYPERLINK("CSG2.html#group30E2", "30E²")</f>
        <v/>
      </c>
      <c r="L1197">
        <f>HYPERLINK("CSG11.html#group30J11", "30J¹¹"), =HYPERLINK("CSG11.html#group30K11", "30K¹¹"), =HYPERLINK("CSG13.html#group30I13", "30I¹³"), =HYPERLINK("CSG13.html#group30K13", "30K¹³"), =HYPERLINK("CSG13.html#group30L13", "30L¹³"), =HYPERLINK("CSG13.html#group60W13", "60W¹³"), =HYPERLINK("CSG13.html#group60X13", "60X¹³"), =HYPERLINK("CSG13.html#group60AE13", "60AE¹³"), =HYPERLINK("CSG15.html#group60I15", "60I¹⁵"), =HYPERLINK("CSG15.html#group60K15", "60K¹⁵"), =HYPERLINK("CSG15.html#group60O15", "60O¹⁵"), =HYPERLINK("CSG22.html#group90G22", "90G²²"), =HYPERLINK("CSG24.html#group90C24", "90C²⁴")</f>
        <v/>
      </c>
      <c r="M1197">
        <f>HYPERLINK("CSG0.html#group15B0", "15B⁰"), =HYPERLINK("CSG2.html#group30E2", "30E²"), =HYPERLINK("CSG0.html#group5B0", "5B⁰"), =HYPERLINK("CSG0.html#group10C0", "10C⁰"), =HYPERLINK("CSG0.html#group2B0", "2B⁰"), =HYPERLINK("CSG0.html#group3A0", "3A⁰"), =HYPERLINK("CSG0.html#group1A0", "1A⁰"), =HYPERLINK("CSG0.html#group6D0", "6D⁰"), =HYPERLINK("CSG2.html#group30C2", "30C²")</f>
        <v/>
      </c>
      <c r="N1197">
        <f>HYPERLINK("CSG11.html#group30J11", "30J¹¹"), =HYPERLINK("CSG13.html#group60X13", "60X¹³"), =HYPERLINK("CSG21.html#group30H21", "30H²¹"), =HYPERLINK("CSG15.html#group60O15", "60O¹⁵"), =HYPERLINK("CSG15.html#group60I15", "60I¹⁵"), =HYPERLINK("CSG11.html#group30K11", "30K¹¹"), =HYPERLINK("CSG15.html#group60K15", "60K¹⁵"), =HYPERLINK("CSG24.html#group90C24", "90C²⁴"), =HYPERLINK("CSG13.html#group30K13", "30K¹³"), =HYPERLINK("CSG13.html#group30L13", "30L¹³"), =HYPERLINK("CSG22.html#group90G22", "90G²²"), =HYPERLINK("CSG13.html#group30I13", "30I¹³"), =HYPERLINK("CSG13.html#group60AE13", "60AE¹³"), =HYPERLINK("CSG13.html#group60W13", "60W¹³")</f>
        <v/>
      </c>
    </row>
    <row r="1198">
      <c r="A1198" t="inlineStr">
        <is>
          <t>30E⁶</t>
        </is>
      </c>
      <c r="B1198" t="inlineStr"/>
      <c r="C1198" t="inlineStr">
        <is>
          <t>120</t>
        </is>
      </c>
      <c r="D1198" t="inlineStr">
        <is>
          <t>1</t>
        </is>
      </c>
      <c r="E1198" t="inlineStr">
        <is>
          <t>40</t>
        </is>
      </c>
      <c r="F1198" t="inlineStr">
        <is>
          <t>0</t>
        </is>
      </c>
      <c r="G1198" t="inlineStr">
        <is>
          <t>6</t>
        </is>
      </c>
      <c r="H1198" t="inlineStr">
        <is>
          <t>10³, 30³</t>
        </is>
      </c>
      <c r="I1198" t="n">
        <v>6</v>
      </c>
      <c r="J1198" t="inlineStr">
        <is>
          <t>2², 4⁵, 8²</t>
        </is>
      </c>
      <c r="K1198">
        <f>HYPERLINK("CSG0.html#group10E0", "10E⁰"), =HYPERLINK("CSG2.html#group30D2", "30D²")</f>
        <v/>
      </c>
      <c r="L1198">
        <f>HYPERLINK("CSG14.html#group60G14", "60G¹⁴"), =HYPERLINK("CSG22.html#group30A22", "30A²²"), =HYPERLINK("CSG22.html#group30D22", "30D²²"), =HYPERLINK("CSG22.html#group90J22", "90J²²"), =HYPERLINK("CSG22.html#group90L22", "90L²²")</f>
        <v/>
      </c>
      <c r="M1198">
        <f>HYPERLINK("CSG0.html#group2A0", "2A⁰"), =HYPERLINK("CSG0.html#group3B0", "3B⁰"), =HYPERLINK("CSG0.html#group5A0", "5A⁰"), =HYPERLINK("CSG0.html#group10A0", "10A⁰"), =HYPERLINK("CSG0.html#group10E0", "10E⁰"), =HYPERLINK("CSG2.html#group30D2", "30D²"), =HYPERLINK("CSG0.html#group6C0", "6C⁰"), =HYPERLINK("CSG1.html#group15B1", "15B¹"), =HYPERLINK("CSG0.html#group1A0", "1A⁰")</f>
        <v/>
      </c>
      <c r="N1198">
        <f>HYPERLINK("CSG22.html#group30A22", "30A²²"), =HYPERLINK("CSG22.html#group30D22", "30D²²"), =HYPERLINK("CSG14.html#group60G14", "60G¹⁴"), =HYPERLINK("CSG22.html#group90L22", "90L²²"), =HYPERLINK("CSG22.html#group90J22", "90J²²")</f>
        <v/>
      </c>
    </row>
    <row r="1199">
      <c r="A1199" t="inlineStr">
        <is>
          <t>30F⁶</t>
        </is>
      </c>
      <c r="B1199" t="inlineStr"/>
      <c r="C1199" t="inlineStr">
        <is>
          <t>120</t>
        </is>
      </c>
      <c r="D1199" t="inlineStr">
        <is>
          <t>2</t>
        </is>
      </c>
      <c r="E1199" t="inlineStr">
        <is>
          <t>60</t>
        </is>
      </c>
      <c r="F1199" t="inlineStr">
        <is>
          <t>4</t>
        </is>
      </c>
      <c r="G1199" t="inlineStr">
        <is>
          <t>6</t>
        </is>
      </c>
      <c r="H1199" t="inlineStr">
        <is>
          <t>30⁴</t>
        </is>
      </c>
      <c r="I1199" t="n">
        <v>4</v>
      </c>
      <c r="J1199" t="inlineStr">
        <is>
          <t>8¹⁵</t>
        </is>
      </c>
      <c r="K1199">
        <f>HYPERLINK("CSG2.html#group15E2", "15E²")</f>
        <v/>
      </c>
      <c r="L1199">
        <f>HYPERLINK("CSG13.html#group30O13", "30O¹³"), =HYPERLINK("CSG22.html#group30E22", "30E²²"), =HYPERLINK("CSG24.html#group30A24", "30A²⁴")</f>
        <v/>
      </c>
      <c r="M1199">
        <f>HYPERLINK("CSG0.html#group5A0", "5A⁰"), =HYPERLINK("CSG2.html#group15E2", "15E²"), =HYPERLINK("CSG0.html#group1A0", "1A⁰"), =HYPERLINK("CSG0.html#group15A0", "15A⁰")</f>
        <v/>
      </c>
      <c r="N1199">
        <f>HYPERLINK("CSG24.html#group30A24", "30A²⁴"), =HYPERLINK("CSG13.html#group30O13", "30O¹³"), =HYPERLINK("CSG22.html#group30E22", "30E²²")</f>
        <v/>
      </c>
    </row>
    <row r="1200">
      <c r="A1200" t="inlineStr">
        <is>
          <t>31A⁶</t>
        </is>
      </c>
      <c r="B1200" t="inlineStr"/>
      <c r="C1200" t="inlineStr">
        <is>
          <t>96</t>
        </is>
      </c>
      <c r="D1200" t="inlineStr">
        <is>
          <t>1</t>
        </is>
      </c>
      <c r="E1200" t="inlineStr">
        <is>
          <t>32</t>
        </is>
      </c>
      <c r="F1200" t="inlineStr">
        <is>
          <t>0</t>
        </is>
      </c>
      <c r="G1200" t="inlineStr">
        <is>
          <t>0</t>
        </is>
      </c>
      <c r="H1200" t="inlineStr">
        <is>
          <t>1³, 31³</t>
        </is>
      </c>
      <c r="I1200" t="n">
        <v>6</v>
      </c>
      <c r="J1200" t="inlineStr">
        <is>
          <t>1², 30¹</t>
        </is>
      </c>
      <c r="K1200">
        <f>HYPERLINK("CSG2.html#group31A2", "31A²")</f>
        <v/>
      </c>
      <c r="L1200">
        <f>HYPERLINK("CSG14.html#group62A14", "62A¹⁴"), =HYPERLINK("CSG19.html#group62A19", "62A¹⁹"), =HYPERLINK("CSG22.html#group93A22", "93A²²")</f>
        <v/>
      </c>
      <c r="M1200">
        <f>HYPERLINK("CSG2.html#group31A2", "31A²"), =HYPERLINK("CSG0.html#group1A0", "1A⁰")</f>
        <v/>
      </c>
      <c r="N1200">
        <f>HYPERLINK("CSG19.html#group62A19", "62A¹⁹"), =HYPERLINK("CSG22.html#group93A22", "93A²²"), =HYPERLINK("CSG14.html#group62A14", "62A¹⁴")</f>
        <v/>
      </c>
    </row>
    <row r="1201">
      <c r="A1201" t="inlineStr">
        <is>
          <t>31B⁶</t>
        </is>
      </c>
      <c r="B1201" t="inlineStr"/>
      <c r="C1201" t="inlineStr">
        <is>
          <t>160</t>
        </is>
      </c>
      <c r="D1201" t="inlineStr">
        <is>
          <t>1</t>
        </is>
      </c>
      <c r="E1201" t="inlineStr">
        <is>
          <t>32</t>
        </is>
      </c>
      <c r="F1201" t="inlineStr">
        <is>
          <t>0</t>
        </is>
      </c>
      <c r="G1201" t="inlineStr">
        <is>
          <t>10</t>
        </is>
      </c>
      <c r="H1201" t="inlineStr">
        <is>
          <t>1⁵, 31⁵</t>
        </is>
      </c>
      <c r="I1201" t="n">
        <v>10</v>
      </c>
      <c r="J1201" t="inlineStr">
        <is>
          <t>1², 30¹</t>
        </is>
      </c>
      <c r="K1201">
        <f>HYPERLINK("CSG2.html#group31A2", "31A²")</f>
        <v/>
      </c>
      <c r="L1201">
        <f>HYPERLINK("CSG16.html#group62A16", "62A¹⁶")</f>
        <v/>
      </c>
      <c r="M1201">
        <f>HYPERLINK("CSG2.html#group31A2", "31A²"), =HYPERLINK("CSG0.html#group1A0", "1A⁰")</f>
        <v/>
      </c>
      <c r="N1201">
        <f>HYPERLINK("CSG16.html#group62A16", "62A¹⁶")</f>
        <v/>
      </c>
    </row>
    <row r="1202">
      <c r="A1202" t="inlineStr">
        <is>
          <t>32A⁶</t>
        </is>
      </c>
      <c r="B1202" t="inlineStr"/>
      <c r="C1202" t="inlineStr">
        <is>
          <t>96</t>
        </is>
      </c>
      <c r="D1202" t="inlineStr">
        <is>
          <t>1</t>
        </is>
      </c>
      <c r="E1202" t="inlineStr">
        <is>
          <t>12</t>
        </is>
      </c>
      <c r="F1202" t="inlineStr">
        <is>
          <t>0</t>
        </is>
      </c>
      <c r="G1202" t="inlineStr">
        <is>
          <t>0</t>
        </is>
      </c>
      <c r="H1202" t="inlineStr">
        <is>
          <t>8⁴, 32²</t>
        </is>
      </c>
      <c r="I1202" t="n">
        <v>6</v>
      </c>
      <c r="J1202" t="inlineStr">
        <is>
          <t>2⁶</t>
        </is>
      </c>
      <c r="K1202">
        <f>HYPERLINK("CSG2.html#group16C2", "16C²"), =HYPERLINK("CSG3.html#group32I3", "32I³")</f>
        <v/>
      </c>
      <c r="L1202">
        <f>HYPERLINK("CSG11.html#group32A11", "32A¹¹"), =HYPERLINK("CSG11.html#group32B11", "32B¹¹"), =HYPERLINK("CSG22.html#group96A22", "96A²²")</f>
        <v/>
      </c>
      <c r="M1202">
        <f>HYPERLINK("CSG0.html#group2A0", "2A⁰"), =HYPERLINK("CSG2.html#group16C2", "16C²"), =HYPERLINK("CSG0.html#group8D0", "8D⁰"), =HYPERLINK("CSG0.html#group4C0", "4C⁰"), =HYPERLINK("CSG3.html#group32I3", "32I³"), =HYPERLINK("CSG0.html#group2B0", "2B⁰"), =HYPERLINK("CSG0.html#group8C0", "8C⁰"), =HYPERLINK("CSG0.html#group4E0", "4E⁰"), =HYPERLINK("CSG0.html#group4B0", "4B⁰"), =HYPERLINK("CSG0.html#group1A0", "1A⁰"), =HYPERLINK("CSG0.html#group8G0", "8G⁰"), =HYPERLINK("CSG1.html#group16C1", "16C¹"), =HYPERLINK("CSG0.html#group2C0", "2C⁰")</f>
        <v/>
      </c>
      <c r="N1202">
        <f>HYPERLINK("CSG21.html#group32G21", "32G²¹"), =HYPERLINK("CSG21.html#group32E21", "32E²¹"), =HYPERLINK("CSG21.html#group32C21", "32C²¹"), =HYPERLINK("CSG22.html#group96A22", "96A²²"), =HYPERLINK("CSG11.html#group32B11", "32B¹¹"), =HYPERLINK("CSG21.html#group32H21", "32H²¹"), =HYPERLINK("CSG21.html#group32D21", "32D²¹"), =HYPERLINK("CSG11.html#group32A11", "32A¹¹")</f>
        <v/>
      </c>
    </row>
    <row r="1203">
      <c r="A1203" t="inlineStr">
        <is>
          <t>32B⁶</t>
        </is>
      </c>
      <c r="B1203" t="inlineStr"/>
      <c r="C1203" t="inlineStr">
        <is>
          <t>96</t>
        </is>
      </c>
      <c r="D1203" t="inlineStr">
        <is>
          <t>1</t>
        </is>
      </c>
      <c r="E1203" t="inlineStr">
        <is>
          <t>24</t>
        </is>
      </c>
      <c r="F1203" t="inlineStr">
        <is>
          <t>0</t>
        </is>
      </c>
      <c r="G1203" t="inlineStr">
        <is>
          <t>0</t>
        </is>
      </c>
      <c r="H1203" t="inlineStr">
        <is>
          <t>8⁴, 32²</t>
        </is>
      </c>
      <c r="I1203" t="n">
        <v>6</v>
      </c>
      <c r="J1203" t="inlineStr">
        <is>
          <t>2⁴, 8²</t>
        </is>
      </c>
      <c r="K1203">
        <f>HYPERLINK("CSG2.html#group16D2", "16D²"), =HYPERLINK("CSG3.html#group32I3", "32I³")</f>
        <v/>
      </c>
      <c r="L1203">
        <f>HYPERLINK("CSG11.html#group32A11", "32A¹¹"), =HYPERLINK("CSG11.html#group32H11", "32H¹¹"), =HYPERLINK("CSG22.html#group96B22", "96B²²")</f>
        <v/>
      </c>
      <c r="M1203">
        <f>HYPERLINK("CSG2.html#group16D2", "16D²"), =HYPERLINK("CSG0.html#group16E0", "16E⁰"), =HYPERLINK("CSG1.html#group8C1", "8C¹"), =HYPERLINK("CSG1.html#group8A1", "8A¹"), =HYPERLINK("CSG0.html#group8D0", "8D⁰"), =HYPERLINK("CSG0.html#group4A0", "4A⁰"), =HYPERLINK("CSG1.html#group16C1", "16C¹"), =HYPERLINK("CSG0.html#group4C0", "4C⁰"), =HYPERLINK("CSG3.html#group32I3", "32I³"), =HYPERLINK("CSG0.html#group2B0", "2B⁰"), =HYPERLINK("CSG0.html#group4F0", "4F⁰"), =HYPERLINK("CSG0.html#group1A0", "1A⁰")</f>
        <v/>
      </c>
      <c r="N1203">
        <f>HYPERLINK("CSG11.html#group32H11", "32H¹¹"), =HYPERLINK("CSG23.html#group64A23", "64A²³"), =HYPERLINK("CSG21.html#group32D21", "32D²¹"), =HYPERLINK("CSG11.html#group32A11", "32A¹¹"), =HYPERLINK("CSG21.html#group32E21", "32E²¹"), =HYPERLINK("CSG22.html#group96B22", "96B²²"), =HYPERLINK("CSG21.html#group32C21", "32C²¹")</f>
        <v/>
      </c>
    </row>
    <row r="1204">
      <c r="A1204" t="inlineStr">
        <is>
          <t>32C⁶</t>
        </is>
      </c>
      <c r="B1204" t="inlineStr"/>
      <c r="C1204" t="inlineStr">
        <is>
          <t>96</t>
        </is>
      </c>
      <c r="D1204" t="inlineStr">
        <is>
          <t>2</t>
        </is>
      </c>
      <c r="E1204" t="inlineStr">
        <is>
          <t>24</t>
        </is>
      </c>
      <c r="F1204" t="inlineStr">
        <is>
          <t>4</t>
        </is>
      </c>
      <c r="G1204" t="inlineStr">
        <is>
          <t>0</t>
        </is>
      </c>
      <c r="H1204" t="inlineStr">
        <is>
          <t>16², 32²</t>
        </is>
      </c>
      <c r="I1204" t="n">
        <v>4</v>
      </c>
      <c r="J1204" t="inlineStr">
        <is>
          <t>2⁸, 4⁴, 8²</t>
        </is>
      </c>
      <c r="K1204">
        <f>HYPERLINK("CSG2.html#group16E2", "16E²"), =HYPERLINK("CSG3.html#group32E3", "32E³"), =HYPERLINK("CSG3.html#group32G3", "32G³")</f>
        <v/>
      </c>
      <c r="L1204">
        <f>HYPERLINK("CSG11.html#group32K11", "32K¹¹"), =HYPERLINK("CSG12.html#group32A12", "32A¹²"), =HYPERLINK("CSG12.html#group32C12", "32C¹²"), =HYPERLINK("CSG13.html#group32C13", "32C¹³"), =HYPERLINK("CSG13.html#group32Q13", "32Q¹³"), =HYPERLINK("CSG14.html#group64A14", "64A¹⁴"), =HYPERLINK("CSG14.html#group64B14", "64B¹⁴"), =HYPERLINK("CSG14.html#group64C14", "64C¹⁴"), =HYPERLINK("CSG14.html#group64D14", "64D¹⁴"), =HYPERLINK("CSG20.html#group96G20", "96G²⁰")</f>
        <v/>
      </c>
      <c r="M1204">
        <f>HYPERLINK("CSG0.html#group8H0", "8H⁰"), =HYPERLINK("CSG1.html#group16D1", "16D¹"), =HYPERLINK("CSG0.html#group8D0", "8D⁰"), =HYPERLINK("CSG0.html#group4A0", "4A⁰"), =HYPERLINK("CSG0.html#group4C0", "4C⁰"), =HYPERLINK("CSG0.html#group8B0", "8B⁰"), =HYPERLINK("CSG3.html#group32E3", "32E³"), =HYPERLINK("CSG0.html#group2B0", "2B⁰"), =HYPERLINK("CSG3.html#group32G3", "32G³"), =HYPERLINK("CSG0.html#group4F0", "4F⁰"), =HYPERLINK("CSG0.html#group1A0", "1A⁰"), =HYPERLINK("CSG2.html#group16E2", "16E²")</f>
        <v/>
      </c>
      <c r="N1204">
        <f>HYPERLINK("CSG23.html#group32H23", "32H²³"), =HYPERLINK("CSG14.html#group64B14", "64B¹⁴"), =HYPERLINK("CSG12.html#group32C12", "32C¹²"), =HYPERLINK("CSG11.html#group32K11", "32K¹¹"), =HYPERLINK("CSG23.html#group32E23", "32E²³"), =HYPERLINK("CSG24.html#group32A24", "32A²⁴"), =HYPERLINK("CSG20.html#group96G20", "96G²⁰"), =HYPERLINK("CSG14.html#group64A14", "64A¹⁴"), =HYPERLINK("CSG13.html#group32Q13", "32Q¹³"), =HYPERLINK("CSG14.html#group64C14", "64C¹⁴"), =HYPERLINK("CSG14.html#group64D14", "64D¹⁴"), =HYPERLINK("CSG12.html#group32A12", "32A¹²"), =HYPERLINK("CSG24.html#group32D24", "32D²⁴"), =HYPERLINK("CSG21.html#group32Y21", "32Y²¹"), =HYPERLINK("CSG13.html#group32C13", "32C¹³")</f>
        <v/>
      </c>
    </row>
    <row r="1205">
      <c r="A1205" t="inlineStr">
        <is>
          <t>32D⁶</t>
        </is>
      </c>
      <c r="B1205" t="inlineStr"/>
      <c r="C1205" t="inlineStr">
        <is>
          <t>96</t>
        </is>
      </c>
      <c r="D1205" t="inlineStr">
        <is>
          <t>2</t>
        </is>
      </c>
      <c r="E1205" t="inlineStr">
        <is>
          <t>24</t>
        </is>
      </c>
      <c r="F1205" t="inlineStr">
        <is>
          <t>4</t>
        </is>
      </c>
      <c r="G1205" t="inlineStr">
        <is>
          <t>0</t>
        </is>
      </c>
      <c r="H1205" t="inlineStr">
        <is>
          <t>16², 32²</t>
        </is>
      </c>
      <c r="I1205" t="n">
        <v>4</v>
      </c>
      <c r="J1205" t="inlineStr">
        <is>
          <t>2⁸, 4⁴, 8²</t>
        </is>
      </c>
      <c r="K1205">
        <f>HYPERLINK("CSG2.html#group16E2", "16E²"), =HYPERLINK("CSG3.html#group32F3", "32F³"), =HYPERLINK("CSG3.html#group32H3", "32H³")</f>
        <v/>
      </c>
      <c r="L1205">
        <f>HYPERLINK("CSG11.html#group32K11", "32K¹¹"), =HYPERLINK("CSG12.html#group32B12", "32B¹²"), =HYPERLINK("CSG12.html#group32C12", "32C¹²"), =HYPERLINK("CSG13.html#group32F13", "32F¹³"), =HYPERLINK("CSG13.html#group32Q13", "32Q¹³"), =HYPERLINK("CSG20.html#group96H20", "96H²⁰")</f>
        <v/>
      </c>
      <c r="M1205">
        <f>HYPERLINK("CSG0.html#group8H0", "8H⁰"), =HYPERLINK("CSG1.html#group16D1", "16D¹"), =HYPERLINK("CSG0.html#group8D0", "8D⁰"), =HYPERLINK("CSG0.html#group4A0", "4A⁰"), =HYPERLINK("CSG0.html#group4C0", "4C⁰"), =HYPERLINK("CSG0.html#group8B0", "8B⁰"), =HYPERLINK("CSG0.html#group2B0", "2B⁰"), =HYPERLINK("CSG0.html#group4F0", "4F⁰"), =HYPERLINK("CSG3.html#group32F3", "32F³"), =HYPERLINK("CSG0.html#group1A0", "1A⁰"), =HYPERLINK("CSG2.html#group16E2", "16E²"), =HYPERLINK("CSG3.html#group32H3", "32H³")</f>
        <v/>
      </c>
      <c r="N1205">
        <f>HYPERLINK("CSG23.html#group32H23", "32H²³"), =HYPERLINK("CSG20.html#group96H20", "96H²⁰"), =HYPERLINK("CSG12.html#group32C12", "32C¹²"), =HYPERLINK("CSG11.html#group32K11", "32K¹¹"), =HYPERLINK("CSG23.html#group32E23", "32E²³"), =HYPERLINK("CSG24.html#group32C24", "32C²⁴"), =HYPERLINK("CSG12.html#group32B12", "32B¹²"), =HYPERLINK("CSG13.html#group32Q13", "32Q¹³"), =HYPERLINK("CSG24.html#group32B24", "32B²⁴"), =HYPERLINK("CSG13.html#group32F13", "32F¹³"), =HYPERLINK("CSG21.html#group32Y21", "32Y²¹")</f>
        <v/>
      </c>
    </row>
    <row r="1206">
      <c r="A1206" t="inlineStr">
        <is>
          <t>32E⁶</t>
        </is>
      </c>
      <c r="B1206" t="inlineStr"/>
      <c r="C1206" t="inlineStr">
        <is>
          <t>96</t>
        </is>
      </c>
      <c r="D1206" t="inlineStr">
        <is>
          <t>2</t>
        </is>
      </c>
      <c r="E1206" t="inlineStr">
        <is>
          <t>24</t>
        </is>
      </c>
      <c r="F1206" t="inlineStr">
        <is>
          <t>4</t>
        </is>
      </c>
      <c r="G1206" t="inlineStr">
        <is>
          <t>0</t>
        </is>
      </c>
      <c r="H1206" t="inlineStr">
        <is>
          <t>16², 32²</t>
        </is>
      </c>
      <c r="I1206" t="n">
        <v>4</v>
      </c>
      <c r="J1206" t="inlineStr">
        <is>
          <t>2⁸, 4⁴, 8²</t>
        </is>
      </c>
      <c r="K1206">
        <f>HYPERLINK("CSG2.html#group16F2", "16F²"), =HYPERLINK("CSG3.html#group32E3", "32E³"), =HYPERLINK("CSG3.html#group32H3", "32H³")</f>
        <v/>
      </c>
      <c r="L1206">
        <f>HYPERLINK("CSG11.html#group32K11", "32K¹¹"), =HYPERLINK("CSG13.html#group32D13", "32D¹³"), =HYPERLINK("CSG13.html#group32Q13", "32Q¹³"), =HYPERLINK("CSG14.html#group64E14", "64E¹⁴"), =HYPERLINK("CSG14.html#group64F14", "64F¹⁴"), =HYPERLINK("CSG20.html#group96I20", "96I²⁰")</f>
        <v/>
      </c>
      <c r="M1206">
        <f>HYPERLINK("CSG1.html#group16D1", "16D¹"), =HYPERLINK("CSG2.html#group16F2", "16F²"), =HYPERLINK("CSG0.html#group4C0", "4C⁰"), =HYPERLINK("CSG0.html#group8B0", "8B⁰"), =HYPERLINK("CSG1.html#group16B1", "16B¹"), =HYPERLINK("CSG3.html#group32E3", "32E³"), =HYPERLINK("CSG0.html#group8L0", "8L⁰"), =HYPERLINK("CSG0.html#group2B0", "2B⁰"), =HYPERLINK("CSG0.html#group1A0", "1A⁰"), =HYPERLINK("CSG3.html#group32H3", "32H³")</f>
        <v/>
      </c>
      <c r="N1206">
        <f>HYPERLINK("CSG23.html#group32H23", "32H²³"), =HYPERLINK("CSG11.html#group32K11", "32K¹¹"), =HYPERLINK("CSG20.html#group96I20", "96I²⁰"), =HYPERLINK("CSG23.html#group32E23", "32E²³"), =HYPERLINK("CSG13.html#group32Q13", "32Q¹³"), =HYPERLINK("CSG14.html#group64E14", "64E¹⁴"), =HYPERLINK("CSG14.html#group64F14", "64F¹⁴"), =HYPERLINK("CSG13.html#group32D13", "32D¹³"), =HYPERLINK("CSG21.html#group32Y21", "32Y²¹")</f>
        <v/>
      </c>
    </row>
    <row r="1207">
      <c r="A1207" t="inlineStr">
        <is>
          <t>32F⁶</t>
        </is>
      </c>
      <c r="B1207" t="inlineStr"/>
      <c r="C1207" t="inlineStr">
        <is>
          <t>96</t>
        </is>
      </c>
      <c r="D1207" t="inlineStr">
        <is>
          <t>2</t>
        </is>
      </c>
      <c r="E1207" t="inlineStr">
        <is>
          <t>24</t>
        </is>
      </c>
      <c r="F1207" t="inlineStr">
        <is>
          <t>4</t>
        </is>
      </c>
      <c r="G1207" t="inlineStr">
        <is>
          <t>0</t>
        </is>
      </c>
      <c r="H1207" t="inlineStr">
        <is>
          <t>16², 32²</t>
        </is>
      </c>
      <c r="I1207" t="n">
        <v>4</v>
      </c>
      <c r="J1207" t="inlineStr">
        <is>
          <t>2⁸, 4⁴, 8²</t>
        </is>
      </c>
      <c r="K1207">
        <f>HYPERLINK("CSG2.html#group16F2", "16F²"), =HYPERLINK("CSG3.html#group32F3", "32F³"), =HYPERLINK("CSG3.html#group32G3", "32G³")</f>
        <v/>
      </c>
      <c r="L1207">
        <f>HYPERLINK("CSG11.html#group32K11", "32K¹¹"), =HYPERLINK("CSG13.html#group32E13", "32E¹³"), =HYPERLINK("CSG13.html#group32Q13", "32Q¹³"), =HYPERLINK("CSG14.html#group64G14", "64G¹⁴"), =HYPERLINK("CSG14.html#group64H14", "64H¹⁴"), =HYPERLINK("CSG20.html#group96J20", "96J²⁰")</f>
        <v/>
      </c>
      <c r="M1207">
        <f>HYPERLINK("CSG1.html#group16D1", "16D¹"), =HYPERLINK("CSG2.html#group16F2", "16F²"), =HYPERLINK("CSG0.html#group4C0", "4C⁰"), =HYPERLINK("CSG0.html#group8B0", "8B⁰"), =HYPERLINK("CSG1.html#group16B1", "16B¹"), =HYPERLINK("CSG0.html#group8L0", "8L⁰"), =HYPERLINK("CSG0.html#group2B0", "2B⁰"), =HYPERLINK("CSG3.html#group32G3", "32G³"), =HYPERLINK("CSG3.html#group32F3", "32F³"), =HYPERLINK("CSG0.html#group1A0", "1A⁰")</f>
        <v/>
      </c>
      <c r="N1207">
        <f>HYPERLINK("CSG23.html#group32H23", "32H²³"), =HYPERLINK("CSG11.html#group32K11", "32K¹¹"), =HYPERLINK("CSG23.html#group32E23", "32E²³"), =HYPERLINK("CSG13.html#group32E13", "32E¹³"), =HYPERLINK("CSG13.html#group32Q13", "32Q¹³"), =HYPERLINK("CSG14.html#group64H14", "64H¹⁴"), =HYPERLINK("CSG14.html#group64G14", "64G¹⁴"), =HYPERLINK("CSG21.html#group32Y21", "32Y²¹"), =HYPERLINK("CSG20.html#group96J20", "96J²⁰")</f>
        <v/>
      </c>
    </row>
    <row r="1208">
      <c r="A1208" t="inlineStr">
        <is>
          <t>32G⁶</t>
        </is>
      </c>
      <c r="B1208" t="inlineStr"/>
      <c r="C1208" t="inlineStr">
        <is>
          <t>128</t>
        </is>
      </c>
      <c r="D1208" t="inlineStr">
        <is>
          <t>2</t>
        </is>
      </c>
      <c r="E1208" t="inlineStr">
        <is>
          <t>64</t>
        </is>
      </c>
      <c r="F1208" t="inlineStr">
        <is>
          <t>4</t>
        </is>
      </c>
      <c r="G1208" t="inlineStr">
        <is>
          <t>8</t>
        </is>
      </c>
      <c r="H1208" t="inlineStr">
        <is>
          <t>32⁴</t>
        </is>
      </c>
      <c r="I1208" t="n">
        <v>4</v>
      </c>
      <c r="J1208" t="inlineStr">
        <is>
          <t>16⁸</t>
        </is>
      </c>
      <c r="K1208">
        <f>HYPERLINK("CSG2.html#group16H2", "16H²")</f>
        <v/>
      </c>
      <c r="L1208">
        <f>HYPERLINK("CSG13.html#group32S13", "32S¹³"), =HYPERLINK("CSG14.html#group64I14", "64I¹⁴")</f>
        <v/>
      </c>
      <c r="M1208">
        <f>HYPERLINK("CSG0.html#group8A0", "8A⁰"), =HYPERLINK("CSG0.html#group8F0", "8F⁰"), =HYPERLINK("CSG0.html#group16A0", "16A⁰"), =HYPERLINK("CSG0.html#group4A0", "4A⁰"), =HYPERLINK("CSG0.html#group8M0", "8M⁰"), =HYPERLINK("CSG0.html#group1A0", "1A⁰"), =HYPERLINK("CSG2.html#group16H2", "16H²")</f>
        <v/>
      </c>
      <c r="N1208">
        <f>HYPERLINK("CSG14.html#group64I14", "64I¹⁴"), =HYPERLINK("CSG13.html#group32S13", "32S¹³")</f>
        <v/>
      </c>
    </row>
    <row r="1209">
      <c r="A1209" t="inlineStr">
        <is>
          <t>32H⁶</t>
        </is>
      </c>
      <c r="B1209" t="inlineStr"/>
      <c r="C1209" t="inlineStr">
        <is>
          <t>192</t>
        </is>
      </c>
      <c r="D1209" t="inlineStr">
        <is>
          <t>1</t>
        </is>
      </c>
      <c r="E1209" t="inlineStr">
        <is>
          <t>48</t>
        </is>
      </c>
      <c r="F1209" t="inlineStr">
        <is>
          <t>4</t>
        </is>
      </c>
      <c r="G1209" t="inlineStr">
        <is>
          <t>0</t>
        </is>
      </c>
      <c r="H1209" t="inlineStr">
        <is>
          <t>4¹⁶, 32⁴</t>
        </is>
      </c>
      <c r="I1209" t="n">
        <v>20</v>
      </c>
      <c r="J1209" t="inlineStr">
        <is>
          <t>2², 4³, 8⁴</t>
        </is>
      </c>
      <c r="K1209">
        <f>HYPERLINK("CSG2.html#group16L2", "16L²"), =HYPERLINK("CSG3.html#group32P3", "32P³"), =HYPERLINK("CSG3.html#group32Q3", "32Q³")</f>
        <v/>
      </c>
      <c r="L1209">
        <f>HYPERLINK("CSG13.html#group32T13", "32T¹³"), =HYPERLINK("CSG18.html#group64A18", "64A¹⁸"), =HYPERLINK("CSG18.html#group64B18", "64B¹⁸"), =HYPERLINK("CSG19.html#group32E19", "32E¹⁹"), =HYPERLINK("CSG21.html#group32P21", "32P²¹")</f>
        <v/>
      </c>
      <c r="M1209">
        <f>HYPERLINK("CSG1.html#group16I1", "16I¹"), =HYPERLINK("CSG0.html#group8D0", "8D⁰"), =HYPERLINK("CSG0.html#group4C0", "4C⁰"), =HYPERLINK("CSG0.html#group8B0", "8B⁰"), =HYPERLINK("CSG0.html#group8L0", "8L⁰"), =HYPERLINK("CSG0.html#group2B0", "2B⁰"), =HYPERLINK("CSG1.html#group32D1", "32D¹"), =HYPERLINK("CSG1.html#group16H1", "16H¹"), =HYPERLINK("CSG2.html#group16L2", "16L²"), =HYPERLINK("CSG0.html#group1A0", "1A⁰"), =HYPERLINK("CSG3.html#group32Q3", "32Q³"), =HYPERLINK("CSG0.html#group8H0", "8H⁰"), =HYPERLINK("CSG0.html#group16E0", "16E⁰"), =HYPERLINK("CSG1.html#group32C1", "32C¹"), =HYPERLINK("CSG0.html#group4A0", "4A⁰"), =HYPERLINK("CSG1.html#group16C1", "16C¹"), =HYPERLINK("CSG0.html#group4F0", "4F⁰"), =HYPERLINK("CSG0.html#group8P0", "8P⁰"), =HYPERLINK("CSG3.html#group32P3", "32P³")</f>
        <v/>
      </c>
      <c r="N1209">
        <f>HYPERLINK("CSG13.html#group32T13", "32T¹³"), =HYPERLINK("CSG18.html#group64A18", "64A¹⁸"), =HYPERLINK("CSG18.html#group64B18", "64B¹⁸"), =HYPERLINK("CSG21.html#group32P21", "32P²¹"), =HYPERLINK("CSG19.html#group32E19", "32E¹⁹")</f>
        <v/>
      </c>
    </row>
    <row r="1210">
      <c r="A1210" t="inlineStr">
        <is>
          <t>35A⁶</t>
        </is>
      </c>
      <c r="B1210" t="inlineStr"/>
      <c r="C1210" t="inlineStr">
        <is>
          <t>84</t>
        </is>
      </c>
      <c r="D1210" t="inlineStr">
        <is>
          <t>2</t>
        </is>
      </c>
      <c r="E1210" t="inlineStr">
        <is>
          <t>42</t>
        </is>
      </c>
      <c r="F1210" t="inlineStr">
        <is>
          <t>0</t>
        </is>
      </c>
      <c r="G1210" t="inlineStr">
        <is>
          <t>0</t>
        </is>
      </c>
      <c r="H1210" t="inlineStr">
        <is>
          <t>7², 35²</t>
        </is>
      </c>
      <c r="I1210" t="n">
        <v>4</v>
      </c>
      <c r="J1210" t="inlineStr">
        <is>
          <t>2², 6⁴, 8¹, 24²</t>
        </is>
      </c>
      <c r="K1210">
        <f>HYPERLINK("CSG0.html#group5D0", "5D⁰"), =HYPERLINK("CSG2.html#group35C2", "35C²")</f>
        <v/>
      </c>
      <c r="L1210">
        <f>HYPERLINK("CSG11.html#group35A11", "35A¹¹"), =HYPERLINK("CSG13.html#group70B13", "70B¹³"), =HYPERLINK("CSG13.html#group70C13", "70C¹³"), =HYPERLINK("CSG16.html#group35A16", "35A¹⁶"), =HYPERLINK("CSG18.html#group70F18", "70F¹⁸"), =HYPERLINK("CSG20.html#group105A20", "105A²⁰"), =HYPERLINK("CSG21.html#group35A21", "35A²¹")</f>
        <v/>
      </c>
      <c r="M1210">
        <f>HYPERLINK("CSG2.html#group35C2", "35C²"), =HYPERLINK("CSG0.html#group5B0", "5B⁰"), =HYPERLINK("CSG0.html#group5D0", "5D⁰"), =HYPERLINK("CSG0.html#group1A0", "1A⁰"), =HYPERLINK("CSG0.html#group7A0", "7A⁰")</f>
        <v/>
      </c>
      <c r="N1210">
        <f>HYPERLINK("CSG13.html#group70C13", "70C¹³"), =HYPERLINK("CSG20.html#group105A20", "105A²⁰"), =HYPERLINK("CSG16.html#group35A16", "35A¹⁶"), =HYPERLINK("CSG13.html#group70B13", "70B¹³"), =HYPERLINK("CSG11.html#group35A11", "35A¹¹"), =HYPERLINK("CSG18.html#group70F18", "70F¹⁸"), =HYPERLINK("CSG21.html#group35A21", "35A²¹")</f>
        <v/>
      </c>
    </row>
    <row r="1211">
      <c r="A1211" t="inlineStr">
        <is>
          <t>35B⁶</t>
        </is>
      </c>
      <c r="B1211" t="inlineStr"/>
      <c r="C1211" t="inlineStr">
        <is>
          <t>105</t>
        </is>
      </c>
      <c r="D1211" t="inlineStr">
        <is>
          <t>2</t>
        </is>
      </c>
      <c r="E1211" t="inlineStr">
        <is>
          <t>35</t>
        </is>
      </c>
      <c r="F1211" t="inlineStr">
        <is>
          <t>9</t>
        </is>
      </c>
      <c r="G1211" t="inlineStr">
        <is>
          <t>0</t>
        </is>
      </c>
      <c r="H1211" t="inlineStr">
        <is>
          <t>35³</t>
        </is>
      </c>
      <c r="I1211" t="n">
        <v>3</v>
      </c>
      <c r="J1211" t="inlineStr">
        <is>
          <t>2¹, 6², 8¹, 24²</t>
        </is>
      </c>
      <c r="K1211">
        <f>HYPERLINK("CSG0.html#group5E0", "5E⁰"), =HYPERLINK("CSG2.html#group35A2", "35A²")</f>
        <v/>
      </c>
      <c r="L1211">
        <f>HYPERLINK("CSG13.html#group35B13", "35B¹³"), =HYPERLINK("CSG14.html#group35A14", "35A¹⁴"), =HYPERLINK("CSG14.html#group35C14", "35C¹⁴"), =HYPERLINK("CSG14.html#group70A14", "70A¹⁴"), =HYPERLINK("CSG14.html#group70B14", "70B¹⁴"), =HYPERLINK("CSG15.html#group70C15", "70C¹⁵"), =HYPERLINK("CSG17.html#group70B17", "70B¹⁷"), =HYPERLINK("CSG19.html#group35C19", "35C¹⁹"), =HYPERLINK("CSG19.html#group105C19", "105C¹⁹"), =HYPERLINK("CSG22.html#group70A22", "70A²²")</f>
        <v/>
      </c>
      <c r="M1211">
        <f>HYPERLINK("CSG0.html#group5E0", "5E⁰"), =HYPERLINK("CSG0.html#group5A0", "5A⁰"), =HYPERLINK("CSG0.html#group1A0", "1A⁰"), =HYPERLINK("CSG2.html#group35A2", "35A²"), =HYPERLINK("CSG0.html#group7A0", "7A⁰")</f>
        <v/>
      </c>
      <c r="N1211">
        <f>HYPERLINK("CSG22.html#group70A22", "70A²²"), =HYPERLINK("CSG14.html#group35A14", "35A¹⁴"), =HYPERLINK("CSG19.html#group105C19", "105C¹⁹"), =HYPERLINK("CSG19.html#group35C19", "35C¹⁹"), =HYPERLINK("CSG14.html#group70A14", "70A¹⁴"), =HYPERLINK("CSG14.html#group35C14", "35C¹⁴"), =HYPERLINK("CSG14.html#group70B14", "70B¹⁴"), =HYPERLINK("CSG13.html#group35B13", "35B¹³"), =HYPERLINK("CSG17.html#group70B17", "70B¹⁷"), =HYPERLINK("CSG15.html#group70C15", "70C¹⁵")</f>
        <v/>
      </c>
    </row>
    <row r="1212">
      <c r="A1212" t="inlineStr">
        <is>
          <t>35C⁶</t>
        </is>
      </c>
      <c r="B1212" t="inlineStr"/>
      <c r="C1212" t="inlineStr">
        <is>
          <t>120</t>
        </is>
      </c>
      <c r="D1212" t="inlineStr">
        <is>
          <t>1</t>
        </is>
      </c>
      <c r="E1212" t="inlineStr">
        <is>
          <t>40</t>
        </is>
      </c>
      <c r="F1212" t="inlineStr">
        <is>
          <t>0</t>
        </is>
      </c>
      <c r="G1212" t="inlineStr">
        <is>
          <t>6</t>
        </is>
      </c>
      <c r="H1212" t="inlineStr">
        <is>
          <t>5³, 35³</t>
        </is>
      </c>
      <c r="I1212" t="n">
        <v>6</v>
      </c>
      <c r="J1212" t="inlineStr">
        <is>
          <t>2², 4⁴, 12¹, 24²</t>
        </is>
      </c>
      <c r="K1212">
        <f>HYPERLINK("CSG2.html#group35B2", "35B²")</f>
        <v/>
      </c>
      <c r="L1212">
        <f>HYPERLINK("CSG14.html#group70D14", "70D¹⁴"), =HYPERLINK("CSG22.html#group35A22", "35A²²")</f>
        <v/>
      </c>
      <c r="M1212">
        <f>HYPERLINK("CSG0.html#group5A0", "5A⁰"), =HYPERLINK("CSG0.html#group1A0", "1A⁰"), =HYPERLINK("CSG0.html#group7B0", "7B⁰"), =HYPERLINK("CSG2.html#group35B2", "35B²")</f>
        <v/>
      </c>
      <c r="N1212">
        <f>HYPERLINK("CSG14.html#group70D14", "70D¹⁴"), =HYPERLINK("CSG22.html#group35A22", "35A²²")</f>
        <v/>
      </c>
    </row>
    <row r="1213">
      <c r="A1213" t="inlineStr">
        <is>
          <t>35D⁶</t>
        </is>
      </c>
      <c r="B1213" t="inlineStr"/>
      <c r="C1213" t="inlineStr">
        <is>
          <t>120</t>
        </is>
      </c>
      <c r="D1213" t="inlineStr">
        <is>
          <t>1</t>
        </is>
      </c>
      <c r="E1213" t="inlineStr">
        <is>
          <t>40</t>
        </is>
      </c>
      <c r="F1213" t="inlineStr">
        <is>
          <t>0</t>
        </is>
      </c>
      <c r="G1213" t="inlineStr">
        <is>
          <t>6</t>
        </is>
      </c>
      <c r="H1213" t="inlineStr">
        <is>
          <t>5³, 35³</t>
        </is>
      </c>
      <c r="I1213" t="n">
        <v>6</v>
      </c>
      <c r="J1213" t="inlineStr">
        <is>
          <t>2², 4⁴, 12¹, 24²</t>
        </is>
      </c>
      <c r="K1213">
        <f>HYPERLINK("CSG2.html#group35B2", "35B²")</f>
        <v/>
      </c>
      <c r="L1213">
        <f>HYPERLINK("CSG14.html#group70E14", "70E¹⁴"), =HYPERLINK("CSG22.html#group35A22", "35A²²")</f>
        <v/>
      </c>
      <c r="M1213">
        <f>HYPERLINK("CSG0.html#group5A0", "5A⁰"), =HYPERLINK("CSG0.html#group1A0", "1A⁰"), =HYPERLINK("CSG0.html#group7B0", "7B⁰"), =HYPERLINK("CSG2.html#group35B2", "35B²")</f>
        <v/>
      </c>
      <c r="N1213">
        <f>HYPERLINK("CSG22.html#group35A22", "35A²²"), =HYPERLINK("CSG14.html#group70E14", "70E¹⁴")</f>
        <v/>
      </c>
    </row>
    <row r="1214">
      <c r="A1214" t="inlineStr">
        <is>
          <t>35E⁶</t>
        </is>
      </c>
      <c r="B1214" t="inlineStr"/>
      <c r="C1214" t="inlineStr">
        <is>
          <t>126</t>
        </is>
      </c>
      <c r="D1214" t="inlineStr">
        <is>
          <t>1</t>
        </is>
      </c>
      <c r="E1214" t="inlineStr">
        <is>
          <t>126</t>
        </is>
      </c>
      <c r="F1214" t="inlineStr">
        <is>
          <t>10</t>
        </is>
      </c>
      <c r="G1214" t="inlineStr">
        <is>
          <t>0</t>
        </is>
      </c>
      <c r="H1214" t="inlineStr">
        <is>
          <t>7³, 35³</t>
        </is>
      </c>
      <c r="I1214" t="n">
        <v>6</v>
      </c>
      <c r="J1214" t="inlineStr">
        <is>
          <t>3², 6⁶, 12¹, 24³</t>
        </is>
      </c>
      <c r="K1214">
        <f>HYPERLINK("CSG0.html#group7D0", "7D⁰"), =HYPERLINK("CSG2.html#group35C2", "35C²")</f>
        <v/>
      </c>
      <c r="L1214">
        <f>HYPERLINK("CSG12.html#group35B12", "35B¹²"), =HYPERLINK("CSG13.html#group35C13", "35C¹³"), =HYPERLINK("CSG14.html#group35D14", "35D¹⁴"), =HYPERLINK("CSG14.html#group70H14", "70H¹⁴"), =HYPERLINK("CSG15.html#group35D15", "35D¹⁵"), =HYPERLINK("CSG15.html#group70E15", "70E¹⁵"), =HYPERLINK("CSG16.html#group35A16", "35A¹⁶"), =HYPERLINK("CSG16.html#group70G16", "70G¹⁶"), =HYPERLINK("CSG17.html#group70F17", "70F¹⁷"), =HYPERLINK("CSG18.html#group70E18", "70E¹⁸"), =HYPERLINK("CSG19.html#group70A19", "70A¹⁹"), =HYPERLINK("CSG22.html#group105D22", "105D²²"), =HYPERLINK("CSG24.html#group70A24", "70A²⁴")</f>
        <v/>
      </c>
      <c r="M1214">
        <f>HYPERLINK("CSG2.html#group35C2", "35C²"), =HYPERLINK("CSG0.html#group5B0", "5B⁰"), =HYPERLINK("CSG0.html#group7D0", "7D⁰"), =HYPERLINK("CSG0.html#group1A0", "1A⁰"), =HYPERLINK("CSG0.html#group7A0", "7A⁰")</f>
        <v/>
      </c>
      <c r="N1214">
        <f>HYPERLINK("CSG13.html#group35C13", "35C¹³"), =HYPERLINK("CSG16.html#group70G16", "70G¹⁶"), =HYPERLINK("CSG16.html#group35A16", "35A¹⁶"), =HYPERLINK("CSG15.html#group70E15", "70E¹⁵"), =HYPERLINK("CSG15.html#group35D15", "35D¹⁵"), =HYPERLINK("CSG14.html#group70H14", "70H¹⁴"), =HYPERLINK("CSG14.html#group35D14", "35D¹⁴"), =HYPERLINK("CSG12.html#group35B12", "35B¹²"), =HYPERLINK("CSG19.html#group70A19", "70A¹⁹"), =HYPERLINK("CSG22.html#group105D22", "105D²²"), =HYPERLINK("CSG17.html#group70F17", "70F¹⁷"), =HYPERLINK("CSG18.html#group70E18", "70E¹⁸"), =HYPERLINK("CSG24.html#group70A24", "70A²⁴")</f>
        <v/>
      </c>
    </row>
    <row r="1215">
      <c r="A1215" t="inlineStr">
        <is>
          <t>36A⁶</t>
        </is>
      </c>
      <c r="B1215" t="inlineStr"/>
      <c r="C1215" t="inlineStr">
        <is>
          <t>72</t>
        </is>
      </c>
      <c r="D1215" t="inlineStr">
        <is>
          <t>1</t>
        </is>
      </c>
      <c r="E1215" t="inlineStr">
        <is>
          <t>36</t>
        </is>
      </c>
      <c r="F1215" t="inlineStr">
        <is>
          <t>0</t>
        </is>
      </c>
      <c r="G1215" t="inlineStr">
        <is>
          <t>0</t>
        </is>
      </c>
      <c r="H1215" t="inlineStr">
        <is>
          <t>36²</t>
        </is>
      </c>
      <c r="I1215" t="n">
        <v>2</v>
      </c>
      <c r="J1215" t="inlineStr">
        <is>
          <t>2², 4², 12²</t>
        </is>
      </c>
      <c r="K1215">
        <f>HYPERLINK("CSG1.html#group36A1", "36A¹"), =HYPERLINK("CSG2.html#group12A2", "12A²"), =HYPERLINK("CSG2.html#group18A2", "18A²")</f>
        <v/>
      </c>
      <c r="L1215">
        <f>HYPERLINK("CSG11.html#group36D11", "36D¹¹"), =HYPERLINK("CSG11.html#group36F11", "36F¹¹"), =HYPERLINK("CSG12.html#group72A12", "72A¹²"), =HYPERLINK("CSG12.html#group72B12", "72B¹²"), =HYPERLINK("CSG12.html#group72C12", "72C¹²"), =HYPERLINK("CSG16.html#group36A16", "36A¹⁶"), =HYPERLINK("CSG16.html#group36D16", "36D¹⁶"), =HYPERLINK("CSG23.html#group72E23", "72E²³")</f>
        <v/>
      </c>
      <c r="M1215">
        <f>HYPERLINK("CSG1.html#group36A1", "36A¹"), =HYPERLINK("CSG0.html#group2A0", "2A⁰"), =HYPERLINK("CSG0.html#group12A0", "12A⁰"), =HYPERLINK("CSG0.html#group4A0", "4A⁰"), =HYPERLINK("CSG0.html#group4D0", "4D⁰"), =HYPERLINK("CSG0.html#group9A0", "9A⁰"), =HYPERLINK("CSG2.html#group12A2", "12A²"), =HYPERLINK("CSG1.html#group6A1", "6A¹"), =HYPERLINK("CSG2.html#group18A2", "18A²"), =HYPERLINK("CSG0.html#group3A0", "3A⁰"), =HYPERLINK("CSG0.html#group1A0", "1A⁰")</f>
        <v/>
      </c>
      <c r="N1215">
        <f>HYPERLINK("CSG11.html#group36F11", "36F¹¹"), =HYPERLINK("CSG23.html#group72A23", "72A²³"), =HYPERLINK("CSG23.html#group72B23", "72B²³"), =HYPERLINK("CSG24.html#group144A24", "144A²⁴"), =HYPERLINK("CSG16.html#group36D16", "36D¹⁶"), =HYPERLINK("CSG23.html#group72H23", "72H²³"), =HYPERLINK("CSG23.html#group72G23", "72G²³"), =HYPERLINK("CSG21.html#group36A21", "36A²¹"), =HYPERLINK("CSG16.html#group36A16", "36A¹⁶"), =HYPERLINK("CSG24.html#group144C24", "144C²⁴"), =HYPERLINK("CSG12.html#group72A12", "72A¹²"), =HYPERLINK("CSG23.html#group72E23", "72E²³"), =HYPERLINK("CSG11.html#group36D11", "36D¹¹"), =HYPERLINK("CSG12.html#group72B12", "72B¹²"), =HYPERLINK("CSG24.html#group144B24", "144B²⁴"), =HYPERLINK("CSG12.html#group72C12", "72C¹²")</f>
        <v/>
      </c>
    </row>
    <row r="1216">
      <c r="A1216" t="inlineStr">
        <is>
          <t>36B⁶</t>
        </is>
      </c>
      <c r="B1216" t="inlineStr"/>
      <c r="C1216" t="inlineStr">
        <is>
          <t>96</t>
        </is>
      </c>
      <c r="D1216" t="inlineStr">
        <is>
          <t>1</t>
        </is>
      </c>
      <c r="E1216" t="inlineStr">
        <is>
          <t>32</t>
        </is>
      </c>
      <c r="F1216" t="inlineStr">
        <is>
          <t>0</t>
        </is>
      </c>
      <c r="G1216" t="inlineStr">
        <is>
          <t>3</t>
        </is>
      </c>
      <c r="H1216" t="inlineStr">
        <is>
          <t>12², 36²</t>
        </is>
      </c>
      <c r="I1216" t="n">
        <v>4</v>
      </c>
      <c r="J1216" t="inlineStr">
        <is>
          <t>4⁸</t>
        </is>
      </c>
      <c r="K1216">
        <f>HYPERLINK("CSG1.html#group12I1", "12I¹"), =HYPERLINK("CSG1.html#group18D1", "18D¹")</f>
        <v/>
      </c>
      <c r="L1216">
        <f>HYPERLINK("CSG11.html#group36H11", "36H¹¹"), =HYPERLINK("CSG13.html#group72D13", "72D¹³"), =HYPERLINK("CSG13.html#group72C13", "72C¹³"), =HYPERLINK("CSG16.html#group36F16", "36F¹⁶"), =HYPERLINK("CSG19.html#group36B19", "36B¹⁹"), =HYPERLINK("CSG19.html#group36G19", "36G¹⁹"), =HYPERLINK("CSG19.html#group36H19", "36H¹⁹")</f>
        <v/>
      </c>
      <c r="M1216">
        <f>HYPERLINK("CSG0.html#group2A0", "2A⁰"), =HYPERLINK("CSG0.html#group3B0", "3B⁰"), =HYPERLINK("CSG1.html#group12I1", "12I¹"), =HYPERLINK("CSG0.html#group4A0", "4A⁰"), =HYPERLINK("CSG0.html#group4D0", "4D⁰"), =HYPERLINK("CSG1.html#group12A1", "12A¹"), =HYPERLINK("CSG0.html#group6C0", "6C⁰"), =HYPERLINK("CSG0.html#group1A0", "1A⁰"), =HYPERLINK("CSG1.html#group18D1", "18D¹")</f>
        <v/>
      </c>
      <c r="N1216">
        <f>HYPERLINK("CSG16.html#group36F16", "36F¹⁶"), =HYPERLINK("CSG19.html#group36H19", "36H¹⁹"), =HYPERLINK("CSG19.html#group36G19", "36G¹⁹"), =HYPERLINK("CSG11.html#group36H11", "36H¹¹"), =HYPERLINK("CSG19.html#group36B19", "36B¹⁹"), =HYPERLINK("CSG13.html#group72D13", "72D¹³"), =HYPERLINK("CSG13.html#group72C13", "72C¹³")</f>
        <v/>
      </c>
    </row>
    <row r="1217">
      <c r="A1217" t="inlineStr">
        <is>
          <t>36C⁶</t>
        </is>
      </c>
      <c r="B1217" t="inlineStr"/>
      <c r="C1217" t="inlineStr">
        <is>
          <t>108</t>
        </is>
      </c>
      <c r="D1217" t="inlineStr">
        <is>
          <t>1</t>
        </is>
      </c>
      <c r="E1217" t="inlineStr">
        <is>
          <t>27</t>
        </is>
      </c>
      <c r="F1217" t="inlineStr">
        <is>
          <t>8</t>
        </is>
      </c>
      <c r="G1217" t="inlineStr">
        <is>
          <t>0</t>
        </is>
      </c>
      <c r="H1217" t="inlineStr">
        <is>
          <t>18², 36²</t>
        </is>
      </c>
      <c r="I1217" t="n">
        <v>4</v>
      </c>
      <c r="J1217" t="inlineStr">
        <is>
          <t>1³, 2³, 6³</t>
        </is>
      </c>
      <c r="K1217">
        <f>HYPERLINK("CSG0.html#group12H0", "12H⁰"), =HYPERLINK("CSG2.html#group36B2", "36B²"), =HYPERLINK("CSG3.html#group18D3", "18D³"), =HYPERLINK("CSG3.html#group36D3", "36D³")</f>
        <v/>
      </c>
      <c r="L1217">
        <f>HYPERLINK("CSG13.html#group36P13", "36P¹³"), =HYPERLINK("CSG13.html#group72I13", "72I¹³"), =HYPERLINK("CSG14.html#group36A14", "36A¹⁴"), =HYPERLINK("CSG14.html#group36B14", "36B¹⁴"), =HYPERLINK("CSG14.html#group72B14", "72B¹⁴"), =HYPERLINK("CSG14.html#group72C14", "72C¹⁴"), =HYPERLINK("CSG15.html#group36D15", "36D¹⁵"), =HYPERLINK("CSG15.html#group72Q15", "72Q¹⁵"), =HYPERLINK("CSG17.html#group72D17", "72D¹⁷"), =HYPERLINK("CSG18.html#group36B18", "36B¹⁸")</f>
        <v/>
      </c>
      <c r="M1217">
        <f>HYPERLINK("CSG0.html#group6B0", "6B⁰"), =HYPERLINK("CSG0.html#group12C0", "12C⁰"), =HYPERLINK("CSG0.html#group6H0", "6H⁰"), =HYPERLINK("CSG2.html#group36B2", "36B²"), =HYPERLINK("CSG0.html#group4C0", "4C⁰"), =HYPERLINK("CSG1.html#group18B1", "18B¹"), =HYPERLINK("CSG0.html#group2B0", "2B⁰"), =HYPERLINK("CSG0.html#group12H0", "12H⁰"), =HYPERLINK("CSG0.html#group1A0", "1A⁰"), =HYPERLINK("CSG3.html#group18D3", "18D³"), =HYPERLINK("CSG0.html#group9A0", "9A⁰"), =HYPERLINK("CSG0.html#group12D0", "12D⁰"), =HYPERLINK("CSG1.html#group18E1", "18E¹"), =HYPERLINK("CSG0.html#group3A0", "3A⁰"), =HYPERLINK("CSG3.html#group36D3", "36D³"), =HYPERLINK("CSG1.html#group18A1", "18A¹"), =HYPERLINK("CSG0.html#group6D0", "6D⁰")</f>
        <v/>
      </c>
      <c r="N1217">
        <f>HYPERLINK("CSG14.html#group36B14", "36B¹⁴"), =HYPERLINK("CSG14.html#group72B14", "72B¹⁴"), =HYPERLINK("CSG13.html#group72I13", "72I¹³"), =HYPERLINK("CSG17.html#group72D17", "72D¹⁷"), =HYPERLINK("CSG14.html#group36A14", "36A¹⁴"), =HYPERLINK("CSG14.html#group72C14", "72C¹⁴"), =HYPERLINK("CSG15.html#group36D15", "36D¹⁵"), =HYPERLINK("CSG18.html#group36B18", "36B¹⁸"), =HYPERLINK("CSG13.html#group36P13", "36P¹³"), =HYPERLINK("CSG15.html#group72Q15", "72Q¹⁵")</f>
        <v/>
      </c>
    </row>
    <row r="1218">
      <c r="A1218" t="inlineStr">
        <is>
          <t>36D⁶</t>
        </is>
      </c>
      <c r="B1218" t="inlineStr"/>
      <c r="C1218" t="inlineStr">
        <is>
          <t>108</t>
        </is>
      </c>
      <c r="D1218" t="inlineStr">
        <is>
          <t>1</t>
        </is>
      </c>
      <c r="E1218" t="inlineStr">
        <is>
          <t>54</t>
        </is>
      </c>
      <c r="F1218" t="inlineStr">
        <is>
          <t>0</t>
        </is>
      </c>
      <c r="G1218" t="inlineStr">
        <is>
          <t>0</t>
        </is>
      </c>
      <c r="H1218" t="inlineStr">
        <is>
          <t>6³, 12³, 18¹, 36¹</t>
        </is>
      </c>
      <c r="I1218" t="n">
        <v>8</v>
      </c>
      <c r="J1218" t="inlineStr">
        <is>
          <t>1³, 2³, 3³, 6⁶</t>
        </is>
      </c>
      <c r="K1218">
        <f>HYPERLINK("CSG1.html#group18I1", "18I¹"), =HYPERLINK("CSG2.html#group12C2", "12C²")</f>
        <v/>
      </c>
      <c r="L1218">
        <f>HYPERLINK("CSG11.html#group36I11", "36I¹¹"), =HYPERLINK("CSG11.html#group36L11", "36L¹¹"), =HYPERLINK("CSG11.html#group36M11", "36M¹¹"), =HYPERLINK("CSG22.html#group36A22", "36A²²"), =HYPERLINK("CSG22.html#group36C22", "36C²²")</f>
        <v/>
      </c>
      <c r="M1218">
        <f>HYPERLINK("CSG1.html#group12C1", "12C¹"), =HYPERLINK("CSG1.html#group18I1", "18I¹"), =HYPERLINK("CSG0.html#group6G0", "6G⁰"), =HYPERLINK("CSG0.html#group3C0", "3C⁰"), =HYPERLINK("CSG0.html#group1A0", "1A⁰"), =HYPERLINK("CSG0.html#group2B0", "2B⁰"), =HYPERLINK("CSG0.html#group9E0", "9E⁰"), =HYPERLINK("CSG0.html#group3A0", "3A⁰"), =HYPERLINK("CSG2.html#group12C2", "12C²"), =HYPERLINK("CSG0.html#group6D0", "6D⁰")</f>
        <v/>
      </c>
      <c r="N1218">
        <f>HYPERLINK("CSG11.html#group36L11", "36L¹¹"), =HYPERLINK("CSG21.html#group36E21", "36E²¹"), =HYPERLINK("CSG22.html#group36A22", "36A²²"), =HYPERLINK("CSG11.html#group36M11", "36M¹¹"), =HYPERLINK("CSG22.html#group36C22", "36C²²"), =HYPERLINK("CSG11.html#group36I11", "36I¹¹")</f>
        <v/>
      </c>
    </row>
    <row r="1219">
      <c r="A1219" t="inlineStr">
        <is>
          <t>36E⁶</t>
        </is>
      </c>
      <c r="B1219" t="inlineStr"/>
      <c r="C1219" t="inlineStr">
        <is>
          <t>108</t>
        </is>
      </c>
      <c r="D1219" t="inlineStr">
        <is>
          <t>1</t>
        </is>
      </c>
      <c r="E1219" t="inlineStr">
        <is>
          <t>54</t>
        </is>
      </c>
      <c r="F1219" t="inlineStr">
        <is>
          <t>10</t>
        </is>
      </c>
      <c r="G1219" t="inlineStr">
        <is>
          <t>0</t>
        </is>
      </c>
      <c r="H1219" t="inlineStr">
        <is>
          <t>36³</t>
        </is>
      </c>
      <c r="I1219" t="n">
        <v>3</v>
      </c>
      <c r="J1219" t="inlineStr">
        <is>
          <t>1², 2⁴, 4², 6², 12²</t>
        </is>
      </c>
      <c r="K1219">
        <f>HYPERLINK("CSG1.html#group12M1", "12M¹"), =HYPERLINK("CSG2.html#group36B2", "36B²")</f>
        <v/>
      </c>
      <c r="L1219">
        <f>HYPERLINK("CSG12.html#group36E12", "36E¹²"), =HYPERLINK("CSG12.html#group72G12", "72G¹²"), =HYPERLINK("CSG13.html#group36I13", "36I¹³"), =HYPERLINK("CSG13.html#group72O13", "72O¹³"), =HYPERLINK("CSG14.html#group36B14", "36B¹⁴"), =HYPERLINK("CSG14.html#group72E14", "72E¹⁴"), =HYPERLINK("CSG15.html#group36M15", "36M¹⁵"), =HYPERLINK("CSG15.html#group72K15", "72K¹⁵"), =HYPERLINK("CSG16.html#group36B16", "36B¹⁶"), =HYPERLINK("CSG16.html#group72N16", "72N¹⁶"), =HYPERLINK("CSG17.html#group72G17", "72G¹⁷"), =HYPERLINK("CSG20.html#group36C20", "36C²⁰")</f>
        <v/>
      </c>
      <c r="M1219">
        <f>HYPERLINK("CSG0.html#group12C0", "12C⁰"), =HYPERLINK("CSG0.html#group9A0", "9A⁰"), =HYPERLINK("CSG2.html#group36B2", "36B²"), =HYPERLINK("CSG0.html#group4C0", "4C⁰"), =HYPERLINK("CSG1.html#group12M1", "12M¹"), =HYPERLINK("CSG0.html#group2B0", "2B⁰"), =HYPERLINK("CSG1.html#group18E1", "18E¹"), =HYPERLINK("CSG0.html#group3A0", "3A⁰"), =HYPERLINK("CSG0.html#group1A0", "1A⁰"), =HYPERLINK("CSG0.html#group6D0", "6D⁰")</f>
        <v/>
      </c>
      <c r="N1219">
        <f>HYPERLINK("CSG15.html#group72K15", "72K¹⁵"), =HYPERLINK("CSG14.html#group36B14", "36B¹⁴"), =HYPERLINK("CSG16.html#group36B16", "36B¹⁶"), =HYPERLINK("CSG13.html#group36I13", "36I¹³"), =HYPERLINK("CSG16.html#group72N16", "72N¹⁶"), =HYPERLINK("CSG12.html#group36E12", "36E¹²"), =HYPERLINK("CSG17.html#group72G17", "72G¹⁷"), =HYPERLINK("CSG14.html#group72E14", "72E¹⁴"), =HYPERLINK("CSG15.html#group36M15", "36M¹⁵"), =HYPERLINK("CSG20.html#group36C20", "36C²⁰"), =HYPERLINK("CSG12.html#group72G12", "72G¹²"), =HYPERLINK("CSG13.html#group72O13", "72O¹³")</f>
        <v/>
      </c>
    </row>
    <row r="1220">
      <c r="A1220" t="inlineStr">
        <is>
          <t>36F⁶</t>
        </is>
      </c>
      <c r="B1220" t="inlineStr"/>
      <c r="C1220" t="inlineStr">
        <is>
          <t>108</t>
        </is>
      </c>
      <c r="D1220" t="inlineStr">
        <is>
          <t>1</t>
        </is>
      </c>
      <c r="E1220" t="inlineStr">
        <is>
          <t>54</t>
        </is>
      </c>
      <c r="F1220" t="inlineStr">
        <is>
          <t>10</t>
        </is>
      </c>
      <c r="G1220" t="inlineStr">
        <is>
          <t>0</t>
        </is>
      </c>
      <c r="H1220" t="inlineStr">
        <is>
          <t>36³</t>
        </is>
      </c>
      <c r="I1220" t="n">
        <v>3</v>
      </c>
      <c r="J1220" t="inlineStr">
        <is>
          <t>1², 2⁴, 4², 6², 12²</t>
        </is>
      </c>
      <c r="K1220">
        <f>HYPERLINK("CSG1.html#group12J1", "12J¹"), =HYPERLINK("CSG1.html#group36A1", "36A¹"), =HYPERLINK("CSG2.html#group36B2", "36B²")</f>
        <v/>
      </c>
      <c r="L1220">
        <f>HYPERLINK("CSG12.html#group36F12", "36F¹²"), =HYPERLINK("CSG12.html#group72F12", "72F¹²"), =HYPERLINK("CSG13.html#group36I13", "36I¹³"), =HYPERLINK("CSG13.html#group72M13", "72M¹³"), =HYPERLINK("CSG14.html#group36B14", "36B¹⁴"), =HYPERLINK("CSG14.html#group72D14", "72D¹⁴"), =HYPERLINK("CSG14.html#group72F14", "72F¹⁴"), =HYPERLINK("CSG14.html#group72G14", "72G¹⁴"), =HYPERLINK("CSG14.html#group72J14", "72J¹⁴"), =HYPERLINK("CSG15.html#group36N15", "36N¹⁵"), =HYPERLINK("CSG15.html#group72J15", "72J¹⁵"), =HYPERLINK("CSG15.html#group72L15", "72L¹⁵"), =HYPERLINK("CSG15.html#group72M15", "72M¹⁵"), =HYPERLINK("CSG15.html#group72X15", "72X¹⁵"), =HYPERLINK("CSG16.html#group36A16", "36A¹⁶"), =HYPERLINK("CSG16.html#group72L16", "72L¹⁶"), =HYPERLINK("CSG17.html#group72F17", "72F¹⁷"), =HYPERLINK("CSG20.html#group36B20", "36B²⁰")</f>
        <v/>
      </c>
      <c r="M1220">
        <f>HYPERLINK("CSG1.html#group36A1", "36A¹"), =HYPERLINK("CSG0.html#group12A0", "12A⁰"), =HYPERLINK("CSG0.html#group12C0", "12C⁰"), =HYPERLINK("CSG0.html#group4A0", "4A⁰"), =HYPERLINK("CSG0.html#group9A0", "9A⁰"), =HYPERLINK("CSG2.html#group36B2", "36B²"), =HYPERLINK("CSG0.html#group4C0", "4C⁰"), =HYPERLINK("CSG1.html#group12J1", "12J¹"), =HYPERLINK("CSG0.html#group2B0", "2B⁰"), =HYPERLINK("CSG0.html#group4F0", "4F⁰"), =HYPERLINK("CSG1.html#group18E1", "18E¹"), =HYPERLINK("CSG0.html#group3A0", "3A⁰"), =HYPERLINK("CSG0.html#group1A0", "1A⁰"), =HYPERLINK("CSG0.html#group6D0", "6D⁰")</f>
        <v/>
      </c>
      <c r="N1220">
        <f>HYPERLINK("CSG15.html#group36N15", "36N¹⁵"), =HYPERLINK("CSG15.html#group72X15", "72X¹⁵"), =HYPERLINK("CSG13.html#group36I13", "36I¹³"), =HYPERLINK("CSG14.html#group72F14", "72F¹⁴"), =HYPERLINK("CSG16.html#group72L16", "72L¹⁶"), =HYPERLINK("CSG14.html#group72D14", "72D¹⁴"), =HYPERLINK("CSG13.html#group72M13", "72M¹³"), =HYPERLINK("CSG14.html#group36B14", "36B¹⁴"), =HYPERLINK("CSG15.html#group72J15", "72J¹⁵"), =HYPERLINK("CSG15.html#group72L15", "72L¹⁵"), =HYPERLINK("CSG14.html#group72G14", "72G¹⁴"), =HYPERLINK("CSG12.html#group72F12", "72F¹²"), =HYPERLINK("CSG16.html#group36A16", "36A¹⁶"), =HYPERLINK("CSG17.html#group72F17", "72F¹⁷"), =HYPERLINK("CSG15.html#group72M15", "72M¹⁵"), =HYPERLINK("CSG14.html#group72J14", "72J¹⁴"), =HYPERLINK("CSG20.html#group36B20", "36B²⁰"), =HYPERLINK("CSG12.html#group36F12", "36F¹²")</f>
        <v/>
      </c>
    </row>
    <row r="1221">
      <c r="A1221" t="inlineStr">
        <is>
          <t>36G⁶</t>
        </is>
      </c>
      <c r="B1221" t="inlineStr"/>
      <c r="C1221" t="inlineStr">
        <is>
          <t>108</t>
        </is>
      </c>
      <c r="D1221" t="inlineStr">
        <is>
          <t>1</t>
        </is>
      </c>
      <c r="E1221" t="inlineStr">
        <is>
          <t>108</t>
        </is>
      </c>
      <c r="F1221" t="inlineStr">
        <is>
          <t>6</t>
        </is>
      </c>
      <c r="G1221" t="inlineStr">
        <is>
          <t>3</t>
        </is>
      </c>
      <c r="H1221" t="inlineStr">
        <is>
          <t>36³</t>
        </is>
      </c>
      <c r="I1221" t="n">
        <v>3</v>
      </c>
      <c r="J1221" t="inlineStr">
        <is>
          <t>6², 12⁸</t>
        </is>
      </c>
      <c r="K1221">
        <f>HYPERLINK("CSG0.html#group4A0", "4A⁰"), =HYPERLINK("CSG0.html#group9F0", "9F⁰")</f>
        <v/>
      </c>
      <c r="L1221">
        <f>HYPERLINK("CSG14.html#group36C14", "36C¹⁴"), =HYPERLINK("CSG14.html#group72I14", "72I¹⁴"), =HYPERLINK("CSG19.html#group36P19", "36P¹⁹"), =HYPERLINK("CSG22.html#group36G22", "36G²²")</f>
        <v/>
      </c>
      <c r="M1221">
        <f>HYPERLINK("CSG0.html#group9F0", "9F⁰"), =HYPERLINK("CSG0.html#group1A0", "1A⁰"), =HYPERLINK("CSG0.html#group4A0", "4A⁰")</f>
        <v/>
      </c>
      <c r="N1221">
        <f>HYPERLINK("CSG19.html#group36P19", "36P¹⁹"), =HYPERLINK("CSG22.html#group36G22", "36G²²"), =HYPERLINK("CSG14.html#group72I14", "72I¹⁴"), =HYPERLINK("CSG14.html#group36C14", "36C¹⁴")</f>
        <v/>
      </c>
    </row>
    <row r="1222">
      <c r="A1222" t="inlineStr">
        <is>
          <t>36H⁶</t>
        </is>
      </c>
      <c r="B1222" t="inlineStr"/>
      <c r="C1222" t="inlineStr">
        <is>
          <t>108</t>
        </is>
      </c>
      <c r="D1222" t="inlineStr">
        <is>
          <t>2</t>
        </is>
      </c>
      <c r="E1222" t="inlineStr">
        <is>
          <t>27</t>
        </is>
      </c>
      <c r="F1222" t="inlineStr">
        <is>
          <t>4</t>
        </is>
      </c>
      <c r="G1222" t="inlineStr">
        <is>
          <t>0</t>
        </is>
      </c>
      <c r="H1222" t="inlineStr">
        <is>
          <t>9⁴, 36²</t>
        </is>
      </c>
      <c r="I1222" t="n">
        <v>6</v>
      </c>
      <c r="J1222" t="inlineStr">
        <is>
          <t>2⁹, 6⁶</t>
        </is>
      </c>
      <c r="K1222">
        <f>HYPERLINK("CSG0.html#group12G0", "12G⁰"), =HYPERLINK("CSG2.html#group36C2", "36C²"), =HYPERLINK("CSG3.html#group18E3", "18E³"), =HYPERLINK("CSG3.html#group36D3", "36D³")</f>
        <v/>
      </c>
      <c r="L1222">
        <f>HYPERLINK("CSG13.html#group36C13", "36C¹³"), =HYPERLINK("CSG13.html#group36P13", "36P¹³"), =HYPERLINK("CSG13.html#group72L13", "72L¹³"), =HYPERLINK("CSG15.html#group36J15", "36J¹⁵"), =HYPERLINK("CSG15.html#group72T15", "72T¹⁵"), =HYPERLINK("CSG16.html#group36I16", "36I¹⁶"), =HYPERLINK("CSG18.html#group36A18", "36A¹⁸")</f>
        <v/>
      </c>
      <c r="M1222">
        <f>HYPERLINK("CSG0.html#group12G0", "12G⁰"), =HYPERLINK("CSG1.html#group9B1", "9B¹"), =HYPERLINK("CSG0.html#group9A0", "9A⁰"), =HYPERLINK("CSG0.html#group6D0", "6D⁰"), =HYPERLINK("CSG0.html#group6G0", "6G⁰"), =HYPERLINK("CSG0.html#group3C0", "3C⁰"), =HYPERLINK("CSG0.html#group2B0", "2B⁰"), =HYPERLINK("CSG0.html#group12D0", "12D⁰"), =HYPERLINK("CSG1.html#group18E1", "18E¹"), =HYPERLINK("CSG0.html#group3A0", "3A⁰"), =HYPERLINK("CSG0.html#group1A0", "1A⁰"), =HYPERLINK("CSG3.html#group36D3", "36D³"), =HYPERLINK("CSG3.html#group18E3", "18E³"), =HYPERLINK("CSG2.html#group36C2", "36C²")</f>
        <v/>
      </c>
      <c r="N1222">
        <f>HYPERLINK("CSG13.html#group72L13", "72L¹³"), =HYPERLINK("CSG18.html#group36A18", "36A¹⁸"), =HYPERLINK("CSG16.html#group36I16", "36I¹⁶"), =HYPERLINK("CSG15.html#group72T15", "72T¹⁵"), =HYPERLINK("CSG15.html#group36J15", "36J¹⁵"), =HYPERLINK("CSG13.html#group36P13", "36P¹³"), =HYPERLINK("CSG13.html#group36C13", "36C¹³")</f>
        <v/>
      </c>
    </row>
    <row r="1223">
      <c r="A1223" t="inlineStr">
        <is>
          <t>36I⁶</t>
        </is>
      </c>
      <c r="B1223" t="inlineStr"/>
      <c r="C1223" t="inlineStr">
        <is>
          <t>108</t>
        </is>
      </c>
      <c r="D1223" t="inlineStr">
        <is>
          <t>2</t>
        </is>
      </c>
      <c r="E1223" t="inlineStr">
        <is>
          <t>54</t>
        </is>
      </c>
      <c r="F1223" t="inlineStr">
        <is>
          <t>10</t>
        </is>
      </c>
      <c r="G1223" t="inlineStr">
        <is>
          <t>0</t>
        </is>
      </c>
      <c r="H1223" t="inlineStr">
        <is>
          <t>36³</t>
        </is>
      </c>
      <c r="I1223" t="n">
        <v>3</v>
      </c>
      <c r="J1223" t="inlineStr">
        <is>
          <t>2⁶, 4⁶, 6⁴, 12⁴</t>
        </is>
      </c>
      <c r="K1223">
        <f>HYPERLINK("CSG1.html#group12M1", "12M¹"), =HYPERLINK("CSG2.html#group36B2", "36B²")</f>
        <v/>
      </c>
      <c r="L1223">
        <f>HYPERLINK("CSG12.html#group36E12", "36E¹²"), =HYPERLINK("CSG12.html#group36F12", "36F¹²"), =HYPERLINK("CSG12.html#group72N12", "72N¹²"), =HYPERLINK("CSG13.html#group36H13", "36H¹³"), =HYPERLINK("CSG13.html#group72N13", "72N¹³"), =HYPERLINK("CSG13.html#group72P13", "72P¹³"), =HYPERLINK("CSG14.html#group36A14", "36A¹⁴"), =HYPERLINK("CSG14.html#group72H14", "72H¹⁴"), =HYPERLINK("CSG15.html#group36M15", "36M¹⁵"), =HYPERLINK("CSG15.html#group36N15", "36N¹⁵"), =HYPERLINK("CSG15.html#group72W15", "72W¹⁵"), =HYPERLINK("CSG16.html#group36E16", "36E¹⁶"), =HYPERLINK("CSG16.html#group72M16", "72M¹⁶"), =HYPERLINK("CSG16.html#group72O16", "72O¹⁶"), =HYPERLINK("CSG17.html#group72L17", "72L¹⁷"), =HYPERLINK("CSG20.html#group36A20", "36A²⁰"), =HYPERLINK("CSG20.html#group36C20", "36C²⁰")</f>
        <v/>
      </c>
      <c r="M1223">
        <f>HYPERLINK("CSG0.html#group12C0", "12C⁰"), =HYPERLINK("CSG0.html#group9A0", "9A⁰"), =HYPERLINK("CSG2.html#group36B2", "36B²"), =HYPERLINK("CSG0.html#group4C0", "4C⁰"), =HYPERLINK("CSG1.html#group12M1", "12M¹"), =HYPERLINK("CSG0.html#group2B0", "2B⁰"), =HYPERLINK("CSG1.html#group18E1", "18E¹"), =HYPERLINK("CSG0.html#group3A0", "3A⁰"), =HYPERLINK("CSG0.html#group1A0", "1A⁰"), =HYPERLINK("CSG0.html#group6D0", "6D⁰")</f>
        <v/>
      </c>
      <c r="N1223">
        <f>HYPERLINK("CSG15.html#group36N15", "36N¹⁵"), =HYPERLINK("CSG16.html#group72M16", "72M¹⁶"), =HYPERLINK("CSG17.html#group72L17", "72L¹⁷"), =HYPERLINK("CSG13.html#group36H13", "36H¹³"), =HYPERLINK("CSG13.html#group72P13", "72P¹³"), =HYPERLINK("CSG20.html#group36C20", "36C²⁰"), =HYPERLINK("CSG15.html#group36M15", "36M¹⁵"), =HYPERLINK("CSG12.html#group72N12", "72N¹²"), =HYPERLINK("CSG14.html#group72H14", "72H¹⁴"), =HYPERLINK("CSG16.html#group36E16", "36E¹⁶"), =HYPERLINK("CSG20.html#group36A20", "36A²⁰"), =HYPERLINK("CSG14.html#group36A14", "36A¹⁴"), =HYPERLINK("CSG16.html#group72O16", "72O¹⁶"), =HYPERLINK("CSG12.html#group36E12", "36E¹²"), =HYPERLINK("CSG15.html#group72W15", "72W¹⁵"), =HYPERLINK("CSG12.html#group36F12", "36F¹²"), =HYPERLINK("CSG13.html#group72N13", "72N¹³")</f>
        <v/>
      </c>
    </row>
    <row r="1224">
      <c r="A1224" t="inlineStr">
        <is>
          <t>36J⁶</t>
        </is>
      </c>
      <c r="B1224" t="inlineStr"/>
      <c r="C1224" t="inlineStr">
        <is>
          <t>144</t>
        </is>
      </c>
      <c r="D1224" t="inlineStr">
        <is>
          <t>1</t>
        </is>
      </c>
      <c r="E1224" t="inlineStr">
        <is>
          <t>12</t>
        </is>
      </c>
      <c r="F1224" t="inlineStr">
        <is>
          <t>0</t>
        </is>
      </c>
      <c r="G1224" t="inlineStr">
        <is>
          <t>12</t>
        </is>
      </c>
      <c r="H1224" t="inlineStr">
        <is>
          <t>12³, 36³</t>
        </is>
      </c>
      <c r="I1224" t="n">
        <v>6</v>
      </c>
      <c r="J1224" t="inlineStr">
        <is>
          <t>1², 2², 6¹</t>
        </is>
      </c>
      <c r="K1224">
        <f>HYPERLINK("CSG0.html#group36A0", "36A⁰"), =HYPERLINK("CSG2.html#group18N2", "18N²")</f>
        <v/>
      </c>
      <c r="L1224">
        <f>HYPERLINK("CSG22.html#group36M22", "36M²²"), =HYPERLINK("CSG22.html#group108B22", "108B²²")</f>
        <v/>
      </c>
      <c r="M1224">
        <f>HYPERLINK("CSG0.html#group3B0", "3B⁰"), =HYPERLINK("CSG0.html#group2A0", "2A⁰"), =HYPERLINK("CSG0.html#group9J0", "9J⁰"), =HYPERLINK("CSG0.html#group18B0", "18B⁰"), =HYPERLINK("CSG2.html#group18N2", "18N²"), =HYPERLINK("CSG0.html#group6C0", "6C⁰"), =HYPERLINK("CSG0.html#group9C0", "9C⁰"), =HYPERLINK("CSG0.html#group1A0", "1A⁰"), =HYPERLINK("CSG0.html#group36A0", "36A⁰"), =HYPERLINK("CSG0.html#group12B0", "12B⁰")</f>
        <v/>
      </c>
      <c r="N1224">
        <f>HYPERLINK("CSG22.html#group108B22", "108B²²"), =HYPERLINK("CSG22.html#group36M22", "36M²²")</f>
        <v/>
      </c>
    </row>
    <row r="1225">
      <c r="A1225" t="inlineStr">
        <is>
          <t>36K⁶</t>
        </is>
      </c>
      <c r="B1225" t="inlineStr"/>
      <c r="C1225" t="inlineStr">
        <is>
          <t>144</t>
        </is>
      </c>
      <c r="D1225" t="inlineStr">
        <is>
          <t>1</t>
        </is>
      </c>
      <c r="E1225" t="inlineStr">
        <is>
          <t>24</t>
        </is>
      </c>
      <c r="F1225" t="inlineStr">
        <is>
          <t>0</t>
        </is>
      </c>
      <c r="G1225" t="inlineStr">
        <is>
          <t>12</t>
        </is>
      </c>
      <c r="H1225" t="inlineStr">
        <is>
          <t>12³, 36³</t>
        </is>
      </c>
      <c r="I1225" t="n">
        <v>6</v>
      </c>
      <c r="J1225" t="inlineStr">
        <is>
          <t>1⁴, 2⁴, 6²</t>
        </is>
      </c>
      <c r="K1225">
        <f>HYPERLINK("CSG0.html#group36A0", "36A⁰"), =HYPERLINK("CSG2.html#group18O2", "18O²")</f>
        <v/>
      </c>
      <c r="L1225">
        <f>HYPERLINK("CSG22.html#group36M22", "36M²²"), =HYPERLINK("CSG22.html#group108D22", "108D²²")</f>
        <v/>
      </c>
      <c r="M1225">
        <f>HYPERLINK("CSG0.html#group3B0", "3B⁰"), =HYPERLINK("CSG0.html#group2A0", "2A⁰"), =HYPERLINK("CSG0.html#group18B0", "18B⁰"), =HYPERLINK("CSG0.html#group6C0", "6C⁰"), =HYPERLINK("CSG0.html#group9C0", "9C⁰"), =HYPERLINK("CSG2.html#group18O2", "18O²"), =HYPERLINK("CSG0.html#group1A0", "1A⁰"), =HYPERLINK("CSG0.html#group36A0", "36A⁰"), =HYPERLINK("CSG0.html#group12B0", "12B⁰")</f>
        <v/>
      </c>
      <c r="N1225">
        <f>HYPERLINK("CSG22.html#group108D22", "108D²²"), =HYPERLINK("CSG22.html#group36M22", "36M²²")</f>
        <v/>
      </c>
    </row>
    <row r="1226">
      <c r="A1226" t="inlineStr">
        <is>
          <t>39A⁶</t>
        </is>
      </c>
      <c r="B1226" t="inlineStr"/>
      <c r="C1226" t="inlineStr">
        <is>
          <t>84</t>
        </is>
      </c>
      <c r="D1226" t="inlineStr">
        <is>
          <t>1</t>
        </is>
      </c>
      <c r="E1226" t="inlineStr">
        <is>
          <t>14</t>
        </is>
      </c>
      <c r="F1226" t="inlineStr">
        <is>
          <t>0</t>
        </is>
      </c>
      <c r="G1226" t="inlineStr">
        <is>
          <t>0</t>
        </is>
      </c>
      <c r="H1226" t="inlineStr">
        <is>
          <t>3², 39²</t>
        </is>
      </c>
      <c r="I1226" t="n">
        <v>4</v>
      </c>
      <c r="J1226" t="inlineStr">
        <is>
          <t>1², 12¹</t>
        </is>
      </c>
      <c r="K1226">
        <f>HYPERLINK("CSG0.html#group13B0", "13B⁰"), =HYPERLINK("CSG2.html#group39A2", "39A²")</f>
        <v/>
      </c>
      <c r="L1226">
        <f>HYPERLINK("CSG11.html#group39B11", "39B¹¹"), =HYPERLINK("CSG13.html#group78A13", "78A¹³"), =HYPERLINK("CSG13.html#group78D13", "78D¹³"), =HYPERLINK("CSG16.html#group39A16", "39A¹⁶"), =HYPERLINK("CSG18.html#group78A18", "78A¹⁸"), =HYPERLINK("CSG20.html#group117A20", "117A²⁰")</f>
        <v/>
      </c>
      <c r="M1226">
        <f>HYPERLINK("CSG0.html#group13A0", "13A⁰"), =HYPERLINK("CSG2.html#group39A2", "39A²"), =HYPERLINK("CSG0.html#group13B0", "13B⁰"), =HYPERLINK("CSG0.html#group3A0", "3A⁰"), =HYPERLINK("CSG0.html#group1A0", "1A⁰")</f>
        <v/>
      </c>
      <c r="N1226">
        <f>HYPERLINK("CSG13.html#group78A13", "78A¹³"), =HYPERLINK("CSG11.html#group39B11", "39B¹¹"), =HYPERLINK("CSG16.html#group39A16", "39A¹⁶"), =HYPERLINK("CSG20.html#group117A20", "117A²⁰"), =HYPERLINK("CSG21.html#group39B21", "39B²¹"), =HYPERLINK("CSG18.html#group78A18", "78A¹⁸"), =HYPERLINK("CSG13.html#group78D13", "78D¹³")</f>
        <v/>
      </c>
    </row>
    <row r="1227">
      <c r="A1227" t="inlineStr">
        <is>
          <t>42A⁶</t>
        </is>
      </c>
      <c r="B1227" t="inlineStr"/>
      <c r="C1227" t="inlineStr">
        <is>
          <t>84</t>
        </is>
      </c>
      <c r="D1227" t="inlineStr">
        <is>
          <t>2</t>
        </is>
      </c>
      <c r="E1227" t="inlineStr">
        <is>
          <t>21</t>
        </is>
      </c>
      <c r="F1227" t="inlineStr">
        <is>
          <t>4</t>
        </is>
      </c>
      <c r="G1227" t="inlineStr">
        <is>
          <t>0</t>
        </is>
      </c>
      <c r="H1227" t="inlineStr">
        <is>
          <t>42²</t>
        </is>
      </c>
      <c r="I1227" t="n">
        <v>2</v>
      </c>
      <c r="J1227" t="inlineStr">
        <is>
          <t>2¹, 4¹, 6², 12²</t>
        </is>
      </c>
      <c r="K1227">
        <f>HYPERLINK("CSG2.html#group21D2", "21D²"), =HYPERLINK("CSG2.html#group42A2", "42A²")</f>
        <v/>
      </c>
      <c r="L1227">
        <f>HYPERLINK("CSG11.html#group42B11", "42B¹¹"), =HYPERLINK("CSG13.html#group42B13", "42B¹³"), =HYPERLINK("CSG13.html#group42D13", "42D¹³"), =HYPERLINK("CSG16.html#group42D16", "42D¹⁶"), =HYPERLINK("CSG18.html#group42C18", "42C¹⁸"), =HYPERLINK("CSG18.html#group126A18", "126A¹⁸"), =HYPERLINK("CSG19.html#group126D19", "126D¹⁹"), =HYPERLINK("CSG20.html#group126B20", "126B²⁰"), =HYPERLINK("CSG20.html#group126A20", "126A²⁰")</f>
        <v/>
      </c>
      <c r="M1227">
        <f>HYPERLINK("CSG0.html#group21A0", "21A⁰"), =HYPERLINK("CSG0.html#group3C0", "3C⁰"), =HYPERLINK("CSG2.html#group21D2", "21D²"), =HYPERLINK("CSG2.html#group42A2", "42A²"), =HYPERLINK("CSG0.html#group3A0", "3A⁰"), =HYPERLINK("CSG0.html#group1A0", "1A⁰"), =HYPERLINK("CSG0.html#group7A0", "7A⁰")</f>
        <v/>
      </c>
      <c r="N1227">
        <f>HYPERLINK("CSG11.html#group42B11", "42B¹¹"), =HYPERLINK("CSG18.html#group126A18", "126A¹⁸"), =HYPERLINK("CSG13.html#group42D13", "42D¹³"), =HYPERLINK("CSG19.html#group126D19", "126D¹⁹"), =HYPERLINK("CSG13.html#group42B13", "42B¹³"), =HYPERLINK("CSG20.html#group126A20", "126A²⁰"), =HYPERLINK("CSG20.html#group126B20", "126B²⁰"), =HYPERLINK("CSG16.html#group42D16", "42D¹⁶"), =HYPERLINK("CSG18.html#group42C18", "42C¹⁸")</f>
        <v/>
      </c>
    </row>
    <row r="1228">
      <c r="A1228" t="inlineStr">
        <is>
          <t>42B⁶</t>
        </is>
      </c>
      <c r="B1228" t="inlineStr"/>
      <c r="C1228" t="inlineStr">
        <is>
          <t>84</t>
        </is>
      </c>
      <c r="D1228" t="inlineStr">
        <is>
          <t>2</t>
        </is>
      </c>
      <c r="E1228" t="inlineStr">
        <is>
          <t>28</t>
        </is>
      </c>
      <c r="F1228" t="inlineStr">
        <is>
          <t>0</t>
        </is>
      </c>
      <c r="G1228" t="inlineStr">
        <is>
          <t>3</t>
        </is>
      </c>
      <c r="H1228" t="inlineStr">
        <is>
          <t>42²</t>
        </is>
      </c>
      <c r="I1228" t="n">
        <v>2</v>
      </c>
      <c r="J1228" t="inlineStr">
        <is>
          <t>4², 12⁴</t>
        </is>
      </c>
      <c r="K1228">
        <f>HYPERLINK("CSG1.html#group14D1", "14D¹")</f>
        <v/>
      </c>
      <c r="L1228">
        <f>HYPERLINK("CSG16.html#group42B16", "42B¹⁶"), =HYPERLINK("CSG19.html#group42H19", "42H¹⁹"), =HYPERLINK("CSG19.html#group42I19", "42I¹⁹"), =HYPERLINK("CSG19.html#group42J19", "42J¹⁹"), =HYPERLINK("CSG24.html#group42A24", "42A²⁴"), =HYPERLINK("CSG24.html#group42B24", "42B²⁴")</f>
        <v/>
      </c>
      <c r="M1228">
        <f>HYPERLINK("CSG0.html#group2A0", "2A⁰"), =HYPERLINK("CSG0.html#group14A0", "14A⁰"), =HYPERLINK("CSG0.html#group1A0", "1A⁰"), =HYPERLINK("CSG1.html#group14D1", "14D¹"), =HYPERLINK("CSG1.html#group14A1", "14A¹"), =HYPERLINK("CSG0.html#group7C0", "7C⁰"), =HYPERLINK("CSG0.html#group7A0", "7A⁰")</f>
        <v/>
      </c>
      <c r="N1228">
        <f>HYPERLINK("CSG19.html#group42I19", "42I¹⁹"), =HYPERLINK("CSG16.html#group42B16", "42B¹⁶"), =HYPERLINK("CSG19.html#group42J19", "42J¹⁹"), =HYPERLINK("CSG24.html#group42B24", "42B²⁴"), =HYPERLINK("CSG24.html#group42A24", "42A²⁴"), =HYPERLINK("CSG19.html#group42H19", "42H¹⁹")</f>
        <v/>
      </c>
    </row>
    <row r="1229">
      <c r="A1229" t="inlineStr">
        <is>
          <t>42C⁶</t>
        </is>
      </c>
      <c r="B1229" t="inlineStr"/>
      <c r="C1229" t="inlineStr">
        <is>
          <t>84</t>
        </is>
      </c>
      <c r="D1229" t="inlineStr">
        <is>
          <t>2</t>
        </is>
      </c>
      <c r="E1229" t="inlineStr">
        <is>
          <t>84</t>
        </is>
      </c>
      <c r="F1229" t="inlineStr">
        <is>
          <t>0</t>
        </is>
      </c>
      <c r="G1229" t="inlineStr">
        <is>
          <t>0</t>
        </is>
      </c>
      <c r="H1229" t="inlineStr">
        <is>
          <t>7¹, 14¹, 21¹, 42¹</t>
        </is>
      </c>
      <c r="I1229" t="n">
        <v>4</v>
      </c>
      <c r="J1229" t="inlineStr">
        <is>
          <t>2⁶, 4³, 6¹², 12⁶</t>
        </is>
      </c>
      <c r="K1229">
        <f>HYPERLINK("CSG0.html#group6F0", "6F⁰"), =HYPERLINK("CSG1.html#group14B1", "14B¹"), =HYPERLINK("CSG2.html#group21B2", "21B²")</f>
        <v/>
      </c>
      <c r="L1229">
        <f>HYPERLINK("CSG11.html#group42C11", "42C¹¹"), =HYPERLINK("CSG12.html#group42D12", "42D¹²"), =HYPERLINK("CSG12.html#group42G12", "42G¹²"), =HYPERLINK("CSG12.html#group84A12", "84A¹²"), =HYPERLINK("CSG12.html#group84B12", "84B¹²"), =HYPERLINK("CSG13.html#group84B13", "84B¹³"), =HYPERLINK("CSG13.html#group84C13", "84C¹³"), =HYPERLINK("CSG16.html#group42A16", "42A¹⁶"), =HYPERLINK("CSG18.html#group42B18", "42B¹⁸"), =HYPERLINK("CSG18.html#group126F18", "126F¹⁸"), =HYPERLINK("CSG20.html#group126C20", "126C²⁰"), =HYPERLINK("CSG20.html#group126D20", "126D²⁰"), =HYPERLINK("CSG21.html#group42C21", "42C²¹")</f>
        <v/>
      </c>
      <c r="M1229">
        <f>HYPERLINK("CSG0.html#group3B0", "3B⁰"), =HYPERLINK("CSG2.html#group21B2", "21B²"), =HYPERLINK("CSG1.html#group14B1", "14B¹"), =HYPERLINK("CSG0.html#group6F0", "6F⁰"), =HYPERLINK("CSG0.html#group2B0", "2B⁰"), =HYPERLINK("CSG0.html#group1A0", "1A⁰"), =HYPERLINK("CSG0.html#group7A0", "7A⁰")</f>
        <v/>
      </c>
      <c r="N1229">
        <f>HYPERLINK("CSG13.html#group84C13", "84C¹³"), =HYPERLINK("CSG12.html#group84B12", "84B¹²"), =HYPERLINK("CSG23.html#group42F23", "42F²³"), =HYPERLINK("CSG24.html#group84B24", "84B²⁴"), =HYPERLINK("CSG11.html#group42C11", "42C¹¹"), =HYPERLINK("CSG12.html#group84A12", "84A¹²"), =HYPERLINK("CSG16.html#group42A16", "42A¹⁶"), =HYPERLINK("CSG20.html#group126D20", "126D²⁰"), =HYPERLINK("CSG12.html#group42G12", "42G¹²"), =HYPERLINK("CSG24.html#group84C24", "84C²⁴"), =HYPERLINK("CSG24.html#group168B24", "168B²⁴"), =HYPERLINK("CSG18.html#group42B18", "42B¹⁸"), =HYPERLINK("CSG12.html#group42D12", "42D¹²"), =HYPERLINK("CSG20.html#group126C20", "126C²⁰"), =HYPERLINK("CSG21.html#group42C21", "42C²¹"), =HYPERLINK("CSG24.html#group168A24", "168A²⁴"), =HYPERLINK("CSG24.html#group84A24", "84A²⁴"), =HYPERLINK("CSG13.html#group84B13", "84B¹³"), =HYPERLINK("CSG18.html#group126F18", "126F¹⁸"), =HYPERLINK("CSG24.html#group84D24", "84D²⁴"), =HYPERLINK("CSG23.html#group84B23", "84B²³")</f>
        <v/>
      </c>
    </row>
    <row r="1230">
      <c r="A1230" t="inlineStr">
        <is>
          <t>42D⁶</t>
        </is>
      </c>
      <c r="B1230" t="inlineStr"/>
      <c r="C1230" t="inlineStr">
        <is>
          <t>126</t>
        </is>
      </c>
      <c r="D1230" t="inlineStr">
        <is>
          <t>2</t>
        </is>
      </c>
      <c r="E1230" t="inlineStr">
        <is>
          <t>63</t>
        </is>
      </c>
      <c r="F1230" t="inlineStr">
        <is>
          <t>16</t>
        </is>
      </c>
      <c r="G1230" t="inlineStr">
        <is>
          <t>0</t>
        </is>
      </c>
      <c r="H1230" t="inlineStr">
        <is>
          <t>42³</t>
        </is>
      </c>
      <c r="I1230" t="n">
        <v>3</v>
      </c>
      <c r="J1230" t="inlineStr">
        <is>
          <t>6⁷, 12⁷</t>
        </is>
      </c>
      <c r="K1230">
        <f>HYPERLINK("CSG1.html#group21E1", "21E¹"), =HYPERLINK("CSG2.html#group42A2", "42A²")</f>
        <v/>
      </c>
      <c r="L1230">
        <f>HYPERLINK("CSG13.html#group42I13", "42I¹³"), =HYPERLINK("CSG13.html#group42K13", "42K¹³"), =HYPERLINK("CSG14.html#group42B14", "42B¹⁴"), =HYPERLINK("CSG14.html#group42C14", "42C¹⁴"), =HYPERLINK("CSG14.html#group42E14", "42E¹⁴"), =HYPERLINK("CSG14.html#group42F14", "42F¹⁴"), =HYPERLINK("CSG15.html#group42E15", "42E¹⁵"), =HYPERLINK("CSG15.html#group42F15", "42F¹⁵"), =HYPERLINK("CSG16.html#group42D16", "42D¹⁶"), =HYPERLINK("CSG16.html#group42F16", "42F¹⁶"), =HYPERLINK("CSG16.html#group42G16", "42G¹⁶"), =HYPERLINK("CSG17.html#group42A17", "42A¹⁷"), =HYPERLINK("CSG17.html#group42E17", "42E¹⁷"), =HYPERLINK("CSG19.html#group42M19", "42M¹⁹"), =HYPERLINK("CSG24.html#group42D24", "42D²⁴"), =HYPERLINK("CSG24.html#group126E24", "126E²⁴"), =HYPERLINK("CSG24.html#group126D24", "126D²⁴")</f>
        <v/>
      </c>
      <c r="M1230">
        <f>HYPERLINK("CSG0.html#group21A0", "21A⁰"), =HYPERLINK("CSG0.html#group1A0", "1A⁰"), =HYPERLINK("CSG2.html#group42A2", "42A²"), =HYPERLINK("CSG0.html#group3A0", "3A⁰"), =HYPERLINK("CSG1.html#group21E1", "21E¹"), =HYPERLINK("CSG0.html#group7D0", "7D⁰"), =HYPERLINK("CSG0.html#group7A0", "7A⁰")</f>
        <v/>
      </c>
      <c r="N1230">
        <f>HYPERLINK("CSG24.html#group126E24", "126E²⁴"), =HYPERLINK("CSG16.html#group42G16", "42G¹⁶"), =HYPERLINK("CSG19.html#group42M19", "42M¹⁹"), =HYPERLINK("CSG24.html#group126D24", "126D²⁴"), =HYPERLINK("CSG24.html#group42D24", "42D²⁴"), =HYPERLINK("CSG14.html#group42E14", "42E¹⁴"), =HYPERLINK("CSG15.html#group42F15", "42F¹⁵"), =HYPERLINK("CSG17.html#group42A17", "42A¹⁷"), =HYPERLINK("CSG14.html#group42C14", "42C¹⁴"), =HYPERLINK("CSG16.html#group42D16", "42D¹⁶"), =HYPERLINK("CSG14.html#group42F14", "42F¹⁴"), =HYPERLINK("CSG17.html#group42E17", "42E¹⁷"), =HYPERLINK("CSG13.html#group42K13", "42K¹³"), =HYPERLINK("CSG15.html#group42E15", "42E¹⁵"), =HYPERLINK("CSG13.html#group42I13", "42I¹³"), =HYPERLINK("CSG16.html#group42F16", "42F¹⁶"), =HYPERLINK("CSG14.html#group42B14", "42B¹⁴")</f>
        <v/>
      </c>
    </row>
    <row r="1231">
      <c r="A1231" t="inlineStr">
        <is>
          <t>44A⁶</t>
        </is>
      </c>
      <c r="B1231" t="inlineStr"/>
      <c r="C1231" t="inlineStr">
        <is>
          <t>88</t>
        </is>
      </c>
      <c r="D1231" t="inlineStr">
        <is>
          <t>2</t>
        </is>
      </c>
      <c r="E1231" t="inlineStr">
        <is>
          <t>44</t>
        </is>
      </c>
      <c r="F1231" t="inlineStr">
        <is>
          <t>0</t>
        </is>
      </c>
      <c r="G1231" t="inlineStr">
        <is>
          <t>4</t>
        </is>
      </c>
      <c r="H1231" t="inlineStr">
        <is>
          <t>44²</t>
        </is>
      </c>
      <c r="I1231" t="n">
        <v>2</v>
      </c>
      <c r="J1231" t="inlineStr">
        <is>
          <t>4², 20⁴</t>
        </is>
      </c>
      <c r="K1231">
        <f>HYPERLINK("CSG0.html#group4D0", "4D⁰"), =HYPERLINK("CSG1.html#group22A1", "22A¹"), =HYPERLINK("CSG2.html#group44A2", "44A²")</f>
        <v/>
      </c>
      <c r="L1231">
        <f>HYPERLINK("CSG12.html#group88A12", "88A¹²"), =HYPERLINK("CSG20.html#group44A20", "44A²⁰"), =HYPERLINK("CSG20.html#group132A20", "132A²⁰"), =HYPERLINK("CSG22.html#group132A22", "132A²²")</f>
        <v/>
      </c>
      <c r="M1231">
        <f>HYPERLINK("CSG0.html#group11A0", "11A⁰"), =HYPERLINK("CSG0.html#group2A0", "2A⁰"), =HYPERLINK("CSG1.html#group22A1", "22A¹"), =HYPERLINK("CSG2.html#group44A2", "44A²"), =HYPERLINK("CSG0.html#group4A0", "4A⁰"), =HYPERLINK("CSG0.html#group4D0", "4D⁰"), =HYPERLINK("CSG0.html#group1A0", "1A⁰")</f>
        <v/>
      </c>
      <c r="N1231">
        <f>HYPERLINK("CSG20.html#group132A20", "132A²⁰"), =HYPERLINK("CSG22.html#group132A22", "132A²²"), =HYPERLINK("CSG24.html#group176A24", "176A²⁴"), =HYPERLINK("CSG20.html#group44A20", "44A²⁰"), =HYPERLINK("CSG12.html#group88A12", "88A¹²")</f>
        <v/>
      </c>
    </row>
    <row r="1232">
      <c r="A1232" t="inlineStr">
        <is>
          <t>45A⁶</t>
        </is>
      </c>
      <c r="B1232" t="inlineStr"/>
      <c r="C1232" t="inlineStr">
        <is>
          <t>90</t>
        </is>
      </c>
      <c r="D1232" t="inlineStr">
        <is>
          <t>1</t>
        </is>
      </c>
      <c r="E1232" t="inlineStr">
        <is>
          <t>15</t>
        </is>
      </c>
      <c r="F1232" t="inlineStr">
        <is>
          <t>6</t>
        </is>
      </c>
      <c r="G1232" t="inlineStr">
        <is>
          <t>0</t>
        </is>
      </c>
      <c r="H1232" t="inlineStr">
        <is>
          <t>45²</t>
        </is>
      </c>
      <c r="I1232" t="n">
        <v>2</v>
      </c>
      <c r="J1232" t="inlineStr">
        <is>
          <t>1¹, 2¹, 4¹, 8¹</t>
        </is>
      </c>
      <c r="K1232">
        <f>HYPERLINK("CSG0.html#group9D0", "9D⁰"), =HYPERLINK("CSG2.html#group15A2", "15A²"), =HYPERLINK("CSG3.html#group45A3", "45A³")</f>
        <v/>
      </c>
      <c r="L1232">
        <f>HYPERLINK("CSG12.html#group90A12", "90A¹²"), =HYPERLINK("CSG14.html#group45A14", "45A¹⁴"), =HYPERLINK("CSG15.html#group90A15", "90A¹⁵"), =HYPERLINK("CSG16.html#group45B16", "45B¹⁶"), =HYPERLINK("CSG19.html#group45A19", "45A¹⁹"), =HYPERLINK("CSG19.html#group45C19", "45C¹⁹"), =HYPERLINK("CSG20.html#group90A20", "90A²⁰")</f>
        <v/>
      </c>
      <c r="M1232">
        <f>HYPERLINK("CSG0.html#group5A0", "5A⁰"), =HYPERLINK("CSG0.html#group9D0", "9D⁰"), =HYPERLINK("CSG2.html#group15A2", "15A²"), =HYPERLINK("CSG0.html#group9A0", "9A⁰"), =HYPERLINK("CSG0.html#group3C0", "3C⁰"), =HYPERLINK("CSG0.html#group3A0", "3A⁰"), =HYPERLINK("CSG0.html#group1A0", "1A⁰"), =HYPERLINK("CSG1.html#group15A1", "15A¹"), =HYPERLINK("CSG3.html#group45A3", "45A³")</f>
        <v/>
      </c>
      <c r="N1232">
        <f>HYPERLINK("CSG16.html#group45B16", "45B¹⁶"), =HYPERLINK("CSG15.html#group90A15", "90A¹⁵"), =HYPERLINK("CSG12.html#group90A12", "90A¹²"), =HYPERLINK("CSG19.html#group45A19", "45A¹⁹"), =HYPERLINK("CSG19.html#group45C19", "45C¹⁹"), =HYPERLINK("CSG20.html#group90A20", "90A²⁰"), =HYPERLINK("CSG14.html#group45A14", "45A¹⁴")</f>
        <v/>
      </c>
    </row>
    <row r="1233">
      <c r="A1233" t="inlineStr">
        <is>
          <t>45B⁶</t>
        </is>
      </c>
      <c r="B1233" t="inlineStr"/>
      <c r="C1233" t="inlineStr">
        <is>
          <t>90</t>
        </is>
      </c>
      <c r="D1233" t="inlineStr">
        <is>
          <t>1</t>
        </is>
      </c>
      <c r="E1233" t="inlineStr">
        <is>
          <t>30</t>
        </is>
      </c>
      <c r="F1233" t="inlineStr">
        <is>
          <t>6</t>
        </is>
      </c>
      <c r="G1233" t="inlineStr">
        <is>
          <t>0</t>
        </is>
      </c>
      <c r="H1233" t="inlineStr">
        <is>
          <t>45²</t>
        </is>
      </c>
      <c r="I1233" t="n">
        <v>2</v>
      </c>
      <c r="J1233" t="inlineStr">
        <is>
          <t>2¹, 4¹, 8³</t>
        </is>
      </c>
      <c r="K1233">
        <f>HYPERLINK("CSG2.html#group15A2", "15A²")</f>
        <v/>
      </c>
      <c r="L1233">
        <f>HYPERLINK("CSG12.html#group90B12", "90B¹²"), =HYPERLINK("CSG14.html#group45B14", "45B¹⁴"), =HYPERLINK("CSG15.html#group90B15", "90B¹⁵"), =HYPERLINK("CSG16.html#group45B16", "45B¹⁶"), =HYPERLINK("CSG19.html#group45D19", "45D¹⁹"), =HYPERLINK("CSG19.html#group45E19", "45E¹⁹"), =HYPERLINK("CSG20.html#group90B20", "90B²⁰")</f>
        <v/>
      </c>
      <c r="M1233">
        <f>HYPERLINK("CSG0.html#group3C0", "3C⁰"), =HYPERLINK("CSG0.html#group5A0", "5A⁰"), =HYPERLINK("CSG0.html#group3A0", "3A⁰"), =HYPERLINK("CSG2.html#group15A2", "15A²"), =HYPERLINK("CSG0.html#group1A0", "1A⁰"), =HYPERLINK("CSG1.html#group15A1", "15A¹")</f>
        <v/>
      </c>
      <c r="N1233">
        <f>HYPERLINK("CSG12.html#group90B12", "90B¹²"), =HYPERLINK("CSG16.html#group45B16", "45B¹⁶"), =HYPERLINK("CSG19.html#group45E19", "45E¹⁹"), =HYPERLINK("CSG20.html#group90B20", "90B²⁰"), =HYPERLINK("CSG19.html#group45D19", "45D¹⁹"), =HYPERLINK("CSG14.html#group45B14", "45B¹⁴"), =HYPERLINK("CSG15.html#group90B15", "90B¹⁵")</f>
        <v/>
      </c>
    </row>
    <row r="1234">
      <c r="A1234" t="inlineStr">
        <is>
          <t>45C⁶</t>
        </is>
      </c>
      <c r="B1234" t="inlineStr"/>
      <c r="C1234" t="inlineStr">
        <is>
          <t>90</t>
        </is>
      </c>
      <c r="D1234" t="inlineStr">
        <is>
          <t>1</t>
        </is>
      </c>
      <c r="E1234" t="inlineStr">
        <is>
          <t>90</t>
        </is>
      </c>
      <c r="F1234" t="inlineStr">
        <is>
          <t>2</t>
        </is>
      </c>
      <c r="G1234" t="inlineStr">
        <is>
          <t>0</t>
        </is>
      </c>
      <c r="H1234" t="inlineStr">
        <is>
          <t>15³, 45¹</t>
        </is>
      </c>
      <c r="I1234" t="n">
        <v>4</v>
      </c>
      <c r="J1234" t="inlineStr">
        <is>
          <t>1¹, 2¹, 3¹, 4¹, 6², 8¹, 12¹, 24²</t>
        </is>
      </c>
      <c r="K1234">
        <f>HYPERLINK("CSG0.html#group9E0", "9E⁰"), =HYPERLINK("CSG2.html#group15A2", "15A²")</f>
        <v/>
      </c>
      <c r="L1234">
        <f>HYPERLINK("CSG12.html#group45A12", "45A¹²"), =HYPERLINK("CSG13.html#group90A13", "90A¹³"), =HYPERLINK("CSG14.html#group90C14", "90C¹⁴"), =HYPERLINK("CSG16.html#group45C16", "45C¹⁶"), =HYPERLINK("CSG19.html#group45A19", "45A¹⁹"), =HYPERLINK("CSG19.html#group45D19", "45D¹⁹"), =HYPERLINK("CSG19.html#group90G19", "90G¹⁹"), =HYPERLINK("CSG20.html#group45A20", "45A²⁰"), =HYPERLINK("CSG23.html#group45C23", "45C²³")</f>
        <v/>
      </c>
      <c r="M1234">
        <f>HYPERLINK("CSG0.html#group3C0", "3C⁰"), =HYPERLINK("CSG0.html#group5A0", "5A⁰"), =HYPERLINK("CSG0.html#group3A0", "3A⁰"), =HYPERLINK("CSG0.html#group9E0", "9E⁰"), =HYPERLINK("CSG2.html#group15A2", "15A²"), =HYPERLINK("CSG0.html#group1A0", "1A⁰"), =HYPERLINK("CSG1.html#group15A1", "15A¹")</f>
        <v/>
      </c>
      <c r="N1234">
        <f>HYPERLINK("CSG19.html#group90G19", "90G¹⁹"), =HYPERLINK("CSG20.html#group45A20", "45A²⁰"), =HYPERLINK("CSG19.html#group45A19", "45A¹⁹"), =HYPERLINK("CSG23.html#group45C23", "45C²³"), =HYPERLINK("CSG19.html#group45D19", "45D¹⁹"), =HYPERLINK("CSG14.html#group90C14", "90C¹⁴"), =HYPERLINK("CSG12.html#group45A12", "45A¹²"), =HYPERLINK("CSG13.html#group90A13", "90A¹³"), =HYPERLINK("CSG16.html#group45C16", "45C¹⁶")</f>
        <v/>
      </c>
    </row>
    <row r="1235">
      <c r="A1235" t="inlineStr">
        <is>
          <t>45D⁶</t>
        </is>
      </c>
      <c r="B1235" t="inlineStr"/>
      <c r="C1235" t="inlineStr">
        <is>
          <t>108</t>
        </is>
      </c>
      <c r="D1235" t="inlineStr">
        <is>
          <t>1</t>
        </is>
      </c>
      <c r="E1235" t="inlineStr">
        <is>
          <t>54</t>
        </is>
      </c>
      <c r="F1235" t="inlineStr">
        <is>
          <t>8</t>
        </is>
      </c>
      <c r="G1235" t="inlineStr">
        <is>
          <t>0</t>
        </is>
      </c>
      <c r="H1235" t="inlineStr">
        <is>
          <t>9², 45²</t>
        </is>
      </c>
      <c r="I1235" t="n">
        <v>4</v>
      </c>
      <c r="J1235" t="inlineStr">
        <is>
          <t>1², 2², 4¹, 6², 8¹, 24¹</t>
        </is>
      </c>
      <c r="K1235">
        <f>HYPERLINK("CSG0.html#group15C0", "15C⁰"), =HYPERLINK("CSG2.html#group45A2", "45A²")</f>
        <v/>
      </c>
      <c r="L1235">
        <f>HYPERLINK("CSG13.html#group45N13", "45N¹³"), =HYPERLINK("CSG13.html#group90E13", "90E¹³"), =HYPERLINK("CSG15.html#group45B15", "45B¹⁵"), =HYPERLINK("CSG15.html#group90M15", "90M¹⁵"), =HYPERLINK("CSG17.html#group90E17", "90E¹⁷"), =HYPERLINK("CSG18.html#group45C18", "45C¹⁸"), =HYPERLINK("CSG22.html#group90E22", "90E²²")</f>
        <v/>
      </c>
      <c r="M1235">
        <f>HYPERLINK("CSG0.html#group5B0", "5B⁰"), =HYPERLINK("CSG2.html#group45A2", "45A²"), =HYPERLINK("CSG0.html#group15B0", "15B⁰"), =HYPERLINK("CSG0.html#group3A0", "3A⁰"), =HYPERLINK("CSG0.html#group1A0", "1A⁰"), =HYPERLINK("CSG0.html#group9A0", "9A⁰"), =HYPERLINK("CSG0.html#group15C0", "15C⁰")</f>
        <v/>
      </c>
      <c r="N1235">
        <f>HYPERLINK("CSG18.html#group45C18", "45C¹⁸"), =HYPERLINK("CSG13.html#group90E13", "90E¹³"), =HYPERLINK("CSG15.html#group45B15", "45B¹⁵"), =HYPERLINK("CSG17.html#group90E17", "90E¹⁷"), =HYPERLINK("CSG15.html#group90M15", "90M¹⁵"), =HYPERLINK("CSG13.html#group45N13", "45N¹³"), =HYPERLINK("CSG22.html#group90E22", "90E²²")</f>
        <v/>
      </c>
    </row>
    <row r="1236">
      <c r="A1236" t="inlineStr">
        <is>
          <t>48A⁶</t>
        </is>
      </c>
      <c r="B1236" t="inlineStr"/>
      <c r="C1236" t="inlineStr">
        <is>
          <t>72</t>
        </is>
      </c>
      <c r="D1236" t="inlineStr">
        <is>
          <t>1</t>
        </is>
      </c>
      <c r="E1236" t="inlineStr">
        <is>
          <t>3</t>
        </is>
      </c>
      <c r="F1236" t="inlineStr">
        <is>
          <t>0</t>
        </is>
      </c>
      <c r="G1236" t="inlineStr">
        <is>
          <t>0</t>
        </is>
      </c>
      <c r="H1236" t="inlineStr">
        <is>
          <t>24¹, 48¹</t>
        </is>
      </c>
      <c r="I1236" t="n">
        <v>2</v>
      </c>
      <c r="J1236" t="inlineStr">
        <is>
          <t>1³</t>
        </is>
      </c>
      <c r="K1236">
        <f>HYPERLINK("CSG0.html#group24A0", "24A⁰"), =HYPERLINK("CSG2.html#group16A2", "16A²")</f>
        <v/>
      </c>
      <c r="L1236">
        <f>HYPERLINK("CSG11.html#group48B11", "48B¹¹"), =HYPERLINK("CSG11.html#group48C11", "48C¹¹"), =HYPERLINK("CSG11.html#group48G11", "48G¹¹"), =HYPERLINK("CSG11.html#group48H11", "48H¹¹"), =HYPERLINK("CSG11.html#group48K11", "48K¹¹"), =HYPERLINK("CSG11.html#group48L11", "48L¹¹"), =HYPERLINK("CSG11.html#group48Q11", "48Q¹¹"), =HYPERLINK("CSG18.html#group144A18", "144A¹⁸")</f>
        <v/>
      </c>
      <c r="M1236">
        <f>HYPERLINK("CSG0.html#group12C0", "12C⁰"), =HYPERLINK("CSG0.html#group24A0", "24A⁰"), =HYPERLINK("CSG0.html#group4C0", "4C⁰"), =HYPERLINK("CSG0.html#group8B0", "8B⁰"), =HYPERLINK("CSG0.html#group2B0", "2B⁰"), =HYPERLINK("CSG0.html#group3A0", "3A⁰"), =HYPERLINK("CSG0.html#group1A0", "1A⁰"), =HYPERLINK("CSG0.html#group6D0", "6D⁰"), =HYPERLINK("CSG2.html#group16A2", "16A²")</f>
        <v/>
      </c>
      <c r="N1236">
        <f>HYPERLINK("CSG11.html#group48G11", "48G¹¹"), =HYPERLINK("CSG21.html#group48AW21", "48AW²¹"), =HYPERLINK("CSG21.html#group48S21", "48S²¹"), =HYPERLINK("CSG11.html#group48H11", "48H¹¹"), =HYPERLINK("CSG21.html#group48U21", "48U²¹"), =HYPERLINK("CSG23.html#group96N23", "96N²³"), =HYPERLINK("CSG21.html#group48AF21", "48AF²¹"), =HYPERLINK("CSG11.html#group48B11", "48B¹¹"), =HYPERLINK("CSG21.html#group48AE21", "48AE²¹"), =HYPERLINK("CSG21.html#group48BI21", "48BI²¹"), =HYPERLINK("CSG21.html#group48BF21", "48BF²¹"), =HYPERLINK("CSG21.html#group48J21", "48J²¹"), =HYPERLINK("CSG23.html#group96G23", "96G²³"), =HYPERLINK("CSG23.html#group96V23", "96V²³"), =HYPERLINK("CSG21.html#group48F21", "48F²¹"), =HYPERLINK("CSG21.html#group48V21", "48V²¹"), =HYPERLINK("CSG18.html#group144A18", "144A¹⁸"), =HYPERLINK("CSG21.html#group48M21", "48M²¹"), =HYPERLINK("CSG21.html#group48AA21", "48AA²¹"), =HYPERLINK("CSG21.html#group48BU21", "48BU²¹"), =HYPERLINK("CSG21.html#group48AK21", "48AK²¹"), =HYPERLINK("CSG21.html#group48AS21", "48AS²¹"), =HYPERLINK("CSG11.html#group48K11", "48K¹¹"), =HYPERLINK("CSG23.html#group96M23", "96M²³"), =HYPERLINK("CSG21.html#group48T21", "48T²¹"), =HYPERLINK("CSG21.html#group48AB21", "48AB²¹"), =HYPERLINK("CSG21.html#group48N21", "48N²¹"), =HYPERLINK("CSG23.html#group96P23", "96P²³"), =HYPERLINK("CSG21.html#group48BG21", "48BG²¹"), =HYPERLINK("CSG21.html#group48AX21", "48AX²¹"), =HYPERLINK("CSG11.html#group48L11", "48L¹¹"), =HYPERLINK("CSG21.html#group48BB21", "48BB²¹"), =HYPERLINK("CSG21.html#group48BH21", "48BH²¹"), =HYPERLINK("CSG21.html#group48D21", "48D²¹"), =HYPERLINK("CSG23.html#group96U23", "96U²³"), =HYPERLINK("CSG11.html#group48Q11", "48Q¹¹"), =HYPERLINK("CSG21.html#group48AR21", "48AR²¹"), =HYPERLINK("CSG11.html#group48C11", "48C¹¹")</f>
        <v/>
      </c>
    </row>
    <row r="1237">
      <c r="A1237" t="inlineStr">
        <is>
          <t>48B⁶</t>
        </is>
      </c>
      <c r="B1237" t="inlineStr"/>
      <c r="C1237" t="inlineStr">
        <is>
          <t>72</t>
        </is>
      </c>
      <c r="D1237" t="inlineStr">
        <is>
          <t>1</t>
        </is>
      </c>
      <c r="E1237" t="inlineStr">
        <is>
          <t>12</t>
        </is>
      </c>
      <c r="F1237" t="inlineStr">
        <is>
          <t>0</t>
        </is>
      </c>
      <c r="G1237" t="inlineStr">
        <is>
          <t>0</t>
        </is>
      </c>
      <c r="H1237" t="inlineStr">
        <is>
          <t>24¹, 48¹</t>
        </is>
      </c>
      <c r="I1237" t="n">
        <v>2</v>
      </c>
      <c r="J1237" t="inlineStr">
        <is>
          <t>1⁴, 2², 4¹</t>
        </is>
      </c>
      <c r="K1237">
        <f>HYPERLINK("CSG2.html#group16B2", "16B²"), =HYPERLINK("CSG3.html#group24A3", "24A³")</f>
        <v/>
      </c>
      <c r="L1237">
        <f>HYPERLINK("CSG11.html#group48D11", "48D¹¹"), =HYPERLINK("CSG11.html#group48J11", "48J¹¹"), =HYPERLINK("CSG11.html#group48R11", "48R¹¹"), =HYPERLINK("CSG11.html#group48S11", "48S¹¹"), =HYPERLINK("CSG11.html#group48V11", "48V¹¹"), =HYPERLINK("CSG12.html#group96B12", "96B¹²"), =HYPERLINK("CSG12.html#group96A12", "96A¹²"), =HYPERLINK("CSG12.html#group96C12", "96C¹²"), =HYPERLINK("CSG12.html#group96D12", "96D¹²"), =HYPERLINK("CSG18.html#group144B18", "144B¹⁸")</f>
        <v/>
      </c>
      <c r="M1237">
        <f>HYPERLINK("CSG3.html#group24A3", "24A³"), =HYPERLINK("CSG2.html#group16B2", "16B²"), =HYPERLINK("CSG1.html#group8A1", "8A¹"), =HYPERLINK("CSG0.html#group12C0", "12C⁰"), =HYPERLINK("CSG0.html#group4C0", "4C⁰"), =HYPERLINK("CSG0.html#group2B0", "2B⁰"), =HYPERLINK("CSG0.html#group3A0", "3A⁰"), =HYPERLINK("CSG0.html#group1A0", "1A⁰"), =HYPERLINK("CSG0.html#group6D0", "6D⁰")</f>
        <v/>
      </c>
      <c r="N1237">
        <f>HYPERLINK("CSG23.html#group96I23", "96I²³"), =HYPERLINK("CSG23.html#group96Z23", "96Z²³"), =HYPERLINK("CSG21.html#group48I21", "48I²¹"), =HYPERLINK("CSG21.html#group48AQ21", "48AQ²¹"), =HYPERLINK("CSG21.html#group48AY21", "48AY²¹"), =HYPERLINK("CSG21.html#group48BE21", "48BE²¹"), =HYPERLINK("CSG11.html#group48R11", "48R¹¹"), =HYPERLINK("CSG23.html#group96AG23", "96AG²³"), =HYPERLINK("CSG23.html#group96K23", "96K²³"), =HYPERLINK("CSG12.html#group96B12", "96B¹²"), =HYPERLINK("CSG23.html#group96X23", "96X²³"), =HYPERLINK("CSG23.html#group96W23", "96W²³"), =HYPERLINK("CSG21.html#group48AZ21", "48AZ²¹"), =HYPERLINK("CSG11.html#group48D11", "48D¹¹"), =HYPERLINK("CSG23.html#group96T23", "96T²³"), =HYPERLINK("CSG21.html#group48BN21", "48BN²¹"), =HYPERLINK("CSG23.html#group96S23", "96S²³"), =HYPERLINK("CSG21.html#group48AN21", "48AN²¹"), =HYPERLINK("CSG23.html#group96D23", "96D²³"), =HYPERLINK("CSG21.html#group48BT21", "48BT²¹"), =HYPERLINK("CSG21.html#group48J21", "48J²¹"), =HYPERLINK("CSG23.html#group96C23", "96C²³"), =HYPERLINK("CSG18.html#group144B18", "144B¹⁸"), =HYPERLINK("CSG23.html#group96J23", "96J²³"), =HYPERLINK("CSG11.html#group48J11", "48J¹¹"), =HYPERLINK("CSG23.html#group96E23", "96E²³"), =HYPERLINK("CSG23.html#group96Q23", "96Q²³"), =HYPERLINK("CSG21.html#group48X21", "48X²¹"), =HYPERLINK("CSG23.html#group96L23", "96L²³"), =HYPERLINK("CSG21.html#group48BK21", "48BK²¹"), =HYPERLINK("CSG21.html#group48BJ21", "48BJ²¹"), =HYPERLINK("CSG12.html#group96A12", "96A¹²"), =HYPERLINK("CSG23.html#group96AE23", "96AE²³"), =HYPERLINK("CSG23.html#group96Y23", "96Y²³"), =HYPERLINK("CSG23.html#group96AC23", "96AC²³"), =HYPERLINK("CSG21.html#group48AJ21", "48AJ²¹"), =HYPERLINK("CSG23.html#group96AF23", "96AF²³"), =HYPERLINK("CSG11.html#group48V11", "48V¹¹"), =HYPERLINK("CSG12.html#group96D12", "96D¹²"), =HYPERLINK("CSG21.html#group48E21", "48E²¹"), =HYPERLINK("CSG21.html#group48AM21", "48AM²¹"), =HYPERLINK("CSG23.html#group96R23", "96R²³"), =HYPERLINK("CSG23.html#group96B23", "96B²³"), =HYPERLINK("CSG23.html#group96AH23", "96AH²³"), =HYPERLINK("CSG21.html#group48AP21", "48AP²¹"), =HYPERLINK("CSG23.html#group96AD23", "96AD²³"), =HYPERLINK("CSG11.html#group48S11", "48S¹¹"), =HYPERLINK("CSG12.html#group96C12", "96C¹²")</f>
        <v/>
      </c>
    </row>
    <row r="1238">
      <c r="A1238" t="inlineStr">
        <is>
          <t>48C⁶</t>
        </is>
      </c>
      <c r="B1238" t="inlineStr"/>
      <c r="C1238" t="inlineStr">
        <is>
          <t>72</t>
        </is>
      </c>
      <c r="D1238" t="inlineStr">
        <is>
          <t>1</t>
        </is>
      </c>
      <c r="E1238" t="inlineStr">
        <is>
          <t>36</t>
        </is>
      </c>
      <c r="F1238" t="inlineStr">
        <is>
          <t>0</t>
        </is>
      </c>
      <c r="G1238" t="inlineStr">
        <is>
          <t>0</t>
        </is>
      </c>
      <c r="H1238" t="inlineStr">
        <is>
          <t>24¹, 48¹</t>
        </is>
      </c>
      <c r="I1238" t="n">
        <v>2</v>
      </c>
      <c r="J1238" t="inlineStr">
        <is>
          <t>1⁴, 2⁶, 4³, 8¹</t>
        </is>
      </c>
      <c r="K1238">
        <f>HYPERLINK("CSG3.html#group24A3", "24A³")</f>
        <v/>
      </c>
      <c r="L1238">
        <f>HYPERLINK("CSG11.html#group48M11", "48M¹¹"), =HYPERLINK("CSG11.html#group48N11", "48N¹¹"), =HYPERLINK("CSG11.html#group48O11", "48O¹¹"), =HYPERLINK("CSG11.html#group48P11", "48P¹¹"), =HYPERLINK("CSG11.html#group48R11", "48R¹¹"), =HYPERLINK("CSG11.html#group48S11", "48S¹¹"), =HYPERLINK("CSG11.html#group48T11", "48T¹¹"), =HYPERLINK("CSG11.html#group48U11", "48U¹¹"), =HYPERLINK("CSG11.html#group48V11", "48V¹¹"), =HYPERLINK("CSG18.html#group144C18", "144C¹⁸"), =HYPERLINK("CSG18.html#group144D18", "144D¹⁸")</f>
        <v/>
      </c>
      <c r="M1238">
        <f>HYPERLINK("CSG3.html#group24A3", "24A³"), =HYPERLINK("CSG1.html#group8A1", "8A¹"), =HYPERLINK("CSG0.html#group12C0", "12C⁰"), =HYPERLINK("CSG0.html#group4C0", "4C⁰"), =HYPERLINK("CSG0.html#group2B0", "2B⁰"), =HYPERLINK("CSG0.html#group3A0", "3A⁰"), =HYPERLINK("CSG0.html#group1A0", "1A⁰"), =HYPERLINK("CSG0.html#group6D0", "6D⁰")</f>
        <v/>
      </c>
      <c r="N1238">
        <f>HYPERLINK("CSG21.html#group48AO21", "48AO²¹"), =HYPERLINK("CSG11.html#group48M11", "48M¹¹"), =HYPERLINK("CSG23.html#group96Z23", "96Z²³"), =HYPERLINK("CSG11.html#group48O11", "48O¹¹"), =HYPERLINK("CSG21.html#group48BE21", "48BE²¹"), =HYPERLINK("CSG21.html#group48AY21", "48AY²¹"), =HYPERLINK("CSG11.html#group48R11", "48R¹¹"), =HYPERLINK("CSG11.html#group48T11", "48T¹¹"), =HYPERLINK("CSG23.html#group96AG23", "96AG²³"), =HYPERLINK("CSG21.html#group48L21", "48L²¹"), =HYPERLINK("CSG21.html#group48BL21", "48BL²¹"), =HYPERLINK("CSG21.html#group48BM21", "48BM²¹"), =HYPERLINK("CSG21.html#group48AH21", "48AH²¹"), =HYPERLINK("CSG23.html#group96X23", "96X²³"), =HYPERLINK("CSG11.html#group48P11", "48P¹¹"), =HYPERLINK("CSG23.html#group96W23", "96W²³"), =HYPERLINK("CSG21.html#group48AZ21", "48AZ²¹"), =HYPERLINK("CSG23.html#group96T23", "96T²³"), =HYPERLINK("CSG23.html#group96S23", "96S²³"), =HYPERLINK("CSG21.html#group48AI21", "48AI²¹"), =HYPERLINK("CSG21.html#group48AN21", "48AN²¹"), =HYPERLINK("CSG21.html#group48BT21", "48BT²¹"), =HYPERLINK("CSG21.html#group48BV21", "48BV²¹"), =HYPERLINK("CSG23.html#group96AB23", "96AB²³"), =HYPERLINK("CSG21.html#group48BR21", "48BR²¹"), =HYPERLINK("CSG21.html#group48BS21", "48BS²¹"), =HYPERLINK("CSG11.html#group48N11", "48N¹¹"), =HYPERLINK("CSG21.html#group48AK21", "48AK²¹"), =HYPERLINK("CSG23.html#group96Q23", "96Q²³"), =HYPERLINK("CSG21.html#group48X21", "48X²¹"), =HYPERLINK("CSG21.html#group48BK21", "48BK²¹"), =HYPERLINK("CSG21.html#group48BJ21", "48BJ²¹"), =HYPERLINK("CSG21.html#group48AT21", "48AT²¹"), =HYPERLINK("CSG23.html#group96AE23", "96AE²³"), =HYPERLINK("CSG18.html#group144D18", "144D¹⁸"), =HYPERLINK("CSG23.html#group96Y23", "96Y²³"), =HYPERLINK("CSG21.html#group48AL21", "48AL²¹"), =HYPERLINK("CSG23.html#group96AA23", "96AA²³"), =HYPERLINK("CSG23.html#group96AF23", "96AF²³"), =HYPERLINK("CSG11.html#group48V11", "48V¹¹"), =HYPERLINK("CSG21.html#group48BA21", "48BA²¹"), =HYPERLINK("CSG18.html#group144C18", "144C¹⁸"), =HYPERLINK("CSG23.html#group96R23", "96R²³"), =HYPERLINK("CSG21.html#group48AP21", "48AP²¹"), =HYPERLINK("CSG23.html#group96AH23", "96AH²³"), =HYPERLINK("CSG21.html#group48AG21", "48AG²¹"), =HYPERLINK("CSG11.html#group48S11", "48S¹¹"), =HYPERLINK("CSG11.html#group48U11", "48U¹¹")</f>
        <v/>
      </c>
    </row>
    <row r="1239">
      <c r="A1239" t="inlineStr">
        <is>
          <t>48D⁶</t>
        </is>
      </c>
      <c r="B1239" t="inlineStr"/>
      <c r="C1239" t="inlineStr">
        <is>
          <t>96</t>
        </is>
      </c>
      <c r="D1239" t="inlineStr">
        <is>
          <t>1</t>
        </is>
      </c>
      <c r="E1239" t="inlineStr">
        <is>
          <t>48</t>
        </is>
      </c>
      <c r="F1239" t="inlineStr">
        <is>
          <t>0</t>
        </is>
      </c>
      <c r="G1239" t="inlineStr">
        <is>
          <t>0</t>
        </is>
      </c>
      <c r="H1239" t="inlineStr">
        <is>
          <t>4², 12², 16¹, 48¹</t>
        </is>
      </c>
      <c r="I1239" t="n">
        <v>6</v>
      </c>
      <c r="J1239" t="inlineStr">
        <is>
          <t>1⁴, 2⁴, 4⁵, 8²</t>
        </is>
      </c>
      <c r="K1239">
        <f>HYPERLINK("CSG1.html#group16C1", "16C¹"), =HYPERLINK("CSG2.html#group24I2", "24I²")</f>
        <v/>
      </c>
      <c r="L1239">
        <f>HYPERLINK("CSG11.html#group48X11", "48X¹¹"), =HYPERLINK("CSG11.html#group48AA11", "48AA¹¹"), =HYPERLINK("CSG11.html#group48AB11", "48AB¹¹"), =HYPERLINK("CSG14.html#group96A14", "96A¹⁴"), =HYPERLINK("CSG19.html#group48J19", "48J¹⁹"), =HYPERLINK("CSG19.html#group144I19", "144I¹⁹"), =HYPERLINK("CSG22.html#group144A22", "144A²²"), =HYPERLINK("CSG22.html#group144B22", "144B²²")</f>
        <v/>
      </c>
      <c r="M1239">
        <f>HYPERLINK("CSG0.html#group3B0", "3B⁰"), =HYPERLINK("CSG2.html#group24I2", "24I²"), =HYPERLINK("CSG0.html#group8D0", "8D⁰"), =HYPERLINK("CSG1.html#group12F1", "12F¹"), =HYPERLINK("CSG1.html#group16C1", "16C¹"), =HYPERLINK("CSG0.html#group4C0", "4C⁰"), =HYPERLINK("CSG0.html#group6F0", "6F⁰"), =HYPERLINK("CSG0.html#group2B0", "2B⁰"), =HYPERLINK("CSG0.html#group1A0", "1A⁰")</f>
        <v/>
      </c>
      <c r="N1239">
        <f>HYPERLINK("CSG23.html#group96AI23", "96AI²³"), =HYPERLINK("CSG22.html#group144B22", "144B²²"), =HYPERLINK("CSG11.html#group48AA11", "48AA¹¹"), =HYPERLINK("CSG19.html#group144I19", "144I¹⁹"), =HYPERLINK("CSG14.html#group96A14", "96A¹⁴"), =HYPERLINK("CSG23.html#group96AK23", "96AK²³"), =HYPERLINK("CSG21.html#group48CG21", "48CG²¹"), =HYPERLINK("CSG19.html#group48J19", "48J¹⁹"), =HYPERLINK("CSG22.html#group144A22", "144A²²"), =HYPERLINK("CSG21.html#group48BZ21", "48BZ²¹"), =HYPERLINK("CSG21.html#group48CF21", "48CF²¹"), =HYPERLINK("CSG21.html#group48CO21", "48CO²¹"), =HYPERLINK("CSG11.html#group48X11", "48X¹¹"), =HYPERLINK("CSG21.html#group48CK21", "48CK²¹"), =HYPERLINK("CSG23.html#group96AJ23", "96AJ²³"), =HYPERLINK("CSG21.html#group48CN21", "48CN²¹"), =HYPERLINK("CSG11.html#group48AB11", "48AB¹¹"), =HYPERLINK("CSG23.html#group96AL23", "96AL²³"), =HYPERLINK("CSG21.html#group48CA21", "48CA²¹")</f>
        <v/>
      </c>
    </row>
    <row r="1240">
      <c r="A1240" t="inlineStr">
        <is>
          <t>48E⁶</t>
        </is>
      </c>
      <c r="B1240" t="inlineStr"/>
      <c r="C1240" t="inlineStr">
        <is>
          <t>96</t>
        </is>
      </c>
      <c r="D1240" t="inlineStr">
        <is>
          <t>1</t>
        </is>
      </c>
      <c r="E1240" t="inlineStr">
        <is>
          <t>48</t>
        </is>
      </c>
      <c r="F1240" t="inlineStr">
        <is>
          <t>8</t>
        </is>
      </c>
      <c r="G1240" t="inlineStr">
        <is>
          <t>0</t>
        </is>
      </c>
      <c r="H1240" t="inlineStr">
        <is>
          <t>48²</t>
        </is>
      </c>
      <c r="I1240" t="n">
        <v>2</v>
      </c>
      <c r="J1240" t="inlineStr">
        <is>
          <t>16⁶</t>
        </is>
      </c>
      <c r="K1240">
        <f>HYPERLINK("CSG2.html#group24G2", "24G²")</f>
        <v/>
      </c>
      <c r="L1240">
        <f>HYPERLINK("CSG13.html#group48Q13", "48Q¹³"), =HYPERLINK("CSG15.html#group48C15", "48C¹⁵"), =HYPERLINK("CSG20.html#group48E20", "48E²⁰"), =HYPERLINK("CSG20.html#group144G20", "144G²⁰"), =HYPERLINK("CSG22.html#group144C22", "144C²²"), =HYPERLINK("CSG22.html#group144D22", "144D²²"), =HYPERLINK("CSG22.html#group144E22", "144E²²")</f>
        <v/>
      </c>
      <c r="M1240">
        <f>HYPERLINK("CSG0.html#group12A0", "12A⁰"), =HYPERLINK("CSG0.html#group6B0", "6B⁰"), =HYPERLINK("CSG0.html#group4A0", "4A⁰"), =HYPERLINK("CSG0.html#group12F0", "12F⁰"), =HYPERLINK("CSG1.html#group24B1", "24B¹"), =HYPERLINK("CSG0.html#group3A0", "3A⁰"), =HYPERLINK("CSG0.html#group1A0", "1A⁰"), =HYPERLINK("CSG2.html#group24G2", "24G²")</f>
        <v/>
      </c>
      <c r="N1240">
        <f>HYPERLINK("CSG22.html#group144D22", "144D²²"), =HYPERLINK("CSG20.html#group48E20", "48E²⁰"), =HYPERLINK("CSG13.html#group48Q13", "48Q¹³"), =HYPERLINK("CSG22.html#group144E22", "144E²²"), =HYPERLINK("CSG15.html#group48C15", "48C¹⁵"), =HYPERLINK("CSG22.html#group144C22", "144C²²"), =HYPERLINK("CSG20.html#group144G20", "144G²⁰")</f>
        <v/>
      </c>
    </row>
    <row r="1241">
      <c r="A1241" t="inlineStr">
        <is>
          <t>48F⁶</t>
        </is>
      </c>
      <c r="B1241" t="inlineStr"/>
      <c r="C1241" t="inlineStr">
        <is>
          <t>96</t>
        </is>
      </c>
      <c r="D1241" t="inlineStr">
        <is>
          <t>1</t>
        </is>
      </c>
      <c r="E1241" t="inlineStr">
        <is>
          <t>48</t>
        </is>
      </c>
      <c r="F1241" t="inlineStr">
        <is>
          <t>8</t>
        </is>
      </c>
      <c r="G1241" t="inlineStr">
        <is>
          <t>0</t>
        </is>
      </c>
      <c r="H1241" t="inlineStr">
        <is>
          <t>48²</t>
        </is>
      </c>
      <c r="I1241" t="n">
        <v>2</v>
      </c>
      <c r="J1241" t="inlineStr">
        <is>
          <t>16⁶</t>
        </is>
      </c>
      <c r="K1241">
        <f>HYPERLINK("CSG2.html#group24H2", "24H²")</f>
        <v/>
      </c>
      <c r="L1241">
        <f>HYPERLINK("CSG13.html#group48Q13", "48Q¹³"), =HYPERLINK("CSG15.html#group48C15", "48C¹⁵"), =HYPERLINK("CSG20.html#group48F20", "48F²⁰"), =HYPERLINK("CSG20.html#group144H20", "144H²⁰"), =HYPERLINK("CSG22.html#group144F22", "144F²²"), =HYPERLINK("CSG22.html#group144G22", "144G²²"), =HYPERLINK("CSG22.html#group144H22", "144H²²")</f>
        <v/>
      </c>
      <c r="M1241">
        <f>HYPERLINK("CSG0.html#group12A0", "12A⁰"), =HYPERLINK("CSG0.html#group6B0", "6B⁰"), =HYPERLINK("CSG0.html#group4A0", "4A⁰"), =HYPERLINK("CSG0.html#group12F0", "12F⁰"), =HYPERLINK("CSG1.html#group24B1", "24B¹"), =HYPERLINK("CSG0.html#group3A0", "3A⁰"), =HYPERLINK("CSG0.html#group1A0", "1A⁰"), =HYPERLINK("CSG2.html#group24H2", "24H²")</f>
        <v/>
      </c>
      <c r="N1241">
        <f>HYPERLINK("CSG20.html#group144H20", "144H²⁰"), =HYPERLINK("CSG22.html#group144G22", "144G²²"), =HYPERLINK("CSG13.html#group48Q13", "48Q¹³"), =HYPERLINK("CSG22.html#group144H22", "144H²²"), =HYPERLINK("CSG15.html#group48C15", "48C¹⁵"), =HYPERLINK("CSG20.html#group48F20", "48F²⁰"), =HYPERLINK("CSG22.html#group144F22", "144F²²")</f>
        <v/>
      </c>
    </row>
    <row r="1242">
      <c r="A1242" t="inlineStr">
        <is>
          <t>48G⁶</t>
        </is>
      </c>
      <c r="B1242" t="inlineStr"/>
      <c r="C1242" t="inlineStr">
        <is>
          <t>96</t>
        </is>
      </c>
      <c r="D1242" t="inlineStr">
        <is>
          <t>2</t>
        </is>
      </c>
      <c r="E1242" t="inlineStr">
        <is>
          <t>24</t>
        </is>
      </c>
      <c r="F1242" t="inlineStr">
        <is>
          <t>8</t>
        </is>
      </c>
      <c r="G1242" t="inlineStr">
        <is>
          <t>0</t>
        </is>
      </c>
      <c r="H1242" t="inlineStr">
        <is>
          <t>48²</t>
        </is>
      </c>
      <c r="I1242" t="n">
        <v>2</v>
      </c>
      <c r="J1242" t="inlineStr">
        <is>
          <t>8², 16²</t>
        </is>
      </c>
      <c r="K1242">
        <f>HYPERLINK("CSG2.html#group24K2", "24K²"), =HYPERLINK("CSG3.html#group48B3", "48B³")</f>
        <v/>
      </c>
      <c r="L1242">
        <f>HYPERLINK("CSG13.html#group48R13", "48R¹³"), =HYPERLINK("CSG15.html#group48A15", "48A¹⁵"), =HYPERLINK("CSG20.html#group48G20", "48G²⁰"), =HYPERLINK("CSG20.html#group144C20", "144C²⁰"), =HYPERLINK("CSG20.html#group144D20", "144D²⁰"), =HYPERLINK("CSG22.html#group144I22", "144I²²"), =HYPERLINK("CSG22.html#group144M22", "144M²²")</f>
        <v/>
      </c>
      <c r="M1242">
        <f>HYPERLINK("CSG0.html#group12A0", "12A⁰"), =HYPERLINK("CSG2.html#group24K2", "24K²"), =HYPERLINK("CSG1.html#group24A1", "24A¹"), =HYPERLINK("CSG0.html#group6B0", "6B⁰"), =HYPERLINK("CSG0.html#group4A0", "4A⁰"), =HYPERLINK("CSG0.html#group12F0", "12F⁰"), =HYPERLINK("CSG0.html#group8A0", "8A⁰"), =HYPERLINK("CSG1.html#group24B1", "24B¹"), =HYPERLINK("CSG0.html#group3A0", "3A⁰"), =HYPERLINK("CSG0.html#group1A0", "1A⁰"), =HYPERLINK("CSG3.html#group48B3", "48B³")</f>
        <v/>
      </c>
      <c r="N1242">
        <f>HYPERLINK("CSG20.html#group144D20", "144D²⁰"), =HYPERLINK("CSG13.html#group48R13", "48R¹³"), =HYPERLINK("CSG15.html#group48A15", "48A¹⁵"), =HYPERLINK("CSG20.html#group48G20", "48G²⁰"), =HYPERLINK("CSG22.html#group144M22", "144M²²"), =HYPERLINK("CSG22.html#group144I22", "144I²²"), =HYPERLINK("CSG20.html#group144C20", "144C²⁰")</f>
        <v/>
      </c>
    </row>
    <row r="1243">
      <c r="A1243" t="inlineStr">
        <is>
          <t>48H⁶</t>
        </is>
      </c>
      <c r="B1243" t="inlineStr"/>
      <c r="C1243" t="inlineStr">
        <is>
          <t>96</t>
        </is>
      </c>
      <c r="D1243" t="inlineStr">
        <is>
          <t>2</t>
        </is>
      </c>
      <c r="E1243" t="inlineStr">
        <is>
          <t>24</t>
        </is>
      </c>
      <c r="F1243" t="inlineStr">
        <is>
          <t>8</t>
        </is>
      </c>
      <c r="G1243" t="inlineStr">
        <is>
          <t>0</t>
        </is>
      </c>
      <c r="H1243" t="inlineStr">
        <is>
          <t>48²</t>
        </is>
      </c>
      <c r="I1243" t="n">
        <v>2</v>
      </c>
      <c r="J1243" t="inlineStr">
        <is>
          <t>8², 16²</t>
        </is>
      </c>
      <c r="K1243">
        <f>HYPERLINK("CSG2.html#group24K2", "24K²"), =HYPERLINK("CSG3.html#group48A3", "48A³"), =HYPERLINK("CSG3.html#group48B3", "48B³")</f>
        <v/>
      </c>
      <c r="L1243">
        <f>HYPERLINK("CSG13.html#group48R13", "48R¹³"), =HYPERLINK("CSG15.html#group48B15", "48B¹⁵"), =HYPERLINK("CSG20.html#group48I20", "48I²⁰"), =HYPERLINK("CSG20.html#group144E20", "144E²⁰"), =HYPERLINK("CSG20.html#group144F20", "144F²⁰"), =HYPERLINK("CSG22.html#group144J22", "144J²²"), =HYPERLINK("CSG22.html#group144N22", "144N²²")</f>
        <v/>
      </c>
      <c r="M1243">
        <f>HYPERLINK("CSG0.html#group12A0", "12A⁰"), =HYPERLINK("CSG3.html#group48A3", "48A³"), =HYPERLINK("CSG2.html#group24K2", "24K²"), =HYPERLINK("CSG1.html#group24A1", "24A¹"), =HYPERLINK("CSG0.html#group16A0", "16A⁰"), =HYPERLINK("CSG0.html#group6B0", "6B⁰"), =HYPERLINK("CSG0.html#group4A0", "4A⁰"), =HYPERLINK("CSG0.html#group8A0", "8A⁰"), =HYPERLINK("CSG0.html#group12F0", "12F⁰"), =HYPERLINK("CSG1.html#group24B1", "24B¹"), =HYPERLINK("CSG0.html#group3A0", "3A⁰"), =HYPERLINK("CSG0.html#group1A0", "1A⁰"), =HYPERLINK("CSG3.html#group48B3", "48B³")</f>
        <v/>
      </c>
      <c r="N1243">
        <f>HYPERLINK("CSG20.html#group48I20", "48I²⁰"), =HYPERLINK("CSG13.html#group48R13", "48R¹³"), =HYPERLINK("CSG22.html#group144J22", "144J²²"), =HYPERLINK("CSG22.html#group144N22", "144N²²"), =HYPERLINK("CSG15.html#group48B15", "48B¹⁵"), =HYPERLINK("CSG20.html#group144E20", "144E²⁰"), =HYPERLINK("CSG20.html#group144F20", "144F²⁰")</f>
        <v/>
      </c>
    </row>
    <row r="1244">
      <c r="A1244" t="inlineStr">
        <is>
          <t>48I⁶</t>
        </is>
      </c>
      <c r="B1244" t="inlineStr"/>
      <c r="C1244" t="inlineStr">
        <is>
          <t>144</t>
        </is>
      </c>
      <c r="D1244" t="inlineStr">
        <is>
          <t>1</t>
        </is>
      </c>
      <c r="E1244" t="inlineStr">
        <is>
          <t>36</t>
        </is>
      </c>
      <c r="F1244" t="inlineStr">
        <is>
          <t>8</t>
        </is>
      </c>
      <c r="G1244" t="inlineStr">
        <is>
          <t>0</t>
        </is>
      </c>
      <c r="H1244" t="inlineStr">
        <is>
          <t>6⁸, 48²</t>
        </is>
      </c>
      <c r="I1244" t="n">
        <v>10</v>
      </c>
      <c r="J1244" t="inlineStr">
        <is>
          <t>2⁴, 4³, 8²</t>
        </is>
      </c>
      <c r="K1244">
        <f>HYPERLINK("CSG2.html#group24O2", "24O²"), =HYPERLINK("CSG3.html#group48G3", "48G³")</f>
        <v/>
      </c>
      <c r="L1244">
        <f>HYPERLINK("CSG13.html#group48AD13", "48AD¹³"), =HYPERLINK("CSG15.html#group48E15", "48E¹⁵"), =HYPERLINK("CSG15.html#group48U15", "48U¹⁵"), =HYPERLINK("CSG16.html#group96E16", "96E¹⁶"), =HYPERLINK("CSG17.html#group48BU17", "48BU¹⁷"), =HYPERLINK("CSG19.html#group48U19", "48U¹⁹")</f>
        <v/>
      </c>
      <c r="M1244">
        <f>HYPERLINK("CSG2.html#group24O2", "24O²"), =HYPERLINK("CSG1.html#group24E1", "24E¹"), =HYPERLINK("CSG0.html#group6B0", "6B⁰"), =HYPERLINK("CSG0.html#group12C0", "12C⁰"), =HYPERLINK("CSG3.html#group48G3", "48G³"), =HYPERLINK("CSG0.html#group8D0", "8D⁰"), =HYPERLINK("CSG0.html#group4C0", "4C⁰"), =HYPERLINK("CSG1.html#group24C1", "24C¹"), =HYPERLINK("CSG0.html#group2B0", "2B⁰"), =HYPERLINK("CSG0.html#group12D0", "12D⁰"), =HYPERLINK("CSG0.html#group12H0", "12H⁰"), =HYPERLINK("CSG0.html#group6H0", "6H⁰"), =HYPERLINK("CSG0.html#group3A0", "3A⁰"), =HYPERLINK("CSG0.html#group1A0", "1A⁰"), =HYPERLINK("CSG0.html#group6D0", "6D⁰")</f>
        <v/>
      </c>
      <c r="N1244">
        <f>HYPERLINK("CSG13.html#group48AD13", "48AD¹³"), =HYPERLINK("CSG16.html#group96E16", "96E¹⁶"), =HYPERLINK("CSG19.html#group48U19", "48U¹⁹"), =HYPERLINK("CSG15.html#group48U15", "48U¹⁵"), =HYPERLINK("CSG15.html#group48E15", "48E¹⁵"), =HYPERLINK("CSG17.html#group48BU17", "48BU¹⁷")</f>
        <v/>
      </c>
    </row>
    <row r="1245">
      <c r="A1245" t="inlineStr">
        <is>
          <t>48J⁶</t>
        </is>
      </c>
      <c r="B1245" t="inlineStr"/>
      <c r="C1245" t="inlineStr">
        <is>
          <t>144</t>
        </is>
      </c>
      <c r="D1245" t="inlineStr">
        <is>
          <t>1</t>
        </is>
      </c>
      <c r="E1245" t="inlineStr">
        <is>
          <t>36</t>
        </is>
      </c>
      <c r="F1245" t="inlineStr">
        <is>
          <t>8</t>
        </is>
      </c>
      <c r="G1245" t="inlineStr">
        <is>
          <t>0</t>
        </is>
      </c>
      <c r="H1245" t="inlineStr">
        <is>
          <t>6⁸, 48²</t>
        </is>
      </c>
      <c r="I1245" t="n">
        <v>10</v>
      </c>
      <c r="J1245" t="inlineStr">
        <is>
          <t>1², 2³, 4³, 8²</t>
        </is>
      </c>
      <c r="K1245">
        <f>HYPERLINK("CSG2.html#group24O2", "24O²"), =HYPERLINK("CSG3.html#group48D3", "48D³"), =HYPERLINK("CSG3.html#group48G3", "48G³")</f>
        <v/>
      </c>
      <c r="L1245">
        <f>HYPERLINK("CSG13.html#group48AD13", "48AD¹³"), =HYPERLINK("CSG15.html#group48F15", "48F¹⁵"), =HYPERLINK("CSG15.html#group48V15", "48V¹⁵"), =HYPERLINK("CSG16.html#group96A16", "96A¹⁶"), =HYPERLINK("CSG16.html#group96B16", "96B¹⁶"), =HYPERLINK("CSG16.html#group96C16", "96C¹⁶"), =HYPERLINK("CSG16.html#group96D16", "96D¹⁶"), =HYPERLINK("CSG17.html#group48BV17", "48BV¹⁷"), =HYPERLINK("CSG19.html#group48Y19", "48Y¹⁹")</f>
        <v/>
      </c>
      <c r="M1245">
        <f>HYPERLINK("CSG2.html#group24O2", "24O²"), =HYPERLINK("CSG1.html#group24E1", "24E¹"), =HYPERLINK("CSG0.html#group6B0", "6B⁰"), =HYPERLINK("CSG0.html#group12C0", "12C⁰"), =HYPERLINK("CSG3.html#group48G3", "48G³"), =HYPERLINK("CSG0.html#group8D0", "8D⁰"), =HYPERLINK("CSG0.html#group4C0", "4C⁰"), =HYPERLINK("CSG0.html#group2B0", "2B⁰"), =HYPERLINK("CSG0.html#group12H0", "12H⁰"), =HYPERLINK("CSG0.html#group1A0", "1A⁰"), =HYPERLINK("CSG0.html#group16E0", "16E⁰"), =HYPERLINK("CSG1.html#group24C1", "24C¹"), =HYPERLINK("CSG0.html#group12D0", "12D⁰"), =HYPERLINK("CSG3.html#group48D3", "48D³"), =HYPERLINK("CSG0.html#group6H0", "6H⁰"), =HYPERLINK("CSG0.html#group3A0", "3A⁰"), =HYPERLINK("CSG0.html#group6D0", "6D⁰")</f>
        <v/>
      </c>
      <c r="N1245">
        <f>HYPERLINK("CSG16.html#group96B16", "96B¹⁶"), =HYPERLINK("CSG15.html#group48F15", "48F¹⁵"), =HYPERLINK("CSG17.html#group48BV17", "48BV¹⁷"), =HYPERLINK("CSG16.html#group96A16", "96A¹⁶"), =HYPERLINK("CSG19.html#group48Y19", "48Y¹⁹"), =HYPERLINK("CSG16.html#group96D16", "96D¹⁶"), =HYPERLINK("CSG16.html#group96C16", "96C¹⁶"), =HYPERLINK("CSG13.html#group48AD13", "48AD¹³"), =HYPERLINK("CSG15.html#group48V15", "48V¹⁵")</f>
        <v/>
      </c>
    </row>
    <row r="1246">
      <c r="A1246" t="inlineStr">
        <is>
          <t>48K⁶</t>
        </is>
      </c>
      <c r="B1246" t="inlineStr"/>
      <c r="C1246" t="inlineStr">
        <is>
          <t>144</t>
        </is>
      </c>
      <c r="D1246" t="inlineStr">
        <is>
          <t>1</t>
        </is>
      </c>
      <c r="E1246" t="inlineStr">
        <is>
          <t>72</t>
        </is>
      </c>
      <c r="F1246" t="inlineStr">
        <is>
          <t>8</t>
        </is>
      </c>
      <c r="G1246" t="inlineStr">
        <is>
          <t>0</t>
        </is>
      </c>
      <c r="H1246" t="inlineStr">
        <is>
          <t>6⁸, 48²</t>
        </is>
      </c>
      <c r="I1246" t="n">
        <v>10</v>
      </c>
      <c r="J1246" t="inlineStr">
        <is>
          <t>4¹⁰, 8⁴</t>
        </is>
      </c>
      <c r="K1246">
        <f>HYPERLINK("CSG2.html#group24N2", "24N²")</f>
        <v/>
      </c>
      <c r="L1246">
        <f>HYPERLINK("CSG13.html#group48AC13", "48AC¹³"), =HYPERLINK("CSG15.html#group48K15", "48K¹⁵"), =HYPERLINK("CSG15.html#group48AC15", "48AC¹⁵"), =HYPERLINK("CSG17.html#group48CI17", "48CI¹⁷"), =HYPERLINK("CSG19.html#group48AQ19", "48AQ¹⁹")</f>
        <v/>
      </c>
      <c r="M1246">
        <f>HYPERLINK("CSG1.html#group24E1", "24E¹"), =HYPERLINK("CSG0.html#group6B0", "6B⁰"), =HYPERLINK("CSG0.html#group12C0", "12C⁰"), =HYPERLINK("CSG2.html#group24N2", "24N²"), =HYPERLINK("CSG0.html#group4C0", "4C⁰"), =HYPERLINK("CSG0.html#group2B0", "2B⁰"), =HYPERLINK("CSG0.html#group12D0", "12D⁰"), =HYPERLINK("CSG0.html#group12H0", "12H⁰"), =HYPERLINK("CSG0.html#group6H0", "6H⁰"), =HYPERLINK("CSG0.html#group3A0", "3A⁰"), =HYPERLINK("CSG0.html#group1A0", "1A⁰"), =HYPERLINK("CSG0.html#group6D0", "6D⁰")</f>
        <v/>
      </c>
      <c r="N1246">
        <f>HYPERLINK("CSG17.html#group48CI17", "48CI¹⁷"), =HYPERLINK("CSG15.html#group48K15", "48K¹⁵"), =HYPERLINK("CSG19.html#group48AQ19", "48AQ¹⁹"), =HYPERLINK("CSG13.html#group48AC13", "48AC¹³"), =HYPERLINK("CSG15.html#group48AC15", "48AC¹⁵")</f>
        <v/>
      </c>
    </row>
    <row r="1247">
      <c r="A1247" t="inlineStr">
        <is>
          <t>50A⁶</t>
        </is>
      </c>
      <c r="B1247" t="inlineStr"/>
      <c r="C1247" t="inlineStr">
        <is>
          <t>90</t>
        </is>
      </c>
      <c r="D1247" t="inlineStr">
        <is>
          <t>1</t>
        </is>
      </c>
      <c r="E1247" t="inlineStr">
        <is>
          <t>90</t>
        </is>
      </c>
      <c r="F1247" t="inlineStr">
        <is>
          <t>2</t>
        </is>
      </c>
      <c r="G1247" t="inlineStr">
        <is>
          <t>0</t>
        </is>
      </c>
      <c r="H1247" t="inlineStr">
        <is>
          <t>5¹, 10¹, 25¹, 50¹</t>
        </is>
      </c>
      <c r="I1247" t="n">
        <v>4</v>
      </c>
      <c r="J1247" t="inlineStr">
        <is>
          <t>2⁶, 4¹², 20⁶</t>
        </is>
      </c>
      <c r="K1247">
        <f>HYPERLINK("CSG0.html#group10C0", "10C⁰"), =HYPERLINK("CSG2.html#group25A2", "25A²")</f>
        <v/>
      </c>
      <c r="L1247">
        <f>HYPERLINK("CSG12.html#group50A12", "50A¹²"), =HYPERLINK("CSG12.html#group50E12", "50E¹²"), =HYPERLINK("CSG12.html#group100A12", "100A¹²"), =HYPERLINK("CSG13.html#group50A13", "50A¹³"), =HYPERLINK("CSG13.html#group100A13", "100A¹³"), =HYPERLINK("CSG13.html#group100E13", "100E¹³"), =HYPERLINK("CSG14.html#group100A14", "100A¹⁴"), =HYPERLINK("CSG20.html#group150A20", "150A²⁰")</f>
        <v/>
      </c>
      <c r="M1247">
        <f>HYPERLINK("CSG0.html#group5B0", "5B⁰"), =HYPERLINK("CSG0.html#group10C0", "10C⁰"), =HYPERLINK("CSG0.html#group2B0", "2B⁰"), =HYPERLINK("CSG2.html#group25A2", "25A²"), =HYPERLINK("CSG0.html#group1A0", "1A⁰")</f>
        <v/>
      </c>
      <c r="N1247">
        <f>HYPERLINK("CSG13.html#group100A13", "100A¹³"), =HYPERLINK("CSG12.html#group100A12", "100A¹²"), =HYPERLINK("CSG12.html#group50A12", "50A¹²"), =HYPERLINK("CSG14.html#group100A14", "100A¹⁴"), =HYPERLINK("CSG12.html#group50E12", "50E¹²"), =HYPERLINK("CSG13.html#group100E13", "100E¹³"), =HYPERLINK("CSG13.html#group50A13", "50A¹³"), =HYPERLINK("CSG20.html#group150A20", "150A²⁰")</f>
        <v/>
      </c>
    </row>
    <row r="1248">
      <c r="A1248" t="inlineStr">
        <is>
          <t>50B⁶</t>
        </is>
      </c>
      <c r="B1248" t="inlineStr"/>
      <c r="C1248" t="inlineStr">
        <is>
          <t>90</t>
        </is>
      </c>
      <c r="D1248" t="inlineStr">
        <is>
          <t>1</t>
        </is>
      </c>
      <c r="E1248" t="inlineStr">
        <is>
          <t>90</t>
        </is>
      </c>
      <c r="F1248" t="inlineStr">
        <is>
          <t>2</t>
        </is>
      </c>
      <c r="G1248" t="inlineStr">
        <is>
          <t>0</t>
        </is>
      </c>
      <c r="H1248" t="inlineStr">
        <is>
          <t>5¹, 10¹, 25¹, 50¹</t>
        </is>
      </c>
      <c r="I1248" t="n">
        <v>4</v>
      </c>
      <c r="J1248" t="inlineStr">
        <is>
          <t>2⁶, 4¹², 20⁶</t>
        </is>
      </c>
      <c r="K1248">
        <f>HYPERLINK("CSG0.html#group10C0", "10C⁰"), =HYPERLINK("CSG2.html#group25B2", "25B²")</f>
        <v/>
      </c>
      <c r="L1248">
        <f>HYPERLINK("CSG12.html#group50B12", "50B¹²"), =HYPERLINK("CSG12.html#group50F12", "50F¹²"), =HYPERLINK("CSG12.html#group100B12", "100B¹²"), =HYPERLINK("CSG13.html#group50B13", "50B¹³"), =HYPERLINK("CSG13.html#group100B13", "100B¹³"), =HYPERLINK("CSG13.html#group100F13", "100F¹³"), =HYPERLINK("CSG14.html#group100B14", "100B¹⁴"), =HYPERLINK("CSG20.html#group150B20", "150B²⁰")</f>
        <v/>
      </c>
      <c r="M1248">
        <f>HYPERLINK("CSG0.html#group5B0", "5B⁰"), =HYPERLINK("CSG0.html#group10C0", "10C⁰"), =HYPERLINK("CSG0.html#group2B0", "2B⁰"), =HYPERLINK("CSG0.html#group1A0", "1A⁰"), =HYPERLINK("CSG2.html#group25B2", "25B²")</f>
        <v/>
      </c>
      <c r="N1248">
        <f>HYPERLINK("CSG13.html#group100B13", "100B¹³"), =HYPERLINK("CSG12.html#group100B12", "100B¹²"), =HYPERLINK("CSG12.html#group50F12", "50F¹²"), =HYPERLINK("CSG13.html#group50B13", "50B¹³"), =HYPERLINK("CSG12.html#group50B12", "50B¹²"), =HYPERLINK("CSG14.html#group100B14", "100B¹⁴"), =HYPERLINK("CSG13.html#group100F13", "100F¹³"), =HYPERLINK("CSG20.html#group150B20", "150B²⁰")</f>
        <v/>
      </c>
    </row>
    <row r="1249">
      <c r="A1249" t="inlineStr">
        <is>
          <t>50C⁶</t>
        </is>
      </c>
      <c r="B1249" t="inlineStr"/>
      <c r="C1249" t="inlineStr">
        <is>
          <t>90</t>
        </is>
      </c>
      <c r="D1249" t="inlineStr">
        <is>
          <t>1</t>
        </is>
      </c>
      <c r="E1249" t="inlineStr">
        <is>
          <t>90</t>
        </is>
      </c>
      <c r="F1249" t="inlineStr">
        <is>
          <t>2</t>
        </is>
      </c>
      <c r="G1249" t="inlineStr">
        <is>
          <t>0</t>
        </is>
      </c>
      <c r="H1249" t="inlineStr">
        <is>
          <t>5¹, 10¹, 25¹, 50¹</t>
        </is>
      </c>
      <c r="I1249" t="n">
        <v>4</v>
      </c>
      <c r="J1249" t="inlineStr">
        <is>
          <t>2⁶, 4¹², 20⁶</t>
        </is>
      </c>
      <c r="K1249">
        <f>HYPERLINK("CSG0.html#group10C0", "10C⁰"), =HYPERLINK("CSG2.html#group25C2", "25C²")</f>
        <v/>
      </c>
      <c r="L1249">
        <f>HYPERLINK("CSG12.html#group50C12", "50C¹²"), =HYPERLINK("CSG12.html#group50G12", "50G¹²"), =HYPERLINK("CSG12.html#group100C12", "100C¹²"), =HYPERLINK("CSG13.html#group50C13", "50C¹³"), =HYPERLINK("CSG13.html#group100C13", "100C¹³"), =HYPERLINK("CSG13.html#group100G13", "100G¹³"), =HYPERLINK("CSG14.html#group100C14", "100C¹⁴"), =HYPERLINK("CSG20.html#group150C20", "150C²⁰")</f>
        <v/>
      </c>
      <c r="M1249">
        <f>HYPERLINK("CSG0.html#group5B0", "5B⁰"), =HYPERLINK("CSG0.html#group10C0", "10C⁰"), =HYPERLINK("CSG0.html#group2B0", "2B⁰"), =HYPERLINK("CSG0.html#group1A0", "1A⁰"), =HYPERLINK("CSG2.html#group25C2", "25C²")</f>
        <v/>
      </c>
      <c r="N1249">
        <f>HYPERLINK("CSG14.html#group100C14", "100C¹⁴"), =HYPERLINK("CSG12.html#group100C12", "100C¹²"), =HYPERLINK("CSG12.html#group50G12", "50G¹²"), =HYPERLINK("CSG20.html#group150C20", "150C²⁰"), =HYPERLINK("CSG12.html#group50C12", "50C¹²"), =HYPERLINK("CSG13.html#group50C13", "50C¹³"), =HYPERLINK("CSG13.html#group100C13", "100C¹³"), =HYPERLINK("CSG13.html#group100G13", "100G¹³")</f>
        <v/>
      </c>
    </row>
    <row r="1250">
      <c r="A1250" t="inlineStr">
        <is>
          <t>50D⁶</t>
        </is>
      </c>
      <c r="B1250" t="inlineStr"/>
      <c r="C1250" t="inlineStr">
        <is>
          <t>90</t>
        </is>
      </c>
      <c r="D1250" t="inlineStr">
        <is>
          <t>1</t>
        </is>
      </c>
      <c r="E1250" t="inlineStr">
        <is>
          <t>90</t>
        </is>
      </c>
      <c r="F1250" t="inlineStr">
        <is>
          <t>2</t>
        </is>
      </c>
      <c r="G1250" t="inlineStr">
        <is>
          <t>0</t>
        </is>
      </c>
      <c r="H1250" t="inlineStr">
        <is>
          <t>5¹, 10¹, 25¹, 50¹</t>
        </is>
      </c>
      <c r="I1250" t="n">
        <v>4</v>
      </c>
      <c r="J1250" t="inlineStr">
        <is>
          <t>2⁶, 4¹², 20⁶</t>
        </is>
      </c>
      <c r="K1250">
        <f>HYPERLINK("CSG0.html#group10C0", "10C⁰"), =HYPERLINK("CSG2.html#group25D2", "25D²")</f>
        <v/>
      </c>
      <c r="L1250">
        <f>HYPERLINK("CSG12.html#group50D12", "50D¹²"), =HYPERLINK("CSG12.html#group50H12", "50H¹²"), =HYPERLINK("CSG12.html#group100D12", "100D¹²"), =HYPERLINK("CSG13.html#group50D13", "50D¹³"), =HYPERLINK("CSG13.html#group100D13", "100D¹³"), =HYPERLINK("CSG13.html#group100H13", "100H¹³"), =HYPERLINK("CSG14.html#group100D14", "100D¹⁴"), =HYPERLINK("CSG20.html#group150D20", "150D²⁰")</f>
        <v/>
      </c>
      <c r="M1250">
        <f>HYPERLINK("CSG0.html#group5B0", "5B⁰"), =HYPERLINK("CSG0.html#group10C0", "10C⁰"), =HYPERLINK("CSG0.html#group2B0", "2B⁰"), =HYPERLINK("CSG0.html#group1A0", "1A⁰"), =HYPERLINK("CSG2.html#group25D2", "25D²")</f>
        <v/>
      </c>
      <c r="N1250">
        <f>HYPERLINK("CSG13.html#group50D13", "50D¹³"), =HYPERLINK("CSG20.html#group150D20", "150D²⁰"), =HYPERLINK("CSG12.html#group50H12", "50H¹²"), =HYPERLINK("CSG13.html#group100H13", "100H¹³"), =HYPERLINK("CSG14.html#group100D14", "100D¹⁴"), =HYPERLINK("CSG12.html#group100D12", "100D¹²"), =HYPERLINK("CSG12.html#group50D12", "50D¹²"), =HYPERLINK("CSG13.html#group100D13", "100D¹³")</f>
        <v/>
      </c>
    </row>
    <row r="1251">
      <c r="A1251" t="inlineStr">
        <is>
          <t>50E⁶</t>
        </is>
      </c>
      <c r="B1251" t="inlineStr"/>
      <c r="C1251" t="inlineStr">
        <is>
          <t>180</t>
        </is>
      </c>
      <c r="D1251" t="inlineStr">
        <is>
          <t>1</t>
        </is>
      </c>
      <c r="E1251" t="inlineStr">
        <is>
          <t>90</t>
        </is>
      </c>
      <c r="F1251" t="inlineStr">
        <is>
          <t>4</t>
        </is>
      </c>
      <c r="G1251" t="inlineStr">
        <is>
          <t>0</t>
        </is>
      </c>
      <c r="H1251" t="inlineStr">
        <is>
          <t>2¹⁵, 50³</t>
        </is>
      </c>
      <c r="I1251" t="n">
        <v>18</v>
      </c>
      <c r="J1251" t="inlineStr">
        <is>
          <t>1⁶, 4⁶, 20³</t>
        </is>
      </c>
      <c r="K1251">
        <f>HYPERLINK("CSG0.html#group10G0", "10G⁰"), =HYPERLINK("CSG2.html#group50A2", "50A²"), =HYPERLINK("CSG2.html#group50B2", "50B²")</f>
        <v/>
      </c>
      <c r="L1251">
        <f>HYPERLINK("CSG13.html#group50E13", "50E¹³"), =HYPERLINK("CSG15.html#group100D15", "100D¹⁵"), =HYPERLINK("CSG17.html#group100E17", "100E¹⁷"), =HYPERLINK("CSG19.html#group100O19", "100O¹⁹"), =HYPERLINK("CSG21.html#group100C21", "100C²¹")</f>
        <v/>
      </c>
      <c r="M1251">
        <f>HYPERLINK("CSG0.html#group10G0", "10G⁰"), =HYPERLINK("CSG2.html#group50A2", "50A²"), =HYPERLINK("CSG0.html#group25A0", "25A⁰"), =HYPERLINK("CSG0.html#group10C0", "10C⁰"), =HYPERLINK("CSG0.html#group5B0", "5B⁰"), =HYPERLINK("CSG0.html#group2B0", "2B⁰"), =HYPERLINK("CSG2.html#group50B2", "50B²"), =HYPERLINK("CSG0.html#group1A0", "1A⁰"), =HYPERLINK("CSG0.html#group10B0", "10B⁰")</f>
        <v/>
      </c>
      <c r="N1251">
        <f>HYPERLINK("CSG15.html#group100D15", "100D¹⁵"), =HYPERLINK("CSG21.html#group100C21", "100C²¹"), =HYPERLINK("CSG19.html#group100O19", "100O¹⁹"), =HYPERLINK("CSG17.html#group100E17", "100E¹⁷"), =HYPERLINK("CSG13.html#group50E13", "50E¹³")</f>
        <v/>
      </c>
    </row>
    <row r="1252">
      <c r="A1252" t="inlineStr">
        <is>
          <t>52A⁶</t>
        </is>
      </c>
      <c r="B1252" t="inlineStr"/>
      <c r="C1252" t="inlineStr">
        <is>
          <t>84</t>
        </is>
      </c>
      <c r="D1252" t="inlineStr">
        <is>
          <t>1</t>
        </is>
      </c>
      <c r="E1252" t="inlineStr">
        <is>
          <t>42</t>
        </is>
      </c>
      <c r="F1252" t="inlineStr">
        <is>
          <t>0</t>
        </is>
      </c>
      <c r="G1252" t="inlineStr">
        <is>
          <t>0</t>
        </is>
      </c>
      <c r="H1252" t="inlineStr">
        <is>
          <t>2¹, 4¹, 26¹, 52¹</t>
        </is>
      </c>
      <c r="I1252" t="n">
        <v>4</v>
      </c>
      <c r="J1252" t="inlineStr">
        <is>
          <t>1⁶, 12³</t>
        </is>
      </c>
      <c r="K1252">
        <f>HYPERLINK("CSG2.html#group26A2", "26A²")</f>
        <v/>
      </c>
      <c r="L1252">
        <f>HYPERLINK("CSG11.html#group52B11", "52B¹¹"), =HYPERLINK("CSG11.html#group52A11", "52A¹¹"), =HYPERLINK("CSG11.html#group52C11", "52C¹¹"), =HYPERLINK("CSG16.html#group52A16", "52A¹⁶"), =HYPERLINK("CSG20.html#group156A20", "156A²⁰"), =HYPERLINK("CSG20.html#group156B20", "156B²⁰")</f>
        <v/>
      </c>
      <c r="M1252">
        <f>HYPERLINK("CSG0.html#group13A0", "13A⁰"), =HYPERLINK("CSG0.html#group1A0", "1A⁰"), =HYPERLINK("CSG2.html#group26A2", "26A²"), =HYPERLINK("CSG0.html#group2B0", "2B⁰")</f>
        <v/>
      </c>
      <c r="N1252">
        <f>HYPERLINK("CSG11.html#group52C11", "52C¹¹"), =HYPERLINK("CSG23.html#group104D23", "104D²³"), =HYPERLINK("CSG20.html#group156B20", "156B²⁰"), =HYPERLINK("CSG11.html#group52B11", "52B¹¹"), =HYPERLINK("CSG16.html#group52A16", "52A¹⁶"), =HYPERLINK("CSG20.html#group156A20", "156A²⁰"), =HYPERLINK("CSG21.html#group52C21", "52C²¹"), =HYPERLINK("CSG23.html#group52G23", "52G²³"), =HYPERLINK("CSG23.html#group104E23", "104E²³"), =HYPERLINK("CSG23.html#group104S23", "104S²³"), =HYPERLINK("CSG11.html#group52A11", "52A¹¹"), =HYPERLINK("CSG23.html#group52D23", "52D²³"), =HYPERLINK("CSG23.html#group52H23", "52H²³")</f>
        <v/>
      </c>
    </row>
    <row r="1253">
      <c r="A1253" t="inlineStr">
        <is>
          <t>54A⁶</t>
        </is>
      </c>
      <c r="B1253" t="inlineStr"/>
      <c r="C1253" t="inlineStr">
        <is>
          <t>72</t>
        </is>
      </c>
      <c r="D1253" t="inlineStr">
        <is>
          <t>1</t>
        </is>
      </c>
      <c r="E1253" t="inlineStr">
        <is>
          <t>12</t>
        </is>
      </c>
      <c r="F1253" t="inlineStr">
        <is>
          <t>0</t>
        </is>
      </c>
      <c r="G1253" t="inlineStr">
        <is>
          <t>0</t>
        </is>
      </c>
      <c r="H1253" t="inlineStr">
        <is>
          <t>18¹, 54¹</t>
        </is>
      </c>
      <c r="I1253" t="n">
        <v>2</v>
      </c>
      <c r="J1253" t="inlineStr">
        <is>
          <t>1², 2², 6¹</t>
        </is>
      </c>
      <c r="K1253">
        <f>HYPERLINK("CSG0.html#group18B0", "18B⁰"), =HYPERLINK("CSG3.html#group27A3", "27A³")</f>
        <v/>
      </c>
      <c r="L1253">
        <f>HYPERLINK("CSG12.html#group108A12", "108A¹²"), =HYPERLINK("CSG16.html#group54B16", "54B¹⁶"), =HYPERLINK("CSG16.html#group54C16", "54C¹⁶"), =HYPERLINK("CSG16.html#group54E16", "54E¹⁶"), =HYPERLINK("CSG16.html#group54G16", "54G¹⁶"), =HYPERLINK("CSG16.html#group54J16", "54J¹⁶"), =HYPERLINK("CSG16.html#group54M16", "54M¹⁶"), =HYPERLINK("CSG16.html#group54P16", "54P¹⁶"), =HYPERLINK("CSG23.html#group108A23", "108A²³")</f>
        <v/>
      </c>
      <c r="M1253">
        <f>HYPERLINK("CSG0.html#group3B0", "3B⁰"), =HYPERLINK("CSG0.html#group2A0", "2A⁰"), =HYPERLINK("CSG0.html#group9C0", "9C⁰"), =HYPERLINK("CSG0.html#group1A0", "1A⁰"), =HYPERLINK("CSG0.html#group18B0", "18B⁰"), =HYPERLINK("CSG3.html#group27A3", "27A³"), =HYPERLINK("CSG0.html#group6C0", "6C⁰")</f>
        <v/>
      </c>
      <c r="N1253">
        <f>HYPERLINK("CSG16.html#group54E16", "54E¹⁶"), =HYPERLINK("CSG16.html#group54B16", "54B¹⁶"), =HYPERLINK("CSG23.html#group108A23", "108A²³"), =HYPERLINK("CSG16.html#group54G16", "54G¹⁶"), =HYPERLINK("CSG12.html#group108A12", "108A¹²"), =HYPERLINK("CSG16.html#group54M16", "54M¹⁶"), =HYPERLINK("CSG16.html#group54C16", "54C¹⁶"), =HYPERLINK("CSG16.html#group54J16", "54J¹⁶"), =HYPERLINK("CSG16.html#group54P16", "54P¹⁶")</f>
        <v/>
      </c>
    </row>
    <row r="1254">
      <c r="A1254" t="inlineStr">
        <is>
          <t>54B⁶</t>
        </is>
      </c>
      <c r="B1254" t="inlineStr"/>
      <c r="C1254" t="inlineStr">
        <is>
          <t>108</t>
        </is>
      </c>
      <c r="D1254" t="inlineStr">
        <is>
          <t>1</t>
        </is>
      </c>
      <c r="E1254" t="inlineStr">
        <is>
          <t>36</t>
        </is>
      </c>
      <c r="F1254" t="inlineStr">
        <is>
          <t>0</t>
        </is>
      </c>
      <c r="G1254" t="inlineStr">
        <is>
          <t>0</t>
        </is>
      </c>
      <c r="H1254" t="inlineStr">
        <is>
          <t>3³, 6³, 27¹, 54¹</t>
        </is>
      </c>
      <c r="I1254" t="n">
        <v>8</v>
      </c>
      <c r="J1254" t="inlineStr">
        <is>
          <t>1⁶, 2⁶, 6³</t>
        </is>
      </c>
      <c r="K1254">
        <f>HYPERLINK("CSG0.html#group18E0", "18E⁰"), =HYPERLINK("CSG2.html#group27A2", "27A²")</f>
        <v/>
      </c>
      <c r="L1254">
        <f>HYPERLINK("CSG13.html#group54B13", "54B¹³"), =HYPERLINK("CSG13.html#group108B13", "108B¹³"), =HYPERLINK("CSG15.html#group108A15", "108A¹⁵"), =HYPERLINK("CSG16.html#group54R16", "54R¹⁶"), =HYPERLINK("CSG16.html#group54S16", "54S¹⁶"), =HYPERLINK("CSG16.html#group54T16", "54T¹⁶")</f>
        <v/>
      </c>
      <c r="M1254">
        <f>HYPERLINK("CSG0.html#group6F0", "6F⁰"), =HYPERLINK("CSG0.html#group3B0", "3B⁰"), =HYPERLINK("CSG0.html#group9B0", "9B⁰"), =HYPERLINK("CSG0.html#group2B0", "2B⁰"), =HYPERLINK("CSG0.html#group18E0", "18E⁰"), =HYPERLINK("CSG2.html#group27A2", "27A²"), =HYPERLINK("CSG0.html#group1A0", "1A⁰")</f>
        <v/>
      </c>
      <c r="N1254">
        <f>HYPERLINK("CSG13.html#group108B13", "108B¹³"), =HYPERLINK("CSG16.html#group54S16", "54S¹⁶"), =HYPERLINK("CSG13.html#group54B13", "54B¹³"), =HYPERLINK("CSG16.html#group54R16", "54R¹⁶"), =HYPERLINK("CSG15.html#group108A15", "108A¹⁵"), =HYPERLINK("CSG16.html#group54T16", "54T¹⁶")</f>
        <v/>
      </c>
    </row>
    <row r="1255">
      <c r="A1255" t="inlineStr">
        <is>
          <t>56A⁶</t>
        </is>
      </c>
      <c r="B1255" t="inlineStr"/>
      <c r="C1255" t="inlineStr">
        <is>
          <t>84</t>
        </is>
      </c>
      <c r="D1255" t="inlineStr">
        <is>
          <t>2</t>
        </is>
      </c>
      <c r="E1255" t="inlineStr">
        <is>
          <t>21</t>
        </is>
      </c>
      <c r="F1255" t="inlineStr">
        <is>
          <t>4</t>
        </is>
      </c>
      <c r="G1255" t="inlineStr">
        <is>
          <t>0</t>
        </is>
      </c>
      <c r="H1255" t="inlineStr">
        <is>
          <t>28¹, 56¹</t>
        </is>
      </c>
      <c r="I1255" t="n">
        <v>2</v>
      </c>
      <c r="J1255" t="inlineStr">
        <is>
          <t>2³, 6⁶</t>
        </is>
      </c>
      <c r="K1255">
        <f>HYPERLINK("CSG2.html#group28C2", "28C²")</f>
        <v/>
      </c>
      <c r="L1255">
        <f>HYPERLINK("CSG11.html#group56A11", "56A¹¹"), =HYPERLINK("CSG12.html#group56E12", "56E¹²"), =HYPERLINK("CSG12.html#group56D12", "56D¹²"), =HYPERLINK("CSG13.html#group56A13", "56A¹³"), =HYPERLINK("CSG13.html#group56C13", "56C¹³"), =HYPERLINK("CSG16.html#group56C16", "56C¹⁶"), =HYPERLINK("CSG18.html#group168E18", "168E¹⁸")</f>
        <v/>
      </c>
      <c r="M1255">
        <f>HYPERLINK("CSG2.html#group28C2", "28C²"), =HYPERLINK("CSG0.html#group4C0", "4C⁰"), =HYPERLINK("CSG0.html#group2B0", "2B⁰"), =HYPERLINK("CSG1.html#group14B1", "14B¹"), =HYPERLINK("CSG0.html#group1A0", "1A⁰"), =HYPERLINK("CSG0.html#group7A0", "7A⁰")</f>
        <v/>
      </c>
      <c r="N1255">
        <f>HYPERLINK("CSG23.html#group56H23", "56H²³"), =HYPERLINK("CSG11.html#group56A11", "56A¹¹"), =HYPERLINK("CSG13.html#group56C13", "56C¹³"), =HYPERLINK("CSG13.html#group56A13", "56A¹³"), =HYPERLINK("CSG12.html#group56E12", "56E¹²"), =HYPERLINK("CSG12.html#group56D12", "56D¹²"), =HYPERLINK("CSG16.html#group56C16", "56C¹⁶"), =HYPERLINK("CSG23.html#group56D23", "56D²³"), =HYPERLINK("CSG18.html#group168E18", "168E¹⁸"), =HYPERLINK("CSG23.html#group112A23", "112A²³")</f>
        <v/>
      </c>
    </row>
    <row r="1256">
      <c r="A1256" t="inlineStr">
        <is>
          <t>56B⁶</t>
        </is>
      </c>
      <c r="B1256" t="inlineStr"/>
      <c r="C1256" t="inlineStr">
        <is>
          <t>84</t>
        </is>
      </c>
      <c r="D1256" t="inlineStr">
        <is>
          <t>2</t>
        </is>
      </c>
      <c r="E1256" t="inlineStr">
        <is>
          <t>42</t>
        </is>
      </c>
      <c r="F1256" t="inlineStr">
        <is>
          <t>0</t>
        </is>
      </c>
      <c r="G1256" t="inlineStr">
        <is>
          <t>0</t>
        </is>
      </c>
      <c r="H1256" t="inlineStr">
        <is>
          <t>7², 14¹, 56¹</t>
        </is>
      </c>
      <c r="I1256" t="n">
        <v>4</v>
      </c>
      <c r="J1256" t="inlineStr">
        <is>
          <t>2⁴, 4¹, 6⁸, 12²</t>
        </is>
      </c>
      <c r="K1256">
        <f>HYPERLINK("CSG3.html#group28A3", "28A³")</f>
        <v/>
      </c>
      <c r="L1256">
        <f>HYPERLINK("CSG11.html#group56B11", "56B¹¹"), =HYPERLINK("CSG12.html#group56A12", "56A¹²"), =HYPERLINK("CSG12.html#group56C12", "56C¹²"), =HYPERLINK("CSG16.html#group56D16", "56D¹⁶"), =HYPERLINK("CSG20.html#group168A20", "168A²⁰"), =HYPERLINK("CSG21.html#group56E21", "56E²¹")</f>
        <v/>
      </c>
      <c r="M1256">
        <f>HYPERLINK("CSG3.html#group28A3", "28A³"), =HYPERLINK("CSG0.html#group2B0", "2B⁰"), =HYPERLINK("CSG0.html#group4B0", "4B⁰"), =HYPERLINK("CSG1.html#group14B1", "14B¹"), =HYPERLINK("CSG0.html#group1A0", "1A⁰"), =HYPERLINK("CSG0.html#group7A0", "7A⁰")</f>
        <v/>
      </c>
      <c r="N1256">
        <f>HYPERLINK("CSG24.html#group56F24", "56F²⁴"), =HYPERLINK("CSG23.html#group112F23", "112F²³"), =HYPERLINK("CSG23.html#group56E23", "56E²³"), =HYPERLINK("CSG12.html#group56A12", "56A¹²"), =HYPERLINK("CSG11.html#group56B11", "56B¹¹"), =HYPERLINK("CSG24.html#group56E24", "56E²⁴"), =HYPERLINK("CSG21.html#group56E21", "56E²¹"), =HYPERLINK("CSG16.html#group56D16", "56D¹⁶"), =HYPERLINK("CSG12.html#group56C12", "56C¹²"), =HYPERLINK("CSG20.html#group168A20", "168A²⁰"), =HYPERLINK("CSG23.html#group112B23", "112B²³"), =HYPERLINK("CSG24.html#group112G24", "112G²⁴"), =HYPERLINK("CSG23.html#group56A23", "56A²³")</f>
        <v/>
      </c>
    </row>
    <row r="1257">
      <c r="A1257" t="inlineStr">
        <is>
          <t>56C⁶</t>
        </is>
      </c>
      <c r="B1257" t="inlineStr"/>
      <c r="C1257" t="inlineStr">
        <is>
          <t>84</t>
        </is>
      </c>
      <c r="D1257" t="inlineStr">
        <is>
          <t>2</t>
        </is>
      </c>
      <c r="E1257" t="inlineStr">
        <is>
          <t>42</t>
        </is>
      </c>
      <c r="F1257" t="inlineStr">
        <is>
          <t>0</t>
        </is>
      </c>
      <c r="G1257" t="inlineStr">
        <is>
          <t>0</t>
        </is>
      </c>
      <c r="H1257" t="inlineStr">
        <is>
          <t>7², 14¹, 56¹</t>
        </is>
      </c>
      <c r="I1257" t="n">
        <v>4</v>
      </c>
      <c r="J1257" t="inlineStr">
        <is>
          <t>2⁴, 4¹, 6⁸, 12²</t>
        </is>
      </c>
      <c r="K1257">
        <f>HYPERLINK("CSG0.html#group8C0", "8C⁰"), =HYPERLINK("CSG3.html#group28A3", "28A³")</f>
        <v/>
      </c>
      <c r="L1257">
        <f>HYPERLINK("CSG11.html#group56B11", "56B¹¹"), =HYPERLINK("CSG12.html#group56B12", "56B¹²"), =HYPERLINK("CSG12.html#group56C12", "56C¹²"), =HYPERLINK("CSG12.html#group56F12", "56F¹²"), =HYPERLINK("CSG12.html#group56G12", "56G¹²"), =HYPERLINK("CSG12.html#group112B12", "112B¹²"), =HYPERLINK("CSG12.html#group112C12", "112C¹²"), =HYPERLINK("CSG12.html#group112D12", "112D¹²"), =HYPERLINK("CSG12.html#group112E12", "112E¹²"), =HYPERLINK("CSG13.html#group112A13", "112A¹³"), =HYPERLINK("CSG13.html#group112B13", "112B¹³"), =HYPERLINK("CSG16.html#group56B16", "56B¹⁶"), =HYPERLINK("CSG20.html#group168B20", "168B²⁰"), =HYPERLINK("CSG21.html#group56F21", "56F²¹")</f>
        <v/>
      </c>
      <c r="M1257">
        <f>HYPERLINK("CSG3.html#group28A3", "28A³"), =HYPERLINK("CSG0.html#group8C0", "8C⁰"), =HYPERLINK("CSG0.html#group2B0", "2B⁰"), =HYPERLINK("CSG0.html#group4B0", "4B⁰"), =HYPERLINK("CSG1.html#group14B1", "14B¹"), =HYPERLINK("CSG0.html#group1A0", "1A⁰"), =HYPERLINK("CSG0.html#group7A0", "7A⁰")</f>
        <v/>
      </c>
      <c r="N1257">
        <f>HYPERLINK("CSG20.html#group168B20", "168B²⁰"), =HYPERLINK("CSG23.html#group112F23", "112F²³"), =HYPERLINK("CSG24.html#group224B24", "224B²⁴"), =HYPERLINK("CSG23.html#group56E23", "56E²³"), =HYPERLINK("CSG24.html#group112C24", "112C²⁴"), =HYPERLINK("CSG24.html#group56D24", "56D²⁴"), =HYPERLINK("CSG12.html#group56B12", "56B¹²"), =HYPERLINK("CSG12.html#group56G12", "56G¹²"), =HYPERLINK("CSG13.html#group112B13", "112B¹³"), =HYPERLINK("CSG11.html#group56B11", "56B¹¹"), =HYPERLINK("CSG16.html#group56B16", "56B¹⁶"), =HYPERLINK("CSG23.html#group56A23", "56A²³"), =HYPERLINK("CSG12.html#group112E12", "112E¹²"), =HYPERLINK("CSG21.html#group56F21", "56F²¹"), =HYPERLINK("CSG13.html#group112A13", "112A¹³"), =HYPERLINK("CSG12.html#group56F12", "56F¹²"), =HYPERLINK("CSG12.html#group112B12", "112B¹²"), =HYPERLINK("CSG24.html#group56E24", "56E²⁴"), =HYPERLINK("CSG12.html#group56C12", "56C¹²"), =HYPERLINK("CSG24.html#group112D24", "112D²⁴"), =HYPERLINK("CSG24.html#group112F24", "112F²⁴"), =HYPERLINK("CSG24.html#group56C24", "56C²⁴"), =HYPERLINK("CSG24.html#group112B24", "112B²⁴"), =HYPERLINK("CSG23.html#group112B23", "112B²³"), =HYPERLINK("CSG24.html#group112E24", "112E²⁴"), =HYPERLINK("CSG24.html#group112A24", "112A²⁴"), =HYPERLINK("CSG12.html#group112C12", "112C¹²"), =HYPERLINK("CSG24.html#group224A24", "224A²⁴"), =HYPERLINK("CSG24.html#group112G24", "112G²⁴"), =HYPERLINK("CSG12.html#group112D12", "112D¹²")</f>
        <v/>
      </c>
    </row>
    <row r="1258">
      <c r="A1258" t="inlineStr">
        <is>
          <t>56D⁶</t>
        </is>
      </c>
      <c r="B1258" t="inlineStr"/>
      <c r="C1258" t="inlineStr">
        <is>
          <t>96</t>
        </is>
      </c>
      <c r="D1258" t="inlineStr">
        <is>
          <t>1</t>
        </is>
      </c>
      <c r="E1258" t="inlineStr">
        <is>
          <t>24</t>
        </is>
      </c>
      <c r="F1258" t="inlineStr">
        <is>
          <t>0</t>
        </is>
      </c>
      <c r="G1258" t="inlineStr">
        <is>
          <t>0</t>
        </is>
      </c>
      <c r="H1258" t="inlineStr">
        <is>
          <t>2², 8¹, 14², 56¹</t>
        </is>
      </c>
      <c r="I1258" t="n">
        <v>6</v>
      </c>
      <c r="J1258" t="inlineStr">
        <is>
          <t>1⁶, 6³</t>
        </is>
      </c>
      <c r="K1258">
        <f>HYPERLINK("CSG2.html#group28D2", "28D²")</f>
        <v/>
      </c>
      <c r="L1258">
        <f>HYPERLINK("CSG11.html#group56L11", "56L¹¹"), =HYPERLINK("CSG11.html#group56N11", "56N¹¹"), =HYPERLINK("CSG16.html#group56E16", "56E¹⁶"), =HYPERLINK("CSG22.html#group168A22", "168A²²"), =HYPERLINK("CSG22.html#group168E22", "168E²²")</f>
        <v/>
      </c>
      <c r="M1258">
        <f>HYPERLINK("CSG0.html#group2B0", "2B⁰"), =HYPERLINK("CSG0.html#group4B0", "4B⁰"), =HYPERLINK("CSG0.html#group1A0", "1A⁰"), =HYPERLINK("CSG0.html#group7B0", "7B⁰"), =HYPERLINK("CSG2.html#group28D2", "28D²"), =HYPERLINK("CSG1.html#group14C1", "14C¹")</f>
        <v/>
      </c>
      <c r="N1258">
        <f>HYPERLINK("CSG21.html#group56L21", "56L²¹"), =HYPERLINK("CSG23.html#group56U23", "56U²³"), =HYPERLINK("CSG23.html#group112U23", "112U²³"), =HYPERLINK("CSG22.html#group168E22", "168E²²"), =HYPERLINK("CSG11.html#group56L11", "56L¹¹"), =HYPERLINK("CSG22.html#group168A22", "168A²²"), =HYPERLINK("CSG23.html#group56V23", "56V²³"), =HYPERLINK("CSG11.html#group56N11", "56N¹¹"), =HYPERLINK("CSG16.html#group56E16", "56E¹⁶")</f>
        <v/>
      </c>
    </row>
    <row r="1259">
      <c r="A1259" t="inlineStr">
        <is>
          <t>56E⁶</t>
        </is>
      </c>
      <c r="B1259" t="inlineStr"/>
      <c r="C1259" t="inlineStr">
        <is>
          <t>96</t>
        </is>
      </c>
      <c r="D1259" t="inlineStr">
        <is>
          <t>1</t>
        </is>
      </c>
      <c r="E1259" t="inlineStr">
        <is>
          <t>48</t>
        </is>
      </c>
      <c r="F1259" t="inlineStr">
        <is>
          <t>0</t>
        </is>
      </c>
      <c r="G1259" t="inlineStr">
        <is>
          <t>0</t>
        </is>
      </c>
      <c r="H1259" t="inlineStr">
        <is>
          <t>2², 8¹, 14², 56¹</t>
        </is>
      </c>
      <c r="I1259" t="n">
        <v>6</v>
      </c>
      <c r="J1259" t="inlineStr">
        <is>
          <t>1⁴, 2⁴, 6², 12²</t>
        </is>
      </c>
      <c r="K1259">
        <f>HYPERLINK("CSG0.html#group8D0", "8D⁰"), =HYPERLINK("CSG3.html#group28C3", "28C³")</f>
        <v/>
      </c>
      <c r="L1259">
        <f>HYPERLINK("CSG11.html#group56M11", "56M¹¹"), =HYPERLINK("CSG12.html#group112H12", "112H¹²"), =HYPERLINK("CSG13.html#group56I13", "56I¹³"), =HYPERLINK("CSG13.html#group56J13", "56J¹³"), =HYPERLINK("CSG14.html#group112D14", "112D¹⁴"), =HYPERLINK("CSG16.html#group56F16", "56F¹⁶"), =HYPERLINK("CSG22.html#group168B22", "168B²²"), =HYPERLINK("CSG22.html#group168F22", "168F²²")</f>
        <v/>
      </c>
      <c r="M1259">
        <f>HYPERLINK("CSG0.html#group1A0", "1A⁰"), =HYPERLINK("CSG0.html#group2B0", "2B⁰"), =HYPERLINK("CSG3.html#group28C3", "28C³"), =HYPERLINK("CSG0.html#group8D0", "8D⁰"), =HYPERLINK("CSG0.html#group7B0", "7B⁰"), =HYPERLINK("CSG0.html#group4C0", "4C⁰"), =HYPERLINK("CSG1.html#group14C1", "14C¹")</f>
        <v/>
      </c>
      <c r="N1259">
        <f>HYPERLINK("CSG16.html#group56F16", "56F¹⁶"), =HYPERLINK("CSG21.html#group56L21", "56L²¹"), =HYPERLINK("CSG22.html#group168B22", "168B²²"), =HYPERLINK("CSG23.html#group112P23", "112P²³"), =HYPERLINK("CSG14.html#group112D14", "112D¹⁴"), =HYPERLINK("CSG23.html#group112O23", "112O²³"), =HYPERLINK("CSG22.html#group168F22", "168F²²"), =HYPERLINK("CSG23.html#group56R23", "56R²³"), =HYPERLINK("CSG13.html#group56I13", "56I¹³"), =HYPERLINK("CSG13.html#group56J13", "56J¹³"), =HYPERLINK("CSG23.html#group56Q23", "56Q²³"), =HYPERLINK("CSG11.html#group56M11", "56M¹¹"), =HYPERLINK("CSG12.html#group112H12", "112H¹²")</f>
        <v/>
      </c>
    </row>
    <row r="1260">
      <c r="A1260" t="inlineStr">
        <is>
          <t>56F⁶</t>
        </is>
      </c>
      <c r="B1260" t="inlineStr"/>
      <c r="C1260" t="inlineStr">
        <is>
          <t>112</t>
        </is>
      </c>
      <c r="D1260" t="inlineStr">
        <is>
          <t>2</t>
        </is>
      </c>
      <c r="E1260" t="inlineStr">
        <is>
          <t>28</t>
        </is>
      </c>
      <c r="F1260" t="inlineStr">
        <is>
          <t>8</t>
        </is>
      </c>
      <c r="G1260" t="inlineStr">
        <is>
          <t>4</t>
        </is>
      </c>
      <c r="H1260" t="inlineStr">
        <is>
          <t>56²</t>
        </is>
      </c>
      <c r="I1260" t="n">
        <v>2</v>
      </c>
      <c r="J1260" t="inlineStr">
        <is>
          <t>8², 24⁴</t>
        </is>
      </c>
      <c r="K1260">
        <f>HYPERLINK("CSG2.html#group28E2", "28E²"), =HYPERLINK("CSG3.html#group56A3", "56A³"), =HYPERLINK("CSG3.html#group56C3", "56C³")</f>
        <v/>
      </c>
      <c r="L1260">
        <f>HYPERLINK("CSG14.html#group112E14", "112E¹⁴"), =HYPERLINK("CSG15.html#group56A15", "56A¹⁵"), =HYPERLINK("CSG22.html#group56K22", "56K²²"), =HYPERLINK("CSG22.html#group168G22", "168G²²"), =HYPERLINK("CSG24.html#group56J24", "56J²⁴"), =HYPERLINK("CSG24.html#group56M24", "56M²⁴")</f>
        <v/>
      </c>
      <c r="M1260">
        <f>HYPERLINK("CSG2.html#group28E2", "28E²"), =HYPERLINK("CSG0.html#group14A0", "14A⁰"), =HYPERLINK("CSG0.html#group4A0", "4A⁰"), =HYPERLINK("CSG0.html#group8A0", "8A⁰"), =HYPERLINK("CSG3.html#group56C3", "56C³"), =HYPERLINK("CSG1.html#group28A1", "28A¹"), =HYPERLINK("CSG0.html#group1A0", "1A⁰"), =HYPERLINK("CSG0.html#group7A0", "7A⁰"), =HYPERLINK("CSG3.html#group56A3", "56A³")</f>
        <v/>
      </c>
      <c r="N1260">
        <f>HYPERLINK("CSG24.html#group56M24", "56M²⁴"), =HYPERLINK("CSG15.html#group56A15", "56A¹⁵"), =HYPERLINK("CSG22.html#group168G22", "168G²²"), =HYPERLINK("CSG14.html#group112E14", "112E¹⁴"), =HYPERLINK("CSG22.html#group56K22", "56K²²"), =HYPERLINK("CSG24.html#group56J24", "56J²⁴")</f>
        <v/>
      </c>
    </row>
    <row r="1261">
      <c r="A1261" t="inlineStr">
        <is>
          <t>56G⁶</t>
        </is>
      </c>
      <c r="B1261" t="inlineStr"/>
      <c r="C1261" t="inlineStr">
        <is>
          <t>112</t>
        </is>
      </c>
      <c r="D1261" t="inlineStr">
        <is>
          <t>2</t>
        </is>
      </c>
      <c r="E1261" t="inlineStr">
        <is>
          <t>28</t>
        </is>
      </c>
      <c r="F1261" t="inlineStr">
        <is>
          <t>8</t>
        </is>
      </c>
      <c r="G1261" t="inlineStr">
        <is>
          <t>4</t>
        </is>
      </c>
      <c r="H1261" t="inlineStr">
        <is>
          <t>56²</t>
        </is>
      </c>
      <c r="I1261" t="n">
        <v>2</v>
      </c>
      <c r="J1261" t="inlineStr">
        <is>
          <t>8², 24⁴</t>
        </is>
      </c>
      <c r="K1261">
        <f>HYPERLINK("CSG2.html#group28E2", "28E²"), =HYPERLINK("CSG3.html#group56B3", "56B³"), =HYPERLINK("CSG3.html#group56D3", "56D³")</f>
        <v/>
      </c>
      <c r="L1261">
        <f>HYPERLINK("CSG14.html#group112F14", "112F¹⁴"), =HYPERLINK("CSG15.html#group56A15", "56A¹⁵"), =HYPERLINK("CSG22.html#group56L22", "56L²²"), =HYPERLINK("CSG22.html#group168H22", "168H²²"), =HYPERLINK("CSG24.html#group56J24", "56J²⁴"), =HYPERLINK("CSG24.html#group56N24", "56N²⁴")</f>
        <v/>
      </c>
      <c r="M1261">
        <f>HYPERLINK("CSG2.html#group28E2", "28E²"), =HYPERLINK("CSG0.html#group14A0", "14A⁰"), =HYPERLINK("CSG3.html#group56D3", "56D³"), =HYPERLINK("CSG3.html#group56B3", "56B³"), =HYPERLINK("CSG0.html#group4A0", "4A⁰"), =HYPERLINK("CSG0.html#group8A0", "8A⁰"), =HYPERLINK("CSG1.html#group28A1", "28A¹"), =HYPERLINK("CSG0.html#group1A0", "1A⁰"), =HYPERLINK("CSG0.html#group7A0", "7A⁰")</f>
        <v/>
      </c>
      <c r="N1261">
        <f>HYPERLINK("CSG15.html#group56A15", "56A¹⁵"), =HYPERLINK("CSG22.html#group56L22", "56L²²"), =HYPERLINK("CSG22.html#group168H22", "168H²²"), =HYPERLINK("CSG24.html#group56N24", "56N²⁴"), =HYPERLINK("CSG14.html#group112F14", "112F¹⁴"), =HYPERLINK("CSG24.html#group56J24", "56J²⁴")</f>
        <v/>
      </c>
    </row>
    <row r="1262">
      <c r="A1262" t="inlineStr">
        <is>
          <t>56H⁶</t>
        </is>
      </c>
      <c r="B1262" t="inlineStr"/>
      <c r="C1262" t="inlineStr">
        <is>
          <t>112</t>
        </is>
      </c>
      <c r="D1262" t="inlineStr">
        <is>
          <t>2</t>
        </is>
      </c>
      <c r="E1262" t="inlineStr">
        <is>
          <t>112</t>
        </is>
      </c>
      <c r="F1262" t="inlineStr">
        <is>
          <t>12</t>
        </is>
      </c>
      <c r="G1262" t="inlineStr">
        <is>
          <t>1</t>
        </is>
      </c>
      <c r="H1262" t="inlineStr">
        <is>
          <t>56²</t>
        </is>
      </c>
      <c r="I1262" t="n">
        <v>2</v>
      </c>
      <c r="J1262" t="inlineStr">
        <is>
          <t>8⁴, 24⁸</t>
        </is>
      </c>
      <c r="K1262">
        <f>HYPERLINK("CSG0.html#group8F0", "8F⁰"), =HYPERLINK("CSG1.html#group28A1", "28A¹")</f>
        <v/>
      </c>
      <c r="L1262">
        <f>HYPERLINK("CSG13.html#group56M13", "56M¹³"), =HYPERLINK("CSG14.html#group56C14", "56C¹⁴"), =HYPERLINK("CSG14.html#group56D14", "56D¹⁴"), =HYPERLINK("CSG14.html#group56E14", "56E¹⁴"), =HYPERLINK("CSG14.html#group56F14", "56F¹⁴"), =HYPERLINK("CSG15.html#group56D15", "56D¹⁵"), =HYPERLINK("CSG17.html#group56A17", "56A¹⁷"), =HYPERLINK("CSG19.html#group168C19", "168C¹⁹"), =HYPERLINK("CSG21.html#group56I21", "56I²¹"), =HYPERLINK("CSG23.html#group56N23", "56N²³")</f>
        <v/>
      </c>
      <c r="M1262">
        <f>HYPERLINK("CSG0.html#group8F0", "8F⁰"), =HYPERLINK("CSG1.html#group28A1", "28A¹"), =HYPERLINK("CSG0.html#group1A0", "1A⁰"), =HYPERLINK("CSG0.html#group4A0", "4A⁰"), =HYPERLINK("CSG0.html#group7A0", "7A⁰")</f>
        <v/>
      </c>
      <c r="N1262">
        <f>HYPERLINK("CSG23.html#group56N23", "56N²³"), =HYPERLINK("CSG14.html#group56E14", "56E¹⁴"), =HYPERLINK("CSG14.html#group56C14", "56C¹⁴"), =HYPERLINK("CSG14.html#group56D14", "56D¹⁴"), =HYPERLINK("CSG19.html#group168C19", "168C¹⁹"), =HYPERLINK("CSG13.html#group56M13", "56M¹³"), =HYPERLINK("CSG21.html#group56I21", "56I²¹"), =HYPERLINK("CSG15.html#group56D15", "56D¹⁵"), =HYPERLINK("CSG14.html#group56F14", "56F¹⁴"), =HYPERLINK("CSG17.html#group56A17", "56A¹⁷")</f>
        <v/>
      </c>
    </row>
    <row r="1263">
      <c r="A1263" t="inlineStr">
        <is>
          <t>58A⁶</t>
        </is>
      </c>
      <c r="B1263" t="inlineStr">
        <is>
          <t>Γ₀(58)</t>
        </is>
      </c>
      <c r="C1263" t="inlineStr">
        <is>
          <t>90</t>
        </is>
      </c>
      <c r="D1263" t="inlineStr">
        <is>
          <t>1</t>
        </is>
      </c>
      <c r="E1263" t="inlineStr">
        <is>
          <t>90</t>
        </is>
      </c>
      <c r="F1263" t="inlineStr">
        <is>
          <t>2</t>
        </is>
      </c>
      <c r="G1263" t="inlineStr">
        <is>
          <t>0</t>
        </is>
      </c>
      <c r="H1263" t="inlineStr">
        <is>
          <t>1¹, 2¹, 29¹, 58¹</t>
        </is>
      </c>
      <c r="I1263" t="n">
        <v>4</v>
      </c>
      <c r="J1263" t="inlineStr">
        <is>
          <t>1⁶, 28³</t>
        </is>
      </c>
      <c r="K1263">
        <f>HYPERLINK("CSG0.html#group2B0", "2B⁰"), =HYPERLINK("CSG2.html#group29A2", "29A²")</f>
        <v/>
      </c>
      <c r="L1263">
        <f>HYPERLINK("CSG12.html#group58A12", "58A¹²"), =HYPERLINK("CSG12.html#group58B12", "58B¹²"), =HYPERLINK("CSG12.html#group116A12", "116A¹²"), =HYPERLINK("CSG13.html#group58A13", "58A¹³"), =HYPERLINK("CSG13.html#group116A13", "116A¹³"), =HYPERLINK("CSG13.html#group116B13", "116B¹³"), =HYPERLINK("CSG14.html#group116A14", "116A¹⁴"), =HYPERLINK("CSG20.html#group174A20", "174A²⁰")</f>
        <v/>
      </c>
      <c r="M1263">
        <f>HYPERLINK("CSG0.html#group1A0", "1A⁰"), =HYPERLINK("CSG0.html#group2B0", "2B⁰"), =HYPERLINK("CSG2.html#group29A2", "29A²")</f>
        <v/>
      </c>
      <c r="N1263">
        <f>HYPERLINK("CSG20.html#group174A20", "174A²⁰"), =HYPERLINK("CSG13.html#group116A13", "116A¹³"), =HYPERLINK("CSG12.html#group116A12", "116A¹²"), =HYPERLINK("CSG12.html#group58B12", "58B¹²"), =HYPERLINK("CSG13.html#group58A13", "58A¹³"), =HYPERLINK("CSG14.html#group116A14", "116A¹⁴"), =HYPERLINK("CSG12.html#group58A12", "58A¹²"), =HYPERLINK("CSG13.html#group116B13", "116B¹³")</f>
        <v/>
      </c>
    </row>
    <row r="1264">
      <c r="A1264" t="inlineStr">
        <is>
          <t>60A⁶</t>
        </is>
      </c>
      <c r="B1264" t="inlineStr"/>
      <c r="C1264" t="inlineStr">
        <is>
          <t>80</t>
        </is>
      </c>
      <c r="D1264" t="inlineStr">
        <is>
          <t>1</t>
        </is>
      </c>
      <c r="E1264" t="inlineStr">
        <is>
          <t>80</t>
        </is>
      </c>
      <c r="F1264" t="inlineStr">
        <is>
          <t>0</t>
        </is>
      </c>
      <c r="G1264" t="inlineStr">
        <is>
          <t>2</t>
        </is>
      </c>
      <c r="H1264" t="inlineStr">
        <is>
          <t>20¹, 60¹</t>
        </is>
      </c>
      <c r="I1264" t="n">
        <v>2</v>
      </c>
      <c r="J1264" t="inlineStr">
        <is>
          <t>2⁴, 4², 8⁴, 16²</t>
        </is>
      </c>
      <c r="K1264">
        <f>HYPERLINK("CSG1.html#group12A1", "12A¹"), =HYPERLINK("CSG1.html#group15B1", "15B¹"), =HYPERLINK("CSG1.html#group20A1", "20A¹")</f>
        <v/>
      </c>
      <c r="L1264">
        <f>HYPERLINK("CSG11.html#group60J11", "60J¹¹"), =HYPERLINK("CSG12.html#group120A12", "120A¹²"), =HYPERLINK("CSG18.html#group60D18", "60D¹⁸"), =HYPERLINK("CSG18.html#group60G18", "60G¹⁸"), =HYPERLINK("CSG18.html#group60I18", "60I¹⁸"), =HYPERLINK("CSG18.html#group180A18", "180A¹⁸"), =HYPERLINK("CSG18.html#group180C18", "180C¹⁸"), =HYPERLINK("CSG19.html#group60C19", "60C¹⁹"), =HYPERLINK("CSG19.html#group180B19", "180B¹⁹"), =HYPERLINK("CSG19.html#group180C19", "180C¹⁹"), =HYPERLINK("CSG20.html#group180C20", "180C²⁰"), =HYPERLINK("CSG20.html#group180E20", "180E²⁰"), =HYPERLINK("CSG23.html#group60C23", "60C²³")</f>
        <v/>
      </c>
      <c r="M1264">
        <f>HYPERLINK("CSG0.html#group3B0", "3B⁰"), =HYPERLINK("CSG0.html#group5A0", "5A⁰"), =HYPERLINK("CSG0.html#group4A0", "4A⁰"), =HYPERLINK("CSG1.html#group12A1", "12A¹"), =HYPERLINK("CSG1.html#group15B1", "15B¹"), =HYPERLINK("CSG1.html#group20A1", "20A¹"), =HYPERLINK("CSG0.html#group1A0", "1A⁰")</f>
        <v/>
      </c>
      <c r="N1264">
        <f>HYPERLINK("CSG12.html#group120A12", "120A¹²"), =HYPERLINK("CSG20.html#group180C20", "180C²⁰"), =HYPERLINK("CSG23.html#group120L23", "120L²³"), =HYPERLINK("CSG21.html#group60T21", "60T²¹"), =HYPERLINK("CSG18.html#group180C18", "180C¹⁸"), =HYPERLINK("CSG19.html#group60C19", "60C¹⁹"), =HYPERLINK("CSG18.html#group180A18", "180A¹⁸"), =HYPERLINK("CSG18.html#group60G18", "60G¹⁸"), =HYPERLINK("CSG18.html#group60I18", "60I¹⁸"), =HYPERLINK("CSG20.html#group180E20", "180E²⁰"), =HYPERLINK("CSG23.html#group60C23", "60C²³"), =HYPERLINK("CSG23.html#group120K23", "120K²³"), =HYPERLINK("CSG11.html#group60J11", "60J¹¹"), =HYPERLINK("CSG19.html#group180C19", "180C¹⁹"), =HYPERLINK("CSG24.html#group240A24", "240A²⁴"), =HYPERLINK("CSG18.html#group60D18", "60D¹⁸"), =HYPERLINK("CSG19.html#group180B19", "180B¹⁹")</f>
        <v/>
      </c>
    </row>
    <row r="1265">
      <c r="A1265" t="inlineStr">
        <is>
          <t>60B⁶</t>
        </is>
      </c>
      <c r="B1265" t="inlineStr"/>
      <c r="C1265" t="inlineStr">
        <is>
          <t>90</t>
        </is>
      </c>
      <c r="D1265" t="inlineStr">
        <is>
          <t>1</t>
        </is>
      </c>
      <c r="E1265" t="inlineStr">
        <is>
          <t>15</t>
        </is>
      </c>
      <c r="F1265" t="inlineStr">
        <is>
          <t>6</t>
        </is>
      </c>
      <c r="G1265" t="inlineStr">
        <is>
          <t>0</t>
        </is>
      </c>
      <c r="H1265" t="inlineStr">
        <is>
          <t>30¹, 60¹</t>
        </is>
      </c>
      <c r="I1265" t="n">
        <v>2</v>
      </c>
      <c r="J1265" t="inlineStr">
        <is>
          <t>1³, 4³</t>
        </is>
      </c>
      <c r="K1265">
        <f>HYPERLINK("CSG0.html#group12C0", "12C⁰"), =HYPERLINK("CSG2.html#group20B2", "20B²"), =HYPERLINK("CSG3.html#group30D3", "30D³")</f>
        <v/>
      </c>
      <c r="L1265">
        <f>HYPERLINK("CSG12.html#group60C12", "60C¹²"), =HYPERLINK("CSG12.html#group120B12", "120B¹²"), =HYPERLINK("CSG13.html#group60B13", "60B¹³"), =HYPERLINK("CSG13.html#group60D13", "60D¹³"), =HYPERLINK("CSG13.html#group60F13", "60F¹³"), =HYPERLINK("CSG13.html#group120A13", "120A¹³"), =HYPERLINK("CSG13.html#group120B13", "120B¹³"), =HYPERLINK("CSG13.html#group120C13", "120C¹³"), =HYPERLINK("CSG14.html#group60A14", "60A¹⁴"), =HYPERLINK("CSG14.html#group120B14", "120B¹⁴"), =HYPERLINK("CSG15.html#group120A15", "120A¹⁵"), =HYPERLINK("CSG16.html#group60D16", "60D¹⁶"), =HYPERLINK("CSG20.html#group180F20", "180F²⁰")</f>
        <v/>
      </c>
      <c r="M1265">
        <f>HYPERLINK("CSG3.html#group30D3", "30D³"), =HYPERLINK("CSG0.html#group5A0", "5A⁰"), =HYPERLINK("CSG0.html#group12C0", "12C⁰"), =HYPERLINK("CSG1.html#group10B1", "10B¹"), =HYPERLINK("CSG2.html#group20B2", "20B²"), =HYPERLINK("CSG0.html#group6D0", "6D⁰"), =HYPERLINK("CSG0.html#group4C0", "4C⁰"), =HYPERLINK("CSG0.html#group2B0", "2B⁰"), =HYPERLINK("CSG0.html#group3A0", "3A⁰"), =HYPERLINK("CSG0.html#group1A0", "1A⁰"), =HYPERLINK("CSG1.html#group15A1", "15A¹")</f>
        <v/>
      </c>
      <c r="N1265">
        <f>HYPERLINK("CSG14.html#group120B14", "120B¹⁴"), =HYPERLINK("CSG14.html#group60A14", "60A¹⁴"), =HYPERLINK("CSG16.html#group60D16", "60D¹⁶"), =HYPERLINK("CSG13.html#group60D13", "60D¹³"), =HYPERLINK("CSG15.html#group120A15", "120A¹⁵"), =HYPERLINK("CSG12.html#group120B12", "120B¹²"), =HYPERLINK("CSG12.html#group60C12", "60C¹²"), =HYPERLINK("CSG13.html#group120A13", "120A¹³"), =HYPERLINK("CSG13.html#group120C13", "120C¹³"), =HYPERLINK("CSG13.html#group60F13", "60F¹³"), =HYPERLINK("CSG24.html#group240B24", "240B²⁴"), =HYPERLINK("CSG20.html#group180F20", "180F²⁰"), =HYPERLINK("CSG13.html#group120B13", "120B¹³"), =HYPERLINK("CSG13.html#group60B13", "60B¹³")</f>
        <v/>
      </c>
    </row>
    <row r="1266">
      <c r="A1266" t="inlineStr">
        <is>
          <t>60C⁶</t>
        </is>
      </c>
      <c r="B1266" t="inlineStr"/>
      <c r="C1266" t="inlineStr">
        <is>
          <t>90</t>
        </is>
      </c>
      <c r="D1266" t="inlineStr">
        <is>
          <t>1</t>
        </is>
      </c>
      <c r="E1266" t="inlineStr">
        <is>
          <t>45</t>
        </is>
      </c>
      <c r="F1266" t="inlineStr">
        <is>
          <t>4</t>
        </is>
      </c>
      <c r="G1266" t="inlineStr">
        <is>
          <t>0</t>
        </is>
      </c>
      <c r="H1266" t="inlineStr">
        <is>
          <t>15², 60¹</t>
        </is>
      </c>
      <c r="I1266" t="n">
        <v>3</v>
      </c>
      <c r="J1266" t="inlineStr">
        <is>
          <t>1³, 2³, 4³, 8³</t>
        </is>
      </c>
      <c r="K1266">
        <f>HYPERLINK("CSG0.html#group12D0", "12D⁰"), =HYPERLINK("CSG3.html#group30D3", "30D³")</f>
        <v/>
      </c>
      <c r="L1266">
        <f>HYPERLINK("CSG12.html#group60B12", "60B¹²"), =HYPERLINK("CSG12.html#group60C12", "60C¹²"), =HYPERLINK("CSG13.html#group60C13", "60C¹³"), =HYPERLINK("CSG13.html#group60H13", "60H¹³"), =HYPERLINK("CSG14.html#group60E14", "60E¹⁴"), =HYPERLINK("CSG16.html#group60E16", "60E¹⁶"), =HYPERLINK("CSG20.html#group180G20", "180G²⁰"), =HYPERLINK("CSG21.html#group180A21", "180A²¹")</f>
        <v/>
      </c>
      <c r="M1266">
        <f>HYPERLINK("CSG3.html#group30D3", "30D³"), =HYPERLINK("CSG0.html#group5A0", "5A⁰"), =HYPERLINK("CSG1.html#group10B1", "10B¹"), =HYPERLINK("CSG0.html#group6D0", "6D⁰"), =HYPERLINK("CSG0.html#group2B0", "2B⁰"), =HYPERLINK("CSG0.html#group12D0", "12D⁰"), =HYPERLINK("CSG0.html#group3A0", "3A⁰"), =HYPERLINK("CSG0.html#group1A0", "1A⁰"), =HYPERLINK("CSG1.html#group15A1", "15A¹")</f>
        <v/>
      </c>
      <c r="N1266">
        <f>HYPERLINK("CSG13.html#group60H13", "60H¹³"), =HYPERLINK("CSG21.html#group180A21", "180A²¹"), =HYPERLINK("CSG14.html#group60E14", "60E¹⁴"), =HYPERLINK("CSG13.html#group60C13", "60C¹³"), =HYPERLINK("CSG12.html#group60B12", "60B¹²"), =HYPERLINK("CSG16.html#group60E16", "60E¹⁶"), =HYPERLINK("CSG12.html#group60C12", "60C¹²"), =HYPERLINK("CSG20.html#group180G20", "180G²⁰")</f>
        <v/>
      </c>
    </row>
    <row r="1267">
      <c r="A1267" t="inlineStr">
        <is>
          <t>60D⁶</t>
        </is>
      </c>
      <c r="B1267" t="inlineStr"/>
      <c r="C1267" t="inlineStr">
        <is>
          <t>90</t>
        </is>
      </c>
      <c r="D1267" t="inlineStr">
        <is>
          <t>2</t>
        </is>
      </c>
      <c r="E1267" t="inlineStr">
        <is>
          <t>15</t>
        </is>
      </c>
      <c r="F1267" t="inlineStr">
        <is>
          <t>6</t>
        </is>
      </c>
      <c r="G1267" t="inlineStr">
        <is>
          <t>0</t>
        </is>
      </c>
      <c r="H1267" t="inlineStr">
        <is>
          <t>30¹, 60¹</t>
        </is>
      </c>
      <c r="I1267" t="n">
        <v>2</v>
      </c>
      <c r="J1267" t="inlineStr">
        <is>
          <t>2³, 8³</t>
        </is>
      </c>
      <c r="K1267">
        <f>HYPERLINK("CSG2.html#group20B2", "20B²"), =HYPERLINK("CSG3.html#group30E3", "30E³")</f>
        <v/>
      </c>
      <c r="L1267">
        <f>HYPERLINK("CSG12.html#group120C12", "120C¹²"), =HYPERLINK("CSG13.html#group60G13", "60G¹³"), =HYPERLINK("CSG13.html#group120D13", "120D¹³"), =HYPERLINK("CSG14.html#group60F14", "60F¹⁴"), =HYPERLINK("CSG15.html#group120B15", "120B¹⁵"), =HYPERLINK("CSG16.html#group60D16", "60D¹⁶")</f>
        <v/>
      </c>
      <c r="M1267">
        <f>HYPERLINK("CSG0.html#group5A0", "5A⁰"), =HYPERLINK("CSG3.html#group30E3", "30E³"), =HYPERLINK("CSG1.html#group10B1", "10B¹"), =HYPERLINK("CSG2.html#group20B2", "20B²"), =HYPERLINK("CSG0.html#group4C0", "4C⁰"), =HYPERLINK("CSG0.html#group2B0", "2B⁰"), =HYPERLINK("CSG0.html#group1A0", "1A⁰"), =HYPERLINK("CSG0.html#group15A0", "15A⁰")</f>
        <v/>
      </c>
      <c r="N1267">
        <f>HYPERLINK("CSG13.html#group120D13", "120D¹³"), =HYPERLINK("CSG14.html#group60F14", "60F¹⁴"), =HYPERLINK("CSG12.html#group120C12", "120C¹²"), =HYPERLINK("CSG13.html#group60G13", "60G¹³"), =HYPERLINK("CSG16.html#group60D16", "60D¹⁶"), =HYPERLINK("CSG24.html#group240C24", "240C²⁴"), =HYPERLINK("CSG15.html#group120B15", "120B¹⁵")</f>
        <v/>
      </c>
    </row>
    <row r="1268">
      <c r="A1268" t="inlineStr">
        <is>
          <t>60E⁶</t>
        </is>
      </c>
      <c r="B1268" t="inlineStr"/>
      <c r="C1268" t="inlineStr">
        <is>
          <t>108</t>
        </is>
      </c>
      <c r="D1268" t="inlineStr">
        <is>
          <t>1</t>
        </is>
      </c>
      <c r="E1268" t="inlineStr">
        <is>
          <t>54</t>
        </is>
      </c>
      <c r="F1268" t="inlineStr">
        <is>
          <t>4</t>
        </is>
      </c>
      <c r="G1268" t="inlineStr">
        <is>
          <t>0</t>
        </is>
      </c>
      <c r="H1268" t="inlineStr">
        <is>
          <t>3², 12¹, 15², 60¹</t>
        </is>
      </c>
      <c r="I1268" t="n">
        <v>6</v>
      </c>
      <c r="J1268" t="inlineStr">
        <is>
          <t>1⁶, 2⁶, 4³, 8³</t>
        </is>
      </c>
      <c r="K1268">
        <f>HYPERLINK("CSG2.html#group30E2", "30E²")</f>
        <v/>
      </c>
      <c r="L1268">
        <f>HYPERLINK("CSG11.html#group60O11", "60O¹¹"), =HYPERLINK("CSG11.html#group60U11", "60U¹¹"), =HYPERLINK("CSG13.html#group60Q13", "60Q¹³"), =HYPERLINK("CSG13.html#group60R13", "60R¹³"), =HYPERLINK("CSG13.html#group60S13", "60S¹³"), =HYPERLINK("CSG13.html#group60V13", "60V¹³"), =HYPERLINK("CSG13.html#group60X13", "60X¹³"), =HYPERLINK("CSG13.html#group60AD13", "60AD¹³"), =HYPERLINK("CSG15.html#group60H15", "60H¹⁵"), =HYPERLINK("CSG15.html#group60L15", "60L¹⁵"), =HYPERLINK("CSG15.html#group60O15", "60O¹⁵"), =HYPERLINK("CSG22.html#group180C22", "180C²²"), =HYPERLINK("CSG24.html#group180B24", "180B²⁴")</f>
        <v/>
      </c>
      <c r="M1268">
        <f>HYPERLINK("CSG0.html#group15B0", "15B⁰"), =HYPERLINK("CSG2.html#group30E2", "30E²"), =HYPERLINK("CSG0.html#group5B0", "5B⁰"), =HYPERLINK("CSG0.html#group10C0", "10C⁰"), =HYPERLINK("CSG0.html#group2B0", "2B⁰"), =HYPERLINK("CSG0.html#group3A0", "3A⁰"), =HYPERLINK("CSG0.html#group1A0", "1A⁰"), =HYPERLINK("CSG0.html#group6D0", "6D⁰")</f>
        <v/>
      </c>
      <c r="N1268">
        <f>HYPERLINK("CSG11.html#group60U11", "60U¹¹"), =HYPERLINK("CSG22.html#group180C22", "180C²²"), =HYPERLINK("CSG13.html#group60S13", "60S¹³"), =HYPERLINK("CSG13.html#group60X13", "60X¹³"), =HYPERLINK("CSG24.html#group180B24", "180B²⁴"), =HYPERLINK("CSG13.html#group60AD13", "60AD¹³"), =HYPERLINK("CSG21.html#group60W21", "60W²¹"), =HYPERLINK("CSG11.html#group60O11", "60O¹¹"), =HYPERLINK("CSG13.html#group60Q13", "60Q¹³"), =HYPERLINK("CSG15.html#group60H15", "60H¹⁵"), =HYPERLINK("CSG13.html#group60V13", "60V¹³"), =HYPERLINK("CSG15.html#group60L15", "60L¹⁵"), =HYPERLINK("CSG15.html#group60O15", "60O¹⁵"), =HYPERLINK("CSG13.html#group60R13", "60R¹³")</f>
        <v/>
      </c>
    </row>
    <row r="1269">
      <c r="A1269" t="inlineStr">
        <is>
          <t>60F⁶</t>
        </is>
      </c>
      <c r="B1269" t="inlineStr"/>
      <c r="C1269" t="inlineStr">
        <is>
          <t>108</t>
        </is>
      </c>
      <c r="D1269" t="inlineStr">
        <is>
          <t>1</t>
        </is>
      </c>
      <c r="E1269" t="inlineStr">
        <is>
          <t>54</t>
        </is>
      </c>
      <c r="F1269" t="inlineStr">
        <is>
          <t>8</t>
        </is>
      </c>
      <c r="G1269" t="inlineStr">
        <is>
          <t>0</t>
        </is>
      </c>
      <c r="H1269" t="inlineStr">
        <is>
          <t>6¹, 12¹, 30¹, 60¹</t>
        </is>
      </c>
      <c r="I1269" t="n">
        <v>4</v>
      </c>
      <c r="J1269" t="inlineStr">
        <is>
          <t>1⁶, 2⁶, 4³, 8³</t>
        </is>
      </c>
      <c r="K1269">
        <f>HYPERLINK("CSG2.html#group30E2", "30E²")</f>
        <v/>
      </c>
      <c r="L1269">
        <f>HYPERLINK("CSG11.html#group60P11", "60P¹¹"), =HYPERLINK("CSG11.html#group60Q11", "60Q¹¹"), =HYPERLINK("CSG11.html#group60R11", "60R¹¹"), =HYPERLINK("CSG13.html#group60U13", "60U¹³"), =HYPERLINK("CSG13.html#group60AC13", "60AC¹³"), =HYPERLINK("CSG13.html#group60AD13", "60AD¹³"), =HYPERLINK("CSG13.html#group60AE13", "60AE¹³"), =HYPERLINK("CSG15.html#group60G15", "60G¹⁵"), =HYPERLINK("CSG15.html#group60J15", "60J¹⁵"), =HYPERLINK("CSG15.html#group60K15", "60K¹⁵"), =HYPERLINK("CSG15.html#group60L15", "60L¹⁵"), =HYPERLINK("CSG22.html#group180D22", "180D²²"), =HYPERLINK("CSG24.html#group180A24", "180A²⁴")</f>
        <v/>
      </c>
      <c r="M1269">
        <f>HYPERLINK("CSG0.html#group15B0", "15B⁰"), =HYPERLINK("CSG2.html#group30E2", "30E²"), =HYPERLINK("CSG0.html#group5B0", "5B⁰"), =HYPERLINK("CSG0.html#group10C0", "10C⁰"), =HYPERLINK("CSG0.html#group2B0", "2B⁰"), =HYPERLINK("CSG0.html#group3A0", "3A⁰"), =HYPERLINK("CSG0.html#group1A0", "1A⁰"), =HYPERLINK("CSG0.html#group6D0", "6D⁰")</f>
        <v/>
      </c>
      <c r="N1269">
        <f>HYPERLINK("CSG15.html#group60G15", "60G¹⁵"), =HYPERLINK("CSG15.html#group60J15", "60J¹⁵"), =HYPERLINK("CSG13.html#group60AC13", "60AC¹³"), =HYPERLINK("CSG21.html#group60X21", "60X²¹"), =HYPERLINK("CSG11.html#group60R11", "60R¹¹"), =HYPERLINK("CSG13.html#group60AD13", "60AD¹³"), =HYPERLINK("CSG11.html#group60P11", "60P¹¹"), =HYPERLINK("CSG15.html#group60K15", "60K¹⁵"), =HYPERLINK("CSG11.html#group60Q11", "60Q¹¹"), =HYPERLINK("CSG22.html#group180D22", "180D²²"), =HYPERLINK("CSG24.html#group180A24", "180A²⁴"), =HYPERLINK("CSG13.html#group60U13", "60U¹³"), =HYPERLINK("CSG15.html#group60L15", "60L¹⁵"), =HYPERLINK("CSG13.html#group60AE13", "60AE¹³")</f>
        <v/>
      </c>
    </row>
    <row r="1270">
      <c r="A1270" t="inlineStr">
        <is>
          <t>63A⁶</t>
        </is>
      </c>
      <c r="B1270" t="inlineStr"/>
      <c r="C1270" t="inlineStr">
        <is>
          <t>72</t>
        </is>
      </c>
      <c r="D1270" t="inlineStr">
        <is>
          <t>1</t>
        </is>
      </c>
      <c r="E1270" t="inlineStr">
        <is>
          <t>72</t>
        </is>
      </c>
      <c r="F1270" t="inlineStr">
        <is>
          <t>0</t>
        </is>
      </c>
      <c r="G1270" t="inlineStr">
        <is>
          <t>0</t>
        </is>
      </c>
      <c r="H1270" t="inlineStr">
        <is>
          <t>9¹, 63¹</t>
        </is>
      </c>
      <c r="I1270" t="n">
        <v>2</v>
      </c>
      <c r="J1270" t="inlineStr">
        <is>
          <t>1², 2², 6³, 12¹, 36¹</t>
        </is>
      </c>
      <c r="K1270">
        <f>HYPERLINK("CSG0.html#group9A0", "9A⁰"), =HYPERLINK("CSG2.html#group21A2", "21A²")</f>
        <v/>
      </c>
      <c r="L1270">
        <f>HYPERLINK("CSG11.html#group63A11", "63A¹¹"), =HYPERLINK("CSG11.html#group63C11", "63C¹¹"), =HYPERLINK("CSG12.html#group126A12", "126A¹²"), =HYPERLINK("CSG12.html#group126B12", "126B¹²"), =HYPERLINK("CSG12.html#group126D12", "126D¹²"), =HYPERLINK("CSG16.html#group63A16", "63A¹⁶"), =HYPERLINK("CSG16.html#group63B16", "63B¹⁶"), =HYPERLINK("CSG17.html#group126A17", "126A¹⁷"), =HYPERLINK("CSG24.html#group252C24", "252C²⁴")</f>
        <v/>
      </c>
      <c r="M1270">
        <f>HYPERLINK("CSG2.html#group21A2", "21A²"), =HYPERLINK("CSG0.html#group3A0", "3A⁰"), =HYPERLINK("CSG0.html#group1A0", "1A⁰"), =HYPERLINK("CSG0.html#group7B0", "7B⁰"), =HYPERLINK("CSG0.html#group9A0", "9A⁰")</f>
        <v/>
      </c>
      <c r="N1270">
        <f>HYPERLINK("CSG12.html#group126A12", "126A¹²"), =HYPERLINK("CSG12.html#group126D12", "126D¹²"), =HYPERLINK("CSG24.html#group252D24", "252D²⁴"), =HYPERLINK("CSG23.html#group126B23", "126B²³"), =HYPERLINK("CSG16.html#group63B16", "63B¹⁶"), =HYPERLINK("CSG24.html#group252A24", "252A²⁴"), =HYPERLINK("CSG17.html#group126A17", "126A¹⁷"), =HYPERLINK("CSG24.html#group252B24", "252B²⁴"), =HYPERLINK("CSG24.html#group252C24", "252C²⁴"), =HYPERLINK("CSG23.html#group126A23", "126A²³"), =HYPERLINK("CSG12.html#group126B12", "126B¹²"), =HYPERLINK("CSG23.html#group126G23", "126G²³"), =HYPERLINK("CSG23.html#group126H23", "126H²³"), =HYPERLINK("CSG16.html#group63A16", "63A¹⁶"), =HYPERLINK("CSG11.html#group63A11", "63A¹¹"), =HYPERLINK("CSG21.html#group63A21", "63A²¹"), =HYPERLINK("CSG11.html#group63C11", "63C¹¹")</f>
        <v/>
      </c>
    </row>
    <row r="1271">
      <c r="A1271" t="inlineStr">
        <is>
          <t>63B⁶</t>
        </is>
      </c>
      <c r="B1271" t="inlineStr"/>
      <c r="C1271" t="inlineStr">
        <is>
          <t>84</t>
        </is>
      </c>
      <c r="D1271" t="inlineStr">
        <is>
          <t>2</t>
        </is>
      </c>
      <c r="E1271" t="inlineStr">
        <is>
          <t>28</t>
        </is>
      </c>
      <c r="F1271" t="inlineStr">
        <is>
          <t>0</t>
        </is>
      </c>
      <c r="G1271" t="inlineStr">
        <is>
          <t>0</t>
        </is>
      </c>
      <c r="H1271" t="inlineStr">
        <is>
          <t>7³, 63¹</t>
        </is>
      </c>
      <c r="I1271" t="n">
        <v>4</v>
      </c>
      <c r="J1271" t="inlineStr">
        <is>
          <t>2², 4¹, 6⁴, 12²</t>
        </is>
      </c>
      <c r="K1271">
        <f>HYPERLINK("CSG0.html#group9B0", "9B⁰"), =HYPERLINK("CSG2.html#group21B2", "21B²")</f>
        <v/>
      </c>
      <c r="L1271">
        <f>HYPERLINK("CSG11.html#group63D11", "63D¹¹"), =HYPERLINK("CSG13.html#group126A13", "126A¹³"), =HYPERLINK("CSG13.html#group126B13", "126B¹³"), =HYPERLINK("CSG16.html#group63C16", "63C¹⁶"), =HYPERLINK("CSG18.html#group63D18", "63D¹⁸"), =HYPERLINK("CSG18.html#group126F18", "126F¹⁸"), =HYPERLINK("CSG18.html#group189A18", "189A¹⁸"), =HYPERLINK("CSG19.html#group63C19", "63C¹⁹"), =HYPERLINK("CSG19.html#group189A19", "189A¹⁹"), =HYPERLINK("CSG20.html#group189A20", "189A²⁰"), =HYPERLINK("CSG21.html#group63C21", "63C²¹")</f>
        <v/>
      </c>
      <c r="M1271">
        <f>HYPERLINK("CSG0.html#group3B0", "3B⁰"), =HYPERLINK("CSG0.html#group9B0", "9B⁰"), =HYPERLINK("CSG2.html#group21B2", "21B²"), =HYPERLINK("CSG0.html#group1A0", "1A⁰"), =HYPERLINK("CSG0.html#group7A0", "7A⁰")</f>
        <v/>
      </c>
      <c r="N1271">
        <f>HYPERLINK("CSG21.html#group63C21", "63C²¹"), =HYPERLINK("CSG13.html#group126B13", "126B¹³"), =HYPERLINK("CSG16.html#group63C16", "63C¹⁶"), =HYPERLINK("CSG13.html#group126A13", "126A¹³"), =HYPERLINK("CSG19.html#group63C19", "63C¹⁹"), =HYPERLINK("CSG18.html#group189A18", "189A¹⁸"), =HYPERLINK("CSG20.html#group189A20", "189A²⁰"), =HYPERLINK("CSG18.html#group126F18", "126F¹⁸"), =HYPERLINK("CSG18.html#group63D18", "63D¹⁸"), =HYPERLINK("CSG19.html#group189A19", "189A¹⁹"), =HYPERLINK("CSG11.html#group63D11", "63D¹¹")</f>
        <v/>
      </c>
    </row>
    <row r="1272">
      <c r="A1272" t="inlineStr">
        <is>
          <t>63C⁶</t>
        </is>
      </c>
      <c r="B1272" t="inlineStr"/>
      <c r="C1272" t="inlineStr">
        <is>
          <t>84</t>
        </is>
      </c>
      <c r="D1272" t="inlineStr">
        <is>
          <t>2</t>
        </is>
      </c>
      <c r="E1272" t="inlineStr">
        <is>
          <t>28</t>
        </is>
      </c>
      <c r="F1272" t="inlineStr">
        <is>
          <t>0</t>
        </is>
      </c>
      <c r="G1272" t="inlineStr">
        <is>
          <t>3</t>
        </is>
      </c>
      <c r="H1272" t="inlineStr">
        <is>
          <t>21¹, 63¹</t>
        </is>
      </c>
      <c r="I1272" t="n">
        <v>2</v>
      </c>
      <c r="J1272" t="inlineStr">
        <is>
          <t>2², 4¹, 6⁴, 12²</t>
        </is>
      </c>
      <c r="K1272">
        <f>HYPERLINK("CSG0.html#group9C0", "9C⁰"), =HYPERLINK("CSG2.html#group21B2", "21B²")</f>
        <v/>
      </c>
      <c r="L1272">
        <f>HYPERLINK("CSG11.html#group63E11", "63E¹¹"), =HYPERLINK("CSG12.html#group126E12", "126E¹²"), =HYPERLINK("CSG12.html#group126F12", "126F¹²"), =HYPERLINK("CSG18.html#group63E18", "63E¹⁸"), =HYPERLINK("CSG19.html#group63A19", "63A¹⁹"), =HYPERLINK("CSG19.html#group63C19", "63C¹⁹"), =HYPERLINK("CSG19.html#group189B19", "189B¹⁹"), =HYPERLINK("CSG20.html#group126C20", "126C²⁰"), =HYPERLINK("CSG20.html#group189B20", "189B²⁰"), =HYPERLINK("CSG21.html#group189A21", "189A²¹"), =HYPERLINK("CSG24.html#group63A24", "63A²⁴")</f>
        <v/>
      </c>
      <c r="M1272">
        <f>HYPERLINK("CSG0.html#group3B0", "3B⁰"), =HYPERLINK("CSG2.html#group21B2", "21B²"), =HYPERLINK("CSG0.html#group9C0", "9C⁰"), =HYPERLINK("CSG0.html#group1A0", "1A⁰"), =HYPERLINK("CSG0.html#group7A0", "7A⁰")</f>
        <v/>
      </c>
      <c r="N1272">
        <f>HYPERLINK("CSG12.html#group126E12", "126E¹²"), =HYPERLINK("CSG18.html#group63E18", "63E¹⁸"), =HYPERLINK("CSG19.html#group63C19", "63C¹⁹"), =HYPERLINK("CSG21.html#group189A21", "189A²¹"), =HYPERLINK("CSG23.html#group126J23", "126J²³"), =HYPERLINK("CSG24.html#group252E24", "252E²⁴"), =HYPERLINK("CSG20.html#group126C20", "126C²⁰"), =HYPERLINK("CSG19.html#group63A19", "63A¹⁹"), =HYPERLINK("CSG12.html#group126F12", "126F¹²"), =HYPERLINK("CSG20.html#group189B20", "189B²⁰"), =HYPERLINK("CSG24.html#group63A24", "63A²⁴"), =HYPERLINK("CSG19.html#group189B19", "189B¹⁹"), =HYPERLINK("CSG24.html#group252F24", "252F²⁴"), =HYPERLINK("CSG11.html#group63E11", "63E¹¹")</f>
        <v/>
      </c>
    </row>
    <row r="1273">
      <c r="A1273" t="inlineStr">
        <is>
          <t>63D⁶</t>
        </is>
      </c>
      <c r="B1273" t="inlineStr"/>
      <c r="C1273" t="inlineStr">
        <is>
          <t>96</t>
        </is>
      </c>
      <c r="D1273" t="inlineStr">
        <is>
          <t>2</t>
        </is>
      </c>
      <c r="E1273" t="inlineStr">
        <is>
          <t>32</t>
        </is>
      </c>
      <c r="F1273" t="inlineStr">
        <is>
          <t>0</t>
        </is>
      </c>
      <c r="G1273" t="inlineStr">
        <is>
          <t>3</t>
        </is>
      </c>
      <c r="H1273" t="inlineStr">
        <is>
          <t>3¹, 9¹, 21¹, 63¹</t>
        </is>
      </c>
      <c r="I1273" t="n">
        <v>4</v>
      </c>
      <c r="J1273" t="inlineStr">
        <is>
          <t>2⁸, 12⁴</t>
        </is>
      </c>
      <c r="K1273">
        <f>HYPERLINK("CSG1.html#group21B1", "21B¹")</f>
        <v/>
      </c>
      <c r="L1273">
        <f>HYPERLINK("CSG11.html#group63F11", "63F¹¹"), =HYPERLINK("CSG13.html#group126H13", "126H¹³"), =HYPERLINK("CSG13.html#group126G13", "126G¹³"), =HYPERLINK("CSG16.html#group63F16", "63F¹⁶"), =HYPERLINK("CSG19.html#group63H19", "63H¹⁹"), =HYPERLINK("CSG19.html#group63N19", "63N¹⁹"), =HYPERLINK("CSG19.html#group63O19", "63O¹⁹"), =HYPERLINK("CSG21.html#group126O21", "126O²¹")</f>
        <v/>
      </c>
      <c r="M1273">
        <f>HYPERLINK("CSG0.html#group3B0", "3B⁰"), =HYPERLINK("CSG0.html#group1A0", "1A⁰"), =HYPERLINK("CSG0.html#group7B0", "7B⁰"), =HYPERLINK("CSG1.html#group21B1", "21B¹")</f>
        <v/>
      </c>
      <c r="N1273">
        <f>HYPERLINK("CSG11.html#group63F11", "63F¹¹"), =HYPERLINK("CSG19.html#group63O19", "63O¹⁹"), =HYPERLINK("CSG13.html#group126H13", "126H¹³"), =HYPERLINK("CSG13.html#group126G13", "126G¹³"), =HYPERLINK("CSG19.html#group63N19", "63N¹⁹"), =HYPERLINK("CSG21.html#group126O21", "126O²¹"), =HYPERLINK("CSG16.html#group63F16", "63F¹⁶"), =HYPERLINK("CSG19.html#group63H19", "63H¹⁹")</f>
        <v/>
      </c>
    </row>
    <row r="1274">
      <c r="A1274" t="inlineStr">
        <is>
          <t>63E⁶</t>
        </is>
      </c>
      <c r="B1274" t="inlineStr"/>
      <c r="C1274" t="inlineStr">
        <is>
          <t>126</t>
        </is>
      </c>
      <c r="D1274" t="inlineStr">
        <is>
          <t>2</t>
        </is>
      </c>
      <c r="E1274" t="inlineStr">
        <is>
          <t>21</t>
        </is>
      </c>
      <c r="F1274" t="inlineStr">
        <is>
          <t>18</t>
        </is>
      </c>
      <c r="G1274" t="inlineStr">
        <is>
          <t>0</t>
        </is>
      </c>
      <c r="H1274" t="inlineStr">
        <is>
          <t>63²</t>
        </is>
      </c>
      <c r="I1274" t="n">
        <v>2</v>
      </c>
      <c r="J1274" t="inlineStr">
        <is>
          <t>2¹, 4¹, 6², 12²</t>
        </is>
      </c>
      <c r="K1274">
        <f>HYPERLINK("CSG0.html#group9D0", "9D⁰"), =HYPERLINK("CSG2.html#group21D2", "21D²"), =HYPERLINK("CSG2.html#group63A2", "63A²")</f>
        <v/>
      </c>
      <c r="L1274">
        <f>HYPERLINK("CSG12.html#group126J12", "126J¹²"), =HYPERLINK("CSG14.html#group63B14", "63B¹⁴"), =HYPERLINK("CSG15.html#group126F15", "126F¹⁵"), =HYPERLINK("CSG17.html#group63A17", "63A¹⁷"), =HYPERLINK("CSG18.html#group126A18", "126A¹⁸"), =HYPERLINK("CSG20.html#group63A20", "63A²⁰"), =HYPERLINK("CSG21.html#group126A21", "126A²¹"), =HYPERLINK("CSG22.html#group63A22", "63A²²")</f>
        <v/>
      </c>
      <c r="M1274">
        <f>HYPERLINK("CSG2.html#group21D2", "21D²"), =HYPERLINK("CSG0.html#group9D0", "9D⁰"), =HYPERLINK("CSG0.html#group9A0", "9A⁰"), =HYPERLINK("CSG0.html#group21A0", "21A⁰"), =HYPERLINK("CSG0.html#group3C0", "3C⁰"), =HYPERLINK("CSG0.html#group7A0", "7A⁰"), =HYPERLINK("CSG0.html#group3A0", "3A⁰"), =HYPERLINK("CSG0.html#group1A0", "1A⁰"), =HYPERLINK("CSG2.html#group63A2", "63A²")</f>
        <v/>
      </c>
      <c r="N1274">
        <f>HYPERLINK("CSG18.html#group126A18", "126A¹⁸"), =HYPERLINK("CSG14.html#group63B14", "63B¹⁴"), =HYPERLINK("CSG21.html#group126A21", "126A²¹"), =HYPERLINK("CSG15.html#group126F15", "126F¹⁵"), =HYPERLINK("CSG17.html#group63A17", "63A¹⁷"), =HYPERLINK("CSG22.html#group63A22", "63A²²"), =HYPERLINK("CSG20.html#group63A20", "63A²⁰"), =HYPERLINK("CSG12.html#group126J12", "126J¹²")</f>
        <v/>
      </c>
    </row>
    <row r="1275">
      <c r="A1275" t="inlineStr">
        <is>
          <t>63F⁶</t>
        </is>
      </c>
      <c r="B1275" t="inlineStr"/>
      <c r="C1275" t="inlineStr">
        <is>
          <t>126</t>
        </is>
      </c>
      <c r="D1275" t="inlineStr">
        <is>
          <t>2</t>
        </is>
      </c>
      <c r="E1275" t="inlineStr">
        <is>
          <t>63</t>
        </is>
      </c>
      <c r="F1275" t="inlineStr">
        <is>
          <t>18</t>
        </is>
      </c>
      <c r="G1275" t="inlineStr">
        <is>
          <t>0</t>
        </is>
      </c>
      <c r="H1275" t="inlineStr">
        <is>
          <t>63²</t>
        </is>
      </c>
      <c r="I1275" t="n">
        <v>2</v>
      </c>
      <c r="J1275" t="inlineStr">
        <is>
          <t>4³, 12⁸, 36⁴</t>
        </is>
      </c>
      <c r="K1275">
        <f>HYPERLINK("CSG1.html#group21D1", "21D¹"), =HYPERLINK("CSG2.html#group63A2", "63A²")</f>
        <v/>
      </c>
      <c r="L1275">
        <f>HYPERLINK("CSG13.html#group126J13", "126J¹³"), =HYPERLINK("CSG14.html#group63B14", "63B¹⁴"), =HYPERLINK("CSG14.html#group126E14", "126E¹⁴"), =HYPERLINK("CSG18.html#group63B18", "63B¹⁸"), =HYPERLINK("CSG18.html#group126C18", "126C¹⁸"), =HYPERLINK("CSG19.html#group63D19", "63D¹⁹"), =HYPERLINK("CSG21.html#group126E21", "126E²¹"), =HYPERLINK("CSG23.html#group63A23", "63A²³"), =HYPERLINK("CSG24.html#group63D24", "63D²⁴"), =HYPERLINK("CSG24.html#group63F24", "63F²⁴"), =HYPERLINK("CSG24.html#group63H24", "63H²⁴")</f>
        <v/>
      </c>
      <c r="M1275">
        <f>HYPERLINK("CSG1.html#group21D1", "21D¹"), =HYPERLINK("CSG0.html#group9A0", "9A⁰"), =HYPERLINK("CSG2.html#group63A2", "63A²"), =HYPERLINK("CSG0.html#group21A0", "21A⁰"), =HYPERLINK("CSG0.html#group3A0", "3A⁰"), =HYPERLINK("CSG0.html#group1A0", "1A⁰"), =HYPERLINK("CSG0.html#group7A0", "7A⁰")</f>
        <v/>
      </c>
      <c r="N1275">
        <f>HYPERLINK("CSG14.html#group63B14", "63B¹⁴"), =HYPERLINK("CSG18.html#group63B18", "63B¹⁸"), =HYPERLINK("CSG13.html#group126J13", "126J¹³"), =HYPERLINK("CSG14.html#group126E14", "126E¹⁴"), =HYPERLINK("CSG18.html#group126C18", "126C¹⁸"), =HYPERLINK("CSG19.html#group63D19", "63D¹⁹"), =HYPERLINK("CSG24.html#group63F24", "63F²⁴"), =HYPERLINK("CSG24.html#group63H24", "63H²⁴"), =HYPERLINK("CSG23.html#group63A23", "63A²³"), =HYPERLINK("CSG24.html#group63D24", "63D²⁴"), =HYPERLINK("CSG21.html#group126E21", "126E²¹")</f>
        <v/>
      </c>
    </row>
    <row r="1276">
      <c r="A1276" t="inlineStr">
        <is>
          <t>63G⁶</t>
        </is>
      </c>
      <c r="B1276" t="inlineStr"/>
      <c r="C1276" t="inlineStr">
        <is>
          <t>126</t>
        </is>
      </c>
      <c r="D1276" t="inlineStr">
        <is>
          <t>2</t>
        </is>
      </c>
      <c r="E1276" t="inlineStr">
        <is>
          <t>63</t>
        </is>
      </c>
      <c r="F1276" t="inlineStr">
        <is>
          <t>18</t>
        </is>
      </c>
      <c r="G1276" t="inlineStr">
        <is>
          <t>0</t>
        </is>
      </c>
      <c r="H1276" t="inlineStr">
        <is>
          <t>63²</t>
        </is>
      </c>
      <c r="I1276" t="n">
        <v>2</v>
      </c>
      <c r="J1276" t="inlineStr">
        <is>
          <t>4³, 12⁸, 36⁴</t>
        </is>
      </c>
      <c r="K1276">
        <f>HYPERLINK("CSG1.html#group21D1", "21D¹"), =HYPERLINK("CSG2.html#group63A2", "63A²")</f>
        <v/>
      </c>
      <c r="L1276">
        <f>HYPERLINK("CSG13.html#group126K13", "126K¹³"), =HYPERLINK("CSG14.html#group63B14", "63B¹⁴"), =HYPERLINK("CSG14.html#group126F14", "126F¹⁴"), =HYPERLINK("CSG18.html#group63C18", "63C¹⁸"), =HYPERLINK("CSG18.html#group126B18", "126B¹⁸"), =HYPERLINK("CSG19.html#group63E19", "63E¹⁹"), =HYPERLINK("CSG21.html#group126F21", "126F²¹"), =HYPERLINK("CSG23.html#group63A23", "63A²³"), =HYPERLINK("CSG24.html#group63E24", "63E²⁴"), =HYPERLINK("CSG24.html#group63G24", "63G²⁴"), =HYPERLINK("CSG24.html#group63I24", "63I²⁴")</f>
        <v/>
      </c>
      <c r="M1276">
        <f>HYPERLINK("CSG1.html#group21D1", "21D¹"), =HYPERLINK("CSG0.html#group9A0", "9A⁰"), =HYPERLINK("CSG2.html#group63A2", "63A²"), =HYPERLINK("CSG0.html#group21A0", "21A⁰"), =HYPERLINK("CSG0.html#group3A0", "3A⁰"), =HYPERLINK("CSG0.html#group1A0", "1A⁰"), =HYPERLINK("CSG0.html#group7A0", "7A⁰")</f>
        <v/>
      </c>
      <c r="N1276">
        <f>HYPERLINK("CSG24.html#group63I24", "63I²⁴"), =HYPERLINK("CSG14.html#group63B14", "63B¹⁴"), =HYPERLINK("CSG14.html#group126F14", "126F¹⁴"), =HYPERLINK("CSG23.html#group63A23", "63A²³"), =HYPERLINK("CSG21.html#group126F21", "126F²¹"), =HYPERLINK("CSG13.html#group126K13", "126K¹³"), =HYPERLINK("CSG19.html#group63E19", "63E¹⁹"), =HYPERLINK("CSG18.html#group126B18", "126B¹⁸"), =HYPERLINK("CSG24.html#group63G24", "63G²⁴"), =HYPERLINK("CSG18.html#group63C18", "63C¹⁸"), =HYPERLINK("CSG24.html#group63E24", "63E²⁴")</f>
        <v/>
      </c>
    </row>
    <row r="1277">
      <c r="A1277" t="inlineStr">
        <is>
          <t>64A⁶</t>
        </is>
      </c>
      <c r="B1277" t="inlineStr"/>
      <c r="C1277" t="inlineStr">
        <is>
          <t>96</t>
        </is>
      </c>
      <c r="D1277" t="inlineStr">
        <is>
          <t>1</t>
        </is>
      </c>
      <c r="E1277" t="inlineStr">
        <is>
          <t>24</t>
        </is>
      </c>
      <c r="F1277" t="inlineStr">
        <is>
          <t>0</t>
        </is>
      </c>
      <c r="G1277" t="inlineStr">
        <is>
          <t>0</t>
        </is>
      </c>
      <c r="H1277" t="inlineStr">
        <is>
          <t>4⁴, 16¹, 64¹</t>
        </is>
      </c>
      <c r="I1277" t="n">
        <v>6</v>
      </c>
      <c r="J1277" t="inlineStr">
        <is>
          <t>2⁸, 8¹</t>
        </is>
      </c>
      <c r="K1277">
        <f>HYPERLINK("CSG2.html#group32A2", "32A²")</f>
        <v/>
      </c>
      <c r="L1277">
        <f>HYPERLINK("CSG11.html#group64A11", "64A¹¹"), =HYPERLINK("CSG11.html#group64B11", "64B¹¹"), =HYPERLINK("CSG22.html#group192A22", "192A²²")</f>
        <v/>
      </c>
      <c r="M1277">
        <f>HYPERLINK("CSG2.html#group32A2", "32A²"), =HYPERLINK("CSG0.html#group8C0", "8C⁰"), =HYPERLINK("CSG0.html#group2B0", "2B⁰"), =HYPERLINK("CSG0.html#group4B0", "4B⁰"), =HYPERLINK("CSG0.html#group1A0", "1A⁰"), =HYPERLINK("CSG0.html#group16C0", "16C⁰")</f>
        <v/>
      </c>
      <c r="N1277">
        <f>HYPERLINK("CSG22.html#group192A22", "192A²²"), =HYPERLINK("CSG21.html#group64C21", "64C²¹"), =HYPERLINK("CSG11.html#group64B11", "64B¹¹"), =HYPERLINK("CSG21.html#group64E21", "64E²¹"), =HYPERLINK("CSG21.html#group64J21", "64J²¹"), =HYPERLINK("CSG21.html#group64D21", "64D²¹"), =HYPERLINK("CSG21.html#group64K21", "64K²¹"), =HYPERLINK("CSG11.html#group64A11", "64A¹¹")</f>
        <v/>
      </c>
    </row>
    <row r="1278">
      <c r="A1278" t="inlineStr">
        <is>
          <t>66A⁶</t>
        </is>
      </c>
      <c r="B1278" t="inlineStr"/>
      <c r="C1278" t="inlineStr">
        <is>
          <t>66</t>
        </is>
      </c>
      <c r="D1278" t="inlineStr">
        <is>
          <t>2</t>
        </is>
      </c>
      <c r="E1278" t="inlineStr">
        <is>
          <t>11</t>
        </is>
      </c>
      <c r="F1278" t="inlineStr">
        <is>
          <t>0</t>
        </is>
      </c>
      <c r="G1278" t="inlineStr">
        <is>
          <t>0</t>
        </is>
      </c>
      <c r="H1278" t="inlineStr">
        <is>
          <t>66¹</t>
        </is>
      </c>
      <c r="I1278" t="n">
        <v>1</v>
      </c>
      <c r="J1278" t="inlineStr">
        <is>
          <t>2¹, 10²</t>
        </is>
      </c>
      <c r="K1278">
        <f>HYPERLINK("CSG1.html#group6A1", "6A¹"), =HYPERLINK("CSG1.html#group22A1", "22A¹"), =HYPERLINK("CSG1.html#group33A1", "33A¹")</f>
        <v/>
      </c>
      <c r="L1278">
        <f>HYPERLINK("CSG11.html#group66A11", "66A¹¹"), =HYPERLINK("CSG16.html#group66A16", "66A¹⁶"), =HYPERLINK("CSG17.html#group198A17", "198A¹⁷"), =HYPERLINK("CSG22.html#group132A22", "132A²²")</f>
        <v/>
      </c>
      <c r="M1278">
        <f>HYPERLINK("CSG0.html#group11A0", "11A⁰"), =HYPERLINK("CSG0.html#group2A0", "2A⁰"), =HYPERLINK("CSG1.html#group22A1", "22A¹"), =HYPERLINK("CSG1.html#group33A1", "33A¹"), =HYPERLINK("CSG1.html#group6A1", "6A¹"), =HYPERLINK("CSG0.html#group3A0", "3A⁰"), =HYPERLINK("CSG0.html#group1A0", "1A⁰")</f>
        <v/>
      </c>
      <c r="N1278">
        <f>HYPERLINK("CSG22.html#group132A22", "132A²²"), =HYPERLINK("CSG16.html#group66A16", "66A¹⁶"), =HYPERLINK("CSG21.html#group66A21", "66A²¹"), =HYPERLINK("CSG17.html#group198A17", "198A¹⁷"), =HYPERLINK("CSG11.html#group66A11", "66A¹¹")</f>
        <v/>
      </c>
    </row>
    <row r="1279">
      <c r="A1279" t="inlineStr">
        <is>
          <t>66B⁶</t>
        </is>
      </c>
      <c r="B1279" t="inlineStr"/>
      <c r="C1279" t="inlineStr">
        <is>
          <t>72</t>
        </is>
      </c>
      <c r="D1279" t="inlineStr">
        <is>
          <t>1</t>
        </is>
      </c>
      <c r="E1279" t="inlineStr">
        <is>
          <t>12</t>
        </is>
      </c>
      <c r="F1279" t="inlineStr">
        <is>
          <t>0</t>
        </is>
      </c>
      <c r="G1279" t="inlineStr">
        <is>
          <t>0</t>
        </is>
      </c>
      <c r="H1279" t="inlineStr">
        <is>
          <t>6¹, 66¹</t>
        </is>
      </c>
      <c r="I1279" t="n">
        <v>2</v>
      </c>
      <c r="J1279" t="inlineStr">
        <is>
          <t>1², 10¹</t>
        </is>
      </c>
      <c r="K1279">
        <f>HYPERLINK("CSG1.html#group6A1", "6A¹"), =HYPERLINK("CSG2.html#group22A2", "22A²"), =HYPERLINK("CSG3.html#group33A3", "33A³")</f>
        <v/>
      </c>
      <c r="L1279">
        <f>HYPERLINK("CSG11.html#group66C11", "66C¹¹"), =HYPERLINK("CSG12.html#group132A12", "132A¹²"), =HYPERLINK("CSG12.html#group132C12", "132C¹²"), =HYPERLINK("CSG16.html#group66B16", "66B¹⁶"), =HYPERLINK("CSG18.html#group198B18", "198B¹⁸"), =HYPERLINK("CSG23.html#group132C23", "132C²³")</f>
        <v/>
      </c>
      <c r="M1279">
        <f>HYPERLINK("CSG0.html#group2A0", "2A⁰"), =HYPERLINK("CSG1.html#group11A1", "11A¹"), =HYPERLINK("CSG2.html#group22A2", "22A²"), =HYPERLINK("CSG1.html#group6A1", "6A¹"), =HYPERLINK("CSG0.html#group3A0", "3A⁰"), =HYPERLINK("CSG3.html#group33A3", "33A³"), =HYPERLINK("CSG0.html#group1A0", "1A⁰")</f>
        <v/>
      </c>
      <c r="N1279">
        <f>HYPERLINK("CSG23.html#group132B23", "132B²³"), =HYPERLINK("CSG12.html#group132C12", "132C¹²"), =HYPERLINK("CSG12.html#group132A12", "132A¹²"), =HYPERLINK("CSG23.html#group132C23", "132C²³"), =HYPERLINK("CSG11.html#group66C11", "66C¹¹"), =HYPERLINK("CSG16.html#group66B16", "66B¹⁶"), =HYPERLINK("CSG18.html#group198B18", "198B¹⁸"), =HYPERLINK("CSG21.html#group66C21", "66C²¹"), =HYPERLINK("CSG23.html#group132A23", "132A²³")</f>
        <v/>
      </c>
    </row>
    <row r="1280">
      <c r="A1280" t="inlineStr">
        <is>
          <t>66C⁶</t>
        </is>
      </c>
      <c r="B1280" t="inlineStr"/>
      <c r="C1280" t="inlineStr">
        <is>
          <t>72</t>
        </is>
      </c>
      <c r="D1280" t="inlineStr">
        <is>
          <t>1</t>
        </is>
      </c>
      <c r="E1280" t="inlineStr">
        <is>
          <t>24</t>
        </is>
      </c>
      <c r="F1280" t="inlineStr">
        <is>
          <t>0</t>
        </is>
      </c>
      <c r="G1280" t="inlineStr">
        <is>
          <t>0</t>
        </is>
      </c>
      <c r="H1280" t="inlineStr">
        <is>
          <t>6¹, 66¹</t>
        </is>
      </c>
      <c r="I1280" t="n">
        <v>2</v>
      </c>
      <c r="J1280" t="inlineStr">
        <is>
          <t>2², 20¹</t>
        </is>
      </c>
      <c r="K1280">
        <f>HYPERLINK("CSG0.html#group6A0", "6A⁰"), =HYPERLINK("CSG2.html#group22A2", "22A²")</f>
        <v/>
      </c>
      <c r="L1280">
        <f>HYPERLINK("CSG12.html#group132B12", "132B¹²"), =HYPERLINK("CSG16.html#group66B16", "66B¹⁶"), =HYPERLINK("CSG21.html#group66D21", "66D²¹"), =HYPERLINK("CSG23.html#group132E23", "132E²³"), =HYPERLINK("CSG23.html#group132H23", "132H²³")</f>
        <v/>
      </c>
      <c r="M1280">
        <f>HYPERLINK("CSG0.html#group2A0", "2A⁰"), =HYPERLINK("CSG0.html#group6A0", "6A⁰"), =HYPERLINK("CSG0.html#group1A0", "1A⁰"), =HYPERLINK("CSG1.html#group11A1", "11A¹"), =HYPERLINK("CSG2.html#group22A2", "22A²")</f>
        <v/>
      </c>
      <c r="N1280">
        <f>HYPERLINK("CSG21.html#group66D21", "66D²¹"), =HYPERLINK("CSG23.html#group132E23", "132E²³"), =HYPERLINK("CSG12.html#group132B12", "132B¹²"), =HYPERLINK("CSG23.html#group132H23", "132H²³"), =HYPERLINK("CSG16.html#group66B16", "66B¹⁶")</f>
        <v/>
      </c>
    </row>
    <row r="1281">
      <c r="A1281" t="inlineStr">
        <is>
          <t>66D⁶</t>
        </is>
      </c>
      <c r="B1281" t="inlineStr"/>
      <c r="C1281" t="inlineStr">
        <is>
          <t>72</t>
        </is>
      </c>
      <c r="D1281" t="inlineStr">
        <is>
          <t>1</t>
        </is>
      </c>
      <c r="E1281" t="inlineStr">
        <is>
          <t>36</t>
        </is>
      </c>
      <c r="F1281" t="inlineStr">
        <is>
          <t>0</t>
        </is>
      </c>
      <c r="G1281" t="inlineStr">
        <is>
          <t>0</t>
        </is>
      </c>
      <c r="H1281" t="inlineStr">
        <is>
          <t>6¹, 66¹</t>
        </is>
      </c>
      <c r="I1281" t="n">
        <v>2</v>
      </c>
      <c r="J1281" t="inlineStr">
        <is>
          <t>1², 2², 10¹, 20¹</t>
        </is>
      </c>
      <c r="K1281">
        <f>HYPERLINK("CSG0.html#group6B0", "6B⁰"), =HYPERLINK("CSG3.html#group33A3", "33A³")</f>
        <v/>
      </c>
      <c r="L1281">
        <f>HYPERLINK("CSG11.html#group66B11", "66B¹¹"), =HYPERLINK("CSG11.html#group66C11", "66C¹¹"), =HYPERLINK("CSG16.html#group66C16", "66C¹⁶"), =HYPERLINK("CSG18.html#group198A18", "198A¹⁸"), =HYPERLINK("CSG18.html#group198C18", "198C¹⁸"), =HYPERLINK("CSG18.html#group198D18", "198D¹⁸"), =HYPERLINK("CSG23.html#group132F23", "132F²³")</f>
        <v/>
      </c>
      <c r="M1281">
        <f>HYPERLINK("CSG0.html#group6B0", "6B⁰"), =HYPERLINK("CSG0.html#group3A0", "3A⁰"), =HYPERLINK("CSG3.html#group33A3", "33A³"), =HYPERLINK("CSG0.html#group1A0", "1A⁰"), =HYPERLINK("CSG1.html#group11A1", "11A¹")</f>
        <v/>
      </c>
      <c r="N1281">
        <f>HYPERLINK("CSG18.html#group198A18", "198A¹⁸"), =HYPERLINK("CSG23.html#group132B23", "132B²³"), =HYPERLINK("CSG11.html#group66B11", "66B¹¹"), =HYPERLINK("CSG23.html#group132D23", "132D²³"), =HYPERLINK("CSG23.html#group132F23", "132F²³"), =HYPERLINK("CSG11.html#group66C11", "66C¹¹"), =HYPERLINK("CSG16.html#group66C16", "66C¹⁶"), =HYPERLINK("CSG18.html#group198D18", "198D¹⁸"), =HYPERLINK("CSG18.html#group198C18", "198C¹⁸"), =HYPERLINK("CSG21.html#group66C21", "66C²¹"), =HYPERLINK("CSG23.html#group132A23", "132A²³")</f>
        <v/>
      </c>
    </row>
    <row r="1282">
      <c r="A1282" t="inlineStr">
        <is>
          <t>66E⁶</t>
        </is>
      </c>
      <c r="B1282" t="inlineStr"/>
      <c r="C1282" t="inlineStr">
        <is>
          <t>88</t>
        </is>
      </c>
      <c r="D1282" t="inlineStr">
        <is>
          <t>2</t>
        </is>
      </c>
      <c r="E1282" t="inlineStr">
        <is>
          <t>44</t>
        </is>
      </c>
      <c r="F1282" t="inlineStr">
        <is>
          <t>0</t>
        </is>
      </c>
      <c r="G1282" t="inlineStr">
        <is>
          <t>4</t>
        </is>
      </c>
      <c r="H1282" t="inlineStr">
        <is>
          <t>22¹, 66¹</t>
        </is>
      </c>
      <c r="I1282" t="n">
        <v>2</v>
      </c>
      <c r="J1282" t="inlineStr">
        <is>
          <t>2², 4¹, 10⁴, 20²</t>
        </is>
      </c>
      <c r="K1282">
        <f>HYPERLINK("CSG0.html#group6C0", "6C⁰"), =HYPERLINK("CSG1.html#group22A1", "22A¹"), =HYPERLINK("CSG3.html#group33B3", "33B³")</f>
        <v/>
      </c>
      <c r="L1282">
        <f>HYPERLINK("CSG12.html#group132E12", "132E¹²"), =HYPERLINK("CSG18.html#group198E18", "198E¹⁸"), =HYPERLINK("CSG19.html#group66A19", "66A¹⁹"), =HYPERLINK("CSG19.html#group198A19", "198A¹⁹"), =HYPERLINK("CSG20.html#group66A20", "66A²⁰"), =HYPERLINK("CSG20.html#group198A20", "198A²⁰"), =HYPERLINK("CSG21.html#group66A21", "66A²¹"), =HYPERLINK("CSG21.html#group198A21", "198A²¹"), =HYPERLINK("CSG22.html#group198A22", "198A²²"), =HYPERLINK("CSG22.html#group198B22", "198B²²")</f>
        <v/>
      </c>
      <c r="M1282">
        <f>HYPERLINK("CSG0.html#group11A0", "11A⁰"), =HYPERLINK("CSG0.html#group3B0", "3B⁰"), =HYPERLINK("CSG0.html#group2A0", "2A⁰"), =HYPERLINK("CSG1.html#group22A1", "22A¹"), =HYPERLINK("CSG3.html#group33B3", "33B³"), =HYPERLINK("CSG0.html#group6C0", "6C⁰"), =HYPERLINK("CSG0.html#group1A0", "1A⁰")</f>
        <v/>
      </c>
      <c r="N1282">
        <f>HYPERLINK("CSG20.html#group66A20", "66A²⁰"), =HYPERLINK("CSG19.html#group66A19", "66A¹⁹"), =HYPERLINK("CSG12.html#group132E12", "132E¹²"), =HYPERLINK("CSG22.html#group198B22", "198B²²"), =HYPERLINK("CSG22.html#group198A22", "198A²²"), =HYPERLINK("CSG18.html#group198E18", "198E¹⁸"), =HYPERLINK("CSG21.html#group198A21", "198A²¹"), =HYPERLINK("CSG19.html#group198A19", "198A¹⁹"), =HYPERLINK("CSG21.html#group66A21", "66A²¹"), =HYPERLINK("CSG20.html#group198A20", "198A²⁰")</f>
        <v/>
      </c>
    </row>
    <row r="1283">
      <c r="A1283" t="inlineStr">
        <is>
          <t>66F⁶</t>
        </is>
      </c>
      <c r="B1283" t="inlineStr"/>
      <c r="C1283" t="inlineStr">
        <is>
          <t>99</t>
        </is>
      </c>
      <c r="D1283" t="inlineStr">
        <is>
          <t>2</t>
        </is>
      </c>
      <c r="E1283" t="inlineStr">
        <is>
          <t>33</t>
        </is>
      </c>
      <c r="F1283" t="inlineStr">
        <is>
          <t>9</t>
        </is>
      </c>
      <c r="G1283" t="inlineStr">
        <is>
          <t>0</t>
        </is>
      </c>
      <c r="H1283" t="inlineStr">
        <is>
          <t>33¹, 66¹</t>
        </is>
      </c>
      <c r="I1283" t="n">
        <v>2</v>
      </c>
      <c r="J1283" t="inlineStr">
        <is>
          <t>2³, 10⁶</t>
        </is>
      </c>
      <c r="K1283">
        <f>HYPERLINK("CSG0.html#group6D0", "6D⁰"), =HYPERLINK("CSG1.html#group33A1", "33A¹"), =HYPERLINK("CSG2.html#group22B2", "22B²")</f>
        <v/>
      </c>
      <c r="L1283">
        <f>HYPERLINK("CSG12.html#group132F12", "132F¹²"), =HYPERLINK("CSG13.html#group66B13", "66B¹³"), =HYPERLINK("CSG13.html#group132A13", "132A¹³"), =HYPERLINK("CSG14.html#group66A14", "66A¹⁴"), =HYPERLINK("CSG15.html#group132D15", "132D¹⁵"), =HYPERLINK("CSG16.html#group66A16", "66A¹⁶"), =HYPERLINK("CSG16.html#group132A16", "132A¹⁶"), =HYPERLINK("CSG21.html#group198E21", "198E²¹")</f>
        <v/>
      </c>
      <c r="M1283">
        <f>HYPERLINK("CSG0.html#group11A0", "11A⁰"), =HYPERLINK("CSG1.html#group33A1", "33A¹"), =HYPERLINK("CSG0.html#group2B0", "2B⁰"), =HYPERLINK("CSG2.html#group22B2", "22B²"), =HYPERLINK("CSG0.html#group3A0", "3A⁰"), =HYPERLINK("CSG0.html#group1A0", "1A⁰"), =HYPERLINK("CSG0.html#group6D0", "6D⁰")</f>
        <v/>
      </c>
      <c r="N1283">
        <f>HYPERLINK("CSG16.html#group66A16", "66A¹⁶"), =HYPERLINK("CSG13.html#group66B13", "66B¹³"), =HYPERLINK("CSG16.html#group132A16", "132A¹⁶"), =HYPERLINK("CSG24.html#group264C24", "264C²⁴"), =HYPERLINK("CSG15.html#group132D15", "132D¹⁵"), =HYPERLINK("CSG13.html#group132A13", "132A¹³"), =HYPERLINK("CSG14.html#group66A14", "66A¹⁴"), =HYPERLINK("CSG12.html#group132F12", "132F¹²"), =HYPERLINK("CSG21.html#group198E21", "198E²¹")</f>
        <v/>
      </c>
    </row>
    <row r="1284">
      <c r="A1284" t="inlineStr">
        <is>
          <t>69A⁶</t>
        </is>
      </c>
      <c r="B1284" t="inlineStr"/>
      <c r="C1284" t="inlineStr">
        <is>
          <t>72</t>
        </is>
      </c>
      <c r="D1284" t="inlineStr">
        <is>
          <t>1</t>
        </is>
      </c>
      <c r="E1284" t="inlineStr">
        <is>
          <t>24</t>
        </is>
      </c>
      <c r="F1284" t="inlineStr">
        <is>
          <t>0</t>
        </is>
      </c>
      <c r="G1284" t="inlineStr">
        <is>
          <t>0</t>
        </is>
      </c>
      <c r="H1284" t="inlineStr">
        <is>
          <t>3¹, 69¹</t>
        </is>
      </c>
      <c r="I1284" t="n">
        <v>2</v>
      </c>
      <c r="J1284" t="inlineStr">
        <is>
          <t>1², 22¹</t>
        </is>
      </c>
      <c r="K1284">
        <f>HYPERLINK("CSG0.html#group3A0", "3A⁰"), =HYPERLINK("CSG2.html#group23A2", "23A²")</f>
        <v/>
      </c>
      <c r="L1284">
        <f>HYPERLINK("CSG11.html#group69A11", "69A¹¹"), =HYPERLINK("CSG12.html#group138A12", "138A¹²"), =HYPERLINK("CSG12.html#group138C12", "138C¹²"), =HYPERLINK("CSG17.html#group138A17", "138A¹⁷"), =HYPERLINK("CSG18.html#group207A18", "207A¹⁸"), =HYPERLINK("CSG24.html#group276D24", "276D²⁴")</f>
        <v/>
      </c>
      <c r="M1284">
        <f>HYPERLINK("CSG0.html#group3A0", "3A⁰"), =HYPERLINK("CSG0.html#group1A0", "1A⁰"), =HYPERLINK("CSG2.html#group23A2", "23A²")</f>
        <v/>
      </c>
      <c r="N1284">
        <f>HYPERLINK("CSG24.html#group276C24", "276C²⁴"), =HYPERLINK("CSG12.html#group138A12", "138A¹²"), =HYPERLINK("CSG24.html#group276D24", "276D²⁴"), =HYPERLINK("CSG24.html#group276A24", "276A²⁴"), =HYPERLINK("CSG11.html#group69A11", "69A¹¹"), =HYPERLINK("CSG12.html#group138C12", "138C¹²"), =HYPERLINK("CSG21.html#group69A21", "69A²¹"), =HYPERLINK("CSG23.html#group138B23", "138B²³"), =HYPERLINK("CSG18.html#group207A18", "207A¹⁸"), =HYPERLINK("CSG23.html#group138A23", "138A²³"), =HYPERLINK("CSG17.html#group138A17", "138A¹⁷")</f>
        <v/>
      </c>
    </row>
    <row r="1285">
      <c r="A1285" t="inlineStr">
        <is>
          <t>70A⁶</t>
        </is>
      </c>
      <c r="B1285" t="inlineStr"/>
      <c r="C1285" t="inlineStr">
        <is>
          <t>84</t>
        </is>
      </c>
      <c r="D1285" t="inlineStr">
        <is>
          <t>2</t>
        </is>
      </c>
      <c r="E1285" t="inlineStr">
        <is>
          <t>42</t>
        </is>
      </c>
      <c r="F1285" t="inlineStr">
        <is>
          <t>4</t>
        </is>
      </c>
      <c r="G1285" t="inlineStr">
        <is>
          <t>0</t>
        </is>
      </c>
      <c r="H1285" t="inlineStr">
        <is>
          <t>14¹, 70¹</t>
        </is>
      </c>
      <c r="I1285" t="n">
        <v>2</v>
      </c>
      <c r="J1285" t="inlineStr">
        <is>
          <t>2², 6⁴, 8¹, 24²</t>
        </is>
      </c>
      <c r="K1285">
        <f>HYPERLINK("CSG2.html#group35C2", "35C²")</f>
        <v/>
      </c>
      <c r="L1285">
        <f>HYPERLINK("CSG11.html#group70D11", "70D¹¹"), =HYPERLINK("CSG13.html#group70A13", "70A¹³"), =HYPERLINK("CSG13.html#group70B13", "70B¹³"), =HYPERLINK("CSG16.html#group70G16", "70G¹⁶"), =HYPERLINK("CSG18.html#group70G18", "70G¹⁸"), =HYPERLINK("CSG18.html#group210F18", "210F¹⁸")</f>
        <v/>
      </c>
      <c r="M1285">
        <f>HYPERLINK("CSG2.html#group35C2", "35C²"), =HYPERLINK("CSG0.html#group5B0", "5B⁰"), =HYPERLINK("CSG0.html#group1A0", "1A⁰"), =HYPERLINK("CSG0.html#group7A0", "7A⁰")</f>
        <v/>
      </c>
      <c r="N1285">
        <f>HYPERLINK("CSG18.html#group70G18", "70G¹⁸"), =HYPERLINK("CSG16.html#group70G16", "70G¹⁶"), =HYPERLINK("CSG11.html#group70D11", "70D¹¹"), =HYPERLINK("CSG13.html#group70B13", "70B¹³"), =HYPERLINK("CSG18.html#group210F18", "210F¹⁸"), =HYPERLINK("CSG13.html#group70A13", "70A¹³")</f>
        <v/>
      </c>
    </row>
    <row r="1286">
      <c r="A1286" t="inlineStr">
        <is>
          <t>71A⁶</t>
        </is>
      </c>
      <c r="B1286" t="inlineStr">
        <is>
          <t>Γ₀(71)</t>
        </is>
      </c>
      <c r="C1286" t="inlineStr">
        <is>
          <t>72</t>
        </is>
      </c>
      <c r="D1286" t="inlineStr">
        <is>
          <t>1</t>
        </is>
      </c>
      <c r="E1286" t="inlineStr">
        <is>
          <t>72</t>
        </is>
      </c>
      <c r="F1286" t="inlineStr">
        <is>
          <t>0</t>
        </is>
      </c>
      <c r="G1286" t="inlineStr">
        <is>
          <t>0</t>
        </is>
      </c>
      <c r="H1286" t="inlineStr">
        <is>
          <t>1¹, 71¹</t>
        </is>
      </c>
      <c r="I1286" t="n">
        <v>2</v>
      </c>
      <c r="J1286" t="inlineStr">
        <is>
          <t>1², 70¹</t>
        </is>
      </c>
      <c r="K1286">
        <f>HYPERLINK("CSG0.html#group1A0", "1A⁰")</f>
        <v/>
      </c>
      <c r="L1286">
        <f>HYPERLINK("CSG12.html#group142A12", "142A¹²"), =HYPERLINK("CSG17.html#group142A17", "142A¹⁷"), =HYPERLINK("CSG18.html#group213A18", "213A¹⁸"), =HYPERLINK("CSG23.html#group213A23", "213A²³"), =HYPERLINK("CSG24.html#group284B24", "284B²⁴")</f>
        <v/>
      </c>
      <c r="M1286">
        <f>HYPERLINK("CSG0.html#group1A0", "1A⁰")</f>
        <v/>
      </c>
      <c r="N1286">
        <f>HYPERLINK("CSG17.html#group142A17", "142A¹⁷"), =HYPERLINK("CSG24.html#group284B24", "284B²⁴"), =HYPERLINK("CSG18.html#group213A18", "213A¹⁸"), =HYPERLINK("CSG12.html#group142A12", "142A¹²"), =HYPERLINK("CSG24.html#group284A24", "284A²⁴"), =HYPERLINK("CSG23.html#group213A23", "213A²³")</f>
        <v/>
      </c>
    </row>
    <row r="1287">
      <c r="A1287" t="inlineStr">
        <is>
          <t>72A⁶</t>
        </is>
      </c>
      <c r="B1287" t="inlineStr"/>
      <c r="C1287" t="inlineStr">
        <is>
          <t>96</t>
        </is>
      </c>
      <c r="D1287" t="inlineStr">
        <is>
          <t>2</t>
        </is>
      </c>
      <c r="E1287" t="inlineStr">
        <is>
          <t>16</t>
        </is>
      </c>
      <c r="F1287" t="inlineStr">
        <is>
          <t>0</t>
        </is>
      </c>
      <c r="G1287" t="inlineStr">
        <is>
          <t>6</t>
        </is>
      </c>
      <c r="H1287" t="inlineStr">
        <is>
          <t>24¹, 72¹</t>
        </is>
      </c>
      <c r="I1287" t="n">
        <v>2</v>
      </c>
      <c r="J1287" t="inlineStr">
        <is>
          <t>4⁴, 8²</t>
        </is>
      </c>
      <c r="K1287">
        <f>HYPERLINK("CSG2.html#group24A2", "24A²"), =HYPERLINK("CSG3.html#group36C3", "36C³")</f>
        <v/>
      </c>
      <c r="L1287">
        <f>HYPERLINK("CSG11.html#group72J11", "72J¹¹"), =HYPERLINK("CSG12.html#group144A12", "144A¹²"), =HYPERLINK("CSG20.html#group72C20", "72C²⁰"), =HYPERLINK("CSG20.html#group216A20", "216A²⁰"), =HYPERLINK("CSG22.html#group72A22", "72A²²"), =HYPERLINK("CSG22.html#group72C22", "72C²²"), =HYPERLINK("CSG22.html#group216B22", "216B²²"), =HYPERLINK("CSG24.html#group216A24", "216A²⁴")</f>
        <v/>
      </c>
      <c r="M1287">
        <f>HYPERLINK("CSG0.html#group3B0", "3B⁰"), =HYPERLINK("CSG2.html#group24A2", "24A²"), =HYPERLINK("CSG0.html#group4A0", "4A⁰"), =HYPERLINK("CSG1.html#group12A1", "12A¹"), =HYPERLINK("CSG0.html#group8A0", "8A⁰"), =HYPERLINK("CSG0.html#group9C0", "9C⁰"), =HYPERLINK("CSG0.html#group1A0", "1A⁰"), =HYPERLINK("CSG3.html#group36C3", "36C³")</f>
        <v/>
      </c>
      <c r="N1287">
        <f>HYPERLINK("CSG20.html#group72C20", "72C²⁰"), =HYPERLINK("CSG12.html#group144A12", "144A¹²"), =HYPERLINK("CSG20.html#group216A20", "216A²⁰"), =HYPERLINK("CSG23.html#group144V23", "144V²³"), =HYPERLINK("CSG21.html#group72Y21", "72Y²¹"), =HYPERLINK("CSG11.html#group72J11", "72J¹¹"), =HYPERLINK("CSG22.html#group216B22", "216B²²"), =HYPERLINK("CSG23.html#group144U23", "144U²³"), =HYPERLINK("CSG22.html#group72A22", "72A²²"), =HYPERLINK("CSG24.html#group216A24", "216A²⁴"), =HYPERLINK("CSG22.html#group72C22", "72C²²")</f>
        <v/>
      </c>
    </row>
    <row r="1288">
      <c r="A1288" t="inlineStr">
        <is>
          <t>72B⁶</t>
        </is>
      </c>
      <c r="B1288" t="inlineStr"/>
      <c r="C1288" t="inlineStr">
        <is>
          <t>108</t>
        </is>
      </c>
      <c r="D1288" t="inlineStr">
        <is>
          <t>1</t>
        </is>
      </c>
      <c r="E1288" t="inlineStr">
        <is>
          <t>27</t>
        </is>
      </c>
      <c r="F1288" t="inlineStr">
        <is>
          <t>12</t>
        </is>
      </c>
      <c r="G1288" t="inlineStr">
        <is>
          <t>0</t>
        </is>
      </c>
      <c r="H1288" t="inlineStr">
        <is>
          <t>36¹, 72¹</t>
        </is>
      </c>
      <c r="I1288" t="n">
        <v>2</v>
      </c>
      <c r="J1288" t="inlineStr">
        <is>
          <t>1³, 2³, 6³</t>
        </is>
      </c>
      <c r="K1288">
        <f>HYPERLINK("CSG2.html#group24C2", "24C²"), =HYPERLINK("CSG2.html#group36B2", "36B²")</f>
        <v/>
      </c>
      <c r="L1288">
        <f>HYPERLINK("CSG11.html#group72N11", "72N¹¹"), =HYPERLINK("CSG11.html#group72R11", "72R¹¹"), =HYPERLINK("CSG14.html#group72D14", "72D¹⁴"), =HYPERLINK("CSG14.html#group72E14", "72E¹⁴"), =HYPERLINK("CSG14.html#group72H14", "72H¹⁴"), =HYPERLINK("CSG17.html#group72D17", "72D¹⁷"), =HYPERLINK("CSG17.html#group72E17", "72E¹⁷"), =HYPERLINK("CSG17.html#group72I17", "72I¹⁷"), =HYPERLINK("CSG22.html#group72J22", "72J²²")</f>
        <v/>
      </c>
      <c r="M1288">
        <f>HYPERLINK("CSG0.html#group12C0", "12C⁰"), =HYPERLINK("CSG0.html#group9A0", "9A⁰"), =HYPERLINK("CSG2.html#group36B2", "36B²"), =HYPERLINK("CSG0.html#group4C0", "4C⁰"), =HYPERLINK("CSG0.html#group2B0", "2B⁰"), =HYPERLINK("CSG2.html#group24C2", "24C²"), =HYPERLINK("CSG1.html#group18E1", "18E¹"), =HYPERLINK("CSG0.html#group3A0", "3A⁰"), =HYPERLINK("CSG0.html#group1A0", "1A⁰"), =HYPERLINK("CSG0.html#group6D0", "6D⁰")</f>
        <v/>
      </c>
      <c r="N1288">
        <f>HYPERLINK("CSG17.html#group72E17", "72E¹⁷"), =HYPERLINK("CSG22.html#group72J22", "72J²²"), =HYPERLINK("CSG21.html#group72AA21", "72AA²¹"), =HYPERLINK("CSG17.html#group72D17", "72D¹⁷"), =HYPERLINK("CSG17.html#group72I17", "72I¹⁷"), =HYPERLINK("CSG23.html#group144X23", "144X²³"), =HYPERLINK("CSG23.html#group144W23", "144W²³"), =HYPERLINK("CSG11.html#group72R11", "72R¹¹"), =HYPERLINK("CSG14.html#group72E14", "72E¹⁴"), =HYPERLINK("CSG14.html#group72H14", "72H¹⁴"), =HYPERLINK("CSG14.html#group72D14", "72D¹⁴"), =HYPERLINK("CSG11.html#group72N11", "72N¹¹")</f>
        <v/>
      </c>
    </row>
    <row r="1289">
      <c r="A1289" t="inlineStr">
        <is>
          <t>72C⁶</t>
        </is>
      </c>
      <c r="B1289" t="inlineStr"/>
      <c r="C1289" t="inlineStr">
        <is>
          <t>108</t>
        </is>
      </c>
      <c r="D1289" t="inlineStr">
        <is>
          <t>1</t>
        </is>
      </c>
      <c r="E1289" t="inlineStr">
        <is>
          <t>54</t>
        </is>
      </c>
      <c r="F1289" t="inlineStr">
        <is>
          <t>10</t>
        </is>
      </c>
      <c r="G1289" t="inlineStr">
        <is>
          <t>0</t>
        </is>
      </c>
      <c r="H1289" t="inlineStr">
        <is>
          <t>18², 72¹</t>
        </is>
      </c>
      <c r="I1289" t="n">
        <v>3</v>
      </c>
      <c r="J1289" t="inlineStr">
        <is>
          <t>1², 2⁴, 4², 6², 12²</t>
        </is>
      </c>
      <c r="K1289">
        <f>HYPERLINK("CSG1.html#group24C1", "24C¹"), =HYPERLINK("CSG2.html#group36B2", "36B²")</f>
        <v/>
      </c>
      <c r="L1289">
        <f>HYPERLINK("CSG12.html#group72F12", "72F¹²"), =HYPERLINK("CSG12.html#group72M12", "72M¹²"), =HYPERLINK("CSG13.html#group72H13", "72H¹³"), =HYPERLINK("CSG13.html#group72N13", "72N¹³"), =HYPERLINK("CSG14.html#group72C14", "72C¹⁴"), =HYPERLINK("CSG14.html#group72E14", "72E¹⁴"), =HYPERLINK("CSG14.html#group144B14", "144B¹⁴"), =HYPERLINK("CSG14.html#group144C14", "144C¹⁴"), =HYPERLINK("CSG14.html#group144D14", "144D¹⁴"), =HYPERLINK("CSG15.html#group72K15", "72K¹⁵"), =HYPERLINK("CSG15.html#group72V15", "72V¹⁵"), =HYPERLINK("CSG15.html#group144B15", "144B¹⁵"), =HYPERLINK("CSG15.html#group144C15", "144C¹⁵"), =HYPERLINK("CSG15.html#group144D15", "144D¹⁵"), =HYPERLINK("CSG16.html#group72A16", "72A¹⁶"), =HYPERLINK("CSG16.html#group72M16", "72M¹⁶"), =HYPERLINK("CSG17.html#group72F17", "72F¹⁷"), =HYPERLINK("CSG20.html#group72D20", "72D²⁰")</f>
        <v/>
      </c>
      <c r="M1289">
        <f>HYPERLINK("CSG0.html#group12C0", "12C⁰"), =HYPERLINK("CSG0.html#group8D0", "8D⁰"), =HYPERLINK("CSG0.html#group9A0", "9A⁰"), =HYPERLINK("CSG2.html#group36B2", "36B²"), =HYPERLINK("CSG0.html#group4C0", "4C⁰"), =HYPERLINK("CSG1.html#group24C1", "24C¹"), =HYPERLINK("CSG0.html#group2B0", "2B⁰"), =HYPERLINK("CSG1.html#group18E1", "18E¹"), =HYPERLINK("CSG0.html#group3A0", "3A⁰"), =HYPERLINK("CSG0.html#group1A0", "1A⁰"), =HYPERLINK("CSG0.html#group6D0", "6D⁰")</f>
        <v/>
      </c>
      <c r="N1289">
        <f>HYPERLINK("CSG15.html#group72V15", "72V¹⁵"), =HYPERLINK("CSG16.html#group72M16", "72M¹⁶"), =HYPERLINK("CSG15.html#group144D15", "144D¹⁵"), =HYPERLINK("CSG20.html#group72D20", "72D²⁰"), =HYPERLINK("CSG14.html#group144B14", "144B¹⁴"), =HYPERLINK("CSG14.html#group144D14", "144D¹⁴"), =HYPERLINK("CSG16.html#group72A16", "72A¹⁶"), =HYPERLINK("CSG15.html#group144C15", "144C¹⁵"), =HYPERLINK("CSG13.html#group72H13", "72H¹³"), =HYPERLINK("CSG15.html#group72K15", "72K¹⁵"), =HYPERLINK("CSG12.html#group72F12", "72F¹²"), =HYPERLINK("CSG17.html#group72F17", "72F¹⁷"), =HYPERLINK("CSG14.html#group144C14", "144C¹⁴"), =HYPERLINK("CSG12.html#group72M12", "72M¹²"), =HYPERLINK("CSG15.html#group144B15", "144B¹⁵"), =HYPERLINK("CSG14.html#group72E14", "72E¹⁴"), =HYPERLINK("CSG14.html#group72C14", "72C¹⁴"), =HYPERLINK("CSG13.html#group72N13", "72N¹³")</f>
        <v/>
      </c>
    </row>
    <row r="1290">
      <c r="A1290" t="inlineStr">
        <is>
          <t>72D⁶</t>
        </is>
      </c>
      <c r="B1290" t="inlineStr"/>
      <c r="C1290" t="inlineStr">
        <is>
          <t>108</t>
        </is>
      </c>
      <c r="D1290" t="inlineStr">
        <is>
          <t>1</t>
        </is>
      </c>
      <c r="E1290" t="inlineStr">
        <is>
          <t>54</t>
        </is>
      </c>
      <c r="F1290" t="inlineStr">
        <is>
          <t>10</t>
        </is>
      </c>
      <c r="G1290" t="inlineStr">
        <is>
          <t>0</t>
        </is>
      </c>
      <c r="H1290" t="inlineStr">
        <is>
          <t>18², 72¹</t>
        </is>
      </c>
      <c r="I1290" t="n">
        <v>3</v>
      </c>
      <c r="J1290" t="inlineStr">
        <is>
          <t>1², 2⁴, 4², 6², 12²</t>
        </is>
      </c>
      <c r="K1290">
        <f>HYPERLINK("CSG1.html#group24E1", "24E¹"), =HYPERLINK("CSG2.html#group36B2", "36B²")</f>
        <v/>
      </c>
      <c r="L1290">
        <f>HYPERLINK("CSG12.html#group72G12", "72G¹²"), =HYPERLINK("CSG12.html#group72L12", "72L¹²"), =HYPERLINK("CSG13.html#group72H13", "72H¹³"), =HYPERLINK("CSG13.html#group72P13", "72P¹³"), =HYPERLINK("CSG14.html#group72C14", "72C¹⁴"), =HYPERLINK("CSG14.html#group72D14", "72D¹⁴"), =HYPERLINK("CSG15.html#group72J15", "72J¹⁵"), =HYPERLINK("CSG15.html#group72U15", "72U¹⁵"), =HYPERLINK("CSG16.html#group72B16", "72B¹⁶"), =HYPERLINK("CSG16.html#group72O16", "72O¹⁶"), =HYPERLINK("CSG17.html#group72G17", "72G¹⁷"), =HYPERLINK("CSG20.html#group72F20", "72F²⁰")</f>
        <v/>
      </c>
      <c r="M1290">
        <f>HYPERLINK("CSG1.html#group24E1", "24E¹"), =HYPERLINK("CSG0.html#group12C0", "12C⁰"), =HYPERLINK("CSG0.html#group9A0", "9A⁰"), =HYPERLINK("CSG2.html#group36B2", "36B²"), =HYPERLINK("CSG0.html#group4C0", "4C⁰"), =HYPERLINK("CSG0.html#group2B0", "2B⁰"), =HYPERLINK("CSG1.html#group18E1", "18E¹"), =HYPERLINK("CSG0.html#group3A0", "3A⁰"), =HYPERLINK("CSG0.html#group1A0", "1A⁰"), =HYPERLINK("CSG0.html#group6D0", "6D⁰")</f>
        <v/>
      </c>
      <c r="N1290">
        <f>HYPERLINK("CSG15.html#group72J15", "72J¹⁵"), =HYPERLINK("CSG12.html#group72L12", "72L¹²"), =HYPERLINK("CSG16.html#group72O16", "72O¹⁶"), =HYPERLINK("CSG13.html#group72P13", "72P¹³"), =HYPERLINK("CSG17.html#group72G17", "72G¹⁷"), =HYPERLINK("CSG16.html#group72B16", "72B¹⁶"), =HYPERLINK("CSG14.html#group72C14", "72C¹⁴"), =HYPERLINK("CSG15.html#group72U15", "72U¹⁵"), =HYPERLINK("CSG20.html#group72F20", "72F²⁰"), =HYPERLINK("CSG13.html#group72H13", "72H¹³"), =HYPERLINK("CSG14.html#group72D14", "72D¹⁴"), =HYPERLINK("CSG12.html#group72G12", "72G¹²")</f>
        <v/>
      </c>
    </row>
    <row r="1291">
      <c r="A1291" t="inlineStr">
        <is>
          <t>72E⁶</t>
        </is>
      </c>
      <c r="B1291" t="inlineStr"/>
      <c r="C1291" t="inlineStr">
        <is>
          <t>108</t>
        </is>
      </c>
      <c r="D1291" t="inlineStr">
        <is>
          <t>2</t>
        </is>
      </c>
      <c r="E1291" t="inlineStr">
        <is>
          <t>54</t>
        </is>
      </c>
      <c r="F1291" t="inlineStr">
        <is>
          <t>10</t>
        </is>
      </c>
      <c r="G1291" t="inlineStr">
        <is>
          <t>0</t>
        </is>
      </c>
      <c r="H1291" t="inlineStr">
        <is>
          <t>18², 72¹</t>
        </is>
      </c>
      <c r="I1291" t="n">
        <v>3</v>
      </c>
      <c r="J1291" t="inlineStr">
        <is>
          <t>2⁶, 4⁶, 6⁴, 12⁴</t>
        </is>
      </c>
      <c r="K1291">
        <f>HYPERLINK("CSG1.html#group24E1", "24E¹"), =HYPERLINK("CSG2.html#group36B2", "36B²")</f>
        <v/>
      </c>
      <c r="L1291">
        <f>HYPERLINK("CSG12.html#group72M12", "72M¹²"), =HYPERLINK("CSG12.html#group72L12", "72L¹²"), =HYPERLINK("CSG12.html#group72N12", "72N¹²"), =HYPERLINK("CSG13.html#group72G13", "72G¹³"), =HYPERLINK("CSG13.html#group72M13", "72M¹³"), =HYPERLINK("CSG13.html#group72O13", "72O¹³"), =HYPERLINK("CSG14.html#group72B14", "72B¹⁴"), =HYPERLINK("CSG14.html#group72H14", "72H¹⁴"), =HYPERLINK("CSG15.html#group72V15", "72V¹⁵"), =HYPERLINK("CSG15.html#group72U15", "72U¹⁵"), =HYPERLINK("CSG15.html#group72W15", "72W¹⁵"), =HYPERLINK("CSG16.html#group72I16", "72I¹⁶"), =HYPERLINK("CSG16.html#group72L16", "72L¹⁶"), =HYPERLINK("CSG16.html#group72N16", "72N¹⁶"), =HYPERLINK("CSG17.html#group72L17", "72L¹⁷"), =HYPERLINK("CSG20.html#group72E20", "72E²⁰"), =HYPERLINK("CSG20.html#group72F20", "72F²⁰")</f>
        <v/>
      </c>
      <c r="M1291">
        <f>HYPERLINK("CSG1.html#group24E1", "24E¹"), =HYPERLINK("CSG0.html#group12C0", "12C⁰"), =HYPERLINK("CSG0.html#group9A0", "9A⁰"), =HYPERLINK("CSG2.html#group36B2", "36B²"), =HYPERLINK("CSG0.html#group4C0", "4C⁰"), =HYPERLINK("CSG0.html#group2B0", "2B⁰"), =HYPERLINK("CSG1.html#group18E1", "18E¹"), =HYPERLINK("CSG0.html#group3A0", "3A⁰"), =HYPERLINK("CSG0.html#group1A0", "1A⁰"), =HYPERLINK("CSG0.html#group6D0", "6D⁰")</f>
        <v/>
      </c>
      <c r="N1291">
        <f>HYPERLINK("CSG15.html#group72V15", "72V¹⁵"), =HYPERLINK("CSG14.html#group72B14", "72B¹⁴"), =HYPERLINK("CSG17.html#group72L17", "72L¹⁷"), =HYPERLINK("CSG16.html#group72I16", "72I¹⁶"), =HYPERLINK("CSG12.html#group72L12", "72L¹²"), =HYPERLINK("CSG15.html#group72U15", "72U¹⁵"), =HYPERLINK("CSG12.html#group72N12", "72N¹²"), =HYPERLINK("CSG14.html#group72H14", "72H¹⁴"), =HYPERLINK("CSG16.html#group72L16", "72L¹⁶"), =HYPERLINK("CSG16.html#group72N16", "72N¹⁶"), =HYPERLINK("CSG13.html#group72M13", "72M¹³"), =HYPERLINK("CSG20.html#group72E20", "72E²⁰"), =HYPERLINK("CSG13.html#group72O13", "72O¹³"), =HYPERLINK("CSG12.html#group72M12", "72M¹²"), =HYPERLINK("CSG15.html#group72W15", "72W¹⁵"), =HYPERLINK("CSG13.html#group72G13", "72G¹³"), =HYPERLINK("CSG20.html#group72F20", "72F²⁰")</f>
        <v/>
      </c>
    </row>
    <row r="1292">
      <c r="A1292" t="inlineStr">
        <is>
          <t>75A⁶</t>
        </is>
      </c>
      <c r="B1292" t="inlineStr"/>
      <c r="C1292" t="inlineStr">
        <is>
          <t>90</t>
        </is>
      </c>
      <c r="D1292" t="inlineStr">
        <is>
          <t>1</t>
        </is>
      </c>
      <c r="E1292" t="inlineStr">
        <is>
          <t>30</t>
        </is>
      </c>
      <c r="F1292" t="inlineStr">
        <is>
          <t>6</t>
        </is>
      </c>
      <c r="G1292" t="inlineStr">
        <is>
          <t>0</t>
        </is>
      </c>
      <c r="H1292" t="inlineStr">
        <is>
          <t>15¹, 75¹</t>
        </is>
      </c>
      <c r="I1292" t="n">
        <v>2</v>
      </c>
      <c r="J1292" t="inlineStr">
        <is>
          <t>2², 4⁴, 20²</t>
        </is>
      </c>
      <c r="K1292">
        <f>HYPERLINK("CSG0.html#group15B0", "15B⁰"), =HYPERLINK("CSG2.html#group25A2", "25A²")</f>
        <v/>
      </c>
      <c r="L1292">
        <f>HYPERLINK("CSG12.html#group75A12", "75A¹²"), =HYPERLINK("CSG12.html#group150A12", "150A¹²"), =HYPERLINK("CSG13.html#group75A13", "75A¹³"), =HYPERLINK("CSG13.html#group150C13", "150C¹³"), =HYPERLINK("CSG14.html#group75A14", "75A¹⁴"), =HYPERLINK("CSG14.html#group150A14", "150A¹⁴"), =HYPERLINK("CSG15.html#group150A15", "150A¹⁵"), =HYPERLINK("CSG20.html#group150A20", "150A²⁰"), =HYPERLINK("CSG20.html#group225A20", "225A²⁰")</f>
        <v/>
      </c>
      <c r="M1292">
        <f>HYPERLINK("CSG0.html#group5B0", "5B⁰"), =HYPERLINK("CSG0.html#group15B0", "15B⁰"), =HYPERLINK("CSG2.html#group25A2", "25A²"), =HYPERLINK("CSG0.html#group3A0", "3A⁰"), =HYPERLINK("CSG0.html#group1A0", "1A⁰")</f>
        <v/>
      </c>
      <c r="N1292">
        <f>HYPERLINK("CSG13.html#group75A13", "75A¹³"), =HYPERLINK("CSG12.html#group150A12", "150A¹²"), =HYPERLINK("CSG12.html#group75A12", "75A¹²"), =HYPERLINK("CSG15.html#group150A15", "150A¹⁵"), =HYPERLINK("CSG20.html#group225A20", "225A²⁰"), =HYPERLINK("CSG14.html#group150A14", "150A¹⁴"), =HYPERLINK("CSG14.html#group75A14", "75A¹⁴"), =HYPERLINK("CSG20.html#group150A20", "150A²⁰"), =HYPERLINK("CSG13.html#group150C13", "150C¹³")</f>
        <v/>
      </c>
    </row>
    <row r="1293">
      <c r="A1293" t="inlineStr">
        <is>
          <t>75B⁶</t>
        </is>
      </c>
      <c r="B1293" t="inlineStr"/>
      <c r="C1293" t="inlineStr">
        <is>
          <t>90</t>
        </is>
      </c>
      <c r="D1293" t="inlineStr">
        <is>
          <t>1</t>
        </is>
      </c>
      <c r="E1293" t="inlineStr">
        <is>
          <t>30</t>
        </is>
      </c>
      <c r="F1293" t="inlineStr">
        <is>
          <t>6</t>
        </is>
      </c>
      <c r="G1293" t="inlineStr">
        <is>
          <t>0</t>
        </is>
      </c>
      <c r="H1293" t="inlineStr">
        <is>
          <t>15¹, 75¹</t>
        </is>
      </c>
      <c r="I1293" t="n">
        <v>2</v>
      </c>
      <c r="J1293" t="inlineStr">
        <is>
          <t>2², 4⁴, 20²</t>
        </is>
      </c>
      <c r="K1293">
        <f>HYPERLINK("CSG0.html#group15B0", "15B⁰"), =HYPERLINK("CSG2.html#group25B2", "25B²")</f>
        <v/>
      </c>
      <c r="L1293">
        <f>HYPERLINK("CSG12.html#group75B12", "75B¹²"), =HYPERLINK("CSG12.html#group150B12", "150B¹²"), =HYPERLINK("CSG13.html#group75B13", "75B¹³"), =HYPERLINK("CSG13.html#group150D13", "150D¹³"), =HYPERLINK("CSG14.html#group75B14", "75B¹⁴"), =HYPERLINK("CSG14.html#group150B14", "150B¹⁴"), =HYPERLINK("CSG15.html#group150B15", "150B¹⁵"), =HYPERLINK("CSG20.html#group150B20", "150B²⁰"), =HYPERLINK("CSG20.html#group225B20", "225B²⁰")</f>
        <v/>
      </c>
      <c r="M1293">
        <f>HYPERLINK("CSG0.html#group5B0", "5B⁰"), =HYPERLINK("CSG0.html#group15B0", "15B⁰"), =HYPERLINK("CSG0.html#group3A0", "3A⁰"), =HYPERLINK("CSG0.html#group1A0", "1A⁰"), =HYPERLINK("CSG2.html#group25B2", "25B²")</f>
        <v/>
      </c>
      <c r="N1293">
        <f>HYPERLINK("CSG12.html#group150B12", "150B¹²"), =HYPERLINK("CSG20.html#group225B20", "225B²⁰"), =HYPERLINK("CSG12.html#group75B12", "75B¹²"), =HYPERLINK("CSG14.html#group75B14", "75B¹⁴"), =HYPERLINK("CSG13.html#group150D13", "150D¹³"), =HYPERLINK("CSG14.html#group150B14", "150B¹⁴"), =HYPERLINK("CSG13.html#group75B13", "75B¹³"), =HYPERLINK("CSG15.html#group150B15", "150B¹⁵"), =HYPERLINK("CSG20.html#group150B20", "150B²⁰")</f>
        <v/>
      </c>
    </row>
    <row r="1294">
      <c r="A1294" t="inlineStr">
        <is>
          <t>75C⁶</t>
        </is>
      </c>
      <c r="B1294" t="inlineStr"/>
      <c r="C1294" t="inlineStr">
        <is>
          <t>90</t>
        </is>
      </c>
      <c r="D1294" t="inlineStr">
        <is>
          <t>1</t>
        </is>
      </c>
      <c r="E1294" t="inlineStr">
        <is>
          <t>30</t>
        </is>
      </c>
      <c r="F1294" t="inlineStr">
        <is>
          <t>6</t>
        </is>
      </c>
      <c r="G1294" t="inlineStr">
        <is>
          <t>0</t>
        </is>
      </c>
      <c r="H1294" t="inlineStr">
        <is>
          <t>15¹, 75¹</t>
        </is>
      </c>
      <c r="I1294" t="n">
        <v>2</v>
      </c>
      <c r="J1294" t="inlineStr">
        <is>
          <t>2², 4⁴, 20²</t>
        </is>
      </c>
      <c r="K1294">
        <f>HYPERLINK("CSG0.html#group15B0", "15B⁰"), =HYPERLINK("CSG2.html#group25C2", "25C²")</f>
        <v/>
      </c>
      <c r="L1294">
        <f>HYPERLINK("CSG12.html#group75C12", "75C¹²"), =HYPERLINK("CSG12.html#group150C12", "150C¹²"), =HYPERLINK("CSG13.html#group75C13", "75C¹³"), =HYPERLINK("CSG13.html#group150E13", "150E¹³"), =HYPERLINK("CSG14.html#group75C14", "75C¹⁴"), =HYPERLINK("CSG14.html#group150C14", "150C¹⁴"), =HYPERLINK("CSG15.html#group150C15", "150C¹⁵"), =HYPERLINK("CSG20.html#group150C20", "150C²⁰"), =HYPERLINK("CSG20.html#group225C20", "225C²⁰")</f>
        <v/>
      </c>
      <c r="M1294">
        <f>HYPERLINK("CSG0.html#group5B0", "5B⁰"), =HYPERLINK("CSG0.html#group15B0", "15B⁰"), =HYPERLINK("CSG0.html#group3A0", "3A⁰"), =HYPERLINK("CSG0.html#group1A0", "1A⁰"), =HYPERLINK("CSG2.html#group25C2", "25C²")</f>
        <v/>
      </c>
      <c r="N1294">
        <f>HYPERLINK("CSG12.html#group75C12", "75C¹²"), =HYPERLINK("CSG15.html#group150C15", "150C¹⁵"), =HYPERLINK("CSG13.html#group75C13", "75C¹³"), =HYPERLINK("CSG14.html#group75C14", "75C¹⁴"), =HYPERLINK("CSG20.html#group150C20", "150C²⁰"), =HYPERLINK("CSG20.html#group225C20", "225C²⁰"), =HYPERLINK("CSG14.html#group150C14", "150C¹⁴"), =HYPERLINK("CSG13.html#group150E13", "150E¹³"), =HYPERLINK("CSG12.html#group150C12", "150C¹²")</f>
        <v/>
      </c>
    </row>
    <row r="1295">
      <c r="A1295" t="inlineStr">
        <is>
          <t>75D⁶</t>
        </is>
      </c>
      <c r="B1295" t="inlineStr"/>
      <c r="C1295" t="inlineStr">
        <is>
          <t>90</t>
        </is>
      </c>
      <c r="D1295" t="inlineStr">
        <is>
          <t>1</t>
        </is>
      </c>
      <c r="E1295" t="inlineStr">
        <is>
          <t>30</t>
        </is>
      </c>
      <c r="F1295" t="inlineStr">
        <is>
          <t>6</t>
        </is>
      </c>
      <c r="G1295" t="inlineStr">
        <is>
          <t>0</t>
        </is>
      </c>
      <c r="H1295" t="inlineStr">
        <is>
          <t>15¹, 75¹</t>
        </is>
      </c>
      <c r="I1295" t="n">
        <v>2</v>
      </c>
      <c r="J1295" t="inlineStr">
        <is>
          <t>2², 4⁴, 20²</t>
        </is>
      </c>
      <c r="K1295">
        <f>HYPERLINK("CSG0.html#group15B0", "15B⁰"), =HYPERLINK("CSG2.html#group25D2", "25D²")</f>
        <v/>
      </c>
      <c r="L1295">
        <f>HYPERLINK("CSG12.html#group75D12", "75D¹²"), =HYPERLINK("CSG12.html#group150D12", "150D¹²"), =HYPERLINK("CSG13.html#group75D13", "75D¹³"), =HYPERLINK("CSG13.html#group150F13", "150F¹³"), =HYPERLINK("CSG14.html#group75D14", "75D¹⁴"), =HYPERLINK("CSG14.html#group150D14", "150D¹⁴"), =HYPERLINK("CSG15.html#group150D15", "150D¹⁵"), =HYPERLINK("CSG20.html#group150D20", "150D²⁰"), =HYPERLINK("CSG20.html#group225D20", "225D²⁰")</f>
        <v/>
      </c>
      <c r="M1295">
        <f>HYPERLINK("CSG0.html#group5B0", "5B⁰"), =HYPERLINK("CSG0.html#group15B0", "15B⁰"), =HYPERLINK("CSG0.html#group3A0", "3A⁰"), =HYPERLINK("CSG0.html#group1A0", "1A⁰"), =HYPERLINK("CSG2.html#group25D2", "25D²")</f>
        <v/>
      </c>
      <c r="N1295">
        <f>HYPERLINK("CSG20.html#group150D20", "150D²⁰"), =HYPERLINK("CSG14.html#group150D14", "150D¹⁴"), =HYPERLINK("CSG13.html#group150F13", "150F¹³"), =HYPERLINK("CSG12.html#group75D12", "75D¹²"), =HYPERLINK("CSG14.html#group75D14", "75D¹⁴"), =HYPERLINK("CSG20.html#group225D20", "225D²⁰"), =HYPERLINK("CSG15.html#group150D15", "150D¹⁵"), =HYPERLINK("CSG13.html#group75D13", "75D¹³"), =HYPERLINK("CSG12.html#group150D12", "150D¹²")</f>
        <v/>
      </c>
    </row>
    <row r="1296">
      <c r="A1296" t="inlineStr">
        <is>
          <t>76A⁶</t>
        </is>
      </c>
      <c r="B1296" t="inlineStr"/>
      <c r="C1296" t="inlineStr">
        <is>
          <t>80</t>
        </is>
      </c>
      <c r="D1296" t="inlineStr">
        <is>
          <t>1</t>
        </is>
      </c>
      <c r="E1296" t="inlineStr">
        <is>
          <t>80</t>
        </is>
      </c>
      <c r="F1296" t="inlineStr">
        <is>
          <t>0</t>
        </is>
      </c>
      <c r="G1296" t="inlineStr">
        <is>
          <t>2</t>
        </is>
      </c>
      <c r="H1296" t="inlineStr">
        <is>
          <t>4¹, 76¹</t>
        </is>
      </c>
      <c r="I1296" t="n">
        <v>2</v>
      </c>
      <c r="J1296" t="inlineStr">
        <is>
          <t>2⁴, 36²</t>
        </is>
      </c>
      <c r="K1296">
        <f>HYPERLINK("CSG0.html#group4A0", "4A⁰"), =HYPERLINK("CSG1.html#group19A1", "19A¹")</f>
        <v/>
      </c>
      <c r="L1296">
        <f>HYPERLINK("CSG11.html#group76A11", "76A¹¹"), =HYPERLINK("CSG12.html#group152A12", "152A¹²"), =HYPERLINK("CSG16.html#group76B16", "76B¹⁶"), =HYPERLINK("CSG18.html#group76C18", "76C¹⁸"), =HYPERLINK("CSG20.html#group228C20", "228C²⁰"), =HYPERLINK("CSG20.html#group228E20", "228E²⁰")</f>
        <v/>
      </c>
      <c r="M1296">
        <f>HYPERLINK("CSG1.html#group19A1", "19A¹"), =HYPERLINK("CSG0.html#group1A0", "1A⁰"), =HYPERLINK("CSG0.html#group4A0", "4A⁰")</f>
        <v/>
      </c>
      <c r="N1296">
        <f>HYPERLINK("CSG21.html#group76A21", "76A²¹"), =HYPERLINK("CSG23.html#group152B23", "152B²³"), =HYPERLINK("CSG16.html#group76B16", "76B¹⁶"), =HYPERLINK("CSG12.html#group152A12", "152A¹²"), =HYPERLINK("CSG11.html#group76A11", "76A¹¹"), =HYPERLINK("CSG18.html#group76C18", "76C¹⁸"), =HYPERLINK("CSG20.html#group228E20", "228E²⁰"), =HYPERLINK("CSG24.html#group304A24", "304A²⁴"), =HYPERLINK("CSG23.html#group152A23", "152A²³"), =HYPERLINK("CSG20.html#group228C20", "228C²⁰")</f>
        <v/>
      </c>
    </row>
    <row r="1297">
      <c r="A1297" t="inlineStr">
        <is>
          <t>77A⁶</t>
        </is>
      </c>
      <c r="B1297" t="inlineStr"/>
      <c r="C1297" t="inlineStr">
        <is>
          <t>88</t>
        </is>
      </c>
      <c r="D1297" t="inlineStr">
        <is>
          <t>2</t>
        </is>
      </c>
      <c r="E1297" t="inlineStr">
        <is>
          <t>88</t>
        </is>
      </c>
      <c r="F1297" t="inlineStr">
        <is>
          <t>0</t>
        </is>
      </c>
      <c r="G1297" t="inlineStr">
        <is>
          <t>4</t>
        </is>
      </c>
      <c r="H1297" t="inlineStr">
        <is>
          <t>11¹, 77¹</t>
        </is>
      </c>
      <c r="I1297" t="n">
        <v>2</v>
      </c>
      <c r="J1297" t="inlineStr">
        <is>
          <t>2², 10⁴, 12¹, 60²</t>
        </is>
      </c>
      <c r="K1297">
        <f>HYPERLINK("CSG0.html#group7B0", "7B⁰"), =HYPERLINK("CSG0.html#group11A0", "11A⁰")</f>
        <v/>
      </c>
      <c r="L1297">
        <f>HYPERLINK("CSG12.html#group154C12", "154C¹²"), =HYPERLINK("CSG20.html#group77A20", "77A²⁰"), =HYPERLINK("CSG20.html#group231A20", "231A²⁰"), =HYPERLINK("CSG20.html#group231B20", "231B²⁰"), =HYPERLINK("CSG21.html#group154A21", "154A²¹"), =HYPERLINK("CSG22.html#group231A22", "231A²²")</f>
        <v/>
      </c>
      <c r="M1297">
        <f>HYPERLINK("CSG0.html#group11A0", "11A⁰"), =HYPERLINK("CSG0.html#group1A0", "1A⁰"), =HYPERLINK("CSG0.html#group7B0", "7B⁰")</f>
        <v/>
      </c>
      <c r="N1297">
        <f>HYPERLINK("CSG20.html#group77A20", "77A²⁰"), =HYPERLINK("CSG20.html#group231A20", "231A²⁰"), =HYPERLINK("CSG20.html#group231B20", "231B²⁰"), =HYPERLINK("CSG21.html#group154A21", "154A²¹"), =HYPERLINK("CSG12.html#group154C12", "154C¹²"), =HYPERLINK("CSG24.html#group308A24", "308A²⁴"), =HYPERLINK("CSG22.html#group231A22", "231A²²")</f>
        <v/>
      </c>
    </row>
    <row r="1298">
      <c r="A1298" t="inlineStr">
        <is>
          <t>78A⁶</t>
        </is>
      </c>
      <c r="B1298" t="inlineStr"/>
      <c r="C1298" t="inlineStr">
        <is>
          <t>84</t>
        </is>
      </c>
      <c r="D1298" t="inlineStr">
        <is>
          <t>1</t>
        </is>
      </c>
      <c r="E1298" t="inlineStr">
        <is>
          <t>42</t>
        </is>
      </c>
      <c r="F1298" t="inlineStr">
        <is>
          <t>4</t>
        </is>
      </c>
      <c r="G1298" t="inlineStr">
        <is>
          <t>0</t>
        </is>
      </c>
      <c r="H1298" t="inlineStr">
        <is>
          <t>6¹, 78¹</t>
        </is>
      </c>
      <c r="I1298" t="n">
        <v>2</v>
      </c>
      <c r="J1298" t="inlineStr">
        <is>
          <t>1², 2², 12¹, 24¹</t>
        </is>
      </c>
      <c r="K1298">
        <f>HYPERLINK("CSG2.html#group39A2", "39A²")</f>
        <v/>
      </c>
      <c r="L1298">
        <f>HYPERLINK("CSG11.html#group78B11", "78B¹¹"), =HYPERLINK("CSG11.html#group78E11", "78E¹¹"), =HYPERLINK("CSG13.html#group78B13", "78B¹³"), =HYPERLINK("CSG13.html#group78C13", "78C¹³"), =HYPERLINK("CSG13.html#group78D13", "78D¹³"), =HYPERLINK("CSG16.html#group78A16", "78A¹⁶"), =HYPERLINK("CSG18.html#group78B18", "78B¹⁸"), =HYPERLINK("CSG18.html#group234A18", "234A¹⁸"), =HYPERLINK("CSG20.html#group234A20", "234A²⁰")</f>
        <v/>
      </c>
      <c r="M1298">
        <f>HYPERLINK("CSG0.html#group3A0", "3A⁰"), =HYPERLINK("CSG2.html#group39A2", "39A²"), =HYPERLINK("CSG0.html#group1A0", "1A⁰"), =HYPERLINK("CSG0.html#group13A0", "13A⁰")</f>
        <v/>
      </c>
      <c r="N1298">
        <f>HYPERLINK("CSG13.html#group78B13", "78B¹³"), =HYPERLINK("CSG18.html#group234A18", "234A¹⁸"), =HYPERLINK("CSG21.html#group78A21", "78A²¹"), =HYPERLINK("CSG13.html#group78D13", "78D¹³"), =HYPERLINK("CSG13.html#group78C13", "78C¹³"), =HYPERLINK("CSG11.html#group78B11", "78B¹¹"), =HYPERLINK("CSG16.html#group78A16", "78A¹⁶"), =HYPERLINK("CSG18.html#group78B18", "78B¹⁸"), =HYPERLINK("CSG11.html#group78E11", "78E¹¹"), =HYPERLINK("CSG20.html#group234A20", "234A²⁰")</f>
        <v/>
      </c>
    </row>
    <row r="1299">
      <c r="A1299" t="inlineStr">
        <is>
          <t>78B⁶</t>
        </is>
      </c>
      <c r="B1299" t="inlineStr"/>
      <c r="C1299" t="inlineStr">
        <is>
          <t>84</t>
        </is>
      </c>
      <c r="D1299" t="inlineStr">
        <is>
          <t>2</t>
        </is>
      </c>
      <c r="E1299" t="inlineStr">
        <is>
          <t>28</t>
        </is>
      </c>
      <c r="F1299" t="inlineStr">
        <is>
          <t>0</t>
        </is>
      </c>
      <c r="G1299" t="inlineStr">
        <is>
          <t>3</t>
        </is>
      </c>
      <c r="H1299" t="inlineStr">
        <is>
          <t>6¹, 78¹</t>
        </is>
      </c>
      <c r="I1299" t="n">
        <v>2</v>
      </c>
      <c r="J1299" t="inlineStr">
        <is>
          <t>2⁴, 24²</t>
        </is>
      </c>
      <c r="K1299">
        <f>HYPERLINK("CSG1.html#group26A1", "26A¹")</f>
        <v/>
      </c>
      <c r="L1299">
        <f>HYPERLINK("CSG11.html#group78D11", "78D¹¹"), =HYPERLINK("CSG16.html#group78D16", "78D¹⁶"), =HYPERLINK("CSG19.html#group78C19", "78C¹⁹"), =HYPERLINK("CSG19.html#group78D19", "78D¹⁹"), =HYPERLINK("CSG19.html#group78E19", "78E¹⁹"), =HYPERLINK("CSG24.html#group78A24", "78A²⁴")</f>
        <v/>
      </c>
      <c r="M1299">
        <f>HYPERLINK("CSG0.html#group13A0", "13A⁰"), =HYPERLINK("CSG0.html#group2A0", "2A⁰"), =HYPERLINK("CSG0.html#group1A0", "1A⁰"), =HYPERLINK("CSG1.html#group26A1", "26A¹")</f>
        <v/>
      </c>
      <c r="N1299">
        <f>HYPERLINK("CSG11.html#group78D11", "78D¹¹"), =HYPERLINK("CSG24.html#group78A24", "78A²⁴"), =HYPERLINK("CSG16.html#group78D16", "78D¹⁶"), =HYPERLINK("CSG23.html#group156G23", "156G²³"), =HYPERLINK("CSG19.html#group78C19", "78C¹⁹"), =HYPERLINK("CSG19.html#group78E19", "78E¹⁹"), =HYPERLINK("CSG19.html#group78D19", "78D¹⁹")</f>
        <v/>
      </c>
    </row>
    <row r="1300">
      <c r="A1300" t="inlineStr">
        <is>
          <t>79A⁶</t>
        </is>
      </c>
      <c r="B1300" t="inlineStr">
        <is>
          <t>Γ₀(79)</t>
        </is>
      </c>
      <c r="C1300" t="inlineStr">
        <is>
          <t>80</t>
        </is>
      </c>
      <c r="D1300" t="inlineStr">
        <is>
          <t>1</t>
        </is>
      </c>
      <c r="E1300" t="inlineStr">
        <is>
          <t>80</t>
        </is>
      </c>
      <c r="F1300" t="inlineStr">
        <is>
          <t>0</t>
        </is>
      </c>
      <c r="G1300" t="inlineStr">
        <is>
          <t>2</t>
        </is>
      </c>
      <c r="H1300" t="inlineStr">
        <is>
          <t>1¹, 79¹</t>
        </is>
      </c>
      <c r="I1300" t="n">
        <v>2</v>
      </c>
      <c r="J1300" t="inlineStr">
        <is>
          <t>1², 78¹</t>
        </is>
      </c>
      <c r="K1300">
        <f>HYPERLINK("CSG0.html#group1A0", "1A⁰")</f>
        <v/>
      </c>
      <c r="L1300">
        <f>HYPERLINK("CSG12.html#group158A12", "158A¹²"), =HYPERLINK("CSG18.html#group79A18", "79A¹⁸"), =HYPERLINK("CSG19.html#group158A19", "158A¹⁹"), =HYPERLINK("CSG19.html#group237A19", "237A¹⁹"), =HYPERLINK("CSG20.html#group237A20", "237A²⁰")</f>
        <v/>
      </c>
      <c r="M1300">
        <f>HYPERLINK("CSG0.html#group1A0", "1A⁰")</f>
        <v/>
      </c>
      <c r="N1300">
        <f>HYPERLINK("CSG19.html#group158A19", "158A¹⁹"), =HYPERLINK("CSG20.html#group237A20", "237A²⁰"), =HYPERLINK("CSG18.html#group79A18", "79A¹⁸"), =HYPERLINK("CSG19.html#group237A19", "237A¹⁹"), =HYPERLINK("CSG24.html#group316A24", "316A²⁴"), =HYPERLINK("CSG12.html#group158A12", "158A¹²")</f>
        <v/>
      </c>
    </row>
    <row r="1301">
      <c r="A1301" t="inlineStr">
        <is>
          <t>84A⁶</t>
        </is>
      </c>
      <c r="B1301" t="inlineStr"/>
      <c r="C1301" t="inlineStr">
        <is>
          <t>96</t>
        </is>
      </c>
      <c r="D1301" t="inlineStr">
        <is>
          <t>2</t>
        </is>
      </c>
      <c r="E1301" t="inlineStr">
        <is>
          <t>16</t>
        </is>
      </c>
      <c r="F1301" t="inlineStr">
        <is>
          <t>0</t>
        </is>
      </c>
      <c r="G1301" t="inlineStr">
        <is>
          <t>6</t>
        </is>
      </c>
      <c r="H1301" t="inlineStr">
        <is>
          <t>12¹, 84¹</t>
        </is>
      </c>
      <c r="I1301" t="n">
        <v>2</v>
      </c>
      <c r="J1301" t="inlineStr">
        <is>
          <t>2⁴, 12²</t>
        </is>
      </c>
      <c r="K1301">
        <f>HYPERLINK("CSG0.html#group28A0", "28A⁰"), =HYPERLINK("CSG3.html#group42B3", "42B³")</f>
        <v/>
      </c>
      <c r="L1301">
        <f>HYPERLINK("CSG16.html#group84K16", "84K¹⁶"), =HYPERLINK("CSG22.html#group84C22", "84C²²"), =HYPERLINK("CSG22.html#group84D22", "84D²²"), =HYPERLINK("CSG22.html#group84K22", "84K²²")</f>
        <v/>
      </c>
      <c r="M1301">
        <f>HYPERLINK("CSG0.html#group2A0", "2A⁰"), =HYPERLINK("CSG0.html#group28A0", "28A⁰"), =HYPERLINK("CSG0.html#group1A0", "1A⁰"), =HYPERLINK("CSG0.html#group7B0", "7B⁰"), =HYPERLINK("CSG3.html#group42B3", "42B³"), =HYPERLINK("CSG0.html#group14B0", "14B⁰")</f>
        <v/>
      </c>
      <c r="N1301">
        <f>HYPERLINK("CSG22.html#group84C22", "84C²²"), =HYPERLINK("CSG16.html#group84K16", "84K¹⁶"), =HYPERLINK("CSG22.html#group84D22", "84D²²"), =HYPERLINK("CSG22.html#group84K22", "84K²²")</f>
        <v/>
      </c>
    </row>
    <row r="1302">
      <c r="A1302" t="inlineStr">
        <is>
          <t>84B⁶</t>
        </is>
      </c>
      <c r="B1302" t="inlineStr"/>
      <c r="C1302" t="inlineStr">
        <is>
          <t>126</t>
        </is>
      </c>
      <c r="D1302" t="inlineStr">
        <is>
          <t>2</t>
        </is>
      </c>
      <c r="E1302" t="inlineStr">
        <is>
          <t>21</t>
        </is>
      </c>
      <c r="F1302" t="inlineStr">
        <is>
          <t>18</t>
        </is>
      </c>
      <c r="G1302" t="inlineStr">
        <is>
          <t>0</t>
        </is>
      </c>
      <c r="H1302" t="inlineStr">
        <is>
          <t>42¹, 84¹</t>
        </is>
      </c>
      <c r="I1302" t="n">
        <v>2</v>
      </c>
      <c r="J1302" t="inlineStr">
        <is>
          <t>2³, 6⁶</t>
        </is>
      </c>
      <c r="K1302">
        <f>HYPERLINK("CSG0.html#group12C0", "12C⁰"), =HYPERLINK("CSG2.html#group28C2", "28C²"), =HYPERLINK("CSG3.html#group42C3", "42C³")</f>
        <v/>
      </c>
      <c r="L1302">
        <f>HYPERLINK("CSG12.html#group168A12", "168A¹²"), =HYPERLINK("CSG14.html#group84C14", "84C¹⁴"), =HYPERLINK("CSG14.html#group84D14", "84D¹⁴"), =HYPERLINK("CSG15.html#group84I15", "84I¹⁵"), =HYPERLINK("CSG15.html#group168A15", "168A¹⁵"), =HYPERLINK("CSG15.html#group168B15", "168B¹⁵"), =HYPERLINK("CSG16.html#group84A16", "84A¹⁶"), =HYPERLINK("CSG16.html#group84B16", "84B¹⁶"), =HYPERLINK("CSG16.html#group84F16", "84F¹⁶"), =HYPERLINK("CSG16.html#group84I16", "84I¹⁶"), =HYPERLINK("CSG16.html#group84J16", "84J¹⁶"), =HYPERLINK("CSG16.html#group168C16", "168C¹⁶"), =HYPERLINK("CSG16.html#group168D16", "168D¹⁶"), =HYPERLINK("CSG16.html#group168E16", "168E¹⁶"), =HYPERLINK("CSG16.html#group168F16", "168F¹⁶"), =HYPERLINK("CSG16.html#group168G16", "168G¹⁶"), =HYPERLINK("CSG17.html#group84D17", "84D¹⁷"), =HYPERLINK("CSG17.html#group84H17", "84H¹⁷"), =HYPERLINK("CSG17.html#group168A17", "168A¹⁷"), =HYPERLINK("CSG18.html#group168E18", "168E¹⁸"), =HYPERLINK("CSG18.html#group168F18", "168F¹⁸"), =HYPERLINK("CSG20.html#group84C20", "84C²⁰"), =HYPERLINK("CSG21.html#group168A21", "168A²¹"), =HYPERLINK("CSG22.html#group84N22", "84N²²"), =HYPERLINK("CSG24.html#group252G24", "252G²⁴")</f>
        <v/>
      </c>
      <c r="M1302">
        <f>HYPERLINK("CSG2.html#group28C2", "28C²"), =HYPERLINK("CSG0.html#group12C0", "12C⁰"), =HYPERLINK("CSG1.html#group14B1", "14B¹"), =HYPERLINK("CSG0.html#group4C0", "4C⁰"), =HYPERLINK("CSG0.html#group21A0", "21A⁰"), =HYPERLINK("CSG0.html#group2B0", "2B⁰"), =HYPERLINK("CSG0.html#group3A0", "3A⁰"), =HYPERLINK("CSG0.html#group1A0", "1A⁰"), =HYPERLINK("CSG3.html#group42C3", "42C³"), =HYPERLINK("CSG0.html#group6D0", "6D⁰"), =HYPERLINK("CSG0.html#group7A0", "7A⁰")</f>
        <v/>
      </c>
      <c r="N1302">
        <f>HYPERLINK("CSG15.html#group168A15", "168A¹⁵"), =HYPERLINK("CSG16.html#group168C16", "168C¹⁶"), =HYPERLINK("CSG14.html#group84D14", "84D¹⁴"), =HYPERLINK("CSG24.html#group336I24", "336I²⁴"), =HYPERLINK("CSG16.html#group84F16", "84F¹⁶"), =HYPERLINK("CSG16.html#group168E16", "168E¹⁶"), =HYPERLINK("CSG24.html#group252G24", "252G²⁴"), =HYPERLINK("CSG16.html#group168G16", "168G¹⁶"), =HYPERLINK("CSG16.html#group84I16", "84I¹⁶"), =HYPERLINK("CSG12.html#group168A12", "168A¹²"), =HYPERLINK("CSG21.html#group168A21", "168A²¹"), =HYPERLINK("CSG14.html#group84C14", "84C¹⁴"), =HYPERLINK("CSG16.html#group84J16", "84J¹⁶"), =HYPERLINK("CSG16.html#group84B16", "84B¹⁶"), =HYPERLINK("CSG15.html#group84I15", "84I¹⁵"), =HYPERLINK("CSG17.html#group168A17", "168A¹⁷"), =HYPERLINK("CSG16.html#group168F16", "168F¹⁶"), =HYPERLINK("CSG16.html#group168D16", "168D¹⁶"), =HYPERLINK("CSG20.html#group84C20", "84C²⁰"), =HYPERLINK("CSG22.html#group84N22", "84N²²"), =HYPERLINK("CSG16.html#group84A16", "84A¹⁶"), =HYPERLINK("CSG17.html#group84D17", "84D¹⁷"), =HYPERLINK("CSG18.html#group168E18", "168E¹⁸"), =HYPERLINK("CSG15.html#group168B15", "168B¹⁵"), =HYPERLINK("CSG18.html#group168F18", "168F¹⁸"), =HYPERLINK("CSG17.html#group84H17", "84H¹⁷")</f>
        <v/>
      </c>
    </row>
    <row r="1303">
      <c r="A1303" t="inlineStr">
        <is>
          <t>86A⁶</t>
        </is>
      </c>
      <c r="B1303" t="inlineStr"/>
      <c r="C1303" t="inlineStr">
        <is>
          <t>88</t>
        </is>
      </c>
      <c r="D1303" t="inlineStr">
        <is>
          <t>1</t>
        </is>
      </c>
      <c r="E1303" t="inlineStr">
        <is>
          <t>44</t>
        </is>
      </c>
      <c r="F1303" t="inlineStr">
        <is>
          <t>0</t>
        </is>
      </c>
      <c r="G1303" t="inlineStr">
        <is>
          <t>4</t>
        </is>
      </c>
      <c r="H1303" t="inlineStr">
        <is>
          <t>2¹, 86¹</t>
        </is>
      </c>
      <c r="I1303" t="n">
        <v>2</v>
      </c>
      <c r="J1303" t="inlineStr">
        <is>
          <t>1², 42¹</t>
        </is>
      </c>
      <c r="K1303">
        <f>HYPERLINK("CSG0.html#group2A0", "2A⁰"), =HYPERLINK("CSG3.html#group43A3", "43A³")</f>
        <v/>
      </c>
      <c r="L1303">
        <f>HYPERLINK("CSG12.html#group172A12", "172A¹²"), =HYPERLINK("CSG18.html#group86A18", "86A¹⁸"), =HYPERLINK("CSG20.html#group86A20", "86A²⁰"), =HYPERLINK("CSG20.html#group86B20", "86B²⁰"), =HYPERLINK("CSG20.html#group258A20", "258A²⁰"), =HYPERLINK("CSG20.html#group258B20", "258B²⁰"), =HYPERLINK("CSG21.html#group258A21", "258A²¹"), =HYPERLINK("CSG22.html#group258A22", "258A²²")</f>
        <v/>
      </c>
      <c r="M1303">
        <f>HYPERLINK("CSG0.html#group2A0", "2A⁰"), =HYPERLINK("CSG0.html#group1A0", "1A⁰"), =HYPERLINK("CSG3.html#group43A3", "43A³")</f>
        <v/>
      </c>
      <c r="N1303">
        <f>HYPERLINK("CSG22.html#group258A22", "258A²²"), =HYPERLINK("CSG12.html#group172A12", "172A¹²"), =HYPERLINK("CSG21.html#group258A21", "258A²¹"), =HYPERLINK("CSG20.html#group258A20", "258A²⁰"), =HYPERLINK("CSG18.html#group86A18", "86A¹⁸"), =HYPERLINK("CSG20.html#group86A20", "86A²⁰"), =HYPERLINK("CSG20.html#group258B20", "258B²⁰"), =HYPERLINK("CSG20.html#group86B20", "86B²⁰")</f>
        <v/>
      </c>
    </row>
    <row r="1304">
      <c r="A1304" t="inlineStr">
        <is>
          <t>87A⁶</t>
        </is>
      </c>
      <c r="B1304" t="inlineStr"/>
      <c r="C1304" t="inlineStr">
        <is>
          <t>90</t>
        </is>
      </c>
      <c r="D1304" t="inlineStr">
        <is>
          <t>1</t>
        </is>
      </c>
      <c r="E1304" t="inlineStr">
        <is>
          <t>30</t>
        </is>
      </c>
      <c r="F1304" t="inlineStr">
        <is>
          <t>6</t>
        </is>
      </c>
      <c r="G1304" t="inlineStr">
        <is>
          <t>0</t>
        </is>
      </c>
      <c r="H1304" t="inlineStr">
        <is>
          <t>3¹, 87¹</t>
        </is>
      </c>
      <c r="I1304" t="n">
        <v>2</v>
      </c>
      <c r="J1304" t="inlineStr">
        <is>
          <t>1², 28¹</t>
        </is>
      </c>
      <c r="K1304">
        <f>HYPERLINK("CSG0.html#group3A0", "3A⁰"), =HYPERLINK("CSG2.html#group29A2", "29A²")</f>
        <v/>
      </c>
      <c r="L1304">
        <f>HYPERLINK("CSG12.html#group87A12", "87A¹²"), =HYPERLINK("CSG12.html#group174A12", "174A¹²"), =HYPERLINK("CSG13.html#group87A13", "87A¹³"), =HYPERLINK("CSG13.html#group174A13", "174A¹³"), =HYPERLINK("CSG14.html#group87A14", "87A¹⁴"), =HYPERLINK("CSG14.html#group174A14", "174A¹⁴"), =HYPERLINK("CSG15.html#group174A15", "174A¹⁵"), =HYPERLINK("CSG20.html#group174A20", "174A²⁰"), =HYPERLINK("CSG20.html#group261A20", "261A²⁰")</f>
        <v/>
      </c>
      <c r="M1304">
        <f>HYPERLINK("CSG0.html#group3A0", "3A⁰"), =HYPERLINK("CSG0.html#group1A0", "1A⁰"), =HYPERLINK("CSG2.html#group29A2", "29A²")</f>
        <v/>
      </c>
      <c r="N1304">
        <f>HYPERLINK("CSG20.html#group174A20", "174A²⁰"), =HYPERLINK("CSG12.html#group174A12", "174A¹²"), =HYPERLINK("CSG14.html#group174A14", "174A¹⁴"), =HYPERLINK("CSG12.html#group87A12", "87A¹²"), =HYPERLINK("CSG15.html#group174A15", "174A¹⁵"), =HYPERLINK("CSG14.html#group87A14", "87A¹⁴"), =HYPERLINK("CSG20.html#group261A20", "261A²⁰"), =HYPERLINK("CSG13.html#group174A13", "174A¹³"), =HYPERLINK("CSG13.html#group87A13", "87A¹³")</f>
        <v/>
      </c>
    </row>
    <row r="1305">
      <c r="A1305" t="inlineStr">
        <is>
          <t>90A⁶</t>
        </is>
      </c>
      <c r="B1305" t="inlineStr"/>
      <c r="C1305" t="inlineStr">
        <is>
          <t>90</t>
        </is>
      </c>
      <c r="D1305" t="inlineStr">
        <is>
          <t>2</t>
        </is>
      </c>
      <c r="E1305" t="inlineStr">
        <is>
          <t>45</t>
        </is>
      </c>
      <c r="F1305" t="inlineStr">
        <is>
          <t>8</t>
        </is>
      </c>
      <c r="G1305" t="inlineStr">
        <is>
          <t>0</t>
        </is>
      </c>
      <c r="H1305" t="inlineStr">
        <is>
          <t>90¹</t>
        </is>
      </c>
      <c r="I1305" t="n">
        <v>1</v>
      </c>
      <c r="J1305" t="inlineStr">
        <is>
          <t>2³, 6², 8³, 24²</t>
        </is>
      </c>
      <c r="K1305">
        <f>HYPERLINK("CSG0.html#group18A0", "18A⁰"), =HYPERLINK("CSG2.html#group30A2", "30A²"), =HYPERLINK("CSG3.html#group45A3", "45A³")</f>
        <v/>
      </c>
      <c r="L1305">
        <f>HYPERLINK("CSG12.html#group90A12", "90A¹²"), =HYPERLINK("CSG14.html#group90D14", "90D¹⁴"), =HYPERLINK("CSG15.html#group90F15", "90F¹⁵"), =HYPERLINK("CSG16.html#group90B16", "90B¹⁶"), =HYPERLINK("CSG19.html#group90F19", "90F¹⁹"), =HYPERLINK("CSG20.html#group90C20", "90C²⁰"), =HYPERLINK("CSG20.html#group90D20", "90D²⁰"), =HYPERLINK("CSG20.html#group90E20", "90E²⁰")</f>
        <v/>
      </c>
      <c r="M1305">
        <f>HYPERLINK("CSG0.html#group5A0", "5A⁰"), =HYPERLINK("CSG2.html#group30A2", "30A²"), =HYPERLINK("CSG0.html#group6B0", "6B⁰"), =HYPERLINK("CSG0.html#group9A0", "9A⁰"), =HYPERLINK("CSG0.html#group3A0", "3A⁰"), =HYPERLINK("CSG0.html#group1A0", "1A⁰"), =HYPERLINK("CSG0.html#group18A0", "18A⁰"), =HYPERLINK("CSG1.html#group15A1", "15A¹"), =HYPERLINK("CSG3.html#group45A3", "45A³")</f>
        <v/>
      </c>
      <c r="N1305">
        <f>HYPERLINK("CSG20.html#group90E20", "90E²⁰"), =HYPERLINK("CSG15.html#group90F15", "90F¹⁵"), =HYPERLINK("CSG16.html#group90B16", "90B¹⁶"), =HYPERLINK("CSG20.html#group90D20", "90D²⁰"), =HYPERLINK("CSG12.html#group90A12", "90A¹²"), =HYPERLINK("CSG19.html#group90F19", "90F¹⁹"), =HYPERLINK("CSG14.html#group90D14", "90D¹⁴"), =HYPERLINK("CSG20.html#group90C20", "90C²⁰")</f>
        <v/>
      </c>
    </row>
    <row r="1306">
      <c r="A1306" t="inlineStr">
        <is>
          <t>90B⁶</t>
        </is>
      </c>
      <c r="B1306" t="inlineStr"/>
      <c r="C1306" t="inlineStr">
        <is>
          <t>108</t>
        </is>
      </c>
      <c r="D1306" t="inlineStr">
        <is>
          <t>1</t>
        </is>
      </c>
      <c r="E1306" t="inlineStr">
        <is>
          <t>54</t>
        </is>
      </c>
      <c r="F1306" t="inlineStr">
        <is>
          <t>12</t>
        </is>
      </c>
      <c r="G1306" t="inlineStr">
        <is>
          <t>0</t>
        </is>
      </c>
      <c r="H1306" t="inlineStr">
        <is>
          <t>18¹, 90¹</t>
        </is>
      </c>
      <c r="I1306" t="n">
        <v>2</v>
      </c>
      <c r="J1306" t="inlineStr">
        <is>
          <t>1², 2², 4¹, 6², 8¹, 24¹</t>
        </is>
      </c>
      <c r="K1306">
        <f>HYPERLINK("CSG2.html#group30C2", "30C²"), =HYPERLINK("CSG2.html#group45A2", "45A²")</f>
        <v/>
      </c>
      <c r="L1306">
        <f>HYPERLINK("CSG11.html#group90I11", "90I¹¹"), =HYPERLINK("CSG11.html#group90K11", "90K¹¹"), =HYPERLINK("CSG17.html#group90F17", "90F¹⁷"), =HYPERLINK("CSG17.html#group90E17", "90E¹⁷"), =HYPERLINK("CSG17.html#group90I17", "90I¹⁷"), =HYPERLINK("CSG22.html#group90G22", "90G²²"), =HYPERLINK("CSG22.html#group90H22", "90H²²")</f>
        <v/>
      </c>
      <c r="M1306">
        <f>HYPERLINK("CSG0.html#group5B0", "5B⁰"), =HYPERLINK("CSG2.html#group45A2", "45A²"), =HYPERLINK("CSG0.html#group15B0", "15B⁰"), =HYPERLINK("CSG0.html#group3A0", "3A⁰"), =HYPERLINK("CSG0.html#group1A0", "1A⁰"), =HYPERLINK("CSG0.html#group9A0", "9A⁰"), =HYPERLINK("CSG2.html#group30C2", "30C²")</f>
        <v/>
      </c>
      <c r="N1306">
        <f>HYPERLINK("CSG17.html#group90I17", "90I¹⁷"), =HYPERLINK("CSG21.html#group90N21", "90N²¹"), =HYPERLINK("CSG17.html#group90F17", "90F¹⁷"), =HYPERLINK("CSG11.html#group90I11", "90I¹¹"), =HYPERLINK("CSG17.html#group90E17", "90E¹⁷"), =HYPERLINK("CSG11.html#group90K11", "90K¹¹"), =HYPERLINK("CSG22.html#group90H22", "90H²²"), =HYPERLINK("CSG22.html#group90G22", "90G²²")</f>
        <v/>
      </c>
    </row>
    <row r="1307">
      <c r="A1307" t="inlineStr">
        <is>
          <t>90C⁶</t>
        </is>
      </c>
      <c r="B1307" t="inlineStr"/>
      <c r="C1307" t="inlineStr">
        <is>
          <t>120</t>
        </is>
      </c>
      <c r="D1307" t="inlineStr">
        <is>
          <t>1</t>
        </is>
      </c>
      <c r="E1307" t="inlineStr">
        <is>
          <t>20</t>
        </is>
      </c>
      <c r="F1307" t="inlineStr">
        <is>
          <t>0</t>
        </is>
      </c>
      <c r="G1307" t="inlineStr">
        <is>
          <t>12</t>
        </is>
      </c>
      <c r="H1307" t="inlineStr">
        <is>
          <t>30¹, 90¹</t>
        </is>
      </c>
      <c r="I1307" t="n">
        <v>2</v>
      </c>
      <c r="J1307" t="inlineStr">
        <is>
          <t>1², 2¹, 4², 8¹</t>
        </is>
      </c>
      <c r="K1307">
        <f>HYPERLINK("CSG0.html#group18B0", "18B⁰"), =HYPERLINK("CSG2.html#group30D2", "30D²"), =HYPERLINK("CSG3.html#group45B3", "45B³")</f>
        <v/>
      </c>
      <c r="L1307">
        <f>HYPERLINK("CSG12.html#group180A12", "180A¹²"), =HYPERLINK("CSG22.html#group90I22", "90I²²"), =HYPERLINK("CSG22.html#group90J22", "90J²²"), =HYPERLINK("CSG22.html#group90K22", "90K²²"), =HYPERLINK("CSG22.html#group270A22", "270A²²"), =HYPERLINK("CSG24.html#group90D24", "90D²⁴"), =HYPERLINK("CSG24.html#group90E24", "90E²⁴"), =HYPERLINK("CSG24.html#group90F24", "90F²⁴"), =HYPERLINK("CSG24.html#group90G24", "90G²⁴"), =HYPERLINK("CSG24.html#group90H24", "90H²⁴"), =HYPERLINK("CSG24.html#group90I24", "90I²⁴"), =HYPERLINK("CSG24.html#group270A24", "270A²⁴"), =HYPERLINK("CSG24.html#group270B24", "270B²⁴")</f>
        <v/>
      </c>
      <c r="M1307">
        <f>HYPERLINK("CSG0.html#group3B0", "3B⁰"), =HYPERLINK("CSG0.html#group2A0", "2A⁰"), =HYPERLINK("CSG0.html#group5A0", "5A⁰"), =HYPERLINK("CSG3.html#group45B3", "45B³"), =HYPERLINK("CSG0.html#group10A0", "10A⁰"), =HYPERLINK("CSG0.html#group18B0", "18B⁰"), =HYPERLINK("CSG2.html#group30D2", "30D²"), =HYPERLINK("CSG0.html#group6C0", "6C⁰"), =HYPERLINK("CSG1.html#group15B1", "15B¹"), =HYPERLINK("CSG0.html#group9C0", "9C⁰"), =HYPERLINK("CSG0.html#group1A0", "1A⁰")</f>
        <v/>
      </c>
      <c r="N1307">
        <f>HYPERLINK("CSG22.html#group90K22", "90K²²"), =HYPERLINK("CSG24.html#group90G24", "90G²⁴"), =HYPERLINK("CSG24.html#group90H24", "90H²⁴"), =HYPERLINK("CSG22.html#group90I22", "90I²²"), =HYPERLINK("CSG22.html#group270A22", "270A²²"), =HYPERLINK("CSG24.html#group90D24", "90D²⁴"), =HYPERLINK("CSG24.html#group90E24", "90E²⁴"), =HYPERLINK("CSG24.html#group90F24", "90F²⁴"), =HYPERLINK("CSG24.html#group270B24", "270B²⁴"), =HYPERLINK("CSG12.html#group180A12", "180A¹²"), =HYPERLINK("CSG24.html#group270A24", "270A²⁴"), =HYPERLINK("CSG22.html#group90J22", "90J²²"), =HYPERLINK("CSG24.html#group90I24", "90I²⁴")</f>
        <v/>
      </c>
    </row>
    <row r="1308">
      <c r="A1308" t="inlineStr">
        <is>
          <t>91A⁶</t>
        </is>
      </c>
      <c r="B1308" t="inlineStr"/>
      <c r="C1308" t="inlineStr">
        <is>
          <t>98</t>
        </is>
      </c>
      <c r="D1308" t="inlineStr">
        <is>
          <t>2</t>
        </is>
      </c>
      <c r="E1308" t="inlineStr">
        <is>
          <t>98</t>
        </is>
      </c>
      <c r="F1308" t="inlineStr">
        <is>
          <t>6</t>
        </is>
      </c>
      <c r="G1308" t="inlineStr">
        <is>
          <t>2</t>
        </is>
      </c>
      <c r="H1308" t="inlineStr">
        <is>
          <t>7¹, 91¹</t>
        </is>
      </c>
      <c r="I1308" t="n">
        <v>2</v>
      </c>
      <c r="J1308" t="inlineStr">
        <is>
          <t>2², 6⁴, 24¹, 72²</t>
        </is>
      </c>
      <c r="K1308">
        <f>HYPERLINK("CSG0.html#group7A0", "7A⁰"), =HYPERLINK("CSG0.html#group13A0", "13A⁰")</f>
        <v/>
      </c>
      <c r="L1308">
        <f>HYPERLINK("CSG12.html#group91A12", "91A¹²"), =HYPERLINK("CSG12.html#group182A12", "182A¹²"), =HYPERLINK("CSG13.html#group91A13", "91A¹³"), =HYPERLINK("CSG13.html#group182A13", "182A¹³"), =HYPERLINK("CSG14.html#group91A14", "91A¹⁴"), =HYPERLINK("CSG14.html#group182A14", "182A¹⁴"), =HYPERLINK("CSG15.html#group182A15", "182A¹⁵"), =HYPERLINK("CSG18.html#group91A18", "91A¹⁸"), =HYPERLINK("CSG19.html#group273A19", "273A¹⁹"), =HYPERLINK("CSG19.html#group273B19", "273B¹⁹"), =HYPERLINK("CSG20.html#group91A20", "91A²⁰"), =HYPERLINK("CSG20.html#group273A20", "273A²⁰"), =HYPERLINK("CSG22.html#group182A22", "182A²²")</f>
        <v/>
      </c>
      <c r="M1308">
        <f>HYPERLINK("CSG0.html#group13A0", "13A⁰"), =HYPERLINK("CSG0.html#group1A0", "1A⁰"), =HYPERLINK("CSG0.html#group7A0", "7A⁰")</f>
        <v/>
      </c>
      <c r="N1308">
        <f>HYPERLINK("CSG14.html#group182A14", "182A¹⁴"), =HYPERLINK("CSG13.html#group91A13", "91A¹³"), =HYPERLINK("CSG15.html#group182A15", "182A¹⁵"), =HYPERLINK("CSG12.html#group91A12", "91A¹²"), =HYPERLINK("CSG20.html#group273A20", "273A²⁰"), =HYPERLINK("CSG22.html#group182A22", "182A²²"), =HYPERLINK("CSG14.html#group91A14", "91A¹⁴"), =HYPERLINK("CSG18.html#group91A18", "91A¹⁸"), =HYPERLINK("CSG19.html#group273A19", "273A¹⁹"), =HYPERLINK("CSG13.html#group182A13", "182A¹³"), =HYPERLINK("CSG12.html#group182A12", "182A¹²"), =HYPERLINK("CSG19.html#group273B19", "273B¹⁹"), =HYPERLINK("CSG20.html#group91A20", "91A²⁰")</f>
        <v/>
      </c>
    </row>
    <row r="1309">
      <c r="A1309" t="inlineStr">
        <is>
          <t>100A⁶</t>
        </is>
      </c>
      <c r="B1309" t="inlineStr"/>
      <c r="C1309" t="inlineStr">
        <is>
          <t>180</t>
        </is>
      </c>
      <c r="D1309" t="inlineStr">
        <is>
          <t>1</t>
        </is>
      </c>
      <c r="E1309" t="inlineStr">
        <is>
          <t>90</t>
        </is>
      </c>
      <c r="F1309" t="inlineStr">
        <is>
          <t>4</t>
        </is>
      </c>
      <c r="G1309" t="inlineStr">
        <is>
          <t>0</t>
        </is>
      </c>
      <c r="H1309" t="inlineStr">
        <is>
          <t>1¹⁰, 4⁵, 25², 100¹</t>
        </is>
      </c>
      <c r="I1309" t="n">
        <v>18</v>
      </c>
      <c r="J1309" t="inlineStr">
        <is>
          <t>1⁶, 4⁶, 20³</t>
        </is>
      </c>
      <c r="K1309">
        <f>HYPERLINK("CSG0.html#group20A0", "20A⁰"), =HYPERLINK("CSG2.html#group50B2", "50B²")</f>
        <v/>
      </c>
      <c r="L1309">
        <f>HYPERLINK("CSG13.html#group100J13", "100J¹³"), =HYPERLINK("CSG15.html#group200A15", "200A¹⁵"), =HYPERLINK("CSG17.html#group100E17", "100E¹⁷"), =HYPERLINK("CSG19.html#group100P19", "100P¹⁹"), =HYPERLINK("CSG21.html#group200C21", "200C²¹")</f>
        <v/>
      </c>
      <c r="M1309">
        <f>HYPERLINK("CSG0.html#group25A0", "25A⁰"), =HYPERLINK("CSG0.html#group10C0", "10C⁰"), =HYPERLINK("CSG0.html#group20A0", "20A⁰"), =HYPERLINK("CSG0.html#group5B0", "5B⁰"), =HYPERLINK("CSG0.html#group2B0", "2B⁰"), =HYPERLINK("CSG2.html#group50B2", "50B²"), =HYPERLINK("CSG0.html#group1A0", "1A⁰")</f>
        <v/>
      </c>
      <c r="N1309">
        <f>HYPERLINK("CSG17.html#group100E17", "100E¹⁷"), =HYPERLINK("CSG19.html#group100P19", "100P¹⁹"), =HYPERLINK("CSG15.html#group200A15", "200A¹⁵"), =HYPERLINK("CSG21.html#group200C21", "200C²¹"), =HYPERLINK("CSG13.html#group100J13", "100J¹³")</f>
        <v/>
      </c>
    </row>
    <row r="1310">
      <c r="A1310" t="inlineStr">
        <is>
          <t>105A⁶</t>
        </is>
      </c>
      <c r="B1310" t="inlineStr"/>
      <c r="C1310" t="inlineStr">
        <is>
          <t>105</t>
        </is>
      </c>
      <c r="D1310" t="inlineStr">
        <is>
          <t>2</t>
        </is>
      </c>
      <c r="E1310" t="inlineStr">
        <is>
          <t>35</t>
        </is>
      </c>
      <c r="F1310" t="inlineStr">
        <is>
          <t>9</t>
        </is>
      </c>
      <c r="G1310" t="inlineStr">
        <is>
          <t>3</t>
        </is>
      </c>
      <c r="H1310" t="inlineStr">
        <is>
          <t>105¹</t>
        </is>
      </c>
      <c r="I1310" t="n">
        <v>1</v>
      </c>
      <c r="J1310" t="inlineStr">
        <is>
          <t>4¹, 12², 16¹, 48²</t>
        </is>
      </c>
      <c r="K1310">
        <f>HYPERLINK("CSG0.html#group15A0", "15A⁰"), =HYPERLINK("CSG2.html#group35A2", "35A²")</f>
        <v/>
      </c>
      <c r="L1310">
        <f>HYPERLINK("CSG13.html#group210A13", "210A¹³"), =HYPERLINK("CSG14.html#group105A14", "105A¹⁴"), =HYPERLINK("CSG16.html#group210A16", "210A¹⁶"), =HYPERLINK("CSG19.html#group105C19", "105C¹⁹"), =HYPERLINK("CSG22.html#group105C22", "105C²²"), =HYPERLINK("CSG24.html#group210B24", "210B²⁴")</f>
        <v/>
      </c>
      <c r="M1310">
        <f>HYPERLINK("CSG0.html#group5A0", "5A⁰"), =HYPERLINK("CSG0.html#group1A0", "1A⁰"), =HYPERLINK("CSG2.html#group35A2", "35A²"), =HYPERLINK("CSG0.html#group7A0", "7A⁰"), =HYPERLINK("CSG0.html#group15A0", "15A⁰")</f>
        <v/>
      </c>
      <c r="N1310">
        <f>HYPERLINK("CSG13.html#group210A13", "210A¹³"), =HYPERLINK("CSG19.html#group105C19", "105C¹⁹"), =HYPERLINK("CSG24.html#group210B24", "210B²⁴"), =HYPERLINK("CSG22.html#group105C22", "105C²²"), =HYPERLINK("CSG16.html#group210A16", "210A¹⁶"), =HYPERLINK("CSG14.html#group105A14", "105A¹⁴")</f>
        <v/>
      </c>
    </row>
    <row r="1311">
      <c r="A1311" t="inlineStr">
        <is>
          <t>105B⁶</t>
        </is>
      </c>
      <c r="B1311" t="inlineStr"/>
      <c r="C1311" t="inlineStr">
        <is>
          <t>105</t>
        </is>
      </c>
      <c r="D1311" t="inlineStr">
        <is>
          <t>2</t>
        </is>
      </c>
      <c r="E1311" t="inlineStr">
        <is>
          <t>35</t>
        </is>
      </c>
      <c r="F1311" t="inlineStr">
        <is>
          <t>9</t>
        </is>
      </c>
      <c r="G1311" t="inlineStr">
        <is>
          <t>3</t>
        </is>
      </c>
      <c r="H1311" t="inlineStr">
        <is>
          <t>105¹</t>
        </is>
      </c>
      <c r="I1311" t="n">
        <v>1</v>
      </c>
      <c r="J1311" t="inlineStr">
        <is>
          <t>4¹, 12², 16¹, 48²</t>
        </is>
      </c>
      <c r="K1311">
        <f>HYPERLINK("CSG0.html#group15A0", "15A⁰"), =HYPERLINK("CSG2.html#group35A2", "35A²")</f>
        <v/>
      </c>
      <c r="L1311">
        <f>HYPERLINK("CSG13.html#group210B13", "210B¹³"), =HYPERLINK("CSG14.html#group105B14", "105B¹⁴"), =HYPERLINK("CSG16.html#group210B16", "210B¹⁶"), =HYPERLINK("CSG19.html#group105C19", "105C¹⁹"), =HYPERLINK("CSG22.html#group105C22", "105C²²"), =HYPERLINK("CSG24.html#group210C24", "210C²⁴")</f>
        <v/>
      </c>
      <c r="M1311">
        <f>HYPERLINK("CSG0.html#group5A0", "5A⁰"), =HYPERLINK("CSG0.html#group1A0", "1A⁰"), =HYPERLINK("CSG2.html#group35A2", "35A²"), =HYPERLINK("CSG0.html#group7A0", "7A⁰"), =HYPERLINK("CSG0.html#group15A0", "15A⁰")</f>
        <v/>
      </c>
      <c r="N1311">
        <f>HYPERLINK("CSG19.html#group105C19", "105C¹⁹"), =HYPERLINK("CSG22.html#group105C22", "105C²²"), =HYPERLINK("CSG16.html#group210B16", "210B¹⁶"), =HYPERLINK("CSG13.html#group210B13", "210B¹³"), =HYPERLINK("CSG24.html#group210C24", "210C²⁴"), =HYPERLINK("CSG14.html#group105B14", "105B¹⁴")</f>
        <v/>
      </c>
    </row>
    <row r="1312">
      <c r="A1312" t="inlineStr">
        <is>
          <t>105C⁶</t>
        </is>
      </c>
      <c r="B1312" t="inlineStr"/>
      <c r="C1312" t="inlineStr">
        <is>
          <t>126</t>
        </is>
      </c>
      <c r="D1312" t="inlineStr">
        <is>
          <t>2</t>
        </is>
      </c>
      <c r="E1312" t="inlineStr">
        <is>
          <t>42</t>
        </is>
      </c>
      <c r="F1312" t="inlineStr">
        <is>
          <t>18</t>
        </is>
      </c>
      <c r="G1312" t="inlineStr">
        <is>
          <t>0</t>
        </is>
      </c>
      <c r="H1312" t="inlineStr">
        <is>
          <t>21¹, 105¹</t>
        </is>
      </c>
      <c r="I1312" t="n">
        <v>2</v>
      </c>
      <c r="J1312" t="inlineStr">
        <is>
          <t>2², 6⁴, 8¹, 24²</t>
        </is>
      </c>
      <c r="K1312">
        <f>HYPERLINK("CSG0.html#group15B0", "15B⁰"), =HYPERLINK("CSG0.html#group21A0", "21A⁰"), =HYPERLINK("CSG2.html#group35C2", "35C²")</f>
        <v/>
      </c>
      <c r="L1312">
        <f>HYPERLINK("CSG12.html#group210A12", "210A¹²"), =HYPERLINK("CSG14.html#group105D14", "105D¹⁴"), =HYPERLINK("CSG14.html#group105E14", "105E¹⁴"), =HYPERLINK("CSG15.html#group105D15", "105D¹⁵"), =HYPERLINK("CSG15.html#group210C15", "210C¹⁵"), =HYPERLINK("CSG15.html#group210D15", "210D¹⁵"), =HYPERLINK("CSG16.html#group105C16", "105C¹⁶"), =HYPERLINK("CSG16.html#group210H16", "210H¹⁶"), =HYPERLINK("CSG17.html#group105A17", "105A¹⁷"), =HYPERLINK("CSG17.html#group105C17", "105C¹⁷"), =HYPERLINK("CSG17.html#group210E17", "210E¹⁷"), =HYPERLINK("CSG18.html#group210F18", "210F¹⁸"), =HYPERLINK("CSG18.html#group210G18", "210G¹⁸"), =HYPERLINK("CSG20.html#group105A20", "105A²⁰"), =HYPERLINK("CSG21.html#group210A21", "210A²¹"), =HYPERLINK("CSG22.html#group105D22", "105D²²"), =HYPERLINK("CSG24.html#group315A24", "315A²⁴")</f>
        <v/>
      </c>
      <c r="M1312">
        <f>HYPERLINK("CSG2.html#group35C2", "35C²"), =HYPERLINK("CSG0.html#group15B0", "15B⁰"), =HYPERLINK("CSG0.html#group5B0", "5B⁰"), =HYPERLINK("CSG0.html#group21A0", "21A⁰"), =HYPERLINK("CSG0.html#group3A0", "3A⁰"), =HYPERLINK("CSG0.html#group1A0", "1A⁰"), =HYPERLINK("CSG0.html#group7A0", "7A⁰")</f>
        <v/>
      </c>
      <c r="N1312">
        <f>HYPERLINK("CSG17.html#group105A17", "105A¹⁷"), =HYPERLINK("CSG15.html#group210D15", "210D¹⁵"), =HYPERLINK("CSG18.html#group210F18", "210F¹⁸"), =HYPERLINK("CSG15.html#group105D15", "105D¹⁵"), =HYPERLINK("CSG16.html#group210H16", "210H¹⁶"), =HYPERLINK("CSG24.html#group315A24", "315A²⁴"), =HYPERLINK("CSG14.html#group105E14", "105E¹⁴"), =HYPERLINK("CSG12.html#group210A12", "210A¹²"), =HYPERLINK("CSG17.html#group105C17", "105C¹⁷"), =HYPERLINK("CSG15.html#group210C15", "210C¹⁵"), =HYPERLINK("CSG17.html#group210E17", "210E¹⁷"), =HYPERLINK("CSG14.html#group105D14", "105D¹⁴"), =HYPERLINK("CSG20.html#group105A20", "105A²⁰"), =HYPERLINK("CSG22.html#group105D22", "105D²²"), =HYPERLINK("CSG18.html#group210G18", "210G¹⁸"), =HYPERLINK("CSG21.html#group210A21", "210A²¹"), =HYPERLINK("CSG16.html#group105C16", "105C¹⁶")</f>
        <v/>
      </c>
    </row>
    <row r="1313">
      <c r="A1313" t="inlineStr">
        <is>
          <t>108A⁶</t>
        </is>
      </c>
      <c r="B1313" t="inlineStr"/>
      <c r="C1313" t="inlineStr">
        <is>
          <t>144</t>
        </is>
      </c>
      <c r="D1313" t="inlineStr">
        <is>
          <t>1</t>
        </is>
      </c>
      <c r="E1313" t="inlineStr">
        <is>
          <t>24</t>
        </is>
      </c>
      <c r="F1313" t="inlineStr">
        <is>
          <t>0</t>
        </is>
      </c>
      <c r="G1313" t="inlineStr">
        <is>
          <t>18</t>
        </is>
      </c>
      <c r="H1313" t="inlineStr">
        <is>
          <t>36¹, 108¹</t>
        </is>
      </c>
      <c r="I1313" t="n">
        <v>2</v>
      </c>
      <c r="J1313" t="inlineStr">
        <is>
          <t>2⁶, 6²</t>
        </is>
      </c>
      <c r="K1313">
        <f>HYPERLINK("CSG0.html#group36A0", "36A⁰"), =HYPERLINK("CSG3.html#group54C3", "54C³")</f>
        <v/>
      </c>
      <c r="L1313">
        <f>HYPERLINK("CSG22.html#group108C22", "108C²²"), =HYPERLINK("CSG22.html#group108D22", "108D²²")</f>
        <v/>
      </c>
      <c r="M1313">
        <f>HYPERLINK("CSG0.html#group3B0", "3B⁰"), =HYPERLINK("CSG0.html#group2A0", "2A⁰"), =HYPERLINK("CSG0.html#group18B0", "18B⁰"), =HYPERLINK("CSG0.html#group6C0", "6C⁰"), =HYPERLINK("CSG0.html#group9C0", "9C⁰"), =HYPERLINK("CSG0.html#group1A0", "1A⁰"), =HYPERLINK("CSG3.html#group54C3", "54C³"), =HYPERLINK("CSG0.html#group36A0", "36A⁰"), =HYPERLINK("CSG0.html#group12B0", "12B⁰")</f>
        <v/>
      </c>
      <c r="N1313">
        <f>HYPERLINK("CSG22.html#group108D22", "108D²²"), =HYPERLINK("CSG22.html#group108C22", "108C²²")</f>
        <v/>
      </c>
    </row>
    <row r="1314">
      <c r="A1314" t="inlineStr">
        <is>
          <t>121A⁶</t>
        </is>
      </c>
      <c r="B1314" t="inlineStr">
        <is>
          <t>Γ₀(121)</t>
        </is>
      </c>
      <c r="C1314" t="inlineStr">
        <is>
          <t>132</t>
        </is>
      </c>
      <c r="D1314" t="inlineStr">
        <is>
          <t>1</t>
        </is>
      </c>
      <c r="E1314" t="inlineStr">
        <is>
          <t>132</t>
        </is>
      </c>
      <c r="F1314" t="inlineStr">
        <is>
          <t>0</t>
        </is>
      </c>
      <c r="G1314" t="inlineStr">
        <is>
          <t>0</t>
        </is>
      </c>
      <c r="H1314" t="inlineStr">
        <is>
          <t>1¹¹, 121¹</t>
        </is>
      </c>
      <c r="I1314" t="n">
        <v>12</v>
      </c>
      <c r="J1314" t="inlineStr">
        <is>
          <t>1², 10², 110¹</t>
        </is>
      </c>
      <c r="K1314">
        <f>HYPERLINK("CSG1.html#group11A1", "11A¹")</f>
        <v/>
      </c>
      <c r="L1314">
        <f>HYPERLINK("CSG17.html#group242A17", "242A¹⁷"), =HYPERLINK("CSG22.html#group242A22", "242A²²")</f>
        <v/>
      </c>
      <c r="M1314">
        <f>HYPERLINK("CSG0.html#group1A0", "1A⁰"), =HYPERLINK("CSG1.html#group11A1", "11A¹")</f>
        <v/>
      </c>
      <c r="N1314">
        <f>HYPERLINK("CSG22.html#group242A22", "242A²²"), =HYPERLINK("CSG17.html#group242A17", "242A¹⁷")</f>
        <v/>
      </c>
    </row>
    <row r="1315">
      <c r="A1315" t="inlineStr">
        <is>
          <t>125A⁶</t>
        </is>
      </c>
      <c r="B1315" t="inlineStr"/>
      <c r="C1315" t="inlineStr">
        <is>
          <t>150</t>
        </is>
      </c>
      <c r="D1315" t="inlineStr">
        <is>
          <t>1</t>
        </is>
      </c>
      <c r="E1315" t="inlineStr">
        <is>
          <t>150</t>
        </is>
      </c>
      <c r="F1315" t="inlineStr">
        <is>
          <t>2</t>
        </is>
      </c>
      <c r="G1315" t="inlineStr">
        <is>
          <t>0</t>
        </is>
      </c>
      <c r="H1315" t="inlineStr">
        <is>
          <t>1¹⁰, 5³, 125¹</t>
        </is>
      </c>
      <c r="I1315" t="n">
        <v>14</v>
      </c>
      <c r="J1315" t="inlineStr">
        <is>
          <t>2², 4⁴, 20⁴, 100²</t>
        </is>
      </c>
      <c r="K1315">
        <f>HYPERLINK("CSG0.html#group25A0", "25A⁰")</f>
        <v/>
      </c>
      <c r="L1315">
        <f>HYPERLINK("CSG12.html#group125A12", "125A¹²"), =HYPERLINK("CSG18.html#group250A18", "250A¹⁸"), =HYPERLINK("CSG19.html#group250A19", "250A¹⁹"), =HYPERLINK("CSG24.html#group250A24", "250A²⁴")</f>
        <v/>
      </c>
      <c r="M1315">
        <f>HYPERLINK("CSG0.html#group25A0", "25A⁰"), =HYPERLINK("CSG0.html#group5B0", "5B⁰"), =HYPERLINK("CSG0.html#group1A0", "1A⁰")</f>
        <v/>
      </c>
      <c r="N1315">
        <f>HYPERLINK("CSG12.html#group125A12", "125A¹²"), =HYPERLINK("CSG24.html#group250A24", "250A²⁴"), =HYPERLINK("CSG19.html#group250A19", "250A¹⁹"), =HYPERLINK("CSG18.html#group250A18", "250A¹⁸")</f>
        <v/>
      </c>
    </row>
    <row r="1316">
      <c r="A1316" t="inlineStr">
        <is>
          <t>125B⁶</t>
        </is>
      </c>
      <c r="B1316" t="inlineStr"/>
      <c r="C1316" t="inlineStr">
        <is>
          <t>150</t>
        </is>
      </c>
      <c r="D1316" t="inlineStr">
        <is>
          <t>1</t>
        </is>
      </c>
      <c r="E1316" t="inlineStr">
        <is>
          <t>150</t>
        </is>
      </c>
      <c r="F1316" t="inlineStr">
        <is>
          <t>2</t>
        </is>
      </c>
      <c r="G1316" t="inlineStr">
        <is>
          <t>0</t>
        </is>
      </c>
      <c r="H1316" t="inlineStr">
        <is>
          <t>1¹⁰, 5³, 125¹</t>
        </is>
      </c>
      <c r="I1316" t="n">
        <v>14</v>
      </c>
      <c r="J1316" t="inlineStr">
        <is>
          <t>2², 4⁴, 20⁴, 100²</t>
        </is>
      </c>
      <c r="K1316">
        <f>HYPERLINK("CSG0.html#group25A0", "25A⁰")</f>
        <v/>
      </c>
      <c r="L1316">
        <f>HYPERLINK("CSG12.html#group125B12", "125B¹²"), =HYPERLINK("CSG18.html#group250B18", "250B¹⁸"), =HYPERLINK("CSG19.html#group250B19", "250B¹⁹"), =HYPERLINK("CSG24.html#group250B24", "250B²⁴")</f>
        <v/>
      </c>
      <c r="M1316">
        <f>HYPERLINK("CSG0.html#group25A0", "25A⁰"), =HYPERLINK("CSG0.html#group5B0", "5B⁰"), =HYPERLINK("CSG0.html#group1A0", "1A⁰")</f>
        <v/>
      </c>
      <c r="N1316">
        <f>HYPERLINK("CSG12.html#group125B12", "125B¹²"), =HYPERLINK("CSG19.html#group250B19", "250B¹⁹"), =HYPERLINK("CSG18.html#group250B18", "250B¹⁸"), =HYPERLINK("CSG24.html#group250B24", "250B²⁴")</f>
        <v/>
      </c>
    </row>
    <row r="1317">
      <c r="A1317" t="inlineStr">
        <is>
          <t>126A⁶</t>
        </is>
      </c>
      <c r="B1317" t="inlineStr"/>
      <c r="C1317" t="inlineStr">
        <is>
          <t>126</t>
        </is>
      </c>
      <c r="D1317" t="inlineStr">
        <is>
          <t>2</t>
        </is>
      </c>
      <c r="E1317" t="inlineStr">
        <is>
          <t>63</t>
        </is>
      </c>
      <c r="F1317" t="inlineStr">
        <is>
          <t>20</t>
        </is>
      </c>
      <c r="G1317" t="inlineStr">
        <is>
          <t>0</t>
        </is>
      </c>
      <c r="H1317" t="inlineStr">
        <is>
          <t>126¹</t>
        </is>
      </c>
      <c r="I1317" t="n">
        <v>1</v>
      </c>
      <c r="J1317" t="inlineStr">
        <is>
          <t>2¹, 4¹, 6², 12³, 36²</t>
        </is>
      </c>
      <c r="K1317">
        <f>HYPERLINK("CSG1.html#group42A1", "42A¹"), =HYPERLINK("CSG2.html#group63A2", "63A²")</f>
        <v/>
      </c>
      <c r="L1317">
        <f>HYPERLINK("CSG13.html#group126J13", "126J¹³"), =HYPERLINK("CSG13.html#group126K13", "126K¹³"), =HYPERLINK("CSG15.html#group126F15", "126F¹⁵"), =HYPERLINK("CSG17.html#group126B17", "126B¹⁷"), =HYPERLINK("CSG19.html#group126C19", "126C¹⁹"), =HYPERLINK("CSG19.html#group126B19", "126B¹⁹"), =HYPERLINK("CSG21.html#group126C21", "126C²¹"), =HYPERLINK("CSG24.html#group126C24", "126C²⁴")</f>
        <v/>
      </c>
      <c r="M1317">
        <f>HYPERLINK("CSG0.html#group14A0", "14A⁰"), =HYPERLINK("CSG1.html#group42A1", "42A¹"), =HYPERLINK("CSG0.html#group9A0", "9A⁰"), =HYPERLINK("CSG2.html#group63A2", "63A²"), =HYPERLINK("CSG0.html#group21A0", "21A⁰"), =HYPERLINK("CSG0.html#group3A0", "3A⁰"), =HYPERLINK("CSG0.html#group1A0", "1A⁰"), =HYPERLINK("CSG0.html#group7A0", "7A⁰")</f>
        <v/>
      </c>
      <c r="N1317">
        <f>HYPERLINK("CSG13.html#group126J13", "126J¹³"), =HYPERLINK("CSG13.html#group126K13", "126K¹³"), =HYPERLINK("CSG24.html#group126C24", "126C²⁴"), =HYPERLINK("CSG15.html#group126F15", "126F¹⁵"), =HYPERLINK("CSG19.html#group126B19", "126B¹⁹"), =HYPERLINK("CSG19.html#group126C19", "126C¹⁹"), =HYPERLINK("CSG17.html#group126B17", "126B¹⁷"), =HYPERLINK("CSG21.html#group126C21", "126C²¹")</f>
        <v/>
      </c>
    </row>
    <row r="1318">
      <c r="A1318" t="inlineStr">
        <is>
          <t>10A⁷</t>
        </is>
      </c>
      <c r="B1318" t="inlineStr"/>
      <c r="C1318" t="inlineStr">
        <is>
          <t>180</t>
        </is>
      </c>
      <c r="D1318" t="inlineStr">
        <is>
          <t>1</t>
        </is>
      </c>
      <c r="E1318" t="inlineStr">
        <is>
          <t>15</t>
        </is>
      </c>
      <c r="F1318" t="inlineStr">
        <is>
          <t>0</t>
        </is>
      </c>
      <c r="G1318" t="inlineStr">
        <is>
          <t>0</t>
        </is>
      </c>
      <c r="H1318" t="inlineStr">
        <is>
          <t>10¹⁸</t>
        </is>
      </c>
      <c r="I1318" t="n">
        <v>18</v>
      </c>
      <c r="J1318" t="inlineStr">
        <is>
          <t>1¹, 2¹, 4³</t>
        </is>
      </c>
      <c r="K1318">
        <f>HYPERLINK("CSG1.html#group10G1", "10G¹"), =HYPERLINK("CSG2.html#group10F2", "10F²"), =HYPERLINK("CSG3.html#group10A3", "10A³"), =HYPERLINK("CSG3.html#group10B3", "10B³"), =HYPERLINK("CSG3.html#group10C3", "10C³"), =HYPERLINK("CSG4.html#group10A4", "10A⁴")</f>
        <v/>
      </c>
      <c r="L1318">
        <f>HYPERLINK("CSG13.html#group10A13", "10A¹³"), =HYPERLINK("CSG19.html#group20C19", "20C¹⁹"), =HYPERLINK("CSG19.html#group20D19", "20D¹⁹")</f>
        <v/>
      </c>
      <c r="M1318">
        <f>HYPERLINK("CSG0.html#group2A0", "2A⁰"), =HYPERLINK("CSG0.html#group5A0", "5A⁰"), =HYPERLINK("CSG4.html#group10A4", "10A⁴"), =HYPERLINK("CSG2.html#group10A2", "10A²"), =HYPERLINK("CSG1.html#group10B1", "10B¹"), =HYPERLINK("CSG0.html#group5B0", "5B⁰"), =HYPERLINK("CSG1.html#group10A1", "10A¹"), =HYPERLINK("CSG3.html#group10A3", "10A³"), =HYPERLINK("CSG0.html#group2B0", "2B⁰"), =HYPERLINK("CSG2.html#group10B2", "10B²"), =HYPERLINK("CSG1.html#group10E1", "10E¹"), =HYPERLINK("CSG0.html#group1A0", "1A⁰"), =HYPERLINK("CSG1.html#group10F1", "10F¹"), =HYPERLINK("CSG3.html#group10C3", "10C³"), =HYPERLINK("CSG0.html#group10A0", "10A⁰"), =HYPERLINK("CSG1.html#group10I1", "10I¹"), =HYPERLINK("CSG2.html#group10F2", "10F²"), =HYPERLINK("CSG0.html#group10E0", "10E⁰"), =HYPERLINK("CSG3.html#group10B3", "10B³"), =HYPERLINK("CSG0.html#group5E0", "5E⁰"), =HYPERLINK("CSG0.html#group10C0", "10C⁰"), =HYPERLINK("CSG1.html#group10C1", "10C¹"), =HYPERLINK("CSG0.html#group5C0", "5C⁰"), =HYPERLINK("CSG0.html#group2C0", "2C⁰"), =HYPERLINK("CSG0.html#group5G0", "5G⁰"), =HYPERLINK("CSG1.html#group10G1", "10G¹")</f>
        <v/>
      </c>
      <c r="N1318">
        <f>HYPERLINK("CSG19.html#group20C19", "20C¹⁹"), =HYPERLINK("CSG13.html#group10A13", "10A¹³"), =HYPERLINK("CSG19.html#group20D19", "20D¹⁹")</f>
        <v/>
      </c>
    </row>
    <row r="1319">
      <c r="A1319" t="inlineStr">
        <is>
          <t>12A⁷</t>
        </is>
      </c>
      <c r="B1319" t="inlineStr"/>
      <c r="C1319" t="inlineStr">
        <is>
          <t>144</t>
        </is>
      </c>
      <c r="D1319" t="inlineStr">
        <is>
          <t>1</t>
        </is>
      </c>
      <c r="E1319" t="inlineStr">
        <is>
          <t>1</t>
        </is>
      </c>
      <c r="F1319" t="inlineStr">
        <is>
          <t>0</t>
        </is>
      </c>
      <c r="G1319" t="inlineStr">
        <is>
          <t>0</t>
        </is>
      </c>
      <c r="H1319" t="inlineStr">
        <is>
          <t>12¹²</t>
        </is>
      </c>
      <c r="I1319" t="n">
        <v>12</v>
      </c>
      <c r="J1319" t="inlineStr">
        <is>
          <t>1¹</t>
        </is>
      </c>
      <c r="K1319">
        <f>HYPERLINK("CSG1.html#group6F1", "6F¹"), =HYPERLINK("CSG1.html#group12O1", "12O¹"), =HYPERLINK("CSG2.html#group12F2", "12F²"), =HYPERLINK("CSG3.html#group12A3", "12A³"), =HYPERLINK("CSG3.html#group12H3", "12H³")</f>
        <v/>
      </c>
      <c r="L1319">
        <f>HYPERLINK("CSG13.html#group12B13", "12B¹³")</f>
        <v/>
      </c>
      <c r="M1319">
        <f>HYPERLINK("CSG0.html#group2A0", "2A⁰"), =HYPERLINK("CSG1.html#group12D1", "12D¹"), =HYPERLINK("CSG1.html#group6C1", "6C¹"), =HYPERLINK("CSG0.html#group6G0", "6G⁰"), =HYPERLINK("CSG0.html#group2B0", "2B⁰"), =HYPERLINK("CSG0.html#group1A0", "1A⁰"), =HYPERLINK("CSG2.html#group12F2", "12F²"), =HYPERLINK("CSG1.html#group6B1", "6B¹"), =HYPERLINK("CSG0.html#group3C0", "3C⁰"), =HYPERLINK("CSG0.html#group6K0", "6K⁰"), =HYPERLINK("CSG1.html#group6A1", "6A¹"), =HYPERLINK("CSG0.html#group6H0", "6H⁰"), =HYPERLINK("CSG0.html#group3A0", "3A⁰"), =HYPERLINK("CSG1.html#group12O1", "12O¹"), =HYPERLINK("CSG0.html#group6F0", "6F⁰"), =HYPERLINK("CSG3.html#group12H3", "12H³"), =HYPERLINK("CSG1.html#group6E1", "6E¹"), =HYPERLINK("CSG0.html#group3B0", "3B⁰"), =HYPERLINK("CSG0.html#group6B0", "6B⁰"), =HYPERLINK("CSG3.html#group12A3", "12A³"), =HYPERLINK("CSG0.html#group6I0", "6I⁰"), =HYPERLINK("CSG1.html#group6F1", "6F¹"), =HYPERLINK("CSG0.html#group6C0", "6C⁰"), =HYPERLINK("CSG1.html#group6D1", "6D¹"), =HYPERLINK("CSG0.html#group6A0", "6A⁰"), =HYPERLINK("CSG0.html#group6E0", "6E⁰"), =HYPERLINK("CSG0.html#group6L0", "6L⁰"), =HYPERLINK("CSG0.html#group6J0", "6J⁰"), =HYPERLINK("CSG0.html#group3D0", "3D⁰"), =HYPERLINK("CSG0.html#group2C0", "2C⁰"), =HYPERLINK("CSG0.html#group6D0", "6D⁰"), =HYPERLINK("CSG0.html#group12B0", "12B⁰")</f>
        <v/>
      </c>
      <c r="N1319">
        <f>HYPERLINK("CSG13.html#group12B13", "12B¹³")</f>
        <v/>
      </c>
    </row>
    <row r="1320">
      <c r="A1320" t="inlineStr">
        <is>
          <t>12B⁷</t>
        </is>
      </c>
      <c r="B1320" t="inlineStr"/>
      <c r="C1320" t="inlineStr">
        <is>
          <t>144</t>
        </is>
      </c>
      <c r="D1320" t="inlineStr">
        <is>
          <t>1</t>
        </is>
      </c>
      <c r="E1320" t="inlineStr">
        <is>
          <t>3</t>
        </is>
      </c>
      <c r="F1320" t="inlineStr">
        <is>
          <t>0</t>
        </is>
      </c>
      <c r="G1320" t="inlineStr">
        <is>
          <t>0</t>
        </is>
      </c>
      <c r="H1320" t="inlineStr">
        <is>
          <t>12¹²</t>
        </is>
      </c>
      <c r="I1320" t="n">
        <v>12</v>
      </c>
      <c r="J1320" t="inlineStr">
        <is>
          <t>1¹, 2¹</t>
        </is>
      </c>
      <c r="K1320">
        <f>HYPERLINK("CSG2.html#group12I2", "12I²"), =HYPERLINK("CSG3.html#group12C3", "12C³"), =HYPERLINK("CSG3.html#group12G3", "12G³"), =HYPERLINK("CSG3.html#group12J3", "12J³"), =HYPERLINK("CSG4.html#group12A4", "12A⁴"), =HYPERLINK("CSG4.html#group12C4", "12C⁴")</f>
        <v/>
      </c>
      <c r="L1320">
        <f>HYPERLINK("CSG13.html#group12A13", "12A¹³"), =HYPERLINK("CSG15.html#group24A15", "24A¹⁵"), =HYPERLINK("CSG15.html#group24B15", "24B¹⁵"), =HYPERLINK("CSG17.html#group24G17", "24G¹⁷"), =HYPERLINK("CSG17.html#group24J17", "24J¹⁷"), =HYPERLINK("CSG19.html#group24B19", "24B¹⁹"), =HYPERLINK("CSG19.html#group24C19", "24C¹⁹")</f>
        <v/>
      </c>
      <c r="M1320">
        <f>HYPERLINK("CSG2.html#group12I2", "12I²"), =HYPERLINK("CSG0.html#group2A0", "2A⁰"), =HYPERLINK("CSG0.html#group12C0", "12C⁰"), =HYPERLINK("CSG1.html#group12K1", "12K¹"), =HYPERLINK("CSG2.html#group12D2", "12D²"), =HYPERLINK("CSG1.html#group6C1", "6C¹"), =HYPERLINK("CSG0.html#group4C0", "4C⁰"), =HYPERLINK("CSG2.html#group12B2", "12B²"), =HYPERLINK("CSG2.html#group12E2", "12E²"), =HYPERLINK("CSG0.html#group6G0", "6G⁰"), =HYPERLINK("CSG0.html#group4G0", "4G⁰"), =HYPERLINK("CSG0.html#group2B0", "2B⁰"), =HYPERLINK("CSG0.html#group4E0", "4E⁰"), =HYPERLINK("CSG1.html#group12M1", "12M¹"), =HYPERLINK("CSG0.html#group4B0", "4B⁰"), =HYPERLINK("CSG3.html#group12G3", "12G³"), =HYPERLINK("CSG0.html#group1A0", "1A⁰"), =HYPERLINK("CSG4.html#group12A4", "12A⁴"), =HYPERLINK("CSG1.html#group6B1", "6B¹"), =HYPERLINK("CSG0.html#group4D0", "4D⁰"), =HYPERLINK("CSG2.html#group12A2", "12A²"), =HYPERLINK("CSG0.html#group3C0", "3C⁰"), =HYPERLINK("CSG1.html#group6A1", "6A¹"), =HYPERLINK("CSG1.html#group12B1", "12B¹"), =HYPERLINK("CSG0.html#group6H0", "6H⁰"), =HYPERLINK("CSG0.html#group3A0", "3A⁰"), =HYPERLINK("CSG1.html#group12G1", "12G¹"), =HYPERLINK("CSG1.html#group6E1", "6E¹"), =HYPERLINK("CSG0.html#group6B0", "6B⁰"), =HYPERLINK("CSG1.html#group12E1", "12E¹"), =HYPERLINK("CSG3.html#group12C3", "12C³"), =HYPERLINK("CSG0.html#group12F0", "12F⁰"), =HYPERLINK("CSG1.html#group12L1", "12L¹"), =HYPERLINK("CSG3.html#group12J3", "12J³"), =HYPERLINK("CSG0.html#group12A0", "12A⁰"), =HYPERLINK("CSG0.html#group6A0", "6A⁰"), =HYPERLINK("CSG1.html#group12C1", "12C¹"), =HYPERLINK("CSG0.html#group4A0", "4A⁰"), =HYPERLINK("CSG1.html#group12J1", "12J¹"), =HYPERLINK("CSG0.html#group12D0", "12D⁰"), =HYPERLINK("CSG0.html#group4F0", "4F⁰"), =HYPERLINK("CSG4.html#group12C4", "12C⁴"), =HYPERLINK("CSG0.html#group12H0", "12H⁰"), =HYPERLINK("CSG0.html#group2C0", "2C⁰"), =HYPERLINK("CSG0.html#group6D0", "6D⁰")</f>
        <v/>
      </c>
      <c r="N1320">
        <f>HYPERLINK("CSG19.html#group24C19", "24C¹⁹"), =HYPERLINK("CSG17.html#group24J17", "24J¹⁷"), =HYPERLINK("CSG13.html#group12A13", "12A¹³"), =HYPERLINK("CSG15.html#group24A15", "24A¹⁵"), =HYPERLINK("CSG15.html#group24B15", "24B¹⁵"), =HYPERLINK("CSG19.html#group24B19", "24B¹⁹"), =HYPERLINK("CSG17.html#group24G17", "24G¹⁷")</f>
        <v/>
      </c>
    </row>
    <row r="1321">
      <c r="A1321" t="inlineStr">
        <is>
          <t>12C⁷</t>
        </is>
      </c>
      <c r="B1321" t="inlineStr"/>
      <c r="C1321" t="inlineStr">
        <is>
          <t>144</t>
        </is>
      </c>
      <c r="D1321" t="inlineStr">
        <is>
          <t>1</t>
        </is>
      </c>
      <c r="E1321" t="inlineStr">
        <is>
          <t>6</t>
        </is>
      </c>
      <c r="F1321" t="inlineStr">
        <is>
          <t>0</t>
        </is>
      </c>
      <c r="G1321" t="inlineStr">
        <is>
          <t>0</t>
        </is>
      </c>
      <c r="H1321" t="inlineStr">
        <is>
          <t>12¹²</t>
        </is>
      </c>
      <c r="I1321" t="n">
        <v>12</v>
      </c>
      <c r="J1321" t="inlineStr">
        <is>
          <t>1², 2²</t>
        </is>
      </c>
      <c r="K1321">
        <f>HYPERLINK("CSG2.html#group12G2", "12G²"), =HYPERLINK("CSG3.html#group12B3", "12B³"), =HYPERLINK("CSG3.html#group12D3", "12D³"), =HYPERLINK("CSG3.html#group12I3", "12I³"), =HYPERLINK("CSG3.html#group12J3", "12J³")</f>
        <v/>
      </c>
      <c r="L1321">
        <f>HYPERLINK("CSG13.html#group12A13", "12A¹³"), =HYPERLINK("CSG15.html#group24C15", "24C¹⁵"), =HYPERLINK("CSG17.html#group24D17", "24D¹⁷"), =HYPERLINK("CSG17.html#group24E17", "24E¹⁷"), =HYPERLINK("CSG19.html#group24J19", "24J¹⁹")</f>
        <v/>
      </c>
      <c r="M1321">
        <f>HYPERLINK("CSG1.html#group12G1", "12G¹"), =HYPERLINK("CSG0.html#group3B0", "3B⁰"), =HYPERLINK("CSG0.html#group12C0", "12C⁰"), =HYPERLINK("CSG3.html#group12B3", "12B³"), =HYPERLINK("CSG1.html#group12F1", "12F¹"), =HYPERLINK("CSG0.html#group4C0", "4C⁰"), =HYPERLINK("CSG2.html#group12C2", "12C²"), =HYPERLINK("CSG0.html#group6G0", "6G⁰"), =HYPERLINK("CSG0.html#group2B0", "2B⁰"), =HYPERLINK("CSG1.html#group12M1", "12M¹"), =HYPERLINK("CSG0.html#group1A0", "1A⁰"), =HYPERLINK("CSG1.html#group12L1", "12L¹"), =HYPERLINK("CSG3.html#group12J3", "12J³"), =HYPERLINK("CSG0.html#group12A0", "12A⁰"), =HYPERLINK("CSG3.html#group12D3", "12D³"), =HYPERLINK("CSG1.html#group12C1", "12C¹"), =HYPERLINK("CSG3.html#group12I3", "12I³"), =HYPERLINK("CSG0.html#group4A0", "4A⁰"), =HYPERLINK("CSG1.html#group12A1", "12A¹"), =HYPERLINK("CSG0.html#group6F0", "6F⁰"), =HYPERLINK("CSG0.html#group3C0", "3C⁰"), =HYPERLINK("CSG0.html#group6K0", "6K⁰"), =HYPERLINK("CSG2.html#group12G2", "12G²"), =HYPERLINK("CSG1.html#group12J1", "12J¹"), =HYPERLINK("CSG0.html#group4F0", "4F⁰"), =HYPERLINK("CSG0.html#group3A0", "3A⁰"), =HYPERLINK("CSG0.html#group3D0", "3D⁰"), =HYPERLINK("CSG0.html#group6D0", "6D⁰")</f>
        <v/>
      </c>
      <c r="N1321">
        <f>HYPERLINK("CSG17.html#group24E17", "24E¹⁷"), =HYPERLINK("CSG13.html#group12A13", "12A¹³"), =HYPERLINK("CSG19.html#group24J19", "24J¹⁹"), =HYPERLINK("CSG15.html#group24C15", "24C¹⁵"), =HYPERLINK("CSG17.html#group24D17", "24D¹⁷")</f>
        <v/>
      </c>
    </row>
    <row r="1322">
      <c r="A1322" t="inlineStr">
        <is>
          <t>12D⁷</t>
        </is>
      </c>
      <c r="B1322" t="inlineStr"/>
      <c r="C1322" t="inlineStr">
        <is>
          <t>144</t>
        </is>
      </c>
      <c r="D1322" t="inlineStr">
        <is>
          <t>1</t>
        </is>
      </c>
      <c r="E1322" t="inlineStr">
        <is>
          <t>9</t>
        </is>
      </c>
      <c r="F1322" t="inlineStr">
        <is>
          <t>0</t>
        </is>
      </c>
      <c r="G1322" t="inlineStr">
        <is>
          <t>0</t>
        </is>
      </c>
      <c r="H1322" t="inlineStr">
        <is>
          <t>12¹²</t>
        </is>
      </c>
      <c r="I1322" t="n">
        <v>12</v>
      </c>
      <c r="J1322" t="inlineStr">
        <is>
          <t>1³, 2³</t>
        </is>
      </c>
      <c r="K1322">
        <f>HYPERLINK("CSG2.html#group12H2", "12H²"), =HYPERLINK("CSG3.html#group12F3", "12F³"), =HYPERLINK("CSG3.html#group12G3", "12G³"), =HYPERLINK("CSG3.html#group12I3", "12I³"), =HYPERLINK("CSG4.html#group12B4", "12B⁴"), =HYPERLINK("CSG4.html#group12C4", "12C⁴")</f>
        <v/>
      </c>
      <c r="L1322">
        <f>HYPERLINK("CSG13.html#group12A13", "12A¹³"), =HYPERLINK("CSG15.html#group24F15", "24F¹⁵"), =HYPERLINK("CSG15.html#group24J15", "24J¹⁵"), =HYPERLINK("CSG17.html#group24H17", "24H¹⁷"), =HYPERLINK("CSG17.html#group24I17", "24I¹⁷"), =HYPERLINK("CSG17.html#group24Y17", "24Y¹⁷"), =HYPERLINK("CSG19.html#group24K19", "24K¹⁹")</f>
        <v/>
      </c>
      <c r="M1322">
        <f>HYPERLINK("CSG0.html#group2A0", "2A⁰"), =HYPERLINK("CSG0.html#group12C0", "12C⁰"), =HYPERLINK("CSG1.html#group12K1", "12K¹"), =HYPERLINK("CSG2.html#group12D2", "12D²"), =HYPERLINK("CSG3.html#group12F3", "12F³"), =HYPERLINK("CSG0.html#group4C0", "4C⁰"), =HYPERLINK("CSG1.html#group6C1", "6C¹"), =HYPERLINK("CSG0.html#group6G0", "6G⁰"), =HYPERLINK("CSG2.html#group12E2", "12E²"), =HYPERLINK("CSG4.html#group12B4", "12B⁴"), =HYPERLINK("CSG1.html#group12M1", "12M¹"), =HYPERLINK("CSG0.html#group2B0", "2B⁰"), =HYPERLINK("CSG2.html#group12B2", "12B²"), =HYPERLINK("CSG1.html#group12N1", "12N¹"), =HYPERLINK("CSG0.html#group4E0", "4E⁰"), =HYPERLINK("CSG3.html#group12G3", "12G³"), =HYPERLINK("CSG0.html#group1A0", "1A⁰"), =HYPERLINK("CSG0.html#group4B0", "4B⁰"), =HYPERLINK("CSG2.html#group12H2", "12H²"), =HYPERLINK("CSG1.html#group6B1", "6B¹"), =HYPERLINK("CSG0.html#group3C0", "3C⁰"), =HYPERLINK("CSG1.html#group6A1", "6A¹"), =HYPERLINK("CSG1.html#group12B1", "12B¹"), =HYPERLINK("CSG0.html#group6H0", "6H⁰"), =HYPERLINK("CSG0.html#group3A0", "3A⁰"), =HYPERLINK("CSG1.html#group6E1", "6E¹"), =HYPERLINK("CSG0.html#group6B0", "6B⁰"), =HYPERLINK("CSG1.html#group12H1", "12H¹"), =HYPERLINK("CSG1.html#group12L1", "12L¹"), =HYPERLINK("CSG0.html#group12G0", "12G⁰"), =HYPERLINK("CSG1.html#group12C1", "12C¹"), =HYPERLINK("CSG0.html#group6A0", "6A⁰"), =HYPERLINK("CSG3.html#group12I3", "12I³"), =HYPERLINK("CSG0.html#group12D0", "12D⁰"), =HYPERLINK("CSG4.html#group12C4", "12C⁴"), =HYPERLINK("CSG0.html#group12H0", "12H⁰"), =HYPERLINK("CSG2.html#group12C2", "12C²"), =HYPERLINK("CSG0.html#group2C0", "2C⁰"), =HYPERLINK("CSG0.html#group6D0", "6D⁰")</f>
        <v/>
      </c>
      <c r="N1322">
        <f>HYPERLINK("CSG15.html#group24F15", "24F¹⁵"), =HYPERLINK("CSG15.html#group24J15", "24J¹⁵"), =HYPERLINK("CSG19.html#group24K19", "24K¹⁹"), =HYPERLINK("CSG17.html#group24H17", "24H¹⁷"), =HYPERLINK("CSG17.html#group24Y17", "24Y¹⁷"), =HYPERLINK("CSG17.html#group24I17", "24I¹⁷"), =HYPERLINK("CSG13.html#group12A13", "12A¹³")</f>
        <v/>
      </c>
    </row>
    <row r="1323">
      <c r="A1323" t="inlineStr">
        <is>
          <t>12E⁷</t>
        </is>
      </c>
      <c r="B1323" t="inlineStr"/>
      <c r="C1323" t="inlineStr">
        <is>
          <t>144</t>
        </is>
      </c>
      <c r="D1323" t="inlineStr">
        <is>
          <t>1</t>
        </is>
      </c>
      <c r="E1323" t="inlineStr">
        <is>
          <t>18</t>
        </is>
      </c>
      <c r="F1323" t="inlineStr">
        <is>
          <t>0</t>
        </is>
      </c>
      <c r="G1323" t="inlineStr">
        <is>
          <t>0</t>
        </is>
      </c>
      <c r="H1323" t="inlineStr">
        <is>
          <t>12¹²</t>
        </is>
      </c>
      <c r="I1323" t="n">
        <v>12</v>
      </c>
      <c r="J1323" t="inlineStr">
        <is>
          <t>2³, 4³</t>
        </is>
      </c>
      <c r="K1323">
        <f>HYPERLINK("CSG1.html#group12U1", "12U¹"), =HYPERLINK("CSG3.html#group12E3", "12E³"), =HYPERLINK("CSG3.html#group12H3", "12H³")</f>
        <v/>
      </c>
      <c r="L1323">
        <f>HYPERLINK("CSG13.html#group12B13", "12B¹³"), =HYPERLINK("CSG17.html#group24X17", "24X¹⁷")</f>
        <v/>
      </c>
      <c r="M1323">
        <f>HYPERLINK("CSG1.html#group12U1", "12U¹"), =HYPERLINK("CSG1.html#group12D1", "12D¹"), =HYPERLINK("CSG0.html#group6B0", "6B⁰"), =HYPERLINK("CSG1.html#group12K1", "12K¹"), =HYPERLINK("CSG2.html#group12D2", "12D²"), =HYPERLINK("CSG0.html#group6G0", "6G⁰"), =HYPERLINK("CSG0.html#group2B0", "2B⁰"), =HYPERLINK("CSG1.html#group12N1", "12N¹"), =HYPERLINK("CSG0.html#group4B0", "4B⁰"), =HYPERLINK("CSG0.html#group1A0", "1A⁰"), =HYPERLINK("CSG1.html#group12C1", "12C¹"), =HYPERLINK("CSG0.html#group6E0", "6E⁰"), =HYPERLINK("CSG0.html#group6L0", "6L⁰"), =HYPERLINK("CSG3.html#group12E3", "12E³"), =HYPERLINK("CSG0.html#group3C0", "3C⁰"), =HYPERLINK("CSG1.html#group12B1", "12B¹"), =HYPERLINK("CSG0.html#group12D0", "12D⁰"), =HYPERLINK("CSG0.html#group6H0", "6H⁰"), =HYPERLINK("CSG0.html#group3A0", "3A⁰"), =HYPERLINK("CSG2.html#group12C2", "12C²"), =HYPERLINK("CSG3.html#group12H3", "12H³"), =HYPERLINK("CSG0.html#group6D0", "6D⁰")</f>
        <v/>
      </c>
      <c r="N1323">
        <f>HYPERLINK("CSG13.html#group12B13", "12B¹³"), =HYPERLINK("CSG17.html#group24X17", "24X¹⁷")</f>
        <v/>
      </c>
    </row>
    <row r="1324">
      <c r="A1324" t="inlineStr">
        <is>
          <t>12F⁷</t>
        </is>
      </c>
      <c r="B1324" t="inlineStr"/>
      <c r="C1324" t="inlineStr">
        <is>
          <t>192</t>
        </is>
      </c>
      <c r="D1324" t="inlineStr">
        <is>
          <t>1</t>
        </is>
      </c>
      <c r="E1324" t="inlineStr">
        <is>
          <t>32</t>
        </is>
      </c>
      <c r="F1324" t="inlineStr">
        <is>
          <t>0</t>
        </is>
      </c>
      <c r="G1324" t="inlineStr">
        <is>
          <t>6</t>
        </is>
      </c>
      <c r="H1324" t="inlineStr">
        <is>
          <t>12¹⁶</t>
        </is>
      </c>
      <c r="I1324" t="n">
        <v>16</v>
      </c>
      <c r="J1324" t="inlineStr">
        <is>
          <t>4⁸</t>
        </is>
      </c>
      <c r="K1324">
        <f>HYPERLINK("CSG1.html#group12O1", "12O¹"), =HYPERLINK("CSG1.html#group12R1", "12R¹"), =HYPERLINK("CSG4.html#group12D4", "12D⁴")</f>
        <v/>
      </c>
      <c r="L1324">
        <f>HYPERLINK("CSG21.html#group24H21", "24H²¹")</f>
        <v/>
      </c>
      <c r="M1324">
        <f>HYPERLINK("CSG0.html#group3B0", "3B⁰"), =HYPERLINK("CSG0.html#group2A0", "2A⁰"), =HYPERLINK("CSG1.html#group12I1", "12I¹"), =HYPERLINK("CSG1.html#group12H1", "12H¹"), =HYPERLINK("CSG0.html#group6C0", "6C⁰"), =HYPERLINK("CSG1.html#group12E1", "12E¹"), =HYPERLINK("CSG0.html#group1A0", "1A⁰"), =HYPERLINK("CSG4.html#group12D4", "12D⁴"), =HYPERLINK("CSG0.html#group6A0", "6A⁰"), =HYPERLINK("CSG0.html#group4A0", "4A⁰"), =HYPERLINK("CSG0.html#group4D0", "4D⁰"), =HYPERLINK("CSG1.html#group12A1", "12A¹"), =HYPERLINK("CSG0.html#group6J0", "6J⁰"), =HYPERLINK("CSG1.html#group12R1", "12R¹"), =HYPERLINK("CSG1.html#group12O1", "12O¹"), =HYPERLINK("CSG0.html#group12B0", "12B⁰")</f>
        <v/>
      </c>
      <c r="N1324">
        <f>HYPERLINK("CSG21.html#group24H21", "24H²¹")</f>
        <v/>
      </c>
    </row>
    <row r="1325">
      <c r="A1325" t="inlineStr">
        <is>
          <t>13A⁷</t>
        </is>
      </c>
      <c r="B1325" t="inlineStr"/>
      <c r="C1325" t="inlineStr">
        <is>
          <t>182</t>
        </is>
      </c>
      <c r="D1325" t="inlineStr">
        <is>
          <t>1</t>
        </is>
      </c>
      <c r="E1325" t="inlineStr">
        <is>
          <t>91</t>
        </is>
      </c>
      <c r="F1325" t="inlineStr">
        <is>
          <t>6</t>
        </is>
      </c>
      <c r="G1325" t="inlineStr">
        <is>
          <t>2</t>
        </is>
      </c>
      <c r="H1325" t="inlineStr">
        <is>
          <t>13¹⁴</t>
        </is>
      </c>
      <c r="I1325" t="n">
        <v>14</v>
      </c>
      <c r="J1325" t="inlineStr">
        <is>
          <t>2¹, 6², 12¹⁴</t>
        </is>
      </c>
      <c r="K1325">
        <f>HYPERLINK("CSG3.html#group13C3", "13C³")</f>
        <v/>
      </c>
      <c r="L1325">
        <f>HYPERLINK("CSG16.html#group13A16", "13A¹⁶"), =HYPERLINK("CSG20.html#group26A20", "26A²⁰"), =HYPERLINK("CSG23.html#group26B23", "26B²³"), =HYPERLINK("CSG24.html#group13A24", "13A²⁴")</f>
        <v/>
      </c>
      <c r="M1325">
        <f>HYPERLINK("CSG3.html#group13C3", "13C³"), =HYPERLINK("CSG0.html#group1A0", "1A⁰")</f>
        <v/>
      </c>
      <c r="N1325">
        <f>HYPERLINK("CSG16.html#group13A16", "13A¹⁶"), =HYPERLINK("CSG20.html#group26A20", "26A²⁰"), =HYPERLINK("CSG23.html#group26B23", "26B²³"), =HYPERLINK("CSG24.html#group13A24", "13A²⁴")</f>
        <v/>
      </c>
    </row>
    <row r="1326">
      <c r="A1326" t="inlineStr">
        <is>
          <t>13B⁷</t>
        </is>
      </c>
      <c r="B1326" t="inlineStr"/>
      <c r="C1326" t="inlineStr">
        <is>
          <t>182</t>
        </is>
      </c>
      <c r="D1326" t="inlineStr">
        <is>
          <t>1</t>
        </is>
      </c>
      <c r="E1326" t="inlineStr">
        <is>
          <t>91</t>
        </is>
      </c>
      <c r="F1326" t="inlineStr">
        <is>
          <t>6</t>
        </is>
      </c>
      <c r="G1326" t="inlineStr">
        <is>
          <t>2</t>
        </is>
      </c>
      <c r="H1326" t="inlineStr">
        <is>
          <t>13¹⁴</t>
        </is>
      </c>
      <c r="I1326" t="n">
        <v>14</v>
      </c>
      <c r="J1326" t="inlineStr">
        <is>
          <t>2¹, 6², 12¹⁴</t>
        </is>
      </c>
      <c r="K1326">
        <f>HYPERLINK("CSG3.html#group13C3", "13C³")</f>
        <v/>
      </c>
      <c r="L1326">
        <f>HYPERLINK("CSG16.html#group13A16", "13A¹⁶"), =HYPERLINK("CSG20.html#group26B20", "26B²⁰"), =HYPERLINK("CSG23.html#group26C23", "26C²³"), =HYPERLINK("CSG24.html#group13A24", "13A²⁴")</f>
        <v/>
      </c>
      <c r="M1326">
        <f>HYPERLINK("CSG3.html#group13C3", "13C³"), =HYPERLINK("CSG0.html#group1A0", "1A⁰")</f>
        <v/>
      </c>
      <c r="N1326">
        <f>HYPERLINK("CSG16.html#group13A16", "13A¹⁶"), =HYPERLINK("CSG20.html#group26B20", "26B²⁰"), =HYPERLINK("CSG24.html#group13A24", "13A²⁴"), =HYPERLINK("CSG23.html#group26C23", "26C²³")</f>
        <v/>
      </c>
    </row>
    <row r="1327">
      <c r="A1327" t="inlineStr">
        <is>
          <t>14A⁷</t>
        </is>
      </c>
      <c r="B1327" t="inlineStr"/>
      <c r="C1327" t="inlineStr">
        <is>
          <t>126</t>
        </is>
      </c>
      <c r="D1327" t="inlineStr">
        <is>
          <t>1</t>
        </is>
      </c>
      <c r="E1327" t="inlineStr">
        <is>
          <t>21</t>
        </is>
      </c>
      <c r="F1327" t="inlineStr">
        <is>
          <t>0</t>
        </is>
      </c>
      <c r="G1327" t="inlineStr">
        <is>
          <t>0</t>
        </is>
      </c>
      <c r="H1327" t="inlineStr">
        <is>
          <t>14⁹</t>
        </is>
      </c>
      <c r="I1327" t="n">
        <v>9</v>
      </c>
      <c r="J1327" t="inlineStr">
        <is>
          <t>3¹, 6³</t>
        </is>
      </c>
      <c r="K1327">
        <f>HYPERLINK("CSG2.html#group14F2", "14F²"), =HYPERLINK("CSG3.html#group14A3", "14A³"), =HYPERLINK("CSG3.html#group14B3", "14B³")</f>
        <v/>
      </c>
      <c r="L1327">
        <f>HYPERLINK("CSG13.html#group14A13", "14A¹³"), =HYPERLINK("CSG13.html#group14C13", "14C¹³"), =HYPERLINK("CSG16.html#group28B16", "28B¹⁶"), =HYPERLINK("CSG16.html#group28C16", "28C¹⁶"), =HYPERLINK("CSG16.html#group28F16", "28F¹⁶")</f>
        <v/>
      </c>
      <c r="M1327">
        <f>HYPERLINK("CSG0.html#group2A0", "2A⁰"), =HYPERLINK("CSG0.html#group7D0", "7D⁰"), =HYPERLINK("CSG3.html#group14B3", "14B³"), =HYPERLINK("CSG1.html#group14B1", "14B¹"), =HYPERLINK("CSG3.html#group14A3", "14A³"), =HYPERLINK("CSG1.html#group14A1", "14A¹"), =HYPERLINK("CSG2.html#group14F2", "14F²"), =HYPERLINK("CSG0.html#group2B0", "2B⁰"), =HYPERLINK("CSG0.html#group1A0", "1A⁰"), =HYPERLINK("CSG0.html#group2C0", "2C⁰"), =HYPERLINK("CSG0.html#group7A0", "7A⁰")</f>
        <v/>
      </c>
      <c r="N1327">
        <f>HYPERLINK("CSG16.html#group28F16", "28F¹⁶"), =HYPERLINK("CSG16.html#group28B16", "28B¹⁶"), =HYPERLINK("CSG16.html#group28C16", "28C¹⁶"), =HYPERLINK("CSG13.html#group14C13", "14C¹³"), =HYPERLINK("CSG13.html#group14A13", "14A¹³")</f>
        <v/>
      </c>
    </row>
    <row r="1328">
      <c r="A1328" t="inlineStr">
        <is>
          <t>14B⁷</t>
        </is>
      </c>
      <c r="B1328" t="inlineStr"/>
      <c r="C1328" t="inlineStr">
        <is>
          <t>168</t>
        </is>
      </c>
      <c r="D1328" t="inlineStr">
        <is>
          <t>1</t>
        </is>
      </c>
      <c r="E1328" t="inlineStr">
        <is>
          <t>21</t>
        </is>
      </c>
      <c r="F1328" t="inlineStr">
        <is>
          <t>8</t>
        </is>
      </c>
      <c r="G1328" t="inlineStr">
        <is>
          <t>0</t>
        </is>
      </c>
      <c r="H1328" t="inlineStr">
        <is>
          <t>14¹²</t>
        </is>
      </c>
      <c r="I1328" t="n">
        <v>12</v>
      </c>
      <c r="J1328" t="inlineStr">
        <is>
          <t>3¹, 6³</t>
        </is>
      </c>
      <c r="K1328">
        <f>HYPERLINK("CSG1.html#group7C1", "7C¹"), =HYPERLINK("CSG1.html#group14G1", "14G¹"), =HYPERLINK("CSG3.html#group14F3", "14F³")</f>
        <v/>
      </c>
      <c r="L1328">
        <f>HYPERLINK("CSG17.html#group14A17", "14A¹⁷"), =HYPERLINK("CSG21.html#group28A21", "28A²¹"), =HYPERLINK("CSG23.html#group14A23", "14A²³")</f>
        <v/>
      </c>
      <c r="M1328">
        <f>HYPERLINK("CSG0.html#group14A0", "14A⁰"), =HYPERLINK("CSG2.html#group14B2", "14B²"), =HYPERLINK("CSG0.html#group7D0", "7D⁰"), =HYPERLINK("CSG0.html#group7C0", "7C⁰"), =HYPERLINK("CSG1.html#group7C1", "7C¹"), =HYPERLINK("CSG1.html#group7A1", "7A¹"), =HYPERLINK("CSG0.html#group7F0", "7F⁰"), =HYPERLINK("CSG3.html#group14F3", "14F³"), =HYPERLINK("CSG0.html#group1A0", "1A⁰"), =HYPERLINK("CSG0.html#group7G0", "7G⁰"), =HYPERLINK("CSG1.html#group14G1", "14G¹"), =HYPERLINK("CSG1.html#group14E1", "14E¹"), =HYPERLINK("CSG0.html#group7A0", "7A⁰")</f>
        <v/>
      </c>
      <c r="N1328">
        <f>HYPERLINK("CSG17.html#group14A17", "14A¹⁷"), =HYPERLINK("CSG23.html#group14A23", "14A²³"), =HYPERLINK("CSG21.html#group28A21", "28A²¹")</f>
        <v/>
      </c>
    </row>
    <row r="1329">
      <c r="A1329" t="inlineStr">
        <is>
          <t>14C⁷</t>
        </is>
      </c>
      <c r="B1329" t="inlineStr"/>
      <c r="C1329" t="inlineStr">
        <is>
          <t>168</t>
        </is>
      </c>
      <c r="D1329" t="inlineStr">
        <is>
          <t>1</t>
        </is>
      </c>
      <c r="E1329" t="inlineStr">
        <is>
          <t>84</t>
        </is>
      </c>
      <c r="F1329" t="inlineStr">
        <is>
          <t>0</t>
        </is>
      </c>
      <c r="G1329" t="inlineStr">
        <is>
          <t>0</t>
        </is>
      </c>
      <c r="H1329" t="inlineStr">
        <is>
          <t>7⁸, 14⁸</t>
        </is>
      </c>
      <c r="I1329" t="n">
        <v>16</v>
      </c>
      <c r="J1329" t="inlineStr">
        <is>
          <t>1³, 3³, 6¹²</t>
        </is>
      </c>
      <c r="K1329">
        <f>HYPERLINK("CSG1.html#group7B1", "7B¹"), =HYPERLINK("CSG1.html#group14C1", "14C¹"), =HYPERLINK("CSG2.html#group14A2", "14A²"), =HYPERLINK("CSG3.html#group14D3", "14D³")</f>
        <v/>
      </c>
      <c r="L1329">
        <f>HYPERLINK("CSG17.html#group14B17", "14B¹⁷"), =HYPERLINK("CSG17.html#group28A17", "28A¹⁷"), =HYPERLINK("CSG19.html#group14A19", "14A¹⁹"), =HYPERLINK("CSG21.html#group28E21", "28E²¹")</f>
        <v/>
      </c>
      <c r="M1329">
        <f>HYPERLINK("CSG2.html#group14A2", "14A²"), =HYPERLINK("CSG1.html#group14B1", "14B¹"), =HYPERLINK("CSG0.html#group7B0", "7B⁰"), =HYPERLINK("CSG0.html#group7C0", "7C⁰"), =HYPERLINK("CSG1.html#group14C1", "14C¹"), =HYPERLINK("CSG0.html#group7F0", "7F⁰"), =HYPERLINK("CSG0.html#group2B0", "2B⁰"), =HYPERLINK("CSG0.html#group1A0", "1A⁰"), =HYPERLINK("CSG1.html#group7B1", "7B¹"), =HYPERLINK("CSG0.html#group7A0", "7A⁰"), =HYPERLINK("CSG3.html#group14D3", "14D³")</f>
        <v/>
      </c>
      <c r="N1329">
        <f>HYPERLINK("CSG21.html#group28E21", "28E²¹"), =HYPERLINK("CSG19.html#group14A19", "14A¹⁹"), =HYPERLINK("CSG17.html#group28A17", "28A¹⁷"), =HYPERLINK("CSG17.html#group14B17", "14B¹⁷")</f>
        <v/>
      </c>
    </row>
    <row r="1330">
      <c r="A1330" t="inlineStr">
        <is>
          <t>14D⁷</t>
        </is>
      </c>
      <c r="B1330" t="inlineStr"/>
      <c r="C1330" t="inlineStr">
        <is>
          <t>168</t>
        </is>
      </c>
      <c r="D1330" t="inlineStr">
        <is>
          <t>1</t>
        </is>
      </c>
      <c r="E1330" t="inlineStr">
        <is>
          <t>84</t>
        </is>
      </c>
      <c r="F1330" t="inlineStr">
        <is>
          <t>8</t>
        </is>
      </c>
      <c r="G1330" t="inlineStr">
        <is>
          <t>0</t>
        </is>
      </c>
      <c r="H1330" t="inlineStr">
        <is>
          <t>14¹²</t>
        </is>
      </c>
      <c r="I1330" t="n">
        <v>12</v>
      </c>
      <c r="J1330" t="inlineStr">
        <is>
          <t>1³, 3³, 6¹²</t>
        </is>
      </c>
      <c r="K1330">
        <f>HYPERLINK("CSG1.html#group14G1", "14G¹"), =HYPERLINK("CSG2.html#group14C2", "14C²"), =HYPERLINK("CSG3.html#group14D3", "14D³")</f>
        <v/>
      </c>
      <c r="L1330">
        <f>HYPERLINK("CSG17.html#group14B17", "14B¹⁷"), =HYPERLINK("CSG17.html#group28B17", "28B¹⁷"), =HYPERLINK("CSG17.html#group28C17", "28C¹⁷"), =HYPERLINK("CSG17.html#group28D17", "28D¹⁷"), =HYPERLINK("CSG21.html#group28B21", "28B²¹"), =HYPERLINK("CSG21.html#group28G21", "28G²¹"), =HYPERLINK("CSG21.html#group28H21", "28H²¹"), =HYPERLINK("CSG23.html#group14A23", "14A²³")</f>
        <v/>
      </c>
      <c r="M1330">
        <f>HYPERLINK("CSG0.html#group14A0", "14A⁰"), =HYPERLINK("CSG1.html#group14B1", "14B¹"), =HYPERLINK("CSG2.html#group14C2", "14C²"), =HYPERLINK("CSG0.html#group7F0", "7F⁰"), =HYPERLINK("CSG0.html#group2B0", "2B⁰"), =HYPERLINK("CSG1.html#group14G1", "14G¹"), =HYPERLINK("CSG0.html#group1A0", "1A⁰"), =HYPERLINK("CSG0.html#group7A0", "7A⁰"), =HYPERLINK("CSG3.html#group14D3", "14D³")</f>
        <v/>
      </c>
      <c r="N1330">
        <f>HYPERLINK("CSG17.html#group28C17", "28C¹⁷"), =HYPERLINK("CSG23.html#group14A23", "14A²³"), =HYPERLINK("CSG17.html#group28B17", "28B¹⁷"), =HYPERLINK("CSG17.html#group14B17", "14B¹⁷"), =HYPERLINK("CSG21.html#group28G21", "28G²¹"), =HYPERLINK("CSG21.html#group28H21", "28H²¹"), =HYPERLINK("CSG17.html#group28D17", "28D¹⁷"), =HYPERLINK("CSG21.html#group28B21", "28B²¹")</f>
        <v/>
      </c>
    </row>
    <row r="1331">
      <c r="A1331" t="inlineStr">
        <is>
          <t>15A⁷</t>
        </is>
      </c>
      <c r="B1331" t="inlineStr"/>
      <c r="C1331" t="inlineStr">
        <is>
          <t>120</t>
        </is>
      </c>
      <c r="D1331" t="inlineStr">
        <is>
          <t>1</t>
        </is>
      </c>
      <c r="E1331" t="inlineStr">
        <is>
          <t>10</t>
        </is>
      </c>
      <c r="F1331" t="inlineStr">
        <is>
          <t>0</t>
        </is>
      </c>
      <c r="G1331" t="inlineStr">
        <is>
          <t>0</t>
        </is>
      </c>
      <c r="H1331" t="inlineStr">
        <is>
          <t>15⁸</t>
        </is>
      </c>
      <c r="I1331" t="n">
        <v>8</v>
      </c>
      <c r="J1331" t="inlineStr">
        <is>
          <t>2¹, 4²</t>
        </is>
      </c>
      <c r="K1331">
        <f>HYPERLINK("CSG0.html#group3D0", "3D⁰"), =HYPERLINK("CSG2.html#group15C2", "15C²"), =HYPERLINK("CSG3.html#group15C3", "15C³")</f>
        <v/>
      </c>
      <c r="L1331">
        <f>HYPERLINK("CSG13.html#group15A13", "15A¹³"), =HYPERLINK("CSG17.html#group30A17", "30A¹⁷"), =HYPERLINK("CSG17.html#group30B17", "30B¹⁷"), =HYPERLINK("CSG19.html#group15B19", "15B¹⁹"), =HYPERLINK("CSG23.html#group30A23", "30A²³"), =HYPERLINK("CSG23.html#group45A23", "45A²³")</f>
        <v/>
      </c>
      <c r="M1331">
        <f>HYPERLINK("CSG0.html#group3B0", "3B⁰"), =HYPERLINK("CSG1.html#group15D1", "15D¹"), =HYPERLINK("CSG0.html#group5C0", "5C⁰"), =HYPERLINK("CSG0.html#group3C0", "3C⁰"), =HYPERLINK("CSG2.html#group15C2", "15C²"), =HYPERLINK("CSG3.html#group15C3", "15C³"), =HYPERLINK("CSG0.html#group3A0", "3A⁰"), =HYPERLINK("CSG0.html#group1A0", "1A⁰"), =HYPERLINK("CSG0.html#group3D0", "3D⁰")</f>
        <v/>
      </c>
      <c r="N1331">
        <f>HYPERLINK("CSG19.html#group15B19", "15B¹⁹"), =HYPERLINK("CSG17.html#group30A17", "30A¹⁷"), =HYPERLINK("CSG23.html#group30A23", "30A²³"), =HYPERLINK("CSG23.html#group45A23", "45A²³"), =HYPERLINK("CSG13.html#group15A13", "15A¹³"), =HYPERLINK("CSG17.html#group30B17", "30B¹⁷")</f>
        <v/>
      </c>
    </row>
    <row r="1332">
      <c r="A1332" t="inlineStr">
        <is>
          <t>15B⁷</t>
        </is>
      </c>
      <c r="B1332" t="inlineStr"/>
      <c r="C1332" t="inlineStr">
        <is>
          <t>120</t>
        </is>
      </c>
      <c r="D1332" t="inlineStr">
        <is>
          <t>1</t>
        </is>
      </c>
      <c r="E1332" t="inlineStr">
        <is>
          <t>30</t>
        </is>
      </c>
      <c r="F1332" t="inlineStr">
        <is>
          <t>0</t>
        </is>
      </c>
      <c r="G1332" t="inlineStr">
        <is>
          <t>0</t>
        </is>
      </c>
      <c r="H1332" t="inlineStr">
        <is>
          <t>15⁸</t>
        </is>
      </c>
      <c r="I1332" t="n">
        <v>8</v>
      </c>
      <c r="J1332" t="inlineStr">
        <is>
          <t>2¹, 4³, 8²</t>
        </is>
      </c>
      <c r="K1332">
        <f>HYPERLINK("CSG2.html#group15A2", "15A²"), =HYPERLINK("CSG2.html#group15D2", "15D²"), =HYPERLINK("CSG3.html#group15C3", "15C³"), =HYPERLINK("CSG4.html#group15B4", "15B⁴")</f>
        <v/>
      </c>
      <c r="L1332">
        <f>HYPERLINK("CSG13.html#group15A13", "15A¹³"), =HYPERLINK("CSG17.html#group30D17", "30D¹⁷"), =HYPERLINK("CSG17.html#group30E17", "30E¹⁷"), =HYPERLINK("CSG19.html#group15A19", "15A¹⁹"), =HYPERLINK("CSG23.html#group30F23", "30F²³"), =HYPERLINK("CSG23.html#group45C23", "45C²³")</f>
        <v/>
      </c>
      <c r="M1332">
        <f>HYPERLINK("CSG0.html#group5A0", "5A⁰"), =HYPERLINK("CSG1.html#group15D1", "15D¹"), =HYPERLINK("CSG2.html#group15A2", "15A²"), =HYPERLINK("CSG4.html#group15B4", "15B⁴"), =HYPERLINK("CSG0.html#group5C0", "5C⁰"), =HYPERLINK("CSG2.html#group15D2", "15D²"), =HYPERLINK("CSG0.html#group3C0", "3C⁰"), =HYPERLINK("CSG0.html#group5F0", "5F⁰"), =HYPERLINK("CSG3.html#group15C3", "15C³"), =HYPERLINK("CSG0.html#group3A0", "3A⁰"), =HYPERLINK("CSG0.html#group1A0", "1A⁰"), =HYPERLINK("CSG1.html#group15A1", "15A¹")</f>
        <v/>
      </c>
      <c r="N1332">
        <f>HYPERLINK("CSG23.html#group30F23", "30F²³"), =HYPERLINK("CSG23.html#group45C23", "45C²³"), =HYPERLINK("CSG17.html#group30D17", "30D¹⁷"), =HYPERLINK("CSG19.html#group15A19", "15A¹⁹"), =HYPERLINK("CSG13.html#group15A13", "15A¹³"), =HYPERLINK("CSG17.html#group30E17", "30E¹⁷")</f>
        <v/>
      </c>
    </row>
    <row r="1333">
      <c r="A1333" t="inlineStr">
        <is>
          <t>15C⁷</t>
        </is>
      </c>
      <c r="B1333" t="inlineStr"/>
      <c r="C1333" t="inlineStr">
        <is>
          <t>180</t>
        </is>
      </c>
      <c r="D1333" t="inlineStr">
        <is>
          <t>2</t>
        </is>
      </c>
      <c r="E1333" t="inlineStr">
        <is>
          <t>15</t>
        </is>
      </c>
      <c r="F1333" t="inlineStr">
        <is>
          <t>12</t>
        </is>
      </c>
      <c r="G1333" t="inlineStr">
        <is>
          <t>0</t>
        </is>
      </c>
      <c r="H1333" t="inlineStr">
        <is>
          <t>15¹²</t>
        </is>
      </c>
      <c r="I1333" t="n">
        <v>12</v>
      </c>
      <c r="J1333" t="inlineStr">
        <is>
          <t>2¹, 4¹, 8³</t>
        </is>
      </c>
      <c r="K1333">
        <f>HYPERLINK("CSG2.html#group15E2", "15E²"), =HYPERLINK("CSG3.html#group15H3", "15H³")</f>
        <v/>
      </c>
      <c r="L1333">
        <f>HYPERLINK("CSG16.html#group15A16", "15A¹⁶"), =HYPERLINK("CSG17.html#group15A17", "15A¹⁷"), =HYPERLINK("CSG21.html#group30F21", "30F²¹"), =HYPERLINK("CSG22.html#group30E22", "30E²²")</f>
        <v/>
      </c>
      <c r="M1333">
        <f>HYPERLINK("CSG2.html#group15E2", "15E²"), =HYPERLINK("CSG0.html#group5A0", "5A⁰"), =HYPERLINK("CSG1.html#group15A1", "15A¹"), =HYPERLINK("CSG1.html#group15F1", "15F¹"), =HYPERLINK("CSG0.html#group5E0", "5E⁰"), =HYPERLINK("CSG0.html#group3A0", "3A⁰"), =HYPERLINK("CSG0.html#group1A0", "1A⁰"), =HYPERLINK("CSG3.html#group15H3", "15H³"), =HYPERLINK("CSG0.html#group15A0", "15A⁰")</f>
        <v/>
      </c>
      <c r="N1333">
        <f>HYPERLINK("CSG21.html#group30F21", "30F²¹"), =HYPERLINK("CSG22.html#group30E22", "30E²²"), =HYPERLINK("CSG16.html#group15A16", "15A¹⁶"), =HYPERLINK("CSG17.html#group15A17", "15A¹⁷")</f>
        <v/>
      </c>
    </row>
    <row r="1334">
      <c r="A1334" t="inlineStr">
        <is>
          <t>16A⁷</t>
        </is>
      </c>
      <c r="B1334" t="inlineStr"/>
      <c r="C1334" t="inlineStr">
        <is>
          <t>128</t>
        </is>
      </c>
      <c r="D1334" t="inlineStr">
        <is>
          <t>1</t>
        </is>
      </c>
      <c r="E1334" t="inlineStr">
        <is>
          <t>64</t>
        </is>
      </c>
      <c r="F1334" t="inlineStr">
        <is>
          <t>0</t>
        </is>
      </c>
      <c r="G1334" t="inlineStr">
        <is>
          <t>2</t>
        </is>
      </c>
      <c r="H1334" t="inlineStr">
        <is>
          <t>16⁸</t>
        </is>
      </c>
      <c r="I1334" t="n">
        <v>8</v>
      </c>
      <c r="J1334" t="inlineStr">
        <is>
          <t>8⁸</t>
        </is>
      </c>
      <c r="K1334">
        <f>HYPERLINK("CSG1.html#group8E1", "8E¹"), =HYPERLINK("CSG2.html#group16G2", "16G²")</f>
        <v/>
      </c>
      <c r="L1334">
        <f>HYPERLINK("CSG13.html#group16A13", "16A¹³"), =HYPERLINK("CSG21.html#group16A21", "16A²¹")</f>
        <v/>
      </c>
      <c r="M1334">
        <f>HYPERLINK("CSG0.html#group2A0", "2A⁰"), =HYPERLINK("CSG0.html#group8F0", "8F⁰"), =HYPERLINK("CSG0.html#group4A0", "4A⁰"), =HYPERLINK("CSG0.html#group4D0", "4D⁰"), =HYPERLINK("CSG2.html#group16G2", "16G²"), =HYPERLINK("CSG1.html#group8E1", "8E¹"), =HYPERLINK("CSG0.html#group1A0", "1A⁰")</f>
        <v/>
      </c>
      <c r="N1334">
        <f>HYPERLINK("CSG13.html#group16A13", "16A¹³"), =HYPERLINK("CSG21.html#group16A21", "16A²¹")</f>
        <v/>
      </c>
    </row>
    <row r="1335">
      <c r="A1335" t="inlineStr">
        <is>
          <t>16B⁷</t>
        </is>
      </c>
      <c r="B1335" t="inlineStr"/>
      <c r="C1335" t="inlineStr">
        <is>
          <t>192</t>
        </is>
      </c>
      <c r="D1335" t="inlineStr">
        <is>
          <t>1</t>
        </is>
      </c>
      <c r="E1335" t="inlineStr">
        <is>
          <t>6</t>
        </is>
      </c>
      <c r="F1335" t="inlineStr">
        <is>
          <t>0</t>
        </is>
      </c>
      <c r="G1335" t="inlineStr">
        <is>
          <t>0</t>
        </is>
      </c>
      <c r="H1335" t="inlineStr">
        <is>
          <t>8¹⁶, 16⁴</t>
        </is>
      </c>
      <c r="I1335" t="n">
        <v>20</v>
      </c>
      <c r="J1335" t="inlineStr">
        <is>
          <t>1², 2²</t>
        </is>
      </c>
      <c r="K1335">
        <f>HYPERLINK("CSG2.html#group16I2", "16I²"), =HYPERLINK("CSG3.html#group8B3", "8B³"), =HYPERLINK("CSG3.html#group16P3", "16P³"), =HYPERLINK("CSG3.html#group16Q3", "16Q³"), =HYPERLINK("CSG4.html#group16A4", "16A⁴")</f>
        <v/>
      </c>
      <c r="L1335">
        <f>HYPERLINK("CSG13.html#group16B13", "16B¹³"), =HYPERLINK("CSG19.html#group32A19", "32A¹⁹"), =HYPERLINK("CSG21.html#group16D21", "16D²¹"), =HYPERLINK("CSG21.html#group16E21", "16E²¹")</f>
        <v/>
      </c>
      <c r="M1335">
        <f>HYPERLINK("CSG0.html#group2A0", "2A⁰"), =HYPERLINK("CSG3.html#group8B3", "8B³"), =HYPERLINK("CSG4.html#group16A4", "16A⁴"), =HYPERLINK("CSG0.html#group4C0", "4C⁰"), =HYPERLINK("CSG0.html#group8A0", "8A⁰"), =HYPERLINK("CSG3.html#group16P3", "16P³"),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=HYPERLINK("CSG0.html#group8K0", "8K⁰"), =HYPERLINK("CSG1.html#group8H1", "8H¹"), =HYPERLINK("CSG0.html#group8G0", "8G⁰"), =HYPERLINK("CSG0.html#group4D0", "4D⁰"), =HYPERLINK("CSG3.html#group16Q3", "16Q³"), =HYPERLINK("CSG1.html#group16K1", "16K¹"), =HYPERLINK("CSG0.html#group8N0", "8N⁰"), =HYPERLINK("CSG1.html#group8A1", "8A¹"), =HYPERLINK("CSG0.html#group8D0", "8D⁰"), =HYPERLINK("CSG2.html#group16I2", "16I²"), =HYPERLINK("CSG2.html#group8B2", "8B²"), =HYPERLINK("CSG0.html#group8B0", "8B⁰"), =HYPERLINK("CSG0.html#group8E0", "8E⁰"), =HYPERLINK("CSG1.html#group8B1", "8B¹"), =HYPERLINK("CSG1.html#group8D1", "8D¹"), =HYPERLINK("CSG0.html#group8H0", "8H⁰"), =HYPERLINK("CSG2.html#group8A2", "8A²"), =HYPERLINK("CSG1.html#group16L1", "16L¹"), =HYPERLINK("CSG1.html#group8C1", "8C¹"), =HYPERLINK("CSG0.html#group4A0", "4A⁰"), =HYPERLINK("CSG0.html#group4F0", "4F⁰"), =HYPERLINK("CSG0.html#group8J0", "8J⁰"), =HYPERLINK("CSG0.html#group2C0", "2C⁰")</f>
        <v/>
      </c>
      <c r="N1335">
        <f>HYPERLINK("CSG13.html#group16B13", "16B¹³"), =HYPERLINK("CSG21.html#group16D21", "16D²¹"), =HYPERLINK("CSG21.html#group16E21", "16E²¹"), =HYPERLINK("CSG19.html#group32A19", "32A¹⁹")</f>
        <v/>
      </c>
    </row>
    <row r="1336">
      <c r="A1336" t="inlineStr">
        <is>
          <t>16C⁷</t>
        </is>
      </c>
      <c r="B1336" t="inlineStr"/>
      <c r="C1336" t="inlineStr">
        <is>
          <t>192</t>
        </is>
      </c>
      <c r="D1336" t="inlineStr">
        <is>
          <t>1</t>
        </is>
      </c>
      <c r="E1336" t="inlineStr">
        <is>
          <t>12</t>
        </is>
      </c>
      <c r="F1336" t="inlineStr">
        <is>
          <t>0</t>
        </is>
      </c>
      <c r="G1336" t="inlineStr">
        <is>
          <t>0</t>
        </is>
      </c>
      <c r="H1336" t="inlineStr">
        <is>
          <t>4⁸, 8⁴, 16⁸</t>
        </is>
      </c>
      <c r="I1336" t="n">
        <v>20</v>
      </c>
      <c r="J1336" t="inlineStr">
        <is>
          <t>1⁴, 2², 4¹</t>
        </is>
      </c>
      <c r="K1336">
        <f>HYPERLINK("CSG2.html#group16K2", "16K²"), =HYPERLINK("CSG3.html#group16J3", "16J³")</f>
        <v/>
      </c>
      <c r="L1336">
        <f>HYPERLINK("CSG13.html#group16C13", "16C¹³"), =HYPERLINK("CSG19.html#group32C19", "32C¹⁹"), =HYPERLINK("CSG21.html#group32H21", "32H²¹"), =HYPERLINK("CSG21.html#group32G21", "32G²¹")</f>
        <v/>
      </c>
      <c r="M1336">
        <f>HYPERLINK("CSG0.html#group2A0", "2A⁰"), =HYPERLINK("CSG2.html#group16C2", "16C²"), =HYPERLINK("CSG0.html#group8D0", "8D⁰"), =HYPERLINK("CSG1.html#group16E1", "16E¹"), =HYPERLINK("CSG0.html#group4C0", "4C⁰"), =HYPERLINK("CSG1.html#group16A1", "16A¹"), =HYPERLINK("CSG0.html#group8C0", "8C⁰"), =HYPERLINK("CSG0.html#group4E0", "4E⁰"), =HYPERLINK("CSG0.html#group2B0", "2B⁰"), =HYPERLINK("CSG0.html#group8I0", "8I⁰"), =HYPERLINK("CSG3.html#group16J3", "16J³"), =HYPERLINK("CSG0.html#group4B0", "4B⁰"), =HYPERLINK("CSG0.html#group1A0", "1A⁰"), =HYPERLINK("CSG2.html#group16K2", "16K²"), =HYPERLINK("CSG0.html#group8G0", "8G⁰"), =HYPERLINK("CSG0.html#group16C0", "16C⁰"), =HYPERLINK("CSG1.html#group16C1", "16C¹"), =HYPERLINK("CSG0.html#group8J0", "8J⁰"), =HYPERLINK("CSG0.html#group2C0", "2C⁰"), =HYPERLINK("CSG0.html#group8O0", "8O⁰")</f>
        <v/>
      </c>
      <c r="N1336">
        <f>HYPERLINK("CSG19.html#group32C19", "32C¹⁹"), =HYPERLINK("CSG21.html#group32G21", "32G²¹"), =HYPERLINK("CSG21.html#group32H21", "32H²¹"), =HYPERLINK("CSG13.html#group16C13", "16C¹³")</f>
        <v/>
      </c>
    </row>
    <row r="1337">
      <c r="A1337" t="inlineStr">
        <is>
          <t>16D⁷</t>
        </is>
      </c>
      <c r="B1337" t="inlineStr"/>
      <c r="C1337" t="inlineStr">
        <is>
          <t>192</t>
        </is>
      </c>
      <c r="D1337" t="inlineStr">
        <is>
          <t>1</t>
        </is>
      </c>
      <c r="E1337" t="inlineStr">
        <is>
          <t>24</t>
        </is>
      </c>
      <c r="F1337" t="inlineStr">
        <is>
          <t>8</t>
        </is>
      </c>
      <c r="G1337" t="inlineStr">
        <is>
          <t>0</t>
        </is>
      </c>
      <c r="H1337" t="inlineStr">
        <is>
          <t>8⁸, 16⁸</t>
        </is>
      </c>
      <c r="I1337" t="n">
        <v>16</v>
      </c>
      <c r="J1337" t="inlineStr">
        <is>
          <t>2², 4⁵</t>
        </is>
      </c>
      <c r="K1337">
        <f>HYPERLINK("CSG2.html#group8C2", "8C²"), =HYPERLINK("CSG2.html#group16L2", "16L²"), =HYPERLINK("CSG3.html#group16K3", "16K³"), =HYPERLINK("CSG3.html#group16L3", "16L³"), =HYPERLINK("CSG3.html#group16M3", "16M³"), =HYPERLINK("CSG4.html#group16C4", "16C⁴"), =HYPERLINK("CSG4.html#group16B4", "16B⁴")</f>
        <v/>
      </c>
      <c r="L1337">
        <f>HYPERLINK("CSG15.html#group16A15", "16A¹⁵"), =HYPERLINK("CSG17.html#group16A17", "16A¹⁷"), =HYPERLINK("CSG19.html#group16A19", "16A¹⁹"), =HYPERLINK("CSG19.html#group16B19", "16B¹⁹"), =HYPERLINK("CSG19.html#group32D19", "32D¹⁹"), =HYPERLINK("CSG19.html#group32E19", "32E¹⁹"), =HYPERLINK("CSG21.html#group32M21", "32M²¹"), =HYPERLINK("CSG23.html#group32E23", "32E²³")</f>
        <v/>
      </c>
      <c r="M1337">
        <f>HYPERLINK("CSG1.html#group16I1", "16I¹"), =HYPERLINK("CSG0.html#group4C0", "4C⁰"), =HYPERLINK("CSG2.html#group8C2", "8C²"), =HYPERLINK("CSG0.html#group8A0", "8A⁰"), =HYPERLINK("CSG0.html#group8L0", "8L⁰"), =HYPERLINK("CSG0.html#group2B0", "2B⁰"), =HYPERLINK("CSG0.html#group8K0", "8K⁰"), =HYPERLINK("CSG0.html#group1A0", "1A⁰"), =HYPERLINK("CSG1.html#group8H1", "8H¹"), =HYPERLINK("CSG2.html#group16E2", "16E²"), =HYPERLINK("CSG0.html#group16B0", "16B⁰"), =HYPERLINK("CSG0.html#group16E0", "16E⁰"), =HYPERLINK("CSG4.html#group16B4", "16B⁴"), =HYPERLINK("CSG1.html#group16D1", "16D¹"), =HYPERLINK("CSG1.html#group16F1", "16F¹"), =HYPERLINK("CSG0.html#group8P0", "8P⁰"), =HYPERLINK("CSG0.html#group8M0", "8M⁰"), =HYPERLINK("CSG1.html#group16H1", "16H¹"), =HYPERLINK("CSG0.html#group8D0", "8D⁰"), =HYPERLINK("CSG3.html#group16M3", "16M³"), =HYPERLINK("CSG0.html#group8B0", "8B⁰"), =HYPERLINK("CSG1.html#group16B1", "16B¹"), =HYPERLINK("CSG2.html#group16L2", "16L²"), =HYPERLINK("CSG1.html#group16J1", "16J¹"), =HYPERLINK("CSG1.html#group8D1", "8D¹"), =HYPERLINK("CSG0.html#group8H0", "8H⁰"), =HYPERLINK("CSG3.html#group16K3", "16K³"), =HYPERLINK("CSG0.html#group8F0", "8F⁰"), =HYPERLINK("CSG3.html#group16L3", "16L³"), =HYPERLINK("CSG2.html#group16F2", "16F²"), =HYPERLINK("CSG0.html#group4A0", "4A⁰"), =HYPERLINK("CSG1.html#group8I1", "8I¹"), =HYPERLINK("CSG1.html#group16C1", "16C¹"), =HYPERLINK("CSG4.html#group16C4", "16C⁴"), =HYPERLINK("CSG0.html#group4F0", "4F⁰")</f>
        <v/>
      </c>
      <c r="N1337">
        <f>HYPERLINK("CSG19.html#group16B19", "16B¹⁹"), =HYPERLINK("CSG19.html#group16A19", "16A¹⁹"), =HYPERLINK("CSG19.html#group32D19", "32D¹⁹"), =HYPERLINK("CSG21.html#group32M21", "32M²¹"), =HYPERLINK("CSG15.html#group16A15", "16A¹⁵"), =HYPERLINK("CSG23.html#group32E23", "32E²³"), =HYPERLINK("CSG19.html#group32E19", "32E¹⁹"), =HYPERLINK("CSG17.html#group16A17", "16A¹⁷")</f>
        <v/>
      </c>
    </row>
    <row r="1338">
      <c r="A1338" t="inlineStr">
        <is>
          <t>16E⁷</t>
        </is>
      </c>
      <c r="B1338" t="inlineStr"/>
      <c r="C1338" t="inlineStr">
        <is>
          <t>192</t>
        </is>
      </c>
      <c r="D1338" t="inlineStr">
        <is>
          <t>2</t>
        </is>
      </c>
      <c r="E1338" t="inlineStr">
        <is>
          <t>24</t>
        </is>
      </c>
      <c r="F1338" t="inlineStr">
        <is>
          <t>8</t>
        </is>
      </c>
      <c r="G1338" t="inlineStr">
        <is>
          <t>0</t>
        </is>
      </c>
      <c r="H1338" t="inlineStr">
        <is>
          <t>8⁸, 16⁸</t>
        </is>
      </c>
      <c r="I1338" t="n">
        <v>16</v>
      </c>
      <c r="J1338" t="inlineStr">
        <is>
          <t>2⁸, 4⁴, 8²</t>
        </is>
      </c>
      <c r="K1338">
        <f>HYPERLINK("CSG3.html#group16M3", "16M³"), =HYPERLINK("CSG3.html#group16R3", "16R³"), =HYPERLINK("CSG3.html#group16S3", "16S³")</f>
        <v/>
      </c>
      <c r="L1338">
        <f>HYPERLINK("CSG15.html#group16A15", "16A¹⁵"), =HYPERLINK("CSG17.html#group16B17", "16B¹⁷"), =HYPERLINK("CSG21.html#group32Y21", "32Y²¹"), =HYPERLINK("CSG23.html#group32H23", "32H²³")</f>
        <v/>
      </c>
      <c r="M1338">
        <f>HYPERLINK("CSG0.html#group8D0", "8D⁰"), =HYPERLINK("CSG3.html#group16M3", "16M³"), =HYPERLINK("CSG0.html#group4C0", "4C⁰"), =HYPERLINK("CSG0.html#group8B0", "8B⁰"), =HYPERLINK("CSG1.html#group16F1", "16F¹"), =HYPERLINK("CSG3.html#group16S3", "16S³"), =HYPERLINK("CSG0.html#group8L0", "8L⁰"), =HYPERLINK("CSG0.html#group2B0", "2B⁰"), =HYPERLINK("CSG1.html#group16B1", "16B¹"), =HYPERLINK("CSG1.html#group16J1", "16J¹"), =HYPERLINK("CSG0.html#group1A0", "1A⁰"), =HYPERLINK("CSG2.html#group16E2", "16E²"), =HYPERLINK("CSG0.html#group16B0", "16B⁰"), =HYPERLINK("CSG0.html#group8H0", "8H⁰"), =HYPERLINK("CSG1.html#group16D1", "16D¹"), =HYPERLINK("CSG2.html#group16F2", "16F²"), =HYPERLINK("CSG0.html#group4A0", "4A⁰"), =HYPERLINK("CSG0.html#group4F0", "4F⁰"), =HYPERLINK("CSG3.html#group16R3", "16R³"), =HYPERLINK("CSG0.html#group8P0", "8P⁰")</f>
        <v/>
      </c>
      <c r="N1338">
        <f>HYPERLINK("CSG23.html#group32H23", "32H²³"), =HYPERLINK("CSG15.html#group16A15", "16A¹⁵"), =HYPERLINK("CSG21.html#group32Y21", "32Y²¹"), =HYPERLINK("CSG17.html#group16B17", "16B¹⁷")</f>
        <v/>
      </c>
    </row>
    <row r="1339">
      <c r="A1339" t="inlineStr">
        <is>
          <t>17A⁷</t>
        </is>
      </c>
      <c r="B1339" t="inlineStr"/>
      <c r="C1339" t="inlineStr">
        <is>
          <t>153</t>
        </is>
      </c>
      <c r="D1339" t="inlineStr">
        <is>
          <t>1</t>
        </is>
      </c>
      <c r="E1339" t="inlineStr">
        <is>
          <t>153</t>
        </is>
      </c>
      <c r="F1339" t="inlineStr">
        <is>
          <t>9</t>
        </is>
      </c>
      <c r="G1339" t="inlineStr">
        <is>
          <t>0</t>
        </is>
      </c>
      <c r="H1339" t="inlineStr">
        <is>
          <t>17⁹</t>
        </is>
      </c>
      <c r="I1339" t="n">
        <v>9</v>
      </c>
      <c r="J1339" t="inlineStr">
        <is>
          <t>1¹, 8¹, 16⁹</t>
        </is>
      </c>
      <c r="K1339">
        <f>HYPERLINK("CSG0.html#group1A0", "1A⁰")</f>
        <v/>
      </c>
      <c r="L1339">
        <f>HYPERLINK("CSG15.html#group17B15", "17B¹⁵"), =HYPERLINK("CSG15.html#group17C15", "17C¹⁵"), =HYPERLINK("CSG17.html#group17A17", "17A¹⁷"), =HYPERLINK("CSG18.html#group34A18", "34A¹⁸"), =HYPERLINK("CSG20.html#group34A20", "34A²⁰"), =HYPERLINK("CSG20.html#group34B20", "34B²⁰"), =HYPERLINK("CSG22.html#group34A22", "34A²²")</f>
        <v/>
      </c>
      <c r="M1339">
        <f>HYPERLINK("CSG0.html#group1A0", "1A⁰")</f>
        <v/>
      </c>
      <c r="N1339">
        <f>HYPERLINK("CSG20.html#group34B20", "34B²⁰"), =HYPERLINK("CSG15.html#group17C15", "17C¹⁵"), =HYPERLINK("CSG22.html#group34A22", "34A²²"), =HYPERLINK("CSG17.html#group17A17", "17A¹⁷"), =HYPERLINK("CSG15.html#group17B15", "17B¹⁵"), =HYPERLINK("CSG18.html#group34A18", "34A¹⁸"), =HYPERLINK("CSG20.html#group34A20", "34A²⁰")</f>
        <v/>
      </c>
    </row>
    <row r="1340">
      <c r="A1340" t="inlineStr">
        <is>
          <t>18A⁷</t>
        </is>
      </c>
      <c r="B1340" t="inlineStr"/>
      <c r="C1340" t="inlineStr">
        <is>
          <t>108</t>
        </is>
      </c>
      <c r="D1340" t="inlineStr">
        <is>
          <t>1</t>
        </is>
      </c>
      <c r="E1340" t="inlineStr">
        <is>
          <t>3</t>
        </is>
      </c>
      <c r="F1340" t="inlineStr">
        <is>
          <t>0</t>
        </is>
      </c>
      <c r="G1340" t="inlineStr">
        <is>
          <t>0</t>
        </is>
      </c>
      <c r="H1340" t="inlineStr">
        <is>
          <t>18⁶</t>
        </is>
      </c>
      <c r="I1340" t="n">
        <v>6</v>
      </c>
      <c r="J1340" t="inlineStr">
        <is>
          <t>1¹, 2¹</t>
        </is>
      </c>
      <c r="K1340">
        <f>HYPERLINK("CSG1.html#group6E1", "6E¹"), =HYPERLINK("CSG2.html#group18I2", "18I²"), =HYPERLINK("CSG3.html#group18A3", "18A³"), =HYPERLINK("CSG3.html#group18B3", "18B³"), =HYPERLINK("CSG3.html#group18D3", "18D³"), =HYPERLINK("CSG4.html#group18A4", "18A⁴")</f>
        <v/>
      </c>
      <c r="L1340">
        <f>HYPERLINK("CSG13.html#group18B13", "18B¹³"), =HYPERLINK("CSG15.html#group36C15", "36C¹⁵"), =HYPERLINK("CSG15.html#group36D15", "36D¹⁵"), =HYPERLINK("CSG19.html#group18A19", "18A¹⁹"), =HYPERLINK("CSG19.html#group18E19", "18E¹⁹")</f>
        <v/>
      </c>
      <c r="M1340">
        <f>HYPERLINK("CSG1.html#group6E1", "6E¹"), =HYPERLINK("CSG0.html#group2A0", "2A⁰"), =HYPERLINK("CSG0.html#group6B0", "6B⁰"), =HYPERLINK("CSG1.html#group6C1", "6C¹"), =HYPERLINK("CSG3.html#group18A3", "18A³"), =HYPERLINK("CSG0.html#group6G0", "6G⁰"), =HYPERLINK("CSG1.html#group18B1", "18B¹"), =HYPERLINK("CSG0.html#group2B0", "2B⁰"), =HYPERLINK("CSG2.html#group18A2", "18A²"), =HYPERLINK("CSG0.html#group1A0", "1A⁰"), =HYPERLINK("CSG3.html#group18D3", "18D³"), =HYPERLINK("CSG0.html#group9D0", "9D⁰"), =HYPERLINK("CSG0.html#group6A0", "6A⁰"), =HYPERLINK("CSG1.html#group6B1", "6B¹"), =HYPERLINK("CSG4.html#group18A4", "18A⁴"), =HYPERLINK("CSG3.html#group18B3", "18B³"), =HYPERLINK("CSG0.html#group9A0", "9A⁰"), =HYPERLINK("CSG1.html#group18E1", "18E¹"), =HYPERLINK("CSG0.html#group3C0", "3C⁰"), =HYPERLINK("CSG1.html#group6A1", "6A¹"), =HYPERLINK("CSG0.html#group6H0", "6H⁰"), =HYPERLINK("CSG0.html#group3A0", "3A⁰"), =HYPERLINK("CSG1.html#group18A1", "18A¹"), =HYPERLINK("CSG0.html#group2C0", "2C⁰"), =HYPERLINK("CSG2.html#group18I2", "18I²"), =HYPERLINK("CSG0.html#group6D0", "6D⁰")</f>
        <v/>
      </c>
      <c r="N1340">
        <f>HYPERLINK("CSG15.html#group36C15", "36C¹⁵"), =HYPERLINK("CSG19.html#group18E19", "18E¹⁹"), =HYPERLINK("CSG13.html#group18B13", "18B¹³"), =HYPERLINK("CSG15.html#group36D15", "36D¹⁵"), =HYPERLINK("CSG19.html#group18A19", "18A¹⁹")</f>
        <v/>
      </c>
    </row>
    <row r="1341">
      <c r="A1341" t="inlineStr">
        <is>
          <t>18B⁷</t>
        </is>
      </c>
      <c r="B1341" t="inlineStr"/>
      <c r="C1341" t="inlineStr">
        <is>
          <t>108</t>
        </is>
      </c>
      <c r="D1341" t="inlineStr">
        <is>
          <t>1</t>
        </is>
      </c>
      <c r="E1341" t="inlineStr">
        <is>
          <t>18</t>
        </is>
      </c>
      <c r="F1341" t="inlineStr">
        <is>
          <t>0</t>
        </is>
      </c>
      <c r="G1341" t="inlineStr">
        <is>
          <t>0</t>
        </is>
      </c>
      <c r="H1341" t="inlineStr">
        <is>
          <t>18⁶</t>
        </is>
      </c>
      <c r="I1341" t="n">
        <v>6</v>
      </c>
      <c r="J1341" t="inlineStr">
        <is>
          <t>1¹, 2¹, 3¹, 6²</t>
        </is>
      </c>
      <c r="K1341">
        <f>HYPERLINK("CSG1.html#group9E1", "9E¹"), =HYPERLINK("CSG2.html#group18F2", "18F²"), =HYPERLINK("CSG3.html#group18A3", "18A³")</f>
        <v/>
      </c>
      <c r="L1341">
        <f>HYPERLINK("CSG13.html#group18C13", "18C¹³"), =HYPERLINK("CSG19.html#group18A19", "18A¹⁹"), =HYPERLINK("CSG19.html#group18B19", "18B¹⁹"), =HYPERLINK("CSG22.html#group54I22", "54I²²")</f>
        <v/>
      </c>
      <c r="M1341">
        <f>HYPERLINK("CSG2.html#group18F2", "18F²"), =HYPERLINK("CSG0.html#group2A0", "2A⁰"), =HYPERLINK("CSG0.html#group6B0", "6B⁰"), =HYPERLINK("CSG0.html#group9D0", "9D⁰"), =HYPERLINK("CSG1.html#group6B1", "6B¹"), =HYPERLINK("CSG0.html#group9A0", "9A⁰"), =HYPERLINK("CSG3.html#group18A3", "18A³"), =HYPERLINK("CSG0.html#group3C0", "3C⁰"), =HYPERLINK("CSG1.html#group9E1", "9E¹"), =HYPERLINK("CSG1.html#group6A1", "6A¹"), =HYPERLINK("CSG2.html#group18A2", "18A²"), =HYPERLINK("CSG0.html#group9E0", "9E⁰"), =HYPERLINK("CSG0.html#group3A0", "3A⁰"), =HYPERLINK("CSG0.html#group1A0", "1A⁰"), =HYPERLINK("CSG1.html#group18A1", "18A¹")</f>
        <v/>
      </c>
      <c r="N1341">
        <f>HYPERLINK("CSG19.html#group18A19", "18A¹⁹"), =HYPERLINK("CSG19.html#group18B19", "18B¹⁹"), =HYPERLINK("CSG13.html#group18C13", "18C¹³"), =HYPERLINK("CSG22.html#group54I22", "54I²²")</f>
        <v/>
      </c>
    </row>
    <row r="1342">
      <c r="A1342" t="inlineStr">
        <is>
          <t>18C⁷</t>
        </is>
      </c>
      <c r="B1342" t="inlineStr"/>
      <c r="C1342" t="inlineStr">
        <is>
          <t>108</t>
        </is>
      </c>
      <c r="D1342" t="inlineStr">
        <is>
          <t>1</t>
        </is>
      </c>
      <c r="E1342" t="inlineStr">
        <is>
          <t>27</t>
        </is>
      </c>
      <c r="F1342" t="inlineStr">
        <is>
          <t>0</t>
        </is>
      </c>
      <c r="G1342" t="inlineStr">
        <is>
          <t>0</t>
        </is>
      </c>
      <c r="H1342" t="inlineStr">
        <is>
          <t>18⁶</t>
        </is>
      </c>
      <c r="I1342" t="n">
        <v>6</v>
      </c>
      <c r="J1342" t="inlineStr">
        <is>
          <t>3¹, 6⁴</t>
        </is>
      </c>
      <c r="K1342">
        <f>HYPERLINK("CSG1.html#group18H1", "18H¹"), =HYPERLINK("CSG2.html#group9B2", "9B²"), =HYPERLINK("CSG2.html#group18F2", "18F²"), =HYPERLINK("CSG3.html#group18C3", "18C³"), =HYPERLINK("CSG4.html#group18B4", "18B⁴")</f>
        <v/>
      </c>
      <c r="L1342">
        <f>HYPERLINK("CSG13.html#group18A13", "18A¹³"), =HYPERLINK("CSG19.html#group18B19", "18B¹⁹"), =HYPERLINK("CSG19.html#group18C19", "18C¹⁹"), =HYPERLINK("CSG19.html#group18D19", "18D¹⁹"), =HYPERLINK("CSG22.html#group54H22", "54H²²")</f>
        <v/>
      </c>
      <c r="M1342">
        <f>HYPERLINK("CSG2.html#group18F2", "18F²"), =HYPERLINK("CSG0.html#group2A0", "2A⁰"), =HYPERLINK("CSG0.html#group6B0", "6B⁰"), =HYPERLINK("CSG4.html#group18B4", "18B⁴"), =HYPERLINK("CSG1.html#group18H1", "18H¹"), =HYPERLINK("CSG0.html#group9G0", "9G⁰"), =HYPERLINK("CSG2.html#group18A2", "18A²"), =HYPERLINK("CSG2.html#group9B2", "9B²"), =HYPERLINK("CSG0.html#group9E0", "9E⁰"), =HYPERLINK("CSG0.html#group1A0", "1A⁰"), =HYPERLINK("CSG0.html#group18A0", "18A⁰"), =HYPERLINK("CSG1.html#group9B1", "9B¹"), =HYPERLINK("CSG1.html#group6B1", "6B¹"), =HYPERLINK("CSG0.html#group9A0", "9A⁰"), =HYPERLINK("CSG3.html#group18C3", "18C³"), =HYPERLINK("CSG0.html#group3C0", "3C⁰"), =HYPERLINK("CSG1.html#group6A1", "6A¹"), =HYPERLINK("CSG0.html#group3A0", "3A⁰")</f>
        <v/>
      </c>
      <c r="N1342">
        <f>HYPERLINK("CSG19.html#group18B19", "18B¹⁹"), =HYPERLINK("CSG13.html#group18A13", "18A¹³"), =HYPERLINK("CSG19.html#group18D19", "18D¹⁹"), =HYPERLINK("CSG19.html#group18C19", "18C¹⁹"), =HYPERLINK("CSG22.html#group54H22", "54H²²")</f>
        <v/>
      </c>
    </row>
    <row r="1343">
      <c r="A1343" t="inlineStr">
        <is>
          <t>18D⁷</t>
        </is>
      </c>
      <c r="B1343" t="inlineStr"/>
      <c r="C1343" t="inlineStr">
        <is>
          <t>108</t>
        </is>
      </c>
      <c r="D1343" t="inlineStr">
        <is>
          <t>1</t>
        </is>
      </c>
      <c r="E1343" t="inlineStr">
        <is>
          <t>36</t>
        </is>
      </c>
      <c r="F1343" t="inlineStr">
        <is>
          <t>0</t>
        </is>
      </c>
      <c r="G1343" t="inlineStr">
        <is>
          <t>0</t>
        </is>
      </c>
      <c r="H1343" t="inlineStr">
        <is>
          <t>18⁶</t>
        </is>
      </c>
      <c r="I1343" t="n">
        <v>6</v>
      </c>
      <c r="J1343" t="inlineStr">
        <is>
          <t>2³, 6⁵</t>
        </is>
      </c>
      <c r="K1343">
        <f>HYPERLINK("CSG2.html#group18F2", "18F²"), =HYPERLINK("CSG3.html#group18B3", "18B³")</f>
        <v/>
      </c>
      <c r="L1343">
        <f>HYPERLINK("CSG13.html#group18D13", "18D¹³"), =HYPERLINK("CSG19.html#group18A19", "18A¹⁹"), =HYPERLINK("CSG19.html#group18D19", "18D¹⁹")</f>
        <v/>
      </c>
      <c r="M1343">
        <f>HYPERLINK("CSG2.html#group18F2", "18F²"), =HYPERLINK("CSG0.html#group2A0", "2A⁰"), =HYPERLINK("CSG0.html#group6B0", "6B⁰"), =HYPERLINK("CSG1.html#group6B1", "6B¹"), =HYPERLINK("CSG3.html#group18B3", "18B³"), =HYPERLINK("CSG1.html#group18B1", "18B¹"), =HYPERLINK("CSG0.html#group3C0", "3C⁰"), =HYPERLINK("CSG1.html#group6A1", "6A¹"), =HYPERLINK("CSG0.html#group9E0", "9E⁰"), =HYPERLINK("CSG0.html#group3A0", "3A⁰"), =HYPERLINK("CSG0.html#group1A0", "1A⁰")</f>
        <v/>
      </c>
      <c r="N1343">
        <f>HYPERLINK("CSG19.html#group18A19", "18A¹⁹"), =HYPERLINK("CSG19.html#group18D19", "18D¹⁹"), =HYPERLINK("CSG13.html#group18D13", "18D¹³")</f>
        <v/>
      </c>
    </row>
    <row r="1344">
      <c r="A1344" t="inlineStr">
        <is>
          <t>18E⁷</t>
        </is>
      </c>
      <c r="B1344" t="inlineStr"/>
      <c r="C1344" t="inlineStr">
        <is>
          <t>108</t>
        </is>
      </c>
      <c r="D1344" t="inlineStr">
        <is>
          <t>2</t>
        </is>
      </c>
      <c r="E1344" t="inlineStr">
        <is>
          <t>9</t>
        </is>
      </c>
      <c r="F1344" t="inlineStr">
        <is>
          <t>0</t>
        </is>
      </c>
      <c r="G1344" t="inlineStr">
        <is>
          <t>0</t>
        </is>
      </c>
      <c r="H1344" t="inlineStr">
        <is>
          <t>18⁶</t>
        </is>
      </c>
      <c r="I1344" t="n">
        <v>6</v>
      </c>
      <c r="J1344" t="inlineStr">
        <is>
          <t>2³, 6²</t>
        </is>
      </c>
      <c r="K1344">
        <f>HYPERLINK("CSG1.html#group6E1", "6E¹"), =HYPERLINK("CSG2.html#group18L2", "18L²"), =HYPERLINK("CSG3.html#group18C3", "18C³"), =HYPERLINK("CSG3.html#group18E3", "18E³"), =HYPERLINK("CSG4.html#group18A4", "18A⁴")</f>
        <v/>
      </c>
      <c r="L1344">
        <f>HYPERLINK("CSG13.html#group18B13", "18B¹³"), =HYPERLINK("CSG15.html#group36K15", "36K¹⁵"), =HYPERLINK("CSG15.html#group36J15", "36J¹⁵"), =HYPERLINK("CSG19.html#group18C19", "18C¹⁹"), =HYPERLINK("CSG19.html#group18E19", "18E¹⁹")</f>
        <v/>
      </c>
      <c r="M1344">
        <f>HYPERLINK("CSG1.html#group6E1", "6E¹"), =HYPERLINK("CSG0.html#group2A0", "2A⁰"), =HYPERLINK("CSG0.html#group6B0", "6B⁰"), =HYPERLINK("CSG1.html#group6C1", "6C¹"), =HYPERLINK("CSG0.html#group6G0", "6G⁰"), =HYPERLINK("CSG0.html#group2B0", "2B⁰"), =HYPERLINK("CSG2.html#group18A2", "18A²"), =HYPERLINK("CSG0.html#group1A0", "1A⁰"), =HYPERLINK("CSG0.html#group18A0", "18A⁰"), =HYPERLINK("CSG1.html#group9B1", "9B¹"), =HYPERLINK("CSG2.html#group18L2", "18L²"), =HYPERLINK("CSG3.html#group18E3", "18E³"), =HYPERLINK("CSG0.html#group6A0", "6A⁰"), =HYPERLINK("CSG1.html#group6B1", "6B¹"), =HYPERLINK("CSG4.html#group18A4", "18A⁴"), =HYPERLINK("CSG0.html#group9A0", "9A⁰"), =HYPERLINK("CSG3.html#group18C3", "18C³"), =HYPERLINK("CSG1.html#group18E1", "18E¹"), =HYPERLINK("CSG0.html#group3C0", "3C⁰"), =HYPERLINK("CSG1.html#group6A1", "6A¹"), =HYPERLINK("CSG0.html#group6H0", "6H⁰"), =HYPERLINK("CSG0.html#group3A0", "3A⁰"), =HYPERLINK("CSG0.html#group2C0", "2C⁰"), =HYPERLINK("CSG0.html#group6D0", "6D⁰")</f>
        <v/>
      </c>
      <c r="N1344">
        <f>HYPERLINK("CSG19.html#group18E19", "18E¹⁹"), =HYPERLINK("CSG15.html#group36K15", "36K¹⁵"), =HYPERLINK("CSG19.html#group18C19", "18C¹⁹"), =HYPERLINK("CSG13.html#group18B13", "18B¹³"), =HYPERLINK("CSG15.html#group36J15", "36J¹⁵")</f>
        <v/>
      </c>
    </row>
    <row r="1345">
      <c r="A1345" t="inlineStr">
        <is>
          <t>18F⁷</t>
        </is>
      </c>
      <c r="B1345" t="inlineStr"/>
      <c r="C1345" t="inlineStr">
        <is>
          <t>108</t>
        </is>
      </c>
      <c r="D1345" t="inlineStr">
        <is>
          <t>2</t>
        </is>
      </c>
      <c r="E1345" t="inlineStr">
        <is>
          <t>9</t>
        </is>
      </c>
      <c r="F1345" t="inlineStr">
        <is>
          <t>0</t>
        </is>
      </c>
      <c r="G1345" t="inlineStr">
        <is>
          <t>0</t>
        </is>
      </c>
      <c r="H1345" t="inlineStr">
        <is>
          <t>18⁶</t>
        </is>
      </c>
      <c r="I1345" t="n">
        <v>6</v>
      </c>
      <c r="J1345" t="inlineStr">
        <is>
          <t>2³, 6²</t>
        </is>
      </c>
      <c r="K1345">
        <f>HYPERLINK("CSG1.html#group9F1", "9F¹"), =HYPERLINK("CSG2.html#group18K2", "18K²"), =HYPERLINK("CSG3.html#group18A3", "18A³"), =HYPERLINK("CSG3.html#group18C3", "18C³"), =HYPERLINK("CSG4.html#group18B4", "18B⁴")</f>
        <v/>
      </c>
      <c r="L1345">
        <f>HYPERLINK("CSG13.html#group18A13", "18A¹³"), =HYPERLINK("CSG19.html#group18B19", "18B¹⁹"), =HYPERLINK("CSG19.html#group18E19", "18E¹⁹")</f>
        <v/>
      </c>
      <c r="M1345">
        <f>HYPERLINK("CSG0.html#group2A0", "2A⁰"), =HYPERLINK("CSG0.html#group6B0", "6B⁰"), =HYPERLINK("CSG4.html#group18B4", "18B⁴"), =HYPERLINK("CSG0.html#group9G0", "9G⁰"), =HYPERLINK("CSG2.html#group18K2", "18K²"), =HYPERLINK("CSG3.html#group18A3", "18A³"), =HYPERLINK("CSG2.html#group18A2", "18A²"), =HYPERLINK("CSG0.html#group1A0", "1A⁰"), =HYPERLINK("CSG0.html#group18A0", "18A⁰"), =HYPERLINK("CSG1.html#group9B1", "9B¹"), =HYPERLINK("CSG0.html#group9D0", "9D⁰"), =HYPERLINK("CSG1.html#group6B1", "6B¹"), =HYPERLINK("CSG0.html#group9A0", "9A⁰"), =HYPERLINK("CSG3.html#group18C3", "18C³"), =HYPERLINK("CSG0.html#group3C0", "3C⁰"), =HYPERLINK("CSG1.html#group6A1", "6A¹"), =HYPERLINK("CSG0.html#group3A0", "3A⁰"), =HYPERLINK("CSG1.html#group18A1", "18A¹"), =HYPERLINK("CSG1.html#group9F1", "9F¹")</f>
        <v/>
      </c>
      <c r="N1345">
        <f>HYPERLINK("CSG19.html#group18B19", "18B¹⁹"), =HYPERLINK("CSG13.html#group18A13", "18A¹³"), =HYPERLINK("CSG19.html#group18E19", "18E¹⁹")</f>
        <v/>
      </c>
    </row>
    <row r="1346">
      <c r="A1346" t="inlineStr">
        <is>
          <t>18G⁷</t>
        </is>
      </c>
      <c r="B1346" t="inlineStr"/>
      <c r="C1346" t="inlineStr">
        <is>
          <t>108</t>
        </is>
      </c>
      <c r="D1346" t="inlineStr">
        <is>
          <t>2</t>
        </is>
      </c>
      <c r="E1346" t="inlineStr">
        <is>
          <t>18</t>
        </is>
      </c>
      <c r="F1346" t="inlineStr">
        <is>
          <t>0</t>
        </is>
      </c>
      <c r="G1346" t="inlineStr">
        <is>
          <t>0</t>
        </is>
      </c>
      <c r="H1346" t="inlineStr">
        <is>
          <t>18⁶</t>
        </is>
      </c>
      <c r="I1346" t="n">
        <v>6</v>
      </c>
      <c r="J1346" t="inlineStr">
        <is>
          <t>2⁶, 6⁴</t>
        </is>
      </c>
      <c r="K1346">
        <f>HYPERLINK("CSG2.html#group18M2", "18M²"), =HYPERLINK("CSG3.html#group18B3", "18B³"), =HYPERLINK("CSG3.html#group18C3", "18C³")</f>
        <v/>
      </c>
      <c r="L1346">
        <f>HYPERLINK("CSG13.html#group18H13", "18H¹³"), =HYPERLINK("CSG19.html#group18D19", "18D¹⁹"), =HYPERLINK("CSG19.html#group18E19", "18E¹⁹")</f>
        <v/>
      </c>
      <c r="M1346">
        <f>HYPERLINK("CSG0.html#group2A0", "2A⁰"), =HYPERLINK("CSG0.html#group6B0", "6B⁰"), =HYPERLINK("CSG1.html#group18B1", "18B¹"), =HYPERLINK("CSG2.html#group18A2", "18A²"), =HYPERLINK("CSG2.html#group18M2", "18M²"), =HYPERLINK("CSG0.html#group1A0", "1A⁰"), =HYPERLINK("CSG0.html#group18A0", "18A⁰"), =HYPERLINK("CSG1.html#group9B1", "9B¹"), =HYPERLINK("CSG1.html#group6B1", "6B¹"), =HYPERLINK("CSG3.html#group18B3", "18B³"), =HYPERLINK("CSG0.html#group9A0", "9A⁰"), =HYPERLINK("CSG3.html#group18C3", "18C³"), =HYPERLINK("CSG0.html#group3C0", "3C⁰"), =HYPERLINK("CSG1.html#group6A1", "6A¹"), =HYPERLINK("CSG0.html#group3A0", "3A⁰")</f>
        <v/>
      </c>
      <c r="N1346">
        <f>HYPERLINK("CSG13.html#group18H13", "18H¹³"), =HYPERLINK("CSG19.html#group18E19", "18E¹⁹"), =HYPERLINK("CSG19.html#group18D19", "18D¹⁹")</f>
        <v/>
      </c>
    </row>
    <row r="1347">
      <c r="A1347" t="inlineStr">
        <is>
          <t>18H⁷</t>
        </is>
      </c>
      <c r="B1347" t="inlineStr"/>
      <c r="C1347" t="inlineStr">
        <is>
          <t>162</t>
        </is>
      </c>
      <c r="D1347" t="inlineStr">
        <is>
          <t>1</t>
        </is>
      </c>
      <c r="E1347" t="inlineStr">
        <is>
          <t>54</t>
        </is>
      </c>
      <c r="F1347" t="inlineStr">
        <is>
          <t>0</t>
        </is>
      </c>
      <c r="G1347" t="inlineStr">
        <is>
          <t>9</t>
        </is>
      </c>
      <c r="H1347" t="inlineStr">
        <is>
          <t>18⁹</t>
        </is>
      </c>
      <c r="I1347" t="n">
        <v>9</v>
      </c>
      <c r="J1347" t="inlineStr">
        <is>
          <t>6⁹</t>
        </is>
      </c>
      <c r="K1347">
        <f>HYPERLINK("CSG0.html#group6A0", "6A⁰"), =HYPERLINK("CSG2.html#group18J2", "18J²")</f>
        <v/>
      </c>
      <c r="L1347" t="inlineStr"/>
      <c r="M1347">
        <f>HYPERLINK("CSG0.html#group2A0", "2A⁰"), =HYPERLINK("CSG2.html#group18J2", "18J²"), =HYPERLINK("CSG0.html#group6A0", "6A⁰"), =HYPERLINK("CSG0.html#group9F0", "9F⁰"), =HYPERLINK("CSG0.html#group1A0", "1A⁰")</f>
        <v/>
      </c>
      <c r="N1347" t="inlineStr"/>
    </row>
    <row r="1348">
      <c r="A1348" t="inlineStr">
        <is>
          <t>18I⁷</t>
        </is>
      </c>
      <c r="B1348" t="inlineStr"/>
      <c r="C1348" t="inlineStr">
        <is>
          <t>162</t>
        </is>
      </c>
      <c r="D1348" t="inlineStr">
        <is>
          <t>1</t>
        </is>
      </c>
      <c r="E1348" t="inlineStr">
        <is>
          <t>54</t>
        </is>
      </c>
      <c r="F1348" t="inlineStr">
        <is>
          <t>6</t>
        </is>
      </c>
      <c r="G1348" t="inlineStr">
        <is>
          <t>0</t>
        </is>
      </c>
      <c r="H1348" t="inlineStr">
        <is>
          <t>9⁶, 18⁶</t>
        </is>
      </c>
      <c r="I1348" t="n">
        <v>12</v>
      </c>
      <c r="J1348" t="inlineStr">
        <is>
          <t>1³, 2³, 3³, 6⁶</t>
        </is>
      </c>
      <c r="K1348">
        <f>HYPERLINK("CSG1.html#group9E1", "9E¹"), =HYPERLINK("CSG1.html#group18I1", "18I¹"), =HYPERLINK("CSG2.html#group18I2", "18I²")</f>
        <v/>
      </c>
      <c r="L1348">
        <f>HYPERLINK("CSG16.html#group18B16", "18B¹⁶"), =HYPERLINK("CSG16.html#group18D16", "18D¹⁶"), =HYPERLINK("CSG16.html#group36G16", "36G¹⁶"), =HYPERLINK("CSG19.html#group18A19", "18A¹⁹"), =HYPERLINK("CSG19.html#group36M19", "36M¹⁹"), =HYPERLINK("CSG19.html#group36N19", "36N¹⁹"), =HYPERLINK("CSG22.html#group18A22", "18A²²"), =HYPERLINK("CSG22.html#group36A22", "36A²²")</f>
        <v/>
      </c>
      <c r="M1348">
        <f>HYPERLINK("CSG0.html#group9D0", "9D⁰"), =HYPERLINK("CSG1.html#group18I1", "18I¹"), =HYPERLINK("CSG0.html#group9A0", "9A⁰"), =HYPERLINK("CSG0.html#group6G0", "6G⁰"), =HYPERLINK("CSG0.html#group3C0", "3C⁰"), =HYPERLINK("CSG1.html#group9E1", "9E¹"), =HYPERLINK("CSG0.html#group2B0", "2B⁰"), =HYPERLINK("CSG1.html#group18E1", "18E¹"), =HYPERLINK("CSG0.html#group9E0", "9E⁰"), =HYPERLINK("CSG0.html#group3A0", "3A⁰"), =HYPERLINK("CSG0.html#group1A0", "1A⁰"), =HYPERLINK("CSG2.html#group18I2", "18I²"), =HYPERLINK("CSG0.html#group6D0", "6D⁰")</f>
        <v/>
      </c>
      <c r="N1348">
        <f>HYPERLINK("CSG22.html#group36A22", "36A²²"), =HYPERLINK("CSG16.html#group36G16", "36G¹⁶"), =HYPERLINK("CSG16.html#group18D16", "18D¹⁶"), =HYPERLINK("CSG19.html#group36M19", "36M¹⁹"), =HYPERLINK("CSG19.html#group18A19", "18A¹⁹"), =HYPERLINK("CSG16.html#group18B16", "18B¹⁶"), =HYPERLINK("CSG22.html#group18A22", "18A²²"), =HYPERLINK("CSG19.html#group36N19", "36N¹⁹")</f>
        <v/>
      </c>
    </row>
    <row r="1349">
      <c r="A1349" t="inlineStr">
        <is>
          <t>18J⁷</t>
        </is>
      </c>
      <c r="B1349" t="inlineStr"/>
      <c r="C1349" t="inlineStr">
        <is>
          <t>162</t>
        </is>
      </c>
      <c r="D1349" t="inlineStr">
        <is>
          <t>1</t>
        </is>
      </c>
      <c r="E1349" t="inlineStr">
        <is>
          <t>81</t>
        </is>
      </c>
      <c r="F1349" t="inlineStr">
        <is>
          <t>12</t>
        </is>
      </c>
      <c r="G1349" t="inlineStr">
        <is>
          <t>0</t>
        </is>
      </c>
      <c r="H1349" t="inlineStr">
        <is>
          <t>18⁹</t>
        </is>
      </c>
      <c r="I1349" t="n">
        <v>9</v>
      </c>
      <c r="J1349" t="inlineStr">
        <is>
          <t>3¹, 6¹³</t>
        </is>
      </c>
      <c r="K1349">
        <f>HYPERLINK("CSG1.html#group9G1", "9G¹"), =HYPERLINK("CSG1.html#group18H1", "18H¹"), =HYPERLINK("CSG2.html#group18K2", "18K²")</f>
        <v/>
      </c>
      <c r="L1349">
        <f>HYPERLINK("CSG16.html#group18C16", "18C¹⁶"), =HYPERLINK("CSG19.html#group18B19", "18B¹⁹")</f>
        <v/>
      </c>
      <c r="M1349">
        <f>HYPERLINK("CSG0.html#group6B0", "6B⁰"), =HYPERLINK("CSG1.html#group18H1", "18H¹"), =HYPERLINK("CSG0.html#group9A0", "9A⁰"), =HYPERLINK("CSG2.html#group18K2", "18K²"), =HYPERLINK("CSG0.html#group9G0", "9G⁰"), =HYPERLINK("CSG1.html#group9G1", "9G¹"), =HYPERLINK("CSG0.html#group3A0", "3A⁰"), =HYPERLINK("CSG0.html#group9F0", "9F⁰"), =HYPERLINK("CSG0.html#group1A0", "1A⁰"), =HYPERLINK("CSG0.html#group18A0", "18A⁰"), =HYPERLINK("CSG1.html#group18A1", "18A¹")</f>
        <v/>
      </c>
      <c r="N1349">
        <f>HYPERLINK("CSG19.html#group18B19", "18B¹⁹"), =HYPERLINK("CSG16.html#group18C16", "18C¹⁶")</f>
        <v/>
      </c>
    </row>
    <row r="1350">
      <c r="A1350" t="inlineStr">
        <is>
          <t>18K⁷</t>
        </is>
      </c>
      <c r="B1350" t="inlineStr"/>
      <c r="C1350" t="inlineStr">
        <is>
          <t>162</t>
        </is>
      </c>
      <c r="D1350" t="inlineStr">
        <is>
          <t>1</t>
        </is>
      </c>
      <c r="E1350" t="inlineStr">
        <is>
          <t>81</t>
        </is>
      </c>
      <c r="F1350" t="inlineStr">
        <is>
          <t>12</t>
        </is>
      </c>
      <c r="G1350" t="inlineStr">
        <is>
          <t>0</t>
        </is>
      </c>
      <c r="H1350" t="inlineStr">
        <is>
          <t>18⁹</t>
        </is>
      </c>
      <c r="I1350" t="n">
        <v>9</v>
      </c>
      <c r="J1350" t="inlineStr">
        <is>
          <t>3³, 6¹²</t>
        </is>
      </c>
      <c r="K1350">
        <f>HYPERLINK("CSG1.html#group18H1", "18H¹"), =HYPERLINK("CSG2.html#group18L2", "18L²"), =HYPERLINK("CSG3.html#group18J3", "18J³")</f>
        <v/>
      </c>
      <c r="L1350">
        <f>HYPERLINK("CSG16.html#group18G16", "18G¹⁶"), =HYPERLINK("CSG16.html#group36H16", "36H¹⁶"), =HYPERLINK("CSG19.html#group18C19", "18C¹⁹"), =HYPERLINK("CSG19.html#group36S19", "36S¹⁹"), =HYPERLINK("CSG22.html#group36D22", "36D²²")</f>
        <v/>
      </c>
      <c r="M1350">
        <f>HYPERLINK("CSG0.html#group6B0", "6B⁰"), =HYPERLINK("CSG1.html#group18H1", "18H¹"), =HYPERLINK("CSG3.html#group18J3", "18J³"), =HYPERLINK("CSG0.html#group9A0", "9A⁰"), =HYPERLINK("CSG0.html#group9G0", "9G⁰"), =HYPERLINK("CSG0.html#group6D0", "6D⁰"), =HYPERLINK("CSG0.html#group6H0", "6H⁰"), =HYPERLINK("CSG0.html#group2B0", "2B⁰"), =HYPERLINK("CSG1.html#group18E1", "18E¹"), =HYPERLINK("CSG0.html#group3A0", "3A⁰"), =HYPERLINK("CSG0.html#group1A0", "1A⁰"), =HYPERLINK("CSG0.html#group18A0", "18A⁰"), =HYPERLINK("CSG2.html#group18L2", "18L²")</f>
        <v/>
      </c>
      <c r="N1350">
        <f>HYPERLINK("CSG16.html#group18G16", "18G¹⁶"), =HYPERLINK("CSG19.html#group18C19", "18C¹⁹"), =HYPERLINK("CSG19.html#group36S19", "36S¹⁹"), =HYPERLINK("CSG22.html#group36D22", "36D²²"), =HYPERLINK("CSG16.html#group36H16", "36H¹⁶")</f>
        <v/>
      </c>
    </row>
    <row r="1351">
      <c r="A1351" t="inlineStr">
        <is>
          <t>18L⁷</t>
        </is>
      </c>
      <c r="B1351" t="inlineStr"/>
      <c r="C1351" t="inlineStr">
        <is>
          <t>162</t>
        </is>
      </c>
      <c r="D1351" t="inlineStr">
        <is>
          <t>1</t>
        </is>
      </c>
      <c r="E1351" t="inlineStr">
        <is>
          <t>162</t>
        </is>
      </c>
      <c r="F1351" t="inlineStr">
        <is>
          <t>12</t>
        </is>
      </c>
      <c r="G1351" t="inlineStr">
        <is>
          <t>0</t>
        </is>
      </c>
      <c r="H1351" t="inlineStr">
        <is>
          <t>18⁹</t>
        </is>
      </c>
      <c r="I1351" t="n">
        <v>9</v>
      </c>
      <c r="J1351" t="inlineStr">
        <is>
          <t>6²⁷</t>
        </is>
      </c>
      <c r="K1351">
        <f>HYPERLINK("CSG1.html#group18H1", "18H¹"), =HYPERLINK("CSG2.html#group18M2", "18M²")</f>
        <v/>
      </c>
      <c r="L1351">
        <f>HYPERLINK("CSG16.html#group18H16", "18H¹⁶"), =HYPERLINK("CSG19.html#group18D19", "18D¹⁹")</f>
        <v/>
      </c>
      <c r="M1351">
        <f>HYPERLINK("CSG0.html#group6B0", "6B⁰"), =HYPERLINK("CSG0.html#group3A0", "3A⁰"), =HYPERLINK("CSG1.html#group18H1", "18H¹"), =HYPERLINK("CSG0.html#group9A0", "9A⁰"), =HYPERLINK("CSG0.html#group9G0", "9G⁰"), =HYPERLINK("CSG1.html#group18B1", "18B¹"), =HYPERLINK("CSG2.html#group18M2", "18M²"), =HYPERLINK("CSG0.html#group1A0", "1A⁰"), =HYPERLINK("CSG0.html#group18A0", "18A⁰")</f>
        <v/>
      </c>
      <c r="N1351">
        <f>HYPERLINK("CSG19.html#group18D19", "18D¹⁹"), =HYPERLINK("CSG16.html#group18H16", "18H¹⁶")</f>
        <v/>
      </c>
    </row>
    <row r="1352">
      <c r="A1352" t="inlineStr">
        <is>
          <t>18M⁷</t>
        </is>
      </c>
      <c r="B1352" t="inlineStr"/>
      <c r="C1352" t="inlineStr">
        <is>
          <t>162</t>
        </is>
      </c>
      <c r="D1352" t="inlineStr">
        <is>
          <t>2</t>
        </is>
      </c>
      <c r="E1352" t="inlineStr">
        <is>
          <t>27</t>
        </is>
      </c>
      <c r="F1352" t="inlineStr">
        <is>
          <t>6</t>
        </is>
      </c>
      <c r="G1352" t="inlineStr">
        <is>
          <t>0</t>
        </is>
      </c>
      <c r="H1352" t="inlineStr">
        <is>
          <t>9⁶, 18⁶</t>
        </is>
      </c>
      <c r="I1352" t="n">
        <v>12</v>
      </c>
      <c r="J1352" t="inlineStr">
        <is>
          <t>2⁹, 6⁶</t>
        </is>
      </c>
      <c r="K1352">
        <f>HYPERLINK("CSG1.html#group9F1", "9F¹"), =HYPERLINK("CSG2.html#group18I2", "18I²"), =HYPERLINK("CSG3.html#group18E3", "18E³"), =HYPERLINK("CSG3.html#group18J3", "18J³")</f>
        <v/>
      </c>
      <c r="L1352">
        <f>HYPERLINK("CSG16.html#group18A16", "18A¹⁶"), =HYPERLINK("CSG16.html#group18G16", "18G¹⁶"), =HYPERLINK("CSG16.html#group36I16", "36I¹⁶"), =HYPERLINK("CSG19.html#group18E19", "18E¹⁹"), =HYPERLINK("CSG19.html#group36Q19", "36Q¹⁹"), =HYPERLINK("CSG19.html#group36R19", "36R¹⁹"), =HYPERLINK("CSG22.html#group18A22", "18A²²"), =HYPERLINK("CSG22.html#group36H22", "36H²²")</f>
        <v/>
      </c>
      <c r="M1352">
        <f>HYPERLINK("CSG0.html#group9G0", "9G⁰"), =HYPERLINK("CSG0.html#group6G0", "6G⁰"), =HYPERLINK("CSG0.html#group2B0", "2B⁰"), =HYPERLINK("CSG0.html#group1A0", "1A⁰"), =HYPERLINK("CSG1.html#group9B1", "9B¹"), =HYPERLINK("CSG3.html#group18E3", "18E³"), =HYPERLINK("CSG0.html#group9D0", "9D⁰"), =HYPERLINK("CSG3.html#group18J3", "18J³"), =HYPERLINK("CSG0.html#group9A0", "9A⁰"), =HYPERLINK("CSG0.html#group3C0", "3C⁰"), =HYPERLINK("CSG1.html#group18E1", "18E¹"), =HYPERLINK("CSG0.html#group3A0", "3A⁰"), =HYPERLINK("CSG2.html#group18I2", "18I²"), =HYPERLINK("CSG0.html#group6D0", "6D⁰"), =HYPERLINK("CSG1.html#group9F1", "9F¹")</f>
        <v/>
      </c>
      <c r="N1352">
        <f>HYPERLINK("CSG16.html#group18G16", "18G¹⁶"), =HYPERLINK("CSG19.html#group36Q19", "36Q¹⁹"), =HYPERLINK("CSG19.html#group36R19", "36R¹⁹"), =HYPERLINK("CSG22.html#group36H22", "36H²²"), =HYPERLINK("CSG19.html#group18E19", "18E¹⁹"), =HYPERLINK("CSG16.html#group18A16", "18A¹⁶"), =HYPERLINK("CSG16.html#group36I16", "36I¹⁶"), =HYPERLINK("CSG22.html#group18A22", "18A²²")</f>
        <v/>
      </c>
    </row>
    <row r="1353">
      <c r="A1353" t="inlineStr">
        <is>
          <t>18N⁷</t>
        </is>
      </c>
      <c r="B1353" t="inlineStr"/>
      <c r="C1353" t="inlineStr">
        <is>
          <t>216</t>
        </is>
      </c>
      <c r="D1353" t="inlineStr">
        <is>
          <t>1</t>
        </is>
      </c>
      <c r="E1353" t="inlineStr">
        <is>
          <t>6</t>
        </is>
      </c>
      <c r="F1353" t="inlineStr">
        <is>
          <t>0</t>
        </is>
      </c>
      <c r="G1353" t="inlineStr">
        <is>
          <t>0</t>
        </is>
      </c>
      <c r="H1353" t="inlineStr">
        <is>
          <t>6¹⁸, 18⁶</t>
        </is>
      </c>
      <c r="I1353" t="n">
        <v>24</v>
      </c>
      <c r="J1353" t="inlineStr">
        <is>
          <t>1², 2²</t>
        </is>
      </c>
      <c r="K1353">
        <f>HYPERLINK("CSG1.html#group6F1", "6F¹"), =HYPERLINK("CSG2.html#group18P2", "18P²"), =HYPERLINK("CSG3.html#group18F3", "18F³"), =HYPERLINK("CSG3.html#group18H3", "18H³"), =HYPERLINK("CSG3.html#group18K3", "18K³"), =HYPERLINK("CSG4.html#group18N4", "18N⁴")</f>
        <v/>
      </c>
      <c r="L1353">
        <f>HYPERLINK("CSG17.html#group36I17", "36I¹⁷"), =HYPERLINK("CSG21.html#group36E21", "36E²¹")</f>
        <v/>
      </c>
      <c r="M1353">
        <f>HYPERLINK("CSG0.html#group2A0", "2A⁰"), =HYPERLINK("CSG1.html#group6C1", "6C¹"), =HYPERLINK("CSG0.html#group6G0", "6G⁰"), =HYPERLINK("CSG0.html#group2B0", "2B⁰"), =HYPERLINK("CSG0.html#group9E0", "9E⁰"), =HYPERLINK("CSG0.html#group1A0", "1A⁰"), =HYPERLINK("CSG3.html#group18F3", "18F³"), =HYPERLINK("CSG4.html#group18N4", "18N⁴"), =HYPERLINK("CSG1.html#group6B1", "6B¹"), =HYPERLINK("CSG3.html#group18H3", "18H³"), =HYPERLINK("CSG0.html#group3C0", "3C⁰"), =HYPERLINK("CSG3.html#group18K3", "18K³"), =HYPERLINK("CSG1.html#group6A1", "6A¹"), =HYPERLINK("CSG1.html#group18G1", "18G¹"), =HYPERLINK("CSG0.html#group6K0", "6K⁰"), =HYPERLINK("CSG0.html#group6H0", "6H⁰"), =HYPERLINK("CSG0.html#group3A0", "3A⁰"), =HYPERLINK("CSG0.html#group6F0", "6F⁰"), =HYPERLINK("CSG1.html#group6E1", "6E¹"), =HYPERLINK("CSG2.html#group18F2", "18F²"), =HYPERLINK("CSG0.html#group3B0", "3B⁰"), =HYPERLINK("CSG0.html#group6B0", "6B⁰"), =HYPERLINK("CSG1.html#group18I1", "18I¹"), =HYPERLINK("CSG0.html#group6I0", "6I⁰"), =HYPERLINK("CSG1.html#group6F1", "6F¹"), =HYPERLINK("CSG0.html#group6C0", "6C⁰"), =HYPERLINK("CSG1.html#group6D1", "6D¹"), =HYPERLINK("CSG0.html#group6A0", "6A⁰"), =HYPERLINK("CSG0.html#group6E0", "6E⁰"), =HYPERLINK("CSG0.html#group6L0", "6L⁰"), =HYPERLINK("CSG0.html#group6J0", "6J⁰"), =HYPERLINK("CSG2.html#group18P2", "18P²"), =HYPERLINK("CSG1.html#group18F1", "18F¹"), =HYPERLINK("CSG0.html#group9H0", "9H⁰"), =HYPERLINK("CSG0.html#group3D0", "3D⁰"), =HYPERLINK("CSG0.html#group2C0", "2C⁰"), =HYPERLINK("CSG0.html#group6D0", "6D⁰")</f>
        <v/>
      </c>
      <c r="N1353">
        <f>HYPERLINK("CSG17.html#group36I17", "36I¹⁷"), =HYPERLINK("CSG21.html#group36E21", "36E²¹")</f>
        <v/>
      </c>
    </row>
    <row r="1354">
      <c r="A1354" t="inlineStr">
        <is>
          <t>18O⁷</t>
        </is>
      </c>
      <c r="B1354" t="inlineStr"/>
      <c r="C1354" t="inlineStr">
        <is>
          <t>216</t>
        </is>
      </c>
      <c r="D1354" t="inlineStr">
        <is>
          <t>1</t>
        </is>
      </c>
      <c r="E1354" t="inlineStr">
        <is>
          <t>12</t>
        </is>
      </c>
      <c r="F1354" t="inlineStr">
        <is>
          <t>0</t>
        </is>
      </c>
      <c r="G1354" t="inlineStr">
        <is>
          <t>0</t>
        </is>
      </c>
      <c r="H1354" t="inlineStr">
        <is>
          <t>2⁹, 6⁶, 18⁹</t>
        </is>
      </c>
      <c r="I1354" t="n">
        <v>24</v>
      </c>
      <c r="J1354" t="inlineStr">
        <is>
          <t>1², 2², 6¹</t>
        </is>
      </c>
      <c r="K1354">
        <f>HYPERLINK("CSG1.html#group18J1", "18J¹"), =HYPERLINK("CSG2.html#group18Q2", "18Q²"), =HYPERLINK("CSG3.html#group18G3", "18G³"), =HYPERLINK("CSG3.html#group18I3", "18I³")</f>
        <v/>
      </c>
      <c r="L1354">
        <f>HYPERLINK("CSG17.html#group36J17", "36J¹⁷"), =HYPERLINK("CSG21.html#group36F21", "36F²¹")</f>
        <v/>
      </c>
      <c r="M1354">
        <f>HYPERLINK("CSG0.html#group3B0", "3B⁰"), =HYPERLINK("CSG0.html#group2A0", "2A⁰"), =HYPERLINK("CSG0.html#group6I0", "6I⁰"), =HYPERLINK("CSG0.html#group6C0", "6C⁰"), =HYPERLINK("CSG0.html#group9B0", "9B⁰"), =HYPERLINK("CSG0.html#group2B0", "2B⁰"), =HYPERLINK("CSG1.html#group18J1", "18J¹"), =HYPERLINK("CSG0.html#group1A0", "1A⁰"), =HYPERLINK("CSG0.html#group18C0", "18C⁰"), =HYPERLINK("CSG0.html#group18E0", "18E⁰"), =HYPERLINK("CSG2.html#group18Q2", "18Q²"), =HYPERLINK("CSG3.html#group18G3", "18G³"), =HYPERLINK("CSG1.html#group18C1", "18C¹"), =HYPERLINK("CSG0.html#group9I0", "9I⁰"), =HYPERLINK("CSG3.html#group18I3", "18I³"), =HYPERLINK("CSG0.html#group6F0", "6F⁰"), =HYPERLINK("CSG0.html#group2C0", "2C⁰")</f>
        <v/>
      </c>
      <c r="N1354">
        <f>HYPERLINK("CSG21.html#group36F21", "36F²¹"), =HYPERLINK("CSG17.html#group36J17", "36J¹⁷")</f>
        <v/>
      </c>
    </row>
    <row r="1355">
      <c r="A1355" t="inlineStr">
        <is>
          <t>18P⁷</t>
        </is>
      </c>
      <c r="B1355" t="inlineStr"/>
      <c r="C1355" t="inlineStr">
        <is>
          <t>216</t>
        </is>
      </c>
      <c r="D1355" t="inlineStr">
        <is>
          <t>1</t>
        </is>
      </c>
      <c r="E1355" t="inlineStr">
        <is>
          <t>24</t>
        </is>
      </c>
      <c r="F1355" t="inlineStr">
        <is>
          <t>0</t>
        </is>
      </c>
      <c r="G1355" t="inlineStr">
        <is>
          <t>9</t>
        </is>
      </c>
      <c r="H1355" t="inlineStr">
        <is>
          <t>6⁹, 18⁹</t>
        </is>
      </c>
      <c r="I1355" t="n">
        <v>18</v>
      </c>
      <c r="J1355" t="inlineStr">
        <is>
          <t>2⁶, 6²</t>
        </is>
      </c>
      <c r="K1355">
        <f>HYPERLINK("CSG1.html#group18K1", "18K¹"), =HYPERLINK("CSG2.html#group18N2", "18N²"), =HYPERLINK("CSG2.html#group18O2", "18O²")</f>
        <v/>
      </c>
      <c r="L1355">
        <f>HYPERLINK("CSG22.html#group36M22", "36M²²")</f>
        <v/>
      </c>
      <c r="M1355">
        <f>HYPERLINK("CSG0.html#group18C0", "18C⁰"), =HYPERLINK("CSG0.html#group3B0", "3B⁰"), =HYPERLINK("CSG0.html#group2A0", "2A⁰"), =HYPERLINK("CSG0.html#group9J0", "9J⁰"), =HYPERLINK("CSG0.html#group6A0", "6A⁰"), =HYPERLINK("CSG1.html#group18K1", "18K¹"), =HYPERLINK("CSG0.html#group18B0", "18B⁰"), =HYPERLINK("CSG2.html#group18N2", "18N²"), =HYPERLINK("CSG0.html#group6C0", "6C⁰"), =HYPERLINK("CSG0.html#group6J0", "6J⁰"), =HYPERLINK("CSG0.html#group9C0", "9C⁰"), =HYPERLINK("CSG2.html#group18O2", "18O²"), =HYPERLINK("CSG0.html#group1A0", "1A⁰"), =HYPERLINK("CSG1.html#group18D1", "18D¹")</f>
        <v/>
      </c>
      <c r="N1355">
        <f>HYPERLINK("CSG22.html#group36M22", "36M²²")</f>
        <v/>
      </c>
    </row>
    <row r="1356">
      <c r="A1356" t="inlineStr">
        <is>
          <t>19A⁷</t>
        </is>
      </c>
      <c r="B1356" t="inlineStr">
        <is>
          <t>Γ₁(19)</t>
        </is>
      </c>
      <c r="C1356" t="inlineStr">
        <is>
          <t>180</t>
        </is>
      </c>
      <c r="D1356" t="inlineStr">
        <is>
          <t>1</t>
        </is>
      </c>
      <c r="E1356" t="inlineStr">
        <is>
          <t>20</t>
        </is>
      </c>
      <c r="F1356" t="inlineStr">
        <is>
          <t>0</t>
        </is>
      </c>
      <c r="G1356" t="inlineStr">
        <is>
          <t>0</t>
        </is>
      </c>
      <c r="H1356" t="inlineStr">
        <is>
          <t>1⁹, 19⁹</t>
        </is>
      </c>
      <c r="I1356" t="n">
        <v>18</v>
      </c>
      <c r="J1356" t="inlineStr">
        <is>
          <t>1², 18¹</t>
        </is>
      </c>
      <c r="K1356">
        <f>HYPERLINK("CSG1.html#group19B1", "19B¹")</f>
        <v/>
      </c>
      <c r="L1356">
        <f>HYPERLINK("CSG22.html#group38B22", "38B²²")</f>
        <v/>
      </c>
      <c r="M1356">
        <f>HYPERLINK("CSG1.html#group19A1", "19A¹"), =HYPERLINK("CSG0.html#group1A0", "1A⁰"), =HYPERLINK("CSG1.html#group19B1", "19B¹")</f>
        <v/>
      </c>
      <c r="N1356">
        <f>HYPERLINK("CSG22.html#group38B22", "38B²²")</f>
        <v/>
      </c>
    </row>
    <row r="1357">
      <c r="A1357" t="inlineStr">
        <is>
          <t>20A⁷</t>
        </is>
      </c>
      <c r="B1357" t="inlineStr"/>
      <c r="C1357" t="inlineStr">
        <is>
          <t>120</t>
        </is>
      </c>
      <c r="D1357" t="inlineStr">
        <is>
          <t>1</t>
        </is>
      </c>
      <c r="E1357" t="inlineStr">
        <is>
          <t>30</t>
        </is>
      </c>
      <c r="F1357" t="inlineStr">
        <is>
          <t>0</t>
        </is>
      </c>
      <c r="G1357" t="inlineStr">
        <is>
          <t>0</t>
        </is>
      </c>
      <c r="H1357" t="inlineStr">
        <is>
          <t>10⁴, 20⁴</t>
        </is>
      </c>
      <c r="I1357" t="n">
        <v>8</v>
      </c>
      <c r="J1357" t="inlineStr">
        <is>
          <t>2³, 4⁶</t>
        </is>
      </c>
      <c r="K1357">
        <f>HYPERLINK("CSG2.html#group10E2", "10E²"), =HYPERLINK("CSG3.html#group20E3", "20E³"), =HYPERLINK("CSG4.html#group20B4", "20B⁴")</f>
        <v/>
      </c>
      <c r="L1357">
        <f>HYPERLINK("CSG13.html#group20A13", "20A¹³"), =HYPERLINK("CSG15.html#group20H15", "20H¹⁵"), =HYPERLINK("CSG15.html#group40E15", "40E¹⁵"), =HYPERLINK("CSG17.html#group40I17", "40I¹⁷"), =HYPERLINK("CSG19.html#group20B19", "20B¹⁹")</f>
        <v/>
      </c>
      <c r="M1357">
        <f>HYPERLINK("CSG2.html#group10E2", "10E²"), =HYPERLINK("CSG3.html#group20E3", "20E³"), =HYPERLINK("CSG0.html#group10D0", "10D⁰"), =HYPERLINK("CSG0.html#group5C0", "5C⁰"), =HYPERLINK("CSG4.html#group20B4", "20B⁴"), =HYPERLINK("CSG0.html#group2B0", "2B⁰"), =HYPERLINK("CSG0.html#group4B0", "4B⁰"), =HYPERLINK("CSG0.html#group1A0", "1A⁰"), =HYPERLINK("CSG1.html#group10F1", "10F¹")</f>
        <v/>
      </c>
      <c r="N1357">
        <f>HYPERLINK("CSG13.html#group20A13", "20A¹³"), =HYPERLINK("CSG17.html#group40I17", "40I¹⁷"), =HYPERLINK("CSG15.html#group20H15", "20H¹⁵"), =HYPERLINK("CSG19.html#group20B19", "20B¹⁹"), =HYPERLINK("CSG15.html#group40E15", "40E¹⁵")</f>
        <v/>
      </c>
    </row>
    <row r="1358">
      <c r="A1358" t="inlineStr">
        <is>
          <t>20B⁷</t>
        </is>
      </c>
      <c r="B1358" t="inlineStr"/>
      <c r="C1358" t="inlineStr">
        <is>
          <t>120</t>
        </is>
      </c>
      <c r="D1358" t="inlineStr">
        <is>
          <t>1</t>
        </is>
      </c>
      <c r="E1358" t="inlineStr">
        <is>
          <t>30</t>
        </is>
      </c>
      <c r="F1358" t="inlineStr">
        <is>
          <t>0</t>
        </is>
      </c>
      <c r="G1358" t="inlineStr">
        <is>
          <t>0</t>
        </is>
      </c>
      <c r="H1358" t="inlineStr">
        <is>
          <t>10⁴, 20⁴</t>
        </is>
      </c>
      <c r="I1358" t="n">
        <v>8</v>
      </c>
      <c r="J1358" t="inlineStr">
        <is>
          <t>2³, 4⁶</t>
        </is>
      </c>
      <c r="K1358">
        <f>HYPERLINK("CSG2.html#group20F2", "20F²"), =HYPERLINK("CSG3.html#group10A3", "10A³"), =HYPERLINK("CSG4.html#group20B4", "20B⁴")</f>
        <v/>
      </c>
      <c r="L1358">
        <f>HYPERLINK("CSG13.html#group20A13", "20A¹³"), =HYPERLINK("CSG15.html#group20E15", "20E¹⁵"), =HYPERLINK("CSG15.html#group40T15", "40T¹⁵"), =HYPERLINK("CSG17.html#group40H17", "40H¹⁷"), =HYPERLINK("CSG19.html#group20C19", "20C¹⁹")</f>
        <v/>
      </c>
      <c r="M1358">
        <f>HYPERLINK("CSG0.html#group2A0", "2A⁰"), =HYPERLINK("CSG0.html#group5C0", "5C⁰"), =HYPERLINK("CSG4.html#group20B4", "20B⁴"), =HYPERLINK("CSG3.html#group10A3", "10A³"), =HYPERLINK("CSG0.html#group2B0", "2B⁰"), =HYPERLINK("CSG1.html#group10C1", "10C¹"), =HYPERLINK("CSG2.html#group20F2", "20F²"), =HYPERLINK("CSG0.html#group1A0", "1A⁰"), =HYPERLINK("CSG0.html#group2C0", "2C⁰"), =HYPERLINK("CSG1.html#group10F1", "10F¹")</f>
        <v/>
      </c>
      <c r="N1358">
        <f>HYPERLINK("CSG13.html#group20A13", "20A¹³"), =HYPERLINK("CSG15.html#group20E15", "20E¹⁵"), =HYPERLINK("CSG15.html#group40T15", "40T¹⁵"), =HYPERLINK("CSG17.html#group40H17", "40H¹⁷"), =HYPERLINK("CSG19.html#group20C19", "20C¹⁹")</f>
        <v/>
      </c>
    </row>
    <row r="1359">
      <c r="A1359" t="inlineStr">
        <is>
          <t>20C⁷</t>
        </is>
      </c>
      <c r="B1359" t="inlineStr"/>
      <c r="C1359" t="inlineStr">
        <is>
          <t>120</t>
        </is>
      </c>
      <c r="D1359" t="inlineStr">
        <is>
          <t>1</t>
        </is>
      </c>
      <c r="E1359" t="inlineStr">
        <is>
          <t>30</t>
        </is>
      </c>
      <c r="F1359" t="inlineStr">
        <is>
          <t>0</t>
        </is>
      </c>
      <c r="G1359" t="inlineStr">
        <is>
          <t>0</t>
        </is>
      </c>
      <c r="H1359" t="inlineStr">
        <is>
          <t>10⁴, 20⁴</t>
        </is>
      </c>
      <c r="I1359" t="n">
        <v>8</v>
      </c>
      <c r="J1359" t="inlineStr">
        <is>
          <t>2³, 4⁶</t>
        </is>
      </c>
      <c r="K1359">
        <f>HYPERLINK("CSG0.html#group4E0", "4E⁰"), =HYPERLINK("CSG3.html#group10A3", "10A³"), =HYPERLINK("CSG3.html#group20E3", "20E³"), =HYPERLINK("CSG3.html#group20F3", "20F³")</f>
        <v/>
      </c>
      <c r="L1359">
        <f>HYPERLINK("CSG13.html#group20A13", "20A¹³"), =HYPERLINK("CSG15.html#group20D15", "20D¹⁵"), =HYPERLINK("CSG15.html#group20E15", "20E¹⁵"), =HYPERLINK("CSG15.html#group40B15", "40B¹⁵"), =HYPERLINK("CSG15.html#group40C15", "40C¹⁵"), =HYPERLINK("CSG15.html#group40N15", "40N¹⁵"), =HYPERLINK("CSG15.html#group40O15", "40O¹⁵"), =HYPERLINK("CSG17.html#group40C17", "40C¹⁷"), =HYPERLINK("CSG17.html#group40D17", "40D¹⁷"), =HYPERLINK("CSG19.html#group20D19", "20D¹⁹")</f>
        <v/>
      </c>
      <c r="M1359">
        <f>HYPERLINK("CSG0.html#group2A0", "2A⁰"), =HYPERLINK("CSG0.html#group2C0", "2C⁰"), =HYPERLINK("CSG3.html#group20E3", "20E³"), =HYPERLINK("CSG0.html#group4C0", "4C⁰"), =HYPERLINK("CSG3.html#group10A3", "10A³"), =HYPERLINK("CSG1.html#group10C1", "10C¹"), =HYPERLINK("CSG0.html#group4E0", "4E⁰"), =HYPERLINK("CSG0.html#group2B0", "2B⁰"), =HYPERLINK("CSG0.html#group1A0", "1A⁰"), =HYPERLINK("CSG0.html#group4B0", "4B⁰"), =HYPERLINK("CSG0.html#group5C0", "5C⁰"), =HYPERLINK("CSG3.html#group20F3", "20F³"), =HYPERLINK("CSG1.html#group10F1", "10F¹")</f>
        <v/>
      </c>
      <c r="N1359">
        <f>HYPERLINK("CSG13.html#group20A13", "20A¹³"), =HYPERLINK("CSG15.html#group40N15", "40N¹⁵"), =HYPERLINK("CSG15.html#group40O15", "40O¹⁵"), =HYPERLINK("CSG19.html#group20D19", "20D¹⁹"), =HYPERLINK("CSG17.html#group40C17", "40C¹⁷"), =HYPERLINK("CSG15.html#group20D15", "20D¹⁵"), =HYPERLINK("CSG15.html#group20E15", "20E¹⁵"), =HYPERLINK("CSG15.html#group40B15", "40B¹⁵"), =HYPERLINK("CSG15.html#group40C15", "40C¹⁵"), =HYPERLINK("CSG17.html#group40D17", "40D¹⁷")</f>
        <v/>
      </c>
    </row>
    <row r="1360">
      <c r="A1360" t="inlineStr">
        <is>
          <t>20D⁷</t>
        </is>
      </c>
      <c r="B1360" t="inlineStr"/>
      <c r="C1360" t="inlineStr">
        <is>
          <t>120</t>
        </is>
      </c>
      <c r="D1360" t="inlineStr">
        <is>
          <t>1</t>
        </is>
      </c>
      <c r="E1360" t="inlineStr">
        <is>
          <t>30</t>
        </is>
      </c>
      <c r="F1360" t="inlineStr">
        <is>
          <t>0</t>
        </is>
      </c>
      <c r="G1360" t="inlineStr">
        <is>
          <t>0</t>
        </is>
      </c>
      <c r="H1360" t="inlineStr">
        <is>
          <t>10⁴, 20⁴</t>
        </is>
      </c>
      <c r="I1360" t="n">
        <v>8</v>
      </c>
      <c r="J1360" t="inlineStr">
        <is>
          <t>2³, 4⁶</t>
        </is>
      </c>
      <c r="K1360">
        <f>HYPERLINK("CSG2.html#group10D2", "10D²"), =HYPERLINK("CSG2.html#group20B2", "20B²"), =HYPERLINK("CSG3.html#group20F3", "20F³"), =HYPERLINK("CSG4.html#group20B4", "20B⁴")</f>
        <v/>
      </c>
      <c r="L1360">
        <f>HYPERLINK("CSG13.html#group20A13", "20A¹³"), =HYPERLINK("CSG15.html#group20G15", "20G¹⁵"), =HYPERLINK("CSG15.html#group40D15", "40D¹⁵"), =HYPERLINK("CSG17.html#group40E17", "40E¹⁷"), =HYPERLINK("CSG17.html#group40F17", "40F¹⁷"), =HYPERLINK("CSG19.html#group20A19", "20A¹⁹")</f>
        <v/>
      </c>
      <c r="M1360">
        <f>HYPERLINK("CSG0.html#group5A0", "5A⁰"), =HYPERLINK("CSG1.html#group10B1", "10B¹"), =HYPERLINK("CSG2.html#group20B2", "20B²"), =HYPERLINK("CSG0.html#group5C0", "5C⁰"), =HYPERLINK("CSG0.html#group4C0", "4C⁰"), =HYPERLINK("CSG0.html#group5F0", "5F⁰"), =HYPERLINK("CSG4.html#group20B4", "20B⁴"), =HYPERLINK("CSG0.html#group2B0", "2B⁰"), =HYPERLINK("CSG0.html#group1A0", "1A⁰"), =HYPERLINK("CSG2.html#group10D2", "10D²"), =HYPERLINK("CSG3.html#group20F3", "20F³"), =HYPERLINK("CSG1.html#group10F1", "10F¹")</f>
        <v/>
      </c>
      <c r="N1360">
        <f>HYPERLINK("CSG13.html#group20A13", "20A¹³"), =HYPERLINK("CSG19.html#group20A19", "20A¹⁹"), =HYPERLINK("CSG17.html#group40E17", "40E¹⁷"), =HYPERLINK("CSG17.html#group40F17", "40F¹⁷"), =HYPERLINK("CSG15.html#group20G15", "20G¹⁵"), =HYPERLINK("CSG15.html#group40D15", "40D¹⁵")</f>
        <v/>
      </c>
    </row>
    <row r="1361">
      <c r="A1361" t="inlineStr">
        <is>
          <t>20E⁷</t>
        </is>
      </c>
      <c r="B1361" t="inlineStr"/>
      <c r="C1361" t="inlineStr">
        <is>
          <t>120</t>
        </is>
      </c>
      <c r="D1361" t="inlineStr">
        <is>
          <t>1</t>
        </is>
      </c>
      <c r="E1361" t="inlineStr">
        <is>
          <t>30</t>
        </is>
      </c>
      <c r="F1361" t="inlineStr">
        <is>
          <t>4</t>
        </is>
      </c>
      <c r="G1361" t="inlineStr">
        <is>
          <t>0</t>
        </is>
      </c>
      <c r="H1361" t="inlineStr">
        <is>
          <t>20⁶</t>
        </is>
      </c>
      <c r="I1361" t="n">
        <v>6</v>
      </c>
      <c r="J1361" t="inlineStr">
        <is>
          <t>2¹, 4¹, 8³</t>
        </is>
      </c>
      <c r="K1361">
        <f>HYPERLINK("CSG1.html#group20C1", "20C¹"), =HYPERLINK("CSG1.html#group20F1", "20F¹"), =HYPERLINK("CSG2.html#group10C2", "10C²")</f>
        <v/>
      </c>
      <c r="L1361">
        <f>HYPERLINK("CSG15.html#group20A15", "20A¹⁵"), =HYPERLINK("CSG21.html#group20A21", "20A²¹")</f>
        <v/>
      </c>
      <c r="M1361">
        <f>HYPERLINK("CSG1.html#group20C1", "20C¹"), =HYPERLINK("CSG0.html#group5A0", "5A⁰"), =HYPERLINK("CSG0.html#group10D0", "10D⁰"), =HYPERLINK("CSG2.html#group10C2", "10C²"), =HYPERLINK("CSG0.html#group5B0", "5B⁰"), =HYPERLINK("CSG0.html#group5E0", "5E⁰"), =HYPERLINK("CSG0.html#group1A0", "1A⁰"), =HYPERLINK("CSG0.html#group10B0", "10B⁰"), =HYPERLINK("CSG1.html#group10E1", "10E¹"), =HYPERLINK("CSG0.html#group5C0", "5C⁰"), =HYPERLINK("CSG0.html#group5G0", "5G⁰"), =HYPERLINK("CSG1.html#group20F1", "20F¹")</f>
        <v/>
      </c>
      <c r="N1361">
        <f>HYPERLINK("CSG15.html#group20A15", "20A¹⁵"), =HYPERLINK("CSG21.html#group20A21", "20A²¹")</f>
        <v/>
      </c>
    </row>
    <row r="1362">
      <c r="A1362" t="inlineStr">
        <is>
          <t>20F⁷</t>
        </is>
      </c>
      <c r="B1362" t="inlineStr"/>
      <c r="C1362" t="inlineStr">
        <is>
          <t>120</t>
        </is>
      </c>
      <c r="D1362" t="inlineStr">
        <is>
          <t>1</t>
        </is>
      </c>
      <c r="E1362" t="inlineStr">
        <is>
          <t>60</t>
        </is>
      </c>
      <c r="F1362" t="inlineStr">
        <is>
          <t>4</t>
        </is>
      </c>
      <c r="G1362" t="inlineStr">
        <is>
          <t>0</t>
        </is>
      </c>
      <c r="H1362" t="inlineStr">
        <is>
          <t>20⁶</t>
        </is>
      </c>
      <c r="I1362" t="n">
        <v>6</v>
      </c>
      <c r="J1362" t="inlineStr">
        <is>
          <t>2², 4², 8⁶</t>
        </is>
      </c>
      <c r="K1362">
        <f>HYPERLINK("CSG0.html#group5G0", "5G⁰"), =HYPERLINK("CSG1.html#group20B1", "20B¹"), =HYPERLINK("CSG2.html#group20E2", "20E²"), =HYPERLINK("CSG3.html#group20D3", "20D³")</f>
        <v/>
      </c>
      <c r="L1362">
        <f>HYPERLINK("CSG13.html#group20B13", "20B¹³"), =HYPERLINK("CSG15.html#group20B15", "20B¹⁵"), =HYPERLINK("CSG15.html#group20F15", "20F¹⁵"), =HYPERLINK("CSG17.html#group40R17", "40R¹⁷"), =HYPERLINK("CSG17.html#group40S17", "40S¹⁷"), =HYPERLINK("CSG21.html#group20C21", "20C²¹")</f>
        <v/>
      </c>
      <c r="M1362">
        <f>HYPERLINK("CSG0.html#group5A0", "5A⁰"), =HYPERLINK("CSG0.html#group4A0", "4A⁰"), =HYPERLINK("CSG0.html#group5C0", "5C⁰"), =HYPERLINK("CSG0.html#group5B0", "5B⁰"), =HYPERLINK("CSG0.html#group5E0", "5E⁰"), =HYPERLINK("CSG1.html#group20A1", "20A¹"), =HYPERLINK("CSG0.html#group1A0", "1A⁰"), =HYPERLINK("CSG2.html#group20E2", "20E²"), =HYPERLINK("CSG0.html#group5G0", "5G⁰"), =HYPERLINK("CSG1.html#group20B1", "20B¹"), =HYPERLINK("CSG3.html#group20D3", "20D³")</f>
        <v/>
      </c>
      <c r="N1362">
        <f>HYPERLINK("CSG13.html#group20B13", "20B¹³"), =HYPERLINK("CSG15.html#group20F15", "20F¹⁵"), =HYPERLINK("CSG15.html#group20B15", "20B¹⁵"), =HYPERLINK("CSG17.html#group40R17", "40R¹⁷"), =HYPERLINK("CSG21.html#group20C21", "20C²¹"), =HYPERLINK("CSG17.html#group40S17", "40S¹⁷")</f>
        <v/>
      </c>
    </row>
    <row r="1363">
      <c r="A1363" t="inlineStr">
        <is>
          <t>20G⁷</t>
        </is>
      </c>
      <c r="B1363" t="inlineStr"/>
      <c r="C1363" t="inlineStr">
        <is>
          <t>120</t>
        </is>
      </c>
      <c r="D1363" t="inlineStr">
        <is>
          <t>1</t>
        </is>
      </c>
      <c r="E1363" t="inlineStr">
        <is>
          <t>60</t>
        </is>
      </c>
      <c r="F1363" t="inlineStr">
        <is>
          <t>4</t>
        </is>
      </c>
      <c r="G1363" t="inlineStr">
        <is>
          <t>0</t>
        </is>
      </c>
      <c r="H1363" t="inlineStr">
        <is>
          <t>20⁶</t>
        </is>
      </c>
      <c r="I1363" t="n">
        <v>6</v>
      </c>
      <c r="J1363" t="inlineStr">
        <is>
          <t>2², 4⁶, 8⁴</t>
        </is>
      </c>
      <c r="K1363">
        <f>HYPERLINK("CSG3.html#group20F3", "20F³")</f>
        <v/>
      </c>
      <c r="L1363">
        <f>HYPERLINK("CSG13.html#group20C13", "20C¹³"), =HYPERLINK("CSG15.html#group20E15", "20E¹⁵"), =HYPERLINK("CSG15.html#group20G15", "20G¹⁵"), =HYPERLINK("CSG15.html#group40G15", "40G¹⁵"), =HYPERLINK("CSG15.html#group40F15", "40F¹⁵"), =HYPERLINK("CSG17.html#group40K17", "40K¹⁷"), =HYPERLINK("CSG17.html#group40J17", "40J¹⁷"), =HYPERLINK("CSG21.html#group20B21", "20B²¹")</f>
        <v/>
      </c>
      <c r="M1363">
        <f>HYPERLINK("CSG0.html#group1A0", "1A⁰"), =HYPERLINK("CSG0.html#group2B0", "2B⁰"), =HYPERLINK("CSG0.html#group5C0", "5C⁰"), =HYPERLINK("CSG3.html#group20F3", "20F³"), =HYPERLINK("CSG0.html#group4C0", "4C⁰"), =HYPERLINK("CSG1.html#group10F1", "10F¹")</f>
        <v/>
      </c>
      <c r="N1363">
        <f>HYPERLINK("CSG21.html#group20B21", "20B²¹"), =HYPERLINK("CSG13.html#group20C13", "20C¹³"), =HYPERLINK("CSG17.html#group40J17", "40J¹⁷"), =HYPERLINK("CSG15.html#group40F15", "40F¹⁵"), =HYPERLINK("CSG15.html#group20E15", "20E¹⁵"), =HYPERLINK("CSG17.html#group40K17", "40K¹⁷"), =HYPERLINK("CSG15.html#group20G15", "20G¹⁵"), =HYPERLINK("CSG15.html#group40G15", "40G¹⁵")</f>
        <v/>
      </c>
    </row>
    <row r="1364">
      <c r="A1364" t="inlineStr">
        <is>
          <t>20H⁷</t>
        </is>
      </c>
      <c r="B1364" t="inlineStr"/>
      <c r="C1364" t="inlineStr">
        <is>
          <t>120</t>
        </is>
      </c>
      <c r="D1364" t="inlineStr">
        <is>
          <t>1</t>
        </is>
      </c>
      <c r="E1364" t="inlineStr">
        <is>
          <t>60</t>
        </is>
      </c>
      <c r="F1364" t="inlineStr">
        <is>
          <t>4</t>
        </is>
      </c>
      <c r="G1364" t="inlineStr">
        <is>
          <t>0</t>
        </is>
      </c>
      <c r="H1364" t="inlineStr">
        <is>
          <t>20⁶</t>
        </is>
      </c>
      <c r="I1364" t="n">
        <v>6</v>
      </c>
      <c r="J1364" t="inlineStr">
        <is>
          <t>2², 4⁶, 8⁴</t>
        </is>
      </c>
      <c r="K1364">
        <f>HYPERLINK("CSG0.html#group4F0", "4F⁰"), =HYPERLINK("CSG2.html#group20E2", "20E²"), =HYPERLINK("CSG3.html#group20F3", "20F³")</f>
        <v/>
      </c>
      <c r="L1364">
        <f>HYPERLINK("CSG13.html#group20C13", "20C¹³"), =HYPERLINK("CSG15.html#group20D15", "20D¹⁵"), =HYPERLINK("CSG15.html#group20G15", "20G¹⁵"), =HYPERLINK("CSG15.html#group40H15", "40H¹⁵"), =HYPERLINK("CSG15.html#group40I15", "40I¹⁵"), =HYPERLINK("CSG15.html#group40P15", "40P¹⁵"), =HYPERLINK("CSG15.html#group40Q15", "40Q¹⁵"), =HYPERLINK("CSG17.html#group40L17", "40L¹⁷"), =HYPERLINK("CSG17.html#group40M17", "40M¹⁷"), =HYPERLINK("CSG17.html#group40P17", "40P¹⁷"), =HYPERLINK("CSG17.html#group40Q17", "40Q¹⁷"), =HYPERLINK("CSG21.html#group20C21", "20C²¹")</f>
        <v/>
      </c>
      <c r="M1364">
        <f>HYPERLINK("CSG2.html#group20E2", "20E²"), =HYPERLINK("CSG0.html#group4A0", "4A⁰"), =HYPERLINK("CSG0.html#group4C0", "4C⁰"), =HYPERLINK("CSG0.html#group1A0", "1A⁰"), =HYPERLINK("CSG0.html#group2B0", "2B⁰"), =HYPERLINK("CSG0.html#group4F0", "4F⁰"), =HYPERLINK("CSG0.html#group5C0", "5C⁰"), =HYPERLINK("CSG3.html#group20F3", "20F³"), =HYPERLINK("CSG1.html#group10F1", "10F¹")</f>
        <v/>
      </c>
      <c r="N1364">
        <f>HYPERLINK("CSG17.html#group40L17", "40L¹⁷"), =HYPERLINK("CSG15.html#group40Q15", "40Q¹⁵"), =HYPERLINK("CSG13.html#group20C13", "20C¹³"), =HYPERLINK("CSG15.html#group40P15", "40P¹⁵"), =HYPERLINK("CSG21.html#group20C21", "20C²¹"), =HYPERLINK("CSG15.html#group40I15", "40I¹⁵"), =HYPERLINK("CSG17.html#group40Q17", "40Q¹⁷"), =HYPERLINK("CSG15.html#group20D15", "20D¹⁵"), =HYPERLINK("CSG17.html#group40P17", "40P¹⁷"), =HYPERLINK("CSG17.html#group40M17", "40M¹⁷"), =HYPERLINK("CSG15.html#group20G15", "20G¹⁵"), =HYPERLINK("CSG15.html#group40H15", "40H¹⁵")</f>
        <v/>
      </c>
    </row>
    <row r="1365">
      <c r="A1365" t="inlineStr">
        <is>
          <t>20I⁷</t>
        </is>
      </c>
      <c r="B1365" t="inlineStr"/>
      <c r="C1365" t="inlineStr">
        <is>
          <t>120</t>
        </is>
      </c>
      <c r="D1365" t="inlineStr">
        <is>
          <t>2</t>
        </is>
      </c>
      <c r="E1365" t="inlineStr">
        <is>
          <t>30</t>
        </is>
      </c>
      <c r="F1365" t="inlineStr">
        <is>
          <t>4</t>
        </is>
      </c>
      <c r="G1365" t="inlineStr">
        <is>
          <t>0</t>
        </is>
      </c>
      <c r="H1365" t="inlineStr">
        <is>
          <t>20⁶</t>
        </is>
      </c>
      <c r="I1365" t="n">
        <v>6</v>
      </c>
      <c r="J1365" t="inlineStr">
        <is>
          <t>4³, 8⁶</t>
        </is>
      </c>
      <c r="K1365">
        <f>HYPERLINK("CSG1.html#group20F1", "20F¹"), =HYPERLINK("CSG2.html#group10E2", "10E²")</f>
        <v/>
      </c>
      <c r="L1365">
        <f>HYPERLINK("CSG13.html#group20D13", "20D¹³"), =HYPERLINK("CSG15.html#group20C15", "20C¹⁵"), =HYPERLINK("CSG15.html#group20H15", "20H¹⁵"), =HYPERLINK("CSG21.html#group20A21", "20A²¹")</f>
        <v/>
      </c>
      <c r="M1365">
        <f>HYPERLINK("CSG1.html#group10F1", "10F¹"), =HYPERLINK("CSG0.html#group2B0", "2B⁰"), =HYPERLINK("CSG2.html#group10E2", "10E²"), =HYPERLINK("CSG0.html#group1A0", "1A⁰"), =HYPERLINK("CSG0.html#group10D0", "10D⁰"), =HYPERLINK("CSG0.html#group5C0", "5C⁰"), =HYPERLINK("CSG1.html#group20F1", "20F¹")</f>
        <v/>
      </c>
      <c r="N1365">
        <f>HYPERLINK("CSG15.html#group20H15", "20H¹⁵"), =HYPERLINK("CSG13.html#group20D13", "20D¹³"), =HYPERLINK("CSG15.html#group20C15", "20C¹⁵"), =HYPERLINK("CSG21.html#group20A21", "20A²¹")</f>
        <v/>
      </c>
    </row>
    <row r="1366">
      <c r="A1366" t="inlineStr">
        <is>
          <t>20J⁷</t>
        </is>
      </c>
      <c r="B1366" t="inlineStr"/>
      <c r="C1366" t="inlineStr">
        <is>
          <t>144</t>
        </is>
      </c>
      <c r="D1366" t="inlineStr">
        <is>
          <t>1</t>
        </is>
      </c>
      <c r="E1366" t="inlineStr">
        <is>
          <t>6</t>
        </is>
      </c>
      <c r="F1366" t="inlineStr">
        <is>
          <t>0</t>
        </is>
      </c>
      <c r="G1366" t="inlineStr">
        <is>
          <t>0</t>
        </is>
      </c>
      <c r="H1366" t="inlineStr">
        <is>
          <t>4⁶, 20⁶</t>
        </is>
      </c>
      <c r="I1366" t="n">
        <v>12</v>
      </c>
      <c r="J1366" t="inlineStr">
        <is>
          <t>1², 4¹</t>
        </is>
      </c>
      <c r="K1366">
        <f>HYPERLINK("CSG1.html#group10K1", "10K¹"), =HYPERLINK("CSG3.html#group20A3", "20A³"), =HYPERLINK("CSG3.html#group20M3", "20M³")</f>
        <v/>
      </c>
      <c r="L1366">
        <f>HYPERLINK("CSG13.html#group20F13", "20F¹³")</f>
        <v/>
      </c>
      <c r="M1366">
        <f>HYPERLINK("CSG0.html#group2A0", "2A⁰"), =HYPERLINK("CSG1.html#group20C1", "20C¹"), =HYPERLINK("CSG3.html#group20M3", "20M³"), =HYPERLINK("CSG0.html#group10G0", "10G⁰"), =HYPERLINK("CSG0.html#group5B0", "5B⁰"), =HYPERLINK("CSG0.html#group5D0", "5D⁰"), =HYPERLINK("CSG1.html#group10A1", "10A¹"), =HYPERLINK("CSG0.html#group2B0", "2B⁰"), =HYPERLINK("CSG1.html#group10D1", "10D¹"), =HYPERLINK("CSG0.html#group1A0", "1A⁰"), =HYPERLINK("CSG0.html#group10F0", "10F⁰"), =HYPERLINK("CSG3.html#group20A3", "20A³"), =HYPERLINK("CSG0.html#group10B0", "10B⁰"), =HYPERLINK("CSG0.html#group10C0", "10C⁰"), =HYPERLINK("CSG1.html#group10K1", "10K¹"), =HYPERLINK("CSG0.html#group2C0", "2C⁰"), =HYPERLINK("CSG1.html#group10G1", "10G¹")</f>
        <v/>
      </c>
      <c r="N1366">
        <f>HYPERLINK("CSG13.html#group20F13", "20F¹³")</f>
        <v/>
      </c>
    </row>
    <row r="1367">
      <c r="A1367" t="inlineStr">
        <is>
          <t>20K⁷</t>
        </is>
      </c>
      <c r="B1367" t="inlineStr"/>
      <c r="C1367" t="inlineStr">
        <is>
          <t>144</t>
        </is>
      </c>
      <c r="D1367" t="inlineStr">
        <is>
          <t>1</t>
        </is>
      </c>
      <c r="E1367" t="inlineStr">
        <is>
          <t>6</t>
        </is>
      </c>
      <c r="F1367" t="inlineStr">
        <is>
          <t>0</t>
        </is>
      </c>
      <c r="G1367" t="inlineStr">
        <is>
          <t>0</t>
        </is>
      </c>
      <c r="H1367" t="inlineStr">
        <is>
          <t>4⁶, 20⁶</t>
        </is>
      </c>
      <c r="I1367" t="n">
        <v>12</v>
      </c>
      <c r="J1367" t="inlineStr">
        <is>
          <t>1², 4¹</t>
        </is>
      </c>
      <c r="K1367">
        <f>HYPERLINK("CSG0.html#group4G0", "4G⁰"), =HYPERLINK("CSG3.html#group20C3", "20C³"), =HYPERLINK("CSG3.html#group20J3", "20J³"), =HYPERLINK("CSG3.html#group20L3", "20L³")</f>
        <v/>
      </c>
      <c r="L1367">
        <f>HYPERLINK("CSG13.html#group20E13", "20E¹³"), =HYPERLINK("CSG15.html#group40U15", "40U¹⁵"), =HYPERLINK("CSG15.html#group40V15", "40V¹⁵"), =HYPERLINK("CSG17.html#group40U17", "40U¹⁷"), =HYPERLINK("CSG17.html#group40X17", "40X¹⁷"), =HYPERLINK("CSG19.html#group40A19", "40A¹⁹"), =HYPERLINK("CSG19.html#group40B19", "40B¹⁹")</f>
        <v/>
      </c>
      <c r="M1367">
        <f>HYPERLINK("CSG1.html#group20E1", "20E¹"), =HYPERLINK("CSG0.html#group2A0", "2A⁰"), =HYPERLINK("CSG0.html#group4C0", "4C⁰"), =HYPERLINK("CSG3.html#group20C3", "20C³"), =HYPERLINK("CSG0.html#group5B0", "5B⁰"), =HYPERLINK("CSG1.html#group10A1", "10A¹"), =HYPERLINK("CSG0.html#group4G0", "4G⁰"), =HYPERLINK("CSG1.html#group20D1", "20D¹"), =HYPERLINK("CSG0.html#group4E0", "4E⁰"), =HYPERLINK("CSG0.html#group2B0", "2B⁰"), =HYPERLINK("CSG0.html#group4B0", "4B⁰"), =HYPERLINK("CSG0.html#group1A0", "1A⁰"), =HYPERLINK("CSG1.html#group20B1", "20B¹"), =HYPERLINK("CSG1.html#group10G1", "10G¹"), =HYPERLINK("CSG0.html#group4A0", "4A⁰"), =HYPERLINK("CSG0.html#group4D0", "4D⁰"), =HYPERLINK("CSG0.html#group10C0", "10C⁰"), =HYPERLINK("CSG0.html#group4F0", "4F⁰"), =HYPERLINK("CSG3.html#group20J3", "20J³"), =HYPERLINK("CSG0.html#group2C0", "2C⁰"), =HYPERLINK("CSG3.html#group20L3", "20L³")</f>
        <v/>
      </c>
      <c r="N1367">
        <f>HYPERLINK("CSG17.html#group40X17", "40X¹⁷"), =HYPERLINK("CSG15.html#group40U15", "40U¹⁵"), =HYPERLINK("CSG15.html#group40V15", "40V¹⁵"), =HYPERLINK("CSG17.html#group40U17", "40U¹⁷"), =HYPERLINK("CSG19.html#group40A19", "40A¹⁹"), =HYPERLINK("CSG19.html#group40B19", "40B¹⁹"), =HYPERLINK("CSG13.html#group20E13", "20E¹³")</f>
        <v/>
      </c>
    </row>
    <row r="1368">
      <c r="A1368" t="inlineStr">
        <is>
          <t>20L⁷</t>
        </is>
      </c>
      <c r="B1368" t="inlineStr"/>
      <c r="C1368" t="inlineStr">
        <is>
          <t>144</t>
        </is>
      </c>
      <c r="D1368" t="inlineStr">
        <is>
          <t>1</t>
        </is>
      </c>
      <c r="E1368" t="inlineStr">
        <is>
          <t>18</t>
        </is>
      </c>
      <c r="F1368" t="inlineStr">
        <is>
          <t>0</t>
        </is>
      </c>
      <c r="G1368" t="inlineStr">
        <is>
          <t>0</t>
        </is>
      </c>
      <c r="H1368" t="inlineStr">
        <is>
          <t>4⁶, 20⁶</t>
        </is>
      </c>
      <c r="I1368" t="n">
        <v>12</v>
      </c>
      <c r="J1368" t="inlineStr">
        <is>
          <t>1⁶, 4³</t>
        </is>
      </c>
      <c r="K1368">
        <f>HYPERLINK("CSG3.html#group20I3", "20I³"), =HYPERLINK("CSG3.html#group20J3", "20J³"), =HYPERLINK("CSG3.html#group20K3", "20K³")</f>
        <v/>
      </c>
      <c r="L1368">
        <f>HYPERLINK("CSG13.html#group20E13", "20E¹³"), =HYPERLINK("CSG15.html#group40Y15", "40Y¹⁵"), =HYPERLINK("CSG15.html#group40AD15", "40AD¹⁵"), =HYPERLINK("CSG17.html#group40W17", "40W¹⁷"), =HYPERLINK("CSG17.html#group40V17", "40V¹⁷"), =HYPERLINK("CSG17.html#group40AR17", "40AR¹⁷"), =HYPERLINK("CSG19.html#group40C19", "40C¹⁹")</f>
        <v/>
      </c>
      <c r="M1368">
        <f>HYPERLINK("CSG0.html#group2A0", "2A⁰"), =HYPERLINK("CSG1.html#group20E1", "20E¹"), =HYPERLINK("CSG0.html#group4C0", "4C⁰"), =HYPERLINK("CSG0.html#group5B0", "5B⁰"), =HYPERLINK("CSG1.html#group10A1", "10A¹"), =HYPERLINK("CSG0.html#group2B0", "2B⁰"), =HYPERLINK("CSG1.html#group20D1", "20D¹"), =HYPERLINK("CSG0.html#group4E0", "4E⁰"), =HYPERLINK("CSG3.html#group20K3", "20K³"), =HYPERLINK("CSG0.html#group4B0", "4B⁰"), =HYPERLINK("CSG0.html#group1A0", "1A⁰"), =HYPERLINK("CSG0.html#group20A0", "20A⁰"), =HYPERLINK("CSG0.html#group10C0", "10C⁰"), =HYPERLINK("CSG3.html#group20I3", "20I³"), =HYPERLINK("CSG3.html#group20J3", "20J³"), =HYPERLINK("CSG0.html#group2C0", "2C⁰"), =HYPERLINK("CSG2.html#group20C2", "20C²"), =HYPERLINK("CSG1.html#group10G1", "10G¹")</f>
        <v/>
      </c>
      <c r="N1368">
        <f>HYPERLINK("CSG15.html#group40Y15", "40Y¹⁵"), =HYPERLINK("CSG17.html#group40AR17", "40AR¹⁷"), =HYPERLINK("CSG15.html#group40AD15", "40AD¹⁵"), =HYPERLINK("CSG17.html#group40W17", "40W¹⁷"), =HYPERLINK("CSG19.html#group40C19", "40C¹⁹"), =HYPERLINK("CSG13.html#group20E13", "20E¹³"), =HYPERLINK("CSG17.html#group40V17", "40V¹⁷")</f>
        <v/>
      </c>
    </row>
    <row r="1369">
      <c r="A1369" t="inlineStr">
        <is>
          <t>20M⁷</t>
        </is>
      </c>
      <c r="B1369" t="inlineStr"/>
      <c r="C1369" t="inlineStr">
        <is>
          <t>144</t>
        </is>
      </c>
      <c r="D1369" t="inlineStr">
        <is>
          <t>1</t>
        </is>
      </c>
      <c r="E1369" t="inlineStr">
        <is>
          <t>36</t>
        </is>
      </c>
      <c r="F1369" t="inlineStr">
        <is>
          <t>0</t>
        </is>
      </c>
      <c r="G1369" t="inlineStr">
        <is>
          <t>0</t>
        </is>
      </c>
      <c r="H1369" t="inlineStr">
        <is>
          <t>4⁶, 20⁶</t>
        </is>
      </c>
      <c r="I1369" t="n">
        <v>12</v>
      </c>
      <c r="J1369" t="inlineStr">
        <is>
          <t>1⁴, 2⁴, 4², 8²</t>
        </is>
      </c>
      <c r="K1369">
        <f>HYPERLINK("CSG3.html#group20B3", "20B³"), =HYPERLINK("CSG3.html#group20G3", "20G³"), =HYPERLINK("CSG3.html#group20K3", "20K³"), =HYPERLINK("CSG3.html#group20L3", "20L³")</f>
        <v/>
      </c>
      <c r="L1369">
        <f>HYPERLINK("CSG13.html#group20E13", "20E¹³"), =HYPERLINK("CSG15.html#group40AC15", "40AC¹⁵"), =HYPERLINK("CSG17.html#group40AB17", "40AB¹⁷"), =HYPERLINK("CSG17.html#group40AA17", "40AA¹⁷"), =HYPERLINK("CSG19.html#group40H19", "40H¹⁹")</f>
        <v/>
      </c>
      <c r="M1369">
        <f>HYPERLINK("CSG1.html#group20E1", "20E¹"), =HYPERLINK("CSG3.html#group20G3", "20G³"), =HYPERLINK("CSG0.html#group4C0", "4C⁰"), =HYPERLINK("CSG0.html#group5B0", "5B⁰"), =HYPERLINK("CSG0.html#group5D0", "5D⁰"), =HYPERLINK("CSG0.html#group2B0", "2B⁰"), =HYPERLINK("CSG3.html#group20K3", "20K³"), =HYPERLINK("CSG0.html#group1A0", "1A⁰"), =HYPERLINK("CSG3.html#group20B3", "20B³"), =HYPERLINK("CSG0.html#group10F0", "10F⁰"), =HYPERLINK("CSG1.html#group20B1", "20B¹"), =HYPERLINK("CSG0.html#group4A0", "4A⁰"), =HYPERLINK("CSG0.html#group10C0", "10C⁰"), =HYPERLINK("CSG0.html#group4F0", "4F⁰"), =HYPERLINK("CSG3.html#group20L3", "20L³"), =HYPERLINK("CSG2.html#group20C2", "20C²")</f>
        <v/>
      </c>
      <c r="N1369">
        <f>HYPERLINK("CSG17.html#group40AB17", "40AB¹⁷"), =HYPERLINK("CSG17.html#group40AA17", "40AA¹⁷"), =HYPERLINK("CSG19.html#group40H19", "40H¹⁹"), =HYPERLINK("CSG13.html#group20E13", "20E¹³"), =HYPERLINK("CSG15.html#group40AC15", "40AC¹⁵")</f>
        <v/>
      </c>
    </row>
    <row r="1370">
      <c r="A1370" t="inlineStr">
        <is>
          <t>20N⁷</t>
        </is>
      </c>
      <c r="B1370" t="inlineStr"/>
      <c r="C1370" t="inlineStr">
        <is>
          <t>144</t>
        </is>
      </c>
      <c r="D1370" t="inlineStr">
        <is>
          <t>2</t>
        </is>
      </c>
      <c r="E1370" t="inlineStr">
        <is>
          <t>18</t>
        </is>
      </c>
      <c r="F1370" t="inlineStr">
        <is>
          <t>0</t>
        </is>
      </c>
      <c r="G1370" t="inlineStr">
        <is>
          <t>0</t>
        </is>
      </c>
      <c r="H1370" t="inlineStr">
        <is>
          <t>4⁶, 20⁶</t>
        </is>
      </c>
      <c r="I1370" t="n">
        <v>12</v>
      </c>
      <c r="J1370" t="inlineStr">
        <is>
          <t>2⁶, 8³</t>
        </is>
      </c>
      <c r="K1370">
        <f>HYPERLINK("CSG1.html#group20J1", "20J¹"), =HYPERLINK("CSG3.html#group20H3", "20H³"), =HYPERLINK("CSG3.html#group20M3", "20M³")</f>
        <v/>
      </c>
      <c r="L1370">
        <f>HYPERLINK("CSG13.html#group20F13", "20F¹³"), =HYPERLINK("CSG17.html#group40AS17", "40AS¹⁷")</f>
        <v/>
      </c>
      <c r="M1370">
        <f>HYPERLINK("CSG1.html#group20C1", "20C¹"), =HYPERLINK("CSG2.html#group20C2", "20C²"), =HYPERLINK("CSG3.html#group20M3", "20M³"), =HYPERLINK("CSG0.html#group10G0", "10G⁰"), =HYPERLINK("CSG0.html#group5B0", "5B⁰"), =HYPERLINK("CSG0.html#group10C0", "10C⁰"), =HYPERLINK("CSG0.html#group1A0", "1A⁰"), =HYPERLINK("CSG0.html#group2B0", "2B⁰"), =HYPERLINK("CSG1.html#group20D1", "20D¹"), =HYPERLINK("CSG0.html#group4B0", "4B⁰"), =HYPERLINK("CSG1.html#group20J1", "20J¹"), =HYPERLINK("CSG3.html#group20H3", "20H³"), =HYPERLINK("CSG0.html#group10B0", "10B⁰")</f>
        <v/>
      </c>
      <c r="N1370">
        <f>HYPERLINK("CSG17.html#group40AS17", "40AS¹⁷"), =HYPERLINK("CSG13.html#group20F13", "20F¹³")</f>
        <v/>
      </c>
    </row>
    <row r="1371">
      <c r="A1371" t="inlineStr">
        <is>
          <t>20O⁷</t>
        </is>
      </c>
      <c r="B1371" t="inlineStr"/>
      <c r="C1371" t="inlineStr">
        <is>
          <t>160</t>
        </is>
      </c>
      <c r="D1371" t="inlineStr">
        <is>
          <t>2</t>
        </is>
      </c>
      <c r="E1371" t="inlineStr">
        <is>
          <t>40</t>
        </is>
      </c>
      <c r="F1371" t="inlineStr">
        <is>
          <t>8</t>
        </is>
      </c>
      <c r="G1371" t="inlineStr">
        <is>
          <t>4</t>
        </is>
      </c>
      <c r="H1371" t="inlineStr">
        <is>
          <t>20⁸</t>
        </is>
      </c>
      <c r="I1371" t="n">
        <v>8</v>
      </c>
      <c r="J1371" t="inlineStr">
        <is>
          <t>4⁴, 8⁸</t>
        </is>
      </c>
      <c r="K1371">
        <f>HYPERLINK("CSG1.html#group20F1", "20F¹"), =HYPERLINK("CSG3.html#group20O3", "20O³")</f>
        <v/>
      </c>
      <c r="L1371">
        <f>HYPERLINK("CSG17.html#group20A17", "20A¹⁷"), =HYPERLINK("CSG19.html#group40J19", "40J¹⁹"), =HYPERLINK("CSG19.html#group40K19", "40K¹⁹")</f>
        <v/>
      </c>
      <c r="M1371">
        <f>HYPERLINK("CSG2.html#group20E2", "20E²"), =HYPERLINK("CSG3.html#group20O3", "20O³"), =HYPERLINK("CSG0.html#group1A0", "1A⁰"), =HYPERLINK("CSG0.html#group4A0", "4A⁰"), =HYPERLINK("CSG0.html#group10D0", "10D⁰"), =HYPERLINK("CSG0.html#group5C0", "5C⁰"), =HYPERLINK("CSG1.html#group20F1", "20F¹")</f>
        <v/>
      </c>
      <c r="N1371">
        <f>HYPERLINK("CSG17.html#group20A17", "20A¹⁷"), =HYPERLINK("CSG19.html#group40K19", "40K¹⁹"), =HYPERLINK("CSG19.html#group40J19", "40J¹⁹")</f>
        <v/>
      </c>
    </row>
    <row r="1372">
      <c r="A1372" t="inlineStr">
        <is>
          <t>20P⁷</t>
        </is>
      </c>
      <c r="B1372" t="inlineStr"/>
      <c r="C1372" t="inlineStr">
        <is>
          <t>180</t>
        </is>
      </c>
      <c r="D1372" t="inlineStr">
        <is>
          <t>1</t>
        </is>
      </c>
      <c r="E1372" t="inlineStr">
        <is>
          <t>45</t>
        </is>
      </c>
      <c r="F1372" t="inlineStr">
        <is>
          <t>0</t>
        </is>
      </c>
      <c r="G1372" t="inlineStr">
        <is>
          <t>0</t>
        </is>
      </c>
      <c r="H1372" t="inlineStr">
        <is>
          <t>5¹², 20⁶</t>
        </is>
      </c>
      <c r="I1372" t="n">
        <v>18</v>
      </c>
      <c r="J1372" t="inlineStr">
        <is>
          <t>1³, 2³, 4⁹</t>
        </is>
      </c>
      <c r="K1372">
        <f>HYPERLINK("CSG1.html#group20D1", "20D¹"), =HYPERLINK("CSG2.html#group10F2", "10F²"), =HYPERLINK("CSG3.html#group20E3", "20E³"), =HYPERLINK("CSG3.html#group20P3", "20P³"), =HYPERLINK("CSG4.html#group20D4", "20D⁴")</f>
        <v/>
      </c>
      <c r="L1372">
        <f>HYPERLINK("CSG13.html#group20G13", "20G¹³"), =HYPERLINK("CSG19.html#group20B19", "20B¹⁹"), =HYPERLINK("CSG19.html#group20D19", "20D¹⁹"), =HYPERLINK("CSG19.html#group40L19", "40L¹⁹"), =HYPERLINK("CSG19.html#group40M19", "40M¹⁹")</f>
        <v/>
      </c>
      <c r="M1372">
        <f>HYPERLINK("CSG2.html#group20A2", "20A²"), =HYPERLINK("CSG4.html#group20D4", "20D⁴"), =HYPERLINK("CSG0.html#group5A0", "5A⁰"), =HYPERLINK("CSG3.html#group20E3", "20E³"), =HYPERLINK("CSG1.html#group10B1", "10B¹"), =HYPERLINK("CSG0.html#group5B0", "5B⁰"), =HYPERLINK("CSG1.html#group20D1", "20D¹"), =HYPERLINK("CSG0.html#group2B0", "2B⁰"), =HYPERLINK("CSG0.html#group4B0", "4B⁰"), =HYPERLINK("CSG0.html#group1A0", "1A⁰"), =HYPERLINK("CSG1.html#group10F1", "10F¹"), =HYPERLINK("CSG1.html#group10I1", "10I¹"), =HYPERLINK("CSG2.html#group10F2", "10F²"), =HYPERLINK("CSG0.html#group5E0", "5E⁰"), =HYPERLINK("CSG3.html#group20P3", "20P³"), =HYPERLINK("CSG0.html#group10C0", "10C⁰"), =HYPERLINK("CSG0.html#group5C0", "5C⁰"), =HYPERLINK("CSG0.html#group5G0", "5G⁰")</f>
        <v/>
      </c>
      <c r="N1372">
        <f>HYPERLINK("CSG19.html#group40M19", "40M¹⁹"), =HYPERLINK("CSG19.html#group20D19", "20D¹⁹"), =HYPERLINK("CSG19.html#group20B19", "20B¹⁹"), =HYPERLINK("CSG13.html#group20G13", "20G¹³"), =HYPERLINK("CSG19.html#group40L19", "40L¹⁹")</f>
        <v/>
      </c>
    </row>
    <row r="1373">
      <c r="A1373" t="inlineStr">
        <is>
          <t>21A⁷</t>
        </is>
      </c>
      <c r="B1373" t="inlineStr"/>
      <c r="C1373" t="inlineStr">
        <is>
          <t>126</t>
        </is>
      </c>
      <c r="D1373" t="inlineStr">
        <is>
          <t>1</t>
        </is>
      </c>
      <c r="E1373" t="inlineStr">
        <is>
          <t>21</t>
        </is>
      </c>
      <c r="F1373" t="inlineStr">
        <is>
          <t>6</t>
        </is>
      </c>
      <c r="G1373" t="inlineStr">
        <is>
          <t>0</t>
        </is>
      </c>
      <c r="H1373" t="inlineStr">
        <is>
          <t>21⁶</t>
        </is>
      </c>
      <c r="I1373" t="n">
        <v>6</v>
      </c>
      <c r="J1373" t="inlineStr">
        <is>
          <t>3¹, 6³</t>
        </is>
      </c>
      <c r="K1373">
        <f>HYPERLINK("CSG1.html#group7A1", "7A¹"), =HYPERLINK("CSG1.html#group21E1", "21E¹")</f>
        <v/>
      </c>
      <c r="L1373">
        <f>HYPERLINK("CSG13.html#group21A13", "21A¹³"), =HYPERLINK("CSG15.html#group21A15", "21A¹⁵"), =HYPERLINK("CSG15.html#group21B15", "21B¹⁵"), =HYPERLINK("CSG17.html#group42A17", "42A¹⁷"), =HYPERLINK("CSG17.html#group42B17", "42B¹⁷"), =HYPERLINK("CSG19.html#group42A19", "42A¹⁹"), =HYPERLINK("CSG19.html#group42B19", "42B¹⁹")</f>
        <v/>
      </c>
      <c r="M1373">
        <f>HYPERLINK("CSG0.html#group21A0", "21A⁰"), =HYPERLINK("CSG0.html#group1A0", "1A⁰"), =HYPERLINK("CSG0.html#group3A0", "3A⁰"), =HYPERLINK("CSG1.html#group21E1", "21E¹"), =HYPERLINK("CSG0.html#group7D0", "7D⁰"), =HYPERLINK("CSG0.html#group7A0", "7A⁰"), =HYPERLINK("CSG1.html#group7A1", "7A¹")</f>
        <v/>
      </c>
      <c r="N1373">
        <f>HYPERLINK("CSG13.html#group21A13", "21A¹³"), =HYPERLINK("CSG17.html#group42A17", "42A¹⁷"), =HYPERLINK("CSG19.html#group42A19", "42A¹⁹"), =HYPERLINK("CSG19.html#group42B19", "42B¹⁹"), =HYPERLINK("CSG15.html#group21A15", "21A¹⁵"), =HYPERLINK("CSG17.html#group42B17", "42B¹⁷"), =HYPERLINK("CSG15.html#group21B15", "21B¹⁵")</f>
        <v/>
      </c>
    </row>
    <row r="1374">
      <c r="A1374" t="inlineStr">
        <is>
          <t>21B⁷</t>
        </is>
      </c>
      <c r="B1374" t="inlineStr"/>
      <c r="C1374" t="inlineStr">
        <is>
          <t>144</t>
        </is>
      </c>
      <c r="D1374" t="inlineStr">
        <is>
          <t>1</t>
        </is>
      </c>
      <c r="E1374" t="inlineStr">
        <is>
          <t>24</t>
        </is>
      </c>
      <c r="F1374" t="inlineStr">
        <is>
          <t>0</t>
        </is>
      </c>
      <c r="G1374" t="inlineStr">
        <is>
          <t>0</t>
        </is>
      </c>
      <c r="H1374" t="inlineStr">
        <is>
          <t>3⁶, 21⁶</t>
        </is>
      </c>
      <c r="I1374" t="n">
        <v>12</v>
      </c>
      <c r="J1374" t="inlineStr">
        <is>
          <t>1², 2², 6¹, 12¹</t>
        </is>
      </c>
      <c r="K1374">
        <f>HYPERLINK("CSG3.html#group21A3", "21A³"), =HYPERLINK("CSG4.html#group21A4", "21A⁴")</f>
        <v/>
      </c>
      <c r="L1374">
        <f>HYPERLINK("CSG13.html#group21C13", "21C¹³"), =HYPERLINK("CSG19.html#group42N19", "42N¹⁹"), =HYPERLINK("CSG19.html#group42O19", "42O¹⁹")</f>
        <v/>
      </c>
      <c r="M1374">
        <f>HYPERLINK("CSG2.html#group21A2", "21A²"), =HYPERLINK("CSG0.html#group7B0", "7B⁰"), =HYPERLINK("CSG0.html#group3C0", "3C⁰"), =HYPERLINK("CSG4.html#group21A4", "21A⁴"), =HYPERLINK("CSG0.html#group7E0", "7E⁰"), =HYPERLINK("CSG0.html#group3A0", "3A⁰"), =HYPERLINK("CSG0.html#group1A0", "1A⁰"), =HYPERLINK("CSG3.html#group21A3", "21A³"), =HYPERLINK("CSG1.html#group21A1", "21A¹")</f>
        <v/>
      </c>
      <c r="N1374">
        <f>HYPERLINK("CSG19.html#group42O19", "42O¹⁹"), =HYPERLINK("CSG19.html#group42N19", "42N¹⁹"), =HYPERLINK("CSG13.html#group21C13", "21C¹³")</f>
        <v/>
      </c>
    </row>
    <row r="1375">
      <c r="A1375" t="inlineStr">
        <is>
          <t>21C⁷</t>
        </is>
      </c>
      <c r="B1375" t="inlineStr"/>
      <c r="C1375" t="inlineStr">
        <is>
          <t>168</t>
        </is>
      </c>
      <c r="D1375" t="inlineStr">
        <is>
          <t>1</t>
        </is>
      </c>
      <c r="E1375" t="inlineStr">
        <is>
          <t>84</t>
        </is>
      </c>
      <c r="F1375" t="inlineStr">
        <is>
          <t>16</t>
        </is>
      </c>
      <c r="G1375" t="inlineStr">
        <is>
          <t>0</t>
        </is>
      </c>
      <c r="H1375" t="inlineStr">
        <is>
          <t>21⁸</t>
        </is>
      </c>
      <c r="I1375" t="n">
        <v>8</v>
      </c>
      <c r="J1375" t="inlineStr">
        <is>
          <t>1¹, 2¹, 3¹, 6⁵, 12⁴</t>
        </is>
      </c>
      <c r="K1375">
        <f>HYPERLINK("CSG1.html#group21D1", "21D¹"), =HYPERLINK("CSG3.html#group21C3", "21C³")</f>
        <v/>
      </c>
      <c r="L1375">
        <f>HYPERLINK("CSG17.html#group21B17", "21B¹⁷"), =HYPERLINK("CSG17.html#group42K17", "42K¹⁷"), =HYPERLINK("CSG21.html#group21B21", "21B²¹"), =HYPERLINK("CSG21.html#group42E21", "42E²¹")</f>
        <v/>
      </c>
      <c r="M1375">
        <f>HYPERLINK("CSG0.html#group7F0", "7F⁰"), =HYPERLINK("CSG0.html#group21A0", "21A⁰"), =HYPERLINK("CSG0.html#group3A0", "3A⁰"), =HYPERLINK("CSG0.html#group1A0", "1A⁰"), =HYPERLINK("CSG3.html#group21C3", "21C³"), =HYPERLINK("CSG1.html#group21D1", "21D¹"), =HYPERLINK("CSG0.html#group7A0", "7A⁰")</f>
        <v/>
      </c>
      <c r="N1375">
        <f>HYPERLINK("CSG17.html#group21B17", "21B¹⁷"), =HYPERLINK("CSG17.html#group42K17", "42K¹⁷"), =HYPERLINK("CSG21.html#group21B21", "21B²¹"), =HYPERLINK("CSG21.html#group42E21", "42E²¹")</f>
        <v/>
      </c>
    </row>
    <row r="1376">
      <c r="A1376" t="inlineStr">
        <is>
          <t>21D⁷</t>
        </is>
      </c>
      <c r="B1376" t="inlineStr"/>
      <c r="C1376" t="inlineStr">
        <is>
          <t>192</t>
        </is>
      </c>
      <c r="D1376" t="inlineStr">
        <is>
          <t>2</t>
        </is>
      </c>
      <c r="E1376" t="inlineStr">
        <is>
          <t>32</t>
        </is>
      </c>
      <c r="F1376" t="inlineStr">
        <is>
          <t>0</t>
        </is>
      </c>
      <c r="G1376" t="inlineStr">
        <is>
          <t>6</t>
        </is>
      </c>
      <c r="H1376" t="inlineStr">
        <is>
          <t>3⁸, 21⁸</t>
        </is>
      </c>
      <c r="I1376" t="n">
        <v>16</v>
      </c>
      <c r="J1376" t="inlineStr">
        <is>
          <t>2⁸, 12⁴</t>
        </is>
      </c>
      <c r="K1376">
        <f>HYPERLINK("CSG1.html#group21F1", "21F¹"), =HYPERLINK("CSG4.html#group21C4", "21C⁴")</f>
        <v/>
      </c>
      <c r="L1376">
        <f>HYPERLINK("CSG21.html#group42J21", "42J²¹")</f>
        <v/>
      </c>
      <c r="M1376">
        <f>HYPERLINK("CSG0.html#group3B0", "3B⁰"), =HYPERLINK("CSG1.html#group21B1", "21B¹"), =HYPERLINK("CSG0.html#group7B0", "7B⁰"), =HYPERLINK("CSG1.html#group21A1", "21A¹"), =HYPERLINK("CSG0.html#group1A0", "1A⁰"), =HYPERLINK("CSG1.html#group21F1", "21F¹"), =HYPERLINK("CSG4.html#group21C4", "21C⁴")</f>
        <v/>
      </c>
      <c r="N1376">
        <f>HYPERLINK("CSG21.html#group42J21", "42J²¹")</f>
        <v/>
      </c>
    </row>
    <row r="1377">
      <c r="A1377" t="inlineStr">
        <is>
          <t>22A⁷</t>
        </is>
      </c>
      <c r="B1377" t="inlineStr"/>
      <c r="C1377" t="inlineStr">
        <is>
          <t>110</t>
        </is>
      </c>
      <c r="D1377" t="inlineStr">
        <is>
          <t>1</t>
        </is>
      </c>
      <c r="E1377" t="inlineStr">
        <is>
          <t>55</t>
        </is>
      </c>
      <c r="F1377" t="inlineStr">
        <is>
          <t>0</t>
        </is>
      </c>
      <c r="G1377" t="inlineStr">
        <is>
          <t>2</t>
        </is>
      </c>
      <c r="H1377" t="inlineStr">
        <is>
          <t>22⁵</t>
        </is>
      </c>
      <c r="I1377" t="n">
        <v>5</v>
      </c>
      <c r="J1377" t="inlineStr">
        <is>
          <t>5¹, 10⁵</t>
        </is>
      </c>
      <c r="K1377">
        <f>HYPERLINK("CSG0.html#group2A0", "2A⁰"), =HYPERLINK("CSG1.html#group11C1", "11C¹")</f>
        <v/>
      </c>
      <c r="L1377">
        <f>HYPERLINK("CSG13.html#group22A13", "22A¹³"), =HYPERLINK("CSG13.html#group22B13", "22B¹³"), =HYPERLINK("CSG21.html#group22A21", "22A²¹"), =HYPERLINK("CSG21.html#group22B21", "22B²¹")</f>
        <v/>
      </c>
      <c r="M1377">
        <f>HYPERLINK("CSG0.html#group2A0", "2A⁰"), =HYPERLINK("CSG1.html#group11C1", "11C¹"), =HYPERLINK("CSG0.html#group1A0", "1A⁰")</f>
        <v/>
      </c>
      <c r="N1377">
        <f>HYPERLINK("CSG21.html#group22A21", "22A²¹"), =HYPERLINK("CSG13.html#group22A13", "22A¹³"), =HYPERLINK("CSG21.html#group22B21", "22B²¹"), =HYPERLINK("CSG13.html#group22B13", "22B¹³")</f>
        <v/>
      </c>
    </row>
    <row r="1378">
      <c r="A1378" t="inlineStr">
        <is>
          <t>24A⁷</t>
        </is>
      </c>
      <c r="B1378" t="inlineStr"/>
      <c r="C1378" t="inlineStr">
        <is>
          <t>96</t>
        </is>
      </c>
      <c r="D1378" t="inlineStr">
        <is>
          <t>1</t>
        </is>
      </c>
      <c r="E1378" t="inlineStr">
        <is>
          <t>12</t>
        </is>
      </c>
      <c r="F1378" t="inlineStr">
        <is>
          <t>0</t>
        </is>
      </c>
      <c r="G1378" t="inlineStr">
        <is>
          <t>0</t>
        </is>
      </c>
      <c r="H1378" t="inlineStr">
        <is>
          <t>24⁴</t>
        </is>
      </c>
      <c r="I1378" t="n">
        <v>4</v>
      </c>
      <c r="J1378" t="inlineStr">
        <is>
          <t>2², 4²</t>
        </is>
      </c>
      <c r="K1378">
        <f>HYPERLINK("CSG2.html#group24G2", "24G²"), =HYPERLINK("CSG2.html#group24H2", "24H²"), =HYPERLINK("CSG3.html#group12C3", "12C³"), =HYPERLINK("CSG3.html#group24D3", "24D³"), =HYPERLINK("CSG4.html#group24B4", "24B⁴")</f>
        <v/>
      </c>
      <c r="L1378">
        <f>HYPERLINK("CSG13.html#group24B13", "24B¹³"), =HYPERLINK("CSG15.html#group48C15", "48C¹⁵"), =HYPERLINK("CSG19.html#group24B19", "24B¹⁹"), =HYPERLINK("CSG21.html#group72M21", "72M²¹"), =HYPERLINK("CSG23.html#group72A23", "72A²³"), =HYPERLINK("CSG23.html#group72D23", "72D²³"), =HYPERLINK("CSG23.html#group72G23", "72G²³")</f>
        <v/>
      </c>
      <c r="M1378">
        <f>HYPERLINK("CSG1.html#group12G1", "12G¹"), =HYPERLINK("CSG0.html#group2A0", "2A⁰"), =HYPERLINK("CSG0.html#group6B0", "6B⁰"), =HYPERLINK("CSG3.html#group24D3", "24D³"), =HYPERLINK("CSG3.html#group12C3", "12C³"), =HYPERLINK("CSG0.html#group12F0", "12F⁰"), =HYPERLINK("CSG1.html#group24B1", "24B¹"), =HYPERLINK("CSG0.html#group1A0", "1A⁰"), =HYPERLINK("CSG0.html#group12A0", "12A⁰"), =HYPERLINK("CSG1.html#group6B1", "6B¹"), =HYPERLINK("CSG0.html#group4A0", "4A⁰"), =HYPERLINK("CSG0.html#group4D0", "4D⁰"), =HYPERLINK("CSG4.html#group24B4", "24B⁴"), =HYPERLINK("CSG2.html#group12A2", "12A²"), =HYPERLINK("CSG0.html#group3C0", "3C⁰"), =HYPERLINK("CSG1.html#group6A1", "6A¹"), =HYPERLINK("CSG0.html#group3A0", "3A⁰"), =HYPERLINK("CSG2.html#group24G2", "24G²"), =HYPERLINK("CSG2.html#group24H2", "24H²")</f>
        <v/>
      </c>
      <c r="N1378">
        <f>HYPERLINK("CSG23.html#group72D23", "72D²³"), =HYPERLINK("CSG23.html#group72G23", "72G²³"), =HYPERLINK("CSG21.html#group72M21", "72M²¹"), =HYPERLINK("CSG15.html#group48C15", "48C¹⁵"), =HYPERLINK("CSG23.html#group72A23", "72A²³"), =HYPERLINK("CSG13.html#group24B13", "24B¹³"), =HYPERLINK("CSG19.html#group24B19", "24B¹⁹")</f>
        <v/>
      </c>
    </row>
    <row r="1379">
      <c r="A1379" t="inlineStr">
        <is>
          <t>24B⁷</t>
        </is>
      </c>
      <c r="B1379" t="inlineStr"/>
      <c r="C1379" t="inlineStr">
        <is>
          <t>96</t>
        </is>
      </c>
      <c r="D1379" t="inlineStr">
        <is>
          <t>1</t>
        </is>
      </c>
      <c r="E1379" t="inlineStr">
        <is>
          <t>12</t>
        </is>
      </c>
      <c r="F1379" t="inlineStr">
        <is>
          <t>0</t>
        </is>
      </c>
      <c r="G1379" t="inlineStr">
        <is>
          <t>0</t>
        </is>
      </c>
      <c r="H1379" t="inlineStr">
        <is>
          <t>24⁴</t>
        </is>
      </c>
      <c r="I1379" t="n">
        <v>4</v>
      </c>
      <c r="J1379" t="inlineStr">
        <is>
          <t>2², 4²</t>
        </is>
      </c>
      <c r="K1379">
        <f>HYPERLINK("CSG2.html#group24K2", "24K²"), =HYPERLINK("CSG3.html#group12C3", "12C³"), =HYPERLINK("CSG3.html#group24E3", "24E³"), =HYPERLINK("CSG4.html#group24A4", "24A⁴"), =HYPERLINK("CSG4.html#group24B4", "24B⁴")</f>
        <v/>
      </c>
      <c r="L1379">
        <f>HYPERLINK("CSG13.html#group24B13", "24B¹³"), =HYPERLINK("CSG15.html#group48A15", "48A¹⁵"), =HYPERLINK("CSG15.html#group48B15", "48B¹⁵"), =HYPERLINK("CSG19.html#group24C19", "24C¹⁹"), =HYPERLINK("CSG21.html#group72N21", "72N²¹"), =HYPERLINK("CSG23.html#group72B23", "72B²³"), =HYPERLINK("CSG23.html#group72C23", "72C²³"), =HYPERLINK("CSG23.html#group72H23", "72H²³")</f>
        <v/>
      </c>
      <c r="M1379">
        <f>HYPERLINK("CSG1.html#group12G1", "12G¹"), =HYPERLINK("CSG0.html#group2A0", "2A⁰"), =HYPERLINK("CSG0.html#group6B0", "6B⁰"), =HYPERLINK("CSG3.html#group12C3", "12C³"), =HYPERLINK("CSG4.html#group24A4", "24A⁴"), =HYPERLINK("CSG0.html#group8A0", "8A⁰"), =HYPERLINK("CSG0.html#group12F0", "12F⁰"), =HYPERLINK("CSG0.html#group8E0", "8E⁰"), =HYPERLINK("CSG1.html#group24B1", "24B¹"), =HYPERLINK("CSG0.html#group1A0", "1A⁰"), =HYPERLINK("CSG3.html#group24E3", "24E³"), =HYPERLINK("CSG0.html#group12A0", "12A⁰"), =HYPERLINK("CSG2.html#group24K2", "24K²"), =HYPERLINK("CSG1.html#group24A1", "24A¹"), =HYPERLINK("CSG1.html#group6B1", "6B¹"), =HYPERLINK("CSG0.html#group4A0", "4A⁰"), =HYPERLINK("CSG0.html#group4D0", "4D⁰"), =HYPERLINK("CSG4.html#group24B4", "24B⁴"), =HYPERLINK("CSG2.html#group12A2", "12A²"), =HYPERLINK("CSG0.html#group3C0", "3C⁰"), =HYPERLINK("CSG1.html#group6A1", "6A¹"), =HYPERLINK("CSG0.html#group3A0", "3A⁰")</f>
        <v/>
      </c>
      <c r="N1379">
        <f>HYPERLINK("CSG15.html#group48A15", "48A¹⁵"), =HYPERLINK("CSG23.html#group72H23", "72H²³"), =HYPERLINK("CSG15.html#group48B15", "48B¹⁵"), =HYPERLINK("CSG23.html#group72C23", "72C²³"), =HYPERLINK("CSG13.html#group24B13", "24B¹³"), =HYPERLINK("CSG21.html#group72N21", "72N²¹"), =HYPERLINK("CSG19.html#group24C19", "24C¹⁹"), =HYPERLINK("CSG23.html#group72B23", "72B²³")</f>
        <v/>
      </c>
    </row>
    <row r="1380">
      <c r="A1380" t="inlineStr">
        <is>
          <t>24C⁷</t>
        </is>
      </c>
      <c r="B1380" t="inlineStr"/>
      <c r="C1380" t="inlineStr">
        <is>
          <t>96</t>
        </is>
      </c>
      <c r="D1380" t="inlineStr">
        <is>
          <t>1</t>
        </is>
      </c>
      <c r="E1380" t="inlineStr">
        <is>
          <t>16</t>
        </is>
      </c>
      <c r="F1380" t="inlineStr">
        <is>
          <t>0</t>
        </is>
      </c>
      <c r="G1380" t="inlineStr">
        <is>
          <t>0</t>
        </is>
      </c>
      <c r="H1380" t="inlineStr">
        <is>
          <t>24⁴</t>
        </is>
      </c>
      <c r="I1380" t="n">
        <v>4</v>
      </c>
      <c r="J1380" t="inlineStr">
        <is>
          <t>4⁴</t>
        </is>
      </c>
      <c r="K1380">
        <f>HYPERLINK("CSG1.html#group8E1", "8E¹"), =HYPERLINK("CSG1.html#group24F1", "24F¹"), =HYPERLINK("CSG2.html#group12A2", "12A²")</f>
        <v/>
      </c>
      <c r="L1380">
        <f>HYPERLINK("CSG13.html#group24D13", "24D¹³"), =HYPERLINK("CSG13.html#group24E13", "24E¹³"), =HYPERLINK("CSG13.html#group24F13", "24F¹³"), =HYPERLINK("CSG19.html#group24A19", "24A¹⁹"), =HYPERLINK("CSG23.html#group72E23", "72E²³")</f>
        <v/>
      </c>
      <c r="M1380">
        <f>HYPERLINK("CSG1.html#group24F1", "24F¹"), =HYPERLINK("CSG0.html#group2A0", "2A⁰"), =HYPERLINK("CSG0.html#group12A0", "12A⁰"), =HYPERLINK("CSG0.html#group8F0", "8F⁰"), =HYPERLINK("CSG0.html#group4A0", "4A⁰"), =HYPERLINK("CSG0.html#group4D0", "4D⁰"), =HYPERLINK("CSG2.html#group12A2", "12A²"), =HYPERLINK("CSG1.html#group6A1", "6A¹"), =HYPERLINK("CSG1.html#group8E1", "8E¹"), =HYPERLINK("CSG0.html#group3A0", "3A⁰"), =HYPERLINK("CSG0.html#group1A0", "1A⁰")</f>
        <v/>
      </c>
      <c r="N1380">
        <f>HYPERLINK("CSG23.html#group72E23", "72E²³"), =HYPERLINK("CSG13.html#group24E13", "24E¹³"), =HYPERLINK("CSG13.html#group24D13", "24D¹³"), =HYPERLINK("CSG19.html#group24A19", "24A¹⁹"), =HYPERLINK("CSG13.html#group24F13", "24F¹³")</f>
        <v/>
      </c>
    </row>
    <row r="1381">
      <c r="A1381" t="inlineStr">
        <is>
          <t>24D⁷</t>
        </is>
      </c>
      <c r="B1381" t="inlineStr"/>
      <c r="C1381" t="inlineStr">
        <is>
          <t>96</t>
        </is>
      </c>
      <c r="D1381" t="inlineStr">
        <is>
          <t>2</t>
        </is>
      </c>
      <c r="E1381" t="inlineStr">
        <is>
          <t>4</t>
        </is>
      </c>
      <c r="F1381" t="inlineStr">
        <is>
          <t>0</t>
        </is>
      </c>
      <c r="G1381" t="inlineStr">
        <is>
          <t>0</t>
        </is>
      </c>
      <c r="H1381" t="inlineStr">
        <is>
          <t>24⁴</t>
        </is>
      </c>
      <c r="I1381" t="n">
        <v>4</v>
      </c>
      <c r="J1381" t="inlineStr">
        <is>
          <t>4²</t>
        </is>
      </c>
      <c r="K1381">
        <f>HYPERLINK("CSG2.html#group24A2", "24A²"), =HYPERLINK("CSG3.html#group12B3", "12B³"), =HYPERLINK("CSG3.html#group24D3", "24D³"), =HYPERLINK("CSG3.html#group24E3", "24E³")</f>
        <v/>
      </c>
      <c r="L1381">
        <f>HYPERLINK("CSG13.html#group24B13", "24B¹³"), =HYPERLINK("CSG15.html#group48D15", "48D¹⁵"), =HYPERLINK("CSG19.html#group24J19", "24J¹⁹"), =HYPERLINK("CSG21.html#group72O21", "72O²¹"), =HYPERLINK("CSG22.html#group72C22", "72C²²"), =HYPERLINK("CSG23.html#group72F23", "72F²³")</f>
        <v/>
      </c>
      <c r="M1381">
        <f>HYPERLINK("CSG1.html#group12G1", "12G¹"), =HYPERLINK("CSG0.html#group3B0", "3B⁰"), =HYPERLINK("CSG3.html#group24D3", "24D³"), =HYPERLINK("CSG3.html#group12B3", "12B³"), =HYPERLINK("CSG2.html#group24A2", "24A²"), =HYPERLINK("CSG0.html#group8A0", "8A⁰"), =HYPERLINK("CSG1.html#group24B1", "24B¹"), =HYPERLINK("CSG0.html#group1A0", "1A⁰"), =HYPERLINK("CSG3.html#group24E3", "24E³"), =HYPERLINK("CSG0.html#group12A0", "12A⁰"), =HYPERLINK("CSG1.html#group24A1", "24A¹"), =HYPERLINK("CSG0.html#group4A0", "4A⁰"), =HYPERLINK("CSG1.html#group12A1", "12A¹"), =HYPERLINK("CSG0.html#group3C0", "3C⁰"), =HYPERLINK("CSG0.html#group3A0", "3A⁰"), =HYPERLINK("CSG0.html#group3D0", "3D⁰")</f>
        <v/>
      </c>
      <c r="N1381">
        <f>HYPERLINK("CSG22.html#group72C22", "72C²²"), =HYPERLINK("CSG21.html#group72O21", "72O²¹"), =HYPERLINK("CSG15.html#group48D15", "48D¹⁵"), =HYPERLINK("CSG19.html#group24J19", "24J¹⁹"), =HYPERLINK("CSG23.html#group72F23", "72F²³"), =HYPERLINK("CSG13.html#group24B13", "24B¹³")</f>
        <v/>
      </c>
    </row>
    <row r="1382">
      <c r="A1382" t="inlineStr">
        <is>
          <t>24E⁷</t>
        </is>
      </c>
      <c r="B1382" t="inlineStr"/>
      <c r="C1382" t="inlineStr">
        <is>
          <t>128</t>
        </is>
      </c>
      <c r="D1382" t="inlineStr">
        <is>
          <t>1</t>
        </is>
      </c>
      <c r="E1382" t="inlineStr">
        <is>
          <t>64</t>
        </is>
      </c>
      <c r="F1382" t="inlineStr">
        <is>
          <t>0</t>
        </is>
      </c>
      <c r="G1382" t="inlineStr">
        <is>
          <t>2</t>
        </is>
      </c>
      <c r="H1382" t="inlineStr">
        <is>
          <t>8⁴, 24⁴</t>
        </is>
      </c>
      <c r="I1382" t="n">
        <v>8</v>
      </c>
      <c r="J1382" t="inlineStr">
        <is>
          <t>4⁸, 8⁴</t>
        </is>
      </c>
      <c r="K1382">
        <f>HYPERLINK("CSG1.html#group8E1", "8E¹"), =HYPERLINK("CSG1.html#group12I1", "12I¹"), =HYPERLINK("CSG4.html#group24C4", "24C⁴")</f>
        <v/>
      </c>
      <c r="L1382">
        <f>HYPERLINK("CSG13.html#group24G13", "24G¹³"), =HYPERLINK("CSG13.html#group24H13", "24H¹³"), =HYPERLINK("CSG13.html#group24I13", "24I¹³"), =HYPERLINK("CSG21.html#group24A21", "24A²¹"), =HYPERLINK("CSG24.html#group24A24", "24A²⁴"), =HYPERLINK("CSG24.html#group72B24", "72B²⁴")</f>
        <v/>
      </c>
      <c r="M1382">
        <f>HYPERLINK("CSG4.html#group24C4", "24C⁴"), =HYPERLINK("CSG0.html#group3B0", "3B⁰"), =HYPERLINK("CSG0.html#group2A0", "2A⁰"), =HYPERLINK("CSG0.html#group8F0", "8F⁰"), =HYPERLINK("CSG1.html#group12I1", "12I¹"), =HYPERLINK("CSG0.html#group4A0", "4A⁰"), =HYPERLINK("CSG0.html#group4D0", "4D⁰"), =HYPERLINK("CSG1.html#group12A1", "12A¹"), =HYPERLINK("CSG0.html#group6C0", "6C⁰"), =HYPERLINK("CSG1.html#group8E1", "8E¹"), =HYPERLINK("CSG0.html#group1A0", "1A⁰")</f>
        <v/>
      </c>
      <c r="N1382">
        <f>HYPERLINK("CSG21.html#group24A21", "24A²¹"), =HYPERLINK("CSG24.html#group72B24", "72B²⁴"), =HYPERLINK("CSG13.html#group24G13", "24G¹³"), =HYPERLINK("CSG24.html#group24A24", "24A²⁴"), =HYPERLINK("CSG13.html#group24I13", "24I¹³"), =HYPERLINK("CSG13.html#group24H13", "24H¹³")</f>
        <v/>
      </c>
    </row>
    <row r="1383">
      <c r="A1383" t="inlineStr">
        <is>
          <t>24F⁷</t>
        </is>
      </c>
      <c r="B1383" t="inlineStr"/>
      <c r="C1383" t="inlineStr">
        <is>
          <t>128</t>
        </is>
      </c>
      <c r="D1383" t="inlineStr">
        <is>
          <t>2</t>
        </is>
      </c>
      <c r="E1383" t="inlineStr">
        <is>
          <t>64</t>
        </is>
      </c>
      <c r="F1383" t="inlineStr">
        <is>
          <t>0</t>
        </is>
      </c>
      <c r="G1383" t="inlineStr">
        <is>
          <t>2</t>
        </is>
      </c>
      <c r="H1383" t="inlineStr">
        <is>
          <t>8⁴, 24⁴</t>
        </is>
      </c>
      <c r="I1383" t="n">
        <v>8</v>
      </c>
      <c r="J1383" t="inlineStr">
        <is>
          <t>4¹⁶, 8⁸</t>
        </is>
      </c>
      <c r="K1383">
        <f>HYPERLINK("CSG0.html#group8M0", "8M⁰"), =HYPERLINK("CSG2.html#group24A2", "24A²"), =HYPERLINK("CSG4.html#group24C4", "24C⁴")</f>
        <v/>
      </c>
      <c r="L1383">
        <f>HYPERLINK("CSG13.html#group24I13", "24I¹³"), =HYPERLINK("CSG17.html#group48A17", "48A¹⁷"), =HYPERLINK("CSG21.html#group24J21", "24J²¹")</f>
        <v/>
      </c>
      <c r="M1383">
        <f>HYPERLINK("CSG4.html#group24C4", "24C⁴"), =HYPERLINK("CSG0.html#group3B0", "3B⁰"), =HYPERLINK("CSG0.html#group8F0", "8F⁰"), =HYPERLINK("CSG2.html#group24A2", "24A²"), =HYPERLINK("CSG0.html#group4A0", "4A⁰"), =HYPERLINK("CSG1.html#group12A1", "12A¹"), =HYPERLINK("CSG0.html#group8A0", "8A⁰"), =HYPERLINK("CSG0.html#group8M0", "8M⁰"), =HYPERLINK("CSG0.html#group1A0", "1A⁰")</f>
        <v/>
      </c>
      <c r="N1383">
        <f>HYPERLINK("CSG21.html#group24J21", "24J²¹"), =HYPERLINK("CSG17.html#group48A17", "48A¹⁷"), =HYPERLINK("CSG13.html#group24I13", "24I¹³")</f>
        <v/>
      </c>
    </row>
    <row r="1384">
      <c r="A1384" t="inlineStr">
        <is>
          <t>24G⁷</t>
        </is>
      </c>
      <c r="B1384" t="inlineStr"/>
      <c r="C1384" t="inlineStr">
        <is>
          <t>144</t>
        </is>
      </c>
      <c r="D1384" t="inlineStr">
        <is>
          <t>1</t>
        </is>
      </c>
      <c r="E1384" t="inlineStr">
        <is>
          <t>3</t>
        </is>
      </c>
      <c r="F1384" t="inlineStr">
        <is>
          <t>0</t>
        </is>
      </c>
      <c r="G1384" t="inlineStr">
        <is>
          <t>0</t>
        </is>
      </c>
      <c r="H1384" t="inlineStr">
        <is>
          <t>6⁸, 24⁴</t>
        </is>
      </c>
      <c r="I1384" t="n">
        <v>12</v>
      </c>
      <c r="J1384" t="inlineStr">
        <is>
          <t>1³</t>
        </is>
      </c>
      <c r="K1384">
        <f>HYPERLINK("CSG1.html#group12S1", "12S¹"), =HYPERLINK("CSG2.html#group24F2", "24F²"), =HYPERLINK("CSG3.html#group24M3", "24M³")</f>
        <v/>
      </c>
      <c r="L1384">
        <f>HYPERLINK("CSG13.html#group24J13", "24J¹³"), =HYPERLINK("CSG13.html#group24L13", "24L¹³")</f>
        <v/>
      </c>
      <c r="M1384">
        <f>HYPERLINK("CSG0.html#group3B0", "3B⁰"), =HYPERLINK("CSG1.html#group12K1", "12K¹"), =HYPERLINK("CSG0.html#group3A0", "3A⁰"), =HYPERLINK("CSG0.html#group6G0", "6G⁰"), =HYPERLINK("CSG1.html#group12S1", "12S¹"), =HYPERLINK("CSG3.html#group24M3", "24M³"), =HYPERLINK("CSG0.html#group2B0", "2B⁰"), =HYPERLINK("CSG0.html#group4B0", "4B⁰"), =HYPERLINK("CSG0.html#group1A0", "1A⁰"), =HYPERLINK("CSG0.html#group3D0", "3D⁰"), =HYPERLINK("CSG0.html#group12G0", "12G⁰"), =HYPERLINK("CSG0.html#group6D0", "6D⁰"), =HYPERLINK("CSG0.html#group3C0", "3C⁰"), =HYPERLINK("CSG0.html#group6K0", "6K⁰"), =HYPERLINK("CSG1.html#group12B1", "12B¹"), =HYPERLINK("CSG0.html#group12D0", "12D⁰"), =HYPERLINK("CSG2.html#group24F2", "24F²"), =HYPERLINK("CSG0.html#group6F0", "6F⁰"), =HYPERLINK("CSG0.html#group12E0", "12E⁰")</f>
        <v/>
      </c>
      <c r="N1384">
        <f>HYPERLINK("CSG13.html#group24L13", "24L¹³"), =HYPERLINK("CSG13.html#group24J13", "24J¹³")</f>
        <v/>
      </c>
    </row>
    <row r="1385">
      <c r="A1385" t="inlineStr">
        <is>
          <t>24H⁷</t>
        </is>
      </c>
      <c r="B1385" t="inlineStr"/>
      <c r="C1385" t="inlineStr">
        <is>
          <t>144</t>
        </is>
      </c>
      <c r="D1385" t="inlineStr">
        <is>
          <t>1</t>
        </is>
      </c>
      <c r="E1385" t="inlineStr">
        <is>
          <t>6</t>
        </is>
      </c>
      <c r="F1385" t="inlineStr">
        <is>
          <t>0</t>
        </is>
      </c>
      <c r="G1385" t="inlineStr">
        <is>
          <t>0</t>
        </is>
      </c>
      <c r="H1385" t="inlineStr">
        <is>
          <t>6⁸, 24⁴</t>
        </is>
      </c>
      <c r="I1385" t="n">
        <v>12</v>
      </c>
      <c r="J1385" t="inlineStr">
        <is>
          <t>1², 2²</t>
        </is>
      </c>
      <c r="K1385">
        <f>HYPERLINK("CSG2.html#group24I2", "24I²"), =HYPERLINK("CSG3.html#group12D3", "12D³"), =HYPERLINK("CSG3.html#group24N3", "24N³"), =HYPERLINK("CSG3.html#group24O3", "24O³")</f>
        <v/>
      </c>
      <c r="L1385">
        <f>HYPERLINK("CSG13.html#group24K13", "24K¹³"), =HYPERLINK("CSG15.html#group48G15", "48G¹⁵"), =HYPERLINK("CSG17.html#group24D17", "24D¹⁷"), =HYPERLINK("CSG17.html#group24E17", "24E¹⁷"), =HYPERLINK("CSG19.html#group48J19", "48J¹⁹")</f>
        <v/>
      </c>
      <c r="M1385">
        <f>HYPERLINK("CSG0.html#group3B0", "3B⁰"), =HYPERLINK("CSG1.html#group24E1", "24E¹"), =HYPERLINK("CSG0.html#group12C0", "12C⁰"), =HYPERLINK("CSG0.html#group8D0", "8D⁰"), =HYPERLINK("CSG1.html#group12F1", "12F¹"), =HYPERLINK("CSG0.html#group4C0", "4C⁰"), =HYPERLINK("CSG0.html#group6G0", "6G⁰"), =HYPERLINK("CSG0.html#group2B0", "2B⁰"), =HYPERLINK("CSG0.html#group1A0", "1A⁰"), =HYPERLINK("CSG3.html#group24O3", "24O³"), =HYPERLINK("CSG1.html#group12L1", "12L¹"), =HYPERLINK("CSG0.html#group3D0", "3D⁰"), =HYPERLINK("CSG3.html#group12D3", "12D³"), =HYPERLINK("CSG2.html#group24I2", "24I²"), =HYPERLINK("CSG1.html#group12C1", "12C¹"), =HYPERLINK("CSG3.html#group24N3", "24N³"), =HYPERLINK("CSG0.html#group6F0", "6F⁰"), =HYPERLINK("CSG1.html#group24C1", "24C¹"), =HYPERLINK("CSG0.html#group3C0", "3C⁰"), =HYPERLINK("CSG0.html#group6K0", "6K⁰"), =HYPERLINK("CSG0.html#group3A0", "3A⁰"), =HYPERLINK("CSG2.html#group12C2", "12C²"), =HYPERLINK("CSG0.html#group6D0", "6D⁰")</f>
        <v/>
      </c>
      <c r="N1385">
        <f>HYPERLINK("CSG19.html#group48J19", "48J¹⁹"), =HYPERLINK("CSG15.html#group48G15", "48G¹⁵"), =HYPERLINK("CSG13.html#group24K13", "24K¹³"), =HYPERLINK("CSG17.html#group24E17", "24E¹⁷"), =HYPERLINK("CSG17.html#group24D17", "24D¹⁷")</f>
        <v/>
      </c>
    </row>
    <row r="1386">
      <c r="A1386" t="inlineStr">
        <is>
          <t>24I⁷</t>
        </is>
      </c>
      <c r="B1386" t="inlineStr"/>
      <c r="C1386" t="inlineStr">
        <is>
          <t>144</t>
        </is>
      </c>
      <c r="D1386" t="inlineStr">
        <is>
          <t>1</t>
        </is>
      </c>
      <c r="E1386" t="inlineStr">
        <is>
          <t>9</t>
        </is>
      </c>
      <c r="F1386" t="inlineStr">
        <is>
          <t>0</t>
        </is>
      </c>
      <c r="G1386" t="inlineStr">
        <is>
          <t>0</t>
        </is>
      </c>
      <c r="H1386" t="inlineStr">
        <is>
          <t>6⁸, 24⁴</t>
        </is>
      </c>
      <c r="I1386" t="n">
        <v>12</v>
      </c>
      <c r="J1386" t="inlineStr">
        <is>
          <t>1³, 2³</t>
        </is>
      </c>
      <c r="K1386">
        <f>HYPERLINK("CSG2.html#group24N2", "24N²"), =HYPERLINK("CSG3.html#group12G3", "12G³"), =HYPERLINK("CSG3.html#group24K3", "24K³"), =HYPERLINK("CSG3.html#group24N3", "24N³"), =HYPERLINK("CSG4.html#group24E4", "24E⁴"), =HYPERLINK("CSG4.html#group24I4", "24I⁴")</f>
        <v/>
      </c>
      <c r="L1386">
        <f>HYPERLINK("CSG13.html#group24K13", "24K¹³"), =HYPERLINK("CSG15.html#group24I15", "24I¹⁵"), =HYPERLINK("CSG15.html#group48K15", "48K¹⁵"), =HYPERLINK("CSG17.html#group24G17", "24G¹⁷"), =HYPERLINK("CSG17.html#group24I17", "24I¹⁷"), =HYPERLINK("CSG17.html#group48U17", "48U¹⁷"), =HYPERLINK("CSG19.html#group48K19", "48K¹⁹")</f>
        <v/>
      </c>
      <c r="M1386">
        <f>HYPERLINK("CSG4.html#group24I4", "24I⁴"), =HYPERLINK("CSG0.html#group2A0", "2A⁰"), =HYPERLINK("CSG1.html#group24E1", "24E¹"), =HYPERLINK("CSG0.html#group12C0", "12C⁰"), =HYPERLINK("CSG1.html#group12K1", "12K¹"), =HYPERLINK("CSG2.html#group12D2", "12D²"), =HYPERLINK("CSG0.html#group4C0", "4C⁰"), =HYPERLINK("CSG1.html#group6C1", "6C¹"), =HYPERLINK("CSG2.html#group12B2", "12B²"), =HYPERLINK("CSG0.html#group6G0", "6G⁰"), =HYPERLINK("CSG2.html#group12E2", "12E²"), =HYPERLINK("CSG0.html#group2B0", "2B⁰"), =HYPERLINK("CSG0.html#group4E0", "4E⁰"), =HYPERLINK("CSG0.html#group4B0", "4B⁰"), =HYPERLINK("CSG3.html#group12G3", "12G³"), =HYPERLINK("CSG0.html#group1A0", "1A⁰"), =HYPERLINK("CSG1.html#group6B1", "6B¹"), =HYPERLINK("CSG3.html#group24N3", "24N³"), =HYPERLINK("CSG2.html#group24D2", "24D²"), =HYPERLINK("CSG0.html#group3C0", "3C⁰"), =HYPERLINK("CSG1.html#group12B1", "12B¹"), =HYPERLINK("CSG3.html#group24K3", "24K³"), =HYPERLINK("CSG1.html#group6A1", "6A¹"), =HYPERLINK("CSG0.html#group6H0", "6H⁰"), =HYPERLINK("CSG0.html#group3A0", "3A⁰"), =HYPERLINK("CSG1.html#group6E1", "6E¹"), =HYPERLINK("CSG0.html#group6B0", "6B⁰"), =HYPERLINK("CSG2.html#group24N2", "24N²"), =HYPERLINK("CSG1.html#group12L1", "12L¹"), =HYPERLINK("CSG1.html#group12C1", "12C¹"), =HYPERLINK("CSG0.html#group6A0", "6A⁰"), =HYPERLINK("CSG4.html#group24E4", "24E⁴"), =HYPERLINK("CSG0.html#group12D0", "12D⁰"), =HYPERLINK("CSG0.html#group12H0", "12H⁰"), =HYPERLINK("CSG0.html#group2C0", "2C⁰"), =HYPERLINK("CSG0.html#group6D0", "6D⁰")</f>
        <v/>
      </c>
      <c r="N1386">
        <f>HYPERLINK("CSG15.html#group48K15", "48K¹⁵"), =HYPERLINK("CSG17.html#group48U17", "48U¹⁷"), =HYPERLINK("CSG15.html#group24I15", "24I¹⁵"), =HYPERLINK("CSG17.html#group24I17", "24I¹⁷"), =HYPERLINK("CSG13.html#group24K13", "24K¹³"), =HYPERLINK("CSG19.html#group48K19", "48K¹⁹"), =HYPERLINK("CSG17.html#group24G17", "24G¹⁷")</f>
        <v/>
      </c>
    </row>
    <row r="1387">
      <c r="A1387" t="inlineStr">
        <is>
          <t>24J⁷</t>
        </is>
      </c>
      <c r="B1387" t="inlineStr"/>
      <c r="C1387" t="inlineStr">
        <is>
          <t>144</t>
        </is>
      </c>
      <c r="D1387" t="inlineStr">
        <is>
          <t>1</t>
        </is>
      </c>
      <c r="E1387" t="inlineStr">
        <is>
          <t>9</t>
        </is>
      </c>
      <c r="F1387" t="inlineStr">
        <is>
          <t>0</t>
        </is>
      </c>
      <c r="G1387" t="inlineStr">
        <is>
          <t>0</t>
        </is>
      </c>
      <c r="H1387" t="inlineStr">
        <is>
          <t>6⁸, 24⁴</t>
        </is>
      </c>
      <c r="I1387" t="n">
        <v>12</v>
      </c>
      <c r="J1387" t="inlineStr">
        <is>
          <t>1³, 2³</t>
        </is>
      </c>
      <c r="K1387">
        <f>HYPERLINK("CSG2.html#group24O2", "24O²"), =HYPERLINK("CSG3.html#group12G3", "12G³"), =HYPERLINK("CSG3.html#group24L3", "24L³"), =HYPERLINK("CSG3.html#group24O3", "24O³"), =HYPERLINK("CSG4.html#group24D4", "24D⁴"), =HYPERLINK("CSG4.html#group24E4", "24E⁴"), =HYPERLINK("CSG4.html#group24J4", "24J⁴")</f>
        <v/>
      </c>
      <c r="L1387">
        <f>HYPERLINK("CSG13.html#group24K13", "24K¹³"), =HYPERLINK("CSG15.html#group24D15", "24D¹⁵"), =HYPERLINK("CSG15.html#group24E15", "24E¹⁵"), =HYPERLINK("CSG15.html#group48E15", "48E¹⁵"), =HYPERLINK("CSG15.html#group48F15", "48F¹⁵"), =HYPERLINK("CSG17.html#group24H17", "24H¹⁷"), =HYPERLINK("CSG17.html#group24J17", "24J¹⁷"), =HYPERLINK("CSG17.html#group48E17", "48E¹⁷"), =HYPERLINK("CSG17.html#group48K17", "48K¹⁷"), =HYPERLINK("CSG19.html#group48E19", "48E¹⁹"), =HYPERLINK("CSG19.html#group48F19", "48F¹⁹")</f>
        <v/>
      </c>
      <c r="M1387">
        <f>HYPERLINK("CSG2.html#group24O2", "24O²"), =HYPERLINK("CSG1.html#group24E1", "24E¹"), =HYPERLINK("CSG0.html#group2A0", "2A⁰"), =HYPERLINK("CSG0.html#group12C0", "12C⁰"), =HYPERLINK("CSG1.html#group12K1", "12K¹"), =HYPERLINK("CSG2.html#group12D2", "12D²"), =HYPERLINK("CSG0.html#group4C0", "4C⁰"), =HYPERLINK("CSG1.html#group6C1", "6C¹"), =HYPERLINK("CSG2.html#group12B2", "12B²"), =HYPERLINK("CSG0.html#group6G0", "6G⁰"), =HYPERLINK("CSG2.html#group12E2", "12E²"), =HYPERLINK("CSG0.html#group2B0", "2B⁰"), =HYPERLINK("CSG0.html#group8C0", "8C⁰"), =HYPERLINK("CSG0.html#group4E0", "4E⁰"), =HYPERLINK("CSG0.html#group4B0", "4B⁰"), =HYPERLINK("CSG3.html#group12G3", "12G³"), =HYPERLINK("CSG0.html#group1A0", "1A⁰"), =HYPERLINK("CSG3.html#group24O3", "24O³"), =HYPERLINK("CSG2.html#group24B2", "24B²"), =HYPERLINK("CSG1.html#group6B1", "6B¹"), =HYPERLINK("CSG0.html#group8G0", "8G⁰"), =HYPERLINK("CSG2.html#group24D2", "24D²"), =HYPERLINK("CSG0.html#group3C0", "3C⁰"), =HYPERLINK("CSG1.html#group12B1", "12B¹"), =HYPERLINK("CSG1.html#group6A1", "6A¹"), =HYPERLINK("CSG0.html#group6H0", "6H⁰"), =HYPERLINK("CSG0.html#group3A0", "3A⁰"), =HYPERLINK("CSG1.html#group6E1", "6E¹"), =HYPERLINK("CSG0.html#group6B0", "6B⁰"), =HYPERLINK("CSG0.html#group8D0", "8D⁰"), =HYPERLINK("CSG4.html#group24J4", "24J⁴"), =HYPERLINK("CSG1.html#group12L1", "12L¹"), =HYPERLINK("CSG4.html#group24D4", "24D⁴"), =HYPERLINK("CSG1.html#group12C1", "12C¹"), =HYPERLINK("CSG0.html#group6A0", "6A⁰"), =HYPERLINK("CSG1.html#group24C1", "24C¹"), =HYPERLINK("CSG4.html#group24E4", "24E⁴"), =HYPERLINK("CSG0.html#group12D0", "12D⁰"), =HYPERLINK("CSG0.html#group12H0", "12H⁰"), =HYPERLINK("CSG3.html#group24L3", "24L³"), =HYPERLINK("CSG0.html#group2C0", "2C⁰"), =HYPERLINK("CSG0.html#group6D0", "6D⁰")</f>
        <v/>
      </c>
      <c r="N1387">
        <f>HYPERLINK("CSG15.html#group48F15", "48F¹⁵"), =HYPERLINK("CSG19.html#group48F19", "48F¹⁹"), =HYPERLINK("CSG15.html#group48E15", "48E¹⁵"), =HYPERLINK("CSG17.html#group48K17", "48K¹⁷"), =HYPERLINK("CSG19.html#group48E19", "48E¹⁹"), =HYPERLINK("CSG15.html#group24D15", "24D¹⁵"), =HYPERLINK("CSG17.html#group24H17", "24H¹⁷"), =HYPERLINK("CSG17.html#group24J17", "24J¹⁷"), =HYPERLINK("CSG13.html#group24K13", "24K¹³"), =HYPERLINK("CSG15.html#group24E15", "24E¹⁵"), =HYPERLINK("CSG17.html#group48E17", "48E¹⁷")</f>
        <v/>
      </c>
    </row>
    <row r="1388">
      <c r="A1388" t="inlineStr">
        <is>
          <t>24K⁷</t>
        </is>
      </c>
      <c r="B1388" t="inlineStr"/>
      <c r="C1388" t="inlineStr">
        <is>
          <t>144</t>
        </is>
      </c>
      <c r="D1388" t="inlineStr">
        <is>
          <t>1</t>
        </is>
      </c>
      <c r="E1388" t="inlineStr">
        <is>
          <t>12</t>
        </is>
      </c>
      <c r="F1388" t="inlineStr">
        <is>
          <t>12</t>
        </is>
      </c>
      <c r="G1388" t="inlineStr">
        <is>
          <t>0</t>
        </is>
      </c>
      <c r="H1388" t="inlineStr">
        <is>
          <t>24⁶</t>
        </is>
      </c>
      <c r="I1388" t="n">
        <v>6</v>
      </c>
      <c r="J1388" t="inlineStr">
        <is>
          <t>2², 4²</t>
        </is>
      </c>
      <c r="K1388">
        <f>HYPERLINK("CSG1.html#group8H1", "8H¹"), =HYPERLINK("CSG2.html#group24L2", "24L²"), =HYPERLINK("CSG3.html#group24J3", "24J³"), =HYPERLINK("CSG4.html#group24H4", "24H⁴")</f>
        <v/>
      </c>
      <c r="L1388">
        <f>HYPERLINK("CSG15.html#group24P15", "24P¹⁵"), =HYPERLINK("CSG15.html#group48H15", "48H¹⁵"), =HYPERLINK("CSG16.html#group24A16", "24A¹⁶"), =HYPERLINK("CSG16.html#group24C16", "24C¹⁶"), =HYPERLINK("CSG17.html#group24AF17", "24AF¹⁷"), =HYPERLINK("CSG17.html#group48S17", "48S¹⁷"), =HYPERLINK("CSG17.html#group48T17", "48T¹⁷"), =HYPERLINK("CSG17.html#group48AM17", "48AM¹⁷"), =HYPERLINK("CSG17.html#group48BN17", "48BN¹⁷"), =HYPERLINK("CSG17.html#group48BO17", "48BO¹⁷"), =HYPERLINK("CSG18.html#group48E18", "48E¹⁸"), =HYPERLINK("CSG18.html#group48L18", "48L¹⁸"), =HYPERLINK("CSG19.html#group24D19", "24D¹⁹"), =HYPERLINK("CSG19.html#group48S19", "48S¹⁹"), =HYPERLINK("CSG19.html#group48T19", "48T¹⁹"), =HYPERLINK("CSG19.html#group48AB19", "48AB¹⁹"), =HYPERLINK("CSG19.html#group48AU19", "48AU¹⁹"), =HYPERLINK("CSG19.html#group48AV19", "48AV¹⁹"), =HYPERLINK("CSG21.html#group48T21", "48T²¹")</f>
        <v/>
      </c>
      <c r="M1388">
        <f>HYPERLINK("CSG0.html#group12C0", "12C⁰"), =HYPERLINK("CSG0.html#group8D0", "8D⁰"), =HYPERLINK("CSG0.html#group4C0", "4C⁰"), =HYPERLINK("CSG0.html#group8B0", "8B⁰"), =HYPERLINK("CSG0.html#group8A0", "8A⁰"), =HYPERLINK("CSG0.html#group2B0", "2B⁰"), =HYPERLINK("CSG2.html#group24L2", "24L²"), =HYPERLINK("CSG0.html#group8K0", "8K⁰"), =HYPERLINK("CSG0.html#group1A0", "1A⁰"), =HYPERLINK("CSG1.html#group8D1", "8D¹"), =HYPERLINK("CSG1.html#group8H1", "8H¹"), =HYPERLINK("CSG3.html#group24J3", "24J³"), =HYPERLINK("CSG0.html#group8H0", "8H⁰"), =HYPERLINK("CSG4.html#group24H4", "24H⁴"), =HYPERLINK("CSG0.html#group12A0", "12A⁰"), =HYPERLINK("CSG1.html#group24A1", "24A¹"),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1388">
        <f>HYPERLINK("CSG19.html#group48AU19", "48AU¹⁹"), =HYPERLINK("CSG18.html#group48E18", "48E¹⁸"), =HYPERLINK("CSG17.html#group48BN17", "48BN¹⁷"), =HYPERLINK("CSG19.html#group48T19", "48T¹⁹"), =HYPERLINK("CSG17.html#group48AM17", "48AM¹⁷"), =HYPERLINK("CSG16.html#group24A16", "24A¹⁶"), =HYPERLINK("CSG15.html#group48H15", "48H¹⁵"), =HYPERLINK("CSG21.html#group48T21", "48T²¹"), =HYPERLINK("CSG19.html#group48S19", "48S¹⁹"), =HYPERLINK("CSG19.html#group48AV19", "48AV¹⁹"), =HYPERLINK("CSG18.html#group48L18", "48L¹⁸"), =HYPERLINK("CSG17.html#group48S17", "48S¹⁷"), =HYPERLINK("CSG17.html#group24AF17", "24AF¹⁷"), =HYPERLINK("CSG16.html#group24C16", "24C¹⁶"), =HYPERLINK("CSG15.html#group24P15", "24P¹⁵"), =HYPERLINK("CSG17.html#group48T17", "48T¹⁷"), =HYPERLINK("CSG19.html#group48AB19", "48AB¹⁹"), =HYPERLINK("CSG17.html#group48BO17", "48BO¹⁷"), =HYPERLINK("CSG19.html#group24D19", "24D¹⁹")</f>
        <v/>
      </c>
    </row>
    <row r="1389">
      <c r="A1389" t="inlineStr">
        <is>
          <t>24L⁷</t>
        </is>
      </c>
      <c r="B1389" t="inlineStr"/>
      <c r="C1389" t="inlineStr">
        <is>
          <t>144</t>
        </is>
      </c>
      <c r="D1389" t="inlineStr">
        <is>
          <t>1</t>
        </is>
      </c>
      <c r="E1389" t="inlineStr">
        <is>
          <t>12</t>
        </is>
      </c>
      <c r="F1389" t="inlineStr">
        <is>
          <t>12</t>
        </is>
      </c>
      <c r="G1389" t="inlineStr">
        <is>
          <t>0</t>
        </is>
      </c>
      <c r="H1389" t="inlineStr">
        <is>
          <t>24⁶</t>
        </is>
      </c>
      <c r="I1389" t="n">
        <v>6</v>
      </c>
      <c r="J1389" t="inlineStr">
        <is>
          <t>1², 2¹, 4²</t>
        </is>
      </c>
      <c r="K1389">
        <f>HYPERLINK("CSG1.html#group8I1", "8I¹"), =HYPERLINK("CSG1.html#group24F1", "24F¹"), =HYPERLINK("CSG2.html#group24L2", "24L²")</f>
        <v/>
      </c>
      <c r="L1389">
        <f>HYPERLINK("CSG15.html#group24R15", "24R¹⁵"), =HYPERLINK("CSG15.html#group48I15", "48I¹⁵"), =HYPERLINK("CSG16.html#group24A16", "24A¹⁶"), =HYPERLINK("CSG16.html#group24D16", "24D¹⁶"), =HYPERLINK("CSG17.html#group24AH17", "24AH¹⁷"), =HYPERLINK("CSG17.html#group48AO17", "48AO¹⁷"), =HYPERLINK("CSG18.html#group48F18", "48F¹⁸"), =HYPERLINK("CSG18.html#group48M18", "48M¹⁸"), =HYPERLINK("CSG19.html#group24A19", "24A¹⁹"), =HYPERLINK("CSG19.html#group48AD19", "48AD¹⁹"), =HYPERLINK("CSG21.html#group48U21", "48U²¹")</f>
        <v/>
      </c>
      <c r="M1389">
        <f>HYPERLINK("CSG0.html#group12C0", "12C⁰"), =HYPERLINK("CSG0.html#group8D0", "8D⁰"), =HYPERLINK("CSG0.html#group4C0", "4C⁰"), =HYPERLINK("CSG0.html#group8B0", "8B⁰"), =HYPERLINK("CSG0.html#group2B0", "2B⁰"), =HYPERLINK("CSG2.html#group24L2", "24L²"), =HYPERLINK("CSG0.html#group1A0", "1A⁰"), =HYPERLINK("CSG1.html#group24F1", "24F¹"), =HYPERLINK("CSG0.html#group8H0", "8H⁰"), =HYPERLINK("CSG0.html#group12A0", "12A⁰"), =HYPERLINK("CSG0.html#group8F0", "8F⁰"), =HYPERLINK("CSG0.html#group24A0", "24A⁰"), =HYPERLINK("CSG0.html#group4A0", "4A⁰"), =HYPERLINK("CSG1.html#group8I1", "8I¹"), =HYPERLINK("CSG1.html#group24C1", "24C¹"), =HYPERLINK("CSG1.html#group12J1", "12J¹"), =HYPERLINK("CSG0.html#group4F0", "4F⁰"), =HYPERLINK("CSG0.html#group3A0", "3A⁰"), =HYPERLINK("CSG0.html#group6D0", "6D⁰")</f>
        <v/>
      </c>
      <c r="N1389">
        <f>HYPERLINK("CSG19.html#group48AD19", "48AD¹⁹"), =HYPERLINK("CSG21.html#group48U21", "48U²¹"), =HYPERLINK("CSG18.html#group48M18", "48M¹⁸"), =HYPERLINK("CSG19.html#group24A19", "24A¹⁹"), =HYPERLINK("CSG18.html#group48F18", "48F¹⁸"), =HYPERLINK("CSG16.html#group24A16", "24A¹⁶"), =HYPERLINK("CSG16.html#group24D16", "24D¹⁶"), =HYPERLINK("CSG17.html#group24AH17", "24AH¹⁷"), =HYPERLINK("CSG15.html#group24R15", "24R¹⁵"), =HYPERLINK("CSG17.html#group48AO17", "48AO¹⁷"), =HYPERLINK("CSG15.html#group48I15", "48I¹⁵")</f>
        <v/>
      </c>
    </row>
    <row r="1390">
      <c r="A1390" t="inlineStr">
        <is>
          <t>24M⁷</t>
        </is>
      </c>
      <c r="B1390" t="inlineStr"/>
      <c r="C1390" t="inlineStr">
        <is>
          <t>144</t>
        </is>
      </c>
      <c r="D1390" t="inlineStr">
        <is>
          <t>1</t>
        </is>
      </c>
      <c r="E1390" t="inlineStr">
        <is>
          <t>18</t>
        </is>
      </c>
      <c r="F1390" t="inlineStr">
        <is>
          <t>0</t>
        </is>
      </c>
      <c r="G1390" t="inlineStr">
        <is>
          <t>0</t>
        </is>
      </c>
      <c r="H1390" t="inlineStr">
        <is>
          <t>6⁸, 24⁴</t>
        </is>
      </c>
      <c r="I1390" t="n">
        <v>12</v>
      </c>
      <c r="J1390" t="inlineStr">
        <is>
          <t>2³, 4³</t>
        </is>
      </c>
      <c r="K1390">
        <f>HYPERLINK("CSG1.html#group24I1", "24I¹"), =HYPERLINK("CSG3.html#group12F3", "12F³"), =HYPERLINK("CSG3.html#group24M3", "24M³")</f>
        <v/>
      </c>
      <c r="L1390">
        <f>HYPERLINK("CSG13.html#group24J13", "24J¹³"), =HYPERLINK("CSG17.html#group24Y17", "24Y¹⁷")</f>
        <v/>
      </c>
      <c r="M1390">
        <f>HYPERLINK("CSG0.html#group2A0", "2A⁰"), =HYPERLINK("CSG3.html#group12F3", "12F³"), =HYPERLINK("CSG1.html#group6C1", "6C¹"), =HYPERLINK("CSG0.html#group6G0", "6G⁰"), =HYPERLINK("CSG2.html#group12E2", "12E²"), =HYPERLINK("CSG3.html#group24M3", "24M³"), =HYPERLINK("CSG0.html#group2B0", "2B⁰"), =HYPERLINK("CSG1.html#group12N1", "12N¹"), =HYPERLINK("CSG0.html#group1A0", "1A⁰"), =HYPERLINK("CSG1.html#group6B1", "6B¹"), =HYPERLINK("CSG0.html#group3C0", "3C⁰"), =HYPERLINK("CSG1.html#group6A1", "6A¹"), =HYPERLINK("CSG0.html#group6H0", "6H⁰"), =HYPERLINK("CSG0.html#group3A0", "3A⁰"), =HYPERLINK("CSG1.html#group6E1", "6E¹"), =HYPERLINK("CSG1.html#group24I1", "24I¹"), =HYPERLINK("CSG0.html#group6B0", "6B⁰"), =HYPERLINK("CSG0.html#group12G0", "12G⁰"), =HYPERLINK("CSG0.html#group6A0", "6A⁰"), =HYPERLINK("CSG1.html#group12C1", "12C¹"), =HYPERLINK("CSG0.html#group12D0", "12D⁰"), =HYPERLINK("CSG2.html#group12C2", "12C²"), =HYPERLINK("CSG0.html#group2C0", "2C⁰"), =HYPERLINK("CSG0.html#group6D0", "6D⁰")</f>
        <v/>
      </c>
      <c r="N1390">
        <f>HYPERLINK("CSG17.html#group24Y17", "24Y¹⁷"), =HYPERLINK("CSG13.html#group24J13", "24J¹³")</f>
        <v/>
      </c>
    </row>
    <row r="1391">
      <c r="A1391" t="inlineStr">
        <is>
          <t>24N⁷</t>
        </is>
      </c>
      <c r="B1391" t="inlineStr"/>
      <c r="C1391" t="inlineStr">
        <is>
          <t>144</t>
        </is>
      </c>
      <c r="D1391" t="inlineStr">
        <is>
          <t>1</t>
        </is>
      </c>
      <c r="E1391" t="inlineStr">
        <is>
          <t>18</t>
        </is>
      </c>
      <c r="F1391" t="inlineStr">
        <is>
          <t>0</t>
        </is>
      </c>
      <c r="G1391" t="inlineStr">
        <is>
          <t>0</t>
        </is>
      </c>
      <c r="H1391" t="inlineStr">
        <is>
          <t>6⁸, 24⁴</t>
        </is>
      </c>
      <c r="I1391" t="n">
        <v>12</v>
      </c>
      <c r="J1391" t="inlineStr">
        <is>
          <t>1⁴, 2⁵, 4¹</t>
        </is>
      </c>
      <c r="K1391">
        <f>HYPERLINK("CSG3.html#group12E3", "12E³"), =HYPERLINK("CSG3.html#group24K3", "24K³"), =HYPERLINK("CSG3.html#group24L3", "24L³"), =HYPERLINK("CSG4.html#group24I4", "24I⁴"), =HYPERLINK("CSG4.html#group24J4", "24J⁴")</f>
        <v/>
      </c>
      <c r="L1391">
        <f>HYPERLINK("CSG13.html#group24K13", "24K¹³"), =HYPERLINK("CSG15.html#group24G15", "24G¹⁵"), =HYPERLINK("CSG15.html#group24H15", "24H¹⁵"), =HYPERLINK("CSG15.html#group48R15", "48R¹⁵"), =HYPERLINK("CSG17.html#group24X17", "24X¹⁷"), =HYPERLINK("CSG17.html#group48G17", "48G¹⁷"), =HYPERLINK("CSG17.html#group48F17", "48F¹⁷"), =HYPERLINK("CSG17.html#group48V17", "48V¹⁷"), =HYPERLINK("CSG19.html#group48AA19", "48AA¹⁹")</f>
        <v/>
      </c>
      <c r="M1391">
        <f>HYPERLINK("CSG4.html#group24I4", "24I⁴"), =HYPERLINK("CSG0.html#group6B0", "6B⁰"), =HYPERLINK("CSG1.html#group12K1", "12K¹"), =HYPERLINK("CSG2.html#group12D2", "12D²"), =HYPERLINK("CSG4.html#group24J4", "24J⁴"), =HYPERLINK("CSG0.html#group6G0", "6G⁰"), =HYPERLINK("CSG0.html#group2B0", "2B⁰"), =HYPERLINK("CSG0.html#group8C0", "8C⁰"), =HYPERLINK("CSG1.html#group12N1", "12N¹"), =HYPERLINK("CSG0.html#group4B0", "4B⁰"), =HYPERLINK("CSG0.html#group1A0", "1A⁰"), =HYPERLINK("CSG2.html#group24B2", "24B²"), =HYPERLINK("CSG1.html#group12C1", "12C¹"), =HYPERLINK("CSG0.html#group6E0", "6E⁰"), =HYPERLINK("CSG0.html#group6L0", "6L⁰"), =HYPERLINK("CSG2.html#group24D2", "24D²"), =HYPERLINK("CSG3.html#group12E3", "12E³"), =HYPERLINK("CSG0.html#group3C0", "3C⁰"), =HYPERLINK("CSG1.html#group12B1", "12B¹"), =HYPERLINK("CSG3.html#group24K3", "24K³"), =HYPERLINK("CSG0.html#group12D0", "12D⁰"), =HYPERLINK("CSG0.html#group6H0", "6H⁰"), =HYPERLINK("CSG0.html#group3A0", "3A⁰"), =HYPERLINK("CSG3.html#group24L3", "24L³"), =HYPERLINK("CSG2.html#group12C2", "12C²"), =HYPERLINK("CSG0.html#group6D0", "6D⁰")</f>
        <v/>
      </c>
      <c r="N1391">
        <f>HYPERLINK("CSG17.html#group48V17", "48V¹⁷"), =HYPERLINK("CSG15.html#group24G15", "24G¹⁵"), =HYPERLINK("CSG17.html#group24X17", "24X¹⁷"), =HYPERLINK("CSG15.html#group48R15", "48R¹⁵"), =HYPERLINK("CSG15.html#group24H15", "24H¹⁵"), =HYPERLINK("CSG13.html#group24K13", "24K¹³"), =HYPERLINK("CSG17.html#group48G17", "48G¹⁷"), =HYPERLINK("CSG17.html#group48F17", "48F¹⁷"), =HYPERLINK("CSG19.html#group48AA19", "48AA¹⁹")</f>
        <v/>
      </c>
    </row>
    <row r="1392">
      <c r="A1392" t="inlineStr">
        <is>
          <t>24O⁷</t>
        </is>
      </c>
      <c r="B1392" t="inlineStr"/>
      <c r="C1392" t="inlineStr">
        <is>
          <t>144</t>
        </is>
      </c>
      <c r="D1392" t="inlineStr">
        <is>
          <t>1</t>
        </is>
      </c>
      <c r="E1392" t="inlineStr">
        <is>
          <t>18</t>
        </is>
      </c>
      <c r="F1392" t="inlineStr">
        <is>
          <t>8</t>
        </is>
      </c>
      <c r="G1392" t="inlineStr">
        <is>
          <t>0</t>
        </is>
      </c>
      <c r="H1392" t="inlineStr">
        <is>
          <t>12⁴, 24⁴</t>
        </is>
      </c>
      <c r="I1392" t="n">
        <v>8</v>
      </c>
      <c r="J1392" t="inlineStr">
        <is>
          <t>1², 2⁴, 4²</t>
        </is>
      </c>
      <c r="K1392">
        <f>HYPERLINK("CSG2.html#group24P2", "24P²"), =HYPERLINK("CSG3.html#group12I3", "12I³"), =HYPERLINK("CSG3.html#group24I3", "24I³"), =HYPERLINK("CSG3.html#group24N3", "24N³"), =HYPERLINK("CSG4.html#group24P4", "24P⁴")</f>
        <v/>
      </c>
      <c r="L1392">
        <f>HYPERLINK("CSG13.html#group24R13", "24R¹³"), =HYPERLINK("CSG15.html#group24U15", "24U¹⁵"), =HYPERLINK("CSG17.html#group24D17", "24D¹⁷"), =HYPERLINK("CSG17.html#group24I17", "24I¹⁷"), =HYPERLINK("CSG17.html#group48N17", "48N¹⁷"), =HYPERLINK("CSG17.html#group48O17", "48O¹⁷"), =HYPERLINK("CSG19.html#group48BB19", "48BB¹⁹"), =HYPERLINK("CSG21.html#group48AB21", "48AB²¹"), =HYPERLINK("CSG21.html#group48AC21", "48AC²¹")</f>
        <v/>
      </c>
      <c r="M1392">
        <f>HYPERLINK("CSG1.html#group24E1", "24E¹"), =HYPERLINK("CSG0.html#group12C0", "12C⁰"), =HYPERLINK("CSG4.html#group24P4", "24P⁴"), =HYPERLINK("CSG0.html#group4C0", "4C⁰"), =HYPERLINK("CSG3.html#group24I3", "24I³"), =HYPERLINK("CSG0.html#group6G0", "6G⁰"), =HYPERLINK("CSG2.html#group24P2", "24P²"), =HYPERLINK("CSG0.html#group8B0", "8B⁰"), =HYPERLINK("CSG1.html#group12M1", "12M¹"), =HYPERLINK("CSG0.html#group2B0", "2B⁰"), =HYPERLINK("CSG2.html#group24C2", "24C²"), =HYPERLINK("CSG0.html#group1A0", "1A⁰"), =HYPERLINK("CSG1.html#group12L1", "12L¹"), =HYPERLINK("CSG1.html#group12C1", "12C¹"), =HYPERLINK("CSG3.html#group12I3", "12I³"), =HYPERLINK("CSG0.html#group24A0", "24A⁰"), =HYPERLINK("CSG3.html#group24N3", "24N³"), =HYPERLINK("CSG0.html#group3C0", "3C⁰"), =HYPERLINK("CSG0.html#group3A0", "3A⁰"), =HYPERLINK("CSG0.html#group6D0", "6D⁰")</f>
        <v/>
      </c>
      <c r="N1392">
        <f>HYPERLINK("CSG21.html#group48AC21", "48AC²¹"), =HYPERLINK("CSG17.html#group48O17", "48O¹⁷"), =HYPERLINK("CSG17.html#group48N17", "48N¹⁷"), =HYPERLINK("CSG17.html#group24D17", "24D¹⁷"), =HYPERLINK("CSG13.html#group24R13", "24R¹³"), =HYPERLINK("CSG19.html#group48BB19", "48BB¹⁹"), =HYPERLINK("CSG17.html#group24I17", "24I¹⁷"), =HYPERLINK("CSG15.html#group24U15", "24U¹⁵"), =HYPERLINK("CSG21.html#group48AB21", "48AB²¹")</f>
        <v/>
      </c>
    </row>
    <row r="1393">
      <c r="A1393" t="inlineStr">
        <is>
          <t>24P⁷</t>
        </is>
      </c>
      <c r="B1393" t="inlineStr"/>
      <c r="C1393" t="inlineStr">
        <is>
          <t>144</t>
        </is>
      </c>
      <c r="D1393" t="inlineStr">
        <is>
          <t>1</t>
        </is>
      </c>
      <c r="E1393" t="inlineStr">
        <is>
          <t>18</t>
        </is>
      </c>
      <c r="F1393" t="inlineStr">
        <is>
          <t>8</t>
        </is>
      </c>
      <c r="G1393" t="inlineStr">
        <is>
          <t>0</t>
        </is>
      </c>
      <c r="H1393" t="inlineStr">
        <is>
          <t>12⁴, 24⁴</t>
        </is>
      </c>
      <c r="I1393" t="n">
        <v>8</v>
      </c>
      <c r="J1393" t="inlineStr">
        <is>
          <t>1², 2⁴, 4²</t>
        </is>
      </c>
      <c r="K1393">
        <f>HYPERLINK("CSG3.html#group12I3", "12I³"), =HYPERLINK("CSG3.html#group24H3", "24H³"), =HYPERLINK("CSG3.html#group24O3", "24O³"), =HYPERLINK("CSG3.html#group24Q3", "24Q³"), =HYPERLINK("CSG3.html#group24T3", "24T³")</f>
        <v/>
      </c>
      <c r="L1393">
        <f>HYPERLINK("CSG13.html#group24R13", "24R¹³"), =HYPERLINK("CSG17.html#group24E17", "24E¹⁷"), =HYPERLINK("CSG17.html#group24H17", "24H¹⁷"), =HYPERLINK("CSG17.html#group24AI17", "24AI¹⁷"), =HYPERLINK("CSG17.html#group48AJ17", "48AJ¹⁷"), =HYPERLINK("CSG17.html#group48AI17", "48AI¹⁷"), =HYPERLINK("CSG19.html#group48AF19", "48AF¹⁹"), =HYPERLINK("CSG19.html#group48AG19", "48AG¹⁹")</f>
        <v/>
      </c>
      <c r="M1393">
        <f>HYPERLINK("CSG3.html#group24Q3", "24Q³"), =HYPERLINK("CSG1.html#group24E1", "24E¹"), =HYPERLINK("CSG0.html#group12C0", "12C⁰"), =HYPERLINK("CSG0.html#group8D0", "8D⁰"), =HYPERLINK("CSG0.html#group4C0", "4C⁰"), =HYPERLINK("CSG1.html#group24D1", "24D¹"), =HYPERLINK("CSG0.html#group6G0", "6G⁰"), =HYPERLINK("CSG1.html#group12M1", "12M¹"), =HYPERLINK("CSG0.html#group2B0", "2B⁰"), =HYPERLINK("CSG0.html#group1A0", "1A⁰"), =HYPERLINK("CSG3.html#group24O3", "24O³"), =HYPERLINK("CSG1.html#group12L1", "12L¹"), =HYPERLINK("CSG1.html#group12C1", "12C¹"), =HYPERLINK("CSG3.html#group24H3", "24H³"), =HYPERLINK("CSG3.html#group12I3", "12I³"), =HYPERLINK("CSG3.html#group24T3", "24T³"), =HYPERLINK("CSG1.html#group24C1", "24C¹"), =HYPERLINK("CSG0.html#group3C0", "3C⁰"), =HYPERLINK("CSG0.html#group3A0", "3A⁰"), =HYPERLINK("CSG0.html#group6D0", "6D⁰")</f>
        <v/>
      </c>
      <c r="N1393">
        <f>HYPERLINK("CSG13.html#group24R13", "24R¹³"), =HYPERLINK("CSG17.html#group48AI17", "48AI¹⁷"), =HYPERLINK("CSG17.html#group24H17", "24H¹⁷"), =HYPERLINK("CSG19.html#group48AF19", "48AF¹⁹"), =HYPERLINK("CSG17.html#group24E17", "24E¹⁷"), =HYPERLINK("CSG19.html#group48AG19", "48AG¹⁹"), =HYPERLINK("CSG17.html#group48AJ17", "48AJ¹⁷"), =HYPERLINK("CSG17.html#group24AI17", "24AI¹⁷")</f>
        <v/>
      </c>
    </row>
    <row r="1394">
      <c r="A1394" t="inlineStr">
        <is>
          <t>24Q⁷</t>
        </is>
      </c>
      <c r="B1394" t="inlineStr"/>
      <c r="C1394" t="inlineStr">
        <is>
          <t>144</t>
        </is>
      </c>
      <c r="D1394" t="inlineStr">
        <is>
          <t>1</t>
        </is>
      </c>
      <c r="E1394" t="inlineStr">
        <is>
          <t>18</t>
        </is>
      </c>
      <c r="F1394" t="inlineStr">
        <is>
          <t>8</t>
        </is>
      </c>
      <c r="G1394" t="inlineStr">
        <is>
          <t>0</t>
        </is>
      </c>
      <c r="H1394" t="inlineStr">
        <is>
          <t>12⁴, 24⁴</t>
        </is>
      </c>
      <c r="I1394" t="n">
        <v>8</v>
      </c>
      <c r="J1394" t="inlineStr">
        <is>
          <t>1², 2⁴, 4²</t>
        </is>
      </c>
      <c r="K1394">
        <f>HYPERLINK("CSG3.html#group12J3", "12J³"), =HYPERLINK("CSG3.html#group24H3", "24H³"), =HYPERLINK("CSG3.html#group24N3", "24N³"), =HYPERLINK("CSG3.html#group24P3", "24P³"), =HYPERLINK("CSG3.html#group24T3", "24T³")</f>
        <v/>
      </c>
      <c r="L1394">
        <f>HYPERLINK("CSG13.html#group24R13", "24R¹³"), =HYPERLINK("CSG17.html#group24E17", "24E¹⁷"), =HYPERLINK("CSG17.html#group24G17", "24G¹⁷"), =HYPERLINK("CSG17.html#group24AC17", "24AC¹⁷"), =HYPERLINK("CSG17.html#group24AB17", "24AB¹⁷"), =HYPERLINK("CSG17.html#group48BM17", "48BM¹⁷"), =HYPERLINK("CSG19.html#group48AH19", "48AH¹⁹"), =HYPERLINK("CSG19.html#group48AI19", "48AI¹⁹")</f>
        <v/>
      </c>
      <c r="M1394">
        <f>HYPERLINK("CSG1.html#group12G1", "12G¹"), =HYPERLINK("CSG1.html#group24E1", "24E¹"), =HYPERLINK("CSG0.html#group12C0", "12C⁰"), =HYPERLINK("CSG0.html#group4C0", "4C⁰"), =HYPERLINK("CSG1.html#group24D1", "24D¹"), =HYPERLINK("CSG0.html#group6G0", "6G⁰"), =HYPERLINK("CSG0.html#group2B0", "2B⁰"), =HYPERLINK("CSG3.html#group24P3", "24P³"), =HYPERLINK("CSG1.html#group12M1", "12M¹"), =HYPERLINK("CSG0.html#group1A0", "1A⁰"), =HYPERLINK("CSG1.html#group12L1", "12L¹"), =HYPERLINK("CSG3.html#group12J3", "12J³"), =HYPERLINK("CSG0.html#group12A0", "12A⁰"), =HYPERLINK("CSG1.html#group12C1", "12C¹"), =HYPERLINK("CSG3.html#group24H3", "24H³"), =HYPERLINK("CSG3.html#group24N3", "24N³"), =HYPERLINK("CSG0.html#group4A0", "4A⁰"), =HYPERLINK("CSG3.html#group24T3", "24T³"), =HYPERLINK("CSG0.html#group3C0", "3C⁰"), =HYPERLINK("CSG1.html#group12J1", "12J¹"), =HYPERLINK("CSG0.html#group4F0", "4F⁰"), =HYPERLINK("CSG0.html#group3A0", "3A⁰"), =HYPERLINK("CSG0.html#group6D0", "6D⁰")</f>
        <v/>
      </c>
      <c r="N1394">
        <f>HYPERLINK("CSG17.html#group48BM17", "48BM¹⁷"), =HYPERLINK("CSG17.html#group24G17", "24G¹⁷"), =HYPERLINK("CSG13.html#group24R13", "24R¹³"), =HYPERLINK("CSG19.html#group48AI19", "48AI¹⁹"), =HYPERLINK("CSG17.html#group24E17", "24E¹⁷"), =HYPERLINK("CSG17.html#group24AC17", "24AC¹⁷"), =HYPERLINK("CSG19.html#group48AH19", "48AH¹⁹"), =HYPERLINK("CSG17.html#group24AB17", "24AB¹⁷")</f>
        <v/>
      </c>
    </row>
    <row r="1395">
      <c r="A1395" t="inlineStr">
        <is>
          <t>24R⁷</t>
        </is>
      </c>
      <c r="B1395" t="inlineStr"/>
      <c r="C1395" t="inlineStr">
        <is>
          <t>144</t>
        </is>
      </c>
      <c r="D1395" t="inlineStr">
        <is>
          <t>1</t>
        </is>
      </c>
      <c r="E1395" t="inlineStr">
        <is>
          <t>18</t>
        </is>
      </c>
      <c r="F1395" t="inlineStr">
        <is>
          <t>8</t>
        </is>
      </c>
      <c r="G1395" t="inlineStr">
        <is>
          <t>0</t>
        </is>
      </c>
      <c r="H1395" t="inlineStr">
        <is>
          <t>12⁴, 24⁴</t>
        </is>
      </c>
      <c r="I1395" t="n">
        <v>8</v>
      </c>
      <c r="J1395" t="inlineStr">
        <is>
          <t>1², 2⁴, 4²</t>
        </is>
      </c>
      <c r="K1395">
        <f>HYPERLINK("CSG2.html#group24L2", "24L²"), =HYPERLINK("CSG2.html#group24P2", "24P²"), =HYPERLINK("CSG3.html#group12J3", "12J³"), =HYPERLINK("CSG3.html#group24I3", "24I³"), =HYPERLINK("CSG3.html#group24O3", "24O³"), =HYPERLINK("CSG4.html#group24K4", "24K⁴"), =HYPERLINK("CSG4.html#group24L4", "24L⁴")</f>
        <v/>
      </c>
      <c r="L1395">
        <f>HYPERLINK("CSG13.html#group24R13", "24R¹³"), =HYPERLINK("CSG15.html#group24M15", "24M¹⁵"), =HYPERLINK("CSG15.html#group24N15", "24N¹⁵"), =HYPERLINK("CSG17.html#group24D17", "24D¹⁷"), =HYPERLINK("CSG17.html#group24J17", "24J¹⁷"), =HYPERLINK("CSG17.html#group24AD17", "24AD¹⁷"), =HYPERLINK("CSG17.html#group24AF17", "24AF¹⁷"), =HYPERLINK("CSG17.html#group24AG17", "24AG¹⁷"), =HYPERLINK("CSG17.html#group24AH17", "24AH¹⁷"), =HYPERLINK("CSG17.html#group48P17", "48P¹⁷"), =HYPERLINK("CSG17.html#group48Q17", "48Q¹⁷"), =HYPERLINK("CSG17.html#group48AE17", "48AE¹⁷"), =HYPERLINK("CSG17.html#group48AF17", "48AF¹⁷"), =HYPERLINK("CSG17.html#group48AK17", "48AK¹⁷"), =HYPERLINK("CSG17.html#group48AL17", "48AL¹⁷"), =HYPERLINK("CSG19.html#group48AL19", "48AL¹⁹"), =HYPERLINK("CSG19.html#group48AM19", "48AM¹⁹"), =HYPERLINK("CSG21.html#group48AD21", "48AD²¹"), =HYPERLINK("CSG21.html#group48AF21", "48AF²¹")</f>
        <v/>
      </c>
      <c r="M1395">
        <f>HYPERLINK("CSG1.html#group12G1", "12G¹"), =HYPERLINK("CSG1.html#group24E1", "24E¹"), =HYPERLINK("CSG0.html#group12C0", "12C⁰"), =HYPERLINK("CSG0.html#group8D0", "8D⁰"), =HYPERLINK("CSG0.html#group4C0", "4C⁰"), =HYPERLINK("CSG3.html#group24I3", "24I³"), =HYPERLINK("CSG0.html#group8B0", "8B⁰"), =HYPERLINK("CSG2.html#group24P2", "24P²"), =HYPERLINK("CSG0.html#group6G0", "6G⁰"), =HYPERLINK("CSG1.html#group12M1", "12M¹"), =HYPERLINK("CSG0.html#group2B0", "2B⁰"), =HYPERLINK("CSG2.html#group24C2", "24C²"), =HYPERLINK("CSG2.html#group24L2", "24L²"), =HYPERLINK("CSG0.html#group1A0", "1A⁰"), =HYPERLINK("CSG3.html#group24O3", "24O³"), =HYPERLINK("CSG3.html#group12J3", "12J³"), =HYPERLINK("CSG1.html#group12L1", "12L¹"), =HYPERLINK("CSG0.html#group8H0", "8H⁰"), =HYPERLINK("CSG0.html#group12A0", "12A⁰"), =HYPERLINK("CSG1.html#group12C1", "12C¹"), =HYPERLINK("CSG0.html#group24A0", "24A⁰"), =HYPERLINK("CSG0.html#group4A0", "4A⁰"), =HYPERLINK("CSG4.html#group24K4", "24K⁴"), =HYPERLINK("CSG1.html#group24C1", "24C¹"), =HYPERLINK("CSG0.html#group3C0", "3C⁰"), =HYPERLINK("CSG1.html#group12J1", "12J¹"), =HYPERLINK("CSG0.html#group4F0", "4F⁰"), =HYPERLINK("CSG0.html#group3A0", "3A⁰"), =HYPERLINK("CSG4.html#group24L4", "24L⁴"), =HYPERLINK("CSG0.html#group6D0", "6D⁰")</f>
        <v/>
      </c>
      <c r="N1395">
        <f>HYPERLINK("CSG17.html#group24AG17", "24AG¹⁷"), =HYPERLINK("CSG21.html#group48AD21", "48AD²¹"), =HYPERLINK("CSG13.html#group24R13", "24R¹³"), =HYPERLINK("CSG19.html#group48AL19", "48AL¹⁹"), =HYPERLINK("CSG15.html#group24N15", "24N¹⁵"), =HYPERLINK("CSG17.html#group24J17", "24J¹⁷"), =HYPERLINK("CSG17.html#group48P17", "48P¹⁷"), =HYPERLINK("CSG17.html#group48AK17", "48AK¹⁷"), =HYPERLINK("CSG17.html#group48AL17", "48AL¹⁷"), =HYPERLINK("CSG21.html#group48AF21", "48AF²¹"), =HYPERLINK("CSG17.html#group24AF17", "24AF¹⁷"), =HYPERLINK("CSG17.html#group48AF17", "48AF¹⁷"), =HYPERLINK("CSG17.html#group48AE17", "48AE¹⁷"), =HYPERLINK("CSG17.html#group24D17", "24D¹⁷"), =HYPERLINK("CSG17.html#group24AH17", "24AH¹⁷"), =HYPERLINK("CSG17.html#group48Q17", "48Q¹⁷"), =HYPERLINK("CSG19.html#group48AM19", "48AM¹⁹"), =HYPERLINK("CSG17.html#group24AD17", "24AD¹⁷"), =HYPERLINK("CSG15.html#group24M15", "24M¹⁵")</f>
        <v/>
      </c>
    </row>
    <row r="1396">
      <c r="A1396" t="inlineStr">
        <is>
          <t>24S⁷</t>
        </is>
      </c>
      <c r="B1396" t="inlineStr"/>
      <c r="C1396" t="inlineStr">
        <is>
          <t>144</t>
        </is>
      </c>
      <c r="D1396" t="inlineStr">
        <is>
          <t>1</t>
        </is>
      </c>
      <c r="E1396" t="inlineStr">
        <is>
          <t>18</t>
        </is>
      </c>
      <c r="F1396" t="inlineStr">
        <is>
          <t>8</t>
        </is>
      </c>
      <c r="G1396" t="inlineStr">
        <is>
          <t>0</t>
        </is>
      </c>
      <c r="H1396" t="inlineStr">
        <is>
          <t>12⁴, 24⁴</t>
        </is>
      </c>
      <c r="I1396" t="n">
        <v>8</v>
      </c>
      <c r="J1396" t="inlineStr">
        <is>
          <t>2⁷, 4¹</t>
        </is>
      </c>
      <c r="K1396">
        <f>HYPERLINK("CSG1.html#group12T1", "12T¹"), =HYPERLINK("CSG4.html#group24Q4", "24Q⁴")</f>
        <v/>
      </c>
      <c r="L1396">
        <f>HYPERLINK("CSG13.html#group24S13", "24S¹³"), =HYPERLINK("CSG15.html#group24L15", "24L¹⁵"), =HYPERLINK("CSG15.html#group24K15", "24K¹⁵"), =HYPERLINK("CSG17.html#group24A17", "24A¹⁷"), =HYPERLINK("CSG17.html#group24O17", "24O¹⁷")</f>
        <v/>
      </c>
      <c r="M1396">
        <f>HYPERLINK("CSG1.html#group12T1", "12T¹"), =HYPERLINK("CSG4.html#group24Q4", "24Q⁴"), =HYPERLINK("CSG0.html#group6B0", "6B⁰"), =HYPERLINK("CSG0.html#group12C0", "12C⁰"), =HYPERLINK("CSG0.html#group3A0", "3A⁰"), =HYPERLINK("CSG0.html#group4C0", "4C⁰"), =HYPERLINK("CSG0.html#group6G0", "6G⁰"), =HYPERLINK("CSG0.html#group2B0", "2B⁰"), =HYPERLINK("CSG1.html#group12N1", "12N¹"), =HYPERLINK("CSG0.html#group1A0", "1A⁰"), =HYPERLINK("CSG1.html#group12L1", "12L¹"), =HYPERLINK("CSG0.html#group12G0", "12G⁰"), =HYPERLINK("CSG1.html#group12C1", "12C¹"), =HYPERLINK("CSG0.html#group6E0", "6E⁰"), =HYPERLINK("CSG0.html#group6L0", "6L⁰"), =HYPERLINK("CSG0.html#group3C0", "3C⁰"), =HYPERLINK("CSG0.html#group12D0", "12D⁰"), =HYPERLINK("CSG0.html#group6H0", "6H⁰"), =HYPERLINK("CSG0.html#group12H0", "12H⁰"), =HYPERLINK("CSG0.html#group6D0", "6D⁰")</f>
        <v/>
      </c>
      <c r="N1396">
        <f>HYPERLINK("CSG13.html#group24S13", "24S¹³"), =HYPERLINK("CSG15.html#group24L15", "24L¹⁵"), =HYPERLINK("CSG17.html#group24A17", "24A¹⁷"), =HYPERLINK("CSG17.html#group24O17", "24O¹⁷"), =HYPERLINK("CSG15.html#group24K15", "24K¹⁵")</f>
        <v/>
      </c>
    </row>
    <row r="1397">
      <c r="A1397" t="inlineStr">
        <is>
          <t>24T⁷</t>
        </is>
      </c>
      <c r="B1397" t="inlineStr"/>
      <c r="C1397" t="inlineStr">
        <is>
          <t>144</t>
        </is>
      </c>
      <c r="D1397" t="inlineStr">
        <is>
          <t>1</t>
        </is>
      </c>
      <c r="E1397" t="inlineStr">
        <is>
          <t>36</t>
        </is>
      </c>
      <c r="F1397" t="inlineStr">
        <is>
          <t>0</t>
        </is>
      </c>
      <c r="G1397" t="inlineStr">
        <is>
          <t>0</t>
        </is>
      </c>
      <c r="H1397" t="inlineStr">
        <is>
          <t>3⁴, 6², 12², 24⁴</t>
        </is>
      </c>
      <c r="I1397" t="n">
        <v>12</v>
      </c>
      <c r="J1397" t="inlineStr">
        <is>
          <t>1⁴, 2⁶, 4³, 8¹</t>
        </is>
      </c>
      <c r="K1397">
        <f>HYPERLINK("CSG3.html#group24L3", "24L³"), =HYPERLINK("CSG4.html#group24M4", "24M⁴")</f>
        <v/>
      </c>
      <c r="L1397">
        <f>HYPERLINK("CSG13.html#group24N13", "24N¹³"), =HYPERLINK("CSG15.html#group24D15", "24D¹⁵"), =HYPERLINK("CSG15.html#group24H15", "24H¹⁵"), =HYPERLINK("CSG15.html#group48O15", "48O¹⁵"), =HYPERLINK("CSG15.html#group48N15", "48N¹⁵"), =HYPERLINK("CSG17.html#group48Z17", "48Z¹⁷"), =HYPERLINK("CSG17.html#group48Y17", "48Y¹⁷")</f>
        <v/>
      </c>
      <c r="M1397">
        <f>HYPERLINK("CSG2.html#group24B2", "24B²"), =HYPERLINK("CSG1.html#group12K1", "12K¹"), =HYPERLINK("CSG0.html#group3A0", "3A⁰"), =HYPERLINK("CSG4.html#group24M4", "24M⁴"), =HYPERLINK("CSG2.html#group24D2", "24D²"), =HYPERLINK("CSG0.html#group6G0", "6G⁰"), =HYPERLINK("CSG0.html#group3C0", "3C⁰"), =HYPERLINK("CSG1.html#group12B1", "12B¹"), =HYPERLINK("CSG0.html#group2B0", "2B⁰"), =HYPERLINK("CSG0.html#group8C0", "8C⁰"), =HYPERLINK("CSG0.html#group12D0", "12D⁰"), =HYPERLINK("CSG0.html#group4B0", "4B⁰"), =HYPERLINK("CSG3.html#group24L3", "24L³"), =HYPERLINK("CSG0.html#group1A0", "1A⁰"), =HYPERLINK("CSG0.html#group6D0", "6D⁰")</f>
        <v/>
      </c>
      <c r="N1397">
        <f>HYPERLINK("CSG15.html#group24D15", "24D¹⁵"), =HYPERLINK("CSG15.html#group24H15", "24H¹⁵"), =HYPERLINK("CSG15.html#group48O15", "48O¹⁵"), =HYPERLINK("CSG17.html#group48Y17", "48Y¹⁷"), =HYPERLINK("CSG13.html#group24N13", "24N¹³"), =HYPERLINK("CSG15.html#group48N15", "48N¹⁵"), =HYPERLINK("CSG17.html#group48Z17", "48Z¹⁷")</f>
        <v/>
      </c>
    </row>
    <row r="1398">
      <c r="A1398" t="inlineStr">
        <is>
          <t>24U⁷</t>
        </is>
      </c>
      <c r="B1398" t="inlineStr"/>
      <c r="C1398" t="inlineStr">
        <is>
          <t>144</t>
        </is>
      </c>
      <c r="D1398" t="inlineStr">
        <is>
          <t>1</t>
        </is>
      </c>
      <c r="E1398" t="inlineStr">
        <is>
          <t>36</t>
        </is>
      </c>
      <c r="F1398" t="inlineStr">
        <is>
          <t>0</t>
        </is>
      </c>
      <c r="G1398" t="inlineStr">
        <is>
          <t>0</t>
        </is>
      </c>
      <c r="H1398" t="inlineStr">
        <is>
          <t>3⁴, 6², 12², 24⁴</t>
        </is>
      </c>
      <c r="I1398" t="n">
        <v>12</v>
      </c>
      <c r="J1398" t="inlineStr">
        <is>
          <t>1⁴, 2⁶, 4³, 8¹</t>
        </is>
      </c>
      <c r="K1398">
        <f>HYPERLINK("CSG3.html#group24L3", "24L³"), =HYPERLINK("CSG4.html#group24F4", "24F⁴"), =HYPERLINK("CSG4.html#group24M4", "24M⁴")</f>
        <v/>
      </c>
      <c r="L1398">
        <f>HYPERLINK("CSG13.html#group24N13", "24N¹³"), =HYPERLINK("CSG15.html#group24E15", "24E¹⁵"), =HYPERLINK("CSG15.html#group24H15", "24H¹⁵"), =HYPERLINK("CSG15.html#group48P15", "48P¹⁵"), =HYPERLINK("CSG15.html#group48Q15", "48Q¹⁵"), =HYPERLINK("CSG17.html#group48AA17", "48AA¹⁷"), =HYPERLINK("CSG17.html#group48AB17", "48AB¹⁷")</f>
        <v/>
      </c>
      <c r="M1398">
        <f>HYPERLINK("CSG4.html#group24F4", "24F⁴"), =HYPERLINK("CSG1.html#group12K1", "12K¹"), =HYPERLINK("CSG0.html#group6G0", "6G⁰"), =HYPERLINK("CSG0.html#group2B0", "2B⁰"), =HYPERLINK("CSG0.html#group8C0", "8C⁰"), =HYPERLINK("CSG0.html#group8I0", "8I⁰"), =HYPERLINK("CSG0.html#group4B0", "4B⁰"), =HYPERLINK("CSG0.html#group1A0", "1A⁰"), =HYPERLINK("CSG2.html#group24B2", "24B²"), =HYPERLINK("CSG4.html#group24M4", "24M⁴"),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</f>
        <v/>
      </c>
      <c r="N1398">
        <f>HYPERLINK("CSG17.html#group48AB17", "48AB¹⁷"), =HYPERLINK("CSG15.html#group24H15", "24H¹⁵"), =HYPERLINK("CSG15.html#group48Q15", "48Q¹⁵"), =HYPERLINK("CSG15.html#group24E15", "24E¹⁵"), =HYPERLINK("CSG15.html#group48P15", "48P¹⁵"), =HYPERLINK("CSG13.html#group24N13", "24N¹³"), =HYPERLINK("CSG17.html#group48AA17", "48AA¹⁷")</f>
        <v/>
      </c>
    </row>
    <row r="1399">
      <c r="A1399" t="inlineStr">
        <is>
          <t>24V⁷</t>
        </is>
      </c>
      <c r="B1399" t="inlineStr"/>
      <c r="C1399" t="inlineStr">
        <is>
          <t>144</t>
        </is>
      </c>
      <c r="D1399" t="inlineStr">
        <is>
          <t>1</t>
        </is>
      </c>
      <c r="E1399" t="inlineStr">
        <is>
          <t>36</t>
        </is>
      </c>
      <c r="F1399" t="inlineStr">
        <is>
          <t>0</t>
        </is>
      </c>
      <c r="G1399" t="inlineStr">
        <is>
          <t>0</t>
        </is>
      </c>
      <c r="H1399" t="inlineStr">
        <is>
          <t>6⁴, 12⁶, 24²</t>
        </is>
      </c>
      <c r="I1399" t="n">
        <v>12</v>
      </c>
      <c r="J1399" t="inlineStr">
        <is>
          <t>1⁸, 2¹⁰, 4²</t>
        </is>
      </c>
      <c r="K1399">
        <f>HYPERLINK("CSG3.html#group12G3", "12G³"), =HYPERLINK("CSG4.html#group24N4", "24N⁴")</f>
        <v/>
      </c>
      <c r="L1399">
        <f>HYPERLINK("CSG13.html#group24P13", "24P¹³"), =HYPERLINK("CSG15.html#group24A15", "24A¹⁵"), =HYPERLINK("CSG15.html#group24D15", "24D¹⁵"), =HYPERLINK("CSG15.html#group24I15", "24I¹⁵"), =HYPERLINK("CSG15.html#group24J15", "24J¹⁵"), =HYPERLINK("CSG17.html#group24T17", "24T¹⁷"), =HYPERLINK("CSG17.html#group24Z17", "24Z¹⁷")</f>
        <v/>
      </c>
      <c r="M1399">
        <f>HYPERLINK("CSG1.html#group6E1", "6E¹"), =HYPERLINK("CSG0.html#group2A0", "2A⁰"), =HYPERLINK("CSG0.html#group6B0", "6B⁰"), =HYPERLINK("CSG1.html#group12K1", "12K¹"), =HYPERLINK("CSG0.html#group12C0", "12C⁰"), =HYPERLINK("CSG2.html#group12D2", "12D²"), =HYPERLINK("CSG1.html#group6C1", "6C¹"), =HYPERLINK("CSG0.html#group4C0", "4C⁰"), =HYPERLINK("CSG2.html#group12B2", "12B²"), =HYPERLINK("CSG2.html#group12E2", "12E²"), =HYPERLINK("CSG0.html#group6G0", "6G⁰"), =HYPERLINK("CSG0.html#group2B0", "2B⁰"), =HYPERLINK("CSG0.html#group4E0", "4E⁰"), =HYPERLINK("CSG0.html#group4B0", "4B⁰"), =HYPERLINK("CSG3.html#group12G3", "12G³"), =HYPERLINK("CSG1.html#group12L1", "12L¹"), =HYPERLINK("CSG0.html#group1A0", "1A⁰"), =HYPERLINK("CSG0.html#group12H0", "12H⁰"), =HYPERLINK("CSG0.html#group6A0", "6A⁰"), =HYPERLINK("CSG1.html#group12C1", "12C¹"), =HYPERLINK("CSG1.html#group6B1", "6B¹"), =HYPERLINK("CSG4.html#group24N4", "24N⁴"), =HYPERLINK("CSG0.html#group3C0", "3C⁰"), =HYPERLINK("CSG1.html#group6A1", "6A¹"), =HYPERLINK("CSG1.html#group12B1", "12B¹"), =HYPERLINK("CSG0.html#group12D0", "12D⁰"), =HYPERLINK("CSG0.html#group6H0", "6H⁰"), =HYPERLINK("CSG0.html#group3A0", "3A⁰"), =HYPERLINK("CSG0.html#group2C0", "2C⁰"), =HYPERLINK("CSG0.html#group6D0", "6D⁰")</f>
        <v/>
      </c>
      <c r="N1399">
        <f>HYPERLINK("CSG15.html#group24J15", "24J¹⁵"), =HYPERLINK("CSG17.html#group24Z17", "24Z¹⁷"), =HYPERLINK("CSG15.html#group24A15", "24A¹⁵"), =HYPERLINK("CSG15.html#group24I15", "24I¹⁵"), =HYPERLINK("CSG13.html#group24P13", "24P¹³"), =HYPERLINK("CSG17.html#group24T17", "24T¹⁷"), =HYPERLINK("CSG15.html#group24D15", "24D¹⁵")</f>
        <v/>
      </c>
    </row>
    <row r="1400">
      <c r="A1400" t="inlineStr">
        <is>
          <t>24W⁷</t>
        </is>
      </c>
      <c r="B1400" t="inlineStr"/>
      <c r="C1400" t="inlineStr">
        <is>
          <t>144</t>
        </is>
      </c>
      <c r="D1400" t="inlineStr">
        <is>
          <t>1</t>
        </is>
      </c>
      <c r="E1400" t="inlineStr">
        <is>
          <t>36</t>
        </is>
      </c>
      <c r="F1400" t="inlineStr">
        <is>
          <t>0</t>
        </is>
      </c>
      <c r="G1400" t="inlineStr">
        <is>
          <t>0</t>
        </is>
      </c>
      <c r="H1400" t="inlineStr">
        <is>
          <t>6⁴, 12⁶, 24²</t>
        </is>
      </c>
      <c r="I1400" t="n">
        <v>12</v>
      </c>
      <c r="J1400" t="inlineStr">
        <is>
          <t>1⁸, 2¹⁰, 4²</t>
        </is>
      </c>
      <c r="K1400">
        <f>HYPERLINK("CSG3.html#group12G3", "12G³"), =HYPERLINK("CSG4.html#group24G4", "24G⁴"), =HYPERLINK("CSG4.html#group24N4", "24N⁴")</f>
        <v/>
      </c>
      <c r="L1400">
        <f>HYPERLINK("CSG13.html#group24P13", "24P¹³"), =HYPERLINK("CSG15.html#group24B15", "24B¹⁵"), =HYPERLINK("CSG15.html#group24E15", "24E¹⁵"), =HYPERLINK("CSG15.html#group24I15", "24I¹⁵"), =HYPERLINK("CSG15.html#group24J15", "24J¹⁵"), =HYPERLINK("CSG17.html#group24V17", "24V¹⁷"), =HYPERLINK("CSG17.html#group24Z17", "24Z¹⁷")</f>
        <v/>
      </c>
      <c r="M1400">
        <f>HYPERLINK("CSG1.html#group6E1", "6E¹"), =HYPERLINK("CSG0.html#group2A0", "2A⁰"), =HYPERLINK("CSG0.html#group6B0", "6B⁰"), =HYPERLINK("CSG1.html#group12K1", "12K¹"), =HYPERLINK("CSG0.html#group12C0", "12C⁰"), =HYPERLINK("CSG2.html#group12D2", "12D²"), =HYPERLINK("CSG1.html#group6C1", "6C¹"), =HYPERLINK("CSG0.html#group4C0", "4C⁰"), =HYPERLINK("CSG2.html#group12B2", "12B²"), =HYPERLINK("CSG2.html#group12E2", "12E²"), =HYPERLINK("CSG0.html#group6G0", "6G⁰"), =HYPERLINK("CSG0.html#group2B0", "2B⁰"), =HYPERLINK("CSG0.html#group4E0", "4E⁰"), =HYPERLINK("CSG0.html#group4B0", "4B⁰"), =HYPERLINK("CSG3.html#group12G3", "12G³"), =HYPERLINK("CSG1.html#group12L1", "12L¹"), =HYPERLINK("CSG0.html#group1A0", "1A⁰"), =HYPERLINK("CSG0.html#group12H0", "12H⁰"), =HYPERLINK("CSG0.html#group6A0", "6A⁰"), =HYPERLINK("CSG1.html#group12C1", "12C¹"), =HYPERLINK("CSG1.html#group6B1", "6B¹"), =HYPERLINK("CSG4.html#group24N4", "24N⁴"), =HYPERLINK("CSG0.html#group3C0", "3C⁰"), =HYPERLINK("CSG1.html#group6A1", "6A¹"), =HYPERLINK("CSG1.html#group12B1", "12B¹"), =HYPERLINK("CSG0.html#group12D0", "12D⁰"), =HYPERLINK("CSG0.html#group6H0", "6H⁰"), =HYPERLINK("CSG0.html#group3A0", "3A⁰"), =HYPERLINK("CSG0.html#group8J0", "8J⁰"), =HYPERLINK("CSG0.html#group2C0", "2C⁰"), =HYPERLINK("CSG0.html#group6D0", "6D⁰"), =HYPERLINK("CSG4.html#group24G4", "24G⁴")</f>
        <v/>
      </c>
      <c r="N1400">
        <f>HYPERLINK("CSG15.html#group24J15", "24J¹⁵"), =HYPERLINK("CSG17.html#group24Z17", "24Z¹⁷"), =HYPERLINK("CSG15.html#group24I15", "24I¹⁵"), =HYPERLINK("CSG17.html#group24V17", "24V¹⁷"), =HYPERLINK("CSG13.html#group24P13", "24P¹³"), =HYPERLINK("CSG15.html#group24E15", "24E¹⁵"), =HYPERLINK("CSG15.html#group24B15", "24B¹⁵")</f>
        <v/>
      </c>
    </row>
    <row r="1401">
      <c r="A1401" t="inlineStr">
        <is>
          <t>24X⁷</t>
        </is>
      </c>
      <c r="B1401" t="inlineStr"/>
      <c r="C1401" t="inlineStr">
        <is>
          <t>144</t>
        </is>
      </c>
      <c r="D1401" t="inlineStr">
        <is>
          <t>1</t>
        </is>
      </c>
      <c r="E1401" t="inlineStr">
        <is>
          <t>36</t>
        </is>
      </c>
      <c r="F1401" t="inlineStr">
        <is>
          <t>4</t>
        </is>
      </c>
      <c r="G1401" t="inlineStr">
        <is>
          <t>0</t>
        </is>
      </c>
      <c r="H1401" t="inlineStr">
        <is>
          <t>12⁸, 24²</t>
        </is>
      </c>
      <c r="I1401" t="n">
        <v>10</v>
      </c>
      <c r="J1401" t="inlineStr">
        <is>
          <t>2², 4⁴, 8²</t>
        </is>
      </c>
      <c r="K1401">
        <f>HYPERLINK("CSG3.html#group12J3", "12J³"), =HYPERLINK("CSG3.html#group24R3", "24R³")</f>
        <v/>
      </c>
      <c r="L1401">
        <f>HYPERLINK("CSG13.html#group24U13", "24U¹³"), =HYPERLINK("CSG15.html#group24A15", "24A¹⁵"), =HYPERLINK("CSG15.html#group24C15", "24C¹⁵"), =HYPERLINK("CSG17.html#group24AB17", "24AB¹⁷"), =HYPERLINK("CSG17.html#group24AD17", "24AD¹⁷"), =HYPERLINK("CSG19.html#group24M19", "24M¹⁹"), =HYPERLINK("CSG19.html#group24N19", "24N¹⁹")</f>
        <v/>
      </c>
      <c r="M1401">
        <f>HYPERLINK("CSG1.html#group12G1", "12G¹"), =HYPERLINK("CSG0.html#group12C0", "12C⁰"), =HYPERLINK("CSG0.html#group4C0", "4C⁰"), =HYPERLINK("CSG0.html#group6G0", "6G⁰"), =HYPERLINK("CSG1.html#group12M1", "12M¹"), =HYPERLINK("CSG0.html#group2B0", "2B⁰"), =HYPERLINK("CSG0.html#group1A0", "1A⁰"), =HYPERLINK("CSG1.html#group12L1", "12L¹"), =HYPERLINK("CSG3.html#group12J3", "12J³"), =HYPERLINK("CSG0.html#group12A0", "12A⁰"), =HYPERLINK("CSG1.html#group12C1", "12C¹"), =HYPERLINK("CSG0.html#group4A0", "4A⁰"), =HYPERLINK("CSG0.html#group3C0", "3C⁰"), =HYPERLINK("CSG3.html#group24R3", "24R³"), =HYPERLINK("CSG1.html#group12J1", "12J¹"), =HYPERLINK("CSG0.html#group4F0", "4F⁰"), =HYPERLINK("CSG0.html#group3A0", "3A⁰"), =HYPERLINK("CSG0.html#group6D0", "6D⁰")</f>
        <v/>
      </c>
      <c r="N1401">
        <f>HYPERLINK("CSG13.html#group24U13", "24U¹³"), =HYPERLINK("CSG15.html#group24C15", "24C¹⁵"), =HYPERLINK("CSG19.html#group24M19", "24M¹⁹"), =HYPERLINK("CSG19.html#group24N19", "24N¹⁹"), =HYPERLINK("CSG17.html#group24AD17", "24AD¹⁷"), =HYPERLINK("CSG15.html#group24A15", "24A¹⁵"), =HYPERLINK("CSG17.html#group24AB17", "24AB¹⁷")</f>
        <v/>
      </c>
    </row>
    <row r="1402">
      <c r="A1402" t="inlineStr">
        <is>
          <t>24Y⁷</t>
        </is>
      </c>
      <c r="B1402" t="inlineStr"/>
      <c r="C1402" t="inlineStr">
        <is>
          <t>144</t>
        </is>
      </c>
      <c r="D1402" t="inlineStr">
        <is>
          <t>1</t>
        </is>
      </c>
      <c r="E1402" t="inlineStr">
        <is>
          <t>36</t>
        </is>
      </c>
      <c r="F1402" t="inlineStr">
        <is>
          <t>4</t>
        </is>
      </c>
      <c r="G1402" t="inlineStr">
        <is>
          <t>0</t>
        </is>
      </c>
      <c r="H1402" t="inlineStr">
        <is>
          <t>12⁸, 24²</t>
        </is>
      </c>
      <c r="I1402" t="n">
        <v>10</v>
      </c>
      <c r="J1402" t="inlineStr">
        <is>
          <t>2², 4⁴, 8²</t>
        </is>
      </c>
      <c r="K1402">
        <f>HYPERLINK("CSG3.html#group12J3", "12J³"), =HYPERLINK("CSG3.html#group24J3", "24J³"), =HYPERLINK("CSG3.html#group24R3", "24R³")</f>
        <v/>
      </c>
      <c r="L1402">
        <f>HYPERLINK("CSG13.html#group24U13", "24U¹³"), =HYPERLINK("CSG15.html#group24B15", "24B¹⁵"), =HYPERLINK("CSG15.html#group24C15", "24C¹⁵"), =HYPERLINK("CSG17.html#group24AC17", "24AC¹⁷"), =HYPERLINK("CSG17.html#group24AF17", "24AF¹⁷"), =HYPERLINK("CSG17.html#group48BJ17", "48BJ¹⁷"), =HYPERLINK("CSG17.html#group48BI17", "48BI¹⁷"), =HYPERLINK("CSG17.html#group48BK17", "48BK¹⁷"), =HYPERLINK("CSG17.html#group48BL17", "48BL¹⁷"), =HYPERLINK("CSG19.html#group24O19", "24O¹⁹"), =HYPERLINK("CSG19.html#group24Q19", "24Q¹⁹")</f>
        <v/>
      </c>
      <c r="M1402">
        <f>HYPERLINK("CSG1.html#group12G1", "12G¹"), =HYPERLINK("CSG0.html#group12C0", "12C⁰"), =HYPERLINK("CSG0.html#group4C0", "4C⁰"), =HYPERLINK("CSG0.html#group6G0", "6G⁰"), =HYPERLINK("CSG1.html#group12M1", "12M¹"), =HYPERLINK("CSG0.html#group2B0", "2B⁰"), =HYPERLINK("CSG0.html#group1A0", "1A⁰"), =HYPERLINK("CSG1.html#group12L1", "12L¹"), =HYPERLINK("CSG3.html#group12J3", "12J³"), =HYPERLINK("CSG0.html#group8K0", "8K⁰"), =HYPERLINK("CSG3.html#group24J3", "24J³"), =HYPERLINK("CSG0.html#group12A0", "12A⁰"), =HYPERLINK("CSG1.html#group12C1", "12C¹"), =HYPERLINK("CSG0.html#group4A0", "4A⁰"), =HYPERLINK("CSG0.html#group3C0", "3C⁰"), =HYPERLINK("CSG3.html#group24R3", "24R³"), =HYPERLINK("CSG1.html#group12J1", "12J¹"), =HYPERLINK("CSG0.html#group4F0", "4F⁰"), =HYPERLINK("CSG0.html#group3A0", "3A⁰"), =HYPERLINK("CSG0.html#group6D0", "6D⁰")</f>
        <v/>
      </c>
      <c r="N1402">
        <f>HYPERLINK("CSG17.html#group24AF17", "24AF¹⁷"), =HYPERLINK("CSG15.html#group24B15", "24B¹⁵"), =HYPERLINK("CSG17.html#group48BK17", "48BK¹⁷"), =HYPERLINK("CSG17.html#group48BJ17", "48BJ¹⁷"), =HYPERLINK("CSG19.html#group24O19", "24O¹⁹"), =HYPERLINK("CSG13.html#group24U13", "24U¹³"), =HYPERLINK("CSG17.html#group48BL17", "48BL¹⁷"), =HYPERLINK("CSG17.html#group48BI17", "48BI¹⁷"), =HYPERLINK("CSG19.html#group24Q19", "24Q¹⁹"), =HYPERLINK("CSG17.html#group24AC17", "24AC¹⁷"), =HYPERLINK("CSG15.html#group24C15", "24C¹⁵")</f>
        <v/>
      </c>
    </row>
    <row r="1403">
      <c r="A1403" t="inlineStr">
        <is>
          <t>24Z⁷</t>
        </is>
      </c>
      <c r="B1403" t="inlineStr"/>
      <c r="C1403" t="inlineStr">
        <is>
          <t>144</t>
        </is>
      </c>
      <c r="D1403" t="inlineStr">
        <is>
          <t>1</t>
        </is>
      </c>
      <c r="E1403" t="inlineStr">
        <is>
          <t>36</t>
        </is>
      </c>
      <c r="F1403" t="inlineStr">
        <is>
          <t>8</t>
        </is>
      </c>
      <c r="G1403" t="inlineStr">
        <is>
          <t>0</t>
        </is>
      </c>
      <c r="H1403" t="inlineStr">
        <is>
          <t>12⁴, 24⁴</t>
        </is>
      </c>
      <c r="I1403" t="n">
        <v>8</v>
      </c>
      <c r="J1403" t="inlineStr">
        <is>
          <t>1⁴, 2⁶, 4³, 8¹</t>
        </is>
      </c>
      <c r="K1403">
        <f>HYPERLINK("CSG2.html#group24Q2", "24Q²"), =HYPERLINK("CSG3.html#group24I3", "24I³")</f>
        <v/>
      </c>
      <c r="L1403">
        <f>HYPERLINK("CSG13.html#group24Y13", "24Y¹³"), =HYPERLINK("CSG15.html#group24N15", "24N¹⁵"), =HYPERLINK("CSG15.html#group24U15", "24U¹⁵"), =HYPERLINK("CSG17.html#group24L17", "24L¹⁷"), =HYPERLINK("CSG17.html#group24T17", "24T¹⁷"), =HYPERLINK("CSG17.html#group48AW17", "48AW¹⁷"), =HYPERLINK("CSG17.html#group48AX17", "48AX¹⁷"), =HYPERLINK("CSG19.html#group48BC19", "48BC¹⁹"), =HYPERLINK("CSG19.html#group48BD19", "48BD¹⁹"), =HYPERLINK("CSG21.html#group48BB21", "48BB²¹"), =HYPERLINK("CSG21.html#group48BC21", "48BC²¹")</f>
        <v/>
      </c>
      <c r="M1403">
        <f>HYPERLINK("CSG0.html#group12C0", "12C⁰"), =HYPERLINK("CSG1.html#group12C1", "12C¹"), =HYPERLINK("CSG0.html#group24A0", "24A⁰"), =HYPERLINK("CSG1.html#group12L1", "12L¹"), =HYPERLINK("CSG0.html#group4C0", "4C⁰"), =HYPERLINK("CSG3.html#group24I3", "24I³"), =HYPERLINK("CSG0.html#group8B0", "8B⁰"), =HYPERLINK("CSG2.html#group24Q2", "24Q²"), =HYPERLINK("CSG0.html#group6G0", "6G⁰"), =HYPERLINK("CSG0.html#group3C0", "3C⁰"), =HYPERLINK("CSG0.html#group2B0", "2B⁰"), =HYPERLINK("CSG2.html#group24C2", "24C²"), =HYPERLINK("CSG0.html#group3A0", "3A⁰"), =HYPERLINK("CSG0.html#group1A0", "1A⁰"), =HYPERLINK("CSG0.html#group6D0", "6D⁰")</f>
        <v/>
      </c>
      <c r="N1403">
        <f>HYPERLINK("CSG17.html#group48AW17", "48AW¹⁷"), =HYPERLINK("CSG13.html#group24Y13", "24Y¹³"), =HYPERLINK("CSG19.html#group48BD19", "48BD¹⁹"), =HYPERLINK("CSG19.html#group48BC19", "48BC¹⁹"), =HYPERLINK("CSG21.html#group48BB21", "48BB²¹"), =HYPERLINK("CSG17.html#group24T17", "24T¹⁷"), =HYPERLINK("CSG15.html#group24N15", "24N¹⁵"), =HYPERLINK("CSG15.html#group24U15", "24U¹⁵"), =HYPERLINK("CSG21.html#group48BC21", "48BC²¹"), =HYPERLINK("CSG17.html#group24L17", "24L¹⁷"), =HYPERLINK("CSG17.html#group48AX17", "48AX¹⁷")</f>
        <v/>
      </c>
    </row>
    <row r="1404">
      <c r="A1404" t="inlineStr">
        <is>
          <t>24AA⁷</t>
        </is>
      </c>
      <c r="B1404" t="inlineStr"/>
      <c r="C1404" t="inlineStr">
        <is>
          <t>144</t>
        </is>
      </c>
      <c r="D1404" t="inlineStr">
        <is>
          <t>1</t>
        </is>
      </c>
      <c r="E1404" t="inlineStr">
        <is>
          <t>36</t>
        </is>
      </c>
      <c r="F1404" t="inlineStr">
        <is>
          <t>8</t>
        </is>
      </c>
      <c r="G1404" t="inlineStr">
        <is>
          <t>0</t>
        </is>
      </c>
      <c r="H1404" t="inlineStr">
        <is>
          <t>12⁴, 24⁴</t>
        </is>
      </c>
      <c r="I1404" t="n">
        <v>8</v>
      </c>
      <c r="J1404" t="inlineStr">
        <is>
          <t>1⁴, 2⁶, 4³, 8¹</t>
        </is>
      </c>
      <c r="K1404">
        <f>HYPERLINK("CSG2.html#group24M2", "24M²"), =HYPERLINK("CSG2.html#group24Q2", "24Q²"), =HYPERLINK("CSG3.html#group24I3", "24I³")</f>
        <v/>
      </c>
      <c r="L1404">
        <f>HYPERLINK("CSG13.html#group24Y13", "24Y¹³"), =HYPERLINK("CSG15.html#group24M15", "24M¹⁵"), =HYPERLINK("CSG15.html#group24U15", "24U¹⁵"), =HYPERLINK("CSG17.html#group24L17", "24L¹⁷"), =HYPERLINK("CSG17.html#group24V17", "24V¹⁷"), =HYPERLINK("CSG17.html#group48AY17", "48AY¹⁷"), =HYPERLINK("CSG17.html#group48AZ17", "48AZ¹⁷"), =HYPERLINK("CSG19.html#group48BE19", "48BE¹⁹"), =HYPERLINK("CSG19.html#group48BG19", "48BG¹⁹"), =HYPERLINK("CSG21.html#group48BD21", "48BD²¹"), =HYPERLINK("CSG21.html#group48BG21", "48BG²¹")</f>
        <v/>
      </c>
      <c r="M1404">
        <f>HYPERLINK("CSG0.html#group12C0", "12C⁰"), =HYPERLINK("CSG0.html#group4C0", "4C⁰"), =HYPERLINK("CSG3.html#group24I3", "24I³"), =HYPERLINK("CSG0.html#group8B0", "8B⁰"), =HYPERLINK("CSG2.html#group24Q2", "24Q²"), =HYPERLINK("CSG0.html#group6G0", "6G⁰"), =HYPERLINK("CSG0.html#group2B0", "2B⁰"), =HYPERLINK("CSG0.html#group8L0", "8L⁰"), =HYPERLINK("CSG2.html#group24C2", "24C²"), =HYPERLINK("CSG0.html#group1A0", "1A⁰"), =HYPERLINK("CSG1.html#group12L1", "12L¹"), =HYPERLINK("CSG1.html#group12C1", "12C¹"), =HYPERLINK("CSG0.html#group24A0", "24A⁰"), =HYPERLINK("CSG2.html#group24M2", "24M²"), =HYPERLINK("CSG0.html#group3C0", "3C⁰"), =HYPERLINK("CSG0.html#group3A0", "3A⁰"), =HYPERLINK("CSG0.html#group6D0", "6D⁰")</f>
        <v/>
      </c>
      <c r="N1404">
        <f>HYPERLINK("CSG13.html#group24Y13", "24Y¹³"), =HYPERLINK("CSG17.html#group24V17", "24V¹⁷"), =HYPERLINK("CSG21.html#group48BG21", "48BG²¹"), =HYPERLINK("CSG19.html#group48BE19", "48BE¹⁹"), =HYPERLINK("CSG19.html#group48BG19", "48BG¹⁹"), =HYPERLINK("CSG17.html#group48AZ17", "48AZ¹⁷"), =HYPERLINK("CSG15.html#group24U15", "24U¹⁵"), =HYPERLINK("CSG17.html#group48AY17", "48AY¹⁷"), =HYPERLINK("CSG21.html#group48BD21", "48BD²¹"), =HYPERLINK("CSG17.html#group24L17", "24L¹⁷"), =HYPERLINK("CSG15.html#group24M15", "24M¹⁵")</f>
        <v/>
      </c>
    </row>
    <row r="1405">
      <c r="A1405" t="inlineStr">
        <is>
          <t>24AB⁷</t>
        </is>
      </c>
      <c r="B1405" t="inlineStr"/>
      <c r="C1405" t="inlineStr">
        <is>
          <t>144</t>
        </is>
      </c>
      <c r="D1405" t="inlineStr">
        <is>
          <t>1</t>
        </is>
      </c>
      <c r="E1405" t="inlineStr">
        <is>
          <t>36</t>
        </is>
      </c>
      <c r="F1405" t="inlineStr">
        <is>
          <t>12</t>
        </is>
      </c>
      <c r="G1405" t="inlineStr">
        <is>
          <t>0</t>
        </is>
      </c>
      <c r="H1405" t="inlineStr">
        <is>
          <t>24⁶</t>
        </is>
      </c>
      <c r="I1405" t="n">
        <v>6</v>
      </c>
      <c r="J1405" t="inlineStr">
        <is>
          <t>2², 4⁴, 8²</t>
        </is>
      </c>
      <c r="K1405">
        <f>HYPERLINK("CSG2.html#group24L2", "24L²"), =HYPERLINK("CSG3.html#group24R3", "24R³"), =HYPERLINK("CSG4.html#group24O4", "24O⁴")</f>
        <v/>
      </c>
      <c r="L1405">
        <f>HYPERLINK("CSG15.html#group24O15", "24O¹⁵"), =HYPERLINK("CSG15.html#group24P15", "24P¹⁵"), =HYPERLINK("CSG15.html#group48W15", "48W¹⁵"), =HYPERLINK("CSG16.html#group24B16", "24B¹⁶"), =HYPERLINK("CSG16.html#group24D16", "24D¹⁶"), =HYPERLINK("CSG16.html#group24E16", "24E¹⁶"), =HYPERLINK("CSG17.html#group24AD17", "24AD¹⁷"), =HYPERLINK("CSG17.html#group24AF17", "24AF¹⁷"), =HYPERLINK("CSG17.html#group48AN17", "48AN¹⁷"), =HYPERLINK("CSG17.html#group48BW17", "48BW¹⁷"), =HYPERLINK("CSG18.html#group48N18", "48N¹⁸"), =HYPERLINK("CSG18.html#group48O18", "48O¹⁸"), =HYPERLINK("CSG18.html#group48S18", "48S¹⁸"), =HYPERLINK("CSG19.html#group24G19", "24G¹⁹"), =HYPERLINK("CSG19.html#group48AC19", "48AC¹⁹"), =HYPERLINK("CSG19.html#group48AY19", "48AY¹⁹"), =HYPERLINK("CSG21.html#group48AR21", "48AR²¹")</f>
        <v/>
      </c>
      <c r="M1405">
        <f>HYPERLINK("CSG4.html#group24O4", "24O⁴"), =HYPERLINK("CSG0.html#group12C0", "12C⁰"), =HYPERLINK("CSG0.html#group8D0", "8D⁰"), =HYPERLINK("CSG0.html#group4C0", "4C⁰"), =HYPERLINK("CSG0.html#group8B0", "8B⁰"), =HYPERLINK("CSG0.html#group2B0", "2B⁰"), =HYPERLINK("CSG1.html#group24B1", "24B¹"), =HYPERLINK("CSG2.html#group24L2", "24L²"), =HYPERLINK("CSG0.html#group1A0", "1A⁰"), =HYPERLINK("CSG0.html#group8H0", "8H⁰"), =HYPERLINK("CSG0.html#group12A0", "12A⁰"), =HYPERLINK("CSG0.html#group24A0", "24A⁰"), =HYPERLINK("CSG0.html#group4A0", "4A⁰"), =HYPERLINK("CSG1.html#group24C1", "24C¹"), =HYPERLINK("CSG3.html#group24R3", "24R³"), =HYPERLINK("CSG1.html#group12J1", "12J¹"), =HYPERLINK("CSG0.html#group4F0", "4F⁰"), =HYPERLINK("CSG0.html#group3A0", "3A⁰"), =HYPERLINK("CSG0.html#group6D0", "6D⁰")</f>
        <v/>
      </c>
      <c r="N1405">
        <f>HYPERLINK("CSG18.html#group48O18", "48O¹⁸"), =HYPERLINK("CSG16.html#group24E16", "24E¹⁶"), =HYPERLINK("CSG17.html#group48BW17", "48BW¹⁷"), =HYPERLINK("CSG16.html#group24B16", "24B¹⁶"), =HYPERLINK("CSG17.html#group48AN17", "48AN¹⁷"), =HYPERLINK("CSG18.html#group48S18", "48S¹⁸"), =HYPERLINK("CSG15.html#group24O15", "24O¹⁵"), =HYPERLINK("CSG17.html#group24AF17", "24AF¹⁷"), =HYPERLINK("CSG19.html#group48AY19", "48AY¹⁹"), =HYPERLINK("CSG15.html#group24P15", "24P¹⁵"), =HYPERLINK("CSG16.html#group24D16", "24D¹⁶"), =HYPERLINK("CSG18.html#group48N18", "48N¹⁸"), =HYPERLINK("CSG21.html#group48AR21", "48AR²¹"), =HYPERLINK("CSG19.html#group24G19", "24G¹⁹"), =HYPERLINK("CSG19.html#group48AC19", "48AC¹⁹"), =HYPERLINK("CSG17.html#group24AD17", "24AD¹⁷"), =HYPERLINK("CSG15.html#group48W15", "48W¹⁵")</f>
        <v/>
      </c>
    </row>
    <row r="1406">
      <c r="A1406" t="inlineStr">
        <is>
          <t>24AC⁷</t>
        </is>
      </c>
      <c r="B1406" t="inlineStr"/>
      <c r="C1406" t="inlineStr">
        <is>
          <t>144</t>
        </is>
      </c>
      <c r="D1406" t="inlineStr">
        <is>
          <t>1</t>
        </is>
      </c>
      <c r="E1406" t="inlineStr">
        <is>
          <t>36</t>
        </is>
      </c>
      <c r="F1406" t="inlineStr">
        <is>
          <t>12</t>
        </is>
      </c>
      <c r="G1406" t="inlineStr">
        <is>
          <t>0</t>
        </is>
      </c>
      <c r="H1406" t="inlineStr">
        <is>
          <t>24⁶</t>
        </is>
      </c>
      <c r="I1406" t="n">
        <v>6</v>
      </c>
      <c r="J1406" t="inlineStr">
        <is>
          <t>1², 2³, 4³, 8²</t>
        </is>
      </c>
      <c r="K1406">
        <f>HYPERLINK("CSG2.html#group24L2", "24L²")</f>
        <v/>
      </c>
      <c r="L1406">
        <f>HYPERLINK("CSG15.html#group24Q15", "24Q¹⁵"), =HYPERLINK("CSG15.html#group24R15", "24R¹⁵"), =HYPERLINK("CSG15.html#group48X15", "48X¹⁵"), =HYPERLINK("CSG16.html#group24B16", "24B¹⁶"), =HYPERLINK("CSG16.html#group24C16", "24C¹⁶"), =HYPERLINK("CSG16.html#group24E16", "24E¹⁶"), =HYPERLINK("CSG17.html#group24AG17", "24AG¹⁷"), =HYPERLINK("CSG17.html#group24AH17", "24AH¹⁷"), =HYPERLINK("CSG17.html#group48AP17", "48AP¹⁷"), =HYPERLINK("CSG17.html#group48BX17", "48BX¹⁷"), =HYPERLINK("CSG18.html#group48P18", "48P¹⁸"), =HYPERLINK("CSG18.html#group48Q18", "48Q¹⁸"), =HYPERLINK("CSG18.html#group48T18", "48T¹⁸"), =HYPERLINK("CSG19.html#group24F19", "24F¹⁹"), =HYPERLINK("CSG19.html#group48AE19", "48AE¹⁹"), =HYPERLINK("CSG19.html#group48AZ19", "48AZ¹⁹"), =HYPERLINK("CSG21.html#group48AS21", "48AS²¹")</f>
        <v/>
      </c>
      <c r="M1406">
        <f>HYPERLINK("CSG0.html#group12C0", "12C⁰"), =HYPERLINK("CSG0.html#group8D0", "8D⁰"), =HYPERLINK("CSG0.html#group4C0", "4C⁰"), =HYPERLINK("CSG0.html#group8B0", "8B⁰"), =HYPERLINK("CSG0.html#group2B0", "2B⁰"), =HYPERLINK("CSG2.html#group24L2", "24L²"), =HYPERLINK("CSG0.html#group1A0", "1A⁰"), =HYPERLINK("CSG0.html#group8H0", "8H⁰"),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1406">
        <f>HYPERLINK("CSG17.html#group24AG17", "24AG¹⁷"), =HYPERLINK("CSG16.html#group24E16", "24E¹⁶"), =HYPERLINK("CSG21.html#group48AS21", "48AS²¹"), =HYPERLINK("CSG16.html#group24B16", "24B¹⁶"), =HYPERLINK("CSG19.html#group24F19", "24F¹⁹"), =HYPERLINK("CSG19.html#group48AZ19", "48AZ¹⁹"), =HYPERLINK("CSG18.html#group48T18", "48T¹⁸"), =HYPERLINK("CSG15.html#group24Q15", "24Q¹⁵"), =HYPERLINK("CSG16.html#group24C16", "24C¹⁶"), =HYPERLINK("CSG17.html#group48AP17", "48AP¹⁷"), =HYPERLINK("CSG18.html#group48Q18", "48Q¹⁸"), =HYPERLINK("CSG15.html#group24R15", "24R¹⁵"), =HYPERLINK("CSG17.html#group24AH17", "24AH¹⁷"), =HYPERLINK("CSG15.html#group48X15", "48X¹⁵"), =HYPERLINK("CSG17.html#group48BX17", "48BX¹⁷"), =HYPERLINK("CSG19.html#group48AE19", "48AE¹⁹"), =HYPERLINK("CSG18.html#group48P18", "48P¹⁸")</f>
        <v/>
      </c>
    </row>
    <row r="1407">
      <c r="A1407" t="inlineStr">
        <is>
          <t>24AD⁷</t>
        </is>
      </c>
      <c r="B1407" t="inlineStr"/>
      <c r="C1407" t="inlineStr">
        <is>
          <t>144</t>
        </is>
      </c>
      <c r="D1407" t="inlineStr">
        <is>
          <t>2</t>
        </is>
      </c>
      <c r="E1407" t="inlineStr">
        <is>
          <t>18</t>
        </is>
      </c>
      <c r="F1407" t="inlineStr">
        <is>
          <t>8</t>
        </is>
      </c>
      <c r="G1407" t="inlineStr">
        <is>
          <t>0</t>
        </is>
      </c>
      <c r="H1407" t="inlineStr">
        <is>
          <t>12⁴, 24⁴</t>
        </is>
      </c>
      <c r="I1407" t="n">
        <v>8</v>
      </c>
      <c r="J1407" t="inlineStr">
        <is>
          <t>2⁶, 4⁶</t>
        </is>
      </c>
      <c r="K1407">
        <f>HYPERLINK("CSG2.html#group12H2", "12H²"), =HYPERLINK("CSG2.html#group24O2", "24O²"), =HYPERLINK("CSG3.html#group24Q3", "24Q³"), =HYPERLINK("CSG3.html#group24S3", "24S³"), =HYPERLINK("CSG3.html#group24T3", "24T³"), =HYPERLINK("CSG4.html#group24L4", "24L⁴"), =HYPERLINK("CSG4.html#group24P4", "24P⁴")</f>
        <v/>
      </c>
      <c r="L1407">
        <f>HYPERLINK("CSG13.html#group24R13", "24R¹³"), =HYPERLINK("CSG17.html#group24H17", "24H¹⁷"), =HYPERLINK("CSG17.html#group24N17", "24N¹⁷"), =HYPERLINK("CSG17.html#group24AM17", "24AM¹⁷"), =HYPERLINK("CSG17.html#group48BV17", "48BV¹⁷"), =HYPERLINK("CSG17.html#group48BU17", "48BU¹⁷"), =HYPERLINK("CSG19.html#group48BN19", "48BN¹⁹")</f>
        <v/>
      </c>
      <c r="M1407">
        <f>HYPERLINK("CSG2.html#group24O2", "24O²"), =HYPERLINK("CSG3.html#group24Q3", "24Q³"), =HYPERLINK("CSG1.html#group24E1", "24E¹"), =HYPERLINK("CSG0.html#group6B0", "6B⁰"), =HYPERLINK("CSG0.html#group12C0", "12C⁰"), =HYPERLINK("CSG4.html#group24P4", "24P⁴"), =HYPERLINK("CSG0.html#group8D0", "8D⁰"), =HYPERLINK("CSG0.html#group4C0", "4C⁰"), =HYPERLINK("CSG1.html#group24D1", "24D¹"), =HYPERLINK("CSG0.html#group2B0", "2B⁰"), =HYPERLINK("CSG1.html#group12M1", "12M¹"), =HYPERLINK("CSG2.html#group24C2", "24C²"), =HYPERLINK("CSG0.html#group12H0", "12H⁰"), =HYPERLINK("CSG0.html#group1A0", "1A⁰"), =HYPERLINK("CSG2.html#group12H2", "12H²"), =HYPERLINK("CSG3.html#group24S3", "24S³"), =HYPERLINK("CSG3.html#group24T3", "24T³"), =HYPERLINK("CSG1.html#group24C1", "24C¹"), =HYPERLINK("CSG0.html#group12D0", "12D⁰"), =HYPERLINK("CSG0.html#group6H0", "6H⁰"), =HYPERLINK("CSG0.html#group3A0", "3A⁰"), =HYPERLINK("CSG4.html#group24L4", "24L⁴"), =HYPERLINK("CSG0.html#group6D0", "6D⁰")</f>
        <v/>
      </c>
      <c r="N1407">
        <f>HYPERLINK("CSG17.html#group24H17", "24H¹⁷"), =HYPERLINK("CSG17.html#group48BV17", "48BV¹⁷"), =HYPERLINK("CSG17.html#group48BU17", "48BU¹⁷"), =HYPERLINK("CSG17.html#group24N17", "24N¹⁷"), =HYPERLINK("CSG19.html#group48BN19", "48BN¹⁹"), =HYPERLINK("CSG17.html#group24AM17", "24AM¹⁷"), =HYPERLINK("CSG13.html#group24R13", "24R¹³")</f>
        <v/>
      </c>
    </row>
    <row r="1408">
      <c r="A1408" t="inlineStr">
        <is>
          <t>24AE⁷</t>
        </is>
      </c>
      <c r="B1408" t="inlineStr"/>
      <c r="C1408" t="inlineStr">
        <is>
          <t>144</t>
        </is>
      </c>
      <c r="D1408" t="inlineStr">
        <is>
          <t>2</t>
        </is>
      </c>
      <c r="E1408" t="inlineStr">
        <is>
          <t>18</t>
        </is>
      </c>
      <c r="F1408" t="inlineStr">
        <is>
          <t>8</t>
        </is>
      </c>
      <c r="G1408" t="inlineStr">
        <is>
          <t>0</t>
        </is>
      </c>
      <c r="H1408" t="inlineStr">
        <is>
          <t>12⁴, 24⁴</t>
        </is>
      </c>
      <c r="I1408" t="n">
        <v>8</v>
      </c>
      <c r="J1408" t="inlineStr">
        <is>
          <t>2⁶, 4⁶</t>
        </is>
      </c>
      <c r="K1408">
        <f>HYPERLINK("CSG2.html#group12I2", "12I²"), =HYPERLINK("CSG2.html#group24N2", "24N²"), =HYPERLINK("CSG3.html#group24P3", "24P³"), =HYPERLINK("CSG3.html#group24S3", "24S³"), =HYPERLINK("CSG3.html#group24T3", "24T³"), =HYPERLINK("CSG4.html#group24K4", "24K⁴"), =HYPERLINK("CSG4.html#group24P4", "24P⁴")</f>
        <v/>
      </c>
      <c r="L1408">
        <f>HYPERLINK("CSG13.html#group24R13", "24R¹³"), =HYPERLINK("CSG17.html#group24G17", "24G¹⁷"), =HYPERLINK("CSG17.html#group24N17", "24N¹⁷"), =HYPERLINK("CSG17.html#group24AL17", "24AL¹⁷"), =HYPERLINK("CSG17.html#group24AK17", "24AK¹⁷"), =HYPERLINK("CSG17.html#group48CI17", "48CI¹⁷"), =HYPERLINK("CSG19.html#group48BM19", "48BM¹⁹")</f>
        <v/>
      </c>
      <c r="M1408">
        <f>HYPERLINK("CSG2.html#group12I2", "12I²"), =HYPERLINK("CSG1.html#group24E1", "24E¹"), =HYPERLINK("CSG0.html#group6B0", "6B⁰"), =HYPERLINK("CSG0.html#group12C0", "12C⁰"), =HYPERLINK("CSG0.html#group3A0", "3A⁰"), =HYPERLINK("CSG4.html#group24P4", "24P⁴"), =HYPERLINK("CSG2.html#group24N2", "24N²"), =HYPERLINK("CSG0.html#group4C0", "4C⁰"), =HYPERLINK("CSG1.html#group24D1", "24D¹"), =HYPERLINK("CSG0.html#group12F0", "12F⁰"), =HYPERLINK("CSG1.html#group12M1", "12M¹"), =HYPERLINK("CSG3.html#group24P3", "24P³"), =HYPERLINK("CSG0.html#group2B0", "2B⁰"), =HYPERLINK("CSG2.html#group24C2", "24C²"), =HYPERLINK("CSG0.html#group1A0", "1A⁰"), =HYPERLINK("CSG0.html#group12A0", "12A⁰"), =HYPERLINK("CSG3.html#group24S3", "24S³"), =HYPERLINK("CSG0.html#group4A0", "4A⁰"), =HYPERLINK("CSG4.html#group24K4", "24K⁴"), =HYPERLINK("CSG3.html#group24T3", "24T³"), =HYPERLINK("CSG1.html#group12J1", "12J¹"), =HYPERLINK("CSG0.html#group12D0", "12D⁰"), =HYPERLINK("CSG0.html#group4F0", "4F⁰"), =HYPERLINK("CSG0.html#group6H0", "6H⁰"), =HYPERLINK("CSG0.html#group12H0", "12H⁰"), =HYPERLINK("CSG0.html#group6D0", "6D⁰")</f>
        <v/>
      </c>
      <c r="N1408">
        <f>HYPERLINK("CSG17.html#group48CI17", "48CI¹⁷"), =HYPERLINK("CSG19.html#group48BM19", "48BM¹⁹"), =HYPERLINK("CSG17.html#group24AK17", "24AK¹⁷"), =HYPERLINK("CSG17.html#group24N17", "24N¹⁷"), =HYPERLINK("CSG17.html#group24AL17", "24AL¹⁷"), =HYPERLINK("CSG17.html#group24G17", "24G¹⁷"), =HYPERLINK("CSG13.html#group24R13", "24R¹³")</f>
        <v/>
      </c>
    </row>
    <row r="1409">
      <c r="A1409" t="inlineStr">
        <is>
          <t>24AF⁷</t>
        </is>
      </c>
      <c r="B1409" t="inlineStr"/>
      <c r="C1409" t="inlineStr">
        <is>
          <t>192</t>
        </is>
      </c>
      <c r="D1409" t="inlineStr">
        <is>
          <t>1</t>
        </is>
      </c>
      <c r="E1409" t="inlineStr">
        <is>
          <t>12</t>
        </is>
      </c>
      <c r="F1409" t="inlineStr">
        <is>
          <t>0</t>
        </is>
      </c>
      <c r="G1409" t="inlineStr">
        <is>
          <t>0</t>
        </is>
      </c>
      <c r="H1409" t="inlineStr">
        <is>
          <t>4⁸, 8², 12⁸, 24²</t>
        </is>
      </c>
      <c r="I1409" t="n">
        <v>20</v>
      </c>
      <c r="J1409" t="inlineStr">
        <is>
          <t>1⁶, 2³</t>
        </is>
      </c>
      <c r="K1409">
        <f>HYPERLINK("CSG3.html#group12K3", "12K³"), =HYPERLINK("CSG3.html#group24Z3", "24Z³")</f>
        <v/>
      </c>
      <c r="L1409">
        <f>HYPERLINK("CSG13.html#group24AB13", "24AB¹³"), =HYPERLINK("CSG17.html#group24AN17", "24AN¹⁷"), =HYPERLINK("CSG17.html#group24AT17", "24AT¹⁷"), =HYPERLINK("CSG21.html#group24C21", "24C²¹"), =HYPERLINK("CSG21.html#group24D21", "24D²¹")</f>
        <v/>
      </c>
      <c r="M1409">
        <f>HYPERLINK("CSG0.html#group2A0", "2A⁰"), =HYPERLINK("CSG0.html#group3B0", "3B⁰"), =HYPERLINK("CSG1.html#group12I1", "12I¹"), =HYPERLINK("CSG3.html#group24Z3", "24Z³"), =HYPERLINK("CSG1.html#group12F1", "12F¹"), =HYPERLINK("CSG0.html#group6I0", "6I⁰"), =HYPERLINK("CSG0.html#group4C0", "4C⁰"), =HYPERLINK("CSG0.html#group6C0", "6C⁰"), =HYPERLINK("CSG0.html#group4G0", "4G⁰"), =HYPERLINK("CSG0.html#group2B0", "2B⁰"), =HYPERLINK("CSG0.html#group4E0", "4E⁰"), =HYPERLINK("CSG1.html#group12P1", "12P¹"), =HYPERLINK("CSG0.html#group4B0", "4B⁰"), =HYPERLINK("CSG0.html#group1A0", "1A⁰"), =HYPERLINK("CSG0.html#group4A0", "4A⁰"), =HYPERLINK("CSG0.html#group4D0", "4D⁰"), =HYPERLINK("CSG1.html#group12A1", "12A¹"), =HYPERLINK("CSG2.html#group12G2", "12G²"), =HYPERLINK("CSG3.html#group12K3", "12K³"), =HYPERLINK("CSG0.html#group4F0", "4F⁰"), =HYPERLINK("CSG0.html#group6F0", "6F⁰"), =HYPERLINK("CSG0.html#group2C0", "2C⁰"), =HYPERLINK("CSG0.html#group12E0", "12E⁰")</f>
        <v/>
      </c>
      <c r="N1409">
        <f>HYPERLINK("CSG17.html#group24AT17", "24AT¹⁷"), =HYPERLINK("CSG13.html#group24AB13", "24AB¹³"), =HYPERLINK("CSG21.html#group24C21", "24C²¹"), =HYPERLINK("CSG17.html#group24AN17", "24AN¹⁷"), =HYPERLINK("CSG21.html#group24D21", "24D²¹")</f>
        <v/>
      </c>
    </row>
    <row r="1410">
      <c r="A1410" t="inlineStr">
        <is>
          <t>24AG⁷</t>
        </is>
      </c>
      <c r="B1410" t="inlineStr"/>
      <c r="C1410" t="inlineStr">
        <is>
          <t>192</t>
        </is>
      </c>
      <c r="D1410" t="inlineStr">
        <is>
          <t>1</t>
        </is>
      </c>
      <c r="E1410" t="inlineStr">
        <is>
          <t>12</t>
        </is>
      </c>
      <c r="F1410" t="inlineStr">
        <is>
          <t>0</t>
        </is>
      </c>
      <c r="G1410" t="inlineStr">
        <is>
          <t>0</t>
        </is>
      </c>
      <c r="H1410" t="inlineStr">
        <is>
          <t>4⁸, 8², 12⁸, 24²</t>
        </is>
      </c>
      <c r="I1410" t="n">
        <v>20</v>
      </c>
      <c r="J1410" t="inlineStr">
        <is>
          <t>1⁶, 2³</t>
        </is>
      </c>
      <c r="K1410">
        <f>HYPERLINK("CSG0.html#group8N0", "8N⁰"), =HYPERLINK("CSG3.html#group12K3", "12K³"), =HYPERLINK("CSG3.html#group24AA3", "24AA³"), =HYPERLINK("CSG4.html#group24R4", "24R⁴")</f>
        <v/>
      </c>
      <c r="L1410">
        <f>HYPERLINK("CSG13.html#group24AB13", "24AB¹³"), =HYPERLINK("CSG17.html#group24AO17", "24AO¹⁷"), =HYPERLINK("CSG17.html#group24AT17", "24AT¹⁷"), =HYPERLINK("CSG19.html#group48BO19", "48BO¹⁹"), =HYPERLINK("CSG19.html#group48BP19", "48BP¹⁹"), =HYPERLINK("CSG21.html#group24E21", "24E²¹"), =HYPERLINK("CSG21.html#group24G21", "24G²¹")</f>
        <v/>
      </c>
      <c r="M1410">
        <f>HYPERLINK("CSG0.html#group2A0", "2A⁰"), =HYPERLINK("CSG0.html#group3B0", "3B⁰"), =HYPERLINK("CSG0.html#group8N0", "8N⁰"), =HYPERLINK("CSG1.html#group12I1", "12I¹"), =HYPERLINK("CSG3.html#group24AA3", "24AA³"), =HYPERLINK("CSG0.html#group6I0", "6I⁰"), =HYPERLINK("CSG1.html#group12F1", "12F¹"), =HYPERLINK("CSG0.html#group4C0", "4C⁰"), =HYPERLINK("CSG0.html#group6C0", "6C⁰"), =HYPERLINK("CSG0.html#group4G0", "4G⁰"), =HYPERLINK("CSG0.html#group2B0", "2B⁰"), =HYPERLINK("CSG0.html#group4E0", "4E⁰"), =HYPERLINK("CSG1.html#group12P1", "12P¹"), =HYPERLINK("CSG0.html#group4B0", "4B⁰"), =HYPERLINK("CSG0.html#group1A0", "1A⁰"), =HYPERLINK("CSG0.html#group8K0", "8K⁰"), =HYPERLINK("CSG0.html#group4A0", "4A⁰"), =HYPERLINK("CSG0.html#group4D0", "4D⁰"), =HYPERLINK("CSG1.html#group12A1", "12A¹"), =HYPERLINK("CSG4.html#group24R4", "24R⁴"), =HYPERLINK("CSG2.html#group12G2", "12G²"), =HYPERLINK("CSG3.html#group12K3", "12K³"), =HYPERLINK("CSG0.html#group4F0", "4F⁰"), =HYPERLINK("CSG0.html#group6F0", "6F⁰"), =HYPERLINK("CSG0.html#group2C0", "2C⁰"), =HYPERLINK("CSG0.html#group12E0", "12E⁰"), =HYPERLINK("CSG0.html#group8J0", "8J⁰")</f>
        <v/>
      </c>
      <c r="N1410">
        <f>HYPERLINK("CSG21.html#group24E21", "24E²¹"), =HYPERLINK("CSG17.html#group24AT17", "24AT¹⁷"), =HYPERLINK("CSG13.html#group24AB13", "24AB¹³"), =HYPERLINK("CSG19.html#group48BO19", "48BO¹⁹"), =HYPERLINK("CSG19.html#group48BP19", "48BP¹⁹"), =HYPERLINK("CSG21.html#group24G21", "24G²¹"), =HYPERLINK("CSG17.html#group24AO17", "24AO¹⁷")</f>
        <v/>
      </c>
    </row>
    <row r="1411">
      <c r="A1411" t="inlineStr">
        <is>
          <t>24AH⁷</t>
        </is>
      </c>
      <c r="B1411" t="inlineStr"/>
      <c r="C1411" t="inlineStr">
        <is>
          <t>192</t>
        </is>
      </c>
      <c r="D1411" t="inlineStr">
        <is>
          <t>1</t>
        </is>
      </c>
      <c r="E1411" t="inlineStr">
        <is>
          <t>24</t>
        </is>
      </c>
      <c r="F1411" t="inlineStr">
        <is>
          <t>0</t>
        </is>
      </c>
      <c r="G1411" t="inlineStr">
        <is>
          <t>0</t>
        </is>
      </c>
      <c r="H1411" t="inlineStr">
        <is>
          <t>2⁴, 4², 6⁴, 8⁴, 12², 24⁴</t>
        </is>
      </c>
      <c r="I1411" t="n">
        <v>20</v>
      </c>
      <c r="J1411" t="inlineStr">
        <is>
          <t>1⁸, 2⁶, 4¹</t>
        </is>
      </c>
      <c r="K1411">
        <f>HYPERLINK("CSG3.html#group24V3", "24V³"), =HYPERLINK("CSG3.html#group24X3", "24X³"), =HYPERLINK("CSG3.html#group24Z3", "24Z³")</f>
        <v/>
      </c>
      <c r="L1411">
        <f>HYPERLINK("CSG13.html#group24AC13", "24AC¹³"), =HYPERLINK("CSG17.html#group24AN17", "24AN¹⁷"), =HYPERLINK("CSG17.html#group24AR17", "24AR¹⁷"), =HYPERLINK("CSG17.html#group48CK17", "48CK¹⁷"), =HYPERLINK("CSG17.html#group48CJ17", "48CJ¹⁷"), =HYPERLINK("CSG21.html#group48CG21", "48CG²¹"), =HYPERLINK("CSG21.html#group48CH21", "48CH²¹")</f>
        <v/>
      </c>
      <c r="M1411">
        <f>HYPERLINK("CSG0.html#group3B0", "3B⁰"), =HYPERLINK("CSG0.html#group2A0", "2A⁰"), =HYPERLINK("CSG3.html#group24V3", "24V³"), =HYPERLINK("CSG3.html#group24Z3", "24Z³"), =HYPERLINK("CSG0.html#group8D0", "8D⁰"), =HYPERLINK("CSG1.html#group12F1", "12F¹"), =HYPERLINK("CSG0.html#group6I0", "6I⁰"), =HYPERLINK("CSG1.html#group24G1", "24G¹"), =HYPERLINK("CSG0.html#group4C0", "4C⁰"), =HYPERLINK("CSG0.html#group6C0", "6C⁰"), =HYPERLINK("CSG0.html#group8C0", "8C⁰"), =HYPERLINK("CSG0.html#group2B0", "2B⁰"), =HYPERLINK("CSG0.html#group4E0", "4E⁰"), =HYPERLINK("CSG1.html#group12P1", "12P¹"), =HYPERLINK("CSG0.html#group4B0", "4B⁰"), =HYPERLINK("CSG0.html#group1A0", "1A⁰"), =HYPERLINK("CSG3.html#group24X3", "24X³"), =HYPERLINK("CSG2.html#group24I2", "24I²"), =HYPERLINK("CSG0.html#group8G0", "8G⁰"), =HYPERLINK("CSG0.html#group6F0", "6F⁰"), =HYPERLINK("CSG0.html#group2C0", "2C⁰"), =HYPERLINK("CSG0.html#group12E0", "12E⁰")</f>
        <v/>
      </c>
      <c r="N1411">
        <f>HYPERLINK("CSG17.html#group48CJ17", "48CJ¹⁷"), =HYPERLINK("CSG17.html#group24AR17", "24AR¹⁷"), =HYPERLINK("CSG21.html#group48CH21", "48CH²¹"), =HYPERLINK("CSG13.html#group24AC13", "24AC¹³"), =HYPERLINK("CSG17.html#group48CK17", "48CK¹⁷"), =HYPERLINK("CSG17.html#group24AN17", "24AN¹⁷"), =HYPERLINK("CSG21.html#group48CG21", "48CG²¹")</f>
        <v/>
      </c>
    </row>
    <row r="1412">
      <c r="A1412" t="inlineStr">
        <is>
          <t>24AI⁷</t>
        </is>
      </c>
      <c r="B1412" t="inlineStr"/>
      <c r="C1412" t="inlineStr">
        <is>
          <t>192</t>
        </is>
      </c>
      <c r="D1412" t="inlineStr">
        <is>
          <t>1</t>
        </is>
      </c>
      <c r="E1412" t="inlineStr">
        <is>
          <t>24</t>
        </is>
      </c>
      <c r="F1412" t="inlineStr">
        <is>
          <t>0</t>
        </is>
      </c>
      <c r="G1412" t="inlineStr">
        <is>
          <t>0</t>
        </is>
      </c>
      <c r="H1412" t="inlineStr">
        <is>
          <t>2⁴, 4², 6⁴, 8⁴, 12², 24⁴</t>
        </is>
      </c>
      <c r="I1412" t="n">
        <v>20</v>
      </c>
      <c r="J1412" t="inlineStr">
        <is>
          <t>1⁸, 2⁶, 4¹</t>
        </is>
      </c>
      <c r="K1412">
        <f>HYPERLINK("CSG0.html#group8O0", "8O⁰"), =HYPERLINK("CSG3.html#group24V3", "24V³"), =HYPERLINK("CSG3.html#group24Y3", "24Y³"), =HYPERLINK("CSG3.html#group24AA3", "24AA³")</f>
        <v/>
      </c>
      <c r="L1412">
        <f>HYPERLINK("CSG13.html#group24AC13", "24AC¹³"), =HYPERLINK("CSG17.html#group24AO17", "24AO¹⁷"), =HYPERLINK("CSG17.html#group24AR17", "24AR¹⁷"), =HYPERLINK("CSG17.html#group48CL17", "48CL¹⁷"), =HYPERLINK("CSG17.html#group48CM17", "48CM¹⁷"), =HYPERLINK("CSG19.html#group48BS19", "48BS¹⁹"), =HYPERLINK("CSG19.html#group48BT19", "48BT¹⁹"), =HYPERLINK("CSG21.html#group48CI21", "48CI²¹"), =HYPERLINK("CSG21.html#group48CK21", "48CK²¹")</f>
        <v/>
      </c>
      <c r="M1412">
        <f>HYPERLINK("CSG0.html#group2A0", "2A⁰"), =HYPERLINK("CSG0.html#group3B0", "3B⁰"), =HYPERLINK("CSG3.html#group24V3", "24V³"), =HYPERLINK("CSG3.html#group24AA3", "24AA³"), =HYPERLINK("CSG0.html#group8D0", "8D⁰"), =HYPERLINK("CSG0.html#group6I0", "6I⁰"), =HYPERLINK("CSG1.html#group12F1", "12F¹"), =HYPERLINK("CSG1.html#group24G1", "24G¹"), =HYPERLINK("CSG0.html#group4C0", "4C⁰"), =HYPERLINK("CSG0.html#group6C0", "6C⁰"), =HYPERLINK("CSG0.html#group2B0", "2B⁰"), =HYPERLINK("CSG0.html#group4E0", "4E⁰"), =HYPERLINK("CSG0.html#group8C0", "8C⁰"), =HYPERLINK("CSG1.html#group12P1", "12P¹"), =HYPERLINK("CSG0.html#group4B0", "4B⁰"), =HYPERLINK("CSG0.html#group8I0", "8I⁰"), =HYPERLINK("CSG0.html#group1A0", "1A⁰"), =HYPERLINK("CSG2.html#group24I2", "24I²"), =HYPERLINK("CSG0.html#group8G0", "8G⁰"), =HYPERLINK("CSG3.html#group24Y3", "24Y³"), =HYPERLINK("CSG0.html#group6F0", "6F⁰"), =HYPERLINK("CSG0.html#group2C0", "2C⁰"), =HYPERLINK("CSG0.html#group12E0", "12E⁰"), =HYPERLINK("CSG0.html#group8J0", "8J⁰"), =HYPERLINK("CSG0.html#group8O0", "8O⁰")</f>
        <v/>
      </c>
      <c r="N1412">
        <f>HYPERLINK("CSG17.html#group48CM17", "48CM¹⁷"), =HYPERLINK("CSG19.html#group48BS19", "48BS¹⁹"), =HYPERLINK("CSG17.html#group24AR17", "24AR¹⁷"), =HYPERLINK("CSG17.html#group48CL17", "48CL¹⁷"), =HYPERLINK("CSG19.html#group48BT19", "48BT¹⁹"), =HYPERLINK("CSG21.html#group48CK21", "48CK²¹"), =HYPERLINK("CSG13.html#group24AC13", "24AC¹³"), =HYPERLINK("CSG21.html#group48CI21", "48CI²¹"), =HYPERLINK("CSG17.html#group24AO17", "24AO¹⁷")</f>
        <v/>
      </c>
    </row>
    <row r="1413">
      <c r="A1413" t="inlineStr">
        <is>
          <t>24AJ⁷</t>
        </is>
      </c>
      <c r="B1413" t="inlineStr"/>
      <c r="C1413" t="inlineStr">
        <is>
          <t>192</t>
        </is>
      </c>
      <c r="D1413" t="inlineStr">
        <is>
          <t>1</t>
        </is>
      </c>
      <c r="E1413" t="inlineStr">
        <is>
          <t>48</t>
        </is>
      </c>
      <c r="F1413" t="inlineStr">
        <is>
          <t>0</t>
        </is>
      </c>
      <c r="G1413" t="inlineStr">
        <is>
          <t>0</t>
        </is>
      </c>
      <c r="H1413" t="inlineStr">
        <is>
          <t>2⁴, 4², 6⁴, 8⁴, 12², 24⁴</t>
        </is>
      </c>
      <c r="I1413" t="n">
        <v>20</v>
      </c>
      <c r="J1413" t="inlineStr">
        <is>
          <t>1⁸, 2⁸, 4⁴, 8¹</t>
        </is>
      </c>
      <c r="K1413">
        <f>HYPERLINK("CSG3.html#group24W3", "24W³"), =HYPERLINK("CSG3.html#group24X3", "24X³"), =HYPERLINK("CSG3.html#group24Y3", "24Y³")</f>
        <v/>
      </c>
      <c r="L1413">
        <f>HYPERLINK("CSG13.html#group24AC13", "24AC¹³"), =HYPERLINK("CSG17.html#group48CQ17", "48CQ¹⁷"), =HYPERLINK("CSG17.html#group48CP17", "48CP¹⁷")</f>
        <v/>
      </c>
      <c r="M1413">
        <f>HYPERLINK("CSG2.html#group24F2", "24F²"), =HYPERLINK("CSG0.html#group3B0", "3B⁰"), =HYPERLINK("CSG3.html#group24X3", "24X³"), =HYPERLINK("CSG1.html#group24G1", "24G¹"), =HYPERLINK("CSG0.html#group6F0", "6F⁰"), =HYPERLINK("CSG0.html#group12J0", "12J⁰"), =HYPERLINK("CSG3.html#group24W3", "24W³"), =HYPERLINK("CSG0.html#group2B0", "2B⁰"), =HYPERLINK("CSG0.html#group8C0", "8C⁰"), =HYPERLINK("CSG3.html#group24Y3", "24Y³"), =HYPERLINK("CSG0.html#group8I0", "8I⁰"), =HYPERLINK("CSG0.html#group4B0", "4B⁰"), =HYPERLINK("CSG0.html#group1A0", "1A⁰"), =HYPERLINK("CSG0.html#group12E0", "12E⁰")</f>
        <v/>
      </c>
      <c r="N1413">
        <f>HYPERLINK("CSG13.html#group24AC13", "24AC¹³"), =HYPERLINK("CSG17.html#group48CQ17", "48CQ¹⁷"), =HYPERLINK("CSG17.html#group48CP17", "48CP¹⁷")</f>
        <v/>
      </c>
    </row>
    <row r="1414">
      <c r="A1414" t="inlineStr">
        <is>
          <t>24AK⁷</t>
        </is>
      </c>
      <c r="B1414" t="inlineStr"/>
      <c r="C1414" t="inlineStr">
        <is>
          <t>192</t>
        </is>
      </c>
      <c r="D1414" t="inlineStr">
        <is>
          <t>1</t>
        </is>
      </c>
      <c r="E1414" t="inlineStr">
        <is>
          <t>48</t>
        </is>
      </c>
      <c r="F1414" t="inlineStr">
        <is>
          <t>0</t>
        </is>
      </c>
      <c r="G1414" t="inlineStr">
        <is>
          <t>0</t>
        </is>
      </c>
      <c r="H1414" t="inlineStr">
        <is>
          <t>2⁴, 4², 6⁴, 8⁴, 12², 24⁴</t>
        </is>
      </c>
      <c r="I1414" t="n">
        <v>20</v>
      </c>
      <c r="J1414" t="inlineStr">
        <is>
          <t>1¹⁶, 2¹², 4²</t>
        </is>
      </c>
      <c r="K1414">
        <f>HYPERLINK("CSG3.html#group24U3", "24U³"), =HYPERLINK("CSG3.html#group24Z3", "24Z³"), =HYPERLINK("CSG3.html#group24AA3", "24AA³")</f>
        <v/>
      </c>
      <c r="L1414">
        <f>HYPERLINK("CSG13.html#group24AC13", "24AC¹³"), =HYPERLINK("CSG17.html#group24AS17", "24AS¹⁷"), =HYPERLINK("CSG17.html#group24AT17", "24AT¹⁷")</f>
        <v/>
      </c>
      <c r="M1414">
        <f>HYPERLINK("CSG0.html#group2A0", "2A⁰"), =HYPERLINK("CSG0.html#group3B0", "3B⁰"), =HYPERLINK("CSG3.html#group24Z3", "24Z³"), =HYPERLINK("CSG3.html#group24AA3", "24AA³"), =HYPERLINK("CSG0.html#group6I0", "6I⁰"), =HYPERLINK("CSG1.html#group12F1", "12F¹"), =HYPERLINK("CSG0.html#group4C0", "4C⁰"), =HYPERLINK("CSG0.html#group6C0", "6C⁰"), =HYPERLINK("CSG0.html#group2B0", "2B⁰"), =HYPERLINK("CSG0.html#group4E0", "4E⁰"), =HYPERLINK("CSG1.html#group12P1", "12P¹"), =HYPERLINK("CSG0.html#group4B0", "4B⁰"), =HYPERLINK("CSG0.html#group1A0", "1A⁰"), =HYPERLINK("CSG3.html#group24U3", "24U³"), =HYPERLINK("CSG0.html#group24B0", "24B⁰"), =HYPERLINK("CSG2.html#group24F2", "24F²"), =HYPERLINK("CSG0.html#group6F0", "6F⁰"), =HYPERLINK("CSG0.html#group2C0", "2C⁰"), =HYPERLINK("CSG0.html#group12E0", "12E⁰"), =HYPERLINK("CSG0.html#group8J0", "8J⁰")</f>
        <v/>
      </c>
      <c r="N1414">
        <f>HYPERLINK("CSG13.html#group24AC13", "24AC¹³"), =HYPERLINK("CSG17.html#group24AT17", "24AT¹⁷"), =HYPERLINK("CSG17.html#group24AS17", "24AS¹⁷")</f>
        <v/>
      </c>
    </row>
    <row r="1415">
      <c r="A1415" t="inlineStr">
        <is>
          <t>24AL⁷</t>
        </is>
      </c>
      <c r="B1415" t="inlineStr"/>
      <c r="C1415" t="inlineStr">
        <is>
          <t>192</t>
        </is>
      </c>
      <c r="D1415" t="inlineStr">
        <is>
          <t>1</t>
        </is>
      </c>
      <c r="E1415" t="inlineStr">
        <is>
          <t>48</t>
        </is>
      </c>
      <c r="F1415" t="inlineStr">
        <is>
          <t>0</t>
        </is>
      </c>
      <c r="G1415" t="inlineStr">
        <is>
          <t>0</t>
        </is>
      </c>
      <c r="H1415" t="inlineStr">
        <is>
          <t>4⁸, 8², 12⁸, 24²</t>
        </is>
      </c>
      <c r="I1415" t="n">
        <v>20</v>
      </c>
      <c r="J1415" t="inlineStr">
        <is>
          <t>1¹⁶, 2¹², 4²</t>
        </is>
      </c>
      <c r="K1415">
        <f>HYPERLINK("CSG3.html#group12L3", "12L³"), =HYPERLINK("CSG3.html#group24Z3", "24Z³"), =HYPERLINK("CSG3.html#group24AA3", "24AA³")</f>
        <v/>
      </c>
      <c r="L1415">
        <f>HYPERLINK("CSG13.html#group24AB13", "24AB¹³"), =HYPERLINK("CSG17.html#group24AR17", "24AR¹⁷"), =HYPERLINK("CSG17.html#group24AS17", "24AS¹⁷")</f>
        <v/>
      </c>
      <c r="M1415">
        <f>HYPERLINK("CSG0.html#group2A0", "2A⁰"), =HYPERLINK("CSG0.html#group3B0", "3B⁰"), =HYPERLINK("CSG3.html#group24Z3", "24Z³"), =HYPERLINK("CSG3.html#group24AA3", "24AA³"), =HYPERLINK("CSG0.html#group6I0", "6I⁰"), =HYPERLINK("CSG1.html#group12F1", "12F¹"), =HYPERLINK("CSG0.html#group4C0", "4C⁰"), =HYPERLINK("CSG0.html#group6C0", "6C⁰"), =HYPERLINK("CSG0.html#group12I0", "12I⁰"), =HYPERLINK("CSG0.html#group2B0", "2B⁰"), =HYPERLINK("CSG0.html#group4E0", "4E⁰"), =HYPERLINK("CSG1.html#group12P1", "12P¹"), =HYPERLINK("CSG0.html#group4B0", "4B⁰"), =HYPERLINK("CSG0.html#group1A0", "1A⁰"), =HYPERLINK("CSG2.html#group12F2", "12F²"), =HYPERLINK("CSG3.html#group12L3", "12L³"), =HYPERLINK("CSG0.html#group6F0", "6F⁰"), =HYPERLINK("CSG0.html#group2C0", "2C⁰"), =HYPERLINK("CSG0.html#group12E0", "12E⁰"), =HYPERLINK("CSG0.html#group8J0", "8J⁰"), =HYPERLINK("CSG0.html#group12B0", "12B⁰")</f>
        <v/>
      </c>
      <c r="N1415">
        <f>HYPERLINK("CSG17.html#group24AS17", "24AS¹⁷"), =HYPERLINK("CSG17.html#group24AR17", "24AR¹⁷"), =HYPERLINK("CSG13.html#group24AB13", "24AB¹³")</f>
        <v/>
      </c>
    </row>
    <row r="1416">
      <c r="A1416" t="inlineStr">
        <is>
          <t>27A⁷</t>
        </is>
      </c>
      <c r="B1416" t="inlineStr"/>
      <c r="C1416" t="inlineStr">
        <is>
          <t>108</t>
        </is>
      </c>
      <c r="D1416" t="inlineStr">
        <is>
          <t>1</t>
        </is>
      </c>
      <c r="E1416" t="inlineStr">
        <is>
          <t>12</t>
        </is>
      </c>
      <c r="F1416" t="inlineStr">
        <is>
          <t>0</t>
        </is>
      </c>
      <c r="G1416" t="inlineStr">
        <is>
          <t>0</t>
        </is>
      </c>
      <c r="H1416" t="inlineStr">
        <is>
          <t>9³, 27³</t>
        </is>
      </c>
      <c r="I1416" t="n">
        <v>6</v>
      </c>
      <c r="J1416" t="inlineStr">
        <is>
          <t>1², 2², 6¹</t>
        </is>
      </c>
      <c r="K1416">
        <f>HYPERLINK("CSG1.html#group9C1", "9C¹")</f>
        <v/>
      </c>
      <c r="L1416">
        <f>HYPERLINK("CSG16.html#group54A16", "54A¹⁶"), =HYPERLINK("CSG19.html#group27A19", "27A¹⁹"), =HYPERLINK("CSG19.html#group27E19", "27E¹⁹"), =HYPERLINK("CSG22.html#group54A22", "54A²²")</f>
        <v/>
      </c>
      <c r="M1416">
        <f>HYPERLINK("CSG0.html#group3B0", "3B⁰"), =HYPERLINK("CSG1.html#group9A1", "9A¹"), =HYPERLINK("CSG0.html#group9B0", "9B⁰"), =HYPERLINK("CSG0.html#group3C0", "3C⁰"), =HYPERLINK("CSG1.html#group9C1", "9C¹"), =HYPERLINK("CSG0.html#group9C0", "9C⁰"), =HYPERLINK("CSG0.html#group3A0", "3A⁰"), =HYPERLINK("CSG0.html#group1A0", "1A⁰"), =HYPERLINK("CSG0.html#group3D0", "3D⁰")</f>
        <v/>
      </c>
      <c r="N1416">
        <f>HYPERLINK("CSG19.html#group27E19", "27E¹⁹"), =HYPERLINK("CSG19.html#group27A19", "27A¹⁹"), =HYPERLINK("CSG16.html#group54A16", "54A¹⁶"), =HYPERLINK("CSG22.html#group54A22", "54A²²")</f>
        <v/>
      </c>
    </row>
    <row r="1417">
      <c r="A1417" t="inlineStr">
        <is>
          <t>27B⁷</t>
        </is>
      </c>
      <c r="B1417" t="inlineStr"/>
      <c r="C1417" t="inlineStr">
        <is>
          <t>108</t>
        </is>
      </c>
      <c r="D1417" t="inlineStr">
        <is>
          <t>1</t>
        </is>
      </c>
      <c r="E1417" t="inlineStr">
        <is>
          <t>12</t>
        </is>
      </c>
      <c r="F1417" t="inlineStr">
        <is>
          <t>0</t>
        </is>
      </c>
      <c r="G1417" t="inlineStr">
        <is>
          <t>0</t>
        </is>
      </c>
      <c r="H1417" t="inlineStr">
        <is>
          <t>9³, 27³</t>
        </is>
      </c>
      <c r="I1417" t="n">
        <v>6</v>
      </c>
      <c r="J1417" t="inlineStr">
        <is>
          <t>1², 2², 6¹</t>
        </is>
      </c>
      <c r="K1417">
        <f>HYPERLINK("CSG0.html#group9J0", "9J⁰"), =HYPERLINK("CSG1.html#group27B1", "27B¹"), =HYPERLINK("CSG3.html#group27A3", "27A³")</f>
        <v/>
      </c>
      <c r="L1417">
        <f>HYPERLINK("CSG16.html#group54B16", "54B¹⁶"), =HYPERLINK("CSG19.html#group27B19", "27B¹⁹"), =HYPERLINK("CSG19.html#group27C19", "27C¹⁹"), =HYPERLINK("CSG22.html#group54C22", "54C²²")</f>
        <v/>
      </c>
      <c r="M1417">
        <f>HYPERLINK("CSG0.html#group3B0", "3B⁰"), =HYPERLINK("CSG1.html#group27B1", "27B¹"), =HYPERLINK("CSG0.html#group9J0", "9J⁰"), =HYPERLINK("CSG0.html#group9C0", "9C⁰"), =HYPERLINK("CSG0.html#group1A0", "1A⁰"), =HYPERLINK("CSG3.html#group27A3", "27A³")</f>
        <v/>
      </c>
      <c r="N1417">
        <f>HYPERLINK("CSG19.html#group27B19", "27B¹⁹"), =HYPERLINK("CSG16.html#group54B16", "54B¹⁶"), =HYPERLINK("CSG19.html#group27C19", "27C¹⁹"), =HYPERLINK("CSG22.html#group54C22", "54C²²")</f>
        <v/>
      </c>
    </row>
    <row r="1418">
      <c r="A1418" t="inlineStr">
        <is>
          <t>27C⁷</t>
        </is>
      </c>
      <c r="B1418" t="inlineStr"/>
      <c r="C1418" t="inlineStr">
        <is>
          <t>108</t>
        </is>
      </c>
      <c r="D1418" t="inlineStr">
        <is>
          <t>1</t>
        </is>
      </c>
      <c r="E1418" t="inlineStr">
        <is>
          <t>12</t>
        </is>
      </c>
      <c r="F1418" t="inlineStr">
        <is>
          <t>0</t>
        </is>
      </c>
      <c r="G1418" t="inlineStr">
        <is>
          <t>0</t>
        </is>
      </c>
      <c r="H1418" t="inlineStr">
        <is>
          <t>9³, 27³</t>
        </is>
      </c>
      <c r="I1418" t="n">
        <v>6</v>
      </c>
      <c r="J1418" t="inlineStr">
        <is>
          <t>1², 2², 6¹</t>
        </is>
      </c>
      <c r="K1418">
        <f>HYPERLINK("CSG0.html#group9J0", "9J⁰"), =HYPERLINK("CSG2.html#group27B2", "27B²"), =HYPERLINK("CSG3.html#group27A3", "27A³")</f>
        <v/>
      </c>
      <c r="L1418">
        <f>HYPERLINK("CSG16.html#group54C16", "54C¹⁶"), =HYPERLINK("CSG19.html#group27B19", "27B¹⁹"), =HYPERLINK("CSG19.html#group27D19", "27D¹⁹"), =HYPERLINK("CSG22.html#group54D22", "54D²²")</f>
        <v/>
      </c>
      <c r="M1418">
        <f>HYPERLINK("CSG0.html#group3B0", "3B⁰"), =HYPERLINK("CSG0.html#group9J0", "9J⁰"), =HYPERLINK("CSG0.html#group9C0", "9C⁰"), =HYPERLINK("CSG2.html#group27B2", "27B²"), =HYPERLINK("CSG0.html#group1A0", "1A⁰"), =HYPERLINK("CSG3.html#group27A3", "27A³")</f>
        <v/>
      </c>
      <c r="N1418">
        <f>HYPERLINK("CSG16.html#group54C16", "54C¹⁶"), =HYPERLINK("CSG19.html#group27D19", "27D¹⁹"), =HYPERLINK("CSG19.html#group27B19", "27B¹⁹"), =HYPERLINK("CSG22.html#group54D22", "54D²²")</f>
        <v/>
      </c>
    </row>
    <row r="1419">
      <c r="A1419" t="inlineStr">
        <is>
          <t>27D⁷</t>
        </is>
      </c>
      <c r="B1419" t="inlineStr"/>
      <c r="C1419" t="inlineStr">
        <is>
          <t>108</t>
        </is>
      </c>
      <c r="D1419" t="inlineStr">
        <is>
          <t>1</t>
        </is>
      </c>
      <c r="E1419" t="inlineStr">
        <is>
          <t>12</t>
        </is>
      </c>
      <c r="F1419" t="inlineStr">
        <is>
          <t>0</t>
        </is>
      </c>
      <c r="G1419" t="inlineStr">
        <is>
          <t>0</t>
        </is>
      </c>
      <c r="H1419" t="inlineStr">
        <is>
          <t>9³, 27³</t>
        </is>
      </c>
      <c r="I1419" t="n">
        <v>6</v>
      </c>
      <c r="J1419" t="inlineStr">
        <is>
          <t>1², 2², 6¹</t>
        </is>
      </c>
      <c r="K1419">
        <f>HYPERLINK("CSG1.html#group9C1", "9C¹"), =HYPERLINK("CSG1.html#group27B1", "27B¹"), =HYPERLINK("CSG2.html#group27B2", "27B²"), =HYPERLINK("CSG3.html#group27A3", "27A³")</f>
        <v/>
      </c>
      <c r="L1419">
        <f>HYPERLINK("CSG16.html#group54G16", "54G¹⁶"), =HYPERLINK("CSG19.html#group27B19", "27B¹⁹"), =HYPERLINK("CSG19.html#group27E19", "27E¹⁹"), =HYPERLINK("CSG22.html#group54E22", "54E²²")</f>
        <v/>
      </c>
      <c r="M1419">
        <f>HYPERLINK("CSG0.html#group3B0", "3B⁰"), =HYPERLINK("CSG2.html#group27B2", "27B²"), =HYPERLINK("CSG1.html#group9A1", "9A¹"), =HYPERLINK("CSG0.html#group9B0", "9B⁰"), =HYPERLINK("CSG0.html#group3C0", "3C⁰"), =HYPERLINK("CSG1.html#group27B1", "27B¹"), =HYPERLINK("CSG1.html#group9C1", "9C¹"), =HYPERLINK("CSG0.html#group9C0", "9C⁰"), =HYPERLINK("CSG0.html#group3A0", "3A⁰"), =HYPERLINK("CSG0.html#group1A0", "1A⁰"), =HYPERLINK("CSG3.html#group27A3", "27A³"), =HYPERLINK("CSG0.html#group3D0", "3D⁰")</f>
        <v/>
      </c>
      <c r="N1419">
        <f>HYPERLINK("CSG19.html#group27B19", "27B¹⁹"), =HYPERLINK("CSG19.html#group27E19", "27E¹⁹"), =HYPERLINK("CSG22.html#group54E22", "54E²²"), =HYPERLINK("CSG16.html#group54G16", "54G¹⁶")</f>
        <v/>
      </c>
    </row>
    <row r="1420">
      <c r="A1420" t="inlineStr">
        <is>
          <t>27E⁷</t>
        </is>
      </c>
      <c r="B1420" t="inlineStr"/>
      <c r="C1420" t="inlineStr">
        <is>
          <t>108</t>
        </is>
      </c>
      <c r="D1420" t="inlineStr">
        <is>
          <t>1</t>
        </is>
      </c>
      <c r="E1420" t="inlineStr">
        <is>
          <t>36</t>
        </is>
      </c>
      <c r="F1420" t="inlineStr">
        <is>
          <t>0</t>
        </is>
      </c>
      <c r="G1420" t="inlineStr">
        <is>
          <t>0</t>
        </is>
      </c>
      <c r="H1420" t="inlineStr">
        <is>
          <t>9³, 27³</t>
        </is>
      </c>
      <c r="I1420" t="n">
        <v>6</v>
      </c>
      <c r="J1420" t="inlineStr">
        <is>
          <t>3², 6⁵</t>
        </is>
      </c>
      <c r="K1420">
        <f>HYPERLINK("CSG1.html#group9D1", "9D¹")</f>
        <v/>
      </c>
      <c r="L1420">
        <f>HYPERLINK("CSG16.html#group54N16", "54N¹⁶"), =HYPERLINK("CSG19.html#group27B19", "27B¹⁹"), =HYPERLINK("CSG19.html#group27F19", "27F¹⁹"), =HYPERLINK("CSG22.html#group54G22", "54G²²")</f>
        <v/>
      </c>
      <c r="M1420">
        <f>HYPERLINK("CSG0.html#group3B0", "3B⁰"), =HYPERLINK("CSG1.html#group9D1", "9D¹"), =HYPERLINK("CSG0.html#group1A0", "1A⁰"), =HYPERLINK("CSG1.html#group9A1", "9A¹")</f>
        <v/>
      </c>
      <c r="N1420">
        <f>HYPERLINK("CSG16.html#group54N16", "54N¹⁶"), =HYPERLINK("CSG19.html#group27F19", "27F¹⁹"), =HYPERLINK("CSG19.html#group27B19", "27B¹⁹"), =HYPERLINK("CSG22.html#group54G22", "54G²²")</f>
        <v/>
      </c>
    </row>
    <row r="1421">
      <c r="A1421" t="inlineStr">
        <is>
          <t>27F⁷</t>
        </is>
      </c>
      <c r="B1421" t="inlineStr"/>
      <c r="C1421" t="inlineStr">
        <is>
          <t>162</t>
        </is>
      </c>
      <c r="D1421" t="inlineStr">
        <is>
          <t>1</t>
        </is>
      </c>
      <c r="E1421" t="inlineStr">
        <is>
          <t>18</t>
        </is>
      </c>
      <c r="F1421" t="inlineStr">
        <is>
          <t>18</t>
        </is>
      </c>
      <c r="G1421" t="inlineStr">
        <is>
          <t>0</t>
        </is>
      </c>
      <c r="H1421" t="inlineStr">
        <is>
          <t>27⁶</t>
        </is>
      </c>
      <c r="I1421" t="n">
        <v>6</v>
      </c>
      <c r="J1421" t="inlineStr">
        <is>
          <t>1¹, 2¹, 3¹, 6²</t>
        </is>
      </c>
      <c r="K1421">
        <f>HYPERLINK("CSG1.html#group9E1", "9E¹")</f>
        <v/>
      </c>
      <c r="L1421">
        <f>HYPERLINK("CSG16.html#group54Q16", "54Q¹⁶"), =HYPERLINK("CSG22.html#group27A22", "27A²²")</f>
        <v/>
      </c>
      <c r="M1421">
        <f>HYPERLINK("CSG0.html#group3C0", "3C⁰"), =HYPERLINK("CSG1.html#group9E1", "9E¹"), =HYPERLINK("CSG0.html#group9D0", "9D⁰"), =HYPERLINK("CSG0.html#group9E0", "9E⁰"), =HYPERLINK("CSG0.html#group3A0", "3A⁰"), =HYPERLINK("CSG0.html#group1A0", "1A⁰"), =HYPERLINK("CSG0.html#group9A0", "9A⁰")</f>
        <v/>
      </c>
      <c r="N1421">
        <f>HYPERLINK("CSG22.html#group27A22", "27A²²"), =HYPERLINK("CSG16.html#group54Q16", "54Q¹⁶")</f>
        <v/>
      </c>
    </row>
    <row r="1422">
      <c r="A1422" t="inlineStr">
        <is>
          <t>27G⁷</t>
        </is>
      </c>
      <c r="B1422" t="inlineStr"/>
      <c r="C1422" t="inlineStr">
        <is>
          <t>162</t>
        </is>
      </c>
      <c r="D1422" t="inlineStr">
        <is>
          <t>1</t>
        </is>
      </c>
      <c r="E1422" t="inlineStr">
        <is>
          <t>162</t>
        </is>
      </c>
      <c r="F1422" t="inlineStr">
        <is>
          <t>6</t>
        </is>
      </c>
      <c r="G1422" t="inlineStr">
        <is>
          <t>0</t>
        </is>
      </c>
      <c r="H1422" t="inlineStr">
        <is>
          <t>9⁹, 27³</t>
        </is>
      </c>
      <c r="I1422" t="n">
        <v>12</v>
      </c>
      <c r="J1422" t="inlineStr">
        <is>
          <t>1¹, 2⁴, 6³, 9¹, 18⁷</t>
        </is>
      </c>
      <c r="K1422">
        <f>HYPERLINK("CSG1.html#group9E1", "9E¹")</f>
        <v/>
      </c>
      <c r="L1422">
        <f>HYPERLINK("CSG16.html#group27B16", "27B¹⁶"), =HYPERLINK("CSG19.html#group54A19", "54A¹⁹"), =HYPERLINK("CSG22.html#group27C22", "27C²²"), =HYPERLINK("CSG22.html#group54I22", "54I²²")</f>
        <v/>
      </c>
      <c r="M1422">
        <f>HYPERLINK("CSG0.html#group3C0", "3C⁰"), =HYPERLINK("CSG1.html#group9E1", "9E¹"), =HYPERLINK("CSG0.html#group9D0", "9D⁰"), =HYPERLINK("CSG0.html#group9E0", "9E⁰"), =HYPERLINK("CSG0.html#group3A0", "3A⁰"), =HYPERLINK("CSG0.html#group1A0", "1A⁰"), =HYPERLINK("CSG0.html#group9A0", "9A⁰")</f>
        <v/>
      </c>
      <c r="N1422">
        <f>HYPERLINK("CSG22.html#group54I22", "54I²²"), =HYPERLINK("CSG22.html#group27C22", "27C²²"), =HYPERLINK("CSG19.html#group54A19", "54A¹⁹"), =HYPERLINK("CSG16.html#group27B16", "27B¹⁶")</f>
        <v/>
      </c>
    </row>
    <row r="1423">
      <c r="A1423" t="inlineStr">
        <is>
          <t>27H⁷</t>
        </is>
      </c>
      <c r="B1423" t="inlineStr"/>
      <c r="C1423" t="inlineStr">
        <is>
          <t>162</t>
        </is>
      </c>
      <c r="D1423" t="inlineStr">
        <is>
          <t>2</t>
        </is>
      </c>
      <c r="E1423" t="inlineStr">
        <is>
          <t>9</t>
        </is>
      </c>
      <c r="F1423" t="inlineStr">
        <is>
          <t>18</t>
        </is>
      </c>
      <c r="G1423" t="inlineStr">
        <is>
          <t>0</t>
        </is>
      </c>
      <c r="H1423" t="inlineStr">
        <is>
          <t>27⁶</t>
        </is>
      </c>
      <c r="I1423" t="n">
        <v>6</v>
      </c>
      <c r="J1423" t="inlineStr">
        <is>
          <t>2³, 6²</t>
        </is>
      </c>
      <c r="K1423">
        <f>HYPERLINK("CSG1.html#group9F1", "9F¹"), =HYPERLINK("CSG3.html#group27B3", "27B³")</f>
        <v/>
      </c>
      <c r="L1423">
        <f>HYPERLINK("CSG16.html#group54V16", "54V¹⁶"), =HYPERLINK("CSG22.html#group27B22", "27B²²")</f>
        <v/>
      </c>
      <c r="M1423">
        <f>HYPERLINK("CSG0.html#group9D0", "9D⁰"), =HYPERLINK("CSG0.html#group9G0", "9G⁰"), =HYPERLINK("CSG0.html#group9A0", "9A⁰"), =HYPERLINK("CSG3.html#group27B3", "27B³"), =HYPERLINK("CSG0.html#group3C0", "3C⁰"), =HYPERLINK("CSG0.html#group3A0", "3A⁰"), =HYPERLINK("CSG0.html#group1A0", "1A⁰"), =HYPERLINK("CSG1.html#group9B1", "9B¹"), =HYPERLINK("CSG1.html#group9F1", "9F¹")</f>
        <v/>
      </c>
      <c r="N1423">
        <f>HYPERLINK("CSG16.html#group54V16", "54V¹⁶"), =HYPERLINK("CSG22.html#group27B22", "27B²²")</f>
        <v/>
      </c>
    </row>
    <row r="1424">
      <c r="A1424" t="inlineStr">
        <is>
          <t>28A⁷</t>
        </is>
      </c>
      <c r="B1424" t="inlineStr"/>
      <c r="C1424" t="inlineStr">
        <is>
          <t>112</t>
        </is>
      </c>
      <c r="D1424" t="inlineStr">
        <is>
          <t>2</t>
        </is>
      </c>
      <c r="E1424" t="inlineStr">
        <is>
          <t>28</t>
        </is>
      </c>
      <c r="F1424" t="inlineStr">
        <is>
          <t>0</t>
        </is>
      </c>
      <c r="G1424" t="inlineStr">
        <is>
          <t>4</t>
        </is>
      </c>
      <c r="H1424" t="inlineStr">
        <is>
          <t>28⁴</t>
        </is>
      </c>
      <c r="I1424" t="n">
        <v>4</v>
      </c>
      <c r="J1424" t="inlineStr">
        <is>
          <t>4², 12⁴</t>
        </is>
      </c>
      <c r="K1424">
        <f>HYPERLINK("CSG1.html#group14D1", "14D¹"), =HYPERLINK("CSG2.html#group28E2", "28E²"), =HYPERLINK("CSG3.html#group28D3", "28D³"), =HYPERLINK("CSG4.html#group28A4", "28A⁴")</f>
        <v/>
      </c>
      <c r="L1424">
        <f>HYPERLINK("CSG15.html#group56A15", "56A¹⁵"), =HYPERLINK("CSG21.html#group28K21", "28K²¹"), =HYPERLINK("CSG23.html#group28C23", "28C²³"), =HYPERLINK("CSG23.html#group28D23", "28D²³")</f>
        <v/>
      </c>
      <c r="M1424">
        <f>HYPERLINK("CSG3.html#group28D3", "28D³"), =HYPERLINK("CSG2.html#group28E2", "28E²"), =HYPERLINK("CSG0.html#group2A0", "2A⁰"), =HYPERLINK("CSG0.html#group14A0", "14A⁰"), =HYPERLINK("CSG0.html#group4A0", "4A⁰"), =HYPERLINK("CSG4.html#group28A4", "28A⁴"), =HYPERLINK("CSG0.html#group7C0", "7C⁰"), =HYPERLINK("CSG1.html#group14A1", "14A¹"), =HYPERLINK("CSG0.html#group4D0", "4D⁰"), =HYPERLINK("CSG0.html#group1A0", "1A⁰"), =HYPERLINK("CSG1.html#group28A1", "28A¹"), =HYPERLINK("CSG1.html#group14D1", "14D¹"), =HYPERLINK("CSG0.html#group7A0", "7A⁰")</f>
        <v/>
      </c>
      <c r="N1424">
        <f>HYPERLINK("CSG23.html#group28D23", "28D²³"), =HYPERLINK("CSG21.html#group28K21", "28K²¹"), =HYPERLINK("CSG23.html#group28C23", "28C²³"), =HYPERLINK("CSG15.html#group56A15", "56A¹⁵")</f>
        <v/>
      </c>
    </row>
    <row r="1425">
      <c r="A1425" t="inlineStr">
        <is>
          <t>28B⁷</t>
        </is>
      </c>
      <c r="B1425" t="inlineStr"/>
      <c r="C1425" t="inlineStr">
        <is>
          <t>126</t>
        </is>
      </c>
      <c r="D1425" t="inlineStr">
        <is>
          <t>1</t>
        </is>
      </c>
      <c r="E1425" t="inlineStr">
        <is>
          <t>63</t>
        </is>
      </c>
      <c r="F1425" t="inlineStr">
        <is>
          <t>0</t>
        </is>
      </c>
      <c r="G1425" t="inlineStr">
        <is>
          <t>0</t>
        </is>
      </c>
      <c r="H1425" t="inlineStr">
        <is>
          <t>7⁶, 28³</t>
        </is>
      </c>
      <c r="I1425" t="n">
        <v>9</v>
      </c>
      <c r="J1425" t="inlineStr">
        <is>
          <t>3³, 6⁹</t>
        </is>
      </c>
      <c r="K1425">
        <f>HYPERLINK("CSG2.html#group14F2", "14F²"), =HYPERLINK("CSG3.html#group28A3", "28A³")</f>
        <v/>
      </c>
      <c r="L1425">
        <f>HYPERLINK("CSG13.html#group28C13", "28C¹³"), =HYPERLINK("CSG13.html#group28D13", "28D¹³"), =HYPERLINK("CSG16.html#group28A16", "28A¹⁶"), =HYPERLINK("CSG16.html#group28C16", "28C¹⁶"), =HYPERLINK("CSG16.html#group28E16", "28E¹⁶"), =HYPERLINK("CSG16.html#group56A16", "56A¹⁶"), =HYPERLINK("CSG16.html#group56B16", "56B¹⁶"), =HYPERLINK("CSG16.html#group56D16", "56D¹⁶")</f>
        <v/>
      </c>
      <c r="M1425">
        <f>HYPERLINK("CSG0.html#group7D0", "7D⁰"), =HYPERLINK("CSG1.html#group14B1", "14B¹"), =HYPERLINK("CSG2.html#group14F2", "14F²"), =HYPERLINK("CSG3.html#group28A3", "28A³"), =HYPERLINK("CSG0.html#group2B0", "2B⁰"), =HYPERLINK("CSG0.html#group4B0", "4B⁰"), =HYPERLINK("CSG0.html#group1A0", "1A⁰"), =HYPERLINK("CSG0.html#group7A0", "7A⁰")</f>
        <v/>
      </c>
      <c r="N1425">
        <f>HYPERLINK("CSG16.html#group28E16", "28E¹⁶"), =HYPERLINK("CSG13.html#group28C13", "28C¹³"), =HYPERLINK("CSG16.html#group56D16", "56D¹⁶"), =HYPERLINK("CSG16.html#group56A16", "56A¹⁶"), =HYPERLINK("CSG16.html#group28A16", "28A¹⁶"), =HYPERLINK("CSG16.html#group28C16", "28C¹⁶"), =HYPERLINK("CSG13.html#group28D13", "28D¹³"), =HYPERLINK("CSG16.html#group56B16", "56B¹⁶")</f>
        <v/>
      </c>
    </row>
    <row r="1426">
      <c r="A1426" t="inlineStr">
        <is>
          <t>28C⁷</t>
        </is>
      </c>
      <c r="B1426" t="inlineStr"/>
      <c r="C1426" t="inlineStr">
        <is>
          <t>126</t>
        </is>
      </c>
      <c r="D1426" t="inlineStr">
        <is>
          <t>2</t>
        </is>
      </c>
      <c r="E1426" t="inlineStr">
        <is>
          <t>63</t>
        </is>
      </c>
      <c r="F1426" t="inlineStr">
        <is>
          <t>6</t>
        </is>
      </c>
      <c r="G1426" t="inlineStr">
        <is>
          <t>0</t>
        </is>
      </c>
      <c r="H1426" t="inlineStr">
        <is>
          <t>14³, 28³</t>
        </is>
      </c>
      <c r="I1426" t="n">
        <v>6</v>
      </c>
      <c r="J1426" t="inlineStr">
        <is>
          <t>6²¹</t>
        </is>
      </c>
      <c r="K1426">
        <f>HYPERLINK("CSG2.html#group14F2", "14F²"), =HYPERLINK("CSG3.html#group28B3", "28B³")</f>
        <v/>
      </c>
      <c r="L1426">
        <f>HYPERLINK("CSG13.html#group28E13", "28E¹³"), =HYPERLINK("CSG14.html#group28A14", "28A¹⁴"), =HYPERLINK("CSG14.html#group28B14", "28B¹⁴"), =HYPERLINK("CSG15.html#group28C15", "28C¹⁵"), =HYPERLINK("CSG15.html#group28G15", "28G¹⁵"), =HYPERLINK("CSG16.html#group28E16", "28E¹⁶"), =HYPERLINK("CSG16.html#group28F16", "28F¹⁶")</f>
        <v/>
      </c>
      <c r="M1426">
        <f>HYPERLINK("CSG2.html#group14F2", "14F²"), =HYPERLINK("CSG0.html#group2B0", "2B⁰"), =HYPERLINK("CSG3.html#group28B3", "28B³"), =HYPERLINK("CSG0.html#group7D0", "7D⁰"), =HYPERLINK("CSG1.html#group14B1", "14B¹"), =HYPERLINK("CSG0.html#group1A0", "1A⁰"), =HYPERLINK("CSG0.html#group7A0", "7A⁰")</f>
        <v/>
      </c>
      <c r="N1426">
        <f>HYPERLINK("CSG13.html#group28E13", "28E¹³"), =HYPERLINK("CSG15.html#group28G15", "28G¹⁵"), =HYPERLINK("CSG16.html#group28F16", "28F¹⁶"), =HYPERLINK("CSG16.html#group28E16", "28E¹⁶"), =HYPERLINK("CSG15.html#group28C15", "28C¹⁵"), =HYPERLINK("CSG14.html#group28A14", "28A¹⁴"), =HYPERLINK("CSG14.html#group28B14", "28B¹⁴")</f>
        <v/>
      </c>
    </row>
    <row r="1427">
      <c r="A1427" t="inlineStr">
        <is>
          <t>28D⁷</t>
        </is>
      </c>
      <c r="B1427" t="inlineStr"/>
      <c r="C1427" t="inlineStr">
        <is>
          <t>144</t>
        </is>
      </c>
      <c r="D1427" t="inlineStr">
        <is>
          <t>1</t>
        </is>
      </c>
      <c r="E1427" t="inlineStr">
        <is>
          <t>24</t>
        </is>
      </c>
      <c r="F1427" t="inlineStr">
        <is>
          <t>0</t>
        </is>
      </c>
      <c r="G1427" t="inlineStr">
        <is>
          <t>0</t>
        </is>
      </c>
      <c r="H1427" t="inlineStr">
        <is>
          <t>2³, 4³, 14³, 28³</t>
        </is>
      </c>
      <c r="I1427" t="n">
        <v>12</v>
      </c>
      <c r="J1427" t="inlineStr">
        <is>
          <t>1⁶, 6³</t>
        </is>
      </c>
      <c r="K1427">
        <f>HYPERLINK("CSG1.html#group14H1", "14H¹"), =HYPERLINK("CSG3.html#group28C3", "28C³")</f>
        <v/>
      </c>
      <c r="L1427">
        <f>HYPERLINK("CSG13.html#group28F13", "28F¹³"), =HYPERLINK("CSG16.html#group28H16", "28H¹⁶"), =HYPERLINK("CSG16.html#group56F16", "56F¹⁶"), =HYPERLINK("CSG19.html#group56B19", "56B¹⁹"), =HYPERLINK("CSG19.html#group56C19", "56C¹⁹")</f>
        <v/>
      </c>
      <c r="M1427">
        <f>HYPERLINK("CSG0.html#group7B0", "7B⁰"), =HYPERLINK("CSG0.html#group4C0", "4C⁰"), =HYPERLINK("CSG1.html#group14H1", "14H¹"), =HYPERLINK("CSG1.html#group14C1", "14C¹"), =HYPERLINK("CSG0.html#group2B0", "2B⁰"), =HYPERLINK("CSG0.html#group7E0", "7E⁰"), =HYPERLINK("CSG3.html#group28C3", "28C³"), =HYPERLINK("CSG0.html#group1A0", "1A⁰")</f>
        <v/>
      </c>
      <c r="N1427">
        <f>HYPERLINK("CSG16.html#group56F16", "56F¹⁶"), =HYPERLINK("CSG13.html#group28F13", "28F¹³"), =HYPERLINK("CSG19.html#group56C19", "56C¹⁹"), =HYPERLINK("CSG16.html#group28H16", "28H¹⁶"), =HYPERLINK("CSG19.html#group56B19", "56B¹⁹")</f>
        <v/>
      </c>
    </row>
    <row r="1428">
      <c r="A1428" t="inlineStr">
        <is>
          <t>28E⁷</t>
        </is>
      </c>
      <c r="B1428" t="inlineStr"/>
      <c r="C1428" t="inlineStr">
        <is>
          <t>168</t>
        </is>
      </c>
      <c r="D1428" t="inlineStr">
        <is>
          <t>1</t>
        </is>
      </c>
      <c r="E1428" t="inlineStr">
        <is>
          <t>84</t>
        </is>
      </c>
      <c r="F1428" t="inlineStr">
        <is>
          <t>8</t>
        </is>
      </c>
      <c r="G1428" t="inlineStr">
        <is>
          <t>0</t>
        </is>
      </c>
      <c r="H1428" t="inlineStr">
        <is>
          <t>7⁸, 28⁴</t>
        </is>
      </c>
      <c r="I1428" t="n">
        <v>12</v>
      </c>
      <c r="J1428" t="inlineStr">
        <is>
          <t>1³, 3³, 6¹²</t>
        </is>
      </c>
      <c r="K1428">
        <f>HYPERLINK("CSG2.html#group28B2", "28B²"), =HYPERLINK("CSG3.html#group14D3", "14D³")</f>
        <v/>
      </c>
      <c r="L1428">
        <f>HYPERLINK("CSG17.html#group28A17", "28A¹⁷"), =HYPERLINK("CSG17.html#group28D17", "28D¹⁷"), =HYPERLINK("CSG17.html#group56E17", "56E¹⁷"), =HYPERLINK("CSG17.html#group56F17", "56F¹⁷"), =HYPERLINK("CSG21.html#group28C21", "28C²¹"), =HYPERLINK("CSG21.html#group56A21", "56A²¹"), =HYPERLINK("CSG21.html#group56B21", "56B²¹"), =HYPERLINK("CSG23.html#group28E23", "28E²³")</f>
        <v/>
      </c>
      <c r="M1428">
        <f>HYPERLINK("CSG1.html#group14B1", "14B¹"), =HYPERLINK("CSG0.html#group7F0", "7F⁰"), =HYPERLINK("CSG0.html#group2B0", "2B⁰"), =HYPERLINK("CSG0.html#group1A0", "1A⁰"), =HYPERLINK("CSG2.html#group28B2", "28B²"), =HYPERLINK("CSG0.html#group7A0", "7A⁰"), =HYPERLINK("CSG3.html#group14D3", "14D³")</f>
        <v/>
      </c>
      <c r="N1428">
        <f>HYPERLINK("CSG21.html#group56A21", "56A²¹"), =HYPERLINK("CSG17.html#group56E17", "56E¹⁷"), =HYPERLINK("CSG21.html#group56B21", "56B²¹"), =HYPERLINK("CSG17.html#group28A17", "28A¹⁷"), =HYPERLINK("CSG23.html#group28E23", "28E²³"), =HYPERLINK("CSG17.html#group28D17", "28D¹⁷"), =HYPERLINK("CSG17.html#group56F17", "56F¹⁷"), =HYPERLINK("CSG21.html#group28C21", "28C²¹")</f>
        <v/>
      </c>
    </row>
    <row r="1429">
      <c r="A1429" t="inlineStr">
        <is>
          <t>30A⁷</t>
        </is>
      </c>
      <c r="B1429" t="inlineStr"/>
      <c r="C1429" t="inlineStr">
        <is>
          <t>90</t>
        </is>
      </c>
      <c r="D1429" t="inlineStr">
        <is>
          <t>1</t>
        </is>
      </c>
      <c r="E1429" t="inlineStr">
        <is>
          <t>5</t>
        </is>
      </c>
      <c r="F1429" t="inlineStr">
        <is>
          <t>0</t>
        </is>
      </c>
      <c r="G1429" t="inlineStr">
        <is>
          <t>0</t>
        </is>
      </c>
      <c r="H1429" t="inlineStr">
        <is>
          <t>30³</t>
        </is>
      </c>
      <c r="I1429" t="n">
        <v>3</v>
      </c>
      <c r="J1429" t="inlineStr">
        <is>
          <t>1¹, 4¹</t>
        </is>
      </c>
      <c r="K1429">
        <f>HYPERLINK("CSG1.html#group15F1", "15F¹"), =HYPERLINK("CSG1.html#group30B1", "30B¹"), =HYPERLINK("CSG2.html#group10A2", "10A²"), =HYPERLINK("CSG3.html#group30A3", "30A³")</f>
        <v/>
      </c>
      <c r="L1429">
        <f>HYPERLINK("CSG13.html#group30B13", "30B¹³"), =HYPERLINK("CSG13.html#group30D13", "30D¹³"), =HYPERLINK("CSG13.html#group30G13", "30G¹³"), =HYPERLINK("CSG19.html#group30A19", "30A¹⁹"), =HYPERLINK("CSG22.html#group90A22", "90A²²")</f>
        <v/>
      </c>
      <c r="M1429">
        <f>HYPERLINK("CSG0.html#group2A0", "2A⁰"), =HYPERLINK("CSG3.html#group30A3", "30A³"), =HYPERLINK("CSG0.html#group5A0", "5A⁰"), =HYPERLINK("CSG2.html#group10A2", "10A²"), =HYPERLINK("CSG0.html#group10A0", "10A⁰"), =HYPERLINK("CSG1.html#group30B1", "30B¹"), =HYPERLINK("CSG1.html#group15F1", "15F¹"), =HYPERLINK("CSG0.html#group5E0", "5E⁰"), =HYPERLINK("CSG1.html#group6A1", "6A¹"), =HYPERLINK("CSG0.html#group3A0", "3A⁰"), =HYPERLINK("CSG0.html#group1A0", "1A⁰"), =HYPERLINK("CSG1.html#group15A1", "15A¹"), =HYPERLINK("CSG0.html#group15A0", "15A⁰")</f>
        <v/>
      </c>
      <c r="N1429">
        <f>HYPERLINK("CSG13.html#group30B13", "30B¹³"), =HYPERLINK("CSG13.html#group30D13", "30D¹³"), =HYPERLINK("CSG13.html#group30G13", "30G¹³"), =HYPERLINK("CSG22.html#group90A22", "90A²²"), =HYPERLINK("CSG19.html#group30A19", "30A¹⁹")</f>
        <v/>
      </c>
    </row>
    <row r="1430">
      <c r="A1430" t="inlineStr">
        <is>
          <t>30B⁷</t>
        </is>
      </c>
      <c r="B1430" t="inlineStr"/>
      <c r="C1430" t="inlineStr">
        <is>
          <t>90</t>
        </is>
      </c>
      <c r="D1430" t="inlineStr">
        <is>
          <t>1</t>
        </is>
      </c>
      <c r="E1430" t="inlineStr">
        <is>
          <t>5</t>
        </is>
      </c>
      <c r="F1430" t="inlineStr">
        <is>
          <t>0</t>
        </is>
      </c>
      <c r="G1430" t="inlineStr">
        <is>
          <t>0</t>
        </is>
      </c>
      <c r="H1430" t="inlineStr">
        <is>
          <t>30³</t>
        </is>
      </c>
      <c r="I1430" t="n">
        <v>3</v>
      </c>
      <c r="J1430" t="inlineStr">
        <is>
          <t>1¹, 4¹</t>
        </is>
      </c>
      <c r="K1430">
        <f>HYPERLINK("CSG1.html#group6C1", "6C¹"), =HYPERLINK("CSG1.html#group30A1", "30A¹"), =HYPERLINK("CSG2.html#group10B2", "10B²"), =HYPERLINK("CSG3.html#group30A3", "30A³"), =HYPERLINK("CSG3.html#group30D3", "30D³")</f>
        <v/>
      </c>
      <c r="L1430">
        <f>HYPERLINK("CSG13.html#group30C13", "30C¹³"), =HYPERLINK("CSG14.html#group60A14", "60A¹⁴"), =HYPERLINK("CSG14.html#group60E14", "60E¹⁴"), =HYPERLINK("CSG19.html#group30A19", "30A¹⁹"), =HYPERLINK("CSG22.html#group90B22", "90B²²")</f>
        <v/>
      </c>
      <c r="M1430">
        <f>HYPERLINK("CSG0.html#group2A0", "2A⁰"), =HYPERLINK("CSG3.html#group30A3", "30A³"), =HYPERLINK("CSG0.html#group5A0", "5A⁰"), =HYPERLINK("CSG1.html#group15A1", "15A¹"), =HYPERLINK("CSG1.html#group10B1", "10B¹"), =HYPERLINK("CSG1.html#group6C1", "6C¹"), =HYPERLINK("CSG0.html#group2B0", "2B⁰"), =HYPERLINK("CSG2.html#group10B2", "10B²"), =HYPERLINK("CSG0.html#group1A0", "1A⁰"), =HYPERLINK("CSG3.html#group30D3", "30D³"), =HYPERLINK("CSG1.html#group30A1", "30A¹"), =HYPERLINK("CSG0.html#group10A0", "10A⁰"), =HYPERLINK("CSG0.html#group6A0", "6A⁰"), =HYPERLINK("CSG1.html#group6A1", "6A¹"), =HYPERLINK("CSG0.html#group3A0", "3A⁰"), =HYPERLINK("CSG0.html#group2C0", "2C⁰"), =HYPERLINK("CSG0.html#group6D0", "6D⁰")</f>
        <v/>
      </c>
      <c r="N1430">
        <f>HYPERLINK("CSG22.html#group90B22", "90B²²"), =HYPERLINK("CSG14.html#group60E14", "60E¹⁴"), =HYPERLINK("CSG14.html#group60A14", "60A¹⁴"), =HYPERLINK("CSG19.html#group30A19", "30A¹⁹"), =HYPERLINK("CSG13.html#group30C13", "30C¹³")</f>
        <v/>
      </c>
    </row>
    <row r="1431">
      <c r="A1431" t="inlineStr">
        <is>
          <t>30C⁷</t>
        </is>
      </c>
      <c r="B1431" t="inlineStr"/>
      <c r="C1431" t="inlineStr">
        <is>
          <t>90</t>
        </is>
      </c>
      <c r="D1431" t="inlineStr">
        <is>
          <t>1</t>
        </is>
      </c>
      <c r="E1431" t="inlineStr">
        <is>
          <t>10</t>
        </is>
      </c>
      <c r="F1431" t="inlineStr">
        <is>
          <t>0</t>
        </is>
      </c>
      <c r="G1431" t="inlineStr">
        <is>
          <t>0</t>
        </is>
      </c>
      <c r="H1431" t="inlineStr">
        <is>
          <t>30³</t>
        </is>
      </c>
      <c r="I1431" t="n">
        <v>3</v>
      </c>
      <c r="J1431" t="inlineStr">
        <is>
          <t>2¹, 8¹</t>
        </is>
      </c>
      <c r="K1431">
        <f>HYPERLINK("CSG1.html#group30A1", "30A¹"), =HYPERLINK("CSG2.html#group10A2", "10A²"), =HYPERLINK("CSG2.html#group30B2", "30B²")</f>
        <v/>
      </c>
      <c r="L1431">
        <f>HYPERLINK("CSG13.html#group30E13", "30E¹³"), =HYPERLINK("CSG19.html#group30A19", "30A¹⁹")</f>
        <v/>
      </c>
      <c r="M1431">
        <f>HYPERLINK("CSG0.html#group2A0", "2A⁰"), =HYPERLINK("CSG2.html#group30B2", "30B²"), =HYPERLINK("CSG1.html#group30A1", "30A¹"), =HYPERLINK("CSG0.html#group5A0", "5A⁰"), =HYPERLINK("CSG2.html#group10A2", "10A²"), =HYPERLINK("CSG0.html#group10A0", "10A⁰"), =HYPERLINK("CSG0.html#group6A0", "6A⁰"), =HYPERLINK("CSG0.html#group5E0", "5E⁰"), =HYPERLINK("CSG0.html#group1A0", "1A⁰")</f>
        <v/>
      </c>
      <c r="N1431">
        <f>HYPERLINK("CSG13.html#group30E13", "30E¹³"), =HYPERLINK("CSG19.html#group30A19", "30A¹⁹")</f>
        <v/>
      </c>
    </row>
    <row r="1432">
      <c r="A1432" t="inlineStr">
        <is>
          <t>30D⁷</t>
        </is>
      </c>
      <c r="B1432" t="inlineStr"/>
      <c r="C1432" t="inlineStr">
        <is>
          <t>90</t>
        </is>
      </c>
      <c r="D1432" t="inlineStr">
        <is>
          <t>1</t>
        </is>
      </c>
      <c r="E1432" t="inlineStr">
        <is>
          <t>10</t>
        </is>
      </c>
      <c r="F1432" t="inlineStr">
        <is>
          <t>0</t>
        </is>
      </c>
      <c r="G1432" t="inlineStr">
        <is>
          <t>0</t>
        </is>
      </c>
      <c r="H1432" t="inlineStr">
        <is>
          <t>30³</t>
        </is>
      </c>
      <c r="I1432" t="n">
        <v>3</v>
      </c>
      <c r="J1432" t="inlineStr">
        <is>
          <t>2¹, 4²</t>
        </is>
      </c>
      <c r="K1432">
        <f>HYPERLINK("CSG0.html#group10E0", "10E⁰"), =HYPERLINK("CSG2.html#group30B2", "30B²"), =HYPERLINK("CSG3.html#group30A3", "30A³")</f>
        <v/>
      </c>
      <c r="L1432">
        <f>HYPERLINK("CSG13.html#group30F13", "30F¹³"), =HYPERLINK("CSG19.html#group30A19", "30A¹⁹"), =HYPERLINK("CSG22.html#group90C22", "90C²²")</f>
        <v/>
      </c>
      <c r="M1432">
        <f>HYPERLINK("CSG0.html#group2A0", "2A⁰"), =HYPERLINK("CSG2.html#group30B2", "30B²"), =HYPERLINK("CSG3.html#group30A3", "30A³"), =HYPERLINK("CSG0.html#group5A0", "5A⁰"), =HYPERLINK("CSG0.html#group10A0", "10A⁰"), =HYPERLINK("CSG0.html#group10E0", "10E⁰"), =HYPERLINK("CSG1.html#group6A1", "6A¹"), =HYPERLINK("CSG0.html#group3A0", "3A⁰"), =HYPERLINK("CSG0.html#group1A0", "1A⁰"), =HYPERLINK("CSG1.html#group15A1", "15A¹")</f>
        <v/>
      </c>
      <c r="N1432">
        <f>HYPERLINK("CSG13.html#group30F13", "30F¹³"), =HYPERLINK("CSG19.html#group30A19", "30A¹⁹"), =HYPERLINK("CSG22.html#group90C22", "90C²²")</f>
        <v/>
      </c>
    </row>
    <row r="1433">
      <c r="A1433" t="inlineStr">
        <is>
          <t>30E⁷</t>
        </is>
      </c>
      <c r="B1433" t="inlineStr"/>
      <c r="C1433" t="inlineStr">
        <is>
          <t>90</t>
        </is>
      </c>
      <c r="D1433" t="inlineStr">
        <is>
          <t>2</t>
        </is>
      </c>
      <c r="E1433" t="inlineStr">
        <is>
          <t>5</t>
        </is>
      </c>
      <c r="F1433" t="inlineStr">
        <is>
          <t>0</t>
        </is>
      </c>
      <c r="G1433" t="inlineStr">
        <is>
          <t>0</t>
        </is>
      </c>
      <c r="H1433" t="inlineStr">
        <is>
          <t>30³</t>
        </is>
      </c>
      <c r="I1433" t="n">
        <v>3</v>
      </c>
      <c r="J1433" t="inlineStr">
        <is>
          <t>2¹, 8¹</t>
        </is>
      </c>
      <c r="K1433">
        <f>HYPERLINK("CSG1.html#group30B1", "30B¹"), =HYPERLINK("CSG2.html#group10B2", "10B²"), =HYPERLINK("CSG2.html#group30B2", "30B²"), =HYPERLINK("CSG3.html#group30E3", "30E³")</f>
        <v/>
      </c>
      <c r="L1433">
        <f>HYPERLINK("CSG14.html#group60F14", "60F¹⁴"), =HYPERLINK("CSG19.html#group30A19", "30A¹⁹")</f>
        <v/>
      </c>
      <c r="M1433">
        <f>HYPERLINK("CSG0.html#group2A0", "2A⁰"), =HYPERLINK("CSG2.html#group30B2", "30B²"), =HYPERLINK("CSG0.html#group5A0", "5A⁰"), =HYPERLINK("CSG0.html#group10A0", "10A⁰"), =HYPERLINK("CSG3.html#group30E3", "30E³"), =HYPERLINK("CSG1.html#group30B1", "30B¹"), =HYPERLINK("CSG1.html#group10B1", "10B¹"), =HYPERLINK("CSG0.html#group2B0", "2B⁰"), =HYPERLINK("CSG2.html#group10B2", "10B²"), =HYPERLINK("CSG0.html#group1A0", "1A⁰"), =HYPERLINK("CSG0.html#group2C0", "2C⁰"), =HYPERLINK("CSG0.html#group15A0", "15A⁰")</f>
        <v/>
      </c>
      <c r="N1433">
        <f>HYPERLINK("CSG19.html#group30A19", "30A¹⁹"), =HYPERLINK("CSG14.html#group60F14", "60F¹⁴")</f>
        <v/>
      </c>
    </row>
    <row r="1434">
      <c r="A1434" t="inlineStr">
        <is>
          <t>30F⁷</t>
        </is>
      </c>
      <c r="B1434" t="inlineStr"/>
      <c r="C1434" t="inlineStr">
        <is>
          <t>108</t>
        </is>
      </c>
      <c r="D1434" t="inlineStr">
        <is>
          <t>1</t>
        </is>
      </c>
      <c r="E1434" t="inlineStr">
        <is>
          <t>6</t>
        </is>
      </c>
      <c r="F1434" t="inlineStr">
        <is>
          <t>0</t>
        </is>
      </c>
      <c r="G1434" t="inlineStr">
        <is>
          <t>0</t>
        </is>
      </c>
      <c r="H1434" t="inlineStr">
        <is>
          <t>6³, 30³</t>
        </is>
      </c>
      <c r="I1434" t="n">
        <v>6</v>
      </c>
      <c r="J1434" t="inlineStr">
        <is>
          <t>1², 4¹</t>
        </is>
      </c>
      <c r="K1434">
        <f>HYPERLINK("CSG1.html#group6C1", "6C¹"), =HYPERLINK("CSG1.html#group10G1", "10G¹"), =HYPERLINK("CSG2.html#group30E2", "30E²"), =HYPERLINK("CSG3.html#group30B3", "30B³"), =HYPERLINK("CSG3.html#group30C3", "30C³")</f>
        <v/>
      </c>
      <c r="L1434">
        <f>HYPERLINK("CSG13.html#group30H13", "30H¹³"), =HYPERLINK("CSG13.html#group30I13", "30I¹³"), =HYPERLINK("CSG13.html#group30J13", "30J¹³"), =HYPERLINK("CSG15.html#group60C15", "60C¹⁵"), =HYPERLINK("CSG15.html#group60D15", "60D¹⁵"), =HYPERLINK("CSG15.html#group60L15", "60L¹⁵"), =HYPERLINK("CSG15.html#group60N15", "60N¹⁵")</f>
        <v/>
      </c>
      <c r="M1434">
        <f>HYPERLINK("CSG0.html#group2A0", "2A⁰"), =HYPERLINK("CSG3.html#group30C3", "30C³"), =HYPERLINK("CSG1.html#group6C1", "6C¹"), =HYPERLINK("CSG0.html#group5B0", "5B⁰"), =HYPERLINK("CSG1.html#group10A1", "10A¹"), =HYPERLINK("CSG0.html#group2B0", "2B⁰"), =HYPERLINK("CSG0.html#group1A0", "1A⁰"), =HYPERLINK("CSG3.html#group30B3", "30B³"), =HYPERLINK("CSG0.html#group15B0", "15B⁰"), =HYPERLINK("CSG2.html#group30E2", "30E²"), =HYPERLINK("CSG0.html#group6A0", "6A⁰"), =HYPERLINK("CSG0.html#group10C0", "10C⁰"), =HYPERLINK("CSG1.html#group6A1", "6A¹"), =HYPERLINK("CSG0.html#group3A0", "3A⁰"), =HYPERLINK("CSG0.html#group2C0", "2C⁰"), =HYPERLINK("CSG0.html#group6D0", "6D⁰"), =HYPERLINK("CSG1.html#group10G1", "10G¹")</f>
        <v/>
      </c>
      <c r="N1434">
        <f>HYPERLINK("CSG15.html#group60C15", "60C¹⁵"), =HYPERLINK("CSG15.html#group60N15", "60N¹⁵"), =HYPERLINK("CSG13.html#group30J13", "30J¹³"), =HYPERLINK("CSG13.html#group30H13", "30H¹³"), =HYPERLINK("CSG15.html#group60L15", "60L¹⁵"), =HYPERLINK("CSG15.html#group60D15", "60D¹⁵"), =HYPERLINK("CSG13.html#group30I13", "30I¹³")</f>
        <v/>
      </c>
    </row>
    <row r="1435">
      <c r="A1435" t="inlineStr">
        <is>
          <t>30G⁷</t>
        </is>
      </c>
      <c r="B1435" t="inlineStr"/>
      <c r="C1435" t="inlineStr">
        <is>
          <t>120</t>
        </is>
      </c>
      <c r="D1435" t="inlineStr">
        <is>
          <t>1</t>
        </is>
      </c>
      <c r="E1435" t="inlineStr">
        <is>
          <t>20</t>
        </is>
      </c>
      <c r="F1435" t="inlineStr">
        <is>
          <t>0</t>
        </is>
      </c>
      <c r="G1435" t="inlineStr">
        <is>
          <t>6</t>
        </is>
      </c>
      <c r="H1435" t="inlineStr">
        <is>
          <t>30⁴</t>
        </is>
      </c>
      <c r="I1435" t="n">
        <v>4</v>
      </c>
      <c r="J1435" t="inlineStr">
        <is>
          <t>4¹, 8²</t>
        </is>
      </c>
      <c r="K1435">
        <f>HYPERLINK("CSG1.html#group10H1", "10H¹"), =HYPERLINK("CSG1.html#group30A1", "30A¹"), =HYPERLINK("CSG4.html#group30B4", "30B⁴")</f>
        <v/>
      </c>
      <c r="L1435">
        <f>HYPERLINK("CSG15.html#group60P15", "60P¹⁵"), =HYPERLINK("CSG22.html#group30B22", "30B²²")</f>
        <v/>
      </c>
      <c r="M1435">
        <f>HYPERLINK("CSG1.html#group10H1", "10H¹"), =HYPERLINK("CSG0.html#group2A0", "2A⁰"), =HYPERLINK("CSG1.html#group30A1", "30A¹"), =HYPERLINK("CSG4.html#group30B4", "30B⁴"), =HYPERLINK("CSG0.html#group5A0", "5A⁰"), =HYPERLINK("CSG0.html#group10A0", "10A⁰"), =HYPERLINK("CSG0.html#group6A0", "6A⁰"), =HYPERLINK("CSG0.html#group10D0", "10D⁰"), =HYPERLINK("CSG0.html#group5F0", "5F⁰"), =HYPERLINK("CSG1.html#group10C1", "10C¹"), =HYPERLINK("CSG0.html#group1A0", "1A⁰"), =HYPERLINK("CSG0.html#group5C0", "5C⁰")</f>
        <v/>
      </c>
      <c r="N1435">
        <f>HYPERLINK("CSG22.html#group30B22", "30B²²"), =HYPERLINK("CSG15.html#group60P15", "60P¹⁵")</f>
        <v/>
      </c>
    </row>
    <row r="1436">
      <c r="A1436" t="inlineStr">
        <is>
          <t>30H⁷</t>
        </is>
      </c>
      <c r="B1436" t="inlineStr"/>
      <c r="C1436" t="inlineStr">
        <is>
          <t>120</t>
        </is>
      </c>
      <c r="D1436" t="inlineStr">
        <is>
          <t>1</t>
        </is>
      </c>
      <c r="E1436" t="inlineStr">
        <is>
          <t>20</t>
        </is>
      </c>
      <c r="F1436" t="inlineStr">
        <is>
          <t>0</t>
        </is>
      </c>
      <c r="G1436" t="inlineStr">
        <is>
          <t>6</t>
        </is>
      </c>
      <c r="H1436" t="inlineStr">
        <is>
          <t>30⁴</t>
        </is>
      </c>
      <c r="I1436" t="n">
        <v>4</v>
      </c>
      <c r="J1436" t="inlineStr">
        <is>
          <t>4¹, 8²</t>
        </is>
      </c>
      <c r="K1436">
        <f>HYPERLINK("CSG1.html#group10H1", "10H¹"), =HYPERLINK("CSG1.html#group30B1", "30B¹"), =HYPERLINK("CSG3.html#group15B3", "15B³")</f>
        <v/>
      </c>
      <c r="L1436">
        <f>HYPERLINK("CSG15.html#group60Q15", "60Q¹⁵"), =HYPERLINK("CSG22.html#group30B22", "30B²²")</f>
        <v/>
      </c>
      <c r="M1436">
        <f>HYPERLINK("CSG1.html#group10H1", "10H¹"), =HYPERLINK("CSG0.html#group2A0", "2A⁰"), =HYPERLINK("CSG0.html#group5A0", "5A⁰"), =HYPERLINK("CSG0.html#group10A0", "10A⁰"), =HYPERLINK("CSG1.html#group30B1", "30B¹"), =HYPERLINK("CSG0.html#group10D0", "10D⁰"), =HYPERLINK("CSG0.html#group5F0", "5F⁰"), =HYPERLINK("CSG1.html#group10C1", "10C¹"), =HYPERLINK("CSG3.html#group15B3", "15B³"), =HYPERLINK("CSG0.html#group1A0", "1A⁰"), =HYPERLINK("CSG0.html#group5C0", "5C⁰"), =HYPERLINK("CSG0.html#group15A0", "15A⁰")</f>
        <v/>
      </c>
      <c r="N1436">
        <f>HYPERLINK("CSG22.html#group30B22", "30B²²"), =HYPERLINK("CSG15.html#group60Q15", "60Q¹⁵")</f>
        <v/>
      </c>
    </row>
    <row r="1437">
      <c r="A1437" t="inlineStr">
        <is>
          <t>30I⁷</t>
        </is>
      </c>
      <c r="B1437" t="inlineStr"/>
      <c r="C1437" t="inlineStr">
        <is>
          <t>120</t>
        </is>
      </c>
      <c r="D1437" t="inlineStr">
        <is>
          <t>1</t>
        </is>
      </c>
      <c r="E1437" t="inlineStr">
        <is>
          <t>30</t>
        </is>
      </c>
      <c r="F1437" t="inlineStr">
        <is>
          <t>8</t>
        </is>
      </c>
      <c r="G1437" t="inlineStr">
        <is>
          <t>0</t>
        </is>
      </c>
      <c r="H1437" t="inlineStr">
        <is>
          <t>30⁴</t>
        </is>
      </c>
      <c r="I1437" t="n">
        <v>4</v>
      </c>
      <c r="J1437" t="inlineStr">
        <is>
          <t>2¹, 4³, 8²</t>
        </is>
      </c>
      <c r="K1437">
        <f>HYPERLINK("CSG0.html#group6E0", "6E⁰"), =HYPERLINK("CSG3.html#group15C3", "15C³"), =HYPERLINK("CSG3.html#group30H3", "30H³")</f>
        <v/>
      </c>
      <c r="L1437">
        <f>HYPERLINK("CSG13.html#group30M13", "30M¹³"), =HYPERLINK("CSG17.html#group30B17", "30B¹⁷"), =HYPERLINK("CSG17.html#group30D17", "30D¹⁷"), =HYPERLINK("CSG17.html#group60C17", "60C¹⁷"), =HYPERLINK("CSG17.html#group60D17", "60D¹⁷"), =HYPERLINK("CSG23.html#group30B23", "30B²³"), =HYPERLINK("CSG23.html#group30G23", "30G²³"), =HYPERLINK("CSG23.html#group90C23", "90C²³")</f>
        <v/>
      </c>
      <c r="M1437">
        <f>HYPERLINK("CSG1.html#group15D1", "15D¹"), =HYPERLINK("CSG0.html#group6B0", "6B⁰"), =HYPERLINK("CSG0.html#group3A0", "3A⁰"), =HYPERLINK("CSG0.html#group6E0", "6E⁰"), =HYPERLINK("CSG0.html#group5C0", "5C⁰"), =HYPERLINK("CSG0.html#group3C0", "3C⁰"), =HYPERLINK("CSG3.html#group15C3", "15C³"), =HYPERLINK("CSG3.html#group30H3", "30H³"), =HYPERLINK("CSG0.html#group1A0", "1A⁰")</f>
        <v/>
      </c>
      <c r="N1437">
        <f>HYPERLINK("CSG13.html#group30M13", "30M¹³"), =HYPERLINK("CSG17.html#group30D17", "30D¹⁷"), =HYPERLINK("CSG17.html#group30B17", "30B¹⁷"), =HYPERLINK("CSG17.html#group60C17", "60C¹⁷"), =HYPERLINK("CSG23.html#group30G23", "30G²³"), =HYPERLINK("CSG23.html#group30B23", "30B²³"), =HYPERLINK("CSG17.html#group60D17", "60D¹⁷"), =HYPERLINK("CSG23.html#group90C23", "90C²³")</f>
        <v/>
      </c>
    </row>
    <row r="1438">
      <c r="A1438" t="inlineStr">
        <is>
          <t>30J⁷</t>
        </is>
      </c>
      <c r="B1438" t="inlineStr"/>
      <c r="C1438" t="inlineStr">
        <is>
          <t>120</t>
        </is>
      </c>
      <c r="D1438" t="inlineStr">
        <is>
          <t>1</t>
        </is>
      </c>
      <c r="E1438" t="inlineStr">
        <is>
          <t>30</t>
        </is>
      </c>
      <c r="F1438" t="inlineStr">
        <is>
          <t>8</t>
        </is>
      </c>
      <c r="G1438" t="inlineStr">
        <is>
          <t>0</t>
        </is>
      </c>
      <c r="H1438" t="inlineStr">
        <is>
          <t>30⁴</t>
        </is>
      </c>
      <c r="I1438" t="n">
        <v>4</v>
      </c>
      <c r="J1438" t="inlineStr">
        <is>
          <t>2¹, 4³, 8²</t>
        </is>
      </c>
      <c r="K1438">
        <f>HYPERLINK("CSG2.html#group30F2", "30F²"), =HYPERLINK("CSG3.html#group15C3", "15C³"), =HYPERLINK("CSG4.html#group30C4", "30C⁴")</f>
        <v/>
      </c>
      <c r="L1438">
        <f>HYPERLINK("CSG13.html#group30M13", "30M¹³"), =HYPERLINK("CSG17.html#group30A17", "30A¹⁷"), =HYPERLINK("CSG17.html#group30E17", "30E¹⁷"), =HYPERLINK("CSG17.html#group60J17", "60J¹⁷"), =HYPERLINK("CSG17.html#group60K17", "60K¹⁷"), =HYPERLINK("CSG23.html#group30C23", "30C²³"), =HYPERLINK("CSG23.html#group30H23", "30H²³"), =HYPERLINK("CSG23.html#group30I23", "30I²³"), =HYPERLINK("CSG23.html#group90D23", "90D²³")</f>
        <v/>
      </c>
      <c r="M1438">
        <f>HYPERLINK("CSG4.html#group30C4", "30C⁴"), =HYPERLINK("CSG1.html#group15D1", "15D¹"), =HYPERLINK("CSG0.html#group10D0", "10D⁰"), =HYPERLINK("CSG0.html#group5C0", "5C⁰"), =HYPERLINK("CSG0.html#group3C0", "3C⁰"), =HYPERLINK("CSG0.html#group1A0", "1A⁰"), =HYPERLINK("CSG3.html#group15C3", "15C³"), =HYPERLINK("CSG0.html#group3A0", "3A⁰"), =HYPERLINK("CSG2.html#group30F2", "30F²")</f>
        <v/>
      </c>
      <c r="N1438">
        <f>HYPERLINK("CSG23.html#group30H23", "30H²³"), =HYPERLINK("CSG13.html#group30M13", "30M¹³"), =HYPERLINK("CSG17.html#group60J17", "60J¹⁷"), =HYPERLINK("CSG23.html#group30I23", "30I²³"), =HYPERLINK("CSG23.html#group30C23", "30C²³"), =HYPERLINK("CSG17.html#group60K17", "60K¹⁷"), =HYPERLINK("CSG17.html#group30A17", "30A¹⁷"), =HYPERLINK("CSG23.html#group90D23", "90D²³"), =HYPERLINK("CSG17.html#group30E17", "30E¹⁷")</f>
        <v/>
      </c>
    </row>
    <row r="1439">
      <c r="A1439" t="inlineStr">
        <is>
          <t>30K⁷</t>
        </is>
      </c>
      <c r="B1439" t="inlineStr"/>
      <c r="C1439" t="inlineStr">
        <is>
          <t>120</t>
        </is>
      </c>
      <c r="D1439" t="inlineStr">
        <is>
          <t>1</t>
        </is>
      </c>
      <c r="E1439" t="inlineStr">
        <is>
          <t>40</t>
        </is>
      </c>
      <c r="F1439" t="inlineStr">
        <is>
          <t>0</t>
        </is>
      </c>
      <c r="G1439" t="inlineStr">
        <is>
          <t>6</t>
        </is>
      </c>
      <c r="H1439" t="inlineStr">
        <is>
          <t>30⁴</t>
        </is>
      </c>
      <c r="I1439" t="n">
        <v>4</v>
      </c>
      <c r="J1439" t="inlineStr">
        <is>
          <t>2⁴, 8⁴</t>
        </is>
      </c>
      <c r="K1439">
        <f>HYPERLINK("CSG0.html#group6J0", "6J⁰"), =HYPERLINK("CSG1.html#group30A1", "30A¹"), =HYPERLINK("CSG2.html#group30D2", "30D²")</f>
        <v/>
      </c>
      <c r="L1439">
        <f>HYPERLINK("CSG15.html#group60T15", "60T¹⁵"), =HYPERLINK("CSG22.html#group30D22", "30D²²"), =HYPERLINK("CSG22.html#group90I22", "90I²²")</f>
        <v/>
      </c>
      <c r="M1439">
        <f>HYPERLINK("CSG0.html#group3B0", "3B⁰"), =HYPERLINK("CSG0.html#group2A0", "2A⁰"), =HYPERLINK("CSG1.html#group30A1", "30A¹"), =HYPERLINK("CSG0.html#group5A0", "5A⁰"), =HYPERLINK("CSG0.html#group10A0", "10A⁰"), =HYPERLINK("CSG0.html#group6A0", "6A⁰"), =HYPERLINK("CSG2.html#group30D2", "30D²"), =HYPERLINK("CSG0.html#group6C0", "6C⁰"), =HYPERLINK("CSG0.html#group6J0", "6J⁰"), =HYPERLINK("CSG1.html#group15B1", "15B¹"), =HYPERLINK("CSG0.html#group1A0", "1A⁰")</f>
        <v/>
      </c>
      <c r="N1439">
        <f>HYPERLINK("CSG22.html#group90I22", "90I²²"), =HYPERLINK("CSG22.html#group30D22", "30D²²"), =HYPERLINK("CSG15.html#group60T15", "60T¹⁵")</f>
        <v/>
      </c>
    </row>
    <row r="1440">
      <c r="A1440" t="inlineStr">
        <is>
          <t>30L⁷</t>
        </is>
      </c>
      <c r="B1440" t="inlineStr"/>
      <c r="C1440" t="inlineStr">
        <is>
          <t>120</t>
        </is>
      </c>
      <c r="D1440" t="inlineStr">
        <is>
          <t>1</t>
        </is>
      </c>
      <c r="E1440" t="inlineStr">
        <is>
          <t>120</t>
        </is>
      </c>
      <c r="F1440" t="inlineStr">
        <is>
          <t>0</t>
        </is>
      </c>
      <c r="G1440" t="inlineStr">
        <is>
          <t>0</t>
        </is>
      </c>
      <c r="H1440" t="inlineStr">
        <is>
          <t>5², 10², 15², 30²</t>
        </is>
      </c>
      <c r="I1440" t="n">
        <v>8</v>
      </c>
      <c r="J1440" t="inlineStr">
        <is>
          <t>2⁶, 4¹⁵, 8⁶</t>
        </is>
      </c>
      <c r="K1440">
        <f>HYPERLINK("CSG0.html#group6F0", "6F⁰"), =HYPERLINK("CSG1.html#group10F1", "10F¹"), =HYPERLINK("CSG2.html#group15C2", "15C²")</f>
        <v/>
      </c>
      <c r="L1440">
        <f>HYPERLINK("CSG13.html#group30N13", "30N¹³"), =HYPERLINK("CSG15.html#group30A15", "30A¹⁵"), =HYPERLINK("CSG15.html#group30E15", "30E¹⁵"), =HYPERLINK("CSG15.html#group60U15", "60U¹⁵"), =HYPERLINK("CSG15.html#group60V15", "60V¹⁵"), =HYPERLINK("CSG17.html#group60F17", "60F¹⁷"), =HYPERLINK("CSG17.html#group60G17", "60G¹⁷"), =HYPERLINK("CSG19.html#group30B19", "30B¹⁹"), =HYPERLINK("CSG23.html#group30A23", "30A²³"), =HYPERLINK("CSG23.html#group90E23", "90E²³")</f>
        <v/>
      </c>
      <c r="M1440">
        <f>HYPERLINK("CSG0.html#group3B0", "3B⁰"), =HYPERLINK("CSG0.html#group5C0", "5C⁰"), =HYPERLINK("CSG0.html#group6F0", "6F⁰"), =HYPERLINK("CSG0.html#group2B0", "2B⁰"), =HYPERLINK("CSG2.html#group15C2", "15C²"), =HYPERLINK("CSG0.html#group1A0", "1A⁰"), =HYPERLINK("CSG1.html#group10F1", "10F¹")</f>
        <v/>
      </c>
      <c r="N1440">
        <f>HYPERLINK("CSG19.html#group30B19", "30B¹⁹"), =HYPERLINK("CSG15.html#group30A15", "30A¹⁵"), =HYPERLINK("CSG15.html#group60V15", "60V¹⁵"), =HYPERLINK("CSG17.html#group60G17", "60G¹⁷"), =HYPERLINK("CSG23.html#group90E23", "90E²³"), =HYPERLINK("CSG15.html#group60U15", "60U¹⁵"), =HYPERLINK("CSG13.html#group30N13", "30N¹³"), =HYPERLINK("CSG23.html#group30A23", "30A²³"), =HYPERLINK("CSG17.html#group60F17", "60F¹⁷"), =HYPERLINK("CSG15.html#group30E15", "30E¹⁵")</f>
        <v/>
      </c>
    </row>
    <row r="1441">
      <c r="A1441" t="inlineStr">
        <is>
          <t>30M⁷</t>
        </is>
      </c>
      <c r="B1441" t="inlineStr"/>
      <c r="C1441" t="inlineStr">
        <is>
          <t>120</t>
        </is>
      </c>
      <c r="D1441" t="inlineStr">
        <is>
          <t>2</t>
        </is>
      </c>
      <c r="E1441" t="inlineStr">
        <is>
          <t>20</t>
        </is>
      </c>
      <c r="F1441" t="inlineStr">
        <is>
          <t>0</t>
        </is>
      </c>
      <c r="G1441" t="inlineStr">
        <is>
          <t>6</t>
        </is>
      </c>
      <c r="H1441" t="inlineStr">
        <is>
          <t>30⁴</t>
        </is>
      </c>
      <c r="I1441" t="n">
        <v>4</v>
      </c>
      <c r="J1441" t="inlineStr">
        <is>
          <t>2², 4¹, 8⁴</t>
        </is>
      </c>
      <c r="K1441">
        <f>HYPERLINK("CSG1.html#group30B1", "30B¹"), =HYPERLINK("CSG2.html#group30D2", "30D²"), =HYPERLINK("CSG3.html#group15D3", "15D³")</f>
        <v/>
      </c>
      <c r="L1441">
        <f>HYPERLINK("CSG15.html#group60Y15", "60Y¹⁵"), =HYPERLINK("CSG22.html#group30D22", "30D²²"), =HYPERLINK("CSG22.html#group90K22", "90K²²")</f>
        <v/>
      </c>
      <c r="M1441">
        <f>HYPERLINK("CSG0.html#group3B0", "3B⁰"), =HYPERLINK("CSG0.html#group2A0", "2A⁰"), =HYPERLINK("CSG0.html#group5A0", "5A⁰"), =HYPERLINK("CSG0.html#group10A0", "10A⁰"), =HYPERLINK("CSG3.html#group15D3", "15D³"), =HYPERLINK("CSG1.html#group30B1", "30B¹"), =HYPERLINK("CSG2.html#group30D2", "30D²"), =HYPERLINK("CSG0.html#group6C0", "6C⁰"), =HYPERLINK("CSG1.html#group15B1", "15B¹"), =HYPERLINK("CSG0.html#group1A0", "1A⁰"), =HYPERLINK("CSG0.html#group15A0", "15A⁰")</f>
        <v/>
      </c>
      <c r="N1441">
        <f>HYPERLINK("CSG22.html#group90K22", "90K²²"), =HYPERLINK("CSG22.html#group30D22", "30D²²"), =HYPERLINK("CSG15.html#group60Y15", "60Y¹⁵")</f>
        <v/>
      </c>
    </row>
    <row r="1442">
      <c r="A1442" t="inlineStr">
        <is>
          <t>30N⁷</t>
        </is>
      </c>
      <c r="B1442" t="inlineStr"/>
      <c r="C1442" t="inlineStr">
        <is>
          <t>120</t>
        </is>
      </c>
      <c r="D1442" t="inlineStr">
        <is>
          <t>2</t>
        </is>
      </c>
      <c r="E1442" t="inlineStr">
        <is>
          <t>30</t>
        </is>
      </c>
      <c r="F1442" t="inlineStr">
        <is>
          <t>8</t>
        </is>
      </c>
      <c r="G1442" t="inlineStr">
        <is>
          <t>0</t>
        </is>
      </c>
      <c r="H1442" t="inlineStr">
        <is>
          <t>30⁴</t>
        </is>
      </c>
      <c r="I1442" t="n">
        <v>4</v>
      </c>
      <c r="J1442" t="inlineStr">
        <is>
          <t>4³, 8⁶</t>
        </is>
      </c>
      <c r="K1442">
        <f>HYPERLINK("CSG2.html#group15D2", "15D²"), =HYPERLINK("CSG3.html#group30H3", "30H³"), =HYPERLINK("CSG4.html#group30C4", "30C⁴")</f>
        <v/>
      </c>
      <c r="L1442">
        <f>HYPERLINK("CSG13.html#group30M13", "30M¹³"), =HYPERLINK("CSG17.html#group30C17", "30C¹⁷"), =HYPERLINK("CSG17.html#group30D17", "30D¹⁷"), =HYPERLINK("CSG23.html#group30J23", "30J²³"), =HYPERLINK("CSG23.html#group30K23", "30K²³"), =HYPERLINK("CSG23.html#group90F23", "90F²³")</f>
        <v/>
      </c>
      <c r="M1442">
        <f>HYPERLINK("CSG4.html#group30C4", "30C⁴"), =HYPERLINK("CSG1.html#group15D1", "15D¹"), =HYPERLINK("CSG0.html#group6B0", "6B⁰"), =HYPERLINK("CSG0.html#group3A0", "3A⁰"), =HYPERLINK("CSG0.html#group5C0", "5C⁰"), =HYPERLINK("CSG2.html#group15D2", "15D²"), =HYPERLINK("CSG3.html#group30H3", "30H³"), =HYPERLINK("CSG0.html#group1A0", "1A⁰")</f>
        <v/>
      </c>
      <c r="N1442">
        <f>HYPERLINK("CSG13.html#group30M13", "30M¹³"), =HYPERLINK("CSG23.html#group90F23", "90F²³"), =HYPERLINK("CSG23.html#group30J23", "30J²³"), =HYPERLINK("CSG17.html#group30C17", "30C¹⁷"), =HYPERLINK("CSG17.html#group30D17", "30D¹⁷"), =HYPERLINK("CSG23.html#group30K23", "30K²³")</f>
        <v/>
      </c>
    </row>
    <row r="1443">
      <c r="A1443" t="inlineStr">
        <is>
          <t>30O⁷</t>
        </is>
      </c>
      <c r="B1443" t="inlineStr"/>
      <c r="C1443" t="inlineStr">
        <is>
          <t>120</t>
        </is>
      </c>
      <c r="D1443" t="inlineStr">
        <is>
          <t>2</t>
        </is>
      </c>
      <c r="E1443" t="inlineStr">
        <is>
          <t>60</t>
        </is>
      </c>
      <c r="F1443" t="inlineStr">
        <is>
          <t>0</t>
        </is>
      </c>
      <c r="G1443" t="inlineStr">
        <is>
          <t>6</t>
        </is>
      </c>
      <c r="H1443" t="inlineStr">
        <is>
          <t>30⁴</t>
        </is>
      </c>
      <c r="I1443" t="n">
        <v>4</v>
      </c>
      <c r="J1443" t="inlineStr">
        <is>
          <t>8¹⁵</t>
        </is>
      </c>
      <c r="K1443">
        <f>HYPERLINK("CSG1.html#group30B1", "30B¹"), =HYPERLINK("CSG2.html#group15E2", "15E²")</f>
        <v/>
      </c>
      <c r="L1443">
        <f>HYPERLINK("CSG13.html#group30O13", "30O¹³"), =HYPERLINK("CSG22.html#group30F22", "30F²²")</f>
        <v/>
      </c>
      <c r="M1443">
        <f>HYPERLINK("CSG0.html#group2A0", "2A⁰"), =HYPERLINK("CSG2.html#group15E2", "15E²"), =HYPERLINK("CSG0.html#group5A0", "5A⁰"), =HYPERLINK("CSG0.html#group10A0", "10A⁰"), =HYPERLINK("CSG1.html#group30B1", "30B¹"), =HYPERLINK("CSG0.html#group1A0", "1A⁰"), =HYPERLINK("CSG0.html#group15A0", "15A⁰")</f>
        <v/>
      </c>
      <c r="N1443">
        <f>HYPERLINK("CSG13.html#group30O13", "30O¹³"), =HYPERLINK("CSG22.html#group30F22", "30F²²")</f>
        <v/>
      </c>
    </row>
    <row r="1444">
      <c r="A1444" t="inlineStr">
        <is>
          <t>30P⁷</t>
        </is>
      </c>
      <c r="B1444" t="inlineStr"/>
      <c r="C1444" t="inlineStr">
        <is>
          <t>135</t>
        </is>
      </c>
      <c r="D1444" t="inlineStr">
        <is>
          <t>1</t>
        </is>
      </c>
      <c r="E1444" t="inlineStr">
        <is>
          <t>15</t>
        </is>
      </c>
      <c r="F1444" t="inlineStr">
        <is>
          <t>9</t>
        </is>
      </c>
      <c r="G1444" t="inlineStr">
        <is>
          <t>0</t>
        </is>
      </c>
      <c r="H1444" t="inlineStr">
        <is>
          <t>15³, 30³</t>
        </is>
      </c>
      <c r="I1444" t="n">
        <v>6</v>
      </c>
      <c r="J1444" t="inlineStr">
        <is>
          <t>1³, 4³</t>
        </is>
      </c>
      <c r="K1444">
        <f>HYPERLINK("CSG1.html#group10I1", "10I¹"), =HYPERLINK("CSG1.html#group15F1", "15F¹"), =HYPERLINK("CSG3.html#group30D3", "30D³"), =HYPERLINK("CSG3.html#group30E3", "30E³")</f>
        <v/>
      </c>
      <c r="L1444">
        <f>HYPERLINK("CSG15.html#group30F15", "30F¹⁵"), =HYPERLINK("CSG16.html#group30B16", "30B¹⁶"), =HYPERLINK("CSG16.html#group30C16", "30C¹⁶"), =HYPERLINK("CSG16.html#group30D16", "30D¹⁶"), =HYPERLINK("CSG16.html#group30E16", "30E¹⁶"), =HYPERLINK("CSG16.html#group60D16", "60D¹⁶"), =HYPERLINK("CSG16.html#group60E16", "60E¹⁶"), =HYPERLINK("CSG16.html#group60F16", "60F¹⁶"), =HYPERLINK("CSG17.html#group30F17", "30F¹⁷"), =HYPERLINK("CSG17.html#group60M17", "60M¹⁷"), =HYPERLINK("CSG18.html#group60J18", "60J¹⁸"), =HYPERLINK("CSG19.html#group30A19", "30A¹⁹"), =HYPERLINK("CSG19.html#group60H19", "60H¹⁹"), =HYPERLINK("CSG19.html#group60I19", "60I¹⁹"), =HYPERLINK("CSG19.html#group60J19", "60J¹⁹")</f>
        <v/>
      </c>
      <c r="M1444">
        <f>HYPERLINK("CSG3.html#group30D3", "30D³"), =HYPERLINK("CSG0.html#group5A0", "5A⁰"), =HYPERLINK("CSG1.html#group10I1", "10I¹"), =HYPERLINK("CSG3.html#group30E3", "30E³"), =HYPERLINK("CSG1.html#group10B1", "10B¹"), =HYPERLINK("CSG0.html#group6D0", "6D⁰"), =HYPERLINK("CSG1.html#group15F1", "15F¹"), =HYPERLINK("CSG0.html#group5E0", "5E⁰"), =HYPERLINK("CSG0.html#group2B0", "2B⁰"), =HYPERLINK("CSG0.html#group3A0", "3A⁰"), =HYPERLINK("CSG0.html#group1A0", "1A⁰"), =HYPERLINK("CSG1.html#group15A1", "15A¹"), =HYPERLINK("CSG0.html#group15A0", "15A⁰")</f>
        <v/>
      </c>
      <c r="N1444">
        <f>HYPERLINK("CSG16.html#group30D16", "30D¹⁶"), =HYPERLINK("CSG16.html#group30C16", "30C¹⁶"), =HYPERLINK("CSG17.html#group60M17", "60M¹⁷"), =HYPERLINK("CSG18.html#group60J18", "60J¹⁸"), =HYPERLINK("CSG19.html#group60H19", "60H¹⁹"), =HYPERLINK("CSG19.html#group30A19", "30A¹⁹"), =HYPERLINK("CSG16.html#group60D16", "60D¹⁶"), =HYPERLINK("CSG17.html#group30F17", "30F¹⁷"), =HYPERLINK("CSG19.html#group60I19", "60I¹⁹"), =HYPERLINK("CSG16.html#group60F16", "60F¹⁶"), =HYPERLINK("CSG16.html#group30B16", "30B¹⁶"), =HYPERLINK("CSG16.html#group60E16", "60E¹⁶"), =HYPERLINK("CSG19.html#group60J19", "60J¹⁹"), =HYPERLINK("CSG16.html#group30E16", "30E¹⁶"), =HYPERLINK("CSG15.html#group30F15", "30F¹⁵")</f>
        <v/>
      </c>
    </row>
    <row r="1445">
      <c r="A1445" t="inlineStr">
        <is>
          <t>30Q⁷</t>
        </is>
      </c>
      <c r="B1445" t="inlineStr"/>
      <c r="C1445" t="inlineStr">
        <is>
          <t>144</t>
        </is>
      </c>
      <c r="D1445" t="inlineStr">
        <is>
          <t>1</t>
        </is>
      </c>
      <c r="E1445" t="inlineStr">
        <is>
          <t>24</t>
        </is>
      </c>
      <c r="F1445" t="inlineStr">
        <is>
          <t>0</t>
        </is>
      </c>
      <c r="G1445" t="inlineStr">
        <is>
          <t>0</t>
        </is>
      </c>
      <c r="H1445" t="inlineStr">
        <is>
          <t>2³, 6³, 10³, 30³</t>
        </is>
      </c>
      <c r="I1445" t="n">
        <v>12</v>
      </c>
      <c r="J1445" t="inlineStr">
        <is>
          <t>1⁴, 2², 4², 8¹</t>
        </is>
      </c>
      <c r="K1445">
        <f>HYPERLINK("CSG0.html#group6I0", "6I⁰"), =HYPERLINK("CSG1.html#group10G1", "10G¹"), =HYPERLINK("CSG3.html#group30G3", "30G³"), =HYPERLINK("CSG3.html#group30K3", "30K³")</f>
        <v/>
      </c>
      <c r="L1445">
        <f>HYPERLINK("CSG13.html#group30P13", "30P¹³"), =HYPERLINK("CSG15.html#group60AA15", "60AA¹⁵"), =HYPERLINK("CSG15.html#group60AB15", "60AB¹⁵"), =HYPERLINK("CSG17.html#group60S17", "60S¹⁷"), =HYPERLINK("CSG17.html#group60T17", "60T¹⁷"), =HYPERLINK("CSG19.html#group60K19", "60K¹⁹"), =HYPERLINK("CSG19.html#group60L19", "60L¹⁹")</f>
        <v/>
      </c>
      <c r="M1445">
        <f>HYPERLINK("CSG0.html#group3B0", "3B⁰"), =HYPERLINK("CSG0.html#group2A0", "2A⁰"), =HYPERLINK("CSG0.html#group6I0", "6I⁰"), =HYPERLINK("CSG0.html#group6C0", "6C⁰"), =HYPERLINK("CSG0.html#group5B0", "5B⁰"), =HYPERLINK("CSG1.html#group10A1", "10A¹"), =HYPERLINK("CSG0.html#group2B0", "2B⁰"), =HYPERLINK("CSG3.html#group30G3", "30G³"), =HYPERLINK("CSG0.html#group1A0", "1A⁰"), =HYPERLINK("CSG1.html#group15C1", "15C¹"), =HYPERLINK("CSG0.html#group10C0", "10C⁰"), =HYPERLINK("CSG3.html#group30K3", "30K³"), =HYPERLINK("CSG0.html#group6F0", "6F⁰"), =HYPERLINK("CSG0.html#group2C0", "2C⁰"), =HYPERLINK("CSG1.html#group10G1", "10G¹")</f>
        <v/>
      </c>
      <c r="N1445">
        <f>HYPERLINK("CSG17.html#group60T17", "60T¹⁷"), =HYPERLINK("CSG15.html#group60AB15", "60AB¹⁵"), =HYPERLINK("CSG15.html#group60AA15", "60AA¹⁵"), =HYPERLINK("CSG17.html#group60S17", "60S¹⁷"), =HYPERLINK("CSG19.html#group60L19", "60L¹⁹"), =HYPERLINK("CSG13.html#group30P13", "30P¹³"), =HYPERLINK("CSG19.html#group60K19", "60K¹⁹")</f>
        <v/>
      </c>
    </row>
    <row r="1446">
      <c r="A1446" t="inlineStr">
        <is>
          <t>30R⁷</t>
        </is>
      </c>
      <c r="B1446" t="inlineStr"/>
      <c r="C1446" t="inlineStr">
        <is>
          <t>144</t>
        </is>
      </c>
      <c r="D1446" t="inlineStr">
        <is>
          <t>1</t>
        </is>
      </c>
      <c r="E1446" t="inlineStr">
        <is>
          <t>36</t>
        </is>
      </c>
      <c r="F1446" t="inlineStr">
        <is>
          <t>8</t>
        </is>
      </c>
      <c r="G1446" t="inlineStr">
        <is>
          <t>0</t>
        </is>
      </c>
      <c r="H1446" t="inlineStr">
        <is>
          <t>6⁴, 30⁴</t>
        </is>
      </c>
      <c r="I1446" t="n">
        <v>8</v>
      </c>
      <c r="J1446" t="inlineStr">
        <is>
          <t>2⁶, 8³</t>
        </is>
      </c>
      <c r="K1446">
        <f>HYPERLINK("CSG1.html#group15H1", "15H¹")</f>
        <v/>
      </c>
      <c r="L1446">
        <f>HYPERLINK("CSG13.html#group30Q13", "30Q¹³"), =HYPERLINK("CSG17.html#group30G17", "30G¹⁷"), =HYPERLINK("CSG17.html#group30I17", "30I¹⁷"), =HYPERLINK("CSG23.html#group30L23", "30L²³")</f>
        <v/>
      </c>
      <c r="M1446">
        <f>HYPERLINK("CSG0.html#group15B0", "15B⁰"), =HYPERLINK("CSG1.html#group15E1", "15E¹"), =HYPERLINK("CSG0.html#group5B0", "5B⁰"), =HYPERLINK("CSG0.html#group3C0", "3C⁰"), =HYPERLINK("CSG0.html#group3A0", "3A⁰"), =HYPERLINK("CSG1.html#group15H1", "15H¹"), =HYPERLINK("CSG0.html#group1A0", "1A⁰"), =HYPERLINK("CSG0.html#group15C0", "15C⁰")</f>
        <v/>
      </c>
      <c r="N1446">
        <f>HYPERLINK("CSG23.html#group30L23", "30L²³"), =HYPERLINK("CSG17.html#group30I17", "30I¹⁷"), =HYPERLINK("CSG17.html#group30G17", "30G¹⁷"), =HYPERLINK("CSG13.html#group30Q13", "30Q¹³")</f>
        <v/>
      </c>
    </row>
    <row r="1447">
      <c r="A1447" t="inlineStr">
        <is>
          <t>30S⁷</t>
        </is>
      </c>
      <c r="B1447" t="inlineStr"/>
      <c r="C1447" t="inlineStr">
        <is>
          <t>144</t>
        </is>
      </c>
      <c r="D1447" t="inlineStr">
        <is>
          <t>1</t>
        </is>
      </c>
      <c r="E1447" t="inlineStr">
        <is>
          <t>72</t>
        </is>
      </c>
      <c r="F1447" t="inlineStr">
        <is>
          <t>0</t>
        </is>
      </c>
      <c r="G1447" t="inlineStr">
        <is>
          <t>0</t>
        </is>
      </c>
      <c r="H1447" t="inlineStr">
        <is>
          <t>2³, 6³, 10³, 30³</t>
        </is>
      </c>
      <c r="I1447" t="n">
        <v>12</v>
      </c>
      <c r="J1447" t="inlineStr">
        <is>
          <t>1¹², 2⁶, 4⁶, 8³</t>
        </is>
      </c>
      <c r="K1447">
        <f>HYPERLINK("CSG0.html#group10G0", "10G⁰"), =HYPERLINK("CSG3.html#group30F3", "30F³"), =HYPERLINK("CSG3.html#group30K3", "30K³")</f>
        <v/>
      </c>
      <c r="L1447">
        <f>HYPERLINK("CSG13.html#group30P13", "30P¹³"), =HYPERLINK("CSG15.html#group60AF15", "60AF¹⁵"), =HYPERLINK("CSG17.html#group60P17", "60P¹⁷"), =HYPERLINK("CSG17.html#group60R17", "60R¹⁷"), =HYPERLINK("CSG19.html#group60O19", "60O¹⁹")</f>
        <v/>
      </c>
      <c r="M1447">
        <f>HYPERLINK("CSG1.html#group15C1", "15C¹"), =HYPERLINK("CSG0.html#group3B0", "3B⁰"), =HYPERLINK("CSG3.html#group30F3", "30F³"), =HYPERLINK("CSG0.html#group10G0", "10G⁰"), =HYPERLINK("CSG0.html#group5B0", "5B⁰"), =HYPERLINK("CSG0.html#group10C0", "10C⁰"), =HYPERLINK("CSG0.html#group6F0", "6F⁰"), =HYPERLINK("CSG0.html#group2B0", "2B⁰"), =HYPERLINK("CSG3.html#group30K3", "30K³"), =HYPERLINK("CSG0.html#group1A0", "1A⁰"), =HYPERLINK("CSG0.html#group10B0", "10B⁰")</f>
        <v/>
      </c>
      <c r="N1447">
        <f>HYPERLINK("CSG17.html#group60R17", "60R¹⁷"), =HYPERLINK("CSG19.html#group60O19", "60O¹⁹"), =HYPERLINK("CSG17.html#group60P17", "60P¹⁷"), =HYPERLINK("CSG15.html#group60AF15", "60AF¹⁵"), =HYPERLINK("CSG13.html#group30P13", "30P¹³")</f>
        <v/>
      </c>
    </row>
    <row r="1448">
      <c r="A1448" t="inlineStr">
        <is>
          <t>32A⁷</t>
        </is>
      </c>
      <c r="B1448" t="inlineStr"/>
      <c r="C1448" t="inlineStr">
        <is>
          <t>96</t>
        </is>
      </c>
      <c r="D1448" t="inlineStr">
        <is>
          <t>1</t>
        </is>
      </c>
      <c r="E1448" t="inlineStr">
        <is>
          <t>6</t>
        </is>
      </c>
      <c r="F1448" t="inlineStr">
        <is>
          <t>0</t>
        </is>
      </c>
      <c r="G1448" t="inlineStr">
        <is>
          <t>0</t>
        </is>
      </c>
      <c r="H1448" t="inlineStr">
        <is>
          <t>16², 32²</t>
        </is>
      </c>
      <c r="I1448" t="n">
        <v>4</v>
      </c>
      <c r="J1448" t="inlineStr">
        <is>
          <t>1², 2²</t>
        </is>
      </c>
      <c r="K1448">
        <f>HYPERLINK("CSG1.html#group16F1", "16F¹"), =HYPERLINK("CSG3.html#group32D3", "32D³")</f>
        <v/>
      </c>
      <c r="L1448">
        <f>HYPERLINK("CSG13.html#group32B13", "32B¹³"), =HYPERLINK("CSG13.html#group32I13", "32I¹³"), =HYPERLINK("CSG13.html#group32J13", "32J¹³"), =HYPERLINK("CSG13.html#group32K13", "32K¹³"), =HYPERLINK("CSG23.html#group96A23", "96A²³")</f>
        <v/>
      </c>
      <c r="M1448">
        <f>HYPERLINK("CSG0.html#group8D0", "8D⁰"), =HYPERLINK("CSG0.html#group4C0", "4C⁰"), =HYPERLINK("CSG0.html#group8B0", "8B⁰"), =HYPERLINK("CSG1.html#group16B1", "16B¹"), =HYPERLINK("CSG0.html#group2B0", "2B⁰"), =HYPERLINK("CSG0.html#group1A0", "1A⁰"), =HYPERLINK("CSG0.html#group16B0", "16B⁰"), =HYPERLINK("CSG0.html#group8H0", "8H⁰"), =HYPERLINK("CSG0.html#group4A0", "4A⁰"), =HYPERLINK("CSG3.html#group32D3", "32D³"), =HYPERLINK("CSG0.html#group4F0", "4F⁰"), =HYPERLINK("CSG1.html#group16F1", "16F¹")</f>
        <v/>
      </c>
      <c r="N1448">
        <f>HYPERLINK("CSG13.html#group32B13", "32B¹³"), =HYPERLINK("CSG13.html#group32K13", "32K¹³"), =HYPERLINK("CSG13.html#group32I13", "32I¹³"), =HYPERLINK("CSG13.html#group32J13", "32J¹³"), =HYPERLINK("CSG23.html#group96A23", "96A²³")</f>
        <v/>
      </c>
    </row>
    <row r="1449">
      <c r="A1449" t="inlineStr">
        <is>
          <t>32B⁷</t>
        </is>
      </c>
      <c r="B1449" t="inlineStr"/>
      <c r="C1449" t="inlineStr">
        <is>
          <t>96</t>
        </is>
      </c>
      <c r="D1449" t="inlineStr">
        <is>
          <t>1</t>
        </is>
      </c>
      <c r="E1449" t="inlineStr">
        <is>
          <t>6</t>
        </is>
      </c>
      <c r="F1449" t="inlineStr">
        <is>
          <t>0</t>
        </is>
      </c>
      <c r="G1449" t="inlineStr">
        <is>
          <t>0</t>
        </is>
      </c>
      <c r="H1449" t="inlineStr">
        <is>
          <t>16², 32²</t>
        </is>
      </c>
      <c r="I1449" t="n">
        <v>4</v>
      </c>
      <c r="J1449" t="inlineStr">
        <is>
          <t>1⁴, 2¹</t>
        </is>
      </c>
      <c r="K1449">
        <f>HYPERLINK("CSG3.html#group16D3", "16D³"), =HYPERLINK("CSG3.html#group32E3", "32E³")</f>
        <v/>
      </c>
      <c r="L1449">
        <f>HYPERLINK("CSG13.html#group32C13", "32C¹³"), =HYPERLINK("CSG13.html#group32D13", "32D¹³"), =HYPERLINK("CSG13.html#group32G13", "32G¹³"), =HYPERLINK("CSG15.html#group64A15", "64A¹⁵"), =HYPERLINK("CSG15.html#group64B15", "64B¹⁵"), =HYPERLINK("CSG23.html#group96B23", "96B²³")</f>
        <v/>
      </c>
      <c r="M1449">
        <f>HYPERLINK("CSG0.html#group2A0", "2A⁰"), =HYPERLINK("CSG3.html#group16D3", "16D³"), =HYPERLINK("CSG1.html#group8A1", "8A¹"), =HYPERLINK("CSG0.html#group4C0", "4C⁰"), =HYPERLINK("CSG0.html#group8B0", "8B⁰"), =HYPERLINK("CSG0.html#group2B0", "2B⁰"), =HYPERLINK("CSG1.html#group8B1", "8B¹"), =HYPERLINK("CSG0.html#group4E0", "4E⁰"), =HYPERLINK("CSG0.html#group4B0", "4B⁰"), =HYPERLINK("CSG0.html#group1A0", "1A⁰"), =HYPERLINK("CSG1.html#group16D1", "16D¹"), =HYPERLINK("CSG2.html#group16B2", "16B²"), =HYPERLINK("CSG3.html#group32E3", "32E³"), =HYPERLINK("CSG0.html#group2C0", "2C⁰")</f>
        <v/>
      </c>
      <c r="N1449">
        <f>HYPERLINK("CSG13.html#group32D13", "32D¹³"), =HYPERLINK("CSG15.html#group64B15", "64B¹⁵"), =HYPERLINK("CSG15.html#group64A15", "64A¹⁵"), =HYPERLINK("CSG23.html#group96B23", "96B²³"), =HYPERLINK("CSG13.html#group32C13", "32C¹³"), =HYPERLINK("CSG13.html#group32G13", "32G¹³")</f>
        <v/>
      </c>
    </row>
    <row r="1450">
      <c r="A1450" t="inlineStr">
        <is>
          <t>32C⁷</t>
        </is>
      </c>
      <c r="B1450" t="inlineStr"/>
      <c r="C1450" t="inlineStr">
        <is>
          <t>96</t>
        </is>
      </c>
      <c r="D1450" t="inlineStr">
        <is>
          <t>1</t>
        </is>
      </c>
      <c r="E1450" t="inlineStr">
        <is>
          <t>6</t>
        </is>
      </c>
      <c r="F1450" t="inlineStr">
        <is>
          <t>0</t>
        </is>
      </c>
      <c r="G1450" t="inlineStr">
        <is>
          <t>0</t>
        </is>
      </c>
      <c r="H1450" t="inlineStr">
        <is>
          <t>16², 32²</t>
        </is>
      </c>
      <c r="I1450" t="n">
        <v>4</v>
      </c>
      <c r="J1450" t="inlineStr">
        <is>
          <t>1⁴, 2¹</t>
        </is>
      </c>
      <c r="K1450">
        <f>HYPERLINK("CSG3.html#group16D3", "16D³"), =HYPERLINK("CSG3.html#group32G3", "32G³")</f>
        <v/>
      </c>
      <c r="L1450">
        <f>HYPERLINK("CSG13.html#group32C13", "32C¹³"), =HYPERLINK("CSG13.html#group32E13", "32E¹³"), =HYPERLINK("CSG13.html#group32H13", "32H¹³"), =HYPERLINK("CSG15.html#group64D15", "64D¹⁵"), =HYPERLINK("CSG15.html#group64C15", "64C¹⁵"), =HYPERLINK("CSG23.html#group96C23", "96C²³")</f>
        <v/>
      </c>
      <c r="M1450">
        <f>HYPERLINK("CSG0.html#group2A0", "2A⁰"), =HYPERLINK("CSG3.html#group16D3", "16D³"), =HYPERLINK("CSG1.html#group16D1", "16D¹"), =HYPERLINK("CSG2.html#group16B2", "16B²"), =HYPERLINK("CSG1.html#group8A1", "8A¹"), =HYPERLINK("CSG0.html#group4C0", "4C⁰"), =HYPERLINK("CSG0.html#group8B0", "8B⁰"), =HYPERLINK("CSG0.html#group2B0", "2B⁰"), =HYPERLINK("CSG1.html#group8B1", "8B¹"), =HYPERLINK("CSG3.html#group32G3", "32G³"), =HYPERLINK("CSG0.html#group4E0", "4E⁰"), =HYPERLINK("CSG0.html#group4B0", "4B⁰"), =HYPERLINK("CSG0.html#group1A0", "1A⁰"), =HYPERLINK("CSG0.html#group2C0", "2C⁰")</f>
        <v/>
      </c>
      <c r="N1450">
        <f>HYPERLINK("CSG23.html#group96C23", "96C²³"), =HYPERLINK("CSG13.html#group32H13", "32H¹³"), =HYPERLINK("CSG15.html#group64C15", "64C¹⁵"), =HYPERLINK("CSG15.html#group64D15", "64D¹⁵"), =HYPERLINK("CSG13.html#group32E13", "32E¹³"), =HYPERLINK("CSG13.html#group32C13", "32C¹³")</f>
        <v/>
      </c>
    </row>
    <row r="1451">
      <c r="A1451" t="inlineStr">
        <is>
          <t>32D⁷</t>
        </is>
      </c>
      <c r="B1451" t="inlineStr"/>
      <c r="C1451" t="inlineStr">
        <is>
          <t>96</t>
        </is>
      </c>
      <c r="D1451" t="inlineStr">
        <is>
          <t>1</t>
        </is>
      </c>
      <c r="E1451" t="inlineStr">
        <is>
          <t>6</t>
        </is>
      </c>
      <c r="F1451" t="inlineStr">
        <is>
          <t>0</t>
        </is>
      </c>
      <c r="G1451" t="inlineStr">
        <is>
          <t>0</t>
        </is>
      </c>
      <c r="H1451" t="inlineStr">
        <is>
          <t>16², 32²</t>
        </is>
      </c>
      <c r="I1451" t="n">
        <v>4</v>
      </c>
      <c r="J1451" t="inlineStr">
        <is>
          <t>1⁴, 2¹</t>
        </is>
      </c>
      <c r="K1451">
        <f>HYPERLINK("CSG3.html#group16D3", "16D³"), =HYPERLINK("CSG3.html#group32F3", "32F³"), =HYPERLINK("CSG4.html#group32A4", "32A⁴")</f>
        <v/>
      </c>
      <c r="L1451">
        <f>HYPERLINK("CSG13.html#group32E13", "32E¹³"), =HYPERLINK("CSG13.html#group32F13", "32F¹³"), =HYPERLINK("CSG13.html#group32G13", "32G¹³"), =HYPERLINK("CSG15.html#group64E15", "64E¹⁵"), =HYPERLINK("CSG23.html#group96D23", "96D²³")</f>
        <v/>
      </c>
      <c r="M1451">
        <f>HYPERLINK("CSG0.html#group2A0", "2A⁰"), =HYPERLINK("CSG3.html#group16D3", "16D³"), =HYPERLINK("CSG1.html#group8A1", "8A¹"), =HYPERLINK("CSG0.html#group4C0", "4C⁰"), =HYPERLINK("CSG0.html#group8B0", "8B⁰"), =HYPERLINK("CSG0.html#group2B0", "2B⁰"), =HYPERLINK("CSG1.html#group8B1", "8B¹"), =HYPERLINK("CSG0.html#group4E0", "4E⁰"), =HYPERLINK("CSG3.html#group32F3", "32F³"), =HYPERLINK("CSG4.html#group32A4", "32A⁴"), =HYPERLINK("CSG0.html#group4B0", "4B⁰"), =HYPERLINK("CSG0.html#group1A0", "1A⁰"), =HYPERLINK("CSG1.html#group16D1", "16D¹"), =HYPERLINK("CSG2.html#group16B2", "16B²"), =HYPERLINK("CSG0.html#group2C0", "2C⁰")</f>
        <v/>
      </c>
      <c r="N1451">
        <f>HYPERLINK("CSG23.html#group96D23", "96D²³"), =HYPERLINK("CSG13.html#group32E13", "32E¹³"), =HYPERLINK("CSG15.html#group64E15", "64E¹⁵"), =HYPERLINK("CSG13.html#group32F13", "32F¹³"), =HYPERLINK("CSG13.html#group32G13", "32G¹³")</f>
        <v/>
      </c>
    </row>
    <row r="1452">
      <c r="A1452" t="inlineStr">
        <is>
          <t>32E⁷</t>
        </is>
      </c>
      <c r="B1452" t="inlineStr"/>
      <c r="C1452" t="inlineStr">
        <is>
          <t>96</t>
        </is>
      </c>
      <c r="D1452" t="inlineStr">
        <is>
          <t>1</t>
        </is>
      </c>
      <c r="E1452" t="inlineStr">
        <is>
          <t>6</t>
        </is>
      </c>
      <c r="F1452" t="inlineStr">
        <is>
          <t>0</t>
        </is>
      </c>
      <c r="G1452" t="inlineStr">
        <is>
          <t>0</t>
        </is>
      </c>
      <c r="H1452" t="inlineStr">
        <is>
          <t>16², 32²</t>
        </is>
      </c>
      <c r="I1452" t="n">
        <v>4</v>
      </c>
      <c r="J1452" t="inlineStr">
        <is>
          <t>1⁴, 2¹</t>
        </is>
      </c>
      <c r="K1452">
        <f>HYPERLINK("CSG3.html#group16D3", "16D³"), =HYPERLINK("CSG3.html#group32H3", "32H³"), =HYPERLINK("CSG4.html#group32B4", "32B⁴")</f>
        <v/>
      </c>
      <c r="L1452">
        <f>HYPERLINK("CSG13.html#group32D13", "32D¹³"), =HYPERLINK("CSG13.html#group32F13", "32F¹³"), =HYPERLINK("CSG13.html#group32H13", "32H¹³"), =HYPERLINK("CSG15.html#group64F15", "64F¹⁵"), =HYPERLINK("CSG23.html#group96E23", "96E²³")</f>
        <v/>
      </c>
      <c r="M1452">
        <f>HYPERLINK("CSG0.html#group2A0", "2A⁰"), =HYPERLINK("CSG3.html#group16D3", "16D³"), =HYPERLINK("CSG1.html#group8A1", "8A¹"), =HYPERLINK("CSG0.html#group4C0", "4C⁰"), =HYPERLINK("CSG0.html#group8B0", "8B⁰"), =HYPERLINK("CSG0.html#group2B0", "2B⁰"), =HYPERLINK("CSG1.html#group8B1", "8B¹"), =HYPERLINK("CSG0.html#group4E0", "4E⁰"), =HYPERLINK("CSG0.html#group4B0", "4B⁰"), =HYPERLINK("CSG0.html#group1A0", "1A⁰"), =HYPERLINK("CSG4.html#group32B4", "32B⁴"), =HYPERLINK("CSG1.html#group16D1", "16D¹"), =HYPERLINK("CSG2.html#group16B2", "16B²"), =HYPERLINK("CSG0.html#group2C0", "2C⁰"), =HYPERLINK("CSG3.html#group32H3", "32H³")</f>
        <v/>
      </c>
      <c r="N1452">
        <f>HYPERLINK("CSG13.html#group32D13", "32D¹³"), =HYPERLINK("CSG13.html#group32H13", "32H¹³"), =HYPERLINK("CSG15.html#group64F15", "64F¹⁵"), =HYPERLINK("CSG13.html#group32F13", "32F¹³"), =HYPERLINK("CSG23.html#group96E23", "96E²³")</f>
        <v/>
      </c>
    </row>
    <row r="1453">
      <c r="A1453" t="inlineStr">
        <is>
          <t>32F⁷</t>
        </is>
      </c>
      <c r="B1453" t="inlineStr"/>
      <c r="C1453" t="inlineStr">
        <is>
          <t>96</t>
        </is>
      </c>
      <c r="D1453" t="inlineStr">
        <is>
          <t>1</t>
        </is>
      </c>
      <c r="E1453" t="inlineStr">
        <is>
          <t>12</t>
        </is>
      </c>
      <c r="F1453" t="inlineStr">
        <is>
          <t>0</t>
        </is>
      </c>
      <c r="G1453" t="inlineStr">
        <is>
          <t>0</t>
        </is>
      </c>
      <c r="H1453" t="inlineStr">
        <is>
          <t>16², 32²</t>
        </is>
      </c>
      <c r="I1453" t="n">
        <v>4</v>
      </c>
      <c r="J1453" t="inlineStr">
        <is>
          <t>2⁶</t>
        </is>
      </c>
      <c r="K1453">
        <f>HYPERLINK("CSG3.html#group16A3", "16A³")</f>
        <v/>
      </c>
      <c r="L1453">
        <f>HYPERLINK("CSG13.html#group32A13", "32A¹³"), =HYPERLINK("CSG13.html#group32L13", "32L¹³"), =HYPERLINK("CSG23.html#group96F23", "96F²³")</f>
        <v/>
      </c>
      <c r="M1453">
        <f>HYPERLINK("CSG0.html#group2A0", "2A⁰"), =HYPERLINK("CSG1.html#group8A1", "8A¹"), =HYPERLINK("CSG0.html#group4C0", "4C⁰"), =HYPERLINK("CSG3.html#group16A3", "16A³"), =HYPERLINK("CSG0.html#group8B0", "8B⁰"), =HYPERLINK("CSG1.html#group16B1", "16B¹"), =HYPERLINK("CSG0.html#group2B0", "2B⁰"), =HYPERLINK("CSG1.html#group8B1", "8B¹"), =HYPERLINK("CSG0.html#group4E0", "4E⁰"), =HYPERLINK("CSG0.html#group4B0", "4B⁰"), =HYPERLINK("CSG0.html#group1A0", "1A⁰"), =HYPERLINK("CSG0.html#group2C0", "2C⁰")</f>
        <v/>
      </c>
      <c r="N1453">
        <f>HYPERLINK("CSG23.html#group96F23", "96F²³"), =HYPERLINK("CSG13.html#group32L13", "32L¹³"), =HYPERLINK("CSG13.html#group32A13", "32A¹³")</f>
        <v/>
      </c>
    </row>
    <row r="1454">
      <c r="A1454" t="inlineStr">
        <is>
          <t>32G⁷</t>
        </is>
      </c>
      <c r="B1454" t="inlineStr"/>
      <c r="C1454" t="inlineStr">
        <is>
          <t>96</t>
        </is>
      </c>
      <c r="D1454" t="inlineStr">
        <is>
          <t>1</t>
        </is>
      </c>
      <c r="E1454" t="inlineStr">
        <is>
          <t>12</t>
        </is>
      </c>
      <c r="F1454" t="inlineStr">
        <is>
          <t>0</t>
        </is>
      </c>
      <c r="G1454" t="inlineStr">
        <is>
          <t>0</t>
        </is>
      </c>
      <c r="H1454" t="inlineStr">
        <is>
          <t>16², 32²</t>
        </is>
      </c>
      <c r="I1454" t="n">
        <v>4</v>
      </c>
      <c r="J1454" t="inlineStr">
        <is>
          <t>2⁶</t>
        </is>
      </c>
      <c r="K1454">
        <f>HYPERLINK("CSG1.html#group32B1", "32B¹"), =HYPERLINK("CSG3.html#group16B3", "16B³"), =HYPERLINK("CSG3.html#group32D3", "32D³")</f>
        <v/>
      </c>
      <c r="L1454">
        <f>HYPERLINK("CSG13.html#group32B13", "32B¹³"), =HYPERLINK("CSG13.html#group32M13", "32M¹³"), =HYPERLINK("CSG23.html#group96G23", "96G²³")</f>
        <v/>
      </c>
      <c r="M1454">
        <f>HYPERLINK("CSG0.html#group16B0", "16B⁰"), =HYPERLINK("CSG0.html#group2A0", "2A⁰"), =HYPERLINK("CSG1.html#group8A1", "8A¹"), =HYPERLINK("CSG0.html#group4C0", "4C⁰"), =HYPERLINK("CSG3.html#group16B3", "16B³"), =HYPERLINK("CSG0.html#group8B0", "8B⁰"), =HYPERLINK("CSG3.html#group32D3", "32D³"), =HYPERLINK("CSG1.html#group32B1", "32B¹"), =HYPERLINK("CSG0.html#group2B0", "2B⁰"), =HYPERLINK("CSG1.html#group8B1", "8B¹"), =HYPERLINK("CSG0.html#group4E0", "4E⁰"), =HYPERLINK("CSG0.html#group4B0", "4B⁰"), =HYPERLINK("CSG0.html#group1A0", "1A⁰"), =HYPERLINK("CSG0.html#group2C0", "2C⁰"), =HYPERLINK("CSG2.html#group16A2", "16A²")</f>
        <v/>
      </c>
      <c r="N1454">
        <f>HYPERLINK("CSG13.html#group32B13", "32B¹³"), =HYPERLINK("CSG13.html#group32M13", "32M¹³"), =HYPERLINK("CSG23.html#group96G23", "96G²³")</f>
        <v/>
      </c>
    </row>
    <row r="1455">
      <c r="A1455" t="inlineStr">
        <is>
          <t>32H⁷</t>
        </is>
      </c>
      <c r="B1455" t="inlineStr"/>
      <c r="C1455" t="inlineStr">
        <is>
          <t>96</t>
        </is>
      </c>
      <c r="D1455" t="inlineStr">
        <is>
          <t>1</t>
        </is>
      </c>
      <c r="E1455" t="inlineStr">
        <is>
          <t>12</t>
        </is>
      </c>
      <c r="F1455" t="inlineStr">
        <is>
          <t>0</t>
        </is>
      </c>
      <c r="G1455" t="inlineStr">
        <is>
          <t>0</t>
        </is>
      </c>
      <c r="H1455" t="inlineStr">
        <is>
          <t>16², 32²</t>
        </is>
      </c>
      <c r="I1455" t="n">
        <v>4</v>
      </c>
      <c r="J1455" t="inlineStr">
        <is>
          <t>1⁴, 2², 4¹</t>
        </is>
      </c>
      <c r="K1455">
        <f>HYPERLINK("CSG1.html#group16J1", "16J¹"), =HYPERLINK("CSG3.html#group32D3", "32D³")</f>
        <v/>
      </c>
      <c r="L1455">
        <f>HYPERLINK("CSG13.html#group32K13", "32K¹³"), =HYPERLINK("CSG13.html#group32M13", "32M¹³"), =HYPERLINK("CSG13.html#group32N13", "32N¹³"), =HYPERLINK("CSG13.html#group32O13", "32O¹³"), =HYPERLINK("CSG23.html#group96H23", "96H²³")</f>
        <v/>
      </c>
      <c r="M1455">
        <f>HYPERLINK("CSG0.html#group16B0", "16B⁰"), =HYPERLINK("CSG1.html#group16D1", "16D¹"), =HYPERLINK("CSG0.html#group4C0", "4C⁰"), =HYPERLINK("CSG0.html#group8B0", "8B⁰"), =HYPERLINK("CSG3.html#group32D3", "32D³"), =HYPERLINK("CSG0.html#group8L0", "8L⁰"), =HYPERLINK("CSG0.html#group2B0", "2B⁰"), =HYPERLINK("CSG1.html#group16J1", "16J¹"), =HYPERLINK("CSG0.html#group1A0", "1A⁰")</f>
        <v/>
      </c>
      <c r="N1455">
        <f>HYPERLINK("CSG13.html#group32K13", "32K¹³"), =HYPERLINK("CSG13.html#group32O13", "32O¹³"), =HYPERLINK("CSG13.html#group32N13", "32N¹³"), =HYPERLINK("CSG13.html#group32M13", "32M¹³"), =HYPERLINK("CSG23.html#group96H23", "96H²³")</f>
        <v/>
      </c>
    </row>
    <row r="1456">
      <c r="A1456" t="inlineStr">
        <is>
          <t>32I⁷</t>
        </is>
      </c>
      <c r="B1456" t="inlineStr"/>
      <c r="C1456" t="inlineStr">
        <is>
          <t>96</t>
        </is>
      </c>
      <c r="D1456" t="inlineStr">
        <is>
          <t>1</t>
        </is>
      </c>
      <c r="E1456" t="inlineStr">
        <is>
          <t>24</t>
        </is>
      </c>
      <c r="F1456" t="inlineStr">
        <is>
          <t>0</t>
        </is>
      </c>
      <c r="G1456" t="inlineStr">
        <is>
          <t>0</t>
        </is>
      </c>
      <c r="H1456" t="inlineStr">
        <is>
          <t>16², 32²</t>
        </is>
      </c>
      <c r="I1456" t="n">
        <v>4</v>
      </c>
      <c r="J1456" t="inlineStr">
        <is>
          <t>2⁸, 8¹</t>
        </is>
      </c>
      <c r="K1456">
        <f>HYPERLINK("CSG3.html#group16F3", "16F³"), =HYPERLINK("CSG3.html#group32E3", "32E³"), =HYPERLINK("CSG3.html#group32F3", "32F³")</f>
        <v/>
      </c>
      <c r="L1456">
        <f>HYPERLINK("CSG13.html#group32G13", "32G¹³"), =HYPERLINK("CSG13.html#group32Q13", "32Q¹³"), =HYPERLINK("CSG15.html#group64G15", "64G¹⁵"), =HYPERLINK("CSG15.html#group64H15", "64H¹⁵"), =HYPERLINK("CSG23.html#group96M23", "96M²³")</f>
        <v/>
      </c>
      <c r="M1456">
        <f>HYPERLINK("CSG1.html#group16D1", "16D¹"), =HYPERLINK("CSG3.html#group16F3", "16F³"), =HYPERLINK("CSG0.html#group4C0", "4C⁰"), =HYPERLINK("CSG0.html#group8B0", "8B⁰"), =HYPERLINK("CSG3.html#group32E3", "32E³"), =HYPERLINK("CSG0.html#group2B0", "2B⁰"), =HYPERLINK("CSG0.html#group8L0", "8L⁰"), =HYPERLINK("CSG3.html#group32F3", "32F³"), =HYPERLINK("CSG0.html#group1A0", "1A⁰"), =HYPERLINK("CSG2.html#group16A2", "16A²")</f>
        <v/>
      </c>
      <c r="N1456">
        <f>HYPERLINK("CSG13.html#group32G13", "32G¹³"), =HYPERLINK("CSG15.html#group64G15", "64G¹⁵"), =HYPERLINK("CSG13.html#group32Q13", "32Q¹³"), =HYPERLINK("CSG15.html#group64H15", "64H¹⁵"), =HYPERLINK("CSG23.html#group96M23", "96M²³")</f>
        <v/>
      </c>
    </row>
    <row r="1457">
      <c r="A1457" t="inlineStr">
        <is>
          <t>32J⁷</t>
        </is>
      </c>
      <c r="B1457" t="inlineStr"/>
      <c r="C1457" t="inlineStr">
        <is>
          <t>96</t>
        </is>
      </c>
      <c r="D1457" t="inlineStr">
        <is>
          <t>1</t>
        </is>
      </c>
      <c r="E1457" t="inlineStr">
        <is>
          <t>24</t>
        </is>
      </c>
      <c r="F1457" t="inlineStr">
        <is>
          <t>0</t>
        </is>
      </c>
      <c r="G1457" t="inlineStr">
        <is>
          <t>0</t>
        </is>
      </c>
      <c r="H1457" t="inlineStr">
        <is>
          <t>16², 32²</t>
        </is>
      </c>
      <c r="I1457" t="n">
        <v>4</v>
      </c>
      <c r="J1457" t="inlineStr">
        <is>
          <t>2⁸, 8¹</t>
        </is>
      </c>
      <c r="K1457">
        <f>HYPERLINK("CSG3.html#group16F3", "16F³"), =HYPERLINK("CSG3.html#group32G3", "32G³"), =HYPERLINK("CSG3.html#group32H3", "32H³")</f>
        <v/>
      </c>
      <c r="L1457">
        <f>HYPERLINK("CSG13.html#group32H13", "32H¹³"), =HYPERLINK("CSG13.html#group32Q13", "32Q¹³"), =HYPERLINK("CSG15.html#group64J15", "64J¹⁵"), =HYPERLINK("CSG15.html#group64I15", "64I¹⁵"), =HYPERLINK("CSG23.html#group96N23", "96N²³")</f>
        <v/>
      </c>
      <c r="M1457">
        <f>HYPERLINK("CSG1.html#group16D1", "16D¹"), =HYPERLINK("CSG3.html#group16F3", "16F³"), =HYPERLINK("CSG0.html#group4C0", "4C⁰"), =HYPERLINK("CSG0.html#group8B0", "8B⁰"), =HYPERLINK("CSG0.html#group8L0", "8L⁰"), =HYPERLINK("CSG0.html#group2B0", "2B⁰"), =HYPERLINK("CSG3.html#group32G3", "32G³"), =HYPERLINK("CSG0.html#group1A0", "1A⁰"), =HYPERLINK("CSG3.html#group32H3", "32H³"), =HYPERLINK("CSG2.html#group16A2", "16A²")</f>
        <v/>
      </c>
      <c r="N1457">
        <f>HYPERLINK("CSG15.html#group64I15", "64I¹⁵"), =HYPERLINK("CSG23.html#group96N23", "96N²³"), =HYPERLINK("CSG13.html#group32H13", "32H¹³"), =HYPERLINK("CSG15.html#group64J15", "64J¹⁵"), =HYPERLINK("CSG13.html#group32Q13", "32Q¹³")</f>
        <v/>
      </c>
    </row>
    <row r="1458">
      <c r="A1458" t="inlineStr">
        <is>
          <t>32K⁷</t>
        </is>
      </c>
      <c r="B1458" t="inlineStr"/>
      <c r="C1458" t="inlineStr">
        <is>
          <t>96</t>
        </is>
      </c>
      <c r="D1458" t="inlineStr">
        <is>
          <t>2</t>
        </is>
      </c>
      <c r="E1458" t="inlineStr">
        <is>
          <t>24</t>
        </is>
      </c>
      <c r="F1458" t="inlineStr">
        <is>
          <t>0</t>
        </is>
      </c>
      <c r="G1458" t="inlineStr">
        <is>
          <t>0</t>
        </is>
      </c>
      <c r="H1458" t="inlineStr">
        <is>
          <t>16², 32²</t>
        </is>
      </c>
      <c r="I1458" t="n">
        <v>4</v>
      </c>
      <c r="J1458" t="inlineStr">
        <is>
          <t>2⁸, 4⁴, 8²</t>
        </is>
      </c>
      <c r="K1458">
        <f>HYPERLINK("CSG3.html#group16E3", "16E³"), =HYPERLINK("CSG4.html#group32B4", "32B⁴"), =HYPERLINK("CSG4.html#group32A4", "32A⁴")</f>
        <v/>
      </c>
      <c r="L1458">
        <f>HYPERLINK("CSG13.html#group32F13", "32F¹³"), =HYPERLINK("CSG13.html#group32P13", "32P¹³"), =HYPERLINK("CSG15.html#group64K15", "64K¹⁵"), =HYPERLINK("CSG15.html#group64L15", "64L¹⁵"), =HYPERLINK("CSG23.html#group96AC23", "96AC²³")</f>
        <v/>
      </c>
      <c r="M1458">
        <f>HYPERLINK("CSG2.html#group16B2", "16B²"), =HYPERLINK("CSG1.html#group8A1", "8A¹"), =HYPERLINK("CSG1.html#group8C1", "8C¹"), =HYPERLINK("CSG0.html#group8D0", "8D⁰"), =HYPERLINK("CSG0.html#group4A0", "4A⁰"), =HYPERLINK("CSG0.html#group4C0", "4C⁰"), =HYPERLINK("CSG0.html#group2B0", "2B⁰"), =HYPERLINK("CSG0.html#group4F0", "4F⁰"), =HYPERLINK("CSG4.html#group32A4", "32A⁴"), =HYPERLINK("CSG0.html#group1A0", "1A⁰"), =HYPERLINK("CSG4.html#group32B4", "32B⁴"), =HYPERLINK("CSG3.html#group16E3", "16E³")</f>
        <v/>
      </c>
      <c r="N1458">
        <f>HYPERLINK("CSG23.html#group96AC23", "96AC²³"), =HYPERLINK("CSG13.html#group32P13", "32P¹³"), =HYPERLINK("CSG13.html#group32F13", "32F¹³"), =HYPERLINK("CSG15.html#group64K15", "64K¹⁵"), =HYPERLINK("CSG15.html#group64L15", "64L¹⁵")</f>
        <v/>
      </c>
    </row>
    <row r="1459">
      <c r="A1459" t="inlineStr">
        <is>
          <t>32L⁷</t>
        </is>
      </c>
      <c r="B1459" t="inlineStr"/>
      <c r="C1459" t="inlineStr">
        <is>
          <t>192</t>
        </is>
      </c>
      <c r="D1459" t="inlineStr">
        <is>
          <t>1</t>
        </is>
      </c>
      <c r="E1459" t="inlineStr">
        <is>
          <t>6</t>
        </is>
      </c>
      <c r="F1459" t="inlineStr">
        <is>
          <t>0</t>
        </is>
      </c>
      <c r="G1459" t="inlineStr">
        <is>
          <t>0</t>
        </is>
      </c>
      <c r="H1459" t="inlineStr">
        <is>
          <t>4¹⁶, 32⁴</t>
        </is>
      </c>
      <c r="I1459" t="n">
        <v>20</v>
      </c>
      <c r="J1459" t="inlineStr">
        <is>
          <t>1², 2²</t>
        </is>
      </c>
      <c r="K1459">
        <f>HYPERLINK("CSG2.html#group32B2", "32B²"), =HYPERLINK("CSG3.html#group16I3", "16I³"), =HYPERLINK("CSG3.html#group32P3", "32P³"), =HYPERLINK("CSG3.html#group32Q3", "32Q³"), =HYPERLINK("CSG4.html#group32C4", "32C⁴")</f>
        <v/>
      </c>
      <c r="L1459">
        <f>HYPERLINK("CSG13.html#group32T13", "32T¹³"), =HYPERLINK("CSG19.html#group64A19", "64A¹⁹"), =HYPERLINK("CSG21.html#group32D21", "32D²¹"), =HYPERLINK("CSG21.html#group32E21", "32E²¹")</f>
        <v/>
      </c>
      <c r="M1459">
        <f>HYPERLINK("CSG0.html#group16G0", "16G⁰"), =HYPERLINK("CSG0.html#group2A0", "2A⁰"), =HYPERLINK("CSG1.html#group16I1", "16I¹"), =HYPERLINK("CSG0.html#group4C0", "4C⁰"), =HYPERLINK("CSG1.html#group32D1", "32D¹"), =HYPERLINK("CSG0.html#group8C0", "8C⁰"), =HYPERLINK("CSG0.html#group4E0", "4E⁰"), =HYPERLINK("CSG0.html#group2B0", "2B⁰"), =HYPERLINK("CSG0.html#group4G0", "4G⁰"), =HYPERLINK("CSG0.html#group4B0", "4B⁰"), =HYPERLINK("CSG1.html#group8F1", "8F¹"), =HYPERLINK("CSG0.html#group1A0", "1A⁰"), =HYPERLINK("CSG3.html#group32Q3", "32Q³"), =HYPERLINK("CSG0.html#group16E0", "16E⁰"), =HYPERLINK("CSG0.html#group8G0", "8G⁰"), =HYPERLINK("CSG0.html#group4D0", "4D⁰"), =HYPERLINK("CSG2.html#group16D2", "16D²"), =HYPERLINK("CSG1.html#group8A1", "8A¹"), =HYPERLINK("CSG4.html#group32C4", "32C⁴"), =HYPERLINK("CSG2.html#group16C2", "16C²"), =HYPERLINK("CSG0.html#group8D0", "8D⁰"), =HYPERLINK("CSG0.html#group8B0", "8B⁰"), =HYPERLINK("CSG1.html#group8B1", "8B¹"), =HYPERLINK("CSG3.html#group16I3", "16I³"), =HYPERLINK("CSG0.html#group8H0", "8H⁰"), =HYPERLINK("CSG2.html#group32B2", "32B²"), =HYPERLINK("CSG1.html#group32C1", "32C¹"), =HYPERLINK("CSG1.html#group8C1", "8C¹"), =HYPERLINK("CSG0.html#group4A0", "4A⁰"), =HYPERLINK("CSG0.html#group16D0", "16D⁰"), =HYPERLINK("CSG1.html#group16C1", "16C¹"), =HYPERLINK("CSG0.html#group4F0", "4F⁰"), =HYPERLINK("CSG3.html#group32P3", "32P³"), =HYPERLINK("CSG0.html#group2C0", "2C⁰")</f>
        <v/>
      </c>
      <c r="N1459">
        <f>HYPERLINK("CSG21.html#group32E21", "32E²¹"), =HYPERLINK("CSG19.html#group64A19", "64A¹⁹"), =HYPERLINK("CSG21.html#group32D21", "32D²¹"), =HYPERLINK("CSG13.html#group32T13", "32T¹³")</f>
        <v/>
      </c>
    </row>
    <row r="1460">
      <c r="A1460" t="inlineStr">
        <is>
          <t>32M⁷</t>
        </is>
      </c>
      <c r="B1460" t="inlineStr"/>
      <c r="C1460" t="inlineStr">
        <is>
          <t>192</t>
        </is>
      </c>
      <c r="D1460" t="inlineStr">
        <is>
          <t>1</t>
        </is>
      </c>
      <c r="E1460" t="inlineStr">
        <is>
          <t>24</t>
        </is>
      </c>
      <c r="F1460" t="inlineStr">
        <is>
          <t>0</t>
        </is>
      </c>
      <c r="G1460" t="inlineStr">
        <is>
          <t>0</t>
        </is>
      </c>
      <c r="H1460" t="inlineStr">
        <is>
          <t>2⁸, 4⁴, 8⁴, 32⁴</t>
        </is>
      </c>
      <c r="I1460" t="n">
        <v>20</v>
      </c>
      <c r="J1460" t="inlineStr">
        <is>
          <t>1⁴, 2², 4², 8¹</t>
        </is>
      </c>
      <c r="K1460">
        <f>HYPERLINK("CSG2.html#group16J2", "16J²"), =HYPERLINK("CSG2.html#group32C2", "32C²"), =HYPERLINK("CSG3.html#group32M3", "32M³")</f>
        <v/>
      </c>
      <c r="L1460">
        <f>HYPERLINK("CSG13.html#group32U13", "32U¹³"), =HYPERLINK("CSG19.html#group32B19", "32B¹⁹"), =HYPERLINK("CSG19.html#group64B19", "64B¹⁹"), =HYPERLINK("CSG21.html#group64J21", "64J²¹"), =HYPERLINK("CSG21.html#group64K21", "64K²¹")</f>
        <v/>
      </c>
      <c r="M1460">
        <f>HYPERLINK("CSG1.html#group32A1", "32A¹"), =HYPERLINK("CSG2.html#group32C2", "32C²"), =HYPERLINK("CSG0.html#group16C0", "16C⁰"), =HYPERLINK("CSG0.html#group16D0", "16D⁰"), =HYPERLINK("CSG3.html#group32M3", "32M³"), =HYPERLINK("CSG0.html#group8C0", "8C⁰"), =HYPERLINK("CSG0.html#group2B0", "2B⁰"), =HYPERLINK("CSG0.html#group8I0", "8I⁰"), =HYPERLINK("CSG2.html#group32A2", "32A²"), =HYPERLINK("CSG0.html#group4B0", "4B⁰"), =HYPERLINK("CSG0.html#group1A0", "1A⁰"), =HYPERLINK("CSG2.html#group16J2", "16J²"), =HYPERLINK("CSG0.html#group16H0", "16H⁰")</f>
        <v/>
      </c>
      <c r="N1460">
        <f>HYPERLINK("CSG21.html#group64J21", "64J²¹"), =HYPERLINK("CSG19.html#group64B19", "64B¹⁹"), =HYPERLINK("CSG19.html#group32B19", "32B¹⁹"), =HYPERLINK("CSG21.html#group64K21", "64K²¹"), =HYPERLINK("CSG13.html#group32U13", "32U¹³")</f>
        <v/>
      </c>
    </row>
    <row r="1461">
      <c r="A1461" t="inlineStr">
        <is>
          <t>33A⁷</t>
        </is>
      </c>
      <c r="B1461" t="inlineStr"/>
      <c r="C1461" t="inlineStr">
        <is>
          <t>165</t>
        </is>
      </c>
      <c r="D1461" t="inlineStr">
        <is>
          <t>1</t>
        </is>
      </c>
      <c r="E1461" t="inlineStr">
        <is>
          <t>55</t>
        </is>
      </c>
      <c r="F1461" t="inlineStr">
        <is>
          <t>21</t>
        </is>
      </c>
      <c r="G1461" t="inlineStr">
        <is>
          <t>0</t>
        </is>
      </c>
      <c r="H1461" t="inlineStr">
        <is>
          <t>33⁵</t>
        </is>
      </c>
      <c r="I1461" t="n">
        <v>5</v>
      </c>
      <c r="J1461" t="inlineStr">
        <is>
          <t>5¹, 10⁵</t>
        </is>
      </c>
      <c r="K1461">
        <f>HYPERLINK("CSG0.html#group3A0", "3A⁰"), =HYPERLINK("CSG1.html#group11C1", "11C¹")</f>
        <v/>
      </c>
      <c r="L1461">
        <f>HYPERLINK("CSG17.html#group33C17", "33C¹⁷"), =HYPERLINK("CSG17.html#group66B17", "66B¹⁷"), =HYPERLINK("CSG18.html#group33A18", "33A¹⁸"), =HYPERLINK("CSG19.html#group33A19", "33A¹⁹"), =HYPERLINK("CSG19.html#group66D19", "66D¹⁹"), =HYPERLINK("CSG20.html#group33A20", "33A²⁰"), =HYPERLINK("CSG20.html#group66B20", "66B²⁰"), =HYPERLINK("CSG21.html#group66E21", "66E²¹"), =HYPERLINK("CSG22.html#group33A22", "33A²²"), =HYPERLINK("CSG22.html#group66D22", "66D²²")</f>
        <v/>
      </c>
      <c r="M1461">
        <f>HYPERLINK("CSG0.html#group3A0", "3A⁰"), =HYPERLINK("CSG1.html#group11C1", "11C¹"), =HYPERLINK("CSG0.html#group1A0", "1A⁰")</f>
        <v/>
      </c>
      <c r="N1461">
        <f>HYPERLINK("CSG19.html#group66D19", "66D¹⁹"), =HYPERLINK("CSG20.html#group66B20", "66B²⁰"), =HYPERLINK("CSG19.html#group33A19", "33A¹⁹"), =HYPERLINK("CSG17.html#group33C17", "33C¹⁷"), =HYPERLINK("CSG22.html#group66D22", "66D²²"), =HYPERLINK("CSG22.html#group33A22", "33A²²"), =HYPERLINK("CSG18.html#group33A18", "33A¹⁸"), =HYPERLINK("CSG17.html#group66B17", "66B¹⁷"), =HYPERLINK("CSG20.html#group33A20", "33A²⁰"), =HYPERLINK("CSG21.html#group66E21", "66E²¹")</f>
        <v/>
      </c>
    </row>
    <row r="1462">
      <c r="A1462" t="inlineStr">
        <is>
          <t>34A⁷</t>
        </is>
      </c>
      <c r="B1462" t="inlineStr"/>
      <c r="C1462" t="inlineStr">
        <is>
          <t>108</t>
        </is>
      </c>
      <c r="D1462" t="inlineStr">
        <is>
          <t>1</t>
        </is>
      </c>
      <c r="E1462" t="inlineStr">
        <is>
          <t>18</t>
        </is>
      </c>
      <c r="F1462" t="inlineStr">
        <is>
          <t>0</t>
        </is>
      </c>
      <c r="G1462" t="inlineStr">
        <is>
          <t>0</t>
        </is>
      </c>
      <c r="H1462" t="inlineStr">
        <is>
          <t>2³, 34³</t>
        </is>
      </c>
      <c r="I1462" t="n">
        <v>6</v>
      </c>
      <c r="J1462" t="inlineStr">
        <is>
          <t>1², 16¹</t>
        </is>
      </c>
      <c r="K1462">
        <f>HYPERLINK("CSG0.html#group2C0", "2C⁰"), =HYPERLINK("CSG3.html#group34B3", "34B³"), =HYPERLINK("CSG3.html#group34C3", "34C³")</f>
        <v/>
      </c>
      <c r="L1462">
        <f>HYPERLINK("CSG13.html#group34C13", "34C¹³"), =HYPERLINK("CSG15.html#group68A15", "68A¹⁵"), =HYPERLINK("CSG15.html#group68D15", "68D¹⁵")</f>
        <v/>
      </c>
      <c r="M1462">
        <f>HYPERLINK("CSG0.html#group2A0", "2A⁰"), =HYPERLINK("CSG3.html#group34C3", "34C³"), =HYPERLINK("CSG1.html#group17A1", "17A¹"), =HYPERLINK("CSG0.html#group2B0", "2B⁰"), =HYPERLINK("CSG3.html#group34B3", "34B³"), =HYPERLINK("CSG0.html#group1A0", "1A⁰"), =HYPERLINK("CSG0.html#group2C0", "2C⁰")</f>
        <v/>
      </c>
      <c r="N1462">
        <f>HYPERLINK("CSG15.html#group68A15", "68A¹⁵"), =HYPERLINK("CSG15.html#group68D15", "68D¹⁵"), =HYPERLINK("CSG13.html#group34C13", "34C¹³")</f>
        <v/>
      </c>
    </row>
    <row r="1463">
      <c r="A1463" t="inlineStr">
        <is>
          <t>34B⁷</t>
        </is>
      </c>
      <c r="B1463" t="inlineStr"/>
      <c r="C1463" t="inlineStr">
        <is>
          <t>108</t>
        </is>
      </c>
      <c r="D1463" t="inlineStr">
        <is>
          <t>1</t>
        </is>
      </c>
      <c r="E1463" t="inlineStr">
        <is>
          <t>54</t>
        </is>
      </c>
      <c r="F1463" t="inlineStr">
        <is>
          <t>0</t>
        </is>
      </c>
      <c r="G1463" t="inlineStr">
        <is>
          <t>0</t>
        </is>
      </c>
      <c r="H1463" t="inlineStr">
        <is>
          <t>2³, 34³</t>
        </is>
      </c>
      <c r="I1463" t="n">
        <v>6</v>
      </c>
      <c r="J1463" t="inlineStr">
        <is>
          <t>1⁶, 16³</t>
        </is>
      </c>
      <c r="K1463">
        <f>HYPERLINK("CSG3.html#group34A3", "34A³"), =HYPERLINK("CSG3.html#group34C3", "34C³")</f>
        <v/>
      </c>
      <c r="L1463">
        <f>HYPERLINK("CSG13.html#group34C13", "34C¹³"), =HYPERLINK("CSG15.html#group68B15", "68B¹⁵"), =HYPERLINK("CSG15.html#group68C15", "68C¹⁵")</f>
        <v/>
      </c>
      <c r="M1463">
        <f>HYPERLINK("CSG1.html#group17A1", "17A¹"), =HYPERLINK("CSG0.html#group2B0", "2B⁰"), =HYPERLINK("CSG3.html#group34C3", "34C³"), =HYPERLINK("CSG0.html#group1A0", "1A⁰"), =HYPERLINK("CSG3.html#group34A3", "34A³")</f>
        <v/>
      </c>
      <c r="N1463">
        <f>HYPERLINK("CSG15.html#group68B15", "68B¹⁵"), =HYPERLINK("CSG13.html#group34C13", "34C¹³"), =HYPERLINK("CSG15.html#group68C15", "68C¹⁵")</f>
        <v/>
      </c>
    </row>
    <row r="1464">
      <c r="A1464" t="inlineStr">
        <is>
          <t>35A⁷</t>
        </is>
      </c>
      <c r="B1464" t="inlineStr"/>
      <c r="C1464" t="inlineStr">
        <is>
          <t>105</t>
        </is>
      </c>
      <c r="D1464" t="inlineStr">
        <is>
          <t>1</t>
        </is>
      </c>
      <c r="E1464" t="inlineStr">
        <is>
          <t>105</t>
        </is>
      </c>
      <c r="F1464" t="inlineStr">
        <is>
          <t>5</t>
        </is>
      </c>
      <c r="G1464" t="inlineStr">
        <is>
          <t>0</t>
        </is>
      </c>
      <c r="H1464" t="inlineStr">
        <is>
          <t>35³</t>
        </is>
      </c>
      <c r="I1464" t="n">
        <v>3</v>
      </c>
      <c r="J1464" t="inlineStr">
        <is>
          <t>3¹, 6³, 12¹, 24³</t>
        </is>
      </c>
      <c r="K1464">
        <f>HYPERLINK("CSG0.html#group7D0", "7D⁰"), =HYPERLINK("CSG2.html#group35A2", "35A²")</f>
        <v/>
      </c>
      <c r="L1464">
        <f>HYPERLINK("CSG14.html#group35B14", "35B¹⁴"), =HYPERLINK("CSG15.html#group35A15", "35A¹⁵"), =HYPERLINK("CSG15.html#group70A15", "70A¹⁵"), =HYPERLINK("CSG16.html#group70B16", "70B¹⁶"), =HYPERLINK("CSG17.html#group70A17", "70A¹⁷"), =HYPERLINK("CSG19.html#group35C19", "35C¹⁹"), =HYPERLINK("CSG22.html#group105B22", "105B²²"), =HYPERLINK("CSG22.html#group105C22", "105C²²"), =HYPERLINK("CSG23.html#group70A23", "70A²³")</f>
        <v/>
      </c>
      <c r="M1464">
        <f>HYPERLINK("CSG0.html#group5A0", "5A⁰"), =HYPERLINK("CSG0.html#group7D0", "7D⁰"), =HYPERLINK("CSG0.html#group1A0", "1A⁰"), =HYPERLINK("CSG2.html#group35A2", "35A²"), =HYPERLINK("CSG0.html#group7A0", "7A⁰")</f>
        <v/>
      </c>
      <c r="N1464">
        <f>HYPERLINK("CSG22.html#group105C22", "105C²²"), =HYPERLINK("CSG19.html#group35C19", "35C¹⁹"), =HYPERLINK("CSG17.html#group70A17", "70A¹⁷"), =HYPERLINK("CSG15.html#group35A15", "35A¹⁵"), =HYPERLINK("CSG15.html#group70A15", "70A¹⁵"), =HYPERLINK("CSG22.html#group105B22", "105B²²"), =HYPERLINK("CSG23.html#group70A23", "70A²³"), =HYPERLINK("CSG16.html#group70B16", "70B¹⁶"), =HYPERLINK("CSG14.html#group35B14", "35B¹⁴")</f>
        <v/>
      </c>
    </row>
    <row r="1465">
      <c r="A1465" t="inlineStr">
        <is>
          <t>35B⁷</t>
        </is>
      </c>
      <c r="B1465" t="inlineStr"/>
      <c r="C1465" t="inlineStr">
        <is>
          <t>144</t>
        </is>
      </c>
      <c r="D1465" t="inlineStr">
        <is>
          <t>1</t>
        </is>
      </c>
      <c r="E1465" t="inlineStr">
        <is>
          <t>48</t>
        </is>
      </c>
      <c r="F1465" t="inlineStr">
        <is>
          <t>0</t>
        </is>
      </c>
      <c r="G1465" t="inlineStr">
        <is>
          <t>0</t>
        </is>
      </c>
      <c r="H1465" t="inlineStr">
        <is>
          <t>1³, 5³, 7³, 35³</t>
        </is>
      </c>
      <c r="I1465" t="n">
        <v>12</v>
      </c>
      <c r="J1465" t="inlineStr">
        <is>
          <t>1⁴, 4², 6², 24¹</t>
        </is>
      </c>
      <c r="K1465">
        <f>HYPERLINK("CSG0.html#group7E0", "7E⁰"), =HYPERLINK("CSG3.html#group35A3", "35A³")</f>
        <v/>
      </c>
      <c r="L1465">
        <f>HYPERLINK("CSG13.html#group35D13", "35D¹³"), =HYPERLINK("CSG19.html#group70E19", "70E¹⁹"), =HYPERLINK("CSG19.html#group70F19", "70F¹⁹")</f>
        <v/>
      </c>
      <c r="M1465">
        <f>HYPERLINK("CSG0.html#group5B0", "5B⁰"), =HYPERLINK("CSG0.html#group7B0", "7B⁰"), =HYPERLINK("CSG0.html#group7E0", "7E⁰"), =HYPERLINK("CSG0.html#group1A0", "1A⁰"), =HYPERLINK("CSG3.html#group35A3", "35A³")</f>
        <v/>
      </c>
      <c r="N1465">
        <f>HYPERLINK("CSG13.html#group35D13", "35D¹³"), =HYPERLINK("CSG19.html#group70F19", "70F¹⁹"), =HYPERLINK("CSG19.html#group70E19", "70E¹⁹")</f>
        <v/>
      </c>
    </row>
    <row r="1466">
      <c r="A1466" t="inlineStr">
        <is>
          <t>36A⁷</t>
        </is>
      </c>
      <c r="B1466" t="inlineStr"/>
      <c r="C1466" t="inlineStr">
        <is>
          <t>96</t>
        </is>
      </c>
      <c r="D1466" t="inlineStr">
        <is>
          <t>1</t>
        </is>
      </c>
      <c r="E1466" t="inlineStr">
        <is>
          <t>16</t>
        </is>
      </c>
      <c r="F1466" t="inlineStr">
        <is>
          <t>0</t>
        </is>
      </c>
      <c r="G1466" t="inlineStr">
        <is>
          <t>0</t>
        </is>
      </c>
      <c r="H1466" t="inlineStr">
        <is>
          <t>12², 36²</t>
        </is>
      </c>
      <c r="I1466" t="n">
        <v>4</v>
      </c>
      <c r="J1466" t="inlineStr">
        <is>
          <t>2⁴, 4²</t>
        </is>
      </c>
      <c r="K1466">
        <f>HYPERLINK("CSG1.html#group12I1", "12I¹"), =HYPERLINK("CSG2.html#group18B2", "18B²"), =HYPERLINK("CSG4.html#group36C4", "36C⁴")</f>
        <v/>
      </c>
      <c r="L1466">
        <f>HYPERLINK("CSG13.html#group36A13", "36A¹³"), =HYPERLINK("CSG15.html#group72A15", "72A¹⁵"), =HYPERLINK("CSG15.html#group72B15", "72B¹⁵"), =HYPERLINK("CSG19.html#group36B19", "36B¹⁹"), =HYPERLINK("CSG19.html#group36E19", "36E¹⁹"), =HYPERLINK("CSG19.html#group36F19", "36F¹⁹"), =HYPERLINK("CSG19.html#group36I19", "36I¹⁹"), =HYPERLINK("CSG19.html#group36J19", "36J¹⁹")</f>
        <v/>
      </c>
      <c r="M1466">
        <f>HYPERLINK("CSG0.html#group3B0", "3B⁰"), =HYPERLINK("CSG0.html#group2A0", "2A⁰"), =HYPERLINK("CSG2.html#group18B2", "18B²"), =HYPERLINK("CSG1.html#group12I1", "12I¹"), =HYPERLINK("CSG0.html#group4A0", "4A⁰"), =HYPERLINK("CSG0.html#group4D0", "4D⁰"), =HYPERLINK("CSG1.html#group12A1", "12A¹"), =HYPERLINK("CSG0.html#group6C0", "6C⁰"), =HYPERLINK("CSG1.html#group9A1", "9A¹"), =HYPERLINK("CSG4.html#group36C4", "36C⁴"), =HYPERLINK("CSG0.html#group1A0", "1A⁰")</f>
        <v/>
      </c>
      <c r="N1466">
        <f>HYPERLINK("CSG15.html#group72A15", "72A¹⁵"), =HYPERLINK("CSG15.html#group72B15", "72B¹⁵"), =HYPERLINK("CSG13.html#group36A13", "36A¹³"), =HYPERLINK("CSG19.html#group36E19", "36E¹⁹"), =HYPERLINK("CSG19.html#group36I19", "36I¹⁹"), =HYPERLINK("CSG19.html#group36F19", "36F¹⁹"), =HYPERLINK("CSG19.html#group36B19", "36B¹⁹"), =HYPERLINK("CSG19.html#group36J19", "36J¹⁹")</f>
        <v/>
      </c>
    </row>
    <row r="1467">
      <c r="A1467" t="inlineStr">
        <is>
          <t>36B⁷</t>
        </is>
      </c>
      <c r="B1467" t="inlineStr"/>
      <c r="C1467" t="inlineStr">
        <is>
          <t>96</t>
        </is>
      </c>
      <c r="D1467" t="inlineStr">
        <is>
          <t>1</t>
        </is>
      </c>
      <c r="E1467" t="inlineStr">
        <is>
          <t>32</t>
        </is>
      </c>
      <c r="F1467" t="inlineStr">
        <is>
          <t>0</t>
        </is>
      </c>
      <c r="G1467" t="inlineStr">
        <is>
          <t>0</t>
        </is>
      </c>
      <c r="H1467" t="inlineStr">
        <is>
          <t>12², 36²</t>
        </is>
      </c>
      <c r="I1467" t="n">
        <v>4</v>
      </c>
      <c r="J1467" t="inlineStr">
        <is>
          <t>4⁸</t>
        </is>
      </c>
      <c r="K1467">
        <f>HYPERLINK("CSG1.html#group12I1", "12I¹"), =HYPERLINK("CSG2.html#group18C2", "18C²")</f>
        <v/>
      </c>
      <c r="L1467">
        <f>HYPERLINK("CSG13.html#group36B13", "36B¹³"), =HYPERLINK("CSG15.html#group72D15", "72D¹⁵"), =HYPERLINK("CSG15.html#group72C15", "72C¹⁵"), =HYPERLINK("CSG19.html#group36A19", "36A¹⁹"), =HYPERLINK("CSG19.html#group36G19", "36G¹⁹"), =HYPERLINK("CSG19.html#group36F19", "36F¹⁹"), =HYPERLINK("CSG19.html#group36H19", "36H¹⁹")</f>
        <v/>
      </c>
      <c r="M1467">
        <f>HYPERLINK("CSG0.html#group2A0", "2A⁰"), =HYPERLINK("CSG0.html#group3B0", "3B⁰"), =HYPERLINK("CSG1.html#group12I1", "12I¹"), =HYPERLINK("CSG0.html#group4A0", "4A⁰"), =HYPERLINK("CSG0.html#group4D0", "4D⁰"), =HYPERLINK("CSG1.html#group12A1", "12A¹"), =HYPERLINK("CSG0.html#group6C0", "6C⁰"), =HYPERLINK("CSG0.html#group1A0", "1A⁰"), =HYPERLINK("CSG2.html#group18C2", "18C²")</f>
        <v/>
      </c>
      <c r="N1467">
        <f>HYPERLINK("CSG19.html#group36A19", "36A¹⁹"), =HYPERLINK("CSG15.html#group72C15", "72C¹⁵"), =HYPERLINK("CSG19.html#group36H19", "36H¹⁹"), =HYPERLINK("CSG19.html#group36G19", "36G¹⁹"), =HYPERLINK("CSG13.html#group36B13", "36B¹³"), =HYPERLINK("CSG15.html#group72D15", "72D¹⁵"), =HYPERLINK("CSG19.html#group36F19", "36F¹⁹")</f>
        <v/>
      </c>
    </row>
    <row r="1468">
      <c r="A1468" t="inlineStr">
        <is>
          <t>36C⁷</t>
        </is>
      </c>
      <c r="B1468" t="inlineStr"/>
      <c r="C1468" t="inlineStr">
        <is>
          <t>108</t>
        </is>
      </c>
      <c r="D1468" t="inlineStr">
        <is>
          <t>1</t>
        </is>
      </c>
      <c r="E1468" t="inlineStr">
        <is>
          <t>9</t>
        </is>
      </c>
      <c r="F1468" t="inlineStr">
        <is>
          <t>0</t>
        </is>
      </c>
      <c r="G1468" t="inlineStr">
        <is>
          <t>0</t>
        </is>
      </c>
      <c r="H1468" t="inlineStr">
        <is>
          <t>9⁴, 36²</t>
        </is>
      </c>
      <c r="I1468" t="n">
        <v>6</v>
      </c>
      <c r="J1468" t="inlineStr">
        <is>
          <t>1³, 2³</t>
        </is>
      </c>
      <c r="K1468">
        <f>HYPERLINK("CSG1.html#group12K1", "12K¹"), =HYPERLINK("CSG2.html#group18I2", "18I²"), =HYPERLINK("CSG3.html#group36D3", "36D³"), =HYPERLINK("CSG4.html#group36D4", "36D⁴")</f>
        <v/>
      </c>
      <c r="L1468">
        <f>HYPERLINK("CSG13.html#group36C13", "36C¹³"), =HYPERLINK("CSG15.html#group36B15", "36B¹⁵"), =HYPERLINK("CSG15.html#group36D15", "36D¹⁵"), =HYPERLINK("CSG15.html#group72F15", "72F¹⁵"), =HYPERLINK("CSG15.html#group72G15", "72G¹⁵"), =HYPERLINK("CSG19.html#group36M19", "36M¹⁹"), =HYPERLINK("CSG19.html#group36Q19", "36Q¹⁹")</f>
        <v/>
      </c>
      <c r="M1468">
        <f>HYPERLINK("CSG1.html#group12K1", "12K¹"), =HYPERLINK("CSG0.html#group6G0", "6G⁰"), =HYPERLINK("CSG0.html#group2B0", "2B⁰"), =HYPERLINK("CSG0.html#group4B0", "4B⁰"), =HYPERLINK("CSG0.html#group1A0", "1A⁰"), =HYPERLINK("CSG0.html#group9D0", "9D⁰"), =HYPERLINK("CSG0.html#group9A0", "9A⁰"), =HYPERLINK("CSG4.html#group36D4", "36D⁴"), =HYPERLINK("CSG0.html#group3C0", "3C⁰"), =HYPERLINK("CSG1.html#group12B1", "12B¹"), =HYPERLINK("CSG0.html#group12D0", "12D⁰"), =HYPERLINK("CSG1.html#group18E1", "18E¹"), =HYPERLINK("CSG0.html#group3A0", "3A⁰"), =HYPERLINK("CSG3.html#group36D3", "36D³"), =HYPERLINK("CSG2.html#group18I2", "18I²"), =HYPERLINK("CSG0.html#group6D0", "6D⁰")</f>
        <v/>
      </c>
      <c r="N1468">
        <f>HYPERLINK("CSG15.html#group72G15", "72G¹⁵"), =HYPERLINK("CSG15.html#group72F15", "72F¹⁵"), =HYPERLINK("CSG15.html#group36B15", "36B¹⁵"), =HYPERLINK("CSG15.html#group36D15", "36D¹⁵"), =HYPERLINK("CSG19.html#group36M19", "36M¹⁹"), =HYPERLINK("CSG19.html#group36Q19", "36Q¹⁹"), =HYPERLINK("CSG13.html#group36C13", "36C¹³")</f>
        <v/>
      </c>
    </row>
    <row r="1469">
      <c r="A1469" t="inlineStr">
        <is>
          <t>36D⁷</t>
        </is>
      </c>
      <c r="B1469" t="inlineStr"/>
      <c r="C1469" t="inlineStr">
        <is>
          <t>108</t>
        </is>
      </c>
      <c r="D1469" t="inlineStr">
        <is>
          <t>2</t>
        </is>
      </c>
      <c r="E1469" t="inlineStr">
        <is>
          <t>27</t>
        </is>
      </c>
      <c r="F1469" t="inlineStr">
        <is>
          <t>0</t>
        </is>
      </c>
      <c r="G1469" t="inlineStr">
        <is>
          <t>0</t>
        </is>
      </c>
      <c r="H1469" t="inlineStr">
        <is>
          <t>9⁴, 36²</t>
        </is>
      </c>
      <c r="I1469" t="n">
        <v>6</v>
      </c>
      <c r="J1469" t="inlineStr">
        <is>
          <t>2⁹, 6⁶</t>
        </is>
      </c>
      <c r="K1469">
        <f>HYPERLINK("CSG1.html#group12K1", "12K¹"), =HYPERLINK("CSG2.html#group36C2", "36C²"), =HYPERLINK("CSG3.html#group18E3", "18E³"), =HYPERLINK("CSG4.html#group36D4", "36D⁴")</f>
        <v/>
      </c>
      <c r="L1469">
        <f>HYPERLINK("CSG13.html#group36C13", "36C¹³"), =HYPERLINK("CSG15.html#group36I15", "36I¹⁵"), =HYPERLINK("CSG15.html#group36K15", "36K¹⁵"), =HYPERLINK("CSG15.html#group72S15", "72S¹⁵"), =HYPERLINK("CSG15.html#group72R15", "72R¹⁵"), =HYPERLINK("CSG19.html#group36O19", "36O¹⁹"), =HYPERLINK("CSG19.html#group36Q19", "36Q¹⁹")</f>
        <v/>
      </c>
      <c r="M1469">
        <f>HYPERLINK("CSG1.html#group12K1", "12K¹"), =HYPERLINK("CSG0.html#group6G0", "6G⁰"), =HYPERLINK("CSG0.html#group2B0", "2B⁰"), =HYPERLINK("CSG0.html#group4B0", "4B⁰"), =HYPERLINK("CSG0.html#group1A0", "1A⁰"), =HYPERLINK("CSG1.html#group9B1", "9B¹"), =HYPERLINK("CSG3.html#group18E3", "18E³"), =HYPERLINK("CSG0.html#group9A0", "9A⁰"), =HYPERLINK("CSG4.html#group36D4", "36D⁴"), =HYPERLINK("CSG0.html#group3C0", "3C⁰"), =HYPERLINK("CSG1.html#group12B1", "12B¹"), =HYPERLINK("CSG0.html#group12D0", "12D⁰"), =HYPERLINK("CSG1.html#group18E1", "18E¹"), =HYPERLINK("CSG0.html#group3A0", "3A⁰"), =HYPERLINK("CSG0.html#group6D0", "6D⁰"), =HYPERLINK("CSG2.html#group36C2", "36C²")</f>
        <v/>
      </c>
      <c r="N1469">
        <f>HYPERLINK("CSG15.html#group72R15", "72R¹⁵"), =HYPERLINK("CSG15.html#group36K15", "36K¹⁵"), =HYPERLINK("CSG15.html#group72S15", "72S¹⁵"), =HYPERLINK("CSG19.html#group36O19", "36O¹⁹"), =HYPERLINK("CSG19.html#group36Q19", "36Q¹⁹"), =HYPERLINK("CSG15.html#group36I15", "36I¹⁵"), =HYPERLINK("CSG13.html#group36C13", "36C¹³")</f>
        <v/>
      </c>
    </row>
    <row r="1470">
      <c r="A1470" t="inlineStr">
        <is>
          <t>36E⁷</t>
        </is>
      </c>
      <c r="B1470" t="inlineStr"/>
      <c r="C1470" t="inlineStr">
        <is>
          <t>108</t>
        </is>
      </c>
      <c r="D1470" t="inlineStr">
        <is>
          <t>2</t>
        </is>
      </c>
      <c r="E1470" t="inlineStr">
        <is>
          <t>27</t>
        </is>
      </c>
      <c r="F1470" t="inlineStr">
        <is>
          <t>4</t>
        </is>
      </c>
      <c r="G1470" t="inlineStr">
        <is>
          <t>0</t>
        </is>
      </c>
      <c r="H1470" t="inlineStr">
        <is>
          <t>18², 36²</t>
        </is>
      </c>
      <c r="I1470" t="n">
        <v>4</v>
      </c>
      <c r="J1470" t="inlineStr">
        <is>
          <t>2⁹, 6⁶</t>
        </is>
      </c>
      <c r="K1470">
        <f>HYPERLINK("CSG1.html#group12L1", "12L¹"), =HYPERLINK("CSG2.html#group36B2", "36B²"), =HYPERLINK("CSG3.html#group18E3", "18E³"), =HYPERLINK("CSG4.html#group36E4", "36E⁴")</f>
        <v/>
      </c>
      <c r="L1470">
        <f>HYPERLINK("CSG13.html#group36P13", "36P¹³"), =HYPERLINK("CSG15.html#group36A15", "36A¹⁵"), =HYPERLINK("CSG15.html#group36K15", "36K¹⁵"), =HYPERLINK("CSG15.html#group36M15", "36M¹⁵"), =HYPERLINK("CSG15.html#group36N15", "36N¹⁵"), =HYPERLINK("CSG15.html#group72O15", "72O¹⁵"), =HYPERLINK("CSG15.html#group72N15", "72N¹⁵"), =HYPERLINK("CSG15.html#group72V15", "72V¹⁵"), =HYPERLINK("CSG15.html#group72U15", "72U¹⁵"), =HYPERLINK("CSG17.html#group72I17", "72I¹⁷"), =HYPERLINK("CSG17.html#group72J17", "72J¹⁷"), =HYPERLINK("CSG19.html#group36R19", "36R¹⁹"), =HYPERLINK("CSG21.html#group36C21", "36C²¹")</f>
        <v/>
      </c>
      <c r="M1470">
        <f>HYPERLINK("CSG0.html#group12C0", "12C⁰"), =HYPERLINK("CSG2.html#group36B2", "36B²"), =HYPERLINK("CSG0.html#group4C0", "4C⁰"), =HYPERLINK("CSG0.html#group6G0", "6G⁰"), =HYPERLINK("CSG4.html#group36E4", "36E⁴"), =HYPERLINK("CSG0.html#group2B0", "2B⁰"), =HYPERLINK("CSG0.html#group1A0", "1A⁰"), =HYPERLINK("CSG1.html#group12L1", "12L¹"), =HYPERLINK("CSG1.html#group9B1", "9B¹"), =HYPERLINK("CSG3.html#group18E3", "18E³"), =HYPERLINK("CSG1.html#group12C1", "12C¹"), =HYPERLINK("CSG0.html#group9A0", "9A⁰"), =HYPERLINK("CSG0.html#group3C0", "3C⁰"), =HYPERLINK("CSG1.html#group18E1", "18E¹"), =HYPERLINK("CSG0.html#group3A0", "3A⁰"), =HYPERLINK("CSG0.html#group6D0", "6D⁰")</f>
        <v/>
      </c>
      <c r="N1470">
        <f>HYPERLINK("CSG15.html#group72V15", "72V¹⁵"), =HYPERLINK("CSG15.html#group36N15", "36N¹⁵"), =HYPERLINK("CSG15.html#group36K15", "36K¹⁵"), =HYPERLINK("CSG15.html#group72O15", "72O¹⁵"), =HYPERLINK("CSG15.html#group72N15", "72N¹⁵"), =HYPERLINK("CSG17.html#group72I17", "72I¹⁷"), =HYPERLINK("CSG19.html#group36R19", "36R¹⁹"), =HYPERLINK("CSG17.html#group72J17", "72J¹⁷"), =HYPERLINK("CSG15.html#group36A15", "36A¹⁵"), =HYPERLINK("CSG15.html#group36M15", "36M¹⁵"), =HYPERLINK("CSG15.html#group72U15", "72U¹⁵"), =HYPERLINK("CSG13.html#group36P13", "36P¹³"), =HYPERLINK("CSG21.html#group36C21", "36C²¹")</f>
        <v/>
      </c>
    </row>
    <row r="1471">
      <c r="A1471" t="inlineStr">
        <is>
          <t>36F⁷</t>
        </is>
      </c>
      <c r="B1471" t="inlineStr"/>
      <c r="C1471" t="inlineStr">
        <is>
          <t>108</t>
        </is>
      </c>
      <c r="D1471" t="inlineStr">
        <is>
          <t>2</t>
        </is>
      </c>
      <c r="E1471" t="inlineStr">
        <is>
          <t>27</t>
        </is>
      </c>
      <c r="F1471" t="inlineStr">
        <is>
          <t>4</t>
        </is>
      </c>
      <c r="G1471" t="inlineStr">
        <is>
          <t>0</t>
        </is>
      </c>
      <c r="H1471" t="inlineStr">
        <is>
          <t>18², 36²</t>
        </is>
      </c>
      <c r="I1471" t="n">
        <v>4</v>
      </c>
      <c r="J1471" t="inlineStr">
        <is>
          <t>2⁹, 6⁶</t>
        </is>
      </c>
      <c r="K1471">
        <f>HYPERLINK("CSG1.html#group12N1", "12N¹"), =HYPERLINK("CSG2.html#group18L2", "18L²"), =HYPERLINK("CSG3.html#group36D3", "36D³"), =HYPERLINK("CSG4.html#group36E4", "36E⁴")</f>
        <v/>
      </c>
      <c r="L1471">
        <f>HYPERLINK("CSG13.html#group36P13", "36P¹³"), =HYPERLINK("CSG15.html#group36B15", "36B¹⁵"), =HYPERLINK("CSG15.html#group36J15", "36J¹⁵"), =HYPERLINK("CSG16.html#group72R16", "72R¹⁶"), =HYPERLINK("CSG19.html#group36S19", "36S¹⁹"), =HYPERLINK("CSG21.html#group36D21", "36D²¹")</f>
        <v/>
      </c>
      <c r="M1471">
        <f>HYPERLINK("CSG0.html#group6B0", "6B⁰"), =HYPERLINK("CSG0.html#group6H0", "6H⁰"), =HYPERLINK("CSG4.html#group36E4", "36E⁴"), =HYPERLINK("CSG0.html#group2B0", "2B⁰"), =HYPERLINK("CSG1.html#group12N1", "12N¹"), =HYPERLINK("CSG0.html#group1A0", "1A⁰"), =HYPERLINK("CSG0.html#group18A0", "18A⁰"), =HYPERLINK("CSG2.html#group18L2", "18L²"), =HYPERLINK("CSG1.html#group12C1", "12C¹"), =HYPERLINK("CSG0.html#group9A0", "9A⁰"), =HYPERLINK("CSG0.html#group12D0", "12D⁰"), =HYPERLINK("CSG1.html#group18E1", "18E¹"), =HYPERLINK("CSG0.html#group3A0", "3A⁰"), =HYPERLINK("CSG3.html#group36D3", "36D³"), =HYPERLINK("CSG0.html#group6D0", "6D⁰")</f>
        <v/>
      </c>
      <c r="N1471">
        <f>HYPERLINK("CSG15.html#group36B15", "36B¹⁵"), =HYPERLINK("CSG19.html#group36S19", "36S¹⁹"), =HYPERLINK("CSG21.html#group36D21", "36D²¹"), =HYPERLINK("CSG16.html#group72R16", "72R¹⁶"), =HYPERLINK("CSG15.html#group36J15", "36J¹⁵"), =HYPERLINK("CSG13.html#group36P13", "36P¹³")</f>
        <v/>
      </c>
    </row>
    <row r="1472">
      <c r="A1472" t="inlineStr">
        <is>
          <t>36G⁷</t>
        </is>
      </c>
      <c r="B1472" t="inlineStr"/>
      <c r="C1472" t="inlineStr">
        <is>
          <t>108</t>
        </is>
      </c>
      <c r="D1472" t="inlineStr">
        <is>
          <t>2</t>
        </is>
      </c>
      <c r="E1472" t="inlineStr">
        <is>
          <t>27</t>
        </is>
      </c>
      <c r="F1472" t="inlineStr">
        <is>
          <t>4</t>
        </is>
      </c>
      <c r="G1472" t="inlineStr">
        <is>
          <t>0</t>
        </is>
      </c>
      <c r="H1472" t="inlineStr">
        <is>
          <t>18², 36²</t>
        </is>
      </c>
      <c r="I1472" t="n">
        <v>4</v>
      </c>
      <c r="J1472" t="inlineStr">
        <is>
          <t>2⁹, 6⁶</t>
        </is>
      </c>
      <c r="K1472">
        <f>HYPERLINK("CSG1.html#group12N1", "12N¹"), =HYPERLINK("CSG2.html#group36C2", "36C²"), =HYPERLINK("CSG3.html#group18D3", "18D³"), =HYPERLINK("CSG4.html#group36E4", "36E⁴")</f>
        <v/>
      </c>
      <c r="L1472">
        <f>HYPERLINK("CSG13.html#group36P13", "36P¹³"), =HYPERLINK("CSG15.html#group36C15", "36C¹⁵"), =HYPERLINK("CSG15.html#group36I15", "36I¹⁵"), =HYPERLINK("CSG16.html#group72S16", "72S¹⁶"), =HYPERLINK("CSG19.html#group36T19", "36T¹⁹"), =HYPERLINK("CSG21.html#group36D21", "36D²¹")</f>
        <v/>
      </c>
      <c r="M1472">
        <f>HYPERLINK("CSG0.html#group6B0", "6B⁰"), =HYPERLINK("CSG0.html#group6H0", "6H⁰"), =HYPERLINK("CSG1.html#group18B1", "18B¹"), =HYPERLINK("CSG4.html#group36E4", "36E⁴"), =HYPERLINK("CSG0.html#group2B0", "2B⁰"), =HYPERLINK("CSG1.html#group12N1", "12N¹"), =HYPERLINK("CSG0.html#group1A0", "1A⁰"), =HYPERLINK("CSG3.html#group18D3", "18D³"), =HYPERLINK("CSG1.html#group12C1", "12C¹"), =HYPERLINK("CSG0.html#group9A0", "9A⁰"), =HYPERLINK("CSG0.html#group12D0", "12D⁰"), =HYPERLINK("CSG1.html#group18E1", "18E¹"), =HYPERLINK("CSG0.html#group3A0", "3A⁰"), =HYPERLINK("CSG1.html#group18A1", "18A¹"), =HYPERLINK("CSG0.html#group6D0", "6D⁰"), =HYPERLINK("CSG2.html#group36C2", "36C²")</f>
        <v/>
      </c>
      <c r="N1472">
        <f>HYPERLINK("CSG15.html#group36C15", "36C¹⁵"), =HYPERLINK("CSG19.html#group36T19", "36T¹⁹"), =HYPERLINK("CSG13.html#group36P13", "36P¹³"), =HYPERLINK("CSG21.html#group36D21", "36D²¹"), =HYPERLINK("CSG16.html#group72S16", "72S¹⁶"), =HYPERLINK("CSG15.html#group36I15", "36I¹⁵")</f>
        <v/>
      </c>
    </row>
    <row r="1473">
      <c r="A1473" t="inlineStr">
        <is>
          <t>36H⁷</t>
        </is>
      </c>
      <c r="B1473" t="inlineStr"/>
      <c r="C1473" t="inlineStr">
        <is>
          <t>144</t>
        </is>
      </c>
      <c r="D1473" t="inlineStr">
        <is>
          <t>1</t>
        </is>
      </c>
      <c r="E1473" t="inlineStr">
        <is>
          <t>4</t>
        </is>
      </c>
      <c r="F1473" t="inlineStr">
        <is>
          <t>0</t>
        </is>
      </c>
      <c r="G1473" t="inlineStr">
        <is>
          <t>0</t>
        </is>
      </c>
      <c r="H1473" t="inlineStr">
        <is>
          <t>4⁹, 36³</t>
        </is>
      </c>
      <c r="I1473" t="n">
        <v>12</v>
      </c>
      <c r="J1473" t="inlineStr">
        <is>
          <t>1², 2¹</t>
        </is>
      </c>
      <c r="K1473">
        <f>HYPERLINK("CSG1.html#group18J1", "18J¹"), =HYPERLINK("CSG1.html#group36B1", "36B¹"), =HYPERLINK("CSG2.html#group12F2", "12F²"), =HYPERLINK("CSG3.html#group36A3", "36A³")</f>
        <v/>
      </c>
      <c r="L1473">
        <f>HYPERLINK("CSG13.html#group36U13", "36U¹³")</f>
        <v/>
      </c>
      <c r="M1473">
        <f>HYPERLINK("CSG0.html#group3B0", "3B⁰"), =HYPERLINK("CSG0.html#group2A0", "2A⁰"), =HYPERLINK("CSG0.html#group6I0", "6I⁰"), =HYPERLINK("CSG0.html#group6C0", "6C⁰"), =HYPERLINK("CSG0.html#group9B0", "9B⁰"), =HYPERLINK("CSG0.html#group2B0", "2B⁰"), =HYPERLINK("CSG1.html#group18J1", "18J¹"), =HYPERLINK("CSG0.html#group1A0", "1A⁰"), =HYPERLINK("CSG3.html#group36A3", "36A³"), =HYPERLINK("CSG2.html#group12F2", "12F²"), =HYPERLINK("CSG0.html#group18C0", "18C⁰"), =HYPERLINK("CSG0.html#group18E0", "18E⁰"), =HYPERLINK("CSG1.html#group18C1", "18C¹"), =HYPERLINK("CSG1.html#group36B1", "36B¹"), =HYPERLINK("CSG0.html#group6F0", "6F⁰"), =HYPERLINK("CSG0.html#group2C0", "2C⁰"), =HYPERLINK("CSG0.html#group12B0", "12B⁰")</f>
        <v/>
      </c>
      <c r="N1473">
        <f>HYPERLINK("CSG13.html#group36U13", "36U¹³")</f>
        <v/>
      </c>
    </row>
    <row r="1474">
      <c r="A1474" t="inlineStr">
        <is>
          <t>36I⁷</t>
        </is>
      </c>
      <c r="B1474" t="inlineStr"/>
      <c r="C1474" t="inlineStr">
        <is>
          <t>144</t>
        </is>
      </c>
      <c r="D1474" t="inlineStr">
        <is>
          <t>1</t>
        </is>
      </c>
      <c r="E1474" t="inlineStr">
        <is>
          <t>24</t>
        </is>
      </c>
      <c r="F1474" t="inlineStr">
        <is>
          <t>0</t>
        </is>
      </c>
      <c r="G1474" t="inlineStr">
        <is>
          <t>0</t>
        </is>
      </c>
      <c r="H1474" t="inlineStr">
        <is>
          <t>4⁹, 36³</t>
        </is>
      </c>
      <c r="I1474" t="n">
        <v>12</v>
      </c>
      <c r="J1474" t="inlineStr">
        <is>
          <t>1⁴, 2⁶, 4²</t>
        </is>
      </c>
      <c r="K1474">
        <f>HYPERLINK("CSG2.html#group12G2", "12G²"), =HYPERLINK("CSG3.html#group36B3", "36B³"), =HYPERLINK("CSG3.html#group36G3", "36G³")</f>
        <v/>
      </c>
      <c r="L1474">
        <f>HYPERLINK("CSG13.html#group36T13", "36T¹³"), =HYPERLINK("CSG15.html#group72Y15", "72Y¹⁵"), =HYPERLINK("CSG17.html#group72Q17", "72Q¹⁷"), =HYPERLINK("CSG17.html#group72R17", "72R¹⁷"), =HYPERLINK("CSG19.html#group72O19", "72O¹⁹")</f>
        <v/>
      </c>
      <c r="M1474">
        <f>HYPERLINK("CSG0.html#group3B0", "3B⁰"), =HYPERLINK("CSG0.html#group18E0", "18E⁰"), =HYPERLINK("CSG0.html#group4A0", "4A⁰"), =HYPERLINK("CSG1.html#group12F1", "12F¹"), =HYPERLINK("CSG1.html#group12A1", "12A¹"), =HYPERLINK("CSG0.html#group4C0", "4C⁰"), =HYPERLINK("CSG0.html#group6F0", "6F⁰"), =HYPERLINK("CSG0.html#group9B0", "9B⁰"), =HYPERLINK("CSG2.html#group12G2", "12G²"), =HYPERLINK("CSG0.html#group2B0", "2B⁰"), =HYPERLINK("CSG0.html#group4F0", "4F⁰"), =HYPERLINK("CSG3.html#group36B3", "36B³"), =HYPERLINK("CSG0.html#group1A0", "1A⁰"), =HYPERLINK("CSG3.html#group36G3", "36G³")</f>
        <v/>
      </c>
      <c r="N1474">
        <f>HYPERLINK("CSG17.html#group72R17", "72R¹⁷"), =HYPERLINK("CSG13.html#group36T13", "36T¹³"), =HYPERLINK("CSG19.html#group72O19", "72O¹⁹"), =HYPERLINK("CSG17.html#group72Q17", "72Q¹⁷"), =HYPERLINK("CSG15.html#group72Y15", "72Y¹⁵")</f>
        <v/>
      </c>
    </row>
    <row r="1475">
      <c r="A1475" t="inlineStr">
        <is>
          <t>36J⁷</t>
        </is>
      </c>
      <c r="B1475" t="inlineStr"/>
      <c r="C1475" t="inlineStr">
        <is>
          <t>144</t>
        </is>
      </c>
      <c r="D1475" t="inlineStr">
        <is>
          <t>1</t>
        </is>
      </c>
      <c r="E1475" t="inlineStr">
        <is>
          <t>72</t>
        </is>
      </c>
      <c r="F1475" t="inlineStr">
        <is>
          <t>8</t>
        </is>
      </c>
      <c r="G1475" t="inlineStr">
        <is>
          <t>0</t>
        </is>
      </c>
      <c r="H1475" t="inlineStr">
        <is>
          <t>12⁶, 36²</t>
        </is>
      </c>
      <c r="I1475" t="n">
        <v>8</v>
      </c>
      <c r="J1475" t="inlineStr">
        <is>
          <t>2², 4², 6², 12⁴</t>
        </is>
      </c>
      <c r="K1475">
        <f>HYPERLINK("CSG1.html#group12Q1", "12Q¹"), =HYPERLINK("CSG1.html#group18F1", "18F¹"), =HYPERLINK("CSG4.html#group36M4", "36M⁴")</f>
        <v/>
      </c>
      <c r="L1475">
        <f>HYPERLINK("CSG15.html#group36Q15", "36Q¹⁵"), =HYPERLINK("CSG15.html#group36R15", "36R¹⁵"), =HYPERLINK("CSG17.html#group36C17", "36C¹⁷"), =HYPERLINK("CSG19.html#group72S19", "72S¹⁹"), =HYPERLINK("CSG19.html#group72T19", "72T¹⁹"), =HYPERLINK("CSG23.html#group36D23", "36D²³")</f>
        <v/>
      </c>
      <c r="M1475">
        <f>HYPERLINK("CSG1.html#group12G1", "12G¹"), =HYPERLINK("CSG0.html#group12A0", "12A⁰"), =HYPERLINK("CSG0.html#group6B0", "6B⁰"), =HYPERLINK("CSG0.html#group6E0", "6E⁰"), =HYPERLINK("CSG0.html#group4A0", "4A⁰"), =HYPERLINK("CSG0.html#group12F0", "12F⁰"), =HYPERLINK("CSG4.html#group36M4", "36M⁴"), =HYPERLINK("CSG1.html#group12Q1", "12Q¹"), =HYPERLINK("CSG0.html#group3C0", "3C⁰"), =HYPERLINK("CSG1.html#group18F1", "18F¹"), =HYPERLINK("CSG0.html#group9E0", "9E⁰"), =HYPERLINK("CSG0.html#group3A0", "3A⁰"), =HYPERLINK("CSG0.html#group1A0", "1A⁰")</f>
        <v/>
      </c>
      <c r="N1475">
        <f>HYPERLINK("CSG17.html#group36C17", "36C¹⁷"), =HYPERLINK("CSG23.html#group36D23", "36D²³"), =HYPERLINK("CSG19.html#group72S19", "72S¹⁹"), =HYPERLINK("CSG15.html#group36Q15", "36Q¹⁵"), =HYPERLINK("CSG19.html#group72T19", "72T¹⁹"), =HYPERLINK("CSG15.html#group36R15", "36R¹⁵")</f>
        <v/>
      </c>
    </row>
    <row r="1476">
      <c r="A1476" t="inlineStr">
        <is>
          <t>36K⁷</t>
        </is>
      </c>
      <c r="B1476" t="inlineStr"/>
      <c r="C1476" t="inlineStr">
        <is>
          <t>144</t>
        </is>
      </c>
      <c r="D1476" t="inlineStr">
        <is>
          <t>1</t>
        </is>
      </c>
      <c r="E1476" t="inlineStr">
        <is>
          <t>144</t>
        </is>
      </c>
      <c r="F1476" t="inlineStr">
        <is>
          <t>8</t>
        </is>
      </c>
      <c r="G1476" t="inlineStr">
        <is>
          <t>0</t>
        </is>
      </c>
      <c r="H1476" t="inlineStr">
        <is>
          <t>12⁶, 36²</t>
        </is>
      </c>
      <c r="I1476" t="n">
        <v>8</v>
      </c>
      <c r="J1476" t="inlineStr">
        <is>
          <t>4⁶, 6⁴, 12⁸</t>
        </is>
      </c>
      <c r="K1476">
        <f>HYPERLINK("CSG1.html#group12Q1", "12Q¹"), =HYPERLINK("CSG1.html#group18G1", "18G¹")</f>
        <v/>
      </c>
      <c r="L1476">
        <f>HYPERLINK("CSG15.html#group36S15", "36S¹⁵"), =HYPERLINK("CSG15.html#group36T15", "36T¹⁵"), =HYPERLINK("CSG17.html#group36E17", "36E¹⁷"), =HYPERLINK("CSG19.html#group72U19", "72U¹⁹"), =HYPERLINK("CSG19.html#group72V19", "72V¹⁹"), =HYPERLINK("CSG23.html#group36D23", "36D²³")</f>
        <v/>
      </c>
      <c r="M1476">
        <f>HYPERLINK("CSG1.html#group12G1", "12G¹"), =HYPERLINK("CSG0.html#group12A0", "12A⁰"), =HYPERLINK("CSG0.html#group6B0", "6B⁰"), =HYPERLINK("CSG0.html#group6E0", "6E⁰"), =HYPERLINK("CSG0.html#group4A0", "4A⁰"), =HYPERLINK("CSG0.html#group12F0", "12F⁰"), =HYPERLINK("CSG1.html#group12Q1", "12Q¹"), =HYPERLINK("CSG0.html#group3C0", "3C⁰"), =HYPERLINK("CSG1.html#group18G1", "18G¹"), =HYPERLINK("CSG0.html#group3A0", "3A⁰"), =HYPERLINK("CSG0.html#group1A0", "1A⁰")</f>
        <v/>
      </c>
      <c r="N1476">
        <f>HYPERLINK("CSG23.html#group36D23", "36D²³"), =HYPERLINK("CSG19.html#group72U19", "72U¹⁹"), =HYPERLINK("CSG17.html#group36E17", "36E¹⁷"), =HYPERLINK("CSG15.html#group36S15", "36S¹⁵"), =HYPERLINK("CSG19.html#group72V19", "72V¹⁹"), =HYPERLINK("CSG15.html#group36T15", "36T¹⁵")</f>
        <v/>
      </c>
    </row>
    <row r="1477">
      <c r="A1477" t="inlineStr">
        <is>
          <t>36L⁷</t>
        </is>
      </c>
      <c r="B1477" t="inlineStr"/>
      <c r="C1477" t="inlineStr">
        <is>
          <t>162</t>
        </is>
      </c>
      <c r="D1477" t="inlineStr">
        <is>
          <t>1</t>
        </is>
      </c>
      <c r="E1477" t="inlineStr">
        <is>
          <t>81</t>
        </is>
      </c>
      <c r="F1477" t="inlineStr">
        <is>
          <t>12</t>
        </is>
      </c>
      <c r="G1477" t="inlineStr">
        <is>
          <t>0</t>
        </is>
      </c>
      <c r="H1477" t="inlineStr">
        <is>
          <t>9⁶, 36³</t>
        </is>
      </c>
      <c r="I1477" t="n">
        <v>9</v>
      </c>
      <c r="J1477" t="inlineStr">
        <is>
          <t>3³, 6¹²</t>
        </is>
      </c>
      <c r="K1477">
        <f>HYPERLINK("CSG2.html#group36C2", "36C²"), =HYPERLINK("CSG3.html#group18J3", "18J³")</f>
        <v/>
      </c>
      <c r="L1477">
        <f>HYPERLINK("CSG16.html#group36H16", "36H¹⁶"), =HYPERLINK("CSG16.html#group36I16", "36I¹⁶"), =HYPERLINK("CSG19.html#group36O19", "36O¹⁹"), =HYPERLINK("CSG19.html#group36T19", "36T¹⁹"), =HYPERLINK("CSG22.html#group36E22", "36E²²")</f>
        <v/>
      </c>
      <c r="M1477">
        <f>HYPERLINK("CSG3.html#group18J3", "18J³"), =HYPERLINK("CSG0.html#group9A0", "9A⁰"), =HYPERLINK("CSG0.html#group9G0", "9G⁰"), =HYPERLINK("CSG0.html#group2B0", "2B⁰"), =HYPERLINK("CSG0.html#group12D0", "12D⁰"), =HYPERLINK("CSG1.html#group18E1", "18E¹"), =HYPERLINK("CSG0.html#group3A0", "3A⁰"), =HYPERLINK("CSG0.html#group1A0", "1A⁰"), =HYPERLINK("CSG0.html#group6D0", "6D⁰"), =HYPERLINK("CSG2.html#group36C2", "36C²")</f>
        <v/>
      </c>
      <c r="N1477">
        <f>HYPERLINK("CSG19.html#group36T19", "36T¹⁹"), =HYPERLINK("CSG16.html#group36I16", "36I¹⁶"), =HYPERLINK("CSG19.html#group36O19", "36O¹⁹"), =HYPERLINK("CSG16.html#group36H16", "36H¹⁶"), =HYPERLINK("CSG22.html#group36E22", "36E²²")</f>
        <v/>
      </c>
    </row>
    <row r="1478">
      <c r="A1478" t="inlineStr">
        <is>
          <t>36M⁷</t>
        </is>
      </c>
      <c r="B1478" t="inlineStr"/>
      <c r="C1478" t="inlineStr">
        <is>
          <t>192</t>
        </is>
      </c>
      <c r="D1478" t="inlineStr">
        <is>
          <t>1</t>
        </is>
      </c>
      <c r="E1478" t="inlineStr">
        <is>
          <t>32</t>
        </is>
      </c>
      <c r="F1478" t="inlineStr">
        <is>
          <t>0</t>
        </is>
      </c>
      <c r="G1478" t="inlineStr">
        <is>
          <t>6</t>
        </is>
      </c>
      <c r="H1478" t="inlineStr">
        <is>
          <t>4¹², 36⁴</t>
        </is>
      </c>
      <c r="I1478" t="n">
        <v>16</v>
      </c>
      <c r="J1478" t="inlineStr">
        <is>
          <t>4⁸</t>
        </is>
      </c>
      <c r="K1478">
        <f>HYPERLINK("CSG1.html#group12R1", "12R¹"), =HYPERLINK("CSG1.html#group36B1", "36B¹"), =HYPERLINK("CSG4.html#group36O4", "36O⁴")</f>
        <v/>
      </c>
      <c r="L1478">
        <f>HYPERLINK("CSG21.html#group72Z21", "72Z²¹")</f>
        <v/>
      </c>
      <c r="M1478">
        <f>HYPERLINK("CSG0.html#group18C0", "18C⁰"), =HYPERLINK("CSG0.html#group3B0", "3B⁰"), =HYPERLINK("CSG0.html#group2A0", "2A⁰"), =HYPERLINK("CSG1.html#group12I1", "12I¹"), =HYPERLINK("CSG0.html#group4A0", "4A⁰"), =HYPERLINK("CSG0.html#group4D0", "4D⁰"), =HYPERLINK("CSG1.html#group12A1", "12A¹"), =HYPERLINK("CSG0.html#group6C0", "6C⁰"), =HYPERLINK("CSG1.html#group36B1", "36B¹"), =HYPERLINK("CSG1.html#group12R1", "12R¹"), =HYPERLINK("CSG4.html#group36O4", "36O⁴"), =HYPERLINK("CSG0.html#group1A0", "1A⁰"), =HYPERLINK("CSG0.html#group12B0", "12B⁰")</f>
        <v/>
      </c>
      <c r="N1478">
        <f>HYPERLINK("CSG21.html#group72Z21", "72Z²¹")</f>
        <v/>
      </c>
    </row>
    <row r="1479">
      <c r="A1479" t="inlineStr">
        <is>
          <t>36N⁷</t>
        </is>
      </c>
      <c r="B1479" t="inlineStr"/>
      <c r="C1479" t="inlineStr">
        <is>
          <t>216</t>
        </is>
      </c>
      <c r="D1479" t="inlineStr">
        <is>
          <t>1</t>
        </is>
      </c>
      <c r="E1479" t="inlineStr">
        <is>
          <t>18</t>
        </is>
      </c>
      <c r="F1479" t="inlineStr">
        <is>
          <t>0</t>
        </is>
      </c>
      <c r="G1479" t="inlineStr">
        <is>
          <t>0</t>
        </is>
      </c>
      <c r="H1479" t="inlineStr">
        <is>
          <t>3¹², 9⁴, 12⁶, 36²</t>
        </is>
      </c>
      <c r="I1479" t="n">
        <v>24</v>
      </c>
      <c r="J1479" t="inlineStr">
        <is>
          <t>1⁶, 2⁶</t>
        </is>
      </c>
      <c r="K1479">
        <f>HYPERLINK("CSG1.html#group12S1", "12S¹"), =HYPERLINK("CSG2.html#group18P2", "18P²"), =HYPERLINK("CSG3.html#group36I3", "36I³"), =HYPERLINK("CSG4.html#group36Q4", "36Q⁴")</f>
        <v/>
      </c>
      <c r="L1479">
        <f>HYPERLINK("CSG17.html#group36K17", "36K¹⁷"), =HYPERLINK("CSG17.html#group72X17", "72X¹⁷"), =HYPERLINK("CSG21.html#group36E21", "36E²¹"), =HYPERLINK("CSG21.html#group72AB21", "72AB²¹")</f>
        <v/>
      </c>
      <c r="M1479">
        <f>HYPERLINK("CSG0.html#group3B0", "3B⁰"), =HYPERLINK("CSG1.html#group12K1", "12K¹"), =HYPERLINK("CSG1.html#group18I1", "18I¹"), =HYPERLINK("CSG0.html#group6G0", "6G⁰"), =HYPERLINK("CSG1.html#group12S1", "12S¹"), =HYPERLINK("CSG0.html#group2B0", "2B⁰"), =HYPERLINK("CSG0.html#group9E0", "9E⁰"), =HYPERLINK("CSG0.html#group4B0", "4B⁰"), =HYPERLINK("CSG0.html#group1A0", "1A⁰"), =HYPERLINK("CSG0.html#group3D0", "3D⁰"), =HYPERLINK("CSG0.html#group12G0", "12G⁰"), =HYPERLINK("CSG0.html#group12E0", "12E⁰"), =HYPERLINK("CSG4.html#group36Q4", "36Q⁴"), =HYPERLINK("CSG2.html#group18P2", "18P²"), =HYPERLINK("CSG0.html#group3C0", "3C⁰"), =HYPERLINK("CSG1.html#group12B1", "12B¹"), =HYPERLINK("CSG0.html#group12D0", "12D⁰"), =HYPERLINK("CSG3.html#group36I3", "36I³"), =HYPERLINK("CSG0.html#group6K0", "6K⁰"), =HYPERLINK("CSG0.html#group3A0", "3A⁰"), =HYPERLINK("CSG0.html#group9H0", "9H⁰"), =HYPERLINK("CSG0.html#group6F0", "6F⁰"), =HYPERLINK("CSG0.html#group6D0", "6D⁰")</f>
        <v/>
      </c>
      <c r="N1479">
        <f>HYPERLINK("CSG21.html#group72AB21", "72AB²¹"), =HYPERLINK("CSG17.html#group36K17", "36K¹⁷"), =HYPERLINK("CSG17.html#group72X17", "72X¹⁷"), =HYPERLINK("CSG21.html#group36E21", "36E²¹")</f>
        <v/>
      </c>
    </row>
    <row r="1480">
      <c r="A1480" t="inlineStr">
        <is>
          <t>36O⁷</t>
        </is>
      </c>
      <c r="B1480" t="inlineStr"/>
      <c r="C1480" t="inlineStr">
        <is>
          <t>216</t>
        </is>
      </c>
      <c r="D1480" t="inlineStr">
        <is>
          <t>1</t>
        </is>
      </c>
      <c r="E1480" t="inlineStr">
        <is>
          <t>36</t>
        </is>
      </c>
      <c r="F1480" t="inlineStr">
        <is>
          <t>0</t>
        </is>
      </c>
      <c r="G1480" t="inlineStr">
        <is>
          <t>0</t>
        </is>
      </c>
      <c r="H1480" t="inlineStr">
        <is>
          <t>1⁶, 3⁴, 4³, 9⁶, 12², 36³</t>
        </is>
      </c>
      <c r="I1480" t="n">
        <v>24</v>
      </c>
      <c r="J1480" t="inlineStr">
        <is>
          <t>1⁶, 2⁶, 6³</t>
        </is>
      </c>
      <c r="K1480">
        <f>HYPERLINK("CSG1.html#group36C1", "36C¹"), =HYPERLINK("CSG2.html#group18Q2", "18Q²")</f>
        <v/>
      </c>
      <c r="L1480">
        <f>HYPERLINK("CSG17.html#group36L17", "36L¹⁷"), =HYPERLINK("CSG17.html#group72Y17", "72Y¹⁷"), =HYPERLINK("CSG21.html#group36F21", "36F²¹"), =HYPERLINK("CSG21.html#group72AC21", "72AC²¹")</f>
        <v/>
      </c>
      <c r="M1480">
        <f>HYPERLINK("CSG0.html#group3B0", "3B⁰"), =HYPERLINK("CSG0.html#group18E0", "18E⁰"), =HYPERLINK("CSG2.html#group18Q2", "18Q²"), =HYPERLINK("CSG0.html#group6F0", "6F⁰"), =HYPERLINK("CSG0.html#group9B0", "9B⁰"), =HYPERLINK("CSG0.html#group9I0", "9I⁰"), =HYPERLINK("CSG0.html#group2B0", "2B⁰"), =HYPERLINK("CSG1.html#group36C1", "36C¹"), =HYPERLINK("CSG0.html#group4B0", "4B⁰"), =HYPERLINK("CSG0.html#group1A0", "1A⁰"), =HYPERLINK("CSG0.html#group12E0", "12E⁰")</f>
        <v/>
      </c>
      <c r="N1480">
        <f>HYPERLINK("CSG17.html#group72Y17", "72Y¹⁷"), =HYPERLINK("CSG21.html#group36F21", "36F²¹"), =HYPERLINK("CSG21.html#group72AC21", "72AC²¹"), =HYPERLINK("CSG17.html#group36L17", "36L¹⁷")</f>
        <v/>
      </c>
    </row>
    <row r="1481">
      <c r="A1481" t="inlineStr">
        <is>
          <t>38A⁷</t>
        </is>
      </c>
      <c r="B1481" t="inlineStr"/>
      <c r="C1481" t="inlineStr">
        <is>
          <t>114</t>
        </is>
      </c>
      <c r="D1481" t="inlineStr">
        <is>
          <t>2</t>
        </is>
      </c>
      <c r="E1481" t="inlineStr">
        <is>
          <t>57</t>
        </is>
      </c>
      <c r="F1481" t="inlineStr">
        <is>
          <t>0</t>
        </is>
      </c>
      <c r="G1481" t="inlineStr">
        <is>
          <t>6</t>
        </is>
      </c>
      <c r="H1481" t="inlineStr">
        <is>
          <t>38³</t>
        </is>
      </c>
      <c r="I1481" t="n">
        <v>3</v>
      </c>
      <c r="J1481" t="inlineStr">
        <is>
          <t>6¹, 18⁶</t>
        </is>
      </c>
      <c r="K1481">
        <f>HYPERLINK("CSG0.html#group2A0", "2A⁰"), =HYPERLINK("CSG2.html#group19A2", "19A²")</f>
        <v/>
      </c>
      <c r="L1481" t="inlineStr"/>
      <c r="M1481">
        <f>HYPERLINK("CSG2.html#group19A2", "19A²"), =HYPERLINK("CSG0.html#group2A0", "2A⁰"), =HYPERLINK("CSG0.html#group1A0", "1A⁰")</f>
        <v/>
      </c>
      <c r="N1481" t="inlineStr"/>
    </row>
    <row r="1482">
      <c r="A1482" t="inlineStr">
        <is>
          <t>40A⁷</t>
        </is>
      </c>
      <c r="B1482" t="inlineStr"/>
      <c r="C1482" t="inlineStr">
        <is>
          <t>96</t>
        </is>
      </c>
      <c r="D1482" t="inlineStr">
        <is>
          <t>1</t>
        </is>
      </c>
      <c r="E1482" t="inlineStr">
        <is>
          <t>24</t>
        </is>
      </c>
      <c r="F1482" t="inlineStr">
        <is>
          <t>0</t>
        </is>
      </c>
      <c r="G1482" t="inlineStr">
        <is>
          <t>0</t>
        </is>
      </c>
      <c r="H1482" t="inlineStr">
        <is>
          <t>8², 40²</t>
        </is>
      </c>
      <c r="I1482" t="n">
        <v>4</v>
      </c>
      <c r="J1482" t="inlineStr">
        <is>
          <t>2⁴, 8²</t>
        </is>
      </c>
      <c r="K1482">
        <f>HYPERLINK("CSG3.html#group20C3", "20C³"), =HYPERLINK("CSG3.html#group40A3", "40A³")</f>
        <v/>
      </c>
      <c r="L1482">
        <f>HYPERLINK("CSG13.html#group40C13", "40C¹³"), =HYPERLINK("CSG15.html#group80C15", "80C¹⁵"), =HYPERLINK("CSG19.html#group40A19", "40A¹⁹"), =HYPERLINK("CSG23.html#group120A23", "120A²³"), =HYPERLINK("CSG23.html#group120C23", "120C²³")</f>
        <v/>
      </c>
      <c r="M1482">
        <f>HYPERLINK("CSG0.html#group2A0", "2A⁰"), =HYPERLINK("CSG3.html#group40A3", "40A³"), =HYPERLINK("CSG0.html#group4A0", "4A⁰"), =HYPERLINK("CSG0.html#group4D0", "4D⁰"), =HYPERLINK("CSG3.html#group20C3", "20C³"), =HYPERLINK("CSG0.html#group5B0", "5B⁰"), =HYPERLINK("CSG1.html#group10A1", "10A¹"), =HYPERLINK("CSG0.html#group1A0", "1A⁰"), =HYPERLINK("CSG1.html#group20B1", "20B¹")</f>
        <v/>
      </c>
      <c r="N1482">
        <f>HYPERLINK("CSG15.html#group80C15", "80C¹⁵"), =HYPERLINK("CSG13.html#group40C13", "40C¹³"), =HYPERLINK("CSG19.html#group40A19", "40A¹⁹"), =HYPERLINK("CSG23.html#group120C23", "120C²³"), =HYPERLINK("CSG23.html#group120A23", "120A²³")</f>
        <v/>
      </c>
    </row>
    <row r="1483">
      <c r="A1483" t="inlineStr">
        <is>
          <t>40B⁷</t>
        </is>
      </c>
      <c r="B1483" t="inlineStr"/>
      <c r="C1483" t="inlineStr">
        <is>
          <t>96</t>
        </is>
      </c>
      <c r="D1483" t="inlineStr">
        <is>
          <t>1</t>
        </is>
      </c>
      <c r="E1483" t="inlineStr">
        <is>
          <t>24</t>
        </is>
      </c>
      <c r="F1483" t="inlineStr">
        <is>
          <t>0</t>
        </is>
      </c>
      <c r="G1483" t="inlineStr">
        <is>
          <t>0</t>
        </is>
      </c>
      <c r="H1483" t="inlineStr">
        <is>
          <t>8², 40²</t>
        </is>
      </c>
      <c r="I1483" t="n">
        <v>4</v>
      </c>
      <c r="J1483" t="inlineStr">
        <is>
          <t>2⁴, 8²</t>
        </is>
      </c>
      <c r="K1483">
        <f>HYPERLINK("CSG0.html#group8E0", "8E⁰"), =HYPERLINK("CSG3.html#group20C3", "20C³"), =HYPERLINK("CSG3.html#group40B3", "40B³")</f>
        <v/>
      </c>
      <c r="L1483">
        <f>HYPERLINK("CSG13.html#group40C13", "40C¹³"), =HYPERLINK("CSG15.html#group80A15", "80A¹⁵"), =HYPERLINK("CSG15.html#group80B15", "80B¹⁵"), =HYPERLINK("CSG19.html#group40B19", "40B¹⁹"), =HYPERLINK("CSG23.html#group120B23", "120B²³"), =HYPERLINK("CSG23.html#group120D23", "120D²³")</f>
        <v/>
      </c>
      <c r="M1483">
        <f>HYPERLINK("CSG0.html#group2A0", "2A⁰"), =HYPERLINK("CSG0.html#group4A0", "4A⁰"), =HYPERLINK("CSG0.html#group4D0", "4D⁰"), =HYPERLINK("CSG3.html#group40B3", "40B³"), =HYPERLINK("CSG3.html#group20C3", "20C³"), =HYPERLINK("CSG0.html#group8A0", "8A⁰"), =HYPERLINK("CSG0.html#group5B0", "5B⁰"), =HYPERLINK("CSG0.html#group8E0", "8E⁰"), =HYPERLINK("CSG1.html#group10A1", "10A¹"), =HYPERLINK("CSG0.html#group1A0", "1A⁰"), =HYPERLINK("CSG1.html#group20B1", "20B¹")</f>
        <v/>
      </c>
      <c r="N1483">
        <f>HYPERLINK("CSG23.html#group120D23", "120D²³"), =HYPERLINK("CSG15.html#group80B15", "80B¹⁵"), =HYPERLINK("CSG13.html#group40C13", "40C¹³"), =HYPERLINK("CSG15.html#group80A15", "80A¹⁵"), =HYPERLINK("CSG19.html#group40B19", "40B¹⁹"), =HYPERLINK("CSG23.html#group120B23", "120B²³")</f>
        <v/>
      </c>
    </row>
    <row r="1484">
      <c r="A1484" t="inlineStr">
        <is>
          <t>40C⁷</t>
        </is>
      </c>
      <c r="B1484" t="inlineStr"/>
      <c r="C1484" t="inlineStr">
        <is>
          <t>96</t>
        </is>
      </c>
      <c r="D1484" t="inlineStr">
        <is>
          <t>2</t>
        </is>
      </c>
      <c r="E1484" t="inlineStr">
        <is>
          <t>24</t>
        </is>
      </c>
      <c r="F1484" t="inlineStr">
        <is>
          <t>0</t>
        </is>
      </c>
      <c r="G1484" t="inlineStr">
        <is>
          <t>0</t>
        </is>
      </c>
      <c r="H1484" t="inlineStr">
        <is>
          <t>8², 40²</t>
        </is>
      </c>
      <c r="I1484" t="n">
        <v>4</v>
      </c>
      <c r="J1484" t="inlineStr">
        <is>
          <t>4⁴, 16²</t>
        </is>
      </c>
      <c r="K1484">
        <f>HYPERLINK("CSG3.html#group20B3", "20B³"), =HYPERLINK("CSG3.html#group40A3", "40A³"), =HYPERLINK("CSG3.html#group40B3", "40B³")</f>
        <v/>
      </c>
      <c r="L1484">
        <f>HYPERLINK("CSG13.html#group40C13", "40C¹³"), =HYPERLINK("CSG15.html#group80D15", "80D¹⁵"), =HYPERLINK("CSG19.html#group40H19", "40H¹⁹"), =HYPERLINK("CSG23.html#group120I23", "120I²³")</f>
        <v/>
      </c>
      <c r="M1484">
        <f>HYPERLINK("CSG3.html#group40A3", "40A³"), =HYPERLINK("CSG0.html#group4A0", "4A⁰"), =HYPERLINK("CSG3.html#group40B3", "40B³"), =HYPERLINK("CSG0.html#group5B0", "5B⁰"), =HYPERLINK("CSG0.html#group8A0", "8A⁰"), =HYPERLINK("CSG0.html#group5D0", "5D⁰"), =HYPERLINK("CSG0.html#group1A0", "1A⁰"), =HYPERLINK("CSG3.html#group20B3", "20B³"), =HYPERLINK("CSG1.html#group20B1", "20B¹")</f>
        <v/>
      </c>
      <c r="N1484">
        <f>HYPERLINK("CSG15.html#group80D15", "80D¹⁵"), =HYPERLINK("CSG23.html#group120I23", "120I²³"), =HYPERLINK("CSG19.html#group40H19", "40H¹⁹"), =HYPERLINK("CSG13.html#group40C13", "40C¹³")</f>
        <v/>
      </c>
    </row>
    <row r="1485">
      <c r="A1485" t="inlineStr">
        <is>
          <t>40D⁷</t>
        </is>
      </c>
      <c r="B1485" t="inlineStr"/>
      <c r="C1485" t="inlineStr">
        <is>
          <t>120</t>
        </is>
      </c>
      <c r="D1485" t="inlineStr">
        <is>
          <t>1</t>
        </is>
      </c>
      <c r="E1485" t="inlineStr">
        <is>
          <t>30</t>
        </is>
      </c>
      <c r="F1485" t="inlineStr">
        <is>
          <t>8</t>
        </is>
      </c>
      <c r="G1485" t="inlineStr">
        <is>
          <t>0</t>
        </is>
      </c>
      <c r="H1485" t="inlineStr">
        <is>
          <t>20², 40²</t>
        </is>
      </c>
      <c r="I1485" t="n">
        <v>4</v>
      </c>
      <c r="J1485" t="inlineStr">
        <is>
          <t>2³, 4⁶</t>
        </is>
      </c>
      <c r="K1485">
        <f>HYPERLINK("CSG3.html#group20F3", "20F³")</f>
        <v/>
      </c>
      <c r="L1485">
        <f>HYPERLINK("CSG13.html#group40F13", "40F¹³"), =HYPERLINK("CSG15.html#group40H15", "40H¹⁵"), =HYPERLINK("CSG15.html#group40F15", "40F¹⁵"), =HYPERLINK("CSG17.html#group40C17", "40C¹⁷"), =HYPERLINK("CSG17.html#group40F17", "40F¹⁷"), =HYPERLINK("CSG17.html#group80Q17", "80Q¹⁷"), =HYPERLINK("CSG17.html#group80R17", "80R¹⁷"), =HYPERLINK("CSG17.html#group80T17", "80T¹⁷"), =HYPERLINK("CSG23.html#group40C23", "40C²³"), =HYPERLINK("CSG23.html#group120M23", "120M²³")</f>
        <v/>
      </c>
      <c r="M1485">
        <f>HYPERLINK("CSG0.html#group1A0", "1A⁰"), =HYPERLINK("CSG0.html#group2B0", "2B⁰"), =HYPERLINK("CSG0.html#group5C0", "5C⁰"), =HYPERLINK("CSG3.html#group20F3", "20F³"), =HYPERLINK("CSG0.html#group4C0", "4C⁰"), =HYPERLINK("CSG1.html#group10F1", "10F¹")</f>
        <v/>
      </c>
      <c r="N1485">
        <f>HYPERLINK("CSG17.html#group80T17", "80T¹⁷"), =HYPERLINK("CSG17.html#group40C17", "40C¹⁷"), =HYPERLINK("CSG23.html#group120M23", "120M²³"), =HYPERLINK("CSG15.html#group40F15", "40F¹⁵"), =HYPERLINK("CSG17.html#group80Q17", "80Q¹⁷"), =HYPERLINK("CSG17.html#group40F17", "40F¹⁷"), =HYPERLINK("CSG23.html#group40C23", "40C²³"), =HYPERLINK("CSG13.html#group40F13", "40F¹³"), =HYPERLINK("CSG15.html#group40H15", "40H¹⁵"), =HYPERLINK("CSG17.html#group80R17", "80R¹⁷")</f>
        <v/>
      </c>
    </row>
    <row r="1486">
      <c r="A1486" t="inlineStr">
        <is>
          <t>40E⁷</t>
        </is>
      </c>
      <c r="B1486" t="inlineStr"/>
      <c r="C1486" t="inlineStr">
        <is>
          <t>120</t>
        </is>
      </c>
      <c r="D1486" t="inlineStr">
        <is>
          <t>1</t>
        </is>
      </c>
      <c r="E1486" t="inlineStr">
        <is>
          <t>30</t>
        </is>
      </c>
      <c r="F1486" t="inlineStr">
        <is>
          <t>8</t>
        </is>
      </c>
      <c r="G1486" t="inlineStr">
        <is>
          <t>0</t>
        </is>
      </c>
      <c r="H1486" t="inlineStr">
        <is>
          <t>20², 40²</t>
        </is>
      </c>
      <c r="I1486" t="n">
        <v>4</v>
      </c>
      <c r="J1486" t="inlineStr">
        <is>
          <t>2³, 4⁶</t>
        </is>
      </c>
      <c r="K1486">
        <f>HYPERLINK("CSG0.html#group8B0", "8B⁰"), =HYPERLINK("CSG3.html#group20F3", "20F³")</f>
        <v/>
      </c>
      <c r="L1486">
        <f>HYPERLINK("CSG13.html#group40F13", "40F¹³"), =HYPERLINK("CSG15.html#group40G15", "40G¹⁵"), =HYPERLINK("CSG15.html#group40I15", "40I¹⁵"), =HYPERLINK("CSG15.html#group40R15", "40R¹⁵"), =HYPERLINK("CSG15.html#group40S15", "40S¹⁵"), =HYPERLINK("CSG15.html#group80E15", "80E¹⁵"), =HYPERLINK("CSG15.html#group80F15", "80F¹⁵"), =HYPERLINK("CSG17.html#group40D17", "40D¹⁷"), =HYPERLINK("CSG17.html#group40E17", "40E¹⁷"), =HYPERLINK("CSG17.html#group80H17", "80H¹⁷"), =HYPERLINK("CSG17.html#group80I17", "80I¹⁷"), =HYPERLINK("CSG17.html#group80O17", "80O¹⁷"), =HYPERLINK("CSG17.html#group80P17", "80P¹⁷"), =HYPERLINK("CSG19.html#group80D19", "80D¹⁹"), =HYPERLINK("CSG19.html#group80E19", "80E¹⁹"), =HYPERLINK("CSG23.html#group40D23", "40D²³"), =HYPERLINK("CSG23.html#group120N23", "120N²³")</f>
        <v/>
      </c>
      <c r="M1486">
        <f>HYPERLINK("CSG0.html#group4C0", "4C⁰"), =HYPERLINK("CSG0.html#group5C0", "5C⁰"), =HYPERLINK("CSG0.html#group8B0", "8B⁰"), =HYPERLINK("CSG0.html#group2B0", "2B⁰"), =HYPERLINK("CSG0.html#group1A0", "1A⁰"), =HYPERLINK("CSG3.html#group20F3", "20F³"), =HYPERLINK("CSG1.html#group10F1", "10F¹")</f>
        <v/>
      </c>
      <c r="N1486">
        <f>HYPERLINK("CSG23.html#group120N23", "120N²³"), =HYPERLINK("CSG17.html#group40E17", "40E¹⁷"), =HYPERLINK("CSG15.html#group80F15", "80F¹⁵"), =HYPERLINK("CSG17.html#group80O17", "80O¹⁷"), =HYPERLINK("CSG15.html#group80E15", "80E¹⁵"), =HYPERLINK("CSG17.html#group80H17", "80H¹⁷"), =HYPERLINK("CSG15.html#group40G15", "40G¹⁵"), =HYPERLINK("CSG15.html#group40R15", "40R¹⁵"), =HYPERLINK("CSG17.html#group80I17", "80I¹⁷"), =HYPERLINK("CSG15.html#group40I15", "40I¹⁵"), =HYPERLINK("CSG15.html#group40S15", "40S¹⁵"), =HYPERLINK("CSG17.html#group80P17", "80P¹⁷"), =HYPERLINK("CSG13.html#group40F13", "40F¹³"), =HYPERLINK("CSG19.html#group80D19", "80D¹⁹"), =HYPERLINK("CSG23.html#group40D23", "40D²³"), =HYPERLINK("CSG19.html#group80E19", "80E¹⁹"), =HYPERLINK("CSG17.html#group40D17", "40D¹⁷")</f>
        <v/>
      </c>
    </row>
    <row r="1487">
      <c r="A1487" t="inlineStr">
        <is>
          <t>40F⁷</t>
        </is>
      </c>
      <c r="B1487" t="inlineStr"/>
      <c r="C1487" t="inlineStr">
        <is>
          <t>120</t>
        </is>
      </c>
      <c r="D1487" t="inlineStr">
        <is>
          <t>1</t>
        </is>
      </c>
      <c r="E1487" t="inlineStr">
        <is>
          <t>60</t>
        </is>
      </c>
      <c r="F1487" t="inlineStr">
        <is>
          <t>0</t>
        </is>
      </c>
      <c r="G1487" t="inlineStr">
        <is>
          <t>0</t>
        </is>
      </c>
      <c r="H1487" t="inlineStr">
        <is>
          <t>5⁴, 10², 40²</t>
        </is>
      </c>
      <c r="I1487" t="n">
        <v>8</v>
      </c>
      <c r="J1487" t="inlineStr">
        <is>
          <t>2⁴, 4⁹, 8²</t>
        </is>
      </c>
      <c r="K1487">
        <f>HYPERLINK("CSG3.html#group20E3", "20E³")</f>
        <v/>
      </c>
      <c r="L1487">
        <f>HYPERLINK("CSG13.html#group40G13", "40G¹³"), =HYPERLINK("CSG15.html#group40B15", "40B¹⁵"), =HYPERLINK("CSG15.html#group40E15", "40E¹⁵"), =HYPERLINK("CSG15.html#group80M15", "80M¹⁵"), =HYPERLINK("CSG17.html#group80S17", "80S¹⁷"), =HYPERLINK("CSG19.html#group40L19", "40L¹⁹")</f>
        <v/>
      </c>
      <c r="M1487">
        <f>HYPERLINK("CSG0.html#group2B0", "2B⁰"), =HYPERLINK("CSG0.html#group4B0", "4B⁰"), =HYPERLINK("CSG0.html#group1A0", "1A⁰"), =HYPERLINK("CSG3.html#group20E3", "20E³"), =HYPERLINK("CSG0.html#group5C0", "5C⁰"), =HYPERLINK("CSG1.html#group10F1", "10F¹")</f>
        <v/>
      </c>
      <c r="N1487">
        <f>HYPERLINK("CSG15.html#group80M15", "80M¹⁵"), =HYPERLINK("CSG17.html#group80S17", "80S¹⁷"), =HYPERLINK("CSG15.html#group40B15", "40B¹⁵"), =HYPERLINK("CSG19.html#group40L19", "40L¹⁹"), =HYPERLINK("CSG15.html#group40E15", "40E¹⁵"), =HYPERLINK("CSG13.html#group40G13", "40G¹³")</f>
        <v/>
      </c>
    </row>
    <row r="1488">
      <c r="A1488" t="inlineStr">
        <is>
          <t>40G⁷</t>
        </is>
      </c>
      <c r="B1488" t="inlineStr"/>
      <c r="C1488" t="inlineStr">
        <is>
          <t>120</t>
        </is>
      </c>
      <c r="D1488" t="inlineStr">
        <is>
          <t>1</t>
        </is>
      </c>
      <c r="E1488" t="inlineStr">
        <is>
          <t>60</t>
        </is>
      </c>
      <c r="F1488" t="inlineStr">
        <is>
          <t>0</t>
        </is>
      </c>
      <c r="G1488" t="inlineStr">
        <is>
          <t>0</t>
        </is>
      </c>
      <c r="H1488" t="inlineStr">
        <is>
          <t>5⁴, 10², 40²</t>
        </is>
      </c>
      <c r="I1488" t="n">
        <v>8</v>
      </c>
      <c r="J1488" t="inlineStr">
        <is>
          <t>2⁴, 4⁹, 8²</t>
        </is>
      </c>
      <c r="K1488">
        <f>HYPERLINK("CSG0.html#group8C0", "8C⁰"), =HYPERLINK("CSG3.html#group20E3", "20E³")</f>
        <v/>
      </c>
      <c r="L1488">
        <f>HYPERLINK("CSG13.html#group40G13", "40G¹³"), =HYPERLINK("CSG15.html#group40C15", "40C¹⁵"), =HYPERLINK("CSG15.html#group40E15", "40E¹⁵"), =HYPERLINK("CSG15.html#group40L15", "40L¹⁵"), =HYPERLINK("CSG15.html#group40M15", "40M¹⁵"), =HYPERLINK("CSG15.html#group80G15", "80G¹⁵"), =HYPERLINK("CSG15.html#group80H15", "80H¹⁵"), =HYPERLINK("CSG15.html#group80I15", "80I¹⁵"), =HYPERLINK("CSG15.html#group80J15", "80J¹⁵"), =HYPERLINK("CSG17.html#group80D17", "80D¹⁷"), =HYPERLINK("CSG17.html#group80E17", "80E¹⁷"), =HYPERLINK("CSG19.html#group40M19", "40M¹⁹")</f>
        <v/>
      </c>
      <c r="M1488">
        <f>HYPERLINK("CSG3.html#group20E3", "20E³"), =HYPERLINK("CSG0.html#group5C0", "5C⁰"), =HYPERLINK("CSG0.html#group8C0", "8C⁰"), =HYPERLINK("CSG0.html#group2B0", "2B⁰"), =HYPERLINK("CSG0.html#group4B0", "4B⁰"), =HYPERLINK("CSG0.html#group1A0", "1A⁰"), =HYPERLINK("CSG1.html#group10F1", "10F¹")</f>
        <v/>
      </c>
      <c r="N1488">
        <f>HYPERLINK("CSG19.html#group40M19", "40M¹⁹"), =HYPERLINK("CSG17.html#group80D17", "80D¹⁷"), =HYPERLINK("CSG15.html#group40M15", "40M¹⁵"), =HYPERLINK("CSG15.html#group80G15", "80G¹⁵"), =HYPERLINK("CSG15.html#group80H15", "80H¹⁵"), =HYPERLINK("CSG15.html#group80I15", "80I¹⁵"), =HYPERLINK("CSG15.html#group40E15", "40E¹⁵"), =HYPERLINK("CSG13.html#group40G13", "40G¹³"), =HYPERLINK("CSG15.html#group80J15", "80J¹⁵"), =HYPERLINK("CSG15.html#group40L15", "40L¹⁵"), =HYPERLINK("CSG17.html#group80E17", "80E¹⁷"), =HYPERLINK("CSG15.html#group40C15", "40C¹⁵")</f>
        <v/>
      </c>
    </row>
    <row r="1489">
      <c r="A1489" t="inlineStr">
        <is>
          <t>40H⁷</t>
        </is>
      </c>
      <c r="B1489" t="inlineStr"/>
      <c r="C1489" t="inlineStr">
        <is>
          <t>120</t>
        </is>
      </c>
      <c r="D1489" t="inlineStr">
        <is>
          <t>1</t>
        </is>
      </c>
      <c r="E1489" t="inlineStr">
        <is>
          <t>60</t>
        </is>
      </c>
      <c r="F1489" t="inlineStr">
        <is>
          <t>4</t>
        </is>
      </c>
      <c r="G1489" t="inlineStr">
        <is>
          <t>0</t>
        </is>
      </c>
      <c r="H1489" t="inlineStr">
        <is>
          <t>10⁴, 40²</t>
        </is>
      </c>
      <c r="I1489" t="n">
        <v>6</v>
      </c>
      <c r="J1489" t="inlineStr">
        <is>
          <t>2², 4⁶, 8⁴</t>
        </is>
      </c>
      <c r="K1489">
        <f>HYPERLINK("CSG3.html#group20F3", "20F³")</f>
        <v/>
      </c>
      <c r="L1489">
        <f>HYPERLINK("CSG13.html#group40H13", "40H¹³"), =HYPERLINK("CSG15.html#group40B15", "40B¹⁵"), =HYPERLINK("CSG15.html#group40D15", "40D¹⁵"), =HYPERLINK("CSG15.html#group40H15", "40H¹⁵"), =HYPERLINK("CSG15.html#group40G15", "40G¹⁵"), =HYPERLINK("CSG17.html#group40L17", "40L¹⁷"), =HYPERLINK("CSG17.html#group40J17", "40J¹⁷"), =HYPERLINK("CSG21.html#group40H21", "40H²¹")</f>
        <v/>
      </c>
      <c r="M1489">
        <f>HYPERLINK("CSG0.html#group1A0", "1A⁰"), =HYPERLINK("CSG0.html#group2B0", "2B⁰"), =HYPERLINK("CSG0.html#group5C0", "5C⁰"), =HYPERLINK("CSG3.html#group20F3", "20F³"), =HYPERLINK("CSG0.html#group4C0", "4C⁰"), =HYPERLINK("CSG1.html#group10F1", "10F¹")</f>
        <v/>
      </c>
      <c r="N1489">
        <f>HYPERLINK("CSG17.html#group40L17", "40L¹⁷"), =HYPERLINK("CSG15.html#group40D15", "40D¹⁵"), =HYPERLINK("CSG17.html#group40J17", "40J¹⁷"), =HYPERLINK("CSG13.html#group40H13", "40H¹³"), =HYPERLINK("CSG21.html#group40H21", "40H²¹"), =HYPERLINK("CSG15.html#group40B15", "40B¹⁵"), =HYPERLINK("CSG15.html#group40H15", "40H¹⁵"), =HYPERLINK("CSG15.html#group40G15", "40G¹⁵")</f>
        <v/>
      </c>
    </row>
    <row r="1490">
      <c r="A1490" t="inlineStr">
        <is>
          <t>40I⁷</t>
        </is>
      </c>
      <c r="B1490" t="inlineStr"/>
      <c r="C1490" t="inlineStr">
        <is>
          <t>120</t>
        </is>
      </c>
      <c r="D1490" t="inlineStr">
        <is>
          <t>1</t>
        </is>
      </c>
      <c r="E1490" t="inlineStr">
        <is>
          <t>60</t>
        </is>
      </c>
      <c r="F1490" t="inlineStr">
        <is>
          <t>4</t>
        </is>
      </c>
      <c r="G1490" t="inlineStr">
        <is>
          <t>0</t>
        </is>
      </c>
      <c r="H1490" t="inlineStr">
        <is>
          <t>10⁴, 40²</t>
        </is>
      </c>
      <c r="I1490" t="n">
        <v>6</v>
      </c>
      <c r="J1490" t="inlineStr">
        <is>
          <t>2², 4⁶, 8⁴</t>
        </is>
      </c>
      <c r="K1490">
        <f>HYPERLINK("CSG0.html#group8D0", "8D⁰"), =HYPERLINK("CSG3.html#group20F3", "20F³")</f>
        <v/>
      </c>
      <c r="L1490">
        <f>HYPERLINK("CSG13.html#group40H13", "40H¹³"), =HYPERLINK("CSG15.html#group40C15", "40C¹⁵"), =HYPERLINK("CSG15.html#group40D15", "40D¹⁵"), =HYPERLINK("CSG15.html#group40F15", "40F¹⁵"), =HYPERLINK("CSG15.html#group40I15", "40I¹⁵"), =HYPERLINK("CSG15.html#group80K15", "80K¹⁵"), =HYPERLINK("CSG15.html#group80L15", "80L¹⁵"), =HYPERLINK("CSG17.html#group40K17", "40K¹⁷"), =HYPERLINK("CSG17.html#group40M17", "40M¹⁷"), =HYPERLINK("CSG17.html#group80M17", "80M¹⁷"), =HYPERLINK("CSG17.html#group80N17", "80N¹⁷"), =HYPERLINK("CSG21.html#group40I21", "40I²¹")</f>
        <v/>
      </c>
      <c r="M1490">
        <f>HYPERLINK("CSG0.html#group8D0", "8D⁰"), =HYPERLINK("CSG0.html#group4C0", "4C⁰"), =HYPERLINK("CSG0.html#group5C0", "5C⁰"), =HYPERLINK("CSG0.html#group2B0", "2B⁰"), =HYPERLINK("CSG0.html#group1A0", "1A⁰"), =HYPERLINK("CSG3.html#group20F3", "20F³"), =HYPERLINK("CSG1.html#group10F1", "10F¹")</f>
        <v/>
      </c>
      <c r="N1490">
        <f>HYPERLINK("CSG15.html#group80L15", "80L¹⁵"), =HYPERLINK("CSG15.html#group40I15", "40I¹⁵"), =HYPERLINK("CSG15.html#group40D15", "40D¹⁵"), =HYPERLINK("CSG17.html#group80M17", "80M¹⁷"), =HYPERLINK("CSG15.html#group40F15", "40F¹⁵"), =HYPERLINK("CSG15.html#group80K15", "80K¹⁵"), =HYPERLINK("CSG17.html#group80N17", "80N¹⁷"), =HYPERLINK("CSG17.html#group40K17", "40K¹⁷"), =HYPERLINK("CSG13.html#group40H13", "40H¹³"), =HYPERLINK("CSG17.html#group40M17", "40M¹⁷"), =HYPERLINK("CSG21.html#group40I21", "40I²¹"), =HYPERLINK("CSG15.html#group40C15", "40C¹⁵")</f>
        <v/>
      </c>
    </row>
    <row r="1491">
      <c r="A1491" t="inlineStr">
        <is>
          <t>40J⁷</t>
        </is>
      </c>
      <c r="B1491" t="inlineStr"/>
      <c r="C1491" t="inlineStr">
        <is>
          <t>120</t>
        </is>
      </c>
      <c r="D1491" t="inlineStr">
        <is>
          <t>2</t>
        </is>
      </c>
      <c r="E1491" t="inlineStr">
        <is>
          <t>30</t>
        </is>
      </c>
      <c r="F1491" t="inlineStr">
        <is>
          <t>4</t>
        </is>
      </c>
      <c r="G1491" t="inlineStr">
        <is>
          <t>0</t>
        </is>
      </c>
      <c r="H1491" t="inlineStr">
        <is>
          <t>10⁴, 40²</t>
        </is>
      </c>
      <c r="I1491" t="n">
        <v>6</v>
      </c>
      <c r="J1491" t="inlineStr">
        <is>
          <t>4³, 8⁶</t>
        </is>
      </c>
      <c r="K1491">
        <f>HYPERLINK("CSG2.html#group20F2", "20F²")</f>
        <v/>
      </c>
      <c r="L1491">
        <f>HYPERLINK("CSG13.html#group40I13", "40I¹³"), =HYPERLINK("CSG15.html#group40A15", "40A¹⁵"), =HYPERLINK("CSG15.html#group40T15", "40T¹⁵"), =HYPERLINK("CSG21.html#group40G21", "40G²¹")</f>
        <v/>
      </c>
      <c r="M1491">
        <f>HYPERLINK("CSG0.html#group1A0", "1A⁰"), =HYPERLINK("CSG0.html#group2B0", "2B⁰"), =HYPERLINK("CSG2.html#group20F2", "20F²"), =HYPERLINK("CSG0.html#group5C0", "5C⁰"), =HYPERLINK("CSG1.html#group10F1", "10F¹")</f>
        <v/>
      </c>
      <c r="N1491">
        <f>HYPERLINK("CSG21.html#group40G21", "40G²¹"), =HYPERLINK("CSG13.html#group40I13", "40I¹³"), =HYPERLINK("CSG15.html#group40A15", "40A¹⁵"), =HYPERLINK("CSG15.html#group40T15", "40T¹⁵")</f>
        <v/>
      </c>
    </row>
    <row r="1492">
      <c r="A1492" t="inlineStr">
        <is>
          <t>40K⁷</t>
        </is>
      </c>
      <c r="B1492" t="inlineStr"/>
      <c r="C1492" t="inlineStr">
        <is>
          <t>144</t>
        </is>
      </c>
      <c r="D1492" t="inlineStr">
        <is>
          <t>1</t>
        </is>
      </c>
      <c r="E1492" t="inlineStr">
        <is>
          <t>18</t>
        </is>
      </c>
      <c r="F1492" t="inlineStr">
        <is>
          <t>0</t>
        </is>
      </c>
      <c r="G1492" t="inlineStr">
        <is>
          <t>0</t>
        </is>
      </c>
      <c r="H1492" t="inlineStr">
        <is>
          <t>2⁴, 8², 10⁴, 40²</t>
        </is>
      </c>
      <c r="I1492" t="n">
        <v>12</v>
      </c>
      <c r="J1492" t="inlineStr">
        <is>
          <t>1⁶, 4³</t>
        </is>
      </c>
      <c r="K1492">
        <f>HYPERLINK("CSG1.html#group20H1", "20H¹"), =HYPERLINK("CSG3.html#group40I3", "40I³")</f>
        <v/>
      </c>
      <c r="L1492">
        <f>HYPERLINK("CSG13.html#group40J13", "40J¹³"), =HYPERLINK("CSG13.html#group40L13", "40L¹³")</f>
        <v/>
      </c>
      <c r="M1492">
        <f>HYPERLINK("CSG0.html#group20A0", "20A⁰"), =HYPERLINK("CSG3.html#group40I3", "40I³"), =HYPERLINK("CSG0.html#group5B0", "5B⁰"), =HYPERLINK("CSG0.html#group10C0", "10C⁰"), =HYPERLINK("CSG0.html#group5D0", "5D⁰"), =HYPERLINK("CSG0.html#group2B0", "2B⁰"), =HYPERLINK("CSG1.html#group20D1", "20D¹"), =HYPERLINK("CSG1.html#group20H1", "20H¹"), =HYPERLINK("CSG0.html#group4B0", "4B⁰"), =HYPERLINK("CSG0.html#group1A0", "1A⁰"), =HYPERLINK("CSG0.html#group10F0", "10F⁰")</f>
        <v/>
      </c>
      <c r="N1492">
        <f>HYPERLINK("CSG13.html#group40J13", "40J¹³"), =HYPERLINK("CSG13.html#group40L13", "40L¹³")</f>
        <v/>
      </c>
    </row>
    <row r="1493">
      <c r="A1493" t="inlineStr">
        <is>
          <t>40L⁷</t>
        </is>
      </c>
      <c r="B1493" t="inlineStr"/>
      <c r="C1493" t="inlineStr">
        <is>
          <t>144</t>
        </is>
      </c>
      <c r="D1493" t="inlineStr">
        <is>
          <t>1</t>
        </is>
      </c>
      <c r="E1493" t="inlineStr">
        <is>
          <t>18</t>
        </is>
      </c>
      <c r="F1493" t="inlineStr">
        <is>
          <t>0</t>
        </is>
      </c>
      <c r="G1493" t="inlineStr">
        <is>
          <t>0</t>
        </is>
      </c>
      <c r="H1493" t="inlineStr">
        <is>
          <t>2⁴, 8², 10⁴, 40²</t>
        </is>
      </c>
      <c r="I1493" t="n">
        <v>12</v>
      </c>
      <c r="J1493" t="inlineStr">
        <is>
          <t>1⁶, 4³</t>
        </is>
      </c>
      <c r="K1493">
        <f>HYPERLINK("CSG3.html#group20J3", "20J³"), =HYPERLINK("CSG3.html#group40E3", "40E³"), =HYPERLINK("CSG3.html#group40G3", "40G³")</f>
        <v/>
      </c>
      <c r="L1493">
        <f>HYPERLINK("CSG13.html#group40K13", "40K¹³"), =HYPERLINK("CSG15.html#group40AB15", "40AB¹⁵"), =HYPERLINK("CSG15.html#group80P15", "80P¹⁵"), =HYPERLINK("CSG17.html#group40U17", "40U¹⁷"), =HYPERLINK("CSG17.html#group40V17", "40V¹⁷"), =HYPERLINK("CSG17.html#group80BD17", "80BD¹⁷"), =HYPERLINK("CSG19.html#group80N19", "80N¹⁹")</f>
        <v/>
      </c>
      <c r="M1493">
        <f>HYPERLINK("CSG1.html#group20E1", "20E¹"), =HYPERLINK("CSG0.html#group2A0", "2A⁰"), =HYPERLINK("CSG0.html#group4C0", "4C⁰"), =HYPERLINK("CSG0.html#group5B0", "5B⁰"), =HYPERLINK("CSG1.html#group10A1", "10A¹"), =HYPERLINK("CSG1.html#group20D1", "20D¹"), =HYPERLINK("CSG0.html#group4E0", "4E⁰"), =HYPERLINK("CSG0.html#group2B0", "2B⁰"), =HYPERLINK("CSG0.html#group4B0", "4B⁰"), =HYPERLINK("CSG0.html#group1A0", "1A⁰"), =HYPERLINK("CSG0.html#group10C0", "10C⁰"), =HYPERLINK("CSG3.html#group40E3", "40E³"), =HYPERLINK("CSG3.html#group20J3", "20J³"), =HYPERLINK("CSG0.html#group2C0", "2C⁰"), =HYPERLINK("CSG1.html#group10G1", "10G¹"), =HYPERLINK("CSG3.html#group40G3", "40G³")</f>
        <v/>
      </c>
      <c r="N1493">
        <f>HYPERLINK("CSG15.html#group80P15", "80P¹⁵"), =HYPERLINK("CSG15.html#group40AB15", "40AB¹⁵"), =HYPERLINK("CSG17.html#group40U17", "40U¹⁷"), =HYPERLINK("CSG19.html#group80N19", "80N¹⁹"), =HYPERLINK("CSG13.html#group40K13", "40K¹³"), =HYPERLINK("CSG17.html#group80BD17", "80BD¹⁷"), =HYPERLINK("CSG17.html#group40V17", "40V¹⁷")</f>
        <v/>
      </c>
    </row>
    <row r="1494">
      <c r="A1494" t="inlineStr">
        <is>
          <t>40M⁷</t>
        </is>
      </c>
      <c r="B1494" t="inlineStr"/>
      <c r="C1494" t="inlineStr">
        <is>
          <t>144</t>
        </is>
      </c>
      <c r="D1494" t="inlineStr">
        <is>
          <t>1</t>
        </is>
      </c>
      <c r="E1494" t="inlineStr">
        <is>
          <t>18</t>
        </is>
      </c>
      <c r="F1494" t="inlineStr">
        <is>
          <t>0</t>
        </is>
      </c>
      <c r="G1494" t="inlineStr">
        <is>
          <t>0</t>
        </is>
      </c>
      <c r="H1494" t="inlineStr">
        <is>
          <t>2⁴, 8², 10⁴, 40²</t>
        </is>
      </c>
      <c r="I1494" t="n">
        <v>12</v>
      </c>
      <c r="J1494" t="inlineStr">
        <is>
          <t>1⁶, 4³</t>
        </is>
      </c>
      <c r="K1494">
        <f>HYPERLINK("CSG0.html#group8G0", "8G⁰"), =HYPERLINK("CSG3.html#group20J3", "20J³"), =HYPERLINK("CSG3.html#group40F3", "40F³"), =HYPERLINK("CSG3.html#group40H3", "40H³")</f>
        <v/>
      </c>
      <c r="L1494">
        <f>HYPERLINK("CSG13.html#group40K13", "40K¹³"), =HYPERLINK("CSG15.html#group40W15", "40W¹⁵"), =HYPERLINK("CSG15.html#group40X15", "40X¹⁵"), =HYPERLINK("CSG15.html#group80N15", "80N¹⁵"), =HYPERLINK("CSG15.html#group80O15", "80O¹⁵"), =HYPERLINK("CSG17.html#group40W17", "40W¹⁷"), =HYPERLINK("CSG17.html#group40X17", "40X¹⁷"), =HYPERLINK("CSG17.html#group80W17", "80W¹⁷"), =HYPERLINK("CSG17.html#group80Z17", "80Z¹⁷"), =HYPERLINK("CSG19.html#group80L19", "80L¹⁹"), =HYPERLINK("CSG19.html#group80M19", "80M¹⁹")</f>
        <v/>
      </c>
      <c r="M1494">
        <f>HYPERLINK("CSG1.html#group20E1", "20E¹"), =HYPERLINK("CSG0.html#group2A0", "2A⁰"), =HYPERLINK("CSG3.html#group40H3", "40H³"), =HYPERLINK("CSG0.html#group8D0", "8D⁰"), =HYPERLINK("CSG0.html#group4C0", "4C⁰"), =HYPERLINK("CSG0.html#group5B0", "5B⁰"), =HYPERLINK("CSG1.html#group10A1", "10A¹"), =HYPERLINK("CSG1.html#group20D1", "20D¹"), =HYPERLINK("CSG0.html#group8C0", "8C⁰"), =HYPERLINK("CSG0.html#group2B0", "2B⁰"), =HYPERLINK("CSG0.html#group4E0", "4E⁰"), =HYPERLINK("CSG0.html#group4B0", "4B⁰"), =HYPERLINK("CSG0.html#group1A0", "1A⁰"), =HYPERLINK("CSG3.html#group40F3", "40F³"), =HYPERLINK("CSG0.html#group8G0", "8G⁰"), =HYPERLINK("CSG0.html#group10C0", "10C⁰"), =HYPERLINK("CSG3.html#group20J3", "20J³"), =HYPERLINK("CSG0.html#group2C0", "2C⁰"), =HYPERLINK("CSG1.html#group10G1", "10G¹")</f>
        <v/>
      </c>
      <c r="N1494">
        <f>HYPERLINK("CSG19.html#group80L19", "80L¹⁹"), =HYPERLINK("CSG15.html#group40X15", "40X¹⁵"), =HYPERLINK("CSG17.html#group80W17", "80W¹⁷"), =HYPERLINK("CSG13.html#group40K13", "40K¹³"), =HYPERLINK("CSG17.html#group40X17", "40X¹⁷"), =HYPERLINK("CSG15.html#group80O15", "80O¹⁵"), =HYPERLINK("CSG15.html#group40W15", "40W¹⁵"), =HYPERLINK("CSG19.html#group80M19", "80M¹⁹"), =HYPERLINK("CSG17.html#group80Z17", "80Z¹⁷"), =HYPERLINK("CSG15.html#group80N15", "80N¹⁵"), =HYPERLINK("CSG17.html#group40W17", "40W¹⁷")</f>
        <v/>
      </c>
    </row>
    <row r="1495">
      <c r="A1495" t="inlineStr">
        <is>
          <t>40N⁷</t>
        </is>
      </c>
      <c r="B1495" t="inlineStr"/>
      <c r="C1495" t="inlineStr">
        <is>
          <t>144</t>
        </is>
      </c>
      <c r="D1495" t="inlineStr">
        <is>
          <t>1</t>
        </is>
      </c>
      <c r="E1495" t="inlineStr">
        <is>
          <t>36</t>
        </is>
      </c>
      <c r="F1495" t="inlineStr">
        <is>
          <t>0</t>
        </is>
      </c>
      <c r="G1495" t="inlineStr">
        <is>
          <t>0</t>
        </is>
      </c>
      <c r="H1495" t="inlineStr">
        <is>
          <t>2⁴, 8², 10⁴, 40²</t>
        </is>
      </c>
      <c r="I1495" t="n">
        <v>12</v>
      </c>
      <c r="J1495" t="inlineStr">
        <is>
          <t>1⁴, 2⁴, 4², 8²</t>
        </is>
      </c>
      <c r="K1495">
        <f>HYPERLINK("CSG3.html#group20G3", "20G³"), =HYPERLINK("CSG3.html#group40G3", "40G³"), =HYPERLINK("CSG3.html#group40H3", "40H³")</f>
        <v/>
      </c>
      <c r="L1495">
        <f>HYPERLINK("CSG13.html#group40K13", "40K¹³"), =HYPERLINK("CSG15.html#group80U15", "80U¹⁵"), =HYPERLINK("CSG17.html#group40AB17", "40AB¹⁷"), =HYPERLINK("CSG17.html#group40AA17", "40AA¹⁷"), =HYPERLINK("CSG19.html#group80O19", "80O¹⁹")</f>
        <v/>
      </c>
      <c r="M1495">
        <f>HYPERLINK("CSG1.html#group20E1", "20E¹"), =HYPERLINK("CSG2.html#group20C2", "20C²"), =HYPERLINK("CSG3.html#group40H3", "40H³"), =HYPERLINK("CSG0.html#group8D0", "8D⁰"), =HYPERLINK("CSG3.html#group20G3", "20G³"), =HYPERLINK("CSG0.html#group4C0", "4C⁰"), =HYPERLINK("CSG0.html#group5B0", "5B⁰"), =HYPERLINK("CSG0.html#group10C0", "10C⁰"), =HYPERLINK("CSG0.html#group5D0", "5D⁰"), =HYPERLINK("CSG0.html#group2B0", "2B⁰"), =HYPERLINK("CSG0.html#group1A0", "1A⁰"), =HYPERLINK("CSG0.html#group10F0", "10F⁰"), =HYPERLINK("CSG3.html#group40G3", "40G³")</f>
        <v/>
      </c>
      <c r="N1495">
        <f>HYPERLINK("CSG17.html#group40AB17", "40AB¹⁷"), =HYPERLINK("CSG15.html#group80U15", "80U¹⁵"), =HYPERLINK("CSG17.html#group40AA17", "40AA¹⁷"), =HYPERLINK("CSG19.html#group80O19", "80O¹⁹"), =HYPERLINK("CSG13.html#group40K13", "40K¹³")</f>
        <v/>
      </c>
    </row>
    <row r="1496">
      <c r="A1496" t="inlineStr">
        <is>
          <t>40O⁷</t>
        </is>
      </c>
      <c r="B1496" t="inlineStr"/>
      <c r="C1496" t="inlineStr">
        <is>
          <t>144</t>
        </is>
      </c>
      <c r="D1496" t="inlineStr">
        <is>
          <t>1</t>
        </is>
      </c>
      <c r="E1496" t="inlineStr">
        <is>
          <t>36</t>
        </is>
      </c>
      <c r="F1496" t="inlineStr">
        <is>
          <t>0</t>
        </is>
      </c>
      <c r="G1496" t="inlineStr">
        <is>
          <t>0</t>
        </is>
      </c>
      <c r="H1496" t="inlineStr">
        <is>
          <t>2⁴, 8², 10⁴, 40²</t>
        </is>
      </c>
      <c r="I1496" t="n">
        <v>12</v>
      </c>
      <c r="J1496" t="inlineStr">
        <is>
          <t>1⁸, 2², 4⁴, 8¹</t>
        </is>
      </c>
      <c r="K1496">
        <f>HYPERLINK("CSG3.html#group20H3", "20H³"), =HYPERLINK("CSG3.html#group40E3", "40E³"), =HYPERLINK("CSG3.html#group40F3", "40F³")</f>
        <v/>
      </c>
      <c r="L1496">
        <f>HYPERLINK("CSG13.html#group40K13", "40K¹³"), =HYPERLINK("CSG15.html#group40Z15", "40Z¹⁵"), =HYPERLINK("CSG15.html#group40AA15", "40AA¹⁵"), =HYPERLINK("CSG15.html#group80V15", "80V¹⁵"), =HYPERLINK("CSG17.html#group40AS17", "40AS¹⁷"), =HYPERLINK("CSG17.html#group80Y17", "80Y¹⁷"), =HYPERLINK("CSG17.html#group80X17", "80X¹⁷"), =HYPERLINK("CSG17.html#group80BE17", "80BE¹⁷"), =HYPERLINK("CSG19.html#group80T19", "80T¹⁹")</f>
        <v/>
      </c>
      <c r="M1496">
        <f>HYPERLINK("CSG2.html#group20C2", "20C²"), =HYPERLINK("CSG0.html#group10G0", "10G⁰"), =HYPERLINK("CSG3.html#group40F3", "40F³"), =HYPERLINK("CSG0.html#group5B0", "5B⁰"), =HYPERLINK("CSG0.html#group10C0", "10C⁰"), =HYPERLINK("CSG3.html#group40E3", "40E³"), =HYPERLINK("CSG1.html#group20D1", "20D¹"), =HYPERLINK("CSG0.html#group8C0", "8C⁰"), =HYPERLINK("CSG0.html#group2B0", "2B⁰"), =HYPERLINK("CSG0.html#group4B0", "4B⁰"), =HYPERLINK("CSG0.html#group1A0", "1A⁰"), =HYPERLINK("CSG3.html#group20H3", "20H³"), =HYPERLINK("CSG0.html#group10B0", "10B⁰")</f>
        <v/>
      </c>
      <c r="N1496">
        <f>HYPERLINK("CSG17.html#group80BE17", "80BE¹⁷"), =HYPERLINK("CSG15.html#group40Z15", "40Z¹⁵"), =HYPERLINK("CSG19.html#group80T19", "80T¹⁹"), =HYPERLINK("CSG15.html#group40AA15", "40AA¹⁵"), =HYPERLINK("CSG17.html#group40AS17", "40AS¹⁷"), =HYPERLINK("CSG13.html#group40K13", "40K¹³"), =HYPERLINK("CSG15.html#group80V15", "80V¹⁵"), =HYPERLINK("CSG17.html#group80Y17", "80Y¹⁷"), =HYPERLINK("CSG17.html#group80X17", "80X¹⁷")</f>
        <v/>
      </c>
    </row>
    <row r="1497">
      <c r="A1497" t="inlineStr">
        <is>
          <t>40P⁷</t>
        </is>
      </c>
      <c r="B1497" t="inlineStr"/>
      <c r="C1497" t="inlineStr">
        <is>
          <t>144</t>
        </is>
      </c>
      <c r="D1497" t="inlineStr">
        <is>
          <t>1</t>
        </is>
      </c>
      <c r="E1497" t="inlineStr">
        <is>
          <t>36</t>
        </is>
      </c>
      <c r="F1497" t="inlineStr">
        <is>
          <t>8</t>
        </is>
      </c>
      <c r="G1497" t="inlineStr">
        <is>
          <t>0</t>
        </is>
      </c>
      <c r="H1497" t="inlineStr">
        <is>
          <t>4², 8², 20², 40²</t>
        </is>
      </c>
      <c r="I1497" t="n">
        <v>8</v>
      </c>
      <c r="J1497" t="inlineStr">
        <is>
          <t>1⁴, 2⁴, 4², 8²</t>
        </is>
      </c>
      <c r="K1497">
        <f>HYPERLINK("CSG3.html#group20K3", "20K³"), =HYPERLINK("CSG3.html#group40C3", "40C³"), =HYPERLINK("CSG3.html#group40H3", "40H³")</f>
        <v/>
      </c>
      <c r="L1497">
        <f>HYPERLINK("CSG13.html#group40M13", "40M¹³"), =HYPERLINK("CSG17.html#group40W17", "40W¹⁷"), =HYPERLINK("CSG17.html#group40AB17", "40AB¹⁷"), =HYPERLINK("CSG17.html#group40AT17", "40AT¹⁷"), =HYPERLINK("CSG17.html#group80AP17", "80AP¹⁷"), =HYPERLINK("CSG17.html#group80AO17", "80AO¹⁷"), =HYPERLINK("CSG19.html#group80W19", "80W¹⁹"), =HYPERLINK("CSG19.html#group80X19", "80X¹⁹")</f>
        <v/>
      </c>
      <c r="M1497">
        <f>HYPERLINK("CSG3.html#group40C3", "40C³"), =HYPERLINK("CSG1.html#group20E1", "20E¹"), =HYPERLINK("CSG3.html#group40H3", "40H³"), =HYPERLINK("CSG0.html#group8D0", "8D⁰"), =HYPERLINK("CSG0.html#group4C0", "4C⁰"), =HYPERLINK("CSG0.html#group5B0", "5B⁰"), =HYPERLINK("CSG0.html#group10C0", "10C⁰"), =HYPERLINK("CSG0.html#group2B0", "2B⁰"), =HYPERLINK("CSG3.html#group20K3", "20K³"), =HYPERLINK("CSG0.html#group1A0", "1A⁰")</f>
        <v/>
      </c>
      <c r="N1497">
        <f>HYPERLINK("CSG13.html#group40M13", "40M¹³"), =HYPERLINK("CSG17.html#group40AB17", "40AB¹⁷"), =HYPERLINK("CSG19.html#group80W19", "80W¹⁹"), =HYPERLINK("CSG19.html#group80X19", "80X¹⁹"), =HYPERLINK("CSG17.html#group80AO17", "80AO¹⁷"), =HYPERLINK("CSG17.html#group80AP17", "80AP¹⁷"), =HYPERLINK("CSG17.html#group40W17", "40W¹⁷"), =HYPERLINK("CSG17.html#group40AT17", "40AT¹⁷")</f>
        <v/>
      </c>
    </row>
    <row r="1498">
      <c r="A1498" t="inlineStr">
        <is>
          <t>40Q⁷</t>
        </is>
      </c>
      <c r="B1498" t="inlineStr"/>
      <c r="C1498" t="inlineStr">
        <is>
          <t>144</t>
        </is>
      </c>
      <c r="D1498" t="inlineStr">
        <is>
          <t>1</t>
        </is>
      </c>
      <c r="E1498" t="inlineStr">
        <is>
          <t>36</t>
        </is>
      </c>
      <c r="F1498" t="inlineStr">
        <is>
          <t>8</t>
        </is>
      </c>
      <c r="G1498" t="inlineStr">
        <is>
          <t>0</t>
        </is>
      </c>
      <c r="H1498" t="inlineStr">
        <is>
          <t>4², 8², 20², 40²</t>
        </is>
      </c>
      <c r="I1498" t="n">
        <v>8</v>
      </c>
      <c r="J1498" t="inlineStr">
        <is>
          <t>1⁴, 2⁴, 4², 8²</t>
        </is>
      </c>
      <c r="K1498">
        <f>HYPERLINK("CSG3.html#group20K3", "20K³"), =HYPERLINK("CSG3.html#group40D3", "40D³"), =HYPERLINK("CSG3.html#group40G3", "40G³")</f>
        <v/>
      </c>
      <c r="L1498">
        <f>HYPERLINK("CSG13.html#group40M13", "40M¹³"), =HYPERLINK("CSG15.html#group40AI15", "40AI¹⁵"), =HYPERLINK("CSG17.html#group40V17", "40V¹⁷"), =HYPERLINK("CSG17.html#group40AA17", "40AA¹⁷"), =HYPERLINK("CSG17.html#group80AC17", "80AC¹⁷"), =HYPERLINK("CSG17.html#group80AB17", "80AB¹⁷"), =HYPERLINK("CSG19.html#group80AA19", "80AA¹⁹"), =HYPERLINK("CSG21.html#group80L21", "80L²¹"), =HYPERLINK("CSG21.html#group80K21", "80K²¹")</f>
        <v/>
      </c>
      <c r="M1498">
        <f>HYPERLINK("CSG1.html#group20E1", "20E¹"), =HYPERLINK("CSG0.html#group4C0", "4C⁰"), =HYPERLINK("CSG0.html#group5B0", "5B⁰"), =HYPERLINK("CSG0.html#group10C0", "10C⁰"), =HYPERLINK("CSG0.html#group8B0", "8B⁰"), =HYPERLINK("CSG0.html#group1A0", "1A⁰"), =HYPERLINK("CSG0.html#group2B0", "2B⁰"), =HYPERLINK("CSG3.html#group20K3", "20K³"), =HYPERLINK("CSG3.html#group40D3", "40D³"), =HYPERLINK("CSG3.html#group40G3", "40G³")</f>
        <v/>
      </c>
      <c r="N1498">
        <f>HYPERLINK("CSG13.html#group40M13", "40M¹³"), =HYPERLINK("CSG15.html#group40AI15", "40AI¹⁵"), =HYPERLINK("CSG17.html#group80AB17", "80AB¹⁷"), =HYPERLINK("CSG17.html#group40AA17", "40AA¹⁷"), =HYPERLINK("CSG17.html#group80AC17", "80AC¹⁷"), =HYPERLINK("CSG17.html#group40V17", "40V¹⁷"), =HYPERLINK("CSG19.html#group80AA19", "80AA¹⁹"), =HYPERLINK("CSG21.html#group80K21", "80K²¹"), =HYPERLINK("CSG21.html#group80L21", "80L²¹")</f>
        <v/>
      </c>
    </row>
    <row r="1499">
      <c r="A1499" t="inlineStr">
        <is>
          <t>40R⁷</t>
        </is>
      </c>
      <c r="B1499" t="inlineStr"/>
      <c r="C1499" t="inlineStr">
        <is>
          <t>144</t>
        </is>
      </c>
      <c r="D1499" t="inlineStr">
        <is>
          <t>1</t>
        </is>
      </c>
      <c r="E1499" t="inlineStr">
        <is>
          <t>36</t>
        </is>
      </c>
      <c r="F1499" t="inlineStr">
        <is>
          <t>8</t>
        </is>
      </c>
      <c r="G1499" t="inlineStr">
        <is>
          <t>0</t>
        </is>
      </c>
      <c r="H1499" t="inlineStr">
        <is>
          <t>4², 8², 20², 40²</t>
        </is>
      </c>
      <c r="I1499" t="n">
        <v>8</v>
      </c>
      <c r="J1499" t="inlineStr">
        <is>
          <t>1⁴, 2⁴, 4², 8²</t>
        </is>
      </c>
      <c r="K1499">
        <f>HYPERLINK("CSG3.html#group20L3", "20L³"), =HYPERLINK("CSG3.html#group40C3", "40C³"), =HYPERLINK("CSG3.html#group40G3", "40G³")</f>
        <v/>
      </c>
      <c r="L1499">
        <f>HYPERLINK("CSG13.html#group40M13", "40M¹³"), =HYPERLINK("CSG17.html#group40U17", "40U¹⁷"), =HYPERLINK("CSG17.html#group40AB17", "40AB¹⁷"), =HYPERLINK("CSG17.html#group40AK17", "40AK¹⁷"), =HYPERLINK("CSG17.html#group40AJ17", "40AJ¹⁷"), =HYPERLINK("CSG17.html#group80BF17", "80BF¹⁷"), =HYPERLINK("CSG19.html#group80Y19", "80Y¹⁹"), =HYPERLINK("CSG19.html#group80Z19", "80Z¹⁹")</f>
        <v/>
      </c>
      <c r="M1499">
        <f>HYPERLINK("CSG3.html#group40C3", "40C³"), =HYPERLINK("CSG1.html#group20E1", "20E¹"), =HYPERLINK("CSG0.html#group4A0", "4A⁰"), =HYPERLINK("CSG0.html#group4C0", "4C⁰"), =HYPERLINK("CSG0.html#group5B0", "5B⁰"), =HYPERLINK("CSG0.html#group10C0", "10C⁰"), =HYPERLINK("CSG0.html#group1A0", "1A⁰"), =HYPERLINK("CSG0.html#group2B0", "2B⁰"), =HYPERLINK("CSG0.html#group4F0", "4F⁰"), =HYPERLINK("CSG3.html#group20L3", "20L³"), =HYPERLINK("CSG1.html#group20B1", "20B¹"), =HYPERLINK("CSG3.html#group40G3", "40G³")</f>
        <v/>
      </c>
      <c r="N1499">
        <f>HYPERLINK("CSG13.html#group40M13", "40M¹³"), =HYPERLINK("CSG17.html#group40AB17", "40AB¹⁷"), =HYPERLINK("CSG17.html#group40AK17", "40AK¹⁷"), =HYPERLINK("CSG17.html#group80BF17", "80BF¹⁷"), =HYPERLINK("CSG17.html#group40U17", "40U¹⁷"), =HYPERLINK("CSG19.html#group80Z19", "80Z¹⁹"), =HYPERLINK("CSG19.html#group80Y19", "80Y¹⁹"), =HYPERLINK("CSG17.html#group40AJ17", "40AJ¹⁷")</f>
        <v/>
      </c>
    </row>
    <row r="1500">
      <c r="A1500" t="inlineStr">
        <is>
          <t>40S⁷</t>
        </is>
      </c>
      <c r="B1500" t="inlineStr"/>
      <c r="C1500" t="inlineStr">
        <is>
          <t>144</t>
        </is>
      </c>
      <c r="D1500" t="inlineStr">
        <is>
          <t>1</t>
        </is>
      </c>
      <c r="E1500" t="inlineStr">
        <is>
          <t>36</t>
        </is>
      </c>
      <c r="F1500" t="inlineStr">
        <is>
          <t>8</t>
        </is>
      </c>
      <c r="G1500" t="inlineStr">
        <is>
          <t>0</t>
        </is>
      </c>
      <c r="H1500" t="inlineStr">
        <is>
          <t>4², 8², 20², 40²</t>
        </is>
      </c>
      <c r="I1500" t="n">
        <v>8</v>
      </c>
      <c r="J1500" t="inlineStr">
        <is>
          <t>1⁴, 2⁴, 4², 8²</t>
        </is>
      </c>
      <c r="K1500">
        <f>HYPERLINK("CSG0.html#group8H0", "8H⁰"), =HYPERLINK("CSG3.html#group20L3", "20L³"), =HYPERLINK("CSG3.html#group40D3", "40D³"), =HYPERLINK("CSG3.html#group40H3", "40H³")</f>
        <v/>
      </c>
      <c r="L1500">
        <f>HYPERLINK("CSG13.html#group40M13", "40M¹³"), =HYPERLINK("CSG15.html#group40AE15", "40AE¹⁵"), =HYPERLINK("CSG15.html#group40AF15", "40AF¹⁵"), =HYPERLINK("CSG17.html#group40X17", "40X¹⁷"), =HYPERLINK("CSG17.html#group40AA17", "40AA¹⁷"), =HYPERLINK("CSG17.html#group40AL17", "40AL¹⁷"), =HYPERLINK("CSG17.html#group40AM17", "40AM¹⁷"), =HYPERLINK("CSG17.html#group40AO17", "40AO¹⁷"), =HYPERLINK("CSG17.html#group40AP17", "40AP¹⁷"), =HYPERLINK("CSG17.html#group80AD17", "80AD¹⁷"), =HYPERLINK("CSG17.html#group80AE17", "80AE¹⁷"), =HYPERLINK("CSG17.html#group80AK17", "80AK¹⁷"), =HYPERLINK("CSG17.html#group80AL17", "80AL¹⁷"), =HYPERLINK("CSG17.html#group80AQ17", "80AQ¹⁷"), =HYPERLINK("CSG17.html#group80AR17", "80AR¹⁷"), =HYPERLINK("CSG19.html#group80U19", "80U¹⁹"), =HYPERLINK("CSG19.html#group80V19", "80V¹⁹"), =HYPERLINK("CSG21.html#group80M21", "80M²¹"), =HYPERLINK("CSG21.html#group80O21", "80O²¹")</f>
        <v/>
      </c>
      <c r="M1500">
        <f>HYPERLINK("CSG1.html#group20E1", "20E¹"), =HYPERLINK("CSG3.html#group40H3", "40H³"), =HYPERLINK("CSG0.html#group8D0", "8D⁰"), =HYPERLINK("CSG0.html#group4C0", "4C⁰"), =HYPERLINK("CSG0.html#group8B0", "8B⁰"), =HYPERLINK("CSG0.html#group5B0", "5B⁰"), =HYPERLINK("CSG0.html#group2B0", "2B⁰"), =HYPERLINK("CSG0.html#group1A0", "1A⁰"), =HYPERLINK("CSG1.html#group20B1", "20B¹"), =HYPERLINK("CSG0.html#group8H0", "8H⁰"), =HYPERLINK("CSG0.html#group4A0", "4A⁰"), =HYPERLINK("CSG0.html#group10C0", "10C⁰"), =HYPERLINK("CSG0.html#group4F0", "4F⁰"), =HYPERLINK("CSG3.html#group40D3", "40D³"), =HYPERLINK("CSG3.html#group20L3", "20L³")</f>
        <v/>
      </c>
      <c r="N1500">
        <f>HYPERLINK("CSG13.html#group40M13", "40M¹³"), =HYPERLINK("CSG17.html#group40AO17", "40AO¹⁷"), =HYPERLINK("CSG17.html#group40AP17", "40AP¹⁷"), =HYPERLINK("CSG17.html#group80AE17", "80AE¹⁷"), =HYPERLINK("CSG15.html#group40AE15", "40AE¹⁵"), =HYPERLINK("CSG21.html#group80M21", "80M²¹"), =HYPERLINK("CSG19.html#group80U19", "80U¹⁹"), =HYPERLINK("CSG17.html#group40AA17", "40AA¹⁷"), =HYPERLINK("CSG21.html#group80O21", "80O²¹"), =HYPERLINK("CSG17.html#group80AD17", "80AD¹⁷"), =HYPERLINK("CSG17.html#group40X17", "40X¹⁷"), =HYPERLINK("CSG17.html#group40AL17", "40AL¹⁷"), =HYPERLINK("CSG17.html#group80AL17", "80AL¹⁷"), =HYPERLINK("CSG17.html#group40AM17", "40AM¹⁷"), =HYPERLINK("CSG17.html#group80AQ17", "80AQ¹⁷"), =HYPERLINK("CSG19.html#group80V19", "80V¹⁹"), =HYPERLINK("CSG15.html#group40AF15", "40AF¹⁵"), =HYPERLINK("CSG17.html#group80AK17", "80AK¹⁷"), =HYPERLINK("CSG17.html#group80AR17", "80AR¹⁷")</f>
        <v/>
      </c>
    </row>
    <row r="1501">
      <c r="A1501" t="inlineStr">
        <is>
          <t>40T⁷</t>
        </is>
      </c>
      <c r="B1501" t="inlineStr"/>
      <c r="C1501" t="inlineStr">
        <is>
          <t>144</t>
        </is>
      </c>
      <c r="D1501" t="inlineStr">
        <is>
          <t>1</t>
        </is>
      </c>
      <c r="E1501" t="inlineStr">
        <is>
          <t>36</t>
        </is>
      </c>
      <c r="F1501" t="inlineStr">
        <is>
          <t>8</t>
        </is>
      </c>
      <c r="G1501" t="inlineStr">
        <is>
          <t>0</t>
        </is>
      </c>
      <c r="H1501" t="inlineStr">
        <is>
          <t>4², 8², 20², 40²</t>
        </is>
      </c>
      <c r="I1501" t="n">
        <v>8</v>
      </c>
      <c r="J1501" t="inlineStr">
        <is>
          <t>1⁸, 2², 4⁴, 8¹</t>
        </is>
      </c>
      <c r="K1501">
        <f>HYPERLINK("CSG1.html#group20I1", "20I¹")</f>
        <v/>
      </c>
      <c r="L1501">
        <f>HYPERLINK("CSG13.html#group40N13", "40N¹³"), =HYPERLINK("CSG15.html#group40AG15", "40AG¹⁵"), =HYPERLINK("CSG15.html#group40AH15", "40AH¹⁵"), =HYPERLINK("CSG17.html#group40T17", "40T¹⁷"), =HYPERLINK("CSG17.html#group40AC17", "40AC¹⁷")</f>
        <v/>
      </c>
      <c r="M1501">
        <f>HYPERLINK("CSG1.html#group20E1", "20E¹"), =HYPERLINK("CSG0.html#group20A0", "20A⁰"), =HYPERLINK("CSG0.html#group10G0", "10G⁰"), =HYPERLINK("CSG1.html#group20I1", "20I¹"), =HYPERLINK("CSG0.html#group4C0", "4C⁰"), =HYPERLINK("CSG0.html#group5B0", "5B⁰"), =HYPERLINK("CSG0.html#group10C0", "10C⁰"), =HYPERLINK("CSG0.html#group2B0", "2B⁰"), =HYPERLINK("CSG0.html#group1A0", "1A⁰"), =HYPERLINK("CSG0.html#group10B0", "10B⁰")</f>
        <v/>
      </c>
      <c r="N1501">
        <f>HYPERLINK("CSG17.html#group40AC17", "40AC¹⁷"), =HYPERLINK("CSG17.html#group40T17", "40T¹⁷"), =HYPERLINK("CSG15.html#group40AH15", "40AH¹⁵"), =HYPERLINK("CSG15.html#group40AG15", "40AG¹⁵"), =HYPERLINK("CSG13.html#group40N13", "40N¹³")</f>
        <v/>
      </c>
    </row>
    <row r="1502">
      <c r="A1502" t="inlineStr">
        <is>
          <t>40U⁷</t>
        </is>
      </c>
      <c r="B1502" t="inlineStr"/>
      <c r="C1502" t="inlineStr">
        <is>
          <t>144</t>
        </is>
      </c>
      <c r="D1502" t="inlineStr">
        <is>
          <t>1</t>
        </is>
      </c>
      <c r="E1502" t="inlineStr">
        <is>
          <t>72</t>
        </is>
      </c>
      <c r="F1502" t="inlineStr">
        <is>
          <t>0</t>
        </is>
      </c>
      <c r="G1502" t="inlineStr">
        <is>
          <t>0</t>
        </is>
      </c>
      <c r="H1502" t="inlineStr">
        <is>
          <t>1², 2¹, 4¹, 5², 8², 10¹, 20¹, 40²</t>
        </is>
      </c>
      <c r="I1502" t="n">
        <v>12</v>
      </c>
      <c r="J1502" t="inlineStr">
        <is>
          <t>1⁸, 2⁴, 4⁶, 8², 16¹</t>
        </is>
      </c>
      <c r="K1502">
        <f>HYPERLINK("CSG3.html#group40F3", "40F³")</f>
        <v/>
      </c>
      <c r="L1502">
        <f>HYPERLINK("CSG13.html#group40P13", "40P¹³"), =HYPERLINK("CSG15.html#group40W15", "40W¹⁵"), =HYPERLINK("CSG15.html#group40AA15", "40AA¹⁵"), =HYPERLINK("CSG15.html#group80R15", "80R¹⁵"), =HYPERLINK("CSG15.html#group80Q15", "80Q¹⁵"), =HYPERLINK("CSG17.html#group80AH17", "80AH¹⁷"), =HYPERLINK("CSG17.html#group80AG17", "80AG¹⁷")</f>
        <v/>
      </c>
      <c r="M1502">
        <f>HYPERLINK("CSG3.html#group40F3", "40F³"), =HYPERLINK("CSG0.html#group5B0", "5B⁰"),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1502">
        <f>HYPERLINK("CSG13.html#group40P13", "40P¹³"), =HYPERLINK("CSG15.html#group80Q15", "80Q¹⁵"), =HYPERLINK("CSG15.html#group80R15", "80R¹⁵"), =HYPERLINK("CSG15.html#group40W15", "40W¹⁵"), =HYPERLINK("CSG17.html#group80AG17", "80AG¹⁷"), =HYPERLINK("CSG15.html#group40AA15", "40AA¹⁵"), =HYPERLINK("CSG17.html#group80AH17", "80AH¹⁷")</f>
        <v/>
      </c>
    </row>
    <row r="1503">
      <c r="A1503" t="inlineStr">
        <is>
          <t>40V⁷</t>
        </is>
      </c>
      <c r="B1503" t="inlineStr"/>
      <c r="C1503" t="inlineStr">
        <is>
          <t>144</t>
        </is>
      </c>
      <c r="D1503" t="inlineStr">
        <is>
          <t>1</t>
        </is>
      </c>
      <c r="E1503" t="inlineStr">
        <is>
          <t>72</t>
        </is>
      </c>
      <c r="F1503" t="inlineStr">
        <is>
          <t>0</t>
        </is>
      </c>
      <c r="G1503" t="inlineStr">
        <is>
          <t>0</t>
        </is>
      </c>
      <c r="H1503" t="inlineStr">
        <is>
          <t>1², 2¹, 4¹, 5², 8², 10¹, 20¹, 40²</t>
        </is>
      </c>
      <c r="I1503" t="n">
        <v>12</v>
      </c>
      <c r="J1503" t="inlineStr">
        <is>
          <t>1⁸, 2⁴, 4⁶, 8², 16¹</t>
        </is>
      </c>
      <c r="K1503">
        <f>HYPERLINK("CSG0.html#group8I0", "8I⁰"), =HYPERLINK("CSG3.html#group40F3", "40F³")</f>
        <v/>
      </c>
      <c r="L1503">
        <f>HYPERLINK("CSG13.html#group40P13", "40P¹³"), =HYPERLINK("CSG15.html#group40X15", "40X¹⁵"), =HYPERLINK("CSG15.html#group40AA15", "40AA¹⁵"), =HYPERLINK("CSG15.html#group80S15", "80S¹⁵"), =HYPERLINK("CSG15.html#group80T15", "80T¹⁵"), =HYPERLINK("CSG17.html#group80AI17", "80AI¹⁷"), =HYPERLINK("CSG17.html#group80AJ17", "80AJ¹⁷")</f>
        <v/>
      </c>
      <c r="M1503">
        <f>HYPERLINK("CSG3.html#group40F3", "40F³"), =HYPERLINK("CSG0.html#group5B0", "5B⁰"), =HYPERLINK("CSG0.html#group10C0", "10C⁰"), =HYPERLINK("CSG1.html#group20D1", "20D¹"), =HYPERLINK("CSG0.html#group8C0", "8C⁰"), =HYPERLINK("CSG0.html#group8I0", "8I⁰"), =HYPERLINK("CSG0.html#group2B0", "2B⁰"), =HYPERLINK("CSG0.html#group4B0", "4B⁰"), =HYPERLINK("CSG0.html#group1A0", "1A⁰")</f>
        <v/>
      </c>
      <c r="N1503">
        <f>HYPERLINK("CSG15.html#group40AA15", "40AA¹⁵"), =HYPERLINK("CSG13.html#group40P13", "40P¹³"), =HYPERLINK("CSG17.html#group80AJ17", "80AJ¹⁷"), =HYPERLINK("CSG15.html#group80S15", "80S¹⁵"), =HYPERLINK("CSG17.html#group80AI17", "80AI¹⁷"), =HYPERLINK("CSG15.html#group40X15", "40X¹⁵"), =HYPERLINK("CSG15.html#group80T15", "80T¹⁵")</f>
        <v/>
      </c>
    </row>
    <row r="1504">
      <c r="A1504" t="inlineStr">
        <is>
          <t>40W⁷</t>
        </is>
      </c>
      <c r="B1504" t="inlineStr"/>
      <c r="C1504" t="inlineStr">
        <is>
          <t>144</t>
        </is>
      </c>
      <c r="D1504" t="inlineStr">
        <is>
          <t>1</t>
        </is>
      </c>
      <c r="E1504" t="inlineStr">
        <is>
          <t>72</t>
        </is>
      </c>
      <c r="F1504" t="inlineStr">
        <is>
          <t>0</t>
        </is>
      </c>
      <c r="G1504" t="inlineStr">
        <is>
          <t>0</t>
        </is>
      </c>
      <c r="H1504" t="inlineStr">
        <is>
          <t>2², 4³, 8¹, 10², 20³, 40¹</t>
        </is>
      </c>
      <c r="I1504" t="n">
        <v>12</v>
      </c>
      <c r="J1504" t="inlineStr">
        <is>
          <t>1¹⁶, 2⁴, 4⁸, 8²</t>
        </is>
      </c>
      <c r="K1504">
        <f>HYPERLINK("CSG3.html#group20J3", "20J³")</f>
        <v/>
      </c>
      <c r="L1504">
        <f>HYPERLINK("CSG13.html#group40R13", "40R¹³"), =HYPERLINK("CSG15.html#group40U15", "40U¹⁵"), =HYPERLINK("CSG15.html#group40W15", "40W¹⁵"), =HYPERLINK("CSG15.html#group40AB15", "40AB¹⁵"), =HYPERLINK("CSG15.html#group40AD15", "40AD¹⁵"), =HYPERLINK("CSG17.html#group40AD17", "40AD¹⁷"), =HYPERLINK("CSG17.html#group40AH17", "40AH¹⁷")</f>
        <v/>
      </c>
      <c r="M1504">
        <f>HYPERLINK("CSG1.html#group20E1", "20E¹"), =HYPERLINK("CSG0.html#group2A0", "2A⁰"), =HYPERLINK("CSG0.html#group4C0", "4C⁰"), =HYPERLINK("CSG0.html#group5B0", "5B⁰"), =HYPERLINK("CSG0.html#group10C0", "10C⁰"), =HYPERLINK("CSG1.html#group10A1", "10A¹"), =HYPERLINK("CSG0.html#group1A0", "1A⁰"), =HYPERLINK("CSG1.html#group20D1", "20D¹"), =HYPERLINK("CSG0.html#group4E0", "4E⁰"), =HYPERLINK("CSG0.html#group2B0", "2B⁰"), =HYPERLINK("CSG0.html#group4B0", "4B⁰"), =HYPERLINK("CSG3.html#group20J3", "20J³"), =HYPERLINK("CSG0.html#group2C0", "2C⁰"), =HYPERLINK("CSG1.html#group10G1", "10G¹")</f>
        <v/>
      </c>
      <c r="N1504">
        <f>HYPERLINK("CSG15.html#group40U15", "40U¹⁵"), =HYPERLINK("CSG17.html#group40AD17", "40AD¹⁷"), =HYPERLINK("CSG17.html#group40AH17", "40AH¹⁷"), =HYPERLINK("CSG15.html#group40AB15", "40AB¹⁵"), =HYPERLINK("CSG15.html#group40W15", "40W¹⁵"), =HYPERLINK("CSG13.html#group40R13", "40R¹³"), =HYPERLINK("CSG15.html#group40AD15", "40AD¹⁵")</f>
        <v/>
      </c>
    </row>
    <row r="1505">
      <c r="A1505" t="inlineStr">
        <is>
          <t>40X⁷</t>
        </is>
      </c>
      <c r="B1505" t="inlineStr"/>
      <c r="C1505" t="inlineStr">
        <is>
          <t>144</t>
        </is>
      </c>
      <c r="D1505" t="inlineStr">
        <is>
          <t>1</t>
        </is>
      </c>
      <c r="E1505" t="inlineStr">
        <is>
          <t>72</t>
        </is>
      </c>
      <c r="F1505" t="inlineStr">
        <is>
          <t>0</t>
        </is>
      </c>
      <c r="G1505" t="inlineStr">
        <is>
          <t>0</t>
        </is>
      </c>
      <c r="H1505" t="inlineStr">
        <is>
          <t>2², 4³, 8¹, 10², 20³, 40¹</t>
        </is>
      </c>
      <c r="I1505" t="n">
        <v>12</v>
      </c>
      <c r="J1505" t="inlineStr">
        <is>
          <t>1¹⁶, 2⁴, 4⁸, 8²</t>
        </is>
      </c>
      <c r="K1505">
        <f>HYPERLINK("CSG0.html#group8J0", "8J⁰"), =HYPERLINK("CSG3.html#group20J3", "20J³")</f>
        <v/>
      </c>
      <c r="L1505">
        <f>HYPERLINK("CSG13.html#group40R13", "40R¹³"), =HYPERLINK("CSG15.html#group40V15", "40V¹⁵"), =HYPERLINK("CSG15.html#group40X15", "40X¹⁵"), =HYPERLINK("CSG15.html#group40AB15", "40AB¹⁵"), =HYPERLINK("CSG15.html#group40AD15", "40AD¹⁵"), =HYPERLINK("CSG17.html#group40AE17", "40AE¹⁷"), =HYPERLINK("CSG17.html#group40AH17", "40AH¹⁷")</f>
        <v/>
      </c>
      <c r="M1505">
        <f>HYPERLINK("CSG0.html#group2A0", "2A⁰"), =HYPERLINK("CSG1.html#group20E1", "20E¹"), =HYPERLINK("CSG0.html#group4C0", "4C⁰"), =HYPERLINK("CSG0.html#group5B0", "5B⁰"), =HYPERLINK("CSG1.html#group10A1", "10A¹"), =HYPERLINK("CSG0.html#group2B0", "2B⁰"), =HYPERLINK("CSG0.html#group4E0", "4E⁰"), =HYPERLINK("CSG1.html#group20D1", "20D¹"), =HYPERLINK("CSG0.html#group4B0", "4B⁰"), =HYPERLINK("CSG0.html#group1A0", "1A⁰"), =HYPERLINK("CSG1.html#group10G1", "10G¹"), =HYPERLINK("CSG0.html#group10C0", "10C⁰"), =HYPERLINK("CSG3.html#group20J3", "20J³"), =HYPERLINK("CSG0.html#group2C0", "2C⁰"), =HYPERLINK("CSG0.html#group8J0", "8J⁰")</f>
        <v/>
      </c>
      <c r="N1505">
        <f>HYPERLINK("CSG15.html#group40AB15", "40AB¹⁵"), =HYPERLINK("CSG17.html#group40AH17", "40AH¹⁷"), =HYPERLINK("CSG15.html#group40V15", "40V¹⁵"), =HYPERLINK("CSG17.html#group40AE17", "40AE¹⁷"), =HYPERLINK("CSG13.html#group40R13", "40R¹³"), =HYPERLINK("CSG15.html#group40AD15", "40AD¹⁵"), =HYPERLINK("CSG15.html#group40X15", "40X¹⁵")</f>
        <v/>
      </c>
    </row>
    <row r="1506">
      <c r="A1506" t="inlineStr">
        <is>
          <t>40Y⁷</t>
        </is>
      </c>
      <c r="B1506" t="inlineStr"/>
      <c r="C1506" t="inlineStr">
        <is>
          <t>144</t>
        </is>
      </c>
      <c r="D1506" t="inlineStr">
        <is>
          <t>1</t>
        </is>
      </c>
      <c r="E1506" t="inlineStr">
        <is>
          <t>72</t>
        </is>
      </c>
      <c r="F1506" t="inlineStr">
        <is>
          <t>4</t>
        </is>
      </c>
      <c r="G1506" t="inlineStr">
        <is>
          <t>0</t>
        </is>
      </c>
      <c r="H1506" t="inlineStr">
        <is>
          <t>4⁴, 8¹, 20⁴, 40¹</t>
        </is>
      </c>
      <c r="I1506" t="n">
        <v>10</v>
      </c>
      <c r="J1506" t="inlineStr">
        <is>
          <t>2⁴, 4⁴, 8², 16²</t>
        </is>
      </c>
      <c r="K1506">
        <f>HYPERLINK("CSG3.html#group20L3", "20L³")</f>
        <v/>
      </c>
      <c r="L1506">
        <f>HYPERLINK("CSG13.html#group40T13", "40T¹³"), =HYPERLINK("CSG15.html#group40U15", "40U¹⁵"), =HYPERLINK("CSG15.html#group40AC15", "40AC¹⁵"), =HYPERLINK("CSG17.html#group40AJ17", "40AJ¹⁷"), =HYPERLINK("CSG17.html#group40AL17", "40AL¹⁷"), =HYPERLINK("CSG19.html#group40E19", "40E¹⁹"), =HYPERLINK("CSG19.html#group40D19", "40D¹⁹")</f>
        <v/>
      </c>
      <c r="M1506">
        <f>HYPERLINK("CSG1.html#group20E1", "20E¹"), =HYPERLINK("CSG0.html#group4A0", "4A⁰"), =HYPERLINK("CSG0.html#group4C0", "4C⁰"), =HYPERLINK("CSG0.html#group5B0", "5B⁰"), =HYPERLINK("CSG0.html#group10C0", "10C⁰"), =HYPERLINK("CSG0.html#group1A0", "1A⁰"), =HYPERLINK("CSG0.html#group2B0", "2B⁰"), =HYPERLINK("CSG0.html#group4F0", "4F⁰"), =HYPERLINK("CSG3.html#group20L3", "20L³"), =HYPERLINK("CSG1.html#group20B1", "20B¹")</f>
        <v/>
      </c>
      <c r="N1506">
        <f>HYPERLINK("CSG19.html#group40E19", "40E¹⁹"), =HYPERLINK("CSG15.html#group40U15", "40U¹⁵"), =HYPERLINK("CSG17.html#group40AL17", "40AL¹⁷"), =HYPERLINK("CSG19.html#group40D19", "40D¹⁹"), =HYPERLINK("CSG13.html#group40T13", "40T¹³"), =HYPERLINK("CSG15.html#group40AC15", "40AC¹⁵"), =HYPERLINK("CSG17.html#group40AJ17", "40AJ¹⁷")</f>
        <v/>
      </c>
    </row>
    <row r="1507">
      <c r="A1507" t="inlineStr">
        <is>
          <t>40Z⁷</t>
        </is>
      </c>
      <c r="B1507" t="inlineStr"/>
      <c r="C1507" t="inlineStr">
        <is>
          <t>144</t>
        </is>
      </c>
      <c r="D1507" t="inlineStr">
        <is>
          <t>1</t>
        </is>
      </c>
      <c r="E1507" t="inlineStr">
        <is>
          <t>72</t>
        </is>
      </c>
      <c r="F1507" t="inlineStr">
        <is>
          <t>4</t>
        </is>
      </c>
      <c r="G1507" t="inlineStr">
        <is>
          <t>0</t>
        </is>
      </c>
      <c r="H1507" t="inlineStr">
        <is>
          <t>4⁴, 8¹, 20⁴, 40¹</t>
        </is>
      </c>
      <c r="I1507" t="n">
        <v>10</v>
      </c>
      <c r="J1507" t="inlineStr">
        <is>
          <t>2⁴, 4⁴, 8², 16²</t>
        </is>
      </c>
      <c r="K1507">
        <f>HYPERLINK("CSG0.html#group8K0", "8K⁰"), =HYPERLINK("CSG3.html#group20L3", "20L³")</f>
        <v/>
      </c>
      <c r="L1507">
        <f>HYPERLINK("CSG13.html#group40T13", "40T¹³"), =HYPERLINK("CSG15.html#group40V15", "40V¹⁵"), =HYPERLINK("CSG15.html#group40AC15", "40AC¹⁵"), =HYPERLINK("CSG17.html#group40AK17", "40AK¹⁷"), =HYPERLINK("CSG17.html#group40AM17", "40AM¹⁷"), =HYPERLINK("CSG17.html#group80AY17", "80AY¹⁷"), =HYPERLINK("CSG17.html#group80AZ17", "80AZ¹⁷"), =HYPERLINK("CSG17.html#group80BA17", "80BA¹⁷"), =HYPERLINK("CSG17.html#group80BB17", "80BB¹⁷"), =HYPERLINK("CSG19.html#group40F19", "40F¹⁹"), =HYPERLINK("CSG19.html#group40G19", "40G¹⁹")</f>
        <v/>
      </c>
      <c r="M1507">
        <f>HYPERLINK("CSG1.html#group20E1", "20E¹"), =HYPERLINK("CSG0.html#group4C0", "4C⁰"), =HYPERLINK("CSG0.html#group5B0", "5B⁰"), =HYPERLINK("CSG0.html#group2B0", "2B⁰"), =HYPERLINK("CSG0.html#group1A0", "1A⁰"), =HYPERLINK("CSG0.html#group8K0", "8K⁰"), =HYPERLINK("CSG1.html#group20B1", "20B¹"), =HYPERLINK("CSG0.html#group4A0", "4A⁰"), =HYPERLINK("CSG0.html#group10C0", "10C⁰"), =HYPERLINK("CSG0.html#group4F0", "4F⁰"), =HYPERLINK("CSG3.html#group20L3", "20L³")</f>
        <v/>
      </c>
      <c r="N1507">
        <f>HYPERLINK("CSG19.html#group40F19", "40F¹⁹"), =HYPERLINK("CSG17.html#group40AK17", "40AK¹⁷"), =HYPERLINK("CSG17.html#group80BA17", "80BA¹⁷"), =HYPERLINK("CSG15.html#group40AC15", "40AC¹⁵"), =HYPERLINK("CSG19.html#group40G19", "40G¹⁹"), =HYPERLINK("CSG15.html#group40V15", "40V¹⁵"), =HYPERLINK("CSG17.html#group80AZ17", "80AZ¹⁷"), =HYPERLINK("CSG17.html#group80BB17", "80BB¹⁷"), =HYPERLINK("CSG17.html#group40AM17", "40AM¹⁷"), =HYPERLINK("CSG13.html#group40T13", "40T¹³"), =HYPERLINK("CSG17.html#group80AY17", "80AY¹⁷")</f>
        <v/>
      </c>
    </row>
    <row r="1508">
      <c r="A1508" t="inlineStr">
        <is>
          <t>40AA⁷</t>
        </is>
      </c>
      <c r="B1508" t="inlineStr"/>
      <c r="C1508" t="inlineStr">
        <is>
          <t>144</t>
        </is>
      </c>
      <c r="D1508" t="inlineStr">
        <is>
          <t>1</t>
        </is>
      </c>
      <c r="E1508" t="inlineStr">
        <is>
          <t>72</t>
        </is>
      </c>
      <c r="F1508" t="inlineStr">
        <is>
          <t>8</t>
        </is>
      </c>
      <c r="G1508" t="inlineStr">
        <is>
          <t>0</t>
        </is>
      </c>
      <c r="H1508" t="inlineStr">
        <is>
          <t>4², 8², 20², 40²</t>
        </is>
      </c>
      <c r="I1508" t="n">
        <v>8</v>
      </c>
      <c r="J1508" t="inlineStr">
        <is>
          <t>1⁸, 2⁴, 4⁶, 8², 16¹</t>
        </is>
      </c>
      <c r="K1508">
        <f>HYPERLINK("CSG3.html#group40D3", "40D³")</f>
        <v/>
      </c>
      <c r="L1508">
        <f>HYPERLINK("CSG13.html#group40V13", "40V¹³"), =HYPERLINK("CSG15.html#group40AE15", "40AE¹⁵"), =HYPERLINK("CSG15.html#group40AI15", "40AI¹⁵"), =HYPERLINK("CSG17.html#group40AD17", "40AD¹⁷"), =HYPERLINK("CSG17.html#group40AG17", "40AG¹⁷"), =HYPERLINK("CSG17.html#group80AV17", "80AV¹⁷"), =HYPERLINK("CSG17.html#group80AU17", "80AU¹⁷"), =HYPERLINK("CSG19.html#group80AC19", "80AC¹⁹"), =HYPERLINK("CSG19.html#group80AB19", "80AB¹⁹"), =HYPERLINK("CSG21.html#group80W21", "80W²¹"), =HYPERLINK("CSG21.html#group80V21", "80V²¹")</f>
        <v/>
      </c>
      <c r="M1508">
        <f>HYPERLINK("CSG1.html#group20E1", "20E¹"), =HYPERLINK("CSG0.html#group4C0", "4C⁰"), =HYPERLINK("CSG0.html#group8B0", "8B⁰"), =HYPERLINK("CSG0.html#group5B0", "5B⁰"), =HYPERLINK("CSG0.html#group10C0", "10C⁰"), =HYPERLINK("CSG0.html#group1A0", "1A⁰"), =HYPERLINK("CSG0.html#group2B0", "2B⁰"), =HYPERLINK("CSG3.html#group40D3", "40D³")</f>
        <v/>
      </c>
      <c r="N1508">
        <f>HYPERLINK("CSG13.html#group40V13", "40V¹³"), =HYPERLINK("CSG17.html#group40AD17", "40AD¹⁷"), =HYPERLINK("CSG17.html#group80AV17", "80AV¹⁷"), =HYPERLINK("CSG19.html#group80AC19", "80AC¹⁹"), =HYPERLINK("CSG15.html#group40AI15", "40AI¹⁵"), =HYPERLINK("CSG15.html#group40AE15", "40AE¹⁵"), =HYPERLINK("CSG19.html#group80AB19", "80AB¹⁹"), =HYPERLINK("CSG17.html#group40AG17", "40AG¹⁷"), =HYPERLINK("CSG21.html#group80V21", "80V²¹"), =HYPERLINK("CSG17.html#group80AU17", "80AU¹⁷"), =HYPERLINK("CSG21.html#group80W21", "80W²¹")</f>
        <v/>
      </c>
    </row>
    <row r="1509">
      <c r="A1509" t="inlineStr">
        <is>
          <t>40AB⁷</t>
        </is>
      </c>
      <c r="B1509" t="inlineStr"/>
      <c r="C1509" t="inlineStr">
        <is>
          <t>144</t>
        </is>
      </c>
      <c r="D1509" t="inlineStr">
        <is>
          <t>1</t>
        </is>
      </c>
      <c r="E1509" t="inlineStr">
        <is>
          <t>72</t>
        </is>
      </c>
      <c r="F1509" t="inlineStr">
        <is>
          <t>8</t>
        </is>
      </c>
      <c r="G1509" t="inlineStr">
        <is>
          <t>0</t>
        </is>
      </c>
      <c r="H1509" t="inlineStr">
        <is>
          <t>4², 8², 20², 40²</t>
        </is>
      </c>
      <c r="I1509" t="n">
        <v>8</v>
      </c>
      <c r="J1509" t="inlineStr">
        <is>
          <t>1⁸, 2⁴, 4⁶, 8², 16¹</t>
        </is>
      </c>
      <c r="K1509">
        <f>HYPERLINK("CSG0.html#group8L0", "8L⁰"), =HYPERLINK("CSG3.html#group40D3", "40D³")</f>
        <v/>
      </c>
      <c r="L1509">
        <f>HYPERLINK("CSG13.html#group40V13", "40V¹³"), =HYPERLINK("CSG15.html#group40AF15", "40AF¹⁵"), =HYPERLINK("CSG15.html#group40AI15", "40AI¹⁵"), =HYPERLINK("CSG17.html#group40AE17", "40AE¹⁷"), =HYPERLINK("CSG17.html#group40AG17", "40AG¹⁷"), =HYPERLINK("CSG17.html#group80AW17", "80AW¹⁷"), =HYPERLINK("CSG17.html#group80AX17", "80AX¹⁷"), =HYPERLINK("CSG19.html#group80AD19", "80AD¹⁹"), =HYPERLINK("CSG19.html#group80AE19", "80AE¹⁹"), =HYPERLINK("CSG21.html#group80X21", "80X²¹"), =HYPERLINK("CSG21.html#group80AB21", "80AB²¹")</f>
        <v/>
      </c>
      <c r="M1509">
        <f>HYPERLINK("CSG1.html#group20E1", "20E¹"), =HYPERLINK("CSG0.html#group4C0", "4C⁰"), =HYPERLINK("CSG0.html#group8B0", "8B⁰"), =HYPERLINK("CSG0.html#group5B0", "5B⁰"), =HYPERLINK("CSG0.html#group10C0", "10C⁰"), =HYPERLINK("CSG0.html#group8L0", "8L⁰"), =HYPERLINK("CSG0.html#group2B0", "2B⁰"), =HYPERLINK("CSG0.html#group1A0", "1A⁰"), =HYPERLINK("CSG3.html#group40D3", "40D³")</f>
        <v/>
      </c>
      <c r="N1509">
        <f>HYPERLINK("CSG13.html#group40V13", "40V¹³"), =HYPERLINK("CSG17.html#group80AW17", "80AW¹⁷"), =HYPERLINK("CSG15.html#group40AI15", "40AI¹⁵"), =HYPERLINK("CSG17.html#group80AX17", "80AX¹⁷"), =HYPERLINK("CSG19.html#group80AD19", "80AD¹⁹"), =HYPERLINK("CSG19.html#group80AE19", "80AE¹⁹"), =HYPERLINK("CSG17.html#group40AG17", "40AG¹⁷"), =HYPERLINK("CSG17.html#group40AE17", "40AE¹⁷"), =HYPERLINK("CSG21.html#group80AB21", "80AB²¹"), =HYPERLINK("CSG15.html#group40AF15", "40AF¹⁵"), =HYPERLINK("CSG21.html#group80X21", "80X²¹")</f>
        <v/>
      </c>
    </row>
    <row r="1510">
      <c r="A1510" t="inlineStr">
        <is>
          <t>40AC⁷</t>
        </is>
      </c>
      <c r="B1510" t="inlineStr"/>
      <c r="C1510" t="inlineStr">
        <is>
          <t>144</t>
        </is>
      </c>
      <c r="D1510" t="inlineStr">
        <is>
          <t>2</t>
        </is>
      </c>
      <c r="E1510" t="inlineStr">
        <is>
          <t>18</t>
        </is>
      </c>
      <c r="F1510" t="inlineStr">
        <is>
          <t>0</t>
        </is>
      </c>
      <c r="G1510" t="inlineStr">
        <is>
          <t>0</t>
        </is>
      </c>
      <c r="H1510" t="inlineStr">
        <is>
          <t>2⁴, 8², 10⁴, 40²</t>
        </is>
      </c>
      <c r="I1510" t="n">
        <v>12</v>
      </c>
      <c r="J1510" t="inlineStr">
        <is>
          <t>2⁶, 8³</t>
        </is>
      </c>
      <c r="K1510">
        <f>HYPERLINK("CSG1.html#group40A1", "40A¹"), =HYPERLINK("CSG3.html#group20I3", "20I³"), =HYPERLINK("CSG3.html#group40I3", "40I³")</f>
        <v/>
      </c>
      <c r="L1510">
        <f>HYPERLINK("CSG13.html#group40J13", "40J¹³"), =HYPERLINK("CSG17.html#group40AR17", "40AR¹⁷")</f>
        <v/>
      </c>
      <c r="M1510">
        <f>HYPERLINK("CSG0.html#group2A0", "2A⁰"), =HYPERLINK("CSG0.html#group20A0", "20A⁰"), =HYPERLINK("CSG1.html#group40A1", "40A¹"), =HYPERLINK("CSG3.html#group40I3", "40I³"), =HYPERLINK("CSG0.html#group5B0", "5B⁰"), =HYPERLINK("CSG0.html#group10C0", "10C⁰"), =HYPERLINK("CSG1.html#group10A1", "10A¹"), =HYPERLINK("CSG0.html#group2B0", "2B⁰"), =HYPERLINK("CSG3.html#group20I3", "20I³"), =HYPERLINK("CSG0.html#group1A0", "1A⁰"), =HYPERLINK("CSG0.html#group2C0", "2C⁰"), =HYPERLINK("CSG2.html#group20C2", "20C²"), =HYPERLINK("CSG1.html#group10G1", "10G¹")</f>
        <v/>
      </c>
      <c r="N1510">
        <f>HYPERLINK("CSG13.html#group40J13", "40J¹³"), =HYPERLINK("CSG17.html#group40AR17", "40AR¹⁷")</f>
        <v/>
      </c>
    </row>
    <row r="1511">
      <c r="A1511" t="inlineStr">
        <is>
          <t>42A⁷</t>
        </is>
      </c>
      <c r="B1511" t="inlineStr"/>
      <c r="C1511" t="inlineStr">
        <is>
          <t>84</t>
        </is>
      </c>
      <c r="D1511" t="inlineStr">
        <is>
          <t>2</t>
        </is>
      </c>
      <c r="E1511" t="inlineStr">
        <is>
          <t>7</t>
        </is>
      </c>
      <c r="F1511" t="inlineStr">
        <is>
          <t>0</t>
        </is>
      </c>
      <c r="G1511" t="inlineStr">
        <is>
          <t>0</t>
        </is>
      </c>
      <c r="H1511" t="inlineStr">
        <is>
          <t>42²</t>
        </is>
      </c>
      <c r="I1511" t="n">
        <v>2</v>
      </c>
      <c r="J1511" t="inlineStr">
        <is>
          <t>2¹, 6²</t>
        </is>
      </c>
      <c r="K1511">
        <f>HYPERLINK("CSG1.html#group14D1", "14D¹"), =HYPERLINK("CSG1.html#group42A1", "42A¹"), =HYPERLINK("CSG2.html#group21C2", "21C²"), =HYPERLINK("CSG4.html#group42A4", "42A⁴")</f>
        <v/>
      </c>
      <c r="L1511">
        <f>HYPERLINK("CSG13.html#group42E13", "42E¹³"), =HYPERLINK("CSG19.html#group42F19", "42F¹⁹"), =HYPERLINK("CSG19.html#group42G19", "42G¹⁹"), =HYPERLINK("CSG19.html#group42J19", "42J¹⁹"), =HYPERLINK("CSG21.html#group126C21", "126C²¹")</f>
        <v/>
      </c>
      <c r="M1511">
        <f>HYPERLINK("CSG0.html#group2A0", "2A⁰"), =HYPERLINK("CSG0.html#group14A0", "14A⁰"), =HYPERLINK("CSG1.html#group42A1", "42A¹"), =HYPERLINK("CSG0.html#group7C0", "7C⁰"), =HYPERLINK("CSG1.html#group14A1", "14A¹"), =HYPERLINK("CSG2.html#group21C2", "21C²"), =HYPERLINK("CSG0.html#group21A0", "21A⁰"), =HYPERLINK("CSG0.html#group1A0", "1A⁰"), =HYPERLINK("CSG1.html#group6A1", "6A¹"), =HYPERLINK("CSG4.html#group42A4", "42A⁴"), =HYPERLINK("CSG0.html#group3A0", "3A⁰"), =HYPERLINK("CSG1.html#group14D1", "14D¹"), =HYPERLINK("CSG0.html#group7A0", "7A⁰")</f>
        <v/>
      </c>
      <c r="N1511">
        <f>HYPERLINK("CSG19.html#group42F19", "42F¹⁹"), =HYPERLINK("CSG21.html#group126C21", "126C²¹"), =HYPERLINK("CSG19.html#group42G19", "42G¹⁹"), =HYPERLINK("CSG13.html#group42E13", "42E¹³"), =HYPERLINK("CSG19.html#group42J19", "42J¹⁹")</f>
        <v/>
      </c>
    </row>
    <row r="1512">
      <c r="A1512" t="inlineStr">
        <is>
          <t>42B⁷</t>
        </is>
      </c>
      <c r="B1512" t="inlineStr"/>
      <c r="C1512" t="inlineStr">
        <is>
          <t>84</t>
        </is>
      </c>
      <c r="D1512" t="inlineStr">
        <is>
          <t>2</t>
        </is>
      </c>
      <c r="E1512" t="inlineStr">
        <is>
          <t>21</t>
        </is>
      </c>
      <c r="F1512" t="inlineStr">
        <is>
          <t>0</t>
        </is>
      </c>
      <c r="G1512" t="inlineStr">
        <is>
          <t>0</t>
        </is>
      </c>
      <c r="H1512" t="inlineStr">
        <is>
          <t>42²</t>
        </is>
      </c>
      <c r="I1512" t="n">
        <v>2</v>
      </c>
      <c r="J1512" t="inlineStr">
        <is>
          <t>2¹, 4¹, 6², 12²</t>
        </is>
      </c>
      <c r="K1512">
        <f>HYPERLINK("CSG1.html#group21D1", "21D¹"), =HYPERLINK("CSG2.html#group42A2", "42A²"), =HYPERLINK("CSG4.html#group42A4", "42A⁴")</f>
        <v/>
      </c>
      <c r="L1512">
        <f>HYPERLINK("CSG13.html#group42D13", "42D¹³"), =HYPERLINK("CSG13.html#group42E13", "42E¹³"), =HYPERLINK("CSG19.html#group42K19", "42K¹⁹"), =HYPERLINK("CSG19.html#group42M19", "42M¹⁹"), =HYPERLINK("CSG21.html#group126D21", "126D²¹"), =HYPERLINK("CSG21.html#group126F21", "126F²¹"), =HYPERLINK("CSG21.html#group126E21", "126E²¹"), =HYPERLINK("CSG21.html#group126I21", "126I²¹")</f>
        <v/>
      </c>
      <c r="M1512">
        <f>HYPERLINK("CSG0.html#group2A0", "2A⁰"), =HYPERLINK("CSG2.html#group42A2", "42A²"), =HYPERLINK("CSG1.html#group21D1", "21D¹"), =HYPERLINK("CSG1.html#group14A1", "14A¹"), =HYPERLINK("CSG0.html#group21A0", "21A⁰"), =HYPERLINK("CSG1.html#group6A1", "6A¹"), =HYPERLINK("CSG4.html#group42A4", "42A⁴"), =HYPERLINK("CSG0.html#group3A0", "3A⁰"), =HYPERLINK("CSG0.html#group1A0", "1A⁰"), =HYPERLINK("CSG0.html#group7A0", "7A⁰")</f>
        <v/>
      </c>
      <c r="N1512">
        <f>HYPERLINK("CSG13.html#group42D13", "42D¹³"), =HYPERLINK("CSG21.html#group126D21", "126D²¹"), =HYPERLINK("CSG21.html#group126F21", "126F²¹"), =HYPERLINK("CSG19.html#group42M19", "42M¹⁹"), =HYPERLINK("CSG21.html#group126I21", "126I²¹"), =HYPERLINK("CSG13.html#group42E13", "42E¹³"), =HYPERLINK("CSG19.html#group42K19", "42K¹⁹"), =HYPERLINK("CSG21.html#group126E21", "126E²¹")</f>
        <v/>
      </c>
    </row>
    <row r="1513">
      <c r="A1513" t="inlineStr">
        <is>
          <t>42C⁷</t>
        </is>
      </c>
      <c r="B1513" t="inlineStr"/>
      <c r="C1513" t="inlineStr">
        <is>
          <t>84</t>
        </is>
      </c>
      <c r="D1513" t="inlineStr">
        <is>
          <t>2</t>
        </is>
      </c>
      <c r="E1513" t="inlineStr">
        <is>
          <t>21</t>
        </is>
      </c>
      <c r="F1513" t="inlineStr">
        <is>
          <t>0</t>
        </is>
      </c>
      <c r="G1513" t="inlineStr">
        <is>
          <t>0</t>
        </is>
      </c>
      <c r="H1513" t="inlineStr">
        <is>
          <t>42²</t>
        </is>
      </c>
      <c r="I1513" t="n">
        <v>2</v>
      </c>
      <c r="J1513" t="inlineStr">
        <is>
          <t>2¹, 4¹, 6², 12²</t>
        </is>
      </c>
      <c r="K1513">
        <f>HYPERLINK("CSG1.html#group6B1", "6B¹"), =HYPERLINK("CSG1.html#group42B1", "42B¹"), =HYPERLINK("CSG2.html#group21D2", "21D²"), =HYPERLINK("CSG4.html#group42A4", "42A⁴")</f>
        <v/>
      </c>
      <c r="L1513">
        <f>HYPERLINK("CSG13.html#group42C13", "42C¹³"), =HYPERLINK("CSG13.html#group42D13", "42D¹³"), =HYPERLINK("CSG13.html#group42E13", "42E¹³"), =HYPERLINK("CSG19.html#group42E19", "42E¹⁹"), =HYPERLINK("CSG19.html#group42L19", "42L¹⁹"), =HYPERLINK("CSG20.html#group126E20", "126E²⁰"), =HYPERLINK("CSG21.html#group126A21", "126A²¹"), =HYPERLINK("CSG21.html#group126B21", "126B²¹"), =HYPERLINK("CSG21.html#group126G21", "126G²¹"), =HYPERLINK("CSG21.html#group126H21", "126H²¹")</f>
        <v/>
      </c>
      <c r="M1513">
        <f>HYPERLINK("CSG0.html#group2A0", "2A⁰"), =HYPERLINK("CSG2.html#group21D2", "21D²"), =HYPERLINK("CSG0.html#group6B0", "6B⁰"), =HYPERLINK("CSG1.html#group6B1", "6B¹"), =HYPERLINK("CSG1.html#group14A1", "14A¹"), =HYPERLINK("CSG0.html#group21A0", "21A⁰"), =HYPERLINK("CSG0.html#group3C0", "3C⁰"), =HYPERLINK("CSG1.html#group6A1", "6A¹"), =HYPERLINK("CSG4.html#group42A4", "42A⁴"), =HYPERLINK("CSG1.html#group42B1", "42B¹"), =HYPERLINK("CSG0.html#group3A0", "3A⁰"), =HYPERLINK("CSG0.html#group1A0", "1A⁰"), =HYPERLINK("CSG0.html#group7A0", "7A⁰")</f>
        <v/>
      </c>
      <c r="N1513">
        <f>HYPERLINK("CSG13.html#group42D13", "42D¹³"), =HYPERLINK("CSG13.html#group42C13", "42C¹³"), =HYPERLINK("CSG21.html#group126A21", "126A²¹"), =HYPERLINK("CSG20.html#group126E20", "126E²⁰"), =HYPERLINK("CSG21.html#group126G21", "126G²¹"), =HYPERLINK("CSG19.html#group42E19", "42E¹⁹"), =HYPERLINK("CSG21.html#group126B21", "126B²¹"), =HYPERLINK("CSG19.html#group42L19", "42L¹⁹"), =HYPERLINK("CSG13.html#group42E13", "42E¹³"), =HYPERLINK("CSG21.html#group126H21", "126H²¹")</f>
        <v/>
      </c>
    </row>
    <row r="1514">
      <c r="A1514" t="inlineStr">
        <is>
          <t>42D⁷</t>
        </is>
      </c>
      <c r="B1514" t="inlineStr"/>
      <c r="C1514" t="inlineStr">
        <is>
          <t>96</t>
        </is>
      </c>
      <c r="D1514" t="inlineStr">
        <is>
          <t>1</t>
        </is>
      </c>
      <c r="E1514" t="inlineStr">
        <is>
          <t>24</t>
        </is>
      </c>
      <c r="F1514" t="inlineStr">
        <is>
          <t>0</t>
        </is>
      </c>
      <c r="G1514" t="inlineStr">
        <is>
          <t>0</t>
        </is>
      </c>
      <c r="H1514" t="inlineStr">
        <is>
          <t>6², 42²</t>
        </is>
      </c>
      <c r="I1514" t="n">
        <v>4</v>
      </c>
      <c r="J1514" t="inlineStr">
        <is>
          <t>1², 2², 6¹, 12¹</t>
        </is>
      </c>
      <c r="K1514">
        <f>HYPERLINK("CSG0.html#group6E0", "6E⁰"), =HYPERLINK("CSG3.html#group21A3", "21A³"), =HYPERLINK("CSG4.html#group42C4", "42C⁴")</f>
        <v/>
      </c>
      <c r="L1514">
        <f>HYPERLINK("CSG13.html#group42G13", "42G¹³"), =HYPERLINK("CSG15.html#group84D15", "84D¹⁵"), =HYPERLINK("CSG19.html#group42N19", "42N¹⁹"), =HYPERLINK("CSG19.html#group42R19", "42R¹⁹"), =HYPERLINK("CSG21.html#group126L21", "126L²¹"), =HYPERLINK("CSG21.html#group126N21", "126N²¹"), =HYPERLINK("CSG23.html#group126A23", "126A²³"), =HYPERLINK("CSG23.html#group126C23", "126C²³"), =HYPERLINK("CSG23.html#group126G23", "126G²³"), =HYPERLINK("CSG23.html#group126I23", "126I²³")</f>
        <v/>
      </c>
      <c r="M1514">
        <f>HYPERLINK("CSG0.html#group6B0", "6B⁰"), =HYPERLINK("CSG2.html#group21A2", "21A²"), =HYPERLINK("CSG0.html#group6E0", "6E⁰"), =HYPERLINK("CSG0.html#group7B0", "7B⁰"), =HYPERLINK("CSG0.html#group3C0", "3C⁰"), =HYPERLINK("CSG4.html#group42C4", "42C⁴"), =HYPERLINK("CSG0.html#group3A0", "3A⁰"), =HYPERLINK("CSG0.html#group1A0", "1A⁰"), =HYPERLINK("CSG3.html#group21A3", "21A³")</f>
        <v/>
      </c>
      <c r="N1514">
        <f>HYPERLINK("CSG21.html#group126L21", "126L²¹"), =HYPERLINK("CSG15.html#group84D15", "84D¹⁵"), =HYPERLINK("CSG19.html#group42N19", "42N¹⁹"), =HYPERLINK("CSG23.html#group126G23", "126G²³"), =HYPERLINK("CSG23.html#group126I23", "126I²³"), =HYPERLINK("CSG23.html#group126C23", "126C²³"), =HYPERLINK("CSG13.html#group42G13", "42G¹³"), =HYPERLINK("CSG21.html#group126N21", "126N²¹"), =HYPERLINK("CSG19.html#group42R19", "42R¹⁹"), =HYPERLINK("CSG23.html#group126A23", "126A²³")</f>
        <v/>
      </c>
    </row>
    <row r="1515">
      <c r="A1515" t="inlineStr">
        <is>
          <t>42E⁷</t>
        </is>
      </c>
      <c r="B1515" t="inlineStr"/>
      <c r="C1515" t="inlineStr">
        <is>
          <t>96</t>
        </is>
      </c>
      <c r="D1515" t="inlineStr">
        <is>
          <t>1</t>
        </is>
      </c>
      <c r="E1515" t="inlineStr">
        <is>
          <t>24</t>
        </is>
      </c>
      <c r="F1515" t="inlineStr">
        <is>
          <t>0</t>
        </is>
      </c>
      <c r="G1515" t="inlineStr">
        <is>
          <t>0</t>
        </is>
      </c>
      <c r="H1515" t="inlineStr">
        <is>
          <t>6², 42²</t>
        </is>
      </c>
      <c r="I1515" t="n">
        <v>4</v>
      </c>
      <c r="J1515" t="inlineStr">
        <is>
          <t>1², 2², 6¹, 12¹</t>
        </is>
      </c>
      <c r="K1515">
        <f>HYPERLINK("CSG1.html#group6B1", "6B¹"), =HYPERLINK("CSG3.html#group21A3", "21A³"), =HYPERLINK("CSG4.html#group42B4", "42B⁴"), =HYPERLINK("CSG4.html#group42C4", "42C⁴")</f>
        <v/>
      </c>
      <c r="L1515">
        <f>HYPERLINK("CSG13.html#group42G13", "42G¹³"), =HYPERLINK("CSG15.html#group84A15", "84A¹⁵"), =HYPERLINK("CSG15.html#group84B15", "84B¹⁵"), =HYPERLINK("CSG19.html#group42O19", "42O¹⁹"), =HYPERLINK("CSG19.html#group42P19", "42P¹⁹"), =HYPERLINK("CSG19.html#group42Q19", "42Q¹⁹"), =HYPERLINK("CSG21.html#group126M21", "126M²¹"), =HYPERLINK("CSG23.html#group126B23", "126B²³"), =HYPERLINK("CSG23.html#group126D23", "126D²³"), =HYPERLINK("CSG23.html#group126E23", "126E²³"), =HYPERLINK("CSG23.html#group126F23", "126F²³"), =HYPERLINK("CSG23.html#group126H23", "126H²³")</f>
        <v/>
      </c>
      <c r="M1515">
        <f>HYPERLINK("CSG0.html#group2A0", "2A⁰"), =HYPERLINK("CSG0.html#group6B0", "6B⁰"), =HYPERLINK("CSG2.html#group21A2", "21A²"), =HYPERLINK("CSG4.html#group42B4", "42B⁴"), =HYPERLINK("CSG1.html#group6B1", "6B¹"), =HYPERLINK("CSG0.html#group7B0", "7B⁰"), =HYPERLINK("CSG0.html#group14B0", "14B⁰"), =HYPERLINK("CSG0.html#group3C0", "3C⁰"), =HYPERLINK("CSG1.html#group6A1", "6A¹"), =HYPERLINK("CSG4.html#group42C4", "42C⁴"), =HYPERLINK("CSG0.html#group3A0", "3A⁰"), =HYPERLINK("CSG0.html#group1A0", "1A⁰"), =HYPERLINK("CSG3.html#group21A3", "21A³")</f>
        <v/>
      </c>
      <c r="N1515">
        <f>HYPERLINK("CSG23.html#group126D23", "126D²³"), =HYPERLINK("CSG19.html#group42Q19", "42Q¹⁹"), =HYPERLINK("CSG23.html#group126F23", "126F²³"), =HYPERLINK("CSG23.html#group126B23", "126B²³"), =HYPERLINK("CSG23.html#group126H23", "126H²³"), =HYPERLINK("CSG19.html#group42O19", "42O¹⁹"), =HYPERLINK("CSG13.html#group42G13", "42G¹³"), =HYPERLINK("CSG15.html#group84B15", "84B¹⁵"), =HYPERLINK("CSG15.html#group84A15", "84A¹⁵"), =HYPERLINK("CSG23.html#group126E23", "126E²³"), =HYPERLINK("CSG19.html#group42P19", "42P¹⁹"), =HYPERLINK("CSG21.html#group126M21", "126M²¹")</f>
        <v/>
      </c>
    </row>
    <row r="1516">
      <c r="A1516" t="inlineStr">
        <is>
          <t>42F⁷</t>
        </is>
      </c>
      <c r="B1516" t="inlineStr"/>
      <c r="C1516" t="inlineStr">
        <is>
          <t>112</t>
        </is>
      </c>
      <c r="D1516" t="inlineStr">
        <is>
          <t>2</t>
        </is>
      </c>
      <c r="E1516" t="inlineStr">
        <is>
          <t>28</t>
        </is>
      </c>
      <c r="F1516" t="inlineStr">
        <is>
          <t>0</t>
        </is>
      </c>
      <c r="G1516" t="inlineStr">
        <is>
          <t>4</t>
        </is>
      </c>
      <c r="H1516" t="inlineStr">
        <is>
          <t>14², 42²</t>
        </is>
      </c>
      <c r="I1516" t="n">
        <v>4</v>
      </c>
      <c r="J1516" t="inlineStr">
        <is>
          <t>2², 4¹, 6⁴, 12²</t>
        </is>
      </c>
      <c r="K1516">
        <f>HYPERLINK("CSG1.html#group14D1", "14D¹"), =HYPERLINK("CSG3.html#group21B3", "21B³"), =HYPERLINK("CSG4.html#group42D4", "42D⁴"), =HYPERLINK("CSG4.html#group42E4", "42E⁴")</f>
        <v/>
      </c>
      <c r="L1516">
        <f>HYPERLINK("CSG15.html#group84G15", "84G¹⁵"), =HYPERLINK("CSG21.html#group42D21", "42D²¹"), =HYPERLINK("CSG23.html#group42E23", "42E²³"), =HYPERLINK("CSG23.html#group42F23", "42F²³"), =HYPERLINK("CSG23.html#group42G23", "42G²³"), =HYPERLINK("CSG23.html#group42H23", "42H²³"), =HYPERLINK("CSG23.html#group126J23", "126J²³"), =HYPERLINK("CSG23.html#group126K23", "126K²³"), =HYPERLINK("CSG23.html#group126L23", "126L²³"), =HYPERLINK("CSG24.html#group42B24", "42B²⁴"), =HYPERLINK("CSG24.html#group126A24", "126A²⁴")</f>
        <v/>
      </c>
      <c r="M1516">
        <f>HYPERLINK("CSG3.html#group21B3", "21B³"), =HYPERLINK("CSG0.html#group3B0", "3B⁰"), =HYPERLINK("CSG0.html#group2A0", "2A⁰"), =HYPERLINK("CSG0.html#group14A0", "14A⁰"), =HYPERLINK("CSG2.html#group21B2", "21B²"), =HYPERLINK("CSG4.html#group42E4", "42E⁴"), =HYPERLINK("CSG4.html#group42D4", "42D⁴"), =HYPERLINK("CSG0.html#group7C0", "7C⁰"), =HYPERLINK("CSG0.html#group6C0", "6C⁰"), =HYPERLINK("CSG1.html#group14A1", "14A¹"), =HYPERLINK("CSG0.html#group1A0", "1A⁰"), =HYPERLINK("CSG1.html#group14D1", "14D¹"), =HYPERLINK("CSG0.html#group7A0", "7A⁰")</f>
        <v/>
      </c>
      <c r="N1516">
        <f>HYPERLINK("CSG23.html#group42E23", "42E²³"), =HYPERLINK("CSG23.html#group42H23", "42H²³"), =HYPERLINK("CSG23.html#group126J23", "126J²³"), =HYPERLINK("CSG24.html#group126A24", "126A²⁴"), =HYPERLINK("CSG23.html#group126K23", "126K²³"), =HYPERLINK("CSG24.html#group42B24", "42B²⁴"), =HYPERLINK("CSG23.html#group42F23", "42F²³"), =HYPERLINK("CSG15.html#group84G15", "84G¹⁵"), =HYPERLINK("CSG21.html#group42D21", "42D²¹"), =HYPERLINK("CSG23.html#group126L23", "126L²³"), =HYPERLINK("CSG23.html#group42G23", "42G²³")</f>
        <v/>
      </c>
    </row>
    <row r="1517">
      <c r="A1517" t="inlineStr">
        <is>
          <t>42G⁷</t>
        </is>
      </c>
      <c r="B1517" t="inlineStr"/>
      <c r="C1517" t="inlineStr">
        <is>
          <t>126</t>
        </is>
      </c>
      <c r="D1517" t="inlineStr">
        <is>
          <t>1</t>
        </is>
      </c>
      <c r="E1517" t="inlineStr">
        <is>
          <t>63</t>
        </is>
      </c>
      <c r="F1517" t="inlineStr">
        <is>
          <t>12</t>
        </is>
      </c>
      <c r="G1517" t="inlineStr">
        <is>
          <t>0</t>
        </is>
      </c>
      <c r="H1517" t="inlineStr">
        <is>
          <t>42³</t>
        </is>
      </c>
      <c r="I1517" t="n">
        <v>3</v>
      </c>
      <c r="J1517" t="inlineStr">
        <is>
          <t>3¹, 6⁴, 12³</t>
        </is>
      </c>
      <c r="K1517">
        <f>HYPERLINK("CSG1.html#group21E1", "21E¹")</f>
        <v/>
      </c>
      <c r="L1517">
        <f>HYPERLINK("CSG14.html#group42D14", "42D¹⁴"), =HYPERLINK("CSG15.html#group42C15", "42C¹⁵"), =HYPERLINK("CSG15.html#group42F15", "42F¹⁵"), =HYPERLINK("CSG16.html#group42F16", "42F¹⁶"), =HYPERLINK("CSG16.html#group42G16", "42G¹⁶"), =HYPERLINK("CSG17.html#group42B17", "42B¹⁷"), =HYPERLINK("CSG17.html#group42D17", "42D¹⁷"), =HYPERLINK("CSG18.html#group42A18", "42A¹⁸"), =HYPERLINK("CSG19.html#group42D19", "42D¹⁹"), =HYPERLINK("CSG24.html#group126B24", "126B²⁴")</f>
        <v/>
      </c>
      <c r="M1517">
        <f>HYPERLINK("CSG0.html#group21A0", "21A⁰"), =HYPERLINK("CSG0.html#group1A0", "1A⁰"), =HYPERLINK("CSG0.html#group3A0", "3A⁰"), =HYPERLINK("CSG1.html#group21E1", "21E¹"), =HYPERLINK("CSG0.html#group7D0", "7D⁰"), =HYPERLINK("CSG0.html#group7A0", "7A⁰")</f>
        <v/>
      </c>
      <c r="N1517">
        <f>HYPERLINK("CSG16.html#group42G16", "42G¹⁶"), =HYPERLINK("CSG19.html#group42D19", "42D¹⁹"), =HYPERLINK("CSG17.html#group42D17", "42D¹⁷"), =HYPERLINK("CSG17.html#group42B17", "42B¹⁷"), =HYPERLINK("CSG15.html#group42C15", "42C¹⁵"), =HYPERLINK("CSG16.html#group42F16", "42F¹⁶"), =HYPERLINK("CSG15.html#group42F15", "42F¹⁵"), =HYPERLINK("CSG18.html#group42A18", "42A¹⁸"), =HYPERLINK("CSG24.html#group126B24", "126B²⁴"), =HYPERLINK("CSG14.html#group42D14", "42D¹⁴")</f>
        <v/>
      </c>
    </row>
    <row r="1518">
      <c r="A1518" t="inlineStr">
        <is>
          <t>42H⁷</t>
        </is>
      </c>
      <c r="B1518" t="inlineStr"/>
      <c r="C1518" t="inlineStr">
        <is>
          <t>126</t>
        </is>
      </c>
      <c r="D1518" t="inlineStr">
        <is>
          <t>2</t>
        </is>
      </c>
      <c r="E1518" t="inlineStr">
        <is>
          <t>21</t>
        </is>
      </c>
      <c r="F1518" t="inlineStr">
        <is>
          <t>12</t>
        </is>
      </c>
      <c r="G1518" t="inlineStr">
        <is>
          <t>0</t>
        </is>
      </c>
      <c r="H1518" t="inlineStr">
        <is>
          <t>42³</t>
        </is>
      </c>
      <c r="I1518" t="n">
        <v>3</v>
      </c>
      <c r="J1518" t="inlineStr">
        <is>
          <t>6⁷</t>
        </is>
      </c>
      <c r="K1518">
        <f>HYPERLINK("CSG1.html#group21E1", "21E¹"), =HYPERLINK("CSG1.html#group42A1", "42A¹"), =HYPERLINK("CSG2.html#group14B2", "14B²")</f>
        <v/>
      </c>
      <c r="L1518">
        <f>HYPERLINK("CSG13.html#group42J13", "42J¹³"), =HYPERLINK("CSG15.html#group42E15", "42E¹⁵"), =HYPERLINK("CSG15.html#group42G15", "42G¹⁵"), =HYPERLINK("CSG17.html#group42D17", "42D¹⁷"), =HYPERLINK("CSG17.html#group42E17", "42E¹⁷"), =HYPERLINK("CSG19.html#group42A19", "42A¹⁹"), =HYPERLINK("CSG19.html#group42F19", "42F¹⁹")</f>
        <v/>
      </c>
      <c r="M1518">
        <f>HYPERLINK("CSG0.html#group14A0", "14A⁰"), =HYPERLINK("CSG2.html#group14B2", "14B²"), =HYPERLINK("CSG1.html#group42A1", "42A¹"), =HYPERLINK("CSG0.html#group7D0", "7D⁰"), =HYPERLINK("CSG1.html#group21E1", "21E¹"), =HYPERLINK("CSG0.html#group21A0", "21A⁰"), =HYPERLINK("CSG0.html#group3A0", "3A⁰"), =HYPERLINK("CSG0.html#group1A0", "1A⁰"), =HYPERLINK("CSG0.html#group7A0", "7A⁰")</f>
        <v/>
      </c>
      <c r="N1518">
        <f>HYPERLINK("CSG19.html#group42A19", "42A¹⁹"), =HYPERLINK("CSG19.html#group42F19", "42F¹⁹"), =HYPERLINK("CSG15.html#group42E15", "42E¹⁵"), =HYPERLINK("CSG17.html#group42D17", "42D¹⁷"), =HYPERLINK("CSG15.html#group42G15", "42G¹⁵"), =HYPERLINK("CSG13.html#group42J13", "42J¹³"), =HYPERLINK("CSG17.html#group42E17", "42E¹⁷")</f>
        <v/>
      </c>
    </row>
    <row r="1519">
      <c r="A1519" t="inlineStr">
        <is>
          <t>42I⁷</t>
        </is>
      </c>
      <c r="B1519" t="inlineStr"/>
      <c r="C1519" t="inlineStr">
        <is>
          <t>126</t>
        </is>
      </c>
      <c r="D1519" t="inlineStr">
        <is>
          <t>2</t>
        </is>
      </c>
      <c r="E1519" t="inlineStr">
        <is>
          <t>21</t>
        </is>
      </c>
      <c r="F1519" t="inlineStr">
        <is>
          <t>12</t>
        </is>
      </c>
      <c r="G1519" t="inlineStr">
        <is>
          <t>0</t>
        </is>
      </c>
      <c r="H1519" t="inlineStr">
        <is>
          <t>42³</t>
        </is>
      </c>
      <c r="I1519" t="n">
        <v>3</v>
      </c>
      <c r="J1519" t="inlineStr">
        <is>
          <t>2³, 6⁶</t>
        </is>
      </c>
      <c r="K1519">
        <f>HYPERLINK("CSG1.html#group42A1", "42A¹"), =HYPERLINK("CSG2.html#group14C2", "14C²"), =HYPERLINK("CSG3.html#group42C3", "42C³")</f>
        <v/>
      </c>
      <c r="L1519">
        <f>HYPERLINK("CSG14.html#group84C14", "84C¹⁴"), =HYPERLINK("CSG15.html#group42H15", "42H¹⁵"), =HYPERLINK("CSG16.html#group84G16", "84G¹⁶"), =HYPERLINK("CSG17.html#group42F17", "42F¹⁷"), =HYPERLINK("CSG18.html#group84C18", "84C¹⁸"), =HYPERLINK("CSG19.html#group42G19", "42G¹⁹"), =HYPERLINK("CSG20.html#group84A20", "84A²⁰")</f>
        <v/>
      </c>
      <c r="M1519">
        <f>HYPERLINK("CSG0.html#group14A0", "14A⁰"), =HYPERLINK("CSG1.html#group42A1", "42A¹"), =HYPERLINK("CSG1.html#group14B1", "14B¹"), =HYPERLINK("CSG2.html#group14C2", "14C²"), =HYPERLINK("CSG0.html#group21A0", "21A⁰"), =HYPERLINK("CSG0.html#group2B0", "2B⁰"), =HYPERLINK("CSG0.html#group3A0", "3A⁰"), =HYPERLINK("CSG0.html#group1A0", "1A⁰"), =HYPERLINK("CSG3.html#group42C3", "42C³"), =HYPERLINK("CSG0.html#group6D0", "6D⁰"), =HYPERLINK("CSG0.html#group7A0", "7A⁰")</f>
        <v/>
      </c>
      <c r="N1519">
        <f>HYPERLINK("CSG14.html#group84C14", "84C¹⁴"), =HYPERLINK("CSG18.html#group84C18", "84C¹⁸"), =HYPERLINK("CSG20.html#group84A20", "84A²⁰"), =HYPERLINK("CSG19.html#group42G19", "42G¹⁹"), =HYPERLINK("CSG15.html#group42H15", "42H¹⁵"), =HYPERLINK("CSG17.html#group42F17", "42F¹⁷"), =HYPERLINK("CSG16.html#group84G16", "84G¹⁶")</f>
        <v/>
      </c>
    </row>
    <row r="1520">
      <c r="A1520" t="inlineStr">
        <is>
          <t>42J⁷</t>
        </is>
      </c>
      <c r="B1520" t="inlineStr"/>
      <c r="C1520" t="inlineStr">
        <is>
          <t>126</t>
        </is>
      </c>
      <c r="D1520" t="inlineStr">
        <is>
          <t>2</t>
        </is>
      </c>
      <c r="E1520" t="inlineStr">
        <is>
          <t>42</t>
        </is>
      </c>
      <c r="F1520" t="inlineStr">
        <is>
          <t>12</t>
        </is>
      </c>
      <c r="G1520" t="inlineStr">
        <is>
          <t>0</t>
        </is>
      </c>
      <c r="H1520" t="inlineStr">
        <is>
          <t>42³</t>
        </is>
      </c>
      <c r="I1520" t="n">
        <v>3</v>
      </c>
      <c r="J1520" t="inlineStr">
        <is>
          <t>6¹⁴</t>
        </is>
      </c>
      <c r="K1520">
        <f>HYPERLINK("CSG1.html#group14F1", "14F¹"), =HYPERLINK("CSG1.html#group42A1", "42A¹")</f>
        <v/>
      </c>
      <c r="L1520">
        <f>HYPERLINK("CSG15.html#group42I15", "42I¹⁵"), =HYPERLINK("CSG17.html#group42H17", "42H¹⁷"), =HYPERLINK("CSG19.html#group42J19", "42J¹⁹")</f>
        <v/>
      </c>
      <c r="M1520">
        <f>HYPERLINK("CSG0.html#group14A0", "14A⁰"), =HYPERLINK("CSG1.html#group14F1", "14F¹"), =HYPERLINK("CSG1.html#group42A1", "42A¹"), =HYPERLINK("CSG0.html#group21A0", "21A⁰"), =HYPERLINK("CSG0.html#group3A0", "3A⁰"), =HYPERLINK("CSG0.html#group1A0", "1A⁰"), =HYPERLINK("CSG0.html#group7A0", "7A⁰")</f>
        <v/>
      </c>
      <c r="N1520">
        <f>HYPERLINK("CSG15.html#group42I15", "42I¹⁵"), =HYPERLINK("CSG19.html#group42J19", "42J¹⁹"), =HYPERLINK("CSG17.html#group42H17", "42H¹⁷")</f>
        <v/>
      </c>
    </row>
    <row r="1521">
      <c r="A1521" t="inlineStr">
        <is>
          <t>42K⁷</t>
        </is>
      </c>
      <c r="B1521" t="inlineStr"/>
      <c r="C1521" t="inlineStr">
        <is>
          <t>126</t>
        </is>
      </c>
      <c r="D1521" t="inlineStr">
        <is>
          <t>2</t>
        </is>
      </c>
      <c r="E1521" t="inlineStr">
        <is>
          <t>63</t>
        </is>
      </c>
      <c r="F1521" t="inlineStr">
        <is>
          <t>10</t>
        </is>
      </c>
      <c r="G1521" t="inlineStr">
        <is>
          <t>0</t>
        </is>
      </c>
      <c r="H1521" t="inlineStr">
        <is>
          <t>21², 42²</t>
        </is>
      </c>
      <c r="I1521" t="n">
        <v>4</v>
      </c>
      <c r="J1521" t="inlineStr">
        <is>
          <t>2³, 4³, 6⁶, 12⁶</t>
        </is>
      </c>
      <c r="K1521">
        <f>HYPERLINK("CSG1.html#group21D1", "21D¹"), =HYPERLINK("CSG3.html#group42C3", "42C³")</f>
        <v/>
      </c>
      <c r="L1521">
        <f>HYPERLINK("CSG15.html#group42H15", "42H¹⁵"), =HYPERLINK("CSG15.html#group84H15", "84H¹⁵"), =HYPERLINK("CSG15.html#group84I15", "84I¹⁵"), =HYPERLINK("CSG16.html#group42C16", "42C¹⁶"), =HYPERLINK("CSG16.html#group42H16", "42H¹⁶"), =HYPERLINK("CSG16.html#group42I16", "42I¹⁶"), =HYPERLINK("CSG16.html#group84D16", "84D¹⁶"), =HYPERLINK("CSG16.html#group84E16", "84E¹⁶"), =HYPERLINK("CSG17.html#group42C17", "42C¹⁷"), =HYPERLINK("CSG18.html#group84G18", "84G¹⁸"), =HYPERLINK("CSG18.html#group84H18", "84H¹⁸"), =HYPERLINK("CSG19.html#group42K19", "42K¹⁹"), =HYPERLINK("CSG19.html#group84C19", "84C¹⁹"), =HYPERLINK("CSG19.html#group84E19", "84E¹⁹"), =HYPERLINK("CSG23.html#group42L23", "42L²³")</f>
        <v/>
      </c>
      <c r="M1521">
        <f>HYPERLINK("CSG1.html#group14B1", "14B¹"), =HYPERLINK("CSG1.html#group21D1", "21D¹"), =HYPERLINK("CSG0.html#group21A0", "21A⁰"), =HYPERLINK("CSG0.html#group2B0", "2B⁰"), =HYPERLINK("CSG0.html#group3A0", "3A⁰"), =HYPERLINK("CSG0.html#group1A0", "1A⁰"), =HYPERLINK("CSG3.html#group42C3", "42C³"), =HYPERLINK("CSG0.html#group6D0", "6D⁰"), =HYPERLINK("CSG0.html#group7A0", "7A⁰")</f>
        <v/>
      </c>
      <c r="N1521">
        <f>HYPERLINK("CSG16.html#group42H16", "42H¹⁶"), =HYPERLINK("CSG18.html#group84H18", "84H¹⁸"), =HYPERLINK("CSG18.html#group84G18", "84G¹⁸"), =HYPERLINK("CSG16.html#group84E16", "84E¹⁶"), =HYPERLINK("CSG19.html#group84C19", "84C¹⁹"), =HYPERLINK("CSG16.html#group42I16", "42I¹⁶"), =HYPERLINK("CSG16.html#group42C16", "42C¹⁶"), =HYPERLINK("CSG19.html#group84E19", "84E¹⁹"), =HYPERLINK("CSG23.html#group42L23", "42L²³"), =HYPERLINK("CSG15.html#group84H15", "84H¹⁵"), =HYPERLINK("CSG19.html#group42K19", "42K¹⁹"), =HYPERLINK("CSG15.html#group42H15", "42H¹⁵"), =HYPERLINK("CSG16.html#group84D16", "84D¹⁶"), =HYPERLINK("CSG15.html#group84I15", "84I¹⁵"), =HYPERLINK("CSG17.html#group42C17", "42C¹⁷")</f>
        <v/>
      </c>
    </row>
    <row r="1522">
      <c r="A1522" t="inlineStr">
        <is>
          <t>42L⁷</t>
        </is>
      </c>
      <c r="B1522" t="inlineStr"/>
      <c r="C1522" t="inlineStr">
        <is>
          <t>126</t>
        </is>
      </c>
      <c r="D1522" t="inlineStr">
        <is>
          <t>2</t>
        </is>
      </c>
      <c r="E1522" t="inlineStr">
        <is>
          <t>63</t>
        </is>
      </c>
      <c r="F1522" t="inlineStr">
        <is>
          <t>12</t>
        </is>
      </c>
      <c r="G1522" t="inlineStr">
        <is>
          <t>0</t>
        </is>
      </c>
      <c r="H1522" t="inlineStr">
        <is>
          <t>42³</t>
        </is>
      </c>
      <c r="I1522" t="n">
        <v>3</v>
      </c>
      <c r="J1522" t="inlineStr">
        <is>
          <t>2³, 4³, 6⁶, 12⁶</t>
        </is>
      </c>
      <c r="K1522">
        <f>HYPERLINK("CSG0.html#group6H0", "6H⁰"), =HYPERLINK("CSG1.html#group42B1", "42B¹"), =HYPERLINK("CSG3.html#group42C3", "42C³")</f>
        <v/>
      </c>
      <c r="L1522">
        <f>HYPERLINK("CSG14.html#group84D14", "84D¹⁴"), =HYPERLINK("CSG15.html#group42H15", "42H¹⁵"), =HYPERLINK("CSG16.html#group42E16", "42E¹⁶"), =HYPERLINK("CSG16.html#group42H16", "42H¹⁶"), =HYPERLINK("CSG16.html#group42I16", "42I¹⁶"), =HYPERLINK("CSG16.html#group84H16", "84H¹⁶"), =HYPERLINK("CSG17.html#group42G17", "42G¹⁷"), =HYPERLINK("CSG17.html#group84I17", "84I¹⁷"), =HYPERLINK("CSG17.html#group84J17", "84J¹⁷"), =HYPERLINK("CSG17.html#group84M17", "84M¹⁷"), =HYPERLINK("CSG17.html#group84N17", "84N¹⁷"), =HYPERLINK("CSG18.html#group84D18", "84D¹⁸"), =HYPERLINK("CSG19.html#group42L19", "42L¹⁹"), =HYPERLINK("CSG20.html#group84G20", "84G²⁰"), =HYPERLINK("CSG23.html#group42K23", "42K²³")</f>
        <v/>
      </c>
      <c r="M1522">
        <f>HYPERLINK("CSG0.html#group6B0", "6B⁰"), =HYPERLINK("CSG1.html#group14B1", "14B¹"), =HYPERLINK("CSG0.html#group6H0", "6H⁰"), =HYPERLINK("CSG0.html#group21A0", "21A⁰"), =HYPERLINK("CSG0.html#group2B0", "2B⁰"), =HYPERLINK("CSG1.html#group42B1", "42B¹"), =HYPERLINK("CSG0.html#group3A0", "3A⁰"), =HYPERLINK("CSG0.html#group1A0", "1A⁰"), =HYPERLINK("CSG3.html#group42C3", "42C³"), =HYPERLINK("CSG0.html#group6D0", "6D⁰"), =HYPERLINK("CSG0.html#group7A0", "7A⁰")</f>
        <v/>
      </c>
      <c r="N1522">
        <f>HYPERLINK("CSG16.html#group42H16", "42H¹⁶"), =HYPERLINK("CSG17.html#group42G17", "42G¹⁷"), =HYPERLINK("CSG14.html#group84D14", "84D¹⁴"), =HYPERLINK("CSG17.html#group84J17", "84J¹⁷"), =HYPERLINK("CSG23.html#group42K23", "42K²³"), =HYPERLINK("CSG16.html#group42E16", "42E¹⁶"), =HYPERLINK("CSG18.html#group84D18", "84D¹⁸"), =HYPERLINK("CSG16.html#group42I16", "42I¹⁶"), =HYPERLINK("CSG17.html#group84M17", "84M¹⁷"), =HYPERLINK("CSG16.html#group84H16", "84H¹⁶"), =HYPERLINK("CSG17.html#group84N17", "84N¹⁷"), =HYPERLINK("CSG19.html#group42L19", "42L¹⁹"), =HYPERLINK("CSG15.html#group42H15", "42H¹⁵"), =HYPERLINK("CSG20.html#group84G20", "84G²⁰"), =HYPERLINK("CSG17.html#group84I17", "84I¹⁷")</f>
        <v/>
      </c>
    </row>
    <row r="1523">
      <c r="A1523" t="inlineStr">
        <is>
          <t>42M⁷</t>
        </is>
      </c>
      <c r="B1523" t="inlineStr"/>
      <c r="C1523" t="inlineStr">
        <is>
          <t>144</t>
        </is>
      </c>
      <c r="D1523" t="inlineStr">
        <is>
          <t>2</t>
        </is>
      </c>
      <c r="E1523" t="inlineStr">
        <is>
          <t>16</t>
        </is>
      </c>
      <c r="F1523" t="inlineStr">
        <is>
          <t>0</t>
        </is>
      </c>
      <c r="G1523" t="inlineStr">
        <is>
          <t>9</t>
        </is>
      </c>
      <c r="H1523" t="inlineStr">
        <is>
          <t>6³, 42³</t>
        </is>
      </c>
      <c r="I1523" t="n">
        <v>6</v>
      </c>
      <c r="J1523" t="inlineStr">
        <is>
          <t>2⁴, 12²</t>
        </is>
      </c>
      <c r="K1523">
        <f>HYPERLINK("CSG0.html#group14C0", "14C⁰"), =HYPERLINK("CSG2.html#group42B2", "42B²"), =HYPERLINK("CSG2.html#group42C2", "42C²"), =HYPERLINK("CSG3.html#group42B3", "42B³")</f>
        <v/>
      </c>
      <c r="L1523">
        <f>HYPERLINK("CSG16.html#group84K16", "84K¹⁶")</f>
        <v/>
      </c>
      <c r="M1523">
        <f>HYPERLINK("CSG2.html#group42B2", "42B²"), =HYPERLINK("CSG0.html#group2A0", "2A⁰"), =HYPERLINK("CSG0.html#group6A0", "6A⁰"), =HYPERLINK("CSG0.html#group7B0", "7B⁰"), =HYPERLINK("CSG0.html#group14B0", "14B⁰"), =HYPERLINK("CSG2.html#group42C2", "42C²"), =HYPERLINK("CSG0.html#group14C0", "14C⁰"), =HYPERLINK("CSG0.html#group1A0", "1A⁰"), =HYPERLINK("CSG3.html#group42B3", "42B³"), =HYPERLINK("CSG1.html#group21A1", "21A¹")</f>
        <v/>
      </c>
      <c r="N1523">
        <f>HYPERLINK("CSG16.html#group84K16", "84K¹⁶")</f>
        <v/>
      </c>
    </row>
    <row r="1524">
      <c r="A1524" t="inlineStr">
        <is>
          <t>42N⁷</t>
        </is>
      </c>
      <c r="B1524" t="inlineStr"/>
      <c r="C1524" t="inlineStr">
        <is>
          <t>168</t>
        </is>
      </c>
      <c r="D1524" t="inlineStr">
        <is>
          <t>1</t>
        </is>
      </c>
      <c r="E1524" t="inlineStr">
        <is>
          <t>28</t>
        </is>
      </c>
      <c r="F1524" t="inlineStr">
        <is>
          <t>24</t>
        </is>
      </c>
      <c r="G1524" t="inlineStr">
        <is>
          <t>0</t>
        </is>
      </c>
      <c r="H1524" t="inlineStr">
        <is>
          <t>42⁴</t>
        </is>
      </c>
      <c r="I1524" t="n">
        <v>4</v>
      </c>
      <c r="J1524" t="inlineStr">
        <is>
          <t>1¹, 3¹, 6⁴</t>
        </is>
      </c>
      <c r="K1524">
        <f>HYPERLINK("CSG1.html#group14G1", "14G¹"), =HYPERLINK("CSG1.html#group42A1", "42A¹"), =HYPERLINK("CSG3.html#group21C3", "21C³")</f>
        <v/>
      </c>
      <c r="L1524">
        <f>HYPERLINK("CSG17.html#group42K17", "42K¹⁷"), =HYPERLINK("CSG21.html#group42B21", "42B²¹"), =HYPERLINK("CSG21.html#group84I21", "84I²¹"), =HYPERLINK("CSG21.html#group84J21", "84J²¹"), =HYPERLINK("CSG21.html#group84K21", "84K²¹"), =HYPERLINK("CSG21.html#group84L21", "84L²¹")</f>
        <v/>
      </c>
      <c r="M1524">
        <f>HYPERLINK("CSG0.html#group14A0", "14A⁰"), =HYPERLINK("CSG1.html#group42A1", "42A¹"), =HYPERLINK("CSG0.html#group7F0", "7F⁰"), =HYPERLINK("CSG0.html#group21A0", "21A⁰"), =HYPERLINK("CSG1.html#group14G1", "14G¹"), =HYPERLINK("CSG0.html#group3A0", "3A⁰"), =HYPERLINK("CSG0.html#group1A0", "1A⁰"), =HYPERLINK("CSG3.html#group21C3", "21C³"), =HYPERLINK("CSG0.html#group7A0", "7A⁰")</f>
        <v/>
      </c>
      <c r="N1524">
        <f>HYPERLINK("CSG21.html#group84J21", "84J²¹"), =HYPERLINK("CSG21.html#group84L21", "84L²¹"), =HYPERLINK("CSG17.html#group42K17", "42K¹⁷"), =HYPERLINK("CSG21.html#group84I21", "84I²¹"), =HYPERLINK("CSG21.html#group42B21", "42B²¹"), =HYPERLINK("CSG21.html#group84K21", "84K²¹")</f>
        <v/>
      </c>
    </row>
    <row r="1525">
      <c r="A1525" t="inlineStr">
        <is>
          <t>44A⁷</t>
        </is>
      </c>
      <c r="B1525" t="inlineStr"/>
      <c r="C1525" t="inlineStr">
        <is>
          <t>96</t>
        </is>
      </c>
      <c r="D1525" t="inlineStr">
        <is>
          <t>1</t>
        </is>
      </c>
      <c r="E1525" t="inlineStr">
        <is>
          <t>48</t>
        </is>
      </c>
      <c r="F1525" t="inlineStr">
        <is>
          <t>0</t>
        </is>
      </c>
      <c r="G1525" t="inlineStr">
        <is>
          <t>0</t>
        </is>
      </c>
      <c r="H1525" t="inlineStr">
        <is>
          <t>4², 44²</t>
        </is>
      </c>
      <c r="I1525" t="n">
        <v>4</v>
      </c>
      <c r="J1525" t="inlineStr">
        <is>
          <t>2⁴, 20²</t>
        </is>
      </c>
      <c r="K1525">
        <f>HYPERLINK("CSG0.html#group4D0", "4D⁰"), =HYPERLINK("CSG2.html#group22A2", "22A²"), =HYPERLINK("CSG4.html#group44B4", "44B⁴")</f>
        <v/>
      </c>
      <c r="L1525">
        <f>HYPERLINK("CSG13.html#group44A13", "44A¹³"), =HYPERLINK("CSG15.html#group88A15", "88A¹⁵"), =HYPERLINK("CSG15.html#group88B15", "88B¹⁵"), =HYPERLINK("CSG19.html#group44A19", "44A¹⁹"), =HYPERLINK("CSG23.html#group132C23", "132C²³"), =HYPERLINK("CSG23.html#group132E23", "132E²³")</f>
        <v/>
      </c>
      <c r="M1525">
        <f>HYPERLINK("CSG0.html#group2A0", "2A⁰"), =HYPERLINK("CSG1.html#group11A1", "11A¹"), =HYPERLINK("CSG2.html#group22A2", "22A²"), =HYPERLINK("CSG4.html#group44B4", "44B⁴"), =HYPERLINK("CSG0.html#group4D0", "4D⁰"), =HYPERLINK("CSG0.html#group4A0", "4A⁰"), =HYPERLINK("CSG0.html#group1A0", "1A⁰")</f>
        <v/>
      </c>
      <c r="N1525">
        <f>HYPERLINK("CSG13.html#group44A13", "44A¹³"), =HYPERLINK("CSG23.html#group132C23", "132C²³"), =HYPERLINK("CSG23.html#group132E23", "132E²³"), =HYPERLINK("CSG19.html#group44A19", "44A¹⁹"), =HYPERLINK("CSG15.html#group88B15", "88B¹⁵"), =HYPERLINK("CSG15.html#group88A15", "88A¹⁵")</f>
        <v/>
      </c>
    </row>
    <row r="1526">
      <c r="A1526" t="inlineStr">
        <is>
          <t>45A⁷</t>
        </is>
      </c>
      <c r="B1526" t="inlineStr"/>
      <c r="C1526" t="inlineStr">
        <is>
          <t>90</t>
        </is>
      </c>
      <c r="D1526" t="inlineStr">
        <is>
          <t>2</t>
        </is>
      </c>
      <c r="E1526" t="inlineStr">
        <is>
          <t>45</t>
        </is>
      </c>
      <c r="F1526" t="inlineStr">
        <is>
          <t>2</t>
        </is>
      </c>
      <c r="G1526" t="inlineStr">
        <is>
          <t>0</t>
        </is>
      </c>
      <c r="H1526" t="inlineStr">
        <is>
          <t>45²</t>
        </is>
      </c>
      <c r="I1526" t="n">
        <v>2</v>
      </c>
      <c r="J1526" t="inlineStr">
        <is>
          <t>2³, 6², 8³, 24²</t>
        </is>
      </c>
      <c r="K1526">
        <f>HYPERLINK("CSG1.html#group9B1", "9B¹"), =HYPERLINK("CSG2.html#group15A2", "15A²"), =HYPERLINK("CSG3.html#group45A3", "45A³")</f>
        <v/>
      </c>
      <c r="L1526">
        <f>HYPERLINK("CSG14.html#group45A14", "45A¹⁴"), =HYPERLINK("CSG14.html#group90D14", "90D¹⁴"), =HYPERLINK("CSG15.html#group90F15", "90F¹⁵"), =HYPERLINK("CSG19.html#group45B19", "45B¹⁹"), =HYPERLINK("CSG19.html#group45C19", "45C¹⁹"), =HYPERLINK("CSG19.html#group45E19", "45E¹⁹"), =HYPERLINK("CSG20.html#group45A20", "45A²⁰"), =HYPERLINK("CSG21.html#group90B21", "90B²¹")</f>
        <v/>
      </c>
      <c r="M1526">
        <f>HYPERLINK("CSG0.html#group5A0", "5A⁰"), =HYPERLINK("CSG2.html#group15A2", "15A²"), =HYPERLINK("CSG0.html#group9A0", "9A⁰"), =HYPERLINK("CSG0.html#group3C0", "3C⁰"), =HYPERLINK("CSG0.html#group3A0", "3A⁰"), =HYPERLINK("CSG0.html#group1A0", "1A⁰"), =HYPERLINK("CSG1.html#group9B1", "9B¹"), =HYPERLINK("CSG1.html#group15A1", "15A¹"), =HYPERLINK("CSG3.html#group45A3", "45A³")</f>
        <v/>
      </c>
      <c r="N1526">
        <f>HYPERLINK("CSG19.html#group45E19", "45E¹⁹"), =HYPERLINK("CSG20.html#group45A20", "45A²⁰"), =HYPERLINK("CSG19.html#group45C19", "45C¹⁹"), =HYPERLINK("CSG15.html#group90F15", "90F¹⁵"), =HYPERLINK("CSG21.html#group90B21", "90B²¹"), =HYPERLINK("CSG14.html#group45A14", "45A¹⁴"), =HYPERLINK("CSG19.html#group45B19", "45B¹⁹"), =HYPERLINK("CSG14.html#group90D14", "90D¹⁴")</f>
        <v/>
      </c>
    </row>
    <row r="1527">
      <c r="A1527" t="inlineStr">
        <is>
          <t>45B⁷</t>
        </is>
      </c>
      <c r="B1527" t="inlineStr"/>
      <c r="C1527" t="inlineStr">
        <is>
          <t>108</t>
        </is>
      </c>
      <c r="D1527" t="inlineStr">
        <is>
          <t>2</t>
        </is>
      </c>
      <c r="E1527" t="inlineStr">
        <is>
          <t>54</t>
        </is>
      </c>
      <c r="F1527" t="inlineStr">
        <is>
          <t>4</t>
        </is>
      </c>
      <c r="G1527" t="inlineStr">
        <is>
          <t>0</t>
        </is>
      </c>
      <c r="H1527" t="inlineStr">
        <is>
          <t>9², 45²</t>
        </is>
      </c>
      <c r="I1527" t="n">
        <v>4</v>
      </c>
      <c r="J1527" t="inlineStr">
        <is>
          <t>2⁶, 6⁴, 8³, 24²</t>
        </is>
      </c>
      <c r="K1527">
        <f>HYPERLINK("CSG1.html#group9B1", "9B¹"), =HYPERLINK("CSG1.html#group15E1", "15E¹"), =HYPERLINK("CSG2.html#group45A2", "45A²")</f>
        <v/>
      </c>
      <c r="L1527">
        <f>HYPERLINK("CSG13.html#group45N13", "45N¹³"), =HYPERLINK("CSG15.html#group45A15", "45A¹⁵"), =HYPERLINK("CSG15.html#group45C15", "45C¹⁵"), =HYPERLINK("CSG15.html#group90K15", "90K¹⁵"), =HYPERLINK("CSG15.html#group90N15", "90N¹⁵"), =HYPERLINK("CSG17.html#group90I17", "90I¹⁷"), =HYPERLINK("CSG17.html#group90K17", "90K¹⁷"), =HYPERLINK("CSG19.html#group45G19", "45G¹⁹"), =HYPERLINK("CSG21.html#group45A21", "45A²¹"), =HYPERLINK("CSG23.html#group90B23", "90B²³")</f>
        <v/>
      </c>
      <c r="M1527">
        <f>HYPERLINK("CSG2.html#group45A2", "45A²"), =HYPERLINK("CSG0.html#group15B0", "15B⁰"), =HYPERLINK("CSG0.html#group9A0", "9A⁰"), =HYPERLINK("CSG0.html#group5B0", "5B⁰"), =HYPERLINK("CSG0.html#group3C0", "3C⁰"), =HYPERLINK("CSG0.html#group3A0", "3A⁰"), =HYPERLINK("CSG0.html#group1A0", "1A⁰"), =HYPERLINK("CSG1.html#group9B1", "9B¹"), =HYPERLINK("CSG1.html#group15E1", "15E¹")</f>
        <v/>
      </c>
      <c r="N1527">
        <f>HYPERLINK("CSG17.html#group90I17", "90I¹⁷"), =HYPERLINK("CSG15.html#group90N15", "90N¹⁵"), =HYPERLINK("CSG13.html#group45N13", "45N¹³"), =HYPERLINK("CSG15.html#group90K15", "90K¹⁵"), =HYPERLINK("CSG17.html#group90K17", "90K¹⁷"), =HYPERLINK("CSG15.html#group45A15", "45A¹⁵"), =HYPERLINK("CSG23.html#group90B23", "90B²³"), =HYPERLINK("CSG21.html#group45A21", "45A²¹"), =HYPERLINK("CSG19.html#group45G19", "45G¹⁹"), =HYPERLINK("CSG15.html#group45C15", "45C¹⁵")</f>
        <v/>
      </c>
    </row>
    <row r="1528">
      <c r="A1528" t="inlineStr">
        <is>
          <t>45C⁷</t>
        </is>
      </c>
      <c r="B1528" t="inlineStr"/>
      <c r="C1528" t="inlineStr">
        <is>
          <t>120</t>
        </is>
      </c>
      <c r="D1528" t="inlineStr">
        <is>
          <t>1</t>
        </is>
      </c>
      <c r="E1528" t="inlineStr">
        <is>
          <t>40</t>
        </is>
      </c>
      <c r="F1528" t="inlineStr">
        <is>
          <t>0</t>
        </is>
      </c>
      <c r="G1528" t="inlineStr">
        <is>
          <t>0</t>
        </is>
      </c>
      <c r="H1528" t="inlineStr">
        <is>
          <t>5⁶, 45²</t>
        </is>
      </c>
      <c r="I1528" t="n">
        <v>8</v>
      </c>
      <c r="J1528" t="inlineStr">
        <is>
          <t>2², 4⁵, 8²</t>
        </is>
      </c>
      <c r="K1528">
        <f>HYPERLINK("CSG0.html#group9B0", "9B⁰"), =HYPERLINK("CSG2.html#group15C2", "15C²")</f>
        <v/>
      </c>
      <c r="L1528">
        <f>HYPERLINK("CSG13.html#group45O13", "45O¹³"), =HYPERLINK("CSG17.html#group90L17", "90L¹⁷"), =HYPERLINK("CSG17.html#group90M17", "90M¹⁷"), =HYPERLINK("CSG19.html#group45H19", "45H¹⁹"), =HYPERLINK("CSG23.html#group45B23", "45B²³"), =HYPERLINK("CSG23.html#group90E23", "90E²³"), =HYPERLINK("CSG23.html#group135A23", "135A²³")</f>
        <v/>
      </c>
      <c r="M1528">
        <f>HYPERLINK("CSG0.html#group3B0", "3B⁰"), =HYPERLINK("CSG0.html#group9B0", "9B⁰"), =HYPERLINK("CSG2.html#group15C2", "15C²"), =HYPERLINK("CSG0.html#group1A0", "1A⁰"), =HYPERLINK("CSG0.html#group5C0", "5C⁰")</f>
        <v/>
      </c>
      <c r="N1528">
        <f>HYPERLINK("CSG23.html#group135A23", "135A²³"), =HYPERLINK("CSG17.html#group90L17", "90L¹⁷"), =HYPERLINK("CSG23.html#group90E23", "90E²³"), =HYPERLINK("CSG17.html#group90M17", "90M¹⁷"), =HYPERLINK("CSG13.html#group45O13", "45O¹³"), =HYPERLINK("CSG23.html#group45B23", "45B²³"), =HYPERLINK("CSG19.html#group45H19", "45H¹⁹")</f>
        <v/>
      </c>
    </row>
    <row r="1529">
      <c r="A1529" t="inlineStr">
        <is>
          <t>45D⁷</t>
        </is>
      </c>
      <c r="B1529" t="inlineStr"/>
      <c r="C1529" t="inlineStr">
        <is>
          <t>135</t>
        </is>
      </c>
      <c r="D1529" t="inlineStr">
        <is>
          <t>1</t>
        </is>
      </c>
      <c r="E1529" t="inlineStr">
        <is>
          <t>45</t>
        </is>
      </c>
      <c r="F1529" t="inlineStr">
        <is>
          <t>15</t>
        </is>
      </c>
      <c r="G1529" t="inlineStr">
        <is>
          <t>0</t>
        </is>
      </c>
      <c r="H1529" t="inlineStr">
        <is>
          <t>45³</t>
        </is>
      </c>
      <c r="I1529" t="n">
        <v>3</v>
      </c>
      <c r="J1529" t="inlineStr">
        <is>
          <t>1¹, 2¹, 4¹, 6¹, 8¹, 24¹</t>
        </is>
      </c>
      <c r="K1529">
        <f>HYPERLINK("CSG1.html#group15F1", "15F¹"), =HYPERLINK("CSG3.html#group45A3", "45A³")</f>
        <v/>
      </c>
      <c r="L1529">
        <f>HYPERLINK("CSG16.html#group45B16", "45B¹⁶"), =HYPERLINK("CSG16.html#group45D16", "45D¹⁶"), =HYPERLINK("CSG16.html#group90B16", "90B¹⁶"), =HYPERLINK("CSG17.html#group45C17", "45C¹⁷"), =HYPERLINK("CSG17.html#group90P17", "90P¹⁷"), =HYPERLINK("CSG18.html#group45A18", "45A¹⁸"), =HYPERLINK("CSG18.html#group90C18", "90C¹⁸"), =HYPERLINK("CSG19.html#group45B19", "45B¹⁹"), =HYPERLINK("CSG19.html#group90D19", "90D¹⁹"), =HYPERLINK("CSG19.html#group90I19", "90I¹⁹"), =HYPERLINK("CSG22.html#group90A22", "90A²²")</f>
        <v/>
      </c>
      <c r="M1529">
        <f>HYPERLINK("CSG0.html#group5A0", "5A⁰"), =HYPERLINK("CSG0.html#group9A0", "9A⁰"), =HYPERLINK("CSG1.html#group15F1", "15F¹"), =HYPERLINK("CSG0.html#group5E0", "5E⁰"), =HYPERLINK("CSG0.html#group15A0", "15A⁰"), =HYPERLINK("CSG0.html#group3A0", "3A⁰"), =HYPERLINK("CSG0.html#group1A0", "1A⁰"), =HYPERLINK("CSG1.html#group15A1", "15A¹"), =HYPERLINK("CSG3.html#group45A3", "45A³")</f>
        <v/>
      </c>
      <c r="N1529">
        <f>HYPERLINK("CSG18.html#group45A18", "45A¹⁸"), =HYPERLINK("CSG16.html#group45B16", "45B¹⁶"), =HYPERLINK("CSG19.html#group90D19", "90D¹⁹"), =HYPERLINK("CSG19.html#group90I19", "90I¹⁹"), =HYPERLINK("CSG22.html#group90A22", "90A²²"), =HYPERLINK("CSG16.html#group90B16", "90B¹⁶"), =HYPERLINK("CSG19.html#group45B19", "45B¹⁹"), =HYPERLINK("CSG16.html#group45D16", "45D¹⁶"), =HYPERLINK("CSG17.html#group45C17", "45C¹⁷"), =HYPERLINK("CSG18.html#group90C18", "90C¹⁸"), =HYPERLINK("CSG17.html#group90P17", "90P¹⁷")</f>
        <v/>
      </c>
    </row>
    <row r="1530">
      <c r="A1530" t="inlineStr">
        <is>
          <t>48A⁷</t>
        </is>
      </c>
      <c r="B1530" t="inlineStr"/>
      <c r="C1530" t="inlineStr">
        <is>
          <t>96</t>
        </is>
      </c>
      <c r="D1530" t="inlineStr">
        <is>
          <t>1</t>
        </is>
      </c>
      <c r="E1530" t="inlineStr">
        <is>
          <t>12</t>
        </is>
      </c>
      <c r="F1530" t="inlineStr">
        <is>
          <t>0</t>
        </is>
      </c>
      <c r="G1530" t="inlineStr">
        <is>
          <t>0</t>
        </is>
      </c>
      <c r="H1530" t="inlineStr">
        <is>
          <t>8¹, 16¹, 24¹, 48¹</t>
        </is>
      </c>
      <c r="I1530" t="n">
        <v>4</v>
      </c>
      <c r="J1530" t="inlineStr">
        <is>
          <t>1⁶, 2³</t>
        </is>
      </c>
      <c r="K1530">
        <f>HYPERLINK("CSG3.html#group24C3", "24C³")</f>
        <v/>
      </c>
      <c r="L1530">
        <f>HYPERLINK("CSG13.html#group48C13", "48C¹³"), =HYPERLINK("CSG13.html#group48E13", "48E¹³"), =HYPERLINK("CSG13.html#group48M13", "48M¹³"), =HYPERLINK("CSG21.html#group48A21", "48A²¹"), =HYPERLINK("CSG21.html#group144A21", "144A²¹"), =HYPERLINK("CSG23.html#group144B23", "144B²³"), =HYPERLINK("CSG23.html#group144A23", "144A²³")</f>
        <v/>
      </c>
      <c r="M1530">
        <f>HYPERLINK("CSG3.html#group24C3", "24C³"), =HYPERLINK("CSG0.html#group3B0", "3B⁰"), =HYPERLINK("CSG1.html#group8A1", "8A¹"), =HYPERLINK("CSG1.html#group12F1", "12F¹"), =HYPERLINK("CSG0.html#group4C0", "4C⁰"), =HYPERLINK("CSG0.html#group1A0", "1A⁰"), =HYPERLINK("CSG0.html#group2B0", "2B⁰"), =HYPERLINK("CSG0.html#group6F0", "6F⁰")</f>
        <v/>
      </c>
      <c r="N1530">
        <f>HYPERLINK("CSG13.html#group48M13", "48M¹³"), =HYPERLINK("CSG21.html#group144A21", "144A²¹"), =HYPERLINK("CSG23.html#group144B23", "144B²³"), =HYPERLINK("CSG13.html#group48C13", "48C¹³"), =HYPERLINK("CSG23.html#group144A23", "144A²³"), =HYPERLINK("CSG13.html#group48E13", "48E¹³"), =HYPERLINK("CSG21.html#group48A21", "48A²¹")</f>
        <v/>
      </c>
    </row>
    <row r="1531">
      <c r="A1531" t="inlineStr">
        <is>
          <t>48B⁷</t>
        </is>
      </c>
      <c r="B1531" t="inlineStr"/>
      <c r="C1531" t="inlineStr">
        <is>
          <t>96</t>
        </is>
      </c>
      <c r="D1531" t="inlineStr">
        <is>
          <t>1</t>
        </is>
      </c>
      <c r="E1531" t="inlineStr">
        <is>
          <t>12</t>
        </is>
      </c>
      <c r="F1531" t="inlineStr">
        <is>
          <t>0</t>
        </is>
      </c>
      <c r="G1531" t="inlineStr">
        <is>
          <t>0</t>
        </is>
      </c>
      <c r="H1531" t="inlineStr">
        <is>
          <t>8¹, 16¹, 24¹, 48¹</t>
        </is>
      </c>
      <c r="I1531" t="n">
        <v>4</v>
      </c>
      <c r="J1531" t="inlineStr">
        <is>
          <t>1⁶, 2³</t>
        </is>
      </c>
      <c r="K1531">
        <f>HYPERLINK("CSG3.html#group24C3", "24C³")</f>
        <v/>
      </c>
      <c r="L1531">
        <f>HYPERLINK("CSG13.html#group48C13", "48C¹³"), =HYPERLINK("CSG13.html#group48F13", "48F¹³"), =HYPERLINK("CSG13.html#group48N13", "48N¹³"), =HYPERLINK("CSG21.html#group48B21", "48B²¹"), =HYPERLINK("CSG21.html#group144B21", "144B²¹"), =HYPERLINK("CSG23.html#group144D23", "144D²³"), =HYPERLINK("CSG23.html#group144C23", "144C²³")</f>
        <v/>
      </c>
      <c r="M1531">
        <f>HYPERLINK("CSG3.html#group24C3", "24C³"), =HYPERLINK("CSG0.html#group3B0", "3B⁰"), =HYPERLINK("CSG1.html#group8A1", "8A¹"), =HYPERLINK("CSG1.html#group12F1", "12F¹"), =HYPERLINK("CSG0.html#group4C0", "4C⁰"), =HYPERLINK("CSG0.html#group1A0", "1A⁰"), =HYPERLINK("CSG0.html#group2B0", "2B⁰"), =HYPERLINK("CSG0.html#group6F0", "6F⁰")</f>
        <v/>
      </c>
      <c r="N1531">
        <f>HYPERLINK("CSG21.html#group48B21", "48B²¹"), =HYPERLINK("CSG13.html#group48N13", "48N¹³"), =HYPERLINK("CSG13.html#group48C13", "48C¹³"), =HYPERLINK("CSG21.html#group144B21", "144B²¹"), =HYPERLINK("CSG23.html#group144C23", "144C²³"), =HYPERLINK("CSG23.html#group144D23", "144D²³"), =HYPERLINK("CSG13.html#group48F13", "48F¹³")</f>
        <v/>
      </c>
    </row>
    <row r="1532">
      <c r="A1532" t="inlineStr">
        <is>
          <t>48C⁷</t>
        </is>
      </c>
      <c r="B1532" t="inlineStr"/>
      <c r="C1532" t="inlineStr">
        <is>
          <t>96</t>
        </is>
      </c>
      <c r="D1532" t="inlineStr">
        <is>
          <t>1</t>
        </is>
      </c>
      <c r="E1532" t="inlineStr">
        <is>
          <t>12</t>
        </is>
      </c>
      <c r="F1532" t="inlineStr">
        <is>
          <t>0</t>
        </is>
      </c>
      <c r="G1532" t="inlineStr">
        <is>
          <t>0</t>
        </is>
      </c>
      <c r="H1532" t="inlineStr">
        <is>
          <t>8¹, 16¹, 24¹, 48¹</t>
        </is>
      </c>
      <c r="I1532" t="n">
        <v>4</v>
      </c>
      <c r="J1532" t="inlineStr">
        <is>
          <t>1⁶, 2³</t>
        </is>
      </c>
      <c r="K1532">
        <f>HYPERLINK("CSG0.html#group16B0", "16B⁰"), =HYPERLINK("CSG3.html#group24B3", "24B³")</f>
        <v/>
      </c>
      <c r="L1532">
        <f>HYPERLINK("CSG13.html#group48D13", "48D¹³"), =HYPERLINK("CSG13.html#group48G13", "48G¹³"), =HYPERLINK("CSG13.html#group48O13", "48O¹³"), =HYPERLINK("CSG15.html#group96C15", "96C¹⁵"), =HYPERLINK("CSG15.html#group96D15", "96D¹⁵"), =HYPERLINK("CSG21.html#group48C21", "48C²¹"), =HYPERLINK("CSG21.html#group144C21", "144C²¹"), =HYPERLINK("CSG23.html#group144F23", "144F²³"), =HYPERLINK("CSG23.html#group144E23", "144E²³")</f>
        <v/>
      </c>
      <c r="M1532">
        <f>HYPERLINK("CSG0.html#group16B0", "16B⁰"), =HYPERLINK("CSG0.html#group3B0", "3B⁰"), =HYPERLINK("CSG3.html#group24B3", "24B³"), =HYPERLINK("CSG1.html#group12F1", "12F¹"), =HYPERLINK("CSG0.html#group4C0", "4C⁰"), =HYPERLINK("CSG0.html#group8B0", "8B⁰"), =HYPERLINK("CSG0.html#group6F0", "6F⁰"), =HYPERLINK("CSG0.html#group2B0", "2B⁰"), =HYPERLINK("CSG0.html#group1A0", "1A⁰")</f>
        <v/>
      </c>
      <c r="N1532">
        <f>HYPERLINK("CSG21.html#group144C21", "144C²¹"), =HYPERLINK("CSG15.html#group96C15", "96C¹⁵"), =HYPERLINK("CSG21.html#group48C21", "48C²¹"), =HYPERLINK("CSG23.html#group144E23", "144E²³"), =HYPERLINK("CSG15.html#group96D15", "96D¹⁵"), =HYPERLINK("CSG13.html#group48D13", "48D¹³"), =HYPERLINK("CSG13.html#group48G13", "48G¹³"), =HYPERLINK("CSG13.html#group48O13", "48O¹³"), =HYPERLINK("CSG23.html#group144F23", "144F²³")</f>
        <v/>
      </c>
    </row>
    <row r="1533">
      <c r="A1533" t="inlineStr">
        <is>
          <t>48D⁷</t>
        </is>
      </c>
      <c r="B1533" t="inlineStr"/>
      <c r="C1533" t="inlineStr">
        <is>
          <t>96</t>
        </is>
      </c>
      <c r="D1533" t="inlineStr">
        <is>
          <t>1</t>
        </is>
      </c>
      <c r="E1533" t="inlineStr">
        <is>
          <t>12</t>
        </is>
      </c>
      <c r="F1533" t="inlineStr">
        <is>
          <t>0</t>
        </is>
      </c>
      <c r="G1533" t="inlineStr">
        <is>
          <t>0</t>
        </is>
      </c>
      <c r="H1533" t="inlineStr">
        <is>
          <t>8¹, 16¹, 24¹, 48¹</t>
        </is>
      </c>
      <c r="I1533" t="n">
        <v>4</v>
      </c>
      <c r="J1533" t="inlineStr">
        <is>
          <t>1⁶, 2³</t>
        </is>
      </c>
      <c r="K1533">
        <f>HYPERLINK("CSG2.html#group16A2", "16A²"), =HYPERLINK("CSG3.html#group24B3", "24B³")</f>
        <v/>
      </c>
      <c r="L1533">
        <f>HYPERLINK("CSG13.html#group48D13", "48D¹³"), =HYPERLINK("CSG13.html#group48H13", "48H¹³"), =HYPERLINK("CSG13.html#group48P13", "48P¹³"), =HYPERLINK("CSG15.html#group96A15", "96A¹⁵"), =HYPERLINK("CSG15.html#group96B15", "96B¹⁵"), =HYPERLINK("CSG21.html#group48D21", "48D²¹"), =HYPERLINK("CSG21.html#group144D21", "144D²¹"), =HYPERLINK("CSG23.html#group144H23", "144H²³"), =HYPERLINK("CSG23.html#group144G23", "144G²³")</f>
        <v/>
      </c>
      <c r="M1533">
        <f>HYPERLINK("CSG0.html#group3B0", "3B⁰"), =HYPERLINK("CSG3.html#group24B3", "24B³"), =HYPERLINK("CSG1.html#group12F1", "12F¹"), =HYPERLINK("CSG0.html#group4C0", "4C⁰"), =HYPERLINK("CSG0.html#group8B0", "8B⁰"), =HYPERLINK("CSG0.html#group1A0", "1A⁰"), =HYPERLINK("CSG0.html#group2B0", "2B⁰"), =HYPERLINK("CSG0.html#group6F0", "6F⁰"), =HYPERLINK("CSG2.html#group16A2", "16A²")</f>
        <v/>
      </c>
      <c r="N1533">
        <f>HYPERLINK("CSG23.html#group144H23", "144H²³"), =HYPERLINK("CSG13.html#group48P13", "48P¹³"), =HYPERLINK("CSG13.html#group48D13", "48D¹³"), =HYPERLINK("CSG15.html#group96B15", "96B¹⁵"), =HYPERLINK("CSG21.html#group48D21", "48D²¹"), =HYPERLINK("CSG23.html#group144G23", "144G²³"), =HYPERLINK("CSG15.html#group96A15", "96A¹⁵"), =HYPERLINK("CSG13.html#group48H13", "48H¹³"), =HYPERLINK("CSG21.html#group144D21", "144D²¹")</f>
        <v/>
      </c>
    </row>
    <row r="1534">
      <c r="A1534" t="inlineStr">
        <is>
          <t>48E⁷</t>
        </is>
      </c>
      <c r="B1534" t="inlineStr"/>
      <c r="C1534" t="inlineStr">
        <is>
          <t>96</t>
        </is>
      </c>
      <c r="D1534" t="inlineStr">
        <is>
          <t>1</t>
        </is>
      </c>
      <c r="E1534" t="inlineStr">
        <is>
          <t>24</t>
        </is>
      </c>
      <c r="F1534" t="inlineStr">
        <is>
          <t>0</t>
        </is>
      </c>
      <c r="G1534" t="inlineStr">
        <is>
          <t>0</t>
        </is>
      </c>
      <c r="H1534" t="inlineStr">
        <is>
          <t>8¹, 16¹, 24¹, 48¹</t>
        </is>
      </c>
      <c r="I1534" t="n">
        <v>4</v>
      </c>
      <c r="J1534" t="inlineStr">
        <is>
          <t>1⁴, 2⁶, 4²</t>
        </is>
      </c>
      <c r="K1534">
        <f>HYPERLINK("CSG3.html#group24C3", "24C³")</f>
        <v/>
      </c>
      <c r="L1534">
        <f>HYPERLINK("CSG13.html#group48A13", "48A¹³"), =HYPERLINK("CSG13.html#group48E13", "48E¹³"), =HYPERLINK("CSG13.html#group48F13", "48F¹³"), =HYPERLINK("CSG13.html#group48S13", "48S¹³"), =HYPERLINK("CSG21.html#group48G21", "48G²¹"), =HYPERLINK("CSG21.html#group144I21", "144I²¹"), =HYPERLINK("CSG23.html#group144J23", "144J²³"), =HYPERLINK("CSG23.html#group144I23", "144I²³")</f>
        <v/>
      </c>
      <c r="M1534">
        <f>HYPERLINK("CSG3.html#group24C3", "24C³"), =HYPERLINK("CSG0.html#group3B0", "3B⁰"), =HYPERLINK("CSG1.html#group8A1", "8A¹"), =HYPERLINK("CSG1.html#group12F1", "12F¹"), =HYPERLINK("CSG0.html#group4C0", "4C⁰"), =HYPERLINK("CSG0.html#group1A0", "1A⁰"), =HYPERLINK("CSG0.html#group2B0", "2B⁰"), =HYPERLINK("CSG0.html#group6F0", "6F⁰")</f>
        <v/>
      </c>
      <c r="N1534">
        <f>HYPERLINK("CSG23.html#group144I23", "144I²³"), =HYPERLINK("CSG21.html#group48G21", "48G²¹"), =HYPERLINK("CSG13.html#group48A13", "48A¹³"), =HYPERLINK("CSG21.html#group144I21", "144I²¹"), =HYPERLINK("CSG13.html#group48S13", "48S¹³"), =HYPERLINK("CSG13.html#group48E13", "48E¹³"), =HYPERLINK("CSG23.html#group144J23", "144J²³"), =HYPERLINK("CSG13.html#group48F13", "48F¹³")</f>
        <v/>
      </c>
    </row>
    <row r="1535">
      <c r="A1535" t="inlineStr">
        <is>
          <t>48F⁷</t>
        </is>
      </c>
      <c r="B1535" t="inlineStr"/>
      <c r="C1535" t="inlineStr">
        <is>
          <t>96</t>
        </is>
      </c>
      <c r="D1535" t="inlineStr">
        <is>
          <t>1</t>
        </is>
      </c>
      <c r="E1535" t="inlineStr">
        <is>
          <t>24</t>
        </is>
      </c>
      <c r="F1535" t="inlineStr">
        <is>
          <t>0</t>
        </is>
      </c>
      <c r="G1535" t="inlineStr">
        <is>
          <t>0</t>
        </is>
      </c>
      <c r="H1535" t="inlineStr">
        <is>
          <t>8¹, 16¹, 24¹, 48¹</t>
        </is>
      </c>
      <c r="I1535" t="n">
        <v>4</v>
      </c>
      <c r="J1535" t="inlineStr">
        <is>
          <t>1⁴, 2⁶, 4²</t>
        </is>
      </c>
      <c r="K1535">
        <f>HYPERLINK("CSG1.html#group16B1", "16B¹"), =HYPERLINK("CSG3.html#group24B3", "24B³")</f>
        <v/>
      </c>
      <c r="L1535">
        <f>HYPERLINK("CSG13.html#group48B13", "48B¹³"), =HYPERLINK("CSG13.html#group48G13", "48G¹³"), =HYPERLINK("CSG13.html#group48H13", "48H¹³"), =HYPERLINK("CSG13.html#group48T13", "48T¹³"), =HYPERLINK("CSG21.html#group48H21", "48H²¹"), =HYPERLINK("CSG21.html#group144J21", "144J²¹"), =HYPERLINK("CSG23.html#group144L23", "144L²³"), =HYPERLINK("CSG23.html#group144K23", "144K²³")</f>
        <v/>
      </c>
      <c r="M1535">
        <f>HYPERLINK("CSG0.html#group3B0", "3B⁰"), =HYPERLINK("CSG3.html#group24B3", "24B³"), =HYPERLINK("CSG1.html#group12F1", "12F¹"), =HYPERLINK("CSG0.html#group4C0", "4C⁰"), =HYPERLINK("CSG0.html#group8B0", "8B⁰"), =HYPERLINK("CSG1.html#group16B1", "16B¹"), =HYPERLINK("CSG0.html#group1A0", "1A⁰"), =HYPERLINK("CSG0.html#group2B0", "2B⁰"), =HYPERLINK("CSG0.html#group6F0", "6F⁰")</f>
        <v/>
      </c>
      <c r="N1535">
        <f>HYPERLINK("CSG21.html#group144J21", "144J²¹"), =HYPERLINK("CSG13.html#group48B13", "48B¹³"), =HYPERLINK("CSG23.html#group144L23", "144L²³"), =HYPERLINK("CSG23.html#group144K23", "144K²³"), =HYPERLINK("CSG21.html#group48H21", "48H²¹"), =HYPERLINK("CSG13.html#group48T13", "48T¹³"), =HYPERLINK("CSG13.html#group48G13", "48G¹³"), =HYPERLINK("CSG13.html#group48H13", "48H¹³")</f>
        <v/>
      </c>
    </row>
    <row r="1536">
      <c r="A1536" t="inlineStr">
        <is>
          <t>48G⁷</t>
        </is>
      </c>
      <c r="B1536" t="inlineStr"/>
      <c r="C1536" t="inlineStr">
        <is>
          <t>96</t>
        </is>
      </c>
      <c r="D1536" t="inlineStr">
        <is>
          <t>1</t>
        </is>
      </c>
      <c r="E1536" t="inlineStr">
        <is>
          <t>48</t>
        </is>
      </c>
      <c r="F1536" t="inlineStr">
        <is>
          <t>0</t>
        </is>
      </c>
      <c r="G1536" t="inlineStr">
        <is>
          <t>0</t>
        </is>
      </c>
      <c r="H1536" t="inlineStr">
        <is>
          <t>8¹, 16¹, 24¹, 48¹</t>
        </is>
      </c>
      <c r="I1536" t="n">
        <v>4</v>
      </c>
      <c r="J1536" t="inlineStr">
        <is>
          <t>1⁸, 2⁸, 4⁴, 8¹</t>
        </is>
      </c>
      <c r="K1536">
        <f>HYPERLINK("CSG1.html#group16D1", "16D¹"), =HYPERLINK("CSG3.html#group24B3", "24B³")</f>
        <v/>
      </c>
      <c r="L1536">
        <f>HYPERLINK("CSG13.html#group48J13", "48J¹³"), =HYPERLINK("CSG13.html#group48K13", "48K¹³"), =HYPERLINK("CSG13.html#group48O13", "48O¹³"), =HYPERLINK("CSG13.html#group48P13", "48P¹³"), =HYPERLINK("CSG13.html#group48T13", "48T¹³"), =HYPERLINK("CSG15.html#group96G15", "96G¹⁵"), =HYPERLINK("CSG15.html#group96J15", "96J¹⁵"), =HYPERLINK("CSG15.html#group96I15", "96I¹⁵"), =HYPERLINK("CSG15.html#group96H15", "96H¹⁵"), =HYPERLINK("CSG21.html#group48W21", "48W²¹"), =HYPERLINK("CSG21.html#group144K21", "144K²¹"), =HYPERLINK("CSG23.html#group144N23", "144N²³"), =HYPERLINK("CSG23.html#group144M23", "144M²³")</f>
        <v/>
      </c>
      <c r="M1536">
        <f>HYPERLINK("CSG0.html#group3B0", "3B⁰"), =HYPERLINK("CSG1.html#group16D1", "16D¹"), =HYPERLINK("CSG3.html#group24B3", "24B³"), =HYPERLINK("CSG1.html#group12F1", "12F¹"), =HYPERLINK("CSG0.html#group4C0", "4C⁰"), =HYPERLINK("CSG0.html#group8B0", "8B⁰"), =HYPERLINK("CSG0.html#group1A0", "1A⁰"), =HYPERLINK("CSG0.html#group2B0", "2B⁰"), =HYPERLINK("CSG0.html#group6F0", "6F⁰")</f>
        <v/>
      </c>
      <c r="N1536">
        <f>HYPERLINK("CSG23.html#group144N23", "144N²³"), =HYPERLINK("CSG21.html#group48W21", "48W²¹"), =HYPERLINK("CSG15.html#group96J15", "96J¹⁵"), =HYPERLINK("CSG13.html#group48P13", "48P¹³"), =HYPERLINK("CSG15.html#group96I15", "96I¹⁵"), =HYPERLINK("CSG13.html#group48J13", "48J¹³"), =HYPERLINK("CSG15.html#group96H15", "96H¹⁵"), =HYPERLINK("CSG13.html#group48K13", "48K¹³"), =HYPERLINK("CSG21.html#group144K21", "144K²¹"), =HYPERLINK("CSG13.html#group48T13", "48T¹³"), =HYPERLINK("CSG15.html#group96G15", "96G¹⁵"), =HYPERLINK("CSG13.html#group48O13", "48O¹³"), =HYPERLINK("CSG23.html#group144M23", "144M²³")</f>
        <v/>
      </c>
    </row>
    <row r="1537">
      <c r="A1537" t="inlineStr">
        <is>
          <t>48H⁷</t>
        </is>
      </c>
      <c r="B1537" t="inlineStr"/>
      <c r="C1537" t="inlineStr">
        <is>
          <t>96</t>
        </is>
      </c>
      <c r="D1537" t="inlineStr">
        <is>
          <t>1</t>
        </is>
      </c>
      <c r="E1537" t="inlineStr">
        <is>
          <t>48</t>
        </is>
      </c>
      <c r="F1537" t="inlineStr">
        <is>
          <t>0</t>
        </is>
      </c>
      <c r="G1537" t="inlineStr">
        <is>
          <t>0</t>
        </is>
      </c>
      <c r="H1537" t="inlineStr">
        <is>
          <t>8¹, 16¹, 24¹, 48¹</t>
        </is>
      </c>
      <c r="I1537" t="n">
        <v>4</v>
      </c>
      <c r="J1537" t="inlineStr">
        <is>
          <t>1⁸, 2⁸, 4⁴, 8¹</t>
        </is>
      </c>
      <c r="K1537">
        <f>HYPERLINK("CSG2.html#group16B2", "16B²"), =HYPERLINK("CSG3.html#group24C3", "24C³")</f>
        <v/>
      </c>
      <c r="L1537">
        <f>HYPERLINK("CSG13.html#group48J13", "48J¹³"), =HYPERLINK("CSG13.html#group48L13", "48L¹³"), =HYPERLINK("CSG13.html#group48M13", "48M¹³"), =HYPERLINK("CSG13.html#group48N13", "48N¹³"), =HYPERLINK("CSG13.html#group48S13", "48S¹³"), =HYPERLINK("CSG15.html#group96E15", "96E¹⁵"), =HYPERLINK("CSG15.html#group96F15", "96F¹⁵"), =HYPERLINK("CSG15.html#group96L15", "96L¹⁵"), =HYPERLINK("CSG15.html#group96K15", "96K¹⁵"), =HYPERLINK("CSG21.html#group48X21", "48X²¹"), =HYPERLINK("CSG21.html#group144L21", "144L²¹"), =HYPERLINK("CSG23.html#group144P23", "144P²³"), =HYPERLINK("CSG23.html#group144O23", "144O²³")</f>
        <v/>
      </c>
      <c r="M1537">
        <f>HYPERLINK("CSG3.html#group24C3", "24C³"), =HYPERLINK("CSG0.html#group3B0", "3B⁰"), =HYPERLINK("CSG2.html#group16B2", "16B²"), =HYPERLINK("CSG1.html#group8A1", "8A¹"), =HYPERLINK("CSG1.html#group12F1", "12F¹"), =HYPERLINK("CSG0.html#group4C0", "4C⁰"), =HYPERLINK("CSG0.html#group1A0", "1A⁰"), =HYPERLINK("CSG0.html#group2B0", "2B⁰"), =HYPERLINK("CSG0.html#group6F0", "6F⁰")</f>
        <v/>
      </c>
      <c r="N1537">
        <f>HYPERLINK("CSG13.html#group48M13", "48M¹³"), =HYPERLINK("CSG13.html#group48N13", "48N¹³"), =HYPERLINK("CSG21.html#group144L21", "144L²¹"), =HYPERLINK("CSG15.html#group96F15", "96F¹⁵"), =HYPERLINK("CSG15.html#group96L15", "96L¹⁵"), =HYPERLINK("CSG13.html#group48J13", "48J¹³"), =HYPERLINK("CSG21.html#group48X21", "48X²¹"), =HYPERLINK("CSG15.html#group96K15", "96K¹⁵"), =HYPERLINK("CSG23.html#group144P23", "144P²³"), =HYPERLINK("CSG13.html#group48S13", "48S¹³"), =HYPERLINK("CSG13.html#group48L13", "48L¹³"), =HYPERLINK("CSG15.html#group96E15", "96E¹⁵"), =HYPERLINK("CSG23.html#group144O23", "144O²³")</f>
        <v/>
      </c>
    </row>
    <row r="1538">
      <c r="A1538" t="inlineStr">
        <is>
          <t>48I⁷</t>
        </is>
      </c>
      <c r="B1538" t="inlineStr"/>
      <c r="C1538" t="inlineStr">
        <is>
          <t>96</t>
        </is>
      </c>
      <c r="D1538" t="inlineStr">
        <is>
          <t>2</t>
        </is>
      </c>
      <c r="E1538" t="inlineStr">
        <is>
          <t>24</t>
        </is>
      </c>
      <c r="F1538" t="inlineStr">
        <is>
          <t>4</t>
        </is>
      </c>
      <c r="G1538" t="inlineStr">
        <is>
          <t>0</t>
        </is>
      </c>
      <c r="H1538" t="inlineStr">
        <is>
          <t>48²</t>
        </is>
      </c>
      <c r="I1538" t="n">
        <v>2</v>
      </c>
      <c r="J1538" t="inlineStr">
        <is>
          <t>8², 16²</t>
        </is>
      </c>
      <c r="K1538">
        <f>HYPERLINK("CSG3.html#group24E3", "24E³"), =HYPERLINK("CSG3.html#group48B3", "48B³")</f>
        <v/>
      </c>
      <c r="L1538">
        <f>HYPERLINK("CSG13.html#group48R13", "48R¹³"), =HYPERLINK("CSG15.html#group48A15", "48A¹⁵"), =HYPERLINK("CSG15.html#group48D15", "48D¹⁵"), =HYPERLINK("CSG21.html#group48BW21", "48BW²¹"), =HYPERLINK("CSG21.html#group144M21", "144M²¹"), =HYPERLINK("CSG22.html#group144K22", "144K²²"), =HYPERLINK("CSG23.html#group144R23", "144R²³"), =HYPERLINK("CSG23.html#group144Q23", "144Q²³")</f>
        <v/>
      </c>
      <c r="M1538">
        <f>HYPERLINK("CSG1.html#group12G1", "12G¹"), =HYPERLINK("CSG3.html#group24E3", "24E³"), =HYPERLINK("CSG0.html#group12A0", "12A⁰"), =HYPERLINK("CSG1.html#group24A1", "24A¹"), =HYPERLINK("CSG0.html#group4A0", "4A⁰"), =HYPERLINK("CSG0.html#group8A0", "8A⁰"), =HYPERLINK("CSG0.html#group3C0", "3C⁰"), =HYPERLINK("CSG1.html#group24B1", "24B¹"), =HYPERLINK("CSG0.html#group3A0", "3A⁰"), =HYPERLINK("CSG0.html#group1A0", "1A⁰"), =HYPERLINK("CSG3.html#group48B3", "48B³")</f>
        <v/>
      </c>
      <c r="N1538">
        <f>HYPERLINK("CSG21.html#group144M21", "144M²¹"), =HYPERLINK("CSG13.html#group48R13", "48R¹³"), =HYPERLINK("CSG15.html#group48A15", "48A¹⁵"), =HYPERLINK("CSG23.html#group144Q23", "144Q²³"), =HYPERLINK("CSG15.html#group48D15", "48D¹⁵"), =HYPERLINK("CSG22.html#group144K22", "144K²²"), =HYPERLINK("CSG21.html#group48BW21", "48BW²¹"), =HYPERLINK("CSG23.html#group144R23", "144R²³")</f>
        <v/>
      </c>
    </row>
    <row r="1539">
      <c r="A1539" t="inlineStr">
        <is>
          <t>48J⁷</t>
        </is>
      </c>
      <c r="B1539" t="inlineStr"/>
      <c r="C1539" t="inlineStr">
        <is>
          <t>96</t>
        </is>
      </c>
      <c r="D1539" t="inlineStr">
        <is>
          <t>2</t>
        </is>
      </c>
      <c r="E1539" t="inlineStr">
        <is>
          <t>24</t>
        </is>
      </c>
      <c r="F1539" t="inlineStr">
        <is>
          <t>4</t>
        </is>
      </c>
      <c r="G1539" t="inlineStr">
        <is>
          <t>0</t>
        </is>
      </c>
      <c r="H1539" t="inlineStr">
        <is>
          <t>48²</t>
        </is>
      </c>
      <c r="I1539" t="n">
        <v>2</v>
      </c>
      <c r="J1539" t="inlineStr">
        <is>
          <t>8², 16²</t>
        </is>
      </c>
      <c r="K1539">
        <f>HYPERLINK("CSG3.html#group24E3", "24E³"), =HYPERLINK("CSG3.html#group48A3", "48A³"), =HYPERLINK("CSG3.html#group48B3", "48B³")</f>
        <v/>
      </c>
      <c r="L1539">
        <f>HYPERLINK("CSG13.html#group48R13", "48R¹³"), =HYPERLINK("CSG15.html#group48B15", "48B¹⁵"), =HYPERLINK("CSG15.html#group48D15", "48D¹⁵"), =HYPERLINK("CSG21.html#group48BY21", "48BY²¹"), =HYPERLINK("CSG21.html#group144N21", "144N²¹"), =HYPERLINK("CSG22.html#group144L22", "144L²²"), =HYPERLINK("CSG23.html#group144T23", "144T²³"), =HYPERLINK("CSG23.html#group144S23", "144S²³")</f>
        <v/>
      </c>
      <c r="M1539">
        <f>HYPERLINK("CSG1.html#group12G1", "12G¹"), =HYPERLINK("CSG3.html#group24E3", "24E³"), =HYPERLINK("CSG0.html#group12A0", "12A⁰"), =HYPERLINK("CSG3.html#group48A3", "48A³"), =HYPERLINK("CSG1.html#group24A1", "24A¹"), =HYPERLINK("CSG0.html#group16A0", "16A⁰"), =HYPERLINK("CSG0.html#group4A0", "4A⁰"), =HYPERLINK("CSG0.html#group8A0", "8A⁰"), =HYPERLINK("CSG0.html#group3C0", "3C⁰"), =HYPERLINK("CSG1.html#group24B1", "24B¹"), =HYPERLINK("CSG0.html#group3A0", "3A⁰"), =HYPERLINK("CSG0.html#group1A0", "1A⁰"), =HYPERLINK("CSG3.html#group48B3", "48B³")</f>
        <v/>
      </c>
      <c r="N1539">
        <f>HYPERLINK("CSG13.html#group48R13", "48R¹³"), =HYPERLINK("CSG21.html#group144N21", "144N²¹"), =HYPERLINK("CSG15.html#group48D15", "48D¹⁵"), =HYPERLINK("CSG15.html#group48B15", "48B¹⁵"), =HYPERLINK("CSG22.html#group144L22", "144L²²"), =HYPERLINK("CSG21.html#group48BY21", "48BY²¹"), =HYPERLINK("CSG23.html#group144S23", "144S²³"), =HYPERLINK("CSG23.html#group144T23", "144T²³")</f>
        <v/>
      </c>
    </row>
    <row r="1540">
      <c r="A1540" t="inlineStr">
        <is>
          <t>48K⁷</t>
        </is>
      </c>
      <c r="B1540" t="inlineStr"/>
      <c r="C1540" t="inlineStr">
        <is>
          <t>128</t>
        </is>
      </c>
      <c r="D1540" t="inlineStr">
        <is>
          <t>1</t>
        </is>
      </c>
      <c r="E1540" t="inlineStr">
        <is>
          <t>16</t>
        </is>
      </c>
      <c r="F1540" t="inlineStr">
        <is>
          <t>0</t>
        </is>
      </c>
      <c r="G1540" t="inlineStr">
        <is>
          <t>8</t>
        </is>
      </c>
      <c r="H1540" t="inlineStr">
        <is>
          <t>16², 48²</t>
        </is>
      </c>
      <c r="I1540" t="n">
        <v>4</v>
      </c>
      <c r="J1540" t="inlineStr">
        <is>
          <t>2⁴, 4²</t>
        </is>
      </c>
      <c r="K1540">
        <f>HYPERLINK("CSG3.html#group24G3", "24G³")</f>
        <v/>
      </c>
      <c r="L1540">
        <f>HYPERLINK("CSG13.html#group48U13", "48U¹³"), =HYPERLINK("CSG23.html#group144U23", "144U²³")</f>
        <v/>
      </c>
      <c r="M1540">
        <f>HYPERLINK("CSG0.html#group2A0", "2A⁰"), =HYPERLINK("CSG0.html#group3B0", "3B⁰"), =HYPERLINK("CSG1.html#group12I1", "12I¹"), =HYPERLINK("CSG2.html#group24A2", "24A²"), =HYPERLINK("CSG0.html#group4A0", "4A⁰"), =HYPERLINK("CSG0.html#group4D0", "4D⁰"), =HYPERLINK("CSG1.html#group12A1", "12A¹"), =HYPERLINK("CSG0.html#group6C0", "6C⁰"), =HYPERLINK("CSG0.html#group8A0", "8A⁰"), =HYPERLINK("CSG0.html#group8E0", "8E⁰"), =HYPERLINK("CSG3.html#group24G3", "24G³"), =HYPERLINK("CSG0.html#group1A0", "1A⁰")</f>
        <v/>
      </c>
      <c r="N1540">
        <f>HYPERLINK("CSG13.html#group48U13", "48U¹³"), =HYPERLINK("CSG23.html#group144U23", "144U²³")</f>
        <v/>
      </c>
    </row>
    <row r="1541">
      <c r="A1541" t="inlineStr">
        <is>
          <t>48L⁷</t>
        </is>
      </c>
      <c r="B1541" t="inlineStr"/>
      <c r="C1541" t="inlineStr">
        <is>
          <t>128</t>
        </is>
      </c>
      <c r="D1541" t="inlineStr">
        <is>
          <t>1</t>
        </is>
      </c>
      <c r="E1541" t="inlineStr">
        <is>
          <t>16</t>
        </is>
      </c>
      <c r="F1541" t="inlineStr">
        <is>
          <t>0</t>
        </is>
      </c>
      <c r="G1541" t="inlineStr">
        <is>
          <t>8</t>
        </is>
      </c>
      <c r="H1541" t="inlineStr">
        <is>
          <t>16², 48²</t>
        </is>
      </c>
      <c r="I1541" t="n">
        <v>4</v>
      </c>
      <c r="J1541" t="inlineStr">
        <is>
          <t>2⁴, 4²</t>
        </is>
      </c>
      <c r="K1541">
        <f>HYPERLINK("CSG0.html#group16F0", "16F⁰"), =HYPERLINK("CSG3.html#group24G3", "24G³"), =HYPERLINK("CSG4.html#group48A4", "48A⁴")</f>
        <v/>
      </c>
      <c r="L1541">
        <f>HYPERLINK("CSG13.html#group48U13", "48U¹³"), =HYPERLINK("CSG23.html#group144V23", "144V²³")</f>
        <v/>
      </c>
      <c r="M1541">
        <f>HYPERLINK("CSG0.html#group2A0", "2A⁰"), =HYPERLINK("CSG0.html#group3B0", "3B⁰"), =HYPERLINK("CSG0.html#group16A0", "16A⁰"), =HYPERLINK("CSG1.html#group12I1", "12I¹"), =HYPERLINK("CSG2.html#group24A2", "24A²"), =HYPERLINK("CSG0.html#group6C0", "6C⁰"), =HYPERLINK("CSG0.html#group8A0", "8A⁰"), =HYPERLINK("CSG0.html#group8E0", "8E⁰"), =HYPERLINK("CSG3.html#group24G3", "24G³"), =HYPERLINK("CSG0.html#group1A0", "1A⁰"), =HYPERLINK("CSG0.html#group4A0", "4A⁰"), =HYPERLINK("CSG0.html#group4D0", "4D⁰"), =HYPERLINK("CSG0.html#group16F0", "16F⁰"), =HYPERLINK("CSG1.html#group12A1", "12A¹"), =HYPERLINK("CSG4.html#group48A4", "48A⁴")</f>
        <v/>
      </c>
      <c r="N1541">
        <f>HYPERLINK("CSG23.html#group144V23", "144V²³"), =HYPERLINK("CSG13.html#group48U13", "48U¹³")</f>
        <v/>
      </c>
    </row>
    <row r="1542">
      <c r="A1542" t="inlineStr">
        <is>
          <t>48M⁷</t>
        </is>
      </c>
      <c r="B1542" t="inlineStr"/>
      <c r="C1542" t="inlineStr">
        <is>
          <t>144</t>
        </is>
      </c>
      <c r="D1542" t="inlineStr">
        <is>
          <t>1</t>
        </is>
      </c>
      <c r="E1542" t="inlineStr">
        <is>
          <t>9</t>
        </is>
      </c>
      <c r="F1542" t="inlineStr">
        <is>
          <t>16</t>
        </is>
      </c>
      <c r="G1542" t="inlineStr">
        <is>
          <t>0</t>
        </is>
      </c>
      <c r="H1542" t="inlineStr">
        <is>
          <t>24², 48²</t>
        </is>
      </c>
      <c r="I1542" t="n">
        <v>4</v>
      </c>
      <c r="J1542" t="inlineStr">
        <is>
          <t>1³, 2³</t>
        </is>
      </c>
      <c r="K1542">
        <f>HYPERLINK("CSG2.html#group48A2", "48A²"), =HYPERLINK("CSG3.html#group24I3", "24I³")</f>
        <v/>
      </c>
      <c r="L1542">
        <f>HYPERLINK("CSG13.html#group48X13", "48X¹³"), =HYPERLINK("CSG17.html#group48O17", "48O¹⁷"), =HYPERLINK("CSG17.html#group48P17", "48P¹⁷"), =HYPERLINK("CSG17.html#group48AY17", "48AY¹⁷"), =HYPERLINK("CSG17.html#group48AX17", "48AX¹⁷"), =HYPERLINK("CSG19.html#group96AI19", "96AI¹⁹"), =HYPERLINK("CSG19.html#group96AJ19", "96AJ¹⁹"), =HYPERLINK("CSG21.html#group48D21", "48D²¹"), =HYPERLINK("CSG21.html#group48O21", "48O²¹"), =HYPERLINK("CSG23.html#group144W23", "144W²³")</f>
        <v/>
      </c>
      <c r="M1542">
        <f>HYPERLINK("CSG0.html#group12C0", "12C⁰"), =HYPERLINK("CSG1.html#group12C1", "12C¹"), =HYPERLINK("CSG0.html#group24A0", "24A⁰"), =HYPERLINK("CSG1.html#group12L1", "12L¹"), =HYPERLINK("CSG0.html#group4C0", "4C⁰"), =HYPERLINK("CSG3.html#group24I3", "24I³"), =HYPERLINK("CSG0.html#group8B0", "8B⁰"), =HYPERLINK("CSG2.html#group48A2", "48A²"), =HYPERLINK("CSG0.html#group6G0", "6G⁰"), =HYPERLINK("CSG0.html#group3C0", "3C⁰"), =HYPERLINK("CSG0.html#group2B0", "2B⁰"), =HYPERLINK("CSG2.html#group24C2", "24C²"), =HYPERLINK("CSG0.html#group3A0", "3A⁰"), =HYPERLINK("CSG0.html#group1A0", "1A⁰"), =HYPERLINK("CSG0.html#group6D0", "6D⁰")</f>
        <v/>
      </c>
      <c r="N1542">
        <f>HYPERLINK("CSG19.html#group96AJ19", "96AJ¹⁹"), =HYPERLINK("CSG21.html#group48O21", "48O²¹"), =HYPERLINK("CSG19.html#group96AI19", "96AI¹⁹"), =HYPERLINK("CSG17.html#group48O17", "48O¹⁷"), =HYPERLINK("CSG23.html#group144W23", "144W²³"), =HYPERLINK("CSG21.html#group48D21", "48D²¹"), =HYPERLINK("CSG13.html#group48X13", "48X¹³"), =HYPERLINK("CSG17.html#group48P17", "48P¹⁷"), =HYPERLINK("CSG17.html#group48AY17", "48AY¹⁷"), =HYPERLINK("CSG17.html#group48AX17", "48AX¹⁷")</f>
        <v/>
      </c>
    </row>
    <row r="1543">
      <c r="A1543" t="inlineStr">
        <is>
          <t>48N⁷</t>
        </is>
      </c>
      <c r="B1543" t="inlineStr"/>
      <c r="C1543" t="inlineStr">
        <is>
          <t>144</t>
        </is>
      </c>
      <c r="D1543" t="inlineStr">
        <is>
          <t>1</t>
        </is>
      </c>
      <c r="E1543" t="inlineStr">
        <is>
          <t>9</t>
        </is>
      </c>
      <c r="F1543" t="inlineStr">
        <is>
          <t>16</t>
        </is>
      </c>
      <c r="G1543" t="inlineStr">
        <is>
          <t>0</t>
        </is>
      </c>
      <c r="H1543" t="inlineStr">
        <is>
          <t>24², 48²</t>
        </is>
      </c>
      <c r="I1543" t="n">
        <v>4</v>
      </c>
      <c r="J1543" t="inlineStr">
        <is>
          <t>1³, 2³</t>
        </is>
      </c>
      <c r="K1543">
        <f>HYPERLINK("CSG0.html#group48A0", "48A⁰"), =HYPERLINK("CSG3.html#group24I3", "24I³"), =HYPERLINK("CSG4.html#group48C4", "48C⁴")</f>
        <v/>
      </c>
      <c r="L1543">
        <f>HYPERLINK("CSG13.html#group48X13", "48X¹³"), =HYPERLINK("CSG17.html#group48N17", "48N¹⁷"), =HYPERLINK("CSG17.html#group48Q17", "48Q¹⁷"), =HYPERLINK("CSG17.html#group48AW17", "48AW¹⁷"), =HYPERLINK("CSG17.html#group48AZ17", "48AZ¹⁷"), =HYPERLINK("CSG17.html#group96P17", "96P¹⁷"), =HYPERLINK("CSG17.html#group96Q17", "96Q¹⁷"), =HYPERLINK("CSG21.html#group48C21", "48C²¹"), =HYPERLINK("CSG21.html#group48S21", "48S²¹"), =HYPERLINK("CSG21.html#group96Y21", "96Y²¹"), =HYPERLINK("CSG21.html#group96AA21", "96AA²¹"), =HYPERLINK("CSG23.html#group144X23", "144X²³")</f>
        <v/>
      </c>
      <c r="M1543">
        <f>HYPERLINK("CSG0.html#group12C0", "12C⁰"), =HYPERLINK("CSG0.html#group4C0", "4C⁰"), =HYPERLINK("CSG3.html#group24I3", "24I³"), =HYPERLINK("CSG0.html#group8B0", "8B⁰"), =HYPERLINK("CSG0.html#group6G0", "6G⁰"), =HYPERLINK("CSG0.html#group48A0", "48A⁰"), =HYPERLINK("CSG0.html#group2B0", "2B⁰"), =HYPERLINK("CSG2.html#group24C2", "24C²"), =HYPERLINK("CSG0.html#group1A0", "1A⁰"), =HYPERLINK("CSG1.html#group12L1", "12L¹"), =HYPERLINK("CSG4.html#group48C4", "48C⁴"), =HYPERLINK("CSG0.html#group16B0", "16B⁰"), =HYPERLINK("CSG1.html#group12C1", "12C¹"), =HYPERLINK("CSG0.html#group24A0", "24A⁰"), =HYPERLINK("CSG0.html#group3C0", "3C⁰"), =HYPERLINK("CSG0.html#group3A0", "3A⁰"), =HYPERLINK("CSG0.html#group6D0", "6D⁰")</f>
        <v/>
      </c>
      <c r="N1543">
        <f>HYPERLINK("CSG21.html#group96Y21", "96Y²¹"), =HYPERLINK("CSG17.html#group48AW17", "48AW¹⁷"), =HYPERLINK("CSG21.html#group48C21", "48C²¹"), =HYPERLINK("CSG17.html#group96P17", "96P¹⁷"), =HYPERLINK("CSG23.html#group144X23", "144X²³"), =HYPERLINK("CSG17.html#group48N17", "48N¹⁷"), =HYPERLINK("CSG13.html#group48X13", "48X¹³"), =HYPERLINK("CSG17.html#group48AZ17", "48AZ¹⁷"), =HYPERLINK("CSG21.html#group48S21", "48S²¹"), =HYPERLINK("CSG17.html#group48Q17", "48Q¹⁷"), =HYPERLINK("CSG17.html#group96Q17", "96Q¹⁷"), =HYPERLINK("CSG21.html#group96AA21", "96AA²¹")</f>
        <v/>
      </c>
    </row>
    <row r="1544">
      <c r="A1544" t="inlineStr">
        <is>
          <t>48O⁷</t>
        </is>
      </c>
      <c r="B1544" t="inlineStr"/>
      <c r="C1544" t="inlineStr">
        <is>
          <t>144</t>
        </is>
      </c>
      <c r="D1544" t="inlineStr">
        <is>
          <t>1</t>
        </is>
      </c>
      <c r="E1544" t="inlineStr">
        <is>
          <t>12</t>
        </is>
      </c>
      <c r="F1544" t="inlineStr">
        <is>
          <t>12</t>
        </is>
      </c>
      <c r="G1544" t="inlineStr">
        <is>
          <t>0</t>
        </is>
      </c>
      <c r="H1544" t="inlineStr">
        <is>
          <t>12⁴, 48²</t>
        </is>
      </c>
      <c r="I1544" t="n">
        <v>6</v>
      </c>
      <c r="J1544" t="inlineStr">
        <is>
          <t>2², 4²</t>
        </is>
      </c>
      <c r="K1544">
        <f>HYPERLINK("CSG1.html#group16H1", "16H¹"), =HYPERLINK("CSG2.html#group24L2", "24L²")</f>
        <v/>
      </c>
      <c r="L1544">
        <f>HYPERLINK("CSG15.html#group48H15", "48H¹⁵"), =HYPERLINK("CSG15.html#group48T15", "48T¹⁵"), =HYPERLINK("CSG16.html#group48A16", "48A¹⁶"), =HYPERLINK("CSG16.html#group48G16", "48G¹⁶"), =HYPERLINK("CSG17.html#group48AF17", "48AF¹⁷"), =HYPERLINK("CSG17.html#group48AN17", "48AN¹⁷"), =HYPERLINK("CSG18.html#group48F18", "48F¹⁸"), =HYPERLINK("CSG18.html#group48P18", "48P¹⁸"), =HYPERLINK("CSG19.html#group48A19", "48A¹⁹"), =HYPERLINK("CSG19.html#group48AC19", "48AC¹⁹"), =HYPERLINK("CSG21.html#group48T21", "48T²¹")</f>
        <v/>
      </c>
      <c r="M1544">
        <f>HYPERLINK("CSG0.html#group12C0", "12C⁰"), =HYPERLINK("CSG0.html#group8D0", "8D⁰"), =HYPERLINK("CSG0.html#group4C0", "4C⁰"), =HYPERLINK("CSG0.html#group8B0", "8B⁰"), =HYPERLINK("CSG0.html#group2B0", "2B⁰"), =HYPERLINK("CSG2.html#group24L2", "24L²"), =HYPERLINK("CSG0.html#group1A0", "1A⁰"), =HYPERLINK("CSG0.html#group8H0", "8H⁰"),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=HYPERLINK("CSG1.html#group16H1", "16H¹"), =HYPERLINK("CSG0.html#group6D0", "6D⁰")</f>
        <v/>
      </c>
      <c r="N1544">
        <f>HYPERLINK("CSG19.html#group48AC19", "48AC¹⁹"), =HYPERLINK("CSG15.html#group48T15", "48T¹⁵"), =HYPERLINK("CSG17.html#group48AF17", "48AF¹⁷"), =HYPERLINK("CSG18.html#group48F18", "48F¹⁸"), =HYPERLINK("CSG15.html#group48H15", "48H¹⁵"), =HYPERLINK("CSG16.html#group48A16", "48A¹⁶"), =HYPERLINK("CSG21.html#group48T21", "48T²¹"), =HYPERLINK("CSG16.html#group48G16", "48G¹⁶"), =HYPERLINK("CSG17.html#group48AN17", "48AN¹⁷"), =HYPERLINK("CSG19.html#group48A19", "48A¹⁹"), =HYPERLINK("CSG18.html#group48P18", "48P¹⁸")</f>
        <v/>
      </c>
    </row>
    <row r="1545">
      <c r="A1545" t="inlineStr">
        <is>
          <t>48P⁷</t>
        </is>
      </c>
      <c r="B1545" t="inlineStr"/>
      <c r="C1545" t="inlineStr">
        <is>
          <t>144</t>
        </is>
      </c>
      <c r="D1545" t="inlineStr">
        <is>
          <t>1</t>
        </is>
      </c>
      <c r="E1545" t="inlineStr">
        <is>
          <t>12</t>
        </is>
      </c>
      <c r="F1545" t="inlineStr">
        <is>
          <t>12</t>
        </is>
      </c>
      <c r="G1545" t="inlineStr">
        <is>
          <t>0</t>
        </is>
      </c>
      <c r="H1545" t="inlineStr">
        <is>
          <t>12⁴, 48²</t>
        </is>
      </c>
      <c r="I1545" t="n">
        <v>6</v>
      </c>
      <c r="J1545" t="inlineStr">
        <is>
          <t>1², 2¹, 4²</t>
        </is>
      </c>
      <c r="K1545">
        <f>HYPERLINK("CSG1.html#group16I1", "16I¹"), =HYPERLINK("CSG2.html#group24L2", "24L²"), =HYPERLINK("CSG3.html#group48D3", "48D³"), =HYPERLINK("CSG4.html#group48E4", "48E⁴")</f>
        <v/>
      </c>
      <c r="L1545">
        <f>HYPERLINK("CSG15.html#group48I15", "48I¹⁵"), =HYPERLINK("CSG15.html#group48V15", "48V¹⁵"), =HYPERLINK("CSG16.html#group48A16", "48A¹⁶"), =HYPERLINK("CSG16.html#group48H16", "48H¹⁶"), =HYPERLINK("CSG17.html#group48AL17", "48AL¹⁷"), =HYPERLINK("CSG17.html#group48AP17", "48AP¹⁷"), =HYPERLINK("CSG17.html#group96E17", "96E¹⁷"), =HYPERLINK("CSG17.html#group96F17", "96F¹⁷"), =HYPERLINK("CSG17.html#group96X17", "96X¹⁷"), =HYPERLINK("CSG17.html#group96Y17", "96Y¹⁷"), =HYPERLINK("CSG18.html#group48E18", "48E¹⁸"), =HYPERLINK("CSG18.html#group48N18", "48N¹⁸"), =HYPERLINK("CSG19.html#group48B19", "48B¹⁹"), =HYPERLINK("CSG19.html#group48AE19", "48AE¹⁹"), =HYPERLINK("CSG19.html#group96L19", "96L¹⁹"), =HYPERLINK("CSG19.html#group96M19", "96M¹⁹"), =HYPERLINK("CSG19.html#group96AC19", "96AC¹⁹"), =HYPERLINK("CSG19.html#group96AD19", "96AD¹⁹"), =HYPERLINK("CSG21.html#group48U21", "48U²¹")</f>
        <v/>
      </c>
      <c r="M1545">
        <f>HYPERLINK("CSG0.html#group12C0", "12C⁰"), =HYPERLINK("CSG1.html#group16I1", "16I¹"), =HYPERLINK("CSG0.html#group8D0", "8D⁰"), =HYPERLINK("CSG0.html#group4C0", "4C⁰"), =HYPERLINK("CSG0.html#group8B0", "8B⁰"), =HYPERLINK("CSG0.html#group2B0", "2B⁰"), =HYPERLINK("CSG2.html#group24L2", "24L²"), =HYPERLINK("CSG0.html#group1A0", "1A⁰"), =HYPERLINK("CSG0.html#group8H0", "8H⁰"), =HYPERLINK("CSG0.html#group16E0", "16E⁰"), =HYPERLINK("CSG0.html#group12A0", "12A⁰"), =HYPERLINK("CSG4.html#group48E4", "48E⁴"), =HYPERLINK("CSG0.html#group24A0", "24A⁰"), =HYPERLINK("CSG0.html#group4A0", "4A⁰"), =HYPERLINK("CSG1.html#group16C1", "16C¹"), =HYPERLINK("CSG1.html#group24C1", "24C¹"), =HYPERLINK("CSG1.html#group12J1", "12J¹"), =HYPERLINK("CSG3.html#group48D3", "48D³"), =HYPERLINK("CSG0.html#group4F0", "4F⁰"), =HYPERLINK("CSG0.html#group3A0", "3A⁰"), =HYPERLINK("CSG0.html#group6D0", "6D⁰")</f>
        <v/>
      </c>
      <c r="N1545">
        <f>HYPERLINK("CSG18.html#group48E18", "48E¹⁸"), =HYPERLINK("CSG19.html#group96L19", "96L¹⁹"), =HYPERLINK("CSG19.html#group96AC19", "96AC¹⁹"), =HYPERLINK("CSG16.html#group48A16", "48A¹⁶"), =HYPERLINK("CSG17.html#group96F17", "96F¹⁷"), =HYPERLINK("CSG17.html#group48AL17", "48AL¹⁷"), =HYPERLINK("CSG19.html#group96M19", "96M¹⁹"), =HYPERLINK("CSG15.html#group48V15", "48V¹⁵"), =HYPERLINK("CSG15.html#group48I15", "48I¹⁵"), =HYPERLINK("CSG17.html#group96X17", "96X¹⁷"), =HYPERLINK("CSG21.html#group48U21", "48U²¹"), =HYPERLINK("CSG17.html#group96E17", "96E¹⁷"), =HYPERLINK("CSG19.html#group96AD19", "96AD¹⁹"), =HYPERLINK("CSG19.html#group48B19", "48B¹⁹"), =HYPERLINK("CSG17.html#group48AP17", "48AP¹⁷"), =HYPERLINK("CSG17.html#group96Y17", "96Y¹⁷"), =HYPERLINK("CSG16.html#group48H16", "48H¹⁶"), =HYPERLINK("CSG18.html#group48N18", "48N¹⁸"), =HYPERLINK("CSG19.html#group48AE19", "48AE¹⁹")</f>
        <v/>
      </c>
    </row>
    <row r="1546">
      <c r="A1546" t="inlineStr">
        <is>
          <t>48Q⁷</t>
        </is>
      </c>
      <c r="B1546" t="inlineStr"/>
      <c r="C1546" t="inlineStr">
        <is>
          <t>144</t>
        </is>
      </c>
      <c r="D1546" t="inlineStr">
        <is>
          <t>1</t>
        </is>
      </c>
      <c r="E1546" t="inlineStr">
        <is>
          <t>18</t>
        </is>
      </c>
      <c r="F1546" t="inlineStr">
        <is>
          <t>0</t>
        </is>
      </c>
      <c r="G1546" t="inlineStr">
        <is>
          <t>0</t>
        </is>
      </c>
      <c r="H1546" t="inlineStr">
        <is>
          <t>3⁸, 12², 48²</t>
        </is>
      </c>
      <c r="I1546" t="n">
        <v>12</v>
      </c>
      <c r="J1546" t="inlineStr">
        <is>
          <t>1⁴, 2⁵, 4¹</t>
        </is>
      </c>
      <c r="K1546">
        <f>HYPERLINK("CSG3.html#group24L3", "24L³"), =HYPERLINK("CSG4.html#group48F4", "48F⁴")</f>
        <v/>
      </c>
      <c r="L1546">
        <f>HYPERLINK("CSG13.html#group48W13", "48W¹³"), =HYPERLINK("CSG15.html#group48P15", "48P¹⁵"), =HYPERLINK("CSG15.html#group48N15", "48N¹⁵"), =HYPERLINK("CSG15.html#group96P15", "96P¹⁵"), =HYPERLINK("CSG17.html#group48E17", "48E¹⁷"), =HYPERLINK("CSG17.html#group48F17", "48F¹⁷"), =HYPERLINK("CSG17.html#group96S17", "96S¹⁷"), =HYPERLINK("CSG19.html#group96N19", "96N¹⁹")</f>
        <v/>
      </c>
      <c r="M1546">
        <f>HYPERLINK("CSG1.html#group12K1", "12K¹"), =HYPERLINK("CSG4.html#group48F4", "48F⁴"), =HYPERLINK("CSG0.html#group6G0", "6G⁰"), =HYPERLINK("CSG0.html#group8C0", "8C⁰"), =HYPERLINK("CSG0.html#group2B0", "2B⁰"), =HYPERLINK("CSG0.html#group4B0", "4B⁰"), =HYPERLINK("CSG0.html#group1A0", "1A⁰"), =HYPERLINK("CSG2.html#group24B2", "24B²"),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</f>
        <v/>
      </c>
      <c r="N1546">
        <f>HYPERLINK("CSG15.html#group96P15", "96P¹⁵"), =HYPERLINK("CSG15.html#group48N15", "48N¹⁵"), =HYPERLINK("CSG17.html#group96S17", "96S¹⁷"), =HYPERLINK("CSG17.html#group48F17", "48F¹⁷"), =HYPERLINK("CSG15.html#group48P15", "48P¹⁵"), =HYPERLINK("CSG19.html#group96N19", "96N¹⁹"), =HYPERLINK("CSG13.html#group48W13", "48W¹³"), =HYPERLINK("CSG17.html#group48E17", "48E¹⁷")</f>
        <v/>
      </c>
    </row>
    <row r="1547">
      <c r="A1547" t="inlineStr">
        <is>
          <t>48R⁷</t>
        </is>
      </c>
      <c r="B1547" t="inlineStr"/>
      <c r="C1547" t="inlineStr">
        <is>
          <t>144</t>
        </is>
      </c>
      <c r="D1547" t="inlineStr">
        <is>
          <t>1</t>
        </is>
      </c>
      <c r="E1547" t="inlineStr">
        <is>
          <t>18</t>
        </is>
      </c>
      <c r="F1547" t="inlineStr">
        <is>
          <t>0</t>
        </is>
      </c>
      <c r="G1547" t="inlineStr">
        <is>
          <t>0</t>
        </is>
      </c>
      <c r="H1547" t="inlineStr">
        <is>
          <t>3⁸, 12², 48²</t>
        </is>
      </c>
      <c r="I1547" t="n">
        <v>12</v>
      </c>
      <c r="J1547" t="inlineStr">
        <is>
          <t>1⁴, 2⁵, 4¹</t>
        </is>
      </c>
      <c r="K1547">
        <f>HYPERLINK("CSG3.html#group24L3", "24L³"), =HYPERLINK("CSG4.html#group48B4", "48B⁴"), =HYPERLINK("CSG4.html#group48F4", "48F⁴")</f>
        <v/>
      </c>
      <c r="L1547">
        <f>HYPERLINK("CSG13.html#group48W13", "48W¹³"), =HYPERLINK("CSG15.html#group48O15", "48O¹⁵"), =HYPERLINK("CSG15.html#group48Q15", "48Q¹⁵"), =HYPERLINK("CSG15.html#group96M15", "96M¹⁵"), =HYPERLINK("CSG15.html#group96N15", "96N¹⁵"), =HYPERLINK("CSG17.html#group48G17", "48G¹⁷"), =HYPERLINK("CSG17.html#group48K17", "48K¹⁷"), =HYPERLINK("CSG17.html#group96I17", "96I¹⁷"), =HYPERLINK("CSG17.html#group96J17", "96J¹⁷"), =HYPERLINK("CSG19.html#group96D19", "96D¹⁹"), =HYPERLINK("CSG19.html#group96F19", "96F¹⁹")</f>
        <v/>
      </c>
      <c r="M1547">
        <f>HYPERLINK("CSG1.html#group12K1", "12K¹"), =HYPERLINK("CSG4.html#group48F4", "48F⁴"), =HYPERLINK("CSG0.html#group6G0", "6G⁰"), =HYPERLINK("CSG0.html#group8C0", "8C⁰"), =HYPERLINK("CSG0.html#group2B0", "2B⁰"), =HYPERLINK("CSG0.html#group4B0", "4B⁰"), =HYPERLINK("CSG0.html#group1A0", "1A⁰"), =HYPERLINK("CSG4.html#group48B4", "48B⁴"), =HYPERLINK("CSG2.html#group24B2", "24B²"), =HYPERLINK("CSG0.html#group16C0", "16C⁰"),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</f>
        <v/>
      </c>
      <c r="N1547">
        <f>HYPERLINK("CSG17.html#group96I17", "96I¹⁷"), =HYPERLINK("CSG15.html#group48Q15", "48Q¹⁵"), =HYPERLINK("CSG17.html#group48K17", "48K¹⁷"), =HYPERLINK("CSG15.html#group96N15", "96N¹⁵"), =HYPERLINK("CSG19.html#group96D19", "96D¹⁹"), =HYPERLINK("CSG19.html#group96F19", "96F¹⁹"), =HYPERLINK("CSG15.html#group48O15", "48O¹⁵"), =HYPERLINK("CSG17.html#group48G17", "48G¹⁷"), =HYPERLINK("CSG17.html#group96J17", "96J¹⁷"), =HYPERLINK("CSG15.html#group96M15", "96M¹⁵"), =HYPERLINK("CSG13.html#group48W13", "48W¹³")</f>
        <v/>
      </c>
    </row>
    <row r="1548">
      <c r="A1548" t="inlineStr">
        <is>
          <t>48S⁷</t>
        </is>
      </c>
      <c r="B1548" t="inlineStr"/>
      <c r="C1548" t="inlineStr">
        <is>
          <t>144</t>
        </is>
      </c>
      <c r="D1548" t="inlineStr">
        <is>
          <t>1</t>
        </is>
      </c>
      <c r="E1548" t="inlineStr">
        <is>
          <t>18</t>
        </is>
      </c>
      <c r="F1548" t="inlineStr">
        <is>
          <t>16</t>
        </is>
      </c>
      <c r="G1548" t="inlineStr">
        <is>
          <t>0</t>
        </is>
      </c>
      <c r="H1548" t="inlineStr">
        <is>
          <t>24², 48²</t>
        </is>
      </c>
      <c r="I1548" t="n">
        <v>4</v>
      </c>
      <c r="J1548" t="inlineStr">
        <is>
          <t>2⁵, 4²</t>
        </is>
      </c>
      <c r="K1548">
        <f>HYPERLINK("CSG1.html#group24H1", "24H¹"), =HYPERLINK("CSG3.html#group48F3", "48F³")</f>
        <v/>
      </c>
      <c r="L1548">
        <f>HYPERLINK("CSG13.html#group48AA13", "48AA¹³"), =HYPERLINK("CSG17.html#group48M17", "48M¹⁷"), =HYPERLINK("CSG17.html#group48BG17", "48BG¹⁷"), =HYPERLINK("CSG17.html#group48BH17", "48BH¹⁷"), =HYPERLINK("CSG17.html#group48BE17", "48BE¹⁷"), =HYPERLINK("CSG17.html#group48BF17", "48BF¹⁷"), =HYPERLINK("CSG17.html#group48BR17", "48BR¹⁷"), =HYPERLINK("CSG21.html#group48K21", "48K²¹"), =HYPERLINK("CSG21.html#group48AA21", "48AA²¹")</f>
        <v/>
      </c>
      <c r="M1548">
        <f>HYPERLINK("CSG0.html#group6B0", "6B⁰"), =HYPERLINK("CSG0.html#group12C0", "12C⁰"), =HYPERLINK("CSG0.html#group24A0", "24A⁰"), =HYPERLINK("CSG0.html#group6H0", "6H⁰"), =HYPERLINK("CSG0.html#group4C0", "4C⁰"), =HYPERLINK("CSG1.html#group24D1", "24D¹"), =HYPERLINK("CSG0.html#group8B0", "8B⁰"), =HYPERLINK("CSG0.html#group2B0", "2B⁰"), =HYPERLINK("CSG0.html#group12D0", "12D⁰"), =HYPERLINK("CSG0.html#group12H0", "12H⁰"), =HYPERLINK("CSG3.html#group48F3", "48F³"), =HYPERLINK("CSG0.html#group3A0", "3A⁰"), =HYPERLINK("CSG1.html#group24H1", "24H¹"), =HYPERLINK("CSG0.html#group1A0", "1A⁰"), =HYPERLINK("CSG0.html#group6D0", "6D⁰")</f>
        <v/>
      </c>
      <c r="N1548">
        <f>HYPERLINK("CSG17.html#group48BF17", "48BF¹⁷"), =HYPERLINK("CSG21.html#group48AA21", "48AA²¹"), =HYPERLINK("CSG13.html#group48AA13", "48AA¹³"), =HYPERLINK("CSG17.html#group48BR17", "48BR¹⁷"), =HYPERLINK("CSG17.html#group48M17", "48M¹⁷"), =HYPERLINK("CSG17.html#group48BE17", "48BE¹⁷"), =HYPERLINK("CSG21.html#group48K21", "48K²¹"), =HYPERLINK("CSG17.html#group48BG17", "48BG¹⁷"), =HYPERLINK("CSG17.html#group48BH17", "48BH¹⁷")</f>
        <v/>
      </c>
    </row>
    <row r="1549">
      <c r="A1549" t="inlineStr">
        <is>
          <t>48T⁷</t>
        </is>
      </c>
      <c r="B1549" t="inlineStr"/>
      <c r="C1549" t="inlineStr">
        <is>
          <t>144</t>
        </is>
      </c>
      <c r="D1549" t="inlineStr">
        <is>
          <t>1</t>
        </is>
      </c>
      <c r="E1549" t="inlineStr">
        <is>
          <t>18</t>
        </is>
      </c>
      <c r="F1549" t="inlineStr">
        <is>
          <t>16</t>
        </is>
      </c>
      <c r="G1549" t="inlineStr">
        <is>
          <t>0</t>
        </is>
      </c>
      <c r="H1549" t="inlineStr">
        <is>
          <t>24², 48²</t>
        </is>
      </c>
      <c r="I1549" t="n">
        <v>4</v>
      </c>
      <c r="J1549" t="inlineStr">
        <is>
          <t>1², 2⁴, 4²</t>
        </is>
      </c>
      <c r="K1549">
        <f>HYPERLINK("CSG1.html#group24H1", "24H¹"), =HYPERLINK("CSG3.html#group48C3", "48C³"), =HYPERLINK("CSG3.html#group48F3", "48F³")</f>
        <v/>
      </c>
      <c r="L1549">
        <f>HYPERLINK("CSG13.html#group48AB13", "48AB¹³"), =HYPERLINK("CSG17.html#group48M17", "48M¹⁷"), =HYPERLINK("CSG17.html#group48BQ17", "48BQ¹⁷"), =HYPERLINK("CSG17.html#group48BY17", "48BY¹⁷"), =HYPERLINK("CSG17.html#group48CA17", "48CA¹⁷"), =HYPERLINK("CSG21.html#group48P21", "48P²¹"), =HYPERLINK("CSG21.html#group48AE21", "48AE²¹")</f>
        <v/>
      </c>
      <c r="M1549">
        <f>HYPERLINK("CSG0.html#group6B0", "6B⁰"), =HYPERLINK("CSG0.html#group12C0", "12C⁰"), =HYPERLINK("CSG0.html#group6H0", "6H⁰"), =HYPERLINK("CSG0.html#group4C0", "4C⁰"), =HYPERLINK("CSG1.html#group24D1", "24D¹"), =HYPERLINK("CSG0.html#group8B0", "8B⁰"), =HYPERLINK("CSG1.html#group16B1", "16B¹"), =HYPERLINK("CSG0.html#group2B0", "2B⁰"), =HYPERLINK("CSG0.html#group12H0", "12H⁰"), =HYPERLINK("CSG0.html#group1A0", "1A⁰"), =HYPERLINK("CSG3.html#group48C3", "48C³"), =HYPERLINK("CSG0.html#group24A0", "24A⁰"), =HYPERLINK("CSG0.html#group12D0", "12D⁰"), =HYPERLINK("CSG3.html#group48F3", "48F³"), =HYPERLINK("CSG0.html#group3A0", "3A⁰"), =HYPERLINK("CSG1.html#group24H1", "24H¹"), =HYPERLINK("CSG0.html#group6D0", "6D⁰")</f>
        <v/>
      </c>
      <c r="N1549">
        <f>HYPERLINK("CSG13.html#group48AB13", "48AB¹³"), =HYPERLINK("CSG17.html#group48BQ17", "48BQ¹⁷"), =HYPERLINK("CSG17.html#group48CA17", "48CA¹⁷"), =HYPERLINK("CSG21.html#group48AE21", "48AE²¹"), =HYPERLINK("CSG21.html#group48P21", "48P²¹"), =HYPERLINK("CSG17.html#group48BY17", "48BY¹⁷"), =HYPERLINK("CSG17.html#group48M17", "48M¹⁷")</f>
        <v/>
      </c>
    </row>
    <row r="1550">
      <c r="A1550" t="inlineStr">
        <is>
          <t>48U⁷</t>
        </is>
      </c>
      <c r="B1550" t="inlineStr"/>
      <c r="C1550" t="inlineStr">
        <is>
          <t>144</t>
        </is>
      </c>
      <c r="D1550" t="inlineStr">
        <is>
          <t>1</t>
        </is>
      </c>
      <c r="E1550" t="inlineStr">
        <is>
          <t>18</t>
        </is>
      </c>
      <c r="F1550" t="inlineStr">
        <is>
          <t>16</t>
        </is>
      </c>
      <c r="G1550" t="inlineStr">
        <is>
          <t>0</t>
        </is>
      </c>
      <c r="H1550" t="inlineStr">
        <is>
          <t>24², 48²</t>
        </is>
      </c>
      <c r="I1550" t="n">
        <v>4</v>
      </c>
      <c r="J1550" t="inlineStr">
        <is>
          <t>1², 2⁴, 4²</t>
        </is>
      </c>
      <c r="K1550">
        <f>HYPERLINK("CSG2.html#group24L2", "24L²"), =HYPERLINK("CSG2.html#group48A2", "48A²"), =HYPERLINK("CSG3.html#group48F3", "48F³")</f>
        <v/>
      </c>
      <c r="L1550">
        <f>HYPERLINK("CSG13.html#group48AB13", "48AB¹³"), =HYPERLINK("CSG17.html#group48P17", "48P¹⁷"), =HYPERLINK("CSG17.html#group48AM17", "48AM¹⁷"), =HYPERLINK("CSG17.html#group48AN17", "48AN¹⁷"), =HYPERLINK("CSG17.html#group48AO17", "48AO¹⁷"), =HYPERLINK("CSG17.html#group48AP17", "48AP¹⁷"), =HYPERLINK("CSG17.html#group48AT17", "48AT¹⁷"), =HYPERLINK("CSG17.html#group48AU17", "48AU¹⁷"), =HYPERLINK("CSG17.html#group48BR17", "48BR¹⁷"), =HYPERLINK("CSG17.html#group48BW17", "48BW¹⁷"), =HYPERLINK("CSG17.html#group48BX17", "48BX¹⁷"), =HYPERLINK("CSG17.html#group48BZ17", "48BZ¹⁷"), =HYPERLINK("CSG21.html#group48Q21", "48Q²¹"), =HYPERLINK("CSG21.html#group48AF21", "48AF²¹")</f>
        <v/>
      </c>
      <c r="M1550">
        <f>HYPERLINK("CSG0.html#group12C0", "12C⁰"), =HYPERLINK("CSG0.html#group8D0", "8D⁰"), =HYPERLINK("CSG0.html#group4C0", "4C⁰"), =HYPERLINK("CSG0.html#group8B0", "8B⁰"), =HYPERLINK("CSG0.html#group2B0", "2B⁰"), =HYPERLINK("CSG2.html#group24L2", "24L²"), =HYPERLINK("CSG0.html#group1A0", "1A⁰"), =HYPERLINK("CSG0.html#group8H0", "8H⁰"), =HYPERLINK("CSG0.html#group12A0", "12A⁰"), =HYPERLINK("CSG0.html#group24A0", "24A⁰"), =HYPERLINK("CSG0.html#group4A0", "4A⁰"), =HYPERLINK("CSG1.html#group24C1", "24C¹"), =HYPERLINK("CSG2.html#group48A2", "48A²"), =HYPERLINK("CSG1.html#group12J1", "12J¹"), =HYPERLINK("CSG0.html#group4F0", "4F⁰"), =HYPERLINK("CSG3.html#group48F3", "48F³"), =HYPERLINK("CSG0.html#group3A0", "3A⁰"), =HYPERLINK("CSG0.html#group6D0", "6D⁰")</f>
        <v/>
      </c>
      <c r="N1550">
        <f>HYPERLINK("CSG17.html#group48AT17", "48AT¹⁷"), =HYPERLINK("CSG21.html#group48AF21", "48AF²¹"), =HYPERLINK("CSG17.html#group48AU17", "48AU¹⁷"), =HYPERLINK("CSG17.html#group48AM17", "48AM¹⁷"), =HYPERLINK("CSG17.html#group48BR17", "48BR¹⁷"), =HYPERLINK("CSG17.html#group48BW17", "48BW¹⁷"), =HYPERLINK("CSG17.html#group48AP17", "48AP¹⁷"), =HYPERLINK("CSG17.html#group48BZ17", "48BZ¹⁷"), =HYPERLINK("CSG13.html#group48AB13", "48AB¹³"), =HYPERLINK("CSG17.html#group48P17", "48P¹⁷"), =HYPERLINK("CSG17.html#group48AO17", "48AO¹⁷"), =HYPERLINK("CSG17.html#group48BX17", "48BX¹⁷"), =HYPERLINK("CSG21.html#group48Q21", "48Q²¹"), =HYPERLINK("CSG17.html#group48AN17", "48AN¹⁷")</f>
        <v/>
      </c>
    </row>
    <row r="1551">
      <c r="A1551" t="inlineStr">
        <is>
          <t>48V⁷</t>
        </is>
      </c>
      <c r="B1551" t="inlineStr"/>
      <c r="C1551" t="inlineStr">
        <is>
          <t>144</t>
        </is>
      </c>
      <c r="D1551" t="inlineStr">
        <is>
          <t>1</t>
        </is>
      </c>
      <c r="E1551" t="inlineStr">
        <is>
          <t>18</t>
        </is>
      </c>
      <c r="F1551" t="inlineStr">
        <is>
          <t>16</t>
        </is>
      </c>
      <c r="G1551" t="inlineStr">
        <is>
          <t>0</t>
        </is>
      </c>
      <c r="H1551" t="inlineStr">
        <is>
          <t>24², 48²</t>
        </is>
      </c>
      <c r="I1551" t="n">
        <v>4</v>
      </c>
      <c r="J1551" t="inlineStr">
        <is>
          <t>1², 2⁴, 4²</t>
        </is>
      </c>
      <c r="K1551">
        <f>HYPERLINK("CSG2.html#group24P2", "24P²"), =HYPERLINK("CSG2.html#group48A2", "48A²"), =HYPERLINK("CSG3.html#group48C3", "48C³")</f>
        <v/>
      </c>
      <c r="L1551">
        <f>HYPERLINK("CSG13.html#group48AB13", "48AB¹³"), =HYPERLINK("CSG17.html#group48O17", "48O¹⁷"), =HYPERLINK("CSG17.html#group48BA17", "48BA¹⁷"), =HYPERLINK("CSG17.html#group48BB17", "48BB¹⁷"), =HYPERLINK("CSG17.html#group48BQ17", "48BQ¹⁷"), =HYPERLINK("CSG17.html#group48CB17", "48CB¹⁷"), =HYPERLINK("CSG21.html#group48R21", "48R²¹"), =HYPERLINK("CSG21.html#group48AF21", "48AF²¹")</f>
        <v/>
      </c>
      <c r="M1551">
        <f>HYPERLINK("CSG3.html#group48C3", "48C³"), =HYPERLINK("CSG1.html#group24E1", "24E¹"), =HYPERLINK("CSG0.html#group12C0", "12C⁰"), =HYPERLINK("CSG0.html#group24A0", "24A⁰"), =HYPERLINK("CSG0.html#group4C0", "4C⁰"), =HYPERLINK("CSG0.html#group8B0", "8B⁰"), =HYPERLINK("CSG2.html#group24P2", "24P²"), =HYPERLINK("CSG2.html#group48A2", "48A²"), =HYPERLINK("CSG1.html#group16B1", "16B¹"), =HYPERLINK("CSG0.html#group2B0", "2B⁰"), =HYPERLINK("CSG1.html#group12M1", "12M¹"), =HYPERLINK("CSG0.html#group3A0", "3A⁰"), =HYPERLINK("CSG0.html#group1A0", "1A⁰"), =HYPERLINK("CSG0.html#group6D0", "6D⁰")</f>
        <v/>
      </c>
      <c r="N1551">
        <f>HYPERLINK("CSG17.html#group48BB17", "48BB¹⁷"), =HYPERLINK("CSG17.html#group48BQ17", "48BQ¹⁷"), =HYPERLINK("CSG17.html#group48BA17", "48BA¹⁷"), =HYPERLINK("CSG21.html#group48AF21", "48AF²¹"), =HYPERLINK("CSG17.html#group48O17", "48O¹⁷"), =HYPERLINK("CSG13.html#group48AB13", "48AB¹³"), =HYPERLINK("CSG21.html#group48R21", "48R²¹"), =HYPERLINK("CSG17.html#group48CB17", "48CB¹⁷")</f>
        <v/>
      </c>
    </row>
    <row r="1552">
      <c r="A1552" t="inlineStr">
        <is>
          <t>48W⁷</t>
        </is>
      </c>
      <c r="B1552" t="inlineStr"/>
      <c r="C1552" t="inlineStr">
        <is>
          <t>144</t>
        </is>
      </c>
      <c r="D1552" t="inlineStr">
        <is>
          <t>1</t>
        </is>
      </c>
      <c r="E1552" t="inlineStr">
        <is>
          <t>36</t>
        </is>
      </c>
      <c r="F1552" t="inlineStr">
        <is>
          <t>0</t>
        </is>
      </c>
      <c r="G1552" t="inlineStr">
        <is>
          <t>0</t>
        </is>
      </c>
      <c r="H1552" t="inlineStr">
        <is>
          <t>3⁸, 12², 48²</t>
        </is>
      </c>
      <c r="I1552" t="n">
        <v>12</v>
      </c>
      <c r="J1552" t="inlineStr">
        <is>
          <t>2⁴, 4⁷</t>
        </is>
      </c>
      <c r="K1552">
        <f>HYPERLINK("CSG3.html#group24K3", "24K³")</f>
        <v/>
      </c>
      <c r="L1552">
        <f>HYPERLINK("CSG13.html#group48V13", "48V¹³"), =HYPERLINK("CSG17.html#group48U17", "48U¹⁷"), =HYPERLINK("CSG17.html#group48V17", "48V¹⁷")</f>
        <v/>
      </c>
      <c r="M1552">
        <f>HYPERLINK("CSG1.html#group12K1", "12K¹"), =HYPERLINK("CSG0.html#group3A0", "3A⁰"), =HYPERLINK("CSG2.html#group24D2", "24D²"), =HYPERLINK("CSG0.html#group6G0", "6G⁰"), =HYPERLINK("CSG0.html#group3C0", "3C⁰"), =HYPERLINK("CSG1.html#group12B1", "12B¹"), =HYPERLINK("CSG3.html#group24K3", "24K³"), =HYPERLINK("CSG0.html#group2B0", "2B⁰"), =HYPERLINK("CSG0.html#group12D0", "12D⁰"), =HYPERLINK("CSG0.html#group4B0", "4B⁰"), =HYPERLINK("CSG0.html#group1A0", "1A⁰"), =HYPERLINK("CSG0.html#group6D0", "6D⁰")</f>
        <v/>
      </c>
      <c r="N1552">
        <f>HYPERLINK("CSG13.html#group48V13", "48V¹³"), =HYPERLINK("CSG17.html#group48V17", "48V¹⁷"), =HYPERLINK("CSG17.html#group48U17", "48U¹⁷")</f>
        <v/>
      </c>
    </row>
    <row r="1553">
      <c r="A1553" t="inlineStr">
        <is>
          <t>48X⁷</t>
        </is>
      </c>
      <c r="B1553" t="inlineStr"/>
      <c r="C1553" t="inlineStr">
        <is>
          <t>144</t>
        </is>
      </c>
      <c r="D1553" t="inlineStr">
        <is>
          <t>1</t>
        </is>
      </c>
      <c r="E1553" t="inlineStr">
        <is>
          <t>36</t>
        </is>
      </c>
      <c r="F1553" t="inlineStr">
        <is>
          <t>0</t>
        </is>
      </c>
      <c r="G1553" t="inlineStr">
        <is>
          <t>0</t>
        </is>
      </c>
      <c r="H1553" t="inlineStr">
        <is>
          <t>3⁴, 6⁶, 48²</t>
        </is>
      </c>
      <c r="I1553" t="n">
        <v>12</v>
      </c>
      <c r="J1553" t="inlineStr">
        <is>
          <t>1⁴, 2⁶, 4³, 8¹</t>
        </is>
      </c>
      <c r="K1553">
        <f>HYPERLINK("CSG3.html#group24L3", "24L³"), =HYPERLINK("CSG4.html#group48G4", "48G⁴")</f>
        <v/>
      </c>
      <c r="L1553">
        <f>HYPERLINK("CSG13.html#group48Z13", "48Z¹³"), =HYPERLINK("CSG15.html#group48E15", "48E¹⁵"), =HYPERLINK("CSG15.html#group48P15", "48P¹⁵"), =HYPERLINK("CSG15.html#group48O15", "48O¹⁵"), =HYPERLINK("CSG15.html#group48R15", "48R¹⁵"), =HYPERLINK("CSG17.html#group48AA17", "48AA¹⁷"), =HYPERLINK("CSG17.html#group48Y17", "48Y¹⁷")</f>
        <v/>
      </c>
      <c r="M1553">
        <f>HYPERLINK("CSG2.html#group24B2", "24B²"), =HYPERLINK("CSG1.html#group12K1", "12K¹"), =HYPERLINK("CSG0.html#group3A0", "3A⁰"), =HYPERLINK("CSG2.html#group24D2", "24D²"), =HYPERLINK("CSG0.html#group6G0", "6G⁰"), =HYPERLINK("CSG0.html#group3C0", "3C⁰"), =HYPERLINK("CSG1.html#group12B1", "12B¹"), =HYPERLINK("CSG0.html#group2B0", "2B⁰"), =HYPERLINK("CSG0.html#group8C0", "8C⁰"), =HYPERLINK("CSG0.html#group12D0", "12D⁰"), =HYPERLINK("CSG0.html#group4B0", "4B⁰"), =HYPERLINK("CSG3.html#group24L3", "24L³"), =HYPERLINK("CSG0.html#group1A0", "1A⁰"), =HYPERLINK("CSG4.html#group48G4", "48G⁴"), =HYPERLINK("CSG0.html#group6D0", "6D⁰")</f>
        <v/>
      </c>
      <c r="N1553">
        <f>HYPERLINK("CSG13.html#group48Z13", "48Z¹³"), =HYPERLINK("CSG15.html#group48O15", "48O¹⁵"), =HYPERLINK("CSG17.html#group48Y17", "48Y¹⁷"), =HYPERLINK("CSG15.html#group48P15", "48P¹⁵"), =HYPERLINK("CSG17.html#group48AA17", "48AA¹⁷"), =HYPERLINK("CSG15.html#group48E15", "48E¹⁵"), =HYPERLINK("CSG15.html#group48R15", "48R¹⁵")</f>
        <v/>
      </c>
    </row>
    <row r="1554">
      <c r="A1554" t="inlineStr">
        <is>
          <t>48Y⁷</t>
        </is>
      </c>
      <c r="B1554" t="inlineStr"/>
      <c r="C1554" t="inlineStr">
        <is>
          <t>144</t>
        </is>
      </c>
      <c r="D1554" t="inlineStr">
        <is>
          <t>1</t>
        </is>
      </c>
      <c r="E1554" t="inlineStr">
        <is>
          <t>36</t>
        </is>
      </c>
      <c r="F1554" t="inlineStr">
        <is>
          <t>0</t>
        </is>
      </c>
      <c r="G1554" t="inlineStr">
        <is>
          <t>0</t>
        </is>
      </c>
      <c r="H1554" t="inlineStr">
        <is>
          <t>3⁴, 6⁶, 48²</t>
        </is>
      </c>
      <c r="I1554" t="n">
        <v>12</v>
      </c>
      <c r="J1554" t="inlineStr">
        <is>
          <t>1⁴, 2⁶, 4³, 8¹</t>
        </is>
      </c>
      <c r="K1554">
        <f>HYPERLINK("CSG3.html#group24L3", "24L³"), =HYPERLINK("CSG4.html#group48D4", "48D⁴"), =HYPERLINK("CSG4.html#group48G4", "48G⁴")</f>
        <v/>
      </c>
      <c r="L1554">
        <f>HYPERLINK("CSG13.html#group48Z13", "48Z¹³"), =HYPERLINK("CSG15.html#group48F15", "48F¹⁵"), =HYPERLINK("CSG15.html#group48N15", "48N¹⁵"), =HYPERLINK("CSG15.html#group48Q15", "48Q¹⁵"), =HYPERLINK("CSG15.html#group48R15", "48R¹⁵"), =HYPERLINK("CSG17.html#group48Z17", "48Z¹⁷"), =HYPERLINK("CSG17.html#group48AB17", "48AB¹⁷")</f>
        <v/>
      </c>
      <c r="M1554">
        <f>HYPERLINK("CSG1.html#group12K1", "12K¹"), =HYPERLINK("CSG0.html#group6G0", "6G⁰"), =HYPERLINK("CSG0.html#group2B0", "2B⁰"), =HYPERLINK("CSG0.html#group8C0", "8C⁰"), =HYPERLINK("CSG0.html#group4B0", "4B⁰"), =HYPERLINK("CSG0.html#group1A0", "1A⁰"), =HYPERLINK("CSG4.html#group48G4", "48G⁴"), =HYPERLINK("CSG2.html#group24B2", "24B²"), =HYPERLINK("CSG0.html#group16D0", "16D⁰"),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"6D⁰"), =HYPERLINK("CSG4.html#group48D4", "48D⁴")</f>
        <v/>
      </c>
      <c r="N1554">
        <f>HYPERLINK("CSG13.html#group48Z13", "48Z¹³"), =HYPERLINK("CSG15.html#group48R15", "48R¹⁵"), =HYPERLINK("CSG17.html#group48AB17", "48AB¹⁷"), =HYPERLINK("CSG15.html#group48F15", "48F¹⁵"), =HYPERLINK("CSG15.html#group48Q15", "48Q¹⁵"), =HYPERLINK("CSG15.html#group48N15", "48N¹⁵"), =HYPERLINK("CSG17.html#group48Z17", "48Z¹⁷")</f>
        <v/>
      </c>
    </row>
    <row r="1555">
      <c r="A1555" t="inlineStr">
        <is>
          <t>48Z⁷</t>
        </is>
      </c>
      <c r="B1555" t="inlineStr"/>
      <c r="C1555" t="inlineStr">
        <is>
          <t>144</t>
        </is>
      </c>
      <c r="D1555" t="inlineStr">
        <is>
          <t>1</t>
        </is>
      </c>
      <c r="E1555" t="inlineStr">
        <is>
          <t>36</t>
        </is>
      </c>
      <c r="F1555" t="inlineStr">
        <is>
          <t>4</t>
        </is>
      </c>
      <c r="G1555" t="inlineStr">
        <is>
          <t>0</t>
        </is>
      </c>
      <c r="H1555" t="inlineStr">
        <is>
          <t>6⁸, 48²</t>
        </is>
      </c>
      <c r="I1555" t="n">
        <v>10</v>
      </c>
      <c r="J1555" t="inlineStr">
        <is>
          <t>1², 2³, 4³, 8²</t>
        </is>
      </c>
      <c r="K1555">
        <f>HYPERLINK("CSG3.html#group24O3", "24O³"), =HYPERLINK("CSG3.html#group48G3", "48G³")</f>
        <v/>
      </c>
      <c r="L1555">
        <f>HYPERLINK("CSG13.html#group48AD13", "48AD¹³"), =HYPERLINK("CSG15.html#group48E15", "48E¹⁵"), =HYPERLINK("CSG15.html#group48G15", "48G¹⁵"), =HYPERLINK("CSG17.html#group48AI17", "48AI¹⁷"), =HYPERLINK("CSG17.html#group48AK17", "48AK¹⁷"), =HYPERLINK("CSG19.html#group48V19", "48V¹⁹"), =HYPERLINK("CSG19.html#group48W19", "48W¹⁹")</f>
        <v/>
      </c>
      <c r="M1555">
        <f>HYPERLINK("CSG1.html#group24E1", "24E¹"), =HYPERLINK("CSG0.html#group12C0", "12C⁰"), =HYPERLINK("CSG3.html#group48G3", "48G³"), =HYPERLINK("CSG1.html#group12C1", "12C¹"), =HYPERLINK("CSG0.html#group8D0", "8D⁰"), =HYPERLINK("CSG1.html#group12L1", "12L¹"), =HYPERLINK("CSG0.html#group4C0", "4C⁰"), =HYPERLINK("CSG1.html#group24C1", "24C¹"), =HYPERLINK("CSG0.html#group6G0", "6G⁰"), =HYPERLINK("CSG0.html#group3C0", "3C⁰"), =HYPERLINK("CSG0.html#group2B0", "2B⁰"), =HYPERLINK("CSG0.html#group3A0", "3A⁰"), =HYPERLINK("CSG0.html#group1A0", "1A⁰"), =HYPERLINK("CSG3.html#group24O3", "24O³"), =HYPERLINK("CSG0.html#group6D0", "6D⁰")</f>
        <v/>
      </c>
      <c r="N1555">
        <f>HYPERLINK("CSG17.html#group48AI17", "48AI¹⁷"), =HYPERLINK("CSG15.html#group48G15", "48G¹⁵"), =HYPERLINK("CSG17.html#group48AK17", "48AK¹⁷"), =HYPERLINK("CSG13.html#group48AD13", "48AD¹³"), =HYPERLINK("CSG19.html#group48V19", "48V¹⁹"), =HYPERLINK("CSG15.html#group48E15", "48E¹⁵"), =HYPERLINK("CSG19.html#group48W19", "48W¹⁹")</f>
        <v/>
      </c>
    </row>
    <row r="1556">
      <c r="A1556" t="inlineStr">
        <is>
          <t>48AA⁷</t>
        </is>
      </c>
      <c r="B1556" t="inlineStr"/>
      <c r="C1556" t="inlineStr">
        <is>
          <t>144</t>
        </is>
      </c>
      <c r="D1556" t="inlineStr">
        <is>
          <t>1</t>
        </is>
      </c>
      <c r="E1556" t="inlineStr">
        <is>
          <t>36</t>
        </is>
      </c>
      <c r="F1556" t="inlineStr">
        <is>
          <t>4</t>
        </is>
      </c>
      <c r="G1556" t="inlineStr">
        <is>
          <t>0</t>
        </is>
      </c>
      <c r="H1556" t="inlineStr">
        <is>
          <t>6⁸, 48²</t>
        </is>
      </c>
      <c r="I1556" t="n">
        <v>10</v>
      </c>
      <c r="J1556" t="inlineStr">
        <is>
          <t>1², 2³, 4³, 8²</t>
        </is>
      </c>
      <c r="K1556">
        <f>HYPERLINK("CSG3.html#group24O3", "24O³"), =HYPERLINK("CSG3.html#group48D3", "48D³"), =HYPERLINK("CSG3.html#group48G3", "48G³")</f>
        <v/>
      </c>
      <c r="L1556">
        <f>HYPERLINK("CSG13.html#group48AD13", "48AD¹³"), =HYPERLINK("CSG15.html#group48F15", "48F¹⁵"), =HYPERLINK("CSG15.html#group48G15", "48G¹⁵"), =HYPERLINK("CSG17.html#group48AJ17", "48AJ¹⁷"), =HYPERLINK("CSG17.html#group48AL17", "48AL¹⁷"), =HYPERLINK("CSG17.html#group96T17", "96T¹⁷"), =HYPERLINK("CSG17.html#group96U17", "96U¹⁷"), =HYPERLINK("CSG17.html#group96V17", "96V¹⁷"), =HYPERLINK("CSG17.html#group96W17", "96W¹⁷"), =HYPERLINK("CSG19.html#group48X19", "48X¹⁹"), =HYPERLINK("CSG19.html#group48Z19", "48Z¹⁹")</f>
        <v/>
      </c>
      <c r="M1556">
        <f>HYPERLINK("CSG1.html#group24E1", "24E¹"), =HYPERLINK("CSG0.html#group12C0", "12C⁰"), =HYPERLINK("CSG3.html#group48G3", "48G³"), =HYPERLINK("CSG0.html#group8D0", "8D⁰"), =HYPERLINK("CSG0.html#group4C0", "4C⁰"), =HYPERLINK("CSG0.html#group6G0", "6G⁰"), =HYPERLINK("CSG0.html#group2B0", "2B⁰"), =HYPERLINK("CSG0.html#group1A0", "1A⁰"), =HYPERLINK("CSG3.html#group24O3", "24O³"), =HYPERLINK("CSG1.html#group12L1", "12L¹"), =HYPERLINK("CSG0.html#group16E0", "16E⁰"), =HYPERLINK("CSG1.html#group12C1", "12C¹"), =HYPERLINK("CSG1.html#group24C1", "24C¹"), =HYPERLINK("CSG0.html#group3C0", "3C⁰"), =HYPERLINK("CSG3.html#group48D3", "48D³"), =HYPERLINK("CSG0.html#group3A0", "3A⁰"), =HYPERLINK("CSG0.html#group6D0", "6D⁰")</f>
        <v/>
      </c>
      <c r="N1556">
        <f>HYPERLINK("CSG17.html#group96U17", "96U¹⁷"), =HYPERLINK("CSG15.html#group48G15", "48G¹⁵"), =HYPERLINK("CSG15.html#group48F15", "48F¹⁵"), =HYPERLINK("CSG19.html#group48Z19", "48Z¹⁹"), =HYPERLINK("CSG19.html#group48X19", "48X¹⁹"), =HYPERLINK("CSG17.html#group96V17", "96V¹⁷"), =HYPERLINK("CSG17.html#group96W17", "96W¹⁷"), =HYPERLINK("CSG17.html#group48AL17", "48AL¹⁷"), =HYPERLINK("CSG13.html#group48AD13", "48AD¹³"), =HYPERLINK("CSG17.html#group48AJ17", "48AJ¹⁷"), =HYPERLINK("CSG17.html#group96T17", "96T¹⁷")</f>
        <v/>
      </c>
    </row>
    <row r="1557">
      <c r="A1557" t="inlineStr">
        <is>
          <t>48AB⁷</t>
        </is>
      </c>
      <c r="B1557" t="inlineStr"/>
      <c r="C1557" t="inlineStr">
        <is>
          <t>144</t>
        </is>
      </c>
      <c r="D1557" t="inlineStr">
        <is>
          <t>1</t>
        </is>
      </c>
      <c r="E1557" t="inlineStr">
        <is>
          <t>36</t>
        </is>
      </c>
      <c r="F1557" t="inlineStr">
        <is>
          <t>12</t>
        </is>
      </c>
      <c r="G1557" t="inlineStr">
        <is>
          <t>0</t>
        </is>
      </c>
      <c r="H1557" t="inlineStr">
        <is>
          <t>12⁴, 48²</t>
        </is>
      </c>
      <c r="I1557" t="n">
        <v>6</v>
      </c>
      <c r="J1557" t="inlineStr">
        <is>
          <t>2², 4⁴, 8²</t>
        </is>
      </c>
      <c r="K1557">
        <f>HYPERLINK("CSG2.html#group24L2", "24L²")</f>
        <v/>
      </c>
      <c r="L1557">
        <f>HYPERLINK("CSG15.html#group48S15", "48S¹⁵"), =HYPERLINK("CSG15.html#group48T15", "48T¹⁵"), =HYPERLINK("CSG15.html#group48W15", "48W¹⁵"), =HYPERLINK("CSG16.html#group48F16", "48F¹⁶"), =HYPERLINK("CSG16.html#group48H16", "48H¹⁶"), =HYPERLINK("CSG16.html#group48I16", "48I¹⁶"), =HYPERLINK("CSG17.html#group48AE17", "48AE¹⁷"), =HYPERLINK("CSG17.html#group48AF17", "48AF¹⁷"), =HYPERLINK("CSG17.html#group48AM17", "48AM¹⁷"), =HYPERLINK("CSG17.html#group48BW17", "48BW¹⁷"), =HYPERLINK("CSG18.html#group48M18", "48M¹⁸"), =HYPERLINK("CSG18.html#group48Q18", "48Q¹⁸"), =HYPERLINK("CSG18.html#group48T18", "48T¹⁸"), =HYPERLINK("CSG19.html#group48D19", "48D¹⁹"), =HYPERLINK("CSG19.html#group48AB19", "48AB¹⁹"), =HYPERLINK("CSG19.html#group48AY19", "48AY¹⁹"), =HYPERLINK("CSG21.html#group48AR21", "48AR²¹")</f>
        <v/>
      </c>
      <c r="M1557">
        <f>HYPERLINK("CSG0.html#group12C0", "12C⁰"), =HYPERLINK("CSG0.html#group8D0", "8D⁰"), =HYPERLINK("CSG0.html#group4C0", "4C⁰"), =HYPERLINK("CSG0.html#group8B0", "8B⁰"), =HYPERLINK("CSG0.html#group2B0", "2B⁰"), =HYPERLINK("CSG2.html#group24L2", "24L²"), =HYPERLINK("CSG0.html#group1A0", "1A⁰"), =HYPERLINK("CSG0.html#group8H0", "8H⁰"),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1557">
        <f>HYPERLINK("CSG17.html#group48BW17", "48BW¹⁷"), =HYPERLINK("CSG17.html#group48AM17", "48AM¹⁷"), =HYPERLINK("CSG15.html#group48S15", "48S¹⁵"), =HYPERLINK("CSG18.html#group48M18", "48M¹⁸"), =HYPERLINK("CSG18.html#group48T18", "48T¹⁸"), =HYPERLINK("CSG16.html#group48F16", "48F¹⁶"), =HYPERLINK("CSG15.html#group48T15", "48T¹⁵"), =HYPERLINK("CSG16.html#group48I16", "48I¹⁶"), =HYPERLINK("CSG17.html#group48AF17", "48AF¹⁷"), =HYPERLINK("CSG17.html#group48AE17", "48AE¹⁷"), =HYPERLINK("CSG19.html#group48AY19", "48AY¹⁹"), =HYPERLINK("CSG16.html#group48H16", "48H¹⁶"), =HYPERLINK("CSG19.html#group48D19", "48D¹⁹"), =HYPERLINK("CSG18.html#group48Q18", "48Q¹⁸"), =HYPERLINK("CSG19.html#group48AB19", "48AB¹⁹"), =HYPERLINK("CSG21.html#group48AR21", "48AR²¹"), =HYPERLINK("CSG15.html#group48W15", "48W¹⁵")</f>
        <v/>
      </c>
    </row>
    <row r="1558">
      <c r="A1558" t="inlineStr">
        <is>
          <t>48AC⁷</t>
        </is>
      </c>
      <c r="B1558" t="inlineStr"/>
      <c r="C1558" t="inlineStr">
        <is>
          <t>144</t>
        </is>
      </c>
      <c r="D1558" t="inlineStr">
        <is>
          <t>1</t>
        </is>
      </c>
      <c r="E1558" t="inlineStr">
        <is>
          <t>36</t>
        </is>
      </c>
      <c r="F1558" t="inlineStr">
        <is>
          <t>12</t>
        </is>
      </c>
      <c r="G1558" t="inlineStr">
        <is>
          <t>0</t>
        </is>
      </c>
      <c r="H1558" t="inlineStr">
        <is>
          <t>12⁴, 48²</t>
        </is>
      </c>
      <c r="I1558" t="n">
        <v>6</v>
      </c>
      <c r="J1558" t="inlineStr">
        <is>
          <t>1², 2³, 4³, 8²</t>
        </is>
      </c>
      <c r="K1558">
        <f>HYPERLINK("CSG2.html#group24L2", "24L²"), =HYPERLINK("CSG3.html#group48G3", "48G³"), =HYPERLINK("CSG4.html#group48H4", "48H⁴")</f>
        <v/>
      </c>
      <c r="L1558">
        <f>HYPERLINK("CSG15.html#group48U15", "48U¹⁵"), =HYPERLINK("CSG15.html#group48V15", "48V¹⁵"), =HYPERLINK("CSG15.html#group48X15", "48X¹⁵"), =HYPERLINK("CSG16.html#group48F16", "48F¹⁶"), =HYPERLINK("CSG16.html#group48G16", "48G¹⁶"), =HYPERLINK("CSG16.html#group48I16", "48I¹⁶"), =HYPERLINK("CSG17.html#group48AK17", "48AK¹⁷"), =HYPERLINK("CSG17.html#group48AL17", "48AL¹⁷"), =HYPERLINK("CSG17.html#group48AO17", "48AO¹⁷"), =HYPERLINK("CSG17.html#group48BX17", "48BX¹⁷"), =HYPERLINK("CSG18.html#group48L18", "48L¹⁸"), =HYPERLINK("CSG18.html#group48O18", "48O¹⁸"), =HYPERLINK("CSG18.html#group48S18", "48S¹⁸"), =HYPERLINK("CSG19.html#group48G19", "48G¹⁹"), =HYPERLINK("CSG19.html#group48AD19", "48AD¹⁹"), =HYPERLINK("CSG19.html#group48AZ19", "48AZ¹⁹"), =HYPERLINK("CSG21.html#group48AS21", "48AS²¹")</f>
        <v/>
      </c>
      <c r="M1558">
        <f>HYPERLINK("CSG0.html#group12C0", "12C⁰"), =HYPERLINK("CSG3.html#group48G3", "48G³"), =HYPERLINK("CSG4.html#group48H4", "48H⁴"), =HYPERLINK("CSG0.html#group8D0", "8D⁰"), =HYPERLINK("CSG0.html#group4C0", "4C⁰"), =HYPERLINK("CSG0.html#group8B0", "8B⁰"), =HYPERLINK("CSG0.html#group2B0", "2B⁰"), =HYPERLINK("CSG2.html#group24L2", "24L²"), =HYPERLINK("CSG0.html#group1A0", "1A⁰"), =HYPERLINK("CSG0.html#group8H0", "8H⁰"),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1558">
        <f>HYPERLINK("CSG18.html#group48O18", "48O¹⁸"), =HYPERLINK("CSG19.html#group48AD19", "48AD¹⁹"), =HYPERLINK("CSG19.html#group48G19", "48G¹⁹"), =HYPERLINK("CSG15.html#group48U15", "48U¹⁵"), =HYPERLINK("CSG21.html#group48AS21", "48AS²¹"), =HYPERLINK("CSG17.html#group48AL17", "48AL¹⁷"), =HYPERLINK("CSG17.html#group48AO17", "48AO¹⁷"), =HYPERLINK("CSG17.html#group48AK17", "48AK¹⁷"), =HYPERLINK("CSG19.html#group48AZ19", "48AZ¹⁹"), =HYPERLINK("CSG18.html#group48L18", "48L¹⁸"), =HYPERLINK("CSG18.html#group48S18", "48S¹⁸"), =HYPERLINK("CSG15.html#group48V15", "48V¹⁵"), =HYPERLINK("CSG16.html#group48F16", "48F¹⁶"), =HYPERLINK("CSG16.html#group48I16", "48I¹⁶"), =HYPERLINK("CSG17.html#group48BX17", "48BX¹⁷"), =HYPERLINK("CSG15.html#group48X15", "48X¹⁵"), =HYPERLINK("CSG16.html#group48G16", "48G¹⁶")</f>
        <v/>
      </c>
    </row>
    <row r="1559">
      <c r="A1559" t="inlineStr">
        <is>
          <t>48AD⁷</t>
        </is>
      </c>
      <c r="B1559" t="inlineStr"/>
      <c r="C1559" t="inlineStr">
        <is>
          <t>144</t>
        </is>
      </c>
      <c r="D1559" t="inlineStr">
        <is>
          <t>1</t>
        </is>
      </c>
      <c r="E1559" t="inlineStr">
        <is>
          <t>36</t>
        </is>
      </c>
      <c r="F1559" t="inlineStr">
        <is>
          <t>16</t>
        </is>
      </c>
      <c r="G1559" t="inlineStr">
        <is>
          <t>0</t>
        </is>
      </c>
      <c r="H1559" t="inlineStr">
        <is>
          <t>24², 48²</t>
        </is>
      </c>
      <c r="I1559" t="n">
        <v>4</v>
      </c>
      <c r="J1559" t="inlineStr">
        <is>
          <t>2⁸, 4³, 8¹</t>
        </is>
      </c>
      <c r="K1559">
        <f>HYPERLINK("CSG1.html#group24H1", "24H¹"), =HYPERLINK("CSG3.html#group48H3", "48H³")</f>
        <v/>
      </c>
      <c r="L1559">
        <f>HYPERLINK("CSG13.html#group48AE13", "48AE¹³"), =HYPERLINK("CSG17.html#group48AQ17", "48AQ¹⁷"), =HYPERLINK("CSG17.html#group48AV17", "48AV¹⁷"), =HYPERLINK("CSG17.html#group48BC17", "48BC¹⁷"), =HYPERLINK("CSG17.html#group48BD17", "48BD¹⁷"), =HYPERLINK("CSG17.html#group48BG17", "48BG¹⁷"), =HYPERLINK("CSG17.html#group48BH17", "48BH¹⁷"), =HYPERLINK("CSG17.html#group48BY17", "48BY¹⁷"), =HYPERLINK("CSG17.html#group48CD17", "48CD¹⁷"), =HYPERLINK("CSG19.html#group96AS19", "96AS¹⁹"), =HYPERLINK("CSG19.html#group96AT19", "96AT¹⁹"), =HYPERLINK("CSG19.html#group96AU19", "96AU¹⁹"), =HYPERLINK("CSG19.html#group96AV19", "96AV¹⁹"), =HYPERLINK("CSG21.html#group48AO21", "48AO²¹"), =HYPERLINK("CSG21.html#group48AW21", "48AW²¹")</f>
        <v/>
      </c>
      <c r="M1559">
        <f>HYPERLINK("CSG0.html#group6B0", "6B⁰"), =HYPERLINK("CSG0.html#group12C0", "12C⁰"), =HYPERLINK("CSG0.html#group24A0", "24A⁰"), =HYPERLINK("CSG0.html#group4C0", "4C⁰"), =HYPERLINK("CSG1.html#group24D1", "24D¹"), =HYPERLINK("CSG0.html#group8B0", "8B⁰"), =HYPERLINK("CSG0.html#group2B0", "2B⁰"), =HYPERLINK("CSG0.html#group12D0", "12D⁰"), =HYPERLINK("CSG0.html#group12H0", "12H⁰"), =HYPERLINK("CSG0.html#group6H0", "6H⁰"), =HYPERLINK("CSG0.html#group3A0", "3A⁰"), =HYPERLINK("CSG1.html#group24H1", "24H¹"), =HYPERLINK("CSG0.html#group1A0", "1A⁰"), =HYPERLINK("CSG3.html#group48H3", "48H³"), =HYPERLINK("CSG0.html#group6D0", "6D⁰")</f>
        <v/>
      </c>
      <c r="N1559">
        <f>HYPERLINK("CSG21.html#group48AO21", "48AO²¹"), =HYPERLINK("CSG13.html#group48AE13", "48AE¹³"), =HYPERLINK("CSG21.html#group48AW21", "48AW²¹"), =HYPERLINK("CSG19.html#group96AU19", "96AU¹⁹"), =HYPERLINK("CSG17.html#group48BD17", "48BD¹⁷"), =HYPERLINK("CSG19.html#group96AS19", "96AS¹⁹"), =HYPERLINK("CSG17.html#group48BC17", "48BC¹⁷"), =HYPERLINK("CSG17.html#group48BY17", "48BY¹⁷"), =HYPERLINK("CSG17.html#group48CD17", "48CD¹⁷"), =HYPERLINK("CSG17.html#group48AQ17", "48AQ¹⁷"), =HYPERLINK("CSG19.html#group96AT19", "96AT¹⁹"), =HYPERLINK("CSG17.html#group48BG17", "48BG¹⁷"), =HYPERLINK("CSG17.html#group48AV17", "48AV¹⁷"), =HYPERLINK("CSG17.html#group48BH17", "48BH¹⁷"), =HYPERLINK("CSG19.html#group96AV19", "96AV¹⁹")</f>
        <v/>
      </c>
    </row>
    <row r="1560">
      <c r="A1560" t="inlineStr">
        <is>
          <t>48AE⁷</t>
        </is>
      </c>
      <c r="B1560" t="inlineStr"/>
      <c r="C1560" t="inlineStr">
        <is>
          <t>144</t>
        </is>
      </c>
      <c r="D1560" t="inlineStr">
        <is>
          <t>1</t>
        </is>
      </c>
      <c r="E1560" t="inlineStr">
        <is>
          <t>36</t>
        </is>
      </c>
      <c r="F1560" t="inlineStr">
        <is>
          <t>16</t>
        </is>
      </c>
      <c r="G1560" t="inlineStr">
        <is>
          <t>0</t>
        </is>
      </c>
      <c r="H1560" t="inlineStr">
        <is>
          <t>24², 48²</t>
        </is>
      </c>
      <c r="I1560" t="n">
        <v>4</v>
      </c>
      <c r="J1560" t="inlineStr">
        <is>
          <t>1⁴, 2⁶, 4³, 8¹</t>
        </is>
      </c>
      <c r="K1560">
        <f>HYPERLINK("CSG1.html#group24H1", "24H¹"), =HYPERLINK("CSG3.html#group48E3", "48E³"), =HYPERLINK("CSG3.html#group48H3", "48H³")</f>
        <v/>
      </c>
      <c r="L1560">
        <f>HYPERLINK("CSG13.html#group48AF13", "48AF¹³"), =HYPERLINK("CSG17.html#group48AS17", "48AS¹⁷"), =HYPERLINK("CSG17.html#group48AV17", "48AV¹⁷"), =HYPERLINK("CSG17.html#group48BC17", "48BC¹⁷"), =HYPERLINK("CSG17.html#group48BD17", "48BD¹⁷"), =HYPERLINK("CSG17.html#group48BE17", "48BE¹⁷"), =HYPERLINK("CSG17.html#group48BF17", "48BF¹⁷"), =HYPERLINK("CSG17.html#group48CA17", "48CA¹⁷"), =HYPERLINK("CSG17.html#group48CC17", "48CC¹⁷"), =HYPERLINK("CSG19.html#group96AE19", "96AE¹⁹"), =HYPERLINK("CSG19.html#group96AF19", "96AF¹⁹"), =HYPERLINK("CSG19.html#group96AH19", "96AH¹⁹"), =HYPERLINK("CSG19.html#group96AG19", "96AG¹⁹"), =HYPERLINK("CSG19.html#group96AK19", "96AK¹⁹"), =HYPERLINK("CSG19.html#group96AN19", "96AN¹⁹"), =HYPERLINK("CSG19.html#group96AM19", "96AM¹⁹"), =HYPERLINK("CSG19.html#group96AL19", "96AL¹⁹"), =HYPERLINK("CSG21.html#group48AP21", "48AP²¹"), =HYPERLINK("CSG21.html#group48BF21", "48BF²¹")</f>
        <v/>
      </c>
      <c r="M1560">
        <f>HYPERLINK("CSG0.html#group6B0", "6B⁰"), =HYPERLINK("CSG0.html#group12C0", "12C⁰"), =HYPERLINK("CSG0.html#group4C0", "4C⁰"), =HYPERLINK("CSG1.html#group24D1", "24D¹"), =HYPERLINK("CSG0.html#group8B0", "8B⁰"), =HYPERLINK("CSG0.html#group2B0", "2B⁰"), =HYPERLINK("CSG0.html#group12H0", "12H⁰"), =HYPERLINK("CSG0.html#group1A0", "1A⁰"), =HYPERLINK("CSG3.html#group48H3", "48H³"), =HYPERLINK("CSG1.html#group16D1", "16D¹"), =HYPERLINK("CSG3.html#group48E3", "48E³"), =HYPERLINK("CSG0.html#group24A0", "24A⁰"), =HYPERLINK("CSG0.html#group12D0", "12D⁰"), =HYPERLINK("CSG0.html#group6H0", "6H⁰"), =HYPERLINK("CSG0.html#group3A0", "3A⁰"), =HYPERLINK("CSG1.html#group24H1", "24H¹"), =HYPERLINK("CSG0.html#group6D0", "6D⁰")</f>
        <v/>
      </c>
      <c r="N1560">
        <f>HYPERLINK("CSG17.html#group48BF17", "48BF¹⁷"), =HYPERLINK("CSG19.html#group96AH19", "96AH¹⁹"), =HYPERLINK("CSG17.html#group48BD17", "48BD¹⁷"), =HYPERLINK("CSG19.html#group96AE19", "96AE¹⁹"), =HYPERLINK("CSG19.html#group96AM19", "96AM¹⁹"), =HYPERLINK("CSG19.html#group96AN19", "96AN¹⁹"), =HYPERLINK("CSG17.html#group48CA17", "48CA¹⁷"), =HYPERLINK("CSG19.html#group96AG19", "96AG¹⁹"), =HYPERLINK("CSG17.html#group48BC17", "48BC¹⁷"), =HYPERLINK("CSG19.html#group96AL19", "96AL¹⁹"), =HYPERLINK("CSG17.html#group48BE17", "48BE¹⁷"), =HYPERLINK("CSG21.html#group48BF21", "48BF²¹"), =HYPERLINK("CSG13.html#group48AF13", "48AF¹³"), =HYPERLINK("CSG19.html#group96AK19", "96AK¹⁹"), =HYPERLINK("CSG19.html#group96AF19", "96AF¹⁹"), =HYPERLINK("CSG17.html#group48AS17", "48AS¹⁷"), =HYPERLINK("CSG21.html#group48AP21", "48AP²¹"), =HYPERLINK("CSG17.html#group48AV17", "48AV¹⁷"), =HYPERLINK("CSG17.html#group48CC17", "48CC¹⁷")</f>
        <v/>
      </c>
    </row>
    <row r="1561">
      <c r="A1561" t="inlineStr">
        <is>
          <t>48AF⁷</t>
        </is>
      </c>
      <c r="B1561" t="inlineStr"/>
      <c r="C1561" t="inlineStr">
        <is>
          <t>144</t>
        </is>
      </c>
      <c r="D1561" t="inlineStr">
        <is>
          <t>1</t>
        </is>
      </c>
      <c r="E1561" t="inlineStr">
        <is>
          <t>36</t>
        </is>
      </c>
      <c r="F1561" t="inlineStr">
        <is>
          <t>16</t>
        </is>
      </c>
      <c r="G1561" t="inlineStr">
        <is>
          <t>0</t>
        </is>
      </c>
      <c r="H1561" t="inlineStr">
        <is>
          <t>24², 48²</t>
        </is>
      </c>
      <c r="I1561" t="n">
        <v>4</v>
      </c>
      <c r="J1561" t="inlineStr">
        <is>
          <t>1⁴, 2⁶, 4³, 8¹</t>
        </is>
      </c>
      <c r="K1561">
        <f>HYPERLINK("CSG2.html#group24M2", "24M²"), =HYPERLINK("CSG2.html#group48A2", "48A²"), =HYPERLINK("CSG3.html#group48H3", "48H³")</f>
        <v/>
      </c>
      <c r="L1561">
        <f>HYPERLINK("CSG13.html#group48AF13", "48AF¹³"), =HYPERLINK("CSG17.html#group48AT17", "48AT¹⁷"), =HYPERLINK("CSG17.html#group48AY17", "48AY¹⁷"), =HYPERLINK("CSG17.html#group48CB17", "48CB¹⁷"), =HYPERLINK("CSG17.html#group48CD17", "48CD¹⁷"), =HYPERLINK("CSG17.html#group48CG17", "48CG¹⁷"), =HYPERLINK("CSG17.html#group48CH17", "48CH¹⁷"), =HYPERLINK("CSG21.html#group48AL21", "48AL²¹"), =HYPERLINK("CSG21.html#group48BG21", "48BG²¹")</f>
        <v/>
      </c>
      <c r="M1561">
        <f>HYPERLINK("CSG0.html#group12C0", "12C⁰"), =HYPERLINK("CSG0.html#group24A0", "24A⁰"), =HYPERLINK("CSG2.html#group24M2", "24M²"), =HYPERLINK("CSG0.html#group4C0", "4C⁰"), =HYPERLINK("CSG0.html#group8B0", "8B⁰"), =HYPERLINK("CSG2.html#group48A2", "48A²"), =HYPERLINK("CSG0.html#group8L0", "8L⁰"), =HYPERLINK("CSG0.html#group2B0", "2B⁰"), =HYPERLINK("CSG0.html#group3A0", "3A⁰"), =HYPERLINK("CSG0.html#group1A0", "1A⁰"), =HYPERLINK("CSG3.html#group48H3", "48H³"), =HYPERLINK("CSG0.html#group6D0", "6D⁰")</f>
        <v/>
      </c>
      <c r="N1561">
        <f>HYPERLINK("CSG17.html#group48AT17", "48AT¹⁷"), =HYPERLINK("CSG21.html#group48BG21", "48BG²¹"), =HYPERLINK("CSG17.html#group48CG17", "48CG¹⁷"), =HYPERLINK("CSG17.html#group48CD17", "48CD¹⁷"), =HYPERLINK("CSG13.html#group48AF13", "48AF¹³"), =HYPERLINK("CSG17.html#group48AY17", "48AY¹⁷"), =HYPERLINK("CSG17.html#group48CB17", "48CB¹⁷"), =HYPERLINK("CSG17.html#group48CH17", "48CH¹⁷"), =HYPERLINK("CSG21.html#group48AL21", "48AL²¹")</f>
        <v/>
      </c>
    </row>
    <row r="1562">
      <c r="A1562" t="inlineStr">
        <is>
          <t>48AG⁷</t>
        </is>
      </c>
      <c r="B1562" t="inlineStr"/>
      <c r="C1562" t="inlineStr">
        <is>
          <t>144</t>
        </is>
      </c>
      <c r="D1562" t="inlineStr">
        <is>
          <t>1</t>
        </is>
      </c>
      <c r="E1562" t="inlineStr">
        <is>
          <t>36</t>
        </is>
      </c>
      <c r="F1562" t="inlineStr">
        <is>
          <t>16</t>
        </is>
      </c>
      <c r="G1562" t="inlineStr">
        <is>
          <t>0</t>
        </is>
      </c>
      <c r="H1562" t="inlineStr">
        <is>
          <t>24², 48²</t>
        </is>
      </c>
      <c r="I1562" t="n">
        <v>4</v>
      </c>
      <c r="J1562" t="inlineStr">
        <is>
          <t>1⁴, 2⁶, 4³, 8¹</t>
        </is>
      </c>
      <c r="K1562">
        <f>HYPERLINK("CSG2.html#group24Q2", "24Q²"), =HYPERLINK("CSG2.html#group48A2", "48A²"), =HYPERLINK("CSG3.html#group48E3", "48E³")</f>
        <v/>
      </c>
      <c r="L1562">
        <f>HYPERLINK("CSG13.html#group48AF13", "48AF¹³"), =HYPERLINK("CSG17.html#group48AU17", "48AU¹⁷"), =HYPERLINK("CSG17.html#group48AX17", "48AX¹⁷"), =HYPERLINK("CSG17.html#group48CB17", "48CB¹⁷"), =HYPERLINK("CSG17.html#group48CC17", "48CC¹⁷"), =HYPERLINK("CSG17.html#group48CE17", "48CE¹⁷"), =HYPERLINK("CSG17.html#group48CF17", "48CF¹⁷"), =HYPERLINK("CSG19.html#group96AO19", "96AO¹⁹"), =HYPERLINK("CSG19.html#group96AR19", "96AR¹⁹"), =HYPERLINK("CSG19.html#group96AQ19", "96AQ¹⁹"), =HYPERLINK("CSG19.html#group96AP19", "96AP¹⁹"), =HYPERLINK("CSG19.html#group96BA19", "96BA¹⁹"), =HYPERLINK("CSG19.html#group96BB19", "96BB¹⁹"), =HYPERLINK("CSG21.html#group48AM21", "48AM²¹"), =HYPERLINK("CSG21.html#group48BG21", "48BG²¹")</f>
        <v/>
      </c>
      <c r="M1562">
        <f>HYPERLINK("CSG1.html#group16D1", "16D¹"), =HYPERLINK("CSG0.html#group12C0", "12C⁰"), =HYPERLINK("CSG3.html#group48E3", "48E³"), =HYPERLINK("CSG0.html#group24A0", "24A⁰"), =HYPERLINK("CSG0.html#group4C0", "4C⁰"), =HYPERLINK("CSG0.html#group8B0", "8B⁰"), =HYPERLINK("CSG2.html#group24Q2", "24Q²"), =HYPERLINK("CSG2.html#group48A2", "48A²"), =HYPERLINK("CSG0.html#group2B0", "2B⁰"), =HYPERLINK("CSG0.html#group3A0", "3A⁰"), =HYPERLINK("CSG0.html#group1A0", "1A⁰"), =HYPERLINK("CSG0.html#group6D0", "6D⁰")</f>
        <v/>
      </c>
      <c r="N1562">
        <f>HYPERLINK("CSG17.html#group48CE17", "48CE¹⁷"), =HYPERLINK("CSG19.html#group96BB19", "96BB¹⁹"), =HYPERLINK("CSG19.html#group96AQ19", "96AQ¹⁹"), =HYPERLINK("CSG19.html#group96BA19", "96BA¹⁹"), =HYPERLINK("CSG17.html#group48AU17", "48AU¹⁷"), =HYPERLINK("CSG21.html#group48BG21", "48BG²¹"), =HYPERLINK("CSG17.html#group48CF17", "48CF¹⁷"), =HYPERLINK("CSG13.html#group48AF13", "48AF¹³"), =HYPERLINK("CSG21.html#group48AM21", "48AM²¹"), =HYPERLINK("CSG19.html#group96AP19", "96AP¹⁹"), =HYPERLINK("CSG19.html#group96AR19", "96AR¹⁹"), =HYPERLINK("CSG17.html#group48CB17", "48CB¹⁷"), =HYPERLINK("CSG17.html#group48CC17", "48CC¹⁷"), =HYPERLINK("CSG19.html#group96AO19", "96AO¹⁹"), =HYPERLINK("CSG17.html#group48AX17", "48AX¹⁷")</f>
        <v/>
      </c>
    </row>
    <row r="1563">
      <c r="A1563" t="inlineStr">
        <is>
          <t>48AH⁷</t>
        </is>
      </c>
      <c r="B1563" t="inlineStr"/>
      <c r="C1563" t="inlineStr">
        <is>
          <t>144</t>
        </is>
      </c>
      <c r="D1563" t="inlineStr">
        <is>
          <t>2</t>
        </is>
      </c>
      <c r="E1563" t="inlineStr">
        <is>
          <t>9</t>
        </is>
      </c>
      <c r="F1563" t="inlineStr">
        <is>
          <t>16</t>
        </is>
      </c>
      <c r="G1563" t="inlineStr">
        <is>
          <t>0</t>
        </is>
      </c>
      <c r="H1563" t="inlineStr">
        <is>
          <t>24², 48²</t>
        </is>
      </c>
      <c r="I1563" t="n">
        <v>4</v>
      </c>
      <c r="J1563" t="inlineStr">
        <is>
          <t>2⁹</t>
        </is>
      </c>
      <c r="K1563">
        <f>HYPERLINK("CSG1.html#group24H1", "24H¹"), =HYPERLINK("CSG2.html#group48A2", "48A²"), =HYPERLINK("CSG4.html#group48C4", "48C⁴")</f>
        <v/>
      </c>
      <c r="L1563">
        <f>HYPERLINK("CSG13.html#group48X13", "48X¹³"), =HYPERLINK("CSG17.html#group48BR17", "48BR¹⁷"), =HYPERLINK("CSG17.html#group48BQ17", "48BQ¹⁷"), =HYPERLINK("CSG17.html#group48CD17", "48CD¹⁷"), =HYPERLINK("CSG17.html#group48CC17", "48CC¹⁷"), =HYPERLINK("CSG21.html#group48M21", "48M²¹"), =HYPERLINK("CSG21.html#group48O21", "48O²¹"), =HYPERLINK("CSG23.html#group144Y23", "144Y²³")</f>
        <v/>
      </c>
      <c r="M1563">
        <f>HYPERLINK("CSG0.html#group6B0", "6B⁰"), =HYPERLINK("CSG0.html#group12C0", "12C⁰"), =HYPERLINK("CSG0.html#group4C0", "4C⁰"), =HYPERLINK("CSG1.html#group24D1", "24D¹"), =HYPERLINK("CSG0.html#group8B0", "8B⁰"), =HYPERLINK("CSG0.html#group2B0", "2B⁰"), =HYPERLINK("CSG0.html#group12H0", "12H⁰"), =HYPERLINK("CSG0.html#group1A0", "1A⁰"), =HYPERLINK("CSG4.html#group48C4", "48C⁴"), =HYPERLINK("CSG0.html#group24A0", "24A⁰"), =HYPERLINK("CSG2.html#group48A2", "48A²"), =HYPERLINK("CSG0.html#group12D0", "12D⁰"), =HYPERLINK("CSG0.html#group6H0", "6H⁰"), =HYPERLINK("CSG0.html#group3A0", "3A⁰"), =HYPERLINK("CSG1.html#group24H1", "24H¹"), =HYPERLINK("CSG0.html#group6D0", "6D⁰")</f>
        <v/>
      </c>
      <c r="N1563">
        <f>HYPERLINK("CSG21.html#group48M21", "48M²¹"), =HYPERLINK("CSG17.html#group48BQ17", "48BQ¹⁷"), =HYPERLINK("CSG17.html#group48BR17", "48BR¹⁷"), =HYPERLINK("CSG21.html#group48O21", "48O²¹"), =HYPERLINK("CSG17.html#group48CD17", "48CD¹⁷"), =HYPERLINK("CSG13.html#group48X13", "48X¹³"), =HYPERLINK("CSG23.html#group144Y23", "144Y²³"), =HYPERLINK("CSG17.html#group48CC17", "48CC¹⁷")</f>
        <v/>
      </c>
    </row>
    <row r="1564">
      <c r="A1564" t="inlineStr">
        <is>
          <t>48AI⁷</t>
        </is>
      </c>
      <c r="B1564" t="inlineStr"/>
      <c r="C1564" t="inlineStr">
        <is>
          <t>144</t>
        </is>
      </c>
      <c r="D1564" t="inlineStr">
        <is>
          <t>2</t>
        </is>
      </c>
      <c r="E1564" t="inlineStr">
        <is>
          <t>18</t>
        </is>
      </c>
      <c r="F1564" t="inlineStr">
        <is>
          <t>16</t>
        </is>
      </c>
      <c r="G1564" t="inlineStr">
        <is>
          <t>0</t>
        </is>
      </c>
      <c r="H1564" t="inlineStr">
        <is>
          <t>24², 48²</t>
        </is>
      </c>
      <c r="I1564" t="n">
        <v>4</v>
      </c>
      <c r="J1564" t="inlineStr">
        <is>
          <t>2⁶, 4⁶</t>
        </is>
      </c>
      <c r="K1564">
        <f>HYPERLINK("CSG2.html#group24P2", "24P²"), =HYPERLINK("CSG2.html#group48A2", "48A²"), =HYPERLINK("CSG3.html#group48F3", "48F³")</f>
        <v/>
      </c>
      <c r="L1564">
        <f>HYPERLINK("CSG13.html#group48AA13", "48AA¹³"), =HYPERLINK("CSG17.html#group48O17", "48O¹⁷"), =HYPERLINK("CSG17.html#group48P17", "48P¹⁷"), =HYPERLINK("CSG17.html#group48BR17", "48BR¹⁷"), =HYPERLINK("CSG17.html#group48BQ17", "48BQ¹⁷"), =HYPERLINK("CSG17.html#group48CE17", "48CE¹⁷"), =HYPERLINK("CSG17.html#group48CF17", "48CF¹⁷"), =HYPERLINK("CSG17.html#group48CG17", "48CG¹⁷"), =HYPERLINK("CSG17.html#group48CH17", "48CH¹⁷"), =HYPERLINK("CSG21.html#group48AB21", "48AB²¹"), =HYPERLINK("CSG21.html#group48BQ21", "48BQ²¹")</f>
        <v/>
      </c>
      <c r="M1564">
        <f>HYPERLINK("CSG1.html#group24E1", "24E¹"), =HYPERLINK("CSG0.html#group12C0", "12C⁰"), =HYPERLINK("CSG0.html#group24A0", "24A⁰"), =HYPERLINK("CSG0.html#group4C0", "4C⁰"), =HYPERLINK("CSG0.html#group8B0", "8B⁰"), =HYPERLINK("CSG2.html#group24P2", "24P²"), =HYPERLINK("CSG2.html#group48A2", "48A²"), =HYPERLINK("CSG1.html#group12M1", "12M¹"), =HYPERLINK("CSG0.html#group2B0", "2B⁰"), =HYPERLINK("CSG3.html#group48F3", "48F³"), =HYPERLINK("CSG0.html#group3A0", "3A⁰"), =HYPERLINK("CSG0.html#group1A0", "1A⁰"), =HYPERLINK("CSG0.html#group6D0", "6D⁰")</f>
        <v/>
      </c>
      <c r="N1564">
        <f>HYPERLINK("CSG17.html#group48BQ17", "48BQ¹⁷"), =HYPERLINK("CSG13.html#group48AA13", "48AA¹³"), =HYPERLINK("CSG17.html#group48CG17", "48CG¹⁷"), =HYPERLINK("CSG17.html#group48BR17", "48BR¹⁷"), =HYPERLINK("CSG17.html#group48CF17", "48CF¹⁷"), =HYPERLINK("CSG17.html#group48O17", "48O¹⁷"), =HYPERLINK("CSG17.html#group48P17", "48P¹⁷"), =HYPERLINK("CSG21.html#group48BQ21", "48BQ²¹"), =HYPERLINK("CSG21.html#group48AB21", "48AB²¹"), =HYPERLINK("CSG17.html#group48CH17", "48CH¹⁷"), =HYPERLINK("CSG17.html#group48CE17", "48CE¹⁷")</f>
        <v/>
      </c>
    </row>
    <row r="1565">
      <c r="A1565" t="inlineStr">
        <is>
          <t>48AJ⁷</t>
        </is>
      </c>
      <c r="B1565" t="inlineStr"/>
      <c r="C1565" t="inlineStr">
        <is>
          <t>144</t>
        </is>
      </c>
      <c r="D1565" t="inlineStr">
        <is>
          <t>2</t>
        </is>
      </c>
      <c r="E1565" t="inlineStr">
        <is>
          <t>36</t>
        </is>
      </c>
      <c r="F1565" t="inlineStr">
        <is>
          <t>16</t>
        </is>
      </c>
      <c r="G1565" t="inlineStr">
        <is>
          <t>0</t>
        </is>
      </c>
      <c r="H1565" t="inlineStr">
        <is>
          <t>24², 48²</t>
        </is>
      </c>
      <c r="I1565" t="n">
        <v>4</v>
      </c>
      <c r="J1565" t="inlineStr">
        <is>
          <t>2¹², 4⁶, 8³</t>
        </is>
      </c>
      <c r="K1565">
        <f>HYPERLINK("CSG2.html#group24Q2", "24Q²"), =HYPERLINK("CSG2.html#group48A2", "48A²"), =HYPERLINK("CSG3.html#group48H3", "48H³")</f>
        <v/>
      </c>
      <c r="L1565">
        <f>HYPERLINK("CSG13.html#group48AE13", "48AE¹³"), =HYPERLINK("CSG17.html#group48AY17", "48AY¹⁷"), =HYPERLINK("CSG17.html#group48AX17", "48AX¹⁷"), =HYPERLINK("CSG17.html#group48BA17", "48BA¹⁷"), =HYPERLINK("CSG17.html#group48BB17", "48BB¹⁷"), =HYPERLINK("CSG17.html#group48BZ17", "48BZ¹⁷"), =HYPERLINK("CSG17.html#group48CD17", "48CD¹⁷"), =HYPERLINK("CSG17.html#group48CC17", "48CC¹⁷"), =HYPERLINK("CSG17.html#group48CE17", "48CE¹⁷"), =HYPERLINK("CSG17.html#group48CF17", "48CF¹⁷"), =HYPERLINK("CSG17.html#group48CG17", "48CG¹⁷"), =HYPERLINK("CSG17.html#group48CH17", "48CH¹⁷"), =HYPERLINK("CSG21.html#group48BB21", "48BB²¹"), =HYPERLINK("CSG21.html#group48BR21", "48BR²¹")</f>
        <v/>
      </c>
      <c r="M1565">
        <f>HYPERLINK("CSG0.html#group12C0", "12C⁰"), =HYPERLINK("CSG0.html#group24A0", "24A⁰"), =HYPERLINK("CSG0.html#group4C0", "4C⁰"), =HYPERLINK("CSG0.html#group8B0", "8B⁰"), =HYPERLINK("CSG2.html#group24Q2", "24Q²"), =HYPERLINK("CSG2.html#group48A2", "48A²"), =HYPERLINK("CSG0.html#group2B0", "2B⁰"), =HYPERLINK("CSG0.html#group3A0", "3A⁰"), =HYPERLINK("CSG0.html#group1A0", "1A⁰"), =HYPERLINK("CSG3.html#group48H3", "48H³"), =HYPERLINK("CSG0.html#group6D0", "6D⁰")</f>
        <v/>
      </c>
      <c r="N1565">
        <f>HYPERLINK("CSG17.html#group48BB17", "48BB¹⁷"), =HYPERLINK("CSG13.html#group48AE13", "48AE¹³"), =HYPERLINK("CSG17.html#group48BA17", "48BA¹⁷"), =HYPERLINK("CSG17.html#group48BZ17", "48BZ¹⁷"), =HYPERLINK("CSG17.html#group48CG17", "48CG¹⁷"), =HYPERLINK("CSG17.html#group48CD17", "48CD¹⁷"), =HYPERLINK("CSG17.html#group48CF17", "48CF¹⁷"), =HYPERLINK("CSG21.html#group48BB21", "48BB²¹"), =HYPERLINK("CSG21.html#group48BR21", "48BR²¹"), =HYPERLINK("CSG17.html#group48AY17", "48AY¹⁷"), =HYPERLINK("CSG17.html#group48CE17", "48CE¹⁷"), =HYPERLINK("CSG17.html#group48CC17", "48CC¹⁷"), =HYPERLINK("CSG17.html#group48CH17", "48CH¹⁷"), =HYPERLINK("CSG17.html#group48AX17", "48AX¹⁷")</f>
        <v/>
      </c>
    </row>
    <row r="1566">
      <c r="A1566" t="inlineStr">
        <is>
          <t>48AK⁷</t>
        </is>
      </c>
      <c r="B1566" t="inlineStr"/>
      <c r="C1566" t="inlineStr">
        <is>
          <t>192</t>
        </is>
      </c>
      <c r="D1566" t="inlineStr">
        <is>
          <t>1</t>
        </is>
      </c>
      <c r="E1566" t="inlineStr">
        <is>
          <t>12</t>
        </is>
      </c>
      <c r="F1566" t="inlineStr">
        <is>
          <t>0</t>
        </is>
      </c>
      <c r="G1566" t="inlineStr">
        <is>
          <t>0</t>
        </is>
      </c>
      <c r="H1566" t="inlineStr">
        <is>
          <t>2⁸, 6⁸, 16², 48²</t>
        </is>
      </c>
      <c r="I1566" t="n">
        <v>20</v>
      </c>
      <c r="J1566" t="inlineStr">
        <is>
          <t>1⁶, 2³</t>
        </is>
      </c>
      <c r="K1566">
        <f>HYPERLINK("CSG3.html#group24V3", "24V³"), =HYPERLINK("CSG3.html#group48K3", "48K³")</f>
        <v/>
      </c>
      <c r="L1566">
        <f>HYPERLINK("CSG13.html#group48AG13", "48AG¹³"), =HYPERLINK("CSG17.html#group48CL17", "48CL¹⁷"), =HYPERLINK("CSG17.html#group48CJ17", "48CJ¹⁷"), =HYPERLINK("CSG21.html#group48CA21", "48CA²¹"), =HYPERLINK("CSG21.html#group48CB21", "48CB²¹")</f>
        <v/>
      </c>
      <c r="M1566">
        <f>HYPERLINK("CSG0.html#group3B0", "3B⁰"), =HYPERLINK("CSG0.html#group2A0", "2A⁰"), =HYPERLINK("CSG3.html#group24V3", "24V³"), =HYPERLINK("CSG0.html#group8D0", "8D⁰"), =HYPERLINK("CSG1.html#group12F1", "12F¹"), =HYPERLINK("CSG3.html#group48K3", "48K³"), =HYPERLINK("CSG1.html#group24G1", "24G¹"), =HYPERLINK("CSG0.html#group6I0", "6I⁰"), =HYPERLINK("CSG0.html#group4C0", "4C⁰"), =HYPERLINK("CSG0.html#group6C0", "6C⁰"), =HYPERLINK("CSG0.html#group8C0", "8C⁰"), =HYPERLINK("CSG0.html#group2B0", "2B⁰"), =HYPERLINK("CSG0.html#group4E0", "4E⁰"), =HYPERLINK("CSG1.html#group12P1", "12P¹"), =HYPERLINK("CSG0.html#group4B0", "4B⁰"), =HYPERLINK("CSG0.html#group1A0", "1A⁰"), =HYPERLINK("CSG2.html#group24I2", "24I²"), =HYPERLINK("CSG0.html#group8G0", "8G⁰"), =HYPERLINK("CSG0.html#group6F0", "6F⁰"), =HYPERLINK("CSG0.html#group2C0", "2C⁰"), =HYPERLINK("CSG0.html#group12E0", "12E⁰")</f>
        <v/>
      </c>
      <c r="N1566">
        <f>HYPERLINK("CSG17.html#group48CJ17", "48CJ¹⁷"), =HYPERLINK("CSG17.html#group48CL17", "48CL¹⁷"), =HYPERLINK("CSG21.html#group48CB21", "48CB²¹"), =HYPERLINK("CSG13.html#group48AG13", "48AG¹³"), =HYPERLINK("CSG21.html#group48CA21", "48CA²¹")</f>
        <v/>
      </c>
    </row>
    <row r="1567">
      <c r="A1567" t="inlineStr">
        <is>
          <t>48AL⁷</t>
        </is>
      </c>
      <c r="B1567" t="inlineStr"/>
      <c r="C1567" t="inlineStr">
        <is>
          <t>192</t>
        </is>
      </c>
      <c r="D1567" t="inlineStr">
        <is>
          <t>1</t>
        </is>
      </c>
      <c r="E1567" t="inlineStr">
        <is>
          <t>12</t>
        </is>
      </c>
      <c r="F1567" t="inlineStr">
        <is>
          <t>0</t>
        </is>
      </c>
      <c r="G1567" t="inlineStr">
        <is>
          <t>0</t>
        </is>
      </c>
      <c r="H1567" t="inlineStr">
        <is>
          <t>2⁸, 6⁸, 16², 48²</t>
        </is>
      </c>
      <c r="I1567" t="n">
        <v>20</v>
      </c>
      <c r="J1567" t="inlineStr">
        <is>
          <t>1⁶, 2³</t>
        </is>
      </c>
      <c r="K1567">
        <f>HYPERLINK("CSG0.html#group16G0", "16G⁰"), =HYPERLINK("CSG3.html#group24V3", "24V³"), =HYPERLINK("CSG3.html#group48L3", "48L³"), =HYPERLINK("CSG4.html#group48J4", "48J⁴")</f>
        <v/>
      </c>
      <c r="L1567">
        <f>HYPERLINK("CSG13.html#group48AG13", "48AG¹³"), =HYPERLINK("CSG17.html#group48CK17", "48CK¹⁷"), =HYPERLINK("CSG17.html#group48CM17", "48CM¹⁷"), =HYPERLINK("CSG19.html#group96BC19", "96BC¹⁹"), =HYPERLINK("CSG19.html#group96BD19", "96BD¹⁹"), =HYPERLINK("CSG21.html#group48CC21", "48CC²¹"), =HYPERLINK("CSG21.html#group48CF21", "48CF²¹")</f>
        <v/>
      </c>
      <c r="M1567">
        <f>HYPERLINK("CSG0.html#group16G0", "16G⁰"), =HYPERLINK("CSG0.html#group2A0", "2A⁰"), =HYPERLINK("CSG0.html#group3B0", "3B⁰"), =HYPERLINK("CSG3.html#group24V3", "24V³"), =HYPERLINK("CSG0.html#group8D0", "8D⁰"), =HYPERLINK("CSG1.html#group12F1", "12F¹"), =HYPERLINK("CSG0.html#group6I0", "6I⁰"), =HYPERLINK("CSG1.html#group24G1", "24G¹"), =HYPERLINK("CSG0.html#group4C0", "4C⁰"), =HYPERLINK("CSG0.html#group6C0", "6C⁰"), =HYPERLINK("CSG0.html#group8C0", "8C⁰"), =HYPERLINK("CSG0.html#group4E0", "4E⁰"), =HYPERLINK("CSG0.html#group2B0", "2B⁰"), =HYPERLINK("CSG1.html#group12P1", "12P¹"), =HYPERLINK("CSG0.html#group4B0", "4B⁰"), =HYPERLINK("CSG0.html#group1A0", "1A⁰"), =HYPERLINK("CSG0.html#group16E0", "16E⁰"), =HYPERLINK("CSG2.html#group24I2", "24I²"), =HYPERLINK("CSG0.html#group8G0", "8G⁰"), =HYPERLINK("CSG4.html#group48J4", "48J⁴"), =HYPERLINK("CSG0.html#group16D0", "16D⁰"), =HYPERLINK("CSG0.html#group6F0", "6F⁰"), =HYPERLINK("CSG0.html#group2C0", "2C⁰"), =HYPERLINK("CSG0.html#group12E0", "12E⁰"), =HYPERLINK("CSG3.html#group48L3", "48L³")</f>
        <v/>
      </c>
      <c r="N1567">
        <f>HYPERLINK("CSG21.html#group48CF21", "48CF²¹"), =HYPERLINK("CSG19.html#group96BD19", "96BD¹⁹"), =HYPERLINK("CSG17.html#group48CM17", "48CM¹⁷"), =HYPERLINK("CSG19.html#group96BC19", "96BC¹⁹"), =HYPERLINK("CSG13.html#group48AG13", "48AG¹³"), =HYPERLINK("CSG17.html#group48CK17", "48CK¹⁷"), =HYPERLINK("CSG21.html#group48CC21", "48CC²¹")</f>
        <v/>
      </c>
    </row>
    <row r="1568">
      <c r="A1568" t="inlineStr">
        <is>
          <t>48AM⁷</t>
        </is>
      </c>
      <c r="B1568" t="inlineStr"/>
      <c r="C1568" t="inlineStr">
        <is>
          <t>192</t>
        </is>
      </c>
      <c r="D1568" t="inlineStr">
        <is>
          <t>1</t>
        </is>
      </c>
      <c r="E1568" t="inlineStr">
        <is>
          <t>48</t>
        </is>
      </c>
      <c r="F1568" t="inlineStr">
        <is>
          <t>0</t>
        </is>
      </c>
      <c r="G1568" t="inlineStr">
        <is>
          <t>0</t>
        </is>
      </c>
      <c r="H1568" t="inlineStr">
        <is>
          <t>1⁴, 2², 3⁴, 4², 6², 12², 16², 48²</t>
        </is>
      </c>
      <c r="I1568" t="n">
        <v>20</v>
      </c>
      <c r="J1568" t="inlineStr">
        <is>
          <t>1⁸, 2⁸, 4⁴, 8¹</t>
        </is>
      </c>
      <c r="K1568">
        <f>HYPERLINK("CSG3.html#group24X3", "24X³"), =HYPERLINK("CSG3.html#group48I3", "48I³"), =HYPERLINK("CSG3.html#group48L3", "48L³")</f>
        <v/>
      </c>
      <c r="L1568">
        <f>HYPERLINK("CSG13.html#group48AH13", "48AH¹³"), =HYPERLINK("CSG17.html#group48CK17", "48CK¹⁷"), =HYPERLINK("CSG17.html#group48CQ17", "48CQ¹⁷")</f>
        <v/>
      </c>
      <c r="M1568">
        <f>HYPERLINK("CSG0.html#group3B0", "3B⁰"), =HYPERLINK("CSG3.html#group24X3", "24X³"), =HYPERLINK("CSG1.html#group24G1", "24G¹"), =HYPERLINK("CSG0.html#group16D0", "16D⁰"), =HYPERLINK("CSG0.html#group6F0", "6F⁰"), =HYPERLINK("CSG0.html#group8C0", "8C⁰"), =HYPERLINK("CSG3.html#group48I3", "48I³"), =HYPERLINK("CSG0.html#group2B0", "2B⁰"), =HYPERLINK("CSG0.html#group4B0", "4B⁰"), =HYPERLINK("CSG0.html#group1A0", "1A⁰"), =HYPERLINK("CSG0.html#group12E0", "12E⁰"), =HYPERLINK("CSG3.html#group48L3", "48L³")</f>
        <v/>
      </c>
      <c r="N1568">
        <f>HYPERLINK("CSG17.html#group48CK17", "48CK¹⁷"), =HYPERLINK("CSG17.html#group48CQ17", "48CQ¹⁷"), =HYPERLINK("CSG13.html#group48AH13", "48AH¹³")</f>
        <v/>
      </c>
    </row>
    <row r="1569">
      <c r="A1569" t="inlineStr">
        <is>
          <t>48AN⁷</t>
        </is>
      </c>
      <c r="B1569" t="inlineStr"/>
      <c r="C1569" t="inlineStr">
        <is>
          <t>192</t>
        </is>
      </c>
      <c r="D1569" t="inlineStr">
        <is>
          <t>1</t>
        </is>
      </c>
      <c r="E1569" t="inlineStr">
        <is>
          <t>48</t>
        </is>
      </c>
      <c r="F1569" t="inlineStr">
        <is>
          <t>0</t>
        </is>
      </c>
      <c r="G1569" t="inlineStr">
        <is>
          <t>0</t>
        </is>
      </c>
      <c r="H1569" t="inlineStr">
        <is>
          <t>1⁴, 2², 3⁴, 4², 6², 12², 16², 48²</t>
        </is>
      </c>
      <c r="I1569" t="n">
        <v>20</v>
      </c>
      <c r="J1569" t="inlineStr">
        <is>
          <t>1⁸, 2⁸, 4⁴, 8¹</t>
        </is>
      </c>
      <c r="K1569">
        <f>HYPERLINK("CSG3.html#group24X3", "24X³"), =HYPERLINK("CSG3.html#group48J3", "48J³"), =HYPERLINK("CSG3.html#group48K3", "48K³")</f>
        <v/>
      </c>
      <c r="L1569">
        <f>HYPERLINK("CSG13.html#group48AH13", "48AH¹³"), =HYPERLINK("CSG17.html#group48CJ17", "48CJ¹⁷"), =HYPERLINK("CSG17.html#group48CP17", "48CP¹⁷"), =HYPERLINK("CSG17.html#group96AJ17", "96AJ¹⁷"), =HYPERLINK("CSG17.html#group96AI17", "96AI¹⁷"), =HYPERLINK("CSG21.html#group96BH21", "96BH²¹"), =HYPERLINK("CSG21.html#group96BG21", "96BG²¹")</f>
        <v/>
      </c>
      <c r="M1569">
        <f>HYPERLINK("CSG0.html#group3B0", "3B⁰"), =HYPERLINK("CSG3.html#group24X3", "24X³"), =HYPERLINK("CSG3.html#group48J3", "48J³"), =HYPERLINK("CSG3.html#group48K3", "48K³"), =HYPERLINK("CSG0.html#group16C0", "16C⁰"), =HYPERLINK("CSG1.html#group24G1", "24G¹"), =HYPERLINK("CSG0.html#group1A0", "1A⁰"), =HYPERLINK("CSG0.html#group8C0", "8C⁰"), =HYPERLINK("CSG0.html#group2B0", "2B⁰"), =HYPERLINK("CSG0.html#group4B0", "4B⁰"), =HYPERLINK("CSG0.html#group6F0", "6F⁰"), =HYPERLINK("CSG0.html#group12E0", "12E⁰")</f>
        <v/>
      </c>
      <c r="N1569">
        <f>HYPERLINK("CSG17.html#group48CJ17", "48CJ¹⁷"), =HYPERLINK("CSG17.html#group48CP17", "48CP¹⁷"), =HYPERLINK("CSG17.html#group96AJ17", "96AJ¹⁷"), =HYPERLINK("CSG17.html#group96AI17", "96AI¹⁷"), =HYPERLINK("CSG21.html#group96BG21", "96BG²¹"), =HYPERLINK("CSG21.html#group96BH21", "96BH²¹"), =HYPERLINK("CSG13.html#group48AH13", "48AH¹³")</f>
        <v/>
      </c>
    </row>
    <row r="1570">
      <c r="A1570" t="inlineStr">
        <is>
          <t>48AO⁷</t>
        </is>
      </c>
      <c r="B1570" t="inlineStr"/>
      <c r="C1570" t="inlineStr">
        <is>
          <t>192</t>
        </is>
      </c>
      <c r="D1570" t="inlineStr">
        <is>
          <t>1</t>
        </is>
      </c>
      <c r="E1570" t="inlineStr">
        <is>
          <t>48</t>
        </is>
      </c>
      <c r="F1570" t="inlineStr">
        <is>
          <t>0</t>
        </is>
      </c>
      <c r="G1570" t="inlineStr">
        <is>
          <t>0</t>
        </is>
      </c>
      <c r="H1570" t="inlineStr">
        <is>
          <t>1⁴, 2², 3⁴, 4², 6², 12², 16², 48²</t>
        </is>
      </c>
      <c r="I1570" t="n">
        <v>20</v>
      </c>
      <c r="J1570" t="inlineStr">
        <is>
          <t>1⁸, 2⁸, 4⁴, 8¹</t>
        </is>
      </c>
      <c r="K1570">
        <f>HYPERLINK("CSG3.html#group24Y3", "24Y³"), =HYPERLINK("CSG3.html#group48I3", "48I³"), =HYPERLINK("CSG3.html#group48K3", "48K³")</f>
        <v/>
      </c>
      <c r="L1570">
        <f>HYPERLINK("CSG13.html#group48AH13", "48AH¹³"), =HYPERLINK("CSG17.html#group48CL17", "48CL¹⁷"), =HYPERLINK("CSG17.html#group48CQ17", "48CQ¹⁷")</f>
        <v/>
      </c>
      <c r="M1570">
        <f>HYPERLINK("CSG0.html#group3B0", "3B⁰"), =HYPERLINK("CSG3.html#group48K3", "48K³"), =HYPERLINK("CSG1.html#group24G1", "24G¹"), =HYPERLINK("CSG0.html#group6F0", "6F⁰"), =HYPERLINK("CSG0.html#group8C0", "8C⁰"), =HYPERLINK("CSG3.html#group48I3", "48I³"), =HYPERLINK("CSG3.html#group24Y3", "24Y³"), =HYPERLINK("CSG0.html#group2B0", "2B⁰"), =HYPERLINK("CSG0.html#group4B0", "4B⁰"), =HYPERLINK("CSG0.html#group8I0", "8I⁰"), =HYPERLINK("CSG0.html#group1A0", "1A⁰"), =HYPERLINK("CSG0.html#group12E0", "12E⁰")</f>
        <v/>
      </c>
      <c r="N1570">
        <f>HYPERLINK("CSG17.html#group48CL17", "48CL¹⁷"), =HYPERLINK("CSG17.html#group48CQ17", "48CQ¹⁷"), =HYPERLINK("CSG13.html#group48AH13", "48AH¹³")</f>
        <v/>
      </c>
    </row>
    <row r="1571">
      <c r="A1571" t="inlineStr">
        <is>
          <t>48AP⁷</t>
        </is>
      </c>
      <c r="B1571" t="inlineStr"/>
      <c r="C1571" t="inlineStr">
        <is>
          <t>192</t>
        </is>
      </c>
      <c r="D1571" t="inlineStr">
        <is>
          <t>1</t>
        </is>
      </c>
      <c r="E1571" t="inlineStr">
        <is>
          <t>48</t>
        </is>
      </c>
      <c r="F1571" t="inlineStr">
        <is>
          <t>0</t>
        </is>
      </c>
      <c r="G1571" t="inlineStr">
        <is>
          <t>0</t>
        </is>
      </c>
      <c r="H1571" t="inlineStr">
        <is>
          <t>1⁴, 2², 3⁴, 4², 6², 12², 16², 48²</t>
        </is>
      </c>
      <c r="I1571" t="n">
        <v>20</v>
      </c>
      <c r="J1571" t="inlineStr">
        <is>
          <t>1⁸, 2⁸, 4⁴, 8¹</t>
        </is>
      </c>
      <c r="K1571">
        <f>HYPERLINK("CSG0.html#group16H0", "16H⁰"), =HYPERLINK("CSG3.html#group24Y3", "24Y³"), =HYPERLINK("CSG3.html#group48J3", "48J³"), =HYPERLINK("CSG3.html#group48L3", "48L³")</f>
        <v/>
      </c>
      <c r="L1571">
        <f>HYPERLINK("CSG13.html#group48AH13", "48AH¹³"), =HYPERLINK("CSG17.html#group48CM17", "48CM¹⁷"), =HYPERLINK("CSG17.html#group48CP17", "48CP¹⁷"), =HYPERLINK("CSG17.html#group96AK17", "96AK¹⁷"), =HYPERLINK("CSG17.html#group96AL17", "96AL¹⁷"), =HYPERLINK("CSG19.html#group48BQ19", "48BQ¹⁹"), =HYPERLINK("CSG19.html#group48BR19", "48BR¹⁹"), =HYPERLINK("CSG19.html#group96BE19", "96BE¹⁹"), =HYPERLINK("CSG19.html#group96BF19", "96BF¹⁹"), =HYPERLINK("CSG21.html#group96BI21", "96BI²¹"), =HYPERLINK("CSG21.html#group96BK21", "96BK²¹")</f>
        <v/>
      </c>
      <c r="M1571">
        <f>HYPERLINK("CSG0.html#group3B0", "3B⁰"), =HYPERLINK("CSG0.html#group16H0", "16H⁰"), =HYPERLINK("CSG3.html#group48J3", "48J³"), =HYPERLINK("CSG0.html#group16C0", "16C⁰"), =HYPERLINK("CSG1.html#group24G1", "24G¹"), =HYPERLINK("CSG0.html#group16D0", "16D⁰"), =HYPERLINK("CSG0.html#group1A0", "1A⁰"), =HYPERLINK("CSG0.html#group8C0", "8C⁰"), =HYPERLINK("CSG0.html#group2B0", "2B⁰"), =HYPERLINK("CSG3.html#group24Y3", "24Y³"), =HYPERLINK("CSG0.html#group8I0", "8I⁰"), =HYPERLINK("CSG0.html#group4B0", "4B⁰"), =HYPERLINK("CSG0.html#group6F0", "6F⁰"), =HYPERLINK("CSG0.html#group12E0", "12E⁰"), =HYPERLINK("CSG3.html#group48L3", "48L³")</f>
        <v/>
      </c>
      <c r="N1571">
        <f>HYPERLINK("CSG19.html#group48BQ19", "48BQ¹⁹"), =HYPERLINK("CSG17.html#group48CM17", "48CM¹⁷"), =HYPERLINK("CSG19.html#group96BE19", "96BE¹⁹"), =HYPERLINK("CSG21.html#group96BK21", "96BK²¹"), =HYPERLINK("CSG21.html#group96BI21", "96BI²¹"), =HYPERLINK("CSG13.html#group48AH13", "48AH¹³"), =HYPERLINK("CSG19.html#group48BR19", "48BR¹⁹"), =HYPERLINK("CSG17.html#group96AK17", "96AK¹⁷"), =HYPERLINK("CSG17.html#group96AL17", "96AL¹⁷"), =HYPERLINK("CSG19.html#group96BF19", "96BF¹⁹"), =HYPERLINK("CSG17.html#group48CP17", "48CP¹⁷")</f>
        <v/>
      </c>
    </row>
    <row r="1572">
      <c r="A1572" t="inlineStr">
        <is>
          <t>48AQ⁷</t>
        </is>
      </c>
      <c r="B1572" t="inlineStr"/>
      <c r="C1572" t="inlineStr">
        <is>
          <t>192</t>
        </is>
      </c>
      <c r="D1572" t="inlineStr">
        <is>
          <t>1</t>
        </is>
      </c>
      <c r="E1572" t="inlineStr">
        <is>
          <t>48</t>
        </is>
      </c>
      <c r="F1572" t="inlineStr">
        <is>
          <t>0</t>
        </is>
      </c>
      <c r="G1572" t="inlineStr">
        <is>
          <t>0</t>
        </is>
      </c>
      <c r="H1572" t="inlineStr">
        <is>
          <t>2⁸, 6⁸, 16², 48²</t>
        </is>
      </c>
      <c r="I1572" t="n">
        <v>20</v>
      </c>
      <c r="J1572" t="inlineStr">
        <is>
          <t>1⁸, 2⁸, 4⁴, 8¹</t>
        </is>
      </c>
      <c r="K1572">
        <f>HYPERLINK("CSG3.html#group24W3", "24W³"), =HYPERLINK("CSG3.html#group48K3", "48K³"), =HYPERLINK("CSG3.html#group48L3", "48L³")</f>
        <v/>
      </c>
      <c r="L1572">
        <f>HYPERLINK("CSG13.html#group48AG13", "48AG¹³"), =HYPERLINK("CSG17.html#group48CQ17", "48CQ¹⁷"), =HYPERLINK("CSG17.html#group48CP17", "48CP¹⁷")</f>
        <v/>
      </c>
      <c r="M1572">
        <f>HYPERLINK("CSG2.html#group24F2", "24F²"), =HYPERLINK("CSG0.html#group3B0", "3B⁰"), =HYPERLINK("CSG3.html#group48K3", "48K³"), =HYPERLINK("CSG1.html#group24G1", "24G¹"), =HYPERLINK("CSG0.html#group16D0", "16D⁰"), =HYPERLINK("CSG0.html#group6F0", "6F⁰"), =HYPERLINK("CSG0.html#group12J0", "12J⁰"), =HYPERLINK("CSG3.html#group24W3", "24W³"), =HYPERLINK("CSG0.html#group2B0", "2B⁰"), =HYPERLINK("CSG0.html#group8C0", "8C⁰"), =HYPERLINK("CSG0.html#group4B0", "4B⁰"), =HYPERLINK("CSG0.html#group1A0", "1A⁰"), =HYPERLINK("CSG0.html#group12E0", "12E⁰"), =HYPERLINK("CSG3.html#group48L3", "48L³")</f>
        <v/>
      </c>
      <c r="N1572">
        <f>HYPERLINK("CSG13.html#group48AG13", "48AG¹³"), =HYPERLINK("CSG17.html#group48CQ17", "48CQ¹⁷"), =HYPERLINK("CSG17.html#group48CP17", "48CP¹⁷")</f>
        <v/>
      </c>
    </row>
    <row r="1573">
      <c r="A1573" t="inlineStr">
        <is>
          <t>50A⁷</t>
        </is>
      </c>
      <c r="B1573" t="inlineStr"/>
      <c r="C1573" t="inlineStr">
        <is>
          <t>150</t>
        </is>
      </c>
      <c r="D1573" t="inlineStr">
        <is>
          <t>1</t>
        </is>
      </c>
      <c r="E1573" t="inlineStr">
        <is>
          <t>75</t>
        </is>
      </c>
      <c r="F1573" t="inlineStr">
        <is>
          <t>12</t>
        </is>
      </c>
      <c r="G1573" t="inlineStr">
        <is>
          <t>0</t>
        </is>
      </c>
      <c r="H1573" t="inlineStr">
        <is>
          <t>10⁵, 50²</t>
        </is>
      </c>
      <c r="I1573" t="n">
        <v>7</v>
      </c>
      <c r="J1573" t="inlineStr">
        <is>
          <t>2², 4⁴, 10¹, 20⁶</t>
        </is>
      </c>
      <c r="K1573">
        <f>HYPERLINK("CSG1.html#group10E1", "10E¹"), =HYPERLINK("CSG2.html#group25F2", "25F²")</f>
        <v/>
      </c>
      <c r="L1573">
        <f>HYPERLINK("CSG14.html#group50A14", "50A¹⁴"), =HYPERLINK("CSG18.html#group50A18", "50A¹⁸"), =HYPERLINK("CSG19.html#group50D19", "50D¹⁹")</f>
        <v/>
      </c>
      <c r="M1573">
        <f>HYPERLINK("CSG2.html#group25F2", "25F²"), =HYPERLINK("CSG0.html#group5E0", "5E⁰"), =HYPERLINK("CSG0.html#group5A0", "5A⁰"), =HYPERLINK("CSG1.html#group10E1", "10E¹"), =HYPERLINK("CSG0.html#group1A0", "1A⁰")</f>
        <v/>
      </c>
      <c r="N1573">
        <f>HYPERLINK("CSG18.html#group50A18", "50A¹⁸"), =HYPERLINK("CSG14.html#group50A14", "50A¹⁴"), =HYPERLINK("CSG19.html#group50D19", "50D¹⁹")</f>
        <v/>
      </c>
    </row>
    <row r="1574">
      <c r="A1574" t="inlineStr">
        <is>
          <t>50B⁷</t>
        </is>
      </c>
      <c r="B1574" t="inlineStr"/>
      <c r="C1574" t="inlineStr">
        <is>
          <t>150</t>
        </is>
      </c>
      <c r="D1574" t="inlineStr">
        <is>
          <t>1</t>
        </is>
      </c>
      <c r="E1574" t="inlineStr">
        <is>
          <t>75</t>
        </is>
      </c>
      <c r="F1574" t="inlineStr">
        <is>
          <t>12</t>
        </is>
      </c>
      <c r="G1574" t="inlineStr">
        <is>
          <t>0</t>
        </is>
      </c>
      <c r="H1574" t="inlineStr">
        <is>
          <t>10⁵, 50²</t>
        </is>
      </c>
      <c r="I1574" t="n">
        <v>7</v>
      </c>
      <c r="J1574" t="inlineStr">
        <is>
          <t>2², 4⁴, 10¹, 20⁶</t>
        </is>
      </c>
      <c r="K1574">
        <f>HYPERLINK("CSG1.html#group10E1", "10E¹"), =HYPERLINK("CSG2.html#group25F2", "25F²")</f>
        <v/>
      </c>
      <c r="L1574">
        <f>HYPERLINK("CSG14.html#group50A14", "50A¹⁴"), =HYPERLINK("CSG18.html#group50B18", "50B¹⁸"), =HYPERLINK("CSG19.html#group50C19", "50C¹⁹")</f>
        <v/>
      </c>
      <c r="M1574">
        <f>HYPERLINK("CSG2.html#group25F2", "25F²"), =HYPERLINK("CSG0.html#group5E0", "5E⁰"), =HYPERLINK("CSG0.html#group5A0", "5A⁰"), =HYPERLINK("CSG1.html#group10E1", "10E¹"), =HYPERLINK("CSG0.html#group1A0", "1A⁰")</f>
        <v/>
      </c>
      <c r="N1574">
        <f>HYPERLINK("CSG14.html#group50A14", "50A¹⁴"), =HYPERLINK("CSG18.html#group50B18", "50B¹⁸"), =HYPERLINK("CSG19.html#group50C19", "50C¹⁹")</f>
        <v/>
      </c>
    </row>
    <row r="1575">
      <c r="A1575" t="inlineStr">
        <is>
          <t>50C⁷</t>
        </is>
      </c>
      <c r="B1575" t="inlineStr"/>
      <c r="C1575" t="inlineStr">
        <is>
          <t>180</t>
        </is>
      </c>
      <c r="D1575" t="inlineStr">
        <is>
          <t>1</t>
        </is>
      </c>
      <c r="E1575" t="inlineStr">
        <is>
          <t>30</t>
        </is>
      </c>
      <c r="F1575" t="inlineStr">
        <is>
          <t>0</t>
        </is>
      </c>
      <c r="G1575" t="inlineStr">
        <is>
          <t>0</t>
        </is>
      </c>
      <c r="H1575" t="inlineStr">
        <is>
          <t>2¹⁵, 50³</t>
        </is>
      </c>
      <c r="I1575" t="n">
        <v>18</v>
      </c>
      <c r="J1575" t="inlineStr">
        <is>
          <t>1², 4², 20¹</t>
        </is>
      </c>
      <c r="K1575">
        <f>HYPERLINK("CSG1.html#group10G1", "10G¹"), =HYPERLINK("CSG2.html#group50B2", "50B²"), =HYPERLINK("CSG3.html#group50A3", "50A³")</f>
        <v/>
      </c>
      <c r="L1575">
        <f>HYPERLINK("CSG13.html#group50E13", "50E¹³"), =HYPERLINK("CSG19.html#group100P19", "100P¹⁹"), =HYPERLINK("CSG19.html#group100Q19", "100Q¹⁹")</f>
        <v/>
      </c>
      <c r="M1575">
        <f>HYPERLINK("CSG0.html#group2A0", "2A⁰"), =HYPERLINK("CSG3.html#group50A3", "50A³"), =HYPERLINK("CSG0.html#group25A0", "25A⁰"), =HYPERLINK("CSG0.html#group5B0", "5B⁰"), =HYPERLINK("CSG1.html#group10A1", "10A¹"), =HYPERLINK("CSG0.html#group10C0", "10C⁰"), =HYPERLINK("CSG0.html#group2B0", "2B⁰"), =HYPERLINK("CSG2.html#group50B2", "50B²"), =HYPERLINK("CSG0.html#group1A0", "1A⁰"), =HYPERLINK("CSG0.html#group2C0", "2C⁰"), =HYPERLINK("CSG1.html#group10G1", "10G¹")</f>
        <v/>
      </c>
      <c r="N1575">
        <f>HYPERLINK("CSG19.html#group100P19", "100P¹⁹"), =HYPERLINK("CSG13.html#group50E13", "50E¹³"), =HYPERLINK("CSG19.html#group100Q19", "100Q¹⁹")</f>
        <v/>
      </c>
    </row>
    <row r="1576">
      <c r="A1576" t="inlineStr">
        <is>
          <t>51A⁷</t>
        </is>
      </c>
      <c r="B1576" t="inlineStr"/>
      <c r="C1576" t="inlineStr">
        <is>
          <t>108</t>
        </is>
      </c>
      <c r="D1576" t="inlineStr">
        <is>
          <t>1</t>
        </is>
      </c>
      <c r="E1576" t="inlineStr">
        <is>
          <t>54</t>
        </is>
      </c>
      <c r="F1576" t="inlineStr">
        <is>
          <t>4</t>
        </is>
      </c>
      <c r="G1576" t="inlineStr">
        <is>
          <t>0</t>
        </is>
      </c>
      <c r="H1576" t="inlineStr">
        <is>
          <t>3², 51²</t>
        </is>
      </c>
      <c r="I1576" t="n">
        <v>4</v>
      </c>
      <c r="J1576" t="inlineStr">
        <is>
          <t>1², 2², 16¹, 32¹</t>
        </is>
      </c>
      <c r="K1576">
        <f>HYPERLINK("CSG3.html#group51A3", "51A³")</f>
        <v/>
      </c>
      <c r="L1576">
        <f>HYPERLINK("CSG13.html#group51B13", "51B¹³"), =HYPERLINK("CSG15.html#group51B15", "51B¹⁵"), =HYPERLINK("CSG15.html#group102D15", "102D¹⁵"), =HYPERLINK("CSG17.html#group102E17", "102E¹⁷"), =HYPERLINK("CSG17.html#group102D17", "102D¹⁷"), =HYPERLINK("CSG23.html#group102A23", "102A²³"), =HYPERLINK("CSG23.html#group153B23", "153B²³")</f>
        <v/>
      </c>
      <c r="M1576">
        <f>HYPERLINK("CSG0.html#group3A0", "3A⁰"), =HYPERLINK("CSG1.html#group17A1", "17A¹"), =HYPERLINK("CSG3.html#group51A3", "51A³"), =HYPERLINK("CSG0.html#group1A0", "1A⁰")</f>
        <v/>
      </c>
      <c r="N1576">
        <f>HYPERLINK("CSG15.html#group102D15", "102D¹⁵"), =HYPERLINK("CSG23.html#group153B23", "153B²³"), =HYPERLINK("CSG17.html#group102D17", "102D¹⁷"), =HYPERLINK("CSG23.html#group102A23", "102A²³"), =HYPERLINK("CSG17.html#group102E17", "102E¹⁷"), =HYPERLINK("CSG15.html#group51B15", "51B¹⁵"), =HYPERLINK("CSG13.html#group51B13", "51B¹³")</f>
        <v/>
      </c>
    </row>
    <row r="1577">
      <c r="A1577" t="inlineStr">
        <is>
          <t>51B⁷</t>
        </is>
      </c>
      <c r="B1577" t="inlineStr"/>
      <c r="C1577" t="inlineStr">
        <is>
          <t>108</t>
        </is>
      </c>
      <c r="D1577" t="inlineStr">
        <is>
          <t>1</t>
        </is>
      </c>
      <c r="E1577" t="inlineStr">
        <is>
          <t>54</t>
        </is>
      </c>
      <c r="F1577" t="inlineStr">
        <is>
          <t>4</t>
        </is>
      </c>
      <c r="G1577" t="inlineStr">
        <is>
          <t>0</t>
        </is>
      </c>
      <c r="H1577" t="inlineStr">
        <is>
          <t>3², 51²</t>
        </is>
      </c>
      <c r="I1577" t="n">
        <v>4</v>
      </c>
      <c r="J1577" t="inlineStr">
        <is>
          <t>1², 2², 16¹, 32¹</t>
        </is>
      </c>
      <c r="K1577">
        <f>HYPERLINK("CSG0.html#group3C0", "3C⁰"), =HYPERLINK("CSG3.html#group51A3", "51A³")</f>
        <v/>
      </c>
      <c r="L1577">
        <f>HYPERLINK("CSG13.html#group51B13", "51B¹³"), =HYPERLINK("CSG15.html#group51A15", "51A¹⁵"), =HYPERLINK("CSG15.html#group51B15", "51B¹⁵"), =HYPERLINK("CSG15.html#group102A15", "102A¹⁵"), =HYPERLINK("CSG15.html#group102B15", "102B¹⁵"), =HYPERLINK("CSG17.html#group102F17", "102F¹⁷"), =HYPERLINK("CSG17.html#group102G17", "102G¹⁷"), =HYPERLINK("CSG23.html#group102B23", "102B²³"), =HYPERLINK("CSG23.html#group153A23", "153A²³"), =HYPERLINK("CSG23.html#group153C23", "153C²³")</f>
        <v/>
      </c>
      <c r="M1577">
        <f>HYPERLINK("CSG0.html#group3C0", "3C⁰"), =HYPERLINK("CSG1.html#group17A1", "17A¹"), =HYPERLINK("CSG3.html#group51A3", "51A³"), =HYPERLINK("CSG0.html#group3A0", "3A⁰"), =HYPERLINK("CSG0.html#group1A0", "1A⁰")</f>
        <v/>
      </c>
      <c r="N1577">
        <f>HYPERLINK("CSG23.html#group153A23", "153A²³"), =HYPERLINK("CSG23.html#group153C23", "153C²³"), =HYPERLINK("CSG15.html#group51A15", "51A¹⁵"), =HYPERLINK("CSG15.html#group102A15", "102A¹⁵"), =HYPERLINK("CSG17.html#group102F17", "102F¹⁷"), =HYPERLINK("CSG15.html#group51B15", "51B¹⁵"), =HYPERLINK("CSG23.html#group102B23", "102B²³"), =HYPERLINK("CSG17.html#group102G17", "102G¹⁷"), =HYPERLINK("CSG15.html#group102B15", "102B¹⁵"), =HYPERLINK("CSG13.html#group51B13", "51B¹³")</f>
        <v/>
      </c>
    </row>
    <row r="1578">
      <c r="A1578" t="inlineStr">
        <is>
          <t>52A⁷</t>
        </is>
      </c>
      <c r="B1578" t="inlineStr"/>
      <c r="C1578" t="inlineStr">
        <is>
          <t>112</t>
        </is>
      </c>
      <c r="D1578" t="inlineStr">
        <is>
          <t>1</t>
        </is>
      </c>
      <c r="E1578" t="inlineStr">
        <is>
          <t>56</t>
        </is>
      </c>
      <c r="F1578" t="inlineStr">
        <is>
          <t>0</t>
        </is>
      </c>
      <c r="G1578" t="inlineStr">
        <is>
          <t>4</t>
        </is>
      </c>
      <c r="H1578" t="inlineStr">
        <is>
          <t>4², 52²</t>
        </is>
      </c>
      <c r="I1578" t="n">
        <v>4</v>
      </c>
      <c r="J1578" t="inlineStr">
        <is>
          <t>2⁴, 24²</t>
        </is>
      </c>
      <c r="K1578">
        <f>HYPERLINK("CSG0.html#group13B0", "13B⁰"), =HYPERLINK("CSG3.html#group52A3", "52A³")</f>
        <v/>
      </c>
      <c r="L1578">
        <f>HYPERLINK("CSG13.html#group52A13", "52A¹³"), =HYPERLINK("CSG15.html#group104D15", "104D¹⁵"), =HYPERLINK("CSG23.html#group52E23", "52E²³"), =HYPERLINK("CSG23.html#group52G23", "52G²³")</f>
        <v/>
      </c>
      <c r="M1578">
        <f>HYPERLINK("CSG0.html#group13A0", "13A⁰"), =HYPERLINK("CSG0.html#group13B0", "13B⁰"), =HYPERLINK("CSG3.html#group52A3", "52A³"), =HYPERLINK("CSG0.html#group1A0", "1A⁰"), =HYPERLINK("CSG0.html#group4A0", "4A⁰")</f>
        <v/>
      </c>
      <c r="N1578">
        <f>HYPERLINK("CSG23.html#group52G23", "52G²³"), =HYPERLINK("CSG23.html#group52E23", "52E²³"), =HYPERLINK("CSG13.html#group52A13", "52A¹³"), =HYPERLINK("CSG15.html#group104D15", "104D¹⁵")</f>
        <v/>
      </c>
    </row>
    <row r="1579">
      <c r="A1579" t="inlineStr">
        <is>
          <t>52B⁷</t>
        </is>
      </c>
      <c r="B1579" t="inlineStr"/>
      <c r="C1579" t="inlineStr">
        <is>
          <t>112</t>
        </is>
      </c>
      <c r="D1579" t="inlineStr">
        <is>
          <t>1</t>
        </is>
      </c>
      <c r="E1579" t="inlineStr">
        <is>
          <t>56</t>
        </is>
      </c>
      <c r="F1579" t="inlineStr">
        <is>
          <t>0</t>
        </is>
      </c>
      <c r="G1579" t="inlineStr">
        <is>
          <t>4</t>
        </is>
      </c>
      <c r="H1579" t="inlineStr">
        <is>
          <t>4², 52²</t>
        </is>
      </c>
      <c r="I1579" t="n">
        <v>4</v>
      </c>
      <c r="J1579" t="inlineStr">
        <is>
          <t>2⁴, 24²</t>
        </is>
      </c>
      <c r="K1579">
        <f>HYPERLINK("CSG0.html#group4D0", "4D⁰"), =HYPERLINK("CSG1.html#group26A1", "26A¹"), =HYPERLINK("CSG3.html#group52A3", "52A³")</f>
        <v/>
      </c>
      <c r="L1579">
        <f>HYPERLINK("CSG13.html#group52A13", "52A¹³"), =HYPERLINK("CSG15.html#group104A15", "104A¹⁵"), =HYPERLINK("CSG15.html#group104B15", "104B¹⁵"), =HYPERLINK("CSG21.html#group52E21", "52E²¹"), =HYPERLINK("CSG23.html#group52C23", "52C²³"), =HYPERLINK("CSG23.html#group52F23", "52F²³")</f>
        <v/>
      </c>
      <c r="M1579">
        <f>HYPERLINK("CSG0.html#group2A0", "2A⁰"), =HYPERLINK("CSG1.html#group26A1", "26A¹"), =HYPERLINK("CSG3.html#group52A3", "52A³"), =HYPERLINK("CSG0.html#group4A0", "4A⁰"), =HYPERLINK("CSG0.html#group4D0", "4D⁰"), =HYPERLINK("CSG0.html#group13A0", "13A⁰"), =HYPERLINK("CSG0.html#group1A0", "1A⁰")</f>
        <v/>
      </c>
      <c r="N1579">
        <f>HYPERLINK("CSG13.html#group52A13", "52A¹³"), =HYPERLINK("CSG23.html#group52F23", "52F²³"), =HYPERLINK("CSG23.html#group52C23", "52C²³"), =HYPERLINK("CSG15.html#group104A15", "104A¹⁵"), =HYPERLINK("CSG15.html#group104B15", "104B¹⁵"), =HYPERLINK("CSG21.html#group52E21", "52E²¹")</f>
        <v/>
      </c>
    </row>
    <row r="1580">
      <c r="A1580" t="inlineStr">
        <is>
          <t>54A⁷</t>
        </is>
      </c>
      <c r="B1580" t="inlineStr"/>
      <c r="C1580" t="inlineStr">
        <is>
          <t>162</t>
        </is>
      </c>
      <c r="D1580" t="inlineStr">
        <is>
          <t>2</t>
        </is>
      </c>
      <c r="E1580" t="inlineStr">
        <is>
          <t>81</t>
        </is>
      </c>
      <c r="F1580" t="inlineStr">
        <is>
          <t>24</t>
        </is>
      </c>
      <c r="G1580" t="inlineStr">
        <is>
          <t>0</t>
        </is>
      </c>
      <c r="H1580" t="inlineStr">
        <is>
          <t>54³</t>
        </is>
      </c>
      <c r="I1580" t="n">
        <v>3</v>
      </c>
      <c r="J1580" t="inlineStr">
        <is>
          <t>6⁹, 18⁶</t>
        </is>
      </c>
      <c r="K1580">
        <f>HYPERLINK("CSG1.html#group18H1", "18H¹"), =HYPERLINK("CSG3.html#group27B3", "27B³")</f>
        <v/>
      </c>
      <c r="L1580">
        <f>HYPERLINK("CSG16.html#group54V16", "54V¹⁶"), =HYPERLINK("CSG22.html#group54J22", "54J²²")</f>
        <v/>
      </c>
      <c r="M1580">
        <f>HYPERLINK("CSG0.html#group6B0", "6B⁰"), =HYPERLINK("CSG1.html#group18H1", "18H¹"), =HYPERLINK("CSG0.html#group9G0", "9G⁰"), =HYPERLINK("CSG0.html#group9A0", "9A⁰"), =HYPERLINK("CSG3.html#group27B3", "27B³"), =HYPERLINK("CSG0.html#group3A0", "3A⁰"), =HYPERLINK("CSG0.html#group1A0", "1A⁰"), =HYPERLINK("CSG0.html#group18A0", "18A⁰")</f>
        <v/>
      </c>
      <c r="N1580">
        <f>HYPERLINK("CSG16.html#group54V16", "54V¹⁶"), =HYPERLINK("CSG22.html#group54J22", "54J²²")</f>
        <v/>
      </c>
    </row>
    <row r="1581">
      <c r="A1581" t="inlineStr">
        <is>
          <t>54B⁷</t>
        </is>
      </c>
      <c r="B1581" t="inlineStr"/>
      <c r="C1581" t="inlineStr">
        <is>
          <t>216</t>
        </is>
      </c>
      <c r="D1581" t="inlineStr">
        <is>
          <t>1</t>
        </is>
      </c>
      <c r="E1581" t="inlineStr">
        <is>
          <t>12</t>
        </is>
      </c>
      <c r="F1581" t="inlineStr">
        <is>
          <t>0</t>
        </is>
      </c>
      <c r="G1581" t="inlineStr">
        <is>
          <t>0</t>
        </is>
      </c>
      <c r="H1581" t="inlineStr">
        <is>
          <t>2¹⁸, 6³, 54³</t>
        </is>
      </c>
      <c r="I1581" t="n">
        <v>24</v>
      </c>
      <c r="J1581" t="inlineStr">
        <is>
          <t>1², 2², 6¹</t>
        </is>
      </c>
      <c r="K1581">
        <f>HYPERLINK("CSG1.html#group18J1", "18J¹"), =HYPERLINK("CSG2.html#group54B2", "54B²"), =HYPERLINK("CSG3.html#group54A3", "54A³"), =HYPERLINK("CSG3.html#group54B3", "54B³")</f>
        <v/>
      </c>
      <c r="L1581">
        <f>HYPERLINK("CSG17.html#group108F17", "108F¹⁷"), =HYPERLINK("CSG21.html#group108E21", "108E²¹")</f>
        <v/>
      </c>
      <c r="M1581">
        <f>HYPERLINK("CSG0.html#group3B0", "3B⁰"), =HYPERLINK("CSG0.html#group2A0", "2A⁰"), =HYPERLINK("CSG2.html#group54B2", "54B²"), =HYPERLINK("CSG0.html#group6I0", "6I⁰"), =HYPERLINK("CSG0.html#group6C0", "6C⁰"), =HYPERLINK("CSG0.html#group9B0", "9B⁰"), =HYPERLINK("CSG0.html#group2B0", "2B⁰"), =HYPERLINK("CSG1.html#group18J1", "18J¹"), =HYPERLINK("CSG0.html#group1A0", "1A⁰"), =HYPERLINK("CSG0.html#group18C0", "18C⁰"), =HYPERLINK("CSG0.html#group18E0", "18E⁰"), =HYPERLINK("CSG3.html#group54B3", "54B³"), =HYPERLINK("CSG1.html#group18C1", "18C¹"), =HYPERLINK("CSG0.html#group27A0", "27A⁰"), =HYPERLINK("CSG3.html#group54A3", "54A³"), =HYPERLINK("CSG0.html#group6F0", "6F⁰"), =HYPERLINK("CSG0.html#group2C0", "2C⁰")</f>
        <v/>
      </c>
      <c r="N1581">
        <f>HYPERLINK("CSG17.html#group108F17", "108F¹⁷"), =HYPERLINK("CSG21.html#group108E21", "108E²¹")</f>
        <v/>
      </c>
    </row>
    <row r="1582">
      <c r="A1582" t="inlineStr">
        <is>
          <t>55A⁷</t>
        </is>
      </c>
      <c r="B1582" t="inlineStr"/>
      <c r="C1582" t="inlineStr">
        <is>
          <t>110</t>
        </is>
      </c>
      <c r="D1582" t="inlineStr">
        <is>
          <t>2</t>
        </is>
      </c>
      <c r="E1582" t="inlineStr">
        <is>
          <t>110</t>
        </is>
      </c>
      <c r="F1582" t="inlineStr">
        <is>
          <t>6</t>
        </is>
      </c>
      <c r="G1582" t="inlineStr">
        <is>
          <t>2</t>
        </is>
      </c>
      <c r="H1582" t="inlineStr">
        <is>
          <t>55²</t>
        </is>
      </c>
      <c r="I1582" t="n">
        <v>2</v>
      </c>
      <c r="J1582" t="inlineStr">
        <is>
          <t>4¹, 8², 20², 40⁴</t>
        </is>
      </c>
      <c r="K1582">
        <f>HYPERLINK("CSG0.html#group5C0", "5C⁰"), =HYPERLINK("CSG0.html#group11A0", "11A⁰")</f>
        <v/>
      </c>
      <c r="L1582">
        <f>HYPERLINK("CSG14.html#group110C14", "110C¹⁴"), =HYPERLINK("CSG16.html#group55A16", "55A¹⁶"), =HYPERLINK("CSG17.html#group110A17", "110A¹⁷"), =HYPERLINK("CSG23.html#group165A23", "165A²³"), =HYPERLINK("CSG24.html#group55B24", "55B²⁴")</f>
        <v/>
      </c>
      <c r="M1582">
        <f>HYPERLINK("CSG0.html#group11A0", "11A⁰"), =HYPERLINK("CSG0.html#group5C0", "5C⁰"), =HYPERLINK("CSG0.html#group1A0", "1A⁰")</f>
        <v/>
      </c>
      <c r="N1582">
        <f>HYPERLINK("CSG23.html#group165A23", "165A²³"), =HYPERLINK("CSG24.html#group55B24", "55B²⁴"), =HYPERLINK("CSG16.html#group55A16", "55A¹⁶"), =HYPERLINK("CSG17.html#group110A17", "110A¹⁷"), =HYPERLINK("CSG14.html#group110C14", "110C¹⁴")</f>
        <v/>
      </c>
    </row>
    <row r="1583">
      <c r="A1583" t="inlineStr">
        <is>
          <t>56A⁷</t>
        </is>
      </c>
      <c r="B1583" t="inlineStr"/>
      <c r="C1583" t="inlineStr">
        <is>
          <t>84</t>
        </is>
      </c>
      <c r="D1583" t="inlineStr">
        <is>
          <t>2</t>
        </is>
      </c>
      <c r="E1583" t="inlineStr">
        <is>
          <t>21</t>
        </is>
      </c>
      <c r="F1583" t="inlineStr">
        <is>
          <t>0</t>
        </is>
      </c>
      <c r="G1583" t="inlineStr">
        <is>
          <t>0</t>
        </is>
      </c>
      <c r="H1583" t="inlineStr">
        <is>
          <t>28¹, 56¹</t>
        </is>
      </c>
      <c r="I1583" t="n">
        <v>2</v>
      </c>
      <c r="J1583" t="inlineStr">
        <is>
          <t>2³, 6⁶</t>
        </is>
      </c>
      <c r="K1583">
        <f>HYPERLINK("CSG1.html#group8A1", "8A¹"), =HYPERLINK("CSG2.html#group28C2", "28C²")</f>
        <v/>
      </c>
      <c r="L1583">
        <f>HYPERLINK("CSG13.html#group56A13", "56A¹³"), =HYPERLINK("CSG13.html#group56B13", "56B¹³"), =HYPERLINK("CSG13.html#group56D13", "56D¹³"), =HYPERLINK("CSG13.html#group56E13", "56E¹³"), =HYPERLINK("CSG13.html#group56F13", "56F¹³"), =HYPERLINK("CSG14.html#group112B14", "112B¹⁴"), =HYPERLINK("CSG14.html#group112C14", "112C¹⁴"), =HYPERLINK("CSG19.html#group56A19", "56A¹⁹"), =HYPERLINK("CSG21.html#group168A21", "168A²¹")</f>
        <v/>
      </c>
      <c r="M1583">
        <f>HYPERLINK("CSG2.html#group28C2", "28C²"), =HYPERLINK("CSG0.html#group4C0", "4C⁰"), =HYPERLINK("CSG0.html#group2B0", "2B⁰"), =HYPERLINK("CSG1.html#group8A1", "8A¹"), =HYPERLINK("CSG1.html#group14B1", "14B¹"), =HYPERLINK("CSG0.html#group1A0", "1A⁰"), =HYPERLINK("CSG0.html#group7A0", "7A⁰")</f>
        <v/>
      </c>
      <c r="N1583">
        <f>HYPERLINK("CSG13.html#group56D13", "56D¹³"), =HYPERLINK("CSG13.html#group56E13", "56E¹³"), =HYPERLINK("CSG13.html#group56B13", "56B¹³"), =HYPERLINK("CSG14.html#group112B14", "112B¹⁴"), =HYPERLINK("CSG13.html#group56A13", "56A¹³"), =HYPERLINK("CSG13.html#group56F13", "56F¹³"), =HYPERLINK("CSG21.html#group168A21", "168A²¹"), =HYPERLINK("CSG14.html#group112C14", "112C¹⁴"), =HYPERLINK("CSG19.html#group56A19", "56A¹⁹")</f>
        <v/>
      </c>
    </row>
    <row r="1584">
      <c r="A1584" t="inlineStr">
        <is>
          <t>56B⁷</t>
        </is>
      </c>
      <c r="B1584" t="inlineStr"/>
      <c r="C1584" t="inlineStr">
        <is>
          <t>96</t>
        </is>
      </c>
      <c r="D1584" t="inlineStr">
        <is>
          <t>1</t>
        </is>
      </c>
      <c r="E1584" t="inlineStr">
        <is>
          <t>24</t>
        </is>
      </c>
      <c r="F1584" t="inlineStr">
        <is>
          <t>0</t>
        </is>
      </c>
      <c r="G1584" t="inlineStr">
        <is>
          <t>0</t>
        </is>
      </c>
      <c r="H1584" t="inlineStr">
        <is>
          <t>4¹, 8¹, 28¹, 56¹</t>
        </is>
      </c>
      <c r="I1584" t="n">
        <v>4</v>
      </c>
      <c r="J1584" t="inlineStr">
        <is>
          <t>1⁶, 6³</t>
        </is>
      </c>
      <c r="K1584">
        <f>HYPERLINK("CSG0.html#group8B0", "8B⁰"), =HYPERLINK("CSG3.html#group28C3", "28C³")</f>
        <v/>
      </c>
      <c r="L1584">
        <f>HYPERLINK("CSG13.html#group56H13", "56H¹³"), =HYPERLINK("CSG13.html#group56I13", "56I¹³"), =HYPERLINK("CSG13.html#group56L13", "56L¹³"), =HYPERLINK("CSG15.html#group112C15", "112C¹⁵"), =HYPERLINK("CSG15.html#group112D15", "112D¹⁵"), =HYPERLINK("CSG15.html#group112F15", "112F¹⁵"), =HYPERLINK("CSG15.html#group112G15", "112G¹⁵"), =HYPERLINK("CSG19.html#group56B19", "56B¹⁹"), =HYPERLINK("CSG23.html#group168A23", "168A²³"), =HYPERLINK("CSG23.html#group168E23", "168E²³")</f>
        <v/>
      </c>
      <c r="M1584">
        <f>HYPERLINK("CSG0.html#group7B0", "7B⁰"), =HYPERLINK("CSG0.html#group4C0", "4C⁰"), =HYPERLINK("CSG1.html#group14C1", "14C¹"), =HYPERLINK("CSG0.html#group8B0", "8B⁰"), =HYPERLINK("CSG0.html#group2B0", "2B⁰"), =HYPERLINK("CSG3.html#group28C3", "28C³"), =HYPERLINK("CSG0.html#group1A0", "1A⁰")</f>
        <v/>
      </c>
      <c r="N1584">
        <f>HYPERLINK("CSG15.html#group112G15", "112G¹⁵"), =HYPERLINK("CSG15.html#group112D15", "112D¹⁵"), =HYPERLINK("CSG13.html#group56L13", "56L¹³"), =HYPERLINK("CSG23.html#group168A23", "168A²³"), =HYPERLINK("CSG15.html#group112F15", "112F¹⁵"), =HYPERLINK("CSG13.html#group56H13", "56H¹³"), =HYPERLINK("CSG13.html#group56I13", "56I¹³"), =HYPERLINK("CSG23.html#group168E23", "168E²³"), =HYPERLINK("CSG19.html#group56B19", "56B¹⁹"), =HYPERLINK("CSG15.html#group112C15", "112C¹⁵")</f>
        <v/>
      </c>
    </row>
    <row r="1585">
      <c r="A1585" t="inlineStr">
        <is>
          <t>56C⁷</t>
        </is>
      </c>
      <c r="B1585" t="inlineStr"/>
      <c r="C1585" t="inlineStr">
        <is>
          <t>96</t>
        </is>
      </c>
      <c r="D1585" t="inlineStr">
        <is>
          <t>1</t>
        </is>
      </c>
      <c r="E1585" t="inlineStr">
        <is>
          <t>24</t>
        </is>
      </c>
      <c r="F1585" t="inlineStr">
        <is>
          <t>0</t>
        </is>
      </c>
      <c r="G1585" t="inlineStr">
        <is>
          <t>0</t>
        </is>
      </c>
      <c r="H1585" t="inlineStr">
        <is>
          <t>4¹, 8¹, 28¹, 56¹</t>
        </is>
      </c>
      <c r="I1585" t="n">
        <v>4</v>
      </c>
      <c r="J1585" t="inlineStr">
        <is>
          <t>1⁶, 6³</t>
        </is>
      </c>
      <c r="K1585">
        <f>HYPERLINK("CSG1.html#group8A1", "8A¹"), =HYPERLINK("CSG3.html#group28C3", "28C³")</f>
        <v/>
      </c>
      <c r="L1585">
        <f>HYPERLINK("CSG13.html#group56H13", "56H¹³"), =HYPERLINK("CSG13.html#group56J13", "56J¹³"), =HYPERLINK("CSG13.html#group56K13", "56K¹³"), =HYPERLINK("CSG15.html#group112A15", "112A¹⁵"), =HYPERLINK("CSG15.html#group112B15", "112B¹⁵"), =HYPERLINK("CSG15.html#group112E15", "112E¹⁵"), =HYPERLINK("CSG15.html#group112H15", "112H¹⁵"), =HYPERLINK("CSG19.html#group56C19", "56C¹⁹"), =HYPERLINK("CSG23.html#group168B23", "168B²³"), =HYPERLINK("CSG23.html#group168F23", "168F²³")</f>
        <v/>
      </c>
      <c r="M1585">
        <f>HYPERLINK("CSG0.html#group2B0", "2B⁰"), =HYPERLINK("CSG1.html#group8A1", "8A¹"), =HYPERLINK("CSG3.html#group28C3", "28C³"), =HYPERLINK("CSG0.html#group1A0", "1A⁰"), =HYPERLINK("CSG0.html#group7B0", "7B⁰"), =HYPERLINK("CSG0.html#group4C0", "4C⁰"), =HYPERLINK("CSG1.html#group14C1", "14C¹")</f>
        <v/>
      </c>
      <c r="N1585">
        <f>HYPERLINK("CSG19.html#group56C19", "56C¹⁹"), =HYPERLINK("CSG23.html#group168F23", "168F²³"), =HYPERLINK("CSG15.html#group112H15", "112H¹⁵"), =HYPERLINK("CSG23.html#group168B23", "168B²³"), =HYPERLINK("CSG15.html#group112E15", "112E¹⁵"), =HYPERLINK("CSG13.html#group56H13", "56H¹³"), =HYPERLINK("CSG15.html#group112B15", "112B¹⁵"), =HYPERLINK("CSG13.html#group56K13", "56K¹³"), =HYPERLINK("CSG13.html#group56J13", "56J¹³"), =HYPERLINK("CSG15.html#group112A15", "112A¹⁵")</f>
        <v/>
      </c>
    </row>
    <row r="1586">
      <c r="A1586" t="inlineStr">
        <is>
          <t>56D⁷</t>
        </is>
      </c>
      <c r="B1586" t="inlineStr"/>
      <c r="C1586" t="inlineStr">
        <is>
          <t>112</t>
        </is>
      </c>
      <c r="D1586" t="inlineStr">
        <is>
          <t>2</t>
        </is>
      </c>
      <c r="E1586" t="inlineStr">
        <is>
          <t>28</t>
        </is>
      </c>
      <c r="F1586" t="inlineStr">
        <is>
          <t>4</t>
        </is>
      </c>
      <c r="G1586" t="inlineStr">
        <is>
          <t>4</t>
        </is>
      </c>
      <c r="H1586" t="inlineStr">
        <is>
          <t>56²</t>
        </is>
      </c>
      <c r="I1586" t="n">
        <v>2</v>
      </c>
      <c r="J1586" t="inlineStr">
        <is>
          <t>8², 24⁴</t>
        </is>
      </c>
      <c r="K1586">
        <f>HYPERLINK("CSG3.html#group28D3", "28D³"), =HYPERLINK("CSG3.html#group56A3", "56A³"), =HYPERLINK("CSG3.html#group56D3", "56D³")</f>
        <v/>
      </c>
      <c r="L1586">
        <f>HYPERLINK("CSG15.html#group56A15", "56A¹⁵"), =HYPERLINK("CSG15.html#group112I15", "112I¹⁵"), =HYPERLINK("CSG23.html#group56B23", "56B²³"), =HYPERLINK("CSG23.html#group168G23", "168G²³")</f>
        <v/>
      </c>
      <c r="M1586">
        <f>HYPERLINK("CSG3.html#group28D3", "28D³"), =HYPERLINK("CSG3.html#group56D3", "56D³"), =HYPERLINK("CSG0.html#group4A0", "4A⁰"), =HYPERLINK("CSG0.html#group7C0", "7C⁰"), =HYPERLINK("CSG0.html#group8A0", "8A⁰"), =HYPERLINK("CSG1.html#group28A1", "28A¹"), =HYPERLINK("CSG0.html#group1A0", "1A⁰"), =HYPERLINK("CSG0.html#group7A0", "7A⁰"), =HYPERLINK("CSG3.html#group56A3", "56A³")</f>
        <v/>
      </c>
      <c r="N1586">
        <f>HYPERLINK("CSG23.html#group168G23", "168G²³"), =HYPERLINK("CSG15.html#group112I15", "112I¹⁵"), =HYPERLINK("CSG23.html#group56B23", "56B²³"), =HYPERLINK("CSG15.html#group56A15", "56A¹⁵")</f>
        <v/>
      </c>
    </row>
    <row r="1587">
      <c r="A1587" t="inlineStr">
        <is>
          <t>56E⁷</t>
        </is>
      </c>
      <c r="B1587" t="inlineStr"/>
      <c r="C1587" t="inlineStr">
        <is>
          <t>112</t>
        </is>
      </c>
      <c r="D1587" t="inlineStr">
        <is>
          <t>2</t>
        </is>
      </c>
      <c r="E1587" t="inlineStr">
        <is>
          <t>28</t>
        </is>
      </c>
      <c r="F1587" t="inlineStr">
        <is>
          <t>4</t>
        </is>
      </c>
      <c r="G1587" t="inlineStr">
        <is>
          <t>4</t>
        </is>
      </c>
      <c r="H1587" t="inlineStr">
        <is>
          <t>56²</t>
        </is>
      </c>
      <c r="I1587" t="n">
        <v>2</v>
      </c>
      <c r="J1587" t="inlineStr">
        <is>
          <t>8², 24⁴</t>
        </is>
      </c>
      <c r="K1587">
        <f>HYPERLINK("CSG3.html#group28D3", "28D³"), =HYPERLINK("CSG3.html#group56B3", "56B³"), =HYPERLINK("CSG3.html#group56C3", "56C³")</f>
        <v/>
      </c>
      <c r="L1587">
        <f>HYPERLINK("CSG15.html#group56A15", "56A¹⁵"), =HYPERLINK("CSG15.html#group112J15", "112J¹⁵"), =HYPERLINK("CSG23.html#group56C23", "56C²³"), =HYPERLINK("CSG23.html#group168H23", "168H²³")</f>
        <v/>
      </c>
      <c r="M1587">
        <f>HYPERLINK("CSG3.html#group28D3", "28D³"), =HYPERLINK("CSG3.html#group56B3", "56B³"), =HYPERLINK("CSG0.html#group4A0", "4A⁰"), =HYPERLINK("CSG0.html#group7C0", "7C⁰"), =HYPERLINK("CSG0.html#group8A0", "8A⁰"), =HYPERLINK("CSG3.html#group56C3", "56C³"), =HYPERLINK("CSG1.html#group28A1", "28A¹"), =HYPERLINK("CSG0.html#group1A0", "1A⁰"), =HYPERLINK("CSG0.html#group7A0", "7A⁰")</f>
        <v/>
      </c>
      <c r="N1587">
        <f>HYPERLINK("CSG15.html#group112J15", "112J¹⁵"), =HYPERLINK("CSG23.html#group168H23", "168H²³"), =HYPERLINK("CSG23.html#group56C23", "56C²³"), =HYPERLINK("CSG15.html#group56A15", "56A¹⁵")</f>
        <v/>
      </c>
    </row>
    <row r="1588">
      <c r="A1588" t="inlineStr">
        <is>
          <t>56F⁷</t>
        </is>
      </c>
      <c r="B1588" t="inlineStr"/>
      <c r="C1588" t="inlineStr">
        <is>
          <t>128</t>
        </is>
      </c>
      <c r="D1588" t="inlineStr">
        <is>
          <t>1</t>
        </is>
      </c>
      <c r="E1588" t="inlineStr">
        <is>
          <t>32</t>
        </is>
      </c>
      <c r="F1588" t="inlineStr">
        <is>
          <t>0</t>
        </is>
      </c>
      <c r="G1588" t="inlineStr">
        <is>
          <t>8</t>
        </is>
      </c>
      <c r="H1588" t="inlineStr">
        <is>
          <t>8², 56²</t>
        </is>
      </c>
      <c r="I1588" t="n">
        <v>4</v>
      </c>
      <c r="J1588" t="inlineStr">
        <is>
          <t>2⁴, 12²</t>
        </is>
      </c>
      <c r="K1588">
        <f>HYPERLINK("CSG3.html#group28E3", "28E³")</f>
        <v/>
      </c>
      <c r="L1588">
        <f>HYPERLINK("CSG13.html#group56N13", "56N¹³"), =HYPERLINK("CSG23.html#group56S23", "56S²³")</f>
        <v/>
      </c>
      <c r="M1588">
        <f>HYPERLINK("CSG0.html#group2A0", "2A⁰"), =HYPERLINK("CSG0.html#group4A0", "4A⁰"), =HYPERLINK("CSG0.html#group4D0", "4D⁰"), =HYPERLINK("CSG0.html#group7B0", "7B⁰"), =HYPERLINK("CSG0.html#group14B0", "14B⁰"), =HYPERLINK("CSG3.html#group28E3", "28E³"), =HYPERLINK("CSG0.html#group1A0", "1A⁰"), =HYPERLINK("CSG2.html#group28A2", "28A²")</f>
        <v/>
      </c>
      <c r="N1588">
        <f>HYPERLINK("CSG23.html#group56S23", "56S²³"), =HYPERLINK("CSG13.html#group56N13", "56N¹³")</f>
        <v/>
      </c>
    </row>
    <row r="1589">
      <c r="A1589" t="inlineStr">
        <is>
          <t>56G⁷</t>
        </is>
      </c>
      <c r="B1589" t="inlineStr"/>
      <c r="C1589" t="inlineStr">
        <is>
          <t>128</t>
        </is>
      </c>
      <c r="D1589" t="inlineStr">
        <is>
          <t>1</t>
        </is>
      </c>
      <c r="E1589" t="inlineStr">
        <is>
          <t>32</t>
        </is>
      </c>
      <c r="F1589" t="inlineStr">
        <is>
          <t>0</t>
        </is>
      </c>
      <c r="G1589" t="inlineStr">
        <is>
          <t>8</t>
        </is>
      </c>
      <c r="H1589" t="inlineStr">
        <is>
          <t>8², 56²</t>
        </is>
      </c>
      <c r="I1589" t="n">
        <v>4</v>
      </c>
      <c r="J1589" t="inlineStr">
        <is>
          <t>2⁴, 12²</t>
        </is>
      </c>
      <c r="K1589">
        <f>HYPERLINK("CSG0.html#group8E0", "8E⁰"), =HYPERLINK("CSG3.html#group28E3", "28E³"), =HYPERLINK("CSG4.html#group56A4", "56A⁴")</f>
        <v/>
      </c>
      <c r="L1589">
        <f>HYPERLINK("CSG13.html#group56N13", "56N¹³"), =HYPERLINK("CSG15.html#group112K15", "112K¹⁵"), =HYPERLINK("CSG15.html#group112L15", "112L¹⁵"), =HYPERLINK("CSG23.html#group56T23", "56T²³")</f>
        <v/>
      </c>
      <c r="M1589">
        <f>HYPERLINK("CSG4.html#group56A4", "56A⁴"), =HYPERLINK("CSG0.html#group2A0", "2A⁰"), =HYPERLINK("CSG0.html#group7B0", "7B⁰"), =HYPERLINK("CSG0.html#group4A0", "4A⁰"), =HYPERLINK("CSG0.html#group4D0", "4D⁰"), =HYPERLINK("CSG0.html#group14B0", "14B⁰"), =HYPERLINK("CSG0.html#group8A0", "8A⁰"), =HYPERLINK("CSG0.html#group8E0", "8E⁰"), =HYPERLINK("CSG3.html#group28E3", "28E³"), =HYPERLINK("CSG0.html#group1A0", "1A⁰"), =HYPERLINK("CSG2.html#group28A2", "28A²")</f>
        <v/>
      </c>
      <c r="N1589">
        <f>HYPERLINK("CSG13.html#group56N13", "56N¹³"), =HYPERLINK("CSG15.html#group112L15", "112L¹⁵"), =HYPERLINK("CSG15.html#group112K15", "112K¹⁵"), =HYPERLINK("CSG23.html#group56T23", "56T²³")</f>
        <v/>
      </c>
    </row>
    <row r="1590">
      <c r="A1590" t="inlineStr">
        <is>
          <t>60A⁷</t>
        </is>
      </c>
      <c r="B1590" t="inlineStr"/>
      <c r="C1590" t="inlineStr">
        <is>
          <t>90</t>
        </is>
      </c>
      <c r="D1590" t="inlineStr">
        <is>
          <t>1</t>
        </is>
      </c>
      <c r="E1590" t="inlineStr">
        <is>
          <t>15</t>
        </is>
      </c>
      <c r="F1590" t="inlineStr">
        <is>
          <t>0</t>
        </is>
      </c>
      <c r="G1590" t="inlineStr">
        <is>
          <t>0</t>
        </is>
      </c>
      <c r="H1590" t="inlineStr">
        <is>
          <t>15², 60¹</t>
        </is>
      </c>
      <c r="I1590" t="n">
        <v>3</v>
      </c>
      <c r="J1590" t="inlineStr">
        <is>
          <t>1³, 4³</t>
        </is>
      </c>
      <c r="K1590">
        <f>HYPERLINK("CSG1.html#group12B1", "12B¹"), =HYPERLINK("CSG2.html#group20A2", "20A²"), =HYPERLINK("CSG3.html#group30D3", "30D³")</f>
        <v/>
      </c>
      <c r="L1590">
        <f>HYPERLINK("CSG13.html#group60C13", "60C¹³"), =HYPERLINK("CSG14.html#group60A14", "60A¹⁴"), =HYPERLINK("CSG14.html#group60D14", "60D¹⁴"), =HYPERLINK("CSG14.html#group120A14", "120A¹⁴"), =HYPERLINK("CSG14.html#group120C14", "120C¹⁴"), =HYPERLINK("CSG19.html#group60H19", "60H¹⁹"), =HYPERLINK("CSG22.html#group180A22", "180A²²")</f>
        <v/>
      </c>
      <c r="M1590">
        <f>HYPERLINK("CSG2.html#group20A2", "20A²"), =HYPERLINK("CSG3.html#group30D3", "30D³"), =HYPERLINK("CSG0.html#group5A0", "5A⁰"), =HYPERLINK("CSG0.html#group3A0", "3A⁰"), =HYPERLINK("CSG1.html#group15A1", "15A¹"), =HYPERLINK("CSG1.html#group10B1", "10B¹"), =HYPERLINK("CSG1.html#group12B1", "12B¹"), =HYPERLINK("CSG0.html#group2B0", "2B⁰"), =HYPERLINK("CSG0.html#group4B0", "4B⁰"), =HYPERLINK("CSG0.html#group1A0", "1A⁰"), =HYPERLINK("CSG0.html#group6D0", "6D⁰")</f>
        <v/>
      </c>
      <c r="N1590">
        <f>HYPERLINK("CSG14.html#group60A14", "60A¹⁴"), =HYPERLINK("CSG22.html#group180A22", "180A²²"), =HYPERLINK("CSG14.html#group60D14", "60D¹⁴"), =HYPERLINK("CSG14.html#group120C14", "120C¹⁴"), =HYPERLINK("CSG19.html#group60H19", "60H¹⁹"), =HYPERLINK("CSG14.html#group120A14", "120A¹⁴"), =HYPERLINK("CSG13.html#group60C13", "60C¹³")</f>
        <v/>
      </c>
    </row>
    <row r="1591">
      <c r="A1591" t="inlineStr">
        <is>
          <t>60B⁷</t>
        </is>
      </c>
      <c r="B1591" t="inlineStr"/>
      <c r="C1591" t="inlineStr">
        <is>
          <t>90</t>
        </is>
      </c>
      <c r="D1591" t="inlineStr">
        <is>
          <t>1</t>
        </is>
      </c>
      <c r="E1591" t="inlineStr">
        <is>
          <t>45</t>
        </is>
      </c>
      <c r="F1591" t="inlineStr">
        <is>
          <t>2</t>
        </is>
      </c>
      <c r="G1591" t="inlineStr">
        <is>
          <t>0</t>
        </is>
      </c>
      <c r="H1591" t="inlineStr">
        <is>
          <t>30¹, 60¹</t>
        </is>
      </c>
      <c r="I1591" t="n">
        <v>2</v>
      </c>
      <c r="J1591" t="inlineStr">
        <is>
          <t>1³, 2³, 4³, 8³</t>
        </is>
      </c>
      <c r="K1591">
        <f>HYPERLINK("CSG1.html#group12C1", "12C¹"), =HYPERLINK("CSG3.html#group30D3", "30D³")</f>
        <v/>
      </c>
      <c r="L1591">
        <f>HYPERLINK("CSG13.html#group60D13", "60D¹³"), =HYPERLINK("CSG13.html#group60H13", "60H¹³"), =HYPERLINK("CSG14.html#group60C14", "60C¹⁴"), =HYPERLINK("CSG14.html#group60D14", "60D¹⁴"), =HYPERLINK("CSG14.html#group60E14", "60E¹⁴"), =HYPERLINK("CSG19.html#group60I19", "60I¹⁹"), =HYPERLINK("CSG21.html#group180B21", "180B²¹"), =HYPERLINK("CSG22.html#group180B22", "180B²²")</f>
        <v/>
      </c>
      <c r="M1591">
        <f>HYPERLINK("CSG3.html#group30D3", "30D³"), =HYPERLINK("CSG0.html#group5A0", "5A⁰"), =HYPERLINK("CSG1.html#group12C1", "12C¹"), =HYPERLINK("CSG1.html#group10B1", "10B¹"), =HYPERLINK("CSG0.html#group6D0", "6D⁰"), =HYPERLINK("CSG0.html#group2B0", "2B⁰"), =HYPERLINK("CSG0.html#group3A0", "3A⁰"), =HYPERLINK("CSG0.html#group1A0", "1A⁰"), =HYPERLINK("CSG1.html#group15A1", "15A¹")</f>
        <v/>
      </c>
      <c r="N1591">
        <f>HYPERLINK("CSG13.html#group60H13", "60H¹³"), =HYPERLINK("CSG14.html#group60C14", "60C¹⁴"), =HYPERLINK("CSG22.html#group180B22", "180B²²"), =HYPERLINK("CSG14.html#group60E14", "60E¹⁴"), =HYPERLINK("CSG13.html#group60D13", "60D¹³"), =HYPERLINK("CSG19.html#group60I19", "60I¹⁹"), =HYPERLINK("CSG21.html#group180B21", "180B²¹"), =HYPERLINK("CSG14.html#group60D14", "60D¹⁴")</f>
        <v/>
      </c>
    </row>
    <row r="1592">
      <c r="A1592" t="inlineStr">
        <is>
          <t>60C⁷</t>
        </is>
      </c>
      <c r="B1592" t="inlineStr"/>
      <c r="C1592" t="inlineStr">
        <is>
          <t>90</t>
        </is>
      </c>
      <c r="D1592" t="inlineStr">
        <is>
          <t>2</t>
        </is>
      </c>
      <c r="E1592" t="inlineStr">
        <is>
          <t>15</t>
        </is>
      </c>
      <c r="F1592" t="inlineStr">
        <is>
          <t>0</t>
        </is>
      </c>
      <c r="G1592" t="inlineStr">
        <is>
          <t>0</t>
        </is>
      </c>
      <c r="H1592" t="inlineStr">
        <is>
          <t>15², 60¹</t>
        </is>
      </c>
      <c r="I1592" t="n">
        <v>3</v>
      </c>
      <c r="J1592" t="inlineStr">
        <is>
          <t>2³, 8³</t>
        </is>
      </c>
      <c r="K1592">
        <f>HYPERLINK("CSG2.html#group20A2", "20A²"), =HYPERLINK("CSG3.html#group30E3", "30E³")</f>
        <v/>
      </c>
      <c r="L1592">
        <f>HYPERLINK("CSG14.html#group60F14", "60F¹⁴"), =HYPERLINK("CSG14.html#group120D14", "120D¹⁴"), =HYPERLINK("CSG19.html#group60H19", "60H¹⁹")</f>
        <v/>
      </c>
      <c r="M1592">
        <f>HYPERLINK("CSG2.html#group20A2", "20A²"), =HYPERLINK("CSG0.html#group5A0", "5A⁰"), =HYPERLINK("CSG3.html#group30E3", "30E³"), =HYPERLINK("CSG1.html#group10B1", "10B¹"), =HYPERLINK("CSG0.html#group2B0", "2B⁰"), =HYPERLINK("CSG0.html#group4B0", "4B⁰"), =HYPERLINK("CSG0.html#group1A0", "1A⁰"), =HYPERLINK("CSG0.html#group15A0", "15A⁰")</f>
        <v/>
      </c>
      <c r="N1592">
        <f>HYPERLINK("CSG19.html#group60H19", "60H¹⁹"), =HYPERLINK("CSG14.html#group60F14", "60F¹⁴"), =HYPERLINK("CSG14.html#group120D14", "120D¹⁴")</f>
        <v/>
      </c>
    </row>
    <row r="1593">
      <c r="A1593" t="inlineStr">
        <is>
          <t>60D⁷</t>
        </is>
      </c>
      <c r="B1593" t="inlineStr"/>
      <c r="C1593" t="inlineStr">
        <is>
          <t>96</t>
        </is>
      </c>
      <c r="D1593" t="inlineStr">
        <is>
          <t>1</t>
        </is>
      </c>
      <c r="E1593" t="inlineStr">
        <is>
          <t>24</t>
        </is>
      </c>
      <c r="F1593" t="inlineStr">
        <is>
          <t>0</t>
        </is>
      </c>
      <c r="G1593" t="inlineStr">
        <is>
          <t>0</t>
        </is>
      </c>
      <c r="H1593" t="inlineStr">
        <is>
          <t>4¹, 12¹, 20¹, 60¹</t>
        </is>
      </c>
      <c r="I1593" t="n">
        <v>4</v>
      </c>
      <c r="J1593" t="inlineStr">
        <is>
          <t>1⁴, 2², 4², 8¹</t>
        </is>
      </c>
      <c r="K1593">
        <f>HYPERLINK("CSG3.html#group30G3", "30G³")</f>
        <v/>
      </c>
      <c r="L1593">
        <f>HYPERLINK("CSG13.html#group60J13", "60J¹³"), =HYPERLINK("CSG19.html#group60K19", "60K¹⁹"), =HYPERLINK("CSG21.html#group60A21", "60A²¹"), =HYPERLINK("CSG21.html#group60I21", "60I²¹"), =HYPERLINK("CSG21.html#group180C21", "180C²¹"), =HYPERLINK("CSG21.html#group180E21", "180E²¹"), =HYPERLINK("CSG23.html#group180A23", "180A²³"), =HYPERLINK("CSG23.html#group180B23", "180B²³"), =HYPERLINK("CSG23.html#group180E23", "180E²³"), =HYPERLINK("CSG23.html#group180F23", "180F²³")</f>
        <v/>
      </c>
      <c r="M1593">
        <f>HYPERLINK("CSG1.html#group15C1", "15C¹"), =HYPERLINK("CSG0.html#group3B0", "3B⁰"), =HYPERLINK("CSG0.html#group2A0", "2A⁰"), =HYPERLINK("CSG0.html#group6C0", "6C⁰"), =HYPERLINK("CSG0.html#group5B0", "5B⁰"), =HYPERLINK("CSG1.html#group10A1", "10A¹"), =HYPERLINK("CSG3.html#group30G3", "30G³"), =HYPERLINK("CSG0.html#group1A0", "1A⁰")</f>
        <v/>
      </c>
      <c r="N1593">
        <f>HYPERLINK("CSG23.html#group180E23", "180E²³"), =HYPERLINK("CSG23.html#group180F23", "180F²³"), =HYPERLINK("CSG21.html#group60I21", "60I²¹"), =HYPERLINK("CSG23.html#group180B23", "180B²³"), =HYPERLINK("CSG13.html#group60J13", "60J¹³"), =HYPERLINK("CSG21.html#group60A21", "60A²¹"), =HYPERLINK("CSG23.html#group180A23", "180A²³"), =HYPERLINK("CSG21.html#group180C21", "180C²¹"), =HYPERLINK("CSG21.html#group180E21", "180E²¹"), =HYPERLINK("CSG19.html#group60K19", "60K¹⁹")</f>
        <v/>
      </c>
    </row>
    <row r="1594">
      <c r="A1594" t="inlineStr">
        <is>
          <t>60E⁷</t>
        </is>
      </c>
      <c r="B1594" t="inlineStr"/>
      <c r="C1594" t="inlineStr">
        <is>
          <t>96</t>
        </is>
      </c>
      <c r="D1594" t="inlineStr">
        <is>
          <t>1</t>
        </is>
      </c>
      <c r="E1594" t="inlineStr">
        <is>
          <t>24</t>
        </is>
      </c>
      <c r="F1594" t="inlineStr">
        <is>
          <t>0</t>
        </is>
      </c>
      <c r="G1594" t="inlineStr">
        <is>
          <t>0</t>
        </is>
      </c>
      <c r="H1594" t="inlineStr">
        <is>
          <t>4¹, 12¹, 20¹, 60¹</t>
        </is>
      </c>
      <c r="I1594" t="n">
        <v>4</v>
      </c>
      <c r="J1594" t="inlineStr">
        <is>
          <t>1⁴, 2², 4², 8¹</t>
        </is>
      </c>
      <c r="K1594">
        <f>HYPERLINK("CSG0.html#group12B0", "12B⁰"), =HYPERLINK("CSG3.html#group30G3", "30G³")</f>
        <v/>
      </c>
      <c r="L1594">
        <f>HYPERLINK("CSG13.html#group60J13", "60J¹³"), =HYPERLINK("CSG19.html#group60L19", "60L¹⁹"), =HYPERLINK("CSG21.html#group60B21", "60B²¹"), =HYPERLINK("CSG21.html#group60J21", "60J²¹"), =HYPERLINK("CSG21.html#group180D21", "180D²¹"), =HYPERLINK("CSG21.html#group180F21", "180F²¹"), =HYPERLINK("CSG23.html#group180C23", "180C²³"), =HYPERLINK("CSG23.html#group180D23", "180D²³"), =HYPERLINK("CSG23.html#group180G23", "180G²³"), =HYPERLINK("CSG23.html#group180H23", "180H²³")</f>
        <v/>
      </c>
      <c r="M1594">
        <f>HYPERLINK("CSG1.html#group15C1", "15C¹"), =HYPERLINK("CSG0.html#group3B0", "3B⁰"), =HYPERLINK("CSG0.html#group2A0", "2A⁰"), =HYPERLINK("CSG0.html#group6C0", "6C⁰"), =HYPERLINK("CSG0.html#group5B0", "5B⁰"), =HYPERLINK("CSG1.html#group10A1", "10A¹"), =HYPERLINK("CSG3.html#group30G3", "30G³"), =HYPERLINK("CSG0.html#group1A0", "1A⁰"), =HYPERLINK("CSG0.html#group12B0", "12B⁰")</f>
        <v/>
      </c>
      <c r="N1594">
        <f>HYPERLINK("CSG23.html#group180G23", "180G²³"), =HYPERLINK("CSG23.html#group180C23", "180C²³"), =HYPERLINK("CSG21.html#group60B21", "60B²¹"), =HYPERLINK("CSG21.html#group180F21", "180F²¹"), =HYPERLINK("CSG19.html#group60L19", "60L¹⁹"), =HYPERLINK("CSG23.html#group180D23", "180D²³"), =HYPERLINK("CSG13.html#group60J13", "60J¹³"), =HYPERLINK("CSG23.html#group180H23", "180H²³"), =HYPERLINK("CSG21.html#group60J21", "60J²¹"), =HYPERLINK("CSG21.html#group180D21", "180D²¹")</f>
        <v/>
      </c>
    </row>
    <row r="1595">
      <c r="A1595" t="inlineStr">
        <is>
          <t>60F⁷</t>
        </is>
      </c>
      <c r="B1595" t="inlineStr"/>
      <c r="C1595" t="inlineStr">
        <is>
          <t>96</t>
        </is>
      </c>
      <c r="D1595" t="inlineStr">
        <is>
          <t>1</t>
        </is>
      </c>
      <c r="E1595" t="inlineStr">
        <is>
          <t>96</t>
        </is>
      </c>
      <c r="F1595" t="inlineStr">
        <is>
          <t>0</t>
        </is>
      </c>
      <c r="G1595" t="inlineStr">
        <is>
          <t>0</t>
        </is>
      </c>
      <c r="H1595" t="inlineStr">
        <is>
          <t>4¹, 12¹, 20¹, 60¹</t>
        </is>
      </c>
      <c r="I1595" t="n">
        <v>4</v>
      </c>
      <c r="J1595" t="inlineStr">
        <is>
          <t>2⁸, 4⁴, 8⁴, 16²</t>
        </is>
      </c>
      <c r="K1595">
        <f>HYPERLINK("CSG1.html#group12A1", "12A¹"), =HYPERLINK("CSG1.html#group15C1", "15C¹"), =HYPERLINK("CSG1.html#group20B1", "20B¹")</f>
        <v/>
      </c>
      <c r="L1595">
        <f>HYPERLINK("CSG13.html#group60K13", "60K¹³"), =HYPERLINK("CSG13.html#group60L13", "60L¹³"), =HYPERLINK("CSG13.html#group60M13", "60M¹³"), =HYPERLINK("CSG15.html#group120C15", "120C¹⁵"), =HYPERLINK("CSG15.html#group120D15", "120D¹⁵"), =HYPERLINK("CSG19.html#group60N19", "60N¹⁹"), =HYPERLINK("CSG21.html#group60E21", "60E²¹"), =HYPERLINK("CSG21.html#group180G21", "180G²¹"), =HYPERLINK("CSG23.html#group180I23", "180I²³"), =HYPERLINK("CSG23.html#group180J23", "180J²³")</f>
        <v/>
      </c>
      <c r="M1595">
        <f>HYPERLINK("CSG1.html#group15C1", "15C¹"), =HYPERLINK("CSG0.html#group3B0", "3B⁰"), =HYPERLINK("CSG0.html#group4A0", "4A⁰"), =HYPERLINK("CSG1.html#group12A1", "12A¹"), =HYPERLINK("CSG0.html#group5B0", "5B⁰"), =HYPERLINK("CSG0.html#group1A0", "1A⁰"), =HYPERLINK("CSG1.html#group20B1", "20B¹")</f>
        <v/>
      </c>
      <c r="N1595">
        <f>HYPERLINK("CSG15.html#group120C15", "120C¹⁵"), =HYPERLINK("CSG13.html#group60K13", "60K¹³"), =HYPERLINK("CSG19.html#group60N19", "60N¹⁹"), =HYPERLINK("CSG21.html#group60E21", "60E²¹"), =HYPERLINK("CSG23.html#group180I23", "180I²³"), =HYPERLINK("CSG15.html#group120D15", "120D¹⁵"), =HYPERLINK("CSG13.html#group60L13", "60L¹³"), =HYPERLINK("CSG13.html#group60M13", "60M¹³"), =HYPERLINK("CSG21.html#group180G21", "180G²¹"), =HYPERLINK("CSG23.html#group180J23", "180J²³")</f>
        <v/>
      </c>
    </row>
    <row r="1596">
      <c r="A1596" t="inlineStr">
        <is>
          <t>60G⁷</t>
        </is>
      </c>
      <c r="B1596" t="inlineStr"/>
      <c r="C1596" t="inlineStr">
        <is>
          <t>96</t>
        </is>
      </c>
      <c r="D1596" t="inlineStr">
        <is>
          <t>2</t>
        </is>
      </c>
      <c r="E1596" t="inlineStr">
        <is>
          <t>24</t>
        </is>
      </c>
      <c r="F1596" t="inlineStr">
        <is>
          <t>0</t>
        </is>
      </c>
      <c r="G1596" t="inlineStr">
        <is>
          <t>0</t>
        </is>
      </c>
      <c r="H1596" t="inlineStr">
        <is>
          <t>4¹, 12¹, 20¹, 60¹</t>
        </is>
      </c>
      <c r="I1596" t="n">
        <v>4</v>
      </c>
      <c r="J1596" t="inlineStr">
        <is>
          <t>2⁴, 4², 8², 16¹</t>
        </is>
      </c>
      <c r="K1596">
        <f>HYPERLINK("CSG1.html#group20C1", "20C¹"), =HYPERLINK("CSG3.html#group30F3", "30F³")</f>
        <v/>
      </c>
      <c r="L1596">
        <f>HYPERLINK("CSG13.html#group60I13", "60I¹³"), =HYPERLINK("CSG19.html#group60O19", "60O¹⁹"), =HYPERLINK("CSG21.html#group60Q21", "60Q²¹"), =HYPERLINK("CSG21.html#group180H21", "180H²¹"), =HYPERLINK("CSG23.html#group180K23", "180K²³"), =HYPERLINK("CSG23.html#group180L23", "180L²³")</f>
        <v/>
      </c>
      <c r="M1596">
        <f>HYPERLINK("CSG1.html#group15C1", "15C¹"), =HYPERLINK("CSG1.html#group20C1", "20C¹"), =HYPERLINK("CSG0.html#group3B0", "3B⁰"), =HYPERLINK("CSG3.html#group30F3", "30F³"), =HYPERLINK("CSG0.html#group5B0", "5B⁰"), =HYPERLINK("CSG0.html#group1A0", "1A⁰"), =HYPERLINK("CSG0.html#group10B0", "10B⁰")</f>
        <v/>
      </c>
      <c r="N1596">
        <f>HYPERLINK("CSG19.html#group60O19", "60O¹⁹"), =HYPERLINK("CSG21.html#group180H21", "180H²¹"), =HYPERLINK("CSG23.html#group180K23", "180K²³"), =HYPERLINK("CSG21.html#group60Q21", "60Q²¹"), =HYPERLINK("CSG13.html#group60I13", "60I¹³"), =HYPERLINK("CSG23.html#group180L23", "180L²³")</f>
        <v/>
      </c>
    </row>
    <row r="1597">
      <c r="A1597" t="inlineStr">
        <is>
          <t>60H⁷</t>
        </is>
      </c>
      <c r="B1597" t="inlineStr"/>
      <c r="C1597" t="inlineStr">
        <is>
          <t>108</t>
        </is>
      </c>
      <c r="D1597" t="inlineStr">
        <is>
          <t>1</t>
        </is>
      </c>
      <c r="E1597" t="inlineStr">
        <is>
          <t>18</t>
        </is>
      </c>
      <c r="F1597" t="inlineStr">
        <is>
          <t>0</t>
        </is>
      </c>
      <c r="G1597" t="inlineStr">
        <is>
          <t>0</t>
        </is>
      </c>
      <c r="H1597" t="inlineStr">
        <is>
          <t>3², 12¹, 15², 60¹</t>
        </is>
      </c>
      <c r="I1597" t="n">
        <v>6</v>
      </c>
      <c r="J1597" t="inlineStr">
        <is>
          <t>1⁶, 4³</t>
        </is>
      </c>
      <c r="K1597">
        <f>HYPERLINK("CSG1.html#group12B1", "12B¹"), =HYPERLINK("CSG1.html#group20D1", "20D¹"), =HYPERLINK("CSG2.html#group30E2", "30E²")</f>
        <v/>
      </c>
      <c r="L1597">
        <f>HYPERLINK("CSG13.html#group60N13", "60N¹³"), =HYPERLINK("CSG13.html#group60R13", "60R¹³"), =HYPERLINK("CSG13.html#group60T13", "60T¹³"), =HYPERLINK("CSG15.html#group60B15", "60B¹⁵"), =HYPERLINK("CSG15.html#group60D15", "60D¹⁵"), =HYPERLINK("CSG15.html#group60K15", "60K¹⁵"), =HYPERLINK("CSG15.html#group60M15", "60M¹⁵"), =HYPERLINK("CSG15.html#group120E15", "120E¹⁵"), =HYPERLINK("CSG15.html#group120F15", "120F¹⁵"), =HYPERLINK("CSG15.html#group120I15", "120I¹⁵"), =HYPERLINK("CSG15.html#group120J15", "120J¹⁵")</f>
        <v/>
      </c>
      <c r="M1597">
        <f>HYPERLINK("CSG0.html#group15B0", "15B⁰"), =HYPERLINK("CSG0.html#group3A0", "3A⁰"), =HYPERLINK("CSG2.html#group30E2", "30E²"), =HYPERLINK("CSG0.html#group5B0", "5B⁰"), =HYPERLINK("CSG0.html#group10C0", "10C⁰"), =HYPERLINK("CSG1.html#group20D1", "20D¹"), =HYPERLINK("CSG1.html#group12B1", "12B¹"), =HYPERLINK("CSG0.html#group2B0", "2B⁰"), =HYPERLINK("CSG0.html#group4B0", "4B⁰"), =HYPERLINK("CSG0.html#group1A0", "1A⁰"), =HYPERLINK("CSG0.html#group6D0", "6D⁰")</f>
        <v/>
      </c>
      <c r="N1597">
        <f>HYPERLINK("CSG15.html#group120I15", "120I¹⁵"), =HYPERLINK("CSG15.html#group60B15", "60B¹⁵"), =HYPERLINK("CSG15.html#group120E15", "120E¹⁵"), =HYPERLINK("CSG15.html#group60D15", "60D¹⁵"), =HYPERLINK("CSG15.html#group60M15", "60M¹⁵"), =HYPERLINK("CSG15.html#group60K15", "60K¹⁵"), =HYPERLINK("CSG13.html#group60N13", "60N¹³"), =HYPERLINK("CSG15.html#group120J15", "120J¹⁵"), =HYPERLINK("CSG13.html#group60T13", "60T¹³"), =HYPERLINK("CSG15.html#group120F15", "120F¹⁵"), =HYPERLINK("CSG13.html#group60R13", "60R¹³")</f>
        <v/>
      </c>
    </row>
    <row r="1598">
      <c r="A1598" t="inlineStr">
        <is>
          <t>60I⁷</t>
        </is>
      </c>
      <c r="B1598" t="inlineStr"/>
      <c r="C1598" t="inlineStr">
        <is>
          <t>108</t>
        </is>
      </c>
      <c r="D1598" t="inlineStr">
        <is>
          <t>1</t>
        </is>
      </c>
      <c r="E1598" t="inlineStr">
        <is>
          <t>54</t>
        </is>
      </c>
      <c r="F1598" t="inlineStr">
        <is>
          <t>4</t>
        </is>
      </c>
      <c r="G1598" t="inlineStr">
        <is>
          <t>0</t>
        </is>
      </c>
      <c r="H1598" t="inlineStr">
        <is>
          <t>6¹, 12¹, 30¹, 60¹</t>
        </is>
      </c>
      <c r="I1598" t="n">
        <v>4</v>
      </c>
      <c r="J1598" t="inlineStr">
        <is>
          <t>1⁶, 2⁶, 4³, 8³</t>
        </is>
      </c>
      <c r="K1598">
        <f>HYPERLINK("CSG1.html#group12C1", "12C¹"), =HYPERLINK("CSG2.html#group30E2", "30E²")</f>
        <v/>
      </c>
      <c r="L1598">
        <f>HYPERLINK("CSG13.html#group60V13", "60V¹³"), =HYPERLINK("CSG13.html#group60W13", "60W¹³"), =HYPERLINK("CSG13.html#group60Y13", "60Y¹³"), =HYPERLINK("CSG13.html#group60AC13", "60AC¹³"), =HYPERLINK("CSG13.html#group60AF13", "60AF¹³"), =HYPERLINK("CSG15.html#group60E15", "60E¹⁵"), =HYPERLINK("CSG15.html#group60F15", "60F¹⁵"), =HYPERLINK("CSG15.html#group60J15", "60J¹⁵"), =HYPERLINK("CSG15.html#group60M15", "60M¹⁵"), =HYPERLINK("CSG15.html#group60N15", "60N¹⁵"), =HYPERLINK("CSG15.html#group60O15", "60O¹⁵"), =HYPERLINK("CSG23.html#group180N23", "180N²³")</f>
        <v/>
      </c>
      <c r="M1598">
        <f>HYPERLINK("CSG0.html#group15B0", "15B⁰"), =HYPERLINK("CSG2.html#group30E2", "30E²"), =HYPERLINK("CSG1.html#group12C1", "12C¹"), =HYPERLINK("CSG0.html#group5B0", "5B⁰"), =HYPERLINK("CSG0.html#group10C0", "10C⁰"), =HYPERLINK("CSG0.html#group2B0", "2B⁰"), =HYPERLINK("CSG0.html#group3A0", "3A⁰"), =HYPERLINK("CSG0.html#group1A0", "1A⁰"), =HYPERLINK("CSG0.html#group6D0", "6D⁰")</f>
        <v/>
      </c>
      <c r="N1598">
        <f>HYPERLINK("CSG15.html#group60J15", "60J¹⁵"), =HYPERLINK("CSG13.html#group60AC13", "60AC¹³"), =HYPERLINK("CSG13.html#group60Y13", "60Y¹³"), =HYPERLINK("CSG15.html#group60M15", "60M¹⁵"), =HYPERLINK("CSG15.html#group60F15", "60F¹⁵"), =HYPERLINK("CSG15.html#group60E15", "60E¹⁵"), =HYPERLINK("CSG15.html#group60N15", "60N¹⁵"), =HYPERLINK("CSG13.html#group60AF13", "60AF¹³"), =HYPERLINK("CSG13.html#group60V13", "60V¹³"), =HYPERLINK("CSG15.html#group60O15", "60O¹⁵"), =HYPERLINK("CSG13.html#group60W13", "60W¹³"), =HYPERLINK("CSG23.html#group180N23", "180N²³")</f>
        <v/>
      </c>
    </row>
    <row r="1599">
      <c r="A1599" t="inlineStr">
        <is>
          <t>60J⁷</t>
        </is>
      </c>
      <c r="B1599" t="inlineStr"/>
      <c r="C1599" t="inlineStr">
        <is>
          <t>120</t>
        </is>
      </c>
      <c r="D1599" t="inlineStr">
        <is>
          <t>1</t>
        </is>
      </c>
      <c r="E1599" t="inlineStr">
        <is>
          <t>40</t>
        </is>
      </c>
      <c r="F1599" t="inlineStr">
        <is>
          <t>12</t>
        </is>
      </c>
      <c r="G1599" t="inlineStr">
        <is>
          <t>0</t>
        </is>
      </c>
      <c r="H1599" t="inlineStr">
        <is>
          <t>60²</t>
        </is>
      </c>
      <c r="I1599" t="n">
        <v>2</v>
      </c>
      <c r="J1599" t="inlineStr">
        <is>
          <t>4², 8⁴</t>
        </is>
      </c>
      <c r="K1599">
        <f>HYPERLINK("CSG0.html#group12A0", "12A⁰"), =HYPERLINK("CSG1.html#group15D1", "15D¹"), =HYPERLINK("CSG2.html#group20E2", "20E²")</f>
        <v/>
      </c>
      <c r="L1599">
        <f>HYPERLINK("CSG13.html#group60AH13", "60AH¹³"), =HYPERLINK("CSG15.html#group60W15", "60W¹⁵"), =HYPERLINK("CSG15.html#group60X15", "60X¹⁵"), =HYPERLINK("CSG17.html#group60H17", "60H¹⁷"), =HYPERLINK("CSG17.html#group60I17", "60I¹⁷"), =HYPERLINK("CSG17.html#group120E17", "120E¹⁷"), =HYPERLINK("CSG17.html#group120F17", "120F¹⁷"), =HYPERLINK("CSG17.html#group120G17", "120G¹⁷"), =HYPERLINK("CSG17.html#group120H17", "120H¹⁷"), =HYPERLINK("CSG19.html#group60E19", "60E¹⁹"), =HYPERLINK("CSG19.html#group60F19", "60F¹⁹")</f>
        <v/>
      </c>
      <c r="M1599">
        <f>HYPERLINK("CSG1.html#group15D1", "15D¹"), =HYPERLINK("CSG0.html#group12A0", "12A⁰"), =HYPERLINK("CSG0.html#group4A0", "4A⁰"), =HYPERLINK("CSG0.html#group5C0", "5C⁰"), =HYPERLINK("CSG0.html#group3A0", "3A⁰"), =HYPERLINK("CSG0.html#group1A0", "1A⁰"), =HYPERLINK("CSG2.html#group20E2", "20E²")</f>
        <v/>
      </c>
      <c r="N1599">
        <f>HYPERLINK("CSG19.html#group60E19", "60E¹⁹"), =HYPERLINK("CSG19.html#group60F19", "60F¹⁹"), =HYPERLINK("CSG15.html#group60X15", "60X¹⁵"), =HYPERLINK("CSG17.html#group120E17", "120E¹⁷"), =HYPERLINK("CSG15.html#group60W15", "60W¹⁵"), =HYPERLINK("CSG13.html#group60AH13", "60AH¹³"), =HYPERLINK("CSG17.html#group120H17", "120H¹⁷"), =HYPERLINK("CSG17.html#group60H17", "60H¹⁷"), =HYPERLINK("CSG17.html#group120F17", "120F¹⁷"), =HYPERLINK("CSG17.html#group120G17", "120G¹⁷"), =HYPERLINK("CSG17.html#group60I17", "60I¹⁷")</f>
        <v/>
      </c>
    </row>
    <row r="1600">
      <c r="A1600" t="inlineStr">
        <is>
          <t>60K⁷</t>
        </is>
      </c>
      <c r="B1600" t="inlineStr"/>
      <c r="C1600" t="inlineStr">
        <is>
          <t>120</t>
        </is>
      </c>
      <c r="D1600" t="inlineStr">
        <is>
          <t>2</t>
        </is>
      </c>
      <c r="E1600" t="inlineStr">
        <is>
          <t>10</t>
        </is>
      </c>
      <c r="F1600" t="inlineStr">
        <is>
          <t>12</t>
        </is>
      </c>
      <c r="G1600" t="inlineStr">
        <is>
          <t>0</t>
        </is>
      </c>
      <c r="H1600" t="inlineStr">
        <is>
          <t>60²</t>
        </is>
      </c>
      <c r="I1600" t="n">
        <v>2</v>
      </c>
      <c r="J1600" t="inlineStr">
        <is>
          <t>4¹, 8²</t>
        </is>
      </c>
      <c r="K1600">
        <f>HYPERLINK("CSG1.html#group20F1", "20F¹"), =HYPERLINK("CSG2.html#group30F2", "30F²")</f>
        <v/>
      </c>
      <c r="L1600">
        <f>HYPERLINK("CSG15.html#group60Z15", "60Z¹⁵"), =HYPERLINK("CSG17.html#group60K17", "60K¹⁷"), =HYPERLINK("CSG19.html#group60B19", "60B¹⁹")</f>
        <v/>
      </c>
      <c r="M1600">
        <f>HYPERLINK("CSG1.html#group15D1", "15D¹"), =HYPERLINK("CSG0.html#group1A0", "1A⁰"), =HYPERLINK("CSG0.html#group3A0", "3A⁰"), =HYPERLINK("CSG2.html#group30F2", "30F²"), =HYPERLINK("CSG0.html#group10D0", "10D⁰"), =HYPERLINK("CSG0.html#group5C0", "5C⁰"), =HYPERLINK("CSG1.html#group20F1", "20F¹")</f>
        <v/>
      </c>
      <c r="N1600">
        <f>HYPERLINK("CSG17.html#group60K17", "60K¹⁷"), =HYPERLINK("CSG19.html#group60B19", "60B¹⁹"), =HYPERLINK("CSG15.html#group60Z15", "60Z¹⁵")</f>
        <v/>
      </c>
    </row>
    <row r="1601">
      <c r="A1601" t="inlineStr">
        <is>
          <t>60L⁷</t>
        </is>
      </c>
      <c r="B1601" t="inlineStr"/>
      <c r="C1601" t="inlineStr">
        <is>
          <t>120</t>
        </is>
      </c>
      <c r="D1601" t="inlineStr">
        <is>
          <t>2</t>
        </is>
      </c>
      <c r="E1601" t="inlineStr">
        <is>
          <t>30</t>
        </is>
      </c>
      <c r="F1601" t="inlineStr">
        <is>
          <t>12</t>
        </is>
      </c>
      <c r="G1601" t="inlineStr">
        <is>
          <t>0</t>
        </is>
      </c>
      <c r="H1601" t="inlineStr">
        <is>
          <t>60²</t>
        </is>
      </c>
      <c r="I1601" t="n">
        <v>2</v>
      </c>
      <c r="J1601" t="inlineStr">
        <is>
          <t>4¹, 8³, 16²</t>
        </is>
      </c>
      <c r="K1601">
        <f>HYPERLINK("CSG2.html#group30F2", "30F²")</f>
        <v/>
      </c>
      <c r="L1601">
        <f>HYPERLINK("CSG15.html#group60R15", "60R¹⁵"), =HYPERLINK("CSG15.html#group60S15", "60S¹⁵"), =HYPERLINK("CSG15.html#group60Z15", "60Z¹⁵"), =HYPERLINK("CSG17.html#group60J17", "60J¹⁷"), =HYPERLINK("CSG17.html#group60K17", "60K¹⁷"), =HYPERLINK("CSG19.html#group60D19", "60D¹⁹")</f>
        <v/>
      </c>
      <c r="M1601">
        <f>HYPERLINK("CSG1.html#group15D1", "15D¹"), =HYPERLINK("CSG0.html#group1A0", "1A⁰"), =HYPERLINK("CSG0.html#group3A0", "3A⁰"), =HYPERLINK("CSG2.html#group30F2", "30F²"), =HYPERLINK("CSG0.html#group10D0", "10D⁰"), =HYPERLINK("CSG0.html#group5C0", "5C⁰")</f>
        <v/>
      </c>
      <c r="N1601">
        <f>HYPERLINK("CSG15.html#group60S15", "60S¹⁵"), =HYPERLINK("CSG17.html#group60K17", "60K¹⁷"), =HYPERLINK("CSG15.html#group60R15", "60R¹⁵"), =HYPERLINK("CSG17.html#group60J17", "60J¹⁷"), =HYPERLINK("CSG15.html#group60Z15", "60Z¹⁵"), =HYPERLINK("CSG19.html#group60D19", "60D¹⁹")</f>
        <v/>
      </c>
    </row>
    <row r="1602">
      <c r="A1602" t="inlineStr">
        <is>
          <t>60M⁷</t>
        </is>
      </c>
      <c r="B1602" t="inlineStr"/>
      <c r="C1602" t="inlineStr">
        <is>
          <t>144</t>
        </is>
      </c>
      <c r="D1602" t="inlineStr">
        <is>
          <t>1</t>
        </is>
      </c>
      <c r="E1602" t="inlineStr">
        <is>
          <t>18</t>
        </is>
      </c>
      <c r="F1602" t="inlineStr">
        <is>
          <t>16</t>
        </is>
      </c>
      <c r="G1602" t="inlineStr">
        <is>
          <t>0</t>
        </is>
      </c>
      <c r="H1602" t="inlineStr">
        <is>
          <t>12², 60²</t>
        </is>
      </c>
      <c r="I1602" t="n">
        <v>4</v>
      </c>
      <c r="J1602" t="inlineStr">
        <is>
          <t>2², 4², 8¹, 16¹</t>
        </is>
      </c>
      <c r="K1602">
        <f>HYPERLINK("CSG1.html#group30D1", "30D¹"), =HYPERLINK("CSG3.html#group60D3", "60D³")</f>
        <v/>
      </c>
      <c r="L1602">
        <f>HYPERLINK("CSG17.html#group60X17", "60X¹⁷"), =HYPERLINK("CSG21.html#group60C21", "60C²¹")</f>
        <v/>
      </c>
      <c r="M1602">
        <f>HYPERLINK("CSG0.html#group30A0", "30A⁰"), =HYPERLINK("CSG0.html#group15B0", "15B⁰"), =HYPERLINK("CSG0.html#group6B0", "6B⁰"), =HYPERLINK("CSG1.html#group30C1", "30C¹"), =HYPERLINK("CSG0.html#group5B0", "5B⁰"), =HYPERLINK("CSG3.html#group60D3", "60D³"), =HYPERLINK("CSG0.html#group10B0", "10B⁰"), =HYPERLINK("CSG0.html#group3A0", "3A⁰"), =HYPERLINK("CSG0.html#group1A0", "1A⁰"), =HYPERLINK("CSG0.html#group15C0", "15C⁰"), =HYPERLINK("CSG1.html#group30D1", "30D¹")</f>
        <v/>
      </c>
      <c r="N1602">
        <f>HYPERLINK("CSG17.html#group60X17", "60X¹⁷"), =HYPERLINK("CSG21.html#group60C21", "60C²¹")</f>
        <v/>
      </c>
    </row>
    <row r="1603">
      <c r="A1603" t="inlineStr">
        <is>
          <t>60N⁷</t>
        </is>
      </c>
      <c r="B1603" t="inlineStr"/>
      <c r="C1603" t="inlineStr">
        <is>
          <t>144</t>
        </is>
      </c>
      <c r="D1603" t="inlineStr">
        <is>
          <t>1</t>
        </is>
      </c>
      <c r="E1603" t="inlineStr">
        <is>
          <t>18</t>
        </is>
      </c>
      <c r="F1603" t="inlineStr">
        <is>
          <t>16</t>
        </is>
      </c>
      <c r="G1603" t="inlineStr">
        <is>
          <t>0</t>
        </is>
      </c>
      <c r="H1603" t="inlineStr">
        <is>
          <t>12², 60²</t>
        </is>
      </c>
      <c r="I1603" t="n">
        <v>4</v>
      </c>
      <c r="J1603" t="inlineStr">
        <is>
          <t>2², 4², 8¹, 16¹</t>
        </is>
      </c>
      <c r="K1603">
        <f>HYPERLINK("CSG1.html#group30D1", "30D¹"), =HYPERLINK("CSG3.html#group60D3", "60D³")</f>
        <v/>
      </c>
      <c r="L1603">
        <f>HYPERLINK("CSG17.html#group60X17", "60X¹⁷"), =HYPERLINK("CSG21.html#group60C21", "60C²¹")</f>
        <v/>
      </c>
      <c r="M1603">
        <f>HYPERLINK("CSG0.html#group30A0", "30A⁰"), =HYPERLINK("CSG0.html#group15B0", "15B⁰"), =HYPERLINK("CSG0.html#group6B0", "6B⁰"), =HYPERLINK("CSG1.html#group30C1", "30C¹"), =HYPERLINK("CSG0.html#group5B0", "5B⁰"), =HYPERLINK("CSG3.html#group60D3", "60D³"), =HYPERLINK("CSG0.html#group10B0", "10B⁰"), =HYPERLINK("CSG0.html#group3A0", "3A⁰"), =HYPERLINK("CSG0.html#group1A0", "1A⁰"), =HYPERLINK("CSG0.html#group15C0", "15C⁰"), =HYPERLINK("CSG1.html#group30D1", "30D¹")</f>
        <v/>
      </c>
      <c r="N1603">
        <f>HYPERLINK("CSG17.html#group60X17", "60X¹⁷"), =HYPERLINK("CSG21.html#group60C21", "60C²¹")</f>
        <v/>
      </c>
    </row>
    <row r="1604">
      <c r="A1604" t="inlineStr">
        <is>
          <t>60O⁷</t>
        </is>
      </c>
      <c r="B1604" t="inlineStr"/>
      <c r="C1604" t="inlineStr">
        <is>
          <t>144</t>
        </is>
      </c>
      <c r="D1604" t="inlineStr">
        <is>
          <t>1</t>
        </is>
      </c>
      <c r="E1604" t="inlineStr">
        <is>
          <t>72</t>
        </is>
      </c>
      <c r="F1604" t="inlineStr">
        <is>
          <t>0</t>
        </is>
      </c>
      <c r="G1604" t="inlineStr">
        <is>
          <t>0</t>
        </is>
      </c>
      <c r="H1604" t="inlineStr">
        <is>
          <t>1², 3², 4¹, 5², 12¹, 15², 20¹, 60¹</t>
        </is>
      </c>
      <c r="I1604" t="n">
        <v>12</v>
      </c>
      <c r="J1604" t="inlineStr">
        <is>
          <t>1¹², 2⁶, 4⁶, 8³</t>
        </is>
      </c>
      <c r="K1604">
        <f>HYPERLINK("CSG0.html#group20A0", "20A⁰"), =HYPERLINK("CSG3.html#group30K3", "30K³")</f>
        <v/>
      </c>
      <c r="L1604">
        <f>HYPERLINK("CSG13.html#group60AJ13", "60AJ¹³"), =HYPERLINK("CSG15.html#group120M15", "120M¹⁵"), =HYPERLINK("CSG17.html#group60P17", "60P¹⁷"), =HYPERLINK("CSG17.html#group60S17", "60S¹⁷"), =HYPERLINK("CSG19.html#group120M19", "120M¹⁹")</f>
        <v/>
      </c>
      <c r="M1604">
        <f>HYPERLINK("CSG1.html#group15C1", "15C¹"), =HYPERLINK("CSG0.html#group20A0", "20A⁰"), =HYPERLINK("CSG0.html#group3B0", "3B⁰"), =HYPERLINK("CSG0.html#group5B0", "5B⁰"), =HYPERLINK("CSG0.html#group10C0", "10C⁰"), =HYPERLINK("CSG0.html#group6F0", "6F⁰"), =HYPERLINK("CSG0.html#group2B0", "2B⁰"), =HYPERLINK("CSG3.html#group30K3", "30K³"), =HYPERLINK("CSG0.html#group1A0", "1A⁰")</f>
        <v/>
      </c>
      <c r="N1604">
        <f>HYPERLINK("CSG17.html#group60P17", "60P¹⁷"), =HYPERLINK("CSG19.html#group120M19", "120M¹⁹"), =HYPERLINK("CSG15.html#group120M15", "120M¹⁵"), =HYPERLINK("CSG17.html#group60S17", "60S¹⁷"), =HYPERLINK("CSG13.html#group60AJ13", "60AJ¹³")</f>
        <v/>
      </c>
    </row>
    <row r="1605">
      <c r="A1605" t="inlineStr">
        <is>
          <t>60P⁷</t>
        </is>
      </c>
      <c r="B1605" t="inlineStr">
        <is>
          <t>Γ₀(60)</t>
        </is>
      </c>
      <c r="C1605" t="inlineStr">
        <is>
          <t>144</t>
        </is>
      </c>
      <c r="D1605" t="inlineStr">
        <is>
          <t>1</t>
        </is>
      </c>
      <c r="E1605" t="inlineStr">
        <is>
          <t>72</t>
        </is>
      </c>
      <c r="F1605" t="inlineStr">
        <is>
          <t>0</t>
        </is>
      </c>
      <c r="G1605" t="inlineStr">
        <is>
          <t>0</t>
        </is>
      </c>
      <c r="H1605" t="inlineStr">
        <is>
          <t>1², 3², 4¹, 5², 12¹, 15², 20¹, 60¹</t>
        </is>
      </c>
      <c r="I1605" t="n">
        <v>12</v>
      </c>
      <c r="J1605" t="inlineStr">
        <is>
          <t>1¹², 2⁶, 4⁶, 8³</t>
        </is>
      </c>
      <c r="K1605">
        <f>HYPERLINK("CSG0.html#group12E0", "12E⁰"), =HYPERLINK("CSG1.html#group20D1", "20D¹"), =HYPERLINK("CSG3.html#group30K3", "30K³")</f>
        <v/>
      </c>
      <c r="L1605">
        <f>HYPERLINK("CSG13.html#group60AJ13", "60AJ¹³"), =HYPERLINK("CSG15.html#group60AC15", "60AC¹⁵"), =HYPERLINK("CSG15.html#group60AD15", "60AD¹⁵"), =HYPERLINK("CSG15.html#group120K15", "120K¹⁵"), =HYPERLINK("CSG15.html#group120L15", "120L¹⁵"), =HYPERLINK("CSG17.html#group60R17", "60R¹⁷"), =HYPERLINK("CSG17.html#group60T17", "60T¹⁷"), =HYPERLINK("CSG17.html#group120N17", "120N¹⁷"), =HYPERLINK("CSG17.html#group120O17", "120O¹⁷"), =HYPERLINK("CSG19.html#group120E19", "120E¹⁹"), =HYPERLINK("CSG19.html#group120F19", "120F¹⁹")</f>
        <v/>
      </c>
      <c r="M1605">
        <f>HYPERLINK("CSG1.html#group15C1", "15C¹"), =HYPERLINK("CSG0.html#group3B0", "3B⁰"), =HYPERLINK("CSG0.html#group5B0", "5B⁰"), =HYPERLINK("CSG0.html#group10C0", "10C⁰"), =HYPERLINK("CSG0.html#group1A0", "1A⁰"), =HYPERLINK("CSG1.html#group20D1", "20D¹"), =HYPERLINK("CSG3.html#group30K3", "30K³"), =HYPERLINK("CSG0.html#group2B0", "2B⁰"), =HYPERLINK("CSG0.html#group4B0", "4B⁰"), =HYPERLINK("CSG0.html#group6F0", "6F⁰"), =HYPERLINK("CSG0.html#group12E0", "12E⁰")</f>
        <v/>
      </c>
      <c r="N1605">
        <f>HYPERLINK("CSG17.html#group60T17", "60T¹⁷"), =HYPERLINK("CSG15.html#group60AD15", "60AD¹⁵"), =HYPERLINK("CSG17.html#group120O17", "120O¹⁷"), =HYPERLINK("CSG15.html#group120L15", "120L¹⁵"), =HYPERLINK("CSG19.html#group120E19", "120E¹⁹"), =HYPERLINK("CSG15.html#group120K15", "120K¹⁵"), =HYPERLINK("CSG17.html#group60R17", "60R¹⁷"), =HYPERLINK("CSG15.html#group60AC15", "60AC¹⁵"), =HYPERLINK("CSG17.html#group120N17", "120N¹⁷"), =HYPERLINK("CSG13.html#group60AJ13", "60AJ¹³"), =HYPERLINK("CSG19.html#group120F19", "120F¹⁹")</f>
        <v/>
      </c>
    </row>
    <row r="1606">
      <c r="A1606" t="inlineStr">
        <is>
          <t>60Q⁷</t>
        </is>
      </c>
      <c r="B1606" t="inlineStr"/>
      <c r="C1606" t="inlineStr">
        <is>
          <t>144</t>
        </is>
      </c>
      <c r="D1606" t="inlineStr">
        <is>
          <t>1</t>
        </is>
      </c>
      <c r="E1606" t="inlineStr">
        <is>
          <t>72</t>
        </is>
      </c>
      <c r="F1606" t="inlineStr">
        <is>
          <t>16</t>
        </is>
      </c>
      <c r="G1606" t="inlineStr">
        <is>
          <t>0</t>
        </is>
      </c>
      <c r="H1606" t="inlineStr">
        <is>
          <t>12², 60²</t>
        </is>
      </c>
      <c r="I1606" t="n">
        <v>4</v>
      </c>
      <c r="J1606" t="inlineStr">
        <is>
          <t>2⁴, 4⁴, 8², 16²</t>
        </is>
      </c>
      <c r="K1606">
        <f>HYPERLINK("CSG0.html#group15C0", "15C⁰"), =HYPERLINK("CSG3.html#group60B3", "60B³")</f>
        <v/>
      </c>
      <c r="L1606">
        <f>HYPERLINK("CSG13.html#group60AK13", "60AK¹³"), =HYPERLINK("CSG17.html#group60U17", "60U¹⁷"), =HYPERLINK("CSG17.html#group60Y17", "60Y¹⁷"), =HYPERLINK("CSG19.html#group120O19", "120O¹⁹"), =HYPERLINK("CSG19.html#group120N19", "120N¹⁹"), =HYPERLINK("CSG19.html#group120R19", "120R¹⁹"), =HYPERLINK("CSG19.html#group120S19", "120S¹⁹"), =HYPERLINK("CSG21.html#group60L21", "60L²¹"), =HYPERLINK("CSG21.html#group60M21", "60M²¹")</f>
        <v/>
      </c>
      <c r="M1606">
        <f>HYPERLINK("CSG0.html#group15B0", "15B⁰"), =HYPERLINK("CSG0.html#group12A0", "12A⁰"), =HYPERLINK("CSG0.html#group4A0", "4A⁰"), =HYPERLINK("CSG0.html#group5B0", "5B⁰"), =HYPERLINK("CSG3.html#group60B3", "60B³"), =HYPERLINK("CSG0.html#group3A0", "3A⁰"), =HYPERLINK("CSG0.html#group1A0", "1A⁰"), =HYPERLINK("CSG1.html#group20B1", "20B¹"), =HYPERLINK("CSG0.html#group15C0", "15C⁰")</f>
        <v/>
      </c>
      <c r="N1606">
        <f>HYPERLINK("CSG19.html#group120N19", "120N¹⁹"), =HYPERLINK("CSG19.html#group120S19", "120S¹⁹"), =HYPERLINK("CSG17.html#group60U17", "60U¹⁷"), =HYPERLINK("CSG13.html#group60AK13", "60AK¹³"), =HYPERLINK("CSG17.html#group60Y17", "60Y¹⁷"), =HYPERLINK("CSG21.html#group60L21", "60L²¹"), =HYPERLINK("CSG19.html#group120R19", "120R¹⁹"), =HYPERLINK("CSG21.html#group60M21", "60M²¹"), =HYPERLINK("CSG19.html#group120O19", "120O¹⁹")</f>
        <v/>
      </c>
    </row>
    <row r="1607">
      <c r="A1607" t="inlineStr">
        <is>
          <t>60R⁷</t>
        </is>
      </c>
      <c r="B1607" t="inlineStr"/>
      <c r="C1607" t="inlineStr">
        <is>
          <t>144</t>
        </is>
      </c>
      <c r="D1607" t="inlineStr">
        <is>
          <t>1</t>
        </is>
      </c>
      <c r="E1607" t="inlineStr">
        <is>
          <t>72</t>
        </is>
      </c>
      <c r="F1607" t="inlineStr">
        <is>
          <t>16</t>
        </is>
      </c>
      <c r="G1607" t="inlineStr">
        <is>
          <t>0</t>
        </is>
      </c>
      <c r="H1607" t="inlineStr">
        <is>
          <t>12², 60²</t>
        </is>
      </c>
      <c r="I1607" t="n">
        <v>4</v>
      </c>
      <c r="J1607" t="inlineStr">
        <is>
          <t>2⁴, 4⁴, 8², 16²</t>
        </is>
      </c>
      <c r="K1607">
        <f>HYPERLINK("CSG0.html#group12F0", "12F⁰"), =HYPERLINK("CSG1.html#group30C1", "30C¹"), =HYPERLINK("CSG3.html#group60B3", "60B³")</f>
        <v/>
      </c>
      <c r="L1607">
        <f>HYPERLINK("CSG13.html#group60AK13", "60AK¹³"), =HYPERLINK("CSG17.html#group60V17", "60V¹⁷"), =HYPERLINK("CSG17.html#group60Y17", "60Y¹⁷"), =HYPERLINK("CSG19.html#group120G19", "120G¹⁹"), =HYPERLINK("CSG19.html#group120H19", "120H¹⁹"), =HYPERLINK("CSG19.html#group120I19", "120I¹⁹"), =HYPERLINK("CSG19.html#group120J19", "120J¹⁹"), =HYPERLINK("CSG19.html#group120P19", "120P¹⁹"), =HYPERLINK("CSG19.html#group120Q19", "120Q¹⁹"), =HYPERLINK("CSG21.html#group60N21", "60N²¹"), =HYPERLINK("CSG21.html#group60O21", "60O²¹")</f>
        <v/>
      </c>
      <c r="M1607">
        <f>HYPERLINK("CSG0.html#group15B0", "15B⁰"), =HYPERLINK("CSG0.html#group12A0", "12A⁰"), =HYPERLINK("CSG0.html#group6B0", "6B⁰"), =HYPERLINK("CSG0.html#group4A0", "4A⁰"), =HYPERLINK("CSG0.html#group12F0", "12F⁰"), =HYPERLINK("CSG0.html#group5B0", "5B⁰"), =HYPERLINK("CSG3.html#group60B3", "60B³"), =HYPERLINK("CSG0.html#group3A0", "3A⁰"), =HYPERLINK("CSG0.html#group1A0", "1A⁰"), =HYPERLINK("CSG1.html#group20B1", "20B¹"), =HYPERLINK("CSG1.html#group30C1", "30C¹")</f>
        <v/>
      </c>
      <c r="N1607">
        <f>HYPERLINK("CSG19.html#group120I19", "120I¹⁹"), =HYPERLINK("CSG19.html#group120H19", "120H¹⁹"), =HYPERLINK("CSG21.html#group60N21", "60N²¹"), =HYPERLINK("CSG13.html#group60AK13", "60AK¹³"), =HYPERLINK("CSG19.html#group120Q19", "120Q¹⁹"), =HYPERLINK("CSG17.html#group60Y17", "60Y¹⁷"), =HYPERLINK("CSG19.html#group120J19", "120J¹⁹"), =HYPERLINK("CSG17.html#group60V17", "60V¹⁷"), =HYPERLINK("CSG19.html#group120P19", "120P¹⁹"), =HYPERLINK("CSG19.html#group120G19", "120G¹⁹"), =HYPERLINK("CSG21.html#group60O21", "60O²¹")</f>
        <v/>
      </c>
    </row>
    <row r="1608">
      <c r="A1608" t="inlineStr">
        <is>
          <t>60S⁷</t>
        </is>
      </c>
      <c r="B1608" t="inlineStr"/>
      <c r="C1608" t="inlineStr">
        <is>
          <t>144</t>
        </is>
      </c>
      <c r="D1608" t="inlineStr">
        <is>
          <t>2</t>
        </is>
      </c>
      <c r="E1608" t="inlineStr">
        <is>
          <t>18</t>
        </is>
      </c>
      <c r="F1608" t="inlineStr">
        <is>
          <t>16</t>
        </is>
      </c>
      <c r="G1608" t="inlineStr">
        <is>
          <t>0</t>
        </is>
      </c>
      <c r="H1608" t="inlineStr">
        <is>
          <t>12², 60²</t>
        </is>
      </c>
      <c r="I1608" t="n">
        <v>4</v>
      </c>
      <c r="J1608" t="inlineStr">
        <is>
          <t>2², 4², 8¹, 16¹</t>
        </is>
      </c>
      <c r="K1608">
        <f>HYPERLINK("CSG1.html#group30D1", "30D¹"), =HYPERLINK("CSG3.html#group60C3", "60C³"), =HYPERLINK("CSG3.html#group60D3", "60D³")</f>
        <v/>
      </c>
      <c r="L1608">
        <f>HYPERLINK("CSG17.html#group60X17", "60X¹⁷"), =HYPERLINK("CSG21.html#group60D21", "60D²¹")</f>
        <v/>
      </c>
      <c r="M1608">
        <f>HYPERLINK("CSG0.html#group30A0", "30A⁰"), =HYPERLINK("CSG1.html#group20C1", "20C¹"), =HYPERLINK("CSG0.html#group15B0", "15B⁰"), =HYPERLINK("CSG3.html#group60C3", "60C³"), =HYPERLINK("CSG0.html#group6B0", "6B⁰"), =HYPERLINK("CSG1.html#group30C1", "30C¹"), =HYPERLINK("CSG0.html#group5B0", "5B⁰"), =HYPERLINK("CSG3.html#group60D3", "60D³"), =HYPERLINK("CSG0.html#group10B0", "10B⁰"), =HYPERLINK("CSG0.html#group3A0", "3A⁰"), =HYPERLINK("CSG0.html#group1A0", "1A⁰"), =HYPERLINK("CSG0.html#group15C0", "15C⁰"), =HYPERLINK("CSG1.html#group30D1", "30D¹")</f>
        <v/>
      </c>
      <c r="N1608">
        <f>HYPERLINK("CSG17.html#group60X17", "60X¹⁷"), =HYPERLINK("CSG21.html#group60D21", "60D²¹")</f>
        <v/>
      </c>
    </row>
    <row r="1609">
      <c r="A1609" t="inlineStr">
        <is>
          <t>62A⁷</t>
        </is>
      </c>
      <c r="B1609" t="inlineStr">
        <is>
          <t>Γ₀(62)</t>
        </is>
      </c>
      <c r="C1609" t="inlineStr">
        <is>
          <t>96</t>
        </is>
      </c>
      <c r="D1609" t="inlineStr">
        <is>
          <t>1</t>
        </is>
      </c>
      <c r="E1609" t="inlineStr">
        <is>
          <t>96</t>
        </is>
      </c>
      <c r="F1609" t="inlineStr">
        <is>
          <t>0</t>
        </is>
      </c>
      <c r="G1609" t="inlineStr">
        <is>
          <t>0</t>
        </is>
      </c>
      <c r="H1609" t="inlineStr">
        <is>
          <t>1¹, 2¹, 31¹, 62¹</t>
        </is>
      </c>
      <c r="I1609" t="n">
        <v>4</v>
      </c>
      <c r="J1609" t="inlineStr">
        <is>
          <t>1⁶, 30³</t>
        </is>
      </c>
      <c r="K1609">
        <f>HYPERLINK("CSG0.html#group2B0", "2B⁰"), =HYPERLINK("CSG2.html#group31A2", "31A²")</f>
        <v/>
      </c>
      <c r="L1609">
        <f>HYPERLINK("CSG14.html#group62B14", "62B¹⁴"), =HYPERLINK("CSG14.html#group124A14", "124A¹⁴"), =HYPERLINK("CSG15.html#group124A15", "124A¹⁵"), =HYPERLINK("CSG19.html#group62A19", "62A¹⁹"), =HYPERLINK("CSG23.html#group186A23", "186A²³"), =HYPERLINK("CSG23.html#group186B23", "186B²³")</f>
        <v/>
      </c>
      <c r="M1609">
        <f>HYPERLINK("CSG2.html#group31A2", "31A²"), =HYPERLINK("CSG0.html#group1A0", "1A⁰"), =HYPERLINK("CSG0.html#group2B0", "2B⁰")</f>
        <v/>
      </c>
      <c r="N1609">
        <f>HYPERLINK("CSG23.html#group186B23", "186B²³"), =HYPERLINK("CSG15.html#group124A15", "124A¹⁵"), =HYPERLINK("CSG23.html#group186A23", "186A²³"), =HYPERLINK("CSG19.html#group62A19", "62A¹⁹"), =HYPERLINK("CSG14.html#group124A14", "124A¹⁴"), =HYPERLINK("CSG14.html#group62B14", "62B¹⁴")</f>
        <v/>
      </c>
    </row>
    <row r="1610">
      <c r="A1610" t="inlineStr">
        <is>
          <t>63A⁷</t>
        </is>
      </c>
      <c r="B1610" t="inlineStr"/>
      <c r="C1610" t="inlineStr">
        <is>
          <t>84</t>
        </is>
      </c>
      <c r="D1610" t="inlineStr">
        <is>
          <t>2</t>
        </is>
      </c>
      <c r="E1610" t="inlineStr">
        <is>
          <t>28</t>
        </is>
      </c>
      <c r="F1610" t="inlineStr">
        <is>
          <t>0</t>
        </is>
      </c>
      <c r="G1610" t="inlineStr">
        <is>
          <t>0</t>
        </is>
      </c>
      <c r="H1610" t="inlineStr">
        <is>
          <t>21¹, 63¹</t>
        </is>
      </c>
      <c r="I1610" t="n">
        <v>2</v>
      </c>
      <c r="J1610" t="inlineStr">
        <is>
          <t>2², 4¹, 6⁴, 12²</t>
        </is>
      </c>
      <c r="K1610">
        <f>HYPERLINK("CSG1.html#group9A1", "9A¹"), =HYPERLINK("CSG2.html#group21B2", "21B²")</f>
        <v/>
      </c>
      <c r="L1610">
        <f>HYPERLINK("CSG13.html#group63A13", "63A¹³"), =HYPERLINK("CSG14.html#group126A14", "126A¹⁴"), =HYPERLINK("CSG14.html#group126B14", "126B¹⁴"), =HYPERLINK("CSG19.html#group63B19", "63B¹⁹"), =HYPERLINK("CSG19.html#group63C19", "63C¹⁹"), =HYPERLINK("CSG19.html#group63F19", "63F¹⁹"), =HYPERLINK("CSG20.html#group126D20", "126D²⁰")</f>
        <v/>
      </c>
      <c r="M1610">
        <f>HYPERLINK("CSG0.html#group3B0", "3B⁰"), =HYPERLINK("CSG2.html#group21B2", "21B²"), =HYPERLINK("CSG0.html#group7A0", "7A⁰"), =HYPERLINK("CSG0.html#group1A0", "1A⁰"), =HYPERLINK("CSG1.html#group9A1", "9A¹")</f>
        <v/>
      </c>
      <c r="N1610">
        <f>HYPERLINK("CSG14.html#group126B14", "126B¹⁴"), =HYPERLINK("CSG13.html#group63A13", "63A¹³"), =HYPERLINK("CSG19.html#group63C19", "63C¹⁹"), =HYPERLINK("CSG19.html#group63F19", "63F¹⁹"), =HYPERLINK("CSG19.html#group63B19", "63B¹⁹"), =HYPERLINK("CSG14.html#group126A14", "126A¹⁴"), =HYPERLINK("CSG20.html#group126D20", "126D²⁰")</f>
        <v/>
      </c>
    </row>
    <row r="1611">
      <c r="A1611" t="inlineStr">
        <is>
          <t>63B⁷</t>
        </is>
      </c>
      <c r="B1611" t="inlineStr"/>
      <c r="C1611" t="inlineStr">
        <is>
          <t>96</t>
        </is>
      </c>
      <c r="D1611" t="inlineStr">
        <is>
          <t>1</t>
        </is>
      </c>
      <c r="E1611" t="inlineStr">
        <is>
          <t>32</t>
        </is>
      </c>
      <c r="F1611" t="inlineStr">
        <is>
          <t>0</t>
        </is>
      </c>
      <c r="G1611" t="inlineStr">
        <is>
          <t>0</t>
        </is>
      </c>
      <c r="H1611" t="inlineStr">
        <is>
          <t>3¹, 9¹, 21¹, 63¹</t>
        </is>
      </c>
      <c r="I1611" t="n">
        <v>4</v>
      </c>
      <c r="J1611" t="inlineStr">
        <is>
          <t>1⁴, 2², 6², 12¹</t>
        </is>
      </c>
      <c r="K1611">
        <f>HYPERLINK("CSG1.html#group9A1", "9A¹"), =HYPERLINK("CSG1.html#group21B1", "21B¹")</f>
        <v/>
      </c>
      <c r="L1611">
        <f>HYPERLINK("CSG13.html#group63C13", "63C¹³"), =HYPERLINK("CSG15.html#group126A15", "126A¹⁵"), =HYPERLINK("CSG15.html#group126B15", "126B¹⁵"), =HYPERLINK("CSG19.html#group63H19", "63H¹⁹"), =HYPERLINK("CSG19.html#group63I19", "63I¹⁹"), =HYPERLINK("CSG19.html#group63J19", "63J¹⁹"), =HYPERLINK("CSG19.html#group63K19", "63K¹⁹"), =HYPERLINK("CSG19.html#group63L19", "63L¹⁹"), =HYPERLINK("CSG19.html#group63M19", "63M¹⁹"), =HYPERLINK("CSG21.html#group126K21", "126K²¹")</f>
        <v/>
      </c>
      <c r="M1611">
        <f>HYPERLINK("CSG0.html#group3B0", "3B⁰"), =HYPERLINK("CSG1.html#group21B1", "21B¹"), =HYPERLINK("CSG0.html#group1A0", "1A⁰"), =HYPERLINK("CSG0.html#group7B0", "7B⁰"), =HYPERLINK("CSG1.html#group9A1", "9A¹")</f>
        <v/>
      </c>
      <c r="N1611">
        <f>HYPERLINK("CSG19.html#group63J19", "63J¹⁹"), =HYPERLINK("CSG19.html#group63I19", "63I¹⁹"), =HYPERLINK("CSG15.html#group126A15", "126A¹⁵"), =HYPERLINK("CSG19.html#group63L19", "63L¹⁹"), =HYPERLINK("CSG19.html#group63K19", "63K¹⁹"), =HYPERLINK("CSG15.html#group126B15", "126B¹⁵"), =HYPERLINK("CSG19.html#group63M19", "63M¹⁹"), =HYPERLINK("CSG13.html#group63C13", "63C¹³"), =HYPERLINK("CSG21.html#group126K21", "126K²¹"), =HYPERLINK("CSG19.html#group63H19", "63H¹⁹")</f>
        <v/>
      </c>
    </row>
    <row r="1612">
      <c r="A1612" t="inlineStr">
        <is>
          <t>63C⁷</t>
        </is>
      </c>
      <c r="B1612" t="inlineStr"/>
      <c r="C1612" t="inlineStr">
        <is>
          <t>96</t>
        </is>
      </c>
      <c r="D1612" t="inlineStr">
        <is>
          <t>2</t>
        </is>
      </c>
      <c r="E1612" t="inlineStr">
        <is>
          <t>32</t>
        </is>
      </c>
      <c r="F1612" t="inlineStr">
        <is>
          <t>0</t>
        </is>
      </c>
      <c r="G1612" t="inlineStr">
        <is>
          <t>0</t>
        </is>
      </c>
      <c r="H1612" t="inlineStr">
        <is>
          <t>3¹, 9¹, 21¹, 63¹</t>
        </is>
      </c>
      <c r="I1612" t="n">
        <v>4</v>
      </c>
      <c r="J1612" t="inlineStr">
        <is>
          <t>2⁸, 12⁴</t>
        </is>
      </c>
      <c r="K1612">
        <f>HYPERLINK("CSG1.html#group21B1", "21B¹")</f>
        <v/>
      </c>
      <c r="L1612">
        <f>HYPERLINK("CSG13.html#group63D13", "63D¹³"), =HYPERLINK("CSG15.html#group126E15", "126E¹⁵"), =HYPERLINK("CSG15.html#group126D15", "126D¹⁵"), =HYPERLINK("CSG19.html#group63G19", "63G¹⁹"), =HYPERLINK("CSG19.html#group63M19", "63M¹⁹"), =HYPERLINK("CSG19.html#group63N19", "63N¹⁹"), =HYPERLINK("CSG19.html#group63O19", "63O¹⁹"), =HYPERLINK("CSG21.html#group126P21", "126P²¹")</f>
        <v/>
      </c>
      <c r="M1612">
        <f>HYPERLINK("CSG0.html#group3B0", "3B⁰"), =HYPERLINK("CSG0.html#group1A0", "1A⁰"), =HYPERLINK("CSG0.html#group7B0", "7B⁰"), =HYPERLINK("CSG1.html#group21B1", "21B¹")</f>
        <v/>
      </c>
      <c r="N1612">
        <f>HYPERLINK("CSG15.html#group126D15", "126D¹⁵"), =HYPERLINK("CSG19.html#group63O19", "63O¹⁹"), =HYPERLINK("CSG13.html#group63D13", "63D¹³"), =HYPERLINK("CSG19.html#group63M19", "63M¹⁹"), =HYPERLINK("CSG19.html#group63N19", "63N¹⁹"), =HYPERLINK("CSG19.html#group63G19", "63G¹⁹"), =HYPERLINK("CSG21.html#group126P21", "126P²¹"), =HYPERLINK("CSG15.html#group126E15", "126E¹⁵")</f>
        <v/>
      </c>
    </row>
    <row r="1613">
      <c r="A1613" t="inlineStr">
        <is>
          <t>63D⁷</t>
        </is>
      </c>
      <c r="B1613" t="inlineStr"/>
      <c r="C1613" t="inlineStr">
        <is>
          <t>126</t>
        </is>
      </c>
      <c r="D1613" t="inlineStr">
        <is>
          <t>2</t>
        </is>
      </c>
      <c r="E1613" t="inlineStr">
        <is>
          <t>63</t>
        </is>
      </c>
      <c r="F1613" t="inlineStr">
        <is>
          <t>14</t>
        </is>
      </c>
      <c r="G1613" t="inlineStr">
        <is>
          <t>0</t>
        </is>
      </c>
      <c r="H1613" t="inlineStr">
        <is>
          <t>63²</t>
        </is>
      </c>
      <c r="I1613" t="n">
        <v>2</v>
      </c>
      <c r="J1613" t="inlineStr">
        <is>
          <t>2¹, 4¹, 6², 12³, 36²</t>
        </is>
      </c>
      <c r="K1613">
        <f>HYPERLINK("CSG1.html#group21D1", "21D¹"), =HYPERLINK("CSG2.html#group63A2", "63A²")</f>
        <v/>
      </c>
      <c r="L1613">
        <f>HYPERLINK("CSG16.html#group126A16", "126A¹⁶"), =HYPERLINK("CSG16.html#group126B16", "126B¹⁶"), =HYPERLINK("CSG17.html#group63A17", "63A¹⁷"), =HYPERLINK("CSG17.html#group126B17", "126B¹⁷"), =HYPERLINK("CSG18.html#group63C18", "63C¹⁸"), =HYPERLINK("CSG18.html#group63B18", "63B¹⁸"), =HYPERLINK("CSG21.html#group126D21", "126D²¹"), =HYPERLINK("CSG23.html#group63B23", "63B²³"), =HYPERLINK("CSG24.html#group63E24", "63E²⁴"), =HYPERLINK("CSG24.html#group63D24", "63D²⁴")</f>
        <v/>
      </c>
      <c r="M1613">
        <f>HYPERLINK("CSG1.html#group21D1", "21D¹"), =HYPERLINK("CSG0.html#group9A0", "9A⁰"), =HYPERLINK("CSG2.html#group63A2", "63A²"), =HYPERLINK("CSG0.html#group21A0", "21A⁰"), =HYPERLINK("CSG0.html#group3A0", "3A⁰"), =HYPERLINK("CSG0.html#group1A0", "1A⁰"), =HYPERLINK("CSG0.html#group7A0", "7A⁰")</f>
        <v/>
      </c>
      <c r="N1613">
        <f>HYPERLINK("CSG18.html#group63B18", "63B¹⁸"), =HYPERLINK("CSG21.html#group126D21", "126D²¹"), =HYPERLINK("CSG16.html#group126A16", "126A¹⁶"), =HYPERLINK("CSG17.html#group126B17", "126B¹⁷"), =HYPERLINK("CSG16.html#group126B16", "126B¹⁶"), =HYPERLINK("CSG17.html#group63A17", "63A¹⁷"), =HYPERLINK("CSG18.html#group63C18", "63C¹⁸"), =HYPERLINK("CSG24.html#group63D24", "63D²⁴"), =HYPERLINK("CSG24.html#group63E24", "63E²⁴"), =HYPERLINK("CSG23.html#group63B23", "63B²³")</f>
        <v/>
      </c>
    </row>
    <row r="1614">
      <c r="A1614" t="inlineStr">
        <is>
          <t>63E⁷</t>
        </is>
      </c>
      <c r="B1614" t="inlineStr"/>
      <c r="C1614" t="inlineStr">
        <is>
          <t>126</t>
        </is>
      </c>
      <c r="D1614" t="inlineStr">
        <is>
          <t>2</t>
        </is>
      </c>
      <c r="E1614" t="inlineStr">
        <is>
          <t>126</t>
        </is>
      </c>
      <c r="F1614" t="inlineStr">
        <is>
          <t>14</t>
        </is>
      </c>
      <c r="G1614" t="inlineStr">
        <is>
          <t>0</t>
        </is>
      </c>
      <c r="H1614" t="inlineStr">
        <is>
          <t>63²</t>
        </is>
      </c>
      <c r="I1614" t="n">
        <v>2</v>
      </c>
      <c r="J1614" t="inlineStr">
        <is>
          <t>12⁹, 36⁴</t>
        </is>
      </c>
      <c r="K1614">
        <f>HYPERLINK("CSG1.html#group21D1", "21D¹")</f>
        <v/>
      </c>
      <c r="L1614">
        <f>HYPERLINK("CSG16.html#group126C16", "126C¹⁶"), =HYPERLINK("CSG16.html#group126D16", "126D¹⁶"), =HYPERLINK("CSG17.html#group63B17", "63B¹⁷"), =HYPERLINK("CSG17.html#group126F17", "126F¹⁷"), =HYPERLINK("CSG18.html#group63F18", "63F¹⁸"), =HYPERLINK("CSG18.html#group63G18", "63G¹⁸"), =HYPERLINK("CSG21.html#group126I21", "126I²¹"), =HYPERLINK("CSG23.html#group63B23", "63B²³"), =HYPERLINK("CSG24.html#group63I24", "63I²⁴"), =HYPERLINK("CSG24.html#group63H24", "63H²⁴")</f>
        <v/>
      </c>
      <c r="M1614">
        <f>HYPERLINK("CSG0.html#group21A0", "21A⁰"), =HYPERLINK("CSG0.html#group3A0", "3A⁰"), =HYPERLINK("CSG0.html#group1A0", "1A⁰"), =HYPERLINK("CSG1.html#group21D1", "21D¹"), =HYPERLINK("CSG0.html#group7A0", "7A⁰")</f>
        <v/>
      </c>
      <c r="N1614">
        <f>HYPERLINK("CSG24.html#group63I24", "63I²⁴"), =HYPERLINK("CSG18.html#group63F18", "63F¹⁸"), =HYPERLINK("CSG16.html#group126D16", "126D¹⁶"), =HYPERLINK("CSG16.html#group126C16", "126C¹⁶"), =HYPERLINK("CSG21.html#group126I21", "126I²¹"), =HYPERLINK("CSG24.html#group63H24", "63H²⁴"), =HYPERLINK("CSG17.html#group126F17", "126F¹⁷"), =HYPERLINK("CSG23.html#group63B23", "63B²³"), =HYPERLINK("CSG17.html#group63B17", "63B¹⁷"), =HYPERLINK("CSG18.html#group63G18", "63G¹⁸")</f>
        <v/>
      </c>
    </row>
    <row r="1615">
      <c r="A1615" t="inlineStr">
        <is>
          <t>63F⁷</t>
        </is>
      </c>
      <c r="B1615" t="inlineStr"/>
      <c r="C1615" t="inlineStr">
        <is>
          <t>192</t>
        </is>
      </c>
      <c r="D1615" t="inlineStr">
        <is>
          <t>2</t>
        </is>
      </c>
      <c r="E1615" t="inlineStr">
        <is>
          <t>32</t>
        </is>
      </c>
      <c r="F1615" t="inlineStr">
        <is>
          <t>0</t>
        </is>
      </c>
      <c r="G1615" t="inlineStr">
        <is>
          <t>6</t>
        </is>
      </c>
      <c r="H1615" t="inlineStr">
        <is>
          <t>1⁶, 7⁶, 9², 63²</t>
        </is>
      </c>
      <c r="I1615" t="n">
        <v>16</v>
      </c>
      <c r="J1615" t="inlineStr">
        <is>
          <t>2⁸, 12⁴</t>
        </is>
      </c>
      <c r="K1615">
        <f>HYPERLINK("CSG1.html#group21F1", "21F¹"), =HYPERLINK("CSG4.html#group63A4", "63A⁴")</f>
        <v/>
      </c>
      <c r="L1615">
        <f>HYPERLINK("CSG21.html#group126U21", "126U²¹")</f>
        <v/>
      </c>
      <c r="M1615">
        <f>HYPERLINK("CSG0.html#group3B0", "3B⁰"), =HYPERLINK("CSG1.html#group21B1", "21B¹"), =HYPERLINK("CSG0.html#group1A0", "1A⁰"), =HYPERLINK("CSG0.html#group7B0", "7B⁰"), =HYPERLINK("CSG4.html#group63A4", "63A⁴"), =HYPERLINK("CSG1.html#group21F1", "21F¹")</f>
        <v/>
      </c>
      <c r="N1615">
        <f>HYPERLINK("CSG21.html#group126U21", "126U²¹")</f>
        <v/>
      </c>
    </row>
    <row r="1616">
      <c r="A1616" t="inlineStr">
        <is>
          <t>64A⁷</t>
        </is>
      </c>
      <c r="B1616" t="inlineStr"/>
      <c r="C1616" t="inlineStr">
        <is>
          <t>96</t>
        </is>
      </c>
      <c r="D1616" t="inlineStr">
        <is>
          <t>1</t>
        </is>
      </c>
      <c r="E1616" t="inlineStr">
        <is>
          <t>12</t>
        </is>
      </c>
      <c r="F1616" t="inlineStr">
        <is>
          <t>0</t>
        </is>
      </c>
      <c r="G1616" t="inlineStr">
        <is>
          <t>0</t>
        </is>
      </c>
      <c r="H1616" t="inlineStr">
        <is>
          <t>8², 16¹, 64¹</t>
        </is>
      </c>
      <c r="I1616" t="n">
        <v>4</v>
      </c>
      <c r="J1616" t="inlineStr">
        <is>
          <t>1⁴, 2², 4¹</t>
        </is>
      </c>
      <c r="K1616">
        <f>HYPERLINK("CSG3.html#group32C3", "32C³")</f>
        <v/>
      </c>
      <c r="L1616">
        <f>HYPERLINK("CSG13.html#group64C13", "64C¹³"), =HYPERLINK("CSG13.html#group64E13", "64E¹³"), =HYPERLINK("CSG13.html#group64G13", "64G¹³"), =HYPERLINK("CSG15.html#group128A15", "128A¹⁵"), =HYPERLINK("CSG15.html#group128B15", "128B¹⁵"), =HYPERLINK("CSG23.html#group192A23", "192A²³")</f>
        <v/>
      </c>
      <c r="M1616">
        <f>HYPERLINK("CSG1.html#group16A1", "16A¹"), =HYPERLINK("CSG0.html#group8C0", "8C⁰"), =HYPERLINK("CSG0.html#group2B0", "2B⁰"), =HYPERLINK("CSG0.html#group4B0", "4B⁰"), =HYPERLINK("CSG0.html#group1A0", "1A⁰"), =HYPERLINK("CSG3.html#group32C3", "32C³")</f>
        <v/>
      </c>
      <c r="N1616">
        <f>HYPERLINK("CSG15.html#group128B15", "128B¹⁵"), =HYPERLINK("CSG13.html#group64G13", "64G¹³"), =HYPERLINK("CSG13.html#group64E13", "64E¹³"), =HYPERLINK("CSG15.html#group128A15", "128A¹⁵"), =HYPERLINK("CSG23.html#group192A23", "192A²³"), =HYPERLINK("CSG13.html#group64C13", "64C¹³")</f>
        <v/>
      </c>
    </row>
    <row r="1617">
      <c r="A1617" t="inlineStr">
        <is>
          <t>64B⁷</t>
        </is>
      </c>
      <c r="B1617" t="inlineStr"/>
      <c r="C1617" t="inlineStr">
        <is>
          <t>96</t>
        </is>
      </c>
      <c r="D1617" t="inlineStr">
        <is>
          <t>1</t>
        </is>
      </c>
      <c r="E1617" t="inlineStr">
        <is>
          <t>12</t>
        </is>
      </c>
      <c r="F1617" t="inlineStr">
        <is>
          <t>0</t>
        </is>
      </c>
      <c r="G1617" t="inlineStr">
        <is>
          <t>0</t>
        </is>
      </c>
      <c r="H1617" t="inlineStr">
        <is>
          <t>8², 16¹, 64¹</t>
        </is>
      </c>
      <c r="I1617" t="n">
        <v>4</v>
      </c>
      <c r="J1617" t="inlineStr">
        <is>
          <t>1⁴, 2², 4¹</t>
        </is>
      </c>
      <c r="K1617">
        <f>HYPERLINK("CSG3.html#group32C3", "32C³")</f>
        <v/>
      </c>
      <c r="L1617">
        <f>HYPERLINK("CSG13.html#group64C13", "64C¹³"), =HYPERLINK("CSG13.html#group64F13", "64F¹³"), =HYPERLINK("CSG13.html#group64H13", "64H¹³"), =HYPERLINK("CSG15.html#group128C15", "128C¹⁵"), =HYPERLINK("CSG15.html#group128D15", "128D¹⁵"), =HYPERLINK("CSG23.html#group192B23", "192B²³")</f>
        <v/>
      </c>
      <c r="M1617">
        <f>HYPERLINK("CSG1.html#group16A1", "16A¹"), =HYPERLINK("CSG0.html#group8C0", "8C⁰"), =HYPERLINK("CSG0.html#group2B0", "2B⁰"), =HYPERLINK("CSG0.html#group4B0", "4B⁰"), =HYPERLINK("CSG0.html#group1A0", "1A⁰"), =HYPERLINK("CSG3.html#group32C3", "32C³")</f>
        <v/>
      </c>
      <c r="N1617">
        <f>HYPERLINK("CSG23.html#group192B23", "192B²³"), =HYPERLINK("CSG13.html#group64C13", "64C¹³"), =HYPERLINK("CSG15.html#group128C15", "128C¹⁵"), =HYPERLINK("CSG15.html#group128D15", "128D¹⁵"), =HYPERLINK("CSG13.html#group64H13", "64H¹³"), =HYPERLINK("CSG13.html#group64F13", "64F¹³")</f>
        <v/>
      </c>
    </row>
    <row r="1618">
      <c r="A1618" t="inlineStr">
        <is>
          <t>64C⁷</t>
        </is>
      </c>
      <c r="B1618" t="inlineStr"/>
      <c r="C1618" t="inlineStr">
        <is>
          <t>96</t>
        </is>
      </c>
      <c r="D1618" t="inlineStr">
        <is>
          <t>1</t>
        </is>
      </c>
      <c r="E1618" t="inlineStr">
        <is>
          <t>12</t>
        </is>
      </c>
      <c r="F1618" t="inlineStr">
        <is>
          <t>0</t>
        </is>
      </c>
      <c r="G1618" t="inlineStr">
        <is>
          <t>0</t>
        </is>
      </c>
      <c r="H1618" t="inlineStr">
        <is>
          <t>8², 16¹, 64¹</t>
        </is>
      </c>
      <c r="I1618" t="n">
        <v>4</v>
      </c>
      <c r="J1618" t="inlineStr">
        <is>
          <t>1⁴, 2², 4¹</t>
        </is>
      </c>
      <c r="K1618">
        <f>HYPERLINK("CSG3.html#group32C3", "32C³")</f>
        <v/>
      </c>
      <c r="L1618">
        <f>HYPERLINK("CSG13.html#group64D13", "64D¹³"), =HYPERLINK("CSG13.html#group64E13", "64E¹³"), =HYPERLINK("CSG13.html#group64H13", "64H¹³"), =HYPERLINK("CSG15.html#group128E15", "128E¹⁵"), =HYPERLINK("CSG15.html#group128F15", "128F¹⁵"), =HYPERLINK("CSG23.html#group192C23", "192C²³")</f>
        <v/>
      </c>
      <c r="M1618">
        <f>HYPERLINK("CSG1.html#group16A1", "16A¹"), =HYPERLINK("CSG0.html#group8C0", "8C⁰"), =HYPERLINK("CSG0.html#group2B0", "2B⁰"), =HYPERLINK("CSG0.html#group4B0", "4B⁰"), =HYPERLINK("CSG0.html#group1A0", "1A⁰"), =HYPERLINK("CSG3.html#group32C3", "32C³")</f>
        <v/>
      </c>
      <c r="N1618">
        <f>HYPERLINK("CSG13.html#group64D13", "64D¹³"), =HYPERLINK("CSG15.html#group128E15", "128E¹⁵"), =HYPERLINK("CSG15.html#group128F15", "128F¹⁵"), =HYPERLINK("CSG13.html#group64E13", "64E¹³"), =HYPERLINK("CSG13.html#group64H13", "64H¹³"), =HYPERLINK("CSG23.html#group192C23", "192C²³")</f>
        <v/>
      </c>
    </row>
    <row r="1619">
      <c r="A1619" t="inlineStr">
        <is>
          <t>64D⁷</t>
        </is>
      </c>
      <c r="B1619" t="inlineStr"/>
      <c r="C1619" t="inlineStr">
        <is>
          <t>96</t>
        </is>
      </c>
      <c r="D1619" t="inlineStr">
        <is>
          <t>1</t>
        </is>
      </c>
      <c r="E1619" t="inlineStr">
        <is>
          <t>12</t>
        </is>
      </c>
      <c r="F1619" t="inlineStr">
        <is>
          <t>0</t>
        </is>
      </c>
      <c r="G1619" t="inlineStr">
        <is>
          <t>0</t>
        </is>
      </c>
      <c r="H1619" t="inlineStr">
        <is>
          <t>8², 16¹, 64¹</t>
        </is>
      </c>
      <c r="I1619" t="n">
        <v>4</v>
      </c>
      <c r="J1619" t="inlineStr">
        <is>
          <t>1⁴, 2², 4¹</t>
        </is>
      </c>
      <c r="K1619">
        <f>HYPERLINK("CSG3.html#group32C3", "32C³")</f>
        <v/>
      </c>
      <c r="L1619">
        <f>HYPERLINK("CSG13.html#group64D13", "64D¹³"), =HYPERLINK("CSG13.html#group64F13", "64F¹³"), =HYPERLINK("CSG13.html#group64G13", "64G¹³"), =HYPERLINK("CSG15.html#group128G15", "128G¹⁵"), =HYPERLINK("CSG15.html#group128H15", "128H¹⁵"), =HYPERLINK("CSG23.html#group192D23", "192D²³")</f>
        <v/>
      </c>
      <c r="M1619">
        <f>HYPERLINK("CSG1.html#group16A1", "16A¹"), =HYPERLINK("CSG0.html#group8C0", "8C⁰"), =HYPERLINK("CSG0.html#group2B0", "2B⁰"), =HYPERLINK("CSG0.html#group4B0", "4B⁰"), =HYPERLINK("CSG0.html#group1A0", "1A⁰"), =HYPERLINK("CSG3.html#group32C3", "32C³")</f>
        <v/>
      </c>
      <c r="N1619">
        <f>HYPERLINK("CSG13.html#group64G13", "64G¹³"), =HYPERLINK("CSG13.html#group64D13", "64D¹³"), =HYPERLINK("CSG23.html#group192D23", "192D²³"), =HYPERLINK("CSG15.html#group128H15", "128H¹⁵"), =HYPERLINK("CSG15.html#group128G15", "128G¹⁵"), =HYPERLINK("CSG13.html#group64F13", "64F¹³")</f>
        <v/>
      </c>
    </row>
    <row r="1620">
      <c r="A1620" t="inlineStr">
        <is>
          <t>64E⁷</t>
        </is>
      </c>
      <c r="B1620" t="inlineStr"/>
      <c r="C1620" t="inlineStr">
        <is>
          <t>96</t>
        </is>
      </c>
      <c r="D1620" t="inlineStr">
        <is>
          <t>1</t>
        </is>
      </c>
      <c r="E1620" t="inlineStr">
        <is>
          <t>24</t>
        </is>
      </c>
      <c r="F1620" t="inlineStr">
        <is>
          <t>0</t>
        </is>
      </c>
      <c r="G1620" t="inlineStr">
        <is>
          <t>0</t>
        </is>
      </c>
      <c r="H1620" t="inlineStr">
        <is>
          <t>8², 16¹, 64¹</t>
        </is>
      </c>
      <c r="I1620" t="n">
        <v>4</v>
      </c>
      <c r="J1620" t="inlineStr">
        <is>
          <t>2⁸, 8¹</t>
        </is>
      </c>
      <c r="K1620">
        <f>HYPERLINK("CSG3.html#group32A3", "32A³")</f>
        <v/>
      </c>
      <c r="L1620">
        <f>HYPERLINK("CSG13.html#group64A13", "64A¹³"), =HYPERLINK("CSG13.html#group64I13", "64I¹³"), =HYPERLINK("CSG23.html#group192E23", "192E²³")</f>
        <v/>
      </c>
      <c r="M1620">
        <f>HYPERLINK("CSG1.html#group16A1", "16A¹"), =HYPERLINK("CSG0.html#group8C0", "8C⁰"), =HYPERLINK("CSG0.html#group2B0", "2B⁰"), =HYPERLINK("CSG0.html#group4B0", "4B⁰"), =HYPERLINK("CSG0.html#group1A0", "1A⁰"), =HYPERLINK("CSG3.html#group32A3", "32A³")</f>
        <v/>
      </c>
      <c r="N1620">
        <f>HYPERLINK("CSG13.html#group64I13", "64I¹³"), =HYPERLINK("CSG13.html#group64A13", "64A¹³"), =HYPERLINK("CSG23.html#group192E23", "192E²³")</f>
        <v/>
      </c>
    </row>
    <row r="1621">
      <c r="A1621" t="inlineStr">
        <is>
          <t>64F⁷</t>
        </is>
      </c>
      <c r="B1621" t="inlineStr"/>
      <c r="C1621" t="inlineStr">
        <is>
          <t>96</t>
        </is>
      </c>
      <c r="D1621" t="inlineStr">
        <is>
          <t>1</t>
        </is>
      </c>
      <c r="E1621" t="inlineStr">
        <is>
          <t>24</t>
        </is>
      </c>
      <c r="F1621" t="inlineStr">
        <is>
          <t>0</t>
        </is>
      </c>
      <c r="G1621" t="inlineStr">
        <is>
          <t>0</t>
        </is>
      </c>
      <c r="H1621" t="inlineStr">
        <is>
          <t>8², 16¹, 64¹</t>
        </is>
      </c>
      <c r="I1621" t="n">
        <v>4</v>
      </c>
      <c r="J1621" t="inlineStr">
        <is>
          <t>2⁸, 8¹</t>
        </is>
      </c>
      <c r="K1621">
        <f>HYPERLINK("CSG3.html#group32B3", "32B³")</f>
        <v/>
      </c>
      <c r="L1621">
        <f>HYPERLINK("CSG13.html#group64B13", "64B¹³"), =HYPERLINK("CSG13.html#group64J13", "64J¹³"), =HYPERLINK("CSG23.html#group192F23", "192F²³")</f>
        <v/>
      </c>
      <c r="M1621">
        <f>HYPERLINK("CSG1.html#group16A1", "16A¹"), =HYPERLINK("CSG0.html#group8C0", "8C⁰"), =HYPERLINK("CSG0.html#group2B0", "2B⁰"), =HYPERLINK("CSG0.html#group4B0", "4B⁰"), =HYPERLINK("CSG0.html#group1A0", "1A⁰"), =HYPERLINK("CSG3.html#group32B3", "32B³")</f>
        <v/>
      </c>
      <c r="N1621">
        <f>HYPERLINK("CSG13.html#group64J13", "64J¹³"), =HYPERLINK("CSG23.html#group192F23", "192F²³"), =HYPERLINK("CSG13.html#group64B13", "64B¹³")</f>
        <v/>
      </c>
    </row>
    <row r="1622">
      <c r="A1622" t="inlineStr">
        <is>
          <t>64G⁷</t>
        </is>
      </c>
      <c r="B1622" t="inlineStr"/>
      <c r="C1622" t="inlineStr">
        <is>
          <t>96</t>
        </is>
      </c>
      <c r="D1622" t="inlineStr">
        <is>
          <t>2</t>
        </is>
      </c>
      <c r="E1622" t="inlineStr">
        <is>
          <t>48</t>
        </is>
      </c>
      <c r="F1622" t="inlineStr">
        <is>
          <t>4</t>
        </is>
      </c>
      <c r="G1622" t="inlineStr">
        <is>
          <t>0</t>
        </is>
      </c>
      <c r="H1622" t="inlineStr">
        <is>
          <t>32¹, 64¹</t>
        </is>
      </c>
      <c r="I1622" t="n">
        <v>2</v>
      </c>
      <c r="J1622" t="inlineStr">
        <is>
          <t>4¹⁶, 8⁸, 16⁴</t>
        </is>
      </c>
      <c r="K1622">
        <f>HYPERLINK("CSG3.html#group32E3", "32E³")</f>
        <v/>
      </c>
      <c r="L1622">
        <f>HYPERLINK("CSG13.html#group64P13", "64P¹³"), =HYPERLINK("CSG14.html#group64A14", "64A¹⁴"), =HYPERLINK("CSG14.html#group64B14", "64B¹⁴"), =HYPERLINK("CSG14.html#group64E14", "64E¹⁴"), =HYPERLINK("CSG14.html#group64F14", "64F¹⁴"), =HYPERLINK("CSG15.html#group64A15", "64A¹⁵"), =HYPERLINK("CSG15.html#group64G15", "64G¹⁵"), =HYPERLINK("CSG21.html#group192E21", "192E²¹")</f>
        <v/>
      </c>
      <c r="M1622">
        <f>HYPERLINK("CSG0.html#group8B0", "8B⁰"), =HYPERLINK("CSG3.html#group32E3", "32E³"), =HYPERLINK("CSG0.html#group2B0", "2B⁰"), =HYPERLINK("CSG1.html#group16D1", "16D¹"), =HYPERLINK("CSG0.html#group1A0", "1A⁰"), =HYPERLINK("CSG0.html#group4C0", "4C⁰")</f>
        <v/>
      </c>
      <c r="N1622">
        <f>HYPERLINK("CSG14.html#group64A14", "64A¹⁴"), =HYPERLINK("CSG14.html#group64E14", "64E¹⁴"), =HYPERLINK("CSG14.html#group64F14", "64F¹⁴"), =HYPERLINK("CSG15.html#group64A15", "64A¹⁵"), =HYPERLINK("CSG21.html#group192E21", "192E²¹"), =HYPERLINK("CSG13.html#group64P13", "64P¹³"), =HYPERLINK("CSG14.html#group64B14", "64B¹⁴"), =HYPERLINK("CSG15.html#group64G15", "64G¹⁵")</f>
        <v/>
      </c>
    </row>
    <row r="1623">
      <c r="A1623" t="inlineStr">
        <is>
          <t>64H⁷</t>
        </is>
      </c>
      <c r="B1623" t="inlineStr"/>
      <c r="C1623" t="inlineStr">
        <is>
          <t>96</t>
        </is>
      </c>
      <c r="D1623" t="inlineStr">
        <is>
          <t>2</t>
        </is>
      </c>
      <c r="E1623" t="inlineStr">
        <is>
          <t>48</t>
        </is>
      </c>
      <c r="F1623" t="inlineStr">
        <is>
          <t>4</t>
        </is>
      </c>
      <c r="G1623" t="inlineStr">
        <is>
          <t>0</t>
        </is>
      </c>
      <c r="H1623" t="inlineStr">
        <is>
          <t>32¹, 64¹</t>
        </is>
      </c>
      <c r="I1623" t="n">
        <v>2</v>
      </c>
      <c r="J1623" t="inlineStr">
        <is>
          <t>4¹⁶, 8⁸, 16⁴</t>
        </is>
      </c>
      <c r="K1623">
        <f>HYPERLINK("CSG3.html#group32E3", "32E³")</f>
        <v/>
      </c>
      <c r="L1623">
        <f>HYPERLINK("CSG13.html#group64Q13", "64Q¹³"), =HYPERLINK("CSG14.html#group64A14", "64A¹⁴"), =HYPERLINK("CSG14.html#group64B14", "64B¹⁴"), =HYPERLINK("CSG14.html#group64E14", "64E¹⁴"), =HYPERLINK("CSG14.html#group64F14", "64F¹⁴"), =HYPERLINK("CSG15.html#group64B15", "64B¹⁵"), =HYPERLINK("CSG15.html#group64H15", "64H¹⁵"), =HYPERLINK("CSG21.html#group192F21", "192F²¹")</f>
        <v/>
      </c>
      <c r="M1623">
        <f>HYPERLINK("CSG0.html#group8B0", "8B⁰"), =HYPERLINK("CSG3.html#group32E3", "32E³"), =HYPERLINK("CSG0.html#group2B0", "2B⁰"), =HYPERLINK("CSG1.html#group16D1", "16D¹"), =HYPERLINK("CSG0.html#group1A0", "1A⁰"), =HYPERLINK("CSG0.html#group4C0", "4C⁰")</f>
        <v/>
      </c>
      <c r="N1623">
        <f>HYPERLINK("CSG15.html#group64B15", "64B¹⁵"), =HYPERLINK("CSG14.html#group64A14", "64A¹⁴"), =HYPERLINK("CSG14.html#group64E14", "64E¹⁴"), =HYPERLINK("CSG14.html#group64F14", "64F¹⁴"), =HYPERLINK("CSG21.html#group192F21", "192F²¹"), =HYPERLINK("CSG15.html#group64H15", "64H¹⁵"), =HYPERLINK("CSG13.html#group64Q13", "64Q¹³"), =HYPERLINK("CSG14.html#group64B14", "64B¹⁴")</f>
        <v/>
      </c>
    </row>
    <row r="1624">
      <c r="A1624" t="inlineStr">
        <is>
          <t>64I⁷</t>
        </is>
      </c>
      <c r="B1624" t="inlineStr"/>
      <c r="C1624" t="inlineStr">
        <is>
          <t>96</t>
        </is>
      </c>
      <c r="D1624" t="inlineStr">
        <is>
          <t>2</t>
        </is>
      </c>
      <c r="E1624" t="inlineStr">
        <is>
          <t>48</t>
        </is>
      </c>
      <c r="F1624" t="inlineStr">
        <is>
          <t>4</t>
        </is>
      </c>
      <c r="G1624" t="inlineStr">
        <is>
          <t>0</t>
        </is>
      </c>
      <c r="H1624" t="inlineStr">
        <is>
          <t>32¹, 64¹</t>
        </is>
      </c>
      <c r="I1624" t="n">
        <v>2</v>
      </c>
      <c r="J1624" t="inlineStr">
        <is>
          <t>4¹⁶, 8⁸, 16⁴</t>
        </is>
      </c>
      <c r="K1624">
        <f>HYPERLINK("CSG3.html#group32G3", "32G³")</f>
        <v/>
      </c>
      <c r="L1624">
        <f>HYPERLINK("CSG13.html#group64R13", "64R¹³"), =HYPERLINK("CSG14.html#group64C14", "64C¹⁴"), =HYPERLINK("CSG14.html#group64D14", "64D¹⁴"), =HYPERLINK("CSG14.html#group64G14", "64G¹⁴"), =HYPERLINK("CSG14.html#group64H14", "64H¹⁴"), =HYPERLINK("CSG15.html#group64C15", "64C¹⁵"), =HYPERLINK("CSG15.html#group64I15", "64I¹⁵"), =HYPERLINK("CSG21.html#group192G21", "192G²¹")</f>
        <v/>
      </c>
      <c r="M1624">
        <f>HYPERLINK("CSG0.html#group8B0", "8B⁰"), =HYPERLINK("CSG0.html#group2B0", "2B⁰"), =HYPERLINK("CSG1.html#group16D1", "16D¹"), =HYPERLINK("CSG3.html#group32G3", "32G³"), =HYPERLINK("CSG0.html#group1A0", "1A⁰"), =HYPERLINK("CSG0.html#group4C0", "4C⁰")</f>
        <v/>
      </c>
      <c r="N1624">
        <f>HYPERLINK("CSG15.html#group64I15", "64I¹⁵"), =HYPERLINK("CSG14.html#group64H14", "64H¹⁴"), =HYPERLINK("CSG14.html#group64C14", "64C¹⁴"), =HYPERLINK("CSG14.html#group64D14", "64D¹⁴"), =HYPERLINK("CSG14.html#group64G14", "64G¹⁴"), =HYPERLINK("CSG13.html#group64R13", "64R¹³"), =HYPERLINK("CSG15.html#group64C15", "64C¹⁵"), =HYPERLINK("CSG21.html#group192G21", "192G²¹")</f>
        <v/>
      </c>
    </row>
    <row r="1625">
      <c r="A1625" t="inlineStr">
        <is>
          <t>64J⁷</t>
        </is>
      </c>
      <c r="B1625" t="inlineStr"/>
      <c r="C1625" t="inlineStr">
        <is>
          <t>96</t>
        </is>
      </c>
      <c r="D1625" t="inlineStr">
        <is>
          <t>2</t>
        </is>
      </c>
      <c r="E1625" t="inlineStr">
        <is>
          <t>48</t>
        </is>
      </c>
      <c r="F1625" t="inlineStr">
        <is>
          <t>4</t>
        </is>
      </c>
      <c r="G1625" t="inlineStr">
        <is>
          <t>0</t>
        </is>
      </c>
      <c r="H1625" t="inlineStr">
        <is>
          <t>32¹, 64¹</t>
        </is>
      </c>
      <c r="I1625" t="n">
        <v>2</v>
      </c>
      <c r="J1625" t="inlineStr">
        <is>
          <t>4¹⁶, 8⁸, 16⁴</t>
        </is>
      </c>
      <c r="K1625">
        <f>HYPERLINK("CSG3.html#group32G3", "32G³")</f>
        <v/>
      </c>
      <c r="L1625">
        <f>HYPERLINK("CSG13.html#group64S13", "64S¹³"), =HYPERLINK("CSG14.html#group64C14", "64C¹⁴"), =HYPERLINK("CSG14.html#group64D14", "64D¹⁴"), =HYPERLINK("CSG14.html#group64G14", "64G¹⁴"), =HYPERLINK("CSG14.html#group64H14", "64H¹⁴"), =HYPERLINK("CSG15.html#group64D15", "64D¹⁵"), =HYPERLINK("CSG15.html#group64J15", "64J¹⁵"), =HYPERLINK("CSG21.html#group192H21", "192H²¹")</f>
        <v/>
      </c>
      <c r="M1625">
        <f>HYPERLINK("CSG0.html#group8B0", "8B⁰"), =HYPERLINK("CSG0.html#group2B0", "2B⁰"), =HYPERLINK("CSG1.html#group16D1", "16D¹"), =HYPERLINK("CSG3.html#group32G3", "32G³"), =HYPERLINK("CSG0.html#group1A0", "1A⁰"), =HYPERLINK("CSG0.html#group4C0", "4C⁰")</f>
        <v/>
      </c>
      <c r="N1625">
        <f>HYPERLINK("CSG14.html#group64H14", "64H¹⁴"), =HYPERLINK("CSG14.html#group64C14", "64C¹⁴"), =HYPERLINK("CSG14.html#group64D14", "64D¹⁴"), =HYPERLINK("CSG13.html#group64S13", "64S¹³"), =HYPERLINK("CSG21.html#group192H21", "192H²¹"), =HYPERLINK("CSG14.html#group64G14", "64G¹⁴"), =HYPERLINK("CSG15.html#group64J15", "64J¹⁵"), =HYPERLINK("CSG15.html#group64D15", "64D¹⁵")</f>
        <v/>
      </c>
    </row>
    <row r="1626">
      <c r="A1626" t="inlineStr">
        <is>
          <t>64K⁷</t>
        </is>
      </c>
      <c r="B1626" t="inlineStr"/>
      <c r="C1626" t="inlineStr">
        <is>
          <t>192</t>
        </is>
      </c>
      <c r="D1626" t="inlineStr">
        <is>
          <t>1</t>
        </is>
      </c>
      <c r="E1626" t="inlineStr">
        <is>
          <t>12</t>
        </is>
      </c>
      <c r="F1626" t="inlineStr">
        <is>
          <t>0</t>
        </is>
      </c>
      <c r="G1626" t="inlineStr">
        <is>
          <t>0</t>
        </is>
      </c>
      <c r="H1626" t="inlineStr">
        <is>
          <t>2¹⁶, 16², 64²</t>
        </is>
      </c>
      <c r="I1626" t="n">
        <v>20</v>
      </c>
      <c r="J1626" t="inlineStr">
        <is>
          <t>1⁴, 2², 4¹</t>
        </is>
      </c>
      <c r="K1626">
        <f>HYPERLINK("CSG2.html#group64A2", "64A²"), =HYPERLINK("CSG3.html#group32K3", "32K³")</f>
        <v/>
      </c>
      <c r="L1626">
        <f>HYPERLINK("CSG13.html#group64V13", "64V¹³"), =HYPERLINK("CSG19.html#group128A19", "128A¹⁹"), =HYPERLINK("CSG21.html#group64D21", "64D²¹"), =HYPERLINK("CSG21.html#group64E21", "64E²¹")</f>
        <v/>
      </c>
      <c r="M1626">
        <f>HYPERLINK("CSG0.html#group2A0", "2A⁰"), =HYPERLINK("CSG0.html#group8D0", "8D⁰"), =HYPERLINK("CSG1.html#group16E1", "16E¹"), =HYPERLINK("CSG0.html#group4C0", "4C⁰"), =HYPERLINK("CSG1.html#group16A1", "16A¹"), =HYPERLINK("CSG0.html#group8C0", "8C⁰"), =HYPERLINK("CSG0.html#group2B0", "2B⁰"), =HYPERLINK("CSG0.html#group4E0", "4E⁰"), =HYPERLINK("CSG3.html#group32K3", "32K³"), =HYPERLINK("CSG0.html#group4B0", "4B⁰"), =HYPERLINK("CSG0.html#group1A0", "1A⁰"), =HYPERLINK("CSG0.html#group8G0", "8G⁰"), =HYPERLINK("CSG0.html#group16C0", "16C⁰"), =HYPERLINK("CSG0.html#group32A0", "32A⁰"), =HYPERLINK("CSG2.html#group32A2", "32A²"), =HYPERLINK("CSG2.html#group64A2", "64A²"), =HYPERLINK("CSG0.html#group2C0", "2C⁰")</f>
        <v/>
      </c>
      <c r="N1626">
        <f>HYPERLINK("CSG19.html#group128A19", "128A¹⁹"), =HYPERLINK("CSG21.html#group64E21", "64E²¹"), =HYPERLINK("CSG21.html#group64D21", "64D²¹"), =HYPERLINK("CSG13.html#group64V13", "64V¹³")</f>
        <v/>
      </c>
    </row>
    <row r="1627">
      <c r="A1627" t="inlineStr">
        <is>
          <t>66A⁷</t>
        </is>
      </c>
      <c r="B1627" t="inlineStr"/>
      <c r="C1627" t="inlineStr">
        <is>
          <t>96</t>
        </is>
      </c>
      <c r="D1627" t="inlineStr">
        <is>
          <t>1</t>
        </is>
      </c>
      <c r="E1627" t="inlineStr">
        <is>
          <t>48</t>
        </is>
      </c>
      <c r="F1627" t="inlineStr">
        <is>
          <t>0</t>
        </is>
      </c>
      <c r="G1627" t="inlineStr">
        <is>
          <t>0</t>
        </is>
      </c>
      <c r="H1627" t="inlineStr">
        <is>
          <t>2¹, 6¹, 22¹, 66¹</t>
        </is>
      </c>
      <c r="I1627" t="n">
        <v>4</v>
      </c>
      <c r="J1627" t="inlineStr">
        <is>
          <t>1⁴, 2², 10², 20¹</t>
        </is>
      </c>
      <c r="K1627">
        <f>HYPERLINK("CSG3.html#group33C3", "33C³")</f>
        <v/>
      </c>
      <c r="L1627">
        <f>HYPERLINK("CSG13.html#group66A13", "66A¹³"), =HYPERLINK("CSG19.html#group66C19", "66C¹⁹"), =HYPERLINK("CSG21.html#group66B21", "66B²¹"), =HYPERLINK("CSG21.html#group198B21", "198B²¹"), =HYPERLINK("CSG23.html#group198A23", "198A²³"), =HYPERLINK("CSG23.html#group198B23", "198B²³")</f>
        <v/>
      </c>
      <c r="M1627">
        <f>HYPERLINK("CSG0.html#group3B0", "3B⁰"), =HYPERLINK("CSG0.html#group1A0", "1A⁰"), =HYPERLINK("CSG1.html#group11A1", "11A¹"), =HYPERLINK("CSG3.html#group33C3", "33C³")</f>
        <v/>
      </c>
      <c r="N1627">
        <f>HYPERLINK("CSG19.html#group66C19", "66C¹⁹"), =HYPERLINK("CSG23.html#group198B23", "198B²³"), =HYPERLINK("CSG21.html#group66B21", "66B²¹"), =HYPERLINK("CSG23.html#group198A23", "198A²³"), =HYPERLINK("CSG21.html#group198B21", "198B²¹"), =HYPERLINK("CSG13.html#group66A13", "66A¹³")</f>
        <v/>
      </c>
    </row>
    <row r="1628">
      <c r="A1628" t="inlineStr">
        <is>
          <t>66B⁷</t>
        </is>
      </c>
      <c r="B1628" t="inlineStr"/>
      <c r="C1628" t="inlineStr">
        <is>
          <t>96</t>
        </is>
      </c>
      <c r="D1628" t="inlineStr">
        <is>
          <t>1</t>
        </is>
      </c>
      <c r="E1628" t="inlineStr">
        <is>
          <t>48</t>
        </is>
      </c>
      <c r="F1628" t="inlineStr">
        <is>
          <t>0</t>
        </is>
      </c>
      <c r="G1628" t="inlineStr">
        <is>
          <t>0</t>
        </is>
      </c>
      <c r="H1628" t="inlineStr">
        <is>
          <t>2¹, 6¹, 22¹, 66¹</t>
        </is>
      </c>
      <c r="I1628" t="n">
        <v>4</v>
      </c>
      <c r="J1628" t="inlineStr">
        <is>
          <t>1⁴, 2², 10², 20¹</t>
        </is>
      </c>
      <c r="K1628">
        <f>HYPERLINK("CSG0.html#group6C0", "6C⁰"), =HYPERLINK("CSG2.html#group22A2", "22A²"), =HYPERLINK("CSG3.html#group33C3", "33C³")</f>
        <v/>
      </c>
      <c r="L1628">
        <f>HYPERLINK("CSG13.html#group66A13", "66A¹³"), =HYPERLINK("CSG15.html#group132A15", "132A¹⁵"), =HYPERLINK("CSG15.html#group132B15", "132B¹⁵"), =HYPERLINK("CSG19.html#group66B19", "66B¹⁹"), =HYPERLINK("CSG21.html#group66C21", "66C²¹"), =HYPERLINK("CSG21.html#group66D21", "66D²¹"), =HYPERLINK("CSG21.html#group198C21", "198C²¹"), =HYPERLINK("CSG21.html#group198D21", "198D²¹"), =HYPERLINK("CSG23.html#group198C23", "198C²³"), =HYPERLINK("CSG23.html#group198D23", "198D²³"), =HYPERLINK("CSG23.html#group198E23", "198E²³"), =HYPERLINK("CSG23.html#group198F23", "198F²³")</f>
        <v/>
      </c>
      <c r="M1628">
        <f>HYPERLINK("CSG0.html#group2A0", "2A⁰"), =HYPERLINK("CSG0.html#group3B0", "3B⁰"), =HYPERLINK("CSG1.html#group11A1", "11A¹"), =HYPERLINK("CSG2.html#group22A2", "22A²"), =HYPERLINK("CSG0.html#group6C0", "6C⁰"), =HYPERLINK("CSG0.html#group1A0", "1A⁰"), =HYPERLINK("CSG3.html#group33C3", "33C³")</f>
        <v/>
      </c>
      <c r="N1628">
        <f>HYPERLINK("CSG21.html#group66D21", "66D²¹"), =HYPERLINK("CSG15.html#group132A15", "132A¹⁵"), =HYPERLINK("CSG23.html#group198C23", "198C²³"), =HYPERLINK("CSG23.html#group198F23", "198F²³"), =HYPERLINK("CSG15.html#group132B15", "132B¹⁵"), =HYPERLINK("CSG21.html#group198D21", "198D²¹"), =HYPERLINK("CSG23.html#group198E23", "198E²³"), =HYPERLINK("CSG21.html#group198C21", "198C²¹"), =HYPERLINK("CSG23.html#group198D23", "198D²³"), =HYPERLINK("CSG21.html#group66C21", "66C²¹"), =HYPERLINK("CSG19.html#group66B19", "66B¹⁹"), =HYPERLINK("CSG13.html#group66A13", "66A¹³")</f>
        <v/>
      </c>
    </row>
    <row r="1629">
      <c r="A1629" t="inlineStr">
        <is>
          <t>68A⁷</t>
        </is>
      </c>
      <c r="B1629" t="inlineStr"/>
      <c r="C1629" t="inlineStr">
        <is>
          <t>108</t>
        </is>
      </c>
      <c r="D1629" t="inlineStr">
        <is>
          <t>1</t>
        </is>
      </c>
      <c r="E1629" t="inlineStr">
        <is>
          <t>54</t>
        </is>
      </c>
      <c r="F1629" t="inlineStr">
        <is>
          <t>0</t>
        </is>
      </c>
      <c r="G1629" t="inlineStr">
        <is>
          <t>0</t>
        </is>
      </c>
      <c r="H1629" t="inlineStr">
        <is>
          <t>1², 4¹, 17², 68¹</t>
        </is>
      </c>
      <c r="I1629" t="n">
        <v>6</v>
      </c>
      <c r="J1629" t="inlineStr">
        <is>
          <t>1⁶, 16³</t>
        </is>
      </c>
      <c r="K1629">
        <f>HYPERLINK("CSG3.html#group34C3", "34C³")</f>
        <v/>
      </c>
      <c r="L1629">
        <f>HYPERLINK("CSG13.html#group68B13", "68B¹³"), =HYPERLINK("CSG15.html#group68A15", "68A¹⁵"), =HYPERLINK("CSG15.html#group68B15", "68B¹⁵")</f>
        <v/>
      </c>
      <c r="M1629">
        <f>HYPERLINK("CSG3.html#group34C3", "34C³"), =HYPERLINK("CSG0.html#group1A0", "1A⁰"), =HYPERLINK("CSG1.html#group17A1", "17A¹"), =HYPERLINK("CSG0.html#group2B0", "2B⁰")</f>
        <v/>
      </c>
      <c r="N1629">
        <f>HYPERLINK("CSG15.html#group68A15", "68A¹⁵"), =HYPERLINK("CSG15.html#group68B15", "68B¹⁵"), =HYPERLINK("CSG13.html#group68B13", "68B¹³")</f>
        <v/>
      </c>
    </row>
    <row r="1630">
      <c r="A1630" t="inlineStr">
        <is>
          <t>68B⁷</t>
        </is>
      </c>
      <c r="B1630" t="inlineStr">
        <is>
          <t>Γ₀(68)</t>
        </is>
      </c>
      <c r="C1630" t="inlineStr">
        <is>
          <t>108</t>
        </is>
      </c>
      <c r="D1630" t="inlineStr">
        <is>
          <t>1</t>
        </is>
      </c>
      <c r="E1630" t="inlineStr">
        <is>
          <t>54</t>
        </is>
      </c>
      <c r="F1630" t="inlineStr">
        <is>
          <t>0</t>
        </is>
      </c>
      <c r="G1630" t="inlineStr">
        <is>
          <t>0</t>
        </is>
      </c>
      <c r="H1630" t="inlineStr">
        <is>
          <t>1², 4¹, 17², 68¹</t>
        </is>
      </c>
      <c r="I1630" t="n">
        <v>6</v>
      </c>
      <c r="J1630" t="inlineStr">
        <is>
          <t>1⁶, 16³</t>
        </is>
      </c>
      <c r="K1630">
        <f>HYPERLINK("CSG0.html#group4B0", "4B⁰"), =HYPERLINK("CSG3.html#group34C3", "34C³")</f>
        <v/>
      </c>
      <c r="L1630">
        <f>HYPERLINK("CSG13.html#group68B13", "68B¹³"), =HYPERLINK("CSG15.html#group68C15", "68C¹⁵"), =HYPERLINK("CSG15.html#group68D15", "68D¹⁵"), =HYPERLINK("CSG15.html#group136C15", "136C¹⁵"), =HYPERLINK("CSG15.html#group136D15", "136D¹⁵")</f>
        <v/>
      </c>
      <c r="M1630">
        <f>HYPERLINK("CSG1.html#group17A1", "17A¹"), =HYPERLINK("CSG0.html#group2B0", "2B⁰"), =HYPERLINK("CSG0.html#group4B0", "4B⁰"), =HYPERLINK("CSG3.html#group34C3", "34C³"), =HYPERLINK("CSG0.html#group1A0", "1A⁰")</f>
        <v/>
      </c>
      <c r="N1630">
        <f>HYPERLINK("CSG15.html#group68D15", "68D¹⁵"), =HYPERLINK("CSG15.html#group68C15", "68C¹⁵"), =HYPERLINK("CSG15.html#group136D15", "136D¹⁵"), =HYPERLINK("CSG13.html#group68B13", "68B¹³"), =HYPERLINK("CSG15.html#group136C15", "136C¹⁵")</f>
        <v/>
      </c>
    </row>
    <row r="1631">
      <c r="A1631" t="inlineStr">
        <is>
          <t>68C⁷</t>
        </is>
      </c>
      <c r="B1631" t="inlineStr"/>
      <c r="C1631" t="inlineStr">
        <is>
          <t>108</t>
        </is>
      </c>
      <c r="D1631" t="inlineStr">
        <is>
          <t>1</t>
        </is>
      </c>
      <c r="E1631" t="inlineStr">
        <is>
          <t>54</t>
        </is>
      </c>
      <c r="F1631" t="inlineStr">
        <is>
          <t>4</t>
        </is>
      </c>
      <c r="G1631" t="inlineStr">
        <is>
          <t>0</t>
        </is>
      </c>
      <c r="H1631" t="inlineStr">
        <is>
          <t>2¹, 4¹, 34¹, 68¹</t>
        </is>
      </c>
      <c r="I1631" t="n">
        <v>4</v>
      </c>
      <c r="J1631" t="inlineStr">
        <is>
          <t>1⁶, 16³</t>
        </is>
      </c>
      <c r="K1631">
        <f>HYPERLINK("CSG3.html#group34C3", "34C³")</f>
        <v/>
      </c>
      <c r="L1631">
        <f>HYPERLINK("CSG13.html#group68D13", "68D¹³"), =HYPERLINK("CSG15.html#group68A15", "68A¹⁵"), =HYPERLINK("CSG15.html#group68C15", "68C¹⁵"), =HYPERLINK("CSG15.html#group136G15", "136G¹⁵"), =HYPERLINK("CSG17.html#group136C17", "136C¹⁷"), =HYPERLINK("CSG23.html#group204E23", "204E²³")</f>
        <v/>
      </c>
      <c r="M1631">
        <f>HYPERLINK("CSG3.html#group34C3", "34C³"), =HYPERLINK("CSG0.html#group1A0", "1A⁰"), =HYPERLINK("CSG1.html#group17A1", "17A¹"), =HYPERLINK("CSG0.html#group2B0", "2B⁰")</f>
        <v/>
      </c>
      <c r="N1631">
        <f>HYPERLINK("CSG15.html#group68A15", "68A¹⁵"), =HYPERLINK("CSG17.html#group136C17", "136C¹⁷"), =HYPERLINK("CSG13.html#group68D13", "68D¹³"), =HYPERLINK("CSG23.html#group204E23", "204E²³"), =HYPERLINK("CSG15.html#group68C15", "68C¹⁵"), =HYPERLINK("CSG15.html#group136G15", "136G¹⁵")</f>
        <v/>
      </c>
    </row>
    <row r="1632">
      <c r="A1632" t="inlineStr">
        <is>
          <t>68D⁷</t>
        </is>
      </c>
      <c r="B1632" t="inlineStr"/>
      <c r="C1632" t="inlineStr">
        <is>
          <t>108</t>
        </is>
      </c>
      <c r="D1632" t="inlineStr">
        <is>
          <t>1</t>
        </is>
      </c>
      <c r="E1632" t="inlineStr">
        <is>
          <t>54</t>
        </is>
      </c>
      <c r="F1632" t="inlineStr">
        <is>
          <t>4</t>
        </is>
      </c>
      <c r="G1632" t="inlineStr">
        <is>
          <t>0</t>
        </is>
      </c>
      <c r="H1632" t="inlineStr">
        <is>
          <t>2¹, 4¹, 34¹, 68¹</t>
        </is>
      </c>
      <c r="I1632" t="n">
        <v>4</v>
      </c>
      <c r="J1632" t="inlineStr">
        <is>
          <t>1⁶, 16³</t>
        </is>
      </c>
      <c r="K1632">
        <f>HYPERLINK("CSG0.html#group4C0", "4C⁰"), =HYPERLINK("CSG3.html#group34C3", "34C³")</f>
        <v/>
      </c>
      <c r="L1632">
        <f>HYPERLINK("CSG13.html#group68D13", "68D¹³"), =HYPERLINK("CSG15.html#group68B15", "68B¹⁵"), =HYPERLINK("CSG15.html#group68D15", "68D¹⁵"), =HYPERLINK("CSG15.html#group68E15", "68E¹⁵"), =HYPERLINK("CSG15.html#group68F15", "68F¹⁵"), =HYPERLINK("CSG15.html#group136A15", "136A¹⁵"), =HYPERLINK("CSG15.html#group136B15", "136B¹⁵"), =HYPERLINK("CSG15.html#group136E15", "136E¹⁵"), =HYPERLINK("CSG15.html#group136F15", "136F¹⁵"), =HYPERLINK("CSG17.html#group136A17", "136A¹⁷"), =HYPERLINK("CSG17.html#group136B17", "136B¹⁷"), =HYPERLINK("CSG23.html#group204F23", "204F²³")</f>
        <v/>
      </c>
      <c r="M1632">
        <f>HYPERLINK("CSG1.html#group17A1", "17A¹"), =HYPERLINK("CSG0.html#group2B0", "2B⁰"), =HYPERLINK("CSG3.html#group34C3", "34C³"), =HYPERLINK("CSG0.html#group1A0", "1A⁰"), =HYPERLINK("CSG0.html#group4C0", "4C⁰")</f>
        <v/>
      </c>
      <c r="N1632">
        <f>HYPERLINK("CSG13.html#group68D13", "68D¹³"), =HYPERLINK("CSG15.html#group68E15", "68E¹⁵"), =HYPERLINK("CSG15.html#group68D15", "68D¹⁵"), =HYPERLINK("CSG15.html#group136F15", "136F¹⁵"), =HYPERLINK("CSG17.html#group136A17", "136A¹⁷"), =HYPERLINK("CSG15.html#group136A15", "136A¹⁵"), =HYPERLINK("CSG15.html#group136E15", "136E¹⁵"), =HYPERLINK("CSG15.html#group136B15", "136B¹⁵"), =HYPERLINK("CSG23.html#group204F23", "204F²³"), =HYPERLINK("CSG15.html#group68B15", "68B¹⁵"), =HYPERLINK("CSG17.html#group136B17", "136B¹⁷"), =HYPERLINK("CSG15.html#group68F15", "68F¹⁵")</f>
        <v/>
      </c>
    </row>
    <row r="1633">
      <c r="A1633" t="inlineStr">
        <is>
          <t>69A⁷</t>
        </is>
      </c>
      <c r="B1633" t="inlineStr">
        <is>
          <t>Γ₀(69)</t>
        </is>
      </c>
      <c r="C1633" t="inlineStr">
        <is>
          <t>96</t>
        </is>
      </c>
      <c r="D1633" t="inlineStr">
        <is>
          <t>1</t>
        </is>
      </c>
      <c r="E1633" t="inlineStr">
        <is>
          <t>96</t>
        </is>
      </c>
      <c r="F1633" t="inlineStr">
        <is>
          <t>0</t>
        </is>
      </c>
      <c r="G1633" t="inlineStr">
        <is>
          <t>0</t>
        </is>
      </c>
      <c r="H1633" t="inlineStr">
        <is>
          <t>1¹, 3¹, 23¹, 69¹</t>
        </is>
      </c>
      <c r="I1633" t="n">
        <v>4</v>
      </c>
      <c r="J1633" t="inlineStr">
        <is>
          <t>1⁴, 2², 22², 44¹</t>
        </is>
      </c>
      <c r="K1633">
        <f>HYPERLINK("CSG0.html#group3B0", "3B⁰"), =HYPERLINK("CSG2.html#group23A2", "23A²")</f>
        <v/>
      </c>
      <c r="L1633">
        <f>HYPERLINK("CSG13.html#group69A13", "69A¹³"), =HYPERLINK("CSG15.html#group138A15", "138A¹⁵"), =HYPERLINK("CSG15.html#group138B15", "138B¹⁵"), =HYPERLINK("CSG21.html#group69A21", "69A²¹"), =HYPERLINK("CSG21.html#group138A21", "138A²¹"), =HYPERLINK("CSG21.html#group207A21", "207A²¹"), =HYPERLINK("CSG23.html#group207A23", "207A²³"), =HYPERLINK("CSG23.html#group207B23", "207B²³")</f>
        <v/>
      </c>
      <c r="M1633">
        <f>HYPERLINK("CSG0.html#group3B0", "3B⁰"), =HYPERLINK("CSG0.html#group1A0", "1A⁰"), =HYPERLINK("CSG2.html#group23A2", "23A²")</f>
        <v/>
      </c>
      <c r="N1633">
        <f>HYPERLINK("CSG21.html#group138A21", "138A²¹"), =HYPERLINK("CSG23.html#group207A23", "207A²³"), =HYPERLINK("CSG21.html#group207A21", "207A²¹"), =HYPERLINK("CSG15.html#group138A15", "138A¹⁵"), =HYPERLINK("CSG15.html#group138B15", "138B¹⁵"), =HYPERLINK("CSG23.html#group207B23", "207B²³"), =HYPERLINK("CSG13.html#group69A13", "69A¹³"), =HYPERLINK("CSG21.html#group69A21", "69A²¹")</f>
        <v/>
      </c>
    </row>
    <row r="1634">
      <c r="A1634" t="inlineStr">
        <is>
          <t>70A⁷</t>
        </is>
      </c>
      <c r="B1634" t="inlineStr"/>
      <c r="C1634" t="inlineStr">
        <is>
          <t>84</t>
        </is>
      </c>
      <c r="D1634" t="inlineStr">
        <is>
          <t>2</t>
        </is>
      </c>
      <c r="E1634" t="inlineStr">
        <is>
          <t>42</t>
        </is>
      </c>
      <c r="F1634" t="inlineStr">
        <is>
          <t>0</t>
        </is>
      </c>
      <c r="G1634" t="inlineStr">
        <is>
          <t>0</t>
        </is>
      </c>
      <c r="H1634" t="inlineStr">
        <is>
          <t>14¹, 70¹</t>
        </is>
      </c>
      <c r="I1634" t="n">
        <v>2</v>
      </c>
      <c r="J1634" t="inlineStr">
        <is>
          <t>2², 6⁴, 8¹, 24²</t>
        </is>
      </c>
      <c r="K1634">
        <f>HYPERLINK("CSG1.html#group10A1", "10A¹"), =HYPERLINK("CSG1.html#group14A1", "14A¹"), =HYPERLINK("CSG2.html#group35C2", "35C²")</f>
        <v/>
      </c>
      <c r="L1634">
        <f>HYPERLINK("CSG13.html#group70A13", "70A¹³"), =HYPERLINK("CSG13.html#group70C13", "70C¹³"), =HYPERLINK("CSG13.html#group70D13", "70D¹³"), =HYPERLINK("CSG19.html#group70A19", "70A¹⁹"), =HYPERLINK("CSG19.html#group70B19", "70B¹⁹"), =HYPERLINK("CSG21.html#group210A21", "210A²¹"), =HYPERLINK("CSG21.html#group210B21", "210B²¹")</f>
        <v/>
      </c>
      <c r="M1634">
        <f>HYPERLINK("CSG2.html#group35C2", "35C²"), =HYPERLINK("CSG0.html#group2A0", "2A⁰"), =HYPERLINK("CSG1.html#group14A1", "14A¹"), =HYPERLINK("CSG0.html#group5B0", "5B⁰"), =HYPERLINK("CSG1.html#group10A1", "10A¹"), =HYPERLINK("CSG0.html#group1A0", "1A⁰"), =HYPERLINK("CSG0.html#group7A0", "7A⁰")</f>
        <v/>
      </c>
      <c r="N1634">
        <f>HYPERLINK("CSG13.html#group70C13", "70C¹³"), =HYPERLINK("CSG21.html#group210B21", "210B²¹"), =HYPERLINK("CSG13.html#group70D13", "70D¹³"), =HYPERLINK("CSG21.html#group210A21", "210A²¹"), =HYPERLINK("CSG19.html#group70B19", "70B¹⁹"), =HYPERLINK("CSG13.html#group70A13", "70A¹³"), =HYPERLINK("CSG19.html#group70A19", "70A¹⁹")</f>
        <v/>
      </c>
    </row>
    <row r="1635">
      <c r="A1635" t="inlineStr">
        <is>
          <t>70B⁷</t>
        </is>
      </c>
      <c r="B1635" t="inlineStr"/>
      <c r="C1635" t="inlineStr">
        <is>
          <t>96</t>
        </is>
      </c>
      <c r="D1635" t="inlineStr">
        <is>
          <t>1</t>
        </is>
      </c>
      <c r="E1635" t="inlineStr">
        <is>
          <t>48</t>
        </is>
      </c>
      <c r="F1635" t="inlineStr">
        <is>
          <t>0</t>
        </is>
      </c>
      <c r="G1635" t="inlineStr">
        <is>
          <t>0</t>
        </is>
      </c>
      <c r="H1635" t="inlineStr">
        <is>
          <t>2¹, 10¹, 14¹, 70¹</t>
        </is>
      </c>
      <c r="I1635" t="n">
        <v>4</v>
      </c>
      <c r="J1635" t="inlineStr">
        <is>
          <t>1⁴, 4², 6², 24¹</t>
        </is>
      </c>
      <c r="K1635">
        <f>HYPERLINK("CSG0.html#group10B0", "10B⁰"), =HYPERLINK("CSG3.html#group35A3", "35A³")</f>
        <v/>
      </c>
      <c r="L1635">
        <f>HYPERLINK("CSG13.html#group70F13", "70F¹³"), =HYPERLINK("CSG15.html#group140D15", "140D¹⁵"), =HYPERLINK("CSG19.html#group70E19", "70E¹⁹"), =HYPERLINK("CSG19.html#group70I19", "70I¹⁹"), =HYPERLINK("CSG23.html#group210A23", "210A²³"), =HYPERLINK("CSG23.html#group210F23", "210F²³")</f>
        <v/>
      </c>
      <c r="M1635">
        <f>HYPERLINK("CSG0.html#group5B0", "5B⁰"), =HYPERLINK("CSG0.html#group7B0", "7B⁰"), =HYPERLINK("CSG0.html#group1A0", "1A⁰"), =HYPERLINK("CSG3.html#group35A3", "35A³"), =HYPERLINK("CSG0.html#group10B0", "10B⁰")</f>
        <v/>
      </c>
      <c r="N1635">
        <f>HYPERLINK("CSG15.html#group140D15", "140D¹⁵"), =HYPERLINK("CSG13.html#group70F13", "70F¹³"), =HYPERLINK("CSG19.html#group70I19", "70I¹⁹"), =HYPERLINK("CSG23.html#group210A23", "210A²³"), =HYPERLINK("CSG23.html#group210F23", "210F²³"), =HYPERLINK("CSG19.html#group70E19", "70E¹⁹")</f>
        <v/>
      </c>
    </row>
    <row r="1636">
      <c r="A1636" t="inlineStr">
        <is>
          <t>70C⁷</t>
        </is>
      </c>
      <c r="B1636" t="inlineStr"/>
      <c r="C1636" t="inlineStr">
        <is>
          <t>96</t>
        </is>
      </c>
      <c r="D1636" t="inlineStr">
        <is>
          <t>1</t>
        </is>
      </c>
      <c r="E1636" t="inlineStr">
        <is>
          <t>48</t>
        </is>
      </c>
      <c r="F1636" t="inlineStr">
        <is>
          <t>0</t>
        </is>
      </c>
      <c r="G1636" t="inlineStr">
        <is>
          <t>0</t>
        </is>
      </c>
      <c r="H1636" t="inlineStr">
        <is>
          <t>2¹, 10¹, 14¹, 70¹</t>
        </is>
      </c>
      <c r="I1636" t="n">
        <v>4</v>
      </c>
      <c r="J1636" t="inlineStr">
        <is>
          <t>1⁴, 4², 6², 24¹</t>
        </is>
      </c>
      <c r="K1636">
        <f>HYPERLINK("CSG0.html#group14B0", "14B⁰"), =HYPERLINK("CSG1.html#group10A1", "10A¹"), =HYPERLINK("CSG3.html#group35A3", "35A³")</f>
        <v/>
      </c>
      <c r="L1636">
        <f>HYPERLINK("CSG13.html#group70F13", "70F¹³"), =HYPERLINK("CSG15.html#group140A15", "140A¹⁵"), =HYPERLINK("CSG15.html#group140B15", "140B¹⁵"), =HYPERLINK("CSG19.html#group70F19", "70F¹⁹"), =HYPERLINK("CSG19.html#group70G19", "70G¹⁹"), =HYPERLINK("CSG19.html#group70H19", "70H¹⁹"), =HYPERLINK("CSG23.html#group210B23", "210B²³"), =HYPERLINK("CSG23.html#group210C23", "210C²³"), =HYPERLINK("CSG23.html#group210G23", "210G²³"), =HYPERLINK("CSG23.html#group210H23", "210H²³")</f>
        <v/>
      </c>
      <c r="M1636">
        <f>HYPERLINK("CSG0.html#group2A0", "2A⁰"), =HYPERLINK("CSG0.html#group7B0", "7B⁰"), =HYPERLINK("CSG0.html#group14B0", "14B⁰"), =HYPERLINK("CSG0.html#group5B0", "5B⁰"), =HYPERLINK("CSG1.html#group10A1", "10A¹"), =HYPERLINK("CSG0.html#group1A0", "1A⁰"), =HYPERLINK("CSG3.html#group35A3", "35A³")</f>
        <v/>
      </c>
      <c r="N1636">
        <f>HYPERLINK("CSG13.html#group70F13", "70F¹³"), =HYPERLINK("CSG23.html#group210B23", "210B²³"), =HYPERLINK("CSG19.html#group70F19", "70F¹⁹"), =HYPERLINK("CSG23.html#group210C23", "210C²³"), =HYPERLINK("CSG23.html#group210G23", "210G²³"), =HYPERLINK("CSG15.html#group140B15", "140B¹⁵"), =HYPERLINK("CSG23.html#group210H23", "210H²³"), =HYPERLINK("CSG15.html#group140A15", "140A¹⁵"), =HYPERLINK("CSG19.html#group70H19", "70H¹⁹"), =HYPERLINK("CSG19.html#group70G19", "70G¹⁹")</f>
        <v/>
      </c>
    </row>
    <row r="1637">
      <c r="A1637" t="inlineStr">
        <is>
          <t>72A⁷</t>
        </is>
      </c>
      <c r="B1637" t="inlineStr"/>
      <c r="C1637" t="inlineStr">
        <is>
          <t>96</t>
        </is>
      </c>
      <c r="D1637" t="inlineStr">
        <is>
          <t>2</t>
        </is>
      </c>
      <c r="E1637" t="inlineStr">
        <is>
          <t>16</t>
        </is>
      </c>
      <c r="F1637" t="inlineStr">
        <is>
          <t>0</t>
        </is>
      </c>
      <c r="G1637" t="inlineStr">
        <is>
          <t>0</t>
        </is>
      </c>
      <c r="H1637" t="inlineStr">
        <is>
          <t>8³, 72¹</t>
        </is>
      </c>
      <c r="I1637" t="n">
        <v>4</v>
      </c>
      <c r="J1637" t="inlineStr">
        <is>
          <t>4⁴, 8²</t>
        </is>
      </c>
      <c r="K1637">
        <f>HYPERLINK("CSG2.html#group24A2", "24A²"), =HYPERLINK("CSG3.html#group36B3", "36B³")</f>
        <v/>
      </c>
      <c r="L1637">
        <f>HYPERLINK("CSG13.html#group72B13", "72B¹³"), =HYPERLINK("CSG15.html#group144A15", "144A¹⁵"), =HYPERLINK("CSG19.html#group72O19", "72O¹⁹"), =HYPERLINK("CSG21.html#group72R21", "72R²¹"), =HYPERLINK("CSG21.html#group216A21", "216A²¹"), =HYPERLINK("CSG22.html#group72C22", "72C²²"), =HYPERLINK("CSG22.html#group216A22", "216A²²"), =HYPERLINK("CSG23.html#group216A23", "216A²³")</f>
        <v/>
      </c>
      <c r="M1637">
        <f>HYPERLINK("CSG0.html#group3B0", "3B⁰"), =HYPERLINK("CSG2.html#group24A2", "24A²"), =HYPERLINK("CSG0.html#group4A0", "4A⁰"), =HYPERLINK("CSG1.html#group12A1", "12A¹"), =HYPERLINK("CSG0.html#group8A0", "8A⁰"), =HYPERLINK("CSG0.html#group9B0", "9B⁰"), =HYPERLINK("CSG3.html#group36B3", "36B³"), =HYPERLINK("CSG0.html#group1A0", "1A⁰")</f>
        <v/>
      </c>
      <c r="N1637">
        <f>HYPERLINK("CSG23.html#group216A23", "216A²³"), =HYPERLINK("CSG21.html#group72R21", "72R²¹"), =HYPERLINK("CSG22.html#group216A22", "216A²²"), =HYPERLINK("CSG21.html#group216A21", "216A²¹"), =HYPERLINK("CSG15.html#group144A15", "144A¹⁵"), =HYPERLINK("CSG19.html#group72O19", "72O¹⁹"), =HYPERLINK("CSG13.html#group72B13", "72B¹³"), =HYPERLINK("CSG22.html#group72C22", "72C²²")</f>
        <v/>
      </c>
    </row>
    <row r="1638">
      <c r="A1638" t="inlineStr">
        <is>
          <t>72B⁷</t>
        </is>
      </c>
      <c r="B1638" t="inlineStr"/>
      <c r="C1638" t="inlineStr">
        <is>
          <t>108</t>
        </is>
      </c>
      <c r="D1638" t="inlineStr">
        <is>
          <t>1</t>
        </is>
      </c>
      <c r="E1638" t="inlineStr">
        <is>
          <t>27</t>
        </is>
      </c>
      <c r="F1638" t="inlineStr">
        <is>
          <t>8</t>
        </is>
      </c>
      <c r="G1638" t="inlineStr">
        <is>
          <t>0</t>
        </is>
      </c>
      <c r="H1638" t="inlineStr">
        <is>
          <t>36¹, 72¹</t>
        </is>
      </c>
      <c r="I1638" t="n">
        <v>2</v>
      </c>
      <c r="J1638" t="inlineStr">
        <is>
          <t>1³, 2³, 6³</t>
        </is>
      </c>
      <c r="K1638">
        <f>HYPERLINK("CSG1.html#group24D1", "24D¹"), =HYPERLINK("CSG2.html#group36B2", "36B²")</f>
        <v/>
      </c>
      <c r="L1638">
        <f>HYPERLINK("CSG13.html#group72I13", "72I¹³"), =HYPERLINK("CSG15.html#group72J15", "72J¹⁵"), =HYPERLINK("CSG15.html#group72K15", "72K¹⁵"), =HYPERLINK("CSG15.html#group72N15", "72N¹⁵"), =HYPERLINK("CSG15.html#group72P15", "72P¹⁵"), =HYPERLINK("CSG15.html#group72W15", "72W¹⁵"), =HYPERLINK("CSG17.html#group72B17", "72B¹⁷"), =HYPERLINK("CSG17.html#group72E17", "72E¹⁷"), =HYPERLINK("CSG21.html#group72X21", "72X²¹")</f>
        <v/>
      </c>
      <c r="M1638">
        <f>HYPERLINK("CSG0.html#group12C0", "12C⁰"), =HYPERLINK("CSG0.html#group9A0", "9A⁰"), =HYPERLINK("CSG2.html#group36B2", "36B²"), =HYPERLINK("CSG1.html#group24D1", "24D¹"), =HYPERLINK("CSG0.html#group4C0", "4C⁰"), =HYPERLINK("CSG0.html#group2B0", "2B⁰"), =HYPERLINK("CSG1.html#group18E1", "18E¹"), =HYPERLINK("CSG0.html#group3A0", "3A⁰"), =HYPERLINK("CSG0.html#group1A0", "1A⁰"), =HYPERLINK("CSG0.html#group6D0", "6D⁰")</f>
        <v/>
      </c>
      <c r="N1638">
        <f>HYPERLINK("CSG17.html#group72E17", "72E¹⁷"), =HYPERLINK("CSG15.html#group72K15", "72K¹⁵"), =HYPERLINK("CSG15.html#group72J15", "72J¹⁵"), =HYPERLINK("CSG13.html#group72I13", "72I¹³"), =HYPERLINK("CSG15.html#group72P15", "72P¹⁵"), =HYPERLINK("CSG21.html#group72X21", "72X²¹"), =HYPERLINK("CSG15.html#group72N15", "72N¹⁵"), =HYPERLINK("CSG15.html#group72W15", "72W¹⁵"), =HYPERLINK("CSG17.html#group72B17", "72B¹⁷")</f>
        <v/>
      </c>
    </row>
    <row r="1639">
      <c r="A1639" t="inlineStr">
        <is>
          <t>72C⁷</t>
        </is>
      </c>
      <c r="B1639" t="inlineStr"/>
      <c r="C1639" t="inlineStr">
        <is>
          <t>144</t>
        </is>
      </c>
      <c r="D1639" t="inlineStr">
        <is>
          <t>1</t>
        </is>
      </c>
      <c r="E1639" t="inlineStr">
        <is>
          <t>12</t>
        </is>
      </c>
      <c r="F1639" t="inlineStr">
        <is>
          <t>0</t>
        </is>
      </c>
      <c r="G1639" t="inlineStr">
        <is>
          <t>0</t>
        </is>
      </c>
      <c r="H1639" t="inlineStr">
        <is>
          <t>2⁶, 8³, 18², 72¹</t>
        </is>
      </c>
      <c r="I1639" t="n">
        <v>12</v>
      </c>
      <c r="J1639" t="inlineStr">
        <is>
          <t>1⁶, 2³</t>
        </is>
      </c>
      <c r="K1639">
        <f>HYPERLINK("CSG1.html#group36C1", "36C¹"), =HYPERLINK("CSG2.html#group24F2", "24F²")</f>
        <v/>
      </c>
      <c r="L1639">
        <f>HYPERLINK("CSG13.html#group72Q13", "72Q¹³"), =HYPERLINK("CSG13.html#group72S13", "72S¹³")</f>
        <v/>
      </c>
      <c r="M1639">
        <f>HYPERLINK("CSG0.html#group3B0", "3B⁰"), =HYPERLINK("CSG0.html#group18E0", "18E⁰"), =HYPERLINK("CSG0.html#group4B0", "4B⁰"), =HYPERLINK("CSG0.html#group9B0", "9B⁰"), =HYPERLINK("CSG0.html#group1A0", "1A⁰"), =HYPERLINK("CSG0.html#group2B0", "2B⁰"), =HYPERLINK("CSG1.html#group36C1", "36C¹"), =HYPERLINK("CSG2.html#group24F2", "24F²"), =HYPERLINK("CSG0.html#group6F0", "6F⁰"), =HYPERLINK("CSG0.html#group12E0", "12E⁰")</f>
        <v/>
      </c>
      <c r="N1639">
        <f>HYPERLINK("CSG13.html#group72S13", "72S¹³"), =HYPERLINK("CSG13.html#group72Q13", "72Q¹³")</f>
        <v/>
      </c>
    </row>
    <row r="1640">
      <c r="A1640" t="inlineStr">
        <is>
          <t>72D⁷</t>
        </is>
      </c>
      <c r="B1640" t="inlineStr"/>
      <c r="C1640" t="inlineStr">
        <is>
          <t>144</t>
        </is>
      </c>
      <c r="D1640" t="inlineStr">
        <is>
          <t>1</t>
        </is>
      </c>
      <c r="E1640" t="inlineStr">
        <is>
          <t>24</t>
        </is>
      </c>
      <c r="F1640" t="inlineStr">
        <is>
          <t>0</t>
        </is>
      </c>
      <c r="G1640" t="inlineStr">
        <is>
          <t>0</t>
        </is>
      </c>
      <c r="H1640" t="inlineStr">
        <is>
          <t>2⁶, 8³, 18², 72¹</t>
        </is>
      </c>
      <c r="I1640" t="n">
        <v>12</v>
      </c>
      <c r="J1640" t="inlineStr">
        <is>
          <t>1⁴, 2⁶, 4²</t>
        </is>
      </c>
      <c r="K1640">
        <f>HYPERLINK("CSG2.html#group24I2", "24I²"), =HYPERLINK("CSG3.html#group36G3", "36G³")</f>
        <v/>
      </c>
      <c r="L1640">
        <f>HYPERLINK("CSG13.html#group72R13", "72R¹³"), =HYPERLINK("CSG15.html#group144E15", "144E¹⁵"), =HYPERLINK("CSG17.html#group72Q17", "72Q¹⁷"), =HYPERLINK("CSG17.html#group72R17", "72R¹⁷"), =HYPERLINK("CSG19.html#group144I19", "144I¹⁹")</f>
        <v/>
      </c>
      <c r="M1640">
        <f>HYPERLINK("CSG0.html#group3B0", "3B⁰"), =HYPERLINK("CSG0.html#group18E0", "18E⁰"), =HYPERLINK("CSG2.html#group24I2", "24I²"), =HYPERLINK("CSG0.html#group8D0", "8D⁰"), =HYPERLINK("CSG1.html#group12F1", "12F¹"), =HYPERLINK("CSG0.html#group4C0", "4C⁰"), =HYPERLINK("CSG0.html#group6F0", "6F⁰"), =HYPERLINK("CSG0.html#group9B0", "9B⁰"), =HYPERLINK("CSG0.html#group2B0", "2B⁰"), =HYPERLINK("CSG0.html#group1A0", "1A⁰"), =HYPERLINK("CSG3.html#group36G3", "36G³")</f>
        <v/>
      </c>
      <c r="N1640">
        <f>HYPERLINK("CSG17.html#group72R17", "72R¹⁷"), =HYPERLINK("CSG17.html#group72Q17", "72Q¹⁷"), =HYPERLINK("CSG19.html#group144I19", "144I¹⁹"), =HYPERLINK("CSG13.html#group72R13", "72R¹³"), =HYPERLINK("CSG15.html#group144E15", "144E¹⁵")</f>
        <v/>
      </c>
    </row>
    <row r="1641">
      <c r="A1641" t="inlineStr">
        <is>
          <t>72E⁷</t>
        </is>
      </c>
      <c r="B1641" t="inlineStr"/>
      <c r="C1641" t="inlineStr">
        <is>
          <t>144</t>
        </is>
      </c>
      <c r="D1641" t="inlineStr">
        <is>
          <t>1</t>
        </is>
      </c>
      <c r="E1641" t="inlineStr">
        <is>
          <t>144</t>
        </is>
      </c>
      <c r="F1641" t="inlineStr">
        <is>
          <t>20</t>
        </is>
      </c>
      <c r="G1641" t="inlineStr">
        <is>
          <t>0</t>
        </is>
      </c>
      <c r="H1641" t="inlineStr">
        <is>
          <t>72²</t>
        </is>
      </c>
      <c r="I1641" t="n">
        <v>2</v>
      </c>
      <c r="J1641" t="inlineStr">
        <is>
          <t>4⁴, 8⁴, 24⁴</t>
        </is>
      </c>
      <c r="K1641">
        <f>HYPERLINK("CSG1.html#group24F1", "24F¹"), =HYPERLINK("CSG1.html#group36A1", "36A¹")</f>
        <v/>
      </c>
      <c r="L1641">
        <f>HYPERLINK("CSG15.html#group72Z15", "72Z¹⁵"), =HYPERLINK("CSG17.html#group72V17", "72V¹⁷"), =HYPERLINK("CSG18.html#group72A18", "72A¹⁸"), =HYPERLINK("CSG18.html#group72B18", "72B¹⁸"), =HYPERLINK("CSG18.html#group72C18", "72C¹⁸"), =HYPERLINK("CSG18.html#group72D18", "72D¹⁸"), =HYPERLINK("CSG19.html#group72P19", "72P¹⁹"), =HYPERLINK("CSG21.html#group72W21", "72W²¹"), =HYPERLINK("CSG23.html#group72E23", "72E²³")</f>
        <v/>
      </c>
      <c r="M1641">
        <f>HYPERLINK("CSG1.html#group24F1", "24F¹"), =HYPERLINK("CSG1.html#group36A1", "36A¹"), =HYPERLINK("CSG0.html#group12A0", "12A⁰"), =HYPERLINK("CSG0.html#group8F0", "8F⁰"), =HYPERLINK("CSG0.html#group4A0", "4A⁰"), =HYPERLINK("CSG0.html#group9A0", "9A⁰"), =HYPERLINK("CSG0.html#group3A0", "3A⁰"), =HYPERLINK("CSG0.html#group1A0", "1A⁰")</f>
        <v/>
      </c>
      <c r="N1641">
        <f>HYPERLINK("CSG18.html#group72D18", "72D¹⁸"), =HYPERLINK("CSG17.html#group72V17", "72V¹⁷"), =HYPERLINK("CSG21.html#group72W21", "72W²¹"), =HYPERLINK("CSG18.html#group72A18", "72A¹⁸"), =HYPERLINK("CSG18.html#group72C18", "72C¹⁸"), =HYPERLINK("CSG19.html#group72P19", "72P¹⁹"), =HYPERLINK("CSG23.html#group72E23", "72E²³"), =HYPERLINK("CSG15.html#group72Z15", "72Z¹⁵"), =HYPERLINK("CSG18.html#group72B18", "72B¹⁸")</f>
        <v/>
      </c>
    </row>
    <row r="1642">
      <c r="A1642" t="inlineStr">
        <is>
          <t>77A⁷</t>
        </is>
      </c>
      <c r="B1642" t="inlineStr"/>
      <c r="C1642" t="inlineStr">
        <is>
          <t>84</t>
        </is>
      </c>
      <c r="D1642" t="inlineStr">
        <is>
          <t>2</t>
        </is>
      </c>
      <c r="E1642" t="inlineStr">
        <is>
          <t>84</t>
        </is>
      </c>
      <c r="F1642" t="inlineStr">
        <is>
          <t>0</t>
        </is>
      </c>
      <c r="G1642" t="inlineStr">
        <is>
          <t>0</t>
        </is>
      </c>
      <c r="H1642" t="inlineStr">
        <is>
          <t>7¹, 77¹</t>
        </is>
      </c>
      <c r="I1642" t="n">
        <v>2</v>
      </c>
      <c r="J1642" t="inlineStr">
        <is>
          <t>2², 6⁴, 20¹, 60²</t>
        </is>
      </c>
      <c r="K1642">
        <f>HYPERLINK("CSG0.html#group7A0", "7A⁰"), =HYPERLINK("CSG1.html#group11A1", "11A¹")</f>
        <v/>
      </c>
      <c r="L1642">
        <f>HYPERLINK("CSG13.html#group77A13", "77A¹³"), =HYPERLINK("CSG14.html#group154A14", "154A¹⁴"), =HYPERLINK("CSG14.html#group154B14", "154B¹⁴"), =HYPERLINK("CSG19.html#group77A19", "77A¹⁹"), =HYPERLINK("CSG20.html#group154A20", "154A²⁰"), =HYPERLINK("CSG21.html#group231A21", "231A²¹")</f>
        <v/>
      </c>
      <c r="M1642">
        <f>HYPERLINK("CSG0.html#group1A0", "1A⁰"), =HYPERLINK("CSG1.html#group11A1", "11A¹"), =HYPERLINK("CSG0.html#group7A0", "7A⁰")</f>
        <v/>
      </c>
      <c r="N1642">
        <f>HYPERLINK("CSG14.html#group154A14", "154A¹⁴"), =HYPERLINK("CSG21.html#group231A21", "231A²¹"), =HYPERLINK("CSG19.html#group77A19", "77A¹⁹"), =HYPERLINK("CSG20.html#group154A20", "154A²⁰"), =HYPERLINK("CSG13.html#group77A13", "77A¹³"), =HYPERLINK("CSG14.html#group154B14", "154B¹⁴")</f>
        <v/>
      </c>
    </row>
    <row r="1643">
      <c r="A1643" t="inlineStr">
        <is>
          <t>77B⁷</t>
        </is>
      </c>
      <c r="B1643" t="inlineStr">
        <is>
          <t>Γ₀(77)</t>
        </is>
      </c>
      <c r="C1643" t="inlineStr">
        <is>
          <t>96</t>
        </is>
      </c>
      <c r="D1643" t="inlineStr">
        <is>
          <t>1</t>
        </is>
      </c>
      <c r="E1643" t="inlineStr">
        <is>
          <t>96</t>
        </is>
      </c>
      <c r="F1643" t="inlineStr">
        <is>
          <t>0</t>
        </is>
      </c>
      <c r="G1643" t="inlineStr">
        <is>
          <t>0</t>
        </is>
      </c>
      <c r="H1643" t="inlineStr">
        <is>
          <t>1¹, 7¹, 11¹, 77¹</t>
        </is>
      </c>
      <c r="I1643" t="n">
        <v>4</v>
      </c>
      <c r="J1643" t="inlineStr">
        <is>
          <t>1⁴, 6², 10², 60¹</t>
        </is>
      </c>
      <c r="K1643">
        <f>HYPERLINK("CSG0.html#group7B0", "7B⁰"), =HYPERLINK("CSG1.html#group11A1", "11A¹")</f>
        <v/>
      </c>
      <c r="L1643">
        <f>HYPERLINK("CSG13.html#group77B13", "77B¹³"), =HYPERLINK("CSG15.html#group154A15", "154A¹⁵"), =HYPERLINK("CSG15.html#group154B15", "154B¹⁵"), =HYPERLINK("CSG19.html#group77B19", "77B¹⁹"), =HYPERLINK("CSG21.html#group154B21", "154B²¹"), =HYPERLINK("CSG23.html#group231A23", "231A²³"), =HYPERLINK("CSG23.html#group231B23", "231B²³")</f>
        <v/>
      </c>
      <c r="M1643">
        <f>HYPERLINK("CSG0.html#group1A0", "1A⁰"), =HYPERLINK("CSG0.html#group7B0", "7B⁰"), =HYPERLINK("CSG1.html#group11A1", "11A¹")</f>
        <v/>
      </c>
      <c r="N1643">
        <f>HYPERLINK("CSG23.html#group231B23", "231B²³"), =HYPERLINK("CSG13.html#group77B13", "77B¹³"), =HYPERLINK("CSG21.html#group154B21", "154B²¹"), =HYPERLINK("CSG15.html#group154B15", "154B¹⁵"), =HYPERLINK("CSG19.html#group77B19", "77B¹⁹"), =HYPERLINK("CSG23.html#group231A23", "231A²³"), =HYPERLINK("CSG15.html#group154A15", "154A¹⁵")</f>
        <v/>
      </c>
    </row>
    <row r="1644">
      <c r="A1644" t="inlineStr">
        <is>
          <t>78A⁷</t>
        </is>
      </c>
      <c r="B1644" t="inlineStr"/>
      <c r="C1644" t="inlineStr">
        <is>
          <t>84</t>
        </is>
      </c>
      <c r="D1644" t="inlineStr">
        <is>
          <t>1</t>
        </is>
      </c>
      <c r="E1644" t="inlineStr">
        <is>
          <t>14</t>
        </is>
      </c>
      <c r="F1644" t="inlineStr">
        <is>
          <t>0</t>
        </is>
      </c>
      <c r="G1644" t="inlineStr">
        <is>
          <t>0</t>
        </is>
      </c>
      <c r="H1644" t="inlineStr">
        <is>
          <t>6¹, 78¹</t>
        </is>
      </c>
      <c r="I1644" t="n">
        <v>2</v>
      </c>
      <c r="J1644" t="inlineStr">
        <is>
          <t>1², 12¹</t>
        </is>
      </c>
      <c r="K1644">
        <f>HYPERLINK("CSG1.html#group6A1", "6A¹"), =HYPERLINK("CSG1.html#group26A1", "26A¹"), =HYPERLINK("CSG2.html#group39A2", "39A²")</f>
        <v/>
      </c>
      <c r="L1644">
        <f>HYPERLINK("CSG13.html#group78A13", "78A¹³"), =HYPERLINK("CSG13.html#group78C13", "78C¹³"), =HYPERLINK("CSG13.html#group78E13", "78E¹³"), =HYPERLINK("CSG19.html#group78A19", "78A¹⁹"), =HYPERLINK("CSG19.html#group78B19", "78B¹⁹"), =HYPERLINK("CSG19.html#group78D19", "78D¹⁹"), =HYPERLINK("CSG21.html#group234A21", "234A²¹")</f>
        <v/>
      </c>
      <c r="M1644">
        <f>HYPERLINK("CSG2.html#group39A2", "39A²"), =HYPERLINK("CSG0.html#group2A0", "2A⁰"), =HYPERLINK("CSG1.html#group26A1", "26A¹"), =HYPERLINK("CSG0.html#group13A0", "13A⁰"), =HYPERLINK("CSG1.html#group6A1", "6A¹"), =HYPERLINK("CSG0.html#group3A0", "3A⁰"), =HYPERLINK("CSG0.html#group1A0", "1A⁰")</f>
        <v/>
      </c>
      <c r="N1644">
        <f>HYPERLINK("CSG19.html#group78B19", "78B¹⁹"), =HYPERLINK("CSG13.html#group78A13", "78A¹³"), =HYPERLINK("CSG21.html#group234A21", "234A²¹"), =HYPERLINK("CSG19.html#group78A19", "78A¹⁹"), =HYPERLINK("CSG13.html#group78E13", "78E¹³"), =HYPERLINK("CSG13.html#group78C13", "78C¹³"), =HYPERLINK("CSG19.html#group78D19", "78D¹⁹")</f>
        <v/>
      </c>
    </row>
    <row r="1645">
      <c r="A1645" t="inlineStr">
        <is>
          <t>78B⁷</t>
        </is>
      </c>
      <c r="B1645" t="inlineStr"/>
      <c r="C1645" t="inlineStr">
        <is>
          <t>112</t>
        </is>
      </c>
      <c r="D1645" t="inlineStr">
        <is>
          <t>1</t>
        </is>
      </c>
      <c r="E1645" t="inlineStr">
        <is>
          <t>56</t>
        </is>
      </c>
      <c r="F1645" t="inlineStr">
        <is>
          <t>0</t>
        </is>
      </c>
      <c r="G1645" t="inlineStr">
        <is>
          <t>4</t>
        </is>
      </c>
      <c r="H1645" t="inlineStr">
        <is>
          <t>2¹, 6¹, 26¹, 78¹</t>
        </is>
      </c>
      <c r="I1645" t="n">
        <v>4</v>
      </c>
      <c r="J1645" t="inlineStr">
        <is>
          <t>1⁴, 2², 12², 24¹</t>
        </is>
      </c>
      <c r="K1645">
        <f>HYPERLINK("CSG0.html#group26A0", "26A⁰"), =HYPERLINK("CSG3.html#group39A3", "39A³")</f>
        <v/>
      </c>
      <c r="L1645">
        <f>HYPERLINK("CSG13.html#group78G13", "78G¹³"), =HYPERLINK("CSG15.html#group156C15", "156C¹⁵"), =HYPERLINK("CSG23.html#group78A23", "78A²³"), =HYPERLINK("CSG23.html#group78F23", "78F²³"), =HYPERLINK("CSG23.html#group78G23", "78G²³"), =HYPERLINK("CSG23.html#group234A23", "234A²³"), =HYPERLINK("CSG23.html#group234D23", "234D²³")</f>
        <v/>
      </c>
      <c r="M1645">
        <f>HYPERLINK("CSG0.html#group13A0", "13A⁰"), =HYPERLINK("CSG0.html#group3B0", "3B⁰"), =HYPERLINK("CSG3.html#group39A3", "39A³"), =HYPERLINK("CSG0.html#group26A0", "26A⁰"), =HYPERLINK("CSG0.html#group1A0", "1A⁰")</f>
        <v/>
      </c>
      <c r="N1645">
        <f>HYPERLINK("CSG15.html#group156C15", "156C¹⁵"), =HYPERLINK("CSG23.html#group78G23", "78G²³"), =HYPERLINK("CSG23.html#group234A23", "234A²³"), =HYPERLINK("CSG23.html#group78A23", "78A²³"), =HYPERLINK("CSG23.html#group234D23", "234D²³"), =HYPERLINK("CSG23.html#group78F23", "78F²³"), =HYPERLINK("CSG13.html#group78G13", "78G¹³")</f>
        <v/>
      </c>
    </row>
    <row r="1646">
      <c r="A1646" t="inlineStr">
        <is>
          <t>78C⁷</t>
        </is>
      </c>
      <c r="B1646" t="inlineStr"/>
      <c r="C1646" t="inlineStr">
        <is>
          <t>112</t>
        </is>
      </c>
      <c r="D1646" t="inlineStr">
        <is>
          <t>1</t>
        </is>
      </c>
      <c r="E1646" t="inlineStr">
        <is>
          <t>56</t>
        </is>
      </c>
      <c r="F1646" t="inlineStr">
        <is>
          <t>0</t>
        </is>
      </c>
      <c r="G1646" t="inlineStr">
        <is>
          <t>4</t>
        </is>
      </c>
      <c r="H1646" t="inlineStr">
        <is>
          <t>2¹, 6¹, 26¹, 78¹</t>
        </is>
      </c>
      <c r="I1646" t="n">
        <v>4</v>
      </c>
      <c r="J1646" t="inlineStr">
        <is>
          <t>1⁴, 2², 12², 24¹</t>
        </is>
      </c>
      <c r="K1646">
        <f>HYPERLINK("CSG0.html#group6C0", "6C⁰"), =HYPERLINK("CSG1.html#group26A1", "26A¹"), =HYPERLINK("CSG3.html#group39A3", "39A³")</f>
        <v/>
      </c>
      <c r="L1646">
        <f>HYPERLINK("CSG13.html#group78G13", "78G¹³"), =HYPERLINK("CSG15.html#group156A15", "156A¹⁵"), =HYPERLINK("CSG15.html#group156B15", "156B¹⁵"), =HYPERLINK("CSG21.html#group78B21", "78B²¹"), =HYPERLINK("CSG23.html#group78B23", "78B²³"), =HYPERLINK("CSG23.html#group78C23", "78C²³"), =HYPERLINK("CSG23.html#group78E23", "78E²³"), =HYPERLINK("CSG23.html#group78H23", "78H²³"), =HYPERLINK("CSG23.html#group234B23", "234B²³"), =HYPERLINK("CSG23.html#group234C23", "234C²³"), =HYPERLINK("CSG23.html#group234E23", "234E²³"), =HYPERLINK("CSG24.html#group78A24", "78A²⁴"), =HYPERLINK("CSG24.html#group234A24", "234A²⁴")</f>
        <v/>
      </c>
      <c r="M1646">
        <f>HYPERLINK("CSG0.html#group2A0", "2A⁰"), =HYPERLINK("CSG0.html#group3B0", "3B⁰"), =HYPERLINK("CSG1.html#group26A1", "26A¹"), =HYPERLINK("CSG3.html#group39A3", "39A³"), =HYPERLINK("CSG0.html#group6C0", "6C⁰"), =HYPERLINK("CSG0.html#group13A0", "13A⁰"), =HYPERLINK("CSG0.html#group1A0", "1A⁰")</f>
        <v/>
      </c>
      <c r="N1646">
        <f>HYPERLINK("CSG23.html#group234B23", "234B²³"), =HYPERLINK("CSG24.html#group78A24", "78A²⁴"), =HYPERLINK("CSG21.html#group78B21", "78B²¹"), =HYPERLINK("CSG15.html#group156A15", "156A¹⁵"), =HYPERLINK("CSG23.html#group234E23", "234E²³"), =HYPERLINK("CSG23.html#group78B23", "78B²³"), =HYPERLINK("CSG23.html#group234C23", "234C²³"), =HYPERLINK("CSG23.html#group78E23", "78E²³"), =HYPERLINK("CSG24.html#group234A24", "234A²⁴"), =HYPERLINK("CSG23.html#group78C23", "78C²³"), =HYPERLINK("CSG23.html#group78H23", "78H²³"), =HYPERLINK("CSG15.html#group156B15", "156B¹⁵"), =HYPERLINK("CSG13.html#group78G13", "78G¹³")</f>
        <v/>
      </c>
    </row>
    <row r="1647">
      <c r="A1647" t="inlineStr">
        <is>
          <t>80A⁷</t>
        </is>
      </c>
      <c r="B1647" t="inlineStr"/>
      <c r="C1647" t="inlineStr">
        <is>
          <t>96</t>
        </is>
      </c>
      <c r="D1647" t="inlineStr">
        <is>
          <t>2</t>
        </is>
      </c>
      <c r="E1647" t="inlineStr">
        <is>
          <t>48</t>
        </is>
      </c>
      <c r="F1647" t="inlineStr">
        <is>
          <t>4</t>
        </is>
      </c>
      <c r="G1647" t="inlineStr">
        <is>
          <t>0</t>
        </is>
      </c>
      <c r="H1647" t="inlineStr">
        <is>
          <t>16¹, 80¹</t>
        </is>
      </c>
      <c r="I1647" t="n">
        <v>2</v>
      </c>
      <c r="J1647" t="inlineStr">
        <is>
          <t>8⁴, 32²</t>
        </is>
      </c>
      <c r="K1647">
        <f>HYPERLINK("CSG3.html#group40B3", "40B³")</f>
        <v/>
      </c>
      <c r="L1647">
        <f>HYPERLINK("CSG13.html#group80B13", "80B¹³"), =HYPERLINK("CSG15.html#group80A15", "80A¹⁵"), =HYPERLINK("CSG15.html#group80D15", "80D¹⁵"), =HYPERLINK("CSG21.html#group80AF21", "80AF²¹"), =HYPERLINK("CSG21.html#group240A21", "240A²¹")</f>
        <v/>
      </c>
      <c r="M1647">
        <f>HYPERLINK("CSG0.html#group8A0", "8A⁰"), =HYPERLINK("CSG0.html#group5B0", "5B⁰"), =HYPERLINK("CSG0.html#group1A0", "1A⁰"), =HYPERLINK("CSG0.html#group4A0", "4A⁰"), =HYPERLINK("CSG1.html#group20B1", "20B¹"), =HYPERLINK("CSG3.html#group40B3", "40B³")</f>
        <v/>
      </c>
      <c r="N1647">
        <f>HYPERLINK("CSG21.html#group240A21", "240A²¹"), =HYPERLINK("CSG21.html#group80AF21", "80AF²¹"), =HYPERLINK("CSG15.html#group80D15", "80D¹⁵"), =HYPERLINK("CSG15.html#group80A15", "80A¹⁵"), =HYPERLINK("CSG13.html#group80B13", "80B¹³")</f>
        <v/>
      </c>
    </row>
    <row r="1648">
      <c r="A1648" t="inlineStr">
        <is>
          <t>80B⁷</t>
        </is>
      </c>
      <c r="B1648" t="inlineStr"/>
      <c r="C1648" t="inlineStr">
        <is>
          <t>96</t>
        </is>
      </c>
      <c r="D1648" t="inlineStr">
        <is>
          <t>2</t>
        </is>
      </c>
      <c r="E1648" t="inlineStr">
        <is>
          <t>48</t>
        </is>
      </c>
      <c r="F1648" t="inlineStr">
        <is>
          <t>4</t>
        </is>
      </c>
      <c r="G1648" t="inlineStr">
        <is>
          <t>0</t>
        </is>
      </c>
      <c r="H1648" t="inlineStr">
        <is>
          <t>16¹, 80¹</t>
        </is>
      </c>
      <c r="I1648" t="n">
        <v>2</v>
      </c>
      <c r="J1648" t="inlineStr">
        <is>
          <t>8⁴, 32²</t>
        </is>
      </c>
      <c r="K1648">
        <f>HYPERLINK("CSG0.html#group16A0", "16A⁰"), =HYPERLINK("CSG3.html#group40B3", "40B³")</f>
        <v/>
      </c>
      <c r="L1648">
        <f>HYPERLINK("CSG13.html#group80B13", "80B¹³"), =HYPERLINK("CSG15.html#group80B15", "80B¹⁵"), =HYPERLINK("CSG15.html#group80D15", "80D¹⁵"), =HYPERLINK("CSG21.html#group80AG21", "80AG²¹"), =HYPERLINK("CSG21.html#group240B21", "240B²¹")</f>
        <v/>
      </c>
      <c r="M1648">
        <f>HYPERLINK("CSG0.html#group8A0", "8A⁰"), =HYPERLINK("CSG0.html#group5B0", "5B⁰"), =HYPERLINK("CSG0.html#group16A0", "16A⁰"), =HYPERLINK("CSG0.html#group1A0", "1A⁰"), =HYPERLINK("CSG0.html#group4A0", "4A⁰"), =HYPERLINK("CSG1.html#group20B1", "20B¹"), =HYPERLINK("CSG3.html#group40B3", "40B³")</f>
        <v/>
      </c>
      <c r="N1648">
        <f>HYPERLINK("CSG15.html#group80D15", "80D¹⁵"), =HYPERLINK("CSG21.html#group240B21", "240B²¹"), =HYPERLINK("CSG15.html#group80B15", "80B¹⁵"), =HYPERLINK("CSG13.html#group80B13", "80B¹³"), =HYPERLINK("CSG21.html#group80AG21", "80AG²¹")</f>
        <v/>
      </c>
    </row>
    <row r="1649">
      <c r="A1649" t="inlineStr">
        <is>
          <t>80C⁷</t>
        </is>
      </c>
      <c r="B1649" t="inlineStr"/>
      <c r="C1649" t="inlineStr">
        <is>
          <t>144</t>
        </is>
      </c>
      <c r="D1649" t="inlineStr">
        <is>
          <t>1</t>
        </is>
      </c>
      <c r="E1649" t="inlineStr">
        <is>
          <t>18</t>
        </is>
      </c>
      <c r="F1649" t="inlineStr">
        <is>
          <t>16</t>
        </is>
      </c>
      <c r="G1649" t="inlineStr">
        <is>
          <t>0</t>
        </is>
      </c>
      <c r="H1649" t="inlineStr">
        <is>
          <t>8¹, 16¹, 40¹, 80¹</t>
        </is>
      </c>
      <c r="I1649" t="n">
        <v>4</v>
      </c>
      <c r="J1649" t="inlineStr">
        <is>
          <t>1⁶, 4³</t>
        </is>
      </c>
      <c r="K1649">
        <f>HYPERLINK("CSG3.html#group40D3", "40D³")</f>
        <v/>
      </c>
      <c r="L1649">
        <f>HYPERLINK("CSG13.html#group80C13", "80C¹³"), =HYPERLINK("CSG17.html#group80AB17", "80AB¹⁷"), =HYPERLINK("CSG17.html#group80AD17", "80AD¹⁷"), =HYPERLINK("CSG17.html#group80AW17", "80AW¹⁷"), =HYPERLINK("CSG17.html#group80AU17", "80AU¹⁷"), =HYPERLINK("CSG19.html#group160M19", "160M¹⁹"), =HYPERLINK("CSG19.html#group160N19", "160N¹⁹"), =HYPERLINK("CSG21.html#group80F21", "80F²¹"), =HYPERLINK("CSG21.html#group80G21", "80G²¹"), =HYPERLINK("CSG23.html#group240A23", "240A²³")</f>
        <v/>
      </c>
      <c r="M1649">
        <f>HYPERLINK("CSG1.html#group20E1", "20E¹"), =HYPERLINK("CSG0.html#group4C0", "4C⁰"), =HYPERLINK("CSG0.html#group8B0", "8B⁰"), =HYPERLINK("CSG0.html#group5B0", "5B⁰"), =HYPERLINK("CSG0.html#group10C0", "10C⁰"), =HYPERLINK("CSG0.html#group1A0", "1A⁰"), =HYPERLINK("CSG0.html#group2B0", "2B⁰"), =HYPERLINK("CSG3.html#group40D3", "40D³")</f>
        <v/>
      </c>
      <c r="N1649">
        <f>HYPERLINK("CSG17.html#group80AW17", "80AW¹⁷"), =HYPERLINK("CSG17.html#group80AB17", "80AB¹⁷"), =HYPERLINK("CSG21.html#group80F21", "80F²¹"), =HYPERLINK("CSG21.html#group80G21", "80G²¹"), =HYPERLINK("CSG17.html#group80AD17", "80AD¹⁷"), =HYPERLINK("CSG19.html#group160N19", "160N¹⁹"), =HYPERLINK("CSG17.html#group80AU17", "80AU¹⁷"), =HYPERLINK("CSG19.html#group160M19", "160M¹⁹"), =HYPERLINK("CSG23.html#group240A23", "240A²³"), =HYPERLINK("CSG13.html#group80C13", "80C¹³")</f>
        <v/>
      </c>
    </row>
    <row r="1650">
      <c r="A1650" t="inlineStr">
        <is>
          <t>80D⁷</t>
        </is>
      </c>
      <c r="B1650" t="inlineStr"/>
      <c r="C1650" t="inlineStr">
        <is>
          <t>144</t>
        </is>
      </c>
      <c r="D1650" t="inlineStr">
        <is>
          <t>1</t>
        </is>
      </c>
      <c r="E1650" t="inlineStr">
        <is>
          <t>18</t>
        </is>
      </c>
      <c r="F1650" t="inlineStr">
        <is>
          <t>16</t>
        </is>
      </c>
      <c r="G1650" t="inlineStr">
        <is>
          <t>0</t>
        </is>
      </c>
      <c r="H1650" t="inlineStr">
        <is>
          <t>8¹, 16¹, 40¹, 80¹</t>
        </is>
      </c>
      <c r="I1650" t="n">
        <v>4</v>
      </c>
      <c r="J1650" t="inlineStr">
        <is>
          <t>1⁶, 4³</t>
        </is>
      </c>
      <c r="K1650">
        <f>HYPERLINK("CSG0.html#group16B0", "16B⁰"), =HYPERLINK("CSG3.html#group40D3", "40D³")</f>
        <v/>
      </c>
      <c r="L1650">
        <f>HYPERLINK("CSG13.html#group80C13", "80C¹³"), =HYPERLINK("CSG17.html#group80AC17", "80AC¹⁷"), =HYPERLINK("CSG17.html#group80AE17", "80AE¹⁷"), =HYPERLINK("CSG17.html#group80AV17", "80AV¹⁷"), =HYPERLINK("CSG17.html#group80AX17", "80AX¹⁷"), =HYPERLINK("CSG17.html#group160G17", "160G¹⁷"), =HYPERLINK("CSG17.html#group160H17", "160H¹⁷"), =HYPERLINK("CSG21.html#group80H21", "80H²¹"), =HYPERLINK("CSG21.html#group80I21", "80I²¹"), =HYPERLINK("CSG21.html#group160G21", "160G²¹"), =HYPERLINK("CSG21.html#group160H21", "160H²¹"), =HYPERLINK("CSG23.html#group240B23", "240B²³")</f>
        <v/>
      </c>
      <c r="M1650">
        <f>HYPERLINK("CSG0.html#group16B0", "16B⁰"), =HYPERLINK("CSG1.html#group20E1", "20E¹"), =HYPERLINK("CSG3.html#group40D3", "40D³"), =HYPERLINK("CSG0.html#group4C0", "4C⁰"), =HYPERLINK("CSG0.html#group8B0", "8B⁰"), =HYPERLINK("CSG0.html#group5B0", "5B⁰"), =HYPERLINK("CSG0.html#group10C0", "10C⁰"), =HYPERLINK("CSG0.html#group2B0", "2B⁰"), =HYPERLINK("CSG0.html#group1A0", "1A⁰")</f>
        <v/>
      </c>
      <c r="N1650">
        <f>HYPERLINK("CSG17.html#group80AV17", "80AV¹⁷"), =HYPERLINK("CSG17.html#group80AE17", "80AE¹⁷"), =HYPERLINK("CSG17.html#group80AX17", "80AX¹⁷"), =HYPERLINK("CSG17.html#group160G17", "160G¹⁷"), =HYPERLINK("CSG21.html#group160G21", "160G²¹"), =HYPERLINK("CSG17.html#group160H17", "160H¹⁷"), =HYPERLINK("CSG17.html#group80AC17", "80AC¹⁷"), =HYPERLINK("CSG21.html#group160H21", "160H²¹"), =HYPERLINK("CSG21.html#group80I21", "80I²¹"), =HYPERLINK("CSG23.html#group240B23", "240B²³"), =HYPERLINK("CSG21.html#group80H21", "80H²¹"), =HYPERLINK("CSG13.html#group80C13", "80C¹³")</f>
        <v/>
      </c>
    </row>
    <row r="1651">
      <c r="A1651" t="inlineStr">
        <is>
          <t>80E⁷</t>
        </is>
      </c>
      <c r="B1651" t="inlineStr"/>
      <c r="C1651" t="inlineStr">
        <is>
          <t>144</t>
        </is>
      </c>
      <c r="D1651" t="inlineStr">
        <is>
          <t>1</t>
        </is>
      </c>
      <c r="E1651" t="inlineStr">
        <is>
          <t>36</t>
        </is>
      </c>
      <c r="F1651" t="inlineStr">
        <is>
          <t>0</t>
        </is>
      </c>
      <c r="G1651" t="inlineStr">
        <is>
          <t>0</t>
        </is>
      </c>
      <c r="H1651" t="inlineStr">
        <is>
          <t>1⁴, 4¹, 5⁴, 16¹, 20¹, 80¹</t>
        </is>
      </c>
      <c r="I1651" t="n">
        <v>12</v>
      </c>
      <c r="J1651" t="inlineStr">
        <is>
          <t>1⁸, 2², 4⁴, 8¹</t>
        </is>
      </c>
      <c r="K1651">
        <f>HYPERLINK("CSG3.html#group40F3", "40F³")</f>
        <v/>
      </c>
      <c r="L1651">
        <f>HYPERLINK("CSG13.html#group80E13", "80E¹³"), =HYPERLINK("CSG15.html#group80S15", "80S¹⁵"), =HYPERLINK("CSG15.html#group80Q15", "80Q¹⁵"), =HYPERLINK("CSG15.html#group160C15", "160C¹⁵"), =HYPERLINK("CSG17.html#group80W17", "80W¹⁷"), =HYPERLINK("CSG17.html#group80X17", "80X¹⁷"), =HYPERLINK("CSG17.html#group160M17", "160M¹⁷"), =HYPERLINK("CSG19.html#group160L19", "160L¹⁹")</f>
        <v/>
      </c>
      <c r="M1651">
        <f>HYPERLINK("CSG3.html#group40F3", "40F³"), =HYPERLINK("CSG0.html#group5B0", "5B⁰"),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1651">
        <f>HYPERLINK("CSG15.html#group160C15", "160C¹⁵"), =HYPERLINK("CSG15.html#group80S15", "80S¹⁵"), =HYPERLINK("CSG17.html#group80W17", "80W¹⁷"), =HYPERLINK("CSG19.html#group160L19", "160L¹⁹"), =HYPERLINK("CSG13.html#group80E13", "80E¹³"), =HYPERLINK("CSG15.html#group80Q15", "80Q¹⁵"), =HYPERLINK("CSG17.html#group160M17", "160M¹⁷"), =HYPERLINK("CSG17.html#group80X17", "80X¹⁷")</f>
        <v/>
      </c>
    </row>
    <row r="1652">
      <c r="A1652" t="inlineStr">
        <is>
          <t>80F⁷</t>
        </is>
      </c>
      <c r="B1652" t="inlineStr">
        <is>
          <t>Γ₀(80)</t>
        </is>
      </c>
      <c r="C1652" t="inlineStr">
        <is>
          <t>144</t>
        </is>
      </c>
      <c r="D1652" t="inlineStr">
        <is>
          <t>1</t>
        </is>
      </c>
      <c r="E1652" t="inlineStr">
        <is>
          <t>36</t>
        </is>
      </c>
      <c r="F1652" t="inlineStr">
        <is>
          <t>0</t>
        </is>
      </c>
      <c r="G1652" t="inlineStr">
        <is>
          <t>0</t>
        </is>
      </c>
      <c r="H1652" t="inlineStr">
        <is>
          <t>1⁴, 4¹, 5⁴, 16¹, 20¹, 80¹</t>
        </is>
      </c>
      <c r="I1652" t="n">
        <v>12</v>
      </c>
      <c r="J1652" t="inlineStr">
        <is>
          <t>1⁸, 2², 4⁴, 8¹</t>
        </is>
      </c>
      <c r="K1652">
        <f>HYPERLINK("CSG0.html#group16C0", "16C⁰"), =HYPERLINK("CSG3.html#group40F3", "40F³")</f>
        <v/>
      </c>
      <c r="L1652">
        <f>HYPERLINK("CSG13.html#group80E13", "80E¹³"), =HYPERLINK("CSG15.html#group80R15", "80R¹⁵"), =HYPERLINK("CSG15.html#group80T15", "80T¹⁵"), =HYPERLINK("CSG15.html#group160A15", "160A¹⁵"), =HYPERLINK("CSG15.html#group160B15", "160B¹⁵"), =HYPERLINK("CSG17.html#group80Y17", "80Y¹⁷"), =HYPERLINK("CSG17.html#group80Z17", "80Z¹⁷"), =HYPERLINK("CSG17.html#group160E17", "160E¹⁷"), =HYPERLINK("CSG17.html#group160F17", "160F¹⁷"), =HYPERLINK("CSG19.html#group160J19", "160J¹⁹"), =HYPERLINK("CSG19.html#group160K19", "160K¹⁹")</f>
        <v/>
      </c>
      <c r="M1652">
        <f>HYPERLINK("CSG3.html#group40F3", "40F³"), =HYPERLINK("CSG0.html#group16C0", "16C⁰"), =HYPERLINK("CSG0.html#group5B0", "5B⁰"),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1652">
        <f>HYPERLINK("CSG15.html#group160A15", "160A¹⁵"), =HYPERLINK("CSG15.html#group160B15", "160B¹⁵"), =HYPERLINK("CSG17.html#group160E17", "160E¹⁷"), =HYPERLINK("CSG19.html#group160J19", "160J¹⁹"), =HYPERLINK("CSG15.html#group80T15", "80T¹⁵"), =HYPERLINK("CSG17.html#group160F17", "160F¹⁷"), =HYPERLINK("CSG13.html#group80E13", "80E¹³"), =HYPERLINK("CSG15.html#group80R15", "80R¹⁵"), =HYPERLINK("CSG19.html#group160K19", "160K¹⁹"), =HYPERLINK("CSG17.html#group80Z17", "80Z¹⁷"), =HYPERLINK("CSG17.html#group80Y17", "80Y¹⁷")</f>
        <v/>
      </c>
    </row>
    <row r="1653">
      <c r="A1653" t="inlineStr">
        <is>
          <t>80G⁷</t>
        </is>
      </c>
      <c r="B1653" t="inlineStr"/>
      <c r="C1653" t="inlineStr">
        <is>
          <t>144</t>
        </is>
      </c>
      <c r="D1653" t="inlineStr">
        <is>
          <t>1</t>
        </is>
      </c>
      <c r="E1653" t="inlineStr">
        <is>
          <t>72</t>
        </is>
      </c>
      <c r="F1653" t="inlineStr">
        <is>
          <t>0</t>
        </is>
      </c>
      <c r="G1653" t="inlineStr">
        <is>
          <t>0</t>
        </is>
      </c>
      <c r="H1653" t="inlineStr">
        <is>
          <t>1², 2³, 5², 10³, 16¹, 80¹</t>
        </is>
      </c>
      <c r="I1653" t="n">
        <v>12</v>
      </c>
      <c r="J1653" t="inlineStr">
        <is>
          <t>1⁸, 2⁴, 4⁶, 8², 16¹</t>
        </is>
      </c>
      <c r="K1653">
        <f>HYPERLINK("CSG3.html#group40F3", "40F³")</f>
        <v/>
      </c>
      <c r="L1653">
        <f>HYPERLINK("CSG13.html#group80G13", "80G¹³"), =HYPERLINK("CSG15.html#group80N15", "80N¹⁵"), =HYPERLINK("CSG15.html#group80S15", "80S¹⁵"), =HYPERLINK("CSG15.html#group80R15", "80R¹⁵"), =HYPERLINK("CSG15.html#group80V15", "80V¹⁵"), =HYPERLINK("CSG17.html#group80AI17", "80AI¹⁷"), =HYPERLINK("CSG17.html#group80AG17", "80AG¹⁷")</f>
        <v/>
      </c>
      <c r="M1653">
        <f>HYPERLINK("CSG3.html#group40F3", "40F³"), =HYPERLINK("CSG0.html#group5B0", "5B⁰"),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1653">
        <f>HYPERLINK("CSG13.html#group80G13", "80G¹³"), =HYPERLINK("CSG15.html#group80R15", "80R¹⁵"), =HYPERLINK("CSG15.html#group80S15", "80S¹⁵"), =HYPERLINK("CSG15.html#group80V15", "80V¹⁵"), =HYPERLINK("CSG17.html#group80AG17", "80AG¹⁷"), =HYPERLINK("CSG17.html#group80AI17", "80AI¹⁷"), =HYPERLINK("CSG15.html#group80N15", "80N¹⁵")</f>
        <v/>
      </c>
    </row>
    <row r="1654">
      <c r="A1654" t="inlineStr">
        <is>
          <t>80H⁷</t>
        </is>
      </c>
      <c r="B1654" t="inlineStr"/>
      <c r="C1654" t="inlineStr">
        <is>
          <t>144</t>
        </is>
      </c>
      <c r="D1654" t="inlineStr">
        <is>
          <t>1</t>
        </is>
      </c>
      <c r="E1654" t="inlineStr">
        <is>
          <t>72</t>
        </is>
      </c>
      <c r="F1654" t="inlineStr">
        <is>
          <t>0</t>
        </is>
      </c>
      <c r="G1654" t="inlineStr">
        <is>
          <t>0</t>
        </is>
      </c>
      <c r="H1654" t="inlineStr">
        <is>
          <t>1², 2³, 5², 10³, 16¹, 80¹</t>
        </is>
      </c>
      <c r="I1654" t="n">
        <v>12</v>
      </c>
      <c r="J1654" t="inlineStr">
        <is>
          <t>1⁸, 2⁴, 4⁶, 8², 16¹</t>
        </is>
      </c>
      <c r="K1654">
        <f>HYPERLINK("CSG0.html#group16D0", "16D⁰"), =HYPERLINK("CSG3.html#group40F3", "40F³")</f>
        <v/>
      </c>
      <c r="L1654">
        <f>HYPERLINK("CSG13.html#group80G13", "80G¹³"), =HYPERLINK("CSG15.html#group80O15", "80O¹⁵"), =HYPERLINK("CSG15.html#group80Q15", "80Q¹⁵"), =HYPERLINK("CSG15.html#group80T15", "80T¹⁵"), =HYPERLINK("CSG15.html#group80V15", "80V¹⁵"), =HYPERLINK("CSG17.html#group80AH17", "80AH¹⁷"), =HYPERLINK("CSG17.html#group80AJ17", "80AJ¹⁷")</f>
        <v/>
      </c>
      <c r="M1654">
        <f>HYPERLINK("CSG3.html#group40F3", "40F³"), =HYPERLINK("CSG0.html#group16D0", "16D⁰"), =HYPERLINK("CSG0.html#group5B0", "5B⁰"),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1654">
        <f>HYPERLINK("CSG13.html#group80G13", "80G¹³"), =HYPERLINK("CSG15.html#group80Q15", "80Q¹⁵"), =HYPERLINK("CSG17.html#group80AJ17", "80AJ¹⁷"), =HYPERLINK("CSG15.html#group80V15", "80V¹⁵"), =HYPERLINK("CSG15.html#group80O15", "80O¹⁵"), =HYPERLINK("CSG15.html#group80T15", "80T¹⁵"), =HYPERLINK("CSG17.html#group80AH17", "80AH¹⁷")</f>
        <v/>
      </c>
    </row>
    <row r="1655">
      <c r="A1655" t="inlineStr">
        <is>
          <t>80I⁷</t>
        </is>
      </c>
      <c r="B1655" t="inlineStr"/>
      <c r="C1655" t="inlineStr">
        <is>
          <t>144</t>
        </is>
      </c>
      <c r="D1655" t="inlineStr">
        <is>
          <t>1</t>
        </is>
      </c>
      <c r="E1655" t="inlineStr">
        <is>
          <t>72</t>
        </is>
      </c>
      <c r="F1655" t="inlineStr">
        <is>
          <t>4</t>
        </is>
      </c>
      <c r="G1655" t="inlineStr">
        <is>
          <t>0</t>
        </is>
      </c>
      <c r="H1655" t="inlineStr">
        <is>
          <t>2⁴, 10⁴, 16¹, 80¹</t>
        </is>
      </c>
      <c r="I1655" t="n">
        <v>10</v>
      </c>
      <c r="J1655" t="inlineStr">
        <is>
          <t>1⁴, 2², 4⁶, 8¹, 16²</t>
        </is>
      </c>
      <c r="K1655">
        <f>HYPERLINK("CSG3.html#group40H3", "40H³")</f>
        <v/>
      </c>
      <c r="L1655">
        <f>HYPERLINK("CSG13.html#group80I13", "80I¹³"), =HYPERLINK("CSG15.html#group80N15", "80N¹⁵"), =HYPERLINK("CSG15.html#group80U15", "80U¹⁵"), =HYPERLINK("CSG17.html#group80AO17", "80AO¹⁷"), =HYPERLINK("CSG17.html#group80AQ17", "80AQ¹⁷"), =HYPERLINK("CSG19.html#group80Q19", "80Q¹⁹"), =HYPERLINK("CSG19.html#group80P19", "80P¹⁹")</f>
        <v/>
      </c>
      <c r="M1655">
        <f>HYPERLINK("CSG1.html#group20E1", "20E¹"), =HYPERLINK("CSG3.html#group40H3", "40H³"), =HYPERLINK("CSG0.html#group8D0", "8D⁰"), =HYPERLINK("CSG0.html#group4C0", "4C⁰"), =HYPERLINK("CSG0.html#group5B0", "5B⁰"), =HYPERLINK("CSG0.html#group10C0", "10C⁰"), =HYPERLINK("CSG0.html#group2B0", "2B⁰"), =HYPERLINK("CSG0.html#group1A0", "1A⁰")</f>
        <v/>
      </c>
      <c r="N1655">
        <f>HYPERLINK("CSG13.html#group80I13", "80I¹³"), =HYPERLINK("CSG19.html#group80Q19", "80Q¹⁹"), =HYPERLINK("CSG15.html#group80U15", "80U¹⁵"), =HYPERLINK("CSG17.html#group80AQ17", "80AQ¹⁷"), =HYPERLINK("CSG17.html#group80AO17", "80AO¹⁷"), =HYPERLINK("CSG19.html#group80P19", "80P¹⁹"), =HYPERLINK("CSG15.html#group80N15", "80N¹⁵")</f>
        <v/>
      </c>
    </row>
    <row r="1656">
      <c r="A1656" t="inlineStr">
        <is>
          <t>80J⁷</t>
        </is>
      </c>
      <c r="B1656" t="inlineStr"/>
      <c r="C1656" t="inlineStr">
        <is>
          <t>144</t>
        </is>
      </c>
      <c r="D1656" t="inlineStr">
        <is>
          <t>1</t>
        </is>
      </c>
      <c r="E1656" t="inlineStr">
        <is>
          <t>72</t>
        </is>
      </c>
      <c r="F1656" t="inlineStr">
        <is>
          <t>4</t>
        </is>
      </c>
      <c r="G1656" t="inlineStr">
        <is>
          <t>0</t>
        </is>
      </c>
      <c r="H1656" t="inlineStr">
        <is>
          <t>2⁴, 10⁴, 16¹, 80¹</t>
        </is>
      </c>
      <c r="I1656" t="n">
        <v>10</v>
      </c>
      <c r="J1656" t="inlineStr">
        <is>
          <t>1⁴, 2², 4⁶, 8¹, 16²</t>
        </is>
      </c>
      <c r="K1656">
        <f>HYPERLINK("CSG0.html#group16E0", "16E⁰"), =HYPERLINK("CSG3.html#group40H3", "40H³")</f>
        <v/>
      </c>
      <c r="L1656">
        <f>HYPERLINK("CSG13.html#group80I13", "80I¹³"), =HYPERLINK("CSG15.html#group80O15", "80O¹⁵"), =HYPERLINK("CSG15.html#group80U15", "80U¹⁵"), =HYPERLINK("CSG17.html#group80AP17", "80AP¹⁷"), =HYPERLINK("CSG17.html#group80AR17", "80AR¹⁷"), =HYPERLINK("CSG17.html#group160I17", "160I¹⁷"), =HYPERLINK("CSG17.html#group160J17", "160J¹⁷"), =HYPERLINK("CSG17.html#group160K17", "160K¹⁷"), =HYPERLINK("CSG17.html#group160L17", "160L¹⁷"), =HYPERLINK("CSG19.html#group80R19", "80R¹⁹"), =HYPERLINK("CSG19.html#group80S19", "80S¹⁹")</f>
        <v/>
      </c>
      <c r="M1656">
        <f>HYPERLINK("CSG1.html#group20E1", "20E¹"), =HYPERLINK("CSG0.html#group16E0", "16E⁰"), =HYPERLINK("CSG3.html#group40H3", "40H³"), =HYPERLINK("CSG0.html#group8D0", "8D⁰"), =HYPERLINK("CSG0.html#group4C0", "4C⁰"), =HYPERLINK("CSG0.html#group5B0", "5B⁰"), =HYPERLINK("CSG0.html#group10C0", "10C⁰"), =HYPERLINK("CSG0.html#group2B0", "2B⁰"), =HYPERLINK("CSG0.html#group1A0", "1A⁰")</f>
        <v/>
      </c>
      <c r="N1656">
        <f>HYPERLINK("CSG17.html#group160I17", "160I¹⁷"), =HYPERLINK("CSG19.html#group80S19", "80S¹⁹"), =HYPERLINK("CSG17.html#group160K17", "160K¹⁷"), =HYPERLINK("CSG17.html#group160J17", "160J¹⁷"), =HYPERLINK("CSG13.html#group80I13", "80I¹³"), =HYPERLINK("CSG15.html#group80U15", "80U¹⁵"), =HYPERLINK("CSG15.html#group80O15", "80O¹⁵"), =HYPERLINK("CSG19.html#group80R19", "80R¹⁹"), =HYPERLINK("CSG17.html#group80AP17", "80AP¹⁷"), =HYPERLINK("CSG17.html#group160L17", "160L¹⁷"), =HYPERLINK("CSG17.html#group80AR17", "80AR¹⁷")</f>
        <v/>
      </c>
    </row>
    <row r="1657">
      <c r="A1657" t="inlineStr">
        <is>
          <t>80K⁷</t>
        </is>
      </c>
      <c r="B1657" t="inlineStr"/>
      <c r="C1657" t="inlineStr">
        <is>
          <t>144</t>
        </is>
      </c>
      <c r="D1657" t="inlineStr">
        <is>
          <t>2</t>
        </is>
      </c>
      <c r="E1657" t="inlineStr">
        <is>
          <t>36</t>
        </is>
      </c>
      <c r="F1657" t="inlineStr">
        <is>
          <t>0</t>
        </is>
      </c>
      <c r="G1657" t="inlineStr">
        <is>
          <t>0</t>
        </is>
      </c>
      <c r="H1657" t="inlineStr">
        <is>
          <t>1⁴, 4¹, 5⁴, 16¹, 20¹, 80¹</t>
        </is>
      </c>
      <c r="I1657" t="n">
        <v>12</v>
      </c>
      <c r="J1657" t="inlineStr">
        <is>
          <t>2¹², 8⁶</t>
        </is>
      </c>
      <c r="K1657">
        <f>HYPERLINK("CSG3.html#group40E3", "40E³")</f>
        <v/>
      </c>
      <c r="L1657">
        <f>HYPERLINK("CSG13.html#group80D13", "80D¹³"), =HYPERLINK("CSG17.html#group80BD17", "80BD¹⁷"), =HYPERLINK("CSG17.html#group80BE17", "80BE¹⁷")</f>
        <v/>
      </c>
      <c r="M1657">
        <f>HYPERLINK("CSG0.html#group5B0", "5B⁰"), =HYPERLINK("CSG0.html#group10C0", "10C⁰"), =HYPERLINK("CSG3.html#group40E3", "40E³"), =HYPERLINK("CSG1.html#group20D1", "20D¹"), =HYPERLINK("CSG0.html#group2B0", "2B⁰"), =HYPERLINK("CSG0.html#group4B0", "4B⁰"), =HYPERLINK("CSG0.html#group1A0", "1A⁰")</f>
        <v/>
      </c>
      <c r="N1657">
        <f>HYPERLINK("CSG13.html#group80D13", "80D¹³"), =HYPERLINK("CSG17.html#group80BD17", "80BD¹⁷"), =HYPERLINK("CSG17.html#group80BE17", "80BE¹⁷")</f>
        <v/>
      </c>
    </row>
    <row r="1658">
      <c r="A1658" t="inlineStr">
        <is>
          <t>81A⁷</t>
        </is>
      </c>
      <c r="B1658" t="inlineStr"/>
      <c r="C1658" t="inlineStr">
        <is>
          <t>108</t>
        </is>
      </c>
      <c r="D1658" t="inlineStr">
        <is>
          <t>1</t>
        </is>
      </c>
      <c r="E1658" t="inlineStr">
        <is>
          <t>36</t>
        </is>
      </c>
      <c r="F1658" t="inlineStr">
        <is>
          <t>0</t>
        </is>
      </c>
      <c r="G1658" t="inlineStr">
        <is>
          <t>0</t>
        </is>
      </c>
      <c r="H1658" t="inlineStr">
        <is>
          <t>3³, 9², 81¹</t>
        </is>
      </c>
      <c r="I1658" t="n">
        <v>6</v>
      </c>
      <c r="J1658" t="inlineStr">
        <is>
          <t>1², 2², 6², 18¹</t>
        </is>
      </c>
      <c r="K1658">
        <f>HYPERLINK("CSG1.html#group27A1", "27A¹")</f>
        <v/>
      </c>
      <c r="L1658">
        <f>HYPERLINK("CSG16.html#group162A16", "162A¹⁶"), =HYPERLINK("CSG19.html#group81A19", "81A¹⁹"), =HYPERLINK("CSG19.html#group81C19", "81C¹⁹"), =HYPERLINK("CSG19.html#group81E19", "81E¹⁹"), =HYPERLINK("CSG22.html#group162A22", "162A²²")</f>
        <v/>
      </c>
      <c r="M1658">
        <f>HYPERLINK("CSG0.html#group3B0", "3B⁰"), =HYPERLINK("CSG0.html#group1A0", "1A⁰"), =HYPERLINK("CSG0.html#group9B0", "9B⁰"), =HYPERLINK("CSG1.html#group27A1", "27A¹")</f>
        <v/>
      </c>
      <c r="N1658">
        <f>HYPERLINK("CSG19.html#group81C19", "81C¹⁹"), =HYPERLINK("CSG16.html#group162A16", "162A¹⁶"), =HYPERLINK("CSG19.html#group81E19", "81E¹⁹"), =HYPERLINK("CSG19.html#group81A19", "81A¹⁹"), =HYPERLINK("CSG22.html#group162A22", "162A²²")</f>
        <v/>
      </c>
    </row>
    <row r="1659">
      <c r="A1659" t="inlineStr">
        <is>
          <t>81B⁷</t>
        </is>
      </c>
      <c r="B1659" t="inlineStr"/>
      <c r="C1659" t="inlineStr">
        <is>
          <t>108</t>
        </is>
      </c>
      <c r="D1659" t="inlineStr">
        <is>
          <t>1</t>
        </is>
      </c>
      <c r="E1659" t="inlineStr">
        <is>
          <t>36</t>
        </is>
      </c>
      <c r="F1659" t="inlineStr">
        <is>
          <t>0</t>
        </is>
      </c>
      <c r="G1659" t="inlineStr">
        <is>
          <t>0</t>
        </is>
      </c>
      <c r="H1659" t="inlineStr">
        <is>
          <t>3³, 9², 81¹</t>
        </is>
      </c>
      <c r="I1659" t="n">
        <v>6</v>
      </c>
      <c r="J1659" t="inlineStr">
        <is>
          <t>1², 2², 6², 18¹</t>
        </is>
      </c>
      <c r="K1659">
        <f>HYPERLINK("CSG1.html#group27A1", "27A¹")</f>
        <v/>
      </c>
      <c r="L1659">
        <f>HYPERLINK("CSG16.html#group162B16", "162B¹⁶"), =HYPERLINK("CSG19.html#group81B19", "81B¹⁹"), =HYPERLINK("CSG19.html#group81C19", "81C¹⁹"), =HYPERLINK("CSG19.html#group81E19", "81E¹⁹"), =HYPERLINK("CSG22.html#group162B22", "162B²²")</f>
        <v/>
      </c>
      <c r="M1659">
        <f>HYPERLINK("CSG0.html#group3B0", "3B⁰"), =HYPERLINK("CSG0.html#group1A0", "1A⁰"), =HYPERLINK("CSG0.html#group9B0", "9B⁰"), =HYPERLINK("CSG1.html#group27A1", "27A¹")</f>
        <v/>
      </c>
      <c r="N1659">
        <f>HYPERLINK("CSG19.html#group81C19", "81C¹⁹"), =HYPERLINK("CSG22.html#group162B22", "162B²²"), =HYPERLINK("CSG19.html#group81E19", "81E¹⁹"), =HYPERLINK("CSG16.html#group162B16", "162B¹⁶"), =HYPERLINK("CSG19.html#group81B19", "81B¹⁹")</f>
        <v/>
      </c>
    </row>
    <row r="1660">
      <c r="A1660" t="inlineStr">
        <is>
          <t>82A⁷</t>
        </is>
      </c>
      <c r="B1660" t="inlineStr"/>
      <c r="C1660" t="inlineStr">
        <is>
          <t>84</t>
        </is>
      </c>
      <c r="D1660" t="inlineStr">
        <is>
          <t>1</t>
        </is>
      </c>
      <c r="E1660" t="inlineStr">
        <is>
          <t>42</t>
        </is>
      </c>
      <c r="F1660" t="inlineStr">
        <is>
          <t>0</t>
        </is>
      </c>
      <c r="G1660" t="inlineStr">
        <is>
          <t>0</t>
        </is>
      </c>
      <c r="H1660" t="inlineStr">
        <is>
          <t>2¹, 82¹</t>
        </is>
      </c>
      <c r="I1660" t="n">
        <v>2</v>
      </c>
      <c r="J1660" t="inlineStr">
        <is>
          <t>1², 40¹</t>
        </is>
      </c>
      <c r="K1660">
        <f>HYPERLINK("CSG3.html#group41A3", "41A³")</f>
        <v/>
      </c>
      <c r="L1660">
        <f>HYPERLINK("CSG13.html#group82A13", "82A¹³"), =HYPERLINK("CSG19.html#group82B19", "82B¹⁹"), =HYPERLINK("CSG21.html#group246A21", "246A²¹")</f>
        <v/>
      </c>
      <c r="M1660">
        <f>HYPERLINK("CSG0.html#group1A0", "1A⁰"), =HYPERLINK("CSG3.html#group41A3", "41A³")</f>
        <v/>
      </c>
      <c r="N1660">
        <f>HYPERLINK("CSG19.html#group82B19", "82B¹⁹"), =HYPERLINK("CSG21.html#group246A21", "246A²¹"), =HYPERLINK("CSG13.html#group82A13", "82A¹³")</f>
        <v/>
      </c>
    </row>
    <row r="1661">
      <c r="A1661" t="inlineStr">
        <is>
          <t>82B⁷</t>
        </is>
      </c>
      <c r="B1661" t="inlineStr"/>
      <c r="C1661" t="inlineStr">
        <is>
          <t>84</t>
        </is>
      </c>
      <c r="D1661" t="inlineStr">
        <is>
          <t>1</t>
        </is>
      </c>
      <c r="E1661" t="inlineStr">
        <is>
          <t>42</t>
        </is>
      </c>
      <c r="F1661" t="inlineStr">
        <is>
          <t>0</t>
        </is>
      </c>
      <c r="G1661" t="inlineStr">
        <is>
          <t>0</t>
        </is>
      </c>
      <c r="H1661" t="inlineStr">
        <is>
          <t>2¹, 82¹</t>
        </is>
      </c>
      <c r="I1661" t="n">
        <v>2</v>
      </c>
      <c r="J1661" t="inlineStr">
        <is>
          <t>1², 40¹</t>
        </is>
      </c>
      <c r="K1661">
        <f>HYPERLINK("CSG0.html#group2A0", "2A⁰"), =HYPERLINK("CSG3.html#group41A3", "41A³")</f>
        <v/>
      </c>
      <c r="L1661">
        <f>HYPERLINK("CSG13.html#group82A13", "82A¹³"), =HYPERLINK("CSG19.html#group82A19", "82A¹⁹"), =HYPERLINK("CSG21.html#group246B21", "246B²¹"), =HYPERLINK("CSG21.html#group246C21", "246C²¹")</f>
        <v/>
      </c>
      <c r="M1661">
        <f>HYPERLINK("CSG0.html#group2A0", "2A⁰"), =HYPERLINK("CSG0.html#group1A0", "1A⁰"), =HYPERLINK("CSG3.html#group41A3", "41A³")</f>
        <v/>
      </c>
      <c r="N1661">
        <f>HYPERLINK("CSG21.html#group246B21", "246B²¹"), =HYPERLINK("CSG19.html#group82A19", "82A¹⁹"), =HYPERLINK("CSG21.html#group246C21", "246C²¹"), =HYPERLINK("CSG13.html#group82A13", "82A¹³")</f>
        <v/>
      </c>
    </row>
    <row r="1662">
      <c r="A1662" t="inlineStr">
        <is>
          <t>83A⁷</t>
        </is>
      </c>
      <c r="B1662" t="inlineStr">
        <is>
          <t>Γ₀(83)</t>
        </is>
      </c>
      <c r="C1662" t="inlineStr">
        <is>
          <t>84</t>
        </is>
      </c>
      <c r="D1662" t="inlineStr">
        <is>
          <t>1</t>
        </is>
      </c>
      <c r="E1662" t="inlineStr">
        <is>
          <t>84</t>
        </is>
      </c>
      <c r="F1662" t="inlineStr">
        <is>
          <t>0</t>
        </is>
      </c>
      <c r="G1662" t="inlineStr">
        <is>
          <t>0</t>
        </is>
      </c>
      <c r="H1662" t="inlineStr">
        <is>
          <t>1¹, 83¹</t>
        </is>
      </c>
      <c r="I1662" t="n">
        <v>2</v>
      </c>
      <c r="J1662" t="inlineStr">
        <is>
          <t>1², 82¹</t>
        </is>
      </c>
      <c r="K1662">
        <f>HYPERLINK("CSG0.html#group1A0", "1A⁰")</f>
        <v/>
      </c>
      <c r="L1662">
        <f>HYPERLINK("CSG14.html#group166A14", "166A¹⁴"), =HYPERLINK("CSG20.html#group166A20", "166A²⁰"), =HYPERLINK("CSG21.html#group249A21", "249A²¹")</f>
        <v/>
      </c>
      <c r="M1662">
        <f>HYPERLINK("CSG0.html#group1A0", "1A⁰")</f>
        <v/>
      </c>
      <c r="N1662">
        <f>HYPERLINK("CSG21.html#group249A21", "249A²¹"), =HYPERLINK("CSG20.html#group166A20", "166A²⁰"), =HYPERLINK("CSG14.html#group166A14", "166A¹⁴")</f>
        <v/>
      </c>
    </row>
    <row r="1663">
      <c r="A1663" t="inlineStr">
        <is>
          <t>84A⁷</t>
        </is>
      </c>
      <c r="B1663" t="inlineStr"/>
      <c r="C1663" t="inlineStr">
        <is>
          <t>96</t>
        </is>
      </c>
      <c r="D1663" t="inlineStr">
        <is>
          <t>2</t>
        </is>
      </c>
      <c r="E1663" t="inlineStr">
        <is>
          <t>32</t>
        </is>
      </c>
      <c r="F1663" t="inlineStr">
        <is>
          <t>0</t>
        </is>
      </c>
      <c r="G1663" t="inlineStr">
        <is>
          <t>3</t>
        </is>
      </c>
      <c r="H1663" t="inlineStr">
        <is>
          <t>12¹, 84¹</t>
        </is>
      </c>
      <c r="I1663" t="n">
        <v>2</v>
      </c>
      <c r="J1663" t="inlineStr">
        <is>
          <t>4⁴, 24²</t>
        </is>
      </c>
      <c r="K1663">
        <f>HYPERLINK("CSG1.html#group21A1", "21A¹"), =HYPERLINK("CSG2.html#group28A2", "28A²")</f>
        <v/>
      </c>
      <c r="L1663">
        <f>HYPERLINK("CSG13.html#group84I13", "84I¹³"), =HYPERLINK("CSG14.html#group168A14", "168A¹⁴"), =HYPERLINK("CSG14.html#group168B14", "168B¹⁴"), =HYPERLINK("CSG22.html#group84G22", "84G²²"), =HYPERLINK("CSG22.html#group84L22", "84L²²")</f>
        <v/>
      </c>
      <c r="M1663">
        <f>HYPERLINK("CSG0.html#group4A0", "4A⁰"), =HYPERLINK("CSG0.html#group1A0", "1A⁰"), =HYPERLINK("CSG0.html#group7B0", "7B⁰"), =HYPERLINK("CSG2.html#group28A2", "28A²"), =HYPERLINK("CSG1.html#group21A1", "21A¹")</f>
        <v/>
      </c>
      <c r="N1663">
        <f>HYPERLINK("CSG14.html#group168B14", "168B¹⁴"), =HYPERLINK("CSG13.html#group84I13", "84I¹³"), =HYPERLINK("CSG14.html#group168A14", "168A¹⁴"), =HYPERLINK("CSG22.html#group84L22", "84L²²"), =HYPERLINK("CSG22.html#group84G22", "84G²²")</f>
        <v/>
      </c>
    </row>
    <row r="1664">
      <c r="A1664" t="inlineStr">
        <is>
          <t>84B⁷</t>
        </is>
      </c>
      <c r="B1664" t="inlineStr"/>
      <c r="C1664" t="inlineStr">
        <is>
          <t>126</t>
        </is>
      </c>
      <c r="D1664" t="inlineStr">
        <is>
          <t>2</t>
        </is>
      </c>
      <c r="E1664" t="inlineStr">
        <is>
          <t>21</t>
        </is>
      </c>
      <c r="F1664" t="inlineStr">
        <is>
          <t>12</t>
        </is>
      </c>
      <c r="G1664" t="inlineStr">
        <is>
          <t>0</t>
        </is>
      </c>
      <c r="H1664" t="inlineStr">
        <is>
          <t>21², 84¹</t>
        </is>
      </c>
      <c r="I1664" t="n">
        <v>3</v>
      </c>
      <c r="J1664" t="inlineStr">
        <is>
          <t>2³, 6⁶</t>
        </is>
      </c>
      <c r="K1664">
        <f>HYPERLINK("CSG2.html#group28B2", "28B²"), =HYPERLINK("CSG3.html#group42C3", "42C³")</f>
        <v/>
      </c>
      <c r="L1664">
        <f>HYPERLINK("CSG14.html#group84C14", "84C¹⁴"), =HYPERLINK("CSG15.html#group84H15", "84H¹⁵"), =HYPERLINK("CSG16.html#group84H16", "84H¹⁶"), =HYPERLINK("CSG17.html#group84F17", "84F¹⁷"), =HYPERLINK("CSG18.html#group84E18", "84E¹⁸"), =HYPERLINK("CSG19.html#group84A19", "84A¹⁹"), =HYPERLINK("CSG20.html#group84B20", "84B²⁰")</f>
        <v/>
      </c>
      <c r="M1664">
        <f>HYPERLINK("CSG1.html#group14B1", "14B¹"), =HYPERLINK("CSG0.html#group6D0", "6D⁰"), =HYPERLINK("CSG0.html#group21A0", "21A⁰"), =HYPERLINK("CSG0.html#group2B0", "2B⁰"), =HYPERLINK("CSG0.html#group3A0", "3A⁰"), =HYPERLINK("CSG0.html#group1A0", "1A⁰"), =HYPERLINK("CSG3.html#group42C3", "42C³"), =HYPERLINK("CSG2.html#group28B2", "28B²"), =HYPERLINK("CSG0.html#group7A0", "7A⁰")</f>
        <v/>
      </c>
      <c r="N1664">
        <f>HYPERLINK("CSG14.html#group84C14", "84C¹⁴"), =HYPERLINK("CSG19.html#group84A19", "84A¹⁹"), =HYPERLINK("CSG16.html#group84H16", "84H¹⁶"), =HYPERLINK("CSG15.html#group84H15", "84H¹⁵"), =HYPERLINK("CSG17.html#group84F17", "84F¹⁷"), =HYPERLINK("CSG18.html#group84E18", "84E¹⁸"), =HYPERLINK("CSG20.html#group84B20", "84B²⁰")</f>
        <v/>
      </c>
    </row>
    <row r="1665">
      <c r="A1665" t="inlineStr">
        <is>
          <t>84C⁷</t>
        </is>
      </c>
      <c r="B1665" t="inlineStr"/>
      <c r="C1665" t="inlineStr">
        <is>
          <t>126</t>
        </is>
      </c>
      <c r="D1665" t="inlineStr">
        <is>
          <t>2</t>
        </is>
      </c>
      <c r="E1665" t="inlineStr">
        <is>
          <t>63</t>
        </is>
      </c>
      <c r="F1665" t="inlineStr">
        <is>
          <t>12</t>
        </is>
      </c>
      <c r="G1665" t="inlineStr">
        <is>
          <t>0</t>
        </is>
      </c>
      <c r="H1665" t="inlineStr">
        <is>
          <t>21², 84¹</t>
        </is>
      </c>
      <c r="I1665" t="n">
        <v>3</v>
      </c>
      <c r="J1665" t="inlineStr">
        <is>
          <t>2³, 4³, 6⁶, 12⁶</t>
        </is>
      </c>
      <c r="K1665">
        <f>HYPERLINK("CSG0.html#group12D0", "12D⁰"), =HYPERLINK("CSG3.html#group42C3", "42C³")</f>
        <v/>
      </c>
      <c r="L1665">
        <f>HYPERLINK("CSG14.html#group84D14", "84D¹⁴"), =HYPERLINK("CSG15.html#group84H15", "84H¹⁵"), =HYPERLINK("CSG16.html#group84C16", "84C¹⁶"), =HYPERLINK("CSG16.html#group84D16", "84D¹⁶"), =HYPERLINK("CSG16.html#group84E16", "84E¹⁶"), =HYPERLINK("CSG16.html#group84G16", "84G¹⁶"), =HYPERLINK("CSG17.html#group84G17", "84G¹⁷"), =HYPERLINK("CSG17.html#group84K17", "84K¹⁷"), =HYPERLINK("CSG17.html#group84L17", "84L¹⁷"), =HYPERLINK("CSG17.html#group84M17", "84M¹⁷"), =HYPERLINK("CSG17.html#group84N17", "84N¹⁷"), =HYPERLINK("CSG18.html#group84F18", "84F¹⁸"), =HYPERLINK("CSG19.html#group84D19", "84D¹⁹"), =HYPERLINK("CSG20.html#group84H20", "84H²⁰"), =HYPERLINK("CSG23.html#group84F23", "84F²³")</f>
        <v/>
      </c>
      <c r="M1665">
        <f>HYPERLINK("CSG1.html#group14B1", "14B¹"), =HYPERLINK("CSG0.html#group21A0", "21A⁰"), =HYPERLINK("CSG0.html#group2B0", "2B⁰"), =HYPERLINK("CSG0.html#group12D0", "12D⁰"), =HYPERLINK("CSG0.html#group3A0", "3A⁰"), =HYPERLINK("CSG0.html#group1A0", "1A⁰"), =HYPERLINK("CSG3.html#group42C3", "42C³"), =HYPERLINK("CSG0.html#group6D0", "6D⁰"), =HYPERLINK("CSG0.html#group7A0", "7A⁰")</f>
        <v/>
      </c>
      <c r="N1665">
        <f>HYPERLINK("CSG17.html#group84L17", "84L¹⁷"), =HYPERLINK("CSG14.html#group84D14", "84D¹⁴"), =HYPERLINK("CSG18.html#group84F18", "84F¹⁸"), =HYPERLINK("CSG17.html#group84K17", "84K¹⁷"), =HYPERLINK("CSG20.html#group84H20", "84H²⁰"), =HYPERLINK("CSG16.html#group84E16", "84E¹⁶"), =HYPERLINK("CSG23.html#group84F23", "84F²³"), =HYPERLINK("CSG16.html#group84G16", "84G¹⁶"), =HYPERLINK("CSG17.html#group84M17", "84M¹⁷"), =HYPERLINK("CSG19.html#group84D19", "84D¹⁹"), =HYPERLINK("CSG17.html#group84G17", "84G¹⁷"), =HYPERLINK("CSG15.html#group84H15", "84H¹⁵"), =HYPERLINK("CSG17.html#group84N17", "84N¹⁷"), =HYPERLINK("CSG16.html#group84D16", "84D¹⁶"), =HYPERLINK("CSG16.html#group84C16", "84C¹⁶")</f>
        <v/>
      </c>
    </row>
    <row r="1666">
      <c r="A1666" t="inlineStr">
        <is>
          <t>84D⁷</t>
        </is>
      </c>
      <c r="B1666" t="inlineStr"/>
      <c r="C1666" t="inlineStr">
        <is>
          <t>128</t>
        </is>
      </c>
      <c r="D1666" t="inlineStr">
        <is>
          <t>1</t>
        </is>
      </c>
      <c r="E1666" t="inlineStr">
        <is>
          <t>32</t>
        </is>
      </c>
      <c r="F1666" t="inlineStr">
        <is>
          <t>0</t>
        </is>
      </c>
      <c r="G1666" t="inlineStr">
        <is>
          <t>8</t>
        </is>
      </c>
      <c r="H1666" t="inlineStr">
        <is>
          <t>4¹, 12¹, 28¹, 84¹</t>
        </is>
      </c>
      <c r="I1666" t="n">
        <v>4</v>
      </c>
      <c r="J1666" t="inlineStr">
        <is>
          <t>1⁴, 2², 6², 12¹</t>
        </is>
      </c>
      <c r="K1666">
        <f>HYPERLINK("CSG0.html#group12B0", "12B⁰"), =HYPERLINK("CSG3.html#group42E3", "42E³")</f>
        <v/>
      </c>
      <c r="L1666">
        <f>HYPERLINK("CSG13.html#group84K13", "84K¹³"), =HYPERLINK("CSG23.html#group84G23", "84G²³"), =HYPERLINK("CSG23.html#group252B23", "252B²³")</f>
        <v/>
      </c>
      <c r="M1666">
        <f>HYPERLINK("CSG0.html#group3B0", "3B⁰"), =HYPERLINK("CSG0.html#group2A0", "2A⁰"), =HYPERLINK("CSG1.html#group21B1", "21B¹"), =HYPERLINK("CSG0.html#group7B0", "7B⁰"), =HYPERLINK("CSG3.html#group42E3", "42E³"), =HYPERLINK("CSG0.html#group6C0", "6C⁰"), =HYPERLINK("CSG0.html#group14B0", "14B⁰"), =HYPERLINK("CSG0.html#group1A0", "1A⁰"), =HYPERLINK("CSG0.html#group12B0", "12B⁰")</f>
        <v/>
      </c>
      <c r="N1666">
        <f>HYPERLINK("CSG23.html#group84G23", "84G²³"), =HYPERLINK("CSG13.html#group84K13", "84K¹³"), =HYPERLINK("CSG23.html#group252B23", "252B²³")</f>
        <v/>
      </c>
    </row>
    <row r="1667">
      <c r="A1667" t="inlineStr">
        <is>
          <t>84E⁷</t>
        </is>
      </c>
      <c r="B1667" t="inlineStr"/>
      <c r="C1667" t="inlineStr">
        <is>
          <t>128</t>
        </is>
      </c>
      <c r="D1667" t="inlineStr">
        <is>
          <t>1</t>
        </is>
      </c>
      <c r="E1667" t="inlineStr">
        <is>
          <t>32</t>
        </is>
      </c>
      <c r="F1667" t="inlineStr">
        <is>
          <t>0</t>
        </is>
      </c>
      <c r="G1667" t="inlineStr">
        <is>
          <t>8</t>
        </is>
      </c>
      <c r="H1667" t="inlineStr">
        <is>
          <t>4¹, 12¹, 28¹, 84¹</t>
        </is>
      </c>
      <c r="I1667" t="n">
        <v>4</v>
      </c>
      <c r="J1667" t="inlineStr">
        <is>
          <t>1⁴, 2², 6², 12¹</t>
        </is>
      </c>
      <c r="K1667">
        <f>HYPERLINK("CSG0.html#group28A0", "28A⁰"), =HYPERLINK("CSG3.html#group42E3", "42E³")</f>
        <v/>
      </c>
      <c r="L1667">
        <f>HYPERLINK("CSG13.html#group84K13", "84K¹³"), =HYPERLINK("CSG23.html#group84H23", "84H²³"), =HYPERLINK("CSG23.html#group252A23", "252A²³")</f>
        <v/>
      </c>
      <c r="M1667">
        <f>HYPERLINK("CSG0.html#group3B0", "3B⁰"), =HYPERLINK("CSG0.html#group2A0", "2A⁰"), =HYPERLINK("CSG0.html#group28A0", "28A⁰"), =HYPERLINK("CSG1.html#group21B1", "21B¹"), =HYPERLINK("CSG0.html#group7B0", "7B⁰"), =HYPERLINK("CSG3.html#group42E3", "42E³"), =HYPERLINK("CSG0.html#group6C0", "6C⁰"), =HYPERLINK("CSG0.html#group14B0", "14B⁰"), =HYPERLINK("CSG0.html#group1A0", "1A⁰")</f>
        <v/>
      </c>
      <c r="N1667">
        <f>HYPERLINK("CSG13.html#group84K13", "84K¹³"), =HYPERLINK("CSG23.html#group252A23", "252A²³"), =HYPERLINK("CSG23.html#group84H23", "84H²³")</f>
        <v/>
      </c>
    </row>
    <row r="1668">
      <c r="A1668" t="inlineStr">
        <is>
          <t>85A⁷</t>
        </is>
      </c>
      <c r="B1668" t="inlineStr"/>
      <c r="C1668" t="inlineStr">
        <is>
          <t>90</t>
        </is>
      </c>
      <c r="D1668" t="inlineStr">
        <is>
          <t>1</t>
        </is>
      </c>
      <c r="E1668" t="inlineStr">
        <is>
          <t>90</t>
        </is>
      </c>
      <c r="F1668" t="inlineStr">
        <is>
          <t>2</t>
        </is>
      </c>
      <c r="G1668" t="inlineStr">
        <is>
          <t>0</t>
        </is>
      </c>
      <c r="H1668" t="inlineStr">
        <is>
          <t>5¹, 85¹</t>
        </is>
      </c>
      <c r="I1668" t="n">
        <v>2</v>
      </c>
      <c r="J1668" t="inlineStr">
        <is>
          <t>1², 4², 16¹, 64¹</t>
        </is>
      </c>
      <c r="K1668">
        <f>HYPERLINK("CSG0.html#group5A0", "5A⁰"), =HYPERLINK("CSG1.html#group17A1", "17A¹")</f>
        <v/>
      </c>
      <c r="L1668">
        <f>HYPERLINK("CSG13.html#group85A13", "85A¹³"), =HYPERLINK("CSG15.html#group170A15", "170A¹⁵"), =HYPERLINK("CSG15.html#group170B15", "170B¹⁵"), =HYPERLINK("CSG19.html#group85A19", "85A¹⁹"), =HYPERLINK("CSG21.html#group170A21", "170A²¹"), =HYPERLINK("CSG21.html#group255A21", "255A²¹"), =HYPERLINK("CSG21.html#group255B21", "255B²¹")</f>
        <v/>
      </c>
      <c r="M1668">
        <f>HYPERLINK("CSG1.html#group17A1", "17A¹"), =HYPERLINK("CSG0.html#group1A0", "1A⁰"), =HYPERLINK("CSG0.html#group5A0", "5A⁰")</f>
        <v/>
      </c>
      <c r="N1668">
        <f>HYPERLINK("CSG15.html#group170A15", "170A¹⁵"), =HYPERLINK("CSG21.html#group170A21", "170A²¹"), =HYPERLINK("CSG19.html#group85A19", "85A¹⁹"), =HYPERLINK("CSG13.html#group85A13", "85A¹³"), =HYPERLINK("CSG21.html#group255B21", "255B²¹"), =HYPERLINK("CSG15.html#group170B15", "170B¹⁵"), =HYPERLINK("CSG21.html#group255A21", "255A²¹")</f>
        <v/>
      </c>
    </row>
    <row r="1669">
      <c r="A1669" t="inlineStr">
        <is>
          <t>85B⁷</t>
        </is>
      </c>
      <c r="B1669" t="inlineStr">
        <is>
          <t>Γ₀(85)</t>
        </is>
      </c>
      <c r="C1669" t="inlineStr">
        <is>
          <t>108</t>
        </is>
      </c>
      <c r="D1669" t="inlineStr">
        <is>
          <t>1</t>
        </is>
      </c>
      <c r="E1669" t="inlineStr">
        <is>
          <t>108</t>
        </is>
      </c>
      <c r="F1669" t="inlineStr">
        <is>
          <t>4</t>
        </is>
      </c>
      <c r="G1669" t="inlineStr">
        <is>
          <t>0</t>
        </is>
      </c>
      <c r="H1669" t="inlineStr">
        <is>
          <t>1¹, 5¹, 17¹, 85¹</t>
        </is>
      </c>
      <c r="I1669" t="n">
        <v>4</v>
      </c>
      <c r="J1669" t="inlineStr">
        <is>
          <t>1⁴, 4², 16², 64¹</t>
        </is>
      </c>
      <c r="K1669">
        <f>HYPERLINK("CSG0.html#group5B0", "5B⁰"), =HYPERLINK("CSG1.html#group17A1", "17A¹")</f>
        <v/>
      </c>
      <c r="L1669">
        <f>HYPERLINK("CSG13.html#group85C13", "85C¹³"), =HYPERLINK("CSG15.html#group85A15", "85A¹⁵"), =HYPERLINK("CSG15.html#group85B15", "85B¹⁵"), =HYPERLINK("CSG15.html#group170C15", "170C¹⁵"), =HYPERLINK("CSG15.html#group170D15", "170D¹⁵"), =HYPERLINK("CSG17.html#group170A17", "170A¹⁷"), =HYPERLINK("CSG17.html#group170B17", "170B¹⁷"), =HYPERLINK("CSG23.html#group170A23", "170A²³"), =HYPERLINK("CSG23.html#group255A23", "255A²³")</f>
        <v/>
      </c>
      <c r="M1669">
        <f>HYPERLINK("CSG0.html#group5B0", "5B⁰"), =HYPERLINK("CSG0.html#group1A0", "1A⁰"), =HYPERLINK("CSG1.html#group17A1", "17A¹")</f>
        <v/>
      </c>
      <c r="N1669">
        <f>HYPERLINK("CSG15.html#group170D15", "170D¹⁵"), =HYPERLINK("CSG15.html#group85A15", "85A¹⁵"), =HYPERLINK("CSG17.html#group170A17", "170A¹⁷"), =HYPERLINK("CSG17.html#group170B17", "170B¹⁷"), =HYPERLINK("CSG23.html#group170A23", "170A²³"), =HYPERLINK("CSG15.html#group170C15", "170C¹⁵"), =HYPERLINK("CSG23.html#group255A23", "255A²³"), =HYPERLINK("CSG15.html#group85B15", "85B¹⁵"), =HYPERLINK("CSG13.html#group85C13", "85C¹³")</f>
        <v/>
      </c>
    </row>
    <row r="1670">
      <c r="A1670" t="inlineStr">
        <is>
          <t>89A⁷</t>
        </is>
      </c>
      <c r="B1670" t="inlineStr">
        <is>
          <t>Γ₀(89)</t>
        </is>
      </c>
      <c r="C1670" t="inlineStr">
        <is>
          <t>90</t>
        </is>
      </c>
      <c r="D1670" t="inlineStr">
        <is>
          <t>1</t>
        </is>
      </c>
      <c r="E1670" t="inlineStr">
        <is>
          <t>90</t>
        </is>
      </c>
      <c r="F1670" t="inlineStr">
        <is>
          <t>2</t>
        </is>
      </c>
      <c r="G1670" t="inlineStr">
        <is>
          <t>0</t>
        </is>
      </c>
      <c r="H1670" t="inlineStr">
        <is>
          <t>1¹, 89¹</t>
        </is>
      </c>
      <c r="I1670" t="n">
        <v>2</v>
      </c>
      <c r="J1670" t="inlineStr">
        <is>
          <t>1², 88¹</t>
        </is>
      </c>
      <c r="K1670">
        <f>HYPERLINK("CSG0.html#group1A0", "1A⁰")</f>
        <v/>
      </c>
      <c r="L1670">
        <f>HYPERLINK("CSG13.html#group89A13", "89A¹³"), =HYPERLINK("CSG15.html#group178A15", "178A¹⁵"), =HYPERLINK("CSG15.html#group178B15", "178B¹⁵"), =HYPERLINK("CSG21.html#group178A21", "178A²¹"), =HYPERLINK("CSG21.html#group267A21", "267A²¹")</f>
        <v/>
      </c>
      <c r="M1670">
        <f>HYPERLINK("CSG0.html#group1A0", "1A⁰")</f>
        <v/>
      </c>
      <c r="N1670">
        <f>HYPERLINK("CSG13.html#group89A13", "89A¹³"), =HYPERLINK("CSG21.html#group178A21", "178A²¹"), =HYPERLINK("CSG15.html#group178A15", "178A¹⁵"), =HYPERLINK("CSG21.html#group267A21", "267A²¹"), =HYPERLINK("CSG15.html#group178B15", "178B¹⁵")</f>
        <v/>
      </c>
    </row>
    <row r="1671">
      <c r="A1671" t="inlineStr">
        <is>
          <t>90A⁷</t>
        </is>
      </c>
      <c r="B1671" t="inlineStr"/>
      <c r="C1671" t="inlineStr">
        <is>
          <t>90</t>
        </is>
      </c>
      <c r="D1671" t="inlineStr">
        <is>
          <t>1</t>
        </is>
      </c>
      <c r="E1671" t="inlineStr">
        <is>
          <t>45</t>
        </is>
      </c>
      <c r="F1671" t="inlineStr">
        <is>
          <t>4</t>
        </is>
      </c>
      <c r="G1671" t="inlineStr">
        <is>
          <t>0</t>
        </is>
      </c>
      <c r="H1671" t="inlineStr">
        <is>
          <t>90¹</t>
        </is>
      </c>
      <c r="I1671" t="n">
        <v>1</v>
      </c>
      <c r="J1671" t="inlineStr">
        <is>
          <t>1¹, 2¹, 4¹, 6¹, 8¹, 24¹</t>
        </is>
      </c>
      <c r="K1671">
        <f>HYPERLINK("CSG1.html#group18A1", "18A¹"), =HYPERLINK("CSG2.html#group30A2", "30A²"), =HYPERLINK("CSG3.html#group45A3", "45A³")</f>
        <v/>
      </c>
      <c r="L1671">
        <f>HYPERLINK("CSG14.html#group90D14", "90D¹⁴"), =HYPERLINK("CSG15.html#group90A15", "90A¹⁵"), =HYPERLINK("CSG19.html#group90D19", "90D¹⁹"), =HYPERLINK("CSG20.html#group90C20", "90C²⁰"), =HYPERLINK("CSG21.html#group90A21", "90A²¹")</f>
        <v/>
      </c>
      <c r="M1671">
        <f>HYPERLINK("CSG0.html#group5A0", "5A⁰"), =HYPERLINK("CSG2.html#group30A2", "30A²"), =HYPERLINK("CSG0.html#group6B0", "6B⁰"), =HYPERLINK("CSG0.html#group9A0", "9A⁰"), =HYPERLINK("CSG0.html#group3A0", "3A⁰"), =HYPERLINK("CSG0.html#group1A0", "1A⁰"), =HYPERLINK("CSG1.html#group18A1", "18A¹"), =HYPERLINK("CSG1.html#group15A1", "15A¹"), =HYPERLINK("CSG3.html#group45A3", "45A³")</f>
        <v/>
      </c>
      <c r="N1671">
        <f>HYPERLINK("CSG15.html#group90A15", "90A¹⁵"), =HYPERLINK("CSG19.html#group90D19", "90D¹⁹"), =HYPERLINK("CSG21.html#group90A21", "90A²¹"), =HYPERLINK("CSG14.html#group90D14", "90D¹⁴"), =HYPERLINK("CSG20.html#group90C20", "90C²⁰")</f>
        <v/>
      </c>
    </row>
    <row r="1672">
      <c r="A1672" t="inlineStr">
        <is>
          <t>90B⁷</t>
        </is>
      </c>
      <c r="B1672" t="inlineStr"/>
      <c r="C1672" t="inlineStr">
        <is>
          <t>90</t>
        </is>
      </c>
      <c r="D1672" t="inlineStr">
        <is>
          <t>1</t>
        </is>
      </c>
      <c r="E1672" t="inlineStr">
        <is>
          <t>90</t>
        </is>
      </c>
      <c r="F1672" t="inlineStr">
        <is>
          <t>4</t>
        </is>
      </c>
      <c r="G1672" t="inlineStr">
        <is>
          <t>0</t>
        </is>
      </c>
      <c r="H1672" t="inlineStr">
        <is>
          <t>90¹</t>
        </is>
      </c>
      <c r="I1672" t="n">
        <v>1</v>
      </c>
      <c r="J1672" t="inlineStr">
        <is>
          <t>2³, 6², 8³, 24²</t>
        </is>
      </c>
      <c r="K1672">
        <f>HYPERLINK("CSG1.html#group18B1", "18B¹"), =HYPERLINK("CSG2.html#group30A2", "30A²")</f>
        <v/>
      </c>
      <c r="L1672">
        <f>HYPERLINK("CSG14.html#group90H14", "90H¹⁴"), =HYPERLINK("CSG15.html#group90C15", "90C¹⁵"), =HYPERLINK("CSG19.html#group90E19", "90E¹⁹"), =HYPERLINK("CSG20.html#group90E20", "90E²⁰"), =HYPERLINK("CSG21.html#group90A21", "90A²¹")</f>
        <v/>
      </c>
      <c r="M1672">
        <f>HYPERLINK("CSG0.html#group5A0", "5A⁰"), =HYPERLINK("CSG2.html#group30A2", "30A²"), =HYPERLINK("CSG0.html#group6B0", "6B⁰"), =HYPERLINK("CSG1.html#group18B1", "18B¹"), =HYPERLINK("CSG0.html#group3A0", "3A⁰"), =HYPERLINK("CSG0.html#group1A0", "1A⁰"), =HYPERLINK("CSG1.html#group15A1", "15A¹")</f>
        <v/>
      </c>
      <c r="N1672">
        <f>HYPERLINK("CSG20.html#group90E20", "90E²⁰"), =HYPERLINK("CSG21.html#group90A21", "90A²¹"), =HYPERLINK("CSG15.html#group90C15", "90C¹⁵"), =HYPERLINK("CSG14.html#group90H14", "90H¹⁴"), =HYPERLINK("CSG19.html#group90E19", "90E¹⁹")</f>
        <v/>
      </c>
    </row>
    <row r="1673">
      <c r="A1673" t="inlineStr">
        <is>
          <t>90C⁷</t>
        </is>
      </c>
      <c r="B1673" t="inlineStr"/>
      <c r="C1673" t="inlineStr">
        <is>
          <t>108</t>
        </is>
      </c>
      <c r="D1673" t="inlineStr">
        <is>
          <t>1</t>
        </is>
      </c>
      <c r="E1673" t="inlineStr">
        <is>
          <t>54</t>
        </is>
      </c>
      <c r="F1673" t="inlineStr">
        <is>
          <t>8</t>
        </is>
      </c>
      <c r="G1673" t="inlineStr">
        <is>
          <t>0</t>
        </is>
      </c>
      <c r="H1673" t="inlineStr">
        <is>
          <t>18¹, 90¹</t>
        </is>
      </c>
      <c r="I1673" t="n">
        <v>2</v>
      </c>
      <c r="J1673" t="inlineStr">
        <is>
          <t>1², 2², 4¹, 6², 8¹, 24¹</t>
        </is>
      </c>
      <c r="K1673">
        <f>HYPERLINK("CSG1.html#group18A1", "18A¹"), =HYPERLINK("CSG1.html#group30C1", "30C¹"), =HYPERLINK("CSG2.html#group45A2", "45A²")</f>
        <v/>
      </c>
      <c r="L1673">
        <f>HYPERLINK("CSG13.html#group90E13", "90E¹³"), =HYPERLINK("CSG15.html#group90L15", "90L¹⁵"), =HYPERLINK("CSG15.html#group90N15", "90N¹⁵"), =HYPERLINK("CSG17.html#group90B17", "90B¹⁷"), =HYPERLINK("CSG17.html#group90F17", "90F¹⁷"), =HYPERLINK("CSG21.html#group90J21", "90J²¹"), =HYPERLINK("CSG23.html#group90A23", "90A²³")</f>
        <v/>
      </c>
      <c r="M1673">
        <f>HYPERLINK("CSG2.html#group45A2", "45A²"), =HYPERLINK("CSG0.html#group15B0", "15B⁰"), =HYPERLINK("CSG0.html#group6B0", "6B⁰"), =HYPERLINK("CSG0.html#group9A0", "9A⁰"), =HYPERLINK("CSG0.html#group5B0", "5B⁰"), =HYPERLINK("CSG0.html#group3A0", "3A⁰"), =HYPERLINK("CSG0.html#group1A0", "1A⁰"), =HYPERLINK("CSG1.html#group18A1", "18A¹"), =HYPERLINK("CSG1.html#group30C1", "30C¹")</f>
        <v/>
      </c>
      <c r="N1673">
        <f>HYPERLINK("CSG13.html#group90E13", "90E¹³"), =HYPERLINK("CSG21.html#group90J21", "90J²¹"), =HYPERLINK("CSG15.html#group90N15", "90N¹⁵"), =HYPERLINK("CSG17.html#group90B17", "90B¹⁷"), =HYPERLINK("CSG23.html#group90A23", "90A²³"), =HYPERLINK("CSG17.html#group90F17", "90F¹⁷"), =HYPERLINK("CSG15.html#group90L15", "90L¹⁵")</f>
        <v/>
      </c>
    </row>
    <row r="1674">
      <c r="A1674" t="inlineStr">
        <is>
          <t>90D⁷</t>
        </is>
      </c>
      <c r="B1674" t="inlineStr"/>
      <c r="C1674" t="inlineStr">
        <is>
          <t>108</t>
        </is>
      </c>
      <c r="D1674" t="inlineStr">
        <is>
          <t>1</t>
        </is>
      </c>
      <c r="E1674" t="inlineStr">
        <is>
          <t>108</t>
        </is>
      </c>
      <c r="F1674" t="inlineStr">
        <is>
          <t>8</t>
        </is>
      </c>
      <c r="G1674" t="inlineStr">
        <is>
          <t>0</t>
        </is>
      </c>
      <c r="H1674" t="inlineStr">
        <is>
          <t>18¹, 90¹</t>
        </is>
      </c>
      <c r="I1674" t="n">
        <v>2</v>
      </c>
      <c r="J1674" t="inlineStr">
        <is>
          <t>2⁶, 6⁴, 8³, 24²</t>
        </is>
      </c>
      <c r="K1674">
        <f>HYPERLINK("CSG1.html#group18B1", "18B¹"), =HYPERLINK("CSG1.html#group30C1", "30C¹")</f>
        <v/>
      </c>
      <c r="L1674">
        <f>HYPERLINK("CSG13.html#group90H13", "90H¹³"), =HYPERLINK("CSG15.html#group90O15", "90O¹⁵"), =HYPERLINK("CSG15.html#group90P15", "90P¹⁵"), =HYPERLINK("CSG17.html#group90C17", "90C¹⁷"), =HYPERLINK("CSG17.html#group90G17", "90G¹⁷"), =HYPERLINK("CSG21.html#group90L21", "90L²¹"), =HYPERLINK("CSG23.html#group90A23", "90A²³")</f>
        <v/>
      </c>
      <c r="M1674">
        <f>HYPERLINK("CSG0.html#group15B0", "15B⁰"), =HYPERLINK("CSG0.html#group6B0", "6B⁰"), =HYPERLINK("CSG0.html#group5B0", "5B⁰"), =HYPERLINK("CSG1.html#group18B1", "18B¹"), =HYPERLINK("CSG0.html#group3A0", "3A⁰"), =HYPERLINK("CSG0.html#group1A0", "1A⁰"), =HYPERLINK("CSG1.html#group30C1", "30C¹")</f>
        <v/>
      </c>
      <c r="N1674">
        <f>HYPERLINK("CSG13.html#group90H13", "90H¹³"), =HYPERLINK("CSG17.html#group90G17", "90G¹⁷"), =HYPERLINK("CSG21.html#group90L21", "90L²¹"), =HYPERLINK("CSG23.html#group90A23", "90A²³"), =HYPERLINK("CSG15.html#group90O15", "90O¹⁵"), =HYPERLINK("CSG17.html#group90C17", "90C¹⁷"), =HYPERLINK("CSG15.html#group90P15", "90P¹⁵")</f>
        <v/>
      </c>
    </row>
    <row r="1675">
      <c r="A1675" t="inlineStr">
        <is>
          <t>90E⁷</t>
        </is>
      </c>
      <c r="B1675" t="inlineStr"/>
      <c r="C1675" t="inlineStr">
        <is>
          <t>120</t>
        </is>
      </c>
      <c r="D1675" t="inlineStr">
        <is>
          <t>1</t>
        </is>
      </c>
      <c r="E1675" t="inlineStr">
        <is>
          <t>40</t>
        </is>
      </c>
      <c r="F1675" t="inlineStr">
        <is>
          <t>0</t>
        </is>
      </c>
      <c r="G1675" t="inlineStr">
        <is>
          <t>6</t>
        </is>
      </c>
      <c r="H1675" t="inlineStr">
        <is>
          <t>10³, 90¹</t>
        </is>
      </c>
      <c r="I1675" t="n">
        <v>4</v>
      </c>
      <c r="J1675" t="inlineStr">
        <is>
          <t>2⁴, 8⁴</t>
        </is>
      </c>
      <c r="K1675">
        <f>HYPERLINK("CSG0.html#group18C0", "18C⁰"), =HYPERLINK("CSG2.html#group30D2", "30D²")</f>
        <v/>
      </c>
      <c r="L1675">
        <f>HYPERLINK("CSG15.html#group180A15", "180A¹⁵"), =HYPERLINK("CSG22.html#group90I22", "90I²²"), =HYPERLINK("CSG22.html#group90L22", "90L²²")</f>
        <v/>
      </c>
      <c r="M1675">
        <f>HYPERLINK("CSG0.html#group18C0", "18C⁰"), =HYPERLINK("CSG0.html#group3B0", "3B⁰"), =HYPERLINK("CSG0.html#group2A0", "2A⁰"), =HYPERLINK("CSG0.html#group5A0", "5A⁰"), =HYPERLINK("CSG0.html#group10A0", "10A⁰"), =HYPERLINK("CSG0.html#group6C0", "6C⁰"), =HYPERLINK("CSG2.html#group30D2", "30D²"), =HYPERLINK("CSG1.html#group15B1", "15B¹"), =HYPERLINK("CSG0.html#group1A0", "1A⁰")</f>
        <v/>
      </c>
      <c r="N1675">
        <f>HYPERLINK("CSG22.html#group90I22", "90I²²"), =HYPERLINK("CSG22.html#group90L22", "90L²²"), =HYPERLINK("CSG15.html#group180A15", "180A¹⁵")</f>
        <v/>
      </c>
    </row>
    <row r="1676">
      <c r="A1676" t="inlineStr">
        <is>
          <t>90F⁷</t>
        </is>
      </c>
      <c r="B1676" t="inlineStr"/>
      <c r="C1676" t="inlineStr">
        <is>
          <t>120</t>
        </is>
      </c>
      <c r="D1676" t="inlineStr">
        <is>
          <t>2</t>
        </is>
      </c>
      <c r="E1676" t="inlineStr">
        <is>
          <t>20</t>
        </is>
      </c>
      <c r="F1676" t="inlineStr">
        <is>
          <t>0</t>
        </is>
      </c>
      <c r="G1676" t="inlineStr">
        <is>
          <t>6</t>
        </is>
      </c>
      <c r="H1676" t="inlineStr">
        <is>
          <t>10³, 90¹</t>
        </is>
      </c>
      <c r="I1676" t="n">
        <v>4</v>
      </c>
      <c r="J1676" t="inlineStr">
        <is>
          <t>2², 4¹, 8⁴</t>
        </is>
      </c>
      <c r="K1676">
        <f>HYPERLINK("CSG2.html#group30D2", "30D²"), =HYPERLINK("CSG3.html#group45C3", "45C³")</f>
        <v/>
      </c>
      <c r="L1676">
        <f>HYPERLINK("CSG15.html#group180B15", "180B¹⁵"), =HYPERLINK("CSG22.html#group90K22", "90K²²"), =HYPERLINK("CSG22.html#group90L22", "90L²²")</f>
        <v/>
      </c>
      <c r="M1676">
        <f>HYPERLINK("CSG0.html#group3B0", "3B⁰"), =HYPERLINK("CSG0.html#group2A0", "2A⁰"), =HYPERLINK("CSG3.html#group45C3", "45C³"), =HYPERLINK("CSG0.html#group5A0", "5A⁰"), =HYPERLINK("CSG0.html#group10A0", "10A⁰"), =HYPERLINK("CSG2.html#group30D2", "30D²"), =HYPERLINK("CSG0.html#group6C0", "6C⁰"), =HYPERLINK("CSG1.html#group15B1", "15B¹"), =HYPERLINK("CSG0.html#group1A0", "1A⁰")</f>
        <v/>
      </c>
      <c r="N1676">
        <f>HYPERLINK("CSG22.html#group90L22", "90L²²"), =HYPERLINK("CSG22.html#group90K22", "90K²²"), =HYPERLINK("CSG15.html#group180B15", "180B¹⁵")</f>
        <v/>
      </c>
    </row>
    <row r="1677">
      <c r="A1677" t="inlineStr">
        <is>
          <t>91A⁷</t>
        </is>
      </c>
      <c r="B1677" t="inlineStr">
        <is>
          <t>Γ₀(91)</t>
        </is>
      </c>
      <c r="C1677" t="inlineStr">
        <is>
          <t>112</t>
        </is>
      </c>
      <c r="D1677" t="inlineStr">
        <is>
          <t>1</t>
        </is>
      </c>
      <c r="E1677" t="inlineStr">
        <is>
          <t>112</t>
        </is>
      </c>
      <c r="F1677" t="inlineStr">
        <is>
          <t>0</t>
        </is>
      </c>
      <c r="G1677" t="inlineStr">
        <is>
          <t>4</t>
        </is>
      </c>
      <c r="H1677" t="inlineStr">
        <is>
          <t>1¹, 7¹, 13¹, 91¹</t>
        </is>
      </c>
      <c r="I1677" t="n">
        <v>4</v>
      </c>
      <c r="J1677" t="inlineStr">
        <is>
          <t>1⁴, 6², 12², 72¹</t>
        </is>
      </c>
      <c r="K1677">
        <f>HYPERLINK("CSG0.html#group7B0", "7B⁰"), =HYPERLINK("CSG0.html#group13A0", "13A⁰")</f>
        <v/>
      </c>
      <c r="L1677">
        <f>HYPERLINK("CSG13.html#group91B13", "91B¹³"), =HYPERLINK("CSG15.html#group182B15", "182B¹⁵"), =HYPERLINK("CSG15.html#group182C15", "182C¹⁵"), =HYPERLINK("CSG21.html#group91A21", "91A²¹"), =HYPERLINK("CSG21.html#group91B21", "91B²¹"), =HYPERLINK("CSG23.html#group91A23", "91A²³"), =HYPERLINK("CSG23.html#group91B23", "91B²³")</f>
        <v/>
      </c>
      <c r="M1677">
        <f>HYPERLINK("CSG0.html#group13A0", "13A⁰"), =HYPERLINK("CSG0.html#group1A0", "1A⁰"), =HYPERLINK("CSG0.html#group7B0", "7B⁰")</f>
        <v/>
      </c>
      <c r="N1677">
        <f>HYPERLINK("CSG23.html#group91B23", "91B²³"), =HYPERLINK("CSG15.html#group182B15", "182B¹⁵"), =HYPERLINK("CSG21.html#group91A21", "91A²¹"), =HYPERLINK("CSG15.html#group182C15", "182C¹⁵"), =HYPERLINK("CSG23.html#group91A23", "91A²³"), =HYPERLINK("CSG21.html#group91B21", "91B²¹"), =HYPERLINK("CSG13.html#group91B13", "91B¹³")</f>
        <v/>
      </c>
    </row>
    <row r="1678">
      <c r="A1678" t="inlineStr">
        <is>
          <t>93A⁷</t>
        </is>
      </c>
      <c r="B1678" t="inlineStr"/>
      <c r="C1678" t="inlineStr">
        <is>
          <t>96</t>
        </is>
      </c>
      <c r="D1678" t="inlineStr">
        <is>
          <t>2</t>
        </is>
      </c>
      <c r="E1678" t="inlineStr">
        <is>
          <t>32</t>
        </is>
      </c>
      <c r="F1678" t="inlineStr">
        <is>
          <t>0</t>
        </is>
      </c>
      <c r="G1678" t="inlineStr">
        <is>
          <t>3</t>
        </is>
      </c>
      <c r="H1678" t="inlineStr">
        <is>
          <t>3¹, 93¹</t>
        </is>
      </c>
      <c r="I1678" t="n">
        <v>2</v>
      </c>
      <c r="J1678" t="inlineStr">
        <is>
          <t>2², 60¹</t>
        </is>
      </c>
      <c r="K1678">
        <f>HYPERLINK("CSG2.html#group31A2", "31A²")</f>
        <v/>
      </c>
      <c r="L1678">
        <f>HYPERLINK("CSG14.html#group186B14", "186B¹⁴"), =HYPERLINK("CSG22.html#group93A22", "93A²²"), =HYPERLINK("CSG23.html#group186B23", "186B²³")</f>
        <v/>
      </c>
      <c r="M1678">
        <f>HYPERLINK("CSG2.html#group31A2", "31A²"), =HYPERLINK("CSG0.html#group1A0", "1A⁰")</f>
        <v/>
      </c>
      <c r="N1678">
        <f>HYPERLINK("CSG14.html#group186B14", "186B¹⁴"), =HYPERLINK("CSG22.html#group93A22", "93A²²"), =HYPERLINK("CSG23.html#group186B23", "186B²³")</f>
        <v/>
      </c>
    </row>
    <row r="1679">
      <c r="A1679" t="inlineStr">
        <is>
          <t>95A⁷</t>
        </is>
      </c>
      <c r="B1679" t="inlineStr"/>
      <c r="C1679" t="inlineStr">
        <is>
          <t>100</t>
        </is>
      </c>
      <c r="D1679" t="inlineStr">
        <is>
          <t>1</t>
        </is>
      </c>
      <c r="E1679" t="inlineStr">
        <is>
          <t>100</t>
        </is>
      </c>
      <c r="F1679" t="inlineStr">
        <is>
          <t>0</t>
        </is>
      </c>
      <c r="G1679" t="inlineStr">
        <is>
          <t>4</t>
        </is>
      </c>
      <c r="H1679" t="inlineStr">
        <is>
          <t>5¹, 95¹</t>
        </is>
      </c>
      <c r="I1679" t="n">
        <v>2</v>
      </c>
      <c r="J1679" t="inlineStr">
        <is>
          <t>1², 4², 18¹, 72¹</t>
        </is>
      </c>
      <c r="K1679">
        <f>HYPERLINK("CSG0.html#group5A0", "5A⁰"), =HYPERLINK("CSG1.html#group19A1", "19A¹")</f>
        <v/>
      </c>
      <c r="L1679">
        <f>HYPERLINK("CSG14.html#group190A14", "190A¹⁴"), =HYPERLINK("CSG19.html#group95A19", "95A¹⁹"), =HYPERLINK("CSG23.html#group95A23", "95A²³"), =HYPERLINK("CSG23.html#group95B23", "95B²³"), =HYPERLINK("CSG23.html#group95C23", "95C²³"), =HYPERLINK("CSG23.html#group285A23", "285A²³"), =HYPERLINK("CSG23.html#group285B23", "285B²³"), =HYPERLINK("CSG23.html#group285C23", "285C²³"), =HYPERLINK("CSG24.html#group190A24", "190A²⁴")</f>
        <v/>
      </c>
      <c r="M1679">
        <f>HYPERLINK("CSG1.html#group19A1", "19A¹"), =HYPERLINK("CSG0.html#group1A0", "1A⁰"), =HYPERLINK("CSG0.html#group5A0", "5A⁰")</f>
        <v/>
      </c>
      <c r="N1679">
        <f>HYPERLINK("CSG23.html#group285B23", "285B²³"), =HYPERLINK("CSG23.html#group285C23", "285C²³"), =HYPERLINK("CSG23.html#group95A23", "95A²³"), =HYPERLINK("CSG23.html#group285A23", "285A²³"), =HYPERLINK("CSG24.html#group190A24", "190A²⁴"), =HYPERLINK("CSG23.html#group95C23", "95C²³"), =HYPERLINK("CSG14.html#group190A14", "190A¹⁴"), =HYPERLINK("CSG23.html#group95B23", "95B²³"), =HYPERLINK("CSG19.html#group95A19", "95A¹⁹")</f>
        <v/>
      </c>
    </row>
    <row r="1680">
      <c r="A1680" t="inlineStr">
        <is>
          <t>96A⁷</t>
        </is>
      </c>
      <c r="B1680" t="inlineStr"/>
      <c r="C1680" t="inlineStr">
        <is>
          <t>144</t>
        </is>
      </c>
      <c r="D1680" t="inlineStr">
        <is>
          <t>1</t>
        </is>
      </c>
      <c r="E1680" t="inlineStr">
        <is>
          <t>36</t>
        </is>
      </c>
      <c r="F1680" t="inlineStr">
        <is>
          <t>20</t>
        </is>
      </c>
      <c r="G1680" t="inlineStr">
        <is>
          <t>0</t>
        </is>
      </c>
      <c r="H1680" t="inlineStr">
        <is>
          <t>48¹, 96¹</t>
        </is>
      </c>
      <c r="I1680" t="n">
        <v>2</v>
      </c>
      <c r="J1680" t="inlineStr">
        <is>
          <t>2⁶, 4⁶</t>
        </is>
      </c>
      <c r="K1680">
        <f>HYPERLINK("CSG0.html#group48A0", "48A⁰")</f>
        <v/>
      </c>
      <c r="L1680">
        <f>HYPERLINK("CSG15.html#group96R15", "96R¹⁵"), =HYPERLINK("CSG15.html#group96V15", "96V¹⁵"), =HYPERLINK("CSG15.html#group96W15", "96W¹⁵"), =HYPERLINK("CSG17.html#group96Q17", "96Q¹⁷"), =HYPERLINK("CSG17.html#group96R17", "96R¹⁷"), =HYPERLINK("CSG17.html#group96AD17", "96AD¹⁷"), =HYPERLINK("CSG17.html#group96AE17", "96AE¹⁷"), =HYPERLINK("CSG17.html#group96AF17", "96AF¹⁷"), =HYPERLINK("CSG17.html#group96AG17", "96AG¹⁷"), =HYPERLINK("CSG19.html#group96J19", "96J¹⁹"), =HYPERLINK("CSG19.html#group96T19", "96T¹⁹"), =HYPERLINK("CSG19.html#group96U19", "96U¹⁹"), =HYPERLINK("CSG19.html#group96W19", "96W¹⁹"), =HYPERLINK("CSG19.html#group96X19", "96X¹⁹"), =HYPERLINK("CSG19.html#group96Y19", "96Y¹⁹"), =HYPERLINK("CSG21.html#group96Y21", "96Y²¹"), =HYPERLINK("CSG21.html#group96Z21", "96Z²¹"), =HYPERLINK("CSG21.html#group96AT21", "96AT²¹"), =HYPERLINK("CSG23.html#group96P23", "96P²³")</f>
        <v/>
      </c>
      <c r="M1680">
        <f>HYPERLINK("CSG0.html#group16B0", "16B⁰"), =HYPERLINK("CSG0.html#group12C0", "12C⁰"), =HYPERLINK("CSG0.html#group24A0", "24A⁰"), =HYPERLINK("CSG0.html#group4C0", "4C⁰"), =HYPERLINK("CSG0.html#group8B0", "8B⁰"), =HYPERLINK("CSG0.html#group48A0", "48A⁰"), =HYPERLINK("CSG0.html#group2B0", "2B⁰"), =HYPERLINK("CSG0.html#group3A0", "3A⁰"), =HYPERLINK("CSG0.html#group1A0", "1A⁰"), =HYPERLINK("CSG0.html#group6D0", "6D⁰")</f>
        <v/>
      </c>
      <c r="N1680">
        <f>HYPERLINK("CSG15.html#group96R15", "96R¹⁵"), =HYPERLINK("CSG21.html#group96Y21", "96Y²¹"), =HYPERLINK("CSG15.html#group96V15", "96V¹⁵"), =HYPERLINK("CSG17.html#group96R17", "96R¹⁷"), =HYPERLINK("CSG19.html#group96J19", "96J¹⁹"), =HYPERLINK("CSG21.html#group96Z21", "96Z²¹"), =HYPERLINK("CSG19.html#group96Y19", "96Y¹⁹"), =HYPERLINK("CSG21.html#group96AT21", "96AT²¹"), =HYPERLINK("CSG17.html#group96Q17", "96Q¹⁷"), =HYPERLINK("CSG19.html#group96X19", "96X¹⁹"), =HYPERLINK("CSG19.html#group96U19", "96U¹⁹"), =HYPERLINK("CSG17.html#group96AG17", "96AG¹⁷"), =HYPERLINK("CSG23.html#group96P23", "96P²³"), =HYPERLINK("CSG19.html#group96T19", "96T¹⁹"), =HYPERLINK("CSG19.html#group96W19", "96W¹⁹"), =HYPERLINK("CSG17.html#group96AD17", "96AD¹⁷"), =HYPERLINK("CSG17.html#group96AE17", "96AE¹⁷"), =HYPERLINK("CSG15.html#group96W15", "96W¹⁵"), =HYPERLINK("CSG17.html#group96AF17", "96AF¹⁷")</f>
        <v/>
      </c>
    </row>
    <row r="1681">
      <c r="A1681" t="inlineStr">
        <is>
          <t>96B⁷</t>
        </is>
      </c>
      <c r="B1681" t="inlineStr"/>
      <c r="C1681" t="inlineStr">
        <is>
          <t>192</t>
        </is>
      </c>
      <c r="D1681" t="inlineStr">
        <is>
          <t>1</t>
        </is>
      </c>
      <c r="E1681" t="inlineStr">
        <is>
          <t>24</t>
        </is>
      </c>
      <c r="F1681" t="inlineStr">
        <is>
          <t>0</t>
        </is>
      </c>
      <c r="G1681" t="inlineStr">
        <is>
          <t>0</t>
        </is>
      </c>
      <c r="H1681" t="inlineStr">
        <is>
          <t>1⁸, 3⁸, 8¹, 24¹, 32¹, 96¹</t>
        </is>
      </c>
      <c r="I1681" t="n">
        <v>20</v>
      </c>
      <c r="J1681" t="inlineStr">
        <is>
          <t>1⁸, 2⁶, 4¹</t>
        </is>
      </c>
      <c r="K1681">
        <f>HYPERLINK("CSG3.html#group48J3", "48J³")</f>
        <v/>
      </c>
      <c r="L1681">
        <f>HYPERLINK("CSG13.html#group96I13", "96I¹³"), =HYPERLINK("CSG17.html#group96AI17", "96AI¹⁷"), =HYPERLINK("CSG17.html#group96AK17", "96AK¹⁷"), =HYPERLINK("CSG21.html#group96BD21", "96BD²¹"), =HYPERLINK("CSG21.html#group96BC21", "96BC²¹")</f>
        <v/>
      </c>
      <c r="M1681">
        <f>HYPERLINK("CSG0.html#group3B0", "3B⁰"), =HYPERLINK("CSG3.html#group48J3", "48J³"), =HYPERLINK("CSG0.html#group16C0", "16C⁰"), =HYPERLINK("CSG1.html#group24G1", "24G¹"), =HYPERLINK("CSG0.html#group1A0", "1A⁰"), =HYPERLINK("CSG0.html#group8C0", "8C⁰"), =HYPERLINK("CSG0.html#group2B0", "2B⁰"), =HYPERLINK("CSG0.html#group4B0", "4B⁰"), =HYPERLINK("CSG0.html#group6F0", "6F⁰"), =HYPERLINK("CSG0.html#group12E0", "12E⁰")</f>
        <v/>
      </c>
      <c r="N1681">
        <f>HYPERLINK("CSG17.html#group96AK17", "96AK¹⁷"), =HYPERLINK("CSG13.html#group96I13", "96I¹³"), =HYPERLINK("CSG17.html#group96AI17", "96AI¹⁷"), =HYPERLINK("CSG21.html#group96BD21", "96BD²¹"), =HYPERLINK("CSG21.html#group96BC21", "96BC²¹")</f>
        <v/>
      </c>
    </row>
    <row r="1682">
      <c r="A1682" t="inlineStr">
        <is>
          <t>96C⁷</t>
        </is>
      </c>
      <c r="B1682" t="inlineStr"/>
      <c r="C1682" t="inlineStr">
        <is>
          <t>192</t>
        </is>
      </c>
      <c r="D1682" t="inlineStr">
        <is>
          <t>1</t>
        </is>
      </c>
      <c r="E1682" t="inlineStr">
        <is>
          <t>24</t>
        </is>
      </c>
      <c r="F1682" t="inlineStr">
        <is>
          <t>0</t>
        </is>
      </c>
      <c r="G1682" t="inlineStr">
        <is>
          <t>0</t>
        </is>
      </c>
      <c r="H1682" t="inlineStr">
        <is>
          <t>1⁸, 3⁸, 8¹, 24¹, 32¹, 96¹</t>
        </is>
      </c>
      <c r="I1682" t="n">
        <v>20</v>
      </c>
      <c r="J1682" t="inlineStr">
        <is>
          <t>1⁸, 2⁶, 4¹</t>
        </is>
      </c>
      <c r="K1682">
        <f>HYPERLINK("CSG0.html#group32A0", "32A⁰"), =HYPERLINK("CSG3.html#group48J3", "48J³")</f>
        <v/>
      </c>
      <c r="L1682">
        <f>HYPERLINK("CSG13.html#group96I13", "96I¹³"), =HYPERLINK("CSG17.html#group96AJ17", "96AJ¹⁷"), =HYPERLINK("CSG17.html#group96AL17", "96AL¹⁷"), =HYPERLINK("CSG19.html#group192E19", "192E¹⁹"), =HYPERLINK("CSG19.html#group192F19", "192F¹⁹"), =HYPERLINK("CSG21.html#group96BE21", "96BE²¹"), =HYPERLINK("CSG21.html#group96BF21", "96BF²¹")</f>
        <v/>
      </c>
      <c r="M1682">
        <f>HYPERLINK("CSG0.html#group3B0", "3B⁰"), =HYPERLINK("CSG3.html#group48J3", "48J³"), =HYPERLINK("CSG0.html#group16C0", "16C⁰"), =HYPERLINK("CSG1.html#group24G1", "24G¹"), =HYPERLINK("CSG0.html#group32A0", "32A⁰"), =HYPERLINK("CSG0.html#group1A0", "1A⁰"), =HYPERLINK("CSG0.html#group8C0", "8C⁰"), =HYPERLINK("CSG0.html#group2B0", "2B⁰"), =HYPERLINK("CSG0.html#group4B0", "4B⁰"), =HYPERLINK("CSG0.html#group6F0", "6F⁰"), =HYPERLINK("CSG0.html#group12E0", "12E⁰")</f>
        <v/>
      </c>
      <c r="N1682">
        <f>HYPERLINK("CSG21.html#group96BE21", "96BE²¹"), =HYPERLINK("CSG19.html#group192E19", "192E¹⁹"), =HYPERLINK("CSG17.html#group96AL17", "96AL¹⁷"), =HYPERLINK("CSG13.html#group96I13", "96I¹³"), =HYPERLINK("CSG17.html#group96AJ17", "96AJ¹⁷"), =HYPERLINK("CSG19.html#group192F19", "192F¹⁹"), =HYPERLINK("CSG21.html#group96BF21", "96BF²¹")</f>
        <v/>
      </c>
    </row>
    <row r="1683">
      <c r="A1683" t="inlineStr">
        <is>
          <t>97A⁷</t>
        </is>
      </c>
      <c r="B1683" t="inlineStr">
        <is>
          <t>Γ₀(97)</t>
        </is>
      </c>
      <c r="C1683" t="inlineStr">
        <is>
          <t>98</t>
        </is>
      </c>
      <c r="D1683" t="inlineStr">
        <is>
          <t>1</t>
        </is>
      </c>
      <c r="E1683" t="inlineStr">
        <is>
          <t>98</t>
        </is>
      </c>
      <c r="F1683" t="inlineStr">
        <is>
          <t>2</t>
        </is>
      </c>
      <c r="G1683" t="inlineStr">
        <is>
          <t>2</t>
        </is>
      </c>
      <c r="H1683" t="inlineStr">
        <is>
          <t>1¹, 97¹</t>
        </is>
      </c>
      <c r="I1683" t="n">
        <v>2</v>
      </c>
      <c r="J1683" t="inlineStr">
        <is>
          <t>1², 96¹</t>
        </is>
      </c>
      <c r="K1683">
        <f>HYPERLINK("CSG0.html#group1A0", "1A⁰")</f>
        <v/>
      </c>
      <c r="L1683">
        <f>HYPERLINK("CSG13.html#group97A13", "97A¹³"), =HYPERLINK("CSG15.html#group194A15", "194A¹⁵"), =HYPERLINK("CSG15.html#group194B15", "194B¹⁵"), =HYPERLINK("CSG21.html#group97A21", "97A²¹"), =HYPERLINK("CSG22.html#group291A22", "291A²²"), =HYPERLINK("CSG23.html#group194A23", "194A²³"), =HYPERLINK("CSG23.html#group291A23", "291A²³")</f>
        <v/>
      </c>
      <c r="M1683">
        <f>HYPERLINK("CSG0.html#group1A0", "1A⁰")</f>
        <v/>
      </c>
      <c r="N1683">
        <f>HYPERLINK("CSG13.html#group97A13", "97A¹³"), =HYPERLINK("CSG15.html#group194A15", "194A¹⁵"), =HYPERLINK("CSG15.html#group194B15", "194B¹⁵"), =HYPERLINK("CSG23.html#group194A23", "194A²³"), =HYPERLINK("CSG22.html#group291A22", "291A²²"), =HYPERLINK("CSG21.html#group97A21", "97A²¹"), =HYPERLINK("CSG23.html#group291A23", "291A²³")</f>
        <v/>
      </c>
    </row>
    <row r="1684">
      <c r="A1684" t="inlineStr">
        <is>
          <t>98A⁷</t>
        </is>
      </c>
      <c r="B1684" t="inlineStr">
        <is>
          <t>Γ₀(98)</t>
        </is>
      </c>
      <c r="C1684" t="inlineStr">
        <is>
          <t>168</t>
        </is>
      </c>
      <c r="D1684" t="inlineStr">
        <is>
          <t>1</t>
        </is>
      </c>
      <c r="E1684" t="inlineStr">
        <is>
          <t>168</t>
        </is>
      </c>
      <c r="F1684" t="inlineStr">
        <is>
          <t>0</t>
        </is>
      </c>
      <c r="G1684" t="inlineStr">
        <is>
          <t>0</t>
        </is>
      </c>
      <c r="H1684" t="inlineStr">
        <is>
          <t>1⁷, 2⁷, 49¹, 98¹</t>
        </is>
      </c>
      <c r="I1684" t="n">
        <v>16</v>
      </c>
      <c r="J1684" t="inlineStr">
        <is>
          <t>1⁶, 6⁶, 42³</t>
        </is>
      </c>
      <c r="K1684">
        <f>HYPERLINK("CSG1.html#group14C1", "14C¹"), =HYPERLINK("CSG1.html#group49A1", "49A¹")</f>
        <v/>
      </c>
      <c r="L1684">
        <f>HYPERLINK("CSG17.html#group98B17", "98B¹⁷"), =HYPERLINK("CSG17.html#group196A17", "196A¹⁷"), =HYPERLINK("CSG19.html#group98A19", "98A¹⁹"), =HYPERLINK("CSG21.html#group196A21", "196A²¹")</f>
        <v/>
      </c>
      <c r="M1684">
        <f>HYPERLINK("CSG1.html#group49A1", "49A¹"), =HYPERLINK("CSG0.html#group2B0", "2B⁰"), =HYPERLINK("CSG0.html#group1A0", "1A⁰"), =HYPERLINK("CSG0.html#group7B0", "7B⁰"), =HYPERLINK("CSG1.html#group14C1", "14C¹")</f>
        <v/>
      </c>
      <c r="N1684">
        <f>HYPERLINK("CSG17.html#group98B17", "98B¹⁷"), =HYPERLINK("CSG21.html#group196A21", "196A²¹"), =HYPERLINK("CSG19.html#group98A19", "98A¹⁹"), =HYPERLINK("CSG17.html#group196A17", "196A¹⁷")</f>
        <v/>
      </c>
    </row>
    <row r="1685">
      <c r="A1685" t="inlineStr">
        <is>
          <t>100A⁷</t>
        </is>
      </c>
      <c r="B1685" t="inlineStr"/>
      <c r="C1685" t="inlineStr">
        <is>
          <t>120</t>
        </is>
      </c>
      <c r="D1685" t="inlineStr">
        <is>
          <t>1</t>
        </is>
      </c>
      <c r="E1685" t="inlineStr">
        <is>
          <t>120</t>
        </is>
      </c>
      <c r="F1685" t="inlineStr">
        <is>
          <t>4</t>
        </is>
      </c>
      <c r="G1685" t="inlineStr">
        <is>
          <t>0</t>
        </is>
      </c>
      <c r="H1685" t="inlineStr">
        <is>
          <t>4⁵, 100¹</t>
        </is>
      </c>
      <c r="I1685" t="n">
        <v>6</v>
      </c>
      <c r="J1685" t="inlineStr">
        <is>
          <t>2⁴, 8⁴, 40²</t>
        </is>
      </c>
      <c r="K1685">
        <f>HYPERLINK("CSG0.html#group25A0", "25A⁰"), =HYPERLINK("CSG1.html#group20B1", "20B¹")</f>
        <v/>
      </c>
      <c r="L1685">
        <f>HYPERLINK("CSG13.html#group100I13", "100I¹³"), =HYPERLINK("CSG15.html#group100B15", "100B¹⁵"), =HYPERLINK("CSG15.html#group100C15", "100C¹⁵"), =HYPERLINK("CSG17.html#group200B17", "200B¹⁷"), =HYPERLINK("CSG17.html#group200A17", "200A¹⁷"), =HYPERLINK("CSG21.html#group100B21", "100B²¹")</f>
        <v/>
      </c>
      <c r="M1685">
        <f>HYPERLINK("CSG0.html#group25A0", "25A⁰"), =HYPERLINK("CSG0.html#group5B0", "5B⁰"), =HYPERLINK("CSG0.html#group1A0", "1A⁰"), =HYPERLINK("CSG0.html#group4A0", "4A⁰"), =HYPERLINK("CSG1.html#group20B1", "20B¹")</f>
        <v/>
      </c>
      <c r="N1685">
        <f>HYPERLINK("CSG15.html#group100B15", "100B¹⁵"), =HYPERLINK("CSG21.html#group100B21", "100B²¹"), =HYPERLINK("CSG13.html#group100I13", "100I¹³"), =HYPERLINK("CSG15.html#group100C15", "100C¹⁵"), =HYPERLINK("CSG17.html#group200A17", "200A¹⁷"), =HYPERLINK("CSG17.html#group200B17", "200B¹⁷")</f>
        <v/>
      </c>
    </row>
    <row r="1686">
      <c r="A1686" t="inlineStr">
        <is>
          <t>100B⁷</t>
        </is>
      </c>
      <c r="B1686" t="inlineStr"/>
      <c r="C1686" t="inlineStr">
        <is>
          <t>120</t>
        </is>
      </c>
      <c r="D1686" t="inlineStr">
        <is>
          <t>2</t>
        </is>
      </c>
      <c r="E1686" t="inlineStr">
        <is>
          <t>30</t>
        </is>
      </c>
      <c r="F1686" t="inlineStr">
        <is>
          <t>4</t>
        </is>
      </c>
      <c r="G1686" t="inlineStr">
        <is>
          <t>0</t>
        </is>
      </c>
      <c r="H1686" t="inlineStr">
        <is>
          <t>4⁵, 100¹</t>
        </is>
      </c>
      <c r="I1686" t="n">
        <v>6</v>
      </c>
      <c r="J1686" t="inlineStr">
        <is>
          <t>2², 8², 40¹</t>
        </is>
      </c>
      <c r="K1686">
        <f>HYPERLINK("CSG1.html#group20C1", "20C¹"), =HYPERLINK("CSG2.html#group50A2", "50A²")</f>
        <v/>
      </c>
      <c r="L1686">
        <f>HYPERLINK("CSG15.html#group100A15", "100A¹⁵"), =HYPERLINK("CSG21.html#group100C21", "100C²¹")</f>
        <v/>
      </c>
      <c r="M1686">
        <f>HYPERLINK("CSG0.html#group5B0", "5B⁰"), =HYPERLINK("CSG0.html#group25A0", "25A⁰"), =HYPERLINK("CSG1.html#group20C1", "20C¹"), =HYPERLINK("CSG0.html#group1A0", "1A⁰"), =HYPERLINK("CSG2.html#group50A2", "50A²"), =HYPERLINK("CSG0.html#group10B0", "10B⁰")</f>
        <v/>
      </c>
      <c r="N1686">
        <f>HYPERLINK("CSG21.html#group100C21", "100C²¹"), =HYPERLINK("CSG15.html#group100A15", "100A¹⁵")</f>
        <v/>
      </c>
    </row>
    <row r="1687">
      <c r="A1687" t="inlineStr">
        <is>
          <t>100C⁷</t>
        </is>
      </c>
      <c r="B1687" t="inlineStr">
        <is>
          <t>Γ₀(100)</t>
        </is>
      </c>
      <c r="C1687" t="inlineStr">
        <is>
          <t>180</t>
        </is>
      </c>
      <c r="D1687" t="inlineStr">
        <is>
          <t>1</t>
        </is>
      </c>
      <c r="E1687" t="inlineStr">
        <is>
          <t>90</t>
        </is>
      </c>
      <c r="F1687" t="inlineStr">
        <is>
          <t>0</t>
        </is>
      </c>
      <c r="G1687" t="inlineStr">
        <is>
          <t>0</t>
        </is>
      </c>
      <c r="H1687" t="inlineStr">
        <is>
          <t>1¹⁰, 4⁵, 25², 100¹</t>
        </is>
      </c>
      <c r="I1687" t="n">
        <v>18</v>
      </c>
      <c r="J1687" t="inlineStr">
        <is>
          <t>1⁶, 4⁶, 20³</t>
        </is>
      </c>
      <c r="K1687">
        <f>HYPERLINK("CSG1.html#group20D1", "20D¹"), =HYPERLINK("CSG2.html#group50B2", "50B²")</f>
        <v/>
      </c>
      <c r="L1687">
        <f>HYPERLINK("CSG13.html#group100J13", "100J¹³"), =HYPERLINK("CSG19.html#group100O19", "100O¹⁹"), =HYPERLINK("CSG19.html#group100Q19", "100Q¹⁹"), =HYPERLINK("CSG19.html#group200J19", "200J¹⁹"), =HYPERLINK("CSG19.html#group200I19", "200I¹⁹")</f>
        <v/>
      </c>
      <c r="M1687">
        <f>HYPERLINK("CSG0.html#group25A0", "25A⁰"), =HYPERLINK("CSG0.html#group10C0", "10C⁰"), =HYPERLINK("CSG0.html#group5B0", "5B⁰"), =HYPERLINK("CSG1.html#group20D1", "20D¹"), =HYPERLINK("CSG0.html#group2B0", "2B⁰"), =HYPERLINK("CSG0.html#group4B0", "4B⁰"), =HYPERLINK("CSG2.html#group50B2", "50B²"), =HYPERLINK("CSG0.html#group1A0", "1A⁰")</f>
        <v/>
      </c>
      <c r="N1687">
        <f>HYPERLINK("CSG19.html#group100O19", "100O¹⁹"), =HYPERLINK("CSG19.html#group200I19", "200I¹⁹"), =HYPERLINK("CSG19.html#group200J19", "200J¹⁹"), =HYPERLINK("CSG19.html#group100Q19", "100Q¹⁹"), =HYPERLINK("CSG13.html#group100J13", "100J¹³")</f>
        <v/>
      </c>
    </row>
    <row r="1688">
      <c r="A1688" t="inlineStr">
        <is>
          <t>102A⁷</t>
        </is>
      </c>
      <c r="B1688" t="inlineStr"/>
      <c r="C1688" t="inlineStr">
        <is>
          <t>108</t>
        </is>
      </c>
      <c r="D1688" t="inlineStr">
        <is>
          <t>1</t>
        </is>
      </c>
      <c r="E1688" t="inlineStr">
        <is>
          <t>54</t>
        </is>
      </c>
      <c r="F1688" t="inlineStr">
        <is>
          <t>8</t>
        </is>
      </c>
      <c r="G1688" t="inlineStr">
        <is>
          <t>0</t>
        </is>
      </c>
      <c r="H1688" t="inlineStr">
        <is>
          <t>6¹, 102¹</t>
        </is>
      </c>
      <c r="I1688" t="n">
        <v>2</v>
      </c>
      <c r="J1688" t="inlineStr">
        <is>
          <t>1², 2², 16¹, 32¹</t>
        </is>
      </c>
      <c r="K1688">
        <f>HYPERLINK("CSG3.html#group51A3", "51A³")</f>
        <v/>
      </c>
      <c r="L1688">
        <f>HYPERLINK("CSG13.html#group102B13", "102B¹³"), =HYPERLINK("CSG15.html#group102A15", "102A¹⁵"), =HYPERLINK("CSG15.html#group102D15", "102D¹⁵"), =HYPERLINK("CSG17.html#group102F17", "102F¹⁷"), =HYPERLINK("CSG17.html#group102D17", "102D¹⁷"), =HYPERLINK("CSG23.html#group102C23", "102C²³"), =HYPERLINK("CSG23.html#group306A23", "306A²³")</f>
        <v/>
      </c>
      <c r="M1688">
        <f>HYPERLINK("CSG0.html#group3A0", "3A⁰"), =HYPERLINK("CSG1.html#group17A1", "17A¹"), =HYPERLINK("CSG3.html#group51A3", "51A³"), =HYPERLINK("CSG0.html#group1A0", "1A⁰")</f>
        <v/>
      </c>
      <c r="N1688">
        <f>HYPERLINK("CSG15.html#group102D15", "102D¹⁵"), =HYPERLINK("CSG23.html#group306A23", "306A²³"), =HYPERLINK("CSG13.html#group102B13", "102B¹³"), =HYPERLINK("CSG23.html#group102C23", "102C²³"), =HYPERLINK("CSG17.html#group102D17", "102D¹⁷"), =HYPERLINK("CSG15.html#group102A15", "102A¹⁵"), =HYPERLINK("CSG17.html#group102F17", "102F¹⁷")</f>
        <v/>
      </c>
    </row>
    <row r="1689">
      <c r="A1689" t="inlineStr">
        <is>
          <t>102B⁷</t>
        </is>
      </c>
      <c r="B1689" t="inlineStr"/>
      <c r="C1689" t="inlineStr">
        <is>
          <t>108</t>
        </is>
      </c>
      <c r="D1689" t="inlineStr">
        <is>
          <t>1</t>
        </is>
      </c>
      <c r="E1689" t="inlineStr">
        <is>
          <t>54</t>
        </is>
      </c>
      <c r="F1689" t="inlineStr">
        <is>
          <t>8</t>
        </is>
      </c>
      <c r="G1689" t="inlineStr">
        <is>
          <t>0</t>
        </is>
      </c>
      <c r="H1689" t="inlineStr">
        <is>
          <t>6¹, 102¹</t>
        </is>
      </c>
      <c r="I1689" t="n">
        <v>2</v>
      </c>
      <c r="J1689" t="inlineStr">
        <is>
          <t>1², 2², 16¹, 32¹</t>
        </is>
      </c>
      <c r="K1689">
        <f>HYPERLINK("CSG0.html#group6B0", "6B⁰"), =HYPERLINK("CSG3.html#group51A3", "51A³")</f>
        <v/>
      </c>
      <c r="L1689">
        <f>HYPERLINK("CSG13.html#group102B13", "102B¹³"), =HYPERLINK("CSG15.html#group102B15", "102B¹⁵"), =HYPERLINK("CSG15.html#group102D15", "102D¹⁵"), =HYPERLINK("CSG17.html#group102E17", "102E¹⁷"), =HYPERLINK("CSG17.html#group102G17", "102G¹⁷"), =HYPERLINK("CSG23.html#group102D23", "102D²³"), =HYPERLINK("CSG23.html#group306B23", "306B²³")</f>
        <v/>
      </c>
      <c r="M1689">
        <f>HYPERLINK("CSG0.html#group1A0", "1A⁰"), =HYPERLINK("CSG1.html#group17A1", "17A¹"), =HYPERLINK("CSG0.html#group6B0", "6B⁰"), =HYPERLINK("CSG0.html#group3A0", "3A⁰"), =HYPERLINK("CSG3.html#group51A3", "51A³")</f>
        <v/>
      </c>
      <c r="N1689">
        <f>HYPERLINK("CSG15.html#group102D15", "102D¹⁵"), =HYPERLINK("CSG17.html#group102G17", "102G¹⁷"), =HYPERLINK("CSG13.html#group102B13", "102B¹³"), =HYPERLINK("CSG23.html#group102D23", "102D²³"), =HYPERLINK("CSG23.html#group306B23", "306B²³"), =HYPERLINK("CSG15.html#group102B15", "102B¹⁵"), =HYPERLINK("CSG17.html#group102E17", "102E¹⁷")</f>
        <v/>
      </c>
    </row>
    <row r="1690">
      <c r="A1690" t="inlineStr">
        <is>
          <t>104A⁷</t>
        </is>
      </c>
      <c r="B1690" t="inlineStr"/>
      <c r="C1690" t="inlineStr">
        <is>
          <t>112</t>
        </is>
      </c>
      <c r="D1690" t="inlineStr">
        <is>
          <t>2</t>
        </is>
      </c>
      <c r="E1690" t="inlineStr">
        <is>
          <t>56</t>
        </is>
      </c>
      <c r="F1690" t="inlineStr">
        <is>
          <t>4</t>
        </is>
      </c>
      <c r="G1690" t="inlineStr">
        <is>
          <t>4</t>
        </is>
      </c>
      <c r="H1690" t="inlineStr">
        <is>
          <t>8¹, 104¹</t>
        </is>
      </c>
      <c r="I1690" t="n">
        <v>2</v>
      </c>
      <c r="J1690" t="inlineStr">
        <is>
          <t>4⁴, 48²</t>
        </is>
      </c>
      <c r="K1690">
        <f>HYPERLINK("CSG3.html#group52A3", "52A³")</f>
        <v/>
      </c>
      <c r="L1690">
        <f>HYPERLINK("CSG13.html#group104E13", "104E¹³"), =HYPERLINK("CSG15.html#group104A15", "104A¹⁵"), =HYPERLINK("CSG15.html#group104D15", "104D¹⁵"), =HYPERLINK("CSG23.html#group104T23", "104T²³"), =HYPERLINK("CSG23.html#group312A23", "312A²³"), =HYPERLINK("CSG23.html#group312B23", "312B²³")</f>
        <v/>
      </c>
      <c r="M1690">
        <f>HYPERLINK("CSG3.html#group52A3", "52A³"), =HYPERLINK("CSG0.html#group13A0", "13A⁰"), =HYPERLINK("CSG0.html#group1A0", "1A⁰"), =HYPERLINK("CSG0.html#group4A0", "4A⁰")</f>
        <v/>
      </c>
      <c r="N1690">
        <f>HYPERLINK("CSG23.html#group104T23", "104T²³"), =HYPERLINK("CSG15.html#group104A15", "104A¹⁵"), =HYPERLINK("CSG23.html#group312A23", "312A²³"), =HYPERLINK("CSG23.html#group312B23", "312B²³"), =HYPERLINK("CSG13.html#group104E13", "104E¹³"), =HYPERLINK("CSG15.html#group104D15", "104D¹⁵")</f>
        <v/>
      </c>
    </row>
    <row r="1691">
      <c r="A1691" t="inlineStr">
        <is>
          <t>104B⁷</t>
        </is>
      </c>
      <c r="B1691" t="inlineStr"/>
      <c r="C1691" t="inlineStr">
        <is>
          <t>112</t>
        </is>
      </c>
      <c r="D1691" t="inlineStr">
        <is>
          <t>2</t>
        </is>
      </c>
      <c r="E1691" t="inlineStr">
        <is>
          <t>56</t>
        </is>
      </c>
      <c r="F1691" t="inlineStr">
        <is>
          <t>4</t>
        </is>
      </c>
      <c r="G1691" t="inlineStr">
        <is>
          <t>4</t>
        </is>
      </c>
      <c r="H1691" t="inlineStr">
        <is>
          <t>8¹, 104¹</t>
        </is>
      </c>
      <c r="I1691" t="n">
        <v>2</v>
      </c>
      <c r="J1691" t="inlineStr">
        <is>
          <t>4⁴, 48²</t>
        </is>
      </c>
      <c r="K1691">
        <f>HYPERLINK("CSG0.html#group8A0", "8A⁰"), =HYPERLINK("CSG3.html#group52A3", "52A³")</f>
        <v/>
      </c>
      <c r="L1691">
        <f>HYPERLINK("CSG13.html#group104E13", "104E¹³"), =HYPERLINK("CSG15.html#group104B15", "104B¹⁵"), =HYPERLINK("CSG15.html#group104D15", "104D¹⁵"), =HYPERLINK("CSG15.html#group208A15", "208A¹⁵"), =HYPERLINK("CSG15.html#group208B15", "208B¹⁵"), =HYPERLINK("CSG23.html#group104U23", "104U²³"), =HYPERLINK("CSG23.html#group312C23", "312C²³"), =HYPERLINK("CSG23.html#group312D23", "312D²³")</f>
        <v/>
      </c>
      <c r="M1691">
        <f>HYPERLINK("CSG0.html#group8A0", "8A⁰"), =HYPERLINK("CSG0.html#group13A0", "13A⁰"), =HYPERLINK("CSG3.html#group52A3", "52A³"), =HYPERLINK("CSG0.html#group1A0", "1A⁰"), =HYPERLINK("CSG0.html#group4A0", "4A⁰")</f>
        <v/>
      </c>
      <c r="N1691">
        <f>HYPERLINK("CSG15.html#group104B15", "104B¹⁵"), =HYPERLINK("CSG15.html#group104D15", "104D¹⁵"), =HYPERLINK("CSG23.html#group104U23", "104U²³"), =HYPERLINK("CSG15.html#group208B15", "208B¹⁵"), =HYPERLINK("CSG15.html#group208A15", "208A¹⁵"), =HYPERLINK("CSG23.html#group312C23", "312C²³"), =HYPERLINK("CSG23.html#group312D23", "312D²³"), =HYPERLINK("CSG13.html#group104E13", "104E¹³")</f>
        <v/>
      </c>
    </row>
    <row r="1692">
      <c r="A1692" t="inlineStr">
        <is>
          <t>105A⁷</t>
        </is>
      </c>
      <c r="B1692" t="inlineStr"/>
      <c r="C1692" t="inlineStr">
        <is>
          <t>105</t>
        </is>
      </c>
      <c r="D1692" t="inlineStr">
        <is>
          <t>2</t>
        </is>
      </c>
      <c r="E1692" t="inlineStr">
        <is>
          <t>35</t>
        </is>
      </c>
      <c r="F1692" t="inlineStr">
        <is>
          <t>9</t>
        </is>
      </c>
      <c r="G1692" t="inlineStr">
        <is>
          <t>0</t>
        </is>
      </c>
      <c r="H1692" t="inlineStr">
        <is>
          <t>105¹</t>
        </is>
      </c>
      <c r="I1692" t="n">
        <v>1</v>
      </c>
      <c r="J1692" t="inlineStr">
        <is>
          <t>2¹, 6², 8¹, 24²</t>
        </is>
      </c>
      <c r="K1692">
        <f>HYPERLINK("CSG0.html#group21A0", "21A⁰"), =HYPERLINK("CSG1.html#group15A1", "15A¹"), =HYPERLINK("CSG2.html#group35A2", "35A²")</f>
        <v/>
      </c>
      <c r="L1692">
        <f>HYPERLINK("CSG15.html#group105C15", "105C¹⁵"), =HYPERLINK("CSG15.html#group210A15", "210A¹⁵"), =HYPERLINK("CSG15.html#group210B15", "210B¹⁵"), =HYPERLINK("CSG16.html#group105A16", "105A¹⁶"), =HYPERLINK("CSG16.html#group105B16", "105B¹⁶"), =HYPERLINK("CSG16.html#group210D16", "210D¹⁶"), =HYPERLINK("CSG18.html#group210A18", "210A¹⁸"), =HYPERLINK("CSG19.html#group105C19", "105C¹⁹"), =HYPERLINK("CSG22.html#group105B22", "105B²²"), =HYPERLINK("CSG23.html#group315A23", "315A²³"), =HYPERLINK("CSG24.html#group210A24", "210A²⁴")</f>
        <v/>
      </c>
      <c r="M1692">
        <f>HYPERLINK("CSG0.html#group5A0", "5A⁰"), =HYPERLINK("CSG0.html#group21A0", "21A⁰"), =HYPERLINK("CSG0.html#group3A0", "3A⁰"), =HYPERLINK("CSG0.html#group1A0", "1A⁰"), =HYPERLINK("CSG2.html#group35A2", "35A²"), =HYPERLINK("CSG1.html#group15A1", "15A¹"), =HYPERLINK("CSG0.html#group7A0", "7A⁰")</f>
        <v/>
      </c>
      <c r="N1692">
        <f>HYPERLINK("CSG24.html#group210A24", "210A²⁴"), =HYPERLINK("CSG23.html#group315A23", "315A²³"), =HYPERLINK("CSG19.html#group105C19", "105C¹⁹"), =HYPERLINK("CSG16.html#group105A16", "105A¹⁶"), =HYPERLINK("CSG18.html#group210A18", "210A¹⁸"), =HYPERLINK("CSG22.html#group105B22", "105B²²"), =HYPERLINK("CSG15.html#group210B15", "210B¹⁵"), =HYPERLINK("CSG15.html#group210A15", "210A¹⁵"), =HYPERLINK("CSG16.html#group105B16", "105B¹⁶"), =HYPERLINK("CSG16.html#group210D16", "210D¹⁶"), =HYPERLINK("CSG15.html#group105C15", "105C¹⁵")</f>
        <v/>
      </c>
    </row>
    <row r="1693">
      <c r="A1693" t="inlineStr">
        <is>
          <t>108A⁷</t>
        </is>
      </c>
      <c r="B1693" t="inlineStr"/>
      <c r="C1693" t="inlineStr">
        <is>
          <t>216</t>
        </is>
      </c>
      <c r="D1693" t="inlineStr">
        <is>
          <t>1</t>
        </is>
      </c>
      <c r="E1693" t="inlineStr">
        <is>
          <t>36</t>
        </is>
      </c>
      <c r="F1693" t="inlineStr">
        <is>
          <t>0</t>
        </is>
      </c>
      <c r="G1693" t="inlineStr">
        <is>
          <t>0</t>
        </is>
      </c>
      <c r="H1693" t="inlineStr">
        <is>
          <t>1¹², 3², 4⁶, 12¹, 27², 108¹</t>
        </is>
      </c>
      <c r="I1693" t="n">
        <v>24</v>
      </c>
      <c r="J1693" t="inlineStr">
        <is>
          <t>1⁶, 2⁶, 6³</t>
        </is>
      </c>
      <c r="K1693">
        <f>HYPERLINK("CSG1.html#group36C1", "36C¹"), =HYPERLINK("CSG2.html#group54B2", "54B²")</f>
        <v/>
      </c>
      <c r="L1693">
        <f>HYPERLINK("CSG17.html#group108G17", "108G¹⁷"), =HYPERLINK("CSG17.html#group216A17", "216A¹⁷"), =HYPERLINK("CSG21.html#group108E21", "108E²¹"), =HYPERLINK("CSG21.html#group216B21", "216B²¹")</f>
        <v/>
      </c>
      <c r="M1693">
        <f>HYPERLINK("CSG0.html#group3B0", "3B⁰"), =HYPERLINK("CSG2.html#group54B2", "54B²"), =HYPERLINK("CSG0.html#group18E0", "18E⁰"), =HYPERLINK("CSG0.html#group27A0", "27A⁰"), =HYPERLINK("CSG0.html#group9B0", "9B⁰"), =HYPERLINK("CSG0.html#group1A0", "1A⁰"), =HYPERLINK("CSG0.html#group2B0", "2B⁰"), =HYPERLINK("CSG1.html#group36C1", "36C¹"), =HYPERLINK("CSG0.html#group4B0", "4B⁰"), =HYPERLINK("CSG0.html#group6F0", "6F⁰"), =HYPERLINK("CSG0.html#group12E0", "12E⁰")</f>
        <v/>
      </c>
      <c r="N1693">
        <f>HYPERLINK("CSG17.html#group108G17", "108G¹⁷"), =HYPERLINK("CSG17.html#group216A17", "216A¹⁷"), =HYPERLINK("CSG21.html#group216B21", "216B²¹"), =HYPERLINK("CSG21.html#group108E21", "108E²¹")</f>
        <v/>
      </c>
    </row>
    <row r="1694">
      <c r="A1694" t="inlineStr">
        <is>
          <t>110A⁷</t>
        </is>
      </c>
      <c r="B1694" t="inlineStr"/>
      <c r="C1694" t="inlineStr">
        <is>
          <t>110</t>
        </is>
      </c>
      <c r="D1694" t="inlineStr">
        <is>
          <t>2</t>
        </is>
      </c>
      <c r="E1694" t="inlineStr">
        <is>
          <t>55</t>
        </is>
      </c>
      <c r="F1694" t="inlineStr">
        <is>
          <t>0</t>
        </is>
      </c>
      <c r="G1694" t="inlineStr">
        <is>
          <t>8</t>
        </is>
      </c>
      <c r="H1694" t="inlineStr">
        <is>
          <t>110¹</t>
        </is>
      </c>
      <c r="I1694" t="n">
        <v>1</v>
      </c>
      <c r="J1694" t="inlineStr">
        <is>
          <t>2¹, 8¹, 10², 40²</t>
        </is>
      </c>
      <c r="K1694">
        <f>HYPERLINK("CSG0.html#group10A0", "10A⁰"), =HYPERLINK("CSG1.html#group22A1", "22A¹"), =HYPERLINK("CSG3.html#group55A3", "55A³")</f>
        <v/>
      </c>
      <c r="L1694">
        <f>HYPERLINK("CSG23.html#group110A23", "110A²³"), =HYPERLINK("CSG24.html#group330A24", "330A²⁴"), =HYPERLINK("CSG24.html#group330B24", "330B²⁴"), =HYPERLINK("CSG24.html#group330C24", "330C²⁴")</f>
        <v/>
      </c>
      <c r="M1694">
        <f>HYPERLINK("CSG0.html#group11A0", "11A⁰"), =HYPERLINK("CSG0.html#group2A0", "2A⁰"), =HYPERLINK("CSG3.html#group55A3", "55A³"), =HYPERLINK("CSG0.html#group5A0", "5A⁰"), =HYPERLINK("CSG0.html#group10A0", "10A⁰"), =HYPERLINK("CSG1.html#group22A1", "22A¹"), =HYPERLINK("CSG0.html#group1A0", "1A⁰")</f>
        <v/>
      </c>
      <c r="N1694">
        <f>HYPERLINK("CSG24.html#group330B24", "330B²⁴"), =HYPERLINK("CSG24.html#group330C24", "330C²⁴"), =HYPERLINK("CSG23.html#group110A23", "110A²³"), =HYPERLINK("CSG24.html#group330A24", "330A²⁴")</f>
        <v/>
      </c>
    </row>
    <row r="1695">
      <c r="A1695" t="inlineStr">
        <is>
          <t>112A⁷</t>
        </is>
      </c>
      <c r="B1695" t="inlineStr"/>
      <c r="C1695" t="inlineStr">
        <is>
          <t>112</t>
        </is>
      </c>
      <c r="D1695" t="inlineStr">
        <is>
          <t>2</t>
        </is>
      </c>
      <c r="E1695" t="inlineStr">
        <is>
          <t>56</t>
        </is>
      </c>
      <c r="F1695" t="inlineStr">
        <is>
          <t>6</t>
        </is>
      </c>
      <c r="G1695" t="inlineStr">
        <is>
          <t>4</t>
        </is>
      </c>
      <c r="H1695" t="inlineStr">
        <is>
          <t>112¹</t>
        </is>
      </c>
      <c r="I1695" t="n">
        <v>1</v>
      </c>
      <c r="J1695" t="inlineStr">
        <is>
          <t>16², 48⁴</t>
        </is>
      </c>
      <c r="K1695">
        <f>HYPERLINK("CSG3.html#group56C3", "56C³")</f>
        <v/>
      </c>
      <c r="L1695">
        <f>HYPERLINK("CSG14.html#group112E14", "112E¹⁴"), =HYPERLINK("CSG15.html#group112J15", "112J¹⁵"), =HYPERLINK("CSG16.html#group112A16", "112A¹⁶"), =HYPERLINK("CSG24.html#group336A24", "336A²⁴")</f>
        <v/>
      </c>
      <c r="M1695">
        <f>HYPERLINK("CSG0.html#group8A0", "8A⁰"), =HYPERLINK("CSG3.html#group56C3", "56C³"), =HYPERLINK("CSG1.html#group28A1", "28A¹"), =HYPERLINK("CSG0.html#group1A0", "1A⁰"), =HYPERLINK("CSG0.html#group4A0", "4A⁰"), =HYPERLINK("CSG0.html#group7A0", "7A⁰")</f>
        <v/>
      </c>
      <c r="N1695">
        <f>HYPERLINK("CSG16.html#group112A16", "112A¹⁶"), =HYPERLINK("CSG15.html#group112J15", "112J¹⁵"), =HYPERLINK("CSG14.html#group112E14", "112E¹⁴"), =HYPERLINK("CSG24.html#group336A24", "336A²⁴")</f>
        <v/>
      </c>
    </row>
    <row r="1696">
      <c r="A1696" t="inlineStr">
        <is>
          <t>112B⁷</t>
        </is>
      </c>
      <c r="B1696" t="inlineStr"/>
      <c r="C1696" t="inlineStr">
        <is>
          <t>112</t>
        </is>
      </c>
      <c r="D1696" t="inlineStr">
        <is>
          <t>2</t>
        </is>
      </c>
      <c r="E1696" t="inlineStr">
        <is>
          <t>56</t>
        </is>
      </c>
      <c r="F1696" t="inlineStr">
        <is>
          <t>6</t>
        </is>
      </c>
      <c r="G1696" t="inlineStr">
        <is>
          <t>4</t>
        </is>
      </c>
      <c r="H1696" t="inlineStr">
        <is>
          <t>112¹</t>
        </is>
      </c>
      <c r="I1696" t="n">
        <v>1</v>
      </c>
      <c r="J1696" t="inlineStr">
        <is>
          <t>16², 48⁴</t>
        </is>
      </c>
      <c r="K1696">
        <f>HYPERLINK("CSG3.html#group56D3", "56D³")</f>
        <v/>
      </c>
      <c r="L1696">
        <f>HYPERLINK("CSG14.html#group112F14", "112F¹⁴"), =HYPERLINK("CSG15.html#group112I15", "112I¹⁵"), =HYPERLINK("CSG16.html#group112A16", "112A¹⁶"), =HYPERLINK("CSG24.html#group336B24", "336B²⁴")</f>
        <v/>
      </c>
      <c r="M1696">
        <f>HYPERLINK("CSG0.html#group8A0", "8A⁰"), =HYPERLINK("CSG3.html#group56D3", "56D³"), =HYPERLINK("CSG1.html#group28A1", "28A¹"), =HYPERLINK("CSG0.html#group1A0", "1A⁰"), =HYPERLINK("CSG0.html#group4A0", "4A⁰"), =HYPERLINK("CSG0.html#group7A0", "7A⁰")</f>
        <v/>
      </c>
      <c r="N1696">
        <f>HYPERLINK("CSG16.html#group112A16", "112A¹⁶"), =HYPERLINK("CSG15.html#group112I15", "112I¹⁵"), =HYPERLINK("CSG14.html#group112F14", "112F¹⁴"), =HYPERLINK("CSG24.html#group336B24", "336B²⁴")</f>
        <v/>
      </c>
    </row>
    <row r="1697">
      <c r="A1697" t="inlineStr">
        <is>
          <t>112C⁷</t>
        </is>
      </c>
      <c r="B1697" t="inlineStr"/>
      <c r="C1697" t="inlineStr">
        <is>
          <t>112</t>
        </is>
      </c>
      <c r="D1697" t="inlineStr">
        <is>
          <t>2</t>
        </is>
      </c>
      <c r="E1697" t="inlineStr">
        <is>
          <t>56</t>
        </is>
      </c>
      <c r="F1697" t="inlineStr">
        <is>
          <t>6</t>
        </is>
      </c>
      <c r="G1697" t="inlineStr">
        <is>
          <t>4</t>
        </is>
      </c>
      <c r="H1697" t="inlineStr">
        <is>
          <t>112¹</t>
        </is>
      </c>
      <c r="I1697" t="n">
        <v>1</v>
      </c>
      <c r="J1697" t="inlineStr">
        <is>
          <t>16², 48⁴</t>
        </is>
      </c>
      <c r="K1697">
        <f>HYPERLINK("CSG0.html#group16A0", "16A⁰"), =HYPERLINK("CSG3.html#group56C3", "56C³")</f>
        <v/>
      </c>
      <c r="L1697">
        <f>HYPERLINK("CSG14.html#group112E14", "112E¹⁴"), =HYPERLINK("CSG15.html#group112J15", "112J¹⁵"), =HYPERLINK("CSG16.html#group112B16", "112B¹⁶"), =HYPERLINK("CSG24.html#group336C24", "336C²⁴")</f>
        <v/>
      </c>
      <c r="M1697">
        <f>HYPERLINK("CSG0.html#group8A0", "8A⁰"), =HYPERLINK("CSG3.html#group56C3", "56C³"), =HYPERLINK("CSG0.html#group16A0", "16A⁰"), =HYPERLINK("CSG1.html#group28A1", "28A¹"), =HYPERLINK("CSG0.html#group1A0", "1A⁰"), =HYPERLINK("CSG0.html#group4A0", "4A⁰"), =HYPERLINK("CSG0.html#group7A0", "7A⁰")</f>
        <v/>
      </c>
      <c r="N1697">
        <f>HYPERLINK("CSG15.html#group112J15", "112J¹⁵"), =HYPERLINK("CSG24.html#group336C24", "336C²⁴"), =HYPERLINK("CSG16.html#group112B16", "112B¹⁶"), =HYPERLINK("CSG14.html#group112E14", "112E¹⁴")</f>
        <v/>
      </c>
    </row>
    <row r="1698">
      <c r="A1698" t="inlineStr">
        <is>
          <t>112D⁷</t>
        </is>
      </c>
      <c r="B1698" t="inlineStr"/>
      <c r="C1698" t="inlineStr">
        <is>
          <t>112</t>
        </is>
      </c>
      <c r="D1698" t="inlineStr">
        <is>
          <t>2</t>
        </is>
      </c>
      <c r="E1698" t="inlineStr">
        <is>
          <t>56</t>
        </is>
      </c>
      <c r="F1698" t="inlineStr">
        <is>
          <t>6</t>
        </is>
      </c>
      <c r="G1698" t="inlineStr">
        <is>
          <t>4</t>
        </is>
      </c>
      <c r="H1698" t="inlineStr">
        <is>
          <t>112¹</t>
        </is>
      </c>
      <c r="I1698" t="n">
        <v>1</v>
      </c>
      <c r="J1698" t="inlineStr">
        <is>
          <t>16², 48⁴</t>
        </is>
      </c>
      <c r="K1698">
        <f>HYPERLINK("CSG0.html#group16A0", "16A⁰"), =HYPERLINK("CSG3.html#group56D3", "56D³")</f>
        <v/>
      </c>
      <c r="L1698">
        <f>HYPERLINK("CSG14.html#group112F14", "112F¹⁴"), =HYPERLINK("CSG15.html#group112I15", "112I¹⁵"), =HYPERLINK("CSG16.html#group112B16", "112B¹⁶"), =HYPERLINK("CSG24.html#group336D24", "336D²⁴")</f>
        <v/>
      </c>
      <c r="M1698">
        <f>HYPERLINK("CSG0.html#group8A0", "8A⁰"), =HYPERLINK("CSG3.html#group56D3", "56D³"), =HYPERLINK("CSG0.html#group16A0", "16A⁰"), =HYPERLINK("CSG1.html#group28A1", "28A¹"), =HYPERLINK("CSG0.html#group1A0", "1A⁰"), =HYPERLINK("CSG0.html#group4A0", "4A⁰"), =HYPERLINK("CSG0.html#group7A0", "7A⁰")</f>
        <v/>
      </c>
      <c r="N1698">
        <f>HYPERLINK("CSG24.html#group336D24", "336D²⁴"), =HYPERLINK("CSG15.html#group112I15", "112I¹⁵"), =HYPERLINK("CSG16.html#group112B16", "112B¹⁶"), =HYPERLINK("CSG14.html#group112F14", "112F¹⁴")</f>
        <v/>
      </c>
    </row>
    <row r="1699">
      <c r="A1699" t="inlineStr">
        <is>
          <t>120A⁷</t>
        </is>
      </c>
      <c r="B1699" t="inlineStr"/>
      <c r="C1699" t="inlineStr">
        <is>
          <t>120</t>
        </is>
      </c>
      <c r="D1699" t="inlineStr">
        <is>
          <t>2</t>
        </is>
      </c>
      <c r="E1699" t="inlineStr">
        <is>
          <t>20</t>
        </is>
      </c>
      <c r="F1699" t="inlineStr">
        <is>
          <t>6</t>
        </is>
      </c>
      <c r="G1699" t="inlineStr">
        <is>
          <t>6</t>
        </is>
      </c>
      <c r="H1699" t="inlineStr">
        <is>
          <t>120¹</t>
        </is>
      </c>
      <c r="I1699" t="n">
        <v>1</v>
      </c>
      <c r="J1699" t="inlineStr">
        <is>
          <t>8², 32²</t>
        </is>
      </c>
      <c r="K1699">
        <f>HYPERLINK("CSG2.html#group40A2", "40A²"), =HYPERLINK("CSG3.html#group60A3", "60A³")</f>
        <v/>
      </c>
      <c r="L1699">
        <f>HYPERLINK("CSG15.html#group240A15", "240A¹⁵"), =HYPERLINK("CSG16.html#group120D16", "120D¹⁶")</f>
        <v/>
      </c>
      <c r="M1699">
        <f>HYPERLINK("CSG0.html#group5A0", "5A⁰"), =HYPERLINK("CSG0.html#group4A0", "4A⁰"), =HYPERLINK("CSG0.html#group8A0", "8A⁰"), =HYPERLINK("CSG1.html#group20A1", "20A¹"), =HYPERLINK("CSG0.html#group15A0", "15A⁰"), =HYPERLINK("CSG0.html#group1A0", "1A⁰"), =HYPERLINK("CSG2.html#group40A2", "40A²"), =HYPERLINK("CSG3.html#group60A3", "60A³")</f>
        <v/>
      </c>
      <c r="N1699">
        <f>HYPERLINK("CSG16.html#group120D16", "120D¹⁶"), =HYPERLINK("CSG15.html#group240A15", "240A¹⁵")</f>
        <v/>
      </c>
    </row>
    <row r="1700">
      <c r="A1700" t="inlineStr">
        <is>
          <t>120B⁷</t>
        </is>
      </c>
      <c r="B1700" t="inlineStr"/>
      <c r="C1700" t="inlineStr">
        <is>
          <t>120</t>
        </is>
      </c>
      <c r="D1700" t="inlineStr">
        <is>
          <t>2</t>
        </is>
      </c>
      <c r="E1700" t="inlineStr">
        <is>
          <t>20</t>
        </is>
      </c>
      <c r="F1700" t="inlineStr">
        <is>
          <t>6</t>
        </is>
      </c>
      <c r="G1700" t="inlineStr">
        <is>
          <t>6</t>
        </is>
      </c>
      <c r="H1700" t="inlineStr">
        <is>
          <t>120¹</t>
        </is>
      </c>
      <c r="I1700" t="n">
        <v>1</v>
      </c>
      <c r="J1700" t="inlineStr">
        <is>
          <t>8², 32²</t>
        </is>
      </c>
      <c r="K1700">
        <f>HYPERLINK("CSG2.html#group40A2", "40A²"), =HYPERLINK("CSG3.html#group60A3", "60A³")</f>
        <v/>
      </c>
      <c r="L1700">
        <f>HYPERLINK("CSG15.html#group240B15", "240B¹⁵"), =HYPERLINK("CSG16.html#group120D16", "120D¹⁶")</f>
        <v/>
      </c>
      <c r="M1700">
        <f>HYPERLINK("CSG0.html#group5A0", "5A⁰"), =HYPERLINK("CSG0.html#group4A0", "4A⁰"), =HYPERLINK("CSG0.html#group8A0", "8A⁰"), =HYPERLINK("CSG1.html#group20A1", "20A¹"), =HYPERLINK("CSG0.html#group15A0", "15A⁰"), =HYPERLINK("CSG0.html#group1A0", "1A⁰"), =HYPERLINK("CSG2.html#group40A2", "40A²"), =HYPERLINK("CSG3.html#group60A3", "60A³")</f>
        <v/>
      </c>
      <c r="N1700">
        <f>HYPERLINK("CSG15.html#group240B15", "240B¹⁵"), =HYPERLINK("CSG16.html#group120D16", "120D¹⁶")</f>
        <v/>
      </c>
    </row>
    <row r="1701">
      <c r="A1701" t="inlineStr">
        <is>
          <t>126A⁷</t>
        </is>
      </c>
      <c r="B1701" t="inlineStr"/>
      <c r="C1701" t="inlineStr">
        <is>
          <t>126</t>
        </is>
      </c>
      <c r="D1701" t="inlineStr">
        <is>
          <t>2</t>
        </is>
      </c>
      <c r="E1701" t="inlineStr">
        <is>
          <t>63</t>
        </is>
      </c>
      <c r="F1701" t="inlineStr">
        <is>
          <t>16</t>
        </is>
      </c>
      <c r="G1701" t="inlineStr">
        <is>
          <t>0</t>
        </is>
      </c>
      <c r="H1701" t="inlineStr">
        <is>
          <t>126¹</t>
        </is>
      </c>
      <c r="I1701" t="n">
        <v>1</v>
      </c>
      <c r="J1701" t="inlineStr">
        <is>
          <t>2¹, 4¹, 6², 12³, 36²</t>
        </is>
      </c>
      <c r="K1701">
        <f>HYPERLINK("CSG2.html#group42A2", "42A²"), =HYPERLINK("CSG2.html#group63A2", "63A²")</f>
        <v/>
      </c>
      <c r="L1701">
        <f>HYPERLINK("CSG14.html#group126E14", "126E¹⁴"), =HYPERLINK("CSG14.html#group126F14", "126F¹⁴"), =HYPERLINK("CSG15.html#group126F15", "126F¹⁵"), =HYPERLINK("CSG19.html#group126A19", "126A¹⁹"), =HYPERLINK("CSG20.html#group126B20", "126B²⁰"), =HYPERLINK("CSG20.html#group126A20", "126A²⁰"), =HYPERLINK("CSG21.html#group126D21", "126D²¹")</f>
        <v/>
      </c>
      <c r="M1701">
        <f>HYPERLINK("CSG2.html#group42A2", "42A²"), =HYPERLINK("CSG0.html#group9A0", "9A⁰"), =HYPERLINK("CSG2.html#group63A2", "63A²"), =HYPERLINK("CSG0.html#group21A0", "21A⁰"), =HYPERLINK("CSG0.html#group3A0", "3A⁰"), =HYPERLINK("CSG0.html#group1A0", "1A⁰"), =HYPERLINK("CSG0.html#group7A0", "7A⁰")</f>
        <v/>
      </c>
      <c r="N1701">
        <f>HYPERLINK("CSG20.html#group126A20", "126A²⁰"), =HYPERLINK("CSG14.html#group126E14", "126E¹⁴"), =HYPERLINK("CSG14.html#group126F14", "126F¹⁴"), =HYPERLINK("CSG21.html#group126D21", "126D²¹"), =HYPERLINK("CSG20.html#group126B20", "126B²⁰"), =HYPERLINK("CSG19.html#group126A19", "126A¹⁹"), =HYPERLINK("CSG15.html#group126F15", "126F¹⁵")</f>
        <v/>
      </c>
    </row>
    <row r="1702">
      <c r="A1702" t="inlineStr">
        <is>
          <t>128A⁷</t>
        </is>
      </c>
      <c r="B1702" t="inlineStr"/>
      <c r="C1702" t="inlineStr">
        <is>
          <t>192</t>
        </is>
      </c>
      <c r="D1702" t="inlineStr">
        <is>
          <t>1</t>
        </is>
      </c>
      <c r="E1702" t="inlineStr">
        <is>
          <t>24</t>
        </is>
      </c>
      <c r="F1702" t="inlineStr">
        <is>
          <t>0</t>
        </is>
      </c>
      <c r="G1702" t="inlineStr">
        <is>
          <t>0</t>
        </is>
      </c>
      <c r="H1702" t="inlineStr">
        <is>
          <t>1¹⁶, 8², 32¹, 128¹</t>
        </is>
      </c>
      <c r="I1702" t="n">
        <v>20</v>
      </c>
      <c r="J1702" t="inlineStr">
        <is>
          <t>1⁴, 2², 4², 8¹</t>
        </is>
      </c>
      <c r="K1702">
        <f>HYPERLINK("CSG3.html#group64A3", "64A³")</f>
        <v/>
      </c>
      <c r="L1702">
        <f>HYPERLINK("CSG13.html#group128E13", "128E¹³"), =HYPERLINK("CSG19.html#group256A19", "256A¹⁹"), =HYPERLINK("CSG19.html#group256B19", "256B¹⁹"), =HYPERLINK("CSG21.html#group128D21", "128D²¹"), =HYPERLINK("CSG21.html#group128E21", "128E²¹")</f>
        <v/>
      </c>
      <c r="M1702">
        <f>HYPERLINK("CSG0.html#group8C0", "8C⁰"), =HYPERLINK("CSG0.html#group2B0", "2B⁰"), =HYPERLINK("CSG1.html#group32A1", "32A¹"), =HYPERLINK("CSG3.html#group64A3", "64A³"), =HYPERLINK("CSG0.html#group4B0", "4B⁰"), =HYPERLINK("CSG0.html#group1A0", "1A⁰"), =HYPERLINK("CSG0.html#group16C0", "16C⁰")</f>
        <v/>
      </c>
      <c r="N1702">
        <f>HYPERLINK("CSG21.html#group128D21", "128D²¹"), =HYPERLINK("CSG19.html#group256A19", "256A¹⁹"), =HYPERLINK("CSG21.html#group128E21", "128E²¹"), =HYPERLINK("CSG19.html#group256B19", "256B¹⁹"), =HYPERLINK("CSG13.html#group128E13", "128E¹³")</f>
        <v/>
      </c>
    </row>
    <row r="1703">
      <c r="A1703" t="inlineStr">
        <is>
          <t>132A⁷</t>
        </is>
      </c>
      <c r="B1703" t="inlineStr"/>
      <c r="C1703" t="inlineStr">
        <is>
          <t>132</t>
        </is>
      </c>
      <c r="D1703" t="inlineStr">
        <is>
          <t>2</t>
        </is>
      </c>
      <c r="E1703" t="inlineStr">
        <is>
          <t>44</t>
        </is>
      </c>
      <c r="F1703" t="inlineStr">
        <is>
          <t>18</t>
        </is>
      </c>
      <c r="G1703" t="inlineStr">
        <is>
          <t>0</t>
        </is>
      </c>
      <c r="H1703" t="inlineStr">
        <is>
          <t>132¹</t>
        </is>
      </c>
      <c r="I1703" t="n">
        <v>1</v>
      </c>
      <c r="J1703" t="inlineStr">
        <is>
          <t>4², 20⁴</t>
        </is>
      </c>
      <c r="K1703">
        <f>HYPERLINK("CSG0.html#group12A0", "12A⁰"), =HYPERLINK("CSG1.html#group33A1", "33A¹"), =HYPERLINK("CSG2.html#group44A2", "44A²")</f>
        <v/>
      </c>
      <c r="L1703">
        <f>HYPERLINK("CSG16.html#group132D16", "132D¹⁶"), =HYPERLINK("CSG18.html#group264A18", "264A¹⁸"), =HYPERLINK("CSG18.html#group264B18", "264B¹⁸"), =HYPERLINK("CSG18.html#group264C18", "264C¹⁸"), =HYPERLINK("CSG18.html#group264D18", "264D¹⁸"), =HYPERLINK("CSG19.html#group132B19", "132B¹⁹"), =HYPERLINK("CSG22.html#group132A22", "132A²²")</f>
        <v/>
      </c>
      <c r="M1703">
        <f>HYPERLINK("CSG0.html#group11A0", "11A⁰"), =HYPERLINK("CSG0.html#group12A0", "12A⁰"), =HYPERLINK("CSG2.html#group44A2", "44A²"), =HYPERLINK("CSG0.html#group4A0", "4A⁰"), =HYPERLINK("CSG1.html#group33A1", "33A¹"), =HYPERLINK("CSG0.html#group3A0", "3A⁰"), =HYPERLINK("CSG0.html#group1A0", "1A⁰")</f>
        <v/>
      </c>
      <c r="N1703">
        <f>HYPERLINK("CSG18.html#group264C18", "264C¹⁸"), =HYPERLINK("CSG22.html#group132A22", "132A²²"), =HYPERLINK("CSG16.html#group132D16", "132D¹⁶"), =HYPERLINK("CSG18.html#group264B18", "264B¹⁸"), =HYPERLINK("CSG18.html#group264A18", "264A¹⁸"), =HYPERLINK("CSG18.html#group264D18", "264D¹⁸"), =HYPERLINK("CSG19.html#group132B19", "132B¹⁹")</f>
        <v/>
      </c>
    </row>
    <row r="1704">
      <c r="A1704" t="inlineStr">
        <is>
          <t>156A⁷</t>
        </is>
      </c>
      <c r="B1704" t="inlineStr"/>
      <c r="C1704" t="inlineStr">
        <is>
          <t>168</t>
        </is>
      </c>
      <c r="D1704" t="inlineStr">
        <is>
          <t>2</t>
        </is>
      </c>
      <c r="E1704" t="inlineStr">
        <is>
          <t>14</t>
        </is>
      </c>
      <c r="F1704" t="inlineStr">
        <is>
          <t>12</t>
        </is>
      </c>
      <c r="G1704" t="inlineStr">
        <is>
          <t>12</t>
        </is>
      </c>
      <c r="H1704" t="inlineStr">
        <is>
          <t>12¹, 156¹</t>
        </is>
      </c>
      <c r="I1704" t="n">
        <v>2</v>
      </c>
      <c r="J1704" t="inlineStr">
        <is>
          <t>4², 48¹</t>
        </is>
      </c>
      <c r="K1704">
        <f>HYPERLINK("CSG1.html#group52A1", "52A¹"), =HYPERLINK("CSG2.html#group78A2", "78A²")</f>
        <v/>
      </c>
      <c r="L1704">
        <f>HYPERLINK("CSG19.html#group156E19", "156E¹⁹")</f>
        <v/>
      </c>
      <c r="M1704">
        <f>HYPERLINK("CSG0.html#group13A0", "13A⁰"), =HYPERLINK("CSG0.html#group26A0", "26A⁰"), =HYPERLINK("CSG1.html#group39A1", "39A¹"), =HYPERLINK("CSG1.html#group52A1", "52A¹"), =HYPERLINK("CSG0.html#group1A0", "1A⁰"), =HYPERLINK("CSG2.html#group78A2", "78A²")</f>
        <v/>
      </c>
      <c r="N1704">
        <f>HYPERLINK("CSG19.html#group156E19", "156E¹⁹")</f>
        <v/>
      </c>
    </row>
    <row r="1705">
      <c r="A1705" t="inlineStr">
        <is>
          <t>156B⁷</t>
        </is>
      </c>
      <c r="B1705" t="inlineStr"/>
      <c r="C1705" t="inlineStr">
        <is>
          <t>168</t>
        </is>
      </c>
      <c r="D1705" t="inlineStr">
        <is>
          <t>2</t>
        </is>
      </c>
      <c r="E1705" t="inlineStr">
        <is>
          <t>14</t>
        </is>
      </c>
      <c r="F1705" t="inlineStr">
        <is>
          <t>12</t>
        </is>
      </c>
      <c r="G1705" t="inlineStr">
        <is>
          <t>12</t>
        </is>
      </c>
      <c r="H1705" t="inlineStr">
        <is>
          <t>12¹, 156¹</t>
        </is>
      </c>
      <c r="I1705" t="n">
        <v>2</v>
      </c>
      <c r="J1705" t="inlineStr">
        <is>
          <t>4², 48¹</t>
        </is>
      </c>
      <c r="K1705">
        <f>HYPERLINK("CSG1.html#group52A1", "52A¹"), =HYPERLINK("CSG2.html#group78A2", "78A²")</f>
        <v/>
      </c>
      <c r="L1705">
        <f>HYPERLINK("CSG19.html#group156E19", "156E¹⁹")</f>
        <v/>
      </c>
      <c r="M1705">
        <f>HYPERLINK("CSG0.html#group13A0", "13A⁰"), =HYPERLINK("CSG0.html#group26A0", "26A⁰"), =HYPERLINK("CSG1.html#group39A1", "39A¹"), =HYPERLINK("CSG1.html#group52A1", "52A¹"), =HYPERLINK("CSG0.html#group1A0", "1A⁰"), =HYPERLINK("CSG2.html#group78A2", "78A²")</f>
        <v/>
      </c>
      <c r="N1705">
        <f>HYPERLINK("CSG19.html#group156E19", "156E¹⁹")</f>
        <v/>
      </c>
    </row>
    <row r="1706">
      <c r="A1706" t="inlineStr">
        <is>
          <t>11A⁸</t>
        </is>
      </c>
      <c r="B1706" t="inlineStr"/>
      <c r="C1706" t="inlineStr">
        <is>
          <t>220</t>
        </is>
      </c>
      <c r="D1706" t="inlineStr">
        <is>
          <t>1</t>
        </is>
      </c>
      <c r="E1706" t="inlineStr">
        <is>
          <t>55</t>
        </is>
      </c>
      <c r="F1706" t="inlineStr">
        <is>
          <t>0</t>
        </is>
      </c>
      <c r="G1706" t="inlineStr">
        <is>
          <t>4</t>
        </is>
      </c>
      <c r="H1706" t="inlineStr">
        <is>
          <t>11²⁰</t>
        </is>
      </c>
      <c r="I1706" t="n">
        <v>20</v>
      </c>
      <c r="J1706" t="inlineStr">
        <is>
          <t>5¹, 10⁵</t>
        </is>
      </c>
      <c r="K1706">
        <f>HYPERLINK("CSG1.html#group11B1", "11B¹"), =HYPERLINK("CSG3.html#group11A3", "11A³"), =HYPERLINK("CSG4.html#group11A4", "11A⁴")</f>
        <v/>
      </c>
      <c r="L1706" t="inlineStr"/>
      <c r="M1706">
        <f>HYPERLINK("CSG0.html#group11A0", "11A⁰"), =HYPERLINK("CSG1.html#group11C1", "11C¹"), =HYPERLINK("CSG0.html#group1A0", "1A⁰"), =HYPERLINK("CSG1.html#group11B1", "11B¹"), =HYPERLINK("CSG4.html#group11A4", "11A⁴"), =HYPERLINK("CSG3.html#group11A3", "11A³")</f>
        <v/>
      </c>
      <c r="N1706" t="inlineStr"/>
    </row>
    <row r="1707">
      <c r="A1707" t="inlineStr">
        <is>
          <t>13A⁸</t>
        </is>
      </c>
      <c r="B1707" t="inlineStr"/>
      <c r="C1707" t="inlineStr">
        <is>
          <t>156</t>
        </is>
      </c>
      <c r="D1707" t="inlineStr">
        <is>
          <t>1</t>
        </is>
      </c>
      <c r="E1707" t="inlineStr">
        <is>
          <t>78</t>
        </is>
      </c>
      <c r="F1707" t="inlineStr">
        <is>
          <t>0</t>
        </is>
      </c>
      <c r="G1707" t="inlineStr">
        <is>
          <t>0</t>
        </is>
      </c>
      <c r="H1707" t="inlineStr">
        <is>
          <t>13¹²</t>
        </is>
      </c>
      <c r="I1707" t="n">
        <v>12</v>
      </c>
      <c r="J1707" t="inlineStr">
        <is>
          <t>6¹, 12⁶</t>
        </is>
      </c>
      <c r="K1707">
        <f>HYPERLINK("CSG3.html#group13A3", "13A³")</f>
        <v/>
      </c>
      <c r="L1707">
        <f>HYPERLINK("CSG21.html#group26A21", "26A²¹")</f>
        <v/>
      </c>
      <c r="M1707">
        <f>HYPERLINK("CSG3.html#group13A3", "13A³"), =HYPERLINK("CSG0.html#group1A0", "1A⁰")</f>
        <v/>
      </c>
      <c r="N1707">
        <f>HYPERLINK("CSG21.html#group26A21", "26A²¹")</f>
        <v/>
      </c>
    </row>
    <row r="1708">
      <c r="A1708" t="inlineStr">
        <is>
          <t>13B⁸</t>
        </is>
      </c>
      <c r="B1708" t="inlineStr"/>
      <c r="C1708" t="inlineStr">
        <is>
          <t>182</t>
        </is>
      </c>
      <c r="D1708" t="inlineStr">
        <is>
          <t>1</t>
        </is>
      </c>
      <c r="E1708" t="inlineStr">
        <is>
          <t>91</t>
        </is>
      </c>
      <c r="F1708" t="inlineStr">
        <is>
          <t>2</t>
        </is>
      </c>
      <c r="G1708" t="inlineStr">
        <is>
          <t>2</t>
        </is>
      </c>
      <c r="H1708" t="inlineStr">
        <is>
          <t>13¹⁴</t>
        </is>
      </c>
      <c r="I1708" t="n">
        <v>14</v>
      </c>
      <c r="J1708" t="inlineStr">
        <is>
          <t>1¹, 6¹, 12⁷</t>
        </is>
      </c>
      <c r="K1708">
        <f>HYPERLINK("CSG0.html#group13A0", "13A⁰"), =HYPERLINK("CSG3.html#group13C3", "13C³")</f>
        <v/>
      </c>
      <c r="L1708">
        <f>HYPERLINK("CSG16.html#group13A16", "13A¹⁶"), =HYPERLINK("CSG22.html#group26A22", "26A²²"), =HYPERLINK("CSG23.html#group26A23", "26A²³"), =HYPERLINK("CSG24.html#group13A24", "13A²⁴")</f>
        <v/>
      </c>
      <c r="M1708">
        <f>HYPERLINK("CSG0.html#group13A0", "13A⁰"), =HYPERLINK("CSG3.html#group13C3", "13C³"), =HYPERLINK("CSG0.html#group1A0", "1A⁰")</f>
        <v/>
      </c>
      <c r="N1708">
        <f>HYPERLINK("CSG16.html#group13A16", "13A¹⁶"), =HYPERLINK("CSG22.html#group26A22", "26A²²"), =HYPERLINK("CSG23.html#group26A23", "26A²³"), =HYPERLINK("CSG24.html#group13A24", "13A²⁴")</f>
        <v/>
      </c>
    </row>
    <row r="1709">
      <c r="A1709" t="inlineStr">
        <is>
          <t>15A⁸</t>
        </is>
      </c>
      <c r="B1709" t="inlineStr"/>
      <c r="C1709" t="inlineStr">
        <is>
          <t>180</t>
        </is>
      </c>
      <c r="D1709" t="inlineStr">
        <is>
          <t>1</t>
        </is>
      </c>
      <c r="E1709" t="inlineStr">
        <is>
          <t>45</t>
        </is>
      </c>
      <c r="F1709" t="inlineStr">
        <is>
          <t>8</t>
        </is>
      </c>
      <c r="G1709" t="inlineStr">
        <is>
          <t>0</t>
        </is>
      </c>
      <c r="H1709" t="inlineStr">
        <is>
          <t>15¹²</t>
        </is>
      </c>
      <c r="I1709" t="n">
        <v>12</v>
      </c>
      <c r="J1709" t="inlineStr">
        <is>
          <t>1¹, 2², 4⁴, 8³</t>
        </is>
      </c>
      <c r="K1709">
        <f>HYPERLINK("CSG3.html#group15H3", "15H³"), =HYPERLINK("CSG4.html#group15C4", "15C⁴")</f>
        <v/>
      </c>
      <c r="L1709">
        <f>HYPERLINK("CSG17.html#group15A17", "15A¹⁷"), =HYPERLINK("CSG19.html#group15B19", "15B¹⁹"), =HYPERLINK("CSG21.html#group30A21", "30A²¹"), =HYPERLINK("CSG23.html#group30D23", "30D²³"), =HYPERLINK("CSG23.html#group30E23", "30E²³")</f>
        <v/>
      </c>
      <c r="M1709">
        <f>HYPERLINK("CSG4.html#group15C4", "15C⁴"), =HYPERLINK("CSG0.html#group5A0", "5A⁰"), =HYPERLINK("CSG2.html#group15A2", "15A²"), =HYPERLINK("CSG1.html#group15A1", "15A¹"), =HYPERLINK("CSG1.html#group15F1", "15F¹"), =HYPERLINK("CSG0.html#group5E0", "5E⁰"), =HYPERLINK("CSG0.html#group3C0", "3C⁰"), =HYPERLINK("CSG0.html#group3A0", "3A⁰"), =HYPERLINK("CSG0.html#group1A0", "1A⁰"), =HYPERLINK("CSG3.html#group15H3", "15H³"), =HYPERLINK("CSG0.html#group15A0", "15A⁰")</f>
        <v/>
      </c>
      <c r="N1709">
        <f>HYPERLINK("CSG23.html#group30E23", "30E²³"), =HYPERLINK("CSG19.html#group15B19", "15B¹⁹"), =HYPERLINK("CSG17.html#group15A17", "15A¹⁷"), =HYPERLINK("CSG21.html#group30A21", "30A²¹"), =HYPERLINK("CSG23.html#group30D23", "30D²³")</f>
        <v/>
      </c>
    </row>
    <row r="1710">
      <c r="A1710" t="inlineStr">
        <is>
          <t>15B⁸</t>
        </is>
      </c>
      <c r="B1710" t="inlineStr"/>
      <c r="C1710" t="inlineStr">
        <is>
          <t>180</t>
        </is>
      </c>
      <c r="D1710" t="inlineStr">
        <is>
          <t>1</t>
        </is>
      </c>
      <c r="E1710" t="inlineStr">
        <is>
          <t>45</t>
        </is>
      </c>
      <c r="F1710" t="inlineStr">
        <is>
          <t>8</t>
        </is>
      </c>
      <c r="G1710" t="inlineStr">
        <is>
          <t>0</t>
        </is>
      </c>
      <c r="H1710" t="inlineStr">
        <is>
          <t>15¹²</t>
        </is>
      </c>
      <c r="I1710" t="n">
        <v>12</v>
      </c>
      <c r="J1710" t="inlineStr">
        <is>
          <t>1¹, 2², 4⁴, 8³</t>
        </is>
      </c>
      <c r="K1710">
        <f>HYPERLINK("CSG0.html#group15C0", "15C⁰"), =HYPERLINK("CSG2.html#group15D2", "15D²"), =HYPERLINK("CSG3.html#group15H3", "15H³"), =HYPERLINK("CSG4.html#group15D4", "15D⁴")</f>
        <v/>
      </c>
      <c r="L1710">
        <f>HYPERLINK("CSG17.html#group15A17", "15A¹⁷"), =HYPERLINK("CSG19.html#group15A19", "15A¹⁹"), =HYPERLINK("CSG21.html#group30B21", "30B²¹"), =HYPERLINK("CSG23.html#group30J23", "30J²³")</f>
        <v/>
      </c>
      <c r="M1710">
        <f>HYPERLINK("CSG0.html#group5A0", "5A⁰"), =HYPERLINK("CSG4.html#group15D4", "15D⁴"), =HYPERLINK("CSG1.html#group15A1", "15A¹"), =HYPERLINK("CSG1.html#group15F1", "15F¹"), =HYPERLINK("CSG2.html#group15D2", "15D²"), =HYPERLINK("CSG0.html#group5B0", "5B⁰"), =HYPERLINK("CSG0.html#group1A0", "1A⁰"), =HYPERLINK("CSG1.html#group15D1", "15D¹"), =HYPERLINK("CSG0.html#group15B0", "15B⁰"), =HYPERLINK("CSG0.html#group5E0", "5E⁰"), =HYPERLINK("CSG0.html#group3A0", "3A⁰"), =HYPERLINK("CSG0.html#group5C0", "5C⁰"), =HYPERLINK("CSG0.html#group5G0", "5G⁰"), =HYPERLINK("CSG3.html#group15H3", "15H³"), =HYPERLINK("CSG0.html#group15C0", "15C⁰"), =HYPERLINK("CSG0.html#group15A0", "15A⁰")</f>
        <v/>
      </c>
      <c r="N1710">
        <f>HYPERLINK("CSG23.html#group30J23", "30J²³"), =HYPERLINK("CSG19.html#group15A19", "15A¹⁹"), =HYPERLINK("CSG21.html#group30B21", "30B²¹"), =HYPERLINK("CSG17.html#group15A17", "15A¹⁷")</f>
        <v/>
      </c>
    </row>
    <row r="1711">
      <c r="A1711" t="inlineStr">
        <is>
          <t>18A⁸</t>
        </is>
      </c>
      <c r="B1711" t="inlineStr"/>
      <c r="C1711" t="inlineStr">
        <is>
          <t>162</t>
        </is>
      </c>
      <c r="D1711" t="inlineStr">
        <is>
          <t>1</t>
        </is>
      </c>
      <c r="E1711" t="inlineStr">
        <is>
          <t>81</t>
        </is>
      </c>
      <c r="F1711" t="inlineStr">
        <is>
          <t>2</t>
        </is>
      </c>
      <c r="G1711" t="inlineStr">
        <is>
          <t>0</t>
        </is>
      </c>
      <c r="H1711" t="inlineStr">
        <is>
          <t>9⁶, 18⁶</t>
        </is>
      </c>
      <c r="I1711" t="n">
        <v>12</v>
      </c>
      <c r="J1711" t="inlineStr">
        <is>
          <t>3³, 6¹²</t>
        </is>
      </c>
      <c r="K1711">
        <f>HYPERLINK("CSG1.html#group18I1", "18I¹"), =HYPERLINK("CSG2.html#group9B2", "9B²"), =HYPERLINK("CSG3.html#group18E3", "18E³"), =HYPERLINK("CSG3.html#group18J3", "18J³")</f>
        <v/>
      </c>
      <c r="L1711">
        <f>HYPERLINK("CSG16.html#group18A16", "18A¹⁶"), =HYPERLINK("CSG18.html#group18A18", "18A¹⁸"), =HYPERLINK("CSG18.html#group36A18", "36A¹⁸"), =HYPERLINK("CSG19.html#group18C19", "18C¹⁹"), =HYPERLINK("CSG19.html#group36O19", "36O¹⁹"), =HYPERLINK("CSG21.html#group36C21", "36C²¹"), =HYPERLINK("CSG22.html#group18A22", "18A²²"), =HYPERLINK("CSG22.html#group36C22", "36C²²")</f>
        <v/>
      </c>
      <c r="M1711">
        <f>HYPERLINK("CSG1.html#group18I1", "18I¹"), =HYPERLINK("CSG0.html#group9G0", "9G⁰"), =HYPERLINK("CSG0.html#group6G0", "6G⁰"), =HYPERLINK("CSG0.html#group2B0", "2B⁰"), =HYPERLINK("CSG2.html#group9B2", "9B²"), =HYPERLINK("CSG0.html#group9E0", "9E⁰"), =HYPERLINK("CSG0.html#group1A0", "1A⁰"), =HYPERLINK("CSG1.html#group9B1", "9B¹"), =HYPERLINK("CSG3.html#group18E3", "18E³"), =HYPERLINK("CSG3.html#group18J3", "18J³"), =HYPERLINK("CSG0.html#group9A0", "9A⁰"), =HYPERLINK("CSG0.html#group3C0", "3C⁰"), =HYPERLINK("CSG1.html#group18E1", "18E¹"), =HYPERLINK("CSG0.html#group3A0", "3A⁰"), =HYPERLINK("CSG0.html#group6D0", "6D⁰")</f>
        <v/>
      </c>
      <c r="N1711">
        <f>HYPERLINK("CSG19.html#group36O19", "36O¹⁹"), =HYPERLINK("CSG18.html#group36A18", "36A¹⁸"), =HYPERLINK("CSG19.html#group18C19", "18C¹⁹"), =HYPERLINK("CSG16.html#group18A16", "18A¹⁶"), =HYPERLINK("CSG18.html#group18A18", "18A¹⁸"), =HYPERLINK("CSG22.html#group18A22", "18A²²"), =HYPERLINK("CSG22.html#group36C22", "36C²²"), =HYPERLINK("CSG21.html#group36C21", "36C²¹")</f>
        <v/>
      </c>
    </row>
    <row r="1712">
      <c r="A1712" t="inlineStr">
        <is>
          <t>18B⁸</t>
        </is>
      </c>
      <c r="B1712" t="inlineStr"/>
      <c r="C1712" t="inlineStr">
        <is>
          <t>162</t>
        </is>
      </c>
      <c r="D1712" t="inlineStr">
        <is>
          <t>2</t>
        </is>
      </c>
      <c r="E1712" t="inlineStr">
        <is>
          <t>81</t>
        </is>
      </c>
      <c r="F1712" t="inlineStr">
        <is>
          <t>8</t>
        </is>
      </c>
      <c r="G1712" t="inlineStr">
        <is>
          <t>0</t>
        </is>
      </c>
      <c r="H1712" t="inlineStr">
        <is>
          <t>18⁹</t>
        </is>
      </c>
      <c r="I1712" t="n">
        <v>9</v>
      </c>
      <c r="J1712" t="inlineStr">
        <is>
          <t>6²⁷</t>
        </is>
      </c>
      <c r="K1712">
        <f>HYPERLINK("CSG2.html#group18K2", "18K²"), =HYPERLINK("CSG2.html#group18L2", "18L²"), =HYPERLINK("CSG2.html#group18M2", "18M²"), =HYPERLINK("CSG3.html#group18D3", "18D³"), =HYPERLINK("CSG3.html#group18J3", "18J³")</f>
        <v/>
      </c>
      <c r="L1712">
        <f>HYPERLINK("CSG16.html#group18G16", "18G¹⁶"), =HYPERLINK("CSG18.html#group18A18", "18A¹⁸"), =HYPERLINK("CSG18.html#group36B18", "36B¹⁸"), =HYPERLINK("CSG19.html#group18E19", "18E¹⁹"), =HYPERLINK("CSG19.html#group36T19", "36T¹⁹"), =HYPERLINK("CSG21.html#group36D21", "36D²¹"), =HYPERLINK("CSG22.html#group36I22", "36I²²")</f>
        <v/>
      </c>
      <c r="M1712">
        <f>HYPERLINK("CSG0.html#group6B0", "6B⁰"), =HYPERLINK("CSG0.html#group9G0", "9G⁰"), =HYPERLINK("CSG2.html#group18K2", "18K²"), =HYPERLINK("CSG0.html#group6H0", "6H⁰"), =HYPERLINK("CSG1.html#group18B1", "18B¹"), =HYPERLINK("CSG0.html#group2B0", "2B⁰"), =HYPERLINK("CSG2.html#group18M2", "18M²"), =HYPERLINK("CSG0.html#group1A0", "1A⁰"), =HYPERLINK("CSG0.html#group18A0", "18A⁰"), =HYPERLINK("CSG2.html#group18L2", "18L²"), =HYPERLINK("CSG3.html#group18D3", "18D³"), =HYPERLINK("CSG3.html#group18J3", "18J³"), =HYPERLINK("CSG0.html#group9A0", "9A⁰"), =HYPERLINK("CSG1.html#group18E1", "18E¹"), =HYPERLINK("CSG0.html#group3A0", "3A⁰"), =HYPERLINK("CSG1.html#group18A1", "18A¹"), =HYPERLINK("CSG0.html#group6D0", "6D⁰")</f>
        <v/>
      </c>
      <c r="N1712">
        <f>HYPERLINK("CSG19.html#group36T19", "36T¹⁹"), =HYPERLINK("CSG19.html#group18E19", "18E¹⁹"), =HYPERLINK("CSG16.html#group18G16", "18G¹⁶"), =HYPERLINK("CSG18.html#group18A18", "18A¹⁸"), =HYPERLINK("CSG18.html#group36B18", "36B¹⁸"), =HYPERLINK("CSG21.html#group36D21", "36D²¹"), =HYPERLINK("CSG22.html#group36I22", "36I²²")</f>
        <v/>
      </c>
    </row>
    <row r="1713">
      <c r="A1713" t="inlineStr">
        <is>
          <t>19A⁸</t>
        </is>
      </c>
      <c r="B1713" t="inlineStr"/>
      <c r="C1713" t="inlineStr">
        <is>
          <t>171</t>
        </is>
      </c>
      <c r="D1713" t="inlineStr">
        <is>
          <t>1</t>
        </is>
      </c>
      <c r="E1713" t="inlineStr">
        <is>
          <t>171</t>
        </is>
      </c>
      <c r="F1713" t="inlineStr">
        <is>
          <t>11</t>
        </is>
      </c>
      <c r="G1713" t="inlineStr">
        <is>
          <t>0</t>
        </is>
      </c>
      <c r="H1713" t="inlineStr">
        <is>
          <t>19⁹</t>
        </is>
      </c>
      <c r="I1713" t="n">
        <v>9</v>
      </c>
      <c r="J1713" t="inlineStr">
        <is>
          <t>9¹, 18⁹</t>
        </is>
      </c>
      <c r="K1713">
        <f>HYPERLINK("CSG0.html#group1A0", "1A⁰")</f>
        <v/>
      </c>
      <c r="L1713">
        <f>HYPERLINK("CSG18.html#group19A18", "19A¹⁸"), =HYPERLINK("CSG20.html#group19A20", "19A²⁰"), =HYPERLINK("CSG20.html#group38A20", "38A²⁰"), =HYPERLINK("CSG22.html#group38A22", "38A²²")</f>
        <v/>
      </c>
      <c r="M1713">
        <f>HYPERLINK("CSG0.html#group1A0", "1A⁰")</f>
        <v/>
      </c>
      <c r="N1713">
        <f>HYPERLINK("CSG18.html#group19A18", "19A¹⁸"), =HYPERLINK("CSG20.html#group38A20", "38A²⁰"), =HYPERLINK("CSG20.html#group19A20", "19A²⁰"), =HYPERLINK("CSG22.html#group38A22", "38A²²")</f>
        <v/>
      </c>
    </row>
    <row r="1714">
      <c r="A1714" t="inlineStr">
        <is>
          <t>20A⁸</t>
        </is>
      </c>
      <c r="B1714" t="inlineStr"/>
      <c r="C1714" t="inlineStr">
        <is>
          <t>120</t>
        </is>
      </c>
      <c r="D1714" t="inlineStr">
        <is>
          <t>1</t>
        </is>
      </c>
      <c r="E1714" t="inlineStr">
        <is>
          <t>5</t>
        </is>
      </c>
      <c r="F1714" t="inlineStr">
        <is>
          <t>0</t>
        </is>
      </c>
      <c r="G1714" t="inlineStr">
        <is>
          <t>0</t>
        </is>
      </c>
      <c r="H1714" t="inlineStr">
        <is>
          <t>20⁶</t>
        </is>
      </c>
      <c r="I1714" t="n">
        <v>6</v>
      </c>
      <c r="J1714" t="inlineStr">
        <is>
          <t>1¹, 4¹</t>
        </is>
      </c>
      <c r="K1714">
        <f>HYPERLINK("CSG0.html#group4G0", "4G⁰"), =HYPERLINK("CSG2.html#group20D2", "20D²"), =HYPERLINK("CSG4.html#group20A4", "20A⁴"), =HYPERLINK("CSG4.html#group20C4", "20C⁴")</f>
        <v/>
      </c>
      <c r="L1714">
        <f>HYPERLINK("CSG16.html#group40A16", "40A¹⁶"), =HYPERLINK("CSG17.html#group40A17", "40A¹⁷"), =HYPERLINK("CSG18.html#group40A18", "40A¹⁸"), =HYPERLINK("CSG22.html#group20A22", "20A²²")</f>
        <v/>
      </c>
      <c r="M1714">
        <f>HYPERLINK("CSG2.html#group20A2", "20A²"), =HYPERLINK("CSG0.html#group2A0", "2A⁰"), =HYPERLINK("CSG0.html#group5A0", "5A⁰"), =HYPERLINK("CSG1.html#group10B1", "10B¹"), =HYPERLINK("CSG2.html#group20B2", "20B²"), =HYPERLINK("CSG0.html#group4C0", "4C⁰"), =HYPERLINK("CSG0.html#group4G0", "4G⁰"), =HYPERLINK("CSG4.html#group20C4", "20C⁴"), =HYPERLINK("CSG0.html#group2B0", "2B⁰"), =HYPERLINK("CSG0.html#group4E0", "4E⁰"), =HYPERLINK("CSG1.html#group20A1", "20A¹"), =HYPERLINK("CSG0.html#group4B0", "4B⁰"), =HYPERLINK("CSG2.html#group10B2", "10B²"), =HYPERLINK("CSG0.html#group1A0", "1A⁰"), =HYPERLINK("CSG0.html#group10A0", "10A⁰"), =HYPERLINK("CSG2.html#group20D2", "20D²"), =HYPERLINK("CSG0.html#group4A0", "4A⁰"), =HYPERLINK("CSG0.html#group4D0", "4D⁰"), =HYPERLINK("CSG4.html#group20A4", "20A⁴"), =HYPERLINK("CSG0.html#group4F0", "4F⁰"), =HYPERLINK("CSG0.html#group2C0", "2C⁰")</f>
        <v/>
      </c>
      <c r="N1714">
        <f>HYPERLINK("CSG16.html#group40A16", "40A¹⁶"), =HYPERLINK("CSG22.html#group20A22", "20A²²"), =HYPERLINK("CSG17.html#group40A17", "40A¹⁷"), =HYPERLINK("CSG18.html#group40A18", "40A¹⁸")</f>
        <v/>
      </c>
    </row>
    <row r="1715">
      <c r="A1715" t="inlineStr">
        <is>
          <t>20B⁸</t>
        </is>
      </c>
      <c r="B1715" t="inlineStr"/>
      <c r="C1715" t="inlineStr">
        <is>
          <t>120</t>
        </is>
      </c>
      <c r="D1715" t="inlineStr">
        <is>
          <t>1</t>
        </is>
      </c>
      <c r="E1715" t="inlineStr">
        <is>
          <t>20</t>
        </is>
      </c>
      <c r="F1715" t="inlineStr">
        <is>
          <t>0</t>
        </is>
      </c>
      <c r="G1715" t="inlineStr">
        <is>
          <t>0</t>
        </is>
      </c>
      <c r="H1715" t="inlineStr">
        <is>
          <t>20⁶</t>
        </is>
      </c>
      <c r="I1715" t="n">
        <v>6</v>
      </c>
      <c r="J1715" t="inlineStr">
        <is>
          <t>2², 8²</t>
        </is>
      </c>
      <c r="K1715">
        <f>HYPERLINK("CSG2.html#group10A2", "10A²"), =HYPERLINK("CSG2.html#group20D2", "20D²"), =HYPERLINK("CSG3.html#group20D3", "20D³")</f>
        <v/>
      </c>
      <c r="L1715">
        <f>HYPERLINK("CSG15.html#group20F15", "20F¹⁵"), =HYPERLINK("CSG18.html#group40B18", "40B¹⁸"), =HYPERLINK("CSG18.html#group40D18", "40D¹⁸"), =HYPERLINK("CSG22.html#group20A22", "20A²²")</f>
        <v/>
      </c>
      <c r="M1715">
        <f>HYPERLINK("CSG0.html#group2A0", "2A⁰"), =HYPERLINK("CSG0.html#group5A0", "5A⁰"), =HYPERLINK("CSG2.html#group10A2", "10A²"), =HYPERLINK("CSG2.html#group20D2", "20D²"), =HYPERLINK("CSG0.html#group10A0", "10A⁰"), =HYPERLINK("CSG0.html#group4A0", "4A⁰"), =HYPERLINK("CSG0.html#group4D0", "4D⁰"), =HYPERLINK("CSG0.html#group5E0", "5E⁰"), =HYPERLINK("CSG1.html#group20A1", "20A¹"), =HYPERLINK("CSG0.html#group1A0", "1A⁰"), =HYPERLINK("CSG3.html#group20D3", "20D³")</f>
        <v/>
      </c>
      <c r="N1715">
        <f>HYPERLINK("CSG22.html#group20A22", "20A²²"), =HYPERLINK("CSG15.html#group20F15", "20F¹⁵"), =HYPERLINK("CSG18.html#group40B18", "40B¹⁸"), =HYPERLINK("CSG18.html#group40D18", "40D¹⁸")</f>
        <v/>
      </c>
    </row>
    <row r="1716">
      <c r="A1716" t="inlineStr">
        <is>
          <t>20C⁸</t>
        </is>
      </c>
      <c r="B1716" t="inlineStr"/>
      <c r="C1716" t="inlineStr">
        <is>
          <t>180</t>
        </is>
      </c>
      <c r="D1716" t="inlineStr">
        <is>
          <t>1</t>
        </is>
      </c>
      <c r="E1716" t="inlineStr">
        <is>
          <t>45</t>
        </is>
      </c>
      <c r="F1716" t="inlineStr">
        <is>
          <t>8</t>
        </is>
      </c>
      <c r="G1716" t="inlineStr">
        <is>
          <t>0</t>
        </is>
      </c>
      <c r="H1716" t="inlineStr">
        <is>
          <t>10⁶, 20⁶</t>
        </is>
      </c>
      <c r="I1716" t="n">
        <v>12</v>
      </c>
      <c r="J1716" t="inlineStr">
        <is>
          <t>1³, 2³, 4⁹</t>
        </is>
      </c>
      <c r="K1716">
        <f>HYPERLINK("CSG3.html#group10C3", "10C³"), =HYPERLINK("CSG3.html#group20P3", "20P³"), =HYPERLINK("CSG4.html#group20E4", "20E⁴")</f>
        <v/>
      </c>
      <c r="L1716">
        <f>HYPERLINK("CSG17.html#group20B17", "20B¹⁷"), =HYPERLINK("CSG19.html#group20D19", "20D¹⁹"), =HYPERLINK("CSG20.html#group20A20", "20A²⁰"), =HYPERLINK("CSG20.html#group20B20", "20B²⁰"), =HYPERLINK("CSG20.html#group40A20", "40A²⁰"), =HYPERLINK("CSG20.html#group40B20", "40B²⁰"), =HYPERLINK("CSG21.html#group40F21", "40F²¹"), =HYPERLINK("CSG23.html#group40E23", "40E²³"), =HYPERLINK("CSG23.html#group40F23", "40F²³")</f>
        <v/>
      </c>
      <c r="M1716">
        <f>HYPERLINK("CSG3.html#group10C3", "10C³"), =HYPERLINK("CSG0.html#group5A0", "5A⁰"), =HYPERLINK("CSG1.html#group10I1", "10I¹"), =HYPERLINK("CSG4.html#group20E4", "20E⁴"), =HYPERLINK("CSG1.html#group10B1", "10B¹"), =HYPERLINK("CSG2.html#group20B2", "20B²"), =HYPERLINK("CSG0.html#group4C0", "4C⁰"), =HYPERLINK("CSG0.html#group5E0", "5E⁰"), =HYPERLINK("CSG3.html#group20P3", "20P³"), =HYPERLINK("CSG0.html#group2B0", "2B⁰"), =HYPERLINK("CSG1.html#group10E1", "10E¹"), =HYPERLINK("CSG0.html#group1A0", "1A⁰")</f>
        <v/>
      </c>
      <c r="N1716">
        <f>HYPERLINK("CSG17.html#group20B17", "20B¹⁷"), =HYPERLINK("CSG20.html#group40A20", "40A²⁰"), =HYPERLINK("CSG19.html#group20D19", "20D¹⁹"), =HYPERLINK("CSG20.html#group40B20", "40B²⁰"), =HYPERLINK("CSG20.html#group20A20", "20A²⁰"), =HYPERLINK("CSG20.html#group20B20", "20B²⁰"), =HYPERLINK("CSG23.html#group40E23", "40E²³"), =HYPERLINK("CSG23.html#group40F23", "40F²³"), =HYPERLINK("CSG21.html#group40F21", "40F²¹")</f>
        <v/>
      </c>
    </row>
    <row r="1717">
      <c r="A1717" t="inlineStr">
        <is>
          <t>21A⁸</t>
        </is>
      </c>
      <c r="B1717" t="inlineStr"/>
      <c r="C1717" t="inlineStr">
        <is>
          <t>168</t>
        </is>
      </c>
      <c r="D1717" t="inlineStr">
        <is>
          <t>2</t>
        </is>
      </c>
      <c r="E1717" t="inlineStr">
        <is>
          <t>168</t>
        </is>
      </c>
      <c r="F1717" t="inlineStr">
        <is>
          <t>8</t>
        </is>
      </c>
      <c r="G1717" t="inlineStr">
        <is>
          <t>3</t>
        </is>
      </c>
      <c r="H1717" t="inlineStr">
        <is>
          <t>21⁸</t>
        </is>
      </c>
      <c r="I1717" t="n">
        <v>8</v>
      </c>
      <c r="J1717" t="inlineStr">
        <is>
          <t>12²⁸</t>
        </is>
      </c>
      <c r="K1717">
        <f>HYPERLINK("CSG1.html#group21C1", "21C¹")</f>
        <v/>
      </c>
      <c r="L1717">
        <f>HYPERLINK("CSG17.html#group21C17", "21C¹⁷"), =HYPERLINK("CSG21.html#group42F21", "42F²¹"), =HYPERLINK("CSG23.html#group42J23", "42J²³")</f>
        <v/>
      </c>
      <c r="M1717">
        <f>HYPERLINK("CSG0.html#group1A0", "1A⁰"), =HYPERLINK("CSG0.html#group7C0", "7C⁰"), =HYPERLINK("CSG0.html#group7A0", "7A⁰"), =HYPERLINK("CSG1.html#group21C1", "21C¹")</f>
        <v/>
      </c>
      <c r="N1717">
        <f>HYPERLINK("CSG17.html#group21C17", "21C¹⁷"), =HYPERLINK("CSG21.html#group42F21", "42F²¹"), =HYPERLINK("CSG23.html#group42J23", "42J²³")</f>
        <v/>
      </c>
    </row>
    <row r="1718">
      <c r="A1718" t="inlineStr">
        <is>
          <t>22A⁸</t>
        </is>
      </c>
      <c r="B1718" t="inlineStr"/>
      <c r="C1718" t="inlineStr">
        <is>
          <t>165</t>
        </is>
      </c>
      <c r="D1718" t="inlineStr">
        <is>
          <t>1</t>
        </is>
      </c>
      <c r="E1718" t="inlineStr">
        <is>
          <t>165</t>
        </is>
      </c>
      <c r="F1718" t="inlineStr">
        <is>
          <t>7</t>
        </is>
      </c>
      <c r="G1718" t="inlineStr">
        <is>
          <t>0</t>
        </is>
      </c>
      <c r="H1718" t="inlineStr">
        <is>
          <t>11⁵, 22⁵</t>
        </is>
      </c>
      <c r="I1718" t="n">
        <v>10</v>
      </c>
      <c r="J1718" t="inlineStr">
        <is>
          <t>5³, 10¹⁵</t>
        </is>
      </c>
      <c r="K1718">
        <f>HYPERLINK("CSG0.html#group2B0", "2B⁰"), =HYPERLINK("CSG1.html#group11C1", "11C¹")</f>
        <v/>
      </c>
      <c r="L1718">
        <f>HYPERLINK("CSG17.html#group22D17", "22D¹⁷"), =HYPERLINK("CSG18.html#group22A18", "22A¹⁸"), =HYPERLINK("CSG18.html#group22C18", "22C¹⁸"), =HYPERLINK("CSG18.html#group44A18", "44A¹⁸"), =HYPERLINK("CSG19.html#group22A19", "22A¹⁹"), =HYPERLINK("CSG19.html#group44C19", "44C¹⁹"), =HYPERLINK("CSG20.html#group44B20", "44B²⁰"), =HYPERLINK("CSG21.html#group22A21", "22A²¹"), =HYPERLINK("CSG21.html#group44A21", "44A²¹"), =HYPERLINK("CSG22.html#group44B22", "44B²²"), =HYPERLINK("CSG23.html#group44A23", "44A²³")</f>
        <v/>
      </c>
      <c r="M1718">
        <f>HYPERLINK("CSG1.html#group11C1", "11C¹"), =HYPERLINK("CSG0.html#group1A0", "1A⁰"), =HYPERLINK("CSG0.html#group2B0", "2B⁰")</f>
        <v/>
      </c>
      <c r="N1718">
        <f>HYPERLINK("CSG19.html#group22A19", "22A¹⁹"), =HYPERLINK("CSG23.html#group44A23", "44A²³"), =HYPERLINK("CSG21.html#group44A21", "44A²¹"), =HYPERLINK("CSG18.html#group22A18", "22A¹⁸"), =HYPERLINK("CSG21.html#group22A21", "22A²¹"), =HYPERLINK("CSG20.html#group44B20", "44B²⁰"), =HYPERLINK("CSG22.html#group44B22", "44B²²"), =HYPERLINK("CSG18.html#group44A18", "44A¹⁸"), =HYPERLINK("CSG18.html#group22C18", "22C¹⁸"), =HYPERLINK("CSG17.html#group22D17", "22D¹⁷"), =HYPERLINK("CSG19.html#group44C19", "44C¹⁹")</f>
        <v/>
      </c>
    </row>
    <row r="1719">
      <c r="A1719" t="inlineStr">
        <is>
          <t>24A⁸</t>
        </is>
      </c>
      <c r="B1719" t="inlineStr"/>
      <c r="C1719" t="inlineStr">
        <is>
          <t>144</t>
        </is>
      </c>
      <c r="D1719" t="inlineStr">
        <is>
          <t>1</t>
        </is>
      </c>
      <c r="E1719" t="inlineStr">
        <is>
          <t>3</t>
        </is>
      </c>
      <c r="F1719" t="inlineStr">
        <is>
          <t>0</t>
        </is>
      </c>
      <c r="G1719" t="inlineStr">
        <is>
          <t>0</t>
        </is>
      </c>
      <c r="H1719" t="inlineStr">
        <is>
          <t>12⁸, 24²</t>
        </is>
      </c>
      <c r="I1719" t="n">
        <v>10</v>
      </c>
      <c r="J1719" t="inlineStr">
        <is>
          <t>1³</t>
        </is>
      </c>
      <c r="K1719">
        <f>HYPERLINK("CSG0.html#group8N0", "8N⁰"), =HYPERLINK("CSG3.html#group24J3", "24J³"), =HYPERLINK("CSG4.html#group12A4", "12A⁴"), =HYPERLINK("CSG4.html#group24G4", "24G⁴")</f>
        <v/>
      </c>
      <c r="L1719">
        <f>HYPERLINK("CSG15.html#group24B15", "24B¹⁵"), =HYPERLINK("CSG17.html#group24B17", "24B¹⁷"), =HYPERLINK("CSG17.html#group24W17", "24W¹⁷"), =HYPERLINK("CSG18.html#group48B18", "48B¹⁸"), =HYPERLINK("CSG18.html#group48G18", "48G¹⁸"), =HYPERLINK("CSG19.html#group24D19", "24D¹⁹"), =HYPERLINK("CSG19.html#group24H19", "24H¹⁹")</f>
        <v/>
      </c>
      <c r="M1719">
        <f>HYPERLINK("CSG0.html#group2A0", "2A⁰"), =HYPERLINK("CSG0.html#group8N0", "8N⁰"), =HYPERLINK("CSG0.html#group12C0", "12C⁰"), =HYPERLINK("CSG1.html#group6C1", "6C¹"), =HYPERLINK("CSG1.html#group12E1", "12E¹"), =HYPERLINK("CSG2.html#group12B2", "12B²"), =HYPERLINK("CSG0.html#group4C0", "4C⁰"), =HYPERLINK("CSG0.html#group4G0", "4G⁰"), =HYPERLINK("CSG0.html#group2B0", "2B⁰"), =HYPERLINK("CSG0.html#group4E0", "4E⁰"), =HYPERLINK("CSG0.html#group4B0", "4B⁰"), =HYPERLINK("CSG0.html#group1A0", "1A⁰"), =HYPERLINK("CSG0.html#group8K0", "8K⁰"), =HYPERLINK("CSG3.html#group24J3", "24J³"), =HYPERLINK("CSG4.html#group12A4", "12A⁴"), =HYPERLINK("CSG0.html#group12A0", "12A⁰"), =HYPERLINK("CSG0.html#group6A0", "6A⁰"), =HYPERLINK("CSG0.html#group4A0", "4A⁰"), =HYPERLINK("CSG0.html#group4D0", "4D⁰"), =HYPERLINK("CSG2.html#group12A2", "12A²"), =HYPERLINK("CSG1.html#group12J1", "12J¹"), =HYPERLINK("CSG1.html#group6A1", "6A¹"), =HYPERLINK("CSG1.html#group12B1", "12B¹"), =HYPERLINK("CSG0.html#group4F0", "4F⁰"), =HYPERLINK("CSG0.html#group3A0", "3A⁰"), =HYPERLINK("CSG0.html#group8J0", "8J⁰"), =HYPERLINK("CSG0.html#group2C0", "2C⁰"), =HYPERLINK("CSG0.html#group6D0", "6D⁰"), =HYPERLINK("CSG4.html#group24G4", "24G⁴")</f>
        <v/>
      </c>
      <c r="N1719">
        <f>HYPERLINK("CSG18.html#group48B18", "48B¹⁸"), =HYPERLINK("CSG17.html#group24W17", "24W¹⁷"), =HYPERLINK("CSG19.html#group24H19", "24H¹⁹"), =HYPERLINK("CSG17.html#group24B17", "24B¹⁷"), =HYPERLINK("CSG18.html#group48G18", "48G¹⁸"), =HYPERLINK("CSG15.html#group24B15", "24B¹⁵"), =HYPERLINK("CSG19.html#group24D19", "24D¹⁹")</f>
        <v/>
      </c>
    </row>
    <row r="1720">
      <c r="A1720" t="inlineStr">
        <is>
          <t>24B⁸</t>
        </is>
      </c>
      <c r="B1720" t="inlineStr"/>
      <c r="C1720" t="inlineStr">
        <is>
          <t>144</t>
        </is>
      </c>
      <c r="D1720" t="inlineStr">
        <is>
          <t>1</t>
        </is>
      </c>
      <c r="E1720" t="inlineStr">
        <is>
          <t>6</t>
        </is>
      </c>
      <c r="F1720" t="inlineStr">
        <is>
          <t>0</t>
        </is>
      </c>
      <c r="G1720" t="inlineStr">
        <is>
          <t>0</t>
        </is>
      </c>
      <c r="H1720" t="inlineStr">
        <is>
          <t>6⁴, 12², 24⁴</t>
        </is>
      </c>
      <c r="I1720" t="n">
        <v>10</v>
      </c>
      <c r="J1720" t="inlineStr">
        <is>
          <t>1⁴, 2¹</t>
        </is>
      </c>
      <c r="K1720">
        <f>HYPERLINK("CSG0.html#group8O0", "8O⁰"), =HYPERLINK("CSG4.html#group24D4", "24D⁴"), =HYPERLINK("CSG4.html#group24F4", "24F⁴"), =HYPERLINK("CSG4.html#group24G4", "24G⁴")</f>
        <v/>
      </c>
      <c r="L1720">
        <f>HYPERLINK("CSG15.html#group24E15", "24E¹⁵"), =HYPERLINK("CSG17.html#group24B17", "24B¹⁷"), =HYPERLINK("CSG17.html#group24S17", "24S¹⁷"), =HYPERLINK("CSG17.html#group48D17", "48D¹⁷"), =HYPERLINK("CSG17.html#group48H17", "48H¹⁷"), =HYPERLINK("CSG18.html#group48D18", "48D¹⁸"), =HYPERLINK("CSG18.html#group48I18", "48I¹⁸"), =HYPERLINK("CSG19.html#group48C19", "48C¹⁹"), =HYPERLINK("CSG19.html#group48M19", "48M¹⁹")</f>
        <v/>
      </c>
      <c r="M1720">
        <f>HYPERLINK("CSG0.html#group2A0", "2A⁰"), =HYPERLINK("CSG0.html#group12C0", "12C⁰"), =HYPERLINK("CSG1.html#group6C1", "6C¹"), =HYPERLINK("CSG0.html#group4C0", "4C⁰"), =HYPERLINK("CSG2.html#group12B2", "12B²"), =HYPERLINK("CSG0.html#group8C0", "8C⁰"), =HYPERLINK("CSG0.html#group2B0", "2B⁰"), =HYPERLINK("CSG0.html#group4E0", "4E⁰"), =HYPERLINK("CSG0.html#group4B0", "4B⁰"), =HYPERLINK("CSG0.html#group1A0", "1A⁰"), =HYPERLINK("CSG2.html#group24B2", "24B²"), =HYPERLINK("CSG0.html#group8G0", "8G⁰"), =HYPERLINK("CSG1.html#group12B1", "12B¹"), =HYPERLINK("CSG1.html#group6A1", "6A¹"), =HYPERLINK("CSG0.html#group3A0", "3A⁰"), =HYPERLINK("CSG4.html#group24F4", "24F⁴"), =HYPERLINK("CSG0.html#group8D0", "8D⁰"), =HYPERLINK("CSG0.html#group8I0", "8I⁰"), =HYPERLINK("CSG4.html#group24D4", "24D⁴"), =HYPERLINK("CSG0.html#group6A0", "6A⁰"), =HYPERLINK("CSG1.html#group24C1", "24C¹"), =HYPERLINK("CSG0.html#group8J0", "8J⁰"), =HYPERLINK("CSG0.html#group2C0", "2C⁰"), =HYPERLINK("CSG0.html#group6D0", "6D⁰"), =HYPERLINK("CSG4.html#group24G4", "24G⁴"), =HYPERLINK("CSG0.html#group8O0", "8O⁰")</f>
        <v/>
      </c>
      <c r="N1720">
        <f>HYPERLINK("CSG17.html#group48H17", "48H¹⁷"), =HYPERLINK("CSG19.html#group48M19", "48M¹⁹"), =HYPERLINK("CSG17.html#group24B17", "24B¹⁷"), =HYPERLINK("CSG17.html#group48D17", "48D¹⁷"), =HYPERLINK("CSG18.html#group48I18", "48I¹⁸"), =HYPERLINK("CSG19.html#group48C19", "48C¹⁹"), =HYPERLINK("CSG15.html#group24E15", "24E¹⁵"), =HYPERLINK("CSG17.html#group24S17", "24S¹⁷"), =HYPERLINK("CSG18.html#group48D18", "48D¹⁸")</f>
        <v/>
      </c>
    </row>
    <row r="1721">
      <c r="A1721" t="inlineStr">
        <is>
          <t>24C⁸</t>
        </is>
      </c>
      <c r="B1721" t="inlineStr"/>
      <c r="C1721" t="inlineStr">
        <is>
          <t>144</t>
        </is>
      </c>
      <c r="D1721" t="inlineStr">
        <is>
          <t>1</t>
        </is>
      </c>
      <c r="E1721" t="inlineStr">
        <is>
          <t>9</t>
        </is>
      </c>
      <c r="F1721" t="inlineStr">
        <is>
          <t>0</t>
        </is>
      </c>
      <c r="G1721" t="inlineStr">
        <is>
          <t>0</t>
        </is>
      </c>
      <c r="H1721" t="inlineStr">
        <is>
          <t>12⁸, 24²</t>
        </is>
      </c>
      <c r="I1721" t="n">
        <v>10</v>
      </c>
      <c r="J1721" t="inlineStr">
        <is>
          <t>1³, 2³</t>
        </is>
      </c>
      <c r="K1721">
        <f>HYPERLINK("CSG3.html#group24R3", "24R³"), =HYPERLINK("CSG4.html#group12A4", "12A⁴"), =HYPERLINK("CSG4.html#group24N4", "24N⁴")</f>
        <v/>
      </c>
      <c r="L1721">
        <f>HYPERLINK("CSG15.html#group24A15", "24A¹⁵"), =HYPERLINK("CSG15.html#group24B15", "24B¹⁵"), =HYPERLINK("CSG17.html#group24F17", "24F¹⁷"), =HYPERLINK("CSG17.html#group24R17", "24R¹⁷"), =HYPERLINK("CSG17.html#group24W17", "24W¹⁷"), =HYPERLINK("CSG19.html#group24G19", "24G¹⁹"), =HYPERLINK("CSG19.html#group24I19", "24I¹⁹"), =HYPERLINK("CSG19.html#group24S19", "24S¹⁹")</f>
        <v/>
      </c>
      <c r="M1721">
        <f>HYPERLINK("CSG0.html#group2A0", "2A⁰"), =HYPERLINK("CSG0.html#group12C0", "12C⁰"), =HYPERLINK("CSG0.html#group3A0", "3A⁰"), =HYPERLINK("CSG1.html#group6C1", "6C¹"), =HYPERLINK("CSG1.html#group12E1", "12E¹"), =HYPERLINK("CSG2.html#group12B2", "12B²"), =HYPERLINK("CSG0.html#group4C0", "4C⁰"), =HYPERLINK("CSG0.html#group4G0", "4G⁰"), =HYPERLINK("CSG0.html#group2B0", "2B⁰"), =HYPERLINK("CSG0.html#group4E0", "4E⁰"), =HYPERLINK("CSG0.html#group4B0", "4B⁰"), =HYPERLINK("CSG0.html#group1A0", "1A⁰"), =HYPERLINK("CSG4.html#group12A4", "12A⁴"), =HYPERLINK("CSG0.html#group12A0", "12A⁰"), =HYPERLINK("CSG0.html#group6A0", "6A⁰"), =HYPERLINK("CSG4.html#group24N4", "24N⁴"), =HYPERLINK("CSG0.html#group4A0", "4A⁰"), =HYPERLINK("CSG0.html#group4D0", "4D⁰"), =HYPERLINK("CSG2.html#group12A2", "12A²"), =HYPERLINK("CSG3.html#group24R3", "24R³"), =HYPERLINK("CSG1.html#group12J1", "12J¹"), =HYPERLINK("CSG1.html#group6A1", "6A¹"), =HYPERLINK("CSG1.html#group12B1", "12B¹"), =HYPERLINK("CSG0.html#group4F0", "4F⁰"), =HYPERLINK("CSG0.html#group2C0", "2C⁰"), =HYPERLINK("CSG0.html#group6D0", "6D⁰")</f>
        <v/>
      </c>
      <c r="N1721">
        <f>HYPERLINK("CSG17.html#group24W17", "24W¹⁷"), =HYPERLINK("CSG17.html#group24R17", "24R¹⁷"), =HYPERLINK("CSG15.html#group24B15", "24B¹⁵"), =HYPERLINK("CSG19.html#group24I19", "24I¹⁹"), =HYPERLINK("CSG19.html#group24G19", "24G¹⁹"), =HYPERLINK("CSG19.html#group24S19", "24S¹⁹"), =HYPERLINK("CSG17.html#group24F17", "24F¹⁷"), =HYPERLINK("CSG15.html#group24A15", "24A¹⁵")</f>
        <v/>
      </c>
    </row>
    <row r="1722">
      <c r="A1722" t="inlineStr">
        <is>
          <t>24D⁸</t>
        </is>
      </c>
      <c r="B1722" t="inlineStr"/>
      <c r="C1722" t="inlineStr">
        <is>
          <t>144</t>
        </is>
      </c>
      <c r="D1722" t="inlineStr">
        <is>
          <t>1</t>
        </is>
      </c>
      <c r="E1722" t="inlineStr">
        <is>
          <t>18</t>
        </is>
      </c>
      <c r="F1722" t="inlineStr">
        <is>
          <t>0</t>
        </is>
      </c>
      <c r="G1722" t="inlineStr">
        <is>
          <t>0</t>
        </is>
      </c>
      <c r="H1722" t="inlineStr">
        <is>
          <t>6⁴, 12², 24⁴</t>
        </is>
      </c>
      <c r="I1722" t="n">
        <v>10</v>
      </c>
      <c r="J1722" t="inlineStr">
        <is>
          <t>1⁴, 2⁵, 4¹</t>
        </is>
      </c>
      <c r="K1722">
        <f>HYPERLINK("CSG4.html#group24D4", "24D⁴"), =HYPERLINK("CSG4.html#group24M4", "24M⁴"), =HYPERLINK("CSG4.html#group24N4", "24N⁴")</f>
        <v/>
      </c>
      <c r="L1722">
        <f>HYPERLINK("CSG15.html#group24D15", "24D¹⁵"), =HYPERLINK("CSG15.html#group24E15", "24E¹⁵"), =HYPERLINK("CSG17.html#group24F17", "24F¹⁷"), =HYPERLINK("CSG17.html#group24P17", "24P¹⁷"), =HYPERLINK("CSG17.html#group24S17", "24S¹⁷"), =HYPERLINK("CSG17.html#group48I17", "48I¹⁷"), =HYPERLINK("CSG17.html#group48J17", "48J¹⁷"), =HYPERLINK("CSG17.html#group48BP17", "48BP¹⁷"), =HYPERLINK("CSG19.html#group48N19", "48N¹⁹"), =HYPERLINK("CSG19.html#group48O19", "48O¹⁹"), =HYPERLINK("CSG19.html#group48AX19", "48AX¹⁹")</f>
        <v/>
      </c>
      <c r="M1722">
        <f>HYPERLINK("CSG0.html#group2A0", "2A⁰"), =HYPERLINK("CSG0.html#group12C0", "12C⁰"), =HYPERLINK("CSG0.html#group8D0", "8D⁰"), =HYPERLINK("CSG1.html#group6C1", "6C¹"), =HYPERLINK("CSG0.html#group4C0", "4C⁰"), =HYPERLINK("CSG2.html#group12B2", "12B²"), =HYPERLINK("CSG0.html#group2B0", "2B⁰"), =HYPERLINK("CSG0.html#group4E0", "4E⁰"), =HYPERLINK("CSG0.html#group8C0", "8C⁰"), =HYPERLINK("CSG0.html#group4B0", "4B⁰"), =HYPERLINK("CSG0.html#group1A0", "1A⁰"), =HYPERLINK("CSG4.html#group24D4", "24D⁴"), =HYPERLINK("CSG2.html#group24B2", "24B²"), =HYPERLINK("CSG0.html#group6A0", "6A⁰"), =HYPERLINK("CSG0.html#group8G0", "8G⁰"), =HYPERLINK("CSG4.html#group24N4", "24N⁴"), =HYPERLINK("CSG4.html#group24M4", "24M⁴"), =HYPERLINK("CSG1.html#group24C1", "24C¹"), =HYPERLINK("CSG1.html#group12B1", "12B¹"), =HYPERLINK("CSG1.html#group6A1", "6A¹"), =HYPERLINK("CSG0.html#group3A0", "3A⁰"), =HYPERLINK("CSG0.html#group2C0", "2C⁰"), =HYPERLINK("CSG0.html#group6D0", "6D⁰")</f>
        <v/>
      </c>
      <c r="N1722">
        <f>HYPERLINK("CSG19.html#group48O19", "48O¹⁹"), =HYPERLINK("CSG19.html#group48AX19", "48AX¹⁹"), =HYPERLINK("CSG17.html#group48J17", "48J¹⁷"), =HYPERLINK("CSG17.html#group48BP17", "48BP¹⁷"), =HYPERLINK("CSG17.html#group24P17", "24P¹⁷"), =HYPERLINK("CSG15.html#group24D15", "24D¹⁵"), =HYPERLINK("CSG19.html#group48N19", "48N¹⁹"), =HYPERLINK("CSG15.html#group24E15", "24E¹⁵"), =HYPERLINK("CSG17.html#group24F17", "24F¹⁷"), =HYPERLINK("CSG17.html#group24S17", "24S¹⁷"), =HYPERLINK("CSG17.html#group48I17", "48I¹⁷")</f>
        <v/>
      </c>
    </row>
    <row r="1723">
      <c r="A1723" t="inlineStr">
        <is>
          <t>24E⁸</t>
        </is>
      </c>
      <c r="B1723" t="inlineStr"/>
      <c r="C1723" t="inlineStr">
        <is>
          <t>144</t>
        </is>
      </c>
      <c r="D1723" t="inlineStr">
        <is>
          <t>1</t>
        </is>
      </c>
      <c r="E1723" t="inlineStr">
        <is>
          <t>36</t>
        </is>
      </c>
      <c r="F1723" t="inlineStr">
        <is>
          <t>0</t>
        </is>
      </c>
      <c r="G1723" t="inlineStr">
        <is>
          <t>0</t>
        </is>
      </c>
      <c r="H1723" t="inlineStr">
        <is>
          <t>6⁴, 12², 24⁴</t>
        </is>
      </c>
      <c r="I1723" t="n">
        <v>10</v>
      </c>
      <c r="J1723" t="inlineStr">
        <is>
          <t>2⁸, 4³, 8¹</t>
        </is>
      </c>
      <c r="K1723">
        <f>HYPERLINK("CSG4.html#group24J4", "24J⁴"), =HYPERLINK("CSG4.html#group24M4", "24M⁴")</f>
        <v/>
      </c>
      <c r="L1723">
        <f>HYPERLINK("CSG15.html#group24D15", "24D¹⁵"), =HYPERLINK("CSG15.html#group24H15", "24H¹⁵"), =HYPERLINK("CSG17.html#group48W17", "48W¹⁷"), =HYPERLINK("CSG17.html#group48X17", "48X¹⁷"), =HYPERLINK("CSG17.html#group48BS17", "48BS¹⁷")</f>
        <v/>
      </c>
      <c r="M1723">
        <f>HYPERLINK("CSG0.html#group6B0", "6B⁰"), =HYPERLINK("CSG2.html#group12D2", "12D²"), =HYPERLINK("CSG4.html#group24J4", "24J⁴"), =HYPERLINK("CSG0.html#group8C0", "8C⁰"), =HYPERLINK("CSG0.html#group2B0", "2B⁰"), =HYPERLINK("CSG0.html#group4B0", "4B⁰"), =HYPERLINK("CSG0.html#group1A0", "1A⁰"), =HYPERLINK("CSG2.html#group24B2", "24B²"), =HYPERLINK("CSG1.html#group12C1", "12C¹"), =HYPERLINK("CSG4.html#group24M4", "24M⁴"), =HYPERLINK("CSG2.html#group24D2", "24D²"), =HYPERLINK("CSG1.html#group12B1", "12B¹"), =HYPERLINK("CSG0.html#group6H0", "6H⁰"), =HYPERLINK("CSG0.html#group3A0", "3A⁰"), =HYPERLINK("CSG0.html#group6D0", "6D⁰")</f>
        <v/>
      </c>
      <c r="N1723">
        <f>HYPERLINK("CSG17.html#group48W17", "48W¹⁷"), =HYPERLINK("CSG15.html#group24H15", "24H¹⁵"), =HYPERLINK("CSG17.html#group48X17", "48X¹⁷"), =HYPERLINK("CSG17.html#group48BS17", "48BS¹⁷"), =HYPERLINK("CSG15.html#group24D15", "24D¹⁵")</f>
        <v/>
      </c>
    </row>
    <row r="1724">
      <c r="A1724" t="inlineStr">
        <is>
          <t>24F⁸</t>
        </is>
      </c>
      <c r="B1724" t="inlineStr"/>
      <c r="C1724" t="inlineStr">
        <is>
          <t>144</t>
        </is>
      </c>
      <c r="D1724" t="inlineStr">
        <is>
          <t>1</t>
        </is>
      </c>
      <c r="E1724" t="inlineStr">
        <is>
          <t>36</t>
        </is>
      </c>
      <c r="F1724" t="inlineStr">
        <is>
          <t>0</t>
        </is>
      </c>
      <c r="G1724" t="inlineStr">
        <is>
          <t>0</t>
        </is>
      </c>
      <c r="H1724" t="inlineStr">
        <is>
          <t>6⁴, 12², 24⁴</t>
        </is>
      </c>
      <c r="I1724" t="n">
        <v>10</v>
      </c>
      <c r="J1724" t="inlineStr">
        <is>
          <t>1⁴, 2⁶, 4³, 8¹</t>
        </is>
      </c>
      <c r="K1724">
        <f>HYPERLINK("CSG4.html#group24F4", "24F⁴"), =HYPERLINK("CSG4.html#group24J4", "24J⁴"), =HYPERLINK("CSG4.html#group24M4", "24M⁴")</f>
        <v/>
      </c>
      <c r="L1724">
        <f>HYPERLINK("CSG15.html#group24E15", "24E¹⁵"), =HYPERLINK("CSG15.html#group24H15", "24H¹⁵"), =HYPERLINK("CSG17.html#group48AC17", "48AC¹⁷"), =HYPERLINK("CSG17.html#group48AD17", "48AD¹⁷"), =HYPERLINK("CSG17.html#group48BT17", "48BT¹⁷")</f>
        <v/>
      </c>
      <c r="M1724">
        <f>HYPERLINK("CSG4.html#group24F4", "24F⁴"), =HYPERLINK("CSG0.html#group6B0", "6B⁰"), =HYPERLINK("CSG2.html#group12D2", "12D²"), =HYPERLINK("CSG4.html#group24J4", "24J⁴"), =HYPERLINK("CSG0.html#group8C0", "8C⁰"), =HYPERLINK("CSG0.html#group2B0", "2B⁰"), =HYPERLINK("CSG0.html#group8I0", "8I⁰"), =HYPERLINK("CSG0.html#group4B0", "4B⁰"), =HYPERLINK("CSG0.html#group1A0", "1A⁰"), =HYPERLINK("CSG2.html#group24B2", "24B²"), =HYPERLINK("CSG1.html#group12C1", "12C¹"), =HYPERLINK("CSG4.html#group24M4", "24M⁴"), =HYPERLINK("CSG2.html#group24D2", "24D²"), =HYPERLINK("CSG1.html#group12B1", "12B¹"), =HYPERLINK("CSG0.html#group6H0", "6H⁰"), =HYPERLINK("CSG0.html#group3A0", "3A⁰"), =HYPERLINK("CSG0.html#group6D0", "6D⁰")</f>
        <v/>
      </c>
      <c r="N1724">
        <f>HYPERLINK("CSG17.html#group48AC17", "48AC¹⁷"), =HYPERLINK("CSG15.html#group24H15", "24H¹⁵"), =HYPERLINK("CSG17.html#group48AD17", "48AD¹⁷"), =HYPERLINK("CSG15.html#group24E15", "24E¹⁵"), =HYPERLINK("CSG17.html#group48BT17", "48BT¹⁷")</f>
        <v/>
      </c>
    </row>
    <row r="1725">
      <c r="A1725" t="inlineStr">
        <is>
          <t>24G⁸</t>
        </is>
      </c>
      <c r="B1725" t="inlineStr"/>
      <c r="C1725" t="inlineStr">
        <is>
          <t>144</t>
        </is>
      </c>
      <c r="D1725" t="inlineStr">
        <is>
          <t>1</t>
        </is>
      </c>
      <c r="E1725" t="inlineStr">
        <is>
          <t>36</t>
        </is>
      </c>
      <c r="F1725" t="inlineStr">
        <is>
          <t>0</t>
        </is>
      </c>
      <c r="G1725" t="inlineStr">
        <is>
          <t>0</t>
        </is>
      </c>
      <c r="H1725" t="inlineStr">
        <is>
          <t>6⁴, 12², 24⁴</t>
        </is>
      </c>
      <c r="I1725" t="n">
        <v>10</v>
      </c>
      <c r="J1725" t="inlineStr">
        <is>
          <t>2¹², 4³</t>
        </is>
      </c>
      <c r="K1725">
        <f>HYPERLINK("CSG4.html#group24E4", "24E⁴"), =HYPERLINK("CSG4.html#group24N4", "24N⁴")</f>
        <v/>
      </c>
      <c r="L1725">
        <f>HYPERLINK("CSG15.html#group24D15", "24D¹⁵"), =HYPERLINK("CSG15.html#group24I15", "24I¹⁵"), =HYPERLINK("CSG17.html#group24Q17", "24Q¹⁷"), =HYPERLINK("CSG17.html#group24R17", "24R¹⁷"), =HYPERLINK("CSG17.html#group24AJ17", "24AJ¹⁷")</f>
        <v/>
      </c>
      <c r="M1725">
        <f>HYPERLINK("CSG0.html#group2A0", "2A⁰"), =HYPERLINK("CSG1.html#group24E1", "24E¹"), =HYPERLINK("CSG0.html#group12C0", "12C⁰"), =HYPERLINK("CSG1.html#group6C1", "6C¹"), =HYPERLINK("CSG0.html#group4C0", "4C⁰"), =HYPERLINK("CSG2.html#group12B2", "12B²"), =HYPERLINK("CSG0.html#group2B0", "2B⁰"), =HYPERLINK("CSG0.html#group4E0", "4E⁰"), =HYPERLINK("CSG0.html#group4B0", "4B⁰"), =HYPERLINK("CSG0.html#group1A0", "1A⁰"), =HYPERLINK("CSG0.html#group6A0", "6A⁰"), =HYPERLINK("CSG4.html#group24N4", "24N⁴"), =HYPERLINK("CSG2.html#group24D2", "24D²"), =HYPERLINK("CSG4.html#group24E4", "24E⁴"), =HYPERLINK("CSG1.html#group12B1", "12B¹"), =HYPERLINK("CSG1.html#group6A1", "6A¹"), =HYPERLINK("CSG0.html#group3A0", "3A⁰"), =HYPERLINK("CSG0.html#group2C0", "2C⁰"), =HYPERLINK("CSG0.html#group6D0", "6D⁰")</f>
        <v/>
      </c>
      <c r="N1725">
        <f>HYPERLINK("CSG17.html#group24Q17", "24Q¹⁷"), =HYPERLINK("CSG15.html#group24I15", "24I¹⁵"), =HYPERLINK("CSG17.html#group24AJ17", "24AJ¹⁷"), =HYPERLINK("CSG17.html#group24R17", "24R¹⁷"), =HYPERLINK("CSG15.html#group24D15", "24D¹⁵")</f>
        <v/>
      </c>
    </row>
    <row r="1726">
      <c r="A1726" t="inlineStr">
        <is>
          <t>24H⁸</t>
        </is>
      </c>
      <c r="B1726" t="inlineStr"/>
      <c r="C1726" t="inlineStr">
        <is>
          <t>144</t>
        </is>
      </c>
      <c r="D1726" t="inlineStr">
        <is>
          <t>1</t>
        </is>
      </c>
      <c r="E1726" t="inlineStr">
        <is>
          <t>36</t>
        </is>
      </c>
      <c r="F1726" t="inlineStr">
        <is>
          <t>0</t>
        </is>
      </c>
      <c r="G1726" t="inlineStr">
        <is>
          <t>0</t>
        </is>
      </c>
      <c r="H1726" t="inlineStr">
        <is>
          <t>6⁴, 12², 24⁴</t>
        </is>
      </c>
      <c r="I1726" t="n">
        <v>10</v>
      </c>
      <c r="J1726" t="inlineStr">
        <is>
          <t>1⁸, 2¹⁰, 4²</t>
        </is>
      </c>
      <c r="K1726">
        <f>HYPERLINK("CSG4.html#group24E4", "24E⁴"), =HYPERLINK("CSG4.html#group24G4", "24G⁴"), =HYPERLINK("CSG4.html#group24N4", "24N⁴")</f>
        <v/>
      </c>
      <c r="L1726">
        <f>HYPERLINK("CSG15.html#group24E15", "24E¹⁵"), =HYPERLINK("CSG15.html#group24I15", "24I¹⁵"), =HYPERLINK("CSG17.html#group24U17", "24U¹⁷"), =HYPERLINK("CSG17.html#group24W17", "24W¹⁷"), =HYPERLINK("CSG17.html#group24AJ17", "24AJ¹⁷")</f>
        <v/>
      </c>
      <c r="M1726">
        <f>HYPERLINK("CSG0.html#group2A0", "2A⁰"), =HYPERLINK("CSG1.html#group24E1", "24E¹"), =HYPERLINK("CSG0.html#group12C0", "12C⁰"), =HYPERLINK("CSG1.html#group6C1", "6C¹"), =HYPERLINK("CSG0.html#group4C0", "4C⁰"), =HYPERLINK("CSG2.html#group12B2", "12B²"), =HYPERLINK("CSG0.html#group2B0", "2B⁰"), =HYPERLINK("CSG0.html#group4E0", "4E⁰"), =HYPERLINK("CSG0.html#group4B0", "4B⁰"), =HYPERLINK("CSG0.html#group1A0", "1A⁰"), =HYPERLINK("CSG0.html#group6A0", "6A⁰"), =HYPERLINK("CSG4.html#group24N4", "24N⁴"), =HYPERLINK("CSG2.html#group24D2", "24D²"), =HYPERLINK("CSG4.html#group24E4", "24E⁴"), =HYPERLINK("CSG1.html#group12B1", "12B¹"), =HYPERLINK("CSG1.html#group6A1", "6A¹"), =HYPERLINK("CSG0.html#group3A0", "3A⁰"), =HYPERLINK("CSG0.html#group8J0", "8J⁰"), =HYPERLINK("CSG0.html#group2C0", "2C⁰"), =HYPERLINK("CSG0.html#group6D0", "6D⁰"), =HYPERLINK("CSG4.html#group24G4", "24G⁴")</f>
        <v/>
      </c>
      <c r="N1726">
        <f>HYPERLINK("CSG17.html#group24W17", "24W¹⁷"), =HYPERLINK("CSG17.html#group24U17", "24U¹⁷"), =HYPERLINK("CSG15.html#group24I15", "24I¹⁵"), =HYPERLINK("CSG17.html#group24AJ17", "24AJ¹⁷"), =HYPERLINK("CSG15.html#group24E15", "24E¹⁵")</f>
        <v/>
      </c>
    </row>
    <row r="1727">
      <c r="A1727" t="inlineStr">
        <is>
          <t>24I⁸</t>
        </is>
      </c>
      <c r="B1727" t="inlineStr"/>
      <c r="C1727" t="inlineStr">
        <is>
          <t>144</t>
        </is>
      </c>
      <c r="D1727" t="inlineStr">
        <is>
          <t>1</t>
        </is>
      </c>
      <c r="E1727" t="inlineStr">
        <is>
          <t>36</t>
        </is>
      </c>
      <c r="F1727" t="inlineStr">
        <is>
          <t>0</t>
        </is>
      </c>
      <c r="G1727" t="inlineStr">
        <is>
          <t>0</t>
        </is>
      </c>
      <c r="H1727" t="inlineStr">
        <is>
          <t>12⁸, 24²</t>
        </is>
      </c>
      <c r="I1727" t="n">
        <v>10</v>
      </c>
      <c r="J1727" t="inlineStr">
        <is>
          <t>2¹⁴, 4²</t>
        </is>
      </c>
      <c r="K1727">
        <f>HYPERLINK("CSG4.html#group12C4", "12C⁴"), =HYPERLINK("CSG4.html#group24N4", "24N⁴")</f>
        <v/>
      </c>
      <c r="L1727">
        <f>HYPERLINK("CSG15.html#group24A15", "24A¹⁵"), =HYPERLINK("CSG15.html#group24J15", "24J¹⁵"), =HYPERLINK("CSG17.html#group24P17", "24P¹⁷"), =HYPERLINK("CSG17.html#group24Q17", "24Q¹⁷"), =HYPERLINK("CSG17.html#group24AJ17", "24AJ¹⁷")</f>
        <v/>
      </c>
      <c r="M1727">
        <f>HYPERLINK("CSG0.html#group2A0", "2A⁰"), =HYPERLINK("CSG0.html#group12C0", "12C⁰"), =HYPERLINK("CSG1.html#group6C1", "6C¹"), =HYPERLINK("CSG0.html#group4C0", "4C⁰"), =HYPERLINK("CSG2.html#group12B2", "12B²"), =HYPERLINK("CSG2.html#group12E2", "12E²"), =HYPERLINK("CSG0.html#group2B0", "2B⁰"), =HYPERLINK("CSG0.html#group4E0", "4E⁰"), =HYPERLINK("CSG1.html#group12M1", "12M¹"), =HYPERLINK("CSG0.html#group4B0", "4B⁰"), =HYPERLINK("CSG0.html#group1A0", "1A⁰"), =HYPERLINK("CSG0.html#group6A0", "6A⁰"), =HYPERLINK("CSG1.html#group12C1", "12C¹"), =HYPERLINK("CSG4.html#group24N4", "24N⁴"), =HYPERLINK("CSG1.html#group12B1", "12B¹"), =HYPERLINK("CSG1.html#group6A1", "6A¹"), =HYPERLINK("CSG0.html#group12D0", "12D⁰"), =HYPERLINK("CSG4.html#group12C4", "12C⁴"), =HYPERLINK("CSG0.html#group3A0", "3A⁰"), =HYPERLINK("CSG0.html#group2C0", "2C⁰"), =HYPERLINK("CSG0.html#group6D0", "6D⁰")</f>
        <v/>
      </c>
      <c r="N1727">
        <f>HYPERLINK("CSG17.html#group24Q17", "24Q¹⁷"), =HYPERLINK("CSG15.html#group24J15", "24J¹⁵"), =HYPERLINK("CSG17.html#group24AJ17", "24AJ¹⁷"), =HYPERLINK("CSG15.html#group24A15", "24A¹⁵"), =HYPERLINK("CSG17.html#group24P17", "24P¹⁷")</f>
        <v/>
      </c>
    </row>
    <row r="1728">
      <c r="A1728" t="inlineStr">
        <is>
          <t>24J⁸</t>
        </is>
      </c>
      <c r="B1728" t="inlineStr"/>
      <c r="C1728" t="inlineStr">
        <is>
          <t>144</t>
        </is>
      </c>
      <c r="D1728" t="inlineStr">
        <is>
          <t>1</t>
        </is>
      </c>
      <c r="E1728" t="inlineStr">
        <is>
          <t>36</t>
        </is>
      </c>
      <c r="F1728" t="inlineStr">
        <is>
          <t>0</t>
        </is>
      </c>
      <c r="G1728" t="inlineStr">
        <is>
          <t>0</t>
        </is>
      </c>
      <c r="H1728" t="inlineStr">
        <is>
          <t>12⁸, 24²</t>
        </is>
      </c>
      <c r="I1728" t="n">
        <v>10</v>
      </c>
      <c r="J1728" t="inlineStr">
        <is>
          <t>1⁸, 2¹⁰, 4²</t>
        </is>
      </c>
      <c r="K1728">
        <f>HYPERLINK("CSG4.html#group12C4", "12C⁴"), =HYPERLINK("CSG4.html#group24G4", "24G⁴"), =HYPERLINK("CSG4.html#group24N4", "24N⁴")</f>
        <v/>
      </c>
      <c r="L1728">
        <f>HYPERLINK("CSG15.html#group24B15", "24B¹⁵"), =HYPERLINK("CSG15.html#group24J15", "24J¹⁵"), =HYPERLINK("CSG17.html#group24S17", "24S¹⁷"), =HYPERLINK("CSG17.html#group24U17", "24U¹⁷"), =HYPERLINK("CSG17.html#group24AJ17", "24AJ¹⁷")</f>
        <v/>
      </c>
      <c r="M1728">
        <f>HYPERLINK("CSG0.html#group2A0", "2A⁰"), =HYPERLINK("CSG0.html#group12C0", "12C⁰"), =HYPERLINK("CSG1.html#group6C1", "6C¹"), =HYPERLINK("CSG0.html#group4C0", "4C⁰"), =HYPERLINK("CSG2.html#group12B2", "12B²"), =HYPERLINK("CSG2.html#group12E2", "12E²"), =HYPERLINK("CSG0.html#group2B0", "2B⁰"), =HYPERLINK("CSG0.html#group4E0", "4E⁰"), =HYPERLINK("CSG1.html#group12M1", "12M¹"), =HYPERLINK("CSG0.html#group4B0", "4B⁰"), =HYPERLINK("CSG0.html#group1A0", "1A⁰"), =HYPERLINK("CSG0.html#group6A0", "6A⁰"), =HYPERLINK("CSG1.html#group12C1", "12C¹"), =HYPERLINK("CSG4.html#group24N4", "24N⁴"), =HYPERLINK("CSG1.html#group12B1", "12B¹"), =HYPERLINK("CSG1.html#group6A1", "6A¹"), =HYPERLINK("CSG0.html#group12D0", "12D⁰"), =HYPERLINK("CSG4.html#group12C4", "12C⁴"), =HYPERLINK("CSG0.html#group3A0", "3A⁰"), =HYPERLINK("CSG0.html#group8J0", "8J⁰"), =HYPERLINK("CSG0.html#group2C0", "2C⁰"), =HYPERLINK("CSG0.html#group6D0", "6D⁰"), =HYPERLINK("CSG4.html#group24G4", "24G⁴")</f>
        <v/>
      </c>
      <c r="N1728">
        <f>HYPERLINK("CSG15.html#group24J15", "24J¹⁵"), =HYPERLINK("CSG17.html#group24U17", "24U¹⁷"), =HYPERLINK("CSG17.html#group24AJ17", "24AJ¹⁷"), =HYPERLINK("CSG17.html#group24S17", "24S¹⁷"), =HYPERLINK("CSG15.html#group24B15", "24B¹⁵")</f>
        <v/>
      </c>
    </row>
    <row r="1729">
      <c r="A1729" t="inlineStr">
        <is>
          <t>24K⁸</t>
        </is>
      </c>
      <c r="B1729" t="inlineStr"/>
      <c r="C1729" t="inlineStr">
        <is>
          <t>144</t>
        </is>
      </c>
      <c r="D1729" t="inlineStr">
        <is>
          <t>1</t>
        </is>
      </c>
      <c r="E1729" t="inlineStr">
        <is>
          <t>36</t>
        </is>
      </c>
      <c r="F1729" t="inlineStr">
        <is>
          <t>8</t>
        </is>
      </c>
      <c r="G1729" t="inlineStr">
        <is>
          <t>0</t>
        </is>
      </c>
      <c r="H1729" t="inlineStr">
        <is>
          <t>24⁶</t>
        </is>
      </c>
      <c r="I1729" t="n">
        <v>6</v>
      </c>
      <c r="J1729" t="inlineStr">
        <is>
          <t>2², 4⁴, 8²</t>
        </is>
      </c>
      <c r="K1729">
        <f>HYPERLINK("CSG3.html#group24J3", "24J³"), =HYPERLINK("CSG3.html#group24P3", "24P³"), =HYPERLINK("CSG4.html#group24O4", "24O⁴")</f>
        <v/>
      </c>
      <c r="L1729">
        <f>HYPERLINK("CSG15.html#group24P15", "24P¹⁵"), =HYPERLINK("CSG17.html#group24AC17", "24AC¹⁷"), =HYPERLINK("CSG17.html#group24AL17", "24AL¹⁷"), =HYPERLINK("CSG18.html#group48J18", "48J¹⁸"), =HYPERLINK("CSG18.html#group48K18", "48K¹⁸"), =HYPERLINK("CSG18.html#group48R18", "48R¹⁸"), =HYPERLINK("CSG19.html#group24H19", "24H¹⁹"), =HYPERLINK("CSG19.html#group24Q19", "24Q¹⁹")</f>
        <v/>
      </c>
      <c r="M1729">
        <f>HYPERLINK("CSG4.html#group24O4", "24O⁴"), =HYPERLINK("CSG1.html#group24E1", "24E¹"), =HYPERLINK("CSG0.html#group12C0", "12C⁰"), =HYPERLINK("CSG0.html#group4C0", "4C⁰"), =HYPERLINK("CSG1.html#group24D1", "24D¹"), =HYPERLINK("CSG0.html#group2B0", "2B⁰"), =HYPERLINK("CSG3.html#group24P3", "24P³"), =HYPERLINK("CSG1.html#group24B1", "24B¹"), =HYPERLINK("CSG0.html#group1A0", "1A⁰"), =HYPERLINK("CSG0.html#group8K0", "8K⁰"), =HYPERLINK("CSG3.html#group24J3", "24J³"), =HYPERLINK("CSG0.html#group12A0", "12A⁰"), =HYPERLINK("CSG0.html#group4A0", "4A⁰"), =HYPERLINK("CSG1.html#group12J1", "12J¹"), =HYPERLINK("CSG0.html#group4F0", "4F⁰"), =HYPERLINK("CSG0.html#group3A0", "3A⁰"), =HYPERLINK("CSG0.html#group6D0", "6D⁰")</f>
        <v/>
      </c>
      <c r="N1729">
        <f>HYPERLINK("CSG18.html#group48K18", "48K¹⁸"), =HYPERLINK("CSG18.html#group48J18", "48J¹⁸"), =HYPERLINK("CSG17.html#group24AL17", "24AL¹⁷"), =HYPERLINK("CSG15.html#group24P15", "24P¹⁵"), =HYPERLINK("CSG19.html#group24H19", "24H¹⁹"), =HYPERLINK("CSG19.html#group24Q19", "24Q¹⁹"), =HYPERLINK("CSG17.html#group24AC17", "24AC¹⁷"), =HYPERLINK("CSG18.html#group48R18", "48R¹⁸")</f>
        <v/>
      </c>
    </row>
    <row r="1730">
      <c r="A1730" t="inlineStr">
        <is>
          <t>24L⁸</t>
        </is>
      </c>
      <c r="B1730" t="inlineStr"/>
      <c r="C1730" t="inlineStr">
        <is>
          <t>144</t>
        </is>
      </c>
      <c r="D1730" t="inlineStr">
        <is>
          <t>1</t>
        </is>
      </c>
      <c r="E1730" t="inlineStr">
        <is>
          <t>36</t>
        </is>
      </c>
      <c r="F1730" t="inlineStr">
        <is>
          <t>8</t>
        </is>
      </c>
      <c r="G1730" t="inlineStr">
        <is>
          <t>0</t>
        </is>
      </c>
      <c r="H1730" t="inlineStr">
        <is>
          <t>24⁶</t>
        </is>
      </c>
      <c r="I1730" t="n">
        <v>6</v>
      </c>
      <c r="J1730" t="inlineStr">
        <is>
          <t>2², 4⁴, 8²</t>
        </is>
      </c>
      <c r="K1730">
        <f>HYPERLINK("CSG3.html#group24P3", "24P³"), =HYPERLINK("CSG3.html#group24R3", "24R³"), =HYPERLINK("CSG4.html#group24H4", "24H⁴")</f>
        <v/>
      </c>
      <c r="L1730">
        <f>HYPERLINK("CSG15.html#group24P15", "24P¹⁵"), =HYPERLINK("CSG17.html#group24AB17", "24AB¹⁷"), =HYPERLINK("CSG17.html#group24AK17", "24AK¹⁷"), =HYPERLINK("CSG19.html#group24I19", "24I¹⁹"), =HYPERLINK("CSG19.html#group24Q19", "24Q¹⁹"), =HYPERLINK("CSG20.html#group48C20", "48C²⁰"), =HYPERLINK("CSG20.html#group48D20", "48D²⁰"), =HYPERLINK("CSG20.html#group48H20", "48H²⁰")</f>
        <v/>
      </c>
      <c r="M1730">
        <f>HYPERLINK("CSG1.html#group24E1", "24E¹"), =HYPERLINK("CSG0.html#group12C0", "12C⁰"), =HYPERLINK("CSG0.html#group4C0", "4C⁰"), =HYPERLINK("CSG1.html#group24D1", "24D¹"), =HYPERLINK("CSG0.html#group8A0", "8A⁰"), =HYPERLINK("CSG0.html#group2B0", "2B⁰"), =HYPERLINK("CSG3.html#group24P3", "24P³"), =HYPERLINK("CSG0.html#group1A0", "1A⁰"), =HYPERLINK("CSG1.html#group8D1", "8D¹"), =HYPERLINK("CSG4.html#group24H4", "24H⁴"), =HYPERLINK("CSG0.html#group12A0", "12A⁰"), =HYPERLINK("CSG1.html#group24A1", "24A¹"), =HYPERLINK("CSG0.html#group4A0", "4A⁰"), =HYPERLINK("CSG3.html#group24R3", "24R³"), =HYPERLINK("CSG1.html#group12J1", "12J¹"), =HYPERLINK("CSG0.html#group4F0", "4F⁰"), =HYPERLINK("CSG0.html#group3A0", "3A⁰"), =HYPERLINK("CSG0.html#group6D0", "6D⁰")</f>
        <v/>
      </c>
      <c r="N1730">
        <f>HYPERLINK("CSG15.html#group24P15", "24P¹⁵"), =HYPERLINK("CSG20.html#group48H20", "48H²⁰"), =HYPERLINK("CSG19.html#group24I19", "24I¹⁹"), =HYPERLINK("CSG19.html#group24Q19", "24Q¹⁹"), =HYPERLINK("CSG17.html#group24AK17", "24AK¹⁷"), =HYPERLINK("CSG20.html#group48D20", "48D²⁰"), =HYPERLINK("CSG20.html#group48C20", "48C²⁰"), =HYPERLINK("CSG17.html#group24AB17", "24AB¹⁷")</f>
        <v/>
      </c>
    </row>
    <row r="1731">
      <c r="A1731" t="inlineStr">
        <is>
          <t>24M⁸</t>
        </is>
      </c>
      <c r="B1731" t="inlineStr"/>
      <c r="C1731" t="inlineStr">
        <is>
          <t>144</t>
        </is>
      </c>
      <c r="D1731" t="inlineStr">
        <is>
          <t>1</t>
        </is>
      </c>
      <c r="E1731" t="inlineStr">
        <is>
          <t>36</t>
        </is>
      </c>
      <c r="F1731" t="inlineStr">
        <is>
          <t>8</t>
        </is>
      </c>
      <c r="G1731" t="inlineStr">
        <is>
          <t>0</t>
        </is>
      </c>
      <c r="H1731" t="inlineStr">
        <is>
          <t>24⁶</t>
        </is>
      </c>
      <c r="I1731" t="n">
        <v>6</v>
      </c>
      <c r="J1731" t="inlineStr">
        <is>
          <t>2², 4⁴, 8²</t>
        </is>
      </c>
      <c r="K1731">
        <f>HYPERLINK("CSG2.html#group12I2", "12I²"), =HYPERLINK("CSG2.html#group24G2", "24G²"), =HYPERLINK("CSG2.html#group24H2", "24H²"), =HYPERLINK("CSG4.html#group24O4", "24O⁴")</f>
        <v/>
      </c>
      <c r="L1731">
        <f>HYPERLINK("CSG15.html#group24O15", "24O¹⁵"), =HYPERLINK("CSG17.html#group24AE17", "24AE¹⁷"), =HYPERLINK("CSG17.html#group24AL17", "24AL¹⁷"), =HYPERLINK("CSG19.html#group24B19", "24B¹⁹"), =HYPERLINK("CSG19.html#group24L19", "24L¹⁹"), =HYPERLINK("CSG20.html#group48E20", "48E²⁰"), =HYPERLINK("CSG20.html#group48F20", "48F²⁰")</f>
        <v/>
      </c>
      <c r="M1731">
        <f>HYPERLINK("CSG4.html#group24O4", "24O⁴"), =HYPERLINK("CSG2.html#group12I2", "12I²"), =HYPERLINK("CSG0.html#group6B0", "6B⁰"), =HYPERLINK("CSG0.html#group12C0", "12C⁰"), =HYPERLINK("CSG0.html#group4C0", "4C⁰"), =HYPERLINK("CSG0.html#group12F0", "12F⁰"), =HYPERLINK("CSG0.html#group2B0", "2B⁰"), =HYPERLINK("CSG1.html#group24B1", "24B¹"), =HYPERLINK("CSG1.html#group12M1", "12M¹"), =HYPERLINK("CSG0.html#group12H0", "12H⁰"), =HYPERLINK("CSG0.html#group1A0", "1A⁰"), =HYPERLINK("CSG0.html#group12A0", "12A⁰"), =HYPERLINK("CSG0.html#group4A0", "4A⁰"), =HYPERLINK("CSG1.html#group12J1", "12J¹"), =HYPERLINK("CSG0.html#group12D0", "12D⁰"), =HYPERLINK("CSG0.html#group4F0", "4F⁰"), =HYPERLINK("CSG0.html#group6H0", "6H⁰"), =HYPERLINK("CSG0.html#group3A0", "3A⁰"), =HYPERLINK("CSG2.html#group24G2", "24G²"), =HYPERLINK("CSG2.html#group24H2", "24H²"), =HYPERLINK("CSG0.html#group6D0", "6D⁰")</f>
        <v/>
      </c>
      <c r="N1731">
        <f>HYPERLINK("CSG17.html#group24AE17", "24AE¹⁷"), =HYPERLINK("CSG20.html#group48E20", "48E²⁰"), =HYPERLINK("CSG19.html#group24B19", "24B¹⁹"), =HYPERLINK("CSG15.html#group24O15", "24O¹⁵"), =HYPERLINK("CSG19.html#group24L19", "24L¹⁹"), =HYPERLINK("CSG17.html#group24AL17", "24AL¹⁷"), =HYPERLINK("CSG20.html#group48F20", "48F²⁰")</f>
        <v/>
      </c>
    </row>
    <row r="1732">
      <c r="A1732" t="inlineStr">
        <is>
          <t>24N⁸</t>
        </is>
      </c>
      <c r="B1732" t="inlineStr"/>
      <c r="C1732" t="inlineStr">
        <is>
          <t>144</t>
        </is>
      </c>
      <c r="D1732" t="inlineStr">
        <is>
          <t>1</t>
        </is>
      </c>
      <c r="E1732" t="inlineStr">
        <is>
          <t>36</t>
        </is>
      </c>
      <c r="F1732" t="inlineStr">
        <is>
          <t>8</t>
        </is>
      </c>
      <c r="G1732" t="inlineStr">
        <is>
          <t>0</t>
        </is>
      </c>
      <c r="H1732" t="inlineStr">
        <is>
          <t>24⁶</t>
        </is>
      </c>
      <c r="I1732" t="n">
        <v>6</v>
      </c>
      <c r="J1732" t="inlineStr">
        <is>
          <t>2², 4⁴, 8²</t>
        </is>
      </c>
      <c r="K1732">
        <f>HYPERLINK("CSG2.html#group12I2", "12I²"), =HYPERLINK("CSG2.html#group24K2", "24K²"), =HYPERLINK("CSG4.html#group24H4", "24H⁴"), =HYPERLINK("CSG4.html#group24O4", "24O⁴")</f>
        <v/>
      </c>
      <c r="L1732">
        <f>HYPERLINK("CSG15.html#group24P15", "24P¹⁵"), =HYPERLINK("CSG17.html#group24AE17", "24AE¹⁷"), =HYPERLINK("CSG17.html#group24AK17", "24AK¹⁷"), =HYPERLINK("CSG19.html#group24C19", "24C¹⁹"), =HYPERLINK("CSG19.html#group24P19", "24P¹⁹"), =HYPERLINK("CSG20.html#group48G20", "48G²⁰"), =HYPERLINK("CSG20.html#group48I20", "48I²⁰")</f>
        <v/>
      </c>
      <c r="M1732">
        <f>HYPERLINK("CSG4.html#group24O4", "24O⁴"), =HYPERLINK("CSG2.html#group12I2", "12I²"), =HYPERLINK("CSG0.html#group6B0", "6B⁰"), =HYPERLINK("CSG0.html#group12C0", "12C⁰"), =HYPERLINK("CSG0.html#group4C0", "4C⁰"), =HYPERLINK("CSG0.html#group12F0", "12F⁰"), =HYPERLINK("CSG0.html#group8A0", "8A⁰"), =HYPERLINK("CSG0.html#group2B0", "2B⁰"), =HYPERLINK("CSG1.html#group24B1", "24B¹"), =HYPERLINK("CSG1.html#group12M1", "12M¹"), =HYPERLINK("CSG0.html#group12H0", "12H⁰"), =HYPERLINK("CSG0.html#group1A0", "1A⁰"), =HYPERLINK("CSG1.html#group8D1", "8D¹"), =HYPERLINK("CSG4.html#group24H4", "24H⁴"), =HYPERLINK("CSG2.html#group24K2", "24K²"), =HYPERLINK("CSG0.html#group12A0", "12A⁰"), =HYPERLINK("CSG1.html#group24A1", "24A¹"), =HYPERLINK("CSG0.html#group4A0", "4A⁰"), =HYPERLINK("CSG1.html#group12J1", "12J¹"), =HYPERLINK("CSG0.html#group12D0", "12D⁰"), =HYPERLINK("CSG0.html#group4F0", "4F⁰"), =HYPERLINK("CSG0.html#group6H0", "6H⁰"), =HYPERLINK("CSG0.html#group3A0", "3A⁰"), =HYPERLINK("CSG0.html#group6D0", "6D⁰")</f>
        <v/>
      </c>
      <c r="N1732">
        <f>HYPERLINK("CSG15.html#group24P15", "24P¹⁵"), =HYPERLINK("CSG20.html#group48I20", "48I²⁰"), =HYPERLINK("CSG17.html#group24AE17", "24AE¹⁷"), =HYPERLINK("CSG19.html#group24P19", "24P¹⁹"), =HYPERLINK("CSG20.html#group48G20", "48G²⁰"), =HYPERLINK("CSG17.html#group24AK17", "24AK¹⁷"), =HYPERLINK("CSG19.html#group24C19", "24C¹⁹")</f>
        <v/>
      </c>
    </row>
    <row r="1733">
      <c r="A1733" t="inlineStr">
        <is>
          <t>24O⁸</t>
        </is>
      </c>
      <c r="B1733" t="inlineStr"/>
      <c r="C1733" t="inlineStr">
        <is>
          <t>144</t>
        </is>
      </c>
      <c r="D1733" t="inlineStr">
        <is>
          <t>1</t>
        </is>
      </c>
      <c r="E1733" t="inlineStr">
        <is>
          <t>72</t>
        </is>
      </c>
      <c r="F1733" t="inlineStr">
        <is>
          <t>8</t>
        </is>
      </c>
      <c r="G1733" t="inlineStr">
        <is>
          <t>0</t>
        </is>
      </c>
      <c r="H1733" t="inlineStr">
        <is>
          <t>24⁶</t>
        </is>
      </c>
      <c r="I1733" t="n">
        <v>6</v>
      </c>
      <c r="J1733" t="inlineStr">
        <is>
          <t>4¹⁰, 8⁴</t>
        </is>
      </c>
      <c r="K1733">
        <f>HYPERLINK("CSG2.html#group12H2", "12H²")</f>
        <v/>
      </c>
      <c r="L1733">
        <f>HYPERLINK("CSG15.html#group24T15", "24T¹⁵"), =HYPERLINK("CSG17.html#group24AA17", "24AA¹⁷"), =HYPERLINK("CSG17.html#group24AM17", "24AM¹⁷"), =HYPERLINK("CSG19.html#group24K19", "24K¹⁹"), =HYPERLINK("CSG19.html#group24R19", "24R¹⁹")</f>
        <v/>
      </c>
      <c r="M1733">
        <f>HYPERLINK("CSG2.html#group12H2", "12H²"), =HYPERLINK("CSG0.html#group6B0", "6B⁰"), =HYPERLINK("CSG0.html#group12C0", "12C⁰"), =HYPERLINK("CSG0.html#group4C0", "4C⁰"), =HYPERLINK("CSG1.html#group12M1", "12M¹"), =HYPERLINK("CSG0.html#group2B0", "2B⁰"), =HYPERLINK("CSG0.html#group12D0", "12D⁰"), =HYPERLINK("CSG0.html#group6H0", "6H⁰"), =HYPERLINK("CSG0.html#group3A0", "3A⁰"), =HYPERLINK("CSG0.html#group12H0", "12H⁰"), =HYPERLINK("CSG0.html#group1A0", "1A⁰"), =HYPERLINK("CSG0.html#group6D0", "6D⁰")</f>
        <v/>
      </c>
      <c r="N1733">
        <f>HYPERLINK("CSG15.html#group24T15", "24T¹⁵"), =HYPERLINK("CSG19.html#group24K19", "24K¹⁹"), =HYPERLINK("CSG19.html#group24R19", "24R¹⁹"), =HYPERLINK("CSG17.html#group24AM17", "24AM¹⁷"), =HYPERLINK("CSG17.html#group24AA17", "24AA¹⁷")</f>
        <v/>
      </c>
    </row>
    <row r="1734">
      <c r="A1734" t="inlineStr">
        <is>
          <t>24P⁸</t>
        </is>
      </c>
      <c r="B1734" t="inlineStr"/>
      <c r="C1734" t="inlineStr">
        <is>
          <t>144</t>
        </is>
      </c>
      <c r="D1734" t="inlineStr">
        <is>
          <t>2</t>
        </is>
      </c>
      <c r="E1734" t="inlineStr">
        <is>
          <t>36</t>
        </is>
      </c>
      <c r="F1734" t="inlineStr">
        <is>
          <t>8</t>
        </is>
      </c>
      <c r="G1734" t="inlineStr">
        <is>
          <t>0</t>
        </is>
      </c>
      <c r="H1734" t="inlineStr">
        <is>
          <t>24⁶</t>
        </is>
      </c>
      <c r="I1734" t="n">
        <v>6</v>
      </c>
      <c r="J1734" t="inlineStr">
        <is>
          <t>4⁶, 8⁶</t>
        </is>
      </c>
      <c r="K1734">
        <f>HYPERLINK("CSG3.html#group24P3", "24P³"), =HYPERLINK("CSG3.html#group24R3", "24R³"), =HYPERLINK("CSG4.html#group24O4", "24O⁴")</f>
        <v/>
      </c>
      <c r="L1734">
        <f>HYPERLINK("CSG15.html#group24O15", "24O¹⁵"), =HYPERLINK("CSG17.html#group24AC17", "24AC¹⁷"), =HYPERLINK("CSG17.html#group24AB17", "24AB¹⁷"), =HYPERLINK("CSG17.html#group24AL17", "24AL¹⁷"), =HYPERLINK("CSG17.html#group24AK17", "24AK¹⁷"), =HYPERLINK("CSG19.html#group24M19", "24M¹⁹"), =HYPERLINK("CSG19.html#group24S19", "24S¹⁹")</f>
        <v/>
      </c>
      <c r="M1734">
        <f>HYPERLINK("CSG4.html#group24O4", "24O⁴"), =HYPERLINK("CSG1.html#group24E1", "24E¹"), =HYPERLINK("CSG0.html#group12A0", "12A⁰"), =HYPERLINK("CSG0.html#group12C0", "12C⁰"), =HYPERLINK("CSG0.html#group3A0", "3A⁰"), =HYPERLINK("CSG0.html#group4A0", "4A⁰"), =HYPERLINK("CSG0.html#group4C0", "4C⁰"), =HYPERLINK("CSG1.html#group24D1", "24D¹"), =HYPERLINK("CSG3.html#group24R3", "24R³"), =HYPERLINK("CSG3.html#group24P3", "24P³"), =HYPERLINK("CSG1.html#group12J1", "12J¹"), =HYPERLINK("CSG1.html#group24B1", "24B¹"), =HYPERLINK("CSG0.html#group2B0", "2B⁰"), =HYPERLINK("CSG0.html#group4F0", "4F⁰"), =HYPERLINK("CSG0.html#group1A0", "1A⁰"), =HYPERLINK("CSG0.html#group6D0", "6D⁰")</f>
        <v/>
      </c>
      <c r="N1734">
        <f>HYPERLINK("CSG19.html#group24M19", "24M¹⁹"), =HYPERLINK("CSG19.html#group24S19", "24S¹⁹"), =HYPERLINK("CSG17.html#group24AK17", "24AK¹⁷"), =HYPERLINK("CSG17.html#group24AC17", "24AC¹⁷"), =HYPERLINK("CSG17.html#group24AL17", "24AL¹⁷"), =HYPERLINK("CSG15.html#group24O15", "24O¹⁵"), =HYPERLINK("CSG17.html#group24AB17", "24AB¹⁷")</f>
        <v/>
      </c>
    </row>
    <row r="1735">
      <c r="A1735" t="inlineStr">
        <is>
          <t>25A⁸</t>
        </is>
      </c>
      <c r="B1735" t="inlineStr"/>
      <c r="C1735" t="inlineStr">
        <is>
          <t>150</t>
        </is>
      </c>
      <c r="D1735" t="inlineStr">
        <is>
          <t>1</t>
        </is>
      </c>
      <c r="E1735" t="inlineStr">
        <is>
          <t>150</t>
        </is>
      </c>
      <c r="F1735" t="inlineStr">
        <is>
          <t>2</t>
        </is>
      </c>
      <c r="G1735" t="inlineStr">
        <is>
          <t>0</t>
        </is>
      </c>
      <c r="H1735" t="inlineStr">
        <is>
          <t>5⁵, 25⁵</t>
        </is>
      </c>
      <c r="I1735" t="n">
        <v>10</v>
      </c>
      <c r="J1735" t="inlineStr">
        <is>
          <t>1², 4¹², 20⁵</t>
        </is>
      </c>
      <c r="K1735">
        <f>HYPERLINK("CSG0.html#group5G0", "5G⁰"), =HYPERLINK("CSG0.html#group25A0", "25A⁰"), =HYPERLINK("CSG2.html#group25A2", "25A²"), =HYPERLINK("CSG2.html#group25B2", "25B²"), =HYPERLINK("CSG2.html#group25C2", "25C²"), =HYPERLINK("CSG2.html#group25D2", "25D²")</f>
        <v/>
      </c>
      <c r="L1735">
        <f>HYPERLINK("CSG16.html#group25A16", "25A¹⁶"), =HYPERLINK("CSG20.html#group50A20", "50A²⁰"), =HYPERLINK("CSG21.html#group50E21", "50E²¹")</f>
        <v/>
      </c>
      <c r="M1735">
        <f>HYPERLINK("CSG0.html#group5A0", "5A⁰"), =HYPERLINK("CSG2.html#group25A2", "25A²"), =HYPERLINK("CSG2.html#group25D2", "25D²"), =HYPERLINK("CSG0.html#group5C0", "5C⁰"), =HYPERLINK("CSG0.html#group25A0", "25A⁰"), =HYPERLINK("CSG0.html#group5B0", "5B⁰"), =HYPERLINK("CSG0.html#group5E0", "5E⁰"), =HYPERLINK("CSG0.html#group1A0", "1A⁰"), =HYPERLINK("CSG2.html#group25C2", "25C²"), =HYPERLINK("CSG0.html#group5G0", "5G⁰"), =HYPERLINK("CSG2.html#group25B2", "25B²")</f>
        <v/>
      </c>
      <c r="N1735">
        <f>HYPERLINK("CSG21.html#group50E21", "50E²¹"), =HYPERLINK("CSG20.html#group50A20", "50A²⁰"), =HYPERLINK("CSG16.html#group25A16", "25A¹⁶")</f>
        <v/>
      </c>
    </row>
    <row r="1736">
      <c r="A1736" t="inlineStr">
        <is>
          <t>26A⁸</t>
        </is>
      </c>
      <c r="B1736" t="inlineStr"/>
      <c r="C1736" t="inlineStr">
        <is>
          <t>156</t>
        </is>
      </c>
      <c r="D1736" t="inlineStr">
        <is>
          <t>1</t>
        </is>
      </c>
      <c r="E1736" t="inlineStr">
        <is>
          <t>78</t>
        </is>
      </c>
      <c r="F1736" t="inlineStr">
        <is>
          <t>12</t>
        </is>
      </c>
      <c r="G1736" t="inlineStr">
        <is>
          <t>0</t>
        </is>
      </c>
      <c r="H1736" t="inlineStr">
        <is>
          <t>26⁶</t>
        </is>
      </c>
      <c r="I1736" t="n">
        <v>6</v>
      </c>
      <c r="J1736" t="inlineStr">
        <is>
          <t>6¹, 12⁶</t>
        </is>
      </c>
      <c r="K1736">
        <f>HYPERLINK("CSG3.html#group13A3", "13A³")</f>
        <v/>
      </c>
      <c r="L1736">
        <f>HYPERLINK("CSG21.html#group26A21", "26A²¹"), =HYPERLINK("CSG21.html#group52B21", "52B²¹")</f>
        <v/>
      </c>
      <c r="M1736">
        <f>HYPERLINK("CSG3.html#group13A3", "13A³"), =HYPERLINK("CSG0.html#group1A0", "1A⁰")</f>
        <v/>
      </c>
      <c r="N1736">
        <f>HYPERLINK("CSG21.html#group26A21", "26A²¹"), =HYPERLINK("CSG21.html#group52B21", "52B²¹")</f>
        <v/>
      </c>
    </row>
    <row r="1737">
      <c r="A1737" t="inlineStr">
        <is>
          <t>27A⁸</t>
        </is>
      </c>
      <c r="B1737" t="inlineStr"/>
      <c r="C1737" t="inlineStr">
        <is>
          <t>162</t>
        </is>
      </c>
      <c r="D1737" t="inlineStr">
        <is>
          <t>1</t>
        </is>
      </c>
      <c r="E1737" t="inlineStr">
        <is>
          <t>162</t>
        </is>
      </c>
      <c r="F1737" t="inlineStr">
        <is>
          <t>2</t>
        </is>
      </c>
      <c r="G1737" t="inlineStr">
        <is>
          <t>0</t>
        </is>
      </c>
      <c r="H1737" t="inlineStr">
        <is>
          <t>9⁹, 27³</t>
        </is>
      </c>
      <c r="I1737" t="n">
        <v>12</v>
      </c>
      <c r="J1737" t="inlineStr">
        <is>
          <t>3¹, 6⁴, 9¹, 18⁷</t>
        </is>
      </c>
      <c r="K1737">
        <f>HYPERLINK("CSG2.html#group9B2", "9B²")</f>
        <v/>
      </c>
      <c r="L1737">
        <f>HYPERLINK("CSG16.html#group27A16", "27A¹⁶"), =HYPERLINK("CSG21.html#group54A21", "54A²¹"), =HYPERLINK("CSG22.html#group27C22", "27C²²"), =HYPERLINK("CSG22.html#group54H22", "54H²²")</f>
        <v/>
      </c>
      <c r="M1737">
        <f>HYPERLINK("CSG0.html#group9A0", "9A⁰"), =HYPERLINK("CSG0.html#group9G0", "9G⁰"), =HYPERLINK("CSG0.html#group3C0", "3C⁰"), =HYPERLINK("CSG2.html#group9B2", "9B²"), =HYPERLINK("CSG0.html#group9E0", "9E⁰"), =HYPERLINK("CSG0.html#group3A0", "3A⁰"), =HYPERLINK("CSG0.html#group1A0", "1A⁰"), =HYPERLINK("CSG1.html#group9B1", "9B¹")</f>
        <v/>
      </c>
      <c r="N1737">
        <f>HYPERLINK("CSG16.html#group27A16", "27A¹⁶"), =HYPERLINK("CSG22.html#group27C22", "27C²²"), =HYPERLINK("CSG22.html#group54H22", "54H²²"), =HYPERLINK("CSG21.html#group54A21", "54A²¹")</f>
        <v/>
      </c>
    </row>
    <row r="1738">
      <c r="A1738" t="inlineStr">
        <is>
          <t>28A⁸</t>
        </is>
      </c>
      <c r="B1738" t="inlineStr"/>
      <c r="C1738" t="inlineStr">
        <is>
          <t>126</t>
        </is>
      </c>
      <c r="D1738" t="inlineStr">
        <is>
          <t>1</t>
        </is>
      </c>
      <c r="E1738" t="inlineStr">
        <is>
          <t>63</t>
        </is>
      </c>
      <c r="F1738" t="inlineStr">
        <is>
          <t>2</t>
        </is>
      </c>
      <c r="G1738" t="inlineStr">
        <is>
          <t>0</t>
        </is>
      </c>
      <c r="H1738" t="inlineStr">
        <is>
          <t>14³, 28³</t>
        </is>
      </c>
      <c r="I1738" t="n">
        <v>6</v>
      </c>
      <c r="J1738" t="inlineStr">
        <is>
          <t>3³, 6⁹</t>
        </is>
      </c>
      <c r="K1738">
        <f>HYPERLINK("CSG2.html#group14F2", "14F²")</f>
        <v/>
      </c>
      <c r="L1738">
        <f>HYPERLINK("CSG15.html#group28D15", "28D¹⁵"), =HYPERLINK("CSG15.html#group28G15", "28G¹⁵"), =HYPERLINK("CSG16.html#group28A16", "28A¹⁶"), =HYPERLINK("CSG16.html#group28B16", "28B¹⁶"), =HYPERLINK("CSG16.html#group28D16", "28D¹⁶")</f>
        <v/>
      </c>
      <c r="M1738">
        <f>HYPERLINK("CSG2.html#group14F2", "14F²"), =HYPERLINK("CSG0.html#group2B0", "2B⁰"), =HYPERLINK("CSG0.html#group7D0", "7D⁰"), =HYPERLINK("CSG1.html#group14B1", "14B¹"), =HYPERLINK("CSG0.html#group1A0", "1A⁰"), =HYPERLINK("CSG0.html#group7A0", "7A⁰")</f>
        <v/>
      </c>
      <c r="N1738">
        <f>HYPERLINK("CSG15.html#group28G15", "28G¹⁵"), =HYPERLINK("CSG15.html#group28D15", "28D¹⁵"), =HYPERLINK("CSG16.html#group28B16", "28B¹⁶"), =HYPERLINK("CSG16.html#group28D16", "28D¹⁶"), =HYPERLINK("CSG16.html#group28A16", "28A¹⁶")</f>
        <v/>
      </c>
    </row>
    <row r="1739">
      <c r="A1739" t="inlineStr">
        <is>
          <t>28B⁸</t>
        </is>
      </c>
      <c r="B1739" t="inlineStr"/>
      <c r="C1739" t="inlineStr">
        <is>
          <t>168</t>
        </is>
      </c>
      <c r="D1739" t="inlineStr">
        <is>
          <t>1</t>
        </is>
      </c>
      <c r="E1739" t="inlineStr">
        <is>
          <t>84</t>
        </is>
      </c>
      <c r="F1739" t="inlineStr">
        <is>
          <t>16</t>
        </is>
      </c>
      <c r="G1739" t="inlineStr">
        <is>
          <t>0</t>
        </is>
      </c>
      <c r="H1739" t="inlineStr">
        <is>
          <t>28⁶</t>
        </is>
      </c>
      <c r="I1739" t="n">
        <v>6</v>
      </c>
      <c r="J1739" t="inlineStr">
        <is>
          <t>6², 12⁶</t>
        </is>
      </c>
      <c r="K1739">
        <f>HYPERLINK("CSG1.html#group14E1", "14E¹"), =HYPERLINK("CSG4.html#group28B4", "28B⁴")</f>
        <v/>
      </c>
      <c r="L1739">
        <f>HYPERLINK("CSG19.html#group28C19", "28C¹⁹"), =HYPERLINK("CSG22.html#group56A22", "56A²²"), =HYPERLINK("CSG22.html#group56B22", "56B²²"), =HYPERLINK("CSG22.html#group56H22", "56H²²"), =HYPERLINK("CSG23.html#group28B23", "28B²³")</f>
        <v/>
      </c>
      <c r="M1739">
        <f>HYPERLINK("CSG1.html#group14E1", "14E¹"), =HYPERLINK("CSG0.html#group7D0", "7D⁰"), =HYPERLINK("CSG0.html#group4A0", "4A⁰"), =HYPERLINK("CSG4.html#group28B4", "28B⁴"), =HYPERLINK("CSG1.html#group28A1", "28A¹"), =HYPERLINK("CSG0.html#group1A0", "1A⁰"), =HYPERLINK("CSG0.html#group7A0", "7A⁰")</f>
        <v/>
      </c>
      <c r="N1739">
        <f>HYPERLINK("CSG22.html#group56B22", "56B²²"), =HYPERLINK("CSG22.html#group56A22", "56A²²"), =HYPERLINK("CSG22.html#group56H22", "56H²²"), =HYPERLINK("CSG19.html#group28C19", "28C¹⁹"), =HYPERLINK("CSG23.html#group28B23", "28B²³")</f>
        <v/>
      </c>
    </row>
    <row r="1740">
      <c r="A1740" t="inlineStr">
        <is>
          <t>29A⁸</t>
        </is>
      </c>
      <c r="B1740" t="inlineStr"/>
      <c r="C1740" t="inlineStr">
        <is>
          <t>210</t>
        </is>
      </c>
      <c r="D1740" t="inlineStr">
        <is>
          <t>1</t>
        </is>
      </c>
      <c r="E1740" t="inlineStr">
        <is>
          <t>30</t>
        </is>
      </c>
      <c r="F1740" t="inlineStr">
        <is>
          <t>14</t>
        </is>
      </c>
      <c r="G1740" t="inlineStr">
        <is>
          <t>0</t>
        </is>
      </c>
      <c r="H1740" t="inlineStr">
        <is>
          <t>1⁷, 29⁷</t>
        </is>
      </c>
      <c r="I1740" t="n">
        <v>14</v>
      </c>
      <c r="J1740" t="inlineStr">
        <is>
          <t>1², 28¹</t>
        </is>
      </c>
      <c r="K1740">
        <f>HYPERLINK("CSG2.html#group29A2", "29A²")</f>
        <v/>
      </c>
      <c r="L1740">
        <f>HYPERLINK("CSG22.html#group29A22", "29A²²"), =HYPERLINK("CSG22.html#group58A22", "58A²²")</f>
        <v/>
      </c>
      <c r="M1740">
        <f>HYPERLINK("CSG0.html#group1A0", "1A⁰"), =HYPERLINK("CSG2.html#group29A2", "29A²")</f>
        <v/>
      </c>
      <c r="N1740">
        <f>HYPERLINK("CSG22.html#group29A22", "29A²²"), =HYPERLINK("CSG22.html#group58A22", "58A²²")</f>
        <v/>
      </c>
    </row>
    <row r="1741">
      <c r="A1741" t="inlineStr">
        <is>
          <t>30A⁸</t>
        </is>
      </c>
      <c r="B1741" t="inlineStr"/>
      <c r="C1741" t="inlineStr">
        <is>
          <t>120</t>
        </is>
      </c>
      <c r="D1741" t="inlineStr">
        <is>
          <t>1</t>
        </is>
      </c>
      <c r="E1741" t="inlineStr">
        <is>
          <t>20</t>
        </is>
      </c>
      <c r="F1741" t="inlineStr">
        <is>
          <t>0</t>
        </is>
      </c>
      <c r="G1741" t="inlineStr">
        <is>
          <t>0</t>
        </is>
      </c>
      <c r="H1741" t="inlineStr">
        <is>
          <t>10³, 30³</t>
        </is>
      </c>
      <c r="I1741" t="n">
        <v>6</v>
      </c>
      <c r="J1741" t="inlineStr">
        <is>
          <t>1², 2¹, 4², 8¹</t>
        </is>
      </c>
      <c r="K1741">
        <f>HYPERLINK("CSG2.html#group10A2", "10A²"), =HYPERLINK("CSG2.html#group30D2", "30D²"), =HYPERLINK("CSG3.html#group15A3", "15A³")</f>
        <v/>
      </c>
      <c r="L1741">
        <f>HYPERLINK("CSG15.html#group30C15", "30C¹⁵"), =HYPERLINK("CSG18.html#group60A18", "60A¹⁸"), =HYPERLINK("CSG18.html#group60C18", "60C¹⁸"), =HYPERLINK("CSG22.html#group30A22", "30A²²")</f>
        <v/>
      </c>
      <c r="M1741">
        <f>HYPERLINK("CSG0.html#group3B0", "3B⁰"), =HYPERLINK("CSG3.html#group15A3", "15A³"), =HYPERLINK("CSG0.html#group5A0", "5A⁰"), =HYPERLINK("CSG0.html#group2A0", "2A⁰"), =HYPERLINK("CSG2.html#group10A2", "10A²"), =HYPERLINK("CSG0.html#group10A0", "10A⁰"), =HYPERLINK("CSG2.html#group30D2", "30D²"), =HYPERLINK("CSG0.html#group6C0", "6C⁰"), =HYPERLINK("CSG0.html#group5E0", "5E⁰"), =HYPERLINK("CSG1.html#group15B1", "15B¹"), =HYPERLINK("CSG0.html#group1A0", "1A⁰")</f>
        <v/>
      </c>
      <c r="N1741">
        <f>HYPERLINK("CSG18.html#group60C18", "60C¹⁸"), =HYPERLINK("CSG18.html#group60A18", "60A¹⁸"), =HYPERLINK("CSG15.html#group30C15", "30C¹⁵"), =HYPERLINK("CSG22.html#group30A22", "30A²²")</f>
        <v/>
      </c>
    </row>
    <row r="1742">
      <c r="A1742" t="inlineStr">
        <is>
          <t>30B⁸</t>
        </is>
      </c>
      <c r="B1742" t="inlineStr"/>
      <c r="C1742" t="inlineStr">
        <is>
          <t>120</t>
        </is>
      </c>
      <c r="D1742" t="inlineStr">
        <is>
          <t>1</t>
        </is>
      </c>
      <c r="E1742" t="inlineStr">
        <is>
          <t>20</t>
        </is>
      </c>
      <c r="F1742" t="inlineStr">
        <is>
          <t>0</t>
        </is>
      </c>
      <c r="G1742" t="inlineStr">
        <is>
          <t>0</t>
        </is>
      </c>
      <c r="H1742" t="inlineStr">
        <is>
          <t>10³, 30³</t>
        </is>
      </c>
      <c r="I1742" t="n">
        <v>6</v>
      </c>
      <c r="J1742" t="inlineStr">
        <is>
          <t>1², 2¹, 4², 8¹</t>
        </is>
      </c>
      <c r="K1742">
        <f>HYPERLINK("CSG0.html#group6I0", "6I⁰"), =HYPERLINK("CSG2.html#group10B2", "10B²"), =HYPERLINK("CSG2.html#group30D2", "30D²"), =HYPERLINK("CSG4.html#group30D4", "30D⁴")</f>
        <v/>
      </c>
      <c r="L1742">
        <f>HYPERLINK("CSG16.html#group60A16", "60A¹⁶"), =HYPERLINK("CSG17.html#group60B17", "60B¹⁷"), =HYPERLINK("CSG18.html#group60B18", "60B¹⁸"), =HYPERLINK("CSG22.html#group30A22", "30A²²")</f>
        <v/>
      </c>
      <c r="M1742">
        <f>HYPERLINK("CSG0.html#group3B0", "3B⁰"), =HYPERLINK("CSG0.html#group2A0", "2A⁰"), =HYPERLINK("CSG0.html#group5A0", "5A⁰"), =HYPERLINK("CSG0.html#group6I0", "6I⁰"), =HYPERLINK("CSG1.html#group10B1", "10B¹"), =HYPERLINK("CSG2.html#group30D2", "30D²"), =HYPERLINK("CSG0.html#group6C0", "6C⁰"), =HYPERLINK("CSG0.html#group2B0", "2B⁰"), =HYPERLINK("CSG2.html#group10B2", "10B²"), =HYPERLINK("CSG0.html#group1A0", "1A⁰"), =HYPERLINK("CSG0.html#group10A0", "10A⁰"), =HYPERLINK("CSG4.html#group30D4", "30D⁴"), =HYPERLINK("CSG1.html#group15B1", "15B¹"), =HYPERLINK("CSG0.html#group6F0", "6F⁰"), =HYPERLINK("CSG0.html#group2C0", "2C⁰")</f>
        <v/>
      </c>
      <c r="N1742">
        <f>HYPERLINK("CSG22.html#group30A22", "30A²²"), =HYPERLINK("CSG17.html#group60B17", "60B¹⁷"), =HYPERLINK("CSG18.html#group60B18", "60B¹⁸"), =HYPERLINK("CSG16.html#group60A16", "60A¹⁶")</f>
        <v/>
      </c>
    </row>
    <row r="1743">
      <c r="A1743" t="inlineStr">
        <is>
          <t>30C⁸</t>
        </is>
      </c>
      <c r="B1743" t="inlineStr"/>
      <c r="C1743" t="inlineStr">
        <is>
          <t>120</t>
        </is>
      </c>
      <c r="D1743" t="inlineStr">
        <is>
          <t>1</t>
        </is>
      </c>
      <c r="E1743" t="inlineStr">
        <is>
          <t>40</t>
        </is>
      </c>
      <c r="F1743" t="inlineStr">
        <is>
          <t>0</t>
        </is>
      </c>
      <c r="G1743" t="inlineStr">
        <is>
          <t>3</t>
        </is>
      </c>
      <c r="H1743" t="inlineStr">
        <is>
          <t>30⁴</t>
        </is>
      </c>
      <c r="I1743" t="n">
        <v>4</v>
      </c>
      <c r="J1743" t="inlineStr">
        <is>
          <t>8⁵</t>
        </is>
      </c>
      <c r="K1743">
        <f>HYPERLINK("CSG1.html#group10H1", "10H¹"), =HYPERLINK("CSG2.html#group30B2", "30B²")</f>
        <v/>
      </c>
      <c r="L1743">
        <f>HYPERLINK("CSG17.html#group60A17", "60A¹⁷"), =HYPERLINK("CSG22.html#group30B22", "30B²²")</f>
        <v/>
      </c>
      <c r="M1743">
        <f>HYPERLINK("CSG1.html#group10H1", "10H¹"), =HYPERLINK("CSG2.html#group30B2", "30B²"), =HYPERLINK("CSG0.html#group2A0", "2A⁰"), =HYPERLINK("CSG0.html#group5A0", "5A⁰"), =HYPERLINK("CSG0.html#group10A0", "10A⁰"), =HYPERLINK("CSG0.html#group10D0", "10D⁰"), =HYPERLINK("CSG0.html#group5F0", "5F⁰"), =HYPERLINK("CSG1.html#group10C1", "10C¹"), =HYPERLINK("CSG0.html#group1A0", "1A⁰"), =HYPERLINK("CSG0.html#group5C0", "5C⁰")</f>
        <v/>
      </c>
      <c r="N1743">
        <f>HYPERLINK("CSG17.html#group60A17", "60A¹⁷"), =HYPERLINK("CSG22.html#group30B22", "30B²²")</f>
        <v/>
      </c>
    </row>
    <row r="1744">
      <c r="A1744" t="inlineStr">
        <is>
          <t>30D⁸</t>
        </is>
      </c>
      <c r="B1744" t="inlineStr"/>
      <c r="C1744" t="inlineStr">
        <is>
          <t>120</t>
        </is>
      </c>
      <c r="D1744" t="inlineStr">
        <is>
          <t>1</t>
        </is>
      </c>
      <c r="E1744" t="inlineStr">
        <is>
          <t>60</t>
        </is>
      </c>
      <c r="F1744" t="inlineStr">
        <is>
          <t>0</t>
        </is>
      </c>
      <c r="G1744" t="inlineStr">
        <is>
          <t>0</t>
        </is>
      </c>
      <c r="H1744" t="inlineStr">
        <is>
          <t>10³, 30³</t>
        </is>
      </c>
      <c r="I1744" t="n">
        <v>6</v>
      </c>
      <c r="J1744" t="inlineStr">
        <is>
          <t>1², 2³, 4⁷, 8³</t>
        </is>
      </c>
      <c r="K1744">
        <f>HYPERLINK("CSG1.html#group10E1", "10E¹"), =HYPERLINK("CSG3.html#group15A3", "15A³")</f>
        <v/>
      </c>
      <c r="L1744">
        <f>HYPERLINK("CSG15.html#group30B15", "30B¹⁵"), =HYPERLINK("CSG15.html#group30C15", "30C¹⁵"), =HYPERLINK("CSG22.html#group30C22", "30C²²")</f>
        <v/>
      </c>
      <c r="M1744">
        <f>HYPERLINK("CSG0.html#group3B0", "3B⁰"), =HYPERLINK("CSG3.html#group15A3", "15A³"), =HYPERLINK("CSG0.html#group5A0", "5A⁰"), =HYPERLINK("CSG0.html#group5E0", "5E⁰"), =HYPERLINK("CSG1.html#group15B1", "15B¹"), =HYPERLINK("CSG1.html#group10E1", "10E¹"), =HYPERLINK("CSG0.html#group1A0", "1A⁰")</f>
        <v/>
      </c>
      <c r="N1744">
        <f>HYPERLINK("CSG22.html#group30C22", "30C²²"), =HYPERLINK("CSG15.html#group30C15", "30C¹⁵"), =HYPERLINK("CSG15.html#group30B15", "30B¹⁵")</f>
        <v/>
      </c>
    </row>
    <row r="1745">
      <c r="A1745" t="inlineStr">
        <is>
          <t>30E⁸</t>
        </is>
      </c>
      <c r="B1745" t="inlineStr"/>
      <c r="C1745" t="inlineStr">
        <is>
          <t>120</t>
        </is>
      </c>
      <c r="D1745" t="inlineStr">
        <is>
          <t>2</t>
        </is>
      </c>
      <c r="E1745" t="inlineStr">
        <is>
          <t>40</t>
        </is>
      </c>
      <c r="F1745" t="inlineStr">
        <is>
          <t>0</t>
        </is>
      </c>
      <c r="G1745" t="inlineStr">
        <is>
          <t>3</t>
        </is>
      </c>
      <c r="H1745" t="inlineStr">
        <is>
          <t>30⁴</t>
        </is>
      </c>
      <c r="I1745" t="n">
        <v>4</v>
      </c>
      <c r="J1745" t="inlineStr">
        <is>
          <t>4⁴, 8⁸</t>
        </is>
      </c>
      <c r="K1745">
        <f>HYPERLINK("CSG2.html#group30B2", "30B²"), =HYPERLINK("CSG2.html#group30D2", "30D²")</f>
        <v/>
      </c>
      <c r="L1745">
        <f>HYPERLINK("CSG17.html#group60L17", "60L¹⁷"), =HYPERLINK("CSG22.html#group30D22", "30D²²")</f>
        <v/>
      </c>
      <c r="M1745">
        <f>HYPERLINK("CSG0.html#group2A0", "2A⁰"), =HYPERLINK("CSG2.html#group30B2", "30B²"), =HYPERLINK("CSG0.html#group5A0", "5A⁰"), =HYPERLINK("CSG0.html#group3B0", "3B⁰"), =HYPERLINK("CSG0.html#group10A0", "10A⁰"), =HYPERLINK("CSG2.html#group30D2", "30D²"), =HYPERLINK("CSG0.html#group6C0", "6C⁰"), =HYPERLINK("CSG1.html#group15B1", "15B¹"), =HYPERLINK("CSG0.html#group1A0", "1A⁰")</f>
        <v/>
      </c>
      <c r="N1745">
        <f>HYPERLINK("CSG17.html#group60L17", "60L¹⁷"), =HYPERLINK("CSG22.html#group30D22", "30D²²")</f>
        <v/>
      </c>
    </row>
    <row r="1746">
      <c r="A1746" t="inlineStr">
        <is>
          <t>33A⁸</t>
        </is>
      </c>
      <c r="B1746" t="inlineStr"/>
      <c r="C1746" t="inlineStr">
        <is>
          <t>165</t>
        </is>
      </c>
      <c r="D1746" t="inlineStr">
        <is>
          <t>1</t>
        </is>
      </c>
      <c r="E1746" t="inlineStr">
        <is>
          <t>55</t>
        </is>
      </c>
      <c r="F1746" t="inlineStr">
        <is>
          <t>9</t>
        </is>
      </c>
      <c r="G1746" t="inlineStr">
        <is>
          <t>6</t>
        </is>
      </c>
      <c r="H1746" t="inlineStr">
        <is>
          <t>33⁵</t>
        </is>
      </c>
      <c r="I1746" t="n">
        <v>5</v>
      </c>
      <c r="J1746" t="inlineStr">
        <is>
          <t>10¹, 20⁵</t>
        </is>
      </c>
      <c r="K1746">
        <f>HYPERLINK("CSG1.html#group11B1", "11B¹")</f>
        <v/>
      </c>
      <c r="L1746">
        <f>HYPERLINK("CSG22.html#group66A22", "66A²²")</f>
        <v/>
      </c>
      <c r="M1746">
        <f>HYPERLINK("CSG0.html#group11A0", "11A⁰"), =HYPERLINK("CSG0.html#group1A0", "1A⁰"), =HYPERLINK("CSG1.html#group11B1", "11B¹")</f>
        <v/>
      </c>
      <c r="N1746">
        <f>HYPERLINK("CSG22.html#group66A22", "66A²²")</f>
        <v/>
      </c>
    </row>
    <row r="1747">
      <c r="A1747" t="inlineStr">
        <is>
          <t>33B⁸</t>
        </is>
      </c>
      <c r="B1747" t="inlineStr"/>
      <c r="C1747" t="inlineStr">
        <is>
          <t>165</t>
        </is>
      </c>
      <c r="D1747" t="inlineStr">
        <is>
          <t>1</t>
        </is>
      </c>
      <c r="E1747" t="inlineStr">
        <is>
          <t>55</t>
        </is>
      </c>
      <c r="F1747" t="inlineStr">
        <is>
          <t>9</t>
        </is>
      </c>
      <c r="G1747" t="inlineStr">
        <is>
          <t>6</t>
        </is>
      </c>
      <c r="H1747" t="inlineStr">
        <is>
          <t>33⁵</t>
        </is>
      </c>
      <c r="I1747" t="n">
        <v>5</v>
      </c>
      <c r="J1747" t="inlineStr">
        <is>
          <t>10¹, 20⁵</t>
        </is>
      </c>
      <c r="K1747">
        <f>HYPERLINK("CSG1.html#group11B1", "11B¹")</f>
        <v/>
      </c>
      <c r="L1747">
        <f>HYPERLINK("CSG22.html#group66B22", "66B²²")</f>
        <v/>
      </c>
      <c r="M1747">
        <f>HYPERLINK("CSG0.html#group11A0", "11A⁰"), =HYPERLINK("CSG0.html#group1A0", "1A⁰"), =HYPERLINK("CSG1.html#group11B1", "11B¹")</f>
        <v/>
      </c>
      <c r="N1747">
        <f>HYPERLINK("CSG22.html#group66B22", "66B²²")</f>
        <v/>
      </c>
    </row>
    <row r="1748">
      <c r="A1748" t="inlineStr">
        <is>
          <t>35A⁸</t>
        </is>
      </c>
      <c r="B1748" t="inlineStr"/>
      <c r="C1748" t="inlineStr">
        <is>
          <t>120</t>
        </is>
      </c>
      <c r="D1748" t="inlineStr">
        <is>
          <t>1</t>
        </is>
      </c>
      <c r="E1748" t="inlineStr">
        <is>
          <t>40</t>
        </is>
      </c>
      <c r="F1748" t="inlineStr">
        <is>
          <t>0</t>
        </is>
      </c>
      <c r="G1748" t="inlineStr">
        <is>
          <t>0</t>
        </is>
      </c>
      <c r="H1748" t="inlineStr">
        <is>
          <t>5³, 35³</t>
        </is>
      </c>
      <c r="I1748" t="n">
        <v>6</v>
      </c>
      <c r="J1748" t="inlineStr">
        <is>
          <t>1², 4², 6¹, 24¹</t>
        </is>
      </c>
      <c r="K1748">
        <f>HYPERLINK("CSG0.html#group5E0", "5E⁰"), =HYPERLINK("CSG2.html#group35B2", "35B²")</f>
        <v/>
      </c>
      <c r="L1748">
        <f>HYPERLINK("CSG15.html#group35C15", "35C¹⁵"), =HYPERLINK("CSG18.html#group70A18", "70A¹⁸"), =HYPERLINK("CSG18.html#group70D18", "70D¹⁸"), =HYPERLINK("CSG22.html#group35A22", "35A²²")</f>
        <v/>
      </c>
      <c r="M1748">
        <f>HYPERLINK("CSG0.html#group5E0", "5E⁰"), =HYPERLINK("CSG0.html#group5A0", "5A⁰"), =HYPERLINK("CSG2.html#group35B2", "35B²"), =HYPERLINK("CSG0.html#group1A0", "1A⁰"), =HYPERLINK("CSG0.html#group7B0", "7B⁰")</f>
        <v/>
      </c>
      <c r="N1748">
        <f>HYPERLINK("CSG18.html#group70D18", "70D¹⁸"), =HYPERLINK("CSG18.html#group70A18", "70A¹⁸"), =HYPERLINK("CSG15.html#group35C15", "35C¹⁵"), =HYPERLINK("CSG22.html#group35A22", "35A²²")</f>
        <v/>
      </c>
    </row>
    <row r="1749">
      <c r="A1749" t="inlineStr">
        <is>
          <t>35B⁸</t>
        </is>
      </c>
      <c r="B1749" t="inlineStr"/>
      <c r="C1749" t="inlineStr">
        <is>
          <t>120</t>
        </is>
      </c>
      <c r="D1749" t="inlineStr">
        <is>
          <t>1</t>
        </is>
      </c>
      <c r="E1749" t="inlineStr">
        <is>
          <t>40</t>
        </is>
      </c>
      <c r="F1749" t="inlineStr">
        <is>
          <t>0</t>
        </is>
      </c>
      <c r="G1749" t="inlineStr">
        <is>
          <t>0</t>
        </is>
      </c>
      <c r="H1749" t="inlineStr">
        <is>
          <t>5³, 35³</t>
        </is>
      </c>
      <c r="I1749" t="n">
        <v>6</v>
      </c>
      <c r="J1749" t="inlineStr">
        <is>
          <t>1², 4², 6¹, 24¹</t>
        </is>
      </c>
      <c r="K1749">
        <f>HYPERLINK("CSG0.html#group7E0", "7E⁰"), =HYPERLINK("CSG2.html#group35B2", "35B²")</f>
        <v/>
      </c>
      <c r="L1749">
        <f>HYPERLINK("CSG18.html#group70B18", "70B¹⁸"), =HYPERLINK("CSG22.html#group35A22", "35A²²")</f>
        <v/>
      </c>
      <c r="M1749">
        <f>HYPERLINK("CSG0.html#group5A0", "5A⁰"), =HYPERLINK("CSG0.html#group7E0", "7E⁰"), =HYPERLINK("CSG2.html#group35B2", "35B²"), =HYPERLINK("CSG0.html#group1A0", "1A⁰"), =HYPERLINK("CSG0.html#group7B0", "7B⁰")</f>
        <v/>
      </c>
      <c r="N1749">
        <f>HYPERLINK("CSG18.html#group70B18", "70B¹⁸"), =HYPERLINK("CSG22.html#group35A22", "35A²²")</f>
        <v/>
      </c>
    </row>
    <row r="1750">
      <c r="A1750" t="inlineStr">
        <is>
          <t>35C⁸</t>
        </is>
      </c>
      <c r="B1750" t="inlineStr"/>
      <c r="C1750" t="inlineStr">
        <is>
          <t>140</t>
        </is>
      </c>
      <c r="D1750" t="inlineStr">
        <is>
          <t>2</t>
        </is>
      </c>
      <c r="E1750" t="inlineStr">
        <is>
          <t>70</t>
        </is>
      </c>
      <c r="F1750" t="inlineStr">
        <is>
          <t>8</t>
        </is>
      </c>
      <c r="G1750" t="inlineStr">
        <is>
          <t>2</t>
        </is>
      </c>
      <c r="H1750" t="inlineStr">
        <is>
          <t>35⁴</t>
        </is>
      </c>
      <c r="I1750" t="n">
        <v>4</v>
      </c>
      <c r="J1750" t="inlineStr">
        <is>
          <t>4¹, 8², 12², 24⁴</t>
        </is>
      </c>
      <c r="K1750">
        <f>HYPERLINK("CSG4.html#group35B4", "35B⁴")</f>
        <v/>
      </c>
      <c r="L1750">
        <f>HYPERLINK("CSG17.html#group70I17", "70I¹⁷"), =HYPERLINK("CSG19.html#group35B19", "35B¹⁹"), =HYPERLINK("CSG21.html#group70B21", "70B²¹")</f>
        <v/>
      </c>
      <c r="M1750">
        <f>HYPERLINK("CSG0.html#group5C0", "5C⁰"), =HYPERLINK("CSG0.html#group1A0", "1A⁰"), =HYPERLINK("CSG4.html#group35B4", "35B⁴"), =HYPERLINK("CSG0.html#group7A0", "7A⁰")</f>
        <v/>
      </c>
      <c r="N1750">
        <f>HYPERLINK("CSG21.html#group70B21", "70B²¹"), =HYPERLINK("CSG17.html#group70I17", "70I¹⁷"), =HYPERLINK("CSG19.html#group35B19", "35B¹⁹")</f>
        <v/>
      </c>
    </row>
    <row r="1751">
      <c r="A1751" t="inlineStr">
        <is>
          <t>36A⁸</t>
        </is>
      </c>
      <c r="B1751" t="inlineStr"/>
      <c r="C1751" t="inlineStr">
        <is>
          <t>108</t>
        </is>
      </c>
      <c r="D1751" t="inlineStr">
        <is>
          <t>1</t>
        </is>
      </c>
      <c r="E1751" t="inlineStr">
        <is>
          <t>9</t>
        </is>
      </c>
      <c r="F1751" t="inlineStr">
        <is>
          <t>0</t>
        </is>
      </c>
      <c r="G1751" t="inlineStr">
        <is>
          <t>0</t>
        </is>
      </c>
      <c r="H1751" t="inlineStr">
        <is>
          <t>18², 36²</t>
        </is>
      </c>
      <c r="I1751" t="n">
        <v>4</v>
      </c>
      <c r="J1751" t="inlineStr">
        <is>
          <t>1³, 2³</t>
        </is>
      </c>
      <c r="K1751">
        <f>HYPERLINK("CSG2.html#group12C2", "12C²"), =HYPERLINK("CSG2.html#group18I2", "18I²"), =HYPERLINK("CSG4.html#group36E4", "36E⁴")</f>
        <v/>
      </c>
      <c r="L1751">
        <f>HYPERLINK("CSG15.html#group36A15", "36A¹⁵"), =HYPERLINK("CSG15.html#group36B15", "36B¹⁵"), =HYPERLINK("CSG15.html#group36C15", "36C¹⁵"), =HYPERLINK("CSG22.html#group36A22", "36A²²"), =HYPERLINK("CSG22.html#group36H22", "36H²²")</f>
        <v/>
      </c>
      <c r="M1751">
        <f>HYPERLINK("CSG0.html#group9D0", "9D⁰"), =HYPERLINK("CSG1.html#group12C1", "12C¹"), =HYPERLINK("CSG0.html#group9A0", "9A⁰"), =HYPERLINK("CSG0.html#group6G0", "6G⁰"), =HYPERLINK("CSG4.html#group36E4", "36E⁴"), =HYPERLINK("CSG0.html#group3C0", "3C⁰"), =HYPERLINK("CSG0.html#group2B0", "2B⁰"), =HYPERLINK("CSG0.html#group1A0", "1A⁰"), =HYPERLINK("CSG1.html#group18E1", "18E¹"), =HYPERLINK("CSG0.html#group3A0", "3A⁰"), =HYPERLINK("CSG2.html#group12C2", "12C²"), =HYPERLINK("CSG2.html#group18I2", "18I²"), =HYPERLINK("CSG0.html#group6D0", "6D⁰")</f>
        <v/>
      </c>
      <c r="N1751">
        <f>HYPERLINK("CSG15.html#group36C15", "36C¹⁵"), =HYPERLINK("CSG22.html#group36H22", "36H²²"), =HYPERLINK("CSG15.html#group36A15", "36A¹⁵"), =HYPERLINK("CSG15.html#group36B15", "36B¹⁵"), =HYPERLINK("CSG22.html#group36A22", "36A²²")</f>
        <v/>
      </c>
    </row>
    <row r="1752">
      <c r="A1752" t="inlineStr">
        <is>
          <t>36B⁸</t>
        </is>
      </c>
      <c r="B1752" t="inlineStr"/>
      <c r="C1752" t="inlineStr">
        <is>
          <t>108</t>
        </is>
      </c>
      <c r="D1752" t="inlineStr">
        <is>
          <t>1</t>
        </is>
      </c>
      <c r="E1752" t="inlineStr">
        <is>
          <t>27</t>
        </is>
      </c>
      <c r="F1752" t="inlineStr">
        <is>
          <t>0</t>
        </is>
      </c>
      <c r="G1752" t="inlineStr">
        <is>
          <t>0</t>
        </is>
      </c>
      <c r="H1752" t="inlineStr">
        <is>
          <t>18², 36²</t>
        </is>
      </c>
      <c r="I1752" t="n">
        <v>4</v>
      </c>
      <c r="J1752" t="inlineStr">
        <is>
          <t>1³, 2³, 6³</t>
        </is>
      </c>
      <c r="K1752">
        <f>HYPERLINK("CSG2.html#group12B2", "12B²"), =HYPERLINK("CSG2.html#group36B2", "36B²"), =HYPERLINK("CSG4.html#group18A4", "18A⁴"), =HYPERLINK("CSG4.html#group36D4", "36D⁴")</f>
        <v/>
      </c>
      <c r="L1752">
        <f>HYPERLINK("CSG15.html#group36D15", "36D¹⁵"), =HYPERLINK("CSG15.html#group36K15", "36K¹⁵"), =HYPERLINK("CSG16.html#group36A16", "36A¹⁶"), =HYPERLINK("CSG16.html#group36B16", "36B¹⁶"), =HYPERLINK("CSG16.html#group36E16", "36E¹⁶"), =HYPERLINK("CSG16.html#group72A16", "72A¹⁶"), =HYPERLINK("CSG16.html#group72B16", "72B¹⁶"), =HYPERLINK("CSG16.html#group72G16", "72G¹⁶"), =HYPERLINK("CSG16.html#group72H16", "72H¹⁶"), =HYPERLINK("CSG16.html#group72I16", "72I¹⁶"), =HYPERLINK("CSG16.html#group72Q16", "72Q¹⁶"), =HYPERLINK("CSG17.html#group72C17", "72C¹⁷"), =HYPERLINK("CSG17.html#group72E17", "72E¹⁷"), =HYPERLINK("CSG17.html#group72K17", "72K¹⁷"), =HYPERLINK("CSG22.html#group36F22", "36F²²")</f>
        <v/>
      </c>
      <c r="M1752">
        <f>HYPERLINK("CSG0.html#group2A0", "2A⁰"), =HYPERLINK("CSG0.html#group12C0", "12C⁰"), =HYPERLINK("CSG2.html#group36B2", "36B²"), =HYPERLINK("CSG1.html#group6C1", "6C¹"), =HYPERLINK("CSG2.html#group12B2", "12B²"), =HYPERLINK("CSG0.html#group4C0", "4C⁰"), =HYPERLINK("CSG0.html#group2B0", "2B⁰"), =HYPERLINK("CSG0.html#group4E0", "4E⁰"), =HYPERLINK("CSG2.html#group18A2", "18A²"), =HYPERLINK("CSG0.html#group4B0", "4B⁰"), =HYPERLINK("CSG0.html#group1A0", "1A⁰"), =HYPERLINK("CSG0.html#group6A0", "6A⁰"), =HYPERLINK("CSG4.html#group18A4", "18A⁴"), =HYPERLINK("CSG0.html#group9A0", "9A⁰"), =HYPERLINK("CSG4.html#group36D4", "36D⁴"), =HYPERLINK("CSG1.html#group12B1", "12B¹"), =HYPERLINK("CSG1.html#group6A1", "6A¹"), =HYPERLINK("CSG1.html#group18E1", "18E¹"), =HYPERLINK("CSG0.html#group3A0", "3A⁰"), =HYPERLINK("CSG0.html#group2C0", "2C⁰"), =HYPERLINK("CSG0.html#group6D0", "6D⁰")</f>
        <v/>
      </c>
      <c r="N1752">
        <f>HYPERLINK("CSG16.html#group36E16", "36E¹⁶"), =HYPERLINK("CSG17.html#group72E17", "72E¹⁷"), =HYPERLINK("CSG16.html#group72G16", "72G¹⁶"), =HYPERLINK("CSG15.html#group36K15", "36K¹⁵"), =HYPERLINK("CSG17.html#group72C17", "72C¹⁷"), =HYPERLINK("CSG16.html#group36B16", "36B¹⁶"), =HYPERLINK("CSG16.html#group72Q16", "72Q¹⁶"), =HYPERLINK("CSG16.html#group72I16", "72I¹⁶"), =HYPERLINK("CSG16.html#group36A16", "36A¹⁶"), =HYPERLINK("CSG16.html#group72H16", "72H¹⁶"), =HYPERLINK("CSG22.html#group36F22", "36F²²"), =HYPERLINK("CSG16.html#group72B16", "72B¹⁶"), =HYPERLINK("CSG16.html#group72A16", "72A¹⁶"), =HYPERLINK("CSG15.html#group36D15", "36D¹⁵"), =HYPERLINK("CSG17.html#group72K17", "72K¹⁷")</f>
        <v/>
      </c>
    </row>
    <row r="1753">
      <c r="A1753" t="inlineStr">
        <is>
          <t>36C⁸</t>
        </is>
      </c>
      <c r="B1753" t="inlineStr"/>
      <c r="C1753" t="inlineStr">
        <is>
          <t>108</t>
        </is>
      </c>
      <c r="D1753" t="inlineStr">
        <is>
          <t>1</t>
        </is>
      </c>
      <c r="E1753" t="inlineStr">
        <is>
          <t>27</t>
        </is>
      </c>
      <c r="F1753" t="inlineStr">
        <is>
          <t>0</t>
        </is>
      </c>
      <c r="G1753" t="inlineStr">
        <is>
          <t>0</t>
        </is>
      </c>
      <c r="H1753" t="inlineStr">
        <is>
          <t>18², 36²</t>
        </is>
      </c>
      <c r="I1753" t="n">
        <v>4</v>
      </c>
      <c r="J1753" t="inlineStr">
        <is>
          <t>1³, 2³, 6³</t>
        </is>
      </c>
      <c r="K1753">
        <f>HYPERLINK("CSG2.html#group12D2", "12D²"), =HYPERLINK("CSG3.html#group18D3", "18D³"), =HYPERLINK("CSG3.html#group36E3", "36E³"), =HYPERLINK("CSG4.html#group36D4", "36D⁴")</f>
        <v/>
      </c>
      <c r="L1753">
        <f>HYPERLINK("CSG15.html#group36D15", "36D¹⁵"), =HYPERLINK("CSG15.html#group36I15", "36I¹⁵"), =HYPERLINK("CSG16.html#group72C16", "72C¹⁶"), =HYPERLINK("CSG16.html#group72D16", "72D¹⁶"), =HYPERLINK("CSG22.html#group36I22", "36I²²")</f>
        <v/>
      </c>
      <c r="M1753">
        <f>HYPERLINK("CSG0.html#group6B0", "6B⁰"), =HYPERLINK("CSG3.html#group36E3", "36E³"), =HYPERLINK("CSG2.html#group12D2", "12D²"), =HYPERLINK("CSG1.html#group18B1", "18B¹"), =HYPERLINK("CSG0.html#group2B0", "2B⁰"), =HYPERLINK("CSG0.html#group4B0", "4B⁰"), =HYPERLINK("CSG0.html#group1A0", "1A⁰"), =HYPERLINK("CSG3.html#group18D3", "18D³"), =HYPERLINK("CSG1.html#group12C1", "12C¹"), =HYPERLINK("CSG0.html#group9A0", "9A⁰"), =HYPERLINK("CSG4.html#group36D4", "36D⁴"), =HYPERLINK("CSG1.html#group18E1", "18E¹"), =HYPERLINK("CSG1.html#group12B1", "12B¹"), =HYPERLINK("CSG0.html#group6H0", "6H⁰"), =HYPERLINK("CSG0.html#group3A0", "3A⁰"), =HYPERLINK("CSG1.html#group18A1", "18A¹"), =HYPERLINK("CSG0.html#group6D0", "6D⁰")</f>
        <v/>
      </c>
      <c r="N1753">
        <f>HYPERLINK("CSG15.html#group36D15", "36D¹⁵"), =HYPERLINK("CSG16.html#group72D16", "72D¹⁶"), =HYPERLINK("CSG16.html#group72C16", "72C¹⁶"), =HYPERLINK("CSG15.html#group36I15", "36I¹⁵"), =HYPERLINK("CSG22.html#group36I22", "36I²²")</f>
        <v/>
      </c>
    </row>
    <row r="1754">
      <c r="A1754" t="inlineStr">
        <is>
          <t>36D⁸</t>
        </is>
      </c>
      <c r="B1754" t="inlineStr"/>
      <c r="C1754" t="inlineStr">
        <is>
          <t>108</t>
        </is>
      </c>
      <c r="D1754" t="inlineStr">
        <is>
          <t>1</t>
        </is>
      </c>
      <c r="E1754" t="inlineStr">
        <is>
          <t>27</t>
        </is>
      </c>
      <c r="F1754" t="inlineStr">
        <is>
          <t>0</t>
        </is>
      </c>
      <c r="G1754" t="inlineStr">
        <is>
          <t>0</t>
        </is>
      </c>
      <c r="H1754" t="inlineStr">
        <is>
          <t>18², 36²</t>
        </is>
      </c>
      <c r="I1754" t="n">
        <v>4</v>
      </c>
      <c r="J1754" t="inlineStr">
        <is>
          <t>1³, 2³, 6³</t>
        </is>
      </c>
      <c r="K1754">
        <f>HYPERLINK("CSG2.html#group12E2", "12E²"), =HYPERLINK("CSG3.html#group36D3", "36D³"), =HYPERLINK("CSG3.html#group36E3", "36E³"), =HYPERLINK("CSG4.html#group18A4", "18A⁴")</f>
        <v/>
      </c>
      <c r="L1754">
        <f>HYPERLINK("CSG15.html#group36D15", "36D¹⁵"), =HYPERLINK("CSG15.html#group36J15", "36J¹⁵"), =HYPERLINK("CSG16.html#group36B16", "36B¹⁶"), =HYPERLINK("CSG16.html#group36C16", "36C¹⁶"), =HYPERLINK("CSG22.html#group36J22", "36J²²")</f>
        <v/>
      </c>
      <c r="M1754">
        <f>HYPERLINK("CSG0.html#group2A0", "2A⁰"), =HYPERLINK("CSG3.html#group36E3", "36E³"), =HYPERLINK("CSG1.html#group6C1", "6C¹"), =HYPERLINK("CSG2.html#group12E2", "12E²"), =HYPERLINK("CSG0.html#group2B0", "2B⁰"), =HYPERLINK("CSG2.html#group18A2", "18A²"), =HYPERLINK("CSG0.html#group1A0", "1A⁰"), =HYPERLINK("CSG1.html#group12C1", "12C¹"), =HYPERLINK("CSG0.html#group6A0", "6A⁰"), =HYPERLINK("CSG4.html#group18A4", "18A⁴"), =HYPERLINK("CSG3.html#group36D3", "36D³"), =HYPERLINK("CSG0.html#group9A0", "9A⁰"), =HYPERLINK("CSG1.html#group6A1", "6A¹"), =HYPERLINK("CSG0.html#group12D0", "12D⁰"), =HYPERLINK("CSG1.html#group18E1", "18E¹"), =HYPERLINK("CSG0.html#group3A0", "3A⁰"), =HYPERLINK("CSG0.html#group2C0", "2C⁰"), =HYPERLINK("CSG0.html#group6D0", "6D⁰")</f>
        <v/>
      </c>
      <c r="N1754">
        <f>HYPERLINK("CSG16.html#group36C16", "36C¹⁶"), =HYPERLINK("CSG15.html#group36D15", "36D¹⁵"), =HYPERLINK("CSG16.html#group36B16", "36B¹⁶"), =HYPERLINK("CSG22.html#group36J22", "36J²²"), =HYPERLINK("CSG15.html#group36J15", "36J¹⁵")</f>
        <v/>
      </c>
    </row>
    <row r="1755">
      <c r="A1755" t="inlineStr">
        <is>
          <t>36E⁸</t>
        </is>
      </c>
      <c r="B1755" t="inlineStr"/>
      <c r="C1755" t="inlineStr">
        <is>
          <t>108</t>
        </is>
      </c>
      <c r="D1755" t="inlineStr">
        <is>
          <t>2</t>
        </is>
      </c>
      <c r="E1755" t="inlineStr">
        <is>
          <t>27</t>
        </is>
      </c>
      <c r="F1755" t="inlineStr">
        <is>
          <t>0</t>
        </is>
      </c>
      <c r="G1755" t="inlineStr">
        <is>
          <t>0</t>
        </is>
      </c>
      <c r="H1755" t="inlineStr">
        <is>
          <t>18², 36²</t>
        </is>
      </c>
      <c r="I1755" t="n">
        <v>4</v>
      </c>
      <c r="J1755" t="inlineStr">
        <is>
          <t>2⁹, 6⁶</t>
        </is>
      </c>
      <c r="K1755">
        <f>HYPERLINK("CSG2.html#group12C2", "12C²"), =HYPERLINK("CSG3.html#group18E3", "18E³"), =HYPERLINK("CSG3.html#group36E3", "36E³"), =HYPERLINK("CSG4.html#group36E4", "36E⁴")</f>
        <v/>
      </c>
      <c r="L1755">
        <f>HYPERLINK("CSG15.html#group36A15", "36A¹⁵"), =HYPERLINK("CSG15.html#group36I15", "36I¹⁵"), =HYPERLINK("CSG15.html#group36J15", "36J¹⁵"), =HYPERLINK("CSG22.html#group36C22", "36C²²"), =HYPERLINK("CSG22.html#group36H22", "36H²²")</f>
        <v/>
      </c>
      <c r="M1755">
        <f>HYPERLINK("CSG3.html#group36E3", "36E³"), =HYPERLINK("CSG1.html#group12C1", "12C¹"), =HYPERLINK("CSG0.html#group9A0", "9A⁰"), =HYPERLINK("CSG0.html#group6D0", "6D⁰"), =HYPERLINK("CSG0.html#group6G0", "6G⁰"), =HYPERLINK("CSG4.html#group36E4", "36E⁴"), =HYPERLINK("CSG0.html#group1A0", "1A⁰"), =HYPERLINK("CSG0.html#group2B0", "2B⁰"), =HYPERLINK("CSG0.html#group3C0", "3C⁰"), =HYPERLINK("CSG1.html#group18E1", "18E¹"), =HYPERLINK("CSG0.html#group3A0", "3A⁰"), =HYPERLINK("CSG2.html#group12C2", "12C²"), =HYPERLINK("CSG1.html#group9B1", "9B¹"), =HYPERLINK("CSG3.html#group18E3", "18E³")</f>
        <v/>
      </c>
      <c r="N1755">
        <f>HYPERLINK("CSG22.html#group36H22", "36H²²"), =HYPERLINK("CSG15.html#group36J15", "36J¹⁵"), =HYPERLINK("CSG15.html#group36A15", "36A¹⁵"), =HYPERLINK("CSG22.html#group36C22", "36C²²"), =HYPERLINK("CSG15.html#group36I15", "36I¹⁵")</f>
        <v/>
      </c>
    </row>
    <row r="1756">
      <c r="A1756" t="inlineStr">
        <is>
          <t>36F⁸</t>
        </is>
      </c>
      <c r="B1756" t="inlineStr"/>
      <c r="C1756" t="inlineStr">
        <is>
          <t>108</t>
        </is>
      </c>
      <c r="D1756" t="inlineStr">
        <is>
          <t>2</t>
        </is>
      </c>
      <c r="E1756" t="inlineStr">
        <is>
          <t>27</t>
        </is>
      </c>
      <c r="F1756" t="inlineStr">
        <is>
          <t>0</t>
        </is>
      </c>
      <c r="G1756" t="inlineStr">
        <is>
          <t>0</t>
        </is>
      </c>
      <c r="H1756" t="inlineStr">
        <is>
          <t>18², 36²</t>
        </is>
      </c>
      <c r="I1756" t="n">
        <v>4</v>
      </c>
      <c r="J1756" t="inlineStr">
        <is>
          <t>2⁹, 6⁶</t>
        </is>
      </c>
      <c r="K1756">
        <f>HYPERLINK("CSG2.html#group12D2", "12D²"), =HYPERLINK("CSG2.html#group18L2", "18L²"), =HYPERLINK("CSG4.html#group36D4", "36D⁴"), =HYPERLINK("CSG4.html#group36E4", "36E⁴")</f>
        <v/>
      </c>
      <c r="L1756">
        <f>HYPERLINK("CSG15.html#group36B15", "36B¹⁵"), =HYPERLINK("CSG15.html#group36I15", "36I¹⁵"), =HYPERLINK("CSG15.html#group36K15", "36K¹⁵"), =HYPERLINK("CSG16.html#group72K16", "72K¹⁶"), =HYPERLINK("CSG16.html#group72J16", "72J¹⁶"), =HYPERLINK("CSG22.html#group36D22", "36D²²"), =HYPERLINK("CSG22.html#group36I22", "36I²²")</f>
        <v/>
      </c>
      <c r="M1756">
        <f>HYPERLINK("CSG0.html#group6B0", "6B⁰"), =HYPERLINK("CSG2.html#group12D2", "12D²"), =HYPERLINK("CSG0.html#group6H0", "6H⁰"), =HYPERLINK("CSG4.html#group36E4", "36E⁴"), =HYPERLINK("CSG0.html#group2B0", "2B⁰"), =HYPERLINK("CSG0.html#group4B0", "4B⁰"), =HYPERLINK("CSG0.html#group1A0", "1A⁰"), =HYPERLINK("CSG0.html#group18A0", "18A⁰"), =HYPERLINK("CSG2.html#group18L2", "18L²"), =HYPERLINK("CSG1.html#group12C1", "12C¹"), =HYPERLINK("CSG0.html#group9A0", "9A⁰"), =HYPERLINK("CSG4.html#group36D4", "36D⁴"), =HYPERLINK("CSG1.html#group12B1", "12B¹"), =HYPERLINK("CSG1.html#group18E1", "18E¹"), =HYPERLINK("CSG0.html#group3A0", "3A⁰"), =HYPERLINK("CSG0.html#group6D0", "6D⁰")</f>
        <v/>
      </c>
      <c r="N1756">
        <f>HYPERLINK("CSG15.html#group36K15", "36K¹⁵"), =HYPERLINK("CSG15.html#group36B15", "36B¹⁵"), =HYPERLINK("CSG22.html#group36D22", "36D²²"), =HYPERLINK("CSG16.html#group72J16", "72J¹⁶"), =HYPERLINK("CSG16.html#group72K16", "72K¹⁶"), =HYPERLINK("CSG15.html#group36I15", "36I¹⁵"), =HYPERLINK("CSG22.html#group36I22", "36I²²")</f>
        <v/>
      </c>
    </row>
    <row r="1757">
      <c r="A1757" t="inlineStr">
        <is>
          <t>36G⁸</t>
        </is>
      </c>
      <c r="B1757" t="inlineStr"/>
      <c r="C1757" t="inlineStr">
        <is>
          <t>108</t>
        </is>
      </c>
      <c r="D1757" t="inlineStr">
        <is>
          <t>2</t>
        </is>
      </c>
      <c r="E1757" t="inlineStr">
        <is>
          <t>27</t>
        </is>
      </c>
      <c r="F1757" t="inlineStr">
        <is>
          <t>0</t>
        </is>
      </c>
      <c r="G1757" t="inlineStr">
        <is>
          <t>0</t>
        </is>
      </c>
      <c r="H1757" t="inlineStr">
        <is>
          <t>18², 36²</t>
        </is>
      </c>
      <c r="I1757" t="n">
        <v>4</v>
      </c>
      <c r="J1757" t="inlineStr">
        <is>
          <t>2⁹, 6⁶</t>
        </is>
      </c>
      <c r="K1757">
        <f>HYPERLINK("CSG2.html#group12E2", "12E²"), =HYPERLINK("CSG2.html#group36C2", "36C²"), =HYPERLINK("CSG4.html#group18A4", "18A⁴"), =HYPERLINK("CSG4.html#group36E4", "36E⁴")</f>
        <v/>
      </c>
      <c r="L1757">
        <f>HYPERLINK("CSG15.html#group36C15", "36C¹⁵"), =HYPERLINK("CSG15.html#group36K15", "36K¹⁵"), =HYPERLINK("CSG15.html#group36J15", "36J¹⁵"), =HYPERLINK("CSG16.html#group36C16", "36C¹⁶"), =HYPERLINK("CSG16.html#group36E16", "36E¹⁶"), =HYPERLINK("CSG22.html#group36E22", "36E²²"), =HYPERLINK("CSG22.html#group36J22", "36J²²")</f>
        <v/>
      </c>
      <c r="M1757">
        <f>HYPERLINK("CSG0.html#group2A0", "2A⁰"), =HYPERLINK("CSG1.html#group6C1", "6C¹"), =HYPERLINK("CSG2.html#group12E2", "12E²"), =HYPERLINK("CSG4.html#group36E4", "36E⁴"), =HYPERLINK("CSG0.html#group2B0", "2B⁰"), =HYPERLINK("CSG2.html#group18A2", "18A²"), =HYPERLINK("CSG0.html#group1A0", "1A⁰"), =HYPERLINK("CSG1.html#group12C1", "12C¹"), =HYPERLINK("CSG0.html#group6A0", "6A⁰"), =HYPERLINK("CSG4.html#group18A4", "18A⁴"), =HYPERLINK("CSG0.html#group9A0", "9A⁰"), =HYPERLINK("CSG1.html#group6A1", "6A¹"), =HYPERLINK("CSG0.html#group12D0", "12D⁰"), =HYPERLINK("CSG1.html#group18E1", "18E¹"), =HYPERLINK("CSG0.html#group3A0", "3A⁰"), =HYPERLINK("CSG0.html#group2C0", "2C⁰"), =HYPERLINK("CSG0.html#group6D0", "6D⁰"), =HYPERLINK("CSG2.html#group36C2", "36C²")</f>
        <v/>
      </c>
      <c r="N1757">
        <f>HYPERLINK("CSG16.html#group36E16", "36E¹⁶"), =HYPERLINK("CSG15.html#group36C15", "36C¹⁵"), =HYPERLINK("CSG16.html#group36C16", "36C¹⁶"), =HYPERLINK("CSG15.html#group36K15", "36K¹⁵"), =HYPERLINK("CSG22.html#group36J22", "36J²²"), =HYPERLINK("CSG15.html#group36J15", "36J¹⁵"), =HYPERLINK("CSG22.html#group36E22", "36E²²")</f>
        <v/>
      </c>
    </row>
    <row r="1758">
      <c r="A1758" t="inlineStr">
        <is>
          <t>36H⁸</t>
        </is>
      </c>
      <c r="B1758" t="inlineStr"/>
      <c r="C1758" t="inlineStr">
        <is>
          <t>144</t>
        </is>
      </c>
      <c r="D1758" t="inlineStr">
        <is>
          <t>1</t>
        </is>
      </c>
      <c r="E1758" t="inlineStr">
        <is>
          <t>12</t>
        </is>
      </c>
      <c r="F1758" t="inlineStr">
        <is>
          <t>0</t>
        </is>
      </c>
      <c r="G1758" t="inlineStr">
        <is>
          <t>0</t>
        </is>
      </c>
      <c r="H1758" t="inlineStr">
        <is>
          <t>6⁴, 12¹, 18⁴, 36¹</t>
        </is>
      </c>
      <c r="I1758" t="n">
        <v>10</v>
      </c>
      <c r="J1758" t="inlineStr">
        <is>
          <t>1⁶, 2³</t>
        </is>
      </c>
      <c r="K1758">
        <f>HYPERLINK("CSG0.html#group12I0", "12I⁰"), =HYPERLINK("CSG4.html#group18C4", "18C⁴")</f>
        <v/>
      </c>
      <c r="L1758">
        <f>HYPERLINK("CSG17.html#group36A17", "36A¹⁷"), =HYPERLINK("CSG19.html#group36C19", "36C¹⁹"), =HYPERLINK("CSG22.html#group36K22", "36K²²"), =HYPERLINK("CSG22.html#group36N22", "36N²²")</f>
        <v/>
      </c>
      <c r="M1758">
        <f>HYPERLINK("CSG0.html#group3B0", "3B⁰"), =HYPERLINK("CSG0.html#group2A0", "2A⁰"), =HYPERLINK("CSG0.html#group18B0", "18B⁰"), =HYPERLINK("CSG0.html#group6I0", "6I⁰"), =HYPERLINK("CSG2.html#group18C2", "18C²"), =HYPERLINK("CSG0.html#group6C0", "6C⁰"), =HYPERLINK("CSG0.html#group12I0", "12I⁰"), =HYPERLINK("CSG2.html#group18D2", "18D²"), =HYPERLINK("CSG0.html#group1A0", "1A⁰"), =HYPERLINK("CSG0.html#group2B0", "2B⁰"), =HYPERLINK("CSG0.html#group9C0", "9C⁰"), =HYPERLINK("CSG0.html#group6F0", "6F⁰"), =HYPERLINK("CSG0.html#group2C0", "2C⁰"), =HYPERLINK("CSG4.html#group18C4", "18C⁴")</f>
        <v/>
      </c>
      <c r="N1758">
        <f>HYPERLINK("CSG22.html#group36N22", "36N²²"), =HYPERLINK("CSG22.html#group36K22", "36K²²"), =HYPERLINK("CSG17.html#group36A17", "36A¹⁷"), =HYPERLINK("CSG19.html#group36C19", "36C¹⁹")</f>
        <v/>
      </c>
    </row>
    <row r="1759">
      <c r="A1759" t="inlineStr">
        <is>
          <t>36I⁸</t>
        </is>
      </c>
      <c r="B1759" t="inlineStr"/>
      <c r="C1759" t="inlineStr">
        <is>
          <t>144</t>
        </is>
      </c>
      <c r="D1759" t="inlineStr">
        <is>
          <t>1</t>
        </is>
      </c>
      <c r="E1759" t="inlineStr">
        <is>
          <t>12</t>
        </is>
      </c>
      <c r="F1759" t="inlineStr">
        <is>
          <t>0</t>
        </is>
      </c>
      <c r="G1759" t="inlineStr">
        <is>
          <t>0</t>
        </is>
      </c>
      <c r="H1759" t="inlineStr">
        <is>
          <t>6⁴, 12¹, 18⁴, 36¹</t>
        </is>
      </c>
      <c r="I1759" t="n">
        <v>10</v>
      </c>
      <c r="J1759" t="inlineStr">
        <is>
          <t>1⁶, 2³</t>
        </is>
      </c>
      <c r="K1759">
        <f>HYPERLINK("CSG0.html#group12I0", "12I⁰"), =HYPERLINK("CSG4.html#group18D4", "18D⁴")</f>
        <v/>
      </c>
      <c r="L1759">
        <f>HYPERLINK("CSG17.html#group36B17", "36B¹⁷"), =HYPERLINK("CSG19.html#group36D19", "36D¹⁹"), =HYPERLINK("CSG22.html#group36K22", "36K²²"), =HYPERLINK("CSG22.html#group36O22", "36O²²")</f>
        <v/>
      </c>
      <c r="M1759">
        <f>HYPERLINK("CSG0.html#group3B0", "3B⁰"), =HYPERLINK("CSG0.html#group2A0", "2A⁰"), =HYPERLINK("CSG2.html#group18B2", "18B²"), =HYPERLINK("CSG0.html#group6I0", "6I⁰"), =HYPERLINK("CSG1.html#group9A1", "9A¹"), =HYPERLINK("CSG0.html#group12I0", "12I⁰"), =HYPERLINK("CSG2.html#group18E2", "18E²"), =HYPERLINK("CSG0.html#group6C0", "6C⁰"), =HYPERLINK("CSG0.html#group1A0", "1A⁰"), =HYPERLINK("CSG4.html#group18D4", "18D⁴"), =HYPERLINK("CSG0.html#group2B0", "2B⁰"), =HYPERLINK("CSG0.html#group6F0", "6F⁰"), =HYPERLINK("CSG0.html#group2C0", "2C⁰"), =HYPERLINK("CSG1.html#group18D1", "18D¹")</f>
        <v/>
      </c>
      <c r="N1759">
        <f>HYPERLINK("CSG19.html#group36D19", "36D¹⁹"), =HYPERLINK("CSG17.html#group36B17", "36B¹⁷"), =HYPERLINK("CSG22.html#group36K22", "36K²²"), =HYPERLINK("CSG22.html#group36O22", "36O²²")</f>
        <v/>
      </c>
    </row>
    <row r="1760">
      <c r="A1760" t="inlineStr">
        <is>
          <t>36J⁸</t>
        </is>
      </c>
      <c r="B1760" t="inlineStr"/>
      <c r="C1760" t="inlineStr">
        <is>
          <t>144</t>
        </is>
      </c>
      <c r="D1760" t="inlineStr">
        <is>
          <t>1</t>
        </is>
      </c>
      <c r="E1760" t="inlineStr">
        <is>
          <t>24</t>
        </is>
      </c>
      <c r="F1760" t="inlineStr">
        <is>
          <t>0</t>
        </is>
      </c>
      <c r="G1760" t="inlineStr">
        <is>
          <t>0</t>
        </is>
      </c>
      <c r="H1760" t="inlineStr">
        <is>
          <t>3², 6¹, 9², 12², 18¹, 36²</t>
        </is>
      </c>
      <c r="I1760" t="n">
        <v>10</v>
      </c>
      <c r="J1760" t="inlineStr">
        <is>
          <t>1⁸, 2⁶, 4¹</t>
        </is>
      </c>
      <c r="K1760">
        <f>HYPERLINK("CSG0.html#group12J0", "12J⁰"), =HYPERLINK("CSG4.html#group36F4", "36F⁴")</f>
        <v/>
      </c>
      <c r="L1760">
        <f>HYPERLINK("CSG17.html#group36A17", "36A¹⁷"), =HYPERLINK("CSG17.html#group72O17", "72O¹⁷"), =HYPERLINK("CSG19.html#group72E19", "72E¹⁹"), =HYPERLINK("CSG22.html#group36L22", "36L²²"), =HYPERLINK("CSG22.html#group36P22", "36P²²")</f>
        <v/>
      </c>
      <c r="M1760">
        <f>HYPERLINK("CSG0.html#group3B0", "3B⁰"), =HYPERLINK("CSG0.html#group12J0", "12J⁰"), =HYPERLINK("CSG2.html#group18D2", "18D²"), =HYPERLINK("CSG4.html#group36F4", "36F⁴"), =HYPERLINK("CSG0.html#group2B0", "2B⁰"), =HYPERLINK("CSG0.html#group1A0", "1A⁰"), =HYPERLINK("CSG0.html#group9C0", "9C⁰"), =HYPERLINK("CSG0.html#group4B0", "4B⁰"), =HYPERLINK("CSG0.html#group6F0", "6F⁰"), =HYPERLINK("CSG0.html#group12E0", "12E⁰")</f>
        <v/>
      </c>
      <c r="N1760">
        <f>HYPERLINK("CSG22.html#group36L22", "36L²²"), =HYPERLINK("CSG22.html#group36P22", "36P²²"), =HYPERLINK("CSG17.html#group72O17", "72O¹⁷"), =HYPERLINK("CSG19.html#group72E19", "72E¹⁹"), =HYPERLINK("CSG17.html#group36A17", "36A¹⁷")</f>
        <v/>
      </c>
    </row>
    <row r="1761">
      <c r="A1761" t="inlineStr">
        <is>
          <t>36K⁸</t>
        </is>
      </c>
      <c r="B1761" t="inlineStr"/>
      <c r="C1761" t="inlineStr">
        <is>
          <t>144</t>
        </is>
      </c>
      <c r="D1761" t="inlineStr">
        <is>
          <t>1</t>
        </is>
      </c>
      <c r="E1761" t="inlineStr">
        <is>
          <t>24</t>
        </is>
      </c>
      <c r="F1761" t="inlineStr">
        <is>
          <t>0</t>
        </is>
      </c>
      <c r="G1761" t="inlineStr">
        <is>
          <t>0</t>
        </is>
      </c>
      <c r="H1761" t="inlineStr">
        <is>
          <t>3², 6¹, 9², 12², 18¹, 36²</t>
        </is>
      </c>
      <c r="I1761" t="n">
        <v>10</v>
      </c>
      <c r="J1761" t="inlineStr">
        <is>
          <t>1⁸, 2⁶, 4¹</t>
        </is>
      </c>
      <c r="K1761">
        <f>HYPERLINK("CSG0.html#group12J0", "12J⁰"), =HYPERLINK("CSG4.html#group36G4", "36G⁴")</f>
        <v/>
      </c>
      <c r="L1761">
        <f>HYPERLINK("CSG17.html#group36B17", "36B¹⁷"), =HYPERLINK("CSG17.html#group72P17", "72P¹⁷"), =HYPERLINK("CSG19.html#group72F19", "72F¹⁹"), =HYPERLINK("CSG22.html#group36L22", "36L²²"), =HYPERLINK("CSG22.html#group36Q22", "36Q²²")</f>
        <v/>
      </c>
      <c r="M1761">
        <f>HYPERLINK("CSG0.html#group3B0", "3B⁰"), =HYPERLINK("CSG1.html#group9A1", "9A¹"), =HYPERLINK("CSG2.html#group18E2", "18E²"), =HYPERLINK("CSG0.html#group12J0", "12J⁰"), =HYPERLINK("CSG4.html#group36G4", "36G⁴"), =HYPERLINK("CSG0.html#group1A0", "1A⁰"), =HYPERLINK("CSG0.html#group2B0", "2B⁰"), =HYPERLINK("CSG0.html#group4B0", "4B⁰"), =HYPERLINK("CSG0.html#group6F0", "6F⁰"), =HYPERLINK("CSG0.html#group12E0", "12E⁰")</f>
        <v/>
      </c>
      <c r="N1761">
        <f>HYPERLINK("CSG17.html#group72P17", "72P¹⁷"), =HYPERLINK("CSG22.html#group36L22", "36L²²"), =HYPERLINK("CSG17.html#group36B17", "36B¹⁷"), =HYPERLINK("CSG19.html#group72F19", "72F¹⁹"), =HYPERLINK("CSG22.html#group36Q22", "36Q²²")</f>
        <v/>
      </c>
    </row>
    <row r="1762">
      <c r="A1762" t="inlineStr">
        <is>
          <t>36L⁸</t>
        </is>
      </c>
      <c r="B1762" t="inlineStr"/>
      <c r="C1762" t="inlineStr">
        <is>
          <t>162</t>
        </is>
      </c>
      <c r="D1762" t="inlineStr">
        <is>
          <t>1</t>
        </is>
      </c>
      <c r="E1762" t="inlineStr">
        <is>
          <t>81</t>
        </is>
      </c>
      <c r="F1762" t="inlineStr">
        <is>
          <t>14</t>
        </is>
      </c>
      <c r="G1762" t="inlineStr">
        <is>
          <t>0</t>
        </is>
      </c>
      <c r="H1762" t="inlineStr">
        <is>
          <t>18³, 36³</t>
        </is>
      </c>
      <c r="I1762" t="n">
        <v>6</v>
      </c>
      <c r="J1762" t="inlineStr">
        <is>
          <t>3³, 6¹²</t>
        </is>
      </c>
      <c r="K1762">
        <f>HYPERLINK("CSG2.html#group36B2", "36B²"), =HYPERLINK("CSG3.html#group18J3", "18J³")</f>
        <v/>
      </c>
      <c r="L1762">
        <f>HYPERLINK("CSG16.html#group36H16", "36H¹⁶"), =HYPERLINK("CSG18.html#group36B18", "36B¹⁸"), =HYPERLINK("CSG18.html#group72E18", "72E¹⁸"), =HYPERLINK("CSG19.html#group36R19", "36R¹⁹"), =HYPERLINK("CSG19.html#group72W19", "72W¹⁹"), =HYPERLINK("CSG20.html#group36A20", "36A²⁰"), =HYPERLINK("CSG20.html#group36B20", "36B²⁰"), =HYPERLINK("CSG20.html#group36C20", "36C²⁰"), =HYPERLINK("CSG20.html#group72D20", "72D²⁰"), =HYPERLINK("CSG20.html#group72E20", "72E²⁰"), =HYPERLINK("CSG20.html#group72F20", "72F²⁰"), =HYPERLINK("CSG21.html#group36C21", "36C²¹"), =HYPERLINK("CSG21.html#group72X21", "72X²¹"), =HYPERLINK("CSG22.html#group36F22", "36F²²"), =HYPERLINK("CSG22.html#group72J22", "72J²²"), =HYPERLINK("CSG24.html#group72A24", "72A²⁴")</f>
        <v/>
      </c>
      <c r="M1762">
        <f>HYPERLINK("CSG0.html#group12C0", "12C⁰"), =HYPERLINK("CSG3.html#group18J3", "18J³"), =HYPERLINK("CSG0.html#group9A0", "9A⁰"), =HYPERLINK("CSG2.html#group36B2", "36B²"), =HYPERLINK("CSG0.html#group9G0", "9G⁰"), =HYPERLINK("CSG0.html#group4C0", "4C⁰"), =HYPERLINK("CSG0.html#group2B0", "2B⁰"), =HYPERLINK("CSG1.html#group18E1", "18E¹"), =HYPERLINK("CSG0.html#group3A0", "3A⁰"), =HYPERLINK("CSG0.html#group1A0", "1A⁰"), =HYPERLINK("CSG0.html#group6D0", "6D⁰")</f>
        <v/>
      </c>
      <c r="N1762">
        <f>HYPERLINK("CSG22.html#group72J22", "72J²²"), =HYPERLINK("CSG19.html#group72W19", "72W¹⁹"), =HYPERLINK("CSG22.html#group36F22", "36F²²"), =HYPERLINK("CSG20.html#group72D20", "72D²⁰"), =HYPERLINK("CSG20.html#group36C20", "36C²⁰"), =HYPERLINK("CSG16.html#group36H16", "36H¹⁶"), =HYPERLINK("CSG18.html#group36B18", "36B¹⁸"), =HYPERLINK("CSG20.html#group72E20", "72E²⁰"), =HYPERLINK("CSG20.html#group36A20", "36A²⁰"), =HYPERLINK("CSG21.html#group72X21", "72X²¹"), =HYPERLINK("CSG19.html#group36R19", "36R¹⁹"), =HYPERLINK("CSG18.html#group72E18", "72E¹⁸"), =HYPERLINK("CSG20.html#group36B20", "36B²⁰"), =HYPERLINK("CSG20.html#group72F20", "72F²⁰"), =HYPERLINK("CSG24.html#group72A24", "72A²⁴"), =HYPERLINK("CSG21.html#group36C21", "36C²¹")</f>
        <v/>
      </c>
    </row>
    <row r="1763">
      <c r="A1763" t="inlineStr">
        <is>
          <t>36M⁸</t>
        </is>
      </c>
      <c r="B1763" t="inlineStr"/>
      <c r="C1763" t="inlineStr">
        <is>
          <t>162</t>
        </is>
      </c>
      <c r="D1763" t="inlineStr">
        <is>
          <t>2</t>
        </is>
      </c>
      <c r="E1763" t="inlineStr">
        <is>
          <t>81</t>
        </is>
      </c>
      <c r="F1763" t="inlineStr">
        <is>
          <t>8</t>
        </is>
      </c>
      <c r="G1763" t="inlineStr">
        <is>
          <t>0</t>
        </is>
      </c>
      <c r="H1763" t="inlineStr">
        <is>
          <t>9⁶, 36³</t>
        </is>
      </c>
      <c r="I1763" t="n">
        <v>9</v>
      </c>
      <c r="J1763" t="inlineStr">
        <is>
          <t>6²⁷</t>
        </is>
      </c>
      <c r="K1763">
        <f>HYPERLINK("CSG2.html#group36C2", "36C²"), =HYPERLINK("CSG3.html#group18J3", "18J³"), =HYPERLINK("CSG3.html#group36D3", "36D³")</f>
        <v/>
      </c>
      <c r="L1763">
        <f>HYPERLINK("CSG16.html#group36I16", "36I¹⁶"), =HYPERLINK("CSG18.html#group36A18", "36A¹⁸"), =HYPERLINK("CSG18.html#group36B18", "36B¹⁸"), =HYPERLINK("CSG19.html#group36Q19", "36Q¹⁹"), =HYPERLINK("CSG19.html#group36S19", "36S¹⁹"), =HYPERLINK("CSG21.html#group36D21", "36D²¹"), =HYPERLINK("CSG22.html#group36J22", "36J²²")</f>
        <v/>
      </c>
      <c r="M1763">
        <f>HYPERLINK("CSG3.html#group18J3", "18J³"), =HYPERLINK("CSG0.html#group9A0", "9A⁰"), =HYPERLINK("CSG0.html#group9G0", "9G⁰"), =HYPERLINK("CSG0.html#group2B0", "2B⁰"), =HYPERLINK("CSG0.html#group12D0", "12D⁰"), =HYPERLINK("CSG1.html#group18E1", "18E¹"), =HYPERLINK("CSG0.html#group3A0", "3A⁰"), =HYPERLINK("CSG0.html#group1A0", "1A⁰"), =HYPERLINK("CSG3.html#group36D3", "36D³"), =HYPERLINK("CSG0.html#group6D0", "6D⁰"), =HYPERLINK("CSG2.html#group36C2", "36C²")</f>
        <v/>
      </c>
      <c r="N1763">
        <f>HYPERLINK("CSG18.html#group36B18", "36B¹⁸"), =HYPERLINK("CSG18.html#group36A18", "36A¹⁸"), =HYPERLINK("CSG19.html#group36S19", "36S¹⁹"), =HYPERLINK("CSG22.html#group36J22", "36J²²"), =HYPERLINK("CSG19.html#group36Q19", "36Q¹⁹"), =HYPERLINK("CSG16.html#group36I16", "36I¹⁶"), =HYPERLINK("CSG21.html#group36D21", "36D²¹")</f>
        <v/>
      </c>
    </row>
    <row r="1764">
      <c r="A1764" t="inlineStr">
        <is>
          <t>36N⁸</t>
        </is>
      </c>
      <c r="B1764" t="inlineStr"/>
      <c r="C1764" t="inlineStr">
        <is>
          <t>216</t>
        </is>
      </c>
      <c r="D1764" t="inlineStr">
        <is>
          <t>1</t>
        </is>
      </c>
      <c r="E1764" t="inlineStr">
        <is>
          <t>54</t>
        </is>
      </c>
      <c r="F1764" t="inlineStr">
        <is>
          <t>4</t>
        </is>
      </c>
      <c r="G1764" t="inlineStr">
        <is>
          <t>0</t>
        </is>
      </c>
      <c r="H1764" t="inlineStr">
        <is>
          <t>6¹², 12³, 18⁴, 36¹</t>
        </is>
      </c>
      <c r="I1764" t="n">
        <v>20</v>
      </c>
      <c r="J1764" t="inlineStr">
        <is>
          <t>2³, 4³, 6³, 12⁶</t>
        </is>
      </c>
      <c r="K1764">
        <f>HYPERLINK("CSG1.html#group12U1", "12U¹"), =HYPERLINK("CSG3.html#group18K3", "18K³")</f>
        <v/>
      </c>
      <c r="L1764">
        <f>HYPERLINK("CSG17.html#group36I17", "36I¹⁷"), =HYPERLINK("CSG23.html#group36B23", "36B²³")</f>
        <v/>
      </c>
      <c r="M1764">
        <f>HYPERLINK("CSG1.html#group12U1", "12U¹"), =HYPERLINK("CSG0.html#group6B0", "6B⁰"), =HYPERLINK("CSG1.html#group18I1", "18I¹"), =HYPERLINK("CSG0.html#group6G0", "6G⁰"), =HYPERLINK("CSG0.html#group2B0", "2B⁰"), =HYPERLINK("CSG0.html#group9E0", "9E⁰"), =HYPERLINK("CSG0.html#group1A0", "1A⁰"), =HYPERLINK("CSG0.html#group6E0", "6E⁰"), =HYPERLINK("CSG0.html#group6L0", "6L⁰"), =HYPERLINK("CSG0.html#group3C0", "3C⁰"), =HYPERLINK("CSG3.html#group18K3", "18K³"), =HYPERLINK("CSG1.html#group18G1", "18G¹"), =HYPERLINK("CSG1.html#group18F1", "18F¹"), =HYPERLINK("CSG0.html#group6H0", "6H⁰"), =HYPERLINK("CSG0.html#group3A0", "3A⁰"), =HYPERLINK("CSG0.html#group6D0", "6D⁰")</f>
        <v/>
      </c>
      <c r="N1764">
        <f>HYPERLINK("CSG17.html#group36I17", "36I¹⁷"), =HYPERLINK("CSG23.html#group36B23", "36B²³")</f>
        <v/>
      </c>
    </row>
    <row r="1765">
      <c r="A1765" t="inlineStr">
        <is>
          <t>36O⁸</t>
        </is>
      </c>
      <c r="B1765" t="inlineStr"/>
      <c r="C1765" t="inlineStr">
        <is>
          <t>216</t>
        </is>
      </c>
      <c r="D1765" t="inlineStr">
        <is>
          <t>1</t>
        </is>
      </c>
      <c r="E1765" t="inlineStr">
        <is>
          <t>54</t>
        </is>
      </c>
      <c r="F1765" t="inlineStr">
        <is>
          <t>4</t>
        </is>
      </c>
      <c r="G1765" t="inlineStr">
        <is>
          <t>0</t>
        </is>
      </c>
      <c r="H1765" t="inlineStr">
        <is>
          <t>6¹², 12³, 18⁴, 36¹</t>
        </is>
      </c>
      <c r="I1765" t="n">
        <v>20</v>
      </c>
      <c r="J1765" t="inlineStr">
        <is>
          <t>2³, 4³, 6³, 12⁶</t>
        </is>
      </c>
      <c r="K1765">
        <f>HYPERLINK("CSG1.html#group12U1", "12U¹"), =HYPERLINK("CSG3.html#group18K3", "18K³")</f>
        <v/>
      </c>
      <c r="L1765">
        <f>HYPERLINK("CSG17.html#group36I17", "36I¹⁷"), =HYPERLINK("CSG23.html#group36C23", "36C²³")</f>
        <v/>
      </c>
      <c r="M1765">
        <f>HYPERLINK("CSG1.html#group12U1", "12U¹"), =HYPERLINK("CSG0.html#group6B0", "6B⁰"), =HYPERLINK("CSG1.html#group18I1", "18I¹"), =HYPERLINK("CSG0.html#group6G0", "6G⁰"), =HYPERLINK("CSG0.html#group2B0", "2B⁰"), =HYPERLINK("CSG0.html#group9E0", "9E⁰"), =HYPERLINK("CSG0.html#group1A0", "1A⁰"), =HYPERLINK("CSG0.html#group6E0", "6E⁰"), =HYPERLINK("CSG0.html#group6L0", "6L⁰"), =HYPERLINK("CSG0.html#group3C0", "3C⁰"), =HYPERLINK("CSG3.html#group18K3", "18K³"), =HYPERLINK("CSG1.html#group18G1", "18G¹"), =HYPERLINK("CSG1.html#group18F1", "18F¹"), =HYPERLINK("CSG0.html#group6H0", "6H⁰"), =HYPERLINK("CSG0.html#group3A0", "3A⁰"), =HYPERLINK("CSG0.html#group6D0", "6D⁰")</f>
        <v/>
      </c>
      <c r="N1765">
        <f>HYPERLINK("CSG17.html#group36I17", "36I¹⁷"), =HYPERLINK("CSG23.html#group36C23", "36C²³")</f>
        <v/>
      </c>
    </row>
    <row r="1766">
      <c r="A1766" t="inlineStr">
        <is>
          <t>38A⁸</t>
        </is>
      </c>
      <c r="B1766" t="inlineStr"/>
      <c r="C1766" t="inlineStr">
        <is>
          <t>120</t>
        </is>
      </c>
      <c r="D1766" t="inlineStr">
        <is>
          <t>1</t>
        </is>
      </c>
      <c r="E1766" t="inlineStr">
        <is>
          <t>20</t>
        </is>
      </c>
      <c r="F1766" t="inlineStr">
        <is>
          <t>0</t>
        </is>
      </c>
      <c r="G1766" t="inlineStr">
        <is>
          <t>0</t>
        </is>
      </c>
      <c r="H1766" t="inlineStr">
        <is>
          <t>2³, 38³</t>
        </is>
      </c>
      <c r="I1766" t="n">
        <v>6</v>
      </c>
      <c r="J1766" t="inlineStr">
        <is>
          <t>1², 18¹</t>
        </is>
      </c>
      <c r="K1766">
        <f>HYPERLINK("CSG0.html#group2C0", "2C⁰"), =HYPERLINK("CSG2.html#group38A2", "38A²"), =HYPERLINK("CSG4.html#group38A4", "38A⁴")</f>
        <v/>
      </c>
      <c r="L1766">
        <f>HYPERLINK("CSG16.html#group76A16", "76A¹⁶"), =HYPERLINK("CSG17.html#group76A17", "76A¹⁷"), =HYPERLINK("CSG18.html#group76A18", "76A¹⁸"), =HYPERLINK("CSG22.html#group38C22", "38C²²")</f>
        <v/>
      </c>
      <c r="M1766">
        <f>HYPERLINK("CSG0.html#group2A0", "2A⁰"), =HYPERLINK("CSG1.html#group19A1", "19A¹"), =HYPERLINK("CSG2.html#group38A2", "38A²"), =HYPERLINK("CSG4.html#group38A4", "38A⁴"), =HYPERLINK("CSG0.html#group2B0", "2B⁰"), =HYPERLINK("CSG0.html#group1A0", "1A⁰"), =HYPERLINK("CSG0.html#group2C0", "2C⁰")</f>
        <v/>
      </c>
      <c r="N1766">
        <f>HYPERLINK("CSG18.html#group76A18", "76A¹⁸"), =HYPERLINK("CSG17.html#group76A17", "76A¹⁷"), =HYPERLINK("CSG22.html#group38C22", "38C²²"), =HYPERLINK("CSG16.html#group76A16", "76A¹⁶")</f>
        <v/>
      </c>
    </row>
    <row r="1767">
      <c r="A1767" t="inlineStr">
        <is>
          <t>38B⁸</t>
        </is>
      </c>
      <c r="B1767" t="inlineStr"/>
      <c r="C1767" t="inlineStr">
        <is>
          <t>120</t>
        </is>
      </c>
      <c r="D1767" t="inlineStr">
        <is>
          <t>1</t>
        </is>
      </c>
      <c r="E1767" t="inlineStr">
        <is>
          <t>40</t>
        </is>
      </c>
      <c r="F1767" t="inlineStr">
        <is>
          <t>0</t>
        </is>
      </c>
      <c r="G1767" t="inlineStr">
        <is>
          <t>0</t>
        </is>
      </c>
      <c r="H1767" t="inlineStr">
        <is>
          <t>2³, 38³</t>
        </is>
      </c>
      <c r="I1767" t="n">
        <v>6</v>
      </c>
      <c r="J1767" t="inlineStr">
        <is>
          <t>1⁴, 18²</t>
        </is>
      </c>
      <c r="K1767">
        <f>HYPERLINK("CSG2.html#group38A2", "38A²")</f>
        <v/>
      </c>
      <c r="L1767">
        <f>HYPERLINK("CSG18.html#group76B18", "76B¹⁸"), =HYPERLINK("CSG22.html#group38C22", "38C²²")</f>
        <v/>
      </c>
      <c r="M1767">
        <f>HYPERLINK("CSG0.html#group2A0", "2A⁰"), =HYPERLINK("CSG0.html#group1A0", "1A⁰"), =HYPERLINK("CSG1.html#group19A1", "19A¹"), =HYPERLINK("CSG2.html#group38A2", "38A²")</f>
        <v/>
      </c>
      <c r="N1767">
        <f>HYPERLINK("CSG18.html#group76B18", "76B¹⁸"), =HYPERLINK("CSG22.html#group38C22", "38C²²")</f>
        <v/>
      </c>
    </row>
    <row r="1768">
      <c r="A1768" t="inlineStr">
        <is>
          <t>40A⁸</t>
        </is>
      </c>
      <c r="B1768" t="inlineStr"/>
      <c r="C1768" t="inlineStr">
        <is>
          <t>120</t>
        </is>
      </c>
      <c r="D1768" t="inlineStr">
        <is>
          <t>1</t>
        </is>
      </c>
      <c r="E1768" t="inlineStr">
        <is>
          <t>15</t>
        </is>
      </c>
      <c r="F1768" t="inlineStr">
        <is>
          <t>0</t>
        </is>
      </c>
      <c r="G1768" t="inlineStr">
        <is>
          <t>0</t>
        </is>
      </c>
      <c r="H1768" t="inlineStr">
        <is>
          <t>10⁴, 40²</t>
        </is>
      </c>
      <c r="I1768" t="n">
        <v>6</v>
      </c>
      <c r="J1768" t="inlineStr">
        <is>
          <t>1³, 4³</t>
        </is>
      </c>
      <c r="K1768">
        <f>HYPERLINK("CSG0.html#group8G0", "8G⁰"), =HYPERLINK("CSG4.html#group20A4", "20A⁴"), =HYPERLINK("CSG4.html#group40B4", "40B⁴"), =HYPERLINK("CSG4.html#group40C4", "40C⁴")</f>
        <v/>
      </c>
      <c r="L1768">
        <f>HYPERLINK("CSG16.html#group40B16", "40B¹⁶"), =HYPERLINK("CSG16.html#group80A16", "80A¹⁶"), =HYPERLINK("CSG17.html#group40A17", "40A¹⁷"), =HYPERLINK("CSG17.html#group80A17", "80A¹⁷"), =HYPERLINK("CSG18.html#group80A18", "80A¹⁸"), =HYPERLINK("CSG22.html#group40A22", "40A²²")</f>
        <v/>
      </c>
      <c r="M1768">
        <f>HYPERLINK("CSG2.html#group20A2", "20A²"), =HYPERLINK("CSG0.html#group2A0", "2A⁰"), =HYPERLINK("CSG0.html#group5A0", "5A⁰"), =HYPERLINK("CSG0.html#group8D0", "8D⁰"), =HYPERLINK("CSG1.html#group10B1", "10B¹"), =HYPERLINK("CSG2.html#group20B2", "20B²"), =HYPERLINK("CSG0.html#group4C0", "4C⁰"), =HYPERLINK("CSG0.html#group2B0", "2B⁰"), =HYPERLINK("CSG0.html#group8C0", "8C⁰"), =HYPERLINK("CSG0.html#group4E0", "4E⁰"), =HYPERLINK("CSG2.html#group10B2", "10B²"), =HYPERLINK("CSG0.html#group4B0", "4B⁰"), =HYPERLINK("CSG4.html#group40B4", "40B⁴"), =HYPERLINK("CSG0.html#group1A0", "1A⁰"), =HYPERLINK("CSG4.html#group40C4", "40C⁴"), =HYPERLINK("CSG0.html#group10A0", "10A⁰"), =HYPERLINK("CSG0.html#group8G0", "8G⁰"), =HYPERLINK("CSG4.html#group20A4", "20A⁴"), =HYPERLINK("CSG0.html#group2C0", "2C⁰")</f>
        <v/>
      </c>
      <c r="N1768">
        <f>HYPERLINK("CSG16.html#group40B16", "40B¹⁶"), =HYPERLINK("CSG17.html#group40A17", "40A¹⁷"), =HYPERLINK("CSG18.html#group80A18", "80A¹⁸"), =HYPERLINK("CSG16.html#group80A16", "80A¹⁶"), =HYPERLINK("CSG17.html#group80A17", "80A¹⁷"), =HYPERLINK("CSG22.html#group40A22", "40A²²")</f>
        <v/>
      </c>
    </row>
    <row r="1769">
      <c r="A1769" t="inlineStr">
        <is>
          <t>40B⁸</t>
        </is>
      </c>
      <c r="B1769" t="inlineStr"/>
      <c r="C1769" t="inlineStr">
        <is>
          <t>120</t>
        </is>
      </c>
      <c r="D1769" t="inlineStr">
        <is>
          <t>1</t>
        </is>
      </c>
      <c r="E1769" t="inlineStr">
        <is>
          <t>30</t>
        </is>
      </c>
      <c r="F1769" t="inlineStr">
        <is>
          <t>4</t>
        </is>
      </c>
      <c r="G1769" t="inlineStr">
        <is>
          <t>0</t>
        </is>
      </c>
      <c r="H1769" t="inlineStr">
        <is>
          <t>20², 40²</t>
        </is>
      </c>
      <c r="I1769" t="n">
        <v>4</v>
      </c>
      <c r="J1769" t="inlineStr">
        <is>
          <t>1², 2², 4², 8²</t>
        </is>
      </c>
      <c r="K1769">
        <f>HYPERLINK("CSG0.html#group8H0", "8H⁰"), =HYPERLINK("CSG4.html#group20C4", "20C⁴"), =HYPERLINK("CSG4.html#group40A4", "40A⁴"), =HYPERLINK("CSG4.html#group40C4", "40C⁴")</f>
        <v/>
      </c>
      <c r="L1769">
        <f>HYPERLINK("CSG16.html#group40C16", "40C¹⁶"), =HYPERLINK("CSG17.html#group40A17", "40A¹⁷"), =HYPERLINK("CSG17.html#group40N17", "40N¹⁷"), =HYPERLINK("CSG17.html#group40O17", "40O¹⁷"), =HYPERLINK("CSG17.html#group80B17", "80B¹⁷"), =HYPERLINK("CSG17.html#group80F17", "80F¹⁷"), =HYPERLINK("CSG17.html#group80G17", "80G¹⁷"), =HYPERLINK("CSG18.html#group80C18", "80C¹⁸"), =HYPERLINK("CSG19.html#group80C19", "80C¹⁹"), =HYPERLINK("CSG22.html#group40B22", "40B²²")</f>
        <v/>
      </c>
      <c r="M1769">
        <f>HYPERLINK("CSG0.html#group5A0", "5A⁰"), =HYPERLINK("CSG4.html#group40A4", "40A⁴"), =HYPERLINK("CSG0.html#group8D0", "8D⁰"), =HYPERLINK("CSG1.html#group10B1", "10B¹"), =HYPERLINK("CSG2.html#group20B2", "20B²"), =HYPERLINK("CSG0.html#group4C0", "4C⁰"), =HYPERLINK("CSG0.html#group8B0", "8B⁰"), =HYPERLINK("CSG1.html#group20A1", "20A¹"), =HYPERLINK("CSG4.html#group20C4", "20C⁴"), =HYPERLINK("CSG0.html#group2B0", "2B⁰"), =HYPERLINK("CSG0.html#group1A0", "1A⁰"), =HYPERLINK("CSG0.html#group8H0", "8H⁰"), =HYPERLINK("CSG4.html#group40C4", "40C⁴"), =HYPERLINK("CSG0.html#group4A0", "4A⁰"), =HYPERLINK("CSG0.html#group4F0", "4F⁰")</f>
        <v/>
      </c>
      <c r="N1769">
        <f>HYPERLINK("CSG16.html#group40C16", "40C¹⁶"), =HYPERLINK("CSG17.html#group80F17", "80F¹⁷"), =HYPERLINK("CSG17.html#group80G17", "80G¹⁷"), =HYPERLINK("CSG17.html#group40O17", "40O¹⁷"), =HYPERLINK("CSG17.html#group40A17", "40A¹⁷"), =HYPERLINK("CSG17.html#group40N17", "40N¹⁷"), =HYPERLINK("CSG17.html#group80B17", "80B¹⁷"), =HYPERLINK("CSG18.html#group80C18", "80C¹⁸"), =HYPERLINK("CSG19.html#group80C19", "80C¹⁹"), =HYPERLINK("CSG22.html#group40B22", "40B²²")</f>
        <v/>
      </c>
    </row>
    <row r="1770">
      <c r="A1770" t="inlineStr">
        <is>
          <t>40C⁸</t>
        </is>
      </c>
      <c r="B1770" t="inlineStr"/>
      <c r="C1770" t="inlineStr">
        <is>
          <t>120</t>
        </is>
      </c>
      <c r="D1770" t="inlineStr">
        <is>
          <t>1</t>
        </is>
      </c>
      <c r="E1770" t="inlineStr">
        <is>
          <t>60</t>
        </is>
      </c>
      <c r="F1770" t="inlineStr">
        <is>
          <t>0</t>
        </is>
      </c>
      <c r="G1770" t="inlineStr">
        <is>
          <t>0</t>
        </is>
      </c>
      <c r="H1770" t="inlineStr">
        <is>
          <t>5², 10¹, 20¹, 40²</t>
        </is>
      </c>
      <c r="I1770" t="n">
        <v>6</v>
      </c>
      <c r="J1770" t="inlineStr">
        <is>
          <t>1⁴, 2², 4⁵, 8², 16¹</t>
        </is>
      </c>
      <c r="K1770">
        <f>HYPERLINK("CSG0.html#group8I0", "8I⁰"), =HYPERLINK("CSG4.html#group40B4", "40B⁴")</f>
        <v/>
      </c>
      <c r="L1770">
        <f>HYPERLINK("CSG16.html#group40B16", "40B¹⁶"), =HYPERLINK("CSG16.html#group80B16", "80B¹⁶"), =HYPERLINK("CSG17.html#group80C17", "80C¹⁷"), =HYPERLINK("CSG22.html#group40D22", "40D²²")</f>
        <v/>
      </c>
      <c r="M1770">
        <f>HYPERLINK("CSG2.html#group20A2", "20A²"), =HYPERLINK("CSG0.html#group5A0", "5A⁰"), =HYPERLINK("CSG1.html#group10B1", "10B¹"), =HYPERLINK("CSG0.html#group8C0", "8C⁰"), =HYPERLINK("CSG0.html#group2B0", "2B⁰"), =HYPERLINK("CSG0.html#group8I0", "8I⁰"), =HYPERLINK("CSG0.html#group4B0", "4B⁰"), =HYPERLINK("CSG4.html#group40B4", "40B⁴"), =HYPERLINK("CSG0.html#group1A0", "1A⁰")</f>
        <v/>
      </c>
      <c r="N1770">
        <f>HYPERLINK("CSG16.html#group40B16", "40B¹⁶"), =HYPERLINK("CSG17.html#group80C17", "80C¹⁷"), =HYPERLINK("CSG22.html#group40D22", "40D²²"), =HYPERLINK("CSG16.html#group80B16", "80B¹⁶")</f>
        <v/>
      </c>
    </row>
    <row r="1771">
      <c r="A1771" t="inlineStr">
        <is>
          <t>40D⁸</t>
        </is>
      </c>
      <c r="B1771" t="inlineStr"/>
      <c r="C1771" t="inlineStr">
        <is>
          <t>120</t>
        </is>
      </c>
      <c r="D1771" t="inlineStr">
        <is>
          <t>1</t>
        </is>
      </c>
      <c r="E1771" t="inlineStr">
        <is>
          <t>60</t>
        </is>
      </c>
      <c r="F1771" t="inlineStr">
        <is>
          <t>0</t>
        </is>
      </c>
      <c r="G1771" t="inlineStr">
        <is>
          <t>0</t>
        </is>
      </c>
      <c r="H1771" t="inlineStr">
        <is>
          <t>10², 20³, 40¹</t>
        </is>
      </c>
      <c r="I1771" t="n">
        <v>6</v>
      </c>
      <c r="J1771" t="inlineStr">
        <is>
          <t>1⁸, 2², 4⁸, 8²</t>
        </is>
      </c>
      <c r="K1771">
        <f>HYPERLINK("CSG0.html#group8J0", "8J⁰"), =HYPERLINK("CSG4.html#group20A4", "20A⁴")</f>
        <v/>
      </c>
      <c r="L1771">
        <f>HYPERLINK("CSG16.html#group40A16", "40A¹⁶"), =HYPERLINK("CSG16.html#group40B16", "40B¹⁶"), =HYPERLINK("CSG17.html#group40G17", "40G¹⁷"), =HYPERLINK("CSG22.html#group40E22", "40E²²")</f>
        <v/>
      </c>
      <c r="M1771">
        <f>HYPERLINK("CSG2.html#group20A2", "20A²"), =HYPERLINK("CSG0.html#group2A0", "2A⁰"), =HYPERLINK("CSG0.html#group5A0", "5A⁰"), =HYPERLINK("CSG1.html#group10B1", "10B¹"), =HYPERLINK("CSG2.html#group20B2", "20B²"), =HYPERLINK("CSG0.html#group4C0", "4C⁰"), =HYPERLINK("CSG0.html#group2B0", "2B⁰"), =HYPERLINK("CSG0.html#group4E0", "4E⁰"), =HYPERLINK("CSG2.html#group10B2", "10B²"), =HYPERLINK("CSG0.html#group4B0", "4B⁰"), =HYPERLINK("CSG0.html#group1A0", "1A⁰"), =HYPERLINK("CSG0.html#group10A0", "10A⁰"), =HYPERLINK("CSG4.html#group20A4", "20A⁴"), =HYPERLINK("CSG0.html#group8J0", "8J⁰"), =HYPERLINK("CSG0.html#group2C0", "2C⁰")</f>
        <v/>
      </c>
      <c r="N1771">
        <f>HYPERLINK("CSG16.html#group40A16", "40A¹⁶"), =HYPERLINK("CSG17.html#group40G17", "40G¹⁷"), =HYPERLINK("CSG16.html#group40B16", "40B¹⁶"), =HYPERLINK("CSG22.html#group40E22", "40E²²")</f>
        <v/>
      </c>
    </row>
    <row r="1772">
      <c r="A1772" t="inlineStr">
        <is>
          <t>40E⁸</t>
        </is>
      </c>
      <c r="B1772" t="inlineStr"/>
      <c r="C1772" t="inlineStr">
        <is>
          <t>120</t>
        </is>
      </c>
      <c r="D1772" t="inlineStr">
        <is>
          <t>1</t>
        </is>
      </c>
      <c r="E1772" t="inlineStr">
        <is>
          <t>60</t>
        </is>
      </c>
      <c r="F1772" t="inlineStr">
        <is>
          <t>2</t>
        </is>
      </c>
      <c r="G1772" t="inlineStr">
        <is>
          <t>0</t>
        </is>
      </c>
      <c r="H1772" t="inlineStr">
        <is>
          <t>20⁴, 40¹</t>
        </is>
      </c>
      <c r="I1772" t="n">
        <v>5</v>
      </c>
      <c r="J1772" t="inlineStr">
        <is>
          <t>2², 4², 8², 16²</t>
        </is>
      </c>
      <c r="K1772">
        <f>HYPERLINK("CSG0.html#group8K0", "8K⁰"), =HYPERLINK("CSG4.html#group20C4", "20C⁴")</f>
        <v/>
      </c>
      <c r="L1772">
        <f>HYPERLINK("CSG16.html#group40A16", "40A¹⁶"), =HYPERLINK("CSG17.html#group40N17", "40N¹⁷"), =HYPERLINK("CSG17.html#group80K17", "80K¹⁷"), =HYPERLINK("CSG17.html#group80L17", "80L¹⁷"), =HYPERLINK("CSG18.html#group40C18", "40C¹⁸"), =HYPERLINK("CSG22.html#group40F22", "40F²²")</f>
        <v/>
      </c>
      <c r="M1772">
        <f>HYPERLINK("CSG0.html#group5A0", "5A⁰"), =HYPERLINK("CSG1.html#group10B1", "10B¹"), =HYPERLINK("CSG2.html#group20B2", "20B²"), =HYPERLINK("CSG0.html#group4C0", "4C⁰"), =HYPERLINK("CSG1.html#group20A1", "20A¹"), =HYPERLINK("CSG4.html#group20C4", "20C⁴"), =HYPERLINK("CSG0.html#group2B0", "2B⁰"), =HYPERLINK("CSG0.html#group1A0", "1A⁰"), =HYPERLINK("CSG0.html#group8K0", "8K⁰"), =HYPERLINK("CSG0.html#group4A0", "4A⁰"), =HYPERLINK("CSG0.html#group4F0", "4F⁰")</f>
        <v/>
      </c>
      <c r="N1772">
        <f>HYPERLINK("CSG22.html#group40F22", "40F²²"), =HYPERLINK("CSG17.html#group80K17", "80K¹⁷"), =HYPERLINK("CSG17.html#group40N17", "40N¹⁷"), =HYPERLINK("CSG18.html#group40C18", "40C¹⁸"), =HYPERLINK("CSG17.html#group80L17", "80L¹⁷"), =HYPERLINK("CSG16.html#group40A16", "40A¹⁶")</f>
        <v/>
      </c>
    </row>
    <row r="1773">
      <c r="A1773" t="inlineStr">
        <is>
          <t>40F⁸</t>
        </is>
      </c>
      <c r="B1773" t="inlineStr"/>
      <c r="C1773" t="inlineStr">
        <is>
          <t>120</t>
        </is>
      </c>
      <c r="D1773" t="inlineStr">
        <is>
          <t>1</t>
        </is>
      </c>
      <c r="E1773" t="inlineStr">
        <is>
          <t>60</t>
        </is>
      </c>
      <c r="F1773" t="inlineStr">
        <is>
          <t>4</t>
        </is>
      </c>
      <c r="G1773" t="inlineStr">
        <is>
          <t>0</t>
        </is>
      </c>
      <c r="H1773" t="inlineStr">
        <is>
          <t>20², 40²</t>
        </is>
      </c>
      <c r="I1773" t="n">
        <v>4</v>
      </c>
      <c r="J1773" t="inlineStr">
        <is>
          <t>1⁴, 2², 4⁵, 8², 16¹</t>
        </is>
      </c>
      <c r="K1773">
        <f>HYPERLINK("CSG0.html#group8L0", "8L⁰"), =HYPERLINK("CSG4.html#group40A4", "40A⁴")</f>
        <v/>
      </c>
      <c r="L1773">
        <f>HYPERLINK("CSG16.html#group40C16", "40C¹⁶"), =HYPERLINK("CSG17.html#group40G17", "40G¹⁷"), =HYPERLINK("CSG17.html#group80J17", "80J¹⁷"), =HYPERLINK("CSG18.html#group80E18", "80E¹⁸"), =HYPERLINK("CSG19.html#group80H19", "80H¹⁹"), =HYPERLINK("CSG22.html#group40G22", "40G²²")</f>
        <v/>
      </c>
      <c r="M1773">
        <f>HYPERLINK("CSG0.html#group5A0", "5A⁰"), =HYPERLINK("CSG4.html#group40A4", "40A⁴"), =HYPERLINK("CSG1.html#group10B1", "10B¹"), =HYPERLINK("CSG2.html#group20B2", "20B²"), =HYPERLINK("CSG0.html#group4C0", "4C⁰"), =HYPERLINK("CSG0.html#group8B0", "8B⁰"), =HYPERLINK("CSG0.html#group8L0", "8L⁰"), =HYPERLINK("CSG0.html#group2B0", "2B⁰"), =HYPERLINK("CSG0.html#group1A0", "1A⁰")</f>
        <v/>
      </c>
      <c r="N1773">
        <f>HYPERLINK("CSG16.html#group40C16", "40C¹⁶"), =HYPERLINK("CSG19.html#group80H19", "80H¹⁹"), =HYPERLINK("CSG22.html#group40G22", "40G²²"), =HYPERLINK("CSG18.html#group80E18", "80E¹⁸"), =HYPERLINK("CSG17.html#group40G17", "40G¹⁷"), =HYPERLINK("CSG17.html#group80J17", "80J¹⁷")</f>
        <v/>
      </c>
    </row>
    <row r="1774">
      <c r="A1774" t="inlineStr">
        <is>
          <t>40G⁸</t>
        </is>
      </c>
      <c r="B1774" t="inlineStr"/>
      <c r="C1774" t="inlineStr">
        <is>
          <t>120</t>
        </is>
      </c>
      <c r="D1774" t="inlineStr">
        <is>
          <t>2</t>
        </is>
      </c>
      <c r="E1774" t="inlineStr">
        <is>
          <t>20</t>
        </is>
      </c>
      <c r="F1774" t="inlineStr">
        <is>
          <t>6</t>
        </is>
      </c>
      <c r="G1774" t="inlineStr">
        <is>
          <t>0</t>
        </is>
      </c>
      <c r="H1774" t="inlineStr">
        <is>
          <t>40³</t>
        </is>
      </c>
      <c r="I1774" t="n">
        <v>3</v>
      </c>
      <c r="J1774" t="inlineStr">
        <is>
          <t>4², 16²</t>
        </is>
      </c>
      <c r="K1774">
        <f>HYPERLINK("CSG2.html#group40A2", "40A²"), =HYPERLINK("CSG3.html#group20D3", "20D³")</f>
        <v/>
      </c>
      <c r="L1774">
        <f>HYPERLINK("CSG16.html#group40E16", "40E¹⁶"), =HYPERLINK("CSG17.html#group40S17", "40S¹⁷"), =HYPERLINK("CSG18.html#group40B18", "40B¹⁸"), =HYPERLINK("CSG18.html#group80D18", "80D¹⁸"), =HYPERLINK("CSG18.html#group80F18", "80F¹⁸")</f>
        <v/>
      </c>
      <c r="M1774">
        <f>HYPERLINK("CSG0.html#group5A0", "5A⁰"), =HYPERLINK("CSG0.html#group4A0", "4A⁰"), =HYPERLINK("CSG0.html#group8A0", "8A⁰"), =HYPERLINK("CSG0.html#group5E0", "5E⁰"), =HYPERLINK("CSG1.html#group20A1", "20A¹"), =HYPERLINK("CSG0.html#group1A0", "1A⁰"), =HYPERLINK("CSG2.html#group40A2", "40A²"), =HYPERLINK("CSG3.html#group20D3", "20D³")</f>
        <v/>
      </c>
      <c r="N1774">
        <f>HYPERLINK("CSG17.html#group40S17", "40S¹⁷"), =HYPERLINK("CSG18.html#group80D18", "80D¹⁸"), =HYPERLINK("CSG18.html#group80F18", "80F¹⁸"), =HYPERLINK("CSG18.html#group40B18", "40B¹⁸"), =HYPERLINK("CSG16.html#group40E16", "40E¹⁶")</f>
        <v/>
      </c>
    </row>
    <row r="1775">
      <c r="A1775" t="inlineStr">
        <is>
          <t>40H⁸</t>
        </is>
      </c>
      <c r="B1775" t="inlineStr"/>
      <c r="C1775" t="inlineStr">
        <is>
          <t>120</t>
        </is>
      </c>
      <c r="D1775" t="inlineStr">
        <is>
          <t>2</t>
        </is>
      </c>
      <c r="E1775" t="inlineStr">
        <is>
          <t>60</t>
        </is>
      </c>
      <c r="F1775" t="inlineStr">
        <is>
          <t>6</t>
        </is>
      </c>
      <c r="G1775" t="inlineStr">
        <is>
          <t>0</t>
        </is>
      </c>
      <c r="H1775" t="inlineStr">
        <is>
          <t>40³</t>
        </is>
      </c>
      <c r="I1775" t="n">
        <v>3</v>
      </c>
      <c r="J1775" t="inlineStr">
        <is>
          <t>4², 8², 16⁶</t>
        </is>
      </c>
      <c r="K1775">
        <f>HYPERLINK("CSG3.html#group20D3", "20D³")</f>
        <v/>
      </c>
      <c r="L1775">
        <f>HYPERLINK("CSG16.html#group40D16", "40D¹⁶"), =HYPERLINK("CSG16.html#group40E16", "40E¹⁶"), =HYPERLINK("CSG17.html#group40R17", "40R¹⁷"), =HYPERLINK("CSG17.html#group40S17", "40S¹⁷"), =HYPERLINK("CSG18.html#group40D18", "40D¹⁸")</f>
        <v/>
      </c>
      <c r="M1775">
        <f>HYPERLINK("CSG0.html#group5E0", "5E⁰"), =HYPERLINK("CSG0.html#group5A0", "5A⁰"), =HYPERLINK("CSG1.html#group20A1", "20A¹"), =HYPERLINK("CSG0.html#group1A0", "1A⁰"), =HYPERLINK("CSG0.html#group4A0", "4A⁰"), =HYPERLINK("CSG3.html#group20D3", "20D³")</f>
        <v/>
      </c>
      <c r="N1775">
        <f>HYPERLINK("CSG18.html#group40D18", "40D¹⁸"), =HYPERLINK("CSG17.html#group40R17", "40R¹⁷"), =HYPERLINK("CSG16.html#group40D16", "40D¹⁶"), =HYPERLINK("CSG17.html#group40S17", "40S¹⁷"), =HYPERLINK("CSG16.html#group40E16", "40E¹⁶")</f>
        <v/>
      </c>
    </row>
    <row r="1776">
      <c r="A1776" t="inlineStr">
        <is>
          <t>42A⁸</t>
        </is>
      </c>
      <c r="B1776" t="inlineStr"/>
      <c r="C1776" t="inlineStr">
        <is>
          <t>126</t>
        </is>
      </c>
      <c r="D1776" t="inlineStr">
        <is>
          <t>2</t>
        </is>
      </c>
      <c r="E1776" t="inlineStr">
        <is>
          <t>21</t>
        </is>
      </c>
      <c r="F1776" t="inlineStr">
        <is>
          <t>6</t>
        </is>
      </c>
      <c r="G1776" t="inlineStr">
        <is>
          <t>0</t>
        </is>
      </c>
      <c r="H1776" t="inlineStr">
        <is>
          <t>21², 42²</t>
        </is>
      </c>
      <c r="I1776" t="n">
        <v>4</v>
      </c>
      <c r="J1776" t="inlineStr">
        <is>
          <t>2³, 6⁶</t>
        </is>
      </c>
      <c r="K1776">
        <f>HYPERLINK("CSG2.html#group14A2", "14A²"), =HYPERLINK("CSG2.html#group21C2", "21C²"), =HYPERLINK("CSG3.html#group42C3", "42C³")</f>
        <v/>
      </c>
      <c r="L1776">
        <f>HYPERLINK("CSG17.html#group42C17", "42C¹⁷"), =HYPERLINK("CSG17.html#group42G17", "42G¹⁷"), =HYPERLINK("CSG17.html#group84D17", "84D¹⁷"), =HYPERLINK("CSG17.html#group84G17", "84G¹⁷"), =HYPERLINK("CSG19.html#group42G19", "42G¹⁹"), =HYPERLINK("CSG19.html#group84A19", "84A¹⁹"), =HYPERLINK("CSG19.html#group84F19", "84F¹⁹"), =HYPERLINK("CSG22.html#group42C22", "42C²²")</f>
        <v/>
      </c>
      <c r="M1776">
        <f>HYPERLINK("CSG2.html#group14A2", "14A²"), =HYPERLINK("CSG1.html#group14B1", "14B¹"), =HYPERLINK("CSG0.html#group7C0", "7C⁰"), =HYPERLINK("CSG2.html#group21C2", "21C²"), =HYPERLINK("CSG0.html#group21A0", "21A⁰"), =HYPERLINK("CSG0.html#group2B0", "2B⁰"), =HYPERLINK("CSG0.html#group3A0", "3A⁰"), =HYPERLINK("CSG0.html#group1A0", "1A⁰"), =HYPERLINK("CSG3.html#group42C3", "42C³"), =HYPERLINK("CSG0.html#group6D0", "6D⁰"), =HYPERLINK("CSG0.html#group7A0", "7A⁰")</f>
        <v/>
      </c>
      <c r="N1776">
        <f>HYPERLINK("CSG17.html#group42G17", "42G¹⁷"), =HYPERLINK("CSG19.html#group84A19", "84A¹⁹"), =HYPERLINK("CSG22.html#group42C22", "42C²²"), =HYPERLINK("CSG17.html#group84G17", "84G¹⁷"), =HYPERLINK("CSG19.html#group84F19", "84F¹⁹"), =HYPERLINK("CSG17.html#group84D17", "84D¹⁷"), =HYPERLINK("CSG19.html#group42G19", "42G¹⁹"), =HYPERLINK("CSG17.html#group42C17", "42C¹⁷")</f>
        <v/>
      </c>
    </row>
    <row r="1777">
      <c r="A1777" t="inlineStr">
        <is>
          <t>42B⁸</t>
        </is>
      </c>
      <c r="B1777" t="inlineStr"/>
      <c r="C1777" t="inlineStr">
        <is>
          <t>126</t>
        </is>
      </c>
      <c r="D1777" t="inlineStr">
        <is>
          <t>2</t>
        </is>
      </c>
      <c r="E1777" t="inlineStr">
        <is>
          <t>42</t>
        </is>
      </c>
      <c r="F1777" t="inlineStr">
        <is>
          <t>6</t>
        </is>
      </c>
      <c r="G1777" t="inlineStr">
        <is>
          <t>0</t>
        </is>
      </c>
      <c r="H1777" t="inlineStr">
        <is>
          <t>21², 42²</t>
        </is>
      </c>
      <c r="I1777" t="n">
        <v>4</v>
      </c>
      <c r="J1777" t="inlineStr">
        <is>
          <t>4³, 12⁶</t>
        </is>
      </c>
      <c r="K1777">
        <f>HYPERLINK("CSG1.html#group21C1", "21C¹"), =HYPERLINK("CSG2.html#group14A2", "14A²")</f>
        <v/>
      </c>
      <c r="L1777">
        <f>HYPERLINK("CSG17.html#group84E17", "84E¹⁷"), =HYPERLINK("CSG19.html#group42I19", "42I¹⁹"), =HYPERLINK("CSG19.html#group84B19", "84B¹⁹"), =HYPERLINK("CSG22.html#group42C22", "42C²²")</f>
        <v/>
      </c>
      <c r="M1777">
        <f>HYPERLINK("CSG0.html#group2B0", "2B⁰"), =HYPERLINK("CSG2.html#group14A2", "14A²"), =HYPERLINK("CSG1.html#group14B1", "14B¹"), =HYPERLINK("CSG0.html#group1A0", "1A⁰"), =HYPERLINK("CSG0.html#group7C0", "7C⁰"), =HYPERLINK("CSG0.html#group7A0", "7A⁰"), =HYPERLINK("CSG1.html#group21C1", "21C¹")</f>
        <v/>
      </c>
      <c r="N1777">
        <f>HYPERLINK("CSG19.html#group84B19", "84B¹⁹"), =HYPERLINK("CSG19.html#group42I19", "42I¹⁹"), =HYPERLINK("CSG17.html#group84E17", "84E¹⁷"), =HYPERLINK("CSG22.html#group42C22", "42C²²")</f>
        <v/>
      </c>
    </row>
    <row r="1778">
      <c r="A1778" t="inlineStr">
        <is>
          <t>42C⁸</t>
        </is>
      </c>
      <c r="B1778" t="inlineStr"/>
      <c r="C1778" t="inlineStr">
        <is>
          <t>126</t>
        </is>
      </c>
      <c r="D1778" t="inlineStr">
        <is>
          <t>2</t>
        </is>
      </c>
      <c r="E1778" t="inlineStr">
        <is>
          <t>63</t>
        </is>
      </c>
      <c r="F1778" t="inlineStr">
        <is>
          <t>6</t>
        </is>
      </c>
      <c r="G1778" t="inlineStr">
        <is>
          <t>0</t>
        </is>
      </c>
      <c r="H1778" t="inlineStr">
        <is>
          <t>21², 42²</t>
        </is>
      </c>
      <c r="I1778" t="n">
        <v>4</v>
      </c>
      <c r="J1778" t="inlineStr">
        <is>
          <t>2³, 4³, 6⁶, 12⁶</t>
        </is>
      </c>
      <c r="K1778">
        <f>HYPERLINK("CSG0.html#group6G0", "6G⁰"), =HYPERLINK("CSG2.html#group21D2", "21D²"), =HYPERLINK("CSG3.html#group42C3", "42C³")</f>
        <v/>
      </c>
      <c r="L1778">
        <f>HYPERLINK("CSG16.html#group42C16", "42C¹⁶"), =HYPERLINK("CSG16.html#group42E16", "42E¹⁶"), =HYPERLINK("CSG16.html#group84C16", "84C¹⁶"), =HYPERLINK("CSG17.html#group42C17", "42C¹⁷"), =HYPERLINK("CSG17.html#group42F17", "42F¹⁷"), =HYPERLINK("CSG17.html#group84F17", "84F¹⁷"), =HYPERLINK("CSG17.html#group84H17", "84H¹⁷"), =HYPERLINK("CSG18.html#group42B18", "42B¹⁸"), =HYPERLINK("CSG18.html#group42C18", "42C¹⁸"), =HYPERLINK("CSG18.html#group84A18", "84A¹⁸"), =HYPERLINK("CSG18.html#group84B18", "84B¹⁸"), =HYPERLINK("CSG19.html#group42L19", "42L¹⁹"), =HYPERLINK("CSG19.html#group84D19", "84D¹⁹"), =HYPERLINK("CSG19.html#group84G19", "84G¹⁹"), =HYPERLINK("CSG20.html#group84D20", "84D²⁰"), =HYPERLINK("CSG24.html#group42C24", "42C²⁴")</f>
        <v/>
      </c>
      <c r="M1778">
        <f>HYPERLINK("CSG2.html#group21D2", "21D²"), =HYPERLINK("CSG1.html#group14B1", "14B¹"), =HYPERLINK("CSG0.html#group6G0", "6G⁰"), =HYPERLINK("CSG0.html#group3C0", "3C⁰"), =HYPERLINK("CSG0.html#group21A0", "21A⁰"), =HYPERLINK("CSG0.html#group2B0", "2B⁰"), =HYPERLINK("CSG0.html#group3A0", "3A⁰"), =HYPERLINK("CSG0.html#group1A0", "1A⁰"), =HYPERLINK("CSG3.html#group42C3", "42C³"), =HYPERLINK("CSG0.html#group6D0", "6D⁰"), =HYPERLINK("CSG0.html#group7A0", "7A⁰")</f>
        <v/>
      </c>
      <c r="N1778">
        <f>HYPERLINK("CSG16.html#group42E16", "42E¹⁶"), =HYPERLINK("CSG17.html#group42F17", "42F¹⁷"), =HYPERLINK("CSG24.html#group42C24", "42C²⁴"), =HYPERLINK("CSG19.html#group42L19", "42L¹⁹"), =HYPERLINK("CSG18.html#group42C18", "42C¹⁸"), =HYPERLINK("CSG16.html#group84C16", "84C¹⁶"), =HYPERLINK("CSG17.html#group42C17", "42C¹⁷"), =HYPERLINK("CSG18.html#group84B18", "84B¹⁸"), =HYPERLINK("CSG17.html#group84F17", "84F¹⁷"), =HYPERLINK("CSG20.html#group84D20", "84D²⁰"), =HYPERLINK("CSG18.html#group42B18", "42B¹⁸"), =HYPERLINK("CSG16.html#group42C16", "42C¹⁶"), =HYPERLINK("CSG19.html#group84G19", "84G¹⁹"), =HYPERLINK("CSG18.html#group84A18", "84A¹⁸"), =HYPERLINK("CSG19.html#group84D19", "84D¹⁹"), =HYPERLINK("CSG17.html#group84H17", "84H¹⁷")</f>
        <v/>
      </c>
    </row>
    <row r="1779">
      <c r="A1779" t="inlineStr">
        <is>
          <t>42D⁸</t>
        </is>
      </c>
      <c r="B1779" t="inlineStr"/>
      <c r="C1779" t="inlineStr">
        <is>
          <t>126</t>
        </is>
      </c>
      <c r="D1779" t="inlineStr">
        <is>
          <t>2</t>
        </is>
      </c>
      <c r="E1779" t="inlineStr">
        <is>
          <t>63</t>
        </is>
      </c>
      <c r="F1779" t="inlineStr">
        <is>
          <t>8</t>
        </is>
      </c>
      <c r="G1779" t="inlineStr">
        <is>
          <t>0</t>
        </is>
      </c>
      <c r="H1779" t="inlineStr">
        <is>
          <t>42³</t>
        </is>
      </c>
      <c r="I1779" t="n">
        <v>3</v>
      </c>
      <c r="J1779" t="inlineStr">
        <is>
          <t>2³, 4³, 6⁶, 12⁶</t>
        </is>
      </c>
      <c r="K1779">
        <f>HYPERLINK("CSG2.html#group42A2", "42A²"), =HYPERLINK("CSG3.html#group42C3", "42C³")</f>
        <v/>
      </c>
      <c r="L1779">
        <f>HYPERLINK("CSG16.html#group42H16", "42H¹⁶"), =HYPERLINK("CSG16.html#group42I16", "42I¹⁶"), =HYPERLINK("CSG16.html#group84F16", "84F¹⁶"), =HYPERLINK("CSG17.html#group42F17", "42F¹⁷"), =HYPERLINK("CSG17.html#group42G17", "42G¹⁷"), =HYPERLINK("CSG17.html#group84K17", "84K¹⁷"), =HYPERLINK("CSG17.html#group84L17", "84L¹⁷"), =HYPERLINK("CSG18.html#group42C18", "42C¹⁸"), =HYPERLINK("CSG18.html#group84E18", "84E¹⁸"), =HYPERLINK("CSG18.html#group84F18", "84F¹⁸"), =HYPERLINK("CSG19.html#group42K19", "42K¹⁹"), =HYPERLINK("CSG19.html#group84H19", "84H¹⁹"), =HYPERLINK("CSG19.html#group84I19", "84I¹⁹"), =HYPERLINK("CSG20.html#group84E20", "84E²⁰"), =HYPERLINK("CSG24.html#group42D24", "42D²⁴")</f>
        <v/>
      </c>
      <c r="M1779">
        <f>HYPERLINK("CSG2.html#group42A2", "42A²"), =HYPERLINK("CSG1.html#group14B1", "14B¹"), =HYPERLINK("CSG0.html#group21A0", "21A⁰"), =HYPERLINK("CSG0.html#group2B0", "2B⁰"), =HYPERLINK("CSG0.html#group3A0", "3A⁰"), =HYPERLINK("CSG0.html#group1A0", "1A⁰"), =HYPERLINK("CSG3.html#group42C3", "42C³"), =HYPERLINK("CSG0.html#group6D0", "6D⁰"), =HYPERLINK("CSG0.html#group7A0", "7A⁰")</f>
        <v/>
      </c>
      <c r="N1779">
        <f>HYPERLINK("CSG16.html#group42H16", "42H¹⁶"), =HYPERLINK("CSG17.html#group42G17", "42G¹⁷"), =HYPERLINK("CSG17.html#group84L17", "84L¹⁷"), =HYPERLINK("CSG18.html#group84F18", "84F¹⁸"), =HYPERLINK("CSG20.html#group84E20", "84E²⁰"), =HYPERLINK("CSG17.html#group84K17", "84K¹⁷"), =HYPERLINK("CSG16.html#group84F16", "84F¹⁶"), =HYPERLINK("CSG18.html#group84E18", "84E¹⁸"), =HYPERLINK("CSG17.html#group42F17", "42F¹⁷"), =HYPERLINK("CSG16.html#group42I16", "42I¹⁶"), =HYPERLINK("CSG24.html#group42D24", "42D²⁴"), =HYPERLINK("CSG19.html#group84I19", "84I¹⁹"), =HYPERLINK("CSG19.html#group84H19", "84H¹⁹"), =HYPERLINK("CSG19.html#group42K19", "42K¹⁹"), =HYPERLINK("CSG18.html#group42C18", "42C¹⁸")</f>
        <v/>
      </c>
    </row>
    <row r="1780">
      <c r="A1780" t="inlineStr">
        <is>
          <t>44A⁸</t>
        </is>
      </c>
      <c r="B1780" t="inlineStr"/>
      <c r="C1780" t="inlineStr">
        <is>
          <t>144</t>
        </is>
      </c>
      <c r="D1780" t="inlineStr">
        <is>
          <t>1</t>
        </is>
      </c>
      <c r="E1780" t="inlineStr">
        <is>
          <t>36</t>
        </is>
      </c>
      <c r="F1780" t="inlineStr">
        <is>
          <t>0</t>
        </is>
      </c>
      <c r="G1780" t="inlineStr">
        <is>
          <t>0</t>
        </is>
      </c>
      <c r="H1780" t="inlineStr">
        <is>
          <t>2⁴, 4¹, 22⁴, 44¹</t>
        </is>
      </c>
      <c r="I1780" t="n">
        <v>10</v>
      </c>
      <c r="J1780" t="inlineStr">
        <is>
          <t>1⁶, 10³</t>
        </is>
      </c>
      <c r="K1780">
        <f>HYPERLINK("CSG4.html#group22A4", "22A⁴")</f>
        <v/>
      </c>
      <c r="L1780">
        <f>HYPERLINK("CSG17.html#group44D17", "44D¹⁷"), =HYPERLINK("CSG19.html#group44B19", "44B¹⁹")</f>
        <v/>
      </c>
      <c r="M1780">
        <f>HYPERLINK("CSG0.html#group2A0", "2A⁰"), =HYPERLINK("CSG1.html#group11A1", "11A¹"), =HYPERLINK("CSG2.html#group22A2", "22A²"), =HYPERLINK("CSG0.html#group2C0", "2C⁰"), =HYPERLINK("CSG0.html#group2B0", "2B⁰"), =HYPERLINK("CSG2.html#group22C2", "22C²"), =HYPERLINK("CSG0.html#group1A0", "1A⁰"), =HYPERLINK("CSG4.html#group22A4", "22A⁴")</f>
        <v/>
      </c>
      <c r="N1780">
        <f>HYPERLINK("CSG17.html#group44D17", "44D¹⁷"), =HYPERLINK("CSG19.html#group44B19", "44B¹⁹")</f>
        <v/>
      </c>
    </row>
    <row r="1781">
      <c r="A1781" t="inlineStr">
        <is>
          <t>44B⁸</t>
        </is>
      </c>
      <c r="B1781" t="inlineStr"/>
      <c r="C1781" t="inlineStr">
        <is>
          <t>144</t>
        </is>
      </c>
      <c r="D1781" t="inlineStr">
        <is>
          <t>1</t>
        </is>
      </c>
      <c r="E1781" t="inlineStr">
        <is>
          <t>72</t>
        </is>
      </c>
      <c r="F1781" t="inlineStr">
        <is>
          <t>0</t>
        </is>
      </c>
      <c r="G1781" t="inlineStr">
        <is>
          <t>0</t>
        </is>
      </c>
      <c r="H1781" t="inlineStr">
        <is>
          <t>1², 2¹, 4², 11², 22¹, 44²</t>
        </is>
      </c>
      <c r="I1781" t="n">
        <v>10</v>
      </c>
      <c r="J1781" t="inlineStr">
        <is>
          <t>1⁸, 2², 10⁴, 20¹</t>
        </is>
      </c>
      <c r="K1781">
        <f>HYPERLINK("CSG4.html#group44D4", "44D⁴")</f>
        <v/>
      </c>
      <c r="L1781">
        <f>HYPERLINK("CSG17.html#group44D17", "44D¹⁷"), =HYPERLINK("CSG17.html#group88A17", "88A¹⁷"), =HYPERLINK("CSG19.html#group88D19", "88D¹⁹")</f>
        <v/>
      </c>
      <c r="M1781">
        <f>HYPERLINK("CSG0.html#group2B0", "2B⁰"), =HYPERLINK("CSG0.html#group4B0", "4B⁰"), =HYPERLINK("CSG2.html#group22C2", "22C²"), =HYPERLINK("CSG0.html#group1A0", "1A⁰"), =HYPERLINK("CSG4.html#group44D4", "44D⁴"), =HYPERLINK("CSG1.html#group11A1", "11A¹")</f>
        <v/>
      </c>
      <c r="N1781">
        <f>HYPERLINK("CSG19.html#group88D19", "88D¹⁹"), =HYPERLINK("CSG17.html#group88A17", "88A¹⁷"), =HYPERLINK("CSG17.html#group44D17", "44D¹⁷")</f>
        <v/>
      </c>
    </row>
    <row r="1782">
      <c r="A1782" t="inlineStr">
        <is>
          <t>45A⁸</t>
        </is>
      </c>
      <c r="B1782" t="inlineStr"/>
      <c r="C1782" t="inlineStr">
        <is>
          <t>108</t>
        </is>
      </c>
      <c r="D1782" t="inlineStr">
        <is>
          <t>1</t>
        </is>
      </c>
      <c r="E1782" t="inlineStr">
        <is>
          <t>54</t>
        </is>
      </c>
      <c r="F1782" t="inlineStr">
        <is>
          <t>0</t>
        </is>
      </c>
      <c r="G1782" t="inlineStr">
        <is>
          <t>0</t>
        </is>
      </c>
      <c r="H1782" t="inlineStr">
        <is>
          <t>9², 45²</t>
        </is>
      </c>
      <c r="I1782" t="n">
        <v>4</v>
      </c>
      <c r="J1782" t="inlineStr">
        <is>
          <t>1², 2², 4¹, 6², 8¹, 24¹</t>
        </is>
      </c>
      <c r="K1782">
        <f>HYPERLINK("CSG2.html#group15B2", "15B²"), =HYPERLINK("CSG2.html#group45A2", "45A²")</f>
        <v/>
      </c>
      <c r="L1782">
        <f>HYPERLINK("CSG15.html#group45B15", "45B¹⁵"), =HYPERLINK("CSG15.html#group45C15", "45C¹⁵"), =HYPERLINK("CSG17.html#group90D17", "90D¹⁷"), =HYPERLINK("CSG17.html#group90F17", "90F¹⁷"), =HYPERLINK("CSG17.html#group90J17", "90J¹⁷"), =HYPERLINK("CSG22.html#group45B22", "45B²²"), =HYPERLINK("CSG24.html#group90A24", "90A²⁴")</f>
        <v/>
      </c>
      <c r="M1782">
        <f>HYPERLINK("CSG2.html#group45A2", "45A²"), =HYPERLINK("CSG0.html#group15B0", "15B⁰"), =HYPERLINK("CSG0.html#group9A0", "9A⁰"), =HYPERLINK("CSG2.html#group15B2", "15B²"), =HYPERLINK("CSG0.html#group5B0", "5B⁰"), =HYPERLINK("CSG0.html#group5D0", "5D⁰"), =HYPERLINK("CSG0.html#group3A0", "3A⁰"), =HYPERLINK("CSG0.html#group1A0", "1A⁰")</f>
        <v/>
      </c>
      <c r="N1782">
        <f>HYPERLINK("CSG22.html#group45B22", "45B²²"), =HYPERLINK("CSG15.html#group45B15", "45B¹⁵"), =HYPERLINK("CSG17.html#group90J17", "90J¹⁷"), =HYPERLINK("CSG24.html#group90A24", "90A²⁴"), =HYPERLINK("CSG17.html#group90F17", "90F¹⁷"), =HYPERLINK("CSG17.html#group90D17", "90D¹⁷"), =HYPERLINK("CSG15.html#group45C15", "45C¹⁵")</f>
        <v/>
      </c>
    </row>
    <row r="1783">
      <c r="A1783" t="inlineStr">
        <is>
          <t>45B⁸</t>
        </is>
      </c>
      <c r="B1783" t="inlineStr"/>
      <c r="C1783" t="inlineStr">
        <is>
          <t>120</t>
        </is>
      </c>
      <c r="D1783" t="inlineStr">
        <is>
          <t>1</t>
        </is>
      </c>
      <c r="E1783" t="inlineStr">
        <is>
          <t>40</t>
        </is>
      </c>
      <c r="F1783" t="inlineStr">
        <is>
          <t>0</t>
        </is>
      </c>
      <c r="G1783" t="inlineStr">
        <is>
          <t>3</t>
        </is>
      </c>
      <c r="H1783" t="inlineStr">
        <is>
          <t>15², 45²</t>
        </is>
      </c>
      <c r="I1783" t="n">
        <v>4</v>
      </c>
      <c r="J1783" t="inlineStr">
        <is>
          <t>2², 4⁵, 8²</t>
        </is>
      </c>
      <c r="K1783">
        <f>HYPERLINK("CSG0.html#group9C0", "9C⁰"), =HYPERLINK("CSG2.html#group15C2", "15C²")</f>
        <v/>
      </c>
      <c r="L1783">
        <f>HYPERLINK("CSG15.html#group45D15", "45D¹⁵"), =HYPERLINK("CSG17.html#group90N17", "90N¹⁷"), =HYPERLINK("CSG17.html#group90O17", "90O¹⁷"), =HYPERLINK("CSG24.html#group45A24", "45A²⁴")</f>
        <v/>
      </c>
      <c r="M1783">
        <f>HYPERLINK("CSG0.html#group3B0", "3B⁰"), =HYPERLINK("CSG0.html#group1A0", "1A⁰"), =HYPERLINK("CSG2.html#group15C2", "15C²"), =HYPERLINK("CSG0.html#group9C0", "9C⁰"), =HYPERLINK("CSG0.html#group5C0", "5C⁰")</f>
        <v/>
      </c>
      <c r="N1783">
        <f>HYPERLINK("CSG17.html#group90O17", "90O¹⁷"), =HYPERLINK("CSG15.html#group45D15", "45D¹⁵"), =HYPERLINK("CSG24.html#group45A24", "45A²⁴"), =HYPERLINK("CSG17.html#group90N17", "90N¹⁷")</f>
        <v/>
      </c>
    </row>
    <row r="1784">
      <c r="A1784" t="inlineStr">
        <is>
          <t>45C⁸</t>
        </is>
      </c>
      <c r="B1784" t="inlineStr"/>
      <c r="C1784" t="inlineStr">
        <is>
          <t>135</t>
        </is>
      </c>
      <c r="D1784" t="inlineStr">
        <is>
          <t>1</t>
        </is>
      </c>
      <c r="E1784" t="inlineStr">
        <is>
          <t>135</t>
        </is>
      </c>
      <c r="F1784" t="inlineStr">
        <is>
          <t>3</t>
        </is>
      </c>
      <c r="G1784" t="inlineStr">
        <is>
          <t>6</t>
        </is>
      </c>
      <c r="H1784" t="inlineStr">
        <is>
          <t>45³</t>
        </is>
      </c>
      <c r="I1784" t="n">
        <v>3</v>
      </c>
      <c r="J1784" t="inlineStr">
        <is>
          <t>3¹, 6⁴, 12¹, 24⁴</t>
        </is>
      </c>
      <c r="K1784">
        <f>HYPERLINK("CSG0.html#group5A0", "5A⁰"), =HYPERLINK("CSG0.html#group9F0", "9F⁰")</f>
        <v/>
      </c>
      <c r="L1784">
        <f>HYPERLINK("CSG18.html#group90B18", "90B¹⁸")</f>
        <v/>
      </c>
      <c r="M1784">
        <f>HYPERLINK("CSG0.html#group9F0", "9F⁰"), =HYPERLINK("CSG0.html#group1A0", "1A⁰"), =HYPERLINK("CSG0.html#group5A0", "5A⁰")</f>
        <v/>
      </c>
      <c r="N1784">
        <f>HYPERLINK("CSG18.html#group90B18", "90B¹⁸")</f>
        <v/>
      </c>
    </row>
    <row r="1785">
      <c r="A1785" t="inlineStr">
        <is>
          <t>45D⁸</t>
        </is>
      </c>
      <c r="B1785" t="inlineStr"/>
      <c r="C1785" t="inlineStr">
        <is>
          <t>162</t>
        </is>
      </c>
      <c r="D1785" t="inlineStr">
        <is>
          <t>1</t>
        </is>
      </c>
      <c r="E1785" t="inlineStr">
        <is>
          <t>162</t>
        </is>
      </c>
      <c r="F1785" t="inlineStr">
        <is>
          <t>14</t>
        </is>
      </c>
      <c r="G1785" t="inlineStr">
        <is>
          <t>0</t>
        </is>
      </c>
      <c r="H1785" t="inlineStr">
        <is>
          <t>9³, 45³</t>
        </is>
      </c>
      <c r="I1785" t="n">
        <v>6</v>
      </c>
      <c r="J1785" t="inlineStr">
        <is>
          <t>3², 6⁸, 12¹, 24⁴</t>
        </is>
      </c>
      <c r="K1785">
        <f>HYPERLINK("CSG0.html#group9G0", "9G⁰"), =HYPERLINK("CSG2.html#group45A2", "45A²")</f>
        <v/>
      </c>
      <c r="L1785">
        <f>HYPERLINK("CSG16.html#group45E16", "45E¹⁶"), =HYPERLINK("CSG18.html#group45C18", "45C¹⁸"), =HYPERLINK("CSG18.html#group90D18", "90D¹⁸"), =HYPERLINK("CSG19.html#group45G19", "45G¹⁹"), =HYPERLINK("CSG19.html#group90J19", "90J¹⁹"), =HYPERLINK("CSG21.html#group45A21", "45A²¹"), =HYPERLINK("CSG21.html#group90J21", "90J²¹"), =HYPERLINK("CSG22.html#group45B22", "45B²²"), =HYPERLINK("CSG22.html#group90H22", "90H²²"), =HYPERLINK("CSG24.html#group90B24", "90B²⁴")</f>
        <v/>
      </c>
      <c r="M1785">
        <f>HYPERLINK("CSG0.html#group5B0", "5B⁰"), =HYPERLINK("CSG2.html#group45A2", "45A²"), =HYPERLINK("CSG0.html#group15B0", "15B⁰"), =HYPERLINK("CSG0.html#group9A0", "9A⁰"), =HYPERLINK("CSG0.html#group3A0", "3A⁰"), =HYPERLINK("CSG0.html#group1A0", "1A⁰"), =HYPERLINK("CSG0.html#group9G0", "9G⁰")</f>
        <v/>
      </c>
      <c r="N1785">
        <f>HYPERLINK("CSG18.html#group45C18", "45C¹⁸"), =HYPERLINK("CSG21.html#group45A21", "45A²¹"), =HYPERLINK("CSG21.html#group90J21", "90J²¹"), =HYPERLINK("CSG19.html#group90J19", "90J¹⁹"), =HYPERLINK("CSG18.html#group90D18", "90D¹⁸"), =HYPERLINK("CSG22.html#group90H22", "90H²²"), =HYPERLINK("CSG22.html#group45B22", "45B²²"), =HYPERLINK("CSG24.html#group90B24", "90B²⁴"), =HYPERLINK("CSG16.html#group45E16", "45E¹⁶"), =HYPERLINK("CSG19.html#group45G19", "45G¹⁹")</f>
        <v/>
      </c>
    </row>
    <row r="1786">
      <c r="A1786" t="inlineStr">
        <is>
          <t>48A⁸</t>
        </is>
      </c>
      <c r="B1786" t="inlineStr"/>
      <c r="C1786" t="inlineStr">
        <is>
          <t>96</t>
        </is>
      </c>
      <c r="D1786" t="inlineStr">
        <is>
          <t>1</t>
        </is>
      </c>
      <c r="E1786" t="inlineStr">
        <is>
          <t>4</t>
        </is>
      </c>
      <c r="F1786" t="inlineStr">
        <is>
          <t>0</t>
        </is>
      </c>
      <c r="G1786" t="inlineStr">
        <is>
          <t>0</t>
        </is>
      </c>
      <c r="H1786" t="inlineStr">
        <is>
          <t>48²</t>
        </is>
      </c>
      <c r="I1786" t="n">
        <v>2</v>
      </c>
      <c r="J1786" t="inlineStr">
        <is>
          <t>2²</t>
        </is>
      </c>
      <c r="K1786">
        <f>HYPERLINK("CSG0.html#group16F0", "16F⁰"), =HYPERLINK("CSG3.html#group48A3", "48A³"), =HYPERLINK("CSG4.html#group24A4", "24A⁴")</f>
        <v/>
      </c>
      <c r="L1786">
        <f>HYPERLINK("CSG15.html#group48B15", "48B¹⁵"), =HYPERLINK("CSG22.html#group48A22", "48A²²"), =HYPERLINK("CSG24.html#group144A24", "144A²⁴")</f>
        <v/>
      </c>
      <c r="M1786">
        <f>HYPERLINK("CSG0.html#group2A0", "2A⁰"), =HYPERLINK("CSG0.html#group12A0", "12A⁰"), =HYPERLINK("CSG3.html#group48A3", "48A³"), =HYPERLINK("CSG1.html#group24A1", "24A¹"), =HYPERLINK("CSG0.html#group16A0", "16A⁰"), =HYPERLINK("CSG0.html#group4A0", "4A⁰"), =HYPERLINK("CSG0.html#group4D0", "4D⁰"), =HYPERLINK("CSG0.html#group16F0", "16F⁰"), =HYPERLINK("CSG2.html#group12A2", "12A²"), =HYPERLINK("CSG4.html#group24A4", "24A⁴"), =HYPERLINK("CSG0.html#group8A0", "8A⁰"), =HYPERLINK("CSG0.html#group8E0", "8E⁰"), =HYPERLINK("CSG1.html#group6A1", "6A¹"), =HYPERLINK("CSG0.html#group3A0", "3A⁰"), =HYPERLINK("CSG0.html#group1A0", "1A⁰")</f>
        <v/>
      </c>
      <c r="N1786">
        <f>HYPERLINK("CSG22.html#group48A22", "48A²²"), =HYPERLINK("CSG15.html#group48B15", "48B¹⁵"), =HYPERLINK("CSG24.html#group144A24", "144A²⁴")</f>
        <v/>
      </c>
    </row>
    <row r="1787">
      <c r="A1787" t="inlineStr">
        <is>
          <t>48B⁸</t>
        </is>
      </c>
      <c r="B1787" t="inlineStr"/>
      <c r="C1787" t="inlineStr">
        <is>
          <t>96</t>
        </is>
      </c>
      <c r="D1787" t="inlineStr">
        <is>
          <t>1</t>
        </is>
      </c>
      <c r="E1787" t="inlineStr">
        <is>
          <t>12</t>
        </is>
      </c>
      <c r="F1787" t="inlineStr">
        <is>
          <t>0</t>
        </is>
      </c>
      <c r="G1787" t="inlineStr">
        <is>
          <t>0</t>
        </is>
      </c>
      <c r="H1787" t="inlineStr">
        <is>
          <t>48²</t>
        </is>
      </c>
      <c r="I1787" t="n">
        <v>2</v>
      </c>
      <c r="J1787" t="inlineStr">
        <is>
          <t>2², 4²</t>
        </is>
      </c>
      <c r="K1787">
        <f>HYPERLINK("CSG3.html#group48B3", "48B³"), =HYPERLINK("CSG4.html#group24A4", "24A⁴")</f>
        <v/>
      </c>
      <c r="L1787">
        <f>HYPERLINK("CSG15.html#group48A15", "48A¹⁵"), =HYPERLINK("CSG15.html#group48B15", "48B¹⁵"), =HYPERLINK("CSG22.html#group48B22", "48B²²"), =HYPERLINK("CSG24.html#group144B24", "144B²⁴"), =HYPERLINK("CSG24.html#group144C24", "144C²⁴")</f>
        <v/>
      </c>
      <c r="M1787">
        <f>HYPERLINK("CSG0.html#group2A0", "2A⁰"), =HYPERLINK("CSG0.html#group12A0", "12A⁰"), =HYPERLINK("CSG1.html#group24A1", "24A¹"), =HYPERLINK("CSG0.html#group4A0", "4A⁰"), =HYPERLINK("CSG0.html#group4D0", "4D⁰"), =HYPERLINK("CSG2.html#group12A2", "12A²"), =HYPERLINK("CSG4.html#group24A4", "24A⁴"), =HYPERLINK("CSG0.html#group8A0", "8A⁰"), =HYPERLINK("CSG0.html#group8E0", "8E⁰"), =HYPERLINK("CSG1.html#group6A1", "6A¹"), =HYPERLINK("CSG0.html#group3A0", "3A⁰"), =HYPERLINK("CSG0.html#group1A0", "1A⁰"), =HYPERLINK("CSG3.html#group48B3", "48B³")</f>
        <v/>
      </c>
      <c r="N1787">
        <f>HYPERLINK("CSG15.html#group48A15", "48A¹⁵"), =HYPERLINK("CSG22.html#group48B22", "48B²²"), =HYPERLINK("CSG24.html#group144B24", "144B²⁴"), =HYPERLINK("CSG15.html#group48B15", "48B¹⁵"), =HYPERLINK("CSG24.html#group144C24", "144C²⁴")</f>
        <v/>
      </c>
    </row>
    <row r="1788">
      <c r="A1788" t="inlineStr">
        <is>
          <t>48C⁸</t>
        </is>
      </c>
      <c r="B1788" t="inlineStr"/>
      <c r="C1788" t="inlineStr">
        <is>
          <t>144</t>
        </is>
      </c>
      <c r="D1788" t="inlineStr">
        <is>
          <t>1</t>
        </is>
      </c>
      <c r="E1788" t="inlineStr">
        <is>
          <t>3</t>
        </is>
      </c>
      <c r="F1788" t="inlineStr">
        <is>
          <t>0</t>
        </is>
      </c>
      <c r="G1788" t="inlineStr">
        <is>
          <t>0</t>
        </is>
      </c>
      <c r="H1788" t="inlineStr">
        <is>
          <t>6⁸, 48²</t>
        </is>
      </c>
      <c r="I1788" t="n">
        <v>10</v>
      </c>
      <c r="J1788" t="inlineStr">
        <is>
          <t>1³</t>
        </is>
      </c>
      <c r="K1788">
        <f>HYPERLINK("CSG0.html#group16G0", "16G⁰"), =HYPERLINK("CSG3.html#group48D3", "48D³"), =HYPERLINK("CSG4.html#group24D4", "24D⁴"), =HYPERLINK("CSG4.html#group48D4", "48D⁴")</f>
        <v/>
      </c>
      <c r="L1788">
        <f>HYPERLINK("CSG15.html#group48F15", "48F¹⁵"), =HYPERLINK("CSG17.html#group48D17", "48D¹⁷"), =HYPERLINK("CSG17.html#group48I17", "48I¹⁷"), =HYPERLINK("CSG18.html#group96A18", "96A¹⁸"), =HYPERLINK("CSG18.html#group96C18", "96C¹⁸"), =HYPERLINK("CSG19.html#group48B19", "48B¹⁹"), =HYPERLINK("CSG19.html#group48H19", "48H¹⁹")</f>
        <v/>
      </c>
      <c r="M1788">
        <f>HYPERLINK("CSG0.html#group16G0", "16G⁰"), =HYPERLINK("CSG0.html#group2A0", "2A⁰"), =HYPERLINK("CSG0.html#group12C0", "12C⁰"), =HYPERLINK("CSG0.html#group8D0", "8D⁰"), =HYPERLINK("CSG0.html#group4C0", "4C⁰"), =HYPERLINK("CSG1.html#group6C1", "6C¹"), =HYPERLINK("CSG2.html#group12B2", "12B²"), =HYPERLINK("CSG0.html#group8C0", "8C⁰"), =HYPERLINK("CSG0.html#group2B0", "2B⁰"), =HYPERLINK("CSG0.html#group4E0", "4E⁰"), =HYPERLINK("CSG0.html#group4B0", "4B⁰"), =HYPERLINK("CSG0.html#group1A0", "1A⁰"), =HYPERLINK("CSG4.html#group24D4", "24D⁴"), =HYPERLINK("CSG2.html#group24B2", "24B²"), =HYPERLINK("CSG0.html#group16E0", "16E⁰"), =HYPERLINK("CSG0.html#group6A0", "6A⁰"), =HYPERLINK("CSG0.html#group8G0", "8G⁰"), =HYPERLINK("CSG0.html#group16D0", "16D⁰"), =HYPERLINK("CSG1.html#group24C1", "24C¹"), =HYPERLINK("CSG1.html#group12B1", "12B¹"), =HYPERLINK("CSG1.html#group6A1", "6A¹"), =HYPERLINK("CSG3.html#group48D3", "48D³"), =HYPERLINK("CSG0.html#group3A0", "3A⁰"), =HYPERLINK("CSG0.html#group2C0", "2C⁰"), =HYPERLINK("CSG0.html#group6D0", "6D⁰"), =HYPERLINK("CSG4.html#group48D4", "48D⁴")</f>
        <v/>
      </c>
      <c r="N1788">
        <f>HYPERLINK("CSG17.html#group48D17", "48D¹⁷"), =HYPERLINK("CSG18.html#group96C18", "96C¹⁸"), =HYPERLINK("CSG15.html#group48F15", "48F¹⁵"), =HYPERLINK("CSG19.html#group48B19", "48B¹⁹"), =HYPERLINK("CSG17.html#group48I17", "48I¹⁷"), =HYPERLINK("CSG19.html#group48H19", "48H¹⁹"), =HYPERLINK("CSG18.html#group96A18", "96A¹⁸")</f>
        <v/>
      </c>
    </row>
    <row r="1789">
      <c r="A1789" t="inlineStr">
        <is>
          <t>48D⁸</t>
        </is>
      </c>
      <c r="B1789" t="inlineStr"/>
      <c r="C1789" t="inlineStr">
        <is>
          <t>144</t>
        </is>
      </c>
      <c r="D1789" t="inlineStr">
        <is>
          <t>1</t>
        </is>
      </c>
      <c r="E1789" t="inlineStr">
        <is>
          <t>9</t>
        </is>
      </c>
      <c r="F1789" t="inlineStr">
        <is>
          <t>0</t>
        </is>
      </c>
      <c r="G1789" t="inlineStr">
        <is>
          <t>0</t>
        </is>
      </c>
      <c r="H1789" t="inlineStr">
        <is>
          <t>6⁸, 48²</t>
        </is>
      </c>
      <c r="I1789" t="n">
        <v>10</v>
      </c>
      <c r="J1789" t="inlineStr">
        <is>
          <t>1³, 2³</t>
        </is>
      </c>
      <c r="K1789">
        <f>HYPERLINK("CSG3.html#group48G3", "48G³"), =HYPERLINK("CSG4.html#group24D4", "24D⁴"), =HYPERLINK("CSG4.html#group48G4", "48G⁴")</f>
        <v/>
      </c>
      <c r="L1789">
        <f>HYPERLINK("CSG15.html#group48E15", "48E¹⁵"), =HYPERLINK("CSG15.html#group48F15", "48F¹⁵"), =HYPERLINK("CSG17.html#group48H17", "48H¹⁷"), =HYPERLINK("CSG17.html#group48J17", "48J¹⁷"), =HYPERLINK("CSG17.html#group48BP17", "48BP¹⁷"), =HYPERLINK("CSG19.html#group48G19", "48G¹⁹"), =HYPERLINK("CSG19.html#group48I19", "48I¹⁹"), =HYPERLINK("CSG19.html#group48AW19", "48AW¹⁹")</f>
        <v/>
      </c>
      <c r="M1789">
        <f>HYPERLINK("CSG0.html#group2A0", "2A⁰"), =HYPERLINK("CSG0.html#group12C0", "12C⁰"), =HYPERLINK("CSG3.html#group48G3", "48G³"), =HYPERLINK("CSG0.html#group8D0", "8D⁰"), =HYPERLINK("CSG1.html#group6C1", "6C¹"), =HYPERLINK("CSG0.html#group4C0", "4C⁰"), =HYPERLINK("CSG2.html#group12B2", "12B²"), =HYPERLINK("CSG0.html#group8C0", "8C⁰"), =HYPERLINK("CSG0.html#group2B0", "2B⁰"), =HYPERLINK("CSG0.html#group4E0", "4E⁰"), =HYPERLINK("CSG0.html#group4B0", "4B⁰"), =HYPERLINK("CSG0.html#group1A0", "1A⁰"), =HYPERLINK("CSG4.html#group24D4", "24D⁴"), =HYPERLINK("CSG4.html#group48G4", "48G⁴"), =HYPERLINK("CSG2.html#group24B2", "24B²"), =HYPERLINK("CSG0.html#group6A0", "6A⁰"), =HYPERLINK("CSG0.html#group8G0", "8G⁰"), =HYPERLINK("CSG1.html#group24C1", "24C¹"), =HYPERLINK("CSG1.html#group12B1", "12B¹"), =HYPERLINK("CSG1.html#group6A1", "6A¹"), =HYPERLINK("CSG0.html#group3A0", "3A⁰"), =HYPERLINK("CSG0.html#group2C0", "2C⁰"), =HYPERLINK("CSG0.html#group6D0", "6D⁰")</f>
        <v/>
      </c>
      <c r="N1789">
        <f>HYPERLINK("CSG17.html#group48H17", "48H¹⁷"), =HYPERLINK("CSG19.html#group48G19", "48G¹⁹"), =HYPERLINK("CSG19.html#group48AW19", "48AW¹⁹"), =HYPERLINK("CSG15.html#group48F15", "48F¹⁵"), =HYPERLINK("CSG17.html#group48J17", "48J¹⁷"), =HYPERLINK("CSG17.html#group48BP17", "48BP¹⁷"), =HYPERLINK("CSG15.html#group48E15", "48E¹⁵"), =HYPERLINK("CSG19.html#group48I19", "48I¹⁹")</f>
        <v/>
      </c>
    </row>
    <row r="1790">
      <c r="A1790" t="inlineStr">
        <is>
          <t>48E⁸</t>
        </is>
      </c>
      <c r="B1790" t="inlineStr"/>
      <c r="C1790" t="inlineStr">
        <is>
          <t>144</t>
        </is>
      </c>
      <c r="D1790" t="inlineStr">
        <is>
          <t>1</t>
        </is>
      </c>
      <c r="E1790" t="inlineStr">
        <is>
          <t>12</t>
        </is>
      </c>
      <c r="F1790" t="inlineStr">
        <is>
          <t>0</t>
        </is>
      </c>
      <c r="G1790" t="inlineStr">
        <is>
          <t>0</t>
        </is>
      </c>
      <c r="H1790" t="inlineStr">
        <is>
          <t>3⁴, 6², 12², 48²</t>
        </is>
      </c>
      <c r="I1790" t="n">
        <v>10</v>
      </c>
      <c r="J1790" t="inlineStr">
        <is>
          <t>1⁴, 2², 4¹</t>
        </is>
      </c>
      <c r="K1790">
        <f>HYPERLINK("CSG0.html#group16H0", "16H⁰"), =HYPERLINK("CSG4.html#group24F4", "24F⁴"), =HYPERLINK("CSG4.html#group48B4", "48B⁴"), =HYPERLINK("CSG4.html#group48D4", "48D⁴")</f>
        <v/>
      </c>
      <c r="L1790">
        <f>HYPERLINK("CSG15.html#group48Q15", "48Q¹⁵"), =HYPERLINK("CSG17.html#group48D17", "48D¹⁷"), =HYPERLINK("CSG17.html#group48AC17", "48AC¹⁷"), =HYPERLINK("CSG17.html#group96A17", "96A¹⁷"), =HYPERLINK("CSG17.html#group96K17", "96K¹⁷"), =HYPERLINK("CSG18.html#group48C18", "48C¹⁸"), =HYPERLINK("CSG18.html#group48H18", "48H¹⁸"), =HYPERLINK("CSG18.html#group96B18", "96B¹⁸"), =HYPERLINK("CSG18.html#group96D18", "96D¹⁸"), =HYPERLINK("CSG19.html#group96C19", "96C¹⁹"), =HYPERLINK("CSG19.html#group96P19", "96P¹⁹")</f>
        <v/>
      </c>
      <c r="M1790">
        <f>HYPERLINK("CSG2.html#group24B2", "24B²"), =HYPERLINK("CSG4.html#group24F4", "24F⁴"), =HYPERLINK("CSG0.html#group3A0", "3A⁰"), =HYPERLINK("CSG0.html#group16C0", "16C⁰"), =HYPERLINK("CSG0.html#group16D0", "16D⁰"), =HYPERLINK("CSG0.html#group6D0", "6D⁰"), =HYPERLINK("CSG0.html#group8C0", "8C⁰"), =HYPERLINK("CSG1.html#group12B1", "12B¹"), =HYPERLINK("CSG0.html#group2B0", "2B⁰"), =HYPERLINK("CSG0.html#group8I0", "8I⁰"), =HYPERLINK("CSG0.html#group4B0", "4B⁰"), =HYPERLINK("CSG0.html#group1A0", "1A⁰"), =HYPERLINK("CSG4.html#group48B4", "48B⁴"), =HYPERLINK("CSG4.html#group48D4", "48D⁴"), =HYPERLINK("CSG0.html#group16H0", "16H⁰")</f>
        <v/>
      </c>
      <c r="N1790">
        <f>HYPERLINK("CSG19.html#group96C19", "96C¹⁹"), =HYPERLINK("CSG17.html#group48AC17", "48AC¹⁷"), =HYPERLINK("CSG18.html#group48H18", "48H¹⁸"), =HYPERLINK("CSG15.html#group48Q15", "48Q¹⁵"), =HYPERLINK("CSG18.html#group96B18", "96B¹⁸"), =HYPERLINK("CSG19.html#group96P19", "96P¹⁹"), =HYPERLINK("CSG17.html#group48D17", "48D¹⁷"), =HYPERLINK("CSG17.html#group96K17", "96K¹⁷"), =HYPERLINK("CSG18.html#group48C18", "48C¹⁸"), =HYPERLINK("CSG18.html#group96D18", "96D¹⁸"), =HYPERLINK("CSG17.html#group96A17", "96A¹⁷")</f>
        <v/>
      </c>
    </row>
    <row r="1791">
      <c r="A1791" t="inlineStr">
        <is>
          <t>48F⁸</t>
        </is>
      </c>
      <c r="B1791" t="inlineStr"/>
      <c r="C1791" t="inlineStr">
        <is>
          <t>144</t>
        </is>
      </c>
      <c r="D1791" t="inlineStr">
        <is>
          <t>1</t>
        </is>
      </c>
      <c r="E1791" t="inlineStr">
        <is>
          <t>12</t>
        </is>
      </c>
      <c r="F1791" t="inlineStr">
        <is>
          <t>12</t>
        </is>
      </c>
      <c r="G1791" t="inlineStr">
        <is>
          <t>0</t>
        </is>
      </c>
      <c r="H1791" t="inlineStr">
        <is>
          <t>24², 48²</t>
        </is>
      </c>
      <c r="I1791" t="n">
        <v>4</v>
      </c>
      <c r="J1791" t="inlineStr">
        <is>
          <t>2⁶</t>
        </is>
      </c>
      <c r="K1791">
        <f>HYPERLINK("CSG2.html#group16E2", "16E²"), =HYPERLINK("CSG2.html#group24L2", "24L²"), =HYPERLINK("CSG3.html#group48E3", "48E³")</f>
        <v/>
      </c>
      <c r="L1791">
        <f>HYPERLINK("CSG15.html#group48J15", "48J¹⁵"), =HYPERLINK("CSG17.html#group48AS17", "48AS¹⁷"), =HYPERLINK("CSG17.html#group48AU17", "48AU¹⁷"), =HYPERLINK("CSG18.html#group48F18", "48F¹⁸"), =HYPERLINK("CSG18.html#group48E18", "48E¹⁸"), =HYPERLINK("CSG18.html#group48Q18", "48Q¹⁸"), =HYPERLINK("CSG18.html#group48O18", "48O¹⁸"), =HYPERLINK("CSG19.html#group48AK19", "48AK¹⁹"), =HYPERLINK("CSG19.html#group48AL19", "48AL¹⁹"), =HYPERLINK("CSG20.html#group96G20", "96G²⁰"), =HYPERLINK("CSG20.html#group96H20", "96H²⁰"), =HYPERLINK("CSG20.html#group96N20", "96N²⁰"), =HYPERLINK("CSG20.html#group96O20", "96O²⁰"), =HYPERLINK("CSG21.html#group48E21", "48E²¹"), =HYPERLINK("CSG21.html#group48V21", "48V²¹")</f>
        <v/>
      </c>
      <c r="M1791">
        <f>HYPERLINK("CSG0.html#group12C0", "12C⁰"), =HYPERLINK("CSG0.html#group8D0", "8D⁰"), =HYPERLINK("CSG0.html#group4C0", "4C⁰"), =HYPERLINK("CSG0.html#group8B0", "8B⁰"), =HYPERLINK("CSG0.html#group2B0", "2B⁰"), =HYPERLINK("CSG2.html#group24L2", "24L²"), =HYPERLINK("CSG0.html#group1A0", "1A⁰"), =HYPERLINK("CSG2.html#group16E2", "16E²"), =HYPERLINK("CSG0.html#group8H0", "8H⁰"), =HYPERLINK("CSG1.html#group16D1", "16D¹"), =HYPERLINK("CSG0.html#group12A0", "12A⁰"), =HYPERLINK("CSG3.html#group48E3", "48E³"),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1791">
        <f>HYPERLINK("CSG18.html#group48E18", "48E¹⁸"), =HYPERLINK("CSG18.html#group48O18", "48O¹⁸"), =HYPERLINK("CSG19.html#group48AK19", "48AK¹⁹"), =HYPERLINK("CSG20.html#group96H20", "96H²⁰"), =HYPERLINK("CSG17.html#group48AU17", "48AU¹⁷"), =HYPERLINK("CSG18.html#group48F18", "48F¹⁸"), =HYPERLINK("CSG20.html#group96G20", "96G²⁰"), =HYPERLINK("CSG15.html#group48J15", "48J¹⁵"), =HYPERLINK("CSG19.html#group48AL19", "48AL¹⁹"), =HYPERLINK("CSG20.html#group96N20", "96N²⁰"), =HYPERLINK("CSG21.html#group48E21", "48E²¹"), =HYPERLINK("CSG18.html#group48Q18", "48Q¹⁸"), =HYPERLINK("CSG20.html#group96O20", "96O²⁰"), =HYPERLINK("CSG17.html#group48AS17", "48AS¹⁷"), =HYPERLINK("CSG21.html#group48V21", "48V²¹")</f>
        <v/>
      </c>
    </row>
    <row r="1792">
      <c r="A1792" t="inlineStr">
        <is>
          <t>48G⁸</t>
        </is>
      </c>
      <c r="B1792" t="inlineStr"/>
      <c r="C1792" t="inlineStr">
        <is>
          <t>144</t>
        </is>
      </c>
      <c r="D1792" t="inlineStr">
        <is>
          <t>1</t>
        </is>
      </c>
      <c r="E1792" t="inlineStr">
        <is>
          <t>24</t>
        </is>
      </c>
      <c r="F1792" t="inlineStr">
        <is>
          <t>6</t>
        </is>
      </c>
      <c r="G1792" t="inlineStr">
        <is>
          <t>0</t>
        </is>
      </c>
      <c r="H1792" t="inlineStr">
        <is>
          <t>12⁴, 24², 48¹</t>
        </is>
      </c>
      <c r="I1792" t="n">
        <v>7</v>
      </c>
      <c r="J1792" t="inlineStr">
        <is>
          <t>4⁴, 8⁴</t>
        </is>
      </c>
      <c r="K1792">
        <f>HYPERLINK("CSG1.html#group16K1", "16K¹"), =HYPERLINK("CSG3.html#group24J3", "24J³")</f>
        <v/>
      </c>
      <c r="L1792">
        <f>HYPERLINK("CSG16.html#group48D16", "48D¹⁶"), =HYPERLINK("CSG17.html#group48T17", "48T¹⁷"), =HYPERLINK("CSG17.html#group48BK17", "48BK¹⁷"), =HYPERLINK("CSG18.html#group48B18", "48B¹⁸"), =HYPERLINK("CSG18.html#group48J18", "48J¹⁸"), =HYPERLINK("CSG19.html#group48AS19", "48AS¹⁹"), =HYPERLINK("CSG20.html#group48A20", "48A²⁰")</f>
        <v/>
      </c>
      <c r="M1792">
        <f>HYPERLINK("CSG0.html#group12C0", "12C⁰"), =HYPERLINK("CSG0.html#group4C0", "4C⁰"), =HYPERLINK("CSG0.html#group2B0", "2B⁰"), =HYPERLINK("CSG0.html#group8K0", "8K⁰"), =HYPERLINK("CSG0.html#group1A0", "1A⁰"), =HYPERLINK("CSG3.html#group24J3", "24J³"), =HYPERLINK("CSG0.html#group12A0", "12A⁰"), =HYPERLINK("CSG0.html#group4A0", "4A⁰"), =HYPERLINK("CSG1.html#group12J1", "12J¹"), =HYPERLINK("CSG0.html#group4F0", "4F⁰"), =HYPERLINK("CSG0.html#group3A0", "3A⁰"), =HYPERLINK("CSG1.html#group16K1", "16K¹"), =HYPERLINK("CSG0.html#group6D0", "6D⁰")</f>
        <v/>
      </c>
      <c r="N1792">
        <f>HYPERLINK("CSG18.html#group48J18", "48J¹⁸"), =HYPERLINK("CSG18.html#group48B18", "48B¹⁸"), =HYPERLINK("CSG20.html#group48A20", "48A²⁰"), =HYPERLINK("CSG17.html#group48T17", "48T¹⁷"), =HYPERLINK("CSG16.html#group48D16", "48D¹⁶"), =HYPERLINK("CSG17.html#group48BK17", "48BK¹⁷"), =HYPERLINK("CSG19.html#group48AS19", "48AS¹⁹")</f>
        <v/>
      </c>
    </row>
    <row r="1793">
      <c r="A1793" t="inlineStr">
        <is>
          <t>48H⁸</t>
        </is>
      </c>
      <c r="B1793" t="inlineStr"/>
      <c r="C1793" t="inlineStr">
        <is>
          <t>144</t>
        </is>
      </c>
      <c r="D1793" t="inlineStr">
        <is>
          <t>1</t>
        </is>
      </c>
      <c r="E1793" t="inlineStr">
        <is>
          <t>24</t>
        </is>
      </c>
      <c r="F1793" t="inlineStr">
        <is>
          <t>6</t>
        </is>
      </c>
      <c r="G1793" t="inlineStr">
        <is>
          <t>0</t>
        </is>
      </c>
      <c r="H1793" t="inlineStr">
        <is>
          <t>12⁴, 24², 48¹</t>
        </is>
      </c>
      <c r="I1793" t="n">
        <v>7</v>
      </c>
      <c r="J1793" t="inlineStr">
        <is>
          <t>4⁴, 8⁴</t>
        </is>
      </c>
      <c r="K1793">
        <f>HYPERLINK("CSG1.html#group16L1", "16L¹"), =HYPERLINK("CSG3.html#group24J3", "24J³")</f>
        <v/>
      </c>
      <c r="L1793">
        <f>HYPERLINK("CSG16.html#group48E16", "48E¹⁶"), =HYPERLINK("CSG17.html#group48T17", "48T¹⁷"), =HYPERLINK("CSG17.html#group48BL17", "48BL¹⁷"), =HYPERLINK("CSG18.html#group48B18", "48B¹⁸"), =HYPERLINK("CSG18.html#group48K18", "48K¹⁸"), =HYPERLINK("CSG19.html#group48AT19", "48AT¹⁹"), =HYPERLINK("CSG20.html#group48A20", "48A²⁰")</f>
        <v/>
      </c>
      <c r="M1793">
        <f>HYPERLINK("CSG0.html#group12C0", "12C⁰"), =HYPERLINK("CSG0.html#group4C0", "4C⁰"), =HYPERLINK("CSG0.html#group2B0", "2B⁰"), =HYPERLINK("CSG0.html#group8K0", "8K⁰"), =HYPERLINK("CSG0.html#group1A0", "1A⁰"), =HYPERLINK("CSG3.html#group24J3", "24J³"), =HYPERLINK("CSG1.html#group16L1", "16L¹"), =HYPERLINK("CSG0.html#group12A0", "12A⁰"), =HYPERLINK("CSG0.html#group4A0", "4A⁰"), =HYPERLINK("CSG1.html#group12J1", "12J¹"), =HYPERLINK("CSG0.html#group4F0", "4F⁰"), =HYPERLINK("CSG0.html#group3A0", "3A⁰"), =HYPERLINK("CSG0.html#group6D0", "6D⁰")</f>
        <v/>
      </c>
      <c r="N1793">
        <f>HYPERLINK("CSG17.html#group48BL17", "48BL¹⁷"), =HYPERLINK("CSG18.html#group48B18", "48B¹⁸"), =HYPERLINK("CSG18.html#group48K18", "48K¹⁸"), =HYPERLINK("CSG20.html#group48A20", "48A²⁰"), =HYPERLINK("CSG17.html#group48T17", "48T¹⁷"), =HYPERLINK("CSG19.html#group48AT19", "48AT¹⁹"), =HYPERLINK("CSG16.html#group48E16", "48E¹⁶")</f>
        <v/>
      </c>
    </row>
    <row r="1794">
      <c r="A1794" t="inlineStr">
        <is>
          <t>48I⁸</t>
        </is>
      </c>
      <c r="B1794" t="inlineStr"/>
      <c r="C1794" t="inlineStr">
        <is>
          <t>144</t>
        </is>
      </c>
      <c r="D1794" t="inlineStr">
        <is>
          <t>1</t>
        </is>
      </c>
      <c r="E1794" t="inlineStr">
        <is>
          <t>36</t>
        </is>
      </c>
      <c r="F1794" t="inlineStr">
        <is>
          <t>0</t>
        </is>
      </c>
      <c r="G1794" t="inlineStr">
        <is>
          <t>0</t>
        </is>
      </c>
      <c r="H1794" t="inlineStr">
        <is>
          <t>3⁴, 6², 12², 48²</t>
        </is>
      </c>
      <c r="I1794" t="n">
        <v>10</v>
      </c>
      <c r="J1794" t="inlineStr">
        <is>
          <t>1⁴, 2⁶, 4³, 8¹</t>
        </is>
      </c>
      <c r="K1794">
        <f>HYPERLINK("CSG4.html#group24F4", "24F⁴"), =HYPERLINK("CSG4.html#group48F4", "48F⁴"), =HYPERLINK("CSG4.html#group48G4", "48G⁴")</f>
        <v/>
      </c>
      <c r="L1794">
        <f>HYPERLINK("CSG15.html#group48P15", "48P¹⁵"), =HYPERLINK("CSG15.html#group48Q15", "48Q¹⁵"), =HYPERLINK("CSG17.html#group48H17", "48H¹⁷"), =HYPERLINK("CSG17.html#group48AD17", "48AD¹⁷"), =HYPERLINK("CSG17.html#group48BT17", "48BT¹⁷")</f>
        <v/>
      </c>
      <c r="M1794">
        <f>HYPERLINK("CSG2.html#group24B2", "24B²"), =HYPERLINK("CSG4.html#group24F4", "24F⁴"), =HYPERLINK("CSG0.html#group3A0", "3A⁰"), =HYPERLINK("CSG4.html#group48F4", "48F⁴"), =HYPERLINK("CSG0.html#group8C0", "8C⁰"), =HYPERLINK("CSG1.html#group12B1", "12B¹"), =HYPERLINK("CSG0.html#group2B0", "2B⁰"), =HYPERLINK("CSG0.html#group8I0", "8I⁰"), =HYPERLINK("CSG0.html#group4B0", "4B⁰"), =HYPERLINK("CSG0.html#group1A0", "1A⁰"), =HYPERLINK("CSG4.html#group48G4", "48G⁴"), =HYPERLINK("CSG0.html#group6D0", "6D⁰")</f>
        <v/>
      </c>
      <c r="N1794">
        <f>HYPERLINK("CSG17.html#group48H17", "48H¹⁷"), =HYPERLINK("CSG15.html#group48P15", "48P¹⁵"), =HYPERLINK("CSG17.html#group48AD17", "48AD¹⁷"), =HYPERLINK("CSG17.html#group48BT17", "48BT¹⁷"), =HYPERLINK("CSG15.html#group48Q15", "48Q¹⁵")</f>
        <v/>
      </c>
    </row>
    <row r="1795">
      <c r="A1795" t="inlineStr">
        <is>
          <t>48J⁸</t>
        </is>
      </c>
      <c r="B1795" t="inlineStr"/>
      <c r="C1795" t="inlineStr">
        <is>
          <t>144</t>
        </is>
      </c>
      <c r="D1795" t="inlineStr">
        <is>
          <t>1</t>
        </is>
      </c>
      <c r="E1795" t="inlineStr">
        <is>
          <t>36</t>
        </is>
      </c>
      <c r="F1795" t="inlineStr">
        <is>
          <t>0</t>
        </is>
      </c>
      <c r="G1795" t="inlineStr">
        <is>
          <t>0</t>
        </is>
      </c>
      <c r="H1795" t="inlineStr">
        <is>
          <t>3⁴, 6², 12², 48²</t>
        </is>
      </c>
      <c r="I1795" t="n">
        <v>10</v>
      </c>
      <c r="J1795" t="inlineStr">
        <is>
          <t>1⁴, 2⁶, 4³, 8¹</t>
        </is>
      </c>
      <c r="K1795">
        <f>HYPERLINK("CSG4.html#group24M4", "24M⁴"), =HYPERLINK("CSG4.html#group48B4", "48B⁴"), =HYPERLINK("CSG4.html#group48G4", "48G⁴")</f>
        <v/>
      </c>
      <c r="L1795">
        <f>HYPERLINK("CSG15.html#group48O15", "48O¹⁵"), =HYPERLINK("CSG15.html#group48Q15", "48Q¹⁵"), =HYPERLINK("CSG17.html#group48J17", "48J¹⁷"), =HYPERLINK("CSG17.html#group48W17", "48W¹⁷"), =HYPERLINK("CSG17.html#group48AC17", "48AC¹⁷"), =HYPERLINK("CSG17.html#group96L17", "96L¹⁷"), =HYPERLINK("CSG17.html#group96M17", "96M¹⁷"), =HYPERLINK("CSG17.html#group96AC17", "96AC¹⁷"), =HYPERLINK("CSG19.html#group96Q19", "96Q¹⁹"), =HYPERLINK("CSG19.html#group96R19", "96R¹⁹"), =HYPERLINK("CSG19.html#group96AX19", "96AX¹⁹")</f>
        <v/>
      </c>
      <c r="M1795">
        <f>HYPERLINK("CSG2.html#group24B2", "24B²"), =HYPERLINK("CSG0.html#group3A0", "3A⁰"), =HYPERLINK("CSG0.html#group16C0", "16C⁰"), =HYPERLINK("CSG4.html#group24M4", "24M⁴"), =HYPERLINK("CSG0.html#group8C0", "8C⁰"), =HYPERLINK("CSG1.html#group12B1", "12B¹"), =HYPERLINK("CSG0.html#group2B0", "2B⁰"), =HYPERLINK("CSG0.html#group4B0", "4B⁰"), =HYPERLINK("CSG0.html#group1A0", "1A⁰"), =HYPERLINK("CSG4.html#group48G4", "48G⁴"), =HYPERLINK("CSG0.html#group6D0", "6D⁰"), =HYPERLINK("CSG4.html#group48B4", "48B⁴")</f>
        <v/>
      </c>
      <c r="N1795">
        <f>HYPERLINK("CSG17.html#group48AC17", "48AC¹⁷"), =HYPERLINK("CSG17.html#group48W17", "48W¹⁷"), =HYPERLINK("CSG17.html#group48J17", "48J¹⁷"), =HYPERLINK("CSG19.html#group96Q19", "96Q¹⁹"), =HYPERLINK("CSG15.html#group48Q15", "48Q¹⁵"), =HYPERLINK("CSG17.html#group96L17", "96L¹⁷"), =HYPERLINK("CSG19.html#group96AX19", "96AX¹⁹"), =HYPERLINK("CSG17.html#group96M17", "96M¹⁷"), =HYPERLINK("CSG17.html#group96AC17", "96AC¹⁷"), =HYPERLINK("CSG15.html#group48O15", "48O¹⁵"), =HYPERLINK("CSG19.html#group96R19", "96R¹⁹")</f>
        <v/>
      </c>
    </row>
    <row r="1796">
      <c r="A1796" t="inlineStr">
        <is>
          <t>48K⁸</t>
        </is>
      </c>
      <c r="B1796" t="inlineStr"/>
      <c r="C1796" t="inlineStr">
        <is>
          <t>144</t>
        </is>
      </c>
      <c r="D1796" t="inlineStr">
        <is>
          <t>1</t>
        </is>
      </c>
      <c r="E1796" t="inlineStr">
        <is>
          <t>36</t>
        </is>
      </c>
      <c r="F1796" t="inlineStr">
        <is>
          <t>0</t>
        </is>
      </c>
      <c r="G1796" t="inlineStr">
        <is>
          <t>0</t>
        </is>
      </c>
      <c r="H1796" t="inlineStr">
        <is>
          <t>3⁴, 6², 12², 48²</t>
        </is>
      </c>
      <c r="I1796" t="n">
        <v>10</v>
      </c>
      <c r="J1796" t="inlineStr">
        <is>
          <t>1⁴, 2⁶, 4³, 8¹</t>
        </is>
      </c>
      <c r="K1796">
        <f>HYPERLINK("CSG4.html#group24M4", "24M⁴"), =HYPERLINK("CSG4.html#group48D4", "48D⁴"), =HYPERLINK("CSG4.html#group48F4", "48F⁴")</f>
        <v/>
      </c>
      <c r="L1796">
        <f>HYPERLINK("CSG15.html#group48N15", "48N¹⁵"), =HYPERLINK("CSG15.html#group48Q15", "48Q¹⁵"), =HYPERLINK("CSG17.html#group48I17", "48I¹⁷"), =HYPERLINK("CSG17.html#group48AD17", "48AD¹⁷"), =HYPERLINK("CSG17.html#group48BS17", "48BS¹⁷")</f>
        <v/>
      </c>
      <c r="M1796">
        <f>HYPERLINK("CSG2.html#group24B2", "24B²"), =HYPERLINK("CSG0.html#group3A0", "3A⁰"), =HYPERLINK("CSG0.html#group16D0", "16D⁰"), =HYPERLINK("CSG4.html#group24M4", "24M⁴"), =HYPERLINK("CSG4.html#group48F4", "48F⁴"), =HYPERLINK("CSG0.html#group8C0", "8C⁰"), =HYPERLINK("CSG1.html#group12B1", "12B¹"), =HYPERLINK("CSG0.html#group2B0", "2B⁰"), =HYPERLINK("CSG0.html#group4B0", "4B⁰"), =HYPERLINK("CSG0.html#group1A0", "1A⁰"), =HYPERLINK("CSG0.html#group6D0", "6D⁰"), =HYPERLINK("CSG4.html#group48D4", "48D⁴")</f>
        <v/>
      </c>
      <c r="N1796">
        <f>HYPERLINK("CSG17.html#group48AD17", "48AD¹⁷"), =HYPERLINK("CSG17.html#group48BS17", "48BS¹⁷"), =HYPERLINK("CSG15.html#group48Q15", "48Q¹⁵"), =HYPERLINK("CSG15.html#group48N15", "48N¹⁵"), =HYPERLINK("CSG17.html#group48I17", "48I¹⁷")</f>
        <v/>
      </c>
    </row>
    <row r="1797">
      <c r="A1797" t="inlineStr">
        <is>
          <t>48L⁸</t>
        </is>
      </c>
      <c r="B1797" t="inlineStr"/>
      <c r="C1797" t="inlineStr">
        <is>
          <t>144</t>
        </is>
      </c>
      <c r="D1797" t="inlineStr">
        <is>
          <t>1</t>
        </is>
      </c>
      <c r="E1797" t="inlineStr">
        <is>
          <t>36</t>
        </is>
      </c>
      <c r="F1797" t="inlineStr">
        <is>
          <t>0</t>
        </is>
      </c>
      <c r="G1797" t="inlineStr">
        <is>
          <t>0</t>
        </is>
      </c>
      <c r="H1797" t="inlineStr">
        <is>
          <t>6⁸, 48²</t>
        </is>
      </c>
      <c r="I1797" t="n">
        <v>10</v>
      </c>
      <c r="J1797" t="inlineStr">
        <is>
          <t>2⁸, 4³, 8¹</t>
        </is>
      </c>
      <c r="K1797">
        <f>HYPERLINK("CSG4.html#group24J4", "24J⁴"), =HYPERLINK("CSG4.html#group48G4", "48G⁴")</f>
        <v/>
      </c>
      <c r="L1797">
        <f>HYPERLINK("CSG15.html#group48E15", "48E¹⁵"), =HYPERLINK("CSG15.html#group48R15", "48R¹⁵"), =HYPERLINK("CSG17.html#group48W17", "48W¹⁷"), =HYPERLINK("CSG17.html#group48X17", "48X¹⁷"), =HYPERLINK("CSG17.html#group48BT17", "48BT¹⁷")</f>
        <v/>
      </c>
      <c r="M1797">
        <f>HYPERLINK("CSG0.html#group6B0", "6B⁰"), =HYPERLINK("CSG2.html#group12D2", "12D²"), =HYPERLINK("CSG4.html#group24J4", "24J⁴"), =HYPERLINK("CSG0.html#group8C0", "8C⁰"), =HYPERLINK("CSG0.html#group2B0", "2B⁰"), =HYPERLINK("CSG0.html#group4B0", "4B⁰"), =HYPERLINK("CSG0.html#group1A0", "1A⁰"), =HYPERLINK("CSG4.html#group48G4", "48G⁴"), =HYPERLINK("CSG2.html#group24B2", "24B²"), =HYPERLINK("CSG1.html#group12C1", "12C¹"), =HYPERLINK("CSG2.html#group24D2", "24D²"), =HYPERLINK("CSG1.html#group12B1", "12B¹"), =HYPERLINK("CSG0.html#group6H0", "6H⁰"), =HYPERLINK("CSG0.html#group3A0", "3A⁰"), =HYPERLINK("CSG0.html#group6D0", "6D⁰")</f>
        <v/>
      </c>
      <c r="N1797">
        <f>HYPERLINK("CSG17.html#group48W17", "48W¹⁷"), =HYPERLINK("CSG17.html#group48X17", "48X¹⁷"), =HYPERLINK("CSG17.html#group48BT17", "48BT¹⁷"), =HYPERLINK("CSG15.html#group48E15", "48E¹⁵"), =HYPERLINK("CSG15.html#group48R15", "48R¹⁵")</f>
        <v/>
      </c>
    </row>
    <row r="1798">
      <c r="A1798" t="inlineStr">
        <is>
          <t>48M⁸</t>
        </is>
      </c>
      <c r="B1798" t="inlineStr"/>
      <c r="C1798" t="inlineStr">
        <is>
          <t>144</t>
        </is>
      </c>
      <c r="D1798" t="inlineStr">
        <is>
          <t>1</t>
        </is>
      </c>
      <c r="E1798" t="inlineStr">
        <is>
          <t>36</t>
        </is>
      </c>
      <c r="F1798" t="inlineStr">
        <is>
          <t>0</t>
        </is>
      </c>
      <c r="G1798" t="inlineStr">
        <is>
          <t>0</t>
        </is>
      </c>
      <c r="H1798" t="inlineStr">
        <is>
          <t>6⁸, 48²</t>
        </is>
      </c>
      <c r="I1798" t="n">
        <v>10</v>
      </c>
      <c r="J1798" t="inlineStr">
        <is>
          <t>1⁴, 2⁶, 4³, 8¹</t>
        </is>
      </c>
      <c r="K1798">
        <f>HYPERLINK("CSG4.html#group24J4", "24J⁴"), =HYPERLINK("CSG4.html#group48D4", "48D⁴"), =HYPERLINK("CSG4.html#group48G4", "48G⁴")</f>
        <v/>
      </c>
      <c r="L1798">
        <f>HYPERLINK("CSG15.html#group48F15", "48F¹⁵"), =HYPERLINK("CSG15.html#group48R15", "48R¹⁵"), =HYPERLINK("CSG17.html#group48AC17", "48AC¹⁷"), =HYPERLINK("CSG17.html#group48AD17", "48AD¹⁷"), =HYPERLINK("CSG17.html#group48BS17", "48BS¹⁷")</f>
        <v/>
      </c>
      <c r="M1798">
        <f>HYPERLINK("CSG0.html#group6B0", "6B⁰"), =HYPERLINK("CSG2.html#group12D2", "12D²"), =HYPERLINK("CSG4.html#group24J4", "24J⁴"), =HYPERLINK("CSG0.html#group8C0", "8C⁰"), =HYPERLINK("CSG0.html#group2B0", "2B⁰"), =HYPERLINK("CSG0.html#group4B0", "4B⁰"), =HYPERLINK("CSG0.html#group1A0", "1A⁰"), =HYPERLINK("CSG4.html#group48G4", "48G⁴"), =HYPERLINK("CSG2.html#group24B2", "24B²"), =HYPERLINK("CSG1.html#group12C1", "12C¹"), =HYPERLINK("CSG0.html#group16D0", "16D⁰"), =HYPERLINK("CSG2.html#group24D2", "24D²"), =HYPERLINK("CSG1.html#group12B1", "12B¹"), =HYPERLINK("CSG0.html#group6H0", "6H⁰"), =HYPERLINK("CSG0.html#group3A0", "3A⁰"), =HYPERLINK("CSG0.html#group6D0", "6D⁰"), =HYPERLINK("CSG4.html#group48D4", "48D⁴")</f>
        <v/>
      </c>
      <c r="N1798">
        <f>HYPERLINK("CSG17.html#group48AC17", "48AC¹⁷"), =HYPERLINK("CSG17.html#group48AD17", "48AD¹⁷"), =HYPERLINK("CSG15.html#group48F15", "48F¹⁵"), =HYPERLINK("CSG17.html#group48BS17", "48BS¹⁷"), =HYPERLINK("CSG15.html#group48R15", "48R¹⁵")</f>
        <v/>
      </c>
    </row>
    <row r="1799">
      <c r="A1799" t="inlineStr">
        <is>
          <t>48N⁸</t>
        </is>
      </c>
      <c r="B1799" t="inlineStr"/>
      <c r="C1799" t="inlineStr">
        <is>
          <t>144</t>
        </is>
      </c>
      <c r="D1799" t="inlineStr">
        <is>
          <t>1</t>
        </is>
      </c>
      <c r="E1799" t="inlineStr">
        <is>
          <t>36</t>
        </is>
      </c>
      <c r="F1799" t="inlineStr">
        <is>
          <t>8</t>
        </is>
      </c>
      <c r="G1799" t="inlineStr">
        <is>
          <t>0</t>
        </is>
      </c>
      <c r="H1799" t="inlineStr">
        <is>
          <t>12⁴, 48²</t>
        </is>
      </c>
      <c r="I1799" t="n">
        <v>6</v>
      </c>
      <c r="J1799" t="inlineStr">
        <is>
          <t>2⁴, 4³, 8²</t>
        </is>
      </c>
      <c r="K1799">
        <f>HYPERLINK("CSG2.html#group24O2", "24O²"), =HYPERLINK("CSG4.html#group48H4", "48H⁴")</f>
        <v/>
      </c>
      <c r="L1799">
        <f>HYPERLINK("CSG15.html#group48U15", "48U¹⁵"), =HYPERLINK("CSG17.html#group48AH17", "48AH¹⁷"), =HYPERLINK("CSG17.html#group48BV17", "48BV¹⁷"), =HYPERLINK("CSG19.html#group48E19", "48E¹⁹"), =HYPERLINK("CSG19.html#group48U19", "48U¹⁹"), =HYPERLINK("CSG20.html#group96E20", "96E²⁰"), =HYPERLINK("CSG20.html#group96F20", "96F²⁰")</f>
        <v/>
      </c>
      <c r="M1799">
        <f>HYPERLINK("CSG2.html#group24O2", "24O²"), =HYPERLINK("CSG1.html#group24E1", "24E¹"), =HYPERLINK("CSG0.html#group6B0", "6B⁰"), =HYPERLINK("CSG0.html#group12C0", "12C⁰"), =HYPERLINK("CSG4.html#group48H4", "48H⁴"), =HYPERLINK("CSG0.html#group8D0", "8D⁰"), =HYPERLINK("CSG0.html#group4C0", "4C⁰"), =HYPERLINK("CSG1.html#group24C1", "24C¹"), =HYPERLINK("CSG0.html#group2B0", "2B⁰"), =HYPERLINK("CSG0.html#group12D0", "12D⁰"), =HYPERLINK("CSG0.html#group12H0", "12H⁰"), =HYPERLINK("CSG0.html#group6H0", "6H⁰"), =HYPERLINK("CSG0.html#group3A0", "3A⁰"), =HYPERLINK("CSG0.html#group1A0", "1A⁰"), =HYPERLINK("CSG0.html#group6D0", "6D⁰")</f>
        <v/>
      </c>
      <c r="N1799">
        <f>HYPERLINK("CSG17.html#group48AH17", "48AH¹⁷"), =HYPERLINK("CSG20.html#group96F20", "96F²⁰"), =HYPERLINK("CSG17.html#group48BV17", "48BV¹⁷"), =HYPERLINK("CSG19.html#group48U19", "48U¹⁹"), =HYPERLINK("CSG15.html#group48U15", "48U¹⁵"), =HYPERLINK("CSG20.html#group96E20", "96E²⁰"), =HYPERLINK("CSG19.html#group48E19", "48E¹⁹")</f>
        <v/>
      </c>
    </row>
    <row r="1800">
      <c r="A1800" t="inlineStr">
        <is>
          <t>48O⁸</t>
        </is>
      </c>
      <c r="B1800" t="inlineStr"/>
      <c r="C1800" t="inlineStr">
        <is>
          <t>144</t>
        </is>
      </c>
      <c r="D1800" t="inlineStr">
        <is>
          <t>1</t>
        </is>
      </c>
      <c r="E1800" t="inlineStr">
        <is>
          <t>36</t>
        </is>
      </c>
      <c r="F1800" t="inlineStr">
        <is>
          <t>8</t>
        </is>
      </c>
      <c r="G1800" t="inlineStr">
        <is>
          <t>0</t>
        </is>
      </c>
      <c r="H1800" t="inlineStr">
        <is>
          <t>12⁴, 48²</t>
        </is>
      </c>
      <c r="I1800" t="n">
        <v>6</v>
      </c>
      <c r="J1800" t="inlineStr">
        <is>
          <t>1², 2³, 4³, 8²</t>
        </is>
      </c>
      <c r="K1800">
        <f>HYPERLINK("CSG2.html#group24O2", "24O²"), =HYPERLINK("CSG4.html#group48E4", "48E⁴"), =HYPERLINK("CSG4.html#group48H4", "48H⁴")</f>
        <v/>
      </c>
      <c r="L1800">
        <f>HYPERLINK("CSG15.html#group48V15", "48V¹⁵"), =HYPERLINK("CSG17.html#group48AH17", "48AH¹⁷"), =HYPERLINK("CSG17.html#group48BU17", "48BU¹⁷"), =HYPERLINK("CSG19.html#group48F19", "48F¹⁹"), =HYPERLINK("CSG19.html#group48Y19", "48Y¹⁹"), =HYPERLINK("CSG20.html#group96K20", "96K²⁰"), =HYPERLINK("CSG20.html#group96L20", "96L²⁰")</f>
        <v/>
      </c>
      <c r="M1800">
        <f>HYPERLINK("CSG2.html#group24O2", "24O²"), =HYPERLINK("CSG1.html#group24E1", "24E¹"), =HYPERLINK("CSG0.html#group6B0", "6B⁰"), =HYPERLINK("CSG0.html#group12C0", "12C⁰"), =HYPERLINK("CSG4.html#group48H4", "48H⁴"), =HYPERLINK("CSG0.html#group8D0", "8D⁰"), =HYPERLINK("CSG0.html#group4C0", "4C⁰"), =HYPERLINK("CSG0.html#group2B0", "2B⁰"), =HYPERLINK("CSG0.html#group12H0", "12H⁰"), =HYPERLINK("CSG0.html#group1A0", "1A⁰"), =HYPERLINK("CSG4.html#group48E4", "48E⁴"), =HYPERLINK("CSG1.html#group16C1", "16C¹"), =HYPERLINK("CSG1.html#group24C1", "24C¹"), =HYPERLINK("CSG0.html#group12D0", "12D⁰"), =HYPERLINK("CSG0.html#group6H0", "6H⁰"), =HYPERLINK("CSG0.html#group3A0", "3A⁰"), =HYPERLINK("CSG0.html#group6D0", "6D⁰")</f>
        <v/>
      </c>
      <c r="N1800">
        <f>HYPERLINK("CSG17.html#group48AH17", "48AH¹⁷"), =HYPERLINK("CSG20.html#group96L20", "96L²⁰"), =HYPERLINK("CSG17.html#group48BU17", "48BU¹⁷"), =HYPERLINK("CSG19.html#group48F19", "48F¹⁹"), =HYPERLINK("CSG19.html#group48Y19", "48Y¹⁹"), =HYPERLINK("CSG20.html#group96K20", "96K²⁰"), =HYPERLINK("CSG15.html#group48V15", "48V¹⁵")</f>
        <v/>
      </c>
    </row>
    <row r="1801">
      <c r="A1801" t="inlineStr">
        <is>
          <t>48P⁸</t>
        </is>
      </c>
      <c r="B1801" t="inlineStr"/>
      <c r="C1801" t="inlineStr">
        <is>
          <t>144</t>
        </is>
      </c>
      <c r="D1801" t="inlineStr">
        <is>
          <t>1</t>
        </is>
      </c>
      <c r="E1801" t="inlineStr">
        <is>
          <t>36</t>
        </is>
      </c>
      <c r="F1801" t="inlineStr">
        <is>
          <t>8</t>
        </is>
      </c>
      <c r="G1801" t="inlineStr">
        <is>
          <t>0</t>
        </is>
      </c>
      <c r="H1801" t="inlineStr">
        <is>
          <t>12⁴, 48²</t>
        </is>
      </c>
      <c r="I1801" t="n">
        <v>6</v>
      </c>
      <c r="J1801" t="inlineStr">
        <is>
          <t>1², 2³, 4³, 8²</t>
        </is>
      </c>
      <c r="K1801">
        <f>HYPERLINK("CSG3.html#group24Q3", "24Q³"), =HYPERLINK("CSG3.html#group48D3", "48D³"), =HYPERLINK("CSG4.html#group48H4", "48H⁴")</f>
        <v/>
      </c>
      <c r="L1801">
        <f>HYPERLINK("CSG15.html#group48V15", "48V¹⁵"), =HYPERLINK("CSG17.html#group48AJ17", "48AJ¹⁷"), =HYPERLINK("CSG17.html#group48BV17", "48BV¹⁷"), =HYPERLINK("CSG18.html#group96E18", "96E¹⁸"), =HYPERLINK("CSG18.html#group96F18", "96F¹⁸"), =HYPERLINK("CSG18.html#group96G18", "96G¹⁸"), =HYPERLINK("CSG19.html#group48H19", "48H¹⁹"), =HYPERLINK("CSG19.html#group48Z19", "48Z¹⁹")</f>
        <v/>
      </c>
      <c r="M1801">
        <f>HYPERLINK("CSG3.html#group24Q3", "24Q³"), =HYPERLINK("CSG0.html#group16E0", "16E⁰"), =HYPERLINK("CSG0.html#group12C0", "12C⁰"), =HYPERLINK("CSG4.html#group48H4", "48H⁴"), =HYPERLINK("CSG0.html#group8D0", "8D⁰"), =HYPERLINK("CSG0.html#group4C0", "4C⁰"), =HYPERLINK("CSG1.html#group24D1", "24D¹"), =HYPERLINK("CSG1.html#group24C1", "24C¹"), =HYPERLINK("CSG1.html#group12M1", "12M¹"), =HYPERLINK("CSG0.html#group2B0", "2B⁰"), =HYPERLINK("CSG3.html#group48D3", "48D³"), =HYPERLINK("CSG0.html#group3A0", "3A⁰"), =HYPERLINK("CSG0.html#group1A0", "1A⁰"), =HYPERLINK("CSG0.html#group6D0", "6D⁰")</f>
        <v/>
      </c>
      <c r="N1801">
        <f>HYPERLINK("CSG18.html#group96G18", "96G¹⁸"), =HYPERLINK("CSG18.html#group96E18", "96E¹⁸"), =HYPERLINK("CSG17.html#group48BV17", "48BV¹⁷"), =HYPERLINK("CSG19.html#group48Z19", "48Z¹⁹"), =HYPERLINK("CSG15.html#group48V15", "48V¹⁵"), =HYPERLINK("CSG19.html#group48H19", "48H¹⁹"), =HYPERLINK("CSG17.html#group48AJ17", "48AJ¹⁷"), =HYPERLINK("CSG18.html#group96F18", "96F¹⁸")</f>
        <v/>
      </c>
    </row>
    <row r="1802">
      <c r="A1802" t="inlineStr">
        <is>
          <t>48Q⁸</t>
        </is>
      </c>
      <c r="B1802" t="inlineStr"/>
      <c r="C1802" t="inlineStr">
        <is>
          <t>144</t>
        </is>
      </c>
      <c r="D1802" t="inlineStr">
        <is>
          <t>1</t>
        </is>
      </c>
      <c r="E1802" t="inlineStr">
        <is>
          <t>36</t>
        </is>
      </c>
      <c r="F1802" t="inlineStr">
        <is>
          <t>8</t>
        </is>
      </c>
      <c r="G1802" t="inlineStr">
        <is>
          <t>0</t>
        </is>
      </c>
      <c r="H1802" t="inlineStr">
        <is>
          <t>12⁴, 48²</t>
        </is>
      </c>
      <c r="I1802" t="n">
        <v>6</v>
      </c>
      <c r="J1802" t="inlineStr">
        <is>
          <t>1², 2³, 4³, 8²</t>
        </is>
      </c>
      <c r="K1802">
        <f>HYPERLINK("CSG3.html#group24Q3", "24Q³"), =HYPERLINK("CSG3.html#group48G3", "48G³"), =HYPERLINK("CSG4.html#group48E4", "48E⁴")</f>
        <v/>
      </c>
      <c r="L1802">
        <f>HYPERLINK("CSG15.html#group48V15", "48V¹⁵"), =HYPERLINK("CSG17.html#group48AI17", "48AI¹⁷"), =HYPERLINK("CSG17.html#group48BU17", "48BU¹⁷"), =HYPERLINK("CSG19.html#group48I19", "48I¹⁹"), =HYPERLINK("CSG19.html#group48Z19", "48Z¹⁹"), =HYPERLINK("CSG20.html#group96C20", "96C²⁰"), =HYPERLINK("CSG20.html#group96D20", "96D²⁰"), =HYPERLINK("CSG20.html#group96M20", "96M²⁰")</f>
        <v/>
      </c>
      <c r="M1802">
        <f>HYPERLINK("CSG3.html#group24Q3", "24Q³"), =HYPERLINK("CSG4.html#group48E4", "48E⁴"), =HYPERLINK("CSG3.html#group48G3", "48G³"), =HYPERLINK("CSG0.html#group12C0", "12C⁰"), =HYPERLINK("CSG0.html#group8D0", "8D⁰"), =HYPERLINK("CSG1.html#group16C1", "16C¹"), =HYPERLINK("CSG0.html#group4C0", "4C⁰"), =HYPERLINK("CSG1.html#group24D1", "24D¹"), =HYPERLINK("CSG1.html#group24C1", "24C¹"), =HYPERLINK("CSG1.html#group12M1", "12M¹"), =HYPERLINK("CSG0.html#group2B0", "2B⁰"), =HYPERLINK("CSG0.html#group3A0", "3A⁰"), =HYPERLINK("CSG0.html#group1A0", "1A⁰"), =HYPERLINK("CSG0.html#group6D0", "6D⁰")</f>
        <v/>
      </c>
      <c r="N1802">
        <f>HYPERLINK("CSG19.html#group48Z19", "48Z¹⁹"), =HYPERLINK("CSG17.html#group48AI17", "48AI¹⁷"), =HYPERLINK("CSG19.html#group48I19", "48I¹⁹"), =HYPERLINK("CSG20.html#group96D20", "96D²⁰"), =HYPERLINK("CSG20.html#group96M20", "96M²⁰"), =HYPERLINK("CSG17.html#group48BU17", "48BU¹⁷"), =HYPERLINK("CSG20.html#group96C20", "96C²⁰"), =HYPERLINK("CSG15.html#group48V15", "48V¹⁵")</f>
        <v/>
      </c>
    </row>
    <row r="1803">
      <c r="A1803" t="inlineStr">
        <is>
          <t>48R⁸</t>
        </is>
      </c>
      <c r="B1803" t="inlineStr"/>
      <c r="C1803" t="inlineStr">
        <is>
          <t>144</t>
        </is>
      </c>
      <c r="D1803" t="inlineStr">
        <is>
          <t>1</t>
        </is>
      </c>
      <c r="E1803" t="inlineStr">
        <is>
          <t>36</t>
        </is>
      </c>
      <c r="F1803" t="inlineStr">
        <is>
          <t>12</t>
        </is>
      </c>
      <c r="G1803" t="inlineStr">
        <is>
          <t>0</t>
        </is>
      </c>
      <c r="H1803" t="inlineStr">
        <is>
          <t>24², 48²</t>
        </is>
      </c>
      <c r="I1803" t="n">
        <v>4</v>
      </c>
      <c r="J1803" t="inlineStr">
        <is>
          <t>2⁶, 4⁶</t>
        </is>
      </c>
      <c r="K1803">
        <f>HYPERLINK("CSG2.html#group24L2", "24L²"), =HYPERLINK("CSG3.html#group48H3", "48H³")</f>
        <v/>
      </c>
      <c r="L1803">
        <f>HYPERLINK("CSG15.html#group48Y15", "48Y¹⁵"), =HYPERLINK("CSG17.html#group48AQ17", "48AQ¹⁷"), =HYPERLINK("CSG17.html#group48AS17", "48AS¹⁷"), =HYPERLINK("CSG17.html#group48AT17", "48AT¹⁷"), =HYPERLINK("CSG17.html#group48BZ17", "48BZ¹⁷"), =HYPERLINK("CSG18.html#group48M18", "48M¹⁸"), =HYPERLINK("CSG18.html#group48L18", "48L¹⁸"), =HYPERLINK("CSG18.html#group48P18", "48P¹⁸"), =HYPERLINK("CSG18.html#group48N18", "48N¹⁸"), =HYPERLINK("CSG18.html#group48T18", "48T¹⁸"), =HYPERLINK("CSG18.html#group48S18", "48S¹⁸"), =HYPERLINK("CSG19.html#group48AJ19", "48AJ¹⁹"), =HYPERLINK("CSG19.html#group48AL19", "48AL¹⁹"), =HYPERLINK("CSG19.html#group48AM19", "48AM¹⁹"), =HYPERLINK("CSG19.html#group48BA19", "48BA¹⁹"), =HYPERLINK("CSG21.html#group48L21", "48L²¹"), =HYPERLINK("CSG21.html#group48AX21", "48AX²¹")</f>
        <v/>
      </c>
      <c r="M1803">
        <f>HYPERLINK("CSG0.html#group12C0", "12C⁰"), =HYPERLINK("CSG0.html#group8D0", "8D⁰"), =HYPERLINK("CSG0.html#group4C0", "4C⁰"), =HYPERLINK("CSG0.html#group8B0", "8B⁰"), =HYPERLINK("CSG0.html#group2B0", "2B⁰"), =HYPERLINK("CSG2.html#group24L2", "24L²"), =HYPERLINK("CSG0.html#group1A0", "1A⁰"), =HYPERLINK("CSG3.html#group48H3", "48H³"), =HYPERLINK("CSG0.html#group8H0", "8H⁰"),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1803">
        <f>HYPERLINK("CSG17.html#group48AT17", "48AT¹⁷"), =HYPERLINK("CSG19.html#group48AL19", "48AL¹⁹"), =HYPERLINK("CSG15.html#group48Y15", "48Y¹⁵"), =HYPERLINK("CSG21.html#group48L21", "48L²¹"), =HYPERLINK("CSG18.html#group48L18", "48L¹⁸"), =HYPERLINK("CSG18.html#group48S18", "48S¹⁸"), =HYPERLINK("CSG18.html#group48M18", "48M¹⁸"), =HYPERLINK("CSG18.html#group48T18", "48T¹⁸"), =HYPERLINK("CSG17.html#group48BZ17", "48BZ¹⁷"), =HYPERLINK("CSG19.html#group48BA19", "48BA¹⁹"), =HYPERLINK("CSG21.html#group48AX21", "48AX²¹"), =HYPERLINK("CSG17.html#group48AQ17", "48AQ¹⁷"), =HYPERLINK("CSG19.html#group48AJ19", "48AJ¹⁹"), =HYPERLINK("CSG18.html#group48N18", "48N¹⁸"), =HYPERLINK("CSG17.html#group48AS17", "48AS¹⁷"), =HYPERLINK("CSG19.html#group48AM19", "48AM¹⁹"), =HYPERLINK("CSG18.html#group48P18", "48P¹⁸")</f>
        <v/>
      </c>
    </row>
    <row r="1804">
      <c r="A1804" t="inlineStr">
        <is>
          <t>48S⁸</t>
        </is>
      </c>
      <c r="B1804" t="inlineStr"/>
      <c r="C1804" t="inlineStr">
        <is>
          <t>144</t>
        </is>
      </c>
      <c r="D1804" t="inlineStr">
        <is>
          <t>1</t>
        </is>
      </c>
      <c r="E1804" t="inlineStr">
        <is>
          <t>36</t>
        </is>
      </c>
      <c r="F1804" t="inlineStr">
        <is>
          <t>12</t>
        </is>
      </c>
      <c r="G1804" t="inlineStr">
        <is>
          <t>0</t>
        </is>
      </c>
      <c r="H1804" t="inlineStr">
        <is>
          <t>24², 48²</t>
        </is>
      </c>
      <c r="I1804" t="n">
        <v>4</v>
      </c>
      <c r="J1804" t="inlineStr">
        <is>
          <t>4¹⁴, 8²</t>
        </is>
      </c>
      <c r="K1804">
        <f>HYPERLINK("CSG2.html#group24P2", "24P²"), =HYPERLINK("CSG3.html#group48H3", "48H³")</f>
        <v/>
      </c>
      <c r="L1804">
        <f>HYPERLINK("CSG15.html#group48Z15", "48Z¹⁵"), =HYPERLINK("CSG17.html#group48AQ17", "48AQ¹⁷"), =HYPERLINK("CSG17.html#group48BB17", "48BB¹⁷"), =HYPERLINK("CSG17.html#group48BC17", "48BC¹⁷"), =HYPERLINK("CSG17.html#group48CG17", "48CG¹⁷"), =HYPERLINK("CSG19.html#group48AM19", "48AM¹⁹"), =HYPERLINK("CSG19.html#group48AO19", "48AO¹⁹"), =HYPERLINK("CSG19.html#group48BB19", "48BB¹⁹"), =HYPERLINK("CSG19.html#group48BJ19", "48BJ¹⁹"), =HYPERLINK("CSG21.html#group48AG21", "48AG²¹"), =HYPERLINK("CSG21.html#group48BH21", "48BH²¹")</f>
        <v/>
      </c>
      <c r="M1804">
        <f>HYPERLINK("CSG1.html#group24E1", "24E¹"), =HYPERLINK("CSG0.html#group12C0", "12C⁰"), =HYPERLINK("CSG0.html#group24A0", "24A⁰"), =HYPERLINK("CSG0.html#group4C0", "4C⁰"), =HYPERLINK("CSG0.html#group8B0", "8B⁰"), =HYPERLINK("CSG2.html#group24P2", "24P²"), =HYPERLINK("CSG1.html#group12M1", "12M¹"), =HYPERLINK("CSG0.html#group2B0", "2B⁰"), =HYPERLINK("CSG0.html#group3A0", "3A⁰"), =HYPERLINK("CSG0.html#group1A0", "1A⁰"), =HYPERLINK("CSG3.html#group48H3", "48H³"), =HYPERLINK("CSG0.html#group6D0", "6D⁰")</f>
        <v/>
      </c>
      <c r="N1804">
        <f>HYPERLINK("CSG17.html#group48BB17", "48BB¹⁷"), =HYPERLINK("CSG17.html#group48CG17", "48CG¹⁷"), =HYPERLINK("CSG17.html#group48BC17", "48BC¹⁷"), =HYPERLINK("CSG15.html#group48Z15", "48Z¹⁵"), =HYPERLINK("CSG17.html#group48AQ17", "48AQ¹⁷"), =HYPERLINK("CSG21.html#group48BH21", "48BH²¹"), =HYPERLINK("CSG19.html#group48BJ19", "48BJ¹⁹"), =HYPERLINK("CSG19.html#group48AO19", "48AO¹⁹"), =HYPERLINK("CSG19.html#group48BB19", "48BB¹⁹"), =HYPERLINK("CSG21.html#group48AG21", "48AG²¹"), =HYPERLINK("CSG19.html#group48AM19", "48AM¹⁹")</f>
        <v/>
      </c>
    </row>
    <row r="1805">
      <c r="A1805" t="inlineStr">
        <is>
          <t>48T⁸</t>
        </is>
      </c>
      <c r="B1805" t="inlineStr"/>
      <c r="C1805" t="inlineStr">
        <is>
          <t>144</t>
        </is>
      </c>
      <c r="D1805" t="inlineStr">
        <is>
          <t>1</t>
        </is>
      </c>
      <c r="E1805" t="inlineStr">
        <is>
          <t>36</t>
        </is>
      </c>
      <c r="F1805" t="inlineStr">
        <is>
          <t>12</t>
        </is>
      </c>
      <c r="G1805" t="inlineStr">
        <is>
          <t>0</t>
        </is>
      </c>
      <c r="H1805" t="inlineStr">
        <is>
          <t>24², 48²</t>
        </is>
      </c>
      <c r="I1805" t="n">
        <v>4</v>
      </c>
      <c r="J1805" t="inlineStr">
        <is>
          <t>4¹⁴, 8²</t>
        </is>
      </c>
      <c r="K1805">
        <f>HYPERLINK("CSG2.html#group24P2", "24P²"), =HYPERLINK("CSG3.html#group48H3", "48H³")</f>
        <v/>
      </c>
      <c r="L1805">
        <f>HYPERLINK("CSG15.html#group48AA15", "48AA¹⁵"), =HYPERLINK("CSG17.html#group48AQ17", "48AQ¹⁷"), =HYPERLINK("CSG17.html#group48BA17", "48BA¹⁷"), =HYPERLINK("CSG17.html#group48BD17", "48BD¹⁷"), =HYPERLINK("CSG17.html#group48CH17", "48CH¹⁷"), =HYPERLINK("CSG19.html#group48AM19", "48AM¹⁹"), =HYPERLINK("CSG19.html#group48AN19", "48AN¹⁹"), =HYPERLINK("CSG19.html#group48BB19", "48BB¹⁹"), =HYPERLINK("CSG19.html#group48BK19", "48BK¹⁹"), =HYPERLINK("CSG21.html#group48AG21", "48AG²¹"), =HYPERLINK("CSG21.html#group48BI21", "48BI²¹")</f>
        <v/>
      </c>
      <c r="M1805">
        <f>HYPERLINK("CSG1.html#group24E1", "24E¹"), =HYPERLINK("CSG0.html#group12C0", "12C⁰"), =HYPERLINK("CSG0.html#group24A0", "24A⁰"), =HYPERLINK("CSG0.html#group4C0", "4C⁰"), =HYPERLINK("CSG0.html#group8B0", "8B⁰"), =HYPERLINK("CSG2.html#group24P2", "24P²"), =HYPERLINK("CSG1.html#group12M1", "12M¹"), =HYPERLINK("CSG0.html#group2B0", "2B⁰"), =HYPERLINK("CSG0.html#group3A0", "3A⁰"), =HYPERLINK("CSG0.html#group1A0", "1A⁰"), =HYPERLINK("CSG3.html#group48H3", "48H³"), =HYPERLINK("CSG0.html#group6D0", "6D⁰")</f>
        <v/>
      </c>
      <c r="N1805">
        <f>HYPERLINK("CSG17.html#group48BD17", "48BD¹⁷"), =HYPERLINK("CSG17.html#group48BA17", "48BA¹⁷"), =HYPERLINK("CSG21.html#group48BI21", "48BI²¹"), =HYPERLINK("CSG19.html#group48AN19", "48AN¹⁹"), =HYPERLINK("CSG17.html#group48AQ17", "48AQ¹⁷"), =HYPERLINK("CSG15.html#group48AA15", "48AA¹⁵"), =HYPERLINK("CSG19.html#group48BB19", "48BB¹⁹"), =HYPERLINK("CSG21.html#group48AG21", "48AG²¹"), =HYPERLINK("CSG19.html#group48BK19", "48BK¹⁹"), =HYPERLINK("CSG19.html#group48AM19", "48AM¹⁹"), =HYPERLINK("CSG17.html#group48CH17", "48CH¹⁷")</f>
        <v/>
      </c>
    </row>
    <row r="1806">
      <c r="A1806" t="inlineStr">
        <is>
          <t>48U⁸</t>
        </is>
      </c>
      <c r="B1806" t="inlineStr"/>
      <c r="C1806" t="inlineStr">
        <is>
          <t>144</t>
        </is>
      </c>
      <c r="D1806" t="inlineStr">
        <is>
          <t>1</t>
        </is>
      </c>
      <c r="E1806" t="inlineStr">
        <is>
          <t>72</t>
        </is>
      </c>
      <c r="F1806" t="inlineStr">
        <is>
          <t>6</t>
        </is>
      </c>
      <c r="G1806" t="inlineStr">
        <is>
          <t>0</t>
        </is>
      </c>
      <c r="H1806" t="inlineStr">
        <is>
          <t>12⁴, 24², 48¹</t>
        </is>
      </c>
      <c r="I1806" t="n">
        <v>7</v>
      </c>
      <c r="J1806" t="inlineStr">
        <is>
          <t>4⁴, 8⁸, 16⁴</t>
        </is>
      </c>
      <c r="K1806">
        <f>HYPERLINK("CSG3.html#group24J3", "24J³")</f>
        <v/>
      </c>
      <c r="L1806">
        <f>HYPERLINK("CSG16.html#group48B16", "48B¹⁶"), =HYPERLINK("CSG16.html#group48D16", "48D¹⁶"), =HYPERLINK("CSG17.html#group48BI17", "48BI¹⁷"), =HYPERLINK("CSG17.html#group48BK17", "48BK¹⁷"), =HYPERLINK("CSG17.html#group48BO17", "48BO¹⁷"), =HYPERLINK("CSG18.html#group48G18", "48G¹⁸"), =HYPERLINK("CSG18.html#group48K18", "48K¹⁸"), =HYPERLINK("CSG18.html#group48R18", "48R¹⁸"), =HYPERLINK("CSG19.html#group48AT19", "48AT¹⁹"), =HYPERLINK("CSG19.html#group48BL19", "48BL¹⁹"), =HYPERLINK("CSG20.html#group48B20", "48B²⁰")</f>
        <v/>
      </c>
      <c r="M1806">
        <f>HYPERLINK("CSG0.html#group12A0", "12A⁰"), =HYPERLINK("CSG0.html#group12C0", "12C⁰"), =HYPERLINK("CSG0.html#group8K0", "8K⁰"), =HYPERLINK("CSG0.html#group4A0", "4A⁰"), =HYPERLINK("CSG0.html#group4C0", "4C⁰"), =HYPERLINK("CSG0.html#group2B0", "2B⁰"), =HYPERLINK("CSG1.html#group12J1", "12J¹"), =HYPERLINK("CSG0.html#group4F0", "4F⁰"), =HYPERLINK("CSG0.html#group3A0", "3A⁰"), =HYPERLINK("CSG0.html#group1A0", "1A⁰"), =HYPERLINK("CSG0.html#group6D0", "6D⁰"), =HYPERLINK("CSG3.html#group24J3", "24J³")</f>
        <v/>
      </c>
      <c r="N1806">
        <f>HYPERLINK("CSG18.html#group48K18", "48K¹⁸"), =HYPERLINK("CSG19.html#group48BL19", "48BL¹⁹"), =HYPERLINK("CSG16.html#group48D16", "48D¹⁶"), =HYPERLINK("CSG19.html#group48AT19", "48AT¹⁹"), =HYPERLINK("CSG17.html#group48BK17", "48BK¹⁷"), =HYPERLINK("CSG17.html#group48BI17", "48BI¹⁷"), =HYPERLINK("CSG16.html#group48B16", "48B¹⁶"), =HYPERLINK("CSG20.html#group48B20", "48B²⁰"), =HYPERLINK("CSG18.html#group48G18", "48G¹⁸"), =HYPERLINK("CSG17.html#group48BO17", "48BO¹⁷"), =HYPERLINK("CSG18.html#group48R18", "48R¹⁸")</f>
        <v/>
      </c>
    </row>
    <row r="1807">
      <c r="A1807" t="inlineStr">
        <is>
          <t>48V⁸</t>
        </is>
      </c>
      <c r="B1807" t="inlineStr"/>
      <c r="C1807" t="inlineStr">
        <is>
          <t>144</t>
        </is>
      </c>
      <c r="D1807" t="inlineStr">
        <is>
          <t>1</t>
        </is>
      </c>
      <c r="E1807" t="inlineStr">
        <is>
          <t>72</t>
        </is>
      </c>
      <c r="F1807" t="inlineStr">
        <is>
          <t>6</t>
        </is>
      </c>
      <c r="G1807" t="inlineStr">
        <is>
          <t>0</t>
        </is>
      </c>
      <c r="H1807" t="inlineStr">
        <is>
          <t>12⁴, 24², 48¹</t>
        </is>
      </c>
      <c r="I1807" t="n">
        <v>7</v>
      </c>
      <c r="J1807" t="inlineStr">
        <is>
          <t>4⁴, 8⁸, 16⁴</t>
        </is>
      </c>
      <c r="K1807">
        <f>HYPERLINK("CSG3.html#group24J3", "24J³")</f>
        <v/>
      </c>
      <c r="L1807">
        <f>HYPERLINK("CSG16.html#group48C16", "48C¹⁶"), =HYPERLINK("CSG16.html#group48E16", "48E¹⁶"), =HYPERLINK("CSG17.html#group48BJ17", "48BJ¹⁷"), =HYPERLINK("CSG17.html#group48BL17", "48BL¹⁷"), =HYPERLINK("CSG17.html#group48BO17", "48BO¹⁷"), =HYPERLINK("CSG18.html#group48G18", "48G¹⁸"), =HYPERLINK("CSG18.html#group48J18", "48J¹⁸"), =HYPERLINK("CSG18.html#group48R18", "48R¹⁸"), =HYPERLINK("CSG19.html#group48AS19", "48AS¹⁹"), =HYPERLINK("CSG19.html#group48BL19", "48BL¹⁹"), =HYPERLINK("CSG20.html#group48B20", "48B²⁰")</f>
        <v/>
      </c>
      <c r="M1807">
        <f>HYPERLINK("CSG0.html#group12A0", "12A⁰"), =HYPERLINK("CSG0.html#group12C0", "12C⁰"), =HYPERLINK("CSG0.html#group8K0", "8K⁰"), =HYPERLINK("CSG0.html#group4A0", "4A⁰"), =HYPERLINK("CSG0.html#group4C0", "4C⁰"), =HYPERLINK("CSG0.html#group2B0", "2B⁰"), =HYPERLINK("CSG1.html#group12J1", "12J¹"), =HYPERLINK("CSG0.html#group4F0", "4F⁰"), =HYPERLINK("CSG0.html#group3A0", "3A⁰"), =HYPERLINK("CSG0.html#group1A0", "1A⁰"), =HYPERLINK("CSG0.html#group6D0", "6D⁰"), =HYPERLINK("CSG3.html#group24J3", "24J³")</f>
        <v/>
      </c>
      <c r="N1807">
        <f>HYPERLINK("CSG19.html#group48BL19", "48BL¹⁹"), =HYPERLINK("CSG16.html#group48E16", "48E¹⁶"), =HYPERLINK("CSG18.html#group48J18", "48J¹⁸"), =HYPERLINK("CSG17.html#group48BJ17", "48BJ¹⁷"), =HYPERLINK("CSG19.html#group48AS19", "48AS¹⁹"), =HYPERLINK("CSG16.html#group48C16", "48C¹⁶"), =HYPERLINK("CSG17.html#group48BL17", "48BL¹⁷"), =HYPERLINK("CSG20.html#group48B20", "48B²⁰"), =HYPERLINK("CSG18.html#group48G18", "48G¹⁸"), =HYPERLINK("CSG17.html#group48BO17", "48BO¹⁷"), =HYPERLINK("CSG18.html#group48R18", "48R¹⁸")</f>
        <v/>
      </c>
    </row>
    <row r="1808">
      <c r="A1808" t="inlineStr">
        <is>
          <t>48W⁸</t>
        </is>
      </c>
      <c r="B1808" t="inlineStr"/>
      <c r="C1808" t="inlineStr">
        <is>
          <t>144</t>
        </is>
      </c>
      <c r="D1808" t="inlineStr">
        <is>
          <t>1</t>
        </is>
      </c>
      <c r="E1808" t="inlineStr">
        <is>
          <t>72</t>
        </is>
      </c>
      <c r="F1808" t="inlineStr">
        <is>
          <t>8</t>
        </is>
      </c>
      <c r="G1808" t="inlineStr">
        <is>
          <t>0</t>
        </is>
      </c>
      <c r="H1808" t="inlineStr">
        <is>
          <t>12⁴, 48²</t>
        </is>
      </c>
      <c r="I1808" t="n">
        <v>6</v>
      </c>
      <c r="J1808" t="inlineStr">
        <is>
          <t>4¹⁰, 8⁴</t>
        </is>
      </c>
      <c r="K1808">
        <f>HYPERLINK("CSG2.html#group24N2", "24N²")</f>
        <v/>
      </c>
      <c r="L1808">
        <f>HYPERLINK("CSG15.html#group48AC15", "48AC¹⁵"), =HYPERLINK("CSG17.html#group48AG17", "48AG¹⁷"), =HYPERLINK("CSG17.html#group48CI17", "48CI¹⁷"), =HYPERLINK("CSG19.html#group48K19", "48K¹⁹"), =HYPERLINK("CSG19.html#group48AQ19", "48AQ¹⁹")</f>
        <v/>
      </c>
      <c r="M1808">
        <f>HYPERLINK("CSG1.html#group24E1", "24E¹"), =HYPERLINK("CSG0.html#group6B0", "6B⁰"), =HYPERLINK("CSG0.html#group12C0", "12C⁰"), =HYPERLINK("CSG2.html#group24N2", "24N²"), =HYPERLINK("CSG0.html#group4C0", "4C⁰"), =HYPERLINK("CSG0.html#group2B0", "2B⁰"), =HYPERLINK("CSG0.html#group12D0", "12D⁰"), =HYPERLINK("CSG0.html#group12H0", "12H⁰"), =HYPERLINK("CSG0.html#group6H0", "6H⁰"), =HYPERLINK("CSG0.html#group3A0", "3A⁰"), =HYPERLINK("CSG0.html#group1A0", "1A⁰"), =HYPERLINK("CSG0.html#group6D0", "6D⁰")</f>
        <v/>
      </c>
      <c r="N1808">
        <f>HYPERLINK("CSG17.html#group48CI17", "48CI¹⁷"), =HYPERLINK("CSG19.html#group48K19", "48K¹⁹"), =HYPERLINK("CSG19.html#group48AQ19", "48AQ¹⁹"), =HYPERLINK("CSG17.html#group48AG17", "48AG¹⁷"), =HYPERLINK("CSG15.html#group48AC15", "48AC¹⁵")</f>
        <v/>
      </c>
    </row>
    <row r="1809">
      <c r="A1809" t="inlineStr">
        <is>
          <t>48X⁸</t>
        </is>
      </c>
      <c r="B1809" t="inlineStr"/>
      <c r="C1809" t="inlineStr">
        <is>
          <t>144</t>
        </is>
      </c>
      <c r="D1809" t="inlineStr">
        <is>
          <t>2</t>
        </is>
      </c>
      <c r="E1809" t="inlineStr">
        <is>
          <t>12</t>
        </is>
      </c>
      <c r="F1809" t="inlineStr">
        <is>
          <t>12</t>
        </is>
      </c>
      <c r="G1809" t="inlineStr">
        <is>
          <t>0</t>
        </is>
      </c>
      <c r="H1809" t="inlineStr">
        <is>
          <t>24², 48²</t>
        </is>
      </c>
      <c r="I1809" t="n">
        <v>4</v>
      </c>
      <c r="J1809" t="inlineStr">
        <is>
          <t>2⁸, 4²</t>
        </is>
      </c>
      <c r="K1809">
        <f>HYPERLINK("CSG2.html#group16F2", "16F²"), =HYPERLINK("CSG2.html#group24M2", "24M²"), =HYPERLINK("CSG3.html#group48C3", "48C³"), =HYPERLINK("CSG3.html#group48E3", "48E³")</f>
        <v/>
      </c>
      <c r="L1809">
        <f>HYPERLINK("CSG15.html#group48J15", "48J¹⁵"), =HYPERLINK("CSG17.html#group48CA17", "48CA¹⁷"), =HYPERLINK("CSG17.html#group48CB17", "48CB¹⁷"), =HYPERLINK("CSG19.html#group48BF19", "48BF¹⁹"), =HYPERLINK("CSG19.html#group48BG19", "48BG¹⁹"), =HYPERLINK("CSG20.html#group96I20", "96I²⁰"), =HYPERLINK("CSG20.html#group96J20", "96J²⁰"), =HYPERLINK("CSG20.html#group96P20", "96P²⁰"), =HYPERLINK("CSG20.html#group96Q20", "96Q²⁰"), =HYPERLINK("CSG21.html#group48I21", "48I²¹"), =HYPERLINK("CSG21.html#group48V21", "48V²¹")</f>
        <v/>
      </c>
      <c r="M1809">
        <f>HYPERLINK("CSG3.html#group48C3", "48C³"), =HYPERLINK("CSG1.html#group16D1", "16D¹"), =HYPERLINK("CSG0.html#group12C0", "12C⁰"), =HYPERLINK("CSG3.html#group48E3", "48E³"), =HYPERLINK("CSG2.html#group16F2", "16F²"), =HYPERLINK("CSG0.html#group24A0", "24A⁰"), =HYPERLINK("CSG2.html#group24M2", "24M²"), =HYPERLINK("CSG0.html#group4C0", "4C⁰"), =HYPERLINK("CSG0.html#group8B0", "8B⁰"), =HYPERLINK("CSG1.html#group16B1", "16B¹"), =HYPERLINK("CSG0.html#group8L0", "8L⁰"), =HYPERLINK("CSG0.html#group2B0", "2B⁰"), =HYPERLINK("CSG0.html#group3A0", "3A⁰"), =HYPERLINK("CSG0.html#group1A0", "1A⁰"), =HYPERLINK("CSG0.html#group6D0", "6D⁰")</f>
        <v/>
      </c>
      <c r="N1809">
        <f>HYPERLINK("CSG17.html#group48CA17", "48CA¹⁷"), =HYPERLINK("CSG20.html#group96I20", "96I²⁰"), =HYPERLINK("CSG20.html#group96Q20", "96Q²⁰"), =HYPERLINK("CSG21.html#group48I21", "48I²¹"), =HYPERLINK("CSG15.html#group48J15", "48J¹⁵"), =HYPERLINK("CSG19.html#group48BG19", "48BG¹⁹"), =HYPERLINK("CSG19.html#group48BF19", "48BF¹⁹"), =HYPERLINK("CSG20.html#group96P20", "96P²⁰"), =HYPERLINK("CSG17.html#group48CB17", "48CB¹⁷"), =HYPERLINK("CSG21.html#group48V21", "48V²¹"), =HYPERLINK("CSG20.html#group96J20", "96J²⁰")</f>
        <v/>
      </c>
    </row>
    <row r="1810">
      <c r="A1810" t="inlineStr">
        <is>
          <t>48Y⁸</t>
        </is>
      </c>
      <c r="B1810" t="inlineStr"/>
      <c r="C1810" t="inlineStr">
        <is>
          <t>144</t>
        </is>
      </c>
      <c r="D1810" t="inlineStr">
        <is>
          <t>2</t>
        </is>
      </c>
      <c r="E1810" t="inlineStr">
        <is>
          <t>36</t>
        </is>
      </c>
      <c r="F1810" t="inlineStr">
        <is>
          <t>0</t>
        </is>
      </c>
      <c r="G1810" t="inlineStr">
        <is>
          <t>0</t>
        </is>
      </c>
      <c r="H1810" t="inlineStr">
        <is>
          <t>3⁴, 6², 12², 48²</t>
        </is>
      </c>
      <c r="I1810" t="n">
        <v>10</v>
      </c>
      <c r="J1810" t="inlineStr">
        <is>
          <t>2¹², 4⁶, 8³</t>
        </is>
      </c>
      <c r="K1810">
        <f>HYPERLINK("CSG4.html#group24M4", "24M⁴"), =HYPERLINK("CSG4.html#group48F4", "48F⁴"), =HYPERLINK("CSG4.html#group48G4", "48G⁴")</f>
        <v/>
      </c>
      <c r="L1810">
        <f>HYPERLINK("CSG15.html#group48P15", "48P¹⁵"), =HYPERLINK("CSG15.html#group48O15", "48O¹⁵"), =HYPERLINK("CSG15.html#group48N15", "48N¹⁵"), =HYPERLINK("CSG17.html#group48X17", "48X¹⁷"), =HYPERLINK("CSG17.html#group48BP17", "48BP¹⁷"), =HYPERLINK("CSG17.html#group48BT17", "48BT¹⁷"), =HYPERLINK("CSG17.html#group48BS17", "48BS¹⁷")</f>
        <v/>
      </c>
      <c r="M1810">
        <f>HYPERLINK("CSG2.html#group24B2", "24B²"), =HYPERLINK("CSG0.html#group3A0", "3A⁰"), =HYPERLINK("CSG4.html#group24M4", "24M⁴"), =HYPERLINK("CSG4.html#group48F4", "48F⁴"), =HYPERLINK("CSG0.html#group8C0", "8C⁰"), =HYPERLINK("CSG1.html#group12B1", "12B¹"), =HYPERLINK("CSG0.html#group2B0", "2B⁰"), =HYPERLINK("CSG0.html#group4B0", "4B⁰"), =HYPERLINK("CSG0.html#group1A0", "1A⁰"), =HYPERLINK("CSG4.html#group48G4", "48G⁴"), =HYPERLINK("CSG0.html#group6D0", "6D⁰")</f>
        <v/>
      </c>
      <c r="N1810">
        <f>HYPERLINK("CSG17.html#group48BT17", "48BT¹⁷"), =HYPERLINK("CSG15.html#group48P15", "48P¹⁵"), =HYPERLINK("CSG17.html#group48X17", "48X¹⁷"), =HYPERLINK("CSG17.html#group48BS17", "48BS¹⁷"), =HYPERLINK("CSG17.html#group48BP17", "48BP¹⁷"), =HYPERLINK("CSG15.html#group48O15", "48O¹⁵"), =HYPERLINK("CSG15.html#group48N15", "48N¹⁵")</f>
        <v/>
      </c>
    </row>
    <row r="1811">
      <c r="A1811" t="inlineStr">
        <is>
          <t>48Z⁸</t>
        </is>
      </c>
      <c r="B1811" t="inlineStr"/>
      <c r="C1811" t="inlineStr">
        <is>
          <t>144</t>
        </is>
      </c>
      <c r="D1811" t="inlineStr">
        <is>
          <t>2</t>
        </is>
      </c>
      <c r="E1811" t="inlineStr">
        <is>
          <t>36</t>
        </is>
      </c>
      <c r="F1811" t="inlineStr">
        <is>
          <t>8</t>
        </is>
      </c>
      <c r="G1811" t="inlineStr">
        <is>
          <t>0</t>
        </is>
      </c>
      <c r="H1811" t="inlineStr">
        <is>
          <t>12⁴, 48²</t>
        </is>
      </c>
      <c r="I1811" t="n">
        <v>6</v>
      </c>
      <c r="J1811" t="inlineStr">
        <is>
          <t>2⁶, 4³, 8⁶</t>
        </is>
      </c>
      <c r="K1811">
        <f>HYPERLINK("CSG3.html#group24Q3", "24Q³"), =HYPERLINK("CSG3.html#group48G3", "48G³"), =HYPERLINK("CSG4.html#group48H4", "48H⁴")</f>
        <v/>
      </c>
      <c r="L1811">
        <f>HYPERLINK("CSG15.html#group48U15", "48U¹⁵"), =HYPERLINK("CSG17.html#group48AJ17", "48AJ¹⁷"), =HYPERLINK("CSG17.html#group48AI17", "48AI¹⁷"), =HYPERLINK("CSG17.html#group48BV17", "48BV¹⁷"), =HYPERLINK("CSG17.html#group48BU17", "48BU¹⁷"), =HYPERLINK("CSG19.html#group48V19", "48V¹⁹"), =HYPERLINK("CSG19.html#group48AW19", "48AW¹⁹")</f>
        <v/>
      </c>
      <c r="M1811">
        <f>HYPERLINK("CSG3.html#group24Q3", "24Q³"), =HYPERLINK("CSG0.html#group12C0", "12C⁰"), =HYPERLINK("CSG3.html#group48G3", "48G³"), =HYPERLINK("CSG4.html#group48H4", "48H⁴"), =HYPERLINK("CSG0.html#group8D0", "8D⁰"), =HYPERLINK("CSG0.html#group4C0", "4C⁰"), =HYPERLINK("CSG1.html#group24D1", "24D¹"), =HYPERLINK("CSG1.html#group24C1", "24C¹"), =HYPERLINK("CSG1.html#group12M1", "12M¹"), =HYPERLINK("CSG0.html#group2B0", "2B⁰"), =HYPERLINK("CSG0.html#group3A0", "3A⁰"), =HYPERLINK("CSG0.html#group1A0", "1A⁰"), =HYPERLINK("CSG0.html#group6D0", "6D⁰")</f>
        <v/>
      </c>
      <c r="N1811">
        <f>HYPERLINK("CSG17.html#group48AI17", "48AI¹⁷"), =HYPERLINK("CSG19.html#group48AW19", "48AW¹⁹"), =HYPERLINK("CSG17.html#group48BV17", "48BV¹⁷"), =HYPERLINK("CSG17.html#group48BU17", "48BU¹⁷"), =HYPERLINK("CSG19.html#group48V19", "48V¹⁹"), =HYPERLINK("CSG15.html#group48U15", "48U¹⁵"), =HYPERLINK("CSG17.html#group48AJ17", "48AJ¹⁷")</f>
        <v/>
      </c>
    </row>
    <row r="1812">
      <c r="A1812" t="inlineStr">
        <is>
          <t>48AA⁸</t>
        </is>
      </c>
      <c r="B1812" t="inlineStr"/>
      <c r="C1812" t="inlineStr">
        <is>
          <t>144</t>
        </is>
      </c>
      <c r="D1812" t="inlineStr">
        <is>
          <t>2</t>
        </is>
      </c>
      <c r="E1812" t="inlineStr">
        <is>
          <t>36</t>
        </is>
      </c>
      <c r="F1812" t="inlineStr">
        <is>
          <t>12</t>
        </is>
      </c>
      <c r="G1812" t="inlineStr">
        <is>
          <t>0</t>
        </is>
      </c>
      <c r="H1812" t="inlineStr">
        <is>
          <t>24², 48²</t>
        </is>
      </c>
      <c r="I1812" t="n">
        <v>4</v>
      </c>
      <c r="J1812" t="inlineStr">
        <is>
          <t>2⁸, 4¹⁰, 8²</t>
        </is>
      </c>
      <c r="K1812">
        <f>HYPERLINK("CSG2.html#group24M2", "24M²"), =HYPERLINK("CSG3.html#group48F3", "48F³"), =HYPERLINK("CSG3.html#group48H3", "48H³")</f>
        <v/>
      </c>
      <c r="L1812">
        <f>HYPERLINK("CSG15.html#group48AF15", "48AF¹⁵"), =HYPERLINK("CSG17.html#group48AT17", "48AT¹⁷"), =HYPERLINK("CSG17.html#group48BG17", "48BG¹⁷"), =HYPERLINK("CSG17.html#group48BH17", "48BH¹⁷"), =HYPERLINK("CSG17.html#group48CA17", "48CA¹⁷"), =HYPERLINK("CSG17.html#group48CG17", "48CG¹⁷"), =HYPERLINK("CSG17.html#group48CH17", "48CH¹⁷"), =HYPERLINK("CSG19.html#group48AJ19", "48AJ¹⁹"), =HYPERLINK("CSG19.html#group48BE19", "48BE¹⁹"), =HYPERLINK("CSG19.html#group48BG19", "48BG¹⁹"), =HYPERLINK("CSG19.html#group48BJ19", "48BJ¹⁹"), =HYPERLINK("CSG19.html#group48BK19", "48BK¹⁹"), =HYPERLINK("CSG21.html#group48AH21", "48AH²¹"), =HYPERLINK("CSG21.html#group48BU21", "48BU²¹")</f>
        <v/>
      </c>
      <c r="M1812">
        <f>HYPERLINK("CSG0.html#group12C0", "12C⁰"), =HYPERLINK("CSG0.html#group24A0", "24A⁰"), =HYPERLINK("CSG2.html#group24M2", "24M²"), =HYPERLINK("CSG0.html#group4C0", "4C⁰"), =HYPERLINK("CSG0.html#group8B0", "8B⁰"), =HYPERLINK("CSG0.html#group8L0", "8L⁰"), =HYPERLINK("CSG0.html#group2B0", "2B⁰"), =HYPERLINK("CSG3.html#group48F3", "48F³"), =HYPERLINK("CSG0.html#group3A0", "3A⁰"), =HYPERLINK("CSG0.html#group1A0", "1A⁰"), =HYPERLINK("CSG3.html#group48H3", "48H³"), =HYPERLINK("CSG0.html#group6D0", "6D⁰")</f>
        <v/>
      </c>
      <c r="N1812">
        <f>HYPERLINK("CSG21.html#group48AH21", "48AH²¹"), =HYPERLINK("CSG21.html#group48BU21", "48BU²¹"), =HYPERLINK("CSG17.html#group48AT17", "48AT¹⁷"), =HYPERLINK("CSG17.html#group48CA17", "48CA¹⁷"), =HYPERLINK("CSG17.html#group48CG17", "48CG¹⁷"), =HYPERLINK("CSG19.html#group48BE19", "48BE¹⁹"), =HYPERLINK("CSG19.html#group48AJ19", "48AJ¹⁹"), =HYPERLINK("CSG19.html#group48BJ19", "48BJ¹⁹"), =HYPERLINK("CSG19.html#group48BG19", "48BG¹⁹"), =HYPERLINK("CSG17.html#group48CH17", "48CH¹⁷"), =HYPERLINK("CSG17.html#group48BG17", "48BG¹⁷"), =HYPERLINK("CSG19.html#group48BK19", "48BK¹⁹"), =HYPERLINK("CSG15.html#group48AF15", "48AF¹⁵"), =HYPERLINK("CSG17.html#group48BH17", "48BH¹⁷")</f>
        <v/>
      </c>
    </row>
    <row r="1813">
      <c r="A1813" t="inlineStr">
        <is>
          <t>48AB⁸</t>
        </is>
      </c>
      <c r="B1813" t="inlineStr"/>
      <c r="C1813" t="inlineStr">
        <is>
          <t>144</t>
        </is>
      </c>
      <c r="D1813" t="inlineStr">
        <is>
          <t>2</t>
        </is>
      </c>
      <c r="E1813" t="inlineStr">
        <is>
          <t>36</t>
        </is>
      </c>
      <c r="F1813" t="inlineStr">
        <is>
          <t>12</t>
        </is>
      </c>
      <c r="G1813" t="inlineStr">
        <is>
          <t>0</t>
        </is>
      </c>
      <c r="H1813" t="inlineStr">
        <is>
          <t>24², 48²</t>
        </is>
      </c>
      <c r="I1813" t="n">
        <v>4</v>
      </c>
      <c r="J1813" t="inlineStr">
        <is>
          <t>2⁸, 4¹⁰, 8²</t>
        </is>
      </c>
      <c r="K1813">
        <f>HYPERLINK("CSG2.html#group24P2", "24P²"), =HYPERLINK("CSG3.html#group48E3", "48E³"), =HYPERLINK("CSG3.html#group48H3", "48H³")</f>
        <v/>
      </c>
      <c r="L1813">
        <f>HYPERLINK("CSG15.html#group48AF15", "48AF¹⁵"), =HYPERLINK("CSG17.html#group48AS17", "48AS¹⁷"), =HYPERLINK("CSG17.html#group48BC17", "48BC¹⁷"), =HYPERLINK("CSG17.html#group48BD17", "48BD¹⁷"), =HYPERLINK("CSG17.html#group48CB17", "48CB¹⁷"), =HYPERLINK("CSG17.html#group48CE17", "48CE¹⁷"), =HYPERLINK("CSG17.html#group48CF17", "48CF¹⁷"), =HYPERLINK("CSG19.html#group48AL19", "48AL¹⁹"), =HYPERLINK("CSG19.html#group48BB19", "48BB¹⁹"), =HYPERLINK("CSG19.html#group48BF19", "48BF¹⁹"), =HYPERLINK("CSG19.html#group48BH19", "48BH¹⁹"), =HYPERLINK("CSG19.html#group48BI19", "48BI¹⁹"), =HYPERLINK("CSG20.html#group96R20", "96R²⁰"), =HYPERLINK("CSG20.html#group96U20", "96U²⁰"), =HYPERLINK("CSG20.html#group96T20", "96T²⁰"), =HYPERLINK("CSG20.html#group96S20", "96S²⁰"), =HYPERLINK("CSG20.html#group96Z20", "96Z²⁰"), =HYPERLINK("CSG20.html#group96AA20", "96AA²⁰"), =HYPERLINK("CSG20.html#group96AB20", "96AB²⁰"), =HYPERLINK("CSG20.html#group96AC20", "96AC²⁰"), =HYPERLINK("CSG21.html#group48AN21", "48AN²¹"), =HYPERLINK("CSG21.html#group48BU21", "48BU²¹")</f>
        <v/>
      </c>
      <c r="M1813">
        <f>HYPERLINK("CSG1.html#group24E1", "24E¹"), =HYPERLINK("CSG1.html#group16D1", "16D¹"), =HYPERLINK("CSG0.html#group12C0", "12C⁰"), =HYPERLINK("CSG3.html#group48E3", "48E³"), =HYPERLINK("CSG0.html#group24A0", "24A⁰"), =HYPERLINK("CSG0.html#group4C0", "4C⁰"), =HYPERLINK("CSG0.html#group8B0", "8B⁰"), =HYPERLINK("CSG2.html#group24P2", "24P²"), =HYPERLINK("CSG0.html#group2B0", "2B⁰"), =HYPERLINK("CSG1.html#group12M1", "12M¹"), =HYPERLINK("CSG0.html#group3A0", "3A⁰"), =HYPERLINK("CSG0.html#group1A0", "1A⁰"), =HYPERLINK("CSG3.html#group48H3", "48H³"), =HYPERLINK("CSG0.html#group6D0", "6D⁰")</f>
        <v/>
      </c>
      <c r="N1813">
        <f>HYPERLINK("CSG21.html#group48BU21", "48BU²¹"), =HYPERLINK("CSG17.html#group48BD17", "48BD¹⁷"), =HYPERLINK("CSG17.html#group48CF17", "48CF¹⁷"), =HYPERLINK("CSG19.html#group48AL19", "48AL¹⁹"), =HYPERLINK("CSG19.html#group48BF19", "48BF¹⁹"), =HYPERLINK("CSG19.html#group48BB19", "48BB¹⁹"), =HYPERLINK("CSG20.html#group96Z20", "96Z²⁰"), =HYPERLINK("CSG20.html#group96AC20", "96AC²⁰"), =HYPERLINK("CSG17.html#group48CE17", "48CE¹⁷"), =HYPERLINK("CSG20.html#group96R20", "96R²⁰"), =HYPERLINK("CSG20.html#group96U20", "96U²⁰"), =HYPERLINK("CSG17.html#group48BC17", "48BC¹⁷"), =HYPERLINK("CSG20.html#group96AA20", "96AA²⁰"), =HYPERLINK("CSG20.html#group96AB20", "96AB²⁰"), =HYPERLINK("CSG21.html#group48AN21", "48AN²¹"), =HYPERLINK("CSG19.html#group48BH19", "48BH¹⁹"), =HYPERLINK("CSG20.html#group96S20", "96S²⁰"), =HYPERLINK("CSG17.html#group48AS17", "48AS¹⁷"), =HYPERLINK("CSG19.html#group48BI19", "48BI¹⁹"), =HYPERLINK("CSG15.html#group48AF15", "48AF¹⁵"), =HYPERLINK("CSG17.html#group48CB17", "48CB¹⁷"), =HYPERLINK("CSG20.html#group96T20", "96T²⁰")</f>
        <v/>
      </c>
    </row>
    <row r="1814">
      <c r="A1814" t="inlineStr">
        <is>
          <t>48AC⁸</t>
        </is>
      </c>
      <c r="B1814" t="inlineStr"/>
      <c r="C1814" t="inlineStr">
        <is>
          <t>144</t>
        </is>
      </c>
      <c r="D1814" t="inlineStr">
        <is>
          <t>2</t>
        </is>
      </c>
      <c r="E1814" t="inlineStr">
        <is>
          <t>36</t>
        </is>
      </c>
      <c r="F1814" t="inlineStr">
        <is>
          <t>12</t>
        </is>
      </c>
      <c r="G1814" t="inlineStr">
        <is>
          <t>0</t>
        </is>
      </c>
      <c r="H1814" t="inlineStr">
        <is>
          <t>24², 48²</t>
        </is>
      </c>
      <c r="I1814" t="n">
        <v>4</v>
      </c>
      <c r="J1814" t="inlineStr">
        <is>
          <t>2⁸, 4¹⁰, 8²</t>
        </is>
      </c>
      <c r="K1814">
        <f>HYPERLINK("CSG2.html#group24Q2", "24Q²"), =HYPERLINK("CSG3.html#group48C3", "48C³"), =HYPERLINK("CSG3.html#group48H3", "48H³")</f>
        <v/>
      </c>
      <c r="L1814">
        <f>HYPERLINK("CSG15.html#group48Y15", "48Y¹⁵"), =HYPERLINK("CSG17.html#group48BA17", "48BA¹⁷"), =HYPERLINK("CSG17.html#group48BB17", "48BB¹⁷"), =HYPERLINK("CSG17.html#group48BY17", "48BY¹⁷"), =HYPERLINK("CSG17.html#group48CA17", "48CA¹⁷"), =HYPERLINK("CSG17.html#group48CB17", "48CB¹⁷"), =HYPERLINK("CSG19.html#group48AN19", "48AN¹⁹"), =HYPERLINK("CSG19.html#group48AO19", "48AO¹⁹"), =HYPERLINK("CSG19.html#group48BC19", "48BC¹⁹"), =HYPERLINK("CSG19.html#group48BF19", "48BF¹⁹"), =HYPERLINK("CSG19.html#group48BG19", "48BG¹⁹"), =HYPERLINK("CSG21.html#group48AI21", "48AI²¹"), =HYPERLINK("CSG21.html#group48AX21", "48AX²¹")</f>
        <v/>
      </c>
      <c r="M1814">
        <f>HYPERLINK("CSG3.html#group48C3", "48C³"), =HYPERLINK("CSG0.html#group12C0", "12C⁰"), =HYPERLINK("CSG0.html#group24A0", "24A⁰"), =HYPERLINK("CSG0.html#group4C0", "4C⁰"), =HYPERLINK("CSG0.html#group8B0", "8B⁰"), =HYPERLINK("CSG2.html#group24Q2", "24Q²"), =HYPERLINK("CSG1.html#group16B1", "16B¹"), =HYPERLINK("CSG0.html#group2B0", "2B⁰"), =HYPERLINK("CSG0.html#group3A0", "3A⁰"), =HYPERLINK("CSG0.html#group1A0", "1A⁰"), =HYPERLINK("CSG3.html#group48H3", "48H³"), =HYPERLINK("CSG0.html#group6D0", "6D⁰")</f>
        <v/>
      </c>
      <c r="N1814">
        <f>HYPERLINK("CSG17.html#group48BB17", "48BB¹⁷"), =HYPERLINK("CSG17.html#group48CA17", "48CA¹⁷"), =HYPERLINK("CSG17.html#group48BA17", "48BA¹⁷"), =HYPERLINK("CSG21.html#group48AX21", "48AX²¹"), =HYPERLINK("CSG17.html#group48BY17", "48BY¹⁷"), =HYPERLINK("CSG19.html#group48BC19", "48BC¹⁹"), =HYPERLINK("CSG21.html#group48AI21", "48AI²¹"), =HYPERLINK("CSG19.html#group48AO19", "48AO¹⁹"), =HYPERLINK("CSG19.html#group48BG19", "48BG¹⁹"), =HYPERLINK("CSG15.html#group48Y15", "48Y¹⁵"), =HYPERLINK("CSG19.html#group48BF19", "48BF¹⁹"), =HYPERLINK("CSG17.html#group48CB17", "48CB¹⁷"), =HYPERLINK("CSG19.html#group48AN19", "48AN¹⁹")</f>
        <v/>
      </c>
    </row>
    <row r="1815">
      <c r="A1815" t="inlineStr">
        <is>
          <t>48AD⁸</t>
        </is>
      </c>
      <c r="B1815" t="inlineStr"/>
      <c r="C1815" t="inlineStr">
        <is>
          <t>144</t>
        </is>
      </c>
      <c r="D1815" t="inlineStr">
        <is>
          <t>2</t>
        </is>
      </c>
      <c r="E1815" t="inlineStr">
        <is>
          <t>36</t>
        </is>
      </c>
      <c r="F1815" t="inlineStr">
        <is>
          <t>12</t>
        </is>
      </c>
      <c r="G1815" t="inlineStr">
        <is>
          <t>0</t>
        </is>
      </c>
      <c r="H1815" t="inlineStr">
        <is>
          <t>24², 48²</t>
        </is>
      </c>
      <c r="I1815" t="n">
        <v>4</v>
      </c>
      <c r="J1815" t="inlineStr">
        <is>
          <t>2⁸, 4¹⁰, 8²</t>
        </is>
      </c>
      <c r="K1815">
        <f>HYPERLINK("CSG2.html#group24Q2", "24Q²"), =HYPERLINK("CSG3.html#group48E3", "48E³"), =HYPERLINK("CSG3.html#group48F3", "48F³")</f>
        <v/>
      </c>
      <c r="L1815">
        <f>HYPERLINK("CSG15.html#group48AF15", "48AF¹⁵"), =HYPERLINK("CSG17.html#group48AU17", "48AU¹⁷"), =HYPERLINK("CSG17.html#group48BE17", "48BE¹⁷"), =HYPERLINK("CSG17.html#group48BF17", "48BF¹⁷"), =HYPERLINK("CSG17.html#group48CA17", "48CA¹⁷"), =HYPERLINK("CSG17.html#group48CE17", "48CE¹⁷"), =HYPERLINK("CSG17.html#group48CF17", "48CF¹⁷"), =HYPERLINK("CSG19.html#group48AK19", "48AK¹⁹"), =HYPERLINK("CSG19.html#group48BD19", "48BD¹⁹"), =HYPERLINK("CSG19.html#group48BG19", "48BG¹⁹"), =HYPERLINK("CSG19.html#group48BH19", "48BH¹⁹"), =HYPERLINK("CSG19.html#group48BI19", "48BI¹⁹"), =HYPERLINK("CSG20.html#group96V20", "96V²⁰"), =HYPERLINK("CSG20.html#group96Y20", "96Y²⁰"), =HYPERLINK("CSG20.html#group96X20", "96X²⁰"), =HYPERLINK("CSG20.html#group96W20", "96W²⁰"), =HYPERLINK("CSG20.html#group96AD20", "96AD²⁰"), =HYPERLINK("CSG20.html#group96AE20", "96AE²⁰"), =HYPERLINK("CSG20.html#group96AF20", "96AF²⁰"), =HYPERLINK("CSG20.html#group96AG20", "96AG²⁰"), =HYPERLINK("CSG21.html#group48AJ21", "48AJ²¹"), =HYPERLINK("CSG21.html#group48BU21", "48BU²¹")</f>
        <v/>
      </c>
      <c r="M1815">
        <f>HYPERLINK("CSG1.html#group16D1", "16D¹"), =HYPERLINK("CSG0.html#group12C0", "12C⁰"), =HYPERLINK("CSG3.html#group48E3", "48E³"), =HYPERLINK("CSG0.html#group24A0", "24A⁰"), =HYPERLINK("CSG0.html#group4C0", "4C⁰"), =HYPERLINK("CSG0.html#group8B0", "8B⁰"), =HYPERLINK("CSG2.html#group24Q2", "24Q²"), =HYPERLINK("CSG0.html#group2B0", "2B⁰"), =HYPERLINK("CSG3.html#group48F3", "48F³"), =HYPERLINK("CSG0.html#group3A0", "3A⁰"), =HYPERLINK("CSG0.html#group1A0", "1A⁰"), =HYPERLINK("CSG0.html#group6D0", "6D⁰")</f>
        <v/>
      </c>
      <c r="N1815">
        <f>HYPERLINK("CSG17.html#group48BF17", "48BF¹⁷"), =HYPERLINK("CSG21.html#group48BU21", "48BU²¹"), =HYPERLINK("CSG19.html#group48AK19", "48AK¹⁹"), =HYPERLINK("CSG17.html#group48AU17", "48AU¹⁷"), =HYPERLINK("CSG17.html#group48CF17", "48CF¹⁷"), =HYPERLINK("CSG19.html#group48BG19", "48BG¹⁹"), =HYPERLINK("CSG20.html#group96AG20", "96AG²⁰"), =HYPERLINK("CSG20.html#group96AD20", "96AD²⁰"), =HYPERLINK("CSG20.html#group96W20", "96W²⁰"), =HYPERLINK("CSG20.html#group96Y20", "96Y²⁰"), =HYPERLINK("CSG17.html#group48CE17", "48CE¹⁷"), =HYPERLINK("CSG20.html#group96X20", "96X²⁰"), =HYPERLINK("CSG17.html#group48CA17", "48CA¹⁷"), =HYPERLINK("CSG19.html#group48BD19", "48BD¹⁹"), =HYPERLINK("CSG21.html#group48AJ21", "48AJ²¹"), =HYPERLINK("CSG17.html#group48BE17", "48BE¹⁷"), =HYPERLINK("CSG20.html#group96AE20", "96AE²⁰"), =HYPERLINK("CSG19.html#group48BH19", "48BH¹⁹"), =HYPERLINK("CSG20.html#group96V20", "96V²⁰"), =HYPERLINK("CSG19.html#group48BI19", "48BI¹⁹"), =HYPERLINK("CSG15.html#group48AF15", "48AF¹⁵"), =HYPERLINK("CSG20.html#group96AF20", "96AF²⁰")</f>
        <v/>
      </c>
    </row>
    <row r="1816">
      <c r="A1816" t="inlineStr">
        <is>
          <t>48AE⁸</t>
        </is>
      </c>
      <c r="B1816" t="inlineStr"/>
      <c r="C1816" t="inlineStr">
        <is>
          <t>144</t>
        </is>
      </c>
      <c r="D1816" t="inlineStr">
        <is>
          <t>2</t>
        </is>
      </c>
      <c r="E1816" t="inlineStr">
        <is>
          <t>36</t>
        </is>
      </c>
      <c r="F1816" t="inlineStr">
        <is>
          <t>12</t>
        </is>
      </c>
      <c r="G1816" t="inlineStr">
        <is>
          <t>0</t>
        </is>
      </c>
      <c r="H1816" t="inlineStr">
        <is>
          <t>24², 48²</t>
        </is>
      </c>
      <c r="I1816" t="n">
        <v>4</v>
      </c>
      <c r="J1816" t="inlineStr">
        <is>
          <t>4²⁴, 8⁶</t>
        </is>
      </c>
      <c r="K1816">
        <f>HYPERLINK("CSG2.html#group24Q2", "24Q²"), =HYPERLINK("CSG3.html#group48F3", "48F³"), =HYPERLINK("CSG3.html#group48H3", "48H³")</f>
        <v/>
      </c>
      <c r="L1816">
        <f>HYPERLINK("CSG15.html#group48Z15", "48Z¹⁵"), =HYPERLINK("CSG17.html#group48BG17", "48BG¹⁷"), =HYPERLINK("CSG17.html#group48BE17", "48BE¹⁷"), =HYPERLINK("CSG17.html#group48BY17", "48BY¹⁷"), =HYPERLINK("CSG17.html#group48BZ17", "48BZ¹⁷"), =HYPERLINK("CSG17.html#group48CE17", "48CE¹⁷"), =HYPERLINK("CSG17.html#group48CG17", "48CG¹⁷"), =HYPERLINK("CSG19.html#group48BA19", "48BA¹⁹"), =HYPERLINK("CSG19.html#group48BE19", "48BE¹⁹"), =HYPERLINK("CSG19.html#group48BC19", "48BC¹⁹"), =HYPERLINK("CSG19.html#group48BD19", "48BD¹⁹"), =HYPERLINK("CSG19.html#group48BI19", "48BI¹⁹"), =HYPERLINK("CSG19.html#group48BK19", "48BK¹⁹"), =HYPERLINK("CSG21.html#group48BI21", "48BI²¹"), =HYPERLINK("CSG21.html#group48BS21", "48BS²¹")</f>
        <v/>
      </c>
      <c r="M1816">
        <f>HYPERLINK("CSG0.html#group12C0", "12C⁰"), =HYPERLINK("CSG0.html#group24A0", "24A⁰"), =HYPERLINK("CSG0.html#group4C0", "4C⁰"), =HYPERLINK("CSG0.html#group8B0", "8B⁰"), =HYPERLINK("CSG2.html#group24Q2", "24Q²"), =HYPERLINK("CSG0.html#group2B0", "2B⁰"), =HYPERLINK("CSG3.html#group48F3", "48F³"), =HYPERLINK("CSG0.html#group3A0", "3A⁰"), =HYPERLINK("CSG0.html#group1A0", "1A⁰"), =HYPERLINK("CSG3.html#group48H3", "48H³"), =HYPERLINK("CSG0.html#group6D0", "6D⁰")</f>
        <v/>
      </c>
      <c r="N1816">
        <f>HYPERLINK("CSG17.html#group48BZ17", "48BZ¹⁷"), =HYPERLINK("CSG17.html#group48CG17", "48CG¹⁷"), =HYPERLINK("CSG19.html#group48BA19", "48BA¹⁹"), =HYPERLINK("CSG17.html#group48BY17", "48BY¹⁷"), =HYPERLINK("CSG15.html#group48Z15", "48Z¹⁵"), =HYPERLINK("CSG17.html#group48BE17", "48BE¹⁷"), =HYPERLINK("CSG19.html#group48BE19", "48BE¹⁹"), =HYPERLINK("CSG19.html#group48BC19", "48BC¹⁹"), =HYPERLINK("CSG19.html#group48BD19", "48BD¹⁹"), =HYPERLINK("CSG21.html#group48BI21", "48BI²¹"), =HYPERLINK("CSG17.html#group48BG17", "48BG¹⁷"), =HYPERLINK("CSG19.html#group48BI19", "48BI¹⁹"), =HYPERLINK("CSG21.html#group48BS21", "48BS²¹"), =HYPERLINK("CSG19.html#group48BK19", "48BK¹⁹"), =HYPERLINK("CSG17.html#group48CE17", "48CE¹⁷")</f>
        <v/>
      </c>
    </row>
    <row r="1817">
      <c r="A1817" t="inlineStr">
        <is>
          <t>48AF⁸</t>
        </is>
      </c>
      <c r="B1817" t="inlineStr"/>
      <c r="C1817" t="inlineStr">
        <is>
          <t>144</t>
        </is>
      </c>
      <c r="D1817" t="inlineStr">
        <is>
          <t>2</t>
        </is>
      </c>
      <c r="E1817" t="inlineStr">
        <is>
          <t>36</t>
        </is>
      </c>
      <c r="F1817" t="inlineStr">
        <is>
          <t>12</t>
        </is>
      </c>
      <c r="G1817" t="inlineStr">
        <is>
          <t>0</t>
        </is>
      </c>
      <c r="H1817" t="inlineStr">
        <is>
          <t>24², 48²</t>
        </is>
      </c>
      <c r="I1817" t="n">
        <v>4</v>
      </c>
      <c r="J1817" t="inlineStr">
        <is>
          <t>4²⁴, 8⁶</t>
        </is>
      </c>
      <c r="K1817">
        <f>HYPERLINK("CSG2.html#group24Q2", "24Q²"), =HYPERLINK("CSG3.html#group48F3", "48F³"), =HYPERLINK("CSG3.html#group48H3", "48H³")</f>
        <v/>
      </c>
      <c r="L1817">
        <f>HYPERLINK("CSG15.html#group48AA15", "48AA¹⁵"), =HYPERLINK("CSG17.html#group48BH17", "48BH¹⁷"), =HYPERLINK("CSG17.html#group48BF17", "48BF¹⁷"), =HYPERLINK("CSG17.html#group48BY17", "48BY¹⁷"), =HYPERLINK("CSG17.html#group48BZ17", "48BZ¹⁷"), =HYPERLINK("CSG17.html#group48CF17", "48CF¹⁷"), =HYPERLINK("CSG17.html#group48CH17", "48CH¹⁷"), =HYPERLINK("CSG19.html#group48BA19", "48BA¹⁹"), =HYPERLINK("CSG19.html#group48BE19", "48BE¹⁹"), =HYPERLINK("CSG19.html#group48BC19", "48BC¹⁹"), =HYPERLINK("CSG19.html#group48BD19", "48BD¹⁹"), =HYPERLINK("CSG19.html#group48BH19", "48BH¹⁹"), =HYPERLINK("CSG19.html#group48BJ19", "48BJ¹⁹"), =HYPERLINK("CSG21.html#group48BH21", "48BH²¹"), =HYPERLINK("CSG21.html#group48BS21", "48BS²¹")</f>
        <v/>
      </c>
      <c r="M1817">
        <f>HYPERLINK("CSG0.html#group12C0", "12C⁰"), =HYPERLINK("CSG0.html#group24A0", "24A⁰"), =HYPERLINK("CSG0.html#group4C0", "4C⁰"), =HYPERLINK("CSG0.html#group8B0", "8B⁰"), =HYPERLINK("CSG2.html#group24Q2", "24Q²"), =HYPERLINK("CSG0.html#group2B0", "2B⁰"), =HYPERLINK("CSG3.html#group48F3", "48F³"), =HYPERLINK("CSG0.html#group3A0", "3A⁰"), =HYPERLINK("CSG0.html#group1A0", "1A⁰"), =HYPERLINK("CSG3.html#group48H3", "48H³"), =HYPERLINK("CSG0.html#group6D0", "6D⁰")</f>
        <v/>
      </c>
      <c r="N1817">
        <f>HYPERLINK("CSG17.html#group48BF17", "48BF¹⁷"), =HYPERLINK("CSG17.html#group48BZ17", "48BZ¹⁷"), =HYPERLINK("CSG19.html#group48BA19", "48BA¹⁹"), =HYPERLINK("CSG17.html#group48BY17", "48BY¹⁷"), =HYPERLINK("CSG17.html#group48CF17", "48CF¹⁷"), =HYPERLINK("CSG19.html#group48BE19", "48BE¹⁹"), =HYPERLINK("CSG19.html#group48BC19", "48BC¹⁹"), =HYPERLINK("CSG19.html#group48BD19", "48BD¹⁹"), =HYPERLINK("CSG15.html#group48AA15", "48AA¹⁵"), =HYPERLINK("CSG19.html#group48BJ19", "48BJ¹⁹"), =HYPERLINK("CSG21.html#group48BH21", "48BH²¹"), =HYPERLINK("CSG19.html#group48BH19", "48BH¹⁹"), =HYPERLINK("CSG17.html#group48CH17", "48CH¹⁷"), =HYPERLINK("CSG21.html#group48BS21", "48BS²¹"), =HYPERLINK("CSG17.html#group48BH17", "48BH¹⁷")</f>
        <v/>
      </c>
    </row>
    <row r="1818">
      <c r="A1818" t="inlineStr">
        <is>
          <t>53A⁸</t>
        </is>
      </c>
      <c r="B1818" t="inlineStr"/>
      <c r="C1818" t="inlineStr">
        <is>
          <t>108</t>
        </is>
      </c>
      <c r="D1818" t="inlineStr">
        <is>
          <t>1</t>
        </is>
      </c>
      <c r="E1818" t="inlineStr">
        <is>
          <t>54</t>
        </is>
      </c>
      <c r="F1818" t="inlineStr">
        <is>
          <t>0</t>
        </is>
      </c>
      <c r="G1818" t="inlineStr">
        <is>
          <t>0</t>
        </is>
      </c>
      <c r="H1818" t="inlineStr">
        <is>
          <t>1², 53²</t>
        </is>
      </c>
      <c r="I1818" t="n">
        <v>4</v>
      </c>
      <c r="J1818" t="inlineStr">
        <is>
          <t>1², 52¹</t>
        </is>
      </c>
      <c r="K1818">
        <f>HYPERLINK("CSG4.html#group53A4", "53A⁴")</f>
        <v/>
      </c>
      <c r="L1818">
        <f>HYPERLINK("CSG17.html#group106A17", "106A¹⁷"), =HYPERLINK("CSG24.html#group106A24", "106A²⁴")</f>
        <v/>
      </c>
      <c r="M1818">
        <f>HYPERLINK("CSG0.html#group1A0", "1A⁰"), =HYPERLINK("CSG4.html#group53A4", "53A⁴")</f>
        <v/>
      </c>
      <c r="N1818">
        <f>HYPERLINK("CSG17.html#group106A17", "106A¹⁷"), =HYPERLINK("CSG24.html#group106A24", "106A²⁴")</f>
        <v/>
      </c>
    </row>
    <row r="1819">
      <c r="A1819" t="inlineStr">
        <is>
          <t>54A⁸</t>
        </is>
      </c>
      <c r="B1819" t="inlineStr"/>
      <c r="C1819" t="inlineStr">
        <is>
          <t>108</t>
        </is>
      </c>
      <c r="D1819" t="inlineStr">
        <is>
          <t>1</t>
        </is>
      </c>
      <c r="E1819" t="inlineStr">
        <is>
          <t>36</t>
        </is>
      </c>
      <c r="F1819" t="inlineStr">
        <is>
          <t>0</t>
        </is>
      </c>
      <c r="G1819" t="inlineStr">
        <is>
          <t>0</t>
        </is>
      </c>
      <c r="H1819" t="inlineStr">
        <is>
          <t>9¹, 18¹, 27¹, 54¹</t>
        </is>
      </c>
      <c r="I1819" t="n">
        <v>4</v>
      </c>
      <c r="J1819" t="inlineStr">
        <is>
          <t>1⁶, 2⁶, 6³</t>
        </is>
      </c>
      <c r="K1819">
        <f>HYPERLINK("CSG1.html#group27B1", "27B¹"), =HYPERLINK("CSG2.html#group18D2", "18D²")</f>
        <v/>
      </c>
      <c r="L1819">
        <f>HYPERLINK("CSG16.html#group54D16", "54D¹⁶"), =HYPERLINK("CSG16.html#group108A16", "108A¹⁶"), =HYPERLINK("CSG17.html#group108A17", "108A¹⁷"), =HYPERLINK("CSG22.html#group54B22", "54B²²"), =HYPERLINK("CSG22.html#group54C22", "54C²²"), =HYPERLINK("CSG22.html#group54E22", "54E²²")</f>
        <v/>
      </c>
      <c r="M1819">
        <f>HYPERLINK("CSG0.html#group6F0", "6F⁰"), =HYPERLINK("CSG0.html#group3B0", "3B⁰"), =HYPERLINK("CSG2.html#group18D2", "18D²"), =HYPERLINK("CSG1.html#group27B1", "27B¹"), =HYPERLINK("CSG0.html#group2B0", "2B⁰"), =HYPERLINK("CSG0.html#group9C0", "9C⁰"), =HYPERLINK("CSG0.html#group1A0", "1A⁰")</f>
        <v/>
      </c>
      <c r="N1819">
        <f>HYPERLINK("CSG22.html#group54C22", "54C²²"), =HYPERLINK("CSG16.html#group108A16", "108A¹⁶"), =HYPERLINK("CSG22.html#group54B22", "54B²²"), =HYPERLINK("CSG22.html#group54E22", "54E²²"), =HYPERLINK("CSG17.html#group108A17", "108A¹⁷"), =HYPERLINK("CSG16.html#group54D16", "54D¹⁶")</f>
        <v/>
      </c>
    </row>
    <row r="1820">
      <c r="A1820" t="inlineStr">
        <is>
          <t>54B⁸</t>
        </is>
      </c>
      <c r="B1820" t="inlineStr"/>
      <c r="C1820" t="inlineStr">
        <is>
          <t>108</t>
        </is>
      </c>
      <c r="D1820" t="inlineStr">
        <is>
          <t>1</t>
        </is>
      </c>
      <c r="E1820" t="inlineStr">
        <is>
          <t>36</t>
        </is>
      </c>
      <c r="F1820" t="inlineStr">
        <is>
          <t>0</t>
        </is>
      </c>
      <c r="G1820" t="inlineStr">
        <is>
          <t>0</t>
        </is>
      </c>
      <c r="H1820" t="inlineStr">
        <is>
          <t>9¹, 18¹, 27¹, 54¹</t>
        </is>
      </c>
      <c r="I1820" t="n">
        <v>4</v>
      </c>
      <c r="J1820" t="inlineStr">
        <is>
          <t>1⁶, 2⁶, 6³</t>
        </is>
      </c>
      <c r="K1820">
        <f>HYPERLINK("CSG2.html#group18D2", "18D²"), =HYPERLINK("CSG2.html#group27B2", "27B²")</f>
        <v/>
      </c>
      <c r="L1820">
        <f>HYPERLINK("CSG16.html#group54F16", "54F¹⁶"), =HYPERLINK("CSG16.html#group108B16", "108B¹⁶"), =HYPERLINK("CSG17.html#group108B17", "108B¹⁷"), =HYPERLINK("CSG22.html#group54B22", "54B²²"), =HYPERLINK("CSG22.html#group54D22", "54D²²"), =HYPERLINK("CSG22.html#group54E22", "54E²²")</f>
        <v/>
      </c>
      <c r="M1820">
        <f>HYPERLINK("CSG0.html#group3B0", "3B⁰"), =HYPERLINK("CSG2.html#group27B2", "27B²"), =HYPERLINK("CSG0.html#group6F0", "6F⁰"), =HYPERLINK("CSG2.html#group18D2", "18D²"), =HYPERLINK("CSG0.html#group2B0", "2B⁰"), =HYPERLINK("CSG0.html#group9C0", "9C⁰"), =HYPERLINK("CSG0.html#group1A0", "1A⁰")</f>
        <v/>
      </c>
      <c r="N1820">
        <f>HYPERLINK("CSG16.html#group54F16", "54F¹⁶"), =HYPERLINK("CSG22.html#group54D22", "54D²²"), =HYPERLINK("CSG22.html#group54B22", "54B²²"), =HYPERLINK("CSG22.html#group54E22", "54E²²"), =HYPERLINK("CSG17.html#group108B17", "108B¹⁷"), =HYPERLINK("CSG16.html#group108B16", "108B¹⁶")</f>
        <v/>
      </c>
    </row>
    <row r="1821">
      <c r="A1821" t="inlineStr">
        <is>
          <t>54C⁸</t>
        </is>
      </c>
      <c r="B1821" t="inlineStr"/>
      <c r="C1821" t="inlineStr">
        <is>
          <t>108</t>
        </is>
      </c>
      <c r="D1821" t="inlineStr">
        <is>
          <t>1</t>
        </is>
      </c>
      <c r="E1821" t="inlineStr">
        <is>
          <t>36</t>
        </is>
      </c>
      <c r="F1821" t="inlineStr">
        <is>
          <t>0</t>
        </is>
      </c>
      <c r="G1821" t="inlineStr">
        <is>
          <t>0</t>
        </is>
      </c>
      <c r="H1821" t="inlineStr">
        <is>
          <t>9¹, 18¹, 27¹, 54¹</t>
        </is>
      </c>
      <c r="I1821" t="n">
        <v>4</v>
      </c>
      <c r="J1821" t="inlineStr">
        <is>
          <t>1⁶, 2⁶, 6³</t>
        </is>
      </c>
      <c r="K1821">
        <f>HYPERLINK("CSG2.html#group18D2", "18D²"), =HYPERLINK("CSG3.html#group27A3", "27A³")</f>
        <v/>
      </c>
      <c r="L1821">
        <f>HYPERLINK("CSG16.html#group54E16", "54E¹⁶"), =HYPERLINK("CSG16.html#group108C16", "108C¹⁶"), =HYPERLINK("CSG17.html#group108C17", "108C¹⁷"), =HYPERLINK("CSG22.html#group54D22", "54D²²"), =HYPERLINK("CSG22.html#group54C22", "54C²²"), =HYPERLINK("CSG22.html#group54E22", "54E²²")</f>
        <v/>
      </c>
      <c r="M1821">
        <f>HYPERLINK("CSG0.html#group6F0", "6F⁰"), =HYPERLINK("CSG0.html#group3B0", "3B⁰"), =HYPERLINK("CSG2.html#group18D2", "18D²"), =HYPERLINK("CSG0.html#group2B0", "2B⁰"), =HYPERLINK("CSG0.html#group9C0", "9C⁰"), =HYPERLINK("CSG0.html#group1A0", "1A⁰"), =HYPERLINK("CSG3.html#group27A3", "27A³")</f>
        <v/>
      </c>
      <c r="N1821">
        <f>HYPERLINK("CSG17.html#group108C17", "108C¹⁷"), =HYPERLINK("CSG22.html#group54C22", "54C²²"), =HYPERLINK("CSG22.html#group54D22", "54D²²"), =HYPERLINK("CSG16.html#group108C16", "108C¹⁶"), =HYPERLINK("CSG16.html#group54E16", "54E¹⁶"), =HYPERLINK("CSG22.html#group54E22", "54E²²")</f>
        <v/>
      </c>
    </row>
    <row r="1822">
      <c r="A1822" t="inlineStr">
        <is>
          <t>54D⁸</t>
        </is>
      </c>
      <c r="B1822" t="inlineStr"/>
      <c r="C1822" t="inlineStr">
        <is>
          <t>162</t>
        </is>
      </c>
      <c r="D1822" t="inlineStr">
        <is>
          <t>2</t>
        </is>
      </c>
      <c r="E1822" t="inlineStr">
        <is>
          <t>81</t>
        </is>
      </c>
      <c r="F1822" t="inlineStr">
        <is>
          <t>20</t>
        </is>
      </c>
      <c r="G1822" t="inlineStr">
        <is>
          <t>0</t>
        </is>
      </c>
      <c r="H1822" t="inlineStr">
        <is>
          <t>54³</t>
        </is>
      </c>
      <c r="I1822" t="n">
        <v>3</v>
      </c>
      <c r="J1822" t="inlineStr">
        <is>
          <t>6⁹, 18⁶</t>
        </is>
      </c>
      <c r="K1822">
        <f>HYPERLINK("CSG2.html#group18K2", "18K²"), =HYPERLINK("CSG3.html#group27B3", "27B³")</f>
        <v/>
      </c>
      <c r="L1822">
        <f>HYPERLINK("CSG16.html#group54V16", "54V¹⁶"), =HYPERLINK("CSG24.html#group54A24", "54A²⁴")</f>
        <v/>
      </c>
      <c r="M1822">
        <f>HYPERLINK("CSG0.html#group6B0", "6B⁰"), =HYPERLINK("CSG0.html#group9G0", "9G⁰"), =HYPERLINK("CSG0.html#group9A0", "9A⁰"), =HYPERLINK("CSG2.html#group18K2", "18K²"), =HYPERLINK("CSG3.html#group27B3", "27B³"), =HYPERLINK("CSG0.html#group3A0", "3A⁰"), =HYPERLINK("CSG0.html#group1A0", "1A⁰"), =HYPERLINK("CSG0.html#group18A0", "18A⁰"), =HYPERLINK("CSG1.html#group18A1", "18A¹")</f>
        <v/>
      </c>
      <c r="N1822">
        <f>HYPERLINK("CSG16.html#group54V16", "54V¹⁶"), =HYPERLINK("CSG24.html#group54A24", "54A²⁴")</f>
        <v/>
      </c>
    </row>
    <row r="1823">
      <c r="A1823" t="inlineStr">
        <is>
          <t>56A⁸</t>
        </is>
      </c>
      <c r="B1823" t="inlineStr"/>
      <c r="C1823" t="inlineStr">
        <is>
          <t>112</t>
        </is>
      </c>
      <c r="D1823" t="inlineStr">
        <is>
          <t>2</t>
        </is>
      </c>
      <c r="E1823" t="inlineStr">
        <is>
          <t>28</t>
        </is>
      </c>
      <c r="F1823" t="inlineStr">
        <is>
          <t>0</t>
        </is>
      </c>
      <c r="G1823" t="inlineStr">
        <is>
          <t>4</t>
        </is>
      </c>
      <c r="H1823" t="inlineStr">
        <is>
          <t>56²</t>
        </is>
      </c>
      <c r="I1823" t="n">
        <v>2</v>
      </c>
      <c r="J1823" t="inlineStr">
        <is>
          <t>4², 12⁴</t>
        </is>
      </c>
      <c r="K1823">
        <f>HYPERLINK("CSG3.html#group56A3", "56A³"), =HYPERLINK("CSG3.html#group56B3", "56B³"), =HYPERLINK("CSG4.html#group28A4", "28A⁴")</f>
        <v/>
      </c>
      <c r="L1823">
        <f>HYPERLINK("CSG15.html#group56A15", "56A¹⁵")</f>
        <v/>
      </c>
      <c r="M1823">
        <f>HYPERLINK("CSG0.html#group2A0", "2A⁰"), =HYPERLINK("CSG3.html#group56B3", "56B³"), =HYPERLINK("CSG0.html#group4A0", "4A⁰"), =HYPERLINK("CSG4.html#group28A4", "28A⁴"), =HYPERLINK("CSG0.html#group4D0", "4D⁰"), =HYPERLINK("CSG1.html#group14A1", "14A¹"), =HYPERLINK("CSG1.html#group28A1", "28A¹"), =HYPERLINK("CSG0.html#group1A0", "1A⁰"), =HYPERLINK("CSG0.html#group7A0", "7A⁰"), =HYPERLINK("CSG3.html#group56A3", "56A³")</f>
        <v/>
      </c>
      <c r="N1823">
        <f>HYPERLINK("CSG15.html#group56A15", "56A¹⁵")</f>
        <v/>
      </c>
    </row>
    <row r="1824">
      <c r="A1824" t="inlineStr">
        <is>
          <t>56B⁸</t>
        </is>
      </c>
      <c r="B1824" t="inlineStr"/>
      <c r="C1824" t="inlineStr">
        <is>
          <t>112</t>
        </is>
      </c>
      <c r="D1824" t="inlineStr">
        <is>
          <t>2</t>
        </is>
      </c>
      <c r="E1824" t="inlineStr">
        <is>
          <t>28</t>
        </is>
      </c>
      <c r="F1824" t="inlineStr">
        <is>
          <t>0</t>
        </is>
      </c>
      <c r="G1824" t="inlineStr">
        <is>
          <t>4</t>
        </is>
      </c>
      <c r="H1824" t="inlineStr">
        <is>
          <t>56²</t>
        </is>
      </c>
      <c r="I1824" t="n">
        <v>2</v>
      </c>
      <c r="J1824" t="inlineStr">
        <is>
          <t>4², 12⁴</t>
        </is>
      </c>
      <c r="K1824">
        <f>HYPERLINK("CSG0.html#group8E0", "8E⁰"), =HYPERLINK("CSG3.html#group56C3", "56C³"), =HYPERLINK("CSG3.html#group56D3", "56D³"), =HYPERLINK("CSG4.html#group28A4", "28A⁴")</f>
        <v/>
      </c>
      <c r="L1824">
        <f>HYPERLINK("CSG15.html#group56A15", "56A¹⁵"), =HYPERLINK("CSG16.html#group112A16", "112A¹⁶"), =HYPERLINK("CSG16.html#group112B16", "112B¹⁶")</f>
        <v/>
      </c>
      <c r="M1824">
        <f>HYPERLINK("CSG0.html#group2A0", "2A⁰"), =HYPERLINK("CSG3.html#group56D3", "56D³"), =HYPERLINK("CSG0.html#group4A0", "4A⁰"), =HYPERLINK("CSG4.html#group28A4", "28A⁴"), =HYPERLINK("CSG0.html#group4D0", "4D⁰"), =HYPERLINK("CSG1.html#group14A1", "14A¹"), =HYPERLINK("CSG0.html#group8A0", "8A⁰"), =HYPERLINK("CSG0.html#group8E0", "8E⁰"), =HYPERLINK("CSG3.html#group56C3", "56C³"), =HYPERLINK("CSG1.html#group28A1", "28A¹"), =HYPERLINK("CSG0.html#group1A0", "1A⁰"), =HYPERLINK("CSG0.html#group7A0", "7A⁰")</f>
        <v/>
      </c>
      <c r="N1824">
        <f>HYPERLINK("CSG16.html#group112A16", "112A¹⁶"), =HYPERLINK("CSG16.html#group112B16", "112B¹⁶"), =HYPERLINK("CSG15.html#group56A15", "56A¹⁵")</f>
        <v/>
      </c>
    </row>
    <row r="1825">
      <c r="A1825" t="inlineStr">
        <is>
          <t>60A⁸</t>
        </is>
      </c>
      <c r="B1825" t="inlineStr"/>
      <c r="C1825" t="inlineStr">
        <is>
          <t>108</t>
        </is>
      </c>
      <c r="D1825" t="inlineStr">
        <is>
          <t>1</t>
        </is>
      </c>
      <c r="E1825" t="inlineStr">
        <is>
          <t>18</t>
        </is>
      </c>
      <c r="F1825" t="inlineStr">
        <is>
          <t>0</t>
        </is>
      </c>
      <c r="G1825" t="inlineStr">
        <is>
          <t>0</t>
        </is>
      </c>
      <c r="H1825" t="inlineStr">
        <is>
          <t>6¹, 12¹, 30¹, 60¹</t>
        </is>
      </c>
      <c r="I1825" t="n">
        <v>4</v>
      </c>
      <c r="J1825" t="inlineStr">
        <is>
          <t>1⁶, 4³</t>
        </is>
      </c>
      <c r="K1825">
        <f>HYPERLINK("CSG2.html#group20C2", "20C²"), =HYPERLINK("CSG2.html#group30E2", "30E²")</f>
        <v/>
      </c>
      <c r="L1825">
        <f>HYPERLINK("CSG15.html#group60A15", "60A¹⁵"), =HYPERLINK("CSG15.html#group60B15", "60B¹⁵"), =HYPERLINK("CSG15.html#group60C15", "60C¹⁵"), =HYPERLINK("CSG15.html#group60F15", "60F¹⁵"), =HYPERLINK("CSG15.html#group60H15", "60H¹⁵"), =HYPERLINK("CSG15.html#group60G15", "60G¹⁵"), =HYPERLINK("CSG15.html#group60I15", "60I¹⁵")</f>
        <v/>
      </c>
      <c r="M1825">
        <f>HYPERLINK("CSG0.html#group15B0", "15B⁰"), =HYPERLINK("CSG2.html#group30E2", "30E²"), =HYPERLINK("CSG0.html#group5B0", "5B⁰"), =HYPERLINK("CSG0.html#group10C0", "10C⁰"), =HYPERLINK("CSG0.html#group2B0", "2B⁰"), =HYPERLINK("CSG0.html#group3A0", "3A⁰"), =HYPERLINK("CSG0.html#group1A0", "1A⁰"), =HYPERLINK("CSG2.html#group20C2", "20C²"), =HYPERLINK("CSG0.html#group6D0", "6D⁰")</f>
        <v/>
      </c>
      <c r="N1825">
        <f>HYPERLINK("CSG15.html#group60F15", "60F¹⁵"), =HYPERLINK("CSG15.html#group60C15", "60C¹⁵"), =HYPERLINK("CSG15.html#group60G15", "60G¹⁵"), =HYPERLINK("CSG15.html#group60B15", "60B¹⁵"), =HYPERLINK("CSG15.html#group60A15", "60A¹⁵"), =HYPERLINK("CSG15.html#group60H15", "60H¹⁵"), =HYPERLINK("CSG15.html#group60I15", "60I¹⁵")</f>
        <v/>
      </c>
    </row>
    <row r="1826">
      <c r="A1826" t="inlineStr">
        <is>
          <t>60B⁸</t>
        </is>
      </c>
      <c r="B1826" t="inlineStr"/>
      <c r="C1826" t="inlineStr">
        <is>
          <t>120</t>
        </is>
      </c>
      <c r="D1826" t="inlineStr">
        <is>
          <t>1</t>
        </is>
      </c>
      <c r="E1826" t="inlineStr">
        <is>
          <t>40</t>
        </is>
      </c>
      <c r="F1826" t="inlineStr">
        <is>
          <t>0</t>
        </is>
      </c>
      <c r="G1826" t="inlineStr">
        <is>
          <t>6</t>
        </is>
      </c>
      <c r="H1826" t="inlineStr">
        <is>
          <t>60²</t>
        </is>
      </c>
      <c r="I1826" t="n">
        <v>2</v>
      </c>
      <c r="J1826" t="inlineStr">
        <is>
          <t>4², 16²</t>
        </is>
      </c>
      <c r="K1826">
        <f>HYPERLINK("CSG1.html#group12E1", "12E¹"), =HYPERLINK("CSG1.html#group30A1", "30A¹"), =HYPERLINK("CSG2.html#group20D2", "20D²")</f>
        <v/>
      </c>
      <c r="L1826">
        <f>HYPERLINK("CSG16.html#group120A16", "120A¹⁶")</f>
        <v/>
      </c>
      <c r="M1826">
        <f>HYPERLINK("CSG0.html#group2A0", "2A⁰"), =HYPERLINK("CSG1.html#group30A1", "30A¹"), =HYPERLINK("CSG0.html#group5A0", "5A⁰"), =HYPERLINK("CSG0.html#group10A0", "10A⁰"), =HYPERLINK("CSG2.html#group20D2", "20D²"), =HYPERLINK("CSG0.html#group6A0", "6A⁰"), =HYPERLINK("CSG0.html#group4A0", "4A⁰"), =HYPERLINK("CSG0.html#group4D0", "4D⁰"), =HYPERLINK("CSG1.html#group12E1", "12E¹"), =HYPERLINK("CSG1.html#group20A1", "20A¹"), =HYPERLINK("CSG0.html#group1A0", "1A⁰")</f>
        <v/>
      </c>
      <c r="N1826">
        <f>HYPERLINK("CSG16.html#group120A16", "120A¹⁶")</f>
        <v/>
      </c>
    </row>
    <row r="1827">
      <c r="A1827" t="inlineStr">
        <is>
          <t>60C⁸</t>
        </is>
      </c>
      <c r="B1827" t="inlineStr"/>
      <c r="C1827" t="inlineStr">
        <is>
          <t>120</t>
        </is>
      </c>
      <c r="D1827" t="inlineStr">
        <is>
          <t>1</t>
        </is>
      </c>
      <c r="E1827" t="inlineStr">
        <is>
          <t>60</t>
        </is>
      </c>
      <c r="F1827" t="inlineStr">
        <is>
          <t>0</t>
        </is>
      </c>
      <c r="G1827" t="inlineStr">
        <is>
          <t>0</t>
        </is>
      </c>
      <c r="H1827" t="inlineStr">
        <is>
          <t>5², 15², 20¹, 60¹</t>
        </is>
      </c>
      <c r="I1827" t="n">
        <v>6</v>
      </c>
      <c r="J1827" t="inlineStr">
        <is>
          <t>1⁶, 2³, 4⁶, 8³</t>
        </is>
      </c>
      <c r="K1827">
        <f>HYPERLINK("CSG0.html#group12E0", "12E⁰"), =HYPERLINK("CSG2.html#group20A2", "20A²"), =HYPERLINK("CSG4.html#group30D4", "30D⁴")</f>
        <v/>
      </c>
      <c r="L1827">
        <f>HYPERLINK("CSG16.html#group60B16", "60B¹⁶"), =HYPERLINK("CSG16.html#group120B16", "120B¹⁶"), =HYPERLINK("CSG17.html#group60B17", "60B¹⁷"), =HYPERLINK("CSG17.html#group120D17", "120D¹⁷"), =HYPERLINK("CSG18.html#group120A18", "120A¹⁸"), =HYPERLINK("CSG22.html#group60A22", "60A²²")</f>
        <v/>
      </c>
      <c r="M1827">
        <f>HYPERLINK("CSG2.html#group20A2", "20A²"), =HYPERLINK("CSG0.html#group3B0", "3B⁰"), =HYPERLINK("CSG0.html#group5A0", "5A⁰"), =HYPERLINK("CSG4.html#group30D4", "30D⁴"), =HYPERLINK("CSG1.html#group10B1", "10B¹"), =HYPERLINK("CSG0.html#group6F0", "6F⁰"), =HYPERLINK("CSG1.html#group15B1", "15B¹"), =HYPERLINK("CSG0.html#group2B0", "2B⁰"), =HYPERLINK("CSG0.html#group4B0", "4B⁰"), =HYPERLINK("CSG0.html#group1A0", "1A⁰"), =HYPERLINK("CSG0.html#group12E0", "12E⁰")</f>
        <v/>
      </c>
      <c r="N1827">
        <f>HYPERLINK("CSG17.html#group120D17", "120D¹⁷"), =HYPERLINK("CSG16.html#group60B16", "60B¹⁶"), =HYPERLINK("CSG16.html#group120B16", "120B¹⁶"), =HYPERLINK("CSG18.html#group120A18", "120A¹⁸"), =HYPERLINK("CSG22.html#group60A22", "60A²²"), =HYPERLINK("CSG17.html#group60B17", "60B¹⁷")</f>
        <v/>
      </c>
    </row>
    <row r="1828">
      <c r="A1828" t="inlineStr">
        <is>
          <t>60D⁸</t>
        </is>
      </c>
      <c r="B1828" t="inlineStr"/>
      <c r="C1828" t="inlineStr">
        <is>
          <t>120</t>
        </is>
      </c>
      <c r="D1828" t="inlineStr">
        <is>
          <t>1</t>
        </is>
      </c>
      <c r="E1828" t="inlineStr">
        <is>
          <t>60</t>
        </is>
      </c>
      <c r="F1828" t="inlineStr">
        <is>
          <t>8</t>
        </is>
      </c>
      <c r="G1828" t="inlineStr">
        <is>
          <t>0</t>
        </is>
      </c>
      <c r="H1828" t="inlineStr">
        <is>
          <t>60²</t>
        </is>
      </c>
      <c r="I1828" t="n">
        <v>2</v>
      </c>
      <c r="J1828" t="inlineStr">
        <is>
          <t>2², 4², 8², 16²</t>
        </is>
      </c>
      <c r="K1828">
        <f>HYPERLINK("CSG0.html#group12F0", "12F⁰"), =HYPERLINK("CSG2.html#group30A2", "30A²"), =HYPERLINK("CSG4.html#group60A4", "60A⁴")</f>
        <v/>
      </c>
      <c r="L1828">
        <f>HYPERLINK("CSG17.html#group60E17", "60E¹⁷"), =HYPERLINK("CSG18.html#group120B18", "120B¹⁸"), =HYPERLINK("CSG18.html#group120C18", "120C¹⁸"), =HYPERLINK("CSG18.html#group120F18", "120F¹⁸"), =HYPERLINK("CSG19.html#group60G19", "60G¹⁹"), =HYPERLINK("CSG22.html#group60B22", "60B²²")</f>
        <v/>
      </c>
      <c r="M1828">
        <f>HYPERLINK("CSG0.html#group5A0", "5A⁰"), =HYPERLINK("CSG2.html#group30A2", "30A²"), =HYPERLINK("CSG0.html#group12A0", "12A⁰"), =HYPERLINK("CSG0.html#group6B0", "6B⁰"), =HYPERLINK("CSG0.html#group4A0", "4A⁰"), =HYPERLINK("CSG4.html#group60A4", "60A⁴"), =HYPERLINK("CSG0.html#group12F0", "12F⁰"), =HYPERLINK("CSG1.html#group20A1", "20A¹"), =HYPERLINK("CSG0.html#group3A0", "3A⁰"), =HYPERLINK("CSG0.html#group1A0", "1A⁰"), =HYPERLINK("CSG1.html#group15A1", "15A¹")</f>
        <v/>
      </c>
      <c r="N1828">
        <f>HYPERLINK("CSG22.html#group60B22", "60B²²"), =HYPERLINK("CSG18.html#group120F18", "120F¹⁸"), =HYPERLINK("CSG18.html#group120B18", "120B¹⁸"), =HYPERLINK("CSG18.html#group120C18", "120C¹⁸"), =HYPERLINK("CSG17.html#group60E17", "60E¹⁷"), =HYPERLINK("CSG19.html#group60G19", "60G¹⁹")</f>
        <v/>
      </c>
    </row>
    <row r="1829">
      <c r="A1829" t="inlineStr">
        <is>
          <t>60E⁸</t>
        </is>
      </c>
      <c r="B1829" t="inlineStr"/>
      <c r="C1829" t="inlineStr">
        <is>
          <t>120</t>
        </is>
      </c>
      <c r="D1829" t="inlineStr">
        <is>
          <t>1</t>
        </is>
      </c>
      <c r="E1829" t="inlineStr">
        <is>
          <t>120</t>
        </is>
      </c>
      <c r="F1829" t="inlineStr">
        <is>
          <t>0</t>
        </is>
      </c>
      <c r="G1829" t="inlineStr">
        <is>
          <t>6</t>
        </is>
      </c>
      <c r="H1829" t="inlineStr">
        <is>
          <t>60²</t>
        </is>
      </c>
      <c r="I1829" t="n">
        <v>2</v>
      </c>
      <c r="J1829" t="inlineStr">
        <is>
          <t>4⁶, 16⁶</t>
        </is>
      </c>
      <c r="K1829">
        <f>HYPERLINK("CSG1.html#group12H1", "12H¹"), =HYPERLINK("CSG1.html#group30A1", "30A¹")</f>
        <v/>
      </c>
      <c r="L1829">
        <f>HYPERLINK("CSG16.html#group120C16", "120C¹⁶")</f>
        <v/>
      </c>
      <c r="M1829">
        <f>HYPERLINK("CSG0.html#group2A0", "2A⁰"), =HYPERLINK("CSG1.html#group30A1", "30A¹"), =HYPERLINK("CSG0.html#group5A0", "5A⁰"), =HYPERLINK("CSG0.html#group10A0", "10A⁰"), =HYPERLINK("CSG1.html#group12H1", "12H¹"), =HYPERLINK("CSG0.html#group6A0", "6A⁰"), =HYPERLINK("CSG0.html#group1A0", "1A⁰")</f>
        <v/>
      </c>
      <c r="N1829">
        <f>HYPERLINK("CSG16.html#group120C16", "120C¹⁶")</f>
        <v/>
      </c>
    </row>
    <row r="1830">
      <c r="A1830" t="inlineStr">
        <is>
          <t>60F⁸</t>
        </is>
      </c>
      <c r="B1830" t="inlineStr"/>
      <c r="C1830" t="inlineStr">
        <is>
          <t>120</t>
        </is>
      </c>
      <c r="D1830" t="inlineStr">
        <is>
          <t>2</t>
        </is>
      </c>
      <c r="E1830" t="inlineStr">
        <is>
          <t>20</t>
        </is>
      </c>
      <c r="F1830" t="inlineStr">
        <is>
          <t>0</t>
        </is>
      </c>
      <c r="G1830" t="inlineStr">
        <is>
          <t>6</t>
        </is>
      </c>
      <c r="H1830" t="inlineStr">
        <is>
          <t>60²</t>
        </is>
      </c>
      <c r="I1830" t="n">
        <v>2</v>
      </c>
      <c r="J1830" t="inlineStr">
        <is>
          <t>4², 16²</t>
        </is>
      </c>
      <c r="K1830">
        <f>HYPERLINK("CSG1.html#group30B1", "30B¹"), =HYPERLINK("CSG2.html#group20D2", "20D²"), =HYPERLINK("CSG3.html#group60A3", "60A³")</f>
        <v/>
      </c>
      <c r="L1830">
        <f>HYPERLINK("CSG16.html#group120D16", "120D¹⁶")</f>
        <v/>
      </c>
      <c r="M1830">
        <f>HYPERLINK("CSG0.html#group2A0", "2A⁰"), =HYPERLINK("CSG0.html#group5A0", "5A⁰"), =HYPERLINK("CSG0.html#group10A0", "10A⁰"), =HYPERLINK("CSG2.html#group20D2", "20D²"), =HYPERLINK("CSG1.html#group30B1", "30B¹"), =HYPERLINK("CSG0.html#group4A0", "4A⁰"), =HYPERLINK("CSG0.html#group4D0", "4D⁰"), =HYPERLINK("CSG1.html#group20A1", "20A¹"), =HYPERLINK("CSG0.html#group15A0", "15A⁰"), =HYPERLINK("CSG0.html#group1A0", "1A⁰"), =HYPERLINK("CSG3.html#group60A3", "60A³")</f>
        <v/>
      </c>
      <c r="N1830">
        <f>HYPERLINK("CSG16.html#group120D16", "120D¹⁶")</f>
        <v/>
      </c>
    </row>
    <row r="1831">
      <c r="A1831" t="inlineStr">
        <is>
          <t>61A⁸</t>
        </is>
      </c>
      <c r="B1831" t="inlineStr"/>
      <c r="C1831" t="inlineStr">
        <is>
          <t>124</t>
        </is>
      </c>
      <c r="D1831" t="inlineStr">
        <is>
          <t>1</t>
        </is>
      </c>
      <c r="E1831" t="inlineStr">
        <is>
          <t>62</t>
        </is>
      </c>
      <c r="F1831" t="inlineStr">
        <is>
          <t>0</t>
        </is>
      </c>
      <c r="G1831" t="inlineStr">
        <is>
          <t>4</t>
        </is>
      </c>
      <c r="H1831" t="inlineStr">
        <is>
          <t>1², 61²</t>
        </is>
      </c>
      <c r="I1831" t="n">
        <v>4</v>
      </c>
      <c r="J1831" t="inlineStr">
        <is>
          <t>1², 60¹</t>
        </is>
      </c>
      <c r="K1831">
        <f>HYPERLINK("CSG4.html#group61A4", "61A⁴")</f>
        <v/>
      </c>
      <c r="L1831">
        <f>HYPERLINK("CSG17.html#group122A17", "122A¹⁷")</f>
        <v/>
      </c>
      <c r="M1831">
        <f>HYPERLINK("CSG0.html#group1A0", "1A⁰"), =HYPERLINK("CSG4.html#group61A4", "61A⁴")</f>
        <v/>
      </c>
      <c r="N1831">
        <f>HYPERLINK("CSG17.html#group122A17", "122A¹⁷")</f>
        <v/>
      </c>
    </row>
    <row r="1832">
      <c r="A1832" t="inlineStr">
        <is>
          <t>63A⁸</t>
        </is>
      </c>
      <c r="B1832" t="inlineStr"/>
      <c r="C1832" t="inlineStr">
        <is>
          <t>126</t>
        </is>
      </c>
      <c r="D1832" t="inlineStr">
        <is>
          <t>2</t>
        </is>
      </c>
      <c r="E1832" t="inlineStr">
        <is>
          <t>63</t>
        </is>
      </c>
      <c r="F1832" t="inlineStr">
        <is>
          <t>10</t>
        </is>
      </c>
      <c r="G1832" t="inlineStr">
        <is>
          <t>0</t>
        </is>
      </c>
      <c r="H1832" t="inlineStr">
        <is>
          <t>63²</t>
        </is>
      </c>
      <c r="I1832" t="n">
        <v>2</v>
      </c>
      <c r="J1832" t="inlineStr">
        <is>
          <t>2¹, 4¹, 6², 12³, 36²</t>
        </is>
      </c>
      <c r="K1832">
        <f>HYPERLINK("CSG2.html#group21C2", "21C²"), =HYPERLINK("CSG2.html#group63A2", "63A²")</f>
        <v/>
      </c>
      <c r="L1832">
        <f>HYPERLINK("CSG17.html#group63A17", "63A¹⁷"), =HYPERLINK("CSG17.html#group126C17", "126C¹⁷"), =HYPERLINK("CSG17.html#group126D17", "126D¹⁷"), =HYPERLINK("CSG19.html#group63E19", "63E¹⁹"), =HYPERLINK("CSG19.html#group63D19", "63D¹⁹"), =HYPERLINK("CSG19.html#group126A19", "126A¹⁹"), =HYPERLINK("CSG21.html#group126C21", "126C²¹"), =HYPERLINK("CSG22.html#group63B22", "63B²²")</f>
        <v/>
      </c>
      <c r="M1832">
        <f>HYPERLINK("CSG0.html#group7C0", "7C⁰"), =HYPERLINK("CSG0.html#group9A0", "9A⁰"), =HYPERLINK("CSG2.html#group63A2", "63A²"), =HYPERLINK("CSG2.html#group21C2", "21C²"), =HYPERLINK("CSG0.html#group21A0", "21A⁰"), =HYPERLINK("CSG0.html#group3A0", "3A⁰"), =HYPERLINK("CSG0.html#group1A0", "1A⁰"), =HYPERLINK("CSG0.html#group7A0", "7A⁰")</f>
        <v/>
      </c>
      <c r="N1832">
        <f>HYPERLINK("CSG17.html#group126C17", "126C¹⁷"), =HYPERLINK("CSG22.html#group63B22", "63B²²"), =HYPERLINK("CSG19.html#group126A19", "126A¹⁹"), =HYPERLINK("CSG19.html#group63E19", "63E¹⁹"), =HYPERLINK("CSG19.html#group63D19", "63D¹⁹"), =HYPERLINK("CSG17.html#group126D17", "126D¹⁷"), =HYPERLINK("CSG17.html#group63A17", "63A¹⁷"), =HYPERLINK("CSG21.html#group126C21", "126C²¹")</f>
        <v/>
      </c>
    </row>
    <row r="1833">
      <c r="A1833" t="inlineStr">
        <is>
          <t>63B⁸</t>
        </is>
      </c>
      <c r="B1833" t="inlineStr"/>
      <c r="C1833" t="inlineStr">
        <is>
          <t>126</t>
        </is>
      </c>
      <c r="D1833" t="inlineStr">
        <is>
          <t>2</t>
        </is>
      </c>
      <c r="E1833" t="inlineStr">
        <is>
          <t>126</t>
        </is>
      </c>
      <c r="F1833" t="inlineStr">
        <is>
          <t>6</t>
        </is>
      </c>
      <c r="G1833" t="inlineStr">
        <is>
          <t>0</t>
        </is>
      </c>
      <c r="H1833" t="inlineStr">
        <is>
          <t>21³, 63¹</t>
        </is>
      </c>
      <c r="I1833" t="n">
        <v>4</v>
      </c>
      <c r="J1833" t="inlineStr">
        <is>
          <t>2¹, 4¹, 6³, 12⁴, 18², 36⁴</t>
        </is>
      </c>
      <c r="K1833">
        <f>HYPERLINK("CSG0.html#group9E0", "9E⁰"), =HYPERLINK("CSG2.html#group21D2", "21D²")</f>
        <v/>
      </c>
      <c r="L1833">
        <f>HYPERLINK("CSG16.html#group63D16", "63D¹⁶"), =HYPERLINK("CSG17.html#group63C17", "63C¹⁷"), =HYPERLINK("CSG17.html#group126E17", "126E¹⁷"), =HYPERLINK("CSG18.html#group63A18", "63A¹⁸"), =HYPERLINK("CSG18.html#group126G18", "126G¹⁸"), =HYPERLINK("CSG19.html#group126D19", "126D¹⁹"), =HYPERLINK("CSG20.html#group126E20", "126E²⁰"), =HYPERLINK("CSG24.html#group63C24", "63C²⁴")</f>
        <v/>
      </c>
      <c r="M1833">
        <f>HYPERLINK("CSG0.html#group21A0", "21A⁰"), =HYPERLINK("CSG0.html#group3C0", "3C⁰"), =HYPERLINK("CSG2.html#group21D2", "21D²"), =HYPERLINK("CSG0.html#group9E0", "9E⁰"), =HYPERLINK("CSG0.html#group3A0", "3A⁰"), =HYPERLINK("CSG0.html#group1A0", "1A⁰"), =HYPERLINK("CSG0.html#group7A0", "7A⁰")</f>
        <v/>
      </c>
      <c r="N1833">
        <f>HYPERLINK("CSG18.html#group63A18", "63A¹⁸"), =HYPERLINK("CSG19.html#group126D19", "126D¹⁹"), =HYPERLINK("CSG18.html#group126G18", "126G¹⁸"), =HYPERLINK("CSG17.html#group63C17", "63C¹⁷"), =HYPERLINK("CSG24.html#group63C24", "63C²⁴"), =HYPERLINK("CSG20.html#group126E20", "126E²⁰"), =HYPERLINK("CSG17.html#group126E17", "126E¹⁷"), =HYPERLINK("CSG16.html#group63D16", "63D¹⁶")</f>
        <v/>
      </c>
    </row>
    <row r="1834">
      <c r="A1834" t="inlineStr">
        <is>
          <t>65A⁸</t>
        </is>
      </c>
      <c r="B1834" t="inlineStr"/>
      <c r="C1834" t="inlineStr">
        <is>
          <t>140</t>
        </is>
      </c>
      <c r="D1834" t="inlineStr">
        <is>
          <t>1</t>
        </is>
      </c>
      <c r="E1834" t="inlineStr">
        <is>
          <t>70</t>
        </is>
      </c>
      <c r="F1834" t="inlineStr">
        <is>
          <t>0</t>
        </is>
      </c>
      <c r="G1834" t="inlineStr">
        <is>
          <t>8</t>
        </is>
      </c>
      <c r="H1834" t="inlineStr">
        <is>
          <t>5², 65²</t>
        </is>
      </c>
      <c r="I1834" t="n">
        <v>4</v>
      </c>
      <c r="J1834" t="inlineStr">
        <is>
          <t>1², 4², 12¹, 48¹</t>
        </is>
      </c>
      <c r="K1834">
        <f>HYPERLINK("CSG0.html#group13B0", "13B⁰"), =HYPERLINK("CSG4.html#group65A4", "65A⁴")</f>
        <v/>
      </c>
      <c r="L1834">
        <f>HYPERLINK("CSG17.html#group130B17", "130B¹⁷")</f>
        <v/>
      </c>
      <c r="M1834">
        <f>HYPERLINK("CSG0.html#group13A0", "13A⁰"), =HYPERLINK("CSG0.html#group5A0", "5A⁰"), =HYPERLINK("CSG0.html#group13B0", "13B⁰"), =HYPERLINK("CSG0.html#group1A0", "1A⁰"), =HYPERLINK("CSG4.html#group65A4", "65A⁴")</f>
        <v/>
      </c>
      <c r="N1834">
        <f>HYPERLINK("CSG17.html#group130B17", "130B¹⁷")</f>
        <v/>
      </c>
    </row>
    <row r="1835">
      <c r="A1835" t="inlineStr">
        <is>
          <t>66A⁸</t>
        </is>
      </c>
      <c r="B1835" t="inlineStr"/>
      <c r="C1835" t="inlineStr">
        <is>
          <t>108</t>
        </is>
      </c>
      <c r="D1835" t="inlineStr">
        <is>
          <t>1</t>
        </is>
      </c>
      <c r="E1835" t="inlineStr">
        <is>
          <t>36</t>
        </is>
      </c>
      <c r="F1835" t="inlineStr">
        <is>
          <t>0</t>
        </is>
      </c>
      <c r="G1835" t="inlineStr">
        <is>
          <t>0</t>
        </is>
      </c>
      <c r="H1835" t="inlineStr">
        <is>
          <t>3¹, 6¹, 33¹, 66¹</t>
        </is>
      </c>
      <c r="I1835" t="n">
        <v>4</v>
      </c>
      <c r="J1835" t="inlineStr">
        <is>
          <t>1⁶, 10³</t>
        </is>
      </c>
      <c r="K1835">
        <f>HYPERLINK("CSG0.html#group6D0", "6D⁰"), =HYPERLINK("CSG2.html#group22C2", "22C²"), =HYPERLINK("CSG3.html#group33A3", "33A³")</f>
        <v/>
      </c>
      <c r="L1835">
        <f>HYPERLINK("CSG15.html#group66A15", "66A¹⁵"), =HYPERLINK("CSG16.html#group66B16", "66B¹⁶"), =HYPERLINK("CSG16.html#group66C16", "66C¹⁶"), =HYPERLINK("CSG16.html#group132B16", "132B¹⁶"), =HYPERLINK("CSG16.html#group132C16", "132C¹⁶"), =HYPERLINK("CSG17.html#group132A17", "132A¹⁷"), =HYPERLINK("CSG17.html#group132B17", "132B¹⁷")</f>
        <v/>
      </c>
      <c r="M1835">
        <f>HYPERLINK("CSG1.html#group11A1", "11A¹"), =HYPERLINK("CSG3.html#group33A3", "33A³"), =HYPERLINK("CSG0.html#group2B0", "2B⁰"), =HYPERLINK("CSG0.html#group3A0", "3A⁰"), =HYPERLINK("CSG2.html#group22C2", "22C²"), =HYPERLINK("CSG0.html#group1A0", "1A⁰"), =HYPERLINK("CSG0.html#group6D0", "6D⁰")</f>
        <v/>
      </c>
      <c r="N1835">
        <f>HYPERLINK("CSG16.html#group132B16", "132B¹⁶"), =HYPERLINK("CSG17.html#group132A17", "132A¹⁷"), =HYPERLINK("CSG16.html#group132C16", "132C¹⁶"), =HYPERLINK("CSG16.html#group66C16", "66C¹⁶"), =HYPERLINK("CSG16.html#group66B16", "66B¹⁶"), =HYPERLINK("CSG15.html#group66A15", "66A¹⁵"), =HYPERLINK("CSG17.html#group132B17", "132B¹⁷")</f>
        <v/>
      </c>
    </row>
    <row r="1836">
      <c r="A1836" t="inlineStr">
        <is>
          <t>66B⁸</t>
        </is>
      </c>
      <c r="B1836" t="inlineStr"/>
      <c r="C1836" t="inlineStr">
        <is>
          <t>132</t>
        </is>
      </c>
      <c r="D1836" t="inlineStr">
        <is>
          <t>2</t>
        </is>
      </c>
      <c r="E1836" t="inlineStr">
        <is>
          <t>33</t>
        </is>
      </c>
      <c r="F1836" t="inlineStr">
        <is>
          <t>12</t>
        </is>
      </c>
      <c r="G1836" t="inlineStr">
        <is>
          <t>0</t>
        </is>
      </c>
      <c r="H1836" t="inlineStr">
        <is>
          <t>66²</t>
        </is>
      </c>
      <c r="I1836" t="n">
        <v>2</v>
      </c>
      <c r="J1836" t="inlineStr">
        <is>
          <t>2¹, 4¹, 10², 20²</t>
        </is>
      </c>
      <c r="K1836">
        <f>HYPERLINK("CSG0.html#group6E0", "6E⁰"), =HYPERLINK("CSG3.html#group66A3", "66A³"), =HYPERLINK("CSG4.html#group33A4", "33A⁴")</f>
        <v/>
      </c>
      <c r="L1836">
        <f>HYPERLINK("CSG19.html#group132A19", "132A¹⁹"), =HYPERLINK("CSG21.html#group66A21", "66A²¹"), =HYPERLINK("CSG24.html#group198A24", "198A²⁴")</f>
        <v/>
      </c>
      <c r="M1836">
        <f>HYPERLINK("CSG0.html#group11A0", "11A⁰"), =HYPERLINK("CSG0.html#group6B0", "6B⁰"), =HYPERLINK("CSG3.html#group66A3", "66A³"), =HYPERLINK("CSG0.html#group6E0", "6E⁰"), =HYPERLINK("CSG1.html#group33A1", "33A¹"), =HYPERLINK("CSG0.html#group3C0", "3C⁰"), =HYPERLINK("CSG0.html#group3A0", "3A⁰"), =HYPERLINK("CSG0.html#group1A0", "1A⁰"), =HYPERLINK("CSG4.html#group33A4", "33A⁴")</f>
        <v/>
      </c>
      <c r="N1836">
        <f>HYPERLINK("CSG19.html#group132A19", "132A¹⁹"), =HYPERLINK("CSG21.html#group66A21", "66A²¹"), =HYPERLINK("CSG24.html#group198A24", "198A²⁴")</f>
        <v/>
      </c>
    </row>
    <row r="1837">
      <c r="A1837" t="inlineStr">
        <is>
          <t>70A⁸</t>
        </is>
      </c>
      <c r="B1837" t="inlineStr"/>
      <c r="C1837" t="inlineStr">
        <is>
          <t>105</t>
        </is>
      </c>
      <c r="D1837" t="inlineStr">
        <is>
          <t>2</t>
        </is>
      </c>
      <c r="E1837" t="inlineStr">
        <is>
          <t>105</t>
        </is>
      </c>
      <c r="F1837" t="inlineStr">
        <is>
          <t>3</t>
        </is>
      </c>
      <c r="G1837" t="inlineStr">
        <is>
          <t>0</t>
        </is>
      </c>
      <c r="H1837" t="inlineStr">
        <is>
          <t>35¹, 70¹</t>
        </is>
      </c>
      <c r="I1837" t="n">
        <v>2</v>
      </c>
      <c r="J1837" t="inlineStr">
        <is>
          <t>2³, 6⁶, 8³, 24⁶</t>
        </is>
      </c>
      <c r="K1837">
        <f>HYPERLINK("CSG1.html#group10B1", "10B¹"), =HYPERLINK("CSG1.html#group14B1", "14B¹"), =HYPERLINK("CSG2.html#group35A2", "35A²")</f>
        <v/>
      </c>
      <c r="L1837">
        <f>HYPERLINK("CSG16.html#group70A16", "70A¹⁶"), =HYPERLINK("CSG16.html#group70C16", "70C¹⁶"), =HYPERLINK("CSG16.html#group140A16", "140A¹⁶"), =HYPERLINK("CSG16.html#group140B16", "140B¹⁶"), =HYPERLINK("CSG17.html#group70C17", "70C¹⁷"), =HYPERLINK("CSG17.html#group140A17", "140A¹⁷"), =HYPERLINK("CSG17.html#group140B17", "140B¹⁷"), =HYPERLINK("CSG22.html#group70A22", "70A²²"), =HYPERLINK("CSG23.html#group70A23", "70A²³"), =HYPERLINK("CSG24.html#group210A24", "210A²⁴"), =HYPERLINK("CSG24.html#group210B24", "210B²⁴"), =HYPERLINK("CSG24.html#group210C24", "210C²⁴")</f>
        <v/>
      </c>
      <c r="M1837">
        <f>HYPERLINK("CSG0.html#group5A0", "5A⁰"), =HYPERLINK("CSG1.html#group14B1", "14B¹"), =HYPERLINK("CSG1.html#group10B1", "10B¹"), =HYPERLINK("CSG0.html#group2B0", "2B⁰"), =HYPERLINK("CSG0.html#group1A0", "1A⁰"), =HYPERLINK("CSG2.html#group35A2", "35A²"), =HYPERLINK("CSG0.html#group7A0", "7A⁰")</f>
        <v/>
      </c>
      <c r="N1837">
        <f>HYPERLINK("CSG16.html#group140B16", "140B¹⁶"), =HYPERLINK("CSG17.html#group140A17", "140A¹⁷"), =HYPERLINK("CSG22.html#group70A22", "70A²²"), =HYPERLINK("CSG24.html#group210A24", "210A²⁴"), =HYPERLINK("CSG16.html#group140A16", "140A¹⁶"), =HYPERLINK("CSG16.html#group70C16", "70C¹⁶"), =HYPERLINK("CSG17.html#group140B17", "140B¹⁷"), =HYPERLINK("CSG17.html#group70C17", "70C¹⁷"), =HYPERLINK("CSG23.html#group70A23", "70A²³"), =HYPERLINK("CSG16.html#group70A16", "70A¹⁶"), =HYPERLINK("CSG24.html#group210B24", "210B²⁴"), =HYPERLINK("CSG24.html#group210C24", "210C²⁴")</f>
        <v/>
      </c>
    </row>
    <row r="1838">
      <c r="A1838" t="inlineStr">
        <is>
          <t>70B⁸</t>
        </is>
      </c>
      <c r="B1838" t="inlineStr"/>
      <c r="C1838" t="inlineStr">
        <is>
          <t>126</t>
        </is>
      </c>
      <c r="D1838" t="inlineStr">
        <is>
          <t>2</t>
        </is>
      </c>
      <c r="E1838" t="inlineStr">
        <is>
          <t>126</t>
        </is>
      </c>
      <c r="F1838" t="inlineStr">
        <is>
          <t>6</t>
        </is>
      </c>
      <c r="G1838" t="inlineStr">
        <is>
          <t>0</t>
        </is>
      </c>
      <c r="H1838" t="inlineStr">
        <is>
          <t>7¹, 14¹, 35¹, 70¹</t>
        </is>
      </c>
      <c r="I1838" t="n">
        <v>4</v>
      </c>
      <c r="J1838" t="inlineStr">
        <is>
          <t>2⁶, 6¹², 8³, 24⁶</t>
        </is>
      </c>
      <c r="K1838">
        <f>HYPERLINK("CSG0.html#group10C0", "10C⁰"), =HYPERLINK("CSG1.html#group14B1", "14B¹"), =HYPERLINK("CSG2.html#group35C2", "35C²")</f>
        <v/>
      </c>
      <c r="L1838">
        <f>HYPERLINK("CSG16.html#group70F16", "70F¹⁶"), =HYPERLINK("CSG16.html#group70H16", "70H¹⁶"), =HYPERLINK("CSG16.html#group140C16", "140C¹⁶"), =HYPERLINK("CSG17.html#group70E17", "70E¹⁷"), =HYPERLINK("CSG17.html#group70G17", "70G¹⁷"), =HYPERLINK("CSG17.html#group140C17", "140C¹⁷"), =HYPERLINK("CSG17.html#group140D17", "140D¹⁷"), =HYPERLINK("CSG18.html#group70F18", "70F¹⁸"), =HYPERLINK("CSG18.html#group70G18", "70G¹⁸"), =HYPERLINK("CSG18.html#group140B18", "140B¹⁸"), =HYPERLINK("CSG18.html#group140C18", "140C¹⁸"), =HYPERLINK("CSG19.html#group70B19", "70B¹⁹"), =HYPERLINK("CSG19.html#group140B19", "140B¹⁹"), =HYPERLINK("CSG19.html#group140C19", "140C¹⁹"), =HYPERLINK("CSG20.html#group140A20", "140A²⁰"), =HYPERLINK("CSG24.html#group70A24", "70A²⁴")</f>
        <v/>
      </c>
      <c r="M1838">
        <f>HYPERLINK("CSG2.html#group35C2", "35C²"), =HYPERLINK("CSG1.html#group14B1", "14B¹"), =HYPERLINK("CSG0.html#group5B0", "5B⁰"), =HYPERLINK("CSG0.html#group10C0", "10C⁰"), =HYPERLINK("CSG0.html#group2B0", "2B⁰"), =HYPERLINK("CSG0.html#group1A0", "1A⁰"), =HYPERLINK("CSG0.html#group7A0", "7A⁰")</f>
        <v/>
      </c>
      <c r="N1838">
        <f>HYPERLINK("CSG16.html#group140C16", "140C¹⁶"), =HYPERLINK("CSG17.html#group140C17", "140C¹⁷"), =HYPERLINK("CSG16.html#group70H16", "70H¹⁶"), =HYPERLINK("CSG19.html#group70B19", "70B¹⁹"), =HYPERLINK("CSG20.html#group140A20", "140A²⁰"), =HYPERLINK("CSG18.html#group140B18", "140B¹⁸"), =HYPERLINK("CSG24.html#group70A24", "70A²⁴"), =HYPERLINK("CSG17.html#group70E17", "70E¹⁷"), =HYPERLINK("CSG18.html#group140C18", "140C¹⁸"), =HYPERLINK("CSG17.html#group140D17", "140D¹⁷"), =HYPERLINK("CSG19.html#group140C19", "140C¹⁹"), =HYPERLINK("CSG17.html#group70G17", "70G¹⁷"), =HYPERLINK("CSG16.html#group70F16", "70F¹⁶"), =HYPERLINK("CSG18.html#group70G18", "70G¹⁸"), =HYPERLINK("CSG19.html#group140B19", "140B¹⁹"), =HYPERLINK("CSG18.html#group70F18", "70F¹⁸")</f>
        <v/>
      </c>
    </row>
    <row r="1839">
      <c r="A1839" t="inlineStr">
        <is>
          <t>70C⁸</t>
        </is>
      </c>
      <c r="B1839" t="inlineStr"/>
      <c r="C1839" t="inlineStr">
        <is>
          <t>140</t>
        </is>
      </c>
      <c r="D1839" t="inlineStr">
        <is>
          <t>2</t>
        </is>
      </c>
      <c r="E1839" t="inlineStr">
        <is>
          <t>70</t>
        </is>
      </c>
      <c r="F1839" t="inlineStr">
        <is>
          <t>12</t>
        </is>
      </c>
      <c r="G1839" t="inlineStr">
        <is>
          <t>2</t>
        </is>
      </c>
      <c r="H1839" t="inlineStr">
        <is>
          <t>70²</t>
        </is>
      </c>
      <c r="I1839" t="n">
        <v>2</v>
      </c>
      <c r="J1839" t="inlineStr">
        <is>
          <t>4¹, 8², 12², 24⁴</t>
        </is>
      </c>
      <c r="K1839">
        <f>HYPERLINK("CSG0.html#group10D0", "10D⁰"), =HYPERLINK("CSG4.html#group35B4", "35B⁴")</f>
        <v/>
      </c>
      <c r="L1839">
        <f>HYPERLINK("CSG17.html#group70I17", "70I¹⁷"), =HYPERLINK("CSG19.html#group70D19", "70D¹⁹"), =HYPERLINK("CSG19.html#group140D19", "140D¹⁹"), =HYPERLINK("CSG19.html#group140E19", "140E¹⁹"), =HYPERLINK("CSG19.html#group140F19", "140F¹⁹"), =HYPERLINK("CSG19.html#group140G19", "140G¹⁹"), =HYPERLINK("CSG21.html#group70E21", "70E²¹")</f>
        <v/>
      </c>
      <c r="M1839">
        <f>HYPERLINK("CSG0.html#group1A0", "1A⁰"), =HYPERLINK("CSG0.html#group5C0", "5C⁰"), =HYPERLINK("CSG0.html#group10D0", "10D⁰"), =HYPERLINK("CSG4.html#group35B4", "35B⁴"), =HYPERLINK("CSG0.html#group7A0", "7A⁰")</f>
        <v/>
      </c>
      <c r="N1839">
        <f>HYPERLINK("CSG19.html#group140F19", "140F¹⁹"), =HYPERLINK("CSG19.html#group140D19", "140D¹⁹"), =HYPERLINK("CSG19.html#group140E19", "140E¹⁹"), =HYPERLINK("CSG19.html#group70D19", "70D¹⁹"), =HYPERLINK("CSG17.html#group70I17", "70I¹⁷"), =HYPERLINK("CSG19.html#group140G19", "140G¹⁹"), =HYPERLINK("CSG21.html#group70E21", "70E²¹")</f>
        <v/>
      </c>
    </row>
    <row r="1840">
      <c r="A1840" t="inlineStr">
        <is>
          <t>72A⁸</t>
        </is>
      </c>
      <c r="B1840" t="inlineStr"/>
      <c r="C1840" t="inlineStr">
        <is>
          <t>96</t>
        </is>
      </c>
      <c r="D1840" t="inlineStr">
        <is>
          <t>2</t>
        </is>
      </c>
      <c r="E1840" t="inlineStr">
        <is>
          <t>16</t>
        </is>
      </c>
      <c r="F1840" t="inlineStr">
        <is>
          <t>0</t>
        </is>
      </c>
      <c r="G1840" t="inlineStr">
        <is>
          <t>0</t>
        </is>
      </c>
      <c r="H1840" t="inlineStr">
        <is>
          <t>24¹, 72¹</t>
        </is>
      </c>
      <c r="I1840" t="n">
        <v>2</v>
      </c>
      <c r="J1840" t="inlineStr">
        <is>
          <t>4⁴, 8²</t>
        </is>
      </c>
      <c r="K1840">
        <f>HYPERLINK("CSG2.html#group24A2", "24A²"), =HYPERLINK("CSG4.html#group36C4", "36C⁴")</f>
        <v/>
      </c>
      <c r="L1840">
        <f>HYPERLINK("CSG15.html#group72B15", "72B¹⁵"), =HYPERLINK("CSG16.html#group144A16", "144A¹⁶"), =HYPERLINK("CSG22.html#group72B22", "72B²²"), =HYPERLINK("CSG22.html#group72C22", "72C²²"), =HYPERLINK("CSG22.html#group72D22", "72D²²")</f>
        <v/>
      </c>
      <c r="M1840">
        <f>HYPERLINK("CSG0.html#group3B0", "3B⁰"), =HYPERLINK("CSG2.html#group24A2", "24A²"), =HYPERLINK("CSG0.html#group4A0", "4A⁰"), =HYPERLINK("CSG1.html#group12A1", "12A¹"), =HYPERLINK("CSG1.html#group9A1", "9A¹"), =HYPERLINK("CSG0.html#group8A0", "8A⁰"), =HYPERLINK("CSG4.html#group36C4", "36C⁴"), =HYPERLINK("CSG0.html#group1A0", "1A⁰")</f>
        <v/>
      </c>
      <c r="N1840">
        <f>HYPERLINK("CSG16.html#group144A16", "144A¹⁶"), =HYPERLINK("CSG15.html#group72B15", "72B¹⁵"), =HYPERLINK("CSG22.html#group72D22", "72D²²"), =HYPERLINK("CSG22.html#group72B22", "72B²²"), =HYPERLINK("CSG22.html#group72C22", "72C²²")</f>
        <v/>
      </c>
    </row>
    <row r="1841">
      <c r="A1841" t="inlineStr">
        <is>
          <t>72B⁸</t>
        </is>
      </c>
      <c r="B1841" t="inlineStr"/>
      <c r="C1841" t="inlineStr">
        <is>
          <t>108</t>
        </is>
      </c>
      <c r="D1841" t="inlineStr">
        <is>
          <t>1</t>
        </is>
      </c>
      <c r="E1841" t="inlineStr">
        <is>
          <t>54</t>
        </is>
      </c>
      <c r="F1841" t="inlineStr">
        <is>
          <t>0</t>
        </is>
      </c>
      <c r="G1841" t="inlineStr">
        <is>
          <t>0</t>
        </is>
      </c>
      <c r="H1841" t="inlineStr">
        <is>
          <t>9², 18¹, 72¹</t>
        </is>
      </c>
      <c r="I1841" t="n">
        <v>4</v>
      </c>
      <c r="J1841" t="inlineStr">
        <is>
          <t>1⁴, 2⁵, 4¹, 6⁴, 12¹</t>
        </is>
      </c>
      <c r="K1841">
        <f>HYPERLINK("CSG2.html#group24B2", "24B²"), =HYPERLINK("CSG4.html#group36D4", "36D⁴")</f>
        <v/>
      </c>
      <c r="L1841">
        <f>HYPERLINK("CSG15.html#group72G15", "72G¹⁵"), =HYPERLINK("CSG15.html#group72S15", "72S¹⁵"), =HYPERLINK("CSG16.html#group72A16", "72A¹⁶"), =HYPERLINK("CSG16.html#group72D16", "72D¹⁶"), =HYPERLINK("CSG16.html#group72E16", "72E¹⁶"), =HYPERLINK("CSG16.html#group72F16", "72F¹⁶"), =HYPERLINK("CSG16.html#group72K16", "72K¹⁶"), =HYPERLINK("CSG16.html#group72P16", "72P¹⁶"), =HYPERLINK("CSG16.html#group144B16", "144B¹⁶"), =HYPERLINK("CSG16.html#group144C16", "144C¹⁶"), =HYPERLINK("CSG16.html#group144D16", "144D¹⁶"), =HYPERLINK("CSG16.html#group144E16", "144E¹⁶"), =HYPERLINK("CSG16.html#group144G16", "144G¹⁶"), =HYPERLINK("CSG16.html#group144H16", "144H¹⁶"), =HYPERLINK("CSG17.html#group144A17", "144A¹⁷"), =HYPERLINK("CSG17.html#group144B17", "144B¹⁷"), =HYPERLINK("CSG17.html#group144C17", "144C¹⁷"), =HYPERLINK("CSG22.html#group72G22", "72G²²")</f>
        <v/>
      </c>
      <c r="M1841">
        <f>HYPERLINK("CSG2.html#group24B2", "24B²"), =HYPERLINK("CSG0.html#group3A0", "3A⁰"), =HYPERLINK("CSG0.html#group9A0", "9A⁰"), =HYPERLINK("CSG4.html#group36D4", "36D⁴"), =HYPERLINK("CSG1.html#group12B1", "12B¹"), =HYPERLINK("CSG0.html#group2B0", "2B⁰"), =HYPERLINK("CSG0.html#group8C0", "8C⁰"), =HYPERLINK("CSG1.html#group18E1", "18E¹"), =HYPERLINK("CSG0.html#group4B0", "4B⁰"), =HYPERLINK("CSG0.html#group1A0", "1A⁰"), =HYPERLINK("CSG0.html#group6D0", "6D⁰")</f>
        <v/>
      </c>
      <c r="N1841">
        <f>HYPERLINK("CSG15.html#group72G15", "72G¹⁵"), =HYPERLINK("CSG17.html#group144C17", "144C¹⁷"), =HYPERLINK("CSG16.html#group72P16", "72P¹⁶"), =HYPERLINK("CSG16.html#group72D16", "72D¹⁶"), =HYPERLINK("CSG16.html#group144D16", "144D¹⁶"), =HYPERLINK("CSG22.html#group72G22", "72G²²"), =HYPERLINK("CSG16.html#group72A16", "72A¹⁶"), =HYPERLINK("CSG16.html#group72E16", "72E¹⁶"), =HYPERLINK("CSG16.html#group72F16", "72F¹⁶"), =HYPERLINK("CSG16.html#group144H16", "144H¹⁶"), =HYPERLINK("CSG16.html#group144C16", "144C¹⁶"), =HYPERLINK("CSG16.html#group144B16", "144B¹⁶"), =HYPERLINK("CSG16.html#group72K16", "72K¹⁶"), =HYPERLINK("CSG17.html#group144B17", "144B¹⁷"), =HYPERLINK("CSG15.html#group72S15", "72S¹⁵"), =HYPERLINK("CSG16.html#group144G16", "144G¹⁶"), =HYPERLINK("CSG16.html#group144E16", "144E¹⁶"), =HYPERLINK("CSG17.html#group144A17", "144A¹⁷")</f>
        <v/>
      </c>
    </row>
    <row r="1842">
      <c r="A1842" t="inlineStr">
        <is>
          <t>72C⁸</t>
        </is>
      </c>
      <c r="B1842" t="inlineStr"/>
      <c r="C1842" t="inlineStr">
        <is>
          <t>108</t>
        </is>
      </c>
      <c r="D1842" t="inlineStr">
        <is>
          <t>1</t>
        </is>
      </c>
      <c r="E1842" t="inlineStr">
        <is>
          <t>54</t>
        </is>
      </c>
      <c r="F1842" t="inlineStr">
        <is>
          <t>0</t>
        </is>
      </c>
      <c r="G1842" t="inlineStr">
        <is>
          <t>0</t>
        </is>
      </c>
      <c r="H1842" t="inlineStr">
        <is>
          <t>9², 18¹, 72¹</t>
        </is>
      </c>
      <c r="I1842" t="n">
        <v>4</v>
      </c>
      <c r="J1842" t="inlineStr">
        <is>
          <t>1⁴, 2⁵, 4¹, 6⁴, 12¹</t>
        </is>
      </c>
      <c r="K1842">
        <f>HYPERLINK("CSG2.html#group24D2", "24D²"), =HYPERLINK("CSG4.html#group36D4", "36D⁴")</f>
        <v/>
      </c>
      <c r="L1842">
        <f>HYPERLINK("CSG15.html#group72G15", "72G¹⁵"), =HYPERLINK("CSG15.html#group72R15", "72R¹⁵"), =HYPERLINK("CSG16.html#group72B16", "72B¹⁶"), =HYPERLINK("CSG16.html#group72D16", "72D¹⁶"), =HYPERLINK("CSG16.html#group72J16", "72J¹⁶"), =HYPERLINK("CSG22.html#group72K22", "72K²²")</f>
        <v/>
      </c>
      <c r="M1842">
        <f>HYPERLINK("CSG0.html#group4B0", "4B⁰"), =HYPERLINK("CSG0.html#group9A0", "9A⁰"), =HYPERLINK("CSG2.html#group24D2", "24D²"), =HYPERLINK("CSG4.html#group36D4", "36D⁴"), =HYPERLINK("CSG1.html#group12B1", "12B¹"), =HYPERLINK("CSG0.html#group2B0", "2B⁰"), =HYPERLINK("CSG1.html#group18E1", "18E¹"), =HYPERLINK("CSG0.html#group3A0", "3A⁰"), =HYPERLINK("CSG0.html#group1A0", "1A⁰"), =HYPERLINK("CSG0.html#group6D0", "6D⁰")</f>
        <v/>
      </c>
      <c r="N1842">
        <f>HYPERLINK("CSG15.html#group72G15", "72G¹⁵"), =HYPERLINK("CSG15.html#group72R15", "72R¹⁵"), =HYPERLINK("CSG16.html#group72B16", "72B¹⁶"), =HYPERLINK("CSG16.html#group72J16", "72J¹⁶"), =HYPERLINK("CSG16.html#group72D16", "72D¹⁶"), =HYPERLINK("CSG22.html#group72K22", "72K²²")</f>
        <v/>
      </c>
    </row>
    <row r="1843">
      <c r="A1843" t="inlineStr">
        <is>
          <t>72D⁸</t>
        </is>
      </c>
      <c r="B1843" t="inlineStr"/>
      <c r="C1843" t="inlineStr">
        <is>
          <t>108</t>
        </is>
      </c>
      <c r="D1843" t="inlineStr">
        <is>
          <t>2</t>
        </is>
      </c>
      <c r="E1843" t="inlineStr">
        <is>
          <t>27</t>
        </is>
      </c>
      <c r="F1843" t="inlineStr">
        <is>
          <t>4</t>
        </is>
      </c>
      <c r="G1843" t="inlineStr">
        <is>
          <t>0</t>
        </is>
      </c>
      <c r="H1843" t="inlineStr">
        <is>
          <t>36¹, 72¹</t>
        </is>
      </c>
      <c r="I1843" t="n">
        <v>2</v>
      </c>
      <c r="J1843" t="inlineStr">
        <is>
          <t>2⁹, 6⁶</t>
        </is>
      </c>
      <c r="K1843">
        <f>HYPERLINK("CSG2.html#group24C2", "24C²"), =HYPERLINK("CSG2.html#group36B2", "36B²")</f>
        <v/>
      </c>
      <c r="L1843">
        <f>HYPERLINK("CSG15.html#group72O15", "72O¹⁵"), =HYPERLINK("CSG15.html#group72P15", "72P¹⁵"), =HYPERLINK("CSG15.html#group72Q15", "72Q¹⁵"), =HYPERLINK("CSG16.html#group72L16", "72L¹⁶"), =HYPERLINK("CSG16.html#group72M16", "72M¹⁶"), =HYPERLINK("CSG16.html#group72N16", "72N¹⁶"), =HYPERLINK("CSG16.html#group72O16", "72O¹⁶"), =HYPERLINK("CSG17.html#group72A17", "72A¹⁷"), =HYPERLINK("CSG17.html#group72H17", "72H¹⁷"), =HYPERLINK("CSG17.html#group72I17", "72I¹⁷"), =HYPERLINK("CSG17.html#group72K17", "72K¹⁷"), =HYPERLINK("CSG22.html#group72J22", "72J²²"), =HYPERLINK("CSG24.html#group72A24", "72A²⁴")</f>
        <v/>
      </c>
      <c r="M1843">
        <f>HYPERLINK("CSG0.html#group12C0", "12C⁰"), =HYPERLINK("CSG0.html#group9A0", "9A⁰"), =HYPERLINK("CSG2.html#group36B2", "36B²"), =HYPERLINK("CSG0.html#group4C0", "4C⁰"), =HYPERLINK("CSG0.html#group2B0", "2B⁰"), =HYPERLINK("CSG2.html#group24C2", "24C²"), =HYPERLINK("CSG1.html#group18E1", "18E¹"), =HYPERLINK("CSG0.html#group3A0", "3A⁰"), =HYPERLINK("CSG0.html#group1A0", "1A⁰"), =HYPERLINK("CSG0.html#group6D0", "6D⁰")</f>
        <v/>
      </c>
      <c r="N1843">
        <f>HYPERLINK("CSG17.html#group72H17", "72H¹⁷"), =HYPERLINK("CSG22.html#group72J22", "72J²²"), =HYPERLINK("CSG15.html#group72O15", "72O¹⁵"), =HYPERLINK("CSG15.html#group72P15", "72P¹⁵"), =HYPERLINK("CSG16.html#group72M16", "72M¹⁶"), =HYPERLINK("CSG17.html#group72I17", "72I¹⁷"), =HYPERLINK("CSG16.html#group72O16", "72O¹⁶"), =HYPERLINK("CSG16.html#group72L16", "72L¹⁶"), =HYPERLINK("CSG17.html#group72K17", "72K¹⁷"), =HYPERLINK("CSG16.html#group72N16", "72N¹⁶"), =HYPERLINK("CSG17.html#group72A17", "72A¹⁷"), =HYPERLINK("CSG24.html#group72A24", "72A²⁴"), =HYPERLINK("CSG15.html#group72Q15", "72Q¹⁵")</f>
        <v/>
      </c>
    </row>
    <row r="1844">
      <c r="A1844" t="inlineStr">
        <is>
          <t>72E⁸</t>
        </is>
      </c>
      <c r="B1844" t="inlineStr"/>
      <c r="C1844" t="inlineStr">
        <is>
          <t>108</t>
        </is>
      </c>
      <c r="D1844" t="inlineStr">
        <is>
          <t>2</t>
        </is>
      </c>
      <c r="E1844" t="inlineStr">
        <is>
          <t>54</t>
        </is>
      </c>
      <c r="F1844" t="inlineStr">
        <is>
          <t>0</t>
        </is>
      </c>
      <c r="G1844" t="inlineStr">
        <is>
          <t>0</t>
        </is>
      </c>
      <c r="H1844" t="inlineStr">
        <is>
          <t>9², 18¹, 72¹</t>
        </is>
      </c>
      <c r="I1844" t="n">
        <v>4</v>
      </c>
      <c r="J1844" t="inlineStr">
        <is>
          <t>2¹², 4³, 6⁸, 12²</t>
        </is>
      </c>
      <c r="K1844">
        <f>HYPERLINK("CSG2.html#group24D2", "24D²"), =HYPERLINK("CSG4.html#group36D4", "36D⁴")</f>
        <v/>
      </c>
      <c r="L1844">
        <f>HYPERLINK("CSG15.html#group72F15", "72F¹⁵"), =HYPERLINK("CSG15.html#group72S15", "72S¹⁵"), =HYPERLINK("CSG15.html#group72R15", "72R¹⁵"), =HYPERLINK("CSG16.html#group72C16", "72C¹⁶"), =HYPERLINK("CSG16.html#group72I16", "72I¹⁶"), =HYPERLINK("CSG16.html#group72K16", "72K¹⁶"), =HYPERLINK("CSG16.html#group72J16", "72J¹⁶"), =HYPERLINK("CSG22.html#group72H22", "72H²²"), =HYPERLINK("CSG22.html#group72K22", "72K²²")</f>
        <v/>
      </c>
      <c r="M1844">
        <f>HYPERLINK("CSG0.html#group4B0", "4B⁰"), =HYPERLINK("CSG0.html#group9A0", "9A⁰"), =HYPERLINK("CSG2.html#group24D2", "24D²"), =HYPERLINK("CSG4.html#group36D4", "36D⁴"), =HYPERLINK("CSG1.html#group12B1", "12B¹"), =HYPERLINK("CSG0.html#group2B0", "2B⁰"), =HYPERLINK("CSG1.html#group18E1", "18E¹"), =HYPERLINK("CSG0.html#group3A0", "3A⁰"), =HYPERLINK("CSG0.html#group1A0", "1A⁰"), =HYPERLINK("CSG0.html#group6D0", "6D⁰")</f>
        <v/>
      </c>
      <c r="N1844">
        <f>HYPERLINK("CSG15.html#group72R15", "72R¹⁵"), =HYPERLINK("CSG16.html#group72J16", "72J¹⁶"), =HYPERLINK("CSG16.html#group72I16", "72I¹⁶"), =HYPERLINK("CSG16.html#group72C16", "72C¹⁶"), =HYPERLINK("CSG22.html#group72K22", "72K²²"), =HYPERLINK("CSG16.html#group72K16", "72K¹⁶"), =HYPERLINK("CSG22.html#group72H22", "72H²²"), =HYPERLINK("CSG15.html#group72F15", "72F¹⁵"), =HYPERLINK("CSG15.html#group72S15", "72S¹⁵")</f>
        <v/>
      </c>
    </row>
    <row r="1845">
      <c r="A1845" t="inlineStr">
        <is>
          <t>72F⁸</t>
        </is>
      </c>
      <c r="B1845" t="inlineStr"/>
      <c r="C1845" t="inlineStr">
        <is>
          <t>144</t>
        </is>
      </c>
      <c r="D1845" t="inlineStr">
        <is>
          <t>1</t>
        </is>
      </c>
      <c r="E1845" t="inlineStr">
        <is>
          <t>12</t>
        </is>
      </c>
      <c r="F1845" t="inlineStr">
        <is>
          <t>0</t>
        </is>
      </c>
      <c r="G1845" t="inlineStr">
        <is>
          <t>0</t>
        </is>
      </c>
      <c r="H1845" t="inlineStr">
        <is>
          <t>3⁴, 9⁴, 24¹, 72¹</t>
        </is>
      </c>
      <c r="I1845" t="n">
        <v>10</v>
      </c>
      <c r="J1845" t="inlineStr">
        <is>
          <t>1⁶, 2³</t>
        </is>
      </c>
      <c r="K1845">
        <f>HYPERLINK("CSG0.html#group24B0", "24B⁰"), =HYPERLINK("CSG4.html#group36F4", "36F⁴")</f>
        <v/>
      </c>
      <c r="L1845">
        <f>HYPERLINK("CSG17.html#group72O17", "72O¹⁷"), =HYPERLINK("CSG19.html#group72A19", "72A¹⁹"), =HYPERLINK("CSG22.html#group72L22", "72L²²"), =HYPERLINK("CSG22.html#group72M22", "72M²²")</f>
        <v/>
      </c>
      <c r="M1845">
        <f>HYPERLINK("CSG0.html#group3B0", "3B⁰"), =HYPERLINK("CSG0.html#group24B0", "24B⁰"), =HYPERLINK("CSG2.html#group18D2", "18D²"), =HYPERLINK("CSG4.html#group36F4", "36F⁴"), =HYPERLINK("CSG0.html#group2B0", "2B⁰"), =HYPERLINK("CSG0.html#group1A0", "1A⁰"), =HYPERLINK("CSG0.html#group9C0", "9C⁰"), =HYPERLINK("CSG0.html#group4B0", "4B⁰"), =HYPERLINK("CSG0.html#group6F0", "6F⁰"), =HYPERLINK("CSG0.html#group12E0", "12E⁰")</f>
        <v/>
      </c>
      <c r="N1845">
        <f>HYPERLINK("CSG22.html#group72M22", "72M²²"), =HYPERLINK("CSG17.html#group72O17", "72O¹⁷"), =HYPERLINK("CSG19.html#group72A19", "72A¹⁹"), =HYPERLINK("CSG22.html#group72L22", "72L²²")</f>
        <v/>
      </c>
    </row>
    <row r="1846">
      <c r="A1846" t="inlineStr">
        <is>
          <t>72G⁸</t>
        </is>
      </c>
      <c r="B1846" t="inlineStr"/>
      <c r="C1846" t="inlineStr">
        <is>
          <t>144</t>
        </is>
      </c>
      <c r="D1846" t="inlineStr">
        <is>
          <t>1</t>
        </is>
      </c>
      <c r="E1846" t="inlineStr">
        <is>
          <t>12</t>
        </is>
      </c>
      <c r="F1846" t="inlineStr">
        <is>
          <t>0</t>
        </is>
      </c>
      <c r="G1846" t="inlineStr">
        <is>
          <t>0</t>
        </is>
      </c>
      <c r="H1846" t="inlineStr">
        <is>
          <t>3⁴, 9⁴, 24¹, 72¹</t>
        </is>
      </c>
      <c r="I1846" t="n">
        <v>10</v>
      </c>
      <c r="J1846" t="inlineStr">
        <is>
          <t>1⁶, 2³</t>
        </is>
      </c>
      <c r="K1846">
        <f>HYPERLINK("CSG0.html#group24B0", "24B⁰"), =HYPERLINK("CSG4.html#group36G4", "36G⁴")</f>
        <v/>
      </c>
      <c r="L1846">
        <f>HYPERLINK("CSG17.html#group72P17", "72P¹⁷"), =HYPERLINK("CSG19.html#group72B19", "72B¹⁹"), =HYPERLINK("CSG22.html#group72L22", "72L²²"), =HYPERLINK("CSG22.html#group72N22", "72N²²")</f>
        <v/>
      </c>
      <c r="M1846">
        <f>HYPERLINK("CSG0.html#group3B0", "3B⁰"), =HYPERLINK("CSG0.html#group24B0", "24B⁰"), =HYPERLINK("CSG1.html#group9A1", "9A¹"), =HYPERLINK("CSG2.html#group18E2", "18E²"), =HYPERLINK("CSG4.html#group36G4", "36G⁴"), =HYPERLINK("CSG0.html#group1A0", "1A⁰"), =HYPERLINK("CSG0.html#group2B0", "2B⁰"), =HYPERLINK("CSG0.html#group4B0", "4B⁰"), =HYPERLINK("CSG0.html#group6F0", "6F⁰"), =HYPERLINK("CSG0.html#group12E0", "12E⁰")</f>
        <v/>
      </c>
      <c r="N1846">
        <f>HYPERLINK("CSG17.html#group72P17", "72P¹⁷"), =HYPERLINK("CSG19.html#group72B19", "72B¹⁹"), =HYPERLINK("CSG22.html#group72N22", "72N²²"), =HYPERLINK("CSG22.html#group72L22", "72L²²")</f>
        <v/>
      </c>
    </row>
    <row r="1847">
      <c r="A1847" t="inlineStr">
        <is>
          <t>72H⁸</t>
        </is>
      </c>
      <c r="B1847" t="inlineStr"/>
      <c r="C1847" t="inlineStr">
        <is>
          <t>144</t>
        </is>
      </c>
      <c r="D1847" t="inlineStr">
        <is>
          <t>2</t>
        </is>
      </c>
      <c r="E1847" t="inlineStr">
        <is>
          <t>36</t>
        </is>
      </c>
      <c r="F1847" t="inlineStr">
        <is>
          <t>16</t>
        </is>
      </c>
      <c r="G1847" t="inlineStr">
        <is>
          <t>0</t>
        </is>
      </c>
      <c r="H1847" t="inlineStr">
        <is>
          <t>72²</t>
        </is>
      </c>
      <c r="I1847" t="n">
        <v>2</v>
      </c>
      <c r="J1847" t="inlineStr">
        <is>
          <t>8⁶, 24⁴</t>
        </is>
      </c>
      <c r="K1847">
        <f>HYPERLINK("CSG2.html#group24G2", "24G²"), =HYPERLINK("CSG2.html#group36D2", "36D²"), =HYPERLINK("CSG4.html#group72B4", "72B⁴"), =HYPERLINK("CSG4.html#group72C4", "72C⁴")</f>
        <v/>
      </c>
      <c r="L1847">
        <f>HYPERLINK("CSG17.html#group72W17", "72W¹⁷"), =HYPERLINK("CSG20.html#group144G20", "144G²⁰"), =HYPERLINK("CSG21.html#group72P21", "72P²¹"), =HYPERLINK("CSG23.html#group72G23", "72G²³")</f>
        <v/>
      </c>
      <c r="M1847">
        <f>HYPERLINK("CSG1.html#group36A1", "36A¹"), =HYPERLINK("CSG2.html#group36D2", "36D²"), =HYPERLINK("CSG0.html#group12A0", "12A⁰"), =HYPERLINK("CSG0.html#group6B0", "6B⁰"), =HYPERLINK("CSG4.html#group72B4", "72B⁴"), =HYPERLINK("CSG0.html#group4A0", "4A⁰"), =HYPERLINK("CSG0.html#group9A0", "9A⁰"), =HYPERLINK("CSG0.html#group12F0", "12F⁰"), =HYPERLINK("CSG4.html#group72C4", "72C⁴"), =HYPERLINK("CSG0.html#group18A0", "18A⁰"), =HYPERLINK("CSG1.html#group24B1", "24B¹"), =HYPERLINK("CSG0.html#group3A0", "3A⁰"), =HYPERLINK("CSG0.html#group1A0", "1A⁰"), =HYPERLINK("CSG2.html#group24G2", "24G²")</f>
        <v/>
      </c>
      <c r="N1847">
        <f>HYPERLINK("CSG23.html#group72G23", "72G²³"), =HYPERLINK("CSG21.html#group72P21", "72P²¹"), =HYPERLINK("CSG17.html#group72W17", "72W¹⁷"), =HYPERLINK("CSG20.html#group144G20", "144G²⁰")</f>
        <v/>
      </c>
    </row>
    <row r="1848">
      <c r="A1848" t="inlineStr">
        <is>
          <t>72I⁸</t>
        </is>
      </c>
      <c r="B1848" t="inlineStr"/>
      <c r="C1848" t="inlineStr">
        <is>
          <t>144</t>
        </is>
      </c>
      <c r="D1848" t="inlineStr">
        <is>
          <t>2</t>
        </is>
      </c>
      <c r="E1848" t="inlineStr">
        <is>
          <t>36</t>
        </is>
      </c>
      <c r="F1848" t="inlineStr">
        <is>
          <t>16</t>
        </is>
      </c>
      <c r="G1848" t="inlineStr">
        <is>
          <t>0</t>
        </is>
      </c>
      <c r="H1848" t="inlineStr">
        <is>
          <t>72²</t>
        </is>
      </c>
      <c r="I1848" t="n">
        <v>2</v>
      </c>
      <c r="J1848" t="inlineStr">
        <is>
          <t>8⁶, 24⁴</t>
        </is>
      </c>
      <c r="K1848">
        <f>HYPERLINK("CSG2.html#group24H2", "24H²"), =HYPERLINK("CSG2.html#group36D2", "36D²"), =HYPERLINK("CSG4.html#group72B4", "72B⁴"), =HYPERLINK("CSG4.html#group72D4", "72D⁴")</f>
        <v/>
      </c>
      <c r="L1848">
        <f>HYPERLINK("CSG17.html#group72W17", "72W¹⁷"), =HYPERLINK("CSG20.html#group144H20", "144H²⁰"), =HYPERLINK("CSG21.html#group72Q21", "72Q²¹"), =HYPERLINK("CSG23.html#group72G23", "72G²³")</f>
        <v/>
      </c>
      <c r="M1848">
        <f>HYPERLINK("CSG1.html#group36A1", "36A¹"), =HYPERLINK("CSG2.html#group36D2", "36D²"), =HYPERLINK("CSG0.html#group12A0", "12A⁰"), =HYPERLINK("CSG0.html#group6B0", "6B⁰"), =HYPERLINK("CSG4.html#group72B4", "72B⁴"), =HYPERLINK("CSG0.html#group4A0", "4A⁰"), =HYPERLINK("CSG0.html#group9A0", "9A⁰"), =HYPERLINK("CSG0.html#group12F0", "12F⁰"), =HYPERLINK("CSG1.html#group24B1", "24B¹"), =HYPERLINK("CSG4.html#group72D4", "72D⁴"), =HYPERLINK("CSG0.html#group3A0", "3A⁰"), =HYPERLINK("CSG0.html#group1A0", "1A⁰"), =HYPERLINK("CSG0.html#group18A0", "18A⁰"), =HYPERLINK("CSG2.html#group24H2", "24H²")</f>
        <v/>
      </c>
      <c r="N1848">
        <f>HYPERLINK("CSG20.html#group144H20", "144H²⁰"), =HYPERLINK("CSG21.html#group72Q21", "72Q²¹"), =HYPERLINK("CSG17.html#group72W17", "72W¹⁷"), =HYPERLINK("CSG23.html#group72G23", "72G²³")</f>
        <v/>
      </c>
    </row>
    <row r="1849">
      <c r="A1849" t="inlineStr">
        <is>
          <t>72J⁸</t>
        </is>
      </c>
      <c r="B1849" t="inlineStr"/>
      <c r="C1849" t="inlineStr">
        <is>
          <t>144</t>
        </is>
      </c>
      <c r="D1849" t="inlineStr">
        <is>
          <t>2</t>
        </is>
      </c>
      <c r="E1849" t="inlineStr">
        <is>
          <t>36</t>
        </is>
      </c>
      <c r="F1849" t="inlineStr">
        <is>
          <t>16</t>
        </is>
      </c>
      <c r="G1849" t="inlineStr">
        <is>
          <t>0</t>
        </is>
      </c>
      <c r="H1849" t="inlineStr">
        <is>
          <t>72²</t>
        </is>
      </c>
      <c r="I1849" t="n">
        <v>2</v>
      </c>
      <c r="J1849" t="inlineStr">
        <is>
          <t>8⁶, 24⁴</t>
        </is>
      </c>
      <c r="K1849">
        <f>HYPERLINK("CSG2.html#group24K2", "24K²"), =HYPERLINK("CSG2.html#group36D2", "36D²"), =HYPERLINK("CSG4.html#group72A4", "72A⁴"), =HYPERLINK("CSG4.html#group72C4", "72C⁴")</f>
        <v/>
      </c>
      <c r="L1849">
        <f>HYPERLINK("CSG17.html#group72W17", "72W¹⁷"), =HYPERLINK("CSG20.html#group144E20", "144E²⁰"), =HYPERLINK("CSG20.html#group144C20", "144C²⁰"), =HYPERLINK("CSG21.html#group72P21", "72P²¹"), =HYPERLINK("CSG23.html#group72H23", "72H²³")</f>
        <v/>
      </c>
      <c r="M1849">
        <f>HYPERLINK("CSG2.html#group36D2", "36D²"), =HYPERLINK("CSG0.html#group6B0", "6B⁰"), =HYPERLINK("CSG0.html#group12F0", "12F⁰"), =HYPERLINK("CSG4.html#group72C4", "72C⁴"), =HYPERLINK("CSG0.html#group8A0", "8A⁰"), =HYPERLINK("CSG1.html#group24B1", "24B¹"), =HYPERLINK("CSG0.html#group1A0", "1A⁰"), =HYPERLINK("CSG0.html#group18A0", "18A⁰"), =HYPERLINK("CSG4.html#group72A4", "72A⁴"), =HYPERLINK("CSG1.html#group36A1", "36A¹"), =HYPERLINK("CSG0.html#group12A0", "12A⁰"), =HYPERLINK("CSG2.html#group24K2", "24K²"), =HYPERLINK("CSG1.html#group24A1", "24A¹"), =HYPERLINK("CSG0.html#group4A0", "4A⁰"), =HYPERLINK("CSG0.html#group9A0", "9A⁰"), =HYPERLINK("CSG0.html#group3A0", "3A⁰")</f>
        <v/>
      </c>
      <c r="N1849">
        <f>HYPERLINK("CSG23.html#group72H23", "72H²³"), =HYPERLINK("CSG17.html#group72W17", "72W¹⁷"), =HYPERLINK("CSG20.html#group144C20", "144C²⁰"), =HYPERLINK("CSG20.html#group144E20", "144E²⁰"), =HYPERLINK("CSG21.html#group72P21", "72P²¹")</f>
        <v/>
      </c>
    </row>
    <row r="1850">
      <c r="A1850" t="inlineStr">
        <is>
          <t>72K⁸</t>
        </is>
      </c>
      <c r="B1850" t="inlineStr"/>
      <c r="C1850" t="inlineStr">
        <is>
          <t>144</t>
        </is>
      </c>
      <c r="D1850" t="inlineStr">
        <is>
          <t>2</t>
        </is>
      </c>
      <c r="E1850" t="inlineStr">
        <is>
          <t>36</t>
        </is>
      </c>
      <c r="F1850" t="inlineStr">
        <is>
          <t>16</t>
        </is>
      </c>
      <c r="G1850" t="inlineStr">
        <is>
          <t>0</t>
        </is>
      </c>
      <c r="H1850" t="inlineStr">
        <is>
          <t>72²</t>
        </is>
      </c>
      <c r="I1850" t="n">
        <v>2</v>
      </c>
      <c r="J1850" t="inlineStr">
        <is>
          <t>8⁶, 24⁴</t>
        </is>
      </c>
      <c r="K1850">
        <f>HYPERLINK("CSG2.html#group24K2", "24K²"), =HYPERLINK("CSG2.html#group36D2", "36D²"), =HYPERLINK("CSG4.html#group72A4", "72A⁴"), =HYPERLINK("CSG4.html#group72D4", "72D⁴")</f>
        <v/>
      </c>
      <c r="L1850">
        <f>HYPERLINK("CSG17.html#group72W17", "72W¹⁷"), =HYPERLINK("CSG20.html#group144F20", "144F²⁰"), =HYPERLINK("CSG20.html#group144D20", "144D²⁰"), =HYPERLINK("CSG21.html#group72Q21", "72Q²¹"), =HYPERLINK("CSG23.html#group72H23", "72H²³")</f>
        <v/>
      </c>
      <c r="M1850">
        <f>HYPERLINK("CSG2.html#group36D2", "36D²"), =HYPERLINK("CSG0.html#group6B0", "6B⁰"), =HYPERLINK("CSG0.html#group12F0", "12F⁰"), =HYPERLINK("CSG0.html#group8A0", "8A⁰"), =HYPERLINK("CSG1.html#group24B1", "24B¹"), =HYPERLINK("CSG4.html#group72D4", "72D⁴"), =HYPERLINK("CSG0.html#group1A0", "1A⁰"), =HYPERLINK("CSG0.html#group18A0", "18A⁰"), =HYPERLINK("CSG4.html#group72A4", "72A⁴"), =HYPERLINK("CSG1.html#group36A1", "36A¹"), =HYPERLINK("CSG0.html#group12A0", "12A⁰"), =HYPERLINK("CSG2.html#group24K2", "24K²"), =HYPERLINK("CSG1.html#group24A1", "24A¹"), =HYPERLINK("CSG0.html#group4A0", "4A⁰"), =HYPERLINK("CSG0.html#group9A0", "9A⁰"), =HYPERLINK("CSG0.html#group3A0", "3A⁰")</f>
        <v/>
      </c>
      <c r="N1850">
        <f>HYPERLINK("CSG20.html#group144D20", "144D²⁰"), =HYPERLINK("CSG23.html#group72H23", "72H²³"), =HYPERLINK("CSG21.html#group72Q21", "72Q²¹"), =HYPERLINK("CSG17.html#group72W17", "72W¹⁷"), =HYPERLINK("CSG20.html#group144F20", "144F²⁰")</f>
        <v/>
      </c>
    </row>
    <row r="1851">
      <c r="A1851" t="inlineStr">
        <is>
          <t>72L⁸</t>
        </is>
      </c>
      <c r="B1851" t="inlineStr"/>
      <c r="C1851" t="inlineStr">
        <is>
          <t>216</t>
        </is>
      </c>
      <c r="D1851" t="inlineStr">
        <is>
          <t>1</t>
        </is>
      </c>
      <c r="E1851" t="inlineStr">
        <is>
          <t>54</t>
        </is>
      </c>
      <c r="F1851" t="inlineStr">
        <is>
          <t>4</t>
        </is>
      </c>
      <c r="G1851" t="inlineStr">
        <is>
          <t>0</t>
        </is>
      </c>
      <c r="H1851" t="inlineStr">
        <is>
          <t>3¹², 9⁴, 24³, 72¹</t>
        </is>
      </c>
      <c r="I1851" t="n">
        <v>20</v>
      </c>
      <c r="J1851" t="inlineStr">
        <is>
          <t>2³, 4³, 6³, 12⁶</t>
        </is>
      </c>
      <c r="K1851">
        <f>HYPERLINK("CSG1.html#group24I1", "24I¹"), =HYPERLINK("CSG3.html#group36I3", "36I³")</f>
        <v/>
      </c>
      <c r="L1851">
        <f>HYPERLINK("CSG17.html#group72X17", "72X¹⁷"), =HYPERLINK("CSG23.html#group72I23", "72I²³")</f>
        <v/>
      </c>
      <c r="M1851">
        <f>HYPERLINK("CSG0.html#group12G0", "12G⁰"), =HYPERLINK("CSG1.html#group24I1", "24I¹"), =HYPERLINK("CSG1.html#group18I1", "18I¹"), =HYPERLINK("CSG0.html#group6G0", "6G⁰"), =HYPERLINK("CSG0.html#group3C0", "3C⁰"), =HYPERLINK("CSG0.html#group2B0", "2B⁰"), =HYPERLINK("CSG0.html#group12D0", "12D⁰"), =HYPERLINK("CSG3.html#group36I3", "36I³"), =HYPERLINK("CSG0.html#group9E0", "9E⁰"), =HYPERLINK("CSG0.html#group3A0", "3A⁰"), =HYPERLINK("CSG0.html#group1A0", "1A⁰"), =HYPERLINK("CSG0.html#group6D0", "6D⁰")</f>
        <v/>
      </c>
      <c r="N1851">
        <f>HYPERLINK("CSG23.html#group72I23", "72I²³"), =HYPERLINK("CSG17.html#group72X17", "72X¹⁷")</f>
        <v/>
      </c>
    </row>
    <row r="1852">
      <c r="A1852" t="inlineStr">
        <is>
          <t>72M⁸</t>
        </is>
      </c>
      <c r="B1852" t="inlineStr"/>
      <c r="C1852" t="inlineStr">
        <is>
          <t>216</t>
        </is>
      </c>
      <c r="D1852" t="inlineStr">
        <is>
          <t>1</t>
        </is>
      </c>
      <c r="E1852" t="inlineStr">
        <is>
          <t>54</t>
        </is>
      </c>
      <c r="F1852" t="inlineStr">
        <is>
          <t>4</t>
        </is>
      </c>
      <c r="G1852" t="inlineStr">
        <is>
          <t>0</t>
        </is>
      </c>
      <c r="H1852" t="inlineStr">
        <is>
          <t>3¹², 9⁴, 24³, 72¹</t>
        </is>
      </c>
      <c r="I1852" t="n">
        <v>20</v>
      </c>
      <c r="J1852" t="inlineStr">
        <is>
          <t>2³, 4³, 6³, 12⁶</t>
        </is>
      </c>
      <c r="K1852">
        <f>HYPERLINK("CSG1.html#group24I1", "24I¹"), =HYPERLINK("CSG3.html#group36I3", "36I³")</f>
        <v/>
      </c>
      <c r="L1852">
        <f>HYPERLINK("CSG17.html#group72X17", "72X¹⁷"), =HYPERLINK("CSG23.html#group72J23", "72J²³")</f>
        <v/>
      </c>
      <c r="M1852">
        <f>HYPERLINK("CSG0.html#group12G0", "12G⁰"), =HYPERLINK("CSG1.html#group24I1", "24I¹"), =HYPERLINK("CSG1.html#group18I1", "18I¹"), =HYPERLINK("CSG0.html#group6G0", "6G⁰"), =HYPERLINK("CSG0.html#group3C0", "3C⁰"), =HYPERLINK("CSG0.html#group2B0", "2B⁰"), =HYPERLINK("CSG0.html#group12D0", "12D⁰"), =HYPERLINK("CSG3.html#group36I3", "36I³"), =HYPERLINK("CSG0.html#group9E0", "9E⁰"), =HYPERLINK("CSG0.html#group3A0", "3A⁰"), =HYPERLINK("CSG0.html#group1A0", "1A⁰"), =HYPERLINK("CSG0.html#group6D0", "6D⁰")</f>
        <v/>
      </c>
      <c r="N1852">
        <f>HYPERLINK("CSG23.html#group72J23", "72J²³"), =HYPERLINK("CSG17.html#group72X17", "72X¹⁷")</f>
        <v/>
      </c>
    </row>
    <row r="1853">
      <c r="A1853" t="inlineStr">
        <is>
          <t>74A⁸</t>
        </is>
      </c>
      <c r="B1853" t="inlineStr">
        <is>
          <t>Γ₀(74)</t>
        </is>
      </c>
      <c r="C1853" t="inlineStr">
        <is>
          <t>114</t>
        </is>
      </c>
      <c r="D1853" t="inlineStr">
        <is>
          <t>1</t>
        </is>
      </c>
      <c r="E1853" t="inlineStr">
        <is>
          <t>114</t>
        </is>
      </c>
      <c r="F1853" t="inlineStr">
        <is>
          <t>2</t>
        </is>
      </c>
      <c r="G1853" t="inlineStr">
        <is>
          <t>0</t>
        </is>
      </c>
      <c r="H1853" t="inlineStr">
        <is>
          <t>1¹, 2¹, 37¹, 74¹</t>
        </is>
      </c>
      <c r="I1853" t="n">
        <v>4</v>
      </c>
      <c r="J1853" t="inlineStr">
        <is>
          <t>1⁶, 36³</t>
        </is>
      </c>
      <c r="K1853">
        <f>HYPERLINK("CSG0.html#group2B0", "2B⁰"), =HYPERLINK("CSG2.html#group37A2", "37A²")</f>
        <v/>
      </c>
      <c r="L1853">
        <f>HYPERLINK("CSG16.html#group74A16", "74A¹⁶"), =HYPERLINK("CSG16.html#group74B16", "74B¹⁶"), =HYPERLINK("CSG16.html#group148A16", "148A¹⁶"), =HYPERLINK("CSG17.html#group74A17", "74A¹⁷"), =HYPERLINK("CSG17.html#group148A17", "148A¹⁷"), =HYPERLINK("CSG17.html#group148B17", "148B¹⁷"), =HYPERLINK("CSG18.html#group148A18", "148A¹⁸"), =HYPERLINK("CSG22.html#group74A22", "74A²²")</f>
        <v/>
      </c>
      <c r="M1853">
        <f>HYPERLINK("CSG2.html#group37A2", "37A²"), =HYPERLINK("CSG0.html#group1A0", "1A⁰"), =HYPERLINK("CSG0.html#group2B0", "2B⁰")</f>
        <v/>
      </c>
      <c r="N1853">
        <f>HYPERLINK("CSG16.html#group148A16", "148A¹⁶"), =HYPERLINK("CSG22.html#group74A22", "74A²²"), =HYPERLINK("CSG16.html#group74B16", "74B¹⁶"), =HYPERLINK("CSG18.html#group148A18", "148A¹⁸"), =HYPERLINK("CSG17.html#group148A17", "148A¹⁷"), =HYPERLINK("CSG17.html#group74A17", "74A¹⁷"), =HYPERLINK("CSG16.html#group74A16", "74A¹⁶"), =HYPERLINK("CSG17.html#group148B17", "148B¹⁷")</f>
        <v/>
      </c>
    </row>
    <row r="1854">
      <c r="A1854" t="inlineStr">
        <is>
          <t>75A⁸</t>
        </is>
      </c>
      <c r="B1854" t="inlineStr"/>
      <c r="C1854" t="inlineStr">
        <is>
          <t>180</t>
        </is>
      </c>
      <c r="D1854" t="inlineStr">
        <is>
          <t>1</t>
        </is>
      </c>
      <c r="E1854" t="inlineStr">
        <is>
          <t>90</t>
        </is>
      </c>
      <c r="F1854" t="inlineStr">
        <is>
          <t>8</t>
        </is>
      </c>
      <c r="G1854" t="inlineStr">
        <is>
          <t>0</t>
        </is>
      </c>
      <c r="H1854" t="inlineStr">
        <is>
          <t>3¹⁰, 75²</t>
        </is>
      </c>
      <c r="I1854" t="n">
        <v>12</v>
      </c>
      <c r="J1854" t="inlineStr">
        <is>
          <t>1², 2², 4², 8², 20¹, 40¹</t>
        </is>
      </c>
      <c r="K1854">
        <f>HYPERLINK("CSG0.html#group15C0", "15C⁰"), =HYPERLINK("CSG4.html#group75A4", "75A⁴")</f>
        <v/>
      </c>
      <c r="L1854">
        <f>HYPERLINK("CSG17.html#group75E17", "75E¹⁷"), =HYPERLINK("CSG19.html#group75C19", "75C¹⁹"), =HYPERLINK("CSG21.html#group150A21", "150A²¹"), =HYPERLINK("CSG23.html#group150D23", "150D²³")</f>
        <v/>
      </c>
      <c r="M1854">
        <f>HYPERLINK("CSG0.html#group15B0", "15B⁰"), =HYPERLINK("CSG0.html#group5B0", "5B⁰"), =HYPERLINK("CSG0.html#group25A0", "25A⁰"), =HYPERLINK("CSG4.html#group75A4", "75A⁴"), =HYPERLINK("CSG0.html#group3A0", "3A⁰"), =HYPERLINK("CSG0.html#group1A0", "1A⁰"), =HYPERLINK("CSG0.html#group15C0", "15C⁰")</f>
        <v/>
      </c>
      <c r="N1854">
        <f>HYPERLINK("CSG21.html#group150A21", "150A²¹"), =HYPERLINK("CSG23.html#group150D23", "150D²³"), =HYPERLINK("CSG17.html#group75E17", "75E¹⁷"), =HYPERLINK("CSG19.html#group75C19", "75C¹⁹")</f>
        <v/>
      </c>
    </row>
    <row r="1855">
      <c r="A1855" t="inlineStr">
        <is>
          <t>76A⁸</t>
        </is>
      </c>
      <c r="B1855" t="inlineStr">
        <is>
          <t>Γ₀(76)</t>
        </is>
      </c>
      <c r="C1855" t="inlineStr">
        <is>
          <t>120</t>
        </is>
      </c>
      <c r="D1855" t="inlineStr">
        <is>
          <t>1</t>
        </is>
      </c>
      <c r="E1855" t="inlineStr">
        <is>
          <t>60</t>
        </is>
      </c>
      <c r="F1855" t="inlineStr">
        <is>
          <t>0</t>
        </is>
      </c>
      <c r="G1855" t="inlineStr">
        <is>
          <t>0</t>
        </is>
      </c>
      <c r="H1855" t="inlineStr">
        <is>
          <t>1², 4¹, 19², 76¹</t>
        </is>
      </c>
      <c r="I1855" t="n">
        <v>6</v>
      </c>
      <c r="J1855" t="inlineStr">
        <is>
          <t>1⁶, 18³</t>
        </is>
      </c>
      <c r="K1855">
        <f>HYPERLINK("CSG0.html#group4B0", "4B⁰"), =HYPERLINK("CSG4.html#group38A4", "38A⁴")</f>
        <v/>
      </c>
      <c r="L1855">
        <f>HYPERLINK("CSG16.html#group76C16", "76C¹⁶"), =HYPERLINK("CSG16.html#group152A16", "152A¹⁶"), =HYPERLINK("CSG17.html#group76A17", "76A¹⁷"), =HYPERLINK("CSG17.html#group152A17", "152A¹⁷"), =HYPERLINK("CSG18.html#group152A18", "152A¹⁸"), =HYPERLINK("CSG22.html#group76A22", "76A²²")</f>
        <v/>
      </c>
      <c r="M1855">
        <f>HYPERLINK("CSG1.html#group19A1", "19A¹"), =HYPERLINK("CSG0.html#group2B0", "2B⁰"), =HYPERLINK("CSG0.html#group4B0", "4B⁰"), =HYPERLINK("CSG0.html#group1A0", "1A⁰"), =HYPERLINK("CSG4.html#group38A4", "38A⁴")</f>
        <v/>
      </c>
      <c r="N1855">
        <f>HYPERLINK("CSG17.html#group152A17", "152A¹⁷"), =HYPERLINK("CSG16.html#group76C16", "76C¹⁶"), =HYPERLINK("CSG18.html#group152A18", "152A¹⁸"), =HYPERLINK("CSG16.html#group152A16", "152A¹⁶"), =HYPERLINK("CSG17.html#group76A17", "76A¹⁷"), =HYPERLINK("CSG22.html#group76A22", "76A²²")</f>
        <v/>
      </c>
    </row>
    <row r="1856">
      <c r="A1856" t="inlineStr">
        <is>
          <t>78A⁸</t>
        </is>
      </c>
      <c r="B1856" t="inlineStr"/>
      <c r="C1856" t="inlineStr">
        <is>
          <t>126</t>
        </is>
      </c>
      <c r="D1856" t="inlineStr">
        <is>
          <t>1</t>
        </is>
      </c>
      <c r="E1856" t="inlineStr">
        <is>
          <t>42</t>
        </is>
      </c>
      <c r="F1856" t="inlineStr">
        <is>
          <t>6</t>
        </is>
      </c>
      <c r="G1856" t="inlineStr">
        <is>
          <t>0</t>
        </is>
      </c>
      <c r="H1856" t="inlineStr">
        <is>
          <t>3¹, 6¹, 39¹, 78¹</t>
        </is>
      </c>
      <c r="I1856" t="n">
        <v>4</v>
      </c>
      <c r="J1856" t="inlineStr">
        <is>
          <t>1⁶, 12³</t>
        </is>
      </c>
      <c r="K1856">
        <f>HYPERLINK("CSG0.html#group6D0", "6D⁰"), =HYPERLINK("CSG2.html#group26A2", "26A²"), =HYPERLINK("CSG2.html#group39A2", "39A²")</f>
        <v/>
      </c>
      <c r="L1856">
        <f>HYPERLINK("CSG16.html#group78B16", "78B¹⁶"), =HYPERLINK("CSG16.html#group78C16", "78C¹⁶"), =HYPERLINK("CSG16.html#group156A16", "156A¹⁶"), =HYPERLINK("CSG17.html#group78A17", "78A¹⁷"), =HYPERLINK("CSG17.html#group78B17", "78B¹⁷"), =HYPERLINK("CSG17.html#group156B17", "156B¹⁷"), =HYPERLINK("CSG17.html#group156C17", "156C¹⁷"), =HYPERLINK("CSG18.html#group78A18", "78A¹⁸"), =HYPERLINK("CSG18.html#group78B18", "78B¹⁸"), =HYPERLINK("CSG18.html#group156A18", "156A¹⁸"), =HYPERLINK("CSG18.html#group156B18", "156B¹⁸"), =HYPERLINK("CSG19.html#group78B19", "78B¹⁹"), =HYPERLINK("CSG19.html#group156A19", "156A¹⁹"), =HYPERLINK("CSG19.html#group156B19", "156B¹⁹"), =HYPERLINK("CSG20.html#group156A20", "156A²⁰"), =HYPERLINK("CSG22.html#group78A22", "78A²²")</f>
        <v/>
      </c>
      <c r="M1856">
        <f>HYPERLINK("CSG2.html#group39A2", "39A²"), =HYPERLINK("CSG0.html#group13A0", "13A⁰"), =HYPERLINK("CSG0.html#group2B0", "2B⁰"), =HYPERLINK("CSG0.html#group3A0", "3A⁰"), =HYPERLINK("CSG0.html#group1A0", "1A⁰"), =HYPERLINK("CSG2.html#group26A2", "26A²"), =HYPERLINK("CSG0.html#group6D0", "6D⁰")</f>
        <v/>
      </c>
      <c r="N1856">
        <f>HYPERLINK("CSG16.html#group78B16", "78B¹⁶"), =HYPERLINK("CSG17.html#group156C17", "156C¹⁷"), =HYPERLINK("CSG19.html#group156A19", "156A¹⁹"), =HYPERLINK("CSG17.html#group156B17", "156B¹⁷"), =HYPERLINK("CSG18.html#group78A18", "78A¹⁸"), =HYPERLINK("CSG18.html#group156B18", "156B¹⁸"), =HYPERLINK("CSG20.html#group156A20", "156A²⁰"), =HYPERLINK("CSG17.html#group78B17", "78B¹⁷"), =HYPERLINK("CSG19.html#group78B19", "78B¹⁹"), =HYPERLINK("CSG22.html#group78A22", "78A²²"), =HYPERLINK("CSG16.html#group78C16", "78C¹⁶"), =HYPERLINK("CSG16.html#group156A16", "156A¹⁶"), =HYPERLINK("CSG18.html#group78B18", "78B¹⁸"), =HYPERLINK("CSG18.html#group156A18", "156A¹⁸"), =HYPERLINK("CSG17.html#group78A17", "78A¹⁷"), =HYPERLINK("CSG19.html#group156B19", "156B¹⁹")</f>
        <v/>
      </c>
    </row>
    <row r="1857">
      <c r="A1857" t="inlineStr">
        <is>
          <t>78B⁸</t>
        </is>
      </c>
      <c r="B1857" t="inlineStr"/>
      <c r="C1857" t="inlineStr">
        <is>
          <t>126</t>
        </is>
      </c>
      <c r="D1857" t="inlineStr">
        <is>
          <t>2</t>
        </is>
      </c>
      <c r="E1857" t="inlineStr">
        <is>
          <t>42</t>
        </is>
      </c>
      <c r="F1857" t="inlineStr">
        <is>
          <t>6</t>
        </is>
      </c>
      <c r="G1857" t="inlineStr">
        <is>
          <t>0</t>
        </is>
      </c>
      <c r="H1857" t="inlineStr">
        <is>
          <t>3¹, 6¹, 39¹, 78¹</t>
        </is>
      </c>
      <c r="I1857" t="n">
        <v>4</v>
      </c>
      <c r="J1857" t="inlineStr">
        <is>
          <t>2⁶, 24³</t>
        </is>
      </c>
      <c r="K1857">
        <f>HYPERLINK("CSG1.html#group39A1", "39A¹"), =HYPERLINK("CSG2.html#group26A2", "26A²")</f>
        <v/>
      </c>
      <c r="L1857">
        <f>HYPERLINK("CSG16.html#group78E16", "78E¹⁶"), =HYPERLINK("CSG16.html#group156B16", "156B¹⁶"), =HYPERLINK("CSG17.html#group156D17", "156D¹⁷"), =HYPERLINK("CSG18.html#group78C18", "78C¹⁸"), =HYPERLINK("CSG19.html#group78E19", "78E¹⁹"), =HYPERLINK("CSG19.html#group156C19", "156C¹⁹"), =HYPERLINK("CSG20.html#group156B20", "156B²⁰"), =HYPERLINK("CSG22.html#group78A22", "78A²²")</f>
        <v/>
      </c>
      <c r="M1857">
        <f>HYPERLINK("CSG0.html#group13A0", "13A⁰"), =HYPERLINK("CSG0.html#group2B0", "2B⁰"), =HYPERLINK("CSG1.html#group39A1", "39A¹"), =HYPERLINK("CSG0.html#group1A0", "1A⁰"), =HYPERLINK("CSG2.html#group26A2", "26A²")</f>
        <v/>
      </c>
      <c r="N1857">
        <f>HYPERLINK("CSG16.html#group78E16", "78E¹⁶"), =HYPERLINK("CSG22.html#group78A22", "78A²²"), =HYPERLINK("CSG19.html#group156C19", "156C¹⁹"), =HYPERLINK("CSG20.html#group156B20", "156B²⁰"), =HYPERLINK("CSG19.html#group78E19", "78E¹⁹"), =HYPERLINK("CSG17.html#group156D17", "156D¹⁷"), =HYPERLINK("CSG18.html#group78C18", "78C¹⁸"), =HYPERLINK("CSG16.html#group156B16", "156B¹⁶")</f>
        <v/>
      </c>
    </row>
    <row r="1858">
      <c r="A1858" t="inlineStr">
        <is>
          <t>80A⁸</t>
        </is>
      </c>
      <c r="B1858" t="inlineStr"/>
      <c r="C1858" t="inlineStr">
        <is>
          <t>120</t>
        </is>
      </c>
      <c r="D1858" t="inlineStr">
        <is>
          <t>1</t>
        </is>
      </c>
      <c r="E1858" t="inlineStr">
        <is>
          <t>15</t>
        </is>
      </c>
      <c r="F1858" t="inlineStr">
        <is>
          <t>8</t>
        </is>
      </c>
      <c r="G1858" t="inlineStr">
        <is>
          <t>0</t>
        </is>
      </c>
      <c r="H1858" t="inlineStr">
        <is>
          <t>40¹, 80¹</t>
        </is>
      </c>
      <c r="I1858" t="n">
        <v>2</v>
      </c>
      <c r="J1858" t="inlineStr">
        <is>
          <t>1³, 4³</t>
        </is>
      </c>
      <c r="K1858">
        <f>HYPERLINK("CSG0.html#group16B0", "16B⁰"), =HYPERLINK("CSG4.html#group40A4", "40A⁴")</f>
        <v/>
      </c>
      <c r="L1858">
        <f>HYPERLINK("CSG17.html#group80B17", "80B¹⁷"), =HYPERLINK("CSG17.html#group80J17", "80J¹⁷"), =HYPERLINK("CSG17.html#group160B17", "160B¹⁷"), =HYPERLINK("CSG19.html#group80B19", "80B¹⁹"), =HYPERLINK("CSG19.html#group160D19", "160D¹⁹"), =HYPERLINK("CSG22.html#group80B22", "80B²²"), =HYPERLINK("CSG24.html#group240B24", "240B²⁴"), =HYPERLINK("CSG24.html#group240C24", "240C²⁴")</f>
        <v/>
      </c>
      <c r="M1858">
        <f>HYPERLINK("CSG0.html#group16B0", "16B⁰"), =HYPERLINK("CSG0.html#group5A0", "5A⁰"), =HYPERLINK("CSG4.html#group40A4", "40A⁴"), =HYPERLINK("CSG1.html#group10B1", "10B¹"), =HYPERLINK("CSG2.html#group20B2", "20B²"), =HYPERLINK("CSG0.html#group4C0", "4C⁰"), =HYPERLINK("CSG0.html#group8B0", "8B⁰"), =HYPERLINK("CSG0.html#group2B0", "2B⁰"), =HYPERLINK("CSG0.html#group1A0", "1A⁰")</f>
        <v/>
      </c>
      <c r="N1858">
        <f>HYPERLINK("CSG19.html#group160D19", "160D¹⁹"), =HYPERLINK("CSG22.html#group80B22", "80B²²"), =HYPERLINK("CSG17.html#group160B17", "160B¹⁷"), =HYPERLINK("CSG24.html#group240C24", "240C²⁴"), =HYPERLINK("CSG17.html#group80B17", "80B¹⁷"), =HYPERLINK("CSG19.html#group80B19", "80B¹⁹"), =HYPERLINK("CSG24.html#group240B24", "240B²⁴"), =HYPERLINK("CSG17.html#group80J17", "80J¹⁷")</f>
        <v/>
      </c>
    </row>
    <row r="1859">
      <c r="A1859" t="inlineStr">
        <is>
          <t>80B⁸</t>
        </is>
      </c>
      <c r="B1859" t="inlineStr"/>
      <c r="C1859" t="inlineStr">
        <is>
          <t>120</t>
        </is>
      </c>
      <c r="D1859" t="inlineStr">
        <is>
          <t>1</t>
        </is>
      </c>
      <c r="E1859" t="inlineStr">
        <is>
          <t>30</t>
        </is>
      </c>
      <c r="F1859" t="inlineStr">
        <is>
          <t>0</t>
        </is>
      </c>
      <c r="G1859" t="inlineStr">
        <is>
          <t>0</t>
        </is>
      </c>
      <c r="H1859" t="inlineStr">
        <is>
          <t>5⁴, 20¹, 80¹</t>
        </is>
      </c>
      <c r="I1859" t="n">
        <v>6</v>
      </c>
      <c r="J1859" t="inlineStr">
        <is>
          <t>1⁴, 2¹, 4⁴, 8¹</t>
        </is>
      </c>
      <c r="K1859">
        <f>HYPERLINK("CSG0.html#group16C0", "16C⁰"), =HYPERLINK("CSG4.html#group40B4", "40B⁴")</f>
        <v/>
      </c>
      <c r="L1859">
        <f>HYPERLINK("CSG16.html#group80B16", "80B¹⁶"), =HYPERLINK("CSG16.html#group160A16", "160A¹⁶"), =HYPERLINK("CSG17.html#group80A17", "80A¹⁷"), =HYPERLINK("CSG17.html#group160A17", "160A¹⁷"), =HYPERLINK("CSG18.html#group160A18", "160A¹⁸"), =HYPERLINK("CSG22.html#group80C22", "80C²²")</f>
        <v/>
      </c>
      <c r="M1859">
        <f>HYPERLINK("CSG2.html#group20A2", "20A²"), =HYPERLINK("CSG0.html#group5A0", "5A⁰"), =HYPERLINK("CSG0.html#group16C0", "16C⁰"), =HYPERLINK("CSG1.html#group10B1", "10B¹"), =HYPERLINK("CSG0.html#group8C0", "8C⁰"), =HYPERLINK("CSG0.html#group2B0", "2B⁰"), =HYPERLINK("CSG0.html#group4B0", "4B⁰"), =HYPERLINK("CSG4.html#group40B4", "40B⁴"), =HYPERLINK("CSG0.html#group1A0", "1A⁰")</f>
        <v/>
      </c>
      <c r="N1859">
        <f>HYPERLINK("CSG22.html#group80C22", "80C²²"), =HYPERLINK("CSG16.html#group80B16", "80B¹⁶"), =HYPERLINK("CSG17.html#group160A17", "160A¹⁷"), =HYPERLINK("CSG18.html#group160A18", "160A¹⁸"), =HYPERLINK("CSG17.html#group80A17", "80A¹⁷"), =HYPERLINK("CSG16.html#group160A16", "160A¹⁶")</f>
        <v/>
      </c>
    </row>
    <row r="1860">
      <c r="A1860" t="inlineStr">
        <is>
          <t>80C⁸</t>
        </is>
      </c>
      <c r="B1860" t="inlineStr"/>
      <c r="C1860" t="inlineStr">
        <is>
          <t>120</t>
        </is>
      </c>
      <c r="D1860" t="inlineStr">
        <is>
          <t>1</t>
        </is>
      </c>
      <c r="E1860" t="inlineStr">
        <is>
          <t>60</t>
        </is>
      </c>
      <c r="F1860" t="inlineStr">
        <is>
          <t>0</t>
        </is>
      </c>
      <c r="G1860" t="inlineStr">
        <is>
          <t>0</t>
        </is>
      </c>
      <c r="H1860" t="inlineStr">
        <is>
          <t>5², 10³, 80¹</t>
        </is>
      </c>
      <c r="I1860" t="n">
        <v>6</v>
      </c>
      <c r="J1860" t="inlineStr">
        <is>
          <t>1⁴, 2², 4⁵, 8², 16¹</t>
        </is>
      </c>
      <c r="K1860">
        <f>HYPERLINK("CSG0.html#group16D0", "16D⁰"), =HYPERLINK("CSG4.html#group40B4", "40B⁴")</f>
        <v/>
      </c>
      <c r="L1860">
        <f>HYPERLINK("CSG16.html#group80A16", "80A¹⁶"), =HYPERLINK("CSG16.html#group80B16", "80B¹⁶"), =HYPERLINK("CSG17.html#group80C17", "80C¹⁷"), =HYPERLINK("CSG22.html#group80D22", "80D²²")</f>
        <v/>
      </c>
      <c r="M1860">
        <f>HYPERLINK("CSG2.html#group20A2", "20A²"), =HYPERLINK("CSG0.html#group5A0", "5A⁰"), =HYPERLINK("CSG1.html#group10B1", "10B¹"), =HYPERLINK("CSG0.html#group16D0", "16D⁰"), =HYPERLINK("CSG0.html#group8C0", "8C⁰"), =HYPERLINK("CSG0.html#group2B0", "2B⁰"), =HYPERLINK("CSG0.html#group4B0", "4B⁰"), =HYPERLINK("CSG4.html#group40B4", "40B⁴"), =HYPERLINK("CSG0.html#group1A0", "1A⁰")</f>
        <v/>
      </c>
      <c r="N1860">
        <f>HYPERLINK("CSG16.html#group80B16", "80B¹⁶"), =HYPERLINK("CSG17.html#group80C17", "80C¹⁷"), =HYPERLINK("CSG22.html#group80D22", "80D²²"), =HYPERLINK("CSG16.html#group80A16", "80A¹⁶")</f>
        <v/>
      </c>
    </row>
    <row r="1861">
      <c r="A1861" t="inlineStr">
        <is>
          <t>80D⁸</t>
        </is>
      </c>
      <c r="B1861" t="inlineStr"/>
      <c r="C1861" t="inlineStr">
        <is>
          <t>120</t>
        </is>
      </c>
      <c r="D1861" t="inlineStr">
        <is>
          <t>1</t>
        </is>
      </c>
      <c r="E1861" t="inlineStr">
        <is>
          <t>60</t>
        </is>
      </c>
      <c r="F1861" t="inlineStr">
        <is>
          <t>2</t>
        </is>
      </c>
      <c r="G1861" t="inlineStr">
        <is>
          <t>0</t>
        </is>
      </c>
      <c r="H1861" t="inlineStr">
        <is>
          <t>10⁴, 80¹</t>
        </is>
      </c>
      <c r="I1861" t="n">
        <v>5</v>
      </c>
      <c r="J1861" t="inlineStr">
        <is>
          <t>1², 2¹, 4⁴, 8¹, 16²</t>
        </is>
      </c>
      <c r="K1861">
        <f>HYPERLINK("CSG0.html#group16E0", "16E⁰"), =HYPERLINK("CSG4.html#group40C4", "40C⁴")</f>
        <v/>
      </c>
      <c r="L1861">
        <f>HYPERLINK("CSG16.html#group80A16", "80A¹⁶"), =HYPERLINK("CSG17.html#group80G17", "80G¹⁷"), =HYPERLINK("CSG17.html#group160C17", "160C¹⁷"), =HYPERLINK("CSG17.html#group160D17", "160D¹⁷"), =HYPERLINK("CSG18.html#group80B18", "80B¹⁸"), =HYPERLINK("CSG22.html#group80E22", "80E²²")</f>
        <v/>
      </c>
      <c r="M1861">
        <f>HYPERLINK("CSG4.html#group40C4", "40C⁴"), =HYPERLINK("CSG0.html#group16E0", "16E⁰"), =HYPERLINK("CSG0.html#group5A0", "5A⁰"), =HYPERLINK("CSG0.html#group8D0", "8D⁰"), =HYPERLINK("CSG1.html#group10B1", "10B¹"), =HYPERLINK("CSG2.html#group20B2", "20B²"), =HYPERLINK("CSG0.html#group4C0", "4C⁰"), =HYPERLINK("CSG0.html#group2B0", "2B⁰"), =HYPERLINK("CSG0.html#group1A0", "1A⁰")</f>
        <v/>
      </c>
      <c r="N1861">
        <f>HYPERLINK("CSG17.html#group160D17", "160D¹⁷"), =HYPERLINK("CSG17.html#group160C17", "160C¹⁷"), =HYPERLINK("CSG18.html#group80B18", "80B¹⁸"), =HYPERLINK("CSG17.html#group80G17", "80G¹⁷"), =HYPERLINK("CSG22.html#group80E22", "80E²²"), =HYPERLINK("CSG16.html#group80A16", "80A¹⁶")</f>
        <v/>
      </c>
    </row>
    <row r="1862">
      <c r="A1862" t="inlineStr">
        <is>
          <t>80E⁸</t>
        </is>
      </c>
      <c r="B1862" t="inlineStr"/>
      <c r="C1862" t="inlineStr">
        <is>
          <t>160</t>
        </is>
      </c>
      <c r="D1862" t="inlineStr">
        <is>
          <t>1</t>
        </is>
      </c>
      <c r="E1862" t="inlineStr">
        <is>
          <t>20</t>
        </is>
      </c>
      <c r="F1862" t="inlineStr">
        <is>
          <t>0</t>
        </is>
      </c>
      <c r="G1862" t="inlineStr">
        <is>
          <t>16</t>
        </is>
      </c>
      <c r="H1862" t="inlineStr">
        <is>
          <t>80²</t>
        </is>
      </c>
      <c r="I1862" t="n">
        <v>2</v>
      </c>
      <c r="J1862" t="inlineStr">
        <is>
          <t>2², 8²</t>
        </is>
      </c>
      <c r="K1862">
        <f>HYPERLINK("CSG0.html#group16F0", "16F⁰"), =HYPERLINK("CSG4.html#group40D4", "40D⁴"), =HYPERLINK("CSG4.html#group80A4", "80A⁴")</f>
        <v/>
      </c>
      <c r="L1862" t="inlineStr"/>
      <c r="M1862">
        <f>HYPERLINK("CSG0.html#group2A0", "2A⁰"), =HYPERLINK("CSG4.html#group40D4", "40D⁴"), =HYPERLINK("CSG0.html#group5A0", "5A⁰"), =HYPERLINK("CSG4.html#group80A4", "80A⁴"), =HYPERLINK("CSG0.html#group10A0", "10A⁰"), =HYPERLINK("CSG2.html#group20D2", "20D²"), =HYPERLINK("CSG0.html#group16A0", "16A⁰"), =HYPERLINK("CSG0.html#group4A0", "4A⁰"), =HYPERLINK("CSG0.html#group4D0", "4D⁰"), =HYPERLINK("CSG0.html#group16F0", "16F⁰"), =HYPERLINK("CSG0.html#group8A0", "8A⁰"), =HYPERLINK("CSG0.html#group8E0", "8E⁰"), =HYPERLINK("CSG1.html#group20A1", "20A¹"), =HYPERLINK("CSG0.html#group1A0", "1A⁰"), =HYPERLINK("CSG2.html#group40A2", "40A²")</f>
        <v/>
      </c>
      <c r="N1862" t="inlineStr"/>
    </row>
    <row r="1863">
      <c r="A1863" t="inlineStr">
        <is>
          <t>84A⁸</t>
        </is>
      </c>
      <c r="B1863" t="inlineStr"/>
      <c r="C1863" t="inlineStr">
        <is>
          <t>96</t>
        </is>
      </c>
      <c r="D1863" t="inlineStr">
        <is>
          <t>1</t>
        </is>
      </c>
      <c r="E1863" t="inlineStr">
        <is>
          <t>8</t>
        </is>
      </c>
      <c r="F1863" t="inlineStr">
        <is>
          <t>0</t>
        </is>
      </c>
      <c r="G1863" t="inlineStr">
        <is>
          <t>0</t>
        </is>
      </c>
      <c r="H1863" t="inlineStr">
        <is>
          <t>12¹, 84¹</t>
        </is>
      </c>
      <c r="I1863" t="n">
        <v>2</v>
      </c>
      <c r="J1863" t="inlineStr">
        <is>
          <t>1², 6¹</t>
        </is>
      </c>
      <c r="K1863">
        <f>HYPERLINK("CSG0.html#group28A0", "28A⁰"), =HYPERLINK("CSG4.html#group42B4", "42B⁴")</f>
        <v/>
      </c>
      <c r="L1863">
        <f>HYPERLINK("CSG15.html#group84B15", "84B¹⁵"), =HYPERLINK("CSG22.html#group84A22", "84A²²"), =HYPERLINK("CSG22.html#group84B22", "84B²²"), =HYPERLINK("CSG22.html#group84D22", "84D²²"), =HYPERLINK("CSG24.html#group252A24", "252A²⁴")</f>
        <v/>
      </c>
      <c r="M1863">
        <f>HYPERLINK("CSG0.html#group2A0", "2A⁰"), =HYPERLINK("CSG0.html#group28A0", "28A⁰"), =HYPERLINK("CSG4.html#group42B4", "42B⁴"), =HYPERLINK("CSG2.html#group21A2", "21A²"), =HYPERLINK("CSG0.html#group7B0", "7B⁰"), =HYPERLINK("CSG0.html#group14B0", "14B⁰"), =HYPERLINK("CSG1.html#group6A1", "6A¹"), =HYPERLINK("CSG0.html#group3A0", "3A⁰"), =HYPERLINK("CSG0.html#group1A0", "1A⁰")</f>
        <v/>
      </c>
      <c r="N1863">
        <f>HYPERLINK("CSG22.html#group84D22", "84D²²"), =HYPERLINK("CSG24.html#group252A24", "252A²⁴"), =HYPERLINK("CSG22.html#group84A22", "84A²²"), =HYPERLINK("CSG22.html#group84B22", "84B²²"), =HYPERLINK("CSG15.html#group84B15", "84B¹⁵")</f>
        <v/>
      </c>
    </row>
    <row r="1864">
      <c r="A1864" t="inlineStr">
        <is>
          <t>84B⁸</t>
        </is>
      </c>
      <c r="B1864" t="inlineStr"/>
      <c r="C1864" t="inlineStr">
        <is>
          <t>96</t>
        </is>
      </c>
      <c r="D1864" t="inlineStr">
        <is>
          <t>1</t>
        </is>
      </c>
      <c r="E1864" t="inlineStr">
        <is>
          <t>24</t>
        </is>
      </c>
      <c r="F1864" t="inlineStr">
        <is>
          <t>0</t>
        </is>
      </c>
      <c r="G1864" t="inlineStr">
        <is>
          <t>0</t>
        </is>
      </c>
      <c r="H1864" t="inlineStr">
        <is>
          <t>12¹, 84¹</t>
        </is>
      </c>
      <c r="I1864" t="n">
        <v>2</v>
      </c>
      <c r="J1864" t="inlineStr">
        <is>
          <t>1², 2², 6¹, 12¹</t>
        </is>
      </c>
      <c r="K1864">
        <f>HYPERLINK("CSG4.html#group42B4", "42B⁴")</f>
        <v/>
      </c>
      <c r="L1864">
        <f>HYPERLINK("CSG15.html#group84A15", "84A¹⁵"), =HYPERLINK("CSG15.html#group84B15", "84B¹⁵"), =HYPERLINK("CSG22.html#group84F22", "84F²²"), =HYPERLINK("CSG22.html#group84E22", "84E²²"), =HYPERLINK("CSG22.html#group84H22", "84H²²"), =HYPERLINK("CSG24.html#group252B24", "252B²⁴"), =HYPERLINK("CSG24.html#group252D24", "252D²⁴")</f>
        <v/>
      </c>
      <c r="M1864">
        <f>HYPERLINK("CSG0.html#group2A0", "2A⁰"), =HYPERLINK("CSG2.html#group21A2", "21A²"), =HYPERLINK("CSG4.html#group42B4", "42B⁴"), =HYPERLINK("CSG0.html#group7B0", "7B⁰"), =HYPERLINK("CSG0.html#group14B0", "14B⁰"), =HYPERLINK("CSG1.html#group6A1", "6A¹"), =HYPERLINK("CSG0.html#group3A0", "3A⁰"), =HYPERLINK("CSG0.html#group1A0", "1A⁰")</f>
        <v/>
      </c>
      <c r="N1864">
        <f>HYPERLINK("CSG22.html#group84E22", "84E²²"), =HYPERLINK("CSG24.html#group252B24", "252B²⁴"), =HYPERLINK("CSG22.html#group84F22", "84F²²"), =HYPERLINK("CSG24.html#group252D24", "252D²⁴"), =HYPERLINK("CSG22.html#group84H22", "84H²²"), =HYPERLINK("CSG15.html#group84B15", "84B¹⁵"), =HYPERLINK("CSG15.html#group84A15", "84A¹⁵")</f>
        <v/>
      </c>
    </row>
    <row r="1865">
      <c r="A1865" t="inlineStr">
        <is>
          <t>84C⁸</t>
        </is>
      </c>
      <c r="B1865" t="inlineStr"/>
      <c r="C1865" t="inlineStr">
        <is>
          <t>96</t>
        </is>
      </c>
      <c r="D1865" t="inlineStr">
        <is>
          <t>1</t>
        </is>
      </c>
      <c r="E1865" t="inlineStr">
        <is>
          <t>32</t>
        </is>
      </c>
      <c r="F1865" t="inlineStr">
        <is>
          <t>0</t>
        </is>
      </c>
      <c r="G1865" t="inlineStr">
        <is>
          <t>0</t>
        </is>
      </c>
      <c r="H1865" t="inlineStr">
        <is>
          <t>12¹, 84¹</t>
        </is>
      </c>
      <c r="I1865" t="n">
        <v>2</v>
      </c>
      <c r="J1865" t="inlineStr">
        <is>
          <t>2⁴, 12²</t>
        </is>
      </c>
      <c r="K1865">
        <f>HYPERLINK("CSG0.html#group12A0", "12A⁰"), =HYPERLINK("CSG2.html#group21A2", "21A²"), =HYPERLINK("CSG2.html#group28A2", "28A²")</f>
        <v/>
      </c>
      <c r="L1865">
        <f>HYPERLINK("CSG15.html#group84C15", "84C¹⁵"), =HYPERLINK("CSG15.html#group84E15", "84E¹⁵"), =HYPERLINK("CSG15.html#group84F15", "84F¹⁵"), =HYPERLINK("CSG16.html#group168A16", "168A¹⁶"), =HYPERLINK("CSG16.html#group168B16", "168B¹⁶"), =HYPERLINK("CSG22.html#group84G22", "84G²²"), =HYPERLINK("CSG22.html#group84I22", "84I²²"), =HYPERLINK("CSG24.html#group252C24", "252C²⁴")</f>
        <v/>
      </c>
      <c r="M1865">
        <f>HYPERLINK("CSG0.html#group12A0", "12A⁰"), =HYPERLINK("CSG2.html#group21A2", "21A²"), =HYPERLINK("CSG0.html#group4A0", "4A⁰"), =HYPERLINK("CSG0.html#group7B0", "7B⁰"), =HYPERLINK("CSG0.html#group3A0", "3A⁰"), =HYPERLINK("CSG0.html#group1A0", "1A⁰"), =HYPERLINK("CSG2.html#group28A2", "28A²")</f>
        <v/>
      </c>
      <c r="N1865">
        <f>HYPERLINK("CSG15.html#group84C15", "84C¹⁵"), =HYPERLINK("CSG15.html#group84E15", "84E¹⁵"), =HYPERLINK("CSG22.html#group84I22", "84I²²"), =HYPERLINK("CSG16.html#group168B16", "168B¹⁶"), =HYPERLINK("CSG24.html#group252C24", "252C²⁴"), =HYPERLINK("CSG16.html#group168A16", "168A¹⁶"), =HYPERLINK("CSG22.html#group84G22", "84G²²"), =HYPERLINK("CSG15.html#group84F15", "84F¹⁵")</f>
        <v/>
      </c>
    </row>
    <row r="1866">
      <c r="A1866" t="inlineStr">
        <is>
          <t>84D⁸</t>
        </is>
      </c>
      <c r="B1866" t="inlineStr"/>
      <c r="C1866" t="inlineStr">
        <is>
          <t>112</t>
        </is>
      </c>
      <c r="D1866" t="inlineStr">
        <is>
          <t>2</t>
        </is>
      </c>
      <c r="E1866" t="inlineStr">
        <is>
          <t>28</t>
        </is>
      </c>
      <c r="F1866" t="inlineStr">
        <is>
          <t>0</t>
        </is>
      </c>
      <c r="G1866" t="inlineStr">
        <is>
          <t>4</t>
        </is>
      </c>
      <c r="H1866" t="inlineStr">
        <is>
          <t>28¹, 84¹</t>
        </is>
      </c>
      <c r="I1866" t="n">
        <v>2</v>
      </c>
      <c r="J1866" t="inlineStr">
        <is>
          <t>2², 4¹, 6⁴, 12²</t>
        </is>
      </c>
      <c r="K1866">
        <f>HYPERLINK("CSG4.html#group42E4", "42E⁴")</f>
        <v/>
      </c>
      <c r="L1866">
        <f>HYPERLINK("CSG15.html#group84G15", "84G¹⁵"), =HYPERLINK("CSG24.html#group252E24", "252E²⁴")</f>
        <v/>
      </c>
      <c r="M1866">
        <f>HYPERLINK("CSG0.html#group3B0", "3B⁰"), =HYPERLINK("CSG0.html#group2A0", "2A⁰"), =HYPERLINK("CSG2.html#group21B2", "21B²"), =HYPERLINK("CSG4.html#group42E4", "42E⁴"), =HYPERLINK("CSG0.html#group6C0", "6C⁰"), =HYPERLINK("CSG1.html#group14A1", "14A¹"), =HYPERLINK("CSG0.html#group1A0", "1A⁰"), =HYPERLINK("CSG0.html#group7A0", "7A⁰")</f>
        <v/>
      </c>
      <c r="N1866">
        <f>HYPERLINK("CSG24.html#group252E24", "252E²⁴"), =HYPERLINK("CSG15.html#group84G15", "84G¹⁵")</f>
        <v/>
      </c>
    </row>
    <row r="1867">
      <c r="A1867" t="inlineStr">
        <is>
          <t>84E⁸</t>
        </is>
      </c>
      <c r="B1867" t="inlineStr"/>
      <c r="C1867" t="inlineStr">
        <is>
          <t>112</t>
        </is>
      </c>
      <c r="D1867" t="inlineStr">
        <is>
          <t>2</t>
        </is>
      </c>
      <c r="E1867" t="inlineStr">
        <is>
          <t>28</t>
        </is>
      </c>
      <c r="F1867" t="inlineStr">
        <is>
          <t>0</t>
        </is>
      </c>
      <c r="G1867" t="inlineStr">
        <is>
          <t>4</t>
        </is>
      </c>
      <c r="H1867" t="inlineStr">
        <is>
          <t>28¹, 84¹</t>
        </is>
      </c>
      <c r="I1867" t="n">
        <v>2</v>
      </c>
      <c r="J1867" t="inlineStr">
        <is>
          <t>2², 4¹, 6⁴, 12²</t>
        </is>
      </c>
      <c r="K1867">
        <f>HYPERLINK("CSG0.html#group12B0", "12B⁰"), =HYPERLINK("CSG4.html#group42E4", "42E⁴")</f>
        <v/>
      </c>
      <c r="L1867">
        <f>HYPERLINK("CSG15.html#group84G15", "84G¹⁵"), =HYPERLINK("CSG24.html#group252F24", "252F²⁴")</f>
        <v/>
      </c>
      <c r="M1867">
        <f>HYPERLINK("CSG0.html#group3B0", "3B⁰"), =HYPERLINK("CSG0.html#group2A0", "2A⁰"), =HYPERLINK("CSG2.html#group21B2", "21B²"), =HYPERLINK("CSG4.html#group42E4", "42E⁴"), =HYPERLINK("CSG0.html#group6C0", "6C⁰"), =HYPERLINK("CSG1.html#group14A1", "14A¹"), =HYPERLINK("CSG0.html#group1A0", "1A⁰"), =HYPERLINK("CSG0.html#group7A0", "7A⁰"), =HYPERLINK("CSG0.html#group12B0", "12B⁰")</f>
        <v/>
      </c>
      <c r="N1867">
        <f>HYPERLINK("CSG24.html#group252F24", "252F²⁴"), =HYPERLINK("CSG15.html#group84G15", "84G¹⁵")</f>
        <v/>
      </c>
    </row>
    <row r="1868">
      <c r="A1868" t="inlineStr">
        <is>
          <t>84F⁸</t>
        </is>
      </c>
      <c r="B1868" t="inlineStr"/>
      <c r="C1868" t="inlineStr">
        <is>
          <t>126</t>
        </is>
      </c>
      <c r="D1868" t="inlineStr">
        <is>
          <t>2</t>
        </is>
      </c>
      <c r="E1868" t="inlineStr">
        <is>
          <t>63</t>
        </is>
      </c>
      <c r="F1868" t="inlineStr">
        <is>
          <t>8</t>
        </is>
      </c>
      <c r="G1868" t="inlineStr">
        <is>
          <t>0</t>
        </is>
      </c>
      <c r="H1868" t="inlineStr">
        <is>
          <t>21², 84¹</t>
        </is>
      </c>
      <c r="I1868" t="n">
        <v>3</v>
      </c>
      <c r="J1868" t="inlineStr">
        <is>
          <t>2³, 4³, 6⁶, 12⁶</t>
        </is>
      </c>
      <c r="K1868">
        <f>HYPERLINK("CSG3.html#group42C3", "42C³")</f>
        <v/>
      </c>
      <c r="L1868">
        <f>HYPERLINK("CSG16.html#group84D16", "84D¹⁶"), =HYPERLINK("CSG16.html#group84E16", "84E¹⁶"), =HYPERLINK("CSG16.html#group84F16", "84F¹⁶"), =HYPERLINK("CSG17.html#group84F17", "84F¹⁷"), =HYPERLINK("CSG17.html#group84G17", "84G¹⁷"), =HYPERLINK("CSG17.html#group84I17", "84I¹⁷"), =HYPERLINK("CSG17.html#group84J17", "84J¹⁷"), =HYPERLINK("CSG18.html#group84A18", "84A¹⁸"), =HYPERLINK("CSG18.html#group84C18", "84C¹⁸"), =HYPERLINK("CSG18.html#group84D18", "84D¹⁸"), =HYPERLINK("CSG19.html#group84C19", "84C¹⁹"), =HYPERLINK("CSG19.html#group84H19", "84H¹⁹"), =HYPERLINK("CSG19.html#group84I19", "84I¹⁹"), =HYPERLINK("CSG20.html#group84F20", "84F²⁰"), =HYPERLINK("CSG24.html#group84E24", "84E²⁴")</f>
        <v/>
      </c>
      <c r="M1868">
        <f>HYPERLINK("CSG1.html#group14B1", "14B¹"), =HYPERLINK("CSG0.html#group21A0", "21A⁰"), =HYPERLINK("CSG0.html#group2B0", "2B⁰"), =HYPERLINK("CSG0.html#group3A0", "3A⁰"), =HYPERLINK("CSG0.html#group1A0", "1A⁰"), =HYPERLINK("CSG3.html#group42C3", "42C³"), =HYPERLINK("CSG0.html#group6D0", "6D⁰"), =HYPERLINK("CSG0.html#group7A0", "7A⁰")</f>
        <v/>
      </c>
      <c r="N1868">
        <f>HYPERLINK("CSG17.html#group84J17", "84J¹⁷"), =HYPERLINK("CSG17.html#group84F17", "84F¹⁷"), =HYPERLINK("CSG18.html#group84D18", "84D¹⁸"), =HYPERLINK("CSG16.html#group84E16", "84E¹⁶"), =HYPERLINK("CSG16.html#group84F16", "84F¹⁶"), =HYPERLINK("CSG19.html#group84C19", "84C¹⁹"), =HYPERLINK("CSG24.html#group84E24", "84E²⁴"), =HYPERLINK("CSG17.html#group84G17", "84G¹⁷"), =HYPERLINK("CSG18.html#group84C18", "84C¹⁸"), =HYPERLINK("CSG18.html#group84A18", "84A¹⁸"), =HYPERLINK("CSG19.html#group84I19", "84I¹⁹"), =HYPERLINK("CSG19.html#group84H19", "84H¹⁹"), =HYPERLINK("CSG16.html#group84D16", "84D¹⁶"), =HYPERLINK("CSG17.html#group84I17", "84I¹⁷"), =HYPERLINK("CSG20.html#group84F20", "84F²⁰")</f>
        <v/>
      </c>
    </row>
    <row r="1869">
      <c r="A1869" t="inlineStr">
        <is>
          <t>84G⁸</t>
        </is>
      </c>
      <c r="B1869" t="inlineStr"/>
      <c r="C1869" t="inlineStr">
        <is>
          <t>126</t>
        </is>
      </c>
      <c r="D1869" t="inlineStr">
        <is>
          <t>2</t>
        </is>
      </c>
      <c r="E1869" t="inlineStr">
        <is>
          <t>63</t>
        </is>
      </c>
      <c r="F1869" t="inlineStr">
        <is>
          <t>10</t>
        </is>
      </c>
      <c r="G1869" t="inlineStr">
        <is>
          <t>0</t>
        </is>
      </c>
      <c r="H1869" t="inlineStr">
        <is>
          <t>42¹, 84¹</t>
        </is>
      </c>
      <c r="I1869" t="n">
        <v>2</v>
      </c>
      <c r="J1869" t="inlineStr">
        <is>
          <t>2³, 4³, 6⁶, 12⁶</t>
        </is>
      </c>
      <c r="K1869">
        <f>HYPERLINK("CSG3.html#group42C3", "42C³")</f>
        <v/>
      </c>
      <c r="L1869">
        <f>HYPERLINK("CSG15.html#group84I15", "84I¹⁵"), =HYPERLINK("CSG16.html#group84G16", "84G¹⁶"), =HYPERLINK("CSG16.html#group84H16", "84H¹⁶"), =HYPERLINK("CSG17.html#group84I17", "84I¹⁷"), =HYPERLINK("CSG17.html#group84J17", "84J¹⁷"), =HYPERLINK("CSG17.html#group84K17", "84K¹⁷"), =HYPERLINK("CSG17.html#group84L17", "84L¹⁷"), =HYPERLINK("CSG18.html#group84B18", "84B¹⁸"), =HYPERLINK("CSG18.html#group84G18", "84G¹⁸"), =HYPERLINK("CSG18.html#group84H18", "84H¹⁸"), =HYPERLINK("CSG19.html#group84F19", "84F¹⁹"), =HYPERLINK("CSG19.html#group84G19", "84G¹⁹"), =HYPERLINK("CSG20.html#group84E20", "84E²⁰"), =HYPERLINK("CSG20.html#group84F20", "84F²⁰")</f>
        <v/>
      </c>
      <c r="M1869">
        <f>HYPERLINK("CSG1.html#group14B1", "14B¹"), =HYPERLINK("CSG0.html#group21A0", "21A⁰"), =HYPERLINK("CSG0.html#group2B0", "2B⁰"), =HYPERLINK("CSG0.html#group3A0", "3A⁰"), =HYPERLINK("CSG0.html#group1A0", "1A⁰"), =HYPERLINK("CSG3.html#group42C3", "42C³"), =HYPERLINK("CSG0.html#group6D0", "6D⁰"), =HYPERLINK("CSG0.html#group7A0", "7A⁰")</f>
        <v/>
      </c>
      <c r="N1869">
        <f>HYPERLINK("CSG17.html#group84L17", "84L¹⁷"), =HYPERLINK("CSG18.html#group84B18", "84B¹⁸"), =HYPERLINK("CSG18.html#group84G18", "84G¹⁸"), =HYPERLINK("CSG17.html#group84J17", "84J¹⁷"), =HYPERLINK("CSG17.html#group84K17", "84K¹⁷"), =HYPERLINK("CSG16.html#group84G16", "84G¹⁶"), =HYPERLINK("CSG16.html#group84H16", "84H¹⁶"), =HYPERLINK("CSG15.html#group84I15", "84I¹⁵"), =HYPERLINK("CSG19.html#group84F19", "84F¹⁹"), =HYPERLINK("CSG19.html#group84G19", "84G¹⁹"), =HYPERLINK("CSG20.html#group84F20", "84F²⁰"), =HYPERLINK("CSG20.html#group84E20", "84E²⁰"), =HYPERLINK("CSG17.html#group84I17", "84I¹⁷"), =HYPERLINK("CSG18.html#group84H18", "84H¹⁸")</f>
        <v/>
      </c>
    </row>
    <row r="1870">
      <c r="A1870" t="inlineStr">
        <is>
          <t>84H⁸</t>
        </is>
      </c>
      <c r="B1870" t="inlineStr"/>
      <c r="C1870" t="inlineStr">
        <is>
          <t>168</t>
        </is>
      </c>
      <c r="D1870" t="inlineStr">
        <is>
          <t>2</t>
        </is>
      </c>
      <c r="E1870" t="inlineStr">
        <is>
          <t>28</t>
        </is>
      </c>
      <c r="F1870" t="inlineStr">
        <is>
          <t>24</t>
        </is>
      </c>
      <c r="G1870" t="inlineStr">
        <is>
          <t>0</t>
        </is>
      </c>
      <c r="H1870" t="inlineStr">
        <is>
          <t>84²</t>
        </is>
      </c>
      <c r="I1870" t="n">
        <v>2</v>
      </c>
      <c r="J1870" t="inlineStr">
        <is>
          <t>4², 12⁴</t>
        </is>
      </c>
      <c r="K1870">
        <f>HYPERLINK("CSG1.html#group42A1", "42A¹"), =HYPERLINK("CSG2.html#group28E2", "28E²"), =HYPERLINK("CSG3.html#group84A3", "84A³")</f>
        <v/>
      </c>
      <c r="L1870">
        <f>HYPERLINK("CSG19.html#group84L19", "84L¹⁹"), =HYPERLINK("CSG22.html#group168G22", "168G²²"), =HYPERLINK("CSG22.html#group168H22", "168H²²"), =HYPERLINK("CSG22.html#group168J22", "168J²²"), =HYPERLINK("CSG22.html#group168I22", "168I²²"), =HYPERLINK("CSG23.html#group84D23", "84D²³")</f>
        <v/>
      </c>
      <c r="M1870">
        <f>HYPERLINK("CSG2.html#group28E2", "28E²"), =HYPERLINK("CSG0.html#group14A0", "14A⁰"), =HYPERLINK("CSG3.html#group84A3", "84A³"), =HYPERLINK("CSG0.html#group12A0", "12A⁰"), =HYPERLINK("CSG1.html#group42A1", "42A¹"), =HYPERLINK("CSG0.html#group4A0", "4A⁰"), =HYPERLINK("CSG0.html#group21A0", "21A⁰"), =HYPERLINK("CSG0.html#group3A0", "3A⁰"), =HYPERLINK("CSG1.html#group28A1", "28A¹"), =HYPERLINK("CSG0.html#group1A0", "1A⁰"), =HYPERLINK("CSG0.html#group7A0", "7A⁰")</f>
        <v/>
      </c>
      <c r="N1870">
        <f>HYPERLINK("CSG22.html#group168I22", "168I²²"), =HYPERLINK("CSG22.html#group168G22", "168G²²"), =HYPERLINK("CSG19.html#group84L19", "84L¹⁹"), =HYPERLINK("CSG23.html#group84D23", "84D²³"), =HYPERLINK("CSG22.html#group168J22", "168J²²"), =HYPERLINK("CSG22.html#group168H22", "168H²²")</f>
        <v/>
      </c>
    </row>
    <row r="1871">
      <c r="A1871" t="inlineStr">
        <is>
          <t>84I⁸</t>
        </is>
      </c>
      <c r="B1871" t="inlineStr"/>
      <c r="C1871" t="inlineStr">
        <is>
          <t>168</t>
        </is>
      </c>
      <c r="D1871" t="inlineStr">
        <is>
          <t>2</t>
        </is>
      </c>
      <c r="E1871" t="inlineStr">
        <is>
          <t>84</t>
        </is>
      </c>
      <c r="F1871" t="inlineStr">
        <is>
          <t>24</t>
        </is>
      </c>
      <c r="G1871" t="inlineStr">
        <is>
          <t>0</t>
        </is>
      </c>
      <c r="H1871" t="inlineStr">
        <is>
          <t>84²</t>
        </is>
      </c>
      <c r="I1871" t="n">
        <v>2</v>
      </c>
      <c r="J1871" t="inlineStr">
        <is>
          <t>4², 8², 12⁴, 24⁴</t>
        </is>
      </c>
      <c r="K1871">
        <f>HYPERLINK("CSG0.html#group12F0", "12F⁰"), =HYPERLINK("CSG1.html#group42B1", "42B¹"), =HYPERLINK("CSG3.html#group84A3", "84A³")</f>
        <v/>
      </c>
      <c r="L1871">
        <f>HYPERLINK("CSG19.html#group84L19", "84L¹⁹"), =HYPERLINK("CSG21.html#group84N21", "84N²¹"), =HYPERLINK("CSG21.html#group84O21", "84O²¹"), =HYPERLINK("CSG21.html#group84P21", "84P²¹"), =HYPERLINK("CSG22.html#group168K22", "168K²²"), =HYPERLINK("CSG22.html#group168L22", "168L²²"), =HYPERLINK("CSG22.html#group168M22", "168M²²"), =HYPERLINK("CSG22.html#group168N22", "168N²²"), =HYPERLINK("CSG22.html#group168O22", "168O²²"), =HYPERLINK("CSG22.html#group168P22", "168P²²"), =HYPERLINK("CSG22.html#group168Q22", "168Q²²"), =HYPERLINK("CSG22.html#group168R22", "168R²²"), =HYPERLINK("CSG23.html#group84E23", "84E²³")</f>
        <v/>
      </c>
      <c r="M1871">
        <f>HYPERLINK("CSG3.html#group84A3", "84A³"), =HYPERLINK("CSG0.html#group12A0", "12A⁰"), =HYPERLINK("CSG0.html#group6B0", "6B⁰"), =HYPERLINK("CSG0.html#group4A0", "4A⁰"), =HYPERLINK("CSG0.html#group12F0", "12F⁰"), =HYPERLINK("CSG0.html#group21A0", "21A⁰"), =HYPERLINK("CSG1.html#group42B1", "42B¹"), =HYPERLINK("CSG0.html#group3A0", "3A⁰"), =HYPERLINK("CSG1.html#group28A1", "28A¹"), =HYPERLINK("CSG0.html#group1A0", "1A⁰"), =HYPERLINK("CSG0.html#group7A0", "7A⁰")</f>
        <v/>
      </c>
      <c r="N1871">
        <f>HYPERLINK("CSG22.html#group168M22", "168M²²"), =HYPERLINK("CSG21.html#group84N21", "84N²¹"), =HYPERLINK("CSG21.html#group84P21", "84P²¹"), =HYPERLINK("CSG22.html#group168K22", "168K²²"), =HYPERLINK("CSG22.html#group168L22", "168L²²"), =HYPERLINK("CSG22.html#group168N22", "168N²²"), =HYPERLINK("CSG22.html#group168P22", "168P²²"), =HYPERLINK("CSG21.html#group84O21", "84O²¹"), =HYPERLINK("CSG23.html#group84E23", "84E²³"), =HYPERLINK("CSG22.html#group168O22", "168O²²"), =HYPERLINK("CSG19.html#group84L19", "84L¹⁹"), =HYPERLINK("CSG22.html#group168Q22", "168Q²²"), =HYPERLINK("CSG22.html#group168R22", "168R²²")</f>
        <v/>
      </c>
    </row>
    <row r="1872">
      <c r="A1872" t="inlineStr">
        <is>
          <t>88A⁸</t>
        </is>
      </c>
      <c r="B1872" t="inlineStr"/>
      <c r="C1872" t="inlineStr">
        <is>
          <t>96</t>
        </is>
      </c>
      <c r="D1872" t="inlineStr">
        <is>
          <t>2</t>
        </is>
      </c>
      <c r="E1872" t="inlineStr">
        <is>
          <t>48</t>
        </is>
      </c>
      <c r="F1872" t="inlineStr">
        <is>
          <t>0</t>
        </is>
      </c>
      <c r="G1872" t="inlineStr">
        <is>
          <t>0</t>
        </is>
      </c>
      <c r="H1872" t="inlineStr">
        <is>
          <t>8¹, 88¹</t>
        </is>
      </c>
      <c r="I1872" t="n">
        <v>2</v>
      </c>
      <c r="J1872" t="inlineStr">
        <is>
          <t>4⁴, 40²</t>
        </is>
      </c>
      <c r="K1872">
        <f>HYPERLINK("CSG0.html#group8A0", "8A⁰"), =HYPERLINK("CSG4.html#group44B4", "44B⁴")</f>
        <v/>
      </c>
      <c r="L1872">
        <f>HYPERLINK("CSG15.html#group88B15", "88B¹⁵"), =HYPERLINK("CSG16.html#group176A16", "176A¹⁶"), =HYPERLINK("CSG22.html#group88A22", "88A²²"), =HYPERLINK("CSG24.html#group264A24", "264A²⁴")</f>
        <v/>
      </c>
      <c r="M1872">
        <f>HYPERLINK("CSG0.html#group8A0", "8A⁰"), =HYPERLINK("CSG0.html#group1A0", "1A⁰"), =HYPERLINK("CSG0.html#group4A0", "4A⁰"), =HYPERLINK("CSG4.html#group44B4", "44B⁴"), =HYPERLINK("CSG1.html#group11A1", "11A¹")</f>
        <v/>
      </c>
      <c r="N1872">
        <f>HYPERLINK("CSG15.html#group88B15", "88B¹⁵"), =HYPERLINK("CSG22.html#group88A22", "88A²²"), =HYPERLINK("CSG24.html#group264A24", "264A²⁴"), =HYPERLINK("CSG16.html#group176A16", "176A¹⁶")</f>
        <v/>
      </c>
    </row>
    <row r="1873">
      <c r="A1873" t="inlineStr">
        <is>
          <t>88B⁸</t>
        </is>
      </c>
      <c r="B1873" t="inlineStr"/>
      <c r="C1873" t="inlineStr">
        <is>
          <t>132</t>
        </is>
      </c>
      <c r="D1873" t="inlineStr">
        <is>
          <t>2</t>
        </is>
      </c>
      <c r="E1873" t="inlineStr">
        <is>
          <t>33</t>
        </is>
      </c>
      <c r="F1873" t="inlineStr">
        <is>
          <t>12</t>
        </is>
      </c>
      <c r="G1873" t="inlineStr">
        <is>
          <t>0</t>
        </is>
      </c>
      <c r="H1873" t="inlineStr">
        <is>
          <t>44¹, 88¹</t>
        </is>
      </c>
      <c r="I1873" t="n">
        <v>2</v>
      </c>
      <c r="J1873" t="inlineStr">
        <is>
          <t>2³, 10⁶</t>
        </is>
      </c>
      <c r="K1873">
        <f>HYPERLINK("CSG0.html#group8B0", "8B⁰"), =HYPERLINK("CSG4.html#group44C4", "44C⁴")</f>
        <v/>
      </c>
      <c r="L1873">
        <f>HYPERLINK("CSG16.html#group176B16", "176B¹⁶"), =HYPERLINK("CSG18.html#group88A18", "88A¹⁸"), =HYPERLINK("CSG18.html#group88B18", "88B¹⁸"), =HYPERLINK("CSG19.html#group176A19", "176A¹⁹"), =HYPERLINK("CSG19.html#group176C19", "176C¹⁹"), =HYPERLINK("CSG21.html#group88A21", "88A²¹"), =HYPERLINK("CSG22.html#group176A22", "176A²²"), =HYPERLINK("CSG24.html#group264C24", "264C²⁴")</f>
        <v/>
      </c>
      <c r="M1873">
        <f>HYPERLINK("CSG0.html#group11A0", "11A⁰"), =HYPERLINK("CSG4.html#group44C4", "44C⁴"), =HYPERLINK("CSG0.html#group4C0", "4C⁰"), =HYPERLINK("CSG0.html#group8B0", "8B⁰"), =HYPERLINK("CSG0.html#group2B0", "2B⁰"), =HYPERLINK("CSG2.html#group22B2", "22B²"), =HYPERLINK("CSG0.html#group1A0", "1A⁰")</f>
        <v/>
      </c>
      <c r="N1873">
        <f>HYPERLINK("CSG18.html#group88B18", "88B¹⁸"), =HYPERLINK("CSG24.html#group264C24", "264C²⁴"), =HYPERLINK("CSG18.html#group88A18", "88A¹⁸"), =HYPERLINK("CSG16.html#group176B16", "176B¹⁶"), =HYPERLINK("CSG21.html#group88A21", "88A²¹"), =HYPERLINK("CSG19.html#group176A19", "176A¹⁹"), =HYPERLINK("CSG19.html#group176C19", "176C¹⁹"), =HYPERLINK("CSG22.html#group176A22", "176A²²")</f>
        <v/>
      </c>
    </row>
    <row r="1874">
      <c r="A1874" t="inlineStr">
        <is>
          <t>88C⁸</t>
        </is>
      </c>
      <c r="B1874" t="inlineStr"/>
      <c r="C1874" t="inlineStr">
        <is>
          <t>144</t>
        </is>
      </c>
      <c r="D1874" t="inlineStr">
        <is>
          <t>1</t>
        </is>
      </c>
      <c r="E1874" t="inlineStr">
        <is>
          <t>36</t>
        </is>
      </c>
      <c r="F1874" t="inlineStr">
        <is>
          <t>0</t>
        </is>
      </c>
      <c r="G1874" t="inlineStr">
        <is>
          <t>0</t>
        </is>
      </c>
      <c r="H1874" t="inlineStr">
        <is>
          <t>1⁴, 8¹, 11⁴, 88¹</t>
        </is>
      </c>
      <c r="I1874" t="n">
        <v>10</v>
      </c>
      <c r="J1874" t="inlineStr">
        <is>
          <t>1⁶, 10³</t>
        </is>
      </c>
      <c r="K1874">
        <f>HYPERLINK("CSG4.html#group44D4", "44D⁴")</f>
        <v/>
      </c>
      <c r="L1874">
        <f>HYPERLINK("CSG17.html#group88A17", "88A¹⁷"), =HYPERLINK("CSG19.html#group88B19", "88B¹⁹")</f>
        <v/>
      </c>
      <c r="M1874">
        <f>HYPERLINK("CSG0.html#group2B0", "2B⁰"), =HYPERLINK("CSG0.html#group4B0", "4B⁰"), =HYPERLINK("CSG2.html#group22C2", "22C²"), =HYPERLINK("CSG0.html#group1A0", "1A⁰"), =HYPERLINK("CSG4.html#group44D4", "44D⁴"), =HYPERLINK("CSG1.html#group11A1", "11A¹")</f>
        <v/>
      </c>
      <c r="N1874">
        <f>HYPERLINK("CSG19.html#group88B19", "88B¹⁹"), =HYPERLINK("CSG17.html#group88A17", "88A¹⁷")</f>
        <v/>
      </c>
    </row>
    <row r="1875">
      <c r="A1875" t="inlineStr">
        <is>
          <t>90A⁸</t>
        </is>
      </c>
      <c r="B1875" t="inlineStr"/>
      <c r="C1875" t="inlineStr">
        <is>
          <t>90</t>
        </is>
      </c>
      <c r="D1875" t="inlineStr">
        <is>
          <t>1</t>
        </is>
      </c>
      <c r="E1875" t="inlineStr">
        <is>
          <t>45</t>
        </is>
      </c>
      <c r="F1875" t="inlineStr">
        <is>
          <t>0</t>
        </is>
      </c>
      <c r="G1875" t="inlineStr">
        <is>
          <t>0</t>
        </is>
      </c>
      <c r="H1875" t="inlineStr">
        <is>
          <t>90¹</t>
        </is>
      </c>
      <c r="I1875" t="n">
        <v>1</v>
      </c>
      <c r="J1875" t="inlineStr">
        <is>
          <t>1¹, 2¹, 4¹, 6¹, 8¹, 24¹</t>
        </is>
      </c>
      <c r="K1875">
        <f>HYPERLINK("CSG2.html#group18A2", "18A²"), =HYPERLINK("CSG3.html#group30A3", "30A³"), =HYPERLINK("CSG3.html#group45A3", "45A³")</f>
        <v/>
      </c>
      <c r="L1875">
        <f>HYPERLINK("CSG15.html#group90A15", "90A¹⁵"), =HYPERLINK("CSG15.html#group90F15", "90F¹⁵"), =HYPERLINK("CSG22.html#group90A22", "90A²²"), =HYPERLINK("CSG22.html#group90B22", "90B²²"), =HYPERLINK("CSG22.html#group90C22", "90C²²"), =HYPERLINK("CSG22.html#group90D22", "90D²²")</f>
        <v/>
      </c>
      <c r="M1875">
        <f>HYPERLINK("CSG0.html#group2A0", "2A⁰"), =HYPERLINK("CSG3.html#group30A3", "30A³"), =HYPERLINK("CSG0.html#group5A0", "5A⁰"), =HYPERLINK("CSG0.html#group10A0", "10A⁰"), =HYPERLINK("CSG0.html#group9A0", "9A⁰"), =HYPERLINK("CSG1.html#group6A1", "6A¹"), =HYPERLINK("CSG2.html#group18A2", "18A²"), =HYPERLINK("CSG0.html#group3A0", "3A⁰"), =HYPERLINK("CSG0.html#group1A0", "1A⁰"), =HYPERLINK("CSG1.html#group15A1", "15A¹"), =HYPERLINK("CSG3.html#group45A3", "45A³")</f>
        <v/>
      </c>
      <c r="N1875">
        <f>HYPERLINK("CSG22.html#group90B22", "90B²²"), =HYPERLINK("CSG15.html#group90A15", "90A¹⁵"), =HYPERLINK("CSG22.html#group90D22", "90D²²"), =HYPERLINK("CSG15.html#group90F15", "90F¹⁵"), =HYPERLINK("CSG22.html#group90A22", "90A²²"), =HYPERLINK("CSG22.html#group90C22", "90C²²")</f>
        <v/>
      </c>
    </row>
    <row r="1876">
      <c r="A1876" t="inlineStr">
        <is>
          <t>90B⁸</t>
        </is>
      </c>
      <c r="B1876" t="inlineStr"/>
      <c r="C1876" t="inlineStr">
        <is>
          <t>108</t>
        </is>
      </c>
      <c r="D1876" t="inlineStr">
        <is>
          <t>2</t>
        </is>
      </c>
      <c r="E1876" t="inlineStr">
        <is>
          <t>54</t>
        </is>
      </c>
      <c r="F1876" t="inlineStr">
        <is>
          <t>4</t>
        </is>
      </c>
      <c r="G1876" t="inlineStr">
        <is>
          <t>0</t>
        </is>
      </c>
      <c r="H1876" t="inlineStr">
        <is>
          <t>18¹, 90¹</t>
        </is>
      </c>
      <c r="I1876" t="n">
        <v>2</v>
      </c>
      <c r="J1876" t="inlineStr">
        <is>
          <t>2⁶, 6⁴, 8³, 24²</t>
        </is>
      </c>
      <c r="K1876">
        <f>HYPERLINK("CSG2.html#group30C2", "30C²"), =HYPERLINK("CSG2.html#group45A2", "45A²")</f>
        <v/>
      </c>
      <c r="L1876">
        <f>HYPERLINK("CSG15.html#group90K15", "90K¹⁵"), =HYPERLINK("CSG15.html#group90L15", "90L¹⁵"), =HYPERLINK("CSG15.html#group90M15", "90M¹⁵"), =HYPERLINK("CSG17.html#group90A17", "90A¹⁷"), =HYPERLINK("CSG17.html#group90H17", "90H¹⁷"), =HYPERLINK("CSG17.html#group90I17", "90I¹⁷"), =HYPERLINK("CSG17.html#group90J17", "90J¹⁷"), =HYPERLINK("CSG22.html#group90H22", "90H²²"), =HYPERLINK("CSG24.html#group90B24", "90B²⁴"), =HYPERLINK("CSG24.html#group90C24", "90C²⁴")</f>
        <v/>
      </c>
      <c r="M1876">
        <f>HYPERLINK("CSG0.html#group5B0", "5B⁰"), =HYPERLINK("CSG2.html#group45A2", "45A²"), =HYPERLINK("CSG0.html#group15B0", "15B⁰"), =HYPERLINK("CSG0.html#group3A0", "3A⁰"), =HYPERLINK("CSG0.html#group1A0", "1A⁰"), =HYPERLINK("CSG0.html#group9A0", "9A⁰"), =HYPERLINK("CSG2.html#group30C2", "30C²")</f>
        <v/>
      </c>
      <c r="N1876">
        <f>HYPERLINK("CSG17.html#group90I17", "90I¹⁷"), =HYPERLINK("CSG15.html#group90M15", "90M¹⁵"), =HYPERLINK("CSG15.html#group90K15", "90K¹⁵"), =HYPERLINK("CSG15.html#group90L15", "90L¹⁵"), =HYPERLINK("CSG24.html#group90C24", "90C²⁴"), =HYPERLINK("CSG17.html#group90J17", "90J¹⁷"), =HYPERLINK("CSG17.html#group90A17", "90A¹⁷"), =HYPERLINK("CSG24.html#group90B24", "90B²⁴"), =HYPERLINK("CSG22.html#group90H22", "90H²²"), =HYPERLINK("CSG17.html#group90H17", "90H¹⁷")</f>
        <v/>
      </c>
    </row>
    <row r="1877">
      <c r="A1877" t="inlineStr">
        <is>
          <t>90C⁸</t>
        </is>
      </c>
      <c r="B1877" t="inlineStr"/>
      <c r="C1877" t="inlineStr">
        <is>
          <t>120</t>
        </is>
      </c>
      <c r="D1877" t="inlineStr">
        <is>
          <t>1</t>
        </is>
      </c>
      <c r="E1877" t="inlineStr">
        <is>
          <t>40</t>
        </is>
      </c>
      <c r="F1877" t="inlineStr">
        <is>
          <t>0</t>
        </is>
      </c>
      <c r="G1877" t="inlineStr">
        <is>
          <t>6</t>
        </is>
      </c>
      <c r="H1877" t="inlineStr">
        <is>
          <t>30¹, 90¹</t>
        </is>
      </c>
      <c r="I1877" t="n">
        <v>2</v>
      </c>
      <c r="J1877" t="inlineStr">
        <is>
          <t>2⁴, 8⁴</t>
        </is>
      </c>
      <c r="K1877">
        <f>HYPERLINK("CSG1.html#group18D1", "18D¹"), =HYPERLINK("CSG2.html#group30D2", "30D²")</f>
        <v/>
      </c>
      <c r="L1877">
        <f>HYPERLINK("CSG16.html#group180A16", "180A¹⁶"), =HYPERLINK("CSG22.html#group90I22", "90I²²")</f>
        <v/>
      </c>
      <c r="M1877">
        <f>HYPERLINK("CSG0.html#group3B0", "3B⁰"), =HYPERLINK("CSG0.html#group2A0", "2A⁰"), =HYPERLINK("CSG0.html#group5A0", "5A⁰"), =HYPERLINK("CSG0.html#group10A0", "10A⁰"), =HYPERLINK("CSG2.html#group30D2", "30D²"), =HYPERLINK("CSG0.html#group6C0", "6C⁰"), =HYPERLINK("CSG1.html#group15B1", "15B¹"), =HYPERLINK("CSG0.html#group1A0", "1A⁰"), =HYPERLINK("CSG1.html#group18D1", "18D¹")</f>
        <v/>
      </c>
      <c r="N1877">
        <f>HYPERLINK("CSG16.html#group180A16", "180A¹⁶"), =HYPERLINK("CSG22.html#group90I22", "90I²²")</f>
        <v/>
      </c>
    </row>
    <row r="1878">
      <c r="A1878" t="inlineStr">
        <is>
          <t>90D⁸</t>
        </is>
      </c>
      <c r="B1878" t="inlineStr"/>
      <c r="C1878" t="inlineStr">
        <is>
          <t>120</t>
        </is>
      </c>
      <c r="D1878" t="inlineStr">
        <is>
          <t>2</t>
        </is>
      </c>
      <c r="E1878" t="inlineStr">
        <is>
          <t>20</t>
        </is>
      </c>
      <c r="F1878" t="inlineStr">
        <is>
          <t>0</t>
        </is>
      </c>
      <c r="G1878" t="inlineStr">
        <is>
          <t>6</t>
        </is>
      </c>
      <c r="H1878" t="inlineStr">
        <is>
          <t>30¹, 90¹</t>
        </is>
      </c>
      <c r="I1878" t="n">
        <v>2</v>
      </c>
      <c r="J1878" t="inlineStr">
        <is>
          <t>2², 4¹, 8⁴</t>
        </is>
      </c>
      <c r="K1878">
        <f>HYPERLINK("CSG2.html#group30D2", "30D²"), =HYPERLINK("CSG4.html#group45B4", "45B⁴")</f>
        <v/>
      </c>
      <c r="L1878">
        <f>HYPERLINK("CSG16.html#group180B16", "180B¹⁶"), =HYPERLINK("CSG22.html#group90K22", "90K²²")</f>
        <v/>
      </c>
      <c r="M1878">
        <f>HYPERLINK("CSG0.html#group3B0", "3B⁰"), =HYPERLINK("CSG0.html#group2A0", "2A⁰"), =HYPERLINK("CSG0.html#group5A0", "5A⁰"), =HYPERLINK("CSG0.html#group10A0", "10A⁰"), =HYPERLINK("CSG2.html#group30D2", "30D²"), =HYPERLINK("CSG4.html#group45B4", "45B⁴"), =HYPERLINK("CSG0.html#group6C0", "6C⁰"), =HYPERLINK("CSG1.html#group15B1", "15B¹"), =HYPERLINK("CSG0.html#group1A0", "1A⁰")</f>
        <v/>
      </c>
      <c r="N1878">
        <f>HYPERLINK("CSG22.html#group90K22", "90K²²"), =HYPERLINK("CSG16.html#group180B16", "180B¹⁶")</f>
        <v/>
      </c>
    </row>
    <row r="1879">
      <c r="A1879" t="inlineStr">
        <is>
          <t>90E⁸</t>
        </is>
      </c>
      <c r="B1879" t="inlineStr"/>
      <c r="C1879" t="inlineStr">
        <is>
          <t>120</t>
        </is>
      </c>
      <c r="D1879" t="inlineStr">
        <is>
          <t>2</t>
        </is>
      </c>
      <c r="E1879" t="inlineStr">
        <is>
          <t>40</t>
        </is>
      </c>
      <c r="F1879" t="inlineStr">
        <is>
          <t>0</t>
        </is>
      </c>
      <c r="G1879" t="inlineStr">
        <is>
          <t>3</t>
        </is>
      </c>
      <c r="H1879" t="inlineStr">
        <is>
          <t>10³, 90¹</t>
        </is>
      </c>
      <c r="I1879" t="n">
        <v>4</v>
      </c>
      <c r="J1879" t="inlineStr">
        <is>
          <t>4⁴, 8⁸</t>
        </is>
      </c>
      <c r="K1879">
        <f>HYPERLINK("CSG2.html#group30D2", "30D²")</f>
        <v/>
      </c>
      <c r="L1879">
        <f>HYPERLINK("CSG17.html#group180A17", "180A¹⁷"), =HYPERLINK("CSG22.html#group90L22", "90L²²")</f>
        <v/>
      </c>
      <c r="M1879">
        <f>HYPERLINK("CSG0.html#group3B0", "3B⁰"), =HYPERLINK("CSG0.html#group2A0", "2A⁰"), =HYPERLINK("CSG0.html#group5A0", "5A⁰"), =HYPERLINK("CSG0.html#group10A0", "10A⁰"), =HYPERLINK("CSG2.html#group30D2", "30D²"), =HYPERLINK("CSG0.html#group6C0", "6C⁰"), =HYPERLINK("CSG1.html#group15B1", "15B¹"), =HYPERLINK("CSG0.html#group1A0", "1A⁰")</f>
        <v/>
      </c>
      <c r="N1879">
        <f>HYPERLINK("CSG22.html#group90L22", "90L²²"), =HYPERLINK("CSG17.html#group180A17", "180A¹⁷")</f>
        <v/>
      </c>
    </row>
    <row r="1880">
      <c r="A1880" t="inlineStr">
        <is>
          <t>90F⁸</t>
        </is>
      </c>
      <c r="B1880" t="inlineStr"/>
      <c r="C1880" t="inlineStr">
        <is>
          <t>120</t>
        </is>
      </c>
      <c r="D1880" t="inlineStr">
        <is>
          <t>2</t>
        </is>
      </c>
      <c r="E1880" t="inlineStr">
        <is>
          <t>40</t>
        </is>
      </c>
      <c r="F1880" t="inlineStr">
        <is>
          <t>0</t>
        </is>
      </c>
      <c r="G1880" t="inlineStr">
        <is>
          <t>6</t>
        </is>
      </c>
      <c r="H1880" t="inlineStr">
        <is>
          <t>30¹, 90¹</t>
        </is>
      </c>
      <c r="I1880" t="n">
        <v>2</v>
      </c>
      <c r="J1880" t="inlineStr">
        <is>
          <t>4⁴, 8⁸</t>
        </is>
      </c>
      <c r="K1880">
        <f>HYPERLINK("CSG2.html#group30D2", "30D²")</f>
        <v/>
      </c>
      <c r="L1880">
        <f>HYPERLINK("CSG16.html#group180C16", "180C¹⁶"), =HYPERLINK("CSG22.html#group90J22", "90J²²")</f>
        <v/>
      </c>
      <c r="M1880">
        <f>HYPERLINK("CSG0.html#group3B0", "3B⁰"), =HYPERLINK("CSG0.html#group2A0", "2A⁰"), =HYPERLINK("CSG0.html#group5A0", "5A⁰"), =HYPERLINK("CSG0.html#group10A0", "10A⁰"), =HYPERLINK("CSG2.html#group30D2", "30D²"), =HYPERLINK("CSG0.html#group6C0", "6C⁰"), =HYPERLINK("CSG1.html#group15B1", "15B¹"), =HYPERLINK("CSG0.html#group1A0", "1A⁰")</f>
        <v/>
      </c>
      <c r="N1880">
        <f>HYPERLINK("CSG16.html#group180C16", "180C¹⁶"), =HYPERLINK("CSG22.html#group90J22", "90J²²")</f>
        <v/>
      </c>
    </row>
    <row r="1881">
      <c r="A1881" t="inlineStr">
        <is>
          <t>92A⁸</t>
        </is>
      </c>
      <c r="B1881" t="inlineStr"/>
      <c r="C1881" t="inlineStr">
        <is>
          <t>96</t>
        </is>
      </c>
      <c r="D1881" t="inlineStr">
        <is>
          <t>1</t>
        </is>
      </c>
      <c r="E1881" t="inlineStr">
        <is>
          <t>24</t>
        </is>
      </c>
      <c r="F1881" t="inlineStr">
        <is>
          <t>0</t>
        </is>
      </c>
      <c r="G1881" t="inlineStr">
        <is>
          <t>0</t>
        </is>
      </c>
      <c r="H1881" t="inlineStr">
        <is>
          <t>4¹, 92¹</t>
        </is>
      </c>
      <c r="I1881" t="n">
        <v>2</v>
      </c>
      <c r="J1881" t="inlineStr">
        <is>
          <t>1², 22¹</t>
        </is>
      </c>
      <c r="K1881">
        <f>HYPERLINK("CSG4.html#group46A4", "46A⁴")</f>
        <v/>
      </c>
      <c r="L1881">
        <f>HYPERLINK("CSG22.html#group92A22", "92A²²"), =HYPERLINK("CSG24.html#group276A24", "276A²⁴"), =HYPERLINK("CSG24.html#group276B24", "276B²⁴")</f>
        <v/>
      </c>
      <c r="M1881">
        <f>HYPERLINK("CSG0.html#group2A0", "2A⁰"), =HYPERLINK("CSG0.html#group1A0", "1A⁰"), =HYPERLINK("CSG2.html#group23A2", "23A²"), =HYPERLINK("CSG4.html#group46A4", "46A⁴")</f>
        <v/>
      </c>
      <c r="N1881">
        <f>HYPERLINK("CSG22.html#group92A22", "92A²²"), =HYPERLINK("CSG24.html#group276B24", "276B²⁴"), =HYPERLINK("CSG24.html#group276A24", "276A²⁴")</f>
        <v/>
      </c>
    </row>
    <row r="1882">
      <c r="A1882" t="inlineStr">
        <is>
          <t>92B⁸</t>
        </is>
      </c>
      <c r="B1882" t="inlineStr"/>
      <c r="C1882" t="inlineStr">
        <is>
          <t>96</t>
        </is>
      </c>
      <c r="D1882" t="inlineStr">
        <is>
          <t>1</t>
        </is>
      </c>
      <c r="E1882" t="inlineStr">
        <is>
          <t>96</t>
        </is>
      </c>
      <c r="F1882" t="inlineStr">
        <is>
          <t>0</t>
        </is>
      </c>
      <c r="G1882" t="inlineStr">
        <is>
          <t>0</t>
        </is>
      </c>
      <c r="H1882" t="inlineStr">
        <is>
          <t>4¹, 92¹</t>
        </is>
      </c>
      <c r="I1882" t="n">
        <v>2</v>
      </c>
      <c r="J1882" t="inlineStr">
        <is>
          <t>2⁴, 44²</t>
        </is>
      </c>
      <c r="K1882">
        <f>HYPERLINK("CSG0.html#group4A0", "4A⁰"), =HYPERLINK("CSG2.html#group23A2", "23A²")</f>
        <v/>
      </c>
      <c r="L1882">
        <f>HYPERLINK("CSG15.html#group92A15", "92A¹⁵"), =HYPERLINK("CSG16.html#group184A16", "184A¹⁶"), =HYPERLINK("CSG22.html#group92B22", "92B²²"), =HYPERLINK("CSG24.html#group276D24", "276D²⁴")</f>
        <v/>
      </c>
      <c r="M1882">
        <f>HYPERLINK("CSG0.html#group1A0", "1A⁰"), =HYPERLINK("CSG0.html#group4A0", "4A⁰"), =HYPERLINK("CSG2.html#group23A2", "23A²")</f>
        <v/>
      </c>
      <c r="N1882">
        <f>HYPERLINK("CSG22.html#group92B22", "92B²²"), =HYPERLINK("CSG24.html#group276D24", "276D²⁴"), =HYPERLINK("CSG15.html#group92A15", "92A¹⁵"), =HYPERLINK("CSG16.html#group184A16", "184A¹⁶")</f>
        <v/>
      </c>
    </row>
    <row r="1883">
      <c r="A1883" t="inlineStr">
        <is>
          <t>93A⁸</t>
        </is>
      </c>
      <c r="B1883" t="inlineStr"/>
      <c r="C1883" t="inlineStr">
        <is>
          <t>96</t>
        </is>
      </c>
      <c r="D1883" t="inlineStr">
        <is>
          <t>1</t>
        </is>
      </c>
      <c r="E1883" t="inlineStr">
        <is>
          <t>32</t>
        </is>
      </c>
      <c r="F1883" t="inlineStr">
        <is>
          <t>0</t>
        </is>
      </c>
      <c r="G1883" t="inlineStr">
        <is>
          <t>0</t>
        </is>
      </c>
      <c r="H1883" t="inlineStr">
        <is>
          <t>3¹, 93¹</t>
        </is>
      </c>
      <c r="I1883" t="n">
        <v>2</v>
      </c>
      <c r="J1883" t="inlineStr">
        <is>
          <t>1², 30¹</t>
        </is>
      </c>
      <c r="K1883">
        <f>HYPERLINK("CSG0.html#group3A0", "3A⁰"), =HYPERLINK("CSG2.html#group31A2", "31A²")</f>
        <v/>
      </c>
      <c r="L1883">
        <f>HYPERLINK("CSG15.html#group93A15", "93A¹⁵"), =HYPERLINK("CSG16.html#group186A16", "186A¹⁶"), =HYPERLINK("CSG16.html#group186B16", "186B¹⁶"), =HYPERLINK("CSG22.html#group93A22", "93A²²"), =HYPERLINK("CSG23.html#group186A23", "186A²³"), =HYPERLINK("CSG24.html#group279A24", "279A²⁴")</f>
        <v/>
      </c>
      <c r="M1883">
        <f>HYPERLINK("CSG0.html#group3A0", "3A⁰"), =HYPERLINK("CSG2.html#group31A2", "31A²"), =HYPERLINK("CSG0.html#group1A0", "1A⁰")</f>
        <v/>
      </c>
      <c r="N1883">
        <f>HYPERLINK("CSG22.html#group93A22", "93A²²"), =HYPERLINK("CSG16.html#group186A16", "186A¹⁶"), =HYPERLINK("CSG24.html#group279A24", "279A²⁴"), =HYPERLINK("CSG15.html#group93A15", "93A¹⁵"), =HYPERLINK("CSG23.html#group186A23", "186A²³"), =HYPERLINK("CSG16.html#group186B16", "186B¹⁶")</f>
        <v/>
      </c>
    </row>
    <row r="1884">
      <c r="A1884" t="inlineStr">
        <is>
          <t>94A⁸</t>
        </is>
      </c>
      <c r="B1884" t="inlineStr"/>
      <c r="C1884" t="inlineStr">
        <is>
          <t>96</t>
        </is>
      </c>
      <c r="D1884" t="inlineStr">
        <is>
          <t>1</t>
        </is>
      </c>
      <c r="E1884" t="inlineStr">
        <is>
          <t>48</t>
        </is>
      </c>
      <c r="F1884" t="inlineStr">
        <is>
          <t>0</t>
        </is>
      </c>
      <c r="G1884" t="inlineStr">
        <is>
          <t>0</t>
        </is>
      </c>
      <c r="H1884" t="inlineStr">
        <is>
          <t>2¹, 94¹</t>
        </is>
      </c>
      <c r="I1884" t="n">
        <v>2</v>
      </c>
      <c r="J1884" t="inlineStr">
        <is>
          <t>1², 46¹</t>
        </is>
      </c>
      <c r="K1884">
        <f>HYPERLINK("CSG0.html#group2A0", "2A⁰"), =HYPERLINK("CSG4.html#group47A4", "47A⁴")</f>
        <v/>
      </c>
      <c r="L1884">
        <f>HYPERLINK("CSG16.html#group188A16", "188A¹⁶"), =HYPERLINK("CSG22.html#group94A22", "94A²²"), =HYPERLINK("CSG24.html#group282A24", "282A²⁴"), =HYPERLINK("CSG24.html#group282B24", "282B²⁴")</f>
        <v/>
      </c>
      <c r="M1884">
        <f>HYPERLINK("CSG4.html#group47A4", "47A⁴"), =HYPERLINK("CSG0.html#group2A0", "2A⁰"), =HYPERLINK("CSG0.html#group1A0", "1A⁰")</f>
        <v/>
      </c>
      <c r="N1884">
        <f>HYPERLINK("CSG22.html#group94A22", "94A²²"), =HYPERLINK("CSG16.html#group188A16", "188A¹⁶"), =HYPERLINK("CSG24.html#group282A24", "282A²⁴"), =HYPERLINK("CSG24.html#group282B24", "282B²⁴")</f>
        <v/>
      </c>
    </row>
    <row r="1885">
      <c r="A1885" t="inlineStr">
        <is>
          <t>96A⁸</t>
        </is>
      </c>
      <c r="B1885" t="inlineStr"/>
      <c r="C1885" t="inlineStr">
        <is>
          <t>144</t>
        </is>
      </c>
      <c r="D1885" t="inlineStr">
        <is>
          <t>1</t>
        </is>
      </c>
      <c r="E1885" t="inlineStr">
        <is>
          <t>6</t>
        </is>
      </c>
      <c r="F1885" t="inlineStr">
        <is>
          <t>0</t>
        </is>
      </c>
      <c r="G1885" t="inlineStr">
        <is>
          <t>0</t>
        </is>
      </c>
      <c r="H1885" t="inlineStr">
        <is>
          <t>3⁸, 24¹, 96¹</t>
        </is>
      </c>
      <c r="I1885" t="n">
        <v>10</v>
      </c>
      <c r="J1885" t="inlineStr">
        <is>
          <t>1⁴, 2¹</t>
        </is>
      </c>
      <c r="K1885">
        <f>HYPERLINK("CSG0.html#group32A0", "32A⁰"), =HYPERLINK("CSG4.html#group48B4", "48B⁴")</f>
        <v/>
      </c>
      <c r="L1885">
        <f>HYPERLINK("CSG15.html#group96N15", "96N¹⁵"), =HYPERLINK("CSG17.html#group96A17", "96A¹⁷"), =HYPERLINK("CSG17.html#group96L17", "96L¹⁷"), =HYPERLINK("CSG18.html#group192A18", "192A¹⁸"), =HYPERLINK("CSG18.html#group192B18", "192B¹⁸"), =HYPERLINK("CSG19.html#group96B19", "96B¹⁹"), =HYPERLINK("CSG19.html#group96G19", "96G¹⁹")</f>
        <v/>
      </c>
      <c r="M1885">
        <f>HYPERLINK("CSG2.html#group24B2", "24B²"), =HYPERLINK("CSG0.html#group3A0", "3A⁰"), =HYPERLINK("CSG0.html#group16C0", "16C⁰"), =HYPERLINK("CSG0.html#group32A0", "32A⁰"), =HYPERLINK("CSG0.html#group8C0", "8C⁰"), =HYPERLINK("CSG1.html#group12B1", "12B¹"), =HYPERLINK("CSG0.html#group2B0", "2B⁰"), =HYPERLINK("CSG0.html#group4B0", "4B⁰"), =HYPERLINK("CSG0.html#group1A0", "1A⁰"), =HYPERLINK("CSG0.html#group6D0", "6D⁰"), =HYPERLINK("CSG4.html#group48B4", "48B⁴")</f>
        <v/>
      </c>
      <c r="N1885">
        <f>HYPERLINK("CSG19.html#group96B19", "96B¹⁹"), =HYPERLINK("CSG18.html#group192B18", "192B¹⁸"), =HYPERLINK("CSG18.html#group192A18", "192A¹⁸"), =HYPERLINK("CSG17.html#group96L17", "96L¹⁷"), =HYPERLINK("CSG19.html#group96G19", "96G¹⁹"), =HYPERLINK("CSG15.html#group96N15", "96N¹⁵"), =HYPERLINK("CSG17.html#group96A17", "96A¹⁷")</f>
        <v/>
      </c>
    </row>
    <row r="1886">
      <c r="A1886" t="inlineStr">
        <is>
          <t>96B⁸</t>
        </is>
      </c>
      <c r="B1886" t="inlineStr"/>
      <c r="C1886" t="inlineStr">
        <is>
          <t>144</t>
        </is>
      </c>
      <c r="D1886" t="inlineStr">
        <is>
          <t>1</t>
        </is>
      </c>
      <c r="E1886" t="inlineStr">
        <is>
          <t>18</t>
        </is>
      </c>
      <c r="F1886" t="inlineStr">
        <is>
          <t>0</t>
        </is>
      </c>
      <c r="G1886" t="inlineStr">
        <is>
          <t>0</t>
        </is>
      </c>
      <c r="H1886" t="inlineStr">
        <is>
          <t>3⁸, 24¹, 96¹</t>
        </is>
      </c>
      <c r="I1886" t="n">
        <v>10</v>
      </c>
      <c r="J1886" t="inlineStr">
        <is>
          <t>1⁴, 2⁵, 4¹</t>
        </is>
      </c>
      <c r="K1886">
        <f>HYPERLINK("CSG4.html#group48B4", "48B⁴")</f>
        <v/>
      </c>
      <c r="L1886">
        <f>HYPERLINK("CSG15.html#group96M15", "96M¹⁵"), =HYPERLINK("CSG15.html#group96N15", "96N¹⁵"), =HYPERLINK("CSG17.html#group96K17", "96K¹⁷"), =HYPERLINK("CSG17.html#group96M17", "96M¹⁷"), =HYPERLINK("CSG17.html#group96AC17", "96AC¹⁷"), =HYPERLINK("CSG19.html#group96H19", "96H¹⁹"), =HYPERLINK("CSG19.html#group96I19", "96I¹⁹"), =HYPERLINK("CSG19.html#group96AW19", "96AW¹⁹")</f>
        <v/>
      </c>
      <c r="M1886">
        <f>HYPERLINK("CSG2.html#group24B2", "24B²"), =HYPERLINK("CSG0.html#group3A0", "3A⁰"), =HYPERLINK("CSG0.html#group16C0", "16C⁰"), =HYPERLINK("CSG0.html#group8C0", "8C⁰"), =HYPERLINK("CSG1.html#group12B1", "12B¹"), =HYPERLINK("CSG0.html#group2B0", "2B⁰"), =HYPERLINK("CSG0.html#group4B0", "4B⁰"), =HYPERLINK("CSG0.html#group1A0", "1A⁰"), =HYPERLINK("CSG0.html#group6D0", "6D⁰"), =HYPERLINK("CSG4.html#group48B4", "48B⁴")</f>
        <v/>
      </c>
      <c r="N1886">
        <f>HYPERLINK("CSG19.html#group96AW19", "96AW¹⁹"), =HYPERLINK("CSG15.html#group96N15", "96N¹⁵"), =HYPERLINK("CSG17.html#group96K17", "96K¹⁷"), =HYPERLINK("CSG17.html#group96M17", "96M¹⁷"), =HYPERLINK("CSG17.html#group96AC17", "96AC¹⁷"), =HYPERLINK("CSG19.html#group96I19", "96I¹⁹"), =HYPERLINK("CSG15.html#group96M15", "96M¹⁵"), =HYPERLINK("CSG19.html#group96H19", "96H¹⁹")</f>
        <v/>
      </c>
    </row>
    <row r="1887">
      <c r="A1887" t="inlineStr">
        <is>
          <t>96C⁸</t>
        </is>
      </c>
      <c r="B1887" t="inlineStr"/>
      <c r="C1887" t="inlineStr">
        <is>
          <t>144</t>
        </is>
      </c>
      <c r="D1887" t="inlineStr">
        <is>
          <t>1</t>
        </is>
      </c>
      <c r="E1887" t="inlineStr">
        <is>
          <t>24</t>
        </is>
      </c>
      <c r="F1887" t="inlineStr">
        <is>
          <t>6</t>
        </is>
      </c>
      <c r="G1887" t="inlineStr">
        <is>
          <t>0</t>
        </is>
      </c>
      <c r="H1887" t="inlineStr">
        <is>
          <t>6⁴, 12², 96¹</t>
        </is>
      </c>
      <c r="I1887" t="n">
        <v>7</v>
      </c>
      <c r="J1887" t="inlineStr">
        <is>
          <t>2², 4³, 8⁴</t>
        </is>
      </c>
      <c r="K1887">
        <f>HYPERLINK("CSG1.html#group32C1", "32C¹"), =HYPERLINK("CSG3.html#group48D3", "48D³")</f>
        <v/>
      </c>
      <c r="L1887">
        <f>HYPERLINK("CSG16.html#group96C16", "96C¹⁶"), =HYPERLINK("CSG17.html#group96F17", "96F¹⁷"), =HYPERLINK("CSG17.html#group96V17", "96V¹⁷"), =HYPERLINK("CSG18.html#group96A18", "96A¹⁸"), =HYPERLINK("CSG18.html#group96E18", "96E¹⁸"), =HYPERLINK("CSG19.html#group96AA19", "96AA¹⁹"), =HYPERLINK("CSG20.html#group96A20", "96A²⁰")</f>
        <v/>
      </c>
      <c r="M1887">
        <f>HYPERLINK("CSG0.html#group16E0", "16E⁰"), =HYPERLINK("CSG0.html#group12C0", "12C⁰"), =HYPERLINK("CSG1.html#group32C1", "32C¹"), =HYPERLINK("CSG0.html#group8D0", "8D⁰"), =HYPERLINK("CSG0.html#group4C0", "4C⁰"), =HYPERLINK("CSG1.html#group24C1", "24C¹"), =HYPERLINK("CSG0.html#group2B0", "2B⁰"), =HYPERLINK("CSG3.html#group48D3", "48D³"), =HYPERLINK("CSG0.html#group3A0", "3A⁰"), =HYPERLINK("CSG0.html#group1A0", "1A⁰"), =HYPERLINK("CSG0.html#group6D0", "6D⁰")</f>
        <v/>
      </c>
      <c r="N1887">
        <f>HYPERLINK("CSG19.html#group96AA19", "96AA¹⁹"), =HYPERLINK("CSG18.html#group96E18", "96E¹⁸"), =HYPERLINK("CSG17.html#group96F17", "96F¹⁷"), =HYPERLINK("CSG20.html#group96A20", "96A²⁰"), =HYPERLINK("CSG17.html#group96V17", "96V¹⁷"), =HYPERLINK("CSG18.html#group96A18", "96A¹⁸"), =HYPERLINK("CSG16.html#group96C16", "96C¹⁶")</f>
        <v/>
      </c>
    </row>
    <row r="1888">
      <c r="A1888" t="inlineStr">
        <is>
          <t>96D⁸</t>
        </is>
      </c>
      <c r="B1888" t="inlineStr"/>
      <c r="C1888" t="inlineStr">
        <is>
          <t>144</t>
        </is>
      </c>
      <c r="D1888" t="inlineStr">
        <is>
          <t>1</t>
        </is>
      </c>
      <c r="E1888" t="inlineStr">
        <is>
          <t>24</t>
        </is>
      </c>
      <c r="F1888" t="inlineStr">
        <is>
          <t>6</t>
        </is>
      </c>
      <c r="G1888" t="inlineStr">
        <is>
          <t>0</t>
        </is>
      </c>
      <c r="H1888" t="inlineStr">
        <is>
          <t>6⁴, 12², 96¹</t>
        </is>
      </c>
      <c r="I1888" t="n">
        <v>7</v>
      </c>
      <c r="J1888" t="inlineStr">
        <is>
          <t>2², 4³, 8⁴</t>
        </is>
      </c>
      <c r="K1888">
        <f>HYPERLINK("CSG1.html#group32D1", "32D¹"), =HYPERLINK("CSG3.html#group48D3", "48D³")</f>
        <v/>
      </c>
      <c r="L1888">
        <f>HYPERLINK("CSG16.html#group96D16", "96D¹⁶"), =HYPERLINK("CSG17.html#group96F17", "96F¹⁷"), =HYPERLINK("CSG17.html#group96W17", "96W¹⁷"), =HYPERLINK("CSG18.html#group96A18", "96A¹⁸"), =HYPERLINK("CSG18.html#group96F18", "96F¹⁸"), =HYPERLINK("CSG19.html#group96AB19", "96AB¹⁹"), =HYPERLINK("CSG20.html#group96A20", "96A²⁰")</f>
        <v/>
      </c>
      <c r="M1888">
        <f>HYPERLINK("CSG0.html#group12C0", "12C⁰"), =HYPERLINK("CSG0.html#group8D0", "8D⁰"), =HYPERLINK("CSG0.html#group4C0", "4C⁰"), =HYPERLINK("CSG1.html#group32D1", "32D¹"), =HYPERLINK("CSG0.html#group2B0", "2B⁰"), =HYPERLINK("CSG0.html#group1A0", "1A⁰"), =HYPERLINK("CSG0.html#group16E0", "16E⁰"), =HYPERLINK("CSG1.html#group24C1", "24C¹"), =HYPERLINK("CSG3.html#group48D3", "48D³"), =HYPERLINK("CSG0.html#group3A0", "3A⁰"), =HYPERLINK("CSG0.html#group6D0", "6D⁰")</f>
        <v/>
      </c>
      <c r="N1888">
        <f>HYPERLINK("CSG17.html#group96W17", "96W¹⁷"), =HYPERLINK("CSG17.html#group96F17", "96F¹⁷"), =HYPERLINK("CSG20.html#group96A20", "96A²⁰"), =HYPERLINK("CSG19.html#group96AB19", "96AB¹⁹"), =HYPERLINK("CSG16.html#group96D16", "96D¹⁶"), =HYPERLINK("CSG18.html#group96A18", "96A¹⁸"), =HYPERLINK("CSG18.html#group96F18", "96F¹⁸")</f>
        <v/>
      </c>
    </row>
    <row r="1889">
      <c r="A1889" t="inlineStr">
        <is>
          <t>96E⁸</t>
        </is>
      </c>
      <c r="B1889" t="inlineStr"/>
      <c r="C1889" t="inlineStr">
        <is>
          <t>144</t>
        </is>
      </c>
      <c r="D1889" t="inlineStr">
        <is>
          <t>1</t>
        </is>
      </c>
      <c r="E1889" t="inlineStr">
        <is>
          <t>72</t>
        </is>
      </c>
      <c r="F1889" t="inlineStr">
        <is>
          <t>6</t>
        </is>
      </c>
      <c r="G1889" t="inlineStr">
        <is>
          <t>0</t>
        </is>
      </c>
      <c r="H1889" t="inlineStr">
        <is>
          <t>6⁴, 12², 96¹</t>
        </is>
      </c>
      <c r="I1889" t="n">
        <v>7</v>
      </c>
      <c r="J1889" t="inlineStr">
        <is>
          <t>2², 4⁵, 8⁷, 16⁴</t>
        </is>
      </c>
      <c r="K1889">
        <f>HYPERLINK("CSG3.html#group48D3", "48D³")</f>
        <v/>
      </c>
      <c r="L1889">
        <f>HYPERLINK("CSG16.html#group96A16", "96A¹⁶"), =HYPERLINK("CSG16.html#group96C16", "96C¹⁶"), =HYPERLINK("CSG17.html#group96T17", "96T¹⁷"), =HYPERLINK("CSG17.html#group96V17", "96V¹⁷"), =HYPERLINK("CSG17.html#group96Y17", "96Y¹⁷"), =HYPERLINK("CSG18.html#group96C18", "96C¹⁸"), =HYPERLINK("CSG18.html#group96F18", "96F¹⁸"), =HYPERLINK("CSG18.html#group96G18", "96G¹⁸"), =HYPERLINK("CSG19.html#group96AB19", "96AB¹⁹"), =HYPERLINK("CSG19.html#group96AZ19", "96AZ¹⁹"), =HYPERLINK("CSG20.html#group96B20", "96B²⁰")</f>
        <v/>
      </c>
      <c r="M1889">
        <f>HYPERLINK("CSG0.html#group16E0", "16E⁰"), =HYPERLINK("CSG0.html#group12C0", "12C⁰"), =HYPERLINK("CSG0.html#group8D0", "8D⁰"), =HYPERLINK("CSG0.html#group4C0", "4C⁰"), =HYPERLINK("CSG1.html#group24C1", "24C¹"), =HYPERLINK("CSG0.html#group2B0", "2B⁰"), =HYPERLINK("CSG3.html#group48D3", "48D³"), =HYPERLINK("CSG0.html#group3A0", "3A⁰"), =HYPERLINK("CSG0.html#group1A0", "1A⁰"), =HYPERLINK("CSG0.html#group6D0", "6D⁰")</f>
        <v/>
      </c>
      <c r="N1889">
        <f>HYPERLINK("CSG18.html#group96G18", "96G¹⁸"), =HYPERLINK("CSG20.html#group96B20", "96B²⁰"), =HYPERLINK("CSG18.html#group96C18", "96C¹⁸"), =HYPERLINK("CSG16.html#group96A16", "96A¹⁶"), =HYPERLINK("CSG17.html#group96V17", "96V¹⁷"), =HYPERLINK("CSG17.html#group96Y17", "96Y¹⁷"), =HYPERLINK("CSG16.html#group96C16", "96C¹⁶"), =HYPERLINK("CSG18.html#group96F18", "96F¹⁸"), =HYPERLINK("CSG19.html#group96AZ19", "96AZ¹⁹"), =HYPERLINK("CSG19.html#group96AB19", "96AB¹⁹"), =HYPERLINK("CSG17.html#group96T17", "96T¹⁷")</f>
        <v/>
      </c>
    </row>
    <row r="1890">
      <c r="A1890" t="inlineStr">
        <is>
          <t>96F⁸</t>
        </is>
      </c>
      <c r="B1890" t="inlineStr"/>
      <c r="C1890" t="inlineStr">
        <is>
          <t>144</t>
        </is>
      </c>
      <c r="D1890" t="inlineStr">
        <is>
          <t>1</t>
        </is>
      </c>
      <c r="E1890" t="inlineStr">
        <is>
          <t>72</t>
        </is>
      </c>
      <c r="F1890" t="inlineStr">
        <is>
          <t>6</t>
        </is>
      </c>
      <c r="G1890" t="inlineStr">
        <is>
          <t>0</t>
        </is>
      </c>
      <c r="H1890" t="inlineStr">
        <is>
          <t>6⁴, 12², 96¹</t>
        </is>
      </c>
      <c r="I1890" t="n">
        <v>7</v>
      </c>
      <c r="J1890" t="inlineStr">
        <is>
          <t>2², 4⁵, 8⁷, 16⁴</t>
        </is>
      </c>
      <c r="K1890">
        <f>HYPERLINK("CSG3.html#group48D3", "48D³")</f>
        <v/>
      </c>
      <c r="L1890">
        <f>HYPERLINK("CSG16.html#group96B16", "96B¹⁶"), =HYPERLINK("CSG16.html#group96D16", "96D¹⁶"), =HYPERLINK("CSG17.html#group96U17", "96U¹⁷"), =HYPERLINK("CSG17.html#group96W17", "96W¹⁷"), =HYPERLINK("CSG17.html#group96Y17", "96Y¹⁷"), =HYPERLINK("CSG18.html#group96C18", "96C¹⁸"), =HYPERLINK("CSG18.html#group96E18", "96E¹⁸"), =HYPERLINK("CSG18.html#group96G18", "96G¹⁸"), =HYPERLINK("CSG19.html#group96AA19", "96AA¹⁹"), =HYPERLINK("CSG19.html#group96AZ19", "96AZ¹⁹"), =HYPERLINK("CSG20.html#group96B20", "96B²⁰")</f>
        <v/>
      </c>
      <c r="M1890">
        <f>HYPERLINK("CSG0.html#group16E0", "16E⁰"), =HYPERLINK("CSG0.html#group12C0", "12C⁰"), =HYPERLINK("CSG0.html#group8D0", "8D⁰"), =HYPERLINK("CSG0.html#group4C0", "4C⁰"), =HYPERLINK("CSG1.html#group24C1", "24C¹"), =HYPERLINK("CSG0.html#group2B0", "2B⁰"), =HYPERLINK("CSG3.html#group48D3", "48D³"), =HYPERLINK("CSG0.html#group3A0", "3A⁰"), =HYPERLINK("CSG0.html#group1A0", "1A⁰"), =HYPERLINK("CSG0.html#group6D0", "6D⁰")</f>
        <v/>
      </c>
      <c r="N1890">
        <f>HYPERLINK("CSG17.html#group96U17", "96U¹⁷"), =HYPERLINK("CSG18.html#group96G18", "96G¹⁸"), =HYPERLINK("CSG18.html#group96E18", "96E¹⁸"), =HYPERLINK("CSG20.html#group96B20", "96B²⁰"), =HYPERLINK("CSG16.html#group96B16", "96B¹⁶"), =HYPERLINK("CSG18.html#group96C18", "96C¹⁸"), =HYPERLINK("CSG16.html#group96D16", "96D¹⁶"), =HYPERLINK("CSG17.html#group96Y17", "96Y¹⁷"), =HYPERLINK("CSG17.html#group96W17", "96W¹⁷"), =HYPERLINK("CSG19.html#group96AA19", "96AA¹⁹"), =HYPERLINK("CSG19.html#group96AZ19", "96AZ¹⁹")</f>
        <v/>
      </c>
    </row>
    <row r="1891">
      <c r="A1891" t="inlineStr">
        <is>
          <t>101A⁸</t>
        </is>
      </c>
      <c r="B1891" t="inlineStr">
        <is>
          <t>Γ₀(101)</t>
        </is>
      </c>
      <c r="C1891" t="inlineStr">
        <is>
          <t>102</t>
        </is>
      </c>
      <c r="D1891" t="inlineStr">
        <is>
          <t>1</t>
        </is>
      </c>
      <c r="E1891" t="inlineStr">
        <is>
          <t>102</t>
        </is>
      </c>
      <c r="F1891" t="inlineStr">
        <is>
          <t>2</t>
        </is>
      </c>
      <c r="G1891" t="inlineStr">
        <is>
          <t>0</t>
        </is>
      </c>
      <c r="H1891" t="inlineStr">
        <is>
          <t>1¹, 101¹</t>
        </is>
      </c>
      <c r="I1891" t="n">
        <v>2</v>
      </c>
      <c r="J1891" t="inlineStr">
        <is>
          <t>1², 100¹</t>
        </is>
      </c>
      <c r="K1891">
        <f>HYPERLINK("CSG0.html#group1A0", "1A⁰")</f>
        <v/>
      </c>
      <c r="L1891">
        <f>HYPERLINK("CSG16.html#group101A16", "101A¹⁶"), =HYPERLINK("CSG16.html#group202A16", "202A¹⁶"), =HYPERLINK("CSG17.html#group202A17", "202A¹⁷"), =HYPERLINK("CSG24.html#group202A24", "202A²⁴"), =HYPERLINK("CSG24.html#group303A24", "303A²⁴")</f>
        <v/>
      </c>
      <c r="M1891">
        <f>HYPERLINK("CSG0.html#group1A0", "1A⁰")</f>
        <v/>
      </c>
      <c r="N1891">
        <f>HYPERLINK("CSG24.html#group303A24", "303A²⁴"), =HYPERLINK("CSG17.html#group202A17", "202A¹⁷"), =HYPERLINK("CSG16.html#group101A16", "101A¹⁶"), =HYPERLINK("CSG16.html#group202A16", "202A¹⁶"), =HYPERLINK("CSG24.html#group202A24", "202A²⁴")</f>
        <v/>
      </c>
    </row>
    <row r="1892">
      <c r="A1892" t="inlineStr">
        <is>
          <t>103A⁸</t>
        </is>
      </c>
      <c r="B1892" t="inlineStr">
        <is>
          <t>Γ₀(103)</t>
        </is>
      </c>
      <c r="C1892" t="inlineStr">
        <is>
          <t>104</t>
        </is>
      </c>
      <c r="D1892" t="inlineStr">
        <is>
          <t>1</t>
        </is>
      </c>
      <c r="E1892" t="inlineStr">
        <is>
          <t>104</t>
        </is>
      </c>
      <c r="F1892" t="inlineStr">
        <is>
          <t>0</t>
        </is>
      </c>
      <c r="G1892" t="inlineStr">
        <is>
          <t>2</t>
        </is>
      </c>
      <c r="H1892" t="inlineStr">
        <is>
          <t>1¹, 103¹</t>
        </is>
      </c>
      <c r="I1892" t="n">
        <v>2</v>
      </c>
      <c r="J1892" t="inlineStr">
        <is>
          <t>1², 102¹</t>
        </is>
      </c>
      <c r="K1892">
        <f>HYPERLINK("CSG0.html#group1A0", "1A⁰")</f>
        <v/>
      </c>
      <c r="L1892">
        <f>HYPERLINK("CSG16.html#group206A16", "206A¹⁶"), =HYPERLINK("CSG24.html#group103A24", "103A²⁴")</f>
        <v/>
      </c>
      <c r="M1892">
        <f>HYPERLINK("CSG0.html#group1A0", "1A⁰")</f>
        <v/>
      </c>
      <c r="N1892">
        <f>HYPERLINK("CSG16.html#group206A16", "206A¹⁶"), =HYPERLINK("CSG24.html#group103A24", "103A²⁴")</f>
        <v/>
      </c>
    </row>
    <row r="1893">
      <c r="A1893" t="inlineStr">
        <is>
          <t>105A⁸</t>
        </is>
      </c>
      <c r="B1893" t="inlineStr"/>
      <c r="C1893" t="inlineStr">
        <is>
          <t>120</t>
        </is>
      </c>
      <c r="D1893" t="inlineStr">
        <is>
          <t>2</t>
        </is>
      </c>
      <c r="E1893" t="inlineStr">
        <is>
          <t>40</t>
        </is>
      </c>
      <c r="F1893" t="inlineStr">
        <is>
          <t>0</t>
        </is>
      </c>
      <c r="G1893" t="inlineStr">
        <is>
          <t>6</t>
        </is>
      </c>
      <c r="H1893" t="inlineStr">
        <is>
          <t>15¹, 105¹</t>
        </is>
      </c>
      <c r="I1893" t="n">
        <v>2</v>
      </c>
      <c r="J1893" t="inlineStr">
        <is>
          <t>2², 8², 12¹, 48¹</t>
        </is>
      </c>
      <c r="K1893">
        <f>HYPERLINK("CSG0.html#group15A0", "15A⁰"), =HYPERLINK("CSG2.html#group35B2", "35B²")</f>
        <v/>
      </c>
      <c r="L1893">
        <f>HYPERLINK("CSG16.html#group210F16", "210F¹⁶")</f>
        <v/>
      </c>
      <c r="M1893">
        <f>HYPERLINK("CSG0.html#group5A0", "5A⁰"), =HYPERLINK("CSG2.html#group35B2", "35B²"), =HYPERLINK("CSG0.html#group1A0", "1A⁰"), =HYPERLINK("CSG0.html#group7B0", "7B⁰"), =HYPERLINK("CSG0.html#group15A0", "15A⁰")</f>
        <v/>
      </c>
      <c r="N1893">
        <f>HYPERLINK("CSG16.html#group210F16", "210F¹⁶")</f>
        <v/>
      </c>
    </row>
    <row r="1894">
      <c r="A1894" t="inlineStr">
        <is>
          <t>105B⁸</t>
        </is>
      </c>
      <c r="B1894" t="inlineStr"/>
      <c r="C1894" t="inlineStr">
        <is>
          <t>120</t>
        </is>
      </c>
      <c r="D1894" t="inlineStr">
        <is>
          <t>2</t>
        </is>
      </c>
      <c r="E1894" t="inlineStr">
        <is>
          <t>40</t>
        </is>
      </c>
      <c r="F1894" t="inlineStr">
        <is>
          <t>0</t>
        </is>
      </c>
      <c r="G1894" t="inlineStr">
        <is>
          <t>6</t>
        </is>
      </c>
      <c r="H1894" t="inlineStr">
        <is>
          <t>15¹, 105¹</t>
        </is>
      </c>
      <c r="I1894" t="n">
        <v>2</v>
      </c>
      <c r="J1894" t="inlineStr">
        <is>
          <t>2², 8², 12¹, 48¹</t>
        </is>
      </c>
      <c r="K1894">
        <f>HYPERLINK("CSG1.html#group21A1", "21A¹"), =HYPERLINK("CSG2.html#group35B2", "35B²")</f>
        <v/>
      </c>
      <c r="L1894">
        <f>HYPERLINK("CSG16.html#group210G16", "210G¹⁶")</f>
        <v/>
      </c>
      <c r="M1894">
        <f>HYPERLINK("CSG0.html#group5A0", "5A⁰"), =HYPERLINK("CSG2.html#group35B2", "35B²"), =HYPERLINK("CSG0.html#group1A0", "1A⁰"), =HYPERLINK("CSG0.html#group7B0", "7B⁰"), =HYPERLINK("CSG1.html#group21A1", "21A¹")</f>
        <v/>
      </c>
      <c r="N1894">
        <f>HYPERLINK("CSG16.html#group210G16", "210G¹⁶")</f>
        <v/>
      </c>
    </row>
    <row r="1895">
      <c r="A1895" t="inlineStr">
        <is>
          <t>106A⁸</t>
        </is>
      </c>
      <c r="B1895" t="inlineStr"/>
      <c r="C1895" t="inlineStr">
        <is>
          <t>108</t>
        </is>
      </c>
      <c r="D1895" t="inlineStr">
        <is>
          <t>1</t>
        </is>
      </c>
      <c r="E1895" t="inlineStr">
        <is>
          <t>54</t>
        </is>
      </c>
      <c r="F1895" t="inlineStr">
        <is>
          <t>4</t>
        </is>
      </c>
      <c r="G1895" t="inlineStr">
        <is>
          <t>0</t>
        </is>
      </c>
      <c r="H1895" t="inlineStr">
        <is>
          <t>2¹, 106¹</t>
        </is>
      </c>
      <c r="I1895" t="n">
        <v>2</v>
      </c>
      <c r="J1895" t="inlineStr">
        <is>
          <t>1², 52¹</t>
        </is>
      </c>
      <c r="K1895">
        <f>HYPERLINK("CSG4.html#group53A4", "53A⁴")</f>
        <v/>
      </c>
      <c r="L1895">
        <f>HYPERLINK("CSG17.html#group106A17", "106A¹⁷"), =HYPERLINK("CSG17.html#group212B17", "212B¹⁷"), =HYPERLINK("CSG24.html#group106B24", "106B²⁴"), =HYPERLINK("CSG24.html#group318A24", "318A²⁴")</f>
        <v/>
      </c>
      <c r="M1895">
        <f>HYPERLINK("CSG0.html#group1A0", "1A⁰"), =HYPERLINK("CSG4.html#group53A4", "53A⁴")</f>
        <v/>
      </c>
      <c r="N1895">
        <f>HYPERLINK("CSG24.html#group318A24", "318A²⁴"), =HYPERLINK("CSG17.html#group106A17", "106A¹⁷"), =HYPERLINK("CSG17.html#group212B17", "212B¹⁷"), =HYPERLINK("CSG24.html#group106B24", "106B²⁴")</f>
        <v/>
      </c>
    </row>
    <row r="1896">
      <c r="A1896" t="inlineStr">
        <is>
          <t>108A⁸</t>
        </is>
      </c>
      <c r="B1896" t="inlineStr"/>
      <c r="C1896" t="inlineStr">
        <is>
          <t>144</t>
        </is>
      </c>
      <c r="D1896" t="inlineStr">
        <is>
          <t>1</t>
        </is>
      </c>
      <c r="E1896" t="inlineStr">
        <is>
          <t>12</t>
        </is>
      </c>
      <c r="F1896" t="inlineStr">
        <is>
          <t>0</t>
        </is>
      </c>
      <c r="G1896" t="inlineStr">
        <is>
          <t>12</t>
        </is>
      </c>
      <c r="H1896" t="inlineStr">
        <is>
          <t>36¹, 108¹</t>
        </is>
      </c>
      <c r="I1896" t="n">
        <v>2</v>
      </c>
      <c r="J1896" t="inlineStr">
        <is>
          <t>1², 2², 6¹</t>
        </is>
      </c>
      <c r="K1896">
        <f>HYPERLINK("CSG0.html#group36A0", "36A⁰"), =HYPERLINK("CSG4.html#group54B4", "54B⁴")</f>
        <v/>
      </c>
      <c r="L1896">
        <f>HYPERLINK("CSG22.html#group108B22", "108B²²")</f>
        <v/>
      </c>
      <c r="M1896">
        <f>HYPERLINK("CSG0.html#group3B0", "3B⁰"), =HYPERLINK("CSG0.html#group2A0", "2A⁰"), =HYPERLINK("CSG2.html#group27B2", "27B²"), =HYPERLINK("CSG0.html#group18B0", "18B⁰"), =HYPERLINK("CSG0.html#group6C0", "6C⁰"), =HYPERLINK("CSG4.html#group54B4", "54B⁴"), =HYPERLINK("CSG0.html#group9C0", "9C⁰"), =HYPERLINK("CSG0.html#group1A0", "1A⁰"), =HYPERLINK("CSG0.html#group36A0", "36A⁰"), =HYPERLINK("CSG0.html#group12B0", "12B⁰")</f>
        <v/>
      </c>
      <c r="N1896">
        <f>HYPERLINK("CSG22.html#group108B22", "108B²²")</f>
        <v/>
      </c>
    </row>
    <row r="1897">
      <c r="A1897" t="inlineStr">
        <is>
          <t>108B⁸</t>
        </is>
      </c>
      <c r="B1897" t="inlineStr"/>
      <c r="C1897" t="inlineStr">
        <is>
          <t>144</t>
        </is>
      </c>
      <c r="D1897" t="inlineStr">
        <is>
          <t>1</t>
        </is>
      </c>
      <c r="E1897" t="inlineStr">
        <is>
          <t>24</t>
        </is>
      </c>
      <c r="F1897" t="inlineStr">
        <is>
          <t>0</t>
        </is>
      </c>
      <c r="G1897" t="inlineStr">
        <is>
          <t>12</t>
        </is>
      </c>
      <c r="H1897" t="inlineStr">
        <is>
          <t>36¹, 108¹</t>
        </is>
      </c>
      <c r="I1897" t="n">
        <v>2</v>
      </c>
      <c r="J1897" t="inlineStr">
        <is>
          <t>2⁶, 6²</t>
        </is>
      </c>
      <c r="K1897">
        <f>HYPERLINK("CSG0.html#group36A0", "36A⁰"), =HYPERLINK("CSG4.html#group54D4", "54D⁴")</f>
        <v/>
      </c>
      <c r="L1897">
        <f>HYPERLINK("CSG22.html#group108C22", "108C²²")</f>
        <v/>
      </c>
      <c r="M1897">
        <f>HYPERLINK("CSG0.html#group3B0", "3B⁰"), =HYPERLINK("CSG0.html#group2A0", "2A⁰"), =HYPERLINK("CSG0.html#group18B0", "18B⁰"), =HYPERLINK("CSG0.html#group6C0", "6C⁰"), =HYPERLINK("CSG4.html#group54D4", "54D⁴"), =HYPERLINK("CSG0.html#group9C0", "9C⁰"), =HYPERLINK("CSG0.html#group1A0", "1A⁰"), =HYPERLINK("CSG0.html#group36A0", "36A⁰"), =HYPERLINK("CSG0.html#group12B0", "12B⁰")</f>
        <v/>
      </c>
      <c r="N1897">
        <f>HYPERLINK("CSG22.html#group108C22", "108C²²")</f>
        <v/>
      </c>
    </row>
    <row r="1898">
      <c r="A1898" t="inlineStr">
        <is>
          <t>109A⁸</t>
        </is>
      </c>
      <c r="B1898" t="inlineStr">
        <is>
          <t>Γ₀(109)</t>
        </is>
      </c>
      <c r="C1898" t="inlineStr">
        <is>
          <t>110</t>
        </is>
      </c>
      <c r="D1898" t="inlineStr">
        <is>
          <t>1</t>
        </is>
      </c>
      <c r="E1898" t="inlineStr">
        <is>
          <t>110</t>
        </is>
      </c>
      <c r="F1898" t="inlineStr">
        <is>
          <t>2</t>
        </is>
      </c>
      <c r="G1898" t="inlineStr">
        <is>
          <t>2</t>
        </is>
      </c>
      <c r="H1898" t="inlineStr">
        <is>
          <t>1¹, 109¹</t>
        </is>
      </c>
      <c r="I1898" t="n">
        <v>2</v>
      </c>
      <c r="J1898" t="inlineStr">
        <is>
          <t>1², 108¹</t>
        </is>
      </c>
      <c r="K1898">
        <f>HYPERLINK("CSG0.html#group1A0", "1A⁰")</f>
        <v/>
      </c>
      <c r="L1898">
        <f>HYPERLINK("CSG16.html#group109A16", "109A¹⁶"), =HYPERLINK("CSG16.html#group218A16", "218A¹⁶"), =HYPERLINK("CSG17.html#group218A17", "218A¹⁷"), =HYPERLINK("CSG22.html#group109A22", "109A²²")</f>
        <v/>
      </c>
      <c r="M1898">
        <f>HYPERLINK("CSG0.html#group1A0", "1A⁰")</f>
        <v/>
      </c>
      <c r="N1898">
        <f>HYPERLINK("CSG16.html#group109A16", "109A¹⁶"), =HYPERLINK("CSG16.html#group218A16", "218A¹⁶"), =HYPERLINK("CSG17.html#group218A17", "218A¹⁷"), =HYPERLINK("CSG22.html#group109A22", "109A²²")</f>
        <v/>
      </c>
    </row>
    <row r="1899">
      <c r="A1899" t="inlineStr">
        <is>
          <t>110A⁸</t>
        </is>
      </c>
      <c r="B1899" t="inlineStr"/>
      <c r="C1899" t="inlineStr">
        <is>
          <t>132</t>
        </is>
      </c>
      <c r="D1899" t="inlineStr">
        <is>
          <t>2</t>
        </is>
      </c>
      <c r="E1899" t="inlineStr">
        <is>
          <t>66</t>
        </is>
      </c>
      <c r="F1899" t="inlineStr">
        <is>
          <t>12</t>
        </is>
      </c>
      <c r="G1899" t="inlineStr">
        <is>
          <t>0</t>
        </is>
      </c>
      <c r="H1899" t="inlineStr">
        <is>
          <t>22¹, 110¹</t>
        </is>
      </c>
      <c r="I1899" t="n">
        <v>2</v>
      </c>
      <c r="J1899" t="inlineStr">
        <is>
          <t>2², 8¹, 10⁴, 40²</t>
        </is>
      </c>
      <c r="K1899">
        <f>HYPERLINK("CSG0.html#group10B0", "10B⁰"), =HYPERLINK("CSG4.html#group55A4", "55A⁴")</f>
        <v/>
      </c>
      <c r="L1899">
        <f>HYPERLINK("CSG19.html#group220A19", "220A¹⁹"), =HYPERLINK("CSG19.html#group220B19", "220B¹⁹"), =HYPERLINK("CSG21.html#group110A21", "110A²¹"), =HYPERLINK("CSG24.html#group330D24", "330D²⁴")</f>
        <v/>
      </c>
      <c r="M1899">
        <f>HYPERLINK("CSG0.html#group5B0", "5B⁰"), =HYPERLINK("CSG0.html#group11A0", "11A⁰"), =HYPERLINK("CSG4.html#group55A4", "55A⁴"), =HYPERLINK("CSG0.html#group1A0", "1A⁰"), =HYPERLINK("CSG0.html#group10B0", "10B⁰")</f>
        <v/>
      </c>
      <c r="N1899">
        <f>HYPERLINK("CSG24.html#group330D24", "330D²⁴"), =HYPERLINK("CSG19.html#group220B19", "220B¹⁹"), =HYPERLINK("CSG19.html#group220A19", "220A¹⁹"), =HYPERLINK("CSG21.html#group110A21", "110A²¹")</f>
        <v/>
      </c>
    </row>
    <row r="1900">
      <c r="A1900" t="inlineStr">
        <is>
          <t>111A⁸</t>
        </is>
      </c>
      <c r="B1900" t="inlineStr"/>
      <c r="C1900" t="inlineStr">
        <is>
          <t>114</t>
        </is>
      </c>
      <c r="D1900" t="inlineStr">
        <is>
          <t>1</t>
        </is>
      </c>
      <c r="E1900" t="inlineStr">
        <is>
          <t>38</t>
        </is>
      </c>
      <c r="F1900" t="inlineStr">
        <is>
          <t>6</t>
        </is>
      </c>
      <c r="G1900" t="inlineStr">
        <is>
          <t>0</t>
        </is>
      </c>
      <c r="H1900" t="inlineStr">
        <is>
          <t>3¹, 111¹</t>
        </is>
      </c>
      <c r="I1900" t="n">
        <v>2</v>
      </c>
      <c r="J1900" t="inlineStr">
        <is>
          <t>1², 36¹</t>
        </is>
      </c>
      <c r="K1900">
        <f>HYPERLINK("CSG0.html#group3A0", "3A⁰"), =HYPERLINK("CSG2.html#group37A2", "37A²")</f>
        <v/>
      </c>
      <c r="L1900">
        <f>HYPERLINK("CSG16.html#group111A16", "111A¹⁶"), =HYPERLINK("CSG16.html#group222A16", "222A¹⁶"), =HYPERLINK("CSG17.html#group111A17", "111A¹⁷"), =HYPERLINK("CSG17.html#group222B17", "222B¹⁷"), =HYPERLINK("CSG18.html#group111A18", "111A¹⁸"), =HYPERLINK("CSG18.html#group222A18", "222A¹⁸"), =HYPERLINK("CSG19.html#group222A19", "222A¹⁹"), =HYPERLINK("CSG22.html#group111A22", "111A²²")</f>
        <v/>
      </c>
      <c r="M1900">
        <f>HYPERLINK("CSG0.html#group3A0", "3A⁰"), =HYPERLINK("CSG0.html#group1A0", "1A⁰"), =HYPERLINK("CSG2.html#group37A2", "37A²")</f>
        <v/>
      </c>
      <c r="N1900">
        <f>HYPERLINK("CSG18.html#group222A18", "222A¹⁸"), =HYPERLINK("CSG19.html#group222A19", "222A¹⁹"), =HYPERLINK("CSG16.html#group222A16", "222A¹⁶"), =HYPERLINK("CSG18.html#group111A18", "111A¹⁸"), =HYPERLINK("CSG22.html#group111A22", "111A²²"), =HYPERLINK("CSG17.html#group111A17", "111A¹⁷"), =HYPERLINK("CSG16.html#group111A16", "111A¹⁶"), =HYPERLINK("CSG17.html#group222B17", "222B¹⁷")</f>
        <v/>
      </c>
    </row>
    <row r="1901">
      <c r="A1901" t="inlineStr">
        <is>
          <t>111B⁸</t>
        </is>
      </c>
      <c r="B1901" t="inlineStr"/>
      <c r="C1901" t="inlineStr">
        <is>
          <t>114</t>
        </is>
      </c>
      <c r="D1901" t="inlineStr">
        <is>
          <t>2</t>
        </is>
      </c>
      <c r="E1901" t="inlineStr">
        <is>
          <t>38</t>
        </is>
      </c>
      <c r="F1901" t="inlineStr">
        <is>
          <t>6</t>
        </is>
      </c>
      <c r="G1901" t="inlineStr">
        <is>
          <t>0</t>
        </is>
      </c>
      <c r="H1901" t="inlineStr">
        <is>
          <t>3¹, 111¹</t>
        </is>
      </c>
      <c r="I1901" t="n">
        <v>2</v>
      </c>
      <c r="J1901" t="inlineStr">
        <is>
          <t>2², 72¹</t>
        </is>
      </c>
      <c r="K1901">
        <f>HYPERLINK("CSG2.html#group37A2", "37A²")</f>
        <v/>
      </c>
      <c r="L1901">
        <f>HYPERLINK("CSG16.html#group222B16", "222B¹⁶"), =HYPERLINK("CSG18.html#group111B18", "111B¹⁸"), =HYPERLINK("CSG19.html#group222B19", "222B¹⁹"), =HYPERLINK("CSG22.html#group111A22", "111A²²")</f>
        <v/>
      </c>
      <c r="M1901">
        <f>HYPERLINK("CSG2.html#group37A2", "37A²"), =HYPERLINK("CSG0.html#group1A0", "1A⁰")</f>
        <v/>
      </c>
      <c r="N1901">
        <f>HYPERLINK("CSG18.html#group111B18", "111B¹⁸"), =HYPERLINK("CSG19.html#group222B19", "222B¹⁹"), =HYPERLINK("CSG16.html#group222B16", "222B¹⁶"), =HYPERLINK("CSG22.html#group111A22", "111A²²")</f>
        <v/>
      </c>
    </row>
    <row r="1902">
      <c r="A1902" t="inlineStr">
        <is>
          <t>112A⁸</t>
        </is>
      </c>
      <c r="B1902" t="inlineStr"/>
      <c r="C1902" t="inlineStr">
        <is>
          <t>128</t>
        </is>
      </c>
      <c r="D1902" t="inlineStr">
        <is>
          <t>2</t>
        </is>
      </c>
      <c r="E1902" t="inlineStr">
        <is>
          <t>64</t>
        </is>
      </c>
      <c r="F1902" t="inlineStr">
        <is>
          <t>0</t>
        </is>
      </c>
      <c r="G1902" t="inlineStr">
        <is>
          <t>8</t>
        </is>
      </c>
      <c r="H1902" t="inlineStr">
        <is>
          <t>16¹, 112¹</t>
        </is>
      </c>
      <c r="I1902" t="n">
        <v>2</v>
      </c>
      <c r="J1902" t="inlineStr">
        <is>
          <t>8⁴, 48²</t>
        </is>
      </c>
      <c r="K1902">
        <f>HYPERLINK("CSG0.html#group16A0", "16A⁰"), =HYPERLINK("CSG4.html#group56A4", "56A⁴")</f>
        <v/>
      </c>
      <c r="L1902">
        <f>HYPERLINK("CSG15.html#group112L15", "112L¹⁵")</f>
        <v/>
      </c>
      <c r="M1902">
        <f>HYPERLINK("CSG0.html#group8A0", "8A⁰"), =HYPERLINK("CSG4.html#group56A4", "56A⁴"), =HYPERLINK("CSG0.html#group16A0", "16A⁰"), =HYPERLINK("CSG0.html#group4A0", "4A⁰"), =HYPERLINK("CSG0.html#group1A0", "1A⁰"), =HYPERLINK("CSG0.html#group7B0", "7B⁰"), =HYPERLINK("CSG2.html#group28A2", "28A²")</f>
        <v/>
      </c>
      <c r="N1902">
        <f>HYPERLINK("CSG15.html#group112L15", "112L¹⁵")</f>
        <v/>
      </c>
    </row>
    <row r="1903">
      <c r="A1903" t="inlineStr">
        <is>
          <t>112B⁸</t>
        </is>
      </c>
      <c r="B1903" t="inlineStr"/>
      <c r="C1903" t="inlineStr">
        <is>
          <t>168</t>
        </is>
      </c>
      <c r="D1903" t="inlineStr">
        <is>
          <t>2</t>
        </is>
      </c>
      <c r="E1903" t="inlineStr">
        <is>
          <t>21</t>
        </is>
      </c>
      <c r="F1903" t="inlineStr">
        <is>
          <t>24</t>
        </is>
      </c>
      <c r="G1903" t="inlineStr">
        <is>
          <t>0</t>
        </is>
      </c>
      <c r="H1903" t="inlineStr">
        <is>
          <t>56¹, 112¹</t>
        </is>
      </c>
      <c r="I1903" t="n">
        <v>2</v>
      </c>
      <c r="J1903" t="inlineStr">
        <is>
          <t>2³, 6⁶</t>
        </is>
      </c>
      <c r="K1903">
        <f>HYPERLINK("CSG0.html#group16B0", "16B⁰"), =HYPERLINK("CSG4.html#group56B4", "56B⁴")</f>
        <v/>
      </c>
      <c r="L1903">
        <f>HYPERLINK("CSG19.html#group112A19", "112A¹⁹"), =HYPERLINK("CSG19.html#group224A19", "224A¹⁹"), =HYPERLINK("CSG21.html#group112A21", "112A²¹"), =HYPERLINK("CSG21.html#group112B21", "112B²¹"), =HYPERLINK("CSG21.html#group112C21", "112C²¹"), =HYPERLINK("CSG21.html#group112D21", "112D²¹"), =HYPERLINK("CSG21.html#group224A21", "224A²¹"), =HYPERLINK("CSG23.html#group112A23", "112A²³"), =HYPERLINK("CSG23.html#group224A23", "224A²³"), =HYPERLINK("CSG24.html#group336I24", "336I²⁴")</f>
        <v/>
      </c>
      <c r="M1903">
        <f>HYPERLINK("CSG0.html#group16B0", "16B⁰"), =HYPERLINK("CSG2.html#group28C2", "28C²"), =HYPERLINK("CSG1.html#group14B1", "14B¹"), =HYPERLINK("CSG0.html#group4C0", "4C⁰"), =HYPERLINK("CSG0.html#group8B0", "8B⁰"), =HYPERLINK("CSG0.html#group2B0", "2B⁰"), =HYPERLINK("CSG0.html#group1A0", "1A⁰"), =HYPERLINK("CSG0.html#group7A0", "7A⁰"), =HYPERLINK("CSG4.html#group56B4", "56B⁴")</f>
        <v/>
      </c>
      <c r="N1903">
        <f>HYPERLINK("CSG21.html#group112C21", "112C²¹"), =HYPERLINK("CSG23.html#group224A23", "224A²³"), =HYPERLINK("CSG21.html#group112B21", "112B²¹"), =HYPERLINK("CSG21.html#group224A21", "224A²¹"), =HYPERLINK("CSG24.html#group336I24", "336I²⁴"), =HYPERLINK("CSG19.html#group224A19", "224A¹⁹"), =HYPERLINK("CSG21.html#group112D21", "112D²¹"), =HYPERLINK("CSG19.html#group112A19", "112A¹⁹"), =HYPERLINK("CSG21.html#group112A21", "112A²¹"), =HYPERLINK("CSG23.html#group112A23", "112A²³")</f>
        <v/>
      </c>
    </row>
    <row r="1904">
      <c r="A1904" t="inlineStr">
        <is>
          <t>114A⁸</t>
        </is>
      </c>
      <c r="B1904" t="inlineStr"/>
      <c r="C1904" t="inlineStr">
        <is>
          <t>120</t>
        </is>
      </c>
      <c r="D1904" t="inlineStr">
        <is>
          <t>1</t>
        </is>
      </c>
      <c r="E1904" t="inlineStr">
        <is>
          <t>40</t>
        </is>
      </c>
      <c r="F1904" t="inlineStr">
        <is>
          <t>0</t>
        </is>
      </c>
      <c r="G1904" t="inlineStr">
        <is>
          <t>6</t>
        </is>
      </c>
      <c r="H1904" t="inlineStr">
        <is>
          <t>6¹, 114¹</t>
        </is>
      </c>
      <c r="I1904" t="n">
        <v>2</v>
      </c>
      <c r="J1904" t="inlineStr">
        <is>
          <t>2², 36¹</t>
        </is>
      </c>
      <c r="K1904">
        <f>HYPERLINK("CSG0.html#group6A0", "6A⁰"), =HYPERLINK("CSG2.html#group38A2", "38A²")</f>
        <v/>
      </c>
      <c r="L1904">
        <f>HYPERLINK("CSG16.html#group228A16", "228A¹⁶"), =HYPERLINK("CSG22.html#group114A22", "114A²²")</f>
        <v/>
      </c>
      <c r="M1904">
        <f>HYPERLINK("CSG0.html#group2A0", "2A⁰"), =HYPERLINK("CSG1.html#group19A1", "19A¹"), =HYPERLINK("CSG2.html#group38A2", "38A²"), =HYPERLINK("CSG0.html#group6A0", "6A⁰"), =HYPERLINK("CSG0.html#group1A0", "1A⁰")</f>
        <v/>
      </c>
      <c r="N1904">
        <f>HYPERLINK("CSG16.html#group228A16", "228A¹⁶"), =HYPERLINK("CSG22.html#group114A22", "114A²²")</f>
        <v/>
      </c>
    </row>
    <row r="1905">
      <c r="A1905" t="inlineStr">
        <is>
          <t>114B⁸</t>
        </is>
      </c>
      <c r="B1905" t="inlineStr"/>
      <c r="C1905" t="inlineStr">
        <is>
          <t>120</t>
        </is>
      </c>
      <c r="D1905" t="inlineStr">
        <is>
          <t>2</t>
        </is>
      </c>
      <c r="E1905" t="inlineStr">
        <is>
          <t>40</t>
        </is>
      </c>
      <c r="F1905" t="inlineStr">
        <is>
          <t>0</t>
        </is>
      </c>
      <c r="G1905" t="inlineStr">
        <is>
          <t>6</t>
        </is>
      </c>
      <c r="H1905" t="inlineStr">
        <is>
          <t>6¹, 114¹</t>
        </is>
      </c>
      <c r="I1905" t="n">
        <v>2</v>
      </c>
      <c r="J1905" t="inlineStr">
        <is>
          <t>2⁴, 36²</t>
        </is>
      </c>
      <c r="K1905">
        <f>HYPERLINK("CSG2.html#group38A2", "38A²")</f>
        <v/>
      </c>
      <c r="L1905">
        <f>HYPERLINK("CSG16.html#group228B16", "228B¹⁶"), =HYPERLINK("CSG22.html#group114A22", "114A²²")</f>
        <v/>
      </c>
      <c r="M1905">
        <f>HYPERLINK("CSG0.html#group2A0", "2A⁰"), =HYPERLINK("CSG0.html#group1A0", "1A⁰"), =HYPERLINK("CSG1.html#group19A1", "19A¹"), =HYPERLINK("CSG2.html#group38A2", "38A²")</f>
        <v/>
      </c>
      <c r="N1905">
        <f>HYPERLINK("CSG16.html#group228B16", "228B¹⁶"), =HYPERLINK("CSG22.html#group114A22", "114A²²")</f>
        <v/>
      </c>
    </row>
    <row r="1906">
      <c r="A1906" t="inlineStr">
        <is>
          <t>117A⁸</t>
        </is>
      </c>
      <c r="B1906" t="inlineStr"/>
      <c r="C1906" t="inlineStr">
        <is>
          <t>126</t>
        </is>
      </c>
      <c r="D1906" t="inlineStr">
        <is>
          <t>1</t>
        </is>
      </c>
      <c r="E1906" t="inlineStr">
        <is>
          <t>126</t>
        </is>
      </c>
      <c r="F1906" t="inlineStr">
        <is>
          <t>10</t>
        </is>
      </c>
      <c r="G1906" t="inlineStr">
        <is>
          <t>0</t>
        </is>
      </c>
      <c r="H1906" t="inlineStr">
        <is>
          <t>9¹, 117¹</t>
        </is>
      </c>
      <c r="I1906" t="n">
        <v>2</v>
      </c>
      <c r="J1906" t="inlineStr">
        <is>
          <t>1², 2², 6², 12¹, 24¹, 72¹</t>
        </is>
      </c>
      <c r="K1906">
        <f>HYPERLINK("CSG0.html#group9A0", "9A⁰"), =HYPERLINK("CSG2.html#group39A2", "39A²")</f>
        <v/>
      </c>
      <c r="L1906">
        <f>HYPERLINK("CSG16.html#group117A16", "117A¹⁶"), =HYPERLINK("CSG16.html#group234A16", "234A¹⁶"), =HYPERLINK("CSG17.html#group117A17", "117A¹⁷"), =HYPERLINK("CSG17.html#group234A17", "234A¹⁷"), =HYPERLINK("CSG18.html#group117A18", "117A¹⁸"), =HYPERLINK("CSG18.html#group234A18", "234A¹⁸"), =HYPERLINK("CSG19.html#group117A19", "117A¹⁹"), =HYPERLINK("CSG19.html#group234A19", "234A¹⁹"), =HYPERLINK("CSG20.html#group117A20", "117A²⁰"), =HYPERLINK("CSG20.html#group234A20", "234A²⁰"), =HYPERLINK("CSG21.html#group234A21", "234A²¹"), =HYPERLINK("CSG22.html#group117A22", "117A²²")</f>
        <v/>
      </c>
      <c r="M1906">
        <f>HYPERLINK("CSG0.html#group13A0", "13A⁰"), =HYPERLINK("CSG2.html#group39A2", "39A²"), =HYPERLINK("CSG0.html#group3A0", "3A⁰"), =HYPERLINK("CSG0.html#group1A0", "1A⁰"), =HYPERLINK("CSG0.html#group9A0", "9A⁰")</f>
        <v/>
      </c>
      <c r="N1906">
        <f>HYPERLINK("CSG17.html#group117A17", "117A¹⁷"), =HYPERLINK("CSG19.html#group117A19", "117A¹⁹"), =HYPERLINK("CSG18.html#group234A18", "234A¹⁸"), =HYPERLINK("CSG19.html#group234A19", "234A¹⁹"), =HYPERLINK("CSG21.html#group234A21", "234A²¹"), =HYPERLINK("CSG22.html#group117A22", "117A²²"), =HYPERLINK("CSG16.html#group234A16", "234A¹⁶"), =HYPERLINK("CSG16.html#group117A16", "117A¹⁶"), =HYPERLINK("CSG20.html#group234A20", "234A²⁰"), =HYPERLINK("CSG18.html#group117A18", "117A¹⁸"), =HYPERLINK("CSG20.html#group117A20", "117A²⁰"), =HYPERLINK("CSG17.html#group234A17", "234A¹⁷")</f>
        <v/>
      </c>
    </row>
    <row r="1907">
      <c r="A1907" t="inlineStr">
        <is>
          <t>122A⁸</t>
        </is>
      </c>
      <c r="B1907" t="inlineStr"/>
      <c r="C1907" t="inlineStr">
        <is>
          <t>124</t>
        </is>
      </c>
      <c r="D1907" t="inlineStr">
        <is>
          <t>1</t>
        </is>
      </c>
      <c r="E1907" t="inlineStr">
        <is>
          <t>62</t>
        </is>
      </c>
      <c r="F1907" t="inlineStr">
        <is>
          <t>4</t>
        </is>
      </c>
      <c r="G1907" t="inlineStr">
        <is>
          <t>4</t>
        </is>
      </c>
      <c r="H1907" t="inlineStr">
        <is>
          <t>2¹, 122¹</t>
        </is>
      </c>
      <c r="I1907" t="n">
        <v>2</v>
      </c>
      <c r="J1907" t="inlineStr">
        <is>
          <t>1², 60¹</t>
        </is>
      </c>
      <c r="K1907">
        <f>HYPERLINK("CSG4.html#group61A4", "61A⁴")</f>
        <v/>
      </c>
      <c r="L1907">
        <f>HYPERLINK("CSG17.html#group122A17", "122A¹⁷"), =HYPERLINK("CSG17.html#group244A17", "244A¹⁷")</f>
        <v/>
      </c>
      <c r="M1907">
        <f>HYPERLINK("CSG0.html#group1A0", "1A⁰"), =HYPERLINK("CSG4.html#group61A4", "61A⁴")</f>
        <v/>
      </c>
      <c r="N1907">
        <f>HYPERLINK("CSG17.html#group122A17", "122A¹⁷"), =HYPERLINK("CSG17.html#group244A17", "244A¹⁷")</f>
        <v/>
      </c>
    </row>
    <row r="1908">
      <c r="A1908" t="inlineStr">
        <is>
          <t>124A⁸</t>
        </is>
      </c>
      <c r="B1908" t="inlineStr"/>
      <c r="C1908" t="inlineStr">
        <is>
          <t>128</t>
        </is>
      </c>
      <c r="D1908" t="inlineStr">
        <is>
          <t>1</t>
        </is>
      </c>
      <c r="E1908" t="inlineStr">
        <is>
          <t>32</t>
        </is>
      </c>
      <c r="F1908" t="inlineStr">
        <is>
          <t>0</t>
        </is>
      </c>
      <c r="G1908" t="inlineStr">
        <is>
          <t>8</t>
        </is>
      </c>
      <c r="H1908" t="inlineStr">
        <is>
          <t>4¹, 124¹</t>
        </is>
      </c>
      <c r="I1908" t="n">
        <v>2</v>
      </c>
      <c r="J1908" t="inlineStr">
        <is>
          <t>1², 30¹</t>
        </is>
      </c>
      <c r="K1908">
        <f>HYPERLINK("CSG4.html#group62A4", "62A⁴")</f>
        <v/>
      </c>
      <c r="L1908" t="inlineStr"/>
      <c r="M1908">
        <f>HYPERLINK("CSG0.html#group2A0", "2A⁰"), =HYPERLINK("CSG2.html#group31A2", "31A²"), =HYPERLINK("CSG0.html#group1A0", "1A⁰"), =HYPERLINK("CSG4.html#group62A4", "62A⁴")</f>
        <v/>
      </c>
      <c r="N1908" t="inlineStr"/>
    </row>
    <row r="1909">
      <c r="A1909" t="inlineStr">
        <is>
          <t>125A⁸</t>
        </is>
      </c>
      <c r="B1909" t="inlineStr">
        <is>
          <t>Γ₀(125)</t>
        </is>
      </c>
      <c r="C1909" t="inlineStr">
        <is>
          <t>150</t>
        </is>
      </c>
      <c r="D1909" t="inlineStr">
        <is>
          <t>1</t>
        </is>
      </c>
      <c r="E1909" t="inlineStr">
        <is>
          <t>150</t>
        </is>
      </c>
      <c r="F1909" t="inlineStr">
        <is>
          <t>2</t>
        </is>
      </c>
      <c r="G1909" t="inlineStr">
        <is>
          <t>0</t>
        </is>
      </c>
      <c r="H1909" t="inlineStr">
        <is>
          <t>1⁵, 5⁴, 125¹</t>
        </is>
      </c>
      <c r="I1909" t="n">
        <v>10</v>
      </c>
      <c r="J1909" t="inlineStr">
        <is>
          <t>1², 4², 20², 100¹</t>
        </is>
      </c>
      <c r="K1909">
        <f>HYPERLINK("CSG0.html#group25A0", "25A⁰")</f>
        <v/>
      </c>
      <c r="L1909">
        <f>HYPERLINK("CSG16.html#group125A16", "125A¹⁶"), =HYPERLINK("CSG20.html#group250A20", "250A²⁰"), =HYPERLINK("CSG21.html#group250A21", "250A²¹")</f>
        <v/>
      </c>
      <c r="M1909">
        <f>HYPERLINK("CSG0.html#group25A0", "25A⁰"), =HYPERLINK("CSG0.html#group5B0", "5B⁰"), =HYPERLINK("CSG0.html#group1A0", "1A⁰")</f>
        <v/>
      </c>
      <c r="N1909">
        <f>HYPERLINK("CSG16.html#group125A16", "125A¹⁶"), =HYPERLINK("CSG21.html#group250A21", "250A²¹"), =HYPERLINK("CSG20.html#group250A20", "250A²⁰")</f>
        <v/>
      </c>
    </row>
    <row r="1910">
      <c r="A1910" t="inlineStr">
        <is>
          <t>126A⁸</t>
        </is>
      </c>
      <c r="B1910" t="inlineStr"/>
      <c r="C1910" t="inlineStr">
        <is>
          <t>126</t>
        </is>
      </c>
      <c r="D1910" t="inlineStr">
        <is>
          <t>2</t>
        </is>
      </c>
      <c r="E1910" t="inlineStr">
        <is>
          <t>63</t>
        </is>
      </c>
      <c r="F1910" t="inlineStr">
        <is>
          <t>12</t>
        </is>
      </c>
      <c r="G1910" t="inlineStr">
        <is>
          <t>0</t>
        </is>
      </c>
      <c r="H1910" t="inlineStr">
        <is>
          <t>126¹</t>
        </is>
      </c>
      <c r="I1910" t="n">
        <v>1</v>
      </c>
      <c r="J1910" t="inlineStr">
        <is>
          <t>2¹, 4¹, 6², 12³, 36²</t>
        </is>
      </c>
      <c r="K1910">
        <f>HYPERLINK("CSG1.html#group18A1", "18A¹"), =HYPERLINK("CSG1.html#group42B1", "42B¹"), =HYPERLINK("CSG2.html#group63A2", "63A²")</f>
        <v/>
      </c>
      <c r="L1910">
        <f>HYPERLINK("CSG17.html#group126B17", "126B¹⁷"), =HYPERLINK("CSG18.html#group126B18", "126B¹⁸"), =HYPERLINK("CSG18.html#group126C18", "126C¹⁸"), =HYPERLINK("CSG18.html#group126D18", "126D¹⁸"), =HYPERLINK("CSG18.html#group126E18", "126E¹⁸"), =HYPERLINK("CSG19.html#group126A19", "126A¹⁹"), =HYPERLINK("CSG21.html#group126A21", "126A²¹")</f>
        <v/>
      </c>
      <c r="M1910">
        <f>HYPERLINK("CSG0.html#group6B0", "6B⁰"), =HYPERLINK("CSG0.html#group7A0", "7A⁰"), =HYPERLINK("CSG0.html#group9A0", "9A⁰"), =HYPERLINK("CSG0.html#group21A0", "21A⁰"), =HYPERLINK("CSG1.html#group42B1", "42B¹"), =HYPERLINK("CSG0.html#group3A0", "3A⁰"), =HYPERLINK("CSG0.html#group1A0", "1A⁰"), =HYPERLINK("CSG1.html#group18A1", "18A¹"), =HYPERLINK("CSG2.html#group63A2", "63A²")</f>
        <v/>
      </c>
      <c r="N1910">
        <f>HYPERLINK("CSG21.html#group126A21", "126A²¹"), =HYPERLINK("CSG17.html#group126B17", "126B¹⁷"), =HYPERLINK("CSG18.html#group126C18", "126C¹⁸"), =HYPERLINK("CSG19.html#group126A19", "126A¹⁹"), =HYPERLINK("CSG18.html#group126E18", "126E¹⁸"), =HYPERLINK("CSG18.html#group126B18", "126B¹⁸"), =HYPERLINK("CSG18.html#group126D18", "126D¹⁸")</f>
        <v/>
      </c>
    </row>
    <row r="1911">
      <c r="A1911" t="inlineStr">
        <is>
          <t>126B⁸</t>
        </is>
      </c>
      <c r="B1911" t="inlineStr"/>
      <c r="C1911" t="inlineStr">
        <is>
          <t>126</t>
        </is>
      </c>
      <c r="D1911" t="inlineStr">
        <is>
          <t>2</t>
        </is>
      </c>
      <c r="E1911" t="inlineStr">
        <is>
          <t>63</t>
        </is>
      </c>
      <c r="F1911" t="inlineStr">
        <is>
          <t>12</t>
        </is>
      </c>
      <c r="G1911" t="inlineStr">
        <is>
          <t>0</t>
        </is>
      </c>
      <c r="H1911" t="inlineStr">
        <is>
          <t>126¹</t>
        </is>
      </c>
      <c r="I1911" t="n">
        <v>1</v>
      </c>
      <c r="J1911" t="inlineStr">
        <is>
          <t>4³, 12⁸, 36⁴</t>
        </is>
      </c>
      <c r="K1911">
        <f>HYPERLINK("CSG2.html#group42A2", "42A²"), =HYPERLINK("CSG2.html#group63A2", "63A²")</f>
        <v/>
      </c>
      <c r="L1911">
        <f>HYPERLINK("CSG16.html#group126A16", "126A¹⁶"), =HYPERLINK("CSG17.html#group126D17", "126D¹⁷"), =HYPERLINK("CSG18.html#group126A18", "126A¹⁸"), =HYPERLINK("CSG18.html#group126C18", "126C¹⁸"), =HYPERLINK("CSG19.html#group126B19", "126B¹⁹"), =HYPERLINK("CSG20.html#group126A20", "126A²⁰"), =HYPERLINK("CSG21.html#group126F21", "126F²¹"), =HYPERLINK("CSG24.html#group126D24", "126D²⁴")</f>
        <v/>
      </c>
      <c r="M1911">
        <f>HYPERLINK("CSG2.html#group42A2", "42A²"), =HYPERLINK("CSG0.html#group9A0", "9A⁰"), =HYPERLINK("CSG2.html#group63A2", "63A²"), =HYPERLINK("CSG0.html#group21A0", "21A⁰"), =HYPERLINK("CSG0.html#group3A0", "3A⁰"), =HYPERLINK("CSG0.html#group1A0", "1A⁰"), =HYPERLINK("CSG0.html#group7A0", "7A⁰")</f>
        <v/>
      </c>
      <c r="N1911">
        <f>HYPERLINK("CSG18.html#group126A18", "126A¹⁸"), =HYPERLINK("CSG18.html#group126C18", "126C¹⁸"), =HYPERLINK("CSG21.html#group126F21", "126F²¹"), =HYPERLINK("CSG16.html#group126A16", "126A¹⁶"), =HYPERLINK("CSG24.html#group126D24", "126D²⁴"), =HYPERLINK("CSG19.html#group126B19", "126B¹⁹"), =HYPERLINK("CSG20.html#group126A20", "126A²⁰"), =HYPERLINK("CSG17.html#group126D17", "126D¹⁷")</f>
        <v/>
      </c>
    </row>
    <row r="1912">
      <c r="A1912" t="inlineStr">
        <is>
          <t>126C⁸</t>
        </is>
      </c>
      <c r="B1912" t="inlineStr"/>
      <c r="C1912" t="inlineStr">
        <is>
          <t>126</t>
        </is>
      </c>
      <c r="D1912" t="inlineStr">
        <is>
          <t>2</t>
        </is>
      </c>
      <c r="E1912" t="inlineStr">
        <is>
          <t>63</t>
        </is>
      </c>
      <c r="F1912" t="inlineStr">
        <is>
          <t>12</t>
        </is>
      </c>
      <c r="G1912" t="inlineStr">
        <is>
          <t>0</t>
        </is>
      </c>
      <c r="H1912" t="inlineStr">
        <is>
          <t>126¹</t>
        </is>
      </c>
      <c r="I1912" t="n">
        <v>1</v>
      </c>
      <c r="J1912" t="inlineStr">
        <is>
          <t>4³, 12⁸, 36⁴</t>
        </is>
      </c>
      <c r="K1912">
        <f>HYPERLINK("CSG2.html#group42A2", "42A²"), =HYPERLINK("CSG2.html#group63A2", "63A²")</f>
        <v/>
      </c>
      <c r="L1912">
        <f>HYPERLINK("CSG16.html#group126B16", "126B¹⁶"), =HYPERLINK("CSG17.html#group126C17", "126C¹⁷"), =HYPERLINK("CSG18.html#group126A18", "126A¹⁸"), =HYPERLINK("CSG18.html#group126B18", "126B¹⁸"), =HYPERLINK("CSG19.html#group126C19", "126C¹⁹"), =HYPERLINK("CSG20.html#group126B20", "126B²⁰"), =HYPERLINK("CSG21.html#group126E21", "126E²¹"), =HYPERLINK("CSG24.html#group126E24", "126E²⁴")</f>
        <v/>
      </c>
      <c r="M1912">
        <f>HYPERLINK("CSG2.html#group42A2", "42A²"), =HYPERLINK("CSG0.html#group9A0", "9A⁰"), =HYPERLINK("CSG2.html#group63A2", "63A²"), =HYPERLINK("CSG0.html#group21A0", "21A⁰"), =HYPERLINK("CSG0.html#group3A0", "3A⁰"), =HYPERLINK("CSG0.html#group1A0", "1A⁰"), =HYPERLINK("CSG0.html#group7A0", "7A⁰")</f>
        <v/>
      </c>
      <c r="N1912">
        <f>HYPERLINK("CSG17.html#group126C17", "126C¹⁷"), =HYPERLINK("CSG18.html#group126A18", "126A¹⁸"), =HYPERLINK("CSG24.html#group126E24", "126E²⁴"), =HYPERLINK("CSG18.html#group126B18", "126B¹⁸"), =HYPERLINK("CSG19.html#group126C19", "126C¹⁹"), =HYPERLINK("CSG16.html#group126B16", "126B¹⁶"), =HYPERLINK("CSG20.html#group126B20", "126B²⁰"), =HYPERLINK("CSG21.html#group126E21", "126E²¹")</f>
        <v/>
      </c>
    </row>
    <row r="1913">
      <c r="A1913" t="inlineStr">
        <is>
          <t>126D⁸</t>
        </is>
      </c>
      <c r="B1913" t="inlineStr"/>
      <c r="C1913" t="inlineStr">
        <is>
          <t>126</t>
        </is>
      </c>
      <c r="D1913" t="inlineStr">
        <is>
          <t>2</t>
        </is>
      </c>
      <c r="E1913" t="inlineStr">
        <is>
          <t>126</t>
        </is>
      </c>
      <c r="F1913" t="inlineStr">
        <is>
          <t>12</t>
        </is>
      </c>
      <c r="G1913" t="inlineStr">
        <is>
          <t>0</t>
        </is>
      </c>
      <c r="H1913" t="inlineStr">
        <is>
          <t>126¹</t>
        </is>
      </c>
      <c r="I1913" t="n">
        <v>1</v>
      </c>
      <c r="J1913" t="inlineStr">
        <is>
          <t>4³, 12⁸, 36⁴</t>
        </is>
      </c>
      <c r="K1913">
        <f>HYPERLINK("CSG1.html#group18B1", "18B¹"), =HYPERLINK("CSG1.html#group42B1", "42B¹")</f>
        <v/>
      </c>
      <c r="L1913">
        <f>HYPERLINK("CSG17.html#group126G17", "126G¹⁷"), =HYPERLINK("CSG18.html#group126H18", "126H¹⁸"), =HYPERLINK("CSG18.html#group126I18", "126I¹⁸"), =HYPERLINK("CSG18.html#group126J18", "126J¹⁸"), =HYPERLINK("CSG18.html#group126K18", "126K¹⁸"), =HYPERLINK("CSG19.html#group126E19", "126E¹⁹"), =HYPERLINK("CSG21.html#group126B21", "126B²¹")</f>
        <v/>
      </c>
      <c r="M1913">
        <f>HYPERLINK("CSG0.html#group6B0", "6B⁰"), =HYPERLINK("CSG1.html#group18B1", "18B¹"), =HYPERLINK("CSG0.html#group21A0", "21A⁰"), =HYPERLINK("CSG1.html#group42B1", "42B¹"), =HYPERLINK("CSG0.html#group3A0", "3A⁰"), =HYPERLINK("CSG0.html#group1A0", "1A⁰"), =HYPERLINK("CSG0.html#group7A0", "7A⁰")</f>
        <v/>
      </c>
      <c r="N1913">
        <f>HYPERLINK("CSG21.html#group126B21", "126B²¹"), =HYPERLINK("CSG17.html#group126G17", "126G¹⁷"), =HYPERLINK("CSG19.html#group126E19", "126E¹⁹"), =HYPERLINK("CSG18.html#group126J18", "126J¹⁸"), =HYPERLINK("CSG18.html#group126I18", "126I¹⁸"), =HYPERLINK("CSG18.html#group126K18", "126K¹⁸"), =HYPERLINK("CSG18.html#group126H18", "126H¹⁸")</f>
        <v/>
      </c>
    </row>
    <row r="1914">
      <c r="A1914" t="inlineStr">
        <is>
          <t>130A⁸</t>
        </is>
      </c>
      <c r="B1914" t="inlineStr"/>
      <c r="C1914" t="inlineStr">
        <is>
          <t>140</t>
        </is>
      </c>
      <c r="D1914" t="inlineStr">
        <is>
          <t>1</t>
        </is>
      </c>
      <c r="E1914" t="inlineStr">
        <is>
          <t>70</t>
        </is>
      </c>
      <c r="F1914" t="inlineStr">
        <is>
          <t>4</t>
        </is>
      </c>
      <c r="G1914" t="inlineStr">
        <is>
          <t>8</t>
        </is>
      </c>
      <c r="H1914" t="inlineStr">
        <is>
          <t>10¹, 130¹</t>
        </is>
      </c>
      <c r="I1914" t="n">
        <v>2</v>
      </c>
      <c r="J1914" t="inlineStr">
        <is>
          <t>1², 4², 12¹, 48¹</t>
        </is>
      </c>
      <c r="K1914">
        <f>HYPERLINK("CSG0.html#group26A0", "26A⁰"), =HYPERLINK("CSG4.html#group65A4", "65A⁴")</f>
        <v/>
      </c>
      <c r="L1914">
        <f>HYPERLINK("CSG17.html#group130B17", "130B¹⁷"), =HYPERLINK("CSG17.html#group260A17", "260A¹⁷")</f>
        <v/>
      </c>
      <c r="M1914">
        <f>HYPERLINK("CSG0.html#group13A0", "13A⁰"), =HYPERLINK("CSG0.html#group5A0", "5A⁰"), =HYPERLINK("CSG0.html#group26A0", "26A⁰"), =HYPERLINK("CSG0.html#group1A0", "1A⁰"), =HYPERLINK("CSG4.html#group65A4", "65A⁴")</f>
        <v/>
      </c>
      <c r="N1914">
        <f>HYPERLINK("CSG17.html#group260A17", "260A¹⁷"), =HYPERLINK("CSG17.html#group130B17", "130B¹⁷")</f>
        <v/>
      </c>
    </row>
    <row r="1915">
      <c r="A1915" t="inlineStr">
        <is>
          <t>140A⁸</t>
        </is>
      </c>
      <c r="B1915" t="inlineStr"/>
      <c r="C1915" t="inlineStr">
        <is>
          <t>160</t>
        </is>
      </c>
      <c r="D1915" t="inlineStr">
        <is>
          <t>1</t>
        </is>
      </c>
      <c r="E1915" t="inlineStr">
        <is>
          <t>40</t>
        </is>
      </c>
      <c r="F1915" t="inlineStr">
        <is>
          <t>0</t>
        </is>
      </c>
      <c r="G1915" t="inlineStr">
        <is>
          <t>16</t>
        </is>
      </c>
      <c r="H1915" t="inlineStr">
        <is>
          <t>20¹, 140¹</t>
        </is>
      </c>
      <c r="I1915" t="n">
        <v>2</v>
      </c>
      <c r="J1915" t="inlineStr">
        <is>
          <t>1², 4², 6¹, 24¹</t>
        </is>
      </c>
      <c r="K1915">
        <f>HYPERLINK("CSG0.html#group28A0", "28A⁰"), =HYPERLINK("CSG4.html#group70B4", "70B⁴")</f>
        <v/>
      </c>
      <c r="L1915" t="inlineStr"/>
      <c r="M1915">
        <f>HYPERLINK("CSG0.html#group2A0", "2A⁰"), =HYPERLINK("CSG0.html#group5A0", "5A⁰"), =HYPERLINK("CSG0.html#group10A0", "10A⁰"), =HYPERLINK("CSG0.html#group28A0", "28A⁰"), =HYPERLINK("CSG4.html#group70B4", "70B⁴"), =HYPERLINK("CSG0.html#group7B0", "7B⁰"), =HYPERLINK("CSG0.html#group14B0", "14B⁰"), =HYPERLINK("CSG2.html#group35B2", "35B²"), =HYPERLINK("CSG0.html#group1A0", "1A⁰")</f>
        <v/>
      </c>
      <c r="N1915" t="inlineStr"/>
    </row>
    <row r="1916">
      <c r="A1916" t="inlineStr">
        <is>
          <t>144A⁸</t>
        </is>
      </c>
      <c r="B1916" t="inlineStr"/>
      <c r="C1916" t="inlineStr">
        <is>
          <t>216</t>
        </is>
      </c>
      <c r="D1916" t="inlineStr">
        <is>
          <t>1</t>
        </is>
      </c>
      <c r="E1916" t="inlineStr">
        <is>
          <t>27</t>
        </is>
      </c>
      <c r="F1916" t="inlineStr">
        <is>
          <t>40</t>
        </is>
      </c>
      <c r="G1916" t="inlineStr">
        <is>
          <t>0</t>
        </is>
      </c>
      <c r="H1916" t="inlineStr">
        <is>
          <t>72¹, 144¹</t>
        </is>
      </c>
      <c r="I1916" t="n">
        <v>2</v>
      </c>
      <c r="J1916" t="inlineStr">
        <is>
          <t>1³, 2³, 6³</t>
        </is>
      </c>
      <c r="K1916">
        <f>HYPERLINK("CSG0.html#group48A0", "48A⁰"), =HYPERLINK("CSG4.html#group72E4", "72E⁴")</f>
        <v/>
      </c>
      <c r="L1916">
        <f>HYPERLINK("CSG19.html#group144J19", "144J¹⁹"), =HYPERLINK("CSG21.html#group288A21", "288A²¹"), =HYPERLINK("CSG23.html#group144X23", "144X²³"), =HYPERLINK("CSG23.html#group288A23", "288A²³")</f>
        <v/>
      </c>
      <c r="M1916">
        <f>HYPERLINK("CSG0.html#group16B0", "16B⁰"), =HYPERLINK("CSG0.html#group12C0", "12C⁰"), =HYPERLINK("CSG0.html#group24A0", "24A⁰"), =HYPERLINK("CSG4.html#group72E4", "72E⁴"), =HYPERLINK("CSG0.html#group9A0", "9A⁰"), =HYPERLINK("CSG0.html#group4C0", "4C⁰"), =HYPERLINK("CSG2.html#group36B2", "36B²"), =HYPERLINK("CSG0.html#group8B0", "8B⁰"), =HYPERLINK("CSG0.html#group48A0", "48A⁰"), =HYPERLINK("CSG0.html#group2B0", "2B⁰"), =HYPERLINK("CSG1.html#group18E1", "18E¹"), =HYPERLINK("CSG0.html#group3A0", "3A⁰"), =HYPERLINK("CSG0.html#group1A0", "1A⁰"), =HYPERLINK("CSG0.html#group6D0", "6D⁰")</f>
        <v/>
      </c>
      <c r="N1916">
        <f>HYPERLINK("CSG23.html#group144X23", "144X²³"), =HYPERLINK("CSG23.html#group288A23", "288A²³"), =HYPERLINK("CSG21.html#group288A21", "288A²¹"), =HYPERLINK("CSG19.html#group144J19", "144J¹⁹")</f>
        <v/>
      </c>
    </row>
    <row r="1917">
      <c r="A1917" t="inlineStr">
        <is>
          <t>169A⁸</t>
        </is>
      </c>
      <c r="B1917" t="inlineStr">
        <is>
          <t>Γ₀(169)</t>
        </is>
      </c>
      <c r="C1917" t="inlineStr">
        <is>
          <t>182</t>
        </is>
      </c>
      <c r="D1917" t="inlineStr">
        <is>
          <t>1</t>
        </is>
      </c>
      <c r="E1917" t="inlineStr">
        <is>
          <t>182</t>
        </is>
      </c>
      <c r="F1917" t="inlineStr">
        <is>
          <t>2</t>
        </is>
      </c>
      <c r="G1917" t="inlineStr">
        <is>
          <t>2</t>
        </is>
      </c>
      <c r="H1917" t="inlineStr">
        <is>
          <t>1¹³, 169¹</t>
        </is>
      </c>
      <c r="I1917" t="n">
        <v>14</v>
      </c>
      <c r="J1917" t="inlineStr">
        <is>
          <t>1², 12², 156¹</t>
        </is>
      </c>
      <c r="K1917">
        <f>HYPERLINK("CSG0.html#group13A0", "13A⁰")</f>
        <v/>
      </c>
      <c r="L1917">
        <f>HYPERLINK("CSG16.html#group169A16", "169A¹⁶"), =HYPERLINK("CSG22.html#group338A22", "338A²²"), =HYPERLINK("CSG23.html#group338A23", "338A²³"), =HYPERLINK("CSG24.html#group169A24", "169A²⁴")</f>
        <v/>
      </c>
      <c r="M1917">
        <f>HYPERLINK("CSG0.html#group13A0", "13A⁰"), =HYPERLINK("CSG0.html#group1A0", "1A⁰")</f>
        <v/>
      </c>
      <c r="N1917">
        <f>HYPERLINK("CSG16.html#group169A16", "169A¹⁶"), =HYPERLINK("CSG22.html#group338A22", "338A²²"), =HYPERLINK("CSG23.html#group338A23", "338A²³"), =HYPERLINK("CSG24.html#group169A24", "169A²⁴")</f>
        <v/>
      </c>
    </row>
    <row r="1918">
      <c r="A1918" t="inlineStr">
        <is>
          <t>12A⁹</t>
        </is>
      </c>
      <c r="B1918" t="inlineStr"/>
      <c r="C1918" t="inlineStr">
        <is>
          <t>192</t>
        </is>
      </c>
      <c r="D1918" t="inlineStr">
        <is>
          <t>1</t>
        </is>
      </c>
      <c r="E1918" t="inlineStr">
        <is>
          <t>4</t>
        </is>
      </c>
      <c r="F1918" t="inlineStr">
        <is>
          <t>0</t>
        </is>
      </c>
      <c r="G1918" t="inlineStr">
        <is>
          <t>0</t>
        </is>
      </c>
      <c r="H1918" t="inlineStr">
        <is>
          <t>12¹⁶</t>
        </is>
      </c>
      <c r="I1918" t="n">
        <v>16</v>
      </c>
      <c r="J1918" t="inlineStr">
        <is>
          <t>2²</t>
        </is>
      </c>
      <c r="K1918">
        <f>HYPERLINK("CSG1.html#group12R1", "12R¹"), =HYPERLINK("CSG3.html#group12A3", "12A³"), =HYPERLINK("CSG3.html#group12M3", "12M³"), =HYPERLINK("CSG5.html#group12A5", "12A⁵")</f>
        <v/>
      </c>
      <c r="L1918" t="inlineStr"/>
      <c r="M1918">
        <f>HYPERLINK("CSG0.html#group2A0", "2A⁰"), =HYPERLINK("CSG1.html#group12D1", "12D¹"), =HYPERLINK("CSG5.html#group12A5", "12A⁵"), =HYPERLINK("CSG0.html#group1A0", "1A⁰"), =HYPERLINK("CSG1.html#group6B1", "6B¹"), =HYPERLINK("CSG0.html#group4D0", "4D⁰"), =HYPERLINK("CSG1.html#group12A1", "12A¹"), =HYPERLINK("CSG3.html#group12M3", "12M³"), =HYPERLINK("CSG2.html#group12A2", "12A²"), =HYPERLINK("CSG1.html#group12Q1", "12Q¹"), =HYPERLINK("CSG0.html#group3C0", "3C⁰"), =HYPERLINK("CSG1.html#group6A1", "6A¹"), =HYPERLINK("CSG1.html#group12R1", "12R¹"), =HYPERLINK("CSG0.html#group3A0", "3A⁰"), =HYPERLINK("CSG1.html#group12G1", "12G¹"), =HYPERLINK("CSG0.html#group3B0", "3B⁰"), =HYPERLINK("CSG0.html#group6B0", "6B⁰"), =HYPERLINK("CSG1.html#group12I1", "12I¹"), =HYPERLINK("CSG3.html#group12B3", "12B³"), =HYPERLINK("CSG3.html#group12A3", "12A³"), =HYPERLINK("CSG0.html#group6C0", "6C⁰"), =HYPERLINK("CSG0.html#group12F0", "12F⁰"), =HYPERLINK("CSG3.html#group12C3", "12C³"), =HYPERLINK("CSG0.html#group12A0", "12A⁰"), =HYPERLINK("CSG1.html#group6D1", "6D¹"), =HYPERLINK("CSG0.html#group6E0", "6E⁰"), =HYPERLINK("CSG0.html#group4A0", "4A⁰"), =HYPERLINK("CSG0.html#group3D0", "3D⁰"), =HYPERLINK("CSG0.html#group12B0", "12B⁰")</f>
        <v/>
      </c>
      <c r="N1918" t="inlineStr"/>
    </row>
    <row r="1919">
      <c r="A1919" t="inlineStr">
        <is>
          <t>12B⁹</t>
        </is>
      </c>
      <c r="B1919" t="inlineStr"/>
      <c r="C1919" t="inlineStr">
        <is>
          <t>288</t>
        </is>
      </c>
      <c r="D1919" t="inlineStr">
        <is>
          <t>1</t>
        </is>
      </c>
      <c r="E1919" t="inlineStr">
        <is>
          <t>3</t>
        </is>
      </c>
      <c r="F1919" t="inlineStr">
        <is>
          <t>0</t>
        </is>
      </c>
      <c r="G1919" t="inlineStr">
        <is>
          <t>0</t>
        </is>
      </c>
      <c r="H1919" t="inlineStr">
        <is>
          <t>6¹⁶, 12¹⁶</t>
        </is>
      </c>
      <c r="I1919" t="n">
        <v>32</v>
      </c>
      <c r="J1919" t="inlineStr">
        <is>
          <t>1³</t>
        </is>
      </c>
      <c r="K1919">
        <f>HYPERLINK("CSG1.html#group12V1", "12V¹"), =HYPERLINK("CSG3.html#group12N3", "12N³"), =HYPERLINK("CSG3.html#group12O3", "12O³"), =HYPERLINK("CSG3.html#group12P3", "12P³"), =HYPERLINK("CSG5.html#group12B5", "12B⁵")</f>
        <v/>
      </c>
      <c r="L1919" t="inlineStr"/>
      <c r="M1919">
        <f>HYPERLINK("CSG1.html#group12T1", "12T¹"), =HYPERLINK("CSG0.html#group12C0", "12C⁰"), =HYPERLINK("CSG3.html#group12F3", "12F³"), =HYPERLINK("CSG0.html#group12I0", "12I⁰"), =HYPERLINK("CSG1.html#group6C1", "6C¹"), =HYPERLINK("CSG0.html#group12J0", "12J⁰"), =HYPERLINK("CSG2.html#group12E2", "12E²"), =HYPERLINK("CSG2.html#group12B2", "12B²"), =HYPERLINK("CSG0.html#group2B0", "2B⁰"), =HYPERLINK("CSG3.html#group12N3", "12N³"), =HYPERLINK("CSG0.html#group4B0", "4B⁰"), =HYPERLINK("CSG3.html#group12G3", "12G³"), =HYPERLINK("CSG0.html#group1A0", "1A⁰"), =HYPERLINK("CSG0.html#group3C0", "3C⁰"), =HYPERLINK("CSG1.html#group12B1", "12B¹"), =HYPERLINK("CSG0.html#group6H0", "6H⁰"), =HYPERLINK("CSG1.html#group6E1", "6E¹"), =HYPERLINK("CSG3.html#group12O3", "12O³"), =HYPERLINK("CSG0.html#group3B0", "3B⁰"), =HYPERLINK("CSG1.html#group12P1", "12P¹"), =HYPERLINK("CSG1.html#group12L1", "12L¹"), =HYPERLINK("CSG0.html#group12G0", "12G⁰"), =HYPERLINK("CSG3.html#group12D3", "12D³"), =HYPERLINK("CSG1.html#group12C1", "12C¹"), =HYPERLINK("CSG0.html#group6A0", "6A⁰"), =HYPERLINK("CSG3.html#group12P3", "12P³"), =HYPERLINK("CSG3.html#group12E3", "12E³"), =HYPERLINK("CSG0.html#group3D0", "3D⁰"), =HYPERLINK("CSG0.html#group2C0", "2C⁰"), =HYPERLINK("CSG0.html#group6D0", "6D⁰"), =HYPERLINK("CSG0.html#group2A0", "2A⁰"), =HYPERLINK("CSG1.html#group12K1", "12K¹"), =HYPERLINK("CSG5.html#group12B5", "12B⁵"), =HYPERLINK("CSG2.html#group12D2", "12D²"), =HYPERLINK("CSG0.html#group4C0", "4C⁰"), =HYPERLINK("CSG0.html#group6G0", "6G⁰"), =HYPERLINK("CSG1.html#group12S1", "12S¹"), =HYPERLINK("CSG0.html#group4E0", "4E⁰"), =HYPERLINK("CSG1.html#group12N1", "12N¹"), =HYPERLINK("CSG1.html#group6B1", "6B¹"), =HYPERLINK("CSG0.html#group6K0", "6K⁰"), =HYPERLINK("CSG1.html#group6A1", "6A¹"), =HYPERLINK("CSG0.html#group3A0", "3A⁰"), =HYPERLINK("CSG0.html#group6F0", "6F⁰"), =HYPERLINK("CSG1.html#group12U1", "12U¹"), =HYPERLINK("CSG0.html#group6B0", "6B⁰"), =HYPERLINK("CSG1.html#group12V1", "12V¹"), =HYPERLINK("CSG0.html#group6I0", "6I⁰"), =HYPERLINK("CSG1.html#group12F1", "12F¹"), =HYPERLINK("CSG1.html#group6F1", "6F¹"), =HYPERLINK("CSG0.html#group6C0", "6C⁰"), =HYPERLINK("CSG1.html#group6D1", "6D¹"), =HYPERLINK("CSG0.html#group6E0", "6E⁰"), =HYPERLINK("CSG0.html#group6L0", "6L⁰"), =HYPERLINK("CSG0.html#group6J0", "6J⁰"), =HYPERLINK("CSG0.html#group12D0", "12D⁰"), =HYPERLINK("CSG0.html#group12H0", "12H⁰"), =HYPERLINK("CSG2.html#group12C2", "12C²"), =HYPERLINK("CSG0.html#group12E0", "12E⁰")</f>
        <v/>
      </c>
      <c r="N1919" t="inlineStr"/>
    </row>
    <row r="1920">
      <c r="A1920" t="inlineStr">
        <is>
          <t>14A⁹</t>
        </is>
      </c>
      <c r="B1920" t="inlineStr"/>
      <c r="C1920" t="inlineStr">
        <is>
          <t>168</t>
        </is>
      </c>
      <c r="D1920" t="inlineStr">
        <is>
          <t>1</t>
        </is>
      </c>
      <c r="E1920" t="inlineStr">
        <is>
          <t>21</t>
        </is>
      </c>
      <c r="F1920" t="inlineStr">
        <is>
          <t>0</t>
        </is>
      </c>
      <c r="G1920" t="inlineStr">
        <is>
          <t>0</t>
        </is>
      </c>
      <c r="H1920" t="inlineStr">
        <is>
          <t>14¹²</t>
        </is>
      </c>
      <c r="I1920" t="n">
        <v>12</v>
      </c>
      <c r="J1920" t="inlineStr">
        <is>
          <t>3¹, 6³</t>
        </is>
      </c>
      <c r="K1920">
        <f>HYPERLINK("CSG1.html#group7C1", "7C¹"), =HYPERLINK("CSG3.html#group14C3", "14C³"), =HYPERLINK("CSG3.html#group14F3", "14F³"), =HYPERLINK("CSG5.html#group14A5", "14A⁵"), =HYPERLINK("CSG5.html#group14B5", "14B⁵"), =HYPERLINK("CSG5.html#group14C5", "14C⁵")</f>
        <v/>
      </c>
      <c r="L1920">
        <f>HYPERLINK("CSG17.html#group14A17", "14A¹⁷")</f>
        <v/>
      </c>
      <c r="M1920">
        <f>HYPERLINK("CSG0.html#group2A0", "2A⁰"), =HYPERLINK("CSG0.html#group14A0", "14A⁰"), =HYPERLINK("CSG2.html#group14B2", "14B²"), =HYPERLINK("CSG0.html#group7D0", "7D⁰"), =HYPERLINK("CSG1.html#group14A1", "14A¹"), =HYPERLINK("CSG5.html#group14C5", "14C⁵"), =HYPERLINK("CSG5.html#group14B5", "14B⁵"), =HYPERLINK("CSG0.html#group7G0", "7G⁰"), =HYPERLINK("CSG1.html#group7C1", "7C¹"), =HYPERLINK("CSG0.html#group1A0", "1A⁰"), =HYPERLINK("CSG1.html#group14D1", "14D¹"), =HYPERLINK("CSG5.html#group14A5", "14A⁵"), =HYPERLINK("CSG3.html#group14A3", "14A³"), =HYPERLINK("CSG0.html#group7C0", "7C⁰"), =HYPERLINK("CSG3.html#group14C3", "14C³"), =HYPERLINK("CSG1.html#group7A1", "7A¹"), =HYPERLINK("CSG0.html#group7F0", "7F⁰"), =HYPERLINK("CSG3.html#group14F3", "14F³"), =HYPERLINK("CSG1.html#group14E1", "14E¹"), =HYPERLINK("CSG0.html#group7A0", "7A⁰")</f>
        <v/>
      </c>
      <c r="N1920">
        <f>HYPERLINK("CSG17.html#group14A17", "14A¹⁷")</f>
        <v/>
      </c>
    </row>
    <row r="1921">
      <c r="A1921" t="inlineStr">
        <is>
          <t>14B⁹</t>
        </is>
      </c>
      <c r="B1921" t="inlineStr"/>
      <c r="C1921" t="inlineStr">
        <is>
          <t>168</t>
        </is>
      </c>
      <c r="D1921" t="inlineStr">
        <is>
          <t>1</t>
        </is>
      </c>
      <c r="E1921" t="inlineStr">
        <is>
          <t>28</t>
        </is>
      </c>
      <c r="F1921" t="inlineStr">
        <is>
          <t>0</t>
        </is>
      </c>
      <c r="G1921" t="inlineStr">
        <is>
          <t>0</t>
        </is>
      </c>
      <c r="H1921" t="inlineStr">
        <is>
          <t>14¹²</t>
        </is>
      </c>
      <c r="I1921" t="n">
        <v>12</v>
      </c>
      <c r="J1921" t="inlineStr">
        <is>
          <t>1¹, 3¹, 6⁴</t>
        </is>
      </c>
      <c r="K1921">
        <f>HYPERLINK("CSG3.html#group14B3", "14B³"), =HYPERLINK("CSG3.html#group14C3", "14C³"), =HYPERLINK("CSG3.html#group14D3", "14D³")</f>
        <v/>
      </c>
      <c r="L1921">
        <f>HYPERLINK("CSG17.html#group14B17", "14B¹⁷"), =HYPERLINK("CSG21.html#group28D21", "28D²¹"), =HYPERLINK("CSG21.html#group28C21", "28C²¹")</f>
        <v/>
      </c>
      <c r="M1921">
        <f>HYPERLINK("CSG0.html#group2A0", "2A⁰"), =HYPERLINK("CSG3.html#group14B3", "14B³"), =HYPERLINK("CSG1.html#group14B1", "14B¹"), =HYPERLINK("CSG3.html#group14C3", "14C³"), =HYPERLINK("CSG1.html#group14A1", "14A¹"), =HYPERLINK("CSG0.html#group7F0", "7F⁰"), =HYPERLINK("CSG0.html#group2B0", "2B⁰"), =HYPERLINK("CSG0.html#group1A0", "1A⁰"), =HYPERLINK("CSG0.html#group2C0", "2C⁰"), =HYPERLINK("CSG0.html#group7A0", "7A⁰"), =HYPERLINK("CSG3.html#group14D3", "14D³")</f>
        <v/>
      </c>
      <c r="N1921">
        <f>HYPERLINK("CSG21.html#group28C21", "28C²¹"), =HYPERLINK("CSG21.html#group28D21", "28D²¹"), =HYPERLINK("CSG17.html#group14B17", "14B¹⁷")</f>
        <v/>
      </c>
    </row>
    <row r="1922">
      <c r="A1922" t="inlineStr">
        <is>
          <t>14C⁹</t>
        </is>
      </c>
      <c r="B1922" t="inlineStr"/>
      <c r="C1922" t="inlineStr">
        <is>
          <t>252</t>
        </is>
      </c>
      <c r="D1922" t="inlineStr">
        <is>
          <t>1</t>
        </is>
      </c>
      <c r="E1922" t="inlineStr">
        <is>
          <t>63</t>
        </is>
      </c>
      <c r="F1922" t="inlineStr">
        <is>
          <t>4</t>
        </is>
      </c>
      <c r="G1922" t="inlineStr">
        <is>
          <t>0</t>
        </is>
      </c>
      <c r="H1922" t="inlineStr">
        <is>
          <t>7¹², 14¹²</t>
        </is>
      </c>
      <c r="I1922" t="n">
        <v>24</v>
      </c>
      <c r="J1922" t="inlineStr">
        <is>
          <t>3³, 6⁹</t>
        </is>
      </c>
      <c r="K1922">
        <f>HYPERLINK("CSG1.html#group7C1", "7C¹"), =HYPERLINK("CSG3.html#group14D3", "14D³"), =HYPERLINK("CSG4.html#group14A4", "14A⁴"), =HYPERLINK("CSG5.html#group14F5", "14F⁵")</f>
        <v/>
      </c>
      <c r="L1922">
        <f>HYPERLINK("CSG19.html#group14A19", "14A¹⁹"), =HYPERLINK("CSG23.html#group14A23", "14A²³"), =HYPERLINK("CSG23.html#group28E23", "28E²³")</f>
        <v/>
      </c>
      <c r="M1922">
        <f>HYPERLINK("CSG4.html#group14A4", "14A⁴"), =HYPERLINK("CSG2.html#group14A2", "14A²"), =HYPERLINK("CSG0.html#group7D0", "7D⁰"), =HYPERLINK("CSG1.html#group14B1", "14B¹"), =HYPERLINK("CSG0.html#group7C0", "7C⁰"), =HYPERLINK("CSG1.html#group7A1", "7A¹"), =HYPERLINK("CSG0.html#group7F0", "7F⁰"), =HYPERLINK("CSG2.html#group14F2", "14F²"), =HYPERLINK("CSG0.html#group2B0", "2B⁰"), =HYPERLINK("CSG0.html#group7G0", "7G⁰"), =HYPERLINK("CSG1.html#group7C1", "7C¹"), =HYPERLINK("CSG5.html#group14F5", "14F⁵"), =HYPERLINK("CSG0.html#group1A0", "1A⁰"), =HYPERLINK("CSG0.html#group7A0", "7A⁰"), =HYPERLINK("CSG3.html#group14D3", "14D³")</f>
        <v/>
      </c>
      <c r="N1922">
        <f>HYPERLINK("CSG19.html#group14A19", "14A¹⁹"), =HYPERLINK("CSG23.html#group14A23", "14A²³"), =HYPERLINK("CSG23.html#group28E23", "28E²³")</f>
        <v/>
      </c>
    </row>
    <row r="1923">
      <c r="A1923" t="inlineStr">
        <is>
          <t>15A⁹</t>
        </is>
      </c>
      <c r="B1923" t="inlineStr"/>
      <c r="C1923" t="inlineStr">
        <is>
          <t>180</t>
        </is>
      </c>
      <c r="D1923" t="inlineStr">
        <is>
          <t>1</t>
        </is>
      </c>
      <c r="E1923" t="inlineStr">
        <is>
          <t>45</t>
        </is>
      </c>
      <c r="F1923" t="inlineStr">
        <is>
          <t>4</t>
        </is>
      </c>
      <c r="G1923" t="inlineStr">
        <is>
          <t>0</t>
        </is>
      </c>
      <c r="H1923" t="inlineStr">
        <is>
          <t>15¹²</t>
        </is>
      </c>
      <c r="I1923" t="n">
        <v>12</v>
      </c>
      <c r="J1923" t="inlineStr">
        <is>
          <t>1¹, 2², 4⁴, 8³</t>
        </is>
      </c>
      <c r="K1923">
        <f>HYPERLINK("CSG1.html#group15E1", "15E¹"), =HYPERLINK("CSG3.html#group15C3", "15C³"), =HYPERLINK("CSG3.html#group15H3", "15H³"), =HYPERLINK("CSG4.html#group15C4", "15C⁴"), =HYPERLINK("CSG4.html#group15D4", "15D⁴")</f>
        <v/>
      </c>
      <c r="L1923">
        <f>HYPERLINK("CSG17.html#group15A17", "15A¹⁷"), =HYPERLINK("CSG19.html#group15A19", "15A¹⁹"), =HYPERLINK("CSG19.html#group15B19", "15B¹⁹"), =HYPERLINK("CSG23.html#group30B23", "30B²³"), =HYPERLINK("CSG23.html#group30C23", "30C²³")</f>
        <v/>
      </c>
      <c r="M1923">
        <f>HYPERLINK("CSG0.html#group5A0", "5A⁰"), =HYPERLINK("CSG4.html#group15D4", "15D⁴"), =HYPERLINK("CSG1.html#group15F1", "15F¹"), =HYPERLINK("CSG0.html#group5B0", "5B⁰"), =HYPERLINK("CSG3.html#group15C3", "15C³"), =HYPERLINK("CSG3.html#group15H3", "15H³"), =HYPERLINK("CSG0.html#group1A0", "1A⁰"), =HYPERLINK("CSG4.html#group15C4", "15C⁴"), =HYPERLINK("CSG1.html#group15D1", "15D¹"), =HYPERLINK("CSG0.html#group15B0", "15B⁰"), =HYPERLINK("CSG2.html#group15A2", "15A²"), =HYPERLINK("CSG0.html#group5E0", "5E⁰"), =HYPERLINK("CSG0.html#group3C0", "3C⁰"), =HYPERLINK("CSG0.html#group3A0", "3A⁰"), =HYPERLINK("CSG0.html#group5C0", "5C⁰"), =HYPERLINK("CSG0.html#group5G0", "5G⁰"), =HYPERLINK("CSG1.html#group15A1", "15A¹"), =HYPERLINK("CSG1.html#group15E1", "15E¹"), =HYPERLINK("CSG0.html#group15A0", "15A⁰")</f>
        <v/>
      </c>
      <c r="N1923">
        <f>HYPERLINK("CSG19.html#group15B19", "15B¹⁹"), =HYPERLINK("CSG23.html#group30C23", "30C²³"), =HYPERLINK("CSG17.html#group15A17", "15A¹⁷"), =HYPERLINK("CSG19.html#group15A19", "15A¹⁹"), =HYPERLINK("CSG23.html#group30B23", "30B²³")</f>
        <v/>
      </c>
    </row>
    <row r="1924">
      <c r="A1924" t="inlineStr">
        <is>
          <t>15B⁹</t>
        </is>
      </c>
      <c r="B1924" t="inlineStr"/>
      <c r="C1924" t="inlineStr">
        <is>
          <t>240</t>
        </is>
      </c>
      <c r="D1924" t="inlineStr">
        <is>
          <t>1</t>
        </is>
      </c>
      <c r="E1924" t="inlineStr">
        <is>
          <t>4</t>
        </is>
      </c>
      <c r="F1924" t="inlineStr">
        <is>
          <t>0</t>
        </is>
      </c>
      <c r="G1924" t="inlineStr">
        <is>
          <t>0</t>
        </is>
      </c>
      <c r="H1924" t="inlineStr">
        <is>
          <t>5¹², 15¹²</t>
        </is>
      </c>
      <c r="I1924" t="n">
        <v>24</v>
      </c>
      <c r="J1924" t="inlineStr">
        <is>
          <t>1², 2¹</t>
        </is>
      </c>
      <c r="K1924">
        <f>HYPERLINK("CSG0.html#group5H0", "5H⁰"), =HYPERLINK("CSG1.html#group15G1", "15G¹"), =HYPERLINK("CSG3.html#group15G3", "15G³"), =HYPERLINK("CSG5.html#group15B5", "15B⁵")</f>
        <v/>
      </c>
      <c r="L1924">
        <f>HYPERLINK("CSG17.html#group15B17", "15B¹⁷")</f>
        <v/>
      </c>
      <c r="M1924">
        <f>HYPERLINK("CSG0.html#group3B0", "3B⁰"), =HYPERLINK("CSG0.html#group5A0", "5A⁰"), =HYPERLINK("CSG0.html#group5B0", "5B⁰"), =HYPERLINK("CSG1.html#group15G1", "15G¹"), =HYPERLINK("CSG0.html#group5D0", "5D⁰"), =HYPERLINK("CSG0.html#group5F0", "5F⁰"), =HYPERLINK("CSG0.html#group1A0", "1A⁰"), =HYPERLINK("CSG0.html#group5H0", "5H⁰"), =HYPERLINK("CSG1.html#group15C1", "15C¹"), =HYPERLINK("CSG3.html#group15A3", "15A³"), =HYPERLINK("CSG3.html#group15G3", "15G³"), =HYPERLINK("CSG0.html#group5E0", "5E⁰"), =HYPERLINK("CSG1.html#group15B1", "15B¹"), =HYPERLINK("CSG2.html#group15C2", "15C²"), =HYPERLINK("CSG0.html#group5C0", "5C⁰"), =HYPERLINK("CSG5.html#group15B5", "15B⁵"), =HYPERLINK("CSG0.html#group5G0", "5G⁰")</f>
        <v/>
      </c>
      <c r="N1924">
        <f>HYPERLINK("CSG17.html#group15B17", "15B¹⁷")</f>
        <v/>
      </c>
    </row>
    <row r="1925">
      <c r="A1925" t="inlineStr">
        <is>
          <t>15C⁹</t>
        </is>
      </c>
      <c r="B1925" t="inlineStr"/>
      <c r="C1925" t="inlineStr">
        <is>
          <t>288</t>
        </is>
      </c>
      <c r="D1925" t="inlineStr">
        <is>
          <t>1</t>
        </is>
      </c>
      <c r="E1925" t="inlineStr">
        <is>
          <t>6</t>
        </is>
      </c>
      <c r="F1925" t="inlineStr">
        <is>
          <t>0</t>
        </is>
      </c>
      <c r="G1925" t="inlineStr">
        <is>
          <t>0</t>
        </is>
      </c>
      <c r="H1925" t="inlineStr">
        <is>
          <t>3¹⁶, 15¹⁶</t>
        </is>
      </c>
      <c r="I1925" t="n">
        <v>32</v>
      </c>
      <c r="J1925" t="inlineStr">
        <is>
          <t>1², 4¹</t>
        </is>
      </c>
      <c r="K1925">
        <f>HYPERLINK("CSG1.html#group15I1", "15I¹"), =HYPERLINK("CSG3.html#group15I3", "15I³"), =HYPERLINK("CSG5.html#group15C5", "15C⁵")</f>
        <v/>
      </c>
      <c r="L1925" t="inlineStr"/>
      <c r="M1925">
        <f>HYPERLINK("CSG0.html#group3B0", "3B⁰"), =HYPERLINK("CSG1.html#group15I1", "15I¹"), =HYPERLINK("CSG0.html#group5B0", "5B⁰"), =HYPERLINK("CSG1.html#group15G1", "15G¹"), =HYPERLINK("CSG0.html#group5D0", "5D⁰"), =HYPERLINK("CSG3.html#group15F3", "15F³"), =HYPERLINK("CSG1.html#group15H1", "15H¹"), =HYPERLINK("CSG0.html#group1A0", "1A⁰"), =HYPERLINK("CSG3.html#group15I3", "15I³"), =HYPERLINK("CSG1.html#group15C1", "15C¹"), =HYPERLINK("CSG0.html#group15B0", "15B⁰"), =HYPERLINK("CSG5.html#group15C5", "15C⁵"), =HYPERLINK("CSG3.html#group15E3", "15E³"), =HYPERLINK("CSG1.html#group15E1", "15E¹"), =HYPERLINK("CSG2.html#group15B2", "15B²"), =HYPERLINK("CSG0.html#group3C0", "3C⁰"), =HYPERLINK("CSG0.html#group3A0", "3A⁰"), =HYPERLINK("CSG0.html#group3D0", "3D⁰"), =HYPERLINK("CSG0.html#group15C0", "15C⁰")</f>
        <v/>
      </c>
      <c r="N1925" t="inlineStr"/>
    </row>
    <row r="1926">
      <c r="A1926" t="inlineStr">
        <is>
          <t>16A⁹</t>
        </is>
      </c>
      <c r="B1926" t="inlineStr"/>
      <c r="C1926" t="inlineStr">
        <is>
          <t>192</t>
        </is>
      </c>
      <c r="D1926" t="inlineStr">
        <is>
          <t>1</t>
        </is>
      </c>
      <c r="E1926" t="inlineStr">
        <is>
          <t>3</t>
        </is>
      </c>
      <c r="F1926" t="inlineStr">
        <is>
          <t>0</t>
        </is>
      </c>
      <c r="G1926" t="inlineStr">
        <is>
          <t>0</t>
        </is>
      </c>
      <c r="H1926" t="inlineStr">
        <is>
          <t>8⁸, 16⁸</t>
        </is>
      </c>
      <c r="I1926" t="n">
        <v>16</v>
      </c>
      <c r="J1926" t="inlineStr">
        <is>
          <t>1³</t>
        </is>
      </c>
      <c r="K1926">
        <f>HYPERLINK("CSG3.html#group8A3", "8A³"), =HYPERLINK("CSG3.html#group16H3", "16H³"), =HYPERLINK("CSG4.html#group16C4", "16C⁴"), =HYPERLINK("CSG5.html#group16A5", "16A⁵")</f>
        <v/>
      </c>
      <c r="L1926">
        <f>HYPERLINK("CSG17.html#group16A17", "16A¹⁷"), =HYPERLINK("CSG21.html#group16C21", "16C²¹"), =HYPERLINK("CSG21.html#group32F21", "32F²¹")</f>
        <v/>
      </c>
      <c r="M1926">
        <f>HYPERLINK("CSG0.html#group2A0", "2A⁰"), =HYPERLINK("CSG0.html#group4C0", "4C⁰"), =HYPERLINK("CSG0.html#group4G0", "4G⁰"), =HYPERLINK("CSG0.html#group2B0", "2B⁰"), =HYPERLINK("CSG0.html#group8C0", "8C⁰"), =HYPERLINK("CSG0.html#group4E0", "4E⁰"), =HYPERLINK("CSG1.html#group8E1", "8E¹"), =HYPERLINK("CSG0.html#group4B0", "4B⁰"), =HYPERLINK("CSG1.html#group8F1", "8F¹"), =HYPERLINK("CSG0.html#group1A0", "1A⁰"), =HYPERLINK("CSG1.html#group16A1", "16A¹"), =HYPERLINK("CSG2.html#group16E2", "16E²"), =HYPERLINK("CSG1.html#group16D1", "16D¹"), =HYPERLINK("CSG2.html#group16B2", "16B²"), =HYPERLINK("CSG0.html#group8G0", "8G⁰"), =HYPERLINK("CSG0.html#group4D0", "4D⁰"), =HYPERLINK("CSG0.html#group16C0", "16C⁰"), =HYPERLINK("CSG1.html#group16H1", "16H¹"), =HYPERLINK("CSG3.html#group16E3", "16E³"), =HYPERLINK("CSG3.html#group16D3", "16D³"), =HYPERLINK("CSG1.html#group8A1", "8A¹"), =HYPERLINK("CSG3.html#group8A3", "8A³"), =HYPERLINK("CSG0.html#group8D0", "8D⁰"), =HYPERLINK("CSG1.html#group16E1", "16E¹"), =HYPERLINK("CSG0.html#group8B0", "8B⁰"), =HYPERLINK("CSG1.html#group8B1", "8B¹"), =HYPERLINK("CSG3.html#group16H3", "16H³"), =HYPERLINK("CSG0.html#group8H0", "8H⁰"), =HYPERLINK("CSG0.html#group8F0", "8F⁰"), =HYPERLINK("CSG1.html#group8C1", "8C¹"), =HYPERLINK("CSG0.html#group4A0", "4A⁰"), =HYPERLINK("CSG1.html#group8I1", "8I¹"), =HYPERLINK("CSG5.html#group16A5", "16A⁵"), =HYPERLINK("CSG4.html#group16C4", "16C⁴"), =HYPERLINK("CSG0.html#group4F0", "4F⁰"), =HYPERLINK("CSG0.html#group2C0", "2C⁰")</f>
        <v/>
      </c>
      <c r="N1926">
        <f>HYPERLINK("CSG21.html#group16C21", "16C²¹"), =HYPERLINK("CSG21.html#group32F21", "32F²¹"), =HYPERLINK("CSG17.html#group16A17", "16A¹⁷")</f>
        <v/>
      </c>
    </row>
    <row r="1927">
      <c r="A1927" t="inlineStr">
        <is>
          <t>16B⁹</t>
        </is>
      </c>
      <c r="B1927" t="inlineStr"/>
      <c r="C1927" t="inlineStr">
        <is>
          <t>192</t>
        </is>
      </c>
      <c r="D1927" t="inlineStr">
        <is>
          <t>1</t>
        </is>
      </c>
      <c r="E1927" t="inlineStr">
        <is>
          <t>3</t>
        </is>
      </c>
      <c r="F1927" t="inlineStr">
        <is>
          <t>0</t>
        </is>
      </c>
      <c r="G1927" t="inlineStr">
        <is>
          <t>0</t>
        </is>
      </c>
      <c r="H1927" t="inlineStr">
        <is>
          <t>8⁸, 16⁸</t>
        </is>
      </c>
      <c r="I1927" t="n">
        <v>16</v>
      </c>
      <c r="J1927" t="inlineStr">
        <is>
          <t>1³</t>
        </is>
      </c>
      <c r="K1927">
        <f>HYPERLINK("CSG3.html#group8A3", "8A³"), =HYPERLINK("CSG3.html#group16I3", "16I³"), =HYPERLINK("CSG3.html#group16L3", "16L³"), =HYPERLINK("CSG5.html#group16B5", "16B⁵"), =HYPERLINK("CSG5.html#group16F5", "16F⁵")</f>
        <v/>
      </c>
      <c r="L1927">
        <f>HYPERLINK("CSG17.html#group16A17", "16A¹⁷"), =HYPERLINK("CSG21.html#group16A21", "16A²¹"), =HYPERLINK("CSG21.html#group16C21", "16C²¹"), =HYPERLINK("CSG21.html#group32E21", "32E²¹")</f>
        <v/>
      </c>
      <c r="M1927">
        <f>HYPERLINK("CSG0.html#group2A0", "2A⁰"), =HYPERLINK("CSG0.html#group16G0", "16G⁰"), =HYPERLINK("CSG5.html#group16F5", "16F⁵"), =HYPERLINK("CSG1.html#group16I1", "16I¹"), =HYPERLINK("CSG0.html#group4C0", "4C⁰"), =HYPERLINK("CSG3.html#group16A3", "16A³"), =HYPERLINK("CSG0.html#group4G0", "4G⁰"), =HYPERLINK("CSG0.html#group2B0", "2B⁰"), =HYPERLINK("CSG0.html#group4E0", "4E⁰"), =HYPERLINK("CSG0.html#group8C0", "8C⁰"), =HYPERLINK("CSG1.html#group8E1", "8E¹"), =HYPERLINK("CSG0.html#group4B0", "4B⁰"), =HYPERLINK("CSG1.html#group8F1", "8F¹"), =HYPERLINK("CSG0.html#group1A0", "1A⁰"), =HYPERLINK("CSG2.html#group16A2", "16A²"), =HYPERLINK("CSG0.html#group16B0", "16B⁰"), =HYPERLINK("CSG0.html#group16E0", "16E⁰"), =HYPERLINK("CSG0.html#group8G0", "8G⁰"), =HYPERLINK("CSG0.html#group4D0", "4D⁰"), =HYPERLINK("CSG1.html#group16F1", "16F¹"), =HYPERLINK("CSG2.html#group16D2", "16D²"), =HYPERLINK("CSG1.html#group8A1", "8A¹"), =HYPERLINK("CSG2.html#group16C2", "16C²"), =HYPERLINK("CSG3.html#group8A3", "8A³"), =HYPERLINK("CSG3.html#group16C3", "16C³"), =HYPERLINK("CSG0.html#group8D0", "8D⁰"), =HYPERLINK("CSG3.html#group16B3", "16B³"), =HYPERLINK("CSG0.html#group8B0", "8B⁰"), =HYPERLINK("CSG1.html#group16B1", "16B¹"), =HYPERLINK("CSG1.html#group8B1", "8B¹"), =HYPERLINK("CSG3.html#group16I3", "16I³"), =HYPERLINK("CSG0.html#group8H0", "8H⁰"), =HYPERLINK("CSG5.html#group16B5", "16B⁵"), =HYPERLINK("CSG0.html#group8F0", "8F⁰"), =HYPERLINK("CSG1.html#group8C1", "8C¹"), =HYPERLINK("CSG3.html#group16L3", "16L³"), =HYPERLINK("CSG0.html#group4A0", "4A⁰"), =HYPERLINK("CSG1.html#group8I1", "8I¹"), =HYPERLINK("CSG1.html#group16C1", "16C¹"), =HYPERLINK("CSG0.html#group16D0", "16D⁰"), =HYPERLINK("CSG0.html#group4F0", "4F⁰"), =HYPERLINK("CSG0.html#group2C0", "2C⁰")</f>
        <v/>
      </c>
      <c r="N1927">
        <f>HYPERLINK("CSG21.html#group16C21", "16C²¹"), =HYPERLINK("CSG21.html#group16A21", "16A²¹"), =HYPERLINK("CSG21.html#group32E21", "32E²¹"), =HYPERLINK("CSG17.html#group16A17", "16A¹⁷")</f>
        <v/>
      </c>
    </row>
    <row r="1928">
      <c r="A1928" t="inlineStr">
        <is>
          <t>16C⁹</t>
        </is>
      </c>
      <c r="B1928" t="inlineStr"/>
      <c r="C1928" t="inlineStr">
        <is>
          <t>192</t>
        </is>
      </c>
      <c r="D1928" t="inlineStr">
        <is>
          <t>1</t>
        </is>
      </c>
      <c r="E1928" t="inlineStr">
        <is>
          <t>3</t>
        </is>
      </c>
      <c r="F1928" t="inlineStr">
        <is>
          <t>0</t>
        </is>
      </c>
      <c r="G1928" t="inlineStr">
        <is>
          <t>0</t>
        </is>
      </c>
      <c r="H1928" t="inlineStr">
        <is>
          <t>8⁸, 16⁸</t>
        </is>
      </c>
      <c r="I1928" t="n">
        <v>16</v>
      </c>
      <c r="J1928" t="inlineStr">
        <is>
          <t>1³</t>
        </is>
      </c>
      <c r="K1928">
        <f>HYPERLINK("CSG3.html#group8B3", "8B³"), =HYPERLINK("CSG3.html#group16H3", "16H³"), =HYPERLINK("CSG3.html#group16K3", "16K³"), =HYPERLINK("CSG5.html#group16B5", "16B⁵"), =HYPERLINK("CSG5.html#group16E5", "16E⁵")</f>
        <v/>
      </c>
      <c r="L1928">
        <f>HYPERLINK("CSG17.html#group16A17", "16A¹⁷"), =HYPERLINK("CSG21.html#group16E21", "16E²¹"), =HYPERLINK("CSG21.html#group32B21", "32B²¹"), =HYPERLINK("CSG21.html#group32A21", "32A²¹")</f>
        <v/>
      </c>
      <c r="M1928">
        <f>HYPERLINK("CSG0.html#group2A0", "2A⁰"), =HYPERLINK("CSG3.html#group8B3", "8B³"), =HYPERLINK("CSG0.html#group4C0", "4C⁰"), =HYPERLINK("CSG0.html#group8A0", "8A⁰"), =HYPERLINK("CSG3.html#group16A3", "16A³"), =HYPERLINK("CSG0.html#group4G0", "4G⁰"), =HYPERLINK("CSG0.html#group2B0", "2B⁰"), =HYPERLINK("CSG0.html#group4E0", "4E⁰"), =HYPERLINK("CSG0.html#group8C0", "8C⁰"), =HYPERLINK("CSG1.html#group16A1", "16A¹"), =HYPERLINK("CSG0.html#group4B0", "4B⁰"), =HYPERLINK("CSG1.html#group8F1", "8F¹"), =HYPERLINK("CSG0.html#group8K0", "8K⁰"), =HYPERLINK("CSG0.html#group1A0", "1A⁰"), =HYPERLINK("CSG1.html#group8H1", "8H¹"), =HYPERLINK("CSG2.html#group16A2", "16A²"), =HYPERLINK("CSG0.html#group16B0", "16B⁰"), =HYPERLINK("CSG0.html#group8G0", "8G⁰"), =HYPERLINK("CSG0.html#group4D0", "4D⁰"), =HYPERLINK("CSG0.html#group16C0", "16C⁰"), =HYPERLINK("CSG1.html#group16F1", "16F¹"), =HYPERLINK("CSG1.html#group16H1", "16H¹"), =HYPERLINK("CSG0.html#group8N0", "8N⁰"), =HYPERLINK("CSG1.html#group8A1", "8A¹"), =HYPERLINK("CSG3.html#group16C3", "16C³"), =HYPERLINK("CSG0.html#group8D0", "8D⁰"), =HYPERLINK("CSG0.html#group2C0", "2C⁰"), =HYPERLINK("CSG1.html#group16E1", "16E¹"), =HYPERLINK("CSG2.html#group8B2", "8B²"), =HYPERLINK("CSG0.html#group8B0", "8B⁰"), =HYPERLINK("CSG3.html#group16B3", "16B³"), =HYPERLINK("CSG1.html#group16B1", "16B¹"), =HYPERLINK("CSG0.html#group8E0", "8E⁰"), =HYPERLINK("CSG1.html#group8B1", "8B¹"), =HYPERLINK("CSG1.html#group8D1", "8D¹"), =HYPERLINK("CSG3.html#group16H3", "16H³"), =HYPERLINK("CSG0.html#group8H0", "8H⁰"), =HYPERLINK("CSG2.html#group8A2", "8A²"), =HYPERLINK("CSG3.html#group16K3", "16K³"), =HYPERLINK("CSG5.html#group16B5", "16B⁵"), =HYPERLINK("CSG1.html#group8C1", "8C¹"), =HYPERLINK("CSG0.html#group4A0", "4A⁰"), =HYPERLINK("CSG0.html#group4F0", "4F⁰"), =HYPERLINK("CSG0.html#group8J0", "8J⁰"), =HYPERLINK("CSG5.html#group16E5", "16E⁵")</f>
        <v/>
      </c>
      <c r="N1928">
        <f>HYPERLINK("CSG21.html#group16E21", "16E²¹"), =HYPERLINK("CSG21.html#group32A21", "32A²¹"), =HYPERLINK("CSG21.html#group32B21", "32B²¹"), =HYPERLINK("CSG17.html#group16A17", "16A¹⁷")</f>
        <v/>
      </c>
    </row>
    <row r="1929">
      <c r="A1929" t="inlineStr">
        <is>
          <t>16D⁹</t>
        </is>
      </c>
      <c r="B1929" t="inlineStr"/>
      <c r="C1929" t="inlineStr">
        <is>
          <t>192</t>
        </is>
      </c>
      <c r="D1929" t="inlineStr">
        <is>
          <t>1</t>
        </is>
      </c>
      <c r="E1929" t="inlineStr">
        <is>
          <t>3</t>
        </is>
      </c>
      <c r="F1929" t="inlineStr">
        <is>
          <t>0</t>
        </is>
      </c>
      <c r="G1929" t="inlineStr">
        <is>
          <t>0</t>
        </is>
      </c>
      <c r="H1929" t="inlineStr">
        <is>
          <t>8⁸, 16⁸</t>
        </is>
      </c>
      <c r="I1929" t="n">
        <v>16</v>
      </c>
      <c r="J1929" t="inlineStr">
        <is>
          <t>1³</t>
        </is>
      </c>
      <c r="K1929">
        <f>HYPERLINK("CSG3.html#group8B3", "8B³"), =HYPERLINK("CSG3.html#group16I3", "16I³"), =HYPERLINK("CSG4.html#group16B4", "16B⁴"), =HYPERLINK("CSG5.html#group16A5", "16A⁵"), =HYPERLINK("CSG5.html#group16H5", "16H⁵")</f>
        <v/>
      </c>
      <c r="L1929">
        <f>HYPERLINK("CSG17.html#group16A17", "16A¹⁷"), =HYPERLINK("CSG21.html#group16D21", "16D²¹"), =HYPERLINK("CSG21.html#group32D21", "32D²¹")</f>
        <v/>
      </c>
      <c r="M1929">
        <f>HYPERLINK("CSG0.html#group2A0", "2A⁰"), =HYPERLINK("CSG0.html#group16G0", "16G⁰"), =HYPERLINK("CSG3.html#group8B3", "8B³"), =HYPERLINK("CSG1.html#group16I1", "16I¹"), =HYPERLINK("CSG0.html#group4C0", "4C⁰"), =HYPERLINK("CSG0.html#group8A0", "8A⁰"),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=HYPERLINK("CSG0.html#group8K0", "8K⁰"), =HYPERLINK("CSG1.html#group8H1", "8H¹"), =HYPERLINK("CSG2.html#group16E2", "16E²"), =HYPERLINK("CSG0.html#group16E0", "16E⁰"), =HYPERLINK("CSG4.html#group16B4", "16B⁴"), =HYPERLINK("CSG1.html#group16D1", "16D¹"), =HYPERLINK("CSG2.html#group16B2", "16B²"), =HYPERLINK("CSG0.html#group8G0", "8G⁰"), =HYPERLINK("CSG0.html#group4D0", "4D⁰"), =HYPERLINK("CSG3.html#group16E3", "16E³"), =HYPERLINK("CSG2.html#group16D2", "16D²"), =HYPERLINK("CSG0.html#group8N0", "8N⁰"), =HYPERLINK("CSG3.html#group16D3", "16D³"), =HYPERLINK("CSG1.html#group8A1", "8A¹"), =HYPERLINK("CSG2.html#group16C2", "16C²"), =HYPERLINK("CSG5.html#group16H5", "16H⁵"), =HYPERLINK("CSG0.html#group8D0", "8D⁰"), =HYPERLINK("CSG2.html#group8B2", "8B²"), =HYPERLINK("CSG0.html#group8B0", "8B⁰"), =HYPERLINK("CSG0.html#group8E0", "8E⁰"), =HYPERLINK("CSG1.html#group8B1", "8B¹"), =HYPERLINK("CSG3.html#group16I3", "16I³"), =HYPERLINK("CSG1.html#group8D1", "8D¹"), =HYPERLINK("CSG0.html#group8H0", "8H⁰"), =HYPERLINK("CSG2.html#group8A2", "8A²"), =HYPERLINK("CSG1.html#group8C1", "8C¹"), =HYPERLINK("CSG0.html#group4A0", "4A⁰"), =HYPERLINK("CSG1.html#group16C1", "16C¹"), =HYPERLINK("CSG0.html#group16D0", "16D⁰"), =HYPERLINK("CSG5.html#group16A5", "16A⁵"), =HYPERLINK("CSG0.html#group4F0", "4F⁰"), =HYPERLINK("CSG0.html#group8J0", "8J⁰"), =HYPERLINK("CSG0.html#group2C0", "2C⁰")</f>
        <v/>
      </c>
      <c r="N1929">
        <f>HYPERLINK("CSG21.html#group32D21", "32D²¹"), =HYPERLINK("CSG21.html#group16D21", "16D²¹"), =HYPERLINK("CSG17.html#group16A17", "16A¹⁷")</f>
        <v/>
      </c>
    </row>
    <row r="1930">
      <c r="A1930" t="inlineStr">
        <is>
          <t>16E⁹</t>
        </is>
      </c>
      <c r="B1930" t="inlineStr"/>
      <c r="C1930" t="inlineStr">
        <is>
          <t>192</t>
        </is>
      </c>
      <c r="D1930" t="inlineStr">
        <is>
          <t>1</t>
        </is>
      </c>
      <c r="E1930" t="inlineStr">
        <is>
          <t>3</t>
        </is>
      </c>
      <c r="F1930" t="inlineStr">
        <is>
          <t>0</t>
        </is>
      </c>
      <c r="G1930" t="inlineStr">
        <is>
          <t>0</t>
        </is>
      </c>
      <c r="H1930" t="inlineStr">
        <is>
          <t>8⁸, 16⁸</t>
        </is>
      </c>
      <c r="I1930" t="n">
        <v>16</v>
      </c>
      <c r="J1930" t="inlineStr">
        <is>
          <t>1³</t>
        </is>
      </c>
      <c r="K1930">
        <f>HYPERLINK("CSG1.html#group8K1", "8K¹"), =HYPERLINK("CSG3.html#group16M3", "16M³"), =HYPERLINK("CSG5.html#group16A5", "16A⁵"), =HYPERLINK("CSG5.html#group16B5", "16B⁵"), =HYPERLINK("CSG5.html#group16C5", "16C⁵"), =HYPERLINK("CSG5.html#group16D5", "16D⁵"), =HYPERLINK("CSG5.html#group16G5", "16G⁵")</f>
        <v/>
      </c>
      <c r="L1930">
        <f>HYPERLINK("CSG17.html#group16A17", "16A¹⁷"), =HYPERLINK("CSG17.html#group16B17", "16B¹⁷")</f>
        <v/>
      </c>
      <c r="M1930">
        <f>HYPERLINK("CSG0.html#group2A0", "2A⁰"), =HYPERLINK("CSG5.html#group16D5", "16D⁵"), =HYPERLINK("CSG5.html#group16C5", "16C⁵"), =HYPERLINK("CSG0.html#group4C0", "4C⁰"), =HYPERLINK("CSG3.html#group16A3", "16A³"), =HYPERLINK("CSG0.html#group4G0", "4G⁰"), =HYPERLINK("CSG0.html#group2B0", "2B⁰"), =HYPERLINK("CSG0.html#group4E0", "4E⁰"), =HYPERLINK("CSG0.html#group8C0", "8C⁰"), =HYPERLINK("CSG0.html#group8L0", "8L⁰"), =HYPERLINK("CSG0.html#group4B0", "4B⁰"), =HYPERLINK("CSG1.html#group8F1", "8F¹"), =HYPERLINK("CSG0.html#group1A0", "1A⁰"), =HYPERLINK("CSG0.html#group8K0", "8K⁰"), =HYPERLINK("CSG2.html#group16E2", "16E²"), =HYPERLINK("CSG2.html#group16A2", "16A²"), =HYPERLINK("CSG0.html#group16B0", "16B⁰"), =HYPERLINK("CSG1.html#group16D1", "16D¹"), =HYPERLINK("CSG2.html#group16B2", "16B²"), =HYPERLINK("CSG0.html#group8G0", "8G⁰"), =HYPERLINK("CSG0.html#group4D0", "4D⁰"), =HYPERLINK("CSG1.html#group8G1", "8G¹"), =HYPERLINK("CSG1.html#group16F1", "16F¹"), =HYPERLINK("CSG0.html#group8P0", "8P⁰"), =HYPERLINK("CSG3.html#group16E3", "16E³"), =HYPERLINK("CSG0.html#group8N0", "8N⁰"), =HYPERLINK("CSG3.html#group16D3", "16D³"), =HYPERLINK("CSG1.html#group8A1", "8A¹"), =HYPERLINK("CSG3.html#group16C3", "16C³"), =HYPERLINK("CSG1.html#group8K1", "8K¹"), =HYPERLINK("CSG0.html#group8D0", "8D⁰"), =HYPERLINK("CSG3.html#group16M3", "16M³"), =HYPERLINK("CSG3.html#group16B3", "16B³"), =HYPERLINK("CSG0.html#group8B0", "8B⁰"), =HYPERLINK("CSG5.html#group16G5", "16G⁵"), =HYPERLINK("CSG1.html#group16B1", "16B¹"), =HYPERLINK("CSG1.html#group8B1", "8B¹"), =HYPERLINK("CSG0.html#group8I0", "8I⁰"), =HYPERLINK("CSG1.html#group16J1", "16J¹"), =HYPERLINK("CSG0.html#group8H0", "8H⁰"), =HYPERLINK("CSG5.html#group16B5", "16B⁵"), =HYPERLINK("CSG1.html#group8C1", "8C¹"), =HYPERLINK("CSG2.html#group16F2", "16F²"), =HYPERLINK("CSG0.html#group4A0", "4A⁰"), =HYPERLINK("CSG3.html#group16F3", "16F³"), =HYPERLINK("CSG5.html#group16A5", "16A⁵"), =HYPERLINK("CSG0.html#group4F0", "4F⁰"), =HYPERLINK("CSG0.html#group8J0", "8J⁰"), =HYPERLINK("CSG0.html#group2C0", "2C⁰"), =HYPERLINK("CSG0.html#group8O0", "8O⁰")</f>
        <v/>
      </c>
      <c r="N1930">
        <f>HYPERLINK("CSG17.html#group16A17", "16A¹⁷"), =HYPERLINK("CSG17.html#group16B17", "16B¹⁷")</f>
        <v/>
      </c>
    </row>
    <row r="1931">
      <c r="A1931" t="inlineStr">
        <is>
          <t>16F⁹</t>
        </is>
      </c>
      <c r="B1931" t="inlineStr"/>
      <c r="C1931" t="inlineStr">
        <is>
          <t>192</t>
        </is>
      </c>
      <c r="D1931" t="inlineStr">
        <is>
          <t>1</t>
        </is>
      </c>
      <c r="E1931" t="inlineStr">
        <is>
          <t>12</t>
        </is>
      </c>
      <c r="F1931" t="inlineStr">
        <is>
          <t>0</t>
        </is>
      </c>
      <c r="G1931" t="inlineStr">
        <is>
          <t>0</t>
        </is>
      </c>
      <c r="H1931" t="inlineStr">
        <is>
          <t>8⁸, 16⁸</t>
        </is>
      </c>
      <c r="I1931" t="n">
        <v>16</v>
      </c>
      <c r="J1931" t="inlineStr">
        <is>
          <t>1⁴, 2², 4¹</t>
        </is>
      </c>
      <c r="K1931">
        <f>HYPERLINK("CSG3.html#group16O3", "16O³"), =HYPERLINK("CSG5.html#group16C5", "16C⁵")</f>
        <v/>
      </c>
      <c r="L1931">
        <f>HYPERLINK("CSG17.html#group16B17", "16B¹⁷"), =HYPERLINK("CSG21.html#group32Q21", "32Q²¹")</f>
        <v/>
      </c>
      <c r="M1931">
        <f>HYPERLINK("CSG0.html#group2A0", "2A⁰"), =HYPERLINK("CSG3.html#group16D3", "16D³"), =HYPERLINK("CSG1.html#group8A1", "8A¹"), =HYPERLINK("CSG5.html#group16C5", "16C⁵"), =HYPERLINK("CSG3.html#group16O3", "16O³"), =HYPERLINK("CSG0.html#group4C0", "4C⁰"), =HYPERLINK("CSG3.html#group16A3", "16A³"), =HYPERLINK("CSG0.html#group8B0", "8B⁰"), =HYPERLINK("CSG1.html#group16B1", "16B¹"), =HYPERLINK("CSG0.html#group8L0", "8L⁰"), =HYPERLINK("CSG0.html#group2B0", "2B⁰"), =HYPERLINK("CSG1.html#group8B1", "8B¹"), =HYPERLINK("CSG0.html#group4E0", "4E⁰"), =HYPERLINK("CSG0.html#group4B0", "4B⁰"), =HYPERLINK("CSG0.html#group1A0", "1A⁰"), =HYPERLINK("CSG1.html#group16D1", "16D¹"), =HYPERLINK("CSG2.html#group16B2", "16B²"), =HYPERLINK("CSG2.html#group16F2", "16F²"), =HYPERLINK("CSG1.html#group8G1", "8G¹"), =HYPERLINK("CSG0.html#group8J0", "8J⁰"), =HYPERLINK("CSG0.html#group2C0", "2C⁰")</f>
        <v/>
      </c>
      <c r="N1931">
        <f>HYPERLINK("CSG21.html#group32Q21", "32Q²¹"), =HYPERLINK("CSG17.html#group16B17", "16B¹⁷")</f>
        <v/>
      </c>
    </row>
    <row r="1932">
      <c r="A1932" t="inlineStr">
        <is>
          <t>16G⁹</t>
        </is>
      </c>
      <c r="B1932" t="inlineStr"/>
      <c r="C1932" t="inlineStr">
        <is>
          <t>192</t>
        </is>
      </c>
      <c r="D1932" t="inlineStr">
        <is>
          <t>1</t>
        </is>
      </c>
      <c r="E1932" t="inlineStr">
        <is>
          <t>12</t>
        </is>
      </c>
      <c r="F1932" t="inlineStr">
        <is>
          <t>0</t>
        </is>
      </c>
      <c r="G1932" t="inlineStr">
        <is>
          <t>0</t>
        </is>
      </c>
      <c r="H1932" t="inlineStr">
        <is>
          <t>8⁸, 16⁸</t>
        </is>
      </c>
      <c r="I1932" t="n">
        <v>16</v>
      </c>
      <c r="J1932" t="inlineStr">
        <is>
          <t>1⁴, 2², 4¹</t>
        </is>
      </c>
      <c r="K1932">
        <f>HYPERLINK("CSG3.html#group16O3", "16O³"), =HYPERLINK("CSG3.html#group16R3", "16R³"), =HYPERLINK("CSG3.html#group16S3", "16S³"), =HYPERLINK("CSG5.html#group16D5", "16D⁵")</f>
        <v/>
      </c>
      <c r="L1932">
        <f>HYPERLINK("CSG17.html#group16B17", "16B¹⁷"), =HYPERLINK("CSG21.html#group32R21", "32R²¹")</f>
        <v/>
      </c>
      <c r="M1932">
        <f>HYPERLINK("CSG0.html#group2A0", "2A⁰"), =HYPERLINK("CSG3.html#group16D3", "16D³"), =HYPERLINK("CSG5.html#group16D5", "16D⁵"), =HYPERLINK("CSG1.html#group8A1", "8A¹"), =HYPERLINK("CSG3.html#group16O3", "16O³"), =HYPERLINK("CSG0.html#group4C0", "4C⁰"), =HYPERLINK("CSG0.html#group8B0", "8B⁰"), =HYPERLINK("CSG3.html#group16B3", "16B³"), =HYPERLINK("CSG3.html#group16S3", "16S³"), =HYPERLINK("CSG0.html#group8L0", "8L⁰"), =HYPERLINK("CSG0.html#group2B0", "2B⁰"), =HYPERLINK("CSG1.html#group8B1", "8B¹"), =HYPERLINK("CSG0.html#group4E0", "4E⁰"), =HYPERLINK("CSG1.html#group16J1", "16J¹"), =HYPERLINK("CSG0.html#group4B0", "4B⁰"), =HYPERLINK("CSG0.html#group1A0", "1A⁰"), =HYPERLINK("CSG2.html#group16A2", "16A²"), =HYPERLINK("CSG0.html#group16B0", "16B⁰"), =HYPERLINK("CSG1.html#group16D1", "16D¹"), =HYPERLINK("CSG2.html#group16B2", "16B²"), =HYPERLINK("CSG1.html#group8G1", "8G¹"), =HYPERLINK("CSG3.html#group16F3", "16F³"), =HYPERLINK("CSG3.html#group16R3", "16R³"), =HYPERLINK("CSG0.html#group8J0", "8J⁰"), =HYPERLINK("CSG0.html#group2C0", "2C⁰")</f>
        <v/>
      </c>
      <c r="N1932">
        <f>HYPERLINK("CSG21.html#group32R21", "32R²¹"), =HYPERLINK("CSG17.html#group16B17", "16B¹⁷")</f>
        <v/>
      </c>
    </row>
    <row r="1933">
      <c r="A1933" t="inlineStr">
        <is>
          <t>16H⁹</t>
        </is>
      </c>
      <c r="B1933" t="inlineStr"/>
      <c r="C1933" t="inlineStr">
        <is>
          <t>192</t>
        </is>
      </c>
      <c r="D1933" t="inlineStr">
        <is>
          <t>1</t>
        </is>
      </c>
      <c r="E1933" t="inlineStr">
        <is>
          <t>24</t>
        </is>
      </c>
      <c r="F1933" t="inlineStr">
        <is>
          <t>0</t>
        </is>
      </c>
      <c r="G1933" t="inlineStr">
        <is>
          <t>0</t>
        </is>
      </c>
      <c r="H1933" t="inlineStr">
        <is>
          <t>8⁸, 16⁸</t>
        </is>
      </c>
      <c r="I1933" t="n">
        <v>16</v>
      </c>
      <c r="J1933" t="inlineStr">
        <is>
          <t>2², 4⁵</t>
        </is>
      </c>
      <c r="K1933">
        <f>HYPERLINK("CSG2.html#group8C2", "8C²"), =HYPERLINK("CSG2.html#group16L2", "16L²"), =HYPERLINK("CSG4.html#group16C4", "16C⁴"), =HYPERLINK("CSG4.html#group16B4", "16B⁴"), =HYPERLINK("CSG5.html#group16E5", "16E⁵"), =HYPERLINK("CSG5.html#group16F5", "16F⁵"), =HYPERLINK("CSG5.html#group16G5", "16G⁵")</f>
        <v/>
      </c>
      <c r="L1933">
        <f>HYPERLINK("CSG17.html#group16A17", "16A¹⁷"), =HYPERLINK("CSG21.html#group16F21", "16F²¹"), =HYPERLINK("CSG21.html#group32P21", "32P²¹")</f>
        <v/>
      </c>
      <c r="M1933">
        <f>HYPERLINK("CSG5.html#group16F5", "16F⁵"), =HYPERLINK("CSG1.html#group16I1", "16I¹"), =HYPERLINK("CSG0.html#group4C0", "4C⁰"), =HYPERLINK("CSG2.html#group8C2", "8C²"), =HYPERLINK("CSG0.html#group8A0", "8A⁰"), =HYPERLINK("CSG0.html#group8L0", "8L⁰"), =HYPERLINK("CSG0.html#group2B0", "2B⁰"), =HYPERLINK("CSG0.html#group1A0", "1A⁰"), =HYPERLINK("CSG0.html#group8K0", "8K⁰"), =HYPERLINK("CSG1.html#group8H1", "8H¹"), =HYPERLINK("CSG2.html#group16E2", "16E²"), =HYPERLINK("CSG2.html#group16A2", "16A²"), =HYPERLINK("CSG0.html#group16E0", "16E⁰"), =HYPERLINK("CSG4.html#group16B4", "16B⁴"), =HYPERLINK("CSG1.html#group16D1", "16D¹"), =HYPERLINK("CSG0.html#group8M0", "8M⁰"), =HYPERLINK("CSG0.html#group8P0", "8P⁰"), =HYPERLINK("CSG1.html#group16H1", "16H¹"), =HYPERLINK("CSG3.html#group16C3", "16C³"), =HYPERLINK("CSG0.html#group8D0", "8D⁰"), =HYPERLINK("CSG0.html#group8B0", "8B⁰"), =HYPERLINK("CSG5.html#group16G5", "16G⁵"), =HYPERLINK("CSG1.html#group16B1", "16B¹"), =HYPERLINK("CSG2.html#group16L2", "16L²"), =HYPERLINK("CSG1.html#group8D1", "8D¹"), =HYPERLINK("CSG0.html#group8H0", "8H⁰"), =HYPERLINK("CSG0.html#group8F0", "8F⁰"), =HYPERLINK("CSG2.html#group16F2", "16F²"), =HYPERLINK("CSG0.html#group4A0", "4A⁰"), =HYPERLINK("CSG1.html#group8I1", "8I¹"), =HYPERLINK("CSG1.html#group16C1", "16C¹"), =HYPERLINK("CSG3.html#group16F3", "16F³"), =HYPERLINK("CSG4.html#group16C4", "16C⁴"), =HYPERLINK("CSG0.html#group4F0", "4F⁰"), =HYPERLINK("CSG5.html#group16E5", "16E⁵")</f>
        <v/>
      </c>
      <c r="N1933">
        <f>HYPERLINK("CSG21.html#group16F21", "16F²¹"), =HYPERLINK("CSG21.html#group32P21", "32P²¹"), =HYPERLINK("CSG17.html#group16A17", "16A¹⁷")</f>
        <v/>
      </c>
    </row>
    <row r="1934">
      <c r="A1934" t="inlineStr">
        <is>
          <t>16I⁹</t>
        </is>
      </c>
      <c r="B1934" t="inlineStr"/>
      <c r="C1934" t="inlineStr">
        <is>
          <t>192</t>
        </is>
      </c>
      <c r="D1934" t="inlineStr">
        <is>
          <t>1</t>
        </is>
      </c>
      <c r="E1934" t="inlineStr">
        <is>
          <t>24</t>
        </is>
      </c>
      <c r="F1934" t="inlineStr">
        <is>
          <t>8</t>
        </is>
      </c>
      <c r="G1934" t="inlineStr">
        <is>
          <t>0</t>
        </is>
      </c>
      <c r="H1934" t="inlineStr">
        <is>
          <t>16¹²</t>
        </is>
      </c>
      <c r="I1934" t="n">
        <v>12</v>
      </c>
      <c r="J1934" t="inlineStr">
        <is>
          <t>4², 8²</t>
        </is>
      </c>
      <c r="K1934">
        <f>HYPERLINK("CSG3.html#group16K3", "16K³"), =HYPERLINK("CSG3.html#group16P3", "16P³"), =HYPERLINK("CSG5.html#group16J5", "16J⁵")</f>
        <v/>
      </c>
      <c r="L1934">
        <f>HYPERLINK("CSG19.html#group16A19", "16A¹⁹"), =HYPERLINK("CSG21.html#group16E21", "16E²¹"), =HYPERLINK("CSG21.html#group32I21", "32I²¹"), =HYPERLINK("CSG21.html#group32X21", "32X²¹"), =HYPERLINK("CSG23.html#group32A23", "32A²³")</f>
        <v/>
      </c>
      <c r="M1934">
        <f>HYPERLINK("CSG0.html#group16A0", "16A⁰"), =HYPERLINK("CSG0.html#group8D0", "8D⁰"), =HYPERLINK("CSG0.html#group4C0", "4C⁰"), =HYPERLINK("CSG0.html#group8B0", "8B⁰"), =HYPERLINK("CSG3.html#group16P3", "16P³"), =HYPERLINK("CSG0.html#group8A0", "8A⁰"), =HYPERLINK("CSG1.html#group16B1", "16B¹"), =HYPERLINK("CSG0.html#group2B0", "2B⁰"), =HYPERLINK("CSG3.html#group16G3", "16G³"), =HYPERLINK("CSG0.html#group1A0", "1A⁰"), =HYPERLINK("CSG1.html#group8D1", "8D¹"), =HYPERLINK("CSG0.html#group8K0", "8K⁰"), =HYPERLINK("CSG1.html#group8H1", "8H¹"), =HYPERLINK("CSG0.html#group8H0", "8H⁰"), =HYPERLINK("CSG0.html#group16B0", "16B⁰"), =HYPERLINK("CSG3.html#group16K3", "16K³"), =HYPERLINK("CSG0.html#group4A0", "4A⁰"), =HYPERLINK("CSG0.html#group4F0", "4F⁰"), =HYPERLINK("CSG1.html#group16F1", "16F¹"), =HYPERLINK("CSG1.html#group16H1", "16H¹"), =HYPERLINK("CSG5.html#group16J5", "16J⁵")</f>
        <v/>
      </c>
      <c r="N1934">
        <f>HYPERLINK("CSG21.html#group32X21", "32X²¹"), =HYPERLINK("CSG19.html#group16A19", "16A¹⁹"), =HYPERLINK("CSG21.html#group32I21", "32I²¹"), =HYPERLINK("CSG21.html#group16E21", "16E²¹"), =HYPERLINK("CSG23.html#group32A23", "32A²³")</f>
        <v/>
      </c>
    </row>
    <row r="1935">
      <c r="A1935" t="inlineStr">
        <is>
          <t>16J⁹</t>
        </is>
      </c>
      <c r="B1935" t="inlineStr"/>
      <c r="C1935" t="inlineStr">
        <is>
          <t>192</t>
        </is>
      </c>
      <c r="D1935" t="inlineStr">
        <is>
          <t>1</t>
        </is>
      </c>
      <c r="E1935" t="inlineStr">
        <is>
          <t>24</t>
        </is>
      </c>
      <c r="F1935" t="inlineStr">
        <is>
          <t>8</t>
        </is>
      </c>
      <c r="G1935" t="inlineStr">
        <is>
          <t>0</t>
        </is>
      </c>
      <c r="H1935" t="inlineStr">
        <is>
          <t>16¹²</t>
        </is>
      </c>
      <c r="I1935" t="n">
        <v>12</v>
      </c>
      <c r="J1935" t="inlineStr">
        <is>
          <t>4², 8²</t>
        </is>
      </c>
      <c r="K1935">
        <f>HYPERLINK("CSG3.html#group16K3", "16K³"), =HYPERLINK("CSG3.html#group16Q3", "16Q³"), =HYPERLINK("CSG5.html#group16I5", "16I⁵")</f>
        <v/>
      </c>
      <c r="L1935">
        <f>HYPERLINK("CSG19.html#group16A19", "16A¹⁹"), =HYPERLINK("CSG21.html#group16E21", "16E²¹"), =HYPERLINK("CSG21.html#group32J21", "32J²¹"), =HYPERLINK("CSG21.html#group32W21", "32W²¹"), =HYPERLINK("CSG23.html#group32B23", "32B²³")</f>
        <v/>
      </c>
      <c r="M1935">
        <f>HYPERLINK("CSG0.html#group8D0", "8D⁰"), =HYPERLINK("CSG0.html#group4C0", "4C⁰"), =HYPERLINK("CSG0.html#group8B0", "8B⁰"), =HYPERLINK("CSG0.html#group8A0", "8A⁰"), =HYPERLINK("CSG1.html#group16B1", "16B¹"), =HYPERLINK("CSG0.html#group2B0", "2B⁰"), =HYPERLINK("CSG0.html#group8K0", "8K⁰"), =HYPERLINK("CSG0.html#group1A0", "1A⁰"), =HYPERLINK("CSG1.html#group8H1", "8H¹"), =HYPERLINK("CSG1.html#group8D1", "8D¹"), =HYPERLINK("CSG0.html#group8H0", "8H⁰"), =HYPERLINK("CSG0.html#group16B0", "16B⁰"), =HYPERLINK("CSG1.html#group16L1", "16L¹"), =HYPERLINK("CSG3.html#group16K3", "16K³"), =HYPERLINK("CSG0.html#group4A0", "4A⁰"), =HYPERLINK("CSG5.html#group16I5", "16I⁵"), =HYPERLINK("CSG0.html#group4F0", "4F⁰"), =HYPERLINK("CSG1.html#group16F1", "16F¹"), =HYPERLINK("CSG3.html#group16Q3", "16Q³"), =HYPERLINK("CSG1.html#group16H1", "16H¹"), =HYPERLINK("CSG1.html#group16K1", "16K¹")</f>
        <v/>
      </c>
      <c r="N1935">
        <f>HYPERLINK("CSG21.html#group32W21", "32W²¹"), =HYPERLINK("CSG19.html#group16A19", "16A¹⁹"), =HYPERLINK("CSG23.html#group32B23", "32B²³"), =HYPERLINK("CSG21.html#group16E21", "16E²¹"), =HYPERLINK("CSG21.html#group32J21", "32J²¹")</f>
        <v/>
      </c>
    </row>
    <row r="1936">
      <c r="A1936" t="inlineStr">
        <is>
          <t>16K⁹</t>
        </is>
      </c>
      <c r="B1936" t="inlineStr"/>
      <c r="C1936" t="inlineStr">
        <is>
          <t>192</t>
        </is>
      </c>
      <c r="D1936" t="inlineStr">
        <is>
          <t>1</t>
        </is>
      </c>
      <c r="E1936" t="inlineStr">
        <is>
          <t>24</t>
        </is>
      </c>
      <c r="F1936" t="inlineStr">
        <is>
          <t>8</t>
        </is>
      </c>
      <c r="G1936" t="inlineStr">
        <is>
          <t>0</t>
        </is>
      </c>
      <c r="H1936" t="inlineStr">
        <is>
          <t>16¹²</t>
        </is>
      </c>
      <c r="I1936" t="n">
        <v>12</v>
      </c>
      <c r="J1936" t="inlineStr">
        <is>
          <t>1², 2¹, 4¹, 8²</t>
        </is>
      </c>
      <c r="K1936">
        <f>HYPERLINK("CSG3.html#group16L3", "16L³")</f>
        <v/>
      </c>
      <c r="L1936">
        <f>HYPERLINK("CSG19.html#group16B19", "16B¹⁹"), =HYPERLINK("CSG21.html#group16C21", "16C²¹"), =HYPERLINK("CSG21.html#group32K21", "32K²¹"), =HYPERLINK("CSG23.html#group32C23", "32C²³")</f>
        <v/>
      </c>
      <c r="M1936">
        <f>HYPERLINK("CSG1.html#group16I1", "16I¹"), =HYPERLINK("CSG0.html#group8D0", "8D⁰"), =HYPERLINK("CSG0.html#group4C0", "4C⁰"), =HYPERLINK("CSG0.html#group8B0", "8B⁰"), =HYPERLINK("CSG1.html#group16B1", "16B¹"), =HYPERLINK("CSG0.html#group2B0", "2B⁰"), =HYPERLINK("CSG0.html#group1A0", "1A⁰"), =HYPERLINK("CSG0.html#group8H0", "8H⁰"), =HYPERLINK("CSG0.html#group16B0", "16B⁰"), =HYPERLINK("CSG0.html#group16E0", "16E⁰"), =HYPERLINK("CSG0.html#group8F0", "8F⁰"), =HYPERLINK("CSG3.html#group16L3", "16L³"), =HYPERLINK("CSG0.html#group4A0", "4A⁰"), =HYPERLINK("CSG1.html#group8I1", "8I¹"), =HYPERLINK("CSG1.html#group16C1", "16C¹"), =HYPERLINK("CSG0.html#group4F0", "4F⁰"), =HYPERLINK("CSG1.html#group16F1", "16F¹")</f>
        <v/>
      </c>
      <c r="N1936">
        <f>HYPERLINK("CSG21.html#group16C21", "16C²¹"), =HYPERLINK("CSG21.html#group32K21", "32K²¹"), =HYPERLINK("CSG23.html#group32C23", "32C²³"), =HYPERLINK("CSG19.html#group16B19", "16B¹⁹")</f>
        <v/>
      </c>
    </row>
    <row r="1937">
      <c r="A1937" t="inlineStr">
        <is>
          <t>16L⁹</t>
        </is>
      </c>
      <c r="B1937" t="inlineStr"/>
      <c r="C1937" t="inlineStr">
        <is>
          <t>192</t>
        </is>
      </c>
      <c r="D1937" t="inlineStr">
        <is>
          <t>1</t>
        </is>
      </c>
      <c r="E1937" t="inlineStr">
        <is>
          <t>24</t>
        </is>
      </c>
      <c r="F1937" t="inlineStr">
        <is>
          <t>8</t>
        </is>
      </c>
      <c r="G1937" t="inlineStr">
        <is>
          <t>0</t>
        </is>
      </c>
      <c r="H1937" t="inlineStr">
        <is>
          <t>16¹²</t>
        </is>
      </c>
      <c r="I1937" t="n">
        <v>12</v>
      </c>
      <c r="J1937" t="inlineStr">
        <is>
          <t>2⁴, 8²</t>
        </is>
      </c>
      <c r="K1937">
        <f>HYPERLINK("CSG2.html#group16G2", "16G²"), =HYPERLINK("CSG3.html#group16L3", "16L³")</f>
        <v/>
      </c>
      <c r="L1937">
        <f>HYPERLINK("CSG19.html#group16B19", "16B¹⁹"), =HYPERLINK("CSG21.html#group16A21", "16A²¹"), =HYPERLINK("CSG21.html#group32L21", "32L²¹"), =HYPERLINK("CSG23.html#group32D23", "32D²³")</f>
        <v/>
      </c>
      <c r="M1937">
        <f>HYPERLINK("CSG1.html#group16I1", "16I¹"), =HYPERLINK("CSG0.html#group8D0", "8D⁰"), =HYPERLINK("CSG0.html#group4C0", "4C⁰"), =HYPERLINK("CSG0.html#group8B0", "8B⁰"), =HYPERLINK("CSG1.html#group16B1", "16B¹"), =HYPERLINK("CSG0.html#group2B0", "2B⁰"), =HYPERLINK("CSG0.html#group1A0", "1A⁰"), =HYPERLINK("CSG0.html#group8H0", "8H⁰"), =HYPERLINK("CSG0.html#group16B0", "16B⁰"), =HYPERLINK("CSG0.html#group16E0", "16E⁰"), =HYPERLINK("CSG0.html#group8F0", "8F⁰"), =HYPERLINK("CSG3.html#group16L3", "16L³"), =HYPERLINK("CSG0.html#group4A0", "4A⁰"), =HYPERLINK("CSG1.html#group8I1", "8I¹"), =HYPERLINK("CSG1.html#group16C1", "16C¹"), =HYPERLINK("CSG2.html#group16G2", "16G²"), =HYPERLINK("CSG0.html#group4F0", "4F⁰"), =HYPERLINK("CSG1.html#group16F1", "16F¹")</f>
        <v/>
      </c>
      <c r="N1937">
        <f>HYPERLINK("CSG21.html#group16A21", "16A²¹"), =HYPERLINK("CSG23.html#group32D23", "32D²³"), =HYPERLINK("CSG21.html#group32L21", "32L²¹"), =HYPERLINK("CSG19.html#group16B19", "16B¹⁹")</f>
        <v/>
      </c>
    </row>
    <row r="1938">
      <c r="A1938" t="inlineStr">
        <is>
          <t>17A⁹</t>
        </is>
      </c>
      <c r="B1938" t="inlineStr"/>
      <c r="C1938" t="inlineStr">
        <is>
          <t>204</t>
        </is>
      </c>
      <c r="D1938" t="inlineStr">
        <is>
          <t>1</t>
        </is>
      </c>
      <c r="E1938" t="inlineStr">
        <is>
          <t>102</t>
        </is>
      </c>
      <c r="F1938" t="inlineStr">
        <is>
          <t>4</t>
        </is>
      </c>
      <c r="G1938" t="inlineStr">
        <is>
          <t>6</t>
        </is>
      </c>
      <c r="H1938" t="inlineStr">
        <is>
          <t>17¹²</t>
        </is>
      </c>
      <c r="I1938" t="n">
        <v>12</v>
      </c>
      <c r="J1938" t="inlineStr">
        <is>
          <t>4¹, 8¹, 16¹²</t>
        </is>
      </c>
      <c r="K1938">
        <f>HYPERLINK("CSG4.html#group17A4", "17A⁴")</f>
        <v/>
      </c>
      <c r="L1938" t="inlineStr"/>
      <c r="M1938">
        <f>HYPERLINK("CSG0.html#group1A0", "1A⁰"), =HYPERLINK("CSG4.html#group17A4", "17A⁴")</f>
        <v/>
      </c>
      <c r="N1938" t="inlineStr"/>
    </row>
    <row r="1939">
      <c r="A1939" t="inlineStr">
        <is>
          <t>17B⁹</t>
        </is>
      </c>
      <c r="B1939" t="inlineStr"/>
      <c r="C1939" t="inlineStr">
        <is>
          <t>204</t>
        </is>
      </c>
      <c r="D1939" t="inlineStr">
        <is>
          <t>1</t>
        </is>
      </c>
      <c r="E1939" t="inlineStr">
        <is>
          <t>102</t>
        </is>
      </c>
      <c r="F1939" t="inlineStr">
        <is>
          <t>4</t>
        </is>
      </c>
      <c r="G1939" t="inlineStr">
        <is>
          <t>6</t>
        </is>
      </c>
      <c r="H1939" t="inlineStr">
        <is>
          <t>17¹²</t>
        </is>
      </c>
      <c r="I1939" t="n">
        <v>12</v>
      </c>
      <c r="J1939" t="inlineStr">
        <is>
          <t>4¹, 8¹, 16¹²</t>
        </is>
      </c>
      <c r="K1939">
        <f>HYPERLINK("CSG4.html#group17B4", "17B⁴")</f>
        <v/>
      </c>
      <c r="L1939" t="inlineStr"/>
      <c r="M1939">
        <f>HYPERLINK("CSG0.html#group1A0", "1A⁰"), =HYPERLINK("CSG4.html#group17B4", "17B⁴")</f>
        <v/>
      </c>
      <c r="N1939" t="inlineStr"/>
    </row>
    <row r="1940">
      <c r="A1940" t="inlineStr">
        <is>
          <t>19A⁹</t>
        </is>
      </c>
      <c r="B1940" t="inlineStr"/>
      <c r="C1940" t="inlineStr">
        <is>
          <t>190</t>
        </is>
      </c>
      <c r="D1940" t="inlineStr">
        <is>
          <t>1</t>
        </is>
      </c>
      <c r="E1940" t="inlineStr">
        <is>
          <t>190</t>
        </is>
      </c>
      <c r="F1940" t="inlineStr">
        <is>
          <t>10</t>
        </is>
      </c>
      <c r="G1940" t="inlineStr">
        <is>
          <t>1</t>
        </is>
      </c>
      <c r="H1940" t="inlineStr">
        <is>
          <t>19¹⁰</t>
        </is>
      </c>
      <c r="I1940" t="n">
        <v>10</v>
      </c>
      <c r="J1940" t="inlineStr">
        <is>
          <t>1¹, 9¹, 18¹⁰</t>
        </is>
      </c>
      <c r="K1940">
        <f>HYPERLINK("CSG0.html#group1A0", "1A⁰")</f>
        <v/>
      </c>
      <c r="L1940">
        <f>HYPERLINK("CSG22.html#group19A22", "19A²²"), =HYPERLINK("CSG22.html#group38D22", "38D²²")</f>
        <v/>
      </c>
      <c r="M1940">
        <f>HYPERLINK("CSG0.html#group1A0", "1A⁰")</f>
        <v/>
      </c>
      <c r="N1940">
        <f>HYPERLINK("CSG22.html#group19A22", "19A²²"), =HYPERLINK("CSG22.html#group38D22", "38D²²")</f>
        <v/>
      </c>
    </row>
    <row r="1941">
      <c r="A1941" t="inlineStr">
        <is>
          <t>20A⁹</t>
        </is>
      </c>
      <c r="B1941" t="inlineStr"/>
      <c r="C1941" t="inlineStr">
        <is>
          <t>160</t>
        </is>
      </c>
      <c r="D1941" t="inlineStr">
        <is>
          <t>1</t>
        </is>
      </c>
      <c r="E1941" t="inlineStr">
        <is>
          <t>40</t>
        </is>
      </c>
      <c r="F1941" t="inlineStr">
        <is>
          <t>0</t>
        </is>
      </c>
      <c r="G1941" t="inlineStr">
        <is>
          <t>4</t>
        </is>
      </c>
      <c r="H1941" t="inlineStr">
        <is>
          <t>20⁸</t>
        </is>
      </c>
      <c r="I1941" t="n">
        <v>8</v>
      </c>
      <c r="J1941" t="inlineStr">
        <is>
          <t>4², 8⁴</t>
        </is>
      </c>
      <c r="K1941">
        <f>HYPERLINK("CSG1.html#group10H1", "10H¹"), =HYPERLINK("CSG2.html#group20D2", "20D²"), =HYPERLINK("CSG3.html#group20O3", "20O³"), =HYPERLINK("CSG5.html#group20A5", "20A⁵"), =HYPERLINK("CSG5.html#group20B5", "20B⁵")</f>
        <v/>
      </c>
      <c r="L1941">
        <f>HYPERLINK("CSG17.html#group20A17", "20A¹⁷"), =HYPERLINK("CSG21.html#group40A21", "40A²¹"), =HYPERLINK("CSG21.html#group40B21", "40B²¹")</f>
        <v/>
      </c>
      <c r="M1941">
        <f>HYPERLINK("CSG1.html#group10H1", "10H¹"), =HYPERLINK("CSG0.html#group2A0", "2A⁰"), =HYPERLINK("CSG0.html#group5A0", "5A⁰"), =HYPERLINK("CSG3.html#group20O3", "20O³"), =HYPERLINK("CSG0.html#group10D0", "10D⁰"), =HYPERLINK("CSG5.html#group20B5", "20B⁵"), =HYPERLINK("CSG0.html#group5F0", "5F⁰"), =HYPERLINK("CSG1.html#group20A1", "20A¹"), =HYPERLINK("CSG5.html#group20A5", "20A⁵"), =HYPERLINK("CSG0.html#group1A0", "1A⁰"), =HYPERLINK("CSG0.html#group10A0", "10A⁰"), =HYPERLINK("CSG2.html#group20D2", "20D²"), =HYPERLINK("CSG0.html#group4A0", "4A⁰"), =HYPERLINK("CSG0.html#group4D0", "4D⁰"), =HYPERLINK("CSG1.html#group10C1", "10C¹"), =HYPERLINK("CSG0.html#group5C0", "5C⁰"), =HYPERLINK("CSG2.html#group20E2", "20E²")</f>
        <v/>
      </c>
      <c r="N1941">
        <f>HYPERLINK("CSG21.html#group40B21", "40B²¹"), =HYPERLINK("CSG17.html#group20A17", "20A¹⁷"), =HYPERLINK("CSG21.html#group40A21", "40A²¹")</f>
        <v/>
      </c>
    </row>
    <row r="1942">
      <c r="A1942" t="inlineStr">
        <is>
          <t>20B⁹</t>
        </is>
      </c>
      <c r="B1942" t="inlineStr"/>
      <c r="C1942" t="inlineStr">
        <is>
          <t>180</t>
        </is>
      </c>
      <c r="D1942" t="inlineStr">
        <is>
          <t>1</t>
        </is>
      </c>
      <c r="E1942" t="inlineStr">
        <is>
          <t>45</t>
        </is>
      </c>
      <c r="F1942" t="inlineStr">
        <is>
          <t>4</t>
        </is>
      </c>
      <c r="G1942" t="inlineStr">
        <is>
          <t>0</t>
        </is>
      </c>
      <c r="H1942" t="inlineStr">
        <is>
          <t>10⁶, 20⁶</t>
        </is>
      </c>
      <c r="I1942" t="n">
        <v>12</v>
      </c>
      <c r="J1942" t="inlineStr">
        <is>
          <t>1³, 2³, 4⁹</t>
        </is>
      </c>
      <c r="K1942">
        <f>HYPERLINK("CSG1.html#group20E1", "20E¹"), =HYPERLINK("CSG2.html#group10F2", "10F²"), =HYPERLINK("CSG3.html#group20F3", "20F³"), =HYPERLINK("CSG4.html#group20E4", "20E⁴"), =HYPERLINK("CSG5.html#group20C5", "20C⁵")</f>
        <v/>
      </c>
      <c r="L1942">
        <f>HYPERLINK("CSG17.html#group20B17", "20B¹⁷"), =HYPERLINK("CSG19.html#group20A19", "20A¹⁹"), =HYPERLINK("CSG19.html#group20D19", "20D¹⁹"), =HYPERLINK("CSG21.html#group20B21", "20B²¹"), =HYPERLINK("CSG21.html#group20C21", "20C²¹"), =HYPERLINK("CSG21.html#group40H21", "40H²¹"), =HYPERLINK("CSG21.html#group40I21", "40I²¹"), =HYPERLINK("CSG23.html#group40C23", "40C²³"), =HYPERLINK("CSG23.html#group40D23", "40D²³")</f>
        <v/>
      </c>
      <c r="M1942">
        <f>HYPERLINK("CSG1.html#group20E1", "20E¹"), =HYPERLINK("CSG0.html#group5A0", "5A⁰"), =HYPERLINK("CSG4.html#group20E4", "20E⁴"), =HYPERLINK("CSG1.html#group10B1", "10B¹"), =HYPERLINK("CSG2.html#group20B2", "20B²"), =HYPERLINK("CSG0.html#group4C0", "4C⁰"), =HYPERLINK("CSG0.html#group5B0", "5B⁰"), =HYPERLINK("CSG0.html#group2B0", "2B⁰"), =HYPERLINK("CSG0.html#group1A0", "1A⁰"), =HYPERLINK("CSG3.html#group20F3", "20F³"), =HYPERLINK("CSG1.html#group10F1", "10F¹"), =HYPERLINK("CSG1.html#group10I1", "10I¹"), =HYPERLINK("CSG2.html#group10F2", "10F²"), =HYPERLINK("CSG5.html#group20C5", "20C⁵"), =HYPERLINK("CSG0.html#group10C0", "10C⁰"), =HYPERLINK("CSG0.html#group5E0", "5E⁰"), =HYPERLINK("CSG0.html#group5C0", "5C⁰"), =HYPERLINK("CSG0.html#group5G0", "5G⁰")</f>
        <v/>
      </c>
      <c r="N1942">
        <f>HYPERLINK("CSG17.html#group20B17", "20B¹⁷"), =HYPERLINK("CSG19.html#group20A19", "20A¹⁹"), =HYPERLINK("CSG21.html#group20B21", "20B²¹"), =HYPERLINK("CSG23.html#group40C23", "40C²³"), =HYPERLINK("CSG21.html#group20C21", "20C²¹"), =HYPERLINK("CSG19.html#group20D19", "20D¹⁹"), =HYPERLINK("CSG21.html#group40I21", "40I²¹"), =HYPERLINK("CSG21.html#group40H21", "40H²¹"), =HYPERLINK("CSG23.html#group40D23", "40D²³")</f>
        <v/>
      </c>
    </row>
    <row r="1943">
      <c r="A1943" t="inlineStr">
        <is>
          <t>20C⁹</t>
        </is>
      </c>
      <c r="B1943" t="inlineStr"/>
      <c r="C1943" t="inlineStr">
        <is>
          <t>180</t>
        </is>
      </c>
      <c r="D1943" t="inlineStr">
        <is>
          <t>1</t>
        </is>
      </c>
      <c r="E1943" t="inlineStr">
        <is>
          <t>45</t>
        </is>
      </c>
      <c r="F1943" t="inlineStr">
        <is>
          <t>4</t>
        </is>
      </c>
      <c r="G1943" t="inlineStr">
        <is>
          <t>0</t>
        </is>
      </c>
      <c r="H1943" t="inlineStr">
        <is>
          <t>10⁶, 20⁶</t>
        </is>
      </c>
      <c r="I1943" t="n">
        <v>12</v>
      </c>
      <c r="J1943" t="inlineStr">
        <is>
          <t>2⁹, 4¹⁸</t>
        </is>
      </c>
      <c r="K1943">
        <f>HYPERLINK("CSG3.html#group10C3", "10C³"), =HYPERLINK("CSG3.html#group20P3", "20P³"), =HYPERLINK("CSG5.html#group20C5", "20C⁵")</f>
        <v/>
      </c>
      <c r="L1943">
        <f>HYPERLINK("CSG17.html#group20B17", "20B¹⁷"), =HYPERLINK("CSG19.html#group20B19", "20B¹⁹"), =HYPERLINK("CSG19.html#group20C19", "20C¹⁹"), =HYPERLINK("CSG24.html#group40E24", "40E²⁴")</f>
        <v/>
      </c>
      <c r="M1943">
        <f>HYPERLINK("CSG3.html#group10C3", "10C³"), =HYPERLINK("CSG0.html#group5A0", "5A⁰"), =HYPERLINK("CSG1.html#group10I1", "10I¹"), =HYPERLINK("CSG1.html#group10B1", "10B¹"), =HYPERLINK("CSG5.html#group20C5", "20C⁵"), =HYPERLINK("CSG0.html#group5E0", "5E⁰"), =HYPERLINK("CSG3.html#group20P3", "20P³"), =HYPERLINK("CSG0.html#group2B0", "2B⁰"), =HYPERLINK("CSG1.html#group10E1", "10E¹"), =HYPERLINK("CSG0.html#group1A0", "1A⁰")</f>
        <v/>
      </c>
      <c r="N1943">
        <f>HYPERLINK("CSG17.html#group20B17", "20B¹⁷"), =HYPERLINK("CSG19.html#group20C19", "20C¹⁹"), =HYPERLINK("CSG19.html#group20B19", "20B¹⁹"), =HYPERLINK("CSG24.html#group40E24", "40E²⁴")</f>
        <v/>
      </c>
    </row>
    <row r="1944">
      <c r="A1944" t="inlineStr">
        <is>
          <t>20D⁹</t>
        </is>
      </c>
      <c r="B1944" t="inlineStr"/>
      <c r="C1944" t="inlineStr">
        <is>
          <t>180</t>
        </is>
      </c>
      <c r="D1944" t="inlineStr">
        <is>
          <t>1</t>
        </is>
      </c>
      <c r="E1944" t="inlineStr">
        <is>
          <t>45</t>
        </is>
      </c>
      <c r="F1944" t="inlineStr">
        <is>
          <t>4</t>
        </is>
      </c>
      <c r="G1944" t="inlineStr">
        <is>
          <t>0</t>
        </is>
      </c>
      <c r="H1944" t="inlineStr">
        <is>
          <t>10⁶, 20⁶</t>
        </is>
      </c>
      <c r="I1944" t="n">
        <v>12</v>
      </c>
      <c r="J1944" t="inlineStr">
        <is>
          <t>2⁹, 4¹⁸</t>
        </is>
      </c>
      <c r="K1944">
        <f>HYPERLINK("CSG3.html#group10C3", "10C³"), =HYPERLINK("CSG3.html#group20P3", "20P³"), =HYPERLINK("CSG5.html#group20C5", "20C⁵")</f>
        <v/>
      </c>
      <c r="L1944">
        <f>HYPERLINK("CSG17.html#group20B17", "20B¹⁷"), =HYPERLINK("CSG19.html#group20B19", "20B¹⁹"), =HYPERLINK("CSG19.html#group20C19", "20C¹⁹"), =HYPERLINK("CSG24.html#group40F24", "40F²⁴")</f>
        <v/>
      </c>
      <c r="M1944">
        <f>HYPERLINK("CSG3.html#group10C3", "10C³"), =HYPERLINK("CSG0.html#group5A0", "5A⁰"), =HYPERLINK("CSG1.html#group10I1", "10I¹"), =HYPERLINK("CSG1.html#group10B1", "10B¹"), =HYPERLINK("CSG5.html#group20C5", "20C⁵"), =HYPERLINK("CSG0.html#group5E0", "5E⁰"), =HYPERLINK("CSG3.html#group20P3", "20P³"), =HYPERLINK("CSG0.html#group2B0", "2B⁰"), =HYPERLINK("CSG1.html#group10E1", "10E¹"), =HYPERLINK("CSG0.html#group1A0", "1A⁰")</f>
        <v/>
      </c>
      <c r="N1944">
        <f>HYPERLINK("CSG17.html#group20B17", "20B¹⁷"), =HYPERLINK("CSG19.html#group20C19", "20C¹⁹"), =HYPERLINK("CSG19.html#group20B19", "20B¹⁹"), =HYPERLINK("CSG24.html#group40F24", "40F²⁴")</f>
        <v/>
      </c>
    </row>
    <row r="1945">
      <c r="A1945" t="inlineStr">
        <is>
          <t>20E⁹</t>
        </is>
      </c>
      <c r="B1945" t="inlineStr"/>
      <c r="C1945" t="inlineStr">
        <is>
          <t>192</t>
        </is>
      </c>
      <c r="D1945" t="inlineStr">
        <is>
          <t>1</t>
        </is>
      </c>
      <c r="E1945" t="inlineStr">
        <is>
          <t>24</t>
        </is>
      </c>
      <c r="F1945" t="inlineStr">
        <is>
          <t>0</t>
        </is>
      </c>
      <c r="G1945" t="inlineStr">
        <is>
          <t>0</t>
        </is>
      </c>
      <c r="H1945" t="inlineStr">
        <is>
          <t>4⁸, 20⁸</t>
        </is>
      </c>
      <c r="I1945" t="n">
        <v>16</v>
      </c>
      <c r="J1945" t="inlineStr">
        <is>
          <t>2⁴, 8²</t>
        </is>
      </c>
      <c r="K1945">
        <f>HYPERLINK("CSG3.html#group20A3", "20A³"), =HYPERLINK("CSG3.html#group20Q3", "20Q³"), =HYPERLINK("CSG5.html#group20D5", "20D⁵")</f>
        <v/>
      </c>
      <c r="L1945" t="inlineStr"/>
      <c r="M1945">
        <f>HYPERLINK("CSG0.html#group2A0", "2A⁰"), =HYPERLINK("CSG1.html#group20C1", "20C¹"), =HYPERLINK("CSG3.html#group20Q3", "20Q³"), =HYPERLINK("CSG3.html#group20C3", "20C³"), =HYPERLINK("CSG0.html#group5B0", "5B⁰"), =HYPERLINK("CSG0.html#group5D0", "5D⁰"), =HYPERLINK("CSG1.html#group10A1", "10A¹"), =HYPERLINK("CSG1.html#group10D1", "10D¹"), =HYPERLINK("CSG0.html#group1A0", "1A⁰"), =HYPERLINK("CSG3.html#group20B3", "20B³"), =HYPERLINK("CSG1.html#group20B1", "20B¹"), =HYPERLINK("CSG3.html#group20A3", "20A³"), =HYPERLINK("CSG0.html#group10B0", "10B⁰"), =HYPERLINK("CSG0.html#group4A0", "4A⁰"), =HYPERLINK("CSG0.html#group4D0", "4D⁰"), =HYPERLINK("CSG1.html#group20G1", "20G¹"), =HYPERLINK("CSG5.html#group20D5", "20D⁵")</f>
        <v/>
      </c>
      <c r="N1945" t="inlineStr"/>
    </row>
    <row r="1946">
      <c r="A1946" t="inlineStr">
        <is>
          <t>20F⁹</t>
        </is>
      </c>
      <c r="B1946" t="inlineStr"/>
      <c r="C1946" t="inlineStr">
        <is>
          <t>288</t>
        </is>
      </c>
      <c r="D1946" t="inlineStr">
        <is>
          <t>1</t>
        </is>
      </c>
      <c r="E1946" t="inlineStr">
        <is>
          <t>18</t>
        </is>
      </c>
      <c r="F1946" t="inlineStr">
        <is>
          <t>0</t>
        </is>
      </c>
      <c r="G1946" t="inlineStr">
        <is>
          <t>0</t>
        </is>
      </c>
      <c r="H1946" t="inlineStr">
        <is>
          <t>2⁸, 4⁸, 10⁸, 20⁸</t>
        </is>
      </c>
      <c r="I1946" t="n">
        <v>32</v>
      </c>
      <c r="J1946" t="inlineStr">
        <is>
          <t>1⁶, 4³</t>
        </is>
      </c>
      <c r="K1946">
        <f>HYPERLINK("CSG3.html#group20R3", "20R³"), =HYPERLINK("CSG3.html#group20S3", "20S³"), =HYPERLINK("CSG3.html#group20T3", "20T³"), =HYPERLINK("CSG5.html#group20I5", "20I⁵")</f>
        <v/>
      </c>
      <c r="L1946" t="inlineStr"/>
      <c r="M1946">
        <f>HYPERLINK("CSG1.html#group20E1", "20E¹"), =HYPERLINK("CSG0.html#group2A0", "2A⁰"), =HYPERLINK("CSG0.html#group10G0", "10G⁰"), =HYPERLINK("CSG5.html#group20I5", "20I⁵"), =HYPERLINK("CSG3.html#group20G3", "20G³"), =HYPERLINK("CSG0.html#group4C0", "4C⁰"), =HYPERLINK("CSG0.html#group5B0", "5B⁰"), =HYPERLINK("CSG0.html#group5D0", "5D⁰"), =HYPERLINK("CSG1.html#group10A1", "10A¹"), =HYPERLINK("CSG0.html#group2B0", "2B⁰"), =HYPERLINK("CSG1.html#group20D1", "20D¹"), =HYPERLINK("CSG1.html#group20H1", "20H¹"), =HYPERLINK("CSG0.html#group4E0", "4E⁰"), =HYPERLINK("CSG0.html#group4B0", "4B⁰"), =HYPERLINK("CSG1.html#group10D1", "10D¹"), =HYPERLINK("CSG0.html#group1A0", "1A⁰"), =HYPERLINK("CSG1.html#group20J1", "20J¹"), =HYPERLINK("CSG3.html#group20H3", "20H³"), =HYPERLINK("CSG3.html#group20S3", "20S³"), =HYPERLINK("CSG3.html#group20T3", "20T³"), =HYPERLINK("CSG0.html#group10F0", "10F⁰"), =HYPERLINK("CSG0.html#group10B0", "10B⁰"), =HYPERLINK("CSG0.html#group20A0", "20A⁰"), =HYPERLINK("CSG1.html#group20I1", "20I¹"), =HYPERLINK("CSG3.html#group20R3", "20R³"), =HYPERLINK("CSG0.html#group10C0", "10C⁰"), =HYPERLINK("CSG1.html#group10K1", "10K¹"), =HYPERLINK("CSG3.html#group20I3", "20I³"), =HYPERLINK("CSG3.html#group20J3", "20J³"), =HYPERLINK("CSG0.html#group2C0", "2C⁰"), =HYPERLINK("CSG2.html#group20C2", "20C²"), =HYPERLINK("CSG1.html#group10G1", "10G¹")</f>
        <v/>
      </c>
      <c r="N1946" t="inlineStr"/>
    </row>
    <row r="1947">
      <c r="A1947" t="inlineStr">
        <is>
          <t>21A⁹</t>
        </is>
      </c>
      <c r="B1947" t="inlineStr"/>
      <c r="C1947" t="inlineStr">
        <is>
          <t>168</t>
        </is>
      </c>
      <c r="D1947" t="inlineStr">
        <is>
          <t>1</t>
        </is>
      </c>
      <c r="E1947" t="inlineStr">
        <is>
          <t>84</t>
        </is>
      </c>
      <c r="F1947" t="inlineStr">
        <is>
          <t>0</t>
        </is>
      </c>
      <c r="G1947" t="inlineStr">
        <is>
          <t>0</t>
        </is>
      </c>
      <c r="H1947" t="inlineStr">
        <is>
          <t>7⁶, 21⁶</t>
        </is>
      </c>
      <c r="I1947" t="n">
        <v>12</v>
      </c>
      <c r="J1947" t="inlineStr">
        <is>
          <t>3², 6⁷, 12³</t>
        </is>
      </c>
      <c r="K1947">
        <f>HYPERLINK("CSG1.html#group7A1", "7A¹"), =HYPERLINK("CSG5.html#group21A5", "21A⁵")</f>
        <v/>
      </c>
      <c r="L1947">
        <f>HYPERLINK("CSG17.html#group21A17", "21A¹⁷"), =HYPERLINK("CSG23.html#group42C23", "42C²³"), =HYPERLINK("CSG23.html#group42D23", "42D²³")</f>
        <v/>
      </c>
      <c r="M1947">
        <f>HYPERLINK("CSG0.html#group3B0", "3B⁰"), =HYPERLINK("CSG2.html#group21B2", "21B²"), =HYPERLINK("CSG5.html#group21A5", "21A⁵"), =HYPERLINK("CSG0.html#group1A0", "1A⁰"), =HYPERLINK("CSG0.html#group7D0", "7D⁰"), =HYPERLINK("CSG0.html#group7A0", "7A⁰"), =HYPERLINK("CSG1.html#group7A1", "7A¹")</f>
        <v/>
      </c>
      <c r="N1947">
        <f>HYPERLINK("CSG23.html#group42C23", "42C²³"), =HYPERLINK("CSG23.html#group42D23", "42D²³"), =HYPERLINK("CSG17.html#group21A17", "21A¹⁷")</f>
        <v/>
      </c>
    </row>
    <row r="1948">
      <c r="A1948" t="inlineStr">
        <is>
          <t>21B⁹</t>
        </is>
      </c>
      <c r="B1948" t="inlineStr"/>
      <c r="C1948" t="inlineStr">
        <is>
          <t>168</t>
        </is>
      </c>
      <c r="D1948" t="inlineStr">
        <is>
          <t>1</t>
        </is>
      </c>
      <c r="E1948" t="inlineStr">
        <is>
          <t>84</t>
        </is>
      </c>
      <c r="F1948" t="inlineStr">
        <is>
          <t>8</t>
        </is>
      </c>
      <c r="G1948" t="inlineStr">
        <is>
          <t>0</t>
        </is>
      </c>
      <c r="H1948" t="inlineStr">
        <is>
          <t>21⁸</t>
        </is>
      </c>
      <c r="I1948" t="n">
        <v>8</v>
      </c>
      <c r="J1948" t="inlineStr">
        <is>
          <t>1¹, 2¹, 3¹, 6⁵, 12⁴</t>
        </is>
      </c>
      <c r="K1948">
        <f>HYPERLINK("CSG2.html#group21D2", "21D²"), =HYPERLINK("CSG3.html#group21C3", "21C³")</f>
        <v/>
      </c>
      <c r="L1948">
        <f>HYPERLINK("CSG17.html#group21B17", "21B¹⁷"), =HYPERLINK("CSG21.html#group21A21", "21A²¹"), =HYPERLINK("CSG21.html#group21B21", "21B²¹"), =HYPERLINK("CSG21.html#group42A21", "42A²¹"), =HYPERLINK("CSG21.html#group42B21", "42B²¹")</f>
        <v/>
      </c>
      <c r="M1948">
        <f>HYPERLINK("CSG2.html#group21D2", "21D²"), =HYPERLINK("CSG0.html#group7F0", "7F⁰"), =HYPERLINK("CSG0.html#group21A0", "21A⁰"), =HYPERLINK("CSG0.html#group3C0", "3C⁰"), =HYPERLINK("CSG0.html#group3A0", "3A⁰"), =HYPERLINK("CSG0.html#group1A0", "1A⁰"), =HYPERLINK("CSG3.html#group21C3", "21C³"), =HYPERLINK("CSG0.html#group7A0", "7A⁰")</f>
        <v/>
      </c>
      <c r="N1948">
        <f>HYPERLINK("CSG21.html#group42A21", "42A²¹"), =HYPERLINK("CSG21.html#group21A21", "21A²¹"), =HYPERLINK("CSG21.html#group21B21", "21B²¹"), =HYPERLINK("CSG21.html#group42B21", "42B²¹"), =HYPERLINK("CSG17.html#group21B17", "21B¹⁷")</f>
        <v/>
      </c>
    </row>
    <row r="1949">
      <c r="A1949" t="inlineStr">
        <is>
          <t>21C⁹</t>
        </is>
      </c>
      <c r="B1949" t="inlineStr"/>
      <c r="C1949" t="inlineStr">
        <is>
          <t>168</t>
        </is>
      </c>
      <c r="D1949" t="inlineStr">
        <is>
          <t>2</t>
        </is>
      </c>
      <c r="E1949" t="inlineStr">
        <is>
          <t>28</t>
        </is>
      </c>
      <c r="F1949" t="inlineStr">
        <is>
          <t>0</t>
        </is>
      </c>
      <c r="G1949" t="inlineStr">
        <is>
          <t>0</t>
        </is>
      </c>
      <c r="H1949" t="inlineStr">
        <is>
          <t>7⁶, 21⁶</t>
        </is>
      </c>
      <c r="I1949" t="n">
        <v>12</v>
      </c>
      <c r="J1949" t="inlineStr">
        <is>
          <t>2², 4¹, 6⁴, 12²</t>
        </is>
      </c>
      <c r="K1949">
        <f>HYPERLINK("CSG0.html#group7G0", "7G⁰"), =HYPERLINK("CSG3.html#group21B3", "21B³"), =HYPERLINK("CSG5.html#group21A5", "21A⁵")</f>
        <v/>
      </c>
      <c r="L1949">
        <f>HYPERLINK("CSG17.html#group21A17", "21A¹⁷"), =HYPERLINK("CSG23.html#group42E23", "42E²³"), =HYPERLINK("CSG23.html#group42I23", "42I²³")</f>
        <v/>
      </c>
      <c r="M1949">
        <f>HYPERLINK("CSG3.html#group21B3", "21B³"), =HYPERLINK("CSG0.html#group3B0", "3B⁰"), =HYPERLINK("CSG2.html#group21B2", "21B²"), =HYPERLINK("CSG0.html#group7D0", "7D⁰"), =HYPERLINK("CSG0.html#group7C0", "7C⁰"), =HYPERLINK("CSG0.html#group7G0", "7G⁰"), =HYPERLINK("CSG5.html#group21A5", "21A⁵"), =HYPERLINK("CSG0.html#group1A0", "1A⁰"), =HYPERLINK("CSG0.html#group7A0", "7A⁰")</f>
        <v/>
      </c>
      <c r="N1949">
        <f>HYPERLINK("CSG23.html#group42E23", "42E²³"), =HYPERLINK("CSG23.html#group42I23", "42I²³"), =HYPERLINK("CSG17.html#group21A17", "21A¹⁷")</f>
        <v/>
      </c>
    </row>
    <row r="1950">
      <c r="A1950" t="inlineStr">
        <is>
          <t>21D⁹</t>
        </is>
      </c>
      <c r="B1950" t="inlineStr"/>
      <c r="C1950" t="inlineStr">
        <is>
          <t>192</t>
        </is>
      </c>
      <c r="D1950" t="inlineStr">
        <is>
          <t>1</t>
        </is>
      </c>
      <c r="E1950" t="inlineStr">
        <is>
          <t>8</t>
        </is>
      </c>
      <c r="F1950" t="inlineStr">
        <is>
          <t>0</t>
        </is>
      </c>
      <c r="G1950" t="inlineStr">
        <is>
          <t>0</t>
        </is>
      </c>
      <c r="H1950" t="inlineStr">
        <is>
          <t>3⁸, 21⁸</t>
        </is>
      </c>
      <c r="I1950" t="n">
        <v>16</v>
      </c>
      <c r="J1950" t="inlineStr">
        <is>
          <t>1², 6¹</t>
        </is>
      </c>
      <c r="K1950">
        <f>HYPERLINK("CSG1.html#group21F1", "21F¹"), =HYPERLINK("CSG5.html#group21C5", "21C⁵")</f>
        <v/>
      </c>
      <c r="L1950" t="inlineStr"/>
      <c r="M1950">
        <f>HYPERLINK("CSG0.html#group3B0", "3B⁰"), =HYPERLINK("CSG1.html#group21B1", "21B¹"), =HYPERLINK("CSG5.html#group21C5", "21C⁵"), =HYPERLINK("CSG2.html#group21A2", "21A²"), =HYPERLINK("CSG0.html#group7B0", "7B⁰"), =HYPERLINK("CSG0.html#group3C0", "3C⁰"), =HYPERLINK("CSG0.html#group3A0", "3A⁰"), =HYPERLINK("CSG0.html#group1A0", "1A⁰"), =HYPERLINK("CSG3.html#group21A3", "21A³"), =HYPERLINK("CSG1.html#group21F1", "21F¹"), =HYPERLINK("CSG0.html#group3D0", "3D⁰")</f>
        <v/>
      </c>
      <c r="N1950" t="inlineStr"/>
    </row>
    <row r="1951">
      <c r="A1951" t="inlineStr">
        <is>
          <t>22A⁹</t>
        </is>
      </c>
      <c r="B1951" t="inlineStr"/>
      <c r="C1951" t="inlineStr">
        <is>
          <t>132</t>
        </is>
      </c>
      <c r="D1951" t="inlineStr">
        <is>
          <t>1</t>
        </is>
      </c>
      <c r="E1951" t="inlineStr">
        <is>
          <t>66</t>
        </is>
      </c>
      <c r="F1951" t="inlineStr">
        <is>
          <t>0</t>
        </is>
      </c>
      <c r="G1951" t="inlineStr">
        <is>
          <t>0</t>
        </is>
      </c>
      <c r="H1951" t="inlineStr">
        <is>
          <t>22⁶</t>
        </is>
      </c>
      <c r="I1951" t="n">
        <v>6</v>
      </c>
      <c r="J1951" t="inlineStr">
        <is>
          <t>1¹, 5¹, 10⁶</t>
        </is>
      </c>
      <c r="K1951">
        <f>HYPERLINK("CSG1.html#group22A1", "22A¹"), =HYPERLINK("CSG2.html#group11A2", "11A²")</f>
        <v/>
      </c>
      <c r="L1951">
        <f>HYPERLINK("CSG17.html#group22A17", "22A¹⁷")</f>
        <v/>
      </c>
      <c r="M1951">
        <f>HYPERLINK("CSG0.html#group11A0", "11A⁰"), =HYPERLINK("CSG0.html#group2A0", "2A⁰"), =HYPERLINK("CSG1.html#group22A1", "22A¹"), =HYPERLINK("CSG0.html#group1A0", "1A⁰"), =HYPERLINK("CSG2.html#group11A2", "11A²")</f>
        <v/>
      </c>
      <c r="N1951">
        <f>HYPERLINK("CSG17.html#group22A17", "22A¹⁷")</f>
        <v/>
      </c>
    </row>
    <row r="1952">
      <c r="A1952" t="inlineStr">
        <is>
          <t>22B⁹</t>
        </is>
      </c>
      <c r="B1952" t="inlineStr"/>
      <c r="C1952" t="inlineStr">
        <is>
          <t>165</t>
        </is>
      </c>
      <c r="D1952" t="inlineStr">
        <is>
          <t>1</t>
        </is>
      </c>
      <c r="E1952" t="inlineStr">
        <is>
          <t>165</t>
        </is>
      </c>
      <c r="F1952" t="inlineStr">
        <is>
          <t>3</t>
        </is>
      </c>
      <c r="G1952" t="inlineStr">
        <is>
          <t>0</t>
        </is>
      </c>
      <c r="H1952" t="inlineStr">
        <is>
          <t>11⁵, 22⁵</t>
        </is>
      </c>
      <c r="I1952" t="n">
        <v>10</v>
      </c>
      <c r="J1952" t="inlineStr">
        <is>
          <t>5³, 10¹⁵</t>
        </is>
      </c>
      <c r="K1952">
        <f>HYPERLINK("CSG1.html#group11B1", "11B¹"), =HYPERLINK("CSG2.html#group22B2", "22B²")</f>
        <v/>
      </c>
      <c r="L1952">
        <f>HYPERLINK("CSG21.html#group22C21", "22C²¹"), =HYPERLINK("CSG21.html#group44B21", "44B²¹"), =HYPERLINK("CSG22.html#group44A22", "44A²²")</f>
        <v/>
      </c>
      <c r="M1952">
        <f>HYPERLINK("CSG0.html#group11A0", "11A⁰"), =HYPERLINK("CSG0.html#group2B0", "2B⁰"), =HYPERLINK("CSG1.html#group11B1", "11B¹"), =HYPERLINK("CSG2.html#group22B2", "22B²"), =HYPERLINK("CSG0.html#group1A0", "1A⁰")</f>
        <v/>
      </c>
      <c r="N1952">
        <f>HYPERLINK("CSG21.html#group44B21", "44B²¹"), =HYPERLINK("CSG21.html#group22C21", "22C²¹"), =HYPERLINK("CSG22.html#group44A22", "44A²²")</f>
        <v/>
      </c>
    </row>
    <row r="1953">
      <c r="A1953" t="inlineStr">
        <is>
          <t>24A⁹</t>
        </is>
      </c>
      <c r="B1953" t="inlineStr"/>
      <c r="C1953" t="inlineStr">
        <is>
          <t>144</t>
        </is>
      </c>
      <c r="D1953" t="inlineStr">
        <is>
          <t>1</t>
        </is>
      </c>
      <c r="E1953" t="inlineStr">
        <is>
          <t>3</t>
        </is>
      </c>
      <c r="F1953" t="inlineStr">
        <is>
          <t>0</t>
        </is>
      </c>
      <c r="G1953" t="inlineStr">
        <is>
          <t>0</t>
        </is>
      </c>
      <c r="H1953" t="inlineStr">
        <is>
          <t>12⁴, 24⁴</t>
        </is>
      </c>
      <c r="I1953" t="n">
        <v>8</v>
      </c>
      <c r="J1953" t="inlineStr">
        <is>
          <t>1³</t>
        </is>
      </c>
      <c r="K1953">
        <f>HYPERLINK("CSG3.html#group12D3", "12D³"), =HYPERLINK("CSG3.html#group24B3", "24B³"), =HYPERLINK("CSG3.html#group24I3", "24I³"), =HYPERLINK("CSG5.html#group24C5", "24C⁵")</f>
        <v/>
      </c>
      <c r="L1953">
        <f>HYPERLINK("CSG17.html#group24C17", "24C¹⁷"), =HYPERLINK("CSG17.html#group24D17", "24D¹⁷"), =HYPERLINK("CSG17.html#group24L17", "24L¹⁷"), =HYPERLINK("CSG21.html#group48D21", "48D²¹"), =HYPERLINK("CSG21.html#group48C21", "48C²¹"), =HYPERLINK("CSG21.html#group48H21", "48H²¹"), =HYPERLINK("CSG21.html#group48W21", "48W²¹")</f>
        <v/>
      </c>
      <c r="M1953">
        <f>HYPERLINK("CSG0.html#group3B0", "3B⁰"), =HYPERLINK("CSG0.html#group12C0", "12C⁰"), =HYPERLINK("CSG3.html#group24B3", "24B³"), =HYPERLINK("CSG1.html#group12F1", "12F¹"), =HYPERLINK("CSG0.html#group4C0", "4C⁰"), =HYPERLINK("CSG2.html#group12C2", "12C²"), =HYPERLINK("CSG3.html#group24I3", "24I³"), =HYPERLINK("CSG0.html#group8B0", "8B⁰"), =HYPERLINK("CSG0.html#group6G0", "6G⁰"), =HYPERLINK("CSG0.html#group2B0", "2B⁰"), =HYPERLINK("CSG2.html#group24C2", "24C²"), =HYPERLINK("CSG0.html#group1A0", "1A⁰"), =HYPERLINK("CSG1.html#group12L1", "12L¹"), =HYPERLINK("CSG0.html#group3D0", "3D⁰"), =HYPERLINK("CSG3.html#group12D3", "12D³"), =HYPERLINK("CSG1.html#group12C1", "12C¹"), =HYPERLINK("CSG0.html#group24A0", "24A⁰"), =HYPERLINK("CSG5.html#group24C5", "24C⁵"), =HYPERLINK("CSG0.html#group3C0", "3C⁰"), =HYPERLINK("CSG0.html#group6K0", "6K⁰"), =HYPERLINK("CSG0.html#group3A0", "3A⁰"), =HYPERLINK("CSG0.html#group6F0", "6F⁰"), =HYPERLINK("CSG0.html#group6D0", "6D⁰")</f>
        <v/>
      </c>
      <c r="N1953">
        <f>HYPERLINK("CSG21.html#group48W21", "48W²¹"), =HYPERLINK("CSG21.html#group48H21", "48H²¹"), =HYPERLINK("CSG21.html#group48C21", "48C²¹"), =HYPERLINK("CSG17.html#group24C17", "24C¹⁷"), =HYPERLINK("CSG17.html#group24L17", "24L¹⁷"), =HYPERLINK("CSG21.html#group48D21", "48D²¹"), =HYPERLINK("CSG17.html#group24D17", "24D¹⁷")</f>
        <v/>
      </c>
    </row>
    <row r="1954">
      <c r="A1954" t="inlineStr">
        <is>
          <t>24B⁹</t>
        </is>
      </c>
      <c r="B1954" t="inlineStr"/>
      <c r="C1954" t="inlineStr">
        <is>
          <t>144</t>
        </is>
      </c>
      <c r="D1954" t="inlineStr">
        <is>
          <t>1</t>
        </is>
      </c>
      <c r="E1954" t="inlineStr">
        <is>
          <t>3</t>
        </is>
      </c>
      <c r="F1954" t="inlineStr">
        <is>
          <t>0</t>
        </is>
      </c>
      <c r="G1954" t="inlineStr">
        <is>
          <t>0</t>
        </is>
      </c>
      <c r="H1954" t="inlineStr">
        <is>
          <t>12⁴, 24⁴</t>
        </is>
      </c>
      <c r="I1954" t="n">
        <v>8</v>
      </c>
      <c r="J1954" t="inlineStr">
        <is>
          <t>1³</t>
        </is>
      </c>
      <c r="K1954">
        <f>HYPERLINK("CSG3.html#group12D3", "12D³"), =HYPERLINK("CSG3.html#group24C3", "24C³"), =HYPERLINK("CSG3.html#group24H3", "24H³"), =HYPERLINK("CSG5.html#group24E5", "24E⁵")</f>
        <v/>
      </c>
      <c r="L1954">
        <f>HYPERLINK("CSG17.html#group24C17", "24C¹⁷"), =HYPERLINK("CSG17.html#group24E17", "24E¹⁷"), =HYPERLINK("CSG17.html#group24K17", "24K¹⁷"), =HYPERLINK("CSG21.html#group48A21", "48A²¹"), =HYPERLINK("CSG21.html#group48B21", "48B²¹"), =HYPERLINK("CSG21.html#group48G21", "48G²¹"), =HYPERLINK("CSG21.html#group48X21", "48X²¹")</f>
        <v/>
      </c>
      <c r="M1954">
        <f>HYPERLINK("CSG0.html#group3B0", "3B⁰"), =HYPERLINK("CSG3.html#group24A3", "24A³"), =HYPERLINK("CSG1.html#group8A1", "8A¹"), =HYPERLINK("CSG0.html#group12C0", "12C⁰"), =HYPERLINK("CSG1.html#group12F1", "12F¹"), =HYPERLINK("CSG0.html#group4C0", "4C⁰"), =HYPERLINK("CSG1.html#group24D1", "24D¹"), =HYPERLINK("CSG2.html#group12C2", "12C²"), =HYPERLINK("CSG0.html#group6G0", "6G⁰"), =HYPERLINK("CSG0.html#group2B0", "2B⁰"), =HYPERLINK("CSG5.html#group24E5", "24E⁵"), =HYPERLINK("CSG0.html#group1A0", "1A⁰"), =HYPERLINK("CSG1.html#group12L1", "12L¹"), =HYPERLINK("CSG0.html#group3D0", "3D⁰"), =HYPERLINK("CSG3.html#group24C3", "24C³"), =HYPERLINK("CSG3.html#group12D3", "12D³"), =HYPERLINK("CSG3.html#group24H3", "24H³"), =HYPERLINK("CSG1.html#group12C1", "12C¹"), =HYPERLINK("CSG0.html#group3C0", "3C⁰"), =HYPERLINK("CSG0.html#group6K0", "6K⁰"), =HYPERLINK("CSG0.html#group3A0", "3A⁰"), =HYPERLINK("CSG0.html#group6F0", "6F⁰"), =HYPERLINK("CSG0.html#group6D0", "6D⁰")</f>
        <v/>
      </c>
      <c r="N1954">
        <f>HYPERLINK("CSG21.html#group48B21", "48B²¹"), =HYPERLINK("CSG21.html#group48X21", "48X²¹"), =HYPERLINK("CSG17.html#group24E17", "24E¹⁷"), =HYPERLINK("CSG17.html#group24K17", "24K¹⁷"), =HYPERLINK("CSG21.html#group48A21", "48A²¹"), =HYPERLINK("CSG17.html#group24C17", "24C¹⁷"), =HYPERLINK("CSG21.html#group48G21", "48G²¹")</f>
        <v/>
      </c>
    </row>
    <row r="1955">
      <c r="A1955" t="inlineStr">
        <is>
          <t>24C⁹</t>
        </is>
      </c>
      <c r="B1955" t="inlineStr"/>
      <c r="C1955" t="inlineStr">
        <is>
          <t>144</t>
        </is>
      </c>
      <c r="D1955" t="inlineStr">
        <is>
          <t>1</t>
        </is>
      </c>
      <c r="E1955" t="inlineStr">
        <is>
          <t>3</t>
        </is>
      </c>
      <c r="F1955" t="inlineStr">
        <is>
          <t>0</t>
        </is>
      </c>
      <c r="G1955" t="inlineStr">
        <is>
          <t>0</t>
        </is>
      </c>
      <c r="H1955" t="inlineStr">
        <is>
          <t>12⁴, 24⁴</t>
        </is>
      </c>
      <c r="I1955" t="n">
        <v>8</v>
      </c>
      <c r="J1955" t="inlineStr">
        <is>
          <t>1³</t>
        </is>
      </c>
      <c r="K1955">
        <f>HYPERLINK("CSG1.html#group8F1", "8F¹"), =HYPERLINK("CSG2.html#group24L2", "24L²"), =HYPERLINK("CSG4.html#group12A4", "12A⁴"), =HYPERLINK("CSG4.html#group24D4", "24D⁴"), =HYPERLINK("CSG5.html#group24A5", "24A⁵"), =HYPERLINK("CSG5.html#group24B5", "24B⁵")</f>
        <v/>
      </c>
      <c r="L1955">
        <f>HYPERLINK("CSG17.html#group24B17", "24B¹⁷"), =HYPERLINK("CSG17.html#group24F17", "24F¹⁷"), =HYPERLINK("CSG17.html#group24J17", "24J¹⁷"), =HYPERLINK("CSG19.html#group24A19", "24A¹⁹"), =HYPERLINK("CSG19.html#group24D19", "24D¹⁹"), =HYPERLINK("CSG19.html#group24F19", "24F¹⁹"), =HYPERLINK("CSG19.html#group24G19", "24G¹⁹"), =HYPERLINK("CSG19.html#group48A19", "48A¹⁹"), =HYPERLINK("CSG19.html#group48B19", "48B¹⁹"), =HYPERLINK("CSG19.html#group48D19", "48D¹⁹"), =HYPERLINK("CSG19.html#group48G19", "48G¹⁹"), =HYPERLINK("CSG21.html#group48E21", "48E²¹"), =HYPERLINK("CSG21.html#group48F21", "48F²¹"), =HYPERLINK("CSG21.html#group48L21", "48L²¹"), =HYPERLINK("CSG21.html#group48Q21", "48Q²¹")</f>
        <v/>
      </c>
      <c r="M1955">
        <f>HYPERLINK("CSG0.html#group2A0", "2A⁰"), =HYPERLINK("CSG3.html#group24A3", "24A³"), =HYPERLINK("CSG0.html#group12C0", "12C⁰"), =HYPERLINK("CSG1.html#group6C1", "6C¹"), =HYPERLINK("CSG5.html#group24A5", "24A⁵"), =HYPERLINK("CSG2.html#group12B2", "12B²"), =HYPERLINK("CSG0.html#group4C0", "4C⁰"),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=HYPERLINK("CSG4.html#group12A4", "12A⁴"), =HYPERLINK("CSG2.html#group24B2", "24B²"), =HYPERLINK("CSG0.html#group24A0", "24A⁰"), =HYPERLINK("CSG0.html#group8G0", "8G⁰"), =HYPERLINK("CSG0.html#group4D0", "4D⁰"), =HYPERLINK("CSG2.html#group12A2", "12A²"), =HYPERLINK("CSG1.html#group6A1", "6A¹"), =HYPERLINK("CSG1.html#group12B1", "12B¹"), =HYPERLINK("CSG0.html#group3A0", "3A⁰"), =HYPERLINK("CSG1.html#group8A1", "8A¹"), =HYPERLINK("CSG0.html#group8D0", "8D⁰"), =HYPERLINK("CSG1.html#group12E1", "12E¹"), =HYPERLINK("CSG0.html#group8B0", "8B⁰"), =HYPERLINK("CSG1.html#group8B1", "8B¹"), =HYPERLINK("CSG2.html#group24L2", "24L²"), =HYPERLINK("CSG4.html#group24D4", "24D⁴"), =HYPERLINK("CSG0.html#group8H0", "8H⁰"), =HYPERLINK("CSG0.html#group12A0", "12A⁰"), =HYPERLINK("CSG1.html#group8C1", "8C¹"), =HYPERLINK("CSG0.html#group6A0", "6A⁰"), =HYPERLINK("CSG0.html#group4A0", "4A⁰"), =HYPERLINK("CSG1.html#group24C1", "24C¹"), =HYPERLINK("CSG1.html#group12J1", "12J¹"), =HYPERLINK("CSG0.html#group4F0", "4F⁰"), =HYPERLINK("CSG0.html#group2C0", "2C⁰"), =HYPERLINK("CSG0.html#group6D0", "6D⁰"), =HYPERLINK("CSG5.html#group24B5", "24B⁵")</f>
        <v/>
      </c>
      <c r="N1955">
        <f>HYPERLINK("CSG19.html#group48G19", "48G¹⁹"), =HYPERLINK("CSG19.html#group24A19", "24A¹⁹"), =HYPERLINK("CSG17.html#group24B17", "24B¹⁷"), =HYPERLINK("CSG19.html#group48B19", "48B¹⁹"), =HYPERLINK("CSG21.html#group48E21", "48E²¹"), =HYPERLINK("CSG19.html#group48D19", "48D¹⁹"), =HYPERLINK("CSG17.html#group24J17", "24J¹⁷"), =HYPERLINK("CSG19.html#group24G19", "24G¹⁹"), =HYPERLINK("CSG21.html#group48L21", "48L²¹"), =HYPERLINK("CSG21.html#group48Q21", "48Q²¹"), =HYPERLINK("CSG19.html#group24F19", "24F¹⁹"), =HYPERLINK("CSG17.html#group24F17", "24F¹⁷"), =HYPERLINK("CSG21.html#group48F21", "48F²¹"), =HYPERLINK("CSG19.html#group24D19", "24D¹⁹"), =HYPERLINK("CSG19.html#group48A19", "48A¹⁹")</f>
        <v/>
      </c>
    </row>
    <row r="1956">
      <c r="A1956" t="inlineStr">
        <is>
          <t>24D⁹</t>
        </is>
      </c>
      <c r="B1956" t="inlineStr"/>
      <c r="C1956" t="inlineStr">
        <is>
          <t>144</t>
        </is>
      </c>
      <c r="D1956" t="inlineStr">
        <is>
          <t>1</t>
        </is>
      </c>
      <c r="E1956" t="inlineStr">
        <is>
          <t>6</t>
        </is>
      </c>
      <c r="F1956" t="inlineStr">
        <is>
          <t>0</t>
        </is>
      </c>
      <c r="G1956" t="inlineStr">
        <is>
          <t>0</t>
        </is>
      </c>
      <c r="H1956" t="inlineStr">
        <is>
          <t>12⁴, 24⁴</t>
        </is>
      </c>
      <c r="I1956" t="n">
        <v>8</v>
      </c>
      <c r="J1956" t="inlineStr">
        <is>
          <t>1⁴, 2¹</t>
        </is>
      </c>
      <c r="K1956">
        <f>HYPERLINK("CSG1.html#group8G1", "8G¹"), =HYPERLINK("CSG2.html#group24M2", "24M²"), =HYPERLINK("CSG4.html#group24G4", "24G⁴"), =HYPERLINK("CSG5.html#group24A5", "24A⁵")</f>
        <v/>
      </c>
      <c r="L1956">
        <f>HYPERLINK("CSG17.html#group24B17", "24B¹⁷"), =HYPERLINK("CSG17.html#group24U17", "24U¹⁷"), =HYPERLINK("CSG17.html#group24V17", "24V¹⁷"), =HYPERLINK("CSG19.html#group48R19", "48R¹⁹"), =HYPERLINK("CSG19.html#group48AR19", "48AR¹⁹"), =HYPERLINK("CSG21.html#group48I21", "48I²¹"), =HYPERLINK("CSG21.html#group48J21", "48J²¹"), =HYPERLINK("CSG21.html#group48AH21", "48AH²¹"), =HYPERLINK("CSG21.html#group48AL21", "48AL²¹")</f>
        <v/>
      </c>
      <c r="M1956">
        <f>HYPERLINK("CSG0.html#group2A0", "2A⁰"), =HYPERLINK("CSG3.html#group24A3", "24A³"), =HYPERLINK("CSG1.html#group8A1", "8A¹"), =HYPERLINK("CSG0.html#group12C0", "12C⁰"), =HYPERLINK("CSG0.html#group4C0", "4C⁰"), =HYPERLINK("CSG5.html#group24A5", "24A⁵"), =HYPERLINK("CSG0.html#group8B0", "8B⁰"), =HYPERLINK("CSG1.html#group6C1", "6C¹"), =HYPERLINK("CSG2.html#group12B2", "12B²"), =HYPERLINK("CSG0.html#group8L0", "8L⁰"), =HYPERLINK("CSG0.html#group2B0", "2B⁰"), =HYPERLINK("CSG1.html#group8B1", "8B¹"), =HYPERLINK("CSG0.html#group4E0", "4E⁰"), =HYPERLINK("CSG0.html#group4B0", "4B⁰"), =HYPERLINK("CSG0.html#group1A0", "1A⁰"), =HYPERLINK("CSG0.html#group6A0", "6A⁰"), =HYPERLINK("CSG0.html#group24A0", "24A⁰"), =HYPERLINK("CSG1.html#group8G1", "8G¹"), =HYPERLINK("CSG2.html#group24M2", "24M²"), =HYPERLINK("CSG1.html#group12B1", "12B¹"), =HYPERLINK("CSG1.html#group6A1", "6A¹"), =HYPERLINK("CSG0.html#group3A0", "3A⁰"), =HYPERLINK("CSG0.html#group8J0", "8J⁰"), =HYPERLINK("CSG0.html#group2C0", "2C⁰"), =HYPERLINK("CSG0.html#group6D0", "6D⁰"), =HYPERLINK("CSG4.html#group24G4", "24G⁴")</f>
        <v/>
      </c>
      <c r="N1956">
        <f>HYPERLINK("CSG21.html#group48AH21", "48AH²¹"), =HYPERLINK("CSG17.html#group24U17", "24U¹⁷"), =HYPERLINK("CSG17.html#group24V17", "24V¹⁷"), =HYPERLINK("CSG17.html#group24B17", "24B¹⁷"), =HYPERLINK("CSG21.html#group48AL21", "48AL²¹"), =HYPERLINK("CSG21.html#group48I21", "48I²¹"), =HYPERLINK("CSG19.html#group48R19", "48R¹⁹"), =HYPERLINK("CSG21.html#group48J21", "48J²¹"), =HYPERLINK("CSG19.html#group48AR19", "48AR¹⁹")</f>
        <v/>
      </c>
    </row>
    <row r="1957">
      <c r="A1957" t="inlineStr">
        <is>
          <t>24E⁹</t>
        </is>
      </c>
      <c r="B1957" t="inlineStr"/>
      <c r="C1957" t="inlineStr">
        <is>
          <t>144</t>
        </is>
      </c>
      <c r="D1957" t="inlineStr">
        <is>
          <t>1</t>
        </is>
      </c>
      <c r="E1957" t="inlineStr">
        <is>
          <t>9</t>
        </is>
      </c>
      <c r="F1957" t="inlineStr">
        <is>
          <t>0</t>
        </is>
      </c>
      <c r="G1957" t="inlineStr">
        <is>
          <t>0</t>
        </is>
      </c>
      <c r="H1957" t="inlineStr">
        <is>
          <t>12⁴, 24⁴</t>
        </is>
      </c>
      <c r="I1957" t="n">
        <v>8</v>
      </c>
      <c r="J1957" t="inlineStr">
        <is>
          <t>1³, 2³</t>
        </is>
      </c>
      <c r="K1957">
        <f>HYPERLINK("CSG1.html#group12T1", "12T¹"), =HYPERLINK("CSG3.html#group24S3", "24S³"), =HYPERLINK("CSG5.html#group24C5", "24C⁵"), =HYPERLINK("CSG5.html#group24D5", "24D⁵"), =HYPERLINK("CSG5.html#group24E5", "24E⁵")</f>
        <v/>
      </c>
      <c r="L1957">
        <f>HYPERLINK("CSG17.html#group24C17", "24C¹⁷"), =HYPERLINK("CSG17.html#group24M17", "24M¹⁷"), =HYPERLINK("CSG17.html#group24N17", "24N¹⁷"), =HYPERLINK("CSG17.html#group24O17", "24O¹⁷"), =HYPERLINK("CSG21.html#group48AV21", "48AV²¹"), =HYPERLINK("CSG21.html#group48BE21", "48BE²¹")</f>
        <v/>
      </c>
      <c r="M1957">
        <f>HYPERLINK("CSG1.html#group12T1", "12T¹"), =HYPERLINK("CSG3.html#group24A3", "24A³"), =HYPERLINK("CSG0.html#group6B0", "6B⁰"), =HYPERLINK("CSG0.html#group12C0", "12C⁰"), =HYPERLINK("CSG0.html#group3A0", "3A⁰"), =HYPERLINK("CSG1.html#group8A1", "8A¹"), =HYPERLINK("CSG0.html#group4C0", "4C⁰"), =HYPERLINK("CSG1.html#group24D1", "24D¹"), =HYPERLINK("CSG0.html#group6G0", "6G⁰"), =HYPERLINK("CSG0.html#group2B0", "2B⁰"), =HYPERLINK("CSG2.html#group24C2", "24C²"), =HYPERLINK("CSG1.html#group12N1", "12N¹"), =HYPERLINK("CSG5.html#group24E5", "24E⁵"), =HYPERLINK("CSG0.html#group1A0", "1A⁰"), =HYPERLINK("CSG1.html#group12L1", "12L¹"), =HYPERLINK("CSG5.html#group24D5", "24D⁵"), =HYPERLINK("CSG0.html#group12G0", "12G⁰"), =HYPERLINK("CSG1.html#group12C1", "12C¹"), =HYPERLINK("CSG0.html#group6E0", "6E⁰"), =HYPERLINK("CSG0.html#group6L0", "6L⁰"), =HYPERLINK("CSG5.html#group24C5", "24C⁵"), =HYPERLINK("CSG3.html#group24S3", "24S³"), =HYPERLINK("CSG0.html#group3C0", "3C⁰"), =HYPERLINK("CSG0.html#group12D0", "12D⁰"), =HYPERLINK("CSG0.html#group6H0", "6H⁰"), =HYPERLINK("CSG0.html#group12H0", "12H⁰"), =HYPERLINK("CSG0.html#group6D0", "6D⁰")</f>
        <v/>
      </c>
      <c r="N1957">
        <f>HYPERLINK("CSG17.html#group24O17", "24O¹⁷"), =HYPERLINK("CSG17.html#group24C17", "24C¹⁷"), =HYPERLINK("CSG17.html#group24N17", "24N¹⁷"), =HYPERLINK("CSG21.html#group48AV21", "48AV²¹"), =HYPERLINK("CSG17.html#group24M17", "24M¹⁷"), =HYPERLINK("CSG21.html#group48BE21", "48BE²¹")</f>
        <v/>
      </c>
    </row>
    <row r="1958">
      <c r="A1958" t="inlineStr">
        <is>
          <t>24F⁹</t>
        </is>
      </c>
      <c r="B1958" t="inlineStr"/>
      <c r="C1958" t="inlineStr">
        <is>
          <t>144</t>
        </is>
      </c>
      <c r="D1958" t="inlineStr">
        <is>
          <t>1</t>
        </is>
      </c>
      <c r="E1958" t="inlineStr">
        <is>
          <t>9</t>
        </is>
      </c>
      <c r="F1958" t="inlineStr">
        <is>
          <t>0</t>
        </is>
      </c>
      <c r="G1958" t="inlineStr">
        <is>
          <t>0</t>
        </is>
      </c>
      <c r="H1958" t="inlineStr">
        <is>
          <t>12⁴, 24⁴</t>
        </is>
      </c>
      <c r="I1958" t="n">
        <v>8</v>
      </c>
      <c r="J1958" t="inlineStr">
        <is>
          <t>1³, 2³</t>
        </is>
      </c>
      <c r="K1958">
        <f>HYPERLINK("CSG2.html#group24P2", "24P²"), =HYPERLINK("CSG4.html#group12C4", "12C⁴"), =HYPERLINK("CSG4.html#group24E4", "24E⁴"), =HYPERLINK("CSG5.html#group24A5", "24A⁵"), =HYPERLINK("CSG5.html#group24G5", "24G⁵")</f>
        <v/>
      </c>
      <c r="L1958">
        <f>HYPERLINK("CSG17.html#group24I17", "24I¹⁷"), =HYPERLINK("CSG17.html#group24J17", "24J¹⁷"), =HYPERLINK("CSG17.html#group24Q17", "24Q¹⁷"), =HYPERLINK("CSG17.html#group24U17", "24U¹⁷"), =HYPERLINK("CSG21.html#group48N21", "48N²¹"), =HYPERLINK("CSG21.html#group48R21", "48R²¹"), =HYPERLINK("CSG21.html#group48AG21", "48AG²¹"), =HYPERLINK("CSG21.html#group48AN21", "48AN²¹"), =HYPERLINK("CSG21.html#group48BQ21", "48BQ²¹")</f>
        <v/>
      </c>
      <c r="M1958">
        <f>HYPERLINK("CSG0.html#group2A0", "2A⁰"), =HYPERLINK("CSG1.html#group24E1", "24E¹"), =HYPERLINK("CSG3.html#group24A3", "24A³"), =HYPERLINK("CSG0.html#group12C0", "12C⁰"), =HYPERLINK("CSG0.html#group4C0", "4C⁰"), =HYPERLINK("CSG5.html#group24A5", "24A⁵"), =HYPERLINK("CSG1.html#group6C1", "6C¹"), =HYPERLINK("CSG2.html#group12B2", "12B²"), =HYPERLINK("CSG2.html#group24P2", "24P²"), =HYPERLINK("CSG2.html#group12E2", "12E²"), =HYPERLINK("CSG1.html#group12M1", "12M¹"), =HYPERLINK("CSG0.html#group2B0", "2B⁰"), =HYPERLINK("CSG0.html#group4E0", "4E⁰"), =HYPERLINK("CSG0.html#group4B0", "4B⁰"), =HYPERLINK("CSG0.html#group1A0", "1A⁰"), =HYPERLINK("CSG0.html#group24A0", "24A⁰"), =HYPERLINK("CSG2.html#group24D2", "24D²"), =HYPERLINK("CSG1.html#group12B1", "12B¹"), =HYPERLINK("CSG1.html#group6A1", "6A¹"), =HYPERLINK("CSG0.html#group3A0", "3A⁰"), =HYPERLINK("CSG5.html#group24G5", "24G⁵"), =HYPERLINK("CSG1.html#group8A1", "8A¹"), =HYPERLINK("CSG0.html#group8B0", "8B⁰"), =HYPERLINK("CSG1.html#group8B1", "8B¹"), =HYPERLINK("CSG0.html#group6A0", "6A⁰"), =HYPERLINK("CSG1.html#group12C1", "12C¹"), =HYPERLINK("CSG4.html#group24E4", "24E⁴"), =HYPERLINK("CSG0.html#group12D0", "12D⁰"), =HYPERLINK("CSG4.html#group12C4", "12C⁴"), =HYPERLINK("CSG0.html#group2C0", "2C⁰"), =HYPERLINK("CSG0.html#group6D0", "6D⁰")</f>
        <v/>
      </c>
      <c r="N1958">
        <f>HYPERLINK("CSG17.html#group24U17", "24U¹⁷"), =HYPERLINK("CSG21.html#group48N21", "48N²¹"), =HYPERLINK("CSG17.html#group24Q17", "24Q¹⁷"), =HYPERLINK("CSG21.html#group48AN21", "48AN²¹"), =HYPERLINK("CSG17.html#group24J17", "24J¹⁷"), =HYPERLINK("CSG17.html#group24I17", "24I¹⁷"), =HYPERLINK("CSG21.html#group48R21", "48R²¹"), =HYPERLINK("CSG21.html#group48BQ21", "48BQ²¹"), =HYPERLINK("CSG21.html#group48AG21", "48AG²¹")</f>
        <v/>
      </c>
    </row>
    <row r="1959">
      <c r="A1959" t="inlineStr">
        <is>
          <t>24G⁹</t>
        </is>
      </c>
      <c r="B1959" t="inlineStr"/>
      <c r="C1959" t="inlineStr">
        <is>
          <t>144</t>
        </is>
      </c>
      <c r="D1959" t="inlineStr">
        <is>
          <t>1</t>
        </is>
      </c>
      <c r="E1959" t="inlineStr">
        <is>
          <t>9</t>
        </is>
      </c>
      <c r="F1959" t="inlineStr">
        <is>
          <t>0</t>
        </is>
      </c>
      <c r="G1959" t="inlineStr">
        <is>
          <t>0</t>
        </is>
      </c>
      <c r="H1959" t="inlineStr">
        <is>
          <t>12⁴, 24⁴</t>
        </is>
      </c>
      <c r="I1959" t="n">
        <v>8</v>
      </c>
      <c r="J1959" t="inlineStr">
        <is>
          <t>1³, 2³</t>
        </is>
      </c>
      <c r="K1959">
        <f>HYPERLINK("CSG3.html#group12G3", "12G³"), =HYPERLINK("CSG3.html#group24H3", "24H³"), =HYPERLINK("CSG3.html#group24S3", "24S³"), =HYPERLINK("CSG5.html#group24C5", "24C⁵"), =HYPERLINK("CSG5.html#group24F5", "24F⁵")</f>
        <v/>
      </c>
      <c r="L1959">
        <f>HYPERLINK("CSG17.html#group24C17", "24C¹⁷"), =HYPERLINK("CSG17.html#group24G17", "24G¹⁷"), =HYPERLINK("CSG17.html#group24H17", "24H¹⁷"), =HYPERLINK("CSG17.html#group24Z17", "24Z¹⁷"), =HYPERLINK("CSG21.html#group48Y21", "48Y²¹"), =HYPERLINK("CSG21.html#group48Z21", "48Z²¹"), =HYPERLINK("CSG21.html#group48AU21", "48AU²¹")</f>
        <v/>
      </c>
      <c r="M1959">
        <f>HYPERLINK("CSG0.html#group2A0", "2A⁰"), =HYPERLINK("CSG0.html#group12C0", "12C⁰"), =HYPERLINK("CSG1.html#group12K1", "12K¹"), =HYPERLINK("CSG2.html#group12D2", "12D²"), =HYPERLINK("CSG0.html#group4C0", "4C⁰"), =HYPERLINK("CSG1.html#group6C1", "6C¹"), =HYPERLINK("CSG2.html#group12B2", "12B²"), =HYPERLINK("CSG0.html#group6G0", "6G⁰"), =HYPERLINK("CSG2.html#group12E2", "12E²"), =HYPERLINK("CSG0.html#group2B0", "2B⁰"), =HYPERLINK("CSG0.html#group4E0", "4E⁰"), =HYPERLINK("CSG2.html#group24C2", "24C²"), =HYPERLINK("CSG0.html#group4B0", "4B⁰"), =HYPERLINK("CSG3.html#group12G3", "12G³"), =HYPERLINK("CSG0.html#group1A0", "1A⁰"), =HYPERLINK("CSG5.html#group24F5", "24F⁵"), =HYPERLINK("CSG3.html#group24H3", "24H³"), =HYPERLINK("CSG1.html#group6B1", "6B¹"), =HYPERLINK("CSG3.html#group24S3", "24S³"), =HYPERLINK("CSG0.html#group3C0", "3C⁰"), =HYPERLINK("CSG1.html#group6A1", "6A¹"), =HYPERLINK("CSG1.html#group12B1", "12B¹"), =HYPERLINK("CSG0.html#group6H0", "6H⁰"), =HYPERLINK("CSG0.html#group3A0", "3A⁰"), =HYPERLINK("CSG1.html#group6E1", "6E¹"), =HYPERLINK("CSG0.html#group6B0", "6B⁰"), =HYPERLINK("CSG1.html#group24D1", "24D¹"), =HYPERLINK("CSG1.html#group12L1", "12L¹"), =HYPERLINK("CSG1.html#group12C1", "12C¹"), =HYPERLINK("CSG0.html#group6A0", "6A⁰"), =HYPERLINK("CSG5.html#group24C5", "24C⁵"), =HYPERLINK("CSG0.html#group12D0", "12D⁰"), =HYPERLINK("CSG0.html#group12H0", "12H⁰"), =HYPERLINK("CSG0.html#group2C0", "2C⁰"), =HYPERLINK("CSG0.html#group6D0", "6D⁰")</f>
        <v/>
      </c>
      <c r="N1959">
        <f>HYPERLINK("CSG17.html#group24H17", "24H¹⁷"), =HYPERLINK("CSG17.html#group24Z17", "24Z¹⁷"), =HYPERLINK("CSG21.html#group48Z21", "48Z²¹"), =HYPERLINK("CSG21.html#group48AU21", "48AU²¹"), =HYPERLINK("CSG21.html#group48Y21", "48Y²¹"), =HYPERLINK("CSG17.html#group24C17", "24C¹⁷"), =HYPERLINK("CSG17.html#group24G17", "24G¹⁷")</f>
        <v/>
      </c>
    </row>
    <row r="1960">
      <c r="A1960" t="inlineStr">
        <is>
          <t>24H⁹</t>
        </is>
      </c>
      <c r="B1960" t="inlineStr"/>
      <c r="C1960" t="inlineStr">
        <is>
          <t>144</t>
        </is>
      </c>
      <c r="D1960" t="inlineStr">
        <is>
          <t>1</t>
        </is>
      </c>
      <c r="E1960" t="inlineStr">
        <is>
          <t>9</t>
        </is>
      </c>
      <c r="F1960" t="inlineStr">
        <is>
          <t>0</t>
        </is>
      </c>
      <c r="G1960" t="inlineStr">
        <is>
          <t>0</t>
        </is>
      </c>
      <c r="H1960" t="inlineStr">
        <is>
          <t>12⁴, 24⁴</t>
        </is>
      </c>
      <c r="I1960" t="n">
        <v>8</v>
      </c>
      <c r="J1960" t="inlineStr">
        <is>
          <t>1³, 2³</t>
        </is>
      </c>
      <c r="K1960">
        <f>HYPERLINK("CSG3.html#group24P3", "24P³"), =HYPERLINK("CSG4.html#group12A4", "12A⁴"), =HYPERLINK("CSG4.html#group24E4", "24E⁴"), =HYPERLINK("CSG4.html#group24K4", "24K⁴"), =HYPERLINK("CSG5.html#group24F5", "24F⁵")</f>
        <v/>
      </c>
      <c r="L1960">
        <f>HYPERLINK("CSG17.html#group24G17", "24G¹⁷"), =HYPERLINK("CSG17.html#group24J17", "24J¹⁷"), =HYPERLINK("CSG17.html#group24R17", "24R¹⁷"), =HYPERLINK("CSG17.html#group24W17", "24W¹⁷"), =HYPERLINK("CSG19.html#group24E19", "24E¹⁹"), =HYPERLINK("CSG19.html#group24F19", "24F¹⁹"), =HYPERLINK("CSG19.html#group24H19", "24H¹⁹"), =HYPERLINK("CSG19.html#group24I19", "24I¹⁹"), =HYPERLINK("CSG19.html#group24S19", "24S¹⁹")</f>
        <v/>
      </c>
      <c r="M1960">
        <f>HYPERLINK("CSG0.html#group2A0", "2A⁰"), =HYPERLINK("CSG1.html#group24E1", "24E¹"), =HYPERLINK("CSG0.html#group12C0", "12C⁰"), =HYPERLINK("CSG1.html#group6C1", "6C¹"), =HYPERLINK("CSG1.html#group12E1", "12E¹"), =HYPERLINK("CSG2.html#group12B2", "12B²"), =HYPERLINK("CSG0.html#group4C0", "4C⁰"), =HYPERLINK("CSG1.html#group24D1", "24D¹"), =HYPERLINK("CSG0.html#group4G0", "4G⁰"), =HYPERLINK("CSG0.html#group2B0", "2B⁰"), =HYPERLINK("CSG3.html#group24P3", "24P³"), =HYPERLINK("CSG0.html#group4E0", "4E⁰"), =HYPERLINK("CSG2.html#group24C2", "24C²"), =HYPERLINK("CSG0.html#group4B0", "4B⁰"), =HYPERLINK("CSG0.html#group1A0", "1A⁰"), =HYPERLINK("CSG5.html#group24F5", "24F⁵"), =HYPERLINK("CSG4.html#group12A4", "12A⁴"), =HYPERLINK("CSG0.html#group12A0", "12A⁰"), =HYPERLINK("CSG0.html#group6A0", "6A⁰"), =HYPERLINK("CSG0.html#group4A0", "4A⁰"), =HYPERLINK("CSG0.html#group4D0", "4D⁰"), =HYPERLINK("CSG4.html#group24K4", "24K⁴"), =HYPERLINK("CSG2.html#group12A2", "12A²"), =HYPERLINK("CSG4.html#group24E4", "24E⁴"), =HYPERLINK("CSG2.html#group24D2", "24D²"), =HYPERLINK("CSG1.html#group12J1", "12J¹"), =HYPERLINK("CSG1.html#group6A1", "6A¹"), =HYPERLINK("CSG1.html#group12B1", "12B¹"), =HYPERLINK("CSG0.html#group4F0", "4F⁰"), =HYPERLINK("CSG0.html#group3A0", "3A⁰"), =HYPERLINK("CSG0.html#group2C0", "2C⁰"), =HYPERLINK("CSG0.html#group6D0", "6D⁰")</f>
        <v/>
      </c>
      <c r="N1960">
        <f>HYPERLINK("CSG17.html#group24W17", "24W¹⁷"), =HYPERLINK("CSG17.html#group24R17", "24R¹⁷"), =HYPERLINK("CSG19.html#group24E19", "24E¹⁹"), =HYPERLINK("CSG17.html#group24G17", "24G¹⁷"), =HYPERLINK("CSG19.html#group24I19", "24I¹⁹"), =HYPERLINK("CSG17.html#group24J17", "24J¹⁷"), =HYPERLINK("CSG19.html#group24H19", "24H¹⁹"), =HYPERLINK("CSG19.html#group24S19", "24S¹⁹"), =HYPERLINK("CSG19.html#group24F19", "24F¹⁹")</f>
        <v/>
      </c>
    </row>
    <row r="1961">
      <c r="A1961" t="inlineStr">
        <is>
          <t>24I⁹</t>
        </is>
      </c>
      <c r="B1961" t="inlineStr"/>
      <c r="C1961" t="inlineStr">
        <is>
          <t>144</t>
        </is>
      </c>
      <c r="D1961" t="inlineStr">
        <is>
          <t>1</t>
        </is>
      </c>
      <c r="E1961" t="inlineStr">
        <is>
          <t>9</t>
        </is>
      </c>
      <c r="F1961" t="inlineStr">
        <is>
          <t>0</t>
        </is>
      </c>
      <c r="G1961" t="inlineStr">
        <is>
          <t>0</t>
        </is>
      </c>
      <c r="H1961" t="inlineStr">
        <is>
          <t>12⁴, 24⁴</t>
        </is>
      </c>
      <c r="I1961" t="n">
        <v>8</v>
      </c>
      <c r="J1961" t="inlineStr">
        <is>
          <t>1³, 2³</t>
        </is>
      </c>
      <c r="K1961">
        <f>HYPERLINK("CSG3.html#group24Q3", "24Q³"), =HYPERLINK("CSG4.html#group12C4", "12C⁴"), =HYPERLINK("CSG4.html#group24D4", "24D⁴"), =HYPERLINK("CSG4.html#group24L4", "24L⁴"), =HYPERLINK("CSG5.html#group24F5", "24F⁵")</f>
        <v/>
      </c>
      <c r="L1961">
        <f>HYPERLINK("CSG17.html#group24H17", "24H¹⁷"), =HYPERLINK("CSG17.html#group24J17", "24J¹⁷"), =HYPERLINK("CSG17.html#group24P17", "24P¹⁷"), =HYPERLINK("CSG17.html#group24S17", "24S¹⁷"), =HYPERLINK("CSG19.html#group48H19", "48H¹⁹"), =HYPERLINK("CSG19.html#group48I19", "48I¹⁹"), =HYPERLINK("CSG19.html#group48L19", "48L¹⁹"), =HYPERLINK("CSG19.html#group48P19", "48P¹⁹"), =HYPERLINK("CSG19.html#group48AW19", "48AW¹⁹")</f>
        <v/>
      </c>
      <c r="M1961">
        <f>HYPERLINK("CSG3.html#group24Q3", "24Q³"), =HYPERLINK("CSG0.html#group2A0", "2A⁰"), =HYPERLINK("CSG0.html#group12C0", "12C⁰"), =HYPERLINK("CSG0.html#group4C0", "4C⁰"), =HYPERLINK("CSG1.html#group6C1", "6C¹"), =HYPERLINK("CSG2.html#group12B2", "12B²"), =HYPERLINK("CSG2.html#group12E2", "12E²"), =HYPERLINK("CSG1.html#group12M1", "12M¹"), =HYPERLINK("CSG0.html#group2B0", "2B⁰"), =HYPERLINK("CSG0.html#group4E0", "4E⁰"), =HYPERLINK("CSG2.html#group24C2", "24C²"), =HYPERLINK("CSG0.html#group4B0", "4B⁰"), =HYPERLINK("CSG0.html#group8C0", "8C⁰"), =HYPERLINK("CSG0.html#group1A0", "1A⁰"), =HYPERLINK("CSG5.html#group24F5", "24F⁵"), =HYPERLINK("CSG2.html#group24B2", "24B²"), =HYPERLINK("CSG0.html#group8G0", "8G⁰"), =HYPERLINK("CSG1.html#group12B1", "12B¹"), =HYPERLINK("CSG1.html#group6A1", "6A¹"), =HYPERLINK("CSG0.html#group3A0", "3A⁰"), =HYPERLINK("CSG0.html#group8D0", "8D⁰"), =HYPERLINK("CSG0.html#group2C0", "2C⁰"), =HYPERLINK("CSG1.html#group24D1", "24D¹"), =HYPERLINK("CSG4.html#group24D4", "24D⁴"), =HYPERLINK("CSG0.html#group6A0", "6A⁰"), =HYPERLINK("CSG1.html#group12C1", "12C¹"), =HYPERLINK("CSG1.html#group24C1", "24C¹"), =HYPERLINK("CSG0.html#group12D0", "12D⁰"), =HYPERLINK("CSG4.html#group12C4", "12C⁴"), =HYPERLINK("CSG4.html#group24L4", "24L⁴"), =HYPERLINK("CSG0.html#group6D0", "6D⁰")</f>
        <v/>
      </c>
      <c r="N1961">
        <f>HYPERLINK("CSG19.html#group48P19", "48P¹⁹"), =HYPERLINK("CSG19.html#group48AW19", "48AW¹⁹"), =HYPERLINK("CSG17.html#group24P17", "24P¹⁷"), =HYPERLINK("CSG17.html#group24H17", "24H¹⁷"), =HYPERLINK("CSG19.html#group48I19", "48I¹⁹"), =HYPERLINK("CSG17.html#group24J17", "24J¹⁷"), =HYPERLINK("CSG19.html#group48L19", "48L¹⁹"), =HYPERLINK("CSG17.html#group24S17", "24S¹⁷"), =HYPERLINK("CSG19.html#group48H19", "48H¹⁹")</f>
        <v/>
      </c>
    </row>
    <row r="1962">
      <c r="A1962" t="inlineStr">
        <is>
          <t>24J⁹</t>
        </is>
      </c>
      <c r="B1962" t="inlineStr"/>
      <c r="C1962" t="inlineStr">
        <is>
          <t>144</t>
        </is>
      </c>
      <c r="D1962" t="inlineStr">
        <is>
          <t>1</t>
        </is>
      </c>
      <c r="E1962" t="inlineStr">
        <is>
          <t>9</t>
        </is>
      </c>
      <c r="F1962" t="inlineStr">
        <is>
          <t>0</t>
        </is>
      </c>
      <c r="G1962" t="inlineStr">
        <is>
          <t>0</t>
        </is>
      </c>
      <c r="H1962" t="inlineStr">
        <is>
          <t>12⁴, 24⁴</t>
        </is>
      </c>
      <c r="I1962" t="n">
        <v>8</v>
      </c>
      <c r="J1962" t="inlineStr">
        <is>
          <t>1³, 2³</t>
        </is>
      </c>
      <c r="K1962">
        <f>HYPERLINK("CSG1.html#group24H1", "24H¹"), =HYPERLINK("CSG3.html#group12G3", "12G³"), =HYPERLINK("CSG3.html#group24I3", "24I³"), =HYPERLINK("CSG5.html#group24A5", "24A⁵"), =HYPERLINK("CSG5.html#group24D5", "24D⁵"), =HYPERLINK("CSG5.html#group24E5", "24E⁵"), =HYPERLINK("CSG5.html#group24F5", "24F⁵")</f>
        <v/>
      </c>
      <c r="L1962">
        <f>HYPERLINK("CSG17.html#group24C17", "24C¹⁷"), =HYPERLINK("CSG17.html#group24I17", "24I¹⁷"), =HYPERLINK("CSG17.html#group24J17", "24J¹⁷"), =HYPERLINK("CSG17.html#group24T17", "24T¹⁷"), =HYPERLINK("CSG17.html#group24V17", "24V¹⁷"), =HYPERLINK("CSG21.html#group48K21", "48K²¹"), =HYPERLINK("CSG21.html#group48O21", "48O²¹"), =HYPERLINK("CSG21.html#group48P21", "48P²¹"), =HYPERLINK("CSG21.html#group48S21", "48S²¹"), =HYPERLINK("CSG21.html#group48AO21", "48AO²¹"), =HYPERLINK("CSG21.html#group48AP21", "48AP²¹")</f>
        <v/>
      </c>
      <c r="M1962">
        <f>HYPERLINK("CSG0.html#group2A0", "2A⁰"), =HYPERLINK("CSG3.html#group24A3", "24A³"), =HYPERLINK("CSG0.html#group12C0", "12C⁰"), =HYPERLINK("CSG1.html#group12K1", "12K¹"), =HYPERLINK("CSG2.html#group12D2", "12D²"), =HYPERLINK("CSG0.html#group4C0", "4C⁰"), =HYPERLINK("CSG5.html#group24A5", "24A⁵"), =HYPERLINK("CSG3.html#group24I3", "24I³"), =HYPERLINK("CSG1.html#group6C1", "6C¹"), =HYPERLINK("CSG2.html#group12B2", "12B²"), =HYPERLINK("CSG0.html#group6G0", "6G⁰"), =HYPERLINK("CSG0.html#group2B0", "2B⁰"), =HYPERLINK("CSG0.html#group4E0", "4E⁰"), =HYPERLINK("CSG2.html#group24C2", "24C²"), =HYPERLINK("CSG2.html#group12E2", "12E²"), =HYPERLINK("CSG0.html#group4B0", "4B⁰"), =HYPERLINK("CSG5.html#group24E5", "24E⁵"), =HYPERLINK("CSG3.html#group12G3", "12G³"), =HYPERLINK("CSG0.html#group1A0", "1A⁰"), =HYPERLINK("CSG5.html#group24F5", "24F⁵"), =HYPERLINK("CSG0.html#group24A0", "24A⁰"), =HYPERLINK("CSG1.html#group6B1", "6B¹"), =HYPERLINK("CSG0.html#group3C0", "3C⁰"), =HYPERLINK("CSG1.html#group12B1", "12B¹"), =HYPERLINK("CSG1.html#group6A1", "6A¹"), =HYPERLINK("CSG0.html#group6H0", "6H⁰"), =HYPERLINK("CSG0.html#group3A0", "3A⁰"), =HYPERLINK("CSG1.html#group24H1", "24H¹"), =HYPERLINK("CSG1.html#group6E1", "6E¹"), =HYPERLINK("CSG0.html#group6B0", "6B⁰"), =HYPERLINK("CSG1.html#group8A1", "8A¹"), =HYPERLINK("CSG1.html#group24D1", "24D¹"), =HYPERLINK("CSG0.html#group8B0", "8B⁰"), =HYPERLINK("CSG1.html#group8B1", "8B¹"), =HYPERLINK("CSG1.html#group12L1", "12L¹"), =HYPERLINK("CSG5.html#group24D5", "24D⁵"), =HYPERLINK("CSG0.html#group6A0", "6A⁰"), =HYPERLINK("CSG1.html#group12C1", "12C¹"), =HYPERLINK("CSG0.html#group12D0", "12D⁰"), =HYPERLINK("CSG0.html#group12H0", "12H⁰"), =HYPERLINK("CSG0.html#group2C0", "2C⁰"), =HYPERLINK("CSG0.html#group6D0", "6D⁰")</f>
        <v/>
      </c>
      <c r="N1962">
        <f>HYPERLINK("CSG21.html#group48AO21", "48AO²¹"), =HYPERLINK("CSG17.html#group24V17", "24V¹⁷"), =HYPERLINK("CSG21.html#group48P21", "48P²¹"), =HYPERLINK("CSG21.html#group48O21", "48O²¹"), =HYPERLINK("CSG17.html#group24T17", "24T¹⁷"), =HYPERLINK("CSG21.html#group48K21", "48K²¹"), =HYPERLINK("CSG17.html#group24J17", "24J¹⁷"), =HYPERLINK("CSG17.html#group24I17", "24I¹⁷"), =HYPERLINK("CSG21.html#group48S21", "48S²¹"), =HYPERLINK("CSG21.html#group48AP21", "48AP²¹"), =HYPERLINK("CSG17.html#group24C17", "24C¹⁷")</f>
        <v/>
      </c>
    </row>
    <row r="1963">
      <c r="A1963" t="inlineStr">
        <is>
          <t>24K⁹</t>
        </is>
      </c>
      <c r="B1963" t="inlineStr"/>
      <c r="C1963" t="inlineStr">
        <is>
          <t>144</t>
        </is>
      </c>
      <c r="D1963" t="inlineStr">
        <is>
          <t>1</t>
        </is>
      </c>
      <c r="E1963" t="inlineStr">
        <is>
          <t>18</t>
        </is>
      </c>
      <c r="F1963" t="inlineStr">
        <is>
          <t>0</t>
        </is>
      </c>
      <c r="G1963" t="inlineStr">
        <is>
          <t>0</t>
        </is>
      </c>
      <c r="H1963" t="inlineStr">
        <is>
          <t>12⁴, 24⁴</t>
        </is>
      </c>
      <c r="I1963" t="n">
        <v>8</v>
      </c>
      <c r="J1963" t="inlineStr">
        <is>
          <t>2³, 4³</t>
        </is>
      </c>
      <c r="K1963">
        <f>HYPERLINK("CSG3.html#group12F3", "12F³"), =HYPERLINK("CSG4.html#group24Q4", "24Q⁴")</f>
        <v/>
      </c>
      <c r="L1963">
        <f>HYPERLINK("CSG17.html#group24A17", "24A¹⁷"), =HYPERLINK("CSG17.html#group24Y17", "24Y¹⁷")</f>
        <v/>
      </c>
      <c r="M1963">
        <f>HYPERLINK("CSG4.html#group24Q4", "24Q⁴"), =HYPERLINK("CSG0.html#group2A0", "2A⁰"), =HYPERLINK("CSG3.html#group12F3", "12F³"), =HYPERLINK("CSG1.html#group6C1", "6C¹"), =HYPERLINK("CSG2.html#group12E2", "12E²"), =HYPERLINK("CSG0.html#group6G0", "6G⁰"), =HYPERLINK("CSG0.html#group2B0", "2B⁰"), =HYPERLINK("CSG1.html#group12N1", "12N¹"), =HYPERLINK("CSG0.html#group1A0", "1A⁰"), =HYPERLINK("CSG1.html#group6B1", "6B¹"), =HYPERLINK("CSG0.html#group3C0", "3C⁰"), =HYPERLINK("CSG1.html#group6A1", "6A¹"), =HYPERLINK("CSG0.html#group6H0", "6H⁰"), =HYPERLINK("CSG0.html#group3A0", "3A⁰"), =HYPERLINK("CSG1.html#group6E1", "6E¹"), =HYPERLINK("CSG0.html#group6B0", "6B⁰"), =HYPERLINK("CSG0.html#group12G0", "12G⁰"), =HYPERLINK("CSG1.html#group12C1", "12C¹"), =HYPERLINK("CSG0.html#group6A0", "6A⁰"), =HYPERLINK("CSG0.html#group12D0", "12D⁰"), =HYPERLINK("CSG2.html#group12C2", "12C²"), =HYPERLINK("CSG0.html#group2C0", "2C⁰"), =HYPERLINK("CSG0.html#group6D0", "6D⁰")</f>
        <v/>
      </c>
      <c r="N1963">
        <f>HYPERLINK("CSG17.html#group24A17", "24A¹⁷"), =HYPERLINK("CSG17.html#group24Y17", "24Y¹⁷")</f>
        <v/>
      </c>
    </row>
    <row r="1964">
      <c r="A1964" t="inlineStr">
        <is>
          <t>24L⁹</t>
        </is>
      </c>
      <c r="B1964" t="inlineStr"/>
      <c r="C1964" t="inlineStr">
        <is>
          <t>144</t>
        </is>
      </c>
      <c r="D1964" t="inlineStr">
        <is>
          <t>1</t>
        </is>
      </c>
      <c r="E1964" t="inlineStr">
        <is>
          <t>18</t>
        </is>
      </c>
      <c r="F1964" t="inlineStr">
        <is>
          <t>0</t>
        </is>
      </c>
      <c r="G1964" t="inlineStr">
        <is>
          <t>0</t>
        </is>
      </c>
      <c r="H1964" t="inlineStr">
        <is>
          <t>12⁴, 24⁴</t>
        </is>
      </c>
      <c r="I1964" t="n">
        <v>8</v>
      </c>
      <c r="J1964" t="inlineStr">
        <is>
          <t>2⁵, 4²</t>
        </is>
      </c>
      <c r="K1964">
        <f>HYPERLINK("CSG3.html#group12E3", "12E³"), =HYPERLINK("CSG4.html#group24Q4", "24Q⁴")</f>
        <v/>
      </c>
      <c r="L1964">
        <f>HYPERLINK("CSG17.html#group24A17", "24A¹⁷"), =HYPERLINK("CSG17.html#group24X17", "24X¹⁷")</f>
        <v/>
      </c>
      <c r="M1964">
        <f>HYPERLINK("CSG4.html#group24Q4", "24Q⁴"), =HYPERLINK("CSG0.html#group6B0", "6B⁰"), =HYPERLINK("CSG1.html#group12K1", "12K¹"), =HYPERLINK("CSG2.html#group12D2", "12D²"), =HYPERLINK("CSG0.html#group6G0", "6G⁰"), =HYPERLINK("CSG0.html#group2B0", "2B⁰"), =HYPERLINK("CSG1.html#group12N1", "12N¹"), =HYPERLINK("CSG0.html#group4B0", "4B⁰"), =HYPERLINK("CSG0.html#group1A0", "1A⁰"), =HYPERLINK("CSG1.html#group12C1", "12C¹"), =HYPERLINK("CSG0.html#group6E0", "6E⁰"), =HYPERLINK("CSG0.html#group6L0", "6L⁰"), =HYPERLINK("CSG3.html#group12E3", "12E³"), =HYPERLINK("CSG0.html#group3C0", "3C⁰"), =HYPERLINK("CSG1.html#group12B1", "12B¹"), =HYPERLINK("CSG0.html#group12D0", "12D⁰"), =HYPERLINK("CSG0.html#group6H0", "6H⁰"), =HYPERLINK("CSG0.html#group3A0", "3A⁰"), =HYPERLINK("CSG2.html#group12C2", "12C²"), =HYPERLINK("CSG0.html#group6D0", "6D⁰")</f>
        <v/>
      </c>
      <c r="N1964">
        <f>HYPERLINK("CSG17.html#group24A17", "24A¹⁷"), =HYPERLINK("CSG17.html#group24X17", "24X¹⁷")</f>
        <v/>
      </c>
    </row>
    <row r="1965">
      <c r="A1965" t="inlineStr">
        <is>
          <t>24M⁹</t>
        </is>
      </c>
      <c r="B1965" t="inlineStr"/>
      <c r="C1965" t="inlineStr">
        <is>
          <t>144</t>
        </is>
      </c>
      <c r="D1965" t="inlineStr">
        <is>
          <t>1</t>
        </is>
      </c>
      <c r="E1965" t="inlineStr">
        <is>
          <t>18</t>
        </is>
      </c>
      <c r="F1965" t="inlineStr">
        <is>
          <t>0</t>
        </is>
      </c>
      <c r="G1965" t="inlineStr">
        <is>
          <t>0</t>
        </is>
      </c>
      <c r="H1965" t="inlineStr">
        <is>
          <t>12⁴, 24⁴</t>
        </is>
      </c>
      <c r="I1965" t="n">
        <v>8</v>
      </c>
      <c r="J1965" t="inlineStr">
        <is>
          <t>2⁵, 4²</t>
        </is>
      </c>
      <c r="K1965">
        <f>HYPERLINK("CSG2.html#group12H2", "12H²"), =HYPERLINK("CSG2.html#group24N2", "24N²"), =HYPERLINK("CSG4.html#group24P4", "24P⁴"), =HYPERLINK("CSG5.html#group24D5", "24D⁵"), =HYPERLINK("CSG5.html#group24G5", "24G⁵")</f>
        <v/>
      </c>
      <c r="L1965">
        <f>HYPERLINK("CSG17.html#group24I17", "24I¹⁷"), =HYPERLINK("CSG17.html#group24N17", "24N¹⁷"), =HYPERLINK("CSG19.html#group24R19", "24R¹⁹"), =HYPERLINK("CSG19.html#group48AQ19", "48AQ¹⁹"), =HYPERLINK("CSG21.html#group48BJ21", "48BJ²¹"), =HYPERLINK("CSG21.html#group48BK21", "48BK²¹")</f>
        <v/>
      </c>
      <c r="M1965">
        <f>HYPERLINK("CSG5.html#group24G5", "24G⁵"), =HYPERLINK("CSG1.html#group24E1", "24E¹"), =HYPERLINK("CSG3.html#group24A3", "24A³"), =HYPERLINK("CSG0.html#group6B0", "6B⁰"), =HYPERLINK("CSG0.html#group12C0", "12C⁰"), =HYPERLINK("CSG1.html#group8A1", "8A¹"), =HYPERLINK("CSG4.html#group24P4", "24P⁴"), =HYPERLINK("CSG2.html#group24N2", "24N²"), =HYPERLINK("CSG0.html#group4C0", "4C⁰"), =HYPERLINK("CSG1.html#group12M1", "12M¹"), =HYPERLINK("CSG0.html#group2B0", "2B⁰"), =HYPERLINK("CSG2.html#group24C2", "24C²"), =HYPERLINK("CSG0.html#group12H0", "12H⁰"), =HYPERLINK("CSG0.html#group1A0", "1A⁰"), =HYPERLINK("CSG2.html#group12H2", "12H²"), =HYPERLINK("CSG5.html#group24D5", "24D⁵"), =HYPERLINK("CSG0.html#group12D0", "12D⁰"), =HYPERLINK("CSG0.html#group6H0", "6H⁰"), =HYPERLINK("CSG0.html#group3A0", "3A⁰"), =HYPERLINK("CSG0.html#group6D0", "6D⁰")</f>
        <v/>
      </c>
      <c r="N1965">
        <f>HYPERLINK("CSG21.html#group48BK21", "48BK²¹"), =HYPERLINK("CSG17.html#group24N17", "24N¹⁷"), =HYPERLINK("CSG17.html#group24I17", "24I¹⁷"), =HYPERLINK("CSG19.html#group24R19", "24R¹⁹"), =HYPERLINK("CSG19.html#group48AQ19", "48AQ¹⁹"), =HYPERLINK("CSG21.html#group48BJ21", "48BJ²¹")</f>
        <v/>
      </c>
    </row>
    <row r="1966">
      <c r="A1966" t="inlineStr">
        <is>
          <t>24N⁹</t>
        </is>
      </c>
      <c r="B1966" t="inlineStr"/>
      <c r="C1966" t="inlineStr">
        <is>
          <t>144</t>
        </is>
      </c>
      <c r="D1966" t="inlineStr">
        <is>
          <t>1</t>
        </is>
      </c>
      <c r="E1966" t="inlineStr">
        <is>
          <t>18</t>
        </is>
      </c>
      <c r="F1966" t="inlineStr">
        <is>
          <t>0</t>
        </is>
      </c>
      <c r="G1966" t="inlineStr">
        <is>
          <t>0</t>
        </is>
      </c>
      <c r="H1966" t="inlineStr">
        <is>
          <t>12⁴, 24⁴</t>
        </is>
      </c>
      <c r="I1966" t="n">
        <v>8</v>
      </c>
      <c r="J1966" t="inlineStr">
        <is>
          <t>1², 2⁴, 4²</t>
        </is>
      </c>
      <c r="K1966">
        <f>HYPERLINK("CSG3.html#group12I3", "12I³"), =HYPERLINK("CSG3.html#group24N3", "24N³"), =HYPERLINK("CSG3.html#group24T3", "24T³"), =HYPERLINK("CSG5.html#group24E5", "24E⁵"), =HYPERLINK("CSG5.html#group24G5", "24G⁵")</f>
        <v/>
      </c>
      <c r="L1966">
        <f>HYPERLINK("CSG17.html#group24E17", "24E¹⁷"), =HYPERLINK("CSG17.html#group24I17", "24I¹⁷"), =HYPERLINK("CSG17.html#group24N17", "24N¹⁷"), =HYPERLINK("CSG21.html#group48BT21", "48BT²¹")</f>
        <v/>
      </c>
      <c r="M1966">
        <f>HYPERLINK("CSG5.html#group24G5", "24G⁵"), =HYPERLINK("CSG1.html#group24E1", "24E¹"), =HYPERLINK("CSG3.html#group24A3", "24A³"), =HYPERLINK("CSG0.html#group12C0", "12C⁰"), =HYPERLINK("CSG1.html#group8A1", "8A¹"), =HYPERLINK("CSG0.html#group4C0", "4C⁰"), =HYPERLINK("CSG1.html#group24D1", "24D¹"), =HYPERLINK("CSG0.html#group6G0", "6G⁰"), =HYPERLINK("CSG1.html#group12M1", "12M¹"), =HYPERLINK("CSG0.html#group2B0", "2B⁰"), =HYPERLINK("CSG5.html#group24E5", "24E⁵"), =HYPERLINK("CSG0.html#group1A0", "1A⁰"), =HYPERLINK("CSG1.html#group12L1", "12L¹"), =HYPERLINK("CSG1.html#group12C1", "12C¹"), =HYPERLINK("CSG3.html#group12I3", "12I³"), =HYPERLINK("CSG3.html#group24N3", "24N³"), =HYPERLINK("CSG3.html#group24T3", "24T³"), =HYPERLINK("CSG0.html#group3C0", "3C⁰"), =HYPERLINK("CSG0.html#group3A0", "3A⁰"), =HYPERLINK("CSG0.html#group6D0", "6D⁰")</f>
        <v/>
      </c>
      <c r="N1966">
        <f>HYPERLINK("CSG17.html#group24E17", "24E¹⁷"), =HYPERLINK("CSG17.html#group24N17", "24N¹⁷"), =HYPERLINK("CSG21.html#group48BT21", "48BT²¹"), =HYPERLINK("CSG17.html#group24I17", "24I¹⁷")</f>
        <v/>
      </c>
    </row>
    <row r="1967">
      <c r="A1967" t="inlineStr">
        <is>
          <t>24O⁹</t>
        </is>
      </c>
      <c r="B1967" t="inlineStr"/>
      <c r="C1967" t="inlineStr">
        <is>
          <t>144</t>
        </is>
      </c>
      <c r="D1967" t="inlineStr">
        <is>
          <t>1</t>
        </is>
      </c>
      <c r="E1967" t="inlineStr">
        <is>
          <t>18</t>
        </is>
      </c>
      <c r="F1967" t="inlineStr">
        <is>
          <t>0</t>
        </is>
      </c>
      <c r="G1967" t="inlineStr">
        <is>
          <t>0</t>
        </is>
      </c>
      <c r="H1967" t="inlineStr">
        <is>
          <t>12⁴, 24⁴</t>
        </is>
      </c>
      <c r="I1967" t="n">
        <v>8</v>
      </c>
      <c r="J1967" t="inlineStr">
        <is>
          <t>1², 2⁴, 4²</t>
        </is>
      </c>
      <c r="K1967">
        <f>HYPERLINK("CSG3.html#group12I3", "12I³"), =HYPERLINK("CSG3.html#group24O3", "24O³"), =HYPERLINK("CSG4.html#group24L4", "24L⁴"), =HYPERLINK("CSG4.html#group24P4", "24P⁴"), =HYPERLINK("CSG5.html#group24C5", "24C⁵")</f>
        <v/>
      </c>
      <c r="L1967">
        <f>HYPERLINK("CSG17.html#group24D17", "24D¹⁷"), =HYPERLINK("CSG17.html#group24H17", "24H¹⁷"), =HYPERLINK("CSG17.html#group24N17", "24N¹⁷"), =HYPERLINK("CSG19.html#group48X19", "48X¹⁹"), =HYPERLINK("CSG19.html#group48W19", "48W¹⁹")</f>
        <v/>
      </c>
      <c r="M1967">
        <f>HYPERLINK("CSG1.html#group24E1", "24E¹"), =HYPERLINK("CSG0.html#group12C0", "12C⁰"), =HYPERLINK("CSG4.html#group24P4", "24P⁴"), =HYPERLINK("CSG0.html#group8D0", "8D⁰"), =HYPERLINK("CSG0.html#group4C0", "4C⁰"), =HYPERLINK("CSG0.html#group6G0", "6G⁰"), =HYPERLINK("CSG1.html#group12M1", "12M¹"), =HYPERLINK("CSG0.html#group2B0", "2B⁰"), =HYPERLINK("CSG2.html#group24C2", "24C²"), =HYPERLINK("CSG0.html#group1A0", "1A⁰"), =HYPERLINK("CSG3.html#group24O3", "24O³"), =HYPERLINK("CSG1.html#group12L1", "12L¹"), =HYPERLINK("CSG1.html#group12C1", "12C¹"), =HYPERLINK("CSG3.html#group12I3", "12I³"), =HYPERLINK("CSG5.html#group24C5", "24C⁵"), =HYPERLINK("CSG1.html#group24C1", "24C¹"), =HYPERLINK("CSG0.html#group3C0", "3C⁰"), =HYPERLINK("CSG0.html#group3A0", "3A⁰"), =HYPERLINK("CSG4.html#group24L4", "24L⁴"), =HYPERLINK("CSG0.html#group6D0", "6D⁰")</f>
        <v/>
      </c>
      <c r="N1967">
        <f>HYPERLINK("CSG17.html#group24H17", "24H¹⁷"), =HYPERLINK("CSG19.html#group48W19", "48W¹⁹"), =HYPERLINK("CSG17.html#group24N17", "24N¹⁷"), =HYPERLINK("CSG19.html#group48X19", "48X¹⁹"), =HYPERLINK("CSG17.html#group24D17", "24D¹⁷")</f>
        <v/>
      </c>
    </row>
    <row r="1968">
      <c r="A1968" t="inlineStr">
        <is>
          <t>24P⁹</t>
        </is>
      </c>
      <c r="B1968" t="inlineStr"/>
      <c r="C1968" t="inlineStr">
        <is>
          <t>144</t>
        </is>
      </c>
      <c r="D1968" t="inlineStr">
        <is>
          <t>1</t>
        </is>
      </c>
      <c r="E1968" t="inlineStr">
        <is>
          <t>18</t>
        </is>
      </c>
      <c r="F1968" t="inlineStr">
        <is>
          <t>0</t>
        </is>
      </c>
      <c r="G1968" t="inlineStr">
        <is>
          <t>0</t>
        </is>
      </c>
      <c r="H1968" t="inlineStr">
        <is>
          <t>12⁴, 24⁴</t>
        </is>
      </c>
      <c r="I1968" t="n">
        <v>8</v>
      </c>
      <c r="J1968" t="inlineStr">
        <is>
          <t>1², 2⁴, 4²</t>
        </is>
      </c>
      <c r="K1968">
        <f>HYPERLINK("CSG3.html#group12J3", "12J³"), =HYPERLINK("CSG3.html#group24N3", "24N³"), =HYPERLINK("CSG4.html#group24K4", "24K⁴"), =HYPERLINK("CSG4.html#group24P4", "24P⁴"), =HYPERLINK("CSG5.html#group24C5", "24C⁵")</f>
        <v/>
      </c>
      <c r="L1968">
        <f>HYPERLINK("CSG17.html#group24D17", "24D¹⁷"), =HYPERLINK("CSG17.html#group24G17", "24G¹⁷"), =HYPERLINK("CSG17.html#group24N17", "24N¹⁷"), =HYPERLINK("CSG19.html#group24O19", "24O¹⁹"), =HYPERLINK("CSG19.html#group24N19", "24N¹⁹")</f>
        <v/>
      </c>
      <c r="M1968">
        <f>HYPERLINK("CSG1.html#group12G1", "12G¹"), =HYPERLINK("CSG1.html#group24E1", "24E¹"), =HYPERLINK("CSG0.html#group12C0", "12C⁰"), =HYPERLINK("CSG4.html#group24P4", "24P⁴"), =HYPERLINK("CSG0.html#group4C0", "4C⁰"), =HYPERLINK("CSG0.html#group6G0", "6G⁰"), =HYPERLINK("CSG1.html#group12M1", "12M¹"), =HYPERLINK("CSG0.html#group2B0", "2B⁰"), =HYPERLINK("CSG2.html#group24C2", "24C²"), =HYPERLINK("CSG0.html#group1A0", "1A⁰"), =HYPERLINK("CSG1.html#group12L1", "12L¹"), =HYPERLINK("CSG3.html#group12J3", "12J³"), =HYPERLINK("CSG0.html#group12A0", "12A⁰"), =HYPERLINK("CSG1.html#group12C1", "12C¹"), =HYPERLINK("CSG5.html#group24C5", "24C⁵"), =HYPERLINK("CSG3.html#group24N3", "24N³"), =HYPERLINK("CSG0.html#group4A0", "4A⁰"), =HYPERLINK("CSG4.html#group24K4", "24K⁴"), =HYPERLINK("CSG0.html#group3C0", "3C⁰"), =HYPERLINK("CSG1.html#group12J1", "12J¹"), =HYPERLINK("CSG0.html#group4F0", "4F⁰"), =HYPERLINK("CSG0.html#group3A0", "3A⁰"), =HYPERLINK("CSG0.html#group6D0", "6D⁰")</f>
        <v/>
      </c>
      <c r="N1968">
        <f>HYPERLINK("CSG19.html#group24N19", "24N¹⁹"), =HYPERLINK("CSG17.html#group24N17", "24N¹⁷"), =HYPERLINK("CSG19.html#group24O19", "24O¹⁹"), =HYPERLINK("CSG17.html#group24G17", "24G¹⁷"), =HYPERLINK("CSG17.html#group24D17", "24D¹⁷")</f>
        <v/>
      </c>
    </row>
    <row r="1969">
      <c r="A1969" t="inlineStr">
        <is>
          <t>24Q⁹</t>
        </is>
      </c>
      <c r="B1969" t="inlineStr"/>
      <c r="C1969" t="inlineStr">
        <is>
          <t>144</t>
        </is>
      </c>
      <c r="D1969" t="inlineStr">
        <is>
          <t>1</t>
        </is>
      </c>
      <c r="E1969" t="inlineStr">
        <is>
          <t>18</t>
        </is>
      </c>
      <c r="F1969" t="inlineStr">
        <is>
          <t>0</t>
        </is>
      </c>
      <c r="G1969" t="inlineStr">
        <is>
          <t>0</t>
        </is>
      </c>
      <c r="H1969" t="inlineStr">
        <is>
          <t>12⁴, 24⁴</t>
        </is>
      </c>
      <c r="I1969" t="n">
        <v>8</v>
      </c>
      <c r="J1969" t="inlineStr">
        <is>
          <t>1², 2⁴, 4²</t>
        </is>
      </c>
      <c r="K1969">
        <f>HYPERLINK("CSG2.html#group12I2", "12I²"), =HYPERLINK("CSG2.html#group24O2", "24O²"), =HYPERLINK("CSG4.html#group24K4", "24K⁴"), =HYPERLINK("CSG4.html#group24L4", "24L⁴"), =HYPERLINK("CSG5.html#group24B5", "24B⁵"), =HYPERLINK("CSG5.html#group24D5", "24D⁵"), =HYPERLINK("CSG5.html#group24G5", "24G⁵")</f>
        <v/>
      </c>
      <c r="L1969">
        <f>HYPERLINK("CSG17.html#group24J17", "24J¹⁷"), =HYPERLINK("CSG17.html#group24N17", "24N¹⁷"), =HYPERLINK("CSG19.html#group24L19", "24L¹⁹"), =HYPERLINK("CSG19.html#group24P19", "24P¹⁹"), =HYPERLINK("CSG19.html#group48U19", "48U¹⁹"), =HYPERLINK("CSG19.html#group48Y19", "48Y¹⁹"), =HYPERLINK("CSG21.html#group48AT21", "48AT²¹"), =HYPERLINK("CSG21.html#group48AY21", "48AY²¹")</f>
        <v/>
      </c>
      <c r="M1969">
        <f>HYPERLINK("CSG5.html#group24G5", "24G⁵"), =HYPERLINK("CSG2.html#group12I2", "12I²"), =HYPERLINK("CSG2.html#group24O2", "24O²"), =HYPERLINK("CSG1.html#group24E1", "24E¹"), =HYPERLINK("CSG3.html#group24A3", "24A³"), =HYPERLINK("CSG0.html#group6B0", "6B⁰"), =HYPERLINK("CSG0.html#group12C0", "12C⁰"), =HYPERLINK("CSG1.html#group8A1", "8A¹"), =HYPERLINK("CSG0.html#group8D0", "8D⁰"), =HYPERLINK("CSG0.html#group4C0", "4C⁰"), =HYPERLINK("CSG0.html#group12F0", "12F⁰"), =HYPERLINK("CSG1.html#group12M1", "12M¹"), =HYPERLINK("CSG0.html#group2B0", "2B⁰"), =HYPERLINK("CSG2.html#group24C2", "24C²"), =HYPERLINK("CSG0.html#group12H0", "12H⁰"), =HYPERLINK("CSG0.html#group1A0", "1A⁰"), =HYPERLINK("CSG5.html#group24D5", "24D⁵"), =HYPERLINK("CSG0.html#group12A0", "12A⁰"), =HYPERLINK("CSG1.html#group8C1", "8C¹"), =HYPERLINK("CSG0.html#group4A0", "4A⁰"), =HYPERLINK("CSG4.html#group24K4", "24K⁴"), =HYPERLINK("CSG1.html#group24C1", "24C¹"), =HYPERLINK("CSG1.html#group12J1", "12J¹"), =HYPERLINK("CSG0.html#group12D0", "12D⁰"), =HYPERLINK("CSG0.html#group4F0", "4F⁰"), =HYPERLINK("CSG0.html#group6H0", "6H⁰"), =HYPERLINK("CSG0.html#group3A0", "3A⁰"), =HYPERLINK("CSG4.html#group24L4", "24L⁴"), =HYPERLINK("CSG0.html#group6D0", "6D⁰"), =HYPERLINK("CSG5.html#group24B5", "24B⁵")</f>
        <v/>
      </c>
      <c r="N1969">
        <f>HYPERLINK("CSG21.html#group48AT21", "48AT²¹"), =HYPERLINK("CSG19.html#group24P19", "24P¹⁹"), =HYPERLINK("CSG21.html#group48AY21", "48AY²¹"), =HYPERLINK("CSG19.html#group48Y19", "48Y¹⁹"), =HYPERLINK("CSG17.html#group24J17", "24J¹⁷"), =HYPERLINK("CSG19.html#group48U19", "48U¹⁹"), =HYPERLINK("CSG17.html#group24N17", "24N¹⁷"), =HYPERLINK("CSG19.html#group24L19", "24L¹⁹")</f>
        <v/>
      </c>
    </row>
    <row r="1970">
      <c r="A1970" t="inlineStr">
        <is>
          <t>24R⁹</t>
        </is>
      </c>
      <c r="B1970" t="inlineStr"/>
      <c r="C1970" t="inlineStr">
        <is>
          <t>144</t>
        </is>
      </c>
      <c r="D1970" t="inlineStr">
        <is>
          <t>1</t>
        </is>
      </c>
      <c r="E1970" t="inlineStr">
        <is>
          <t>18</t>
        </is>
      </c>
      <c r="F1970" t="inlineStr">
        <is>
          <t>0</t>
        </is>
      </c>
      <c r="G1970" t="inlineStr">
        <is>
          <t>0</t>
        </is>
      </c>
      <c r="H1970" t="inlineStr">
        <is>
          <t>12⁴, 24⁴</t>
        </is>
      </c>
      <c r="I1970" t="n">
        <v>8</v>
      </c>
      <c r="J1970" t="inlineStr">
        <is>
          <t>1², 2⁴, 4²</t>
        </is>
      </c>
      <c r="K1970">
        <f>HYPERLINK("CSG3.html#group12J3", "12J³"), =HYPERLINK("CSG3.html#group24O3", "24O³"), =HYPERLINK("CSG3.html#group24P3", "24P³"), =HYPERLINK("CSG3.html#group24Q3", "24Q³"), =HYPERLINK("CSG5.html#group24B5", "24B⁵"), =HYPERLINK("CSG5.html#group24E5", "24E⁵"), =HYPERLINK("CSG5.html#group24G5", "24G⁵")</f>
        <v/>
      </c>
      <c r="L1970">
        <f>HYPERLINK("CSG17.html#group24E17", "24E¹⁷"), =HYPERLINK("CSG17.html#group24J17", "24J¹⁷"), =HYPERLINK("CSG17.html#group24N17", "24N¹⁷"), =HYPERLINK("CSG19.html#group24M19", "24M¹⁹"), =HYPERLINK("CSG19.html#group24Q19", "24Q¹⁹"), =HYPERLINK("CSG19.html#group48V19", "48V¹⁹"), =HYPERLINK("CSG19.html#group48Z19", "48Z¹⁹"), =HYPERLINK("CSG21.html#group48AZ21", "48AZ²¹"), =HYPERLINK("CSG21.html#group48BA21", "48BA²¹")</f>
        <v/>
      </c>
      <c r="M1970">
        <f>HYPERLINK("CSG5.html#group24G5", "24G⁵"), =HYPERLINK("CSG3.html#group24Q3", "24Q³"), =HYPERLINK("CSG1.html#group24E1", "24E¹"), =HYPERLINK("CSG3.html#group24A3", "24A³"), =HYPERLINK("CSG1.html#group12G1", "12G¹"), =HYPERLINK("CSG0.html#group12C0", "12C⁰"), =HYPERLINK("CSG1.html#group8A1", "8A¹"), =HYPERLINK("CSG0.html#group8D0", "8D⁰"), =HYPERLINK("CSG0.html#group4C0", "4C⁰"), =HYPERLINK("CSG1.html#group24D1", "24D¹"), =HYPERLINK("CSG0.html#group6G0", "6G⁰"), =HYPERLINK("CSG1.html#group12M1", "12M¹"), =HYPERLINK("CSG3.html#group24P3", "24P³"), =HYPERLINK("CSG0.html#group2B0", "2B⁰"), =HYPERLINK("CSG5.html#group24E5", "24E⁵"), =HYPERLINK("CSG0.html#group1A0", "1A⁰"), =HYPERLINK("CSG3.html#group24O3", "24O³"), =HYPERLINK("CSG3.html#group12J3", "12J³"), =HYPERLINK("CSG1.html#group12L1", "12L¹"), =HYPERLINK("CSG0.html#group12A0", "12A⁰"), =HYPERLINK("CSG1.html#group8C1", "8C¹"), =HYPERLINK("CSG1.html#group12C1", "12C¹"), =HYPERLINK("CSG0.html#group4A0", "4A⁰"), =HYPERLINK("CSG1.html#group24C1", "24C¹"), =HYPERLINK("CSG0.html#group3C0", "3C⁰"), =HYPERLINK("CSG1.html#group12J1", "12J¹"), =HYPERLINK("CSG0.html#group4F0", "4F⁰"), =HYPERLINK("CSG0.html#group3A0", "3A⁰"), =HYPERLINK("CSG0.html#group6D0", "6D⁰"), =HYPERLINK("CSG5.html#group24B5", "24B⁵")</f>
        <v/>
      </c>
      <c r="N1970">
        <f>HYPERLINK("CSG21.html#group48AZ21", "48AZ²¹"), =HYPERLINK("CSG19.html#group48V19", "48V¹⁹"), =HYPERLINK("CSG19.html#group48Z19", "48Z¹⁹"), =HYPERLINK("CSG21.html#group48BA21", "48BA²¹"), =HYPERLINK("CSG19.html#group24M19", "24M¹⁹"), =HYPERLINK("CSG17.html#group24J17", "24J¹⁷"), =HYPERLINK("CSG19.html#group24Q19", "24Q¹⁹"), =HYPERLINK("CSG17.html#group24E17", "24E¹⁷"), =HYPERLINK("CSG17.html#group24N17", "24N¹⁷")</f>
        <v/>
      </c>
    </row>
    <row r="1971">
      <c r="A1971" t="inlineStr">
        <is>
          <t>24S⁹</t>
        </is>
      </c>
      <c r="B1971" t="inlineStr"/>
      <c r="C1971" t="inlineStr">
        <is>
          <t>144</t>
        </is>
      </c>
      <c r="D1971" t="inlineStr">
        <is>
          <t>1</t>
        </is>
      </c>
      <c r="E1971" t="inlineStr">
        <is>
          <t>18</t>
        </is>
      </c>
      <c r="F1971" t="inlineStr">
        <is>
          <t>0</t>
        </is>
      </c>
      <c r="G1971" t="inlineStr">
        <is>
          <t>0</t>
        </is>
      </c>
      <c r="H1971" t="inlineStr">
        <is>
          <t>12⁴, 24⁴</t>
        </is>
      </c>
      <c r="I1971" t="n">
        <v>8</v>
      </c>
      <c r="J1971" t="inlineStr">
        <is>
          <t>1⁴, 2⁵, 4¹</t>
        </is>
      </c>
      <c r="K1971">
        <f>HYPERLINK("CSG2.html#group24Q2", "24Q²"), =HYPERLINK("CSG4.html#group24N4", "24N⁴"), =HYPERLINK("CSG5.html#group24A5", "24A⁵")</f>
        <v/>
      </c>
      <c r="L1971">
        <f>HYPERLINK("CSG17.html#group24F17", "24F¹⁷"), =HYPERLINK("CSG17.html#group24Q17", "24Q¹⁷"), =HYPERLINK("CSG17.html#group24T17", "24T¹⁷"), =HYPERLINK("CSG17.html#group24U17", "24U¹⁷"), =HYPERLINK("CSG17.html#group24V17", "24V¹⁷"), =HYPERLINK("CSG21.html#group48AI21", "48AI²¹"), =HYPERLINK("CSG21.html#group48AJ21", "48AJ²¹"), =HYPERLINK("CSG21.html#group48AK21", "48AK²¹"), =HYPERLINK("CSG21.html#group48AM21", "48AM²¹"), =HYPERLINK("CSG21.html#group48BR21", "48BR²¹"), =HYPERLINK("CSG21.html#group48BS21", "48BS²¹")</f>
        <v/>
      </c>
      <c r="M1971">
        <f>HYPERLINK("CSG0.html#group2A0", "2A⁰"), =HYPERLINK("CSG3.html#group24A3", "24A³"), =HYPERLINK("CSG0.html#group12C0", "12C⁰"), =HYPERLINK("CSG1.html#group8A1", "8A¹"), =HYPERLINK("CSG0.html#group4C0", "4C⁰"), =HYPERLINK("CSG5.html#group24A5", "24A⁵"), =HYPERLINK("CSG0.html#group8B0", "8B⁰"), =HYPERLINK("CSG1.html#group6C1", "6C¹"), =HYPERLINK("CSG2.html#group24Q2", "24Q²"), =HYPERLINK("CSG2.html#group12B2", "12B²"), =HYPERLINK("CSG0.html#group2B0", "2B⁰"), =HYPERLINK("CSG0.html#group4E0", "4E⁰"), =HYPERLINK("CSG1.html#group8B1", "8B¹"), =HYPERLINK("CSG0.html#group4B0", "4B⁰"), =HYPERLINK("CSG0.html#group1A0", "1A⁰"), =HYPERLINK("CSG0.html#group6A0", "6A⁰"), =HYPERLINK("CSG0.html#group24A0", "24A⁰"), =HYPERLINK("CSG4.html#group24N4", "24N⁴"), =HYPERLINK("CSG1.html#group12B1", "12B¹"), =HYPERLINK("CSG1.html#group6A1", "6A¹"), =HYPERLINK("CSG0.html#group3A0", "3A⁰"), =HYPERLINK("CSG0.html#group2C0", "2C⁰"), =HYPERLINK("CSG0.html#group6D0", "6D⁰")</f>
        <v/>
      </c>
      <c r="N1971">
        <f>HYPERLINK("CSG17.html#group24U17", "24U¹⁷"), =HYPERLINK("CSG17.html#group24V17", "24V¹⁷"), =HYPERLINK("CSG21.html#group48AK21", "48AK²¹"), =HYPERLINK("CSG21.html#group48AJ21", "48AJ²¹"), =HYPERLINK("CSG17.html#group24T17", "24T¹⁷"), =HYPERLINK("CSG17.html#group24Q17", "24Q¹⁷"), =HYPERLINK("CSG21.html#group48AI21", "48AI²¹"), =HYPERLINK("CSG21.html#group48AM21", "48AM²¹"), =HYPERLINK("CSG21.html#group48BR21", "48BR²¹"), =HYPERLINK("CSG17.html#group24F17", "24F¹⁷"), =HYPERLINK("CSG21.html#group48BS21", "48BS²¹")</f>
        <v/>
      </c>
    </row>
    <row r="1972">
      <c r="A1972" t="inlineStr">
        <is>
          <t>24T⁹</t>
        </is>
      </c>
      <c r="B1972" t="inlineStr"/>
      <c r="C1972" t="inlineStr">
        <is>
          <t>144</t>
        </is>
      </c>
      <c r="D1972" t="inlineStr">
        <is>
          <t>1</t>
        </is>
      </c>
      <c r="E1972" t="inlineStr">
        <is>
          <t>36</t>
        </is>
      </c>
      <c r="F1972" t="inlineStr">
        <is>
          <t>0</t>
        </is>
      </c>
      <c r="G1972" t="inlineStr">
        <is>
          <t>0</t>
        </is>
      </c>
      <c r="H1972" t="inlineStr">
        <is>
          <t>12⁴, 24⁴</t>
        </is>
      </c>
      <c r="I1972" t="n">
        <v>8</v>
      </c>
      <c r="J1972" t="inlineStr">
        <is>
          <t>2¹², 4³</t>
        </is>
      </c>
      <c r="K1972">
        <f>HYPERLINK("CSG4.html#group24N4", "24N⁴"), =HYPERLINK("CSG5.html#group24F5", "24F⁵")</f>
        <v/>
      </c>
      <c r="L1972">
        <f>HYPERLINK("CSG17.html#group24P17", "24P¹⁷"), =HYPERLINK("CSG17.html#group24R17", "24R¹⁷"), =HYPERLINK("CSG17.html#group24T17", "24T¹⁷"), =HYPERLINK("CSG17.html#group24Z17", "24Z¹⁷"), =HYPERLINK("CSG17.html#group24AJ17", "24AJ¹⁷")</f>
        <v/>
      </c>
      <c r="M1972">
        <f>HYPERLINK("CSG0.html#group2A0", "2A⁰"), =HYPERLINK("CSG0.html#group12C0", "12C⁰"), =HYPERLINK("CSG1.html#group6C1", "6C¹"), =HYPERLINK("CSG0.html#group4C0", "4C⁰"), =HYPERLINK("CSG2.html#group12B2", "12B²"), =HYPERLINK("CSG1.html#group24D1", "24D¹"), =HYPERLINK("CSG0.html#group2B0", "2B⁰"), =HYPERLINK("CSG0.html#group4E0", "4E⁰"), =HYPERLINK("CSG2.html#group24C2", "24C²"), =HYPERLINK("CSG0.html#group4B0", "4B⁰"), =HYPERLINK("CSG0.html#group1A0", "1A⁰"), =HYPERLINK("CSG5.html#group24F5", "24F⁵"), =HYPERLINK("CSG0.html#group6A0", "6A⁰"), =HYPERLINK("CSG4.html#group24N4", "24N⁴"), =HYPERLINK("CSG1.html#group12B1", "12B¹"), =HYPERLINK("CSG1.html#group6A1", "6A¹"), =HYPERLINK("CSG0.html#group3A0", "3A⁰"), =HYPERLINK("CSG0.html#group2C0", "2C⁰"), =HYPERLINK("CSG0.html#group6D0", "6D⁰")</f>
        <v/>
      </c>
      <c r="N1972">
        <f>HYPERLINK("CSG17.html#group24Z17", "24Z¹⁷"), =HYPERLINK("CSG17.html#group24R17", "24R¹⁷"), =HYPERLINK("CSG17.html#group24AJ17", "24AJ¹⁷"), =HYPERLINK("CSG17.html#group24T17", "24T¹⁷"), =HYPERLINK("CSG17.html#group24P17", "24P¹⁷")</f>
        <v/>
      </c>
    </row>
    <row r="1973">
      <c r="A1973" t="inlineStr">
        <is>
          <t>24U⁹</t>
        </is>
      </c>
      <c r="B1973" t="inlineStr"/>
      <c r="C1973" t="inlineStr">
        <is>
          <t>144</t>
        </is>
      </c>
      <c r="D1973" t="inlineStr">
        <is>
          <t>1</t>
        </is>
      </c>
      <c r="E1973" t="inlineStr">
        <is>
          <t>36</t>
        </is>
      </c>
      <c r="F1973" t="inlineStr">
        <is>
          <t>0</t>
        </is>
      </c>
      <c r="G1973" t="inlineStr">
        <is>
          <t>0</t>
        </is>
      </c>
      <c r="H1973" t="inlineStr">
        <is>
          <t>12⁴, 24⁴</t>
        </is>
      </c>
      <c r="I1973" t="n">
        <v>8</v>
      </c>
      <c r="J1973" t="inlineStr">
        <is>
          <t>1⁸, 2¹⁰, 4²</t>
        </is>
      </c>
      <c r="K1973">
        <f>HYPERLINK("CSG4.html#group24G4", "24G⁴"), =HYPERLINK("CSG4.html#group24N4", "24N⁴"), =HYPERLINK("CSG5.html#group24F5", "24F⁵")</f>
        <v/>
      </c>
      <c r="L1973">
        <f>HYPERLINK("CSG17.html#group24S17", "24S¹⁷"), =HYPERLINK("CSG17.html#group24V17", "24V¹⁷"), =HYPERLINK("CSG17.html#group24W17", "24W¹⁷"), =HYPERLINK("CSG17.html#group24Z17", "24Z¹⁷"), =HYPERLINK("CSG17.html#group24AJ17", "24AJ¹⁷")</f>
        <v/>
      </c>
      <c r="M1973">
        <f>HYPERLINK("CSG0.html#group2A0", "2A⁰"), =HYPERLINK("CSG0.html#group12C0", "12C⁰"), =HYPERLINK("CSG1.html#group6C1", "6C¹"), =HYPERLINK("CSG0.html#group4C0", "4C⁰"), =HYPERLINK("CSG2.html#group12B2", "12B²"), =HYPERLINK("CSG1.html#group24D1", "24D¹"), =HYPERLINK("CSG0.html#group2B0", "2B⁰"), =HYPERLINK("CSG0.html#group4E0", "4E⁰"), =HYPERLINK("CSG2.html#group24C2", "24C²"), =HYPERLINK("CSG0.html#group4B0", "4B⁰"), =HYPERLINK("CSG0.html#group1A0", "1A⁰"), =HYPERLINK("CSG5.html#group24F5", "24F⁵"), =HYPERLINK("CSG0.html#group6A0", "6A⁰"), =HYPERLINK("CSG4.html#group24N4", "24N⁴"), =HYPERLINK("CSG1.html#group12B1", "12B¹"), =HYPERLINK("CSG1.html#group6A1", "6A¹"), =HYPERLINK("CSG0.html#group3A0", "3A⁰"), =HYPERLINK("CSG0.html#group8J0", "8J⁰"), =HYPERLINK("CSG0.html#group2C0", "2C⁰"), =HYPERLINK("CSG0.html#group6D0", "6D⁰"), =HYPERLINK("CSG4.html#group24G4", "24G⁴")</f>
        <v/>
      </c>
      <c r="N1973">
        <f>HYPERLINK("CSG17.html#group24W17", "24W¹⁷"), =HYPERLINK("CSG17.html#group24Z17", "24Z¹⁷"), =HYPERLINK("CSG17.html#group24V17", "24V¹⁷"), =HYPERLINK("CSG17.html#group24AJ17", "24AJ¹⁷"), =HYPERLINK("CSG17.html#group24S17", "24S¹⁷")</f>
        <v/>
      </c>
    </row>
    <row r="1974">
      <c r="A1974" t="inlineStr">
        <is>
          <t>24V⁹</t>
        </is>
      </c>
      <c r="B1974" t="inlineStr"/>
      <c r="C1974" t="inlineStr">
        <is>
          <t>144</t>
        </is>
      </c>
      <c r="D1974" t="inlineStr">
        <is>
          <t>1</t>
        </is>
      </c>
      <c r="E1974" t="inlineStr">
        <is>
          <t>36</t>
        </is>
      </c>
      <c r="F1974" t="inlineStr">
        <is>
          <t>4</t>
        </is>
      </c>
      <c r="G1974" t="inlineStr">
        <is>
          <t>0</t>
        </is>
      </c>
      <c r="H1974" t="inlineStr">
        <is>
          <t>24⁶</t>
        </is>
      </c>
      <c r="I1974" t="n">
        <v>6</v>
      </c>
      <c r="J1974" t="inlineStr">
        <is>
          <t>2², 4⁴, 8²</t>
        </is>
      </c>
      <c r="K1974">
        <f>HYPERLINK("CSG3.html#group12J3", "12J³"), =HYPERLINK("CSG3.html#group24D3", "24D³"), =HYPERLINK("CSG4.html#group24O4", "24O⁴")</f>
        <v/>
      </c>
      <c r="L1974">
        <f>HYPERLINK("CSG17.html#group24AC17", "24AC¹⁷"), =HYPERLINK("CSG17.html#group24AD17", "24AD¹⁷"), =HYPERLINK("CSG17.html#group24AE17", "24AE¹⁷"), =HYPERLINK("CSG19.html#group24B19", "24B¹⁹"), =HYPERLINK("CSG19.html#group24J19", "24J¹⁹"), =HYPERLINK("CSG19.html#group24O19", "24O¹⁹"), =HYPERLINK("CSG19.html#group24M19", "24M¹⁹")</f>
        <v/>
      </c>
      <c r="M1974">
        <f>HYPERLINK("CSG4.html#group24O4", "24O⁴"), =HYPERLINK("CSG1.html#group12G1", "12G¹"), =HYPERLINK("CSG3.html#group24D3", "24D³"), =HYPERLINK("CSG0.html#group12C0", "12C⁰"), =HYPERLINK("CSG0.html#group4C0", "4C⁰"), =HYPERLINK("CSG0.html#group6G0", "6G⁰"), =HYPERLINK("CSG0.html#group2B0", "2B⁰"), =HYPERLINK("CSG1.html#group24B1", "24B¹"), =HYPERLINK("CSG1.html#group12M1", "12M¹"), =HYPERLINK("CSG0.html#group1A0", "1A⁰"), =HYPERLINK("CSG1.html#group12L1", "12L¹"), =HYPERLINK("CSG3.html#group12J3", "12J³"), =HYPERLINK("CSG0.html#group12A0", "12A⁰"), =HYPERLINK("CSG1.html#group12C1", "12C¹"), =HYPERLINK("CSG0.html#group4A0", "4A⁰"), =HYPERLINK("CSG0.html#group3C0", "3C⁰"), =HYPERLINK("CSG1.html#group12J1", "12J¹"), =HYPERLINK("CSG0.html#group4F0", "4F⁰"), =HYPERLINK("CSG0.html#group3A0", "3A⁰"), =HYPERLINK("CSG0.html#group6D0", "6D⁰")</f>
        <v/>
      </c>
      <c r="N1974">
        <f>HYPERLINK("CSG17.html#group24AE17", "24AE¹⁷"), =HYPERLINK("CSG19.html#group24M19", "24M¹⁹"), =HYPERLINK("CSG19.html#group24B19", "24B¹⁹"), =HYPERLINK("CSG17.html#group24AC17", "24AC¹⁷"), =HYPERLINK("CSG19.html#group24J19", "24J¹⁹"), =HYPERLINK("CSG17.html#group24AD17", "24AD¹⁷"), =HYPERLINK("CSG19.html#group24O19", "24O¹⁹")</f>
        <v/>
      </c>
    </row>
    <row r="1975">
      <c r="A1975" t="inlineStr">
        <is>
          <t>24W⁹</t>
        </is>
      </c>
      <c r="B1975" t="inlineStr"/>
      <c r="C1975" t="inlineStr">
        <is>
          <t>144</t>
        </is>
      </c>
      <c r="D1975" t="inlineStr">
        <is>
          <t>1</t>
        </is>
      </c>
      <c r="E1975" t="inlineStr">
        <is>
          <t>36</t>
        </is>
      </c>
      <c r="F1975" t="inlineStr">
        <is>
          <t>4</t>
        </is>
      </c>
      <c r="G1975" t="inlineStr">
        <is>
          <t>0</t>
        </is>
      </c>
      <c r="H1975" t="inlineStr">
        <is>
          <t>24⁶</t>
        </is>
      </c>
      <c r="I1975" t="n">
        <v>6</v>
      </c>
      <c r="J1975" t="inlineStr">
        <is>
          <t>2², 4⁴, 8²</t>
        </is>
      </c>
      <c r="K1975">
        <f>HYPERLINK("CSG3.html#group24J3", "24J³"), =HYPERLINK("CSG4.html#group24K4", "24K⁴"), =HYPERLINK("CSG4.html#group24O4", "24O⁴")</f>
        <v/>
      </c>
      <c r="L1975">
        <f>HYPERLINK("CSG17.html#group24AF17", "24AF¹⁷"), =HYPERLINK("CSG17.html#group24AL17", "24AL¹⁷"), =HYPERLINK("CSG19.html#group24H19", "24H¹⁹"), =HYPERLINK("CSG19.html#group24O19", "24O¹⁹"), =HYPERLINK("CSG19.html#group24P19", "24P¹⁹"), =HYPERLINK("CSG19.html#group48AS19", "48AS¹⁹"), =HYPERLINK("CSG19.html#group48AT19", "48AT¹⁹"), =HYPERLINK("CSG19.html#group48BL19", "48BL¹⁹")</f>
        <v/>
      </c>
      <c r="M1975">
        <f>HYPERLINK("CSG4.html#group24O4", "24O⁴"), =HYPERLINK("CSG1.html#group24E1", "24E¹"), =HYPERLINK("CSG0.html#group12C0", "12C⁰"), =HYPERLINK("CSG0.html#group4C0", "4C⁰"), =HYPERLINK("CSG0.html#group2B0", "2B⁰"), =HYPERLINK("CSG1.html#group24B1", "24B¹"), =HYPERLINK("CSG2.html#group24C2", "24C²"), =HYPERLINK("CSG0.html#group1A0", "1A⁰"), =HYPERLINK("CSG0.html#group8K0", "8K⁰"), =HYPERLINK("CSG3.html#group24J3", "24J³"), =HYPERLINK("CSG0.html#group12A0", "12A⁰"), =HYPERLINK("CSG0.html#group4A0", "4A⁰"), =HYPERLINK("CSG4.html#group24K4", "24K⁴"), =HYPERLINK("CSG1.html#group12J1", "12J¹"), =HYPERLINK("CSG0.html#group4F0", "4F⁰"), =HYPERLINK("CSG0.html#group3A0", "3A⁰"), =HYPERLINK("CSG0.html#group6D0", "6D⁰")</f>
        <v/>
      </c>
      <c r="N1975">
        <f>HYPERLINK("CSG19.html#group48BL19", "48BL¹⁹"), =HYPERLINK("CSG19.html#group24P19", "24P¹⁹"), =HYPERLINK("CSG17.html#group24AF17", "24AF¹⁷"), =HYPERLINK("CSG19.html#group48AT19", "48AT¹⁹"), =HYPERLINK("CSG19.html#group24O19", "24O¹⁹"), =HYPERLINK("CSG17.html#group24AL17", "24AL¹⁷"), =HYPERLINK("CSG19.html#group48AS19", "48AS¹⁹"), =HYPERLINK("CSG19.html#group24H19", "24H¹⁹")</f>
        <v/>
      </c>
    </row>
    <row r="1976">
      <c r="A1976" t="inlineStr">
        <is>
          <t>24X⁹</t>
        </is>
      </c>
      <c r="B1976" t="inlineStr"/>
      <c r="C1976" t="inlineStr">
        <is>
          <t>144</t>
        </is>
      </c>
      <c r="D1976" t="inlineStr">
        <is>
          <t>1</t>
        </is>
      </c>
      <c r="E1976" t="inlineStr">
        <is>
          <t>36</t>
        </is>
      </c>
      <c r="F1976" t="inlineStr">
        <is>
          <t>4</t>
        </is>
      </c>
      <c r="G1976" t="inlineStr">
        <is>
          <t>0</t>
        </is>
      </c>
      <c r="H1976" t="inlineStr">
        <is>
          <t>24⁶</t>
        </is>
      </c>
      <c r="I1976" t="n">
        <v>6</v>
      </c>
      <c r="J1976" t="inlineStr">
        <is>
          <t>2², 4⁴, 8²</t>
        </is>
      </c>
      <c r="K1976">
        <f>HYPERLINK("CSG3.html#group24R3", "24R³"), =HYPERLINK("CSG4.html#group24H4", "24H⁴"), =HYPERLINK("CSG4.html#group24K4", "24K⁴")</f>
        <v/>
      </c>
      <c r="L1976">
        <f>HYPERLINK("CSG17.html#group24AF17", "24AF¹⁷"), =HYPERLINK("CSG17.html#group24AK17", "24AK¹⁷"), =HYPERLINK("CSG19.html#group24I19", "24I¹⁹"), =HYPERLINK("CSG19.html#group24N19", "24N¹⁹"), =HYPERLINK("CSG19.html#group24P19", "24P¹⁹"), =HYPERLINK("CSG21.html#group48BO21", "48BO²¹"), =HYPERLINK("CSG21.html#group48BP21", "48BP²¹"), =HYPERLINK("CSG21.html#group48BX21", "48BX²¹")</f>
        <v/>
      </c>
      <c r="M1976">
        <f>HYPERLINK("CSG1.html#group24E1", "24E¹"), =HYPERLINK("CSG0.html#group12C0", "12C⁰"), =HYPERLINK("CSG0.html#group4C0", "4C⁰"), =HYPERLINK("CSG0.html#group8A0", "8A⁰"), =HYPERLINK("CSG0.html#group2B0", "2B⁰"), =HYPERLINK("CSG2.html#group24C2", "24C²"), =HYPERLINK("CSG0.html#group1A0", "1A⁰"), =HYPERLINK("CSG1.html#group8D1", "8D¹"), =HYPERLINK("CSG4.html#group24H4", "24H⁴"), =HYPERLINK("CSG0.html#group12A0", "12A⁰"), =HYPERLINK("CSG1.html#group24A1", "24A¹"), =HYPERLINK("CSG0.html#group4A0", "4A⁰"), =HYPERLINK("CSG4.html#group24K4", "24K⁴"), =HYPERLINK("CSG3.html#group24R3", "24R³"), =HYPERLINK("CSG1.html#group12J1", "12J¹"), =HYPERLINK("CSG0.html#group4F0", "4F⁰"), =HYPERLINK("CSG0.html#group3A0", "3A⁰"), =HYPERLINK("CSG0.html#group6D0", "6D⁰")</f>
        <v/>
      </c>
      <c r="N1976">
        <f>HYPERLINK("CSG21.html#group48BX21", "48BX²¹"), =HYPERLINK("CSG19.html#group24P19", "24P¹⁹"), =HYPERLINK("CSG17.html#group24AF17", "24AF¹⁷"), =HYPERLINK("CSG21.html#group48BP21", "48BP²¹"), =HYPERLINK("CSG19.html#group24I19", "24I¹⁹"), =HYPERLINK("CSG21.html#group48BO21", "48BO²¹"), =HYPERLINK("CSG19.html#group24N19", "24N¹⁹"), =HYPERLINK("CSG17.html#group24AK17", "24AK¹⁷")</f>
        <v/>
      </c>
    </row>
    <row r="1977">
      <c r="A1977" t="inlineStr">
        <is>
          <t>24Y⁹</t>
        </is>
      </c>
      <c r="B1977" t="inlineStr"/>
      <c r="C1977" t="inlineStr">
        <is>
          <t>144</t>
        </is>
      </c>
      <c r="D1977" t="inlineStr">
        <is>
          <t>1</t>
        </is>
      </c>
      <c r="E1977" t="inlineStr">
        <is>
          <t>36</t>
        </is>
      </c>
      <c r="F1977" t="inlineStr">
        <is>
          <t>4</t>
        </is>
      </c>
      <c r="G1977" t="inlineStr">
        <is>
          <t>0</t>
        </is>
      </c>
      <c r="H1977" t="inlineStr">
        <is>
          <t>24⁶</t>
        </is>
      </c>
      <c r="I1977" t="n">
        <v>6</v>
      </c>
      <c r="J1977" t="inlineStr">
        <is>
          <t>2², 4⁴, 8²</t>
        </is>
      </c>
      <c r="K1977">
        <f>HYPERLINK("CSG3.html#group12J3", "12J³"), =HYPERLINK("CSG3.html#group24E3", "24E³"), =HYPERLINK("CSG4.html#group24H4", "24H⁴"), =HYPERLINK("CSG4.html#group24O4", "24O⁴")</f>
        <v/>
      </c>
      <c r="L1977">
        <f>HYPERLINK("CSG17.html#group24AB17", "24AB¹⁷"), =HYPERLINK("CSG17.html#group24AE17", "24AE¹⁷"), =HYPERLINK("CSG17.html#group24AF17", "24AF¹⁷"), =HYPERLINK("CSG19.html#group24C19", "24C¹⁹"), =HYPERLINK("CSG19.html#group24J19", "24J¹⁹"), =HYPERLINK("CSG19.html#group24N19", "24N¹⁹"), =HYPERLINK("CSG19.html#group24Q19", "24Q¹⁹"), =HYPERLINK("CSG21.html#group48BW21", "48BW²¹"), =HYPERLINK("CSG21.html#group48BY21", "48BY²¹")</f>
        <v/>
      </c>
      <c r="M1977">
        <f>HYPERLINK("CSG4.html#group24O4", "24O⁴"), =HYPERLINK("CSG1.html#group12G1", "12G¹"), =HYPERLINK("CSG0.html#group12C0", "12C⁰"), =HYPERLINK("CSG0.html#group4C0", "4C⁰"), =HYPERLINK("CSG0.html#group8A0", "8A⁰"), =HYPERLINK("CSG0.html#group6G0", "6G⁰"), =HYPERLINK("CSG0.html#group2B0", "2B⁰"), =HYPERLINK("CSG1.html#group24B1", "24B¹"), =HYPERLINK("CSG1.html#group12M1", "12M¹"), =HYPERLINK("CSG0.html#group1A0", "1A⁰"), =HYPERLINK("CSG1.html#group12L1", "12L¹"), =HYPERLINK("CSG3.html#group12J3", "12J³"), =HYPERLINK("CSG1.html#group8D1", "8D¹"), =HYPERLINK("CSG3.html#group24E3", "24E³"), =HYPERLINK("CSG4.html#group24H4", "24H⁴"), =HYPERLINK("CSG0.html#group12A0", "12A⁰"), =HYPERLINK("CSG1.html#group24A1", "24A¹"), =HYPERLINK("CSG1.html#group12C1", "12C¹"), =HYPERLINK("CSG0.html#group4A0", "4A⁰"), =HYPERLINK("CSG0.html#group3C0", "3C⁰"), =HYPERLINK("CSG1.html#group12J1", "12J¹"), =HYPERLINK("CSG0.html#group4F0", "4F⁰"), =HYPERLINK("CSG0.html#group3A0", "3A⁰"), =HYPERLINK("CSG0.html#group6D0", "6D⁰")</f>
        <v/>
      </c>
      <c r="N1977">
        <f>HYPERLINK("CSG17.html#group24AF17", "24AF¹⁷"), =HYPERLINK("CSG19.html#group24C19", "24C¹⁹"), =HYPERLINK("CSG17.html#group24AE17", "24AE¹⁷"), =HYPERLINK("CSG19.html#group24Q19", "24Q¹⁹"), =HYPERLINK("CSG19.html#group24N19", "24N¹⁹"), =HYPERLINK("CSG21.html#group48BY21", "48BY²¹"), =HYPERLINK("CSG21.html#group48BW21", "48BW²¹"), =HYPERLINK("CSG19.html#group24J19", "24J¹⁹"), =HYPERLINK("CSG17.html#group24AB17", "24AB¹⁷")</f>
        <v/>
      </c>
    </row>
    <row r="1978">
      <c r="A1978" t="inlineStr">
        <is>
          <t>24Z⁹</t>
        </is>
      </c>
      <c r="B1978" t="inlineStr"/>
      <c r="C1978" t="inlineStr">
        <is>
          <t>144</t>
        </is>
      </c>
      <c r="D1978" t="inlineStr">
        <is>
          <t>2</t>
        </is>
      </c>
      <c r="E1978" t="inlineStr">
        <is>
          <t>9</t>
        </is>
      </c>
      <c r="F1978" t="inlineStr">
        <is>
          <t>0</t>
        </is>
      </c>
      <c r="G1978" t="inlineStr">
        <is>
          <t>0</t>
        </is>
      </c>
      <c r="H1978" t="inlineStr">
        <is>
          <t>12⁴, 24⁴</t>
        </is>
      </c>
      <c r="I1978" t="n">
        <v>8</v>
      </c>
      <c r="J1978" t="inlineStr">
        <is>
          <t>2⁹</t>
        </is>
      </c>
      <c r="K1978">
        <f>HYPERLINK("CSG3.html#group24T3", "24T³"), =HYPERLINK("CSG4.html#group12C4", "12C⁴"), =HYPERLINK("CSG4.html#group24E4", "24E⁴"), =HYPERLINK("CSG4.html#group24P4", "24P⁴"), =HYPERLINK("CSG5.html#group24F5", "24F⁵")</f>
        <v/>
      </c>
      <c r="L1978">
        <f>HYPERLINK("CSG17.html#group24G17", "24G¹⁷"), =HYPERLINK("CSG17.html#group24H17", "24H¹⁷"), =HYPERLINK("CSG17.html#group24I17", "24I¹⁷"), =HYPERLINK("CSG17.html#group24AJ17", "24AJ¹⁷")</f>
        <v/>
      </c>
      <c r="M1978">
        <f>HYPERLINK("CSG0.html#group2A0", "2A⁰"), =HYPERLINK("CSG1.html#group24E1", "24E¹"), =HYPERLINK("CSG0.html#group12C0", "12C⁰"), =HYPERLINK("CSG4.html#group24P4", "24P⁴"), =HYPERLINK("CSG0.html#group4C0", "4C⁰"), =HYPERLINK("CSG1.html#group6C1", "6C¹"), =HYPERLINK("CSG2.html#group12B2", "12B²"), =HYPERLINK("CSG2.html#group12E2", "12E²"), =HYPERLINK("CSG1.html#group12M1", "12M¹"), =HYPERLINK("CSG0.html#group2B0", "2B⁰"), =HYPERLINK("CSG2.html#group24C2", "24C²"), =HYPERLINK("CSG0.html#group4E0", "4E⁰"), =HYPERLINK("CSG0.html#group4B0", "4B⁰"), =HYPERLINK("CSG0.html#group1A0", "1A⁰"), =HYPERLINK("CSG5.html#group24F5", "24F⁵"), =HYPERLINK("CSG2.html#group24D2", "24D²"), =HYPERLINK("CSG3.html#group24T3", "24T³"), =HYPERLINK("CSG1.html#group12B1", "12B¹"), =HYPERLINK("CSG1.html#group6A1", "6A¹"), =HYPERLINK("CSG0.html#group3A0", "3A⁰"), =HYPERLINK("CSG1.html#group24D1", "24D¹"), =HYPERLINK("CSG0.html#group6A0", "6A⁰"), =HYPERLINK("CSG1.html#group12C1", "12C¹"), =HYPERLINK("CSG4.html#group24E4", "24E⁴"), =HYPERLINK("CSG0.html#group12D0", "12D⁰"), =HYPERLINK("CSG4.html#group12C4", "12C⁴"), =HYPERLINK("CSG0.html#group2C0", "2C⁰"), =HYPERLINK("CSG0.html#group6D0", "6D⁰")</f>
        <v/>
      </c>
      <c r="N1978">
        <f>HYPERLINK("CSG17.html#group24H17", "24H¹⁷"), =HYPERLINK("CSG17.html#group24I17", "24I¹⁷"), =HYPERLINK("CSG17.html#group24G17", "24G¹⁷"), =HYPERLINK("CSG17.html#group24AJ17", "24AJ¹⁷")</f>
        <v/>
      </c>
    </row>
    <row r="1979">
      <c r="A1979" t="inlineStr">
        <is>
          <t>24AA⁹</t>
        </is>
      </c>
      <c r="B1979" t="inlineStr"/>
      <c r="C1979" t="inlineStr">
        <is>
          <t>144</t>
        </is>
      </c>
      <c r="D1979" t="inlineStr">
        <is>
          <t>2</t>
        </is>
      </c>
      <c r="E1979" t="inlineStr">
        <is>
          <t>36</t>
        </is>
      </c>
      <c r="F1979" t="inlineStr">
        <is>
          <t>4</t>
        </is>
      </c>
      <c r="G1979" t="inlineStr">
        <is>
          <t>0</t>
        </is>
      </c>
      <c r="H1979" t="inlineStr">
        <is>
          <t>24⁶</t>
        </is>
      </c>
      <c r="I1979" t="n">
        <v>6</v>
      </c>
      <c r="J1979" t="inlineStr">
        <is>
          <t>4⁶, 8⁶</t>
        </is>
      </c>
      <c r="K1979">
        <f>HYPERLINK("CSG3.html#group24R3", "24R³"), =HYPERLINK("CSG4.html#group24K4", "24K⁴"), =HYPERLINK("CSG4.html#group24O4", "24O⁴")</f>
        <v/>
      </c>
      <c r="L1979">
        <f>HYPERLINK("CSG17.html#group24AD17", "24AD¹⁷"), =HYPERLINK("CSG17.html#group24AL17", "24AL¹⁷"), =HYPERLINK("CSG17.html#group24AK17", "24AK¹⁷"), =HYPERLINK("CSG19.html#group24L19", "24L¹⁹"), =HYPERLINK("CSG19.html#group24O19", "24O¹⁹"), =HYPERLINK("CSG19.html#group24N19", "24N¹⁹"), =HYPERLINK("CSG19.html#group24S19", "24S¹⁹")</f>
        <v/>
      </c>
      <c r="M1979">
        <f>HYPERLINK("CSG4.html#group24O4", "24O⁴"), =HYPERLINK("CSG1.html#group24E1", "24E¹"), =HYPERLINK("CSG0.html#group12A0", "12A⁰"), =HYPERLINK("CSG0.html#group12C0", "12C⁰"), =HYPERLINK("CSG0.html#group3A0", "3A⁰"), =HYPERLINK("CSG0.html#group4A0", "4A⁰"), =HYPERLINK("CSG0.html#group4C0", "4C⁰"), =HYPERLINK("CSG4.html#group24K4", "24K⁴"), =HYPERLINK("CSG3.html#group24R3", "24R³"), =HYPERLINK("CSG1.html#group12J1", "12J¹"), =HYPERLINK("CSG0.html#group2B0", "2B⁰"), =HYPERLINK("CSG2.html#group24C2", "24C²"), =HYPERLINK("CSG0.html#group4F0", "4F⁰"), =HYPERLINK("CSG1.html#group24B1", "24B¹"), =HYPERLINK("CSG0.html#group1A0", "1A⁰"), =HYPERLINK("CSG0.html#group6D0", "6D⁰")</f>
        <v/>
      </c>
      <c r="N1979">
        <f>HYPERLINK("CSG17.html#group24AL17", "24AL¹⁷"), =HYPERLINK("CSG19.html#group24N19", "24N¹⁹"), =HYPERLINK("CSG19.html#group24S19", "24S¹⁹"), =HYPERLINK("CSG17.html#group24AK17", "24AK¹⁷"), =HYPERLINK("CSG19.html#group24L19", "24L¹⁹"), =HYPERLINK("CSG17.html#group24AD17", "24AD¹⁷"), =HYPERLINK("CSG19.html#group24O19", "24O¹⁹")</f>
        <v/>
      </c>
    </row>
    <row r="1980">
      <c r="A1980" t="inlineStr">
        <is>
          <t>24AB⁹</t>
        </is>
      </c>
      <c r="B1980" t="inlineStr"/>
      <c r="C1980" t="inlineStr">
        <is>
          <t>192</t>
        </is>
      </c>
      <c r="D1980" t="inlineStr">
        <is>
          <t>1</t>
        </is>
      </c>
      <c r="E1980" t="inlineStr">
        <is>
          <t>12</t>
        </is>
      </c>
      <c r="F1980" t="inlineStr">
        <is>
          <t>0</t>
        </is>
      </c>
      <c r="G1980" t="inlineStr">
        <is>
          <t>0</t>
        </is>
      </c>
      <c r="H1980" t="inlineStr">
        <is>
          <t>4⁴, 8⁴, 12⁴, 24⁴</t>
        </is>
      </c>
      <c r="I1980" t="n">
        <v>16</v>
      </c>
      <c r="J1980" t="inlineStr">
        <is>
          <t>1⁶, 2³</t>
        </is>
      </c>
      <c r="K1980">
        <f>HYPERLINK("CSG1.html#group12V1", "12V¹"), =HYPERLINK("CSG5.html#group24H5", "24H⁵"), =HYPERLINK("CSG5.html#group24I5", "24I⁵")</f>
        <v/>
      </c>
      <c r="L1980">
        <f>HYPERLINK("CSG17.html#group24AP17", "24AP¹⁷"), =HYPERLINK("CSG17.html#group24AQ17", "24AQ¹⁷")</f>
        <v/>
      </c>
      <c r="M1980">
        <f>HYPERLINK("CSG0.html#group3B0", "3B⁰"), =HYPERLINK("CSG0.html#group2A0", "2A⁰"), =HYPERLINK("CSG1.html#group8A1", "8A¹"), =HYPERLINK("CSG1.html#group12V1", "12V¹"), =HYPERLINK("CSG3.html#group24B3", "24B³"), =HYPERLINK("CSG0.html#group6I0", "6I⁰"), =HYPERLINK("CSG1.html#group12F1", "12F¹"), =HYPERLINK("CSG0.html#group6C0", "6C⁰"), =HYPERLINK("CSG0.html#group12I0", "12I⁰"), =HYPERLINK("CSG0.html#group4C0", "4C⁰"), =HYPERLINK("CSG0.html#group12J0", "12J⁰"), =HYPERLINK("CSG0.html#group8B0", "8B⁰"), =HYPERLINK("CSG0.html#group2B0", "2B⁰"), =HYPERLINK("CSG0.html#group4E0", "4E⁰"), =HYPERLINK("CSG1.html#group8B1", "8B¹"), =HYPERLINK("CSG1.html#group12P1", "12P¹"), =HYPERLINK("CSG0.html#group4B0", "4B⁰"), =HYPERLINK("CSG0.html#group1A0", "1A⁰"), =HYPERLINK("CSG3.html#group24C3", "24C³"), =HYPERLINK("CSG5.html#group24I5", "24I⁵"), =HYPERLINK("CSG5.html#group24H5", "24H⁵"), =HYPERLINK("CSG0.html#group6F0", "6F⁰"), =HYPERLINK("CSG0.html#group2C0", "2C⁰"), =HYPERLINK("CSG0.html#group12E0", "12E⁰")</f>
        <v/>
      </c>
      <c r="N1980">
        <f>HYPERLINK("CSG17.html#group24AQ17", "24AQ¹⁷"), =HYPERLINK("CSG17.html#group24AP17", "24AP¹⁷")</f>
        <v/>
      </c>
    </row>
    <row r="1981">
      <c r="A1981" t="inlineStr">
        <is>
          <t>24AC⁹</t>
        </is>
      </c>
      <c r="B1981" t="inlineStr"/>
      <c r="C1981" t="inlineStr">
        <is>
          <t>192</t>
        </is>
      </c>
      <c r="D1981" t="inlineStr">
        <is>
          <t>1</t>
        </is>
      </c>
      <c r="E1981" t="inlineStr">
        <is>
          <t>12</t>
        </is>
      </c>
      <c r="F1981" t="inlineStr">
        <is>
          <t>0</t>
        </is>
      </c>
      <c r="G1981" t="inlineStr">
        <is>
          <t>0</t>
        </is>
      </c>
      <c r="H1981" t="inlineStr">
        <is>
          <t>4⁴, 8⁴, 12⁴, 24⁴</t>
        </is>
      </c>
      <c r="I1981" t="n">
        <v>16</v>
      </c>
      <c r="J1981" t="inlineStr">
        <is>
          <t>1⁶, 2³</t>
        </is>
      </c>
      <c r="K1981">
        <f>HYPERLINK("CSG3.html#group12K3", "12K³"), =HYPERLINK("CSG3.html#group24U3", "24U³"), =HYPERLINK("CSG5.html#group24H5", "24H⁵")</f>
        <v/>
      </c>
      <c r="L1981">
        <f>HYPERLINK("CSG17.html#group24AP17", "24AP¹⁷"), =HYPERLINK("CSG17.html#group24AT17", "24AT¹⁷"), =HYPERLINK("CSG21.html#group24E21", "24E²¹"), =HYPERLINK("CSG21.html#group24C21", "24C²¹"), =HYPERLINK("CSG21.html#group24F21", "24F²¹")</f>
        <v/>
      </c>
      <c r="M1981">
        <f>HYPERLINK("CSG0.html#group3B0", "3B⁰"), =HYPERLINK("CSG0.html#group2A0", "2A⁰"), =HYPERLINK("CSG1.html#group12I1", "12I¹"), =HYPERLINK("CSG0.html#group6I0", "6I⁰"), =HYPERLINK("CSG1.html#group12F1", "12F¹"), =HYPERLINK("CSG0.html#group6C0", "6C⁰"), =HYPERLINK("CSG0.html#group4C0", "4C⁰"), =HYPERLINK("CSG0.html#group4G0", "4G⁰"), =HYPERLINK("CSG0.html#group2B0", "2B⁰"), =HYPERLINK("CSG0.html#group4E0", "4E⁰"), =HYPERLINK("CSG1.html#group12P1", "12P¹"), =HYPERLINK("CSG0.html#group4B0", "4B⁰"), =HYPERLINK("CSG0.html#group1A0", "1A⁰"), =HYPERLINK("CSG3.html#group24U3", "24U³"), =HYPERLINK("CSG0.html#group24B0", "24B⁰"), =HYPERLINK("CSG0.html#group4A0", "4A⁰"), =HYPERLINK("CSG0.html#group4D0", "4D⁰"), =HYPERLINK("CSG1.html#group12A1", "12A¹"), =HYPERLINK("CSG5.html#group24H5", "24H⁵"), =HYPERLINK("CSG2.html#group12G2", "12G²"), =HYPERLINK("CSG3.html#group12K3", "12K³"), =HYPERLINK("CSG0.html#group4F0", "4F⁰"), =HYPERLINK("CSG2.html#group24F2", "24F²"), =HYPERLINK("CSG0.html#group6F0", "6F⁰"), =HYPERLINK("CSG0.html#group2C0", "2C⁰"), =HYPERLINK("CSG0.html#group12E0", "12E⁰")</f>
        <v/>
      </c>
      <c r="N1981">
        <f>HYPERLINK("CSG21.html#group24E21", "24E²¹"), =HYPERLINK("CSG17.html#group24AT17", "24AT¹⁷"), =HYPERLINK("CSG21.html#group24F21", "24F²¹"), =HYPERLINK("CSG17.html#group24AP17", "24AP¹⁷"), =HYPERLINK("CSG21.html#group24C21", "24C²¹")</f>
        <v/>
      </c>
    </row>
    <row r="1982">
      <c r="A1982" t="inlineStr">
        <is>
          <t>24AD⁹</t>
        </is>
      </c>
      <c r="B1982" t="inlineStr"/>
      <c r="C1982" t="inlineStr">
        <is>
          <t>192</t>
        </is>
      </c>
      <c r="D1982" t="inlineStr">
        <is>
          <t>1</t>
        </is>
      </c>
      <c r="E1982" t="inlineStr">
        <is>
          <t>12</t>
        </is>
      </c>
      <c r="F1982" t="inlineStr">
        <is>
          <t>0</t>
        </is>
      </c>
      <c r="G1982" t="inlineStr">
        <is>
          <t>0</t>
        </is>
      </c>
      <c r="H1982" t="inlineStr">
        <is>
          <t>4⁴, 8⁴, 12⁴, 24⁴</t>
        </is>
      </c>
      <c r="I1982" t="n">
        <v>16</v>
      </c>
      <c r="J1982" t="inlineStr">
        <is>
          <t>1⁶, 2³</t>
        </is>
      </c>
      <c r="K1982">
        <f>HYPERLINK("CSG3.html#group12L3", "12L³"), =HYPERLINK("CSG3.html#group24U3", "24U³"), =HYPERLINK("CSG5.html#group24I5", "24I⁵")</f>
        <v/>
      </c>
      <c r="L1982">
        <f>HYPERLINK("CSG17.html#group24AP17", "24AP¹⁷"), =HYPERLINK("CSG17.html#group24AS17", "24AS¹⁷")</f>
        <v/>
      </c>
      <c r="M1982">
        <f>HYPERLINK("CSG0.html#group3B0", "3B⁰"), =HYPERLINK("CSG0.html#group2A0", "2A⁰"), =HYPERLINK("CSG1.html#group8A1", "8A¹"), =HYPERLINK("CSG3.html#group24B3", "24B³"), =HYPERLINK("CSG0.html#group6I0", "6I⁰"), =HYPERLINK("CSG1.html#group12F1", "12F¹"), =HYPERLINK("CSG0.html#group6C0", "6C⁰"), =HYPERLINK("CSG0.html#group4C0", "4C⁰"), =HYPERLINK("CSG0.html#group12I0", "12I⁰"), =HYPERLINK("CSG0.html#group8B0", "8B⁰"), =HYPERLINK("CSG0.html#group2B0", "2B⁰"), =HYPERLINK("CSG0.html#group4E0", "4E⁰"), =HYPERLINK("CSG1.html#group8B1", "8B¹"), =HYPERLINK("CSG1.html#group12P1", "12P¹"), =HYPERLINK("CSG0.html#group4B0", "4B⁰"), =HYPERLINK("CSG0.html#group1A0", "1A⁰"), =HYPERLINK("CSG3.html#group24C3", "24C³"), =HYPERLINK("CSG2.html#group12F2", "12F²"), =HYPERLINK("CSG5.html#group24I5", "24I⁵"), =HYPERLINK("CSG3.html#group24U3", "24U³"), =HYPERLINK("CSG0.html#group24B0", "24B⁰"), =HYPERLINK("CSG3.html#group12L3", "12L³"), =HYPERLINK("CSG2.html#group24F2", "24F²"), =HYPERLINK("CSG0.html#group6F0", "6F⁰"), =HYPERLINK("CSG0.html#group2C0", "2C⁰"), =HYPERLINK("CSG0.html#group12E0", "12E⁰"), =HYPERLINK("CSG0.html#group12B0", "12B⁰")</f>
        <v/>
      </c>
      <c r="N1982">
        <f>HYPERLINK("CSG17.html#group24AS17", "24AS¹⁷"), =HYPERLINK("CSG17.html#group24AP17", "24AP¹⁷")</f>
        <v/>
      </c>
    </row>
    <row r="1983">
      <c r="A1983" t="inlineStr">
        <is>
          <t>24AE⁹</t>
        </is>
      </c>
      <c r="B1983" t="inlineStr"/>
      <c r="C1983" t="inlineStr">
        <is>
          <t>192</t>
        </is>
      </c>
      <c r="D1983" t="inlineStr">
        <is>
          <t>1</t>
        </is>
      </c>
      <c r="E1983" t="inlineStr">
        <is>
          <t>12</t>
        </is>
      </c>
      <c r="F1983" t="inlineStr">
        <is>
          <t>0</t>
        </is>
      </c>
      <c r="G1983" t="inlineStr">
        <is>
          <t>0</t>
        </is>
      </c>
      <c r="H1983" t="inlineStr">
        <is>
          <t>4⁴, 8⁴, 12⁴, 24⁴</t>
        </is>
      </c>
      <c r="I1983" t="n">
        <v>16</v>
      </c>
      <c r="J1983" t="inlineStr">
        <is>
          <t>1⁶, 2³</t>
        </is>
      </c>
      <c r="K1983">
        <f>HYPERLINK("CSG3.html#group12L3", "12L³"), =HYPERLINK("CSG3.html#group24V3", "24V³"), =HYPERLINK("CSG5.html#group24H5", "24H⁵")</f>
        <v/>
      </c>
      <c r="L1983">
        <f>HYPERLINK("CSG17.html#group24AP17", "24AP¹⁷"), =HYPERLINK("CSG17.html#group24AR17", "24AR¹⁷"), =HYPERLINK("CSG21.html#group48CC21", "48CC²¹"), =HYPERLINK("CSG21.html#group48CA21", "48CA²¹"), =HYPERLINK("CSG21.html#group48CJ21", "48CJ²¹")</f>
        <v/>
      </c>
      <c r="M1983">
        <f>HYPERLINK("CSG0.html#group3B0", "3B⁰"), =HYPERLINK("CSG0.html#group2A0", "2A⁰"), =HYPERLINK("CSG3.html#group24V3", "24V³"), =HYPERLINK("CSG0.html#group8D0", "8D⁰"), =HYPERLINK("CSG0.html#group6I0", "6I⁰"), =HYPERLINK("CSG1.html#group12F1", "12F¹"), =HYPERLINK("CSG1.html#group24G1", "24G¹"), =HYPERLINK("CSG0.html#group6C0", "6C⁰"), =HYPERLINK("CSG0.html#group12I0", "12I⁰"), =HYPERLINK("CSG0.html#group4C0", "4C⁰"), =HYPERLINK("CSG0.html#group2B0", "2B⁰"), =HYPERLINK("CSG0.html#group4E0", "4E⁰"), =HYPERLINK("CSG0.html#group8C0", "8C⁰"), =HYPERLINK("CSG1.html#group12P1", "12P¹"), =HYPERLINK("CSG0.html#group4B0", "4B⁰"), =HYPERLINK("CSG0.html#group1A0", "1A⁰"), =HYPERLINK("CSG2.html#group12F2", "12F²"), =HYPERLINK("CSG2.html#group24I2", "24I²"), =HYPERLINK("CSG0.html#group8G0", "8G⁰"), =HYPERLINK("CSG3.html#group12L3", "12L³"), =HYPERLINK("CSG5.html#group24H5", "24H⁵"), =HYPERLINK("CSG0.html#group6F0", "6F⁰"), =HYPERLINK("CSG0.html#group2C0", "2C⁰"), =HYPERLINK("CSG0.html#group12E0", "12E⁰"), =HYPERLINK("CSG0.html#group12B0", "12B⁰")</f>
        <v/>
      </c>
      <c r="N1983">
        <f>HYPERLINK("CSG21.html#group48CA21", "48CA²¹"), =HYPERLINK("CSG17.html#group24AR17", "24AR¹⁷"), =HYPERLINK("CSG17.html#group24AP17", "24AP¹⁷"), =HYPERLINK("CSG21.html#group48CJ21", "48CJ²¹"), =HYPERLINK("CSG21.html#group48CC21", "48CC²¹")</f>
        <v/>
      </c>
    </row>
    <row r="1984">
      <c r="A1984" t="inlineStr">
        <is>
          <t>24AF⁹</t>
        </is>
      </c>
      <c r="B1984" t="inlineStr"/>
      <c r="C1984" t="inlineStr">
        <is>
          <t>192</t>
        </is>
      </c>
      <c r="D1984" t="inlineStr">
        <is>
          <t>1</t>
        </is>
      </c>
      <c r="E1984" t="inlineStr">
        <is>
          <t>12</t>
        </is>
      </c>
      <c r="F1984" t="inlineStr">
        <is>
          <t>0</t>
        </is>
      </c>
      <c r="G1984" t="inlineStr">
        <is>
          <t>0</t>
        </is>
      </c>
      <c r="H1984" t="inlineStr">
        <is>
          <t>4⁴, 8⁴, 12⁴, 24⁴</t>
        </is>
      </c>
      <c r="I1984" t="n">
        <v>16</v>
      </c>
      <c r="J1984" t="inlineStr">
        <is>
          <t>1⁶, 2³</t>
        </is>
      </c>
      <c r="K1984">
        <f>HYPERLINK("CSG1.html#group8F1", "8F¹"), =HYPERLINK("CSG3.html#group12K3", "12K³"), =HYPERLINK("CSG3.html#group24V3", "24V³"), =HYPERLINK("CSG5.html#group24I5", "24I⁵"), =HYPERLINK("CSG5.html#group24J5", "24J⁵"), =HYPERLINK("CSG5.html#group24K5", "24K⁵")</f>
        <v/>
      </c>
      <c r="L1984">
        <f>HYPERLINK("CSG17.html#group24AN17", "24AN¹⁷"), =HYPERLINK("CSG17.html#group24AO17", "24AO¹⁷"), =HYPERLINK("CSG17.html#group24AP17", "24AP¹⁷"), =HYPERLINK("CSG21.html#group24A21", "24A²¹"), =HYPERLINK("CSG21.html#group24D21", "24D²¹"), =HYPERLINK("CSG21.html#group24F21", "24F²¹"), =HYPERLINK("CSG21.html#group24G21", "24G²¹"), =HYPERLINK("CSG21.html#group48CB21", "48CB²¹"), =HYPERLINK("CSG21.html#group48CD21", "48CD²¹"), =HYPERLINK("CSG21.html#group48CE21", "48CE²¹"), =HYPERLINK("CSG21.html#group48CF21", "48CF²¹")</f>
        <v/>
      </c>
      <c r="M1984">
        <f>HYPERLINK("CSG0.html#group2A0", "2A⁰"), =HYPERLINK("CSG3.html#group24V3", "24V³"), =HYPERLINK("CSG1.html#group24G1", "24G¹"), =HYPERLINK("CSG0.html#group4C0", "4C⁰"),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=HYPERLINK("CSG0.html#group8G0", "8G⁰"), =HYPERLINK("CSG0.html#group4D0", "4D⁰"), =HYPERLINK("CSG1.html#group12A1", "12A¹"), =HYPERLINK("CSG0.html#group6F0", "6F⁰"), =HYPERLINK("CSG0.html#group3B0", "3B⁰"), =HYPERLINK("CSG5.html#group24K5", "24K⁵"), =HYPERLINK("CSG1.html#group8A1", "8A¹"), =HYPERLINK("CSG1.html#group12I1", "12I¹"), =HYPERLINK("CSG3.html#group24B3", "24B³"), =HYPERLINK("CSG0.html#group8D0", "8D⁰"), =HYPERLINK("CSG1.html#group12F1", "12F¹"), =HYPERLINK("CSG0.html#group6I0", "6I⁰"), =HYPERLINK("CSG0.html#group6C0", "6C⁰"), =HYPERLINK("CSG0.html#group8B0", "8B⁰"), =HYPERLINK("CSG1.html#group8B1", "8B¹"), =HYPERLINK("CSG1.html#group12P1", "12P¹"), =HYPERLINK("CSG3.html#group24C3", "24C³"), =HYPERLINK("CSG0.html#group8H0", "8H⁰"), =HYPERLINK("CSG5.html#group24I5", "24I⁵"), =HYPERLINK("CSG1.html#group8C1", "8C¹"), =HYPERLINK("CSG2.html#group24I2", "24I²"), =HYPERLINK("CSG0.html#group4A0", "4A⁰"), =HYPERLINK("CSG2.html#group12G2", "12G²"), =HYPERLINK("CSG3.html#group12K3", "12K³"), =HYPERLINK("CSG5.html#group24J5", "24J⁵"), =HYPERLINK("CSG0.html#group4F0", "4F⁰"), =HYPERLINK("CSG0.html#group2C0", "2C⁰"), =HYPERLINK("CSG0.html#group12E0", "12E⁰")</f>
        <v/>
      </c>
      <c r="N1984">
        <f>HYPERLINK("CSG21.html#group48CE21", "48CE²¹"), =HYPERLINK("CSG21.html#group48CD21", "48CD²¹"), =HYPERLINK("CSG21.html#group24F21", "24F²¹"), =HYPERLINK("CSG17.html#group24AP17", "24AP¹⁷"), =HYPERLINK("CSG21.html#group24G21", "24G²¹"), =HYPERLINK("CSG21.html#group48CF21", "48CF²¹"), =HYPERLINK("CSG21.html#group24A21", "24A²¹"), =HYPERLINK("CSG21.html#group48CB21", "48CB²¹"), =HYPERLINK("CSG17.html#group24AN17", "24AN¹⁷"), =HYPERLINK("CSG17.html#group24AO17", "24AO¹⁷"), =HYPERLINK("CSG21.html#group24D21", "24D²¹")</f>
        <v/>
      </c>
    </row>
    <row r="1985">
      <c r="A1985" t="inlineStr">
        <is>
          <t>24AG⁹</t>
        </is>
      </c>
      <c r="B1985" t="inlineStr"/>
      <c r="C1985" t="inlineStr">
        <is>
          <t>192</t>
        </is>
      </c>
      <c r="D1985" t="inlineStr">
        <is>
          <t>1</t>
        </is>
      </c>
      <c r="E1985" t="inlineStr">
        <is>
          <t>24</t>
        </is>
      </c>
      <c r="F1985" t="inlineStr">
        <is>
          <t>0</t>
        </is>
      </c>
      <c r="G1985" t="inlineStr">
        <is>
          <t>0</t>
        </is>
      </c>
      <c r="H1985" t="inlineStr">
        <is>
          <t>4⁴, 8⁴, 12⁴, 24⁴</t>
        </is>
      </c>
      <c r="I1985" t="n">
        <v>16</v>
      </c>
      <c r="J1985" t="inlineStr">
        <is>
          <t>1⁸, 2⁶, 4¹</t>
        </is>
      </c>
      <c r="K1985">
        <f>HYPERLINK("CSG3.html#group24Z3", "24Z³"), =HYPERLINK("CSG5.html#group24I5", "24I⁵"), =HYPERLINK("CSG5.html#group24M5", "24M⁵")</f>
        <v/>
      </c>
      <c r="L1985">
        <f>HYPERLINK("CSG17.html#group24AN17", "24AN¹⁷"), =HYPERLINK("CSG17.html#group24AQ17", "24AQ¹⁷"), =HYPERLINK("CSG17.html#group24AS17", "24AS¹⁷")</f>
        <v/>
      </c>
      <c r="M1985">
        <f>HYPERLINK("CSG0.html#group3B0", "3B⁰"), =HYPERLINK("CSG0.html#group2A0", "2A⁰"), =HYPERLINK("CSG1.html#group8A1", "8A¹"), =HYPERLINK("CSG3.html#group24Z3", "24Z³"), =HYPERLINK("CSG3.html#group24B3", "24B³"), =HYPERLINK("CSG1.html#group12F1", "12F¹"), =HYPERLINK("CSG0.html#group6I0", "6I⁰"), =HYPERLINK("CSG0.html#group4C0", "4C⁰"), =HYPERLINK("CSG0.html#group6C0", "6C⁰"), =HYPERLINK("CSG0.html#group8B0", "8B⁰"), =HYPERLINK("CSG0.html#group2B0", "2B⁰"), =HYPERLINK("CSG1.html#group8B1", "8B¹"), =HYPERLINK("CSG0.html#group4E0", "4E⁰"), =HYPERLINK("CSG1.html#group12P1", "12P¹"), =HYPERLINK("CSG0.html#group4B0", "4B⁰"), =HYPERLINK("CSG0.html#group1A0", "1A⁰"), =HYPERLINK("CSG3.html#group24C3", "24C³"), =HYPERLINK("CSG5.html#group24I5", "24I⁵"), =HYPERLINK("CSG5.html#group24M5", "24M⁵"), =HYPERLINK("CSG0.html#group6F0", "6F⁰"), =HYPERLINK("CSG0.html#group2C0", "2C⁰"), =HYPERLINK("CSG0.html#group12E0", "12E⁰")</f>
        <v/>
      </c>
      <c r="N1985">
        <f>HYPERLINK("CSG17.html#group24AQ17", "24AQ¹⁷"), =HYPERLINK("CSG17.html#group24AN17", "24AN¹⁷"), =HYPERLINK("CSG17.html#group24AS17", "24AS¹⁷")</f>
        <v/>
      </c>
    </row>
    <row r="1986">
      <c r="A1986" t="inlineStr">
        <is>
          <t>24AH⁹</t>
        </is>
      </c>
      <c r="B1986" t="inlineStr"/>
      <c r="C1986" t="inlineStr">
        <is>
          <t>192</t>
        </is>
      </c>
      <c r="D1986" t="inlineStr">
        <is>
          <t>1</t>
        </is>
      </c>
      <c r="E1986" t="inlineStr">
        <is>
          <t>24</t>
        </is>
      </c>
      <c r="F1986" t="inlineStr">
        <is>
          <t>0</t>
        </is>
      </c>
      <c r="G1986" t="inlineStr">
        <is>
          <t>0</t>
        </is>
      </c>
      <c r="H1986" t="inlineStr">
        <is>
          <t>4⁴, 8⁴, 12⁴, 24⁴</t>
        </is>
      </c>
      <c r="I1986" t="n">
        <v>16</v>
      </c>
      <c r="J1986" t="inlineStr">
        <is>
          <t>1⁸, 2⁶, 4¹</t>
        </is>
      </c>
      <c r="K1986">
        <f>HYPERLINK("CSG1.html#group8G1", "8G¹"), =HYPERLINK("CSG3.html#group24AA3", "24AA³"), =HYPERLINK("CSG5.html#group24I5", "24I⁵"), =HYPERLINK("CSG5.html#group24N5", "24N⁵")</f>
        <v/>
      </c>
      <c r="L1986">
        <f>HYPERLINK("CSG17.html#group24AO17", "24AO¹⁷"), =HYPERLINK("CSG17.html#group24AQ17", "24AQ¹⁷"), =HYPERLINK("CSG17.html#group24AS17", "24AS¹⁷"), =HYPERLINK("CSG21.html#group48CP21", "48CP²¹"), =HYPERLINK("CSG21.html#group48CQ21", "48CQ²¹")</f>
        <v/>
      </c>
      <c r="M1986">
        <f>HYPERLINK("CSG0.html#group3B0", "3B⁰"), =HYPERLINK("CSG0.html#group2A0", "2A⁰"), =HYPERLINK("CSG1.html#group8A1", "8A¹"), =HYPERLINK("CSG5.html#group24N5", "24N⁵"), =HYPERLINK("CSG3.html#group24AA3", "24AA³"), =HYPERLINK("CSG3.html#group24B3", "24B³"), =HYPERLINK("CSG1.html#group12F1", "12F¹"), =HYPERLINK("CSG0.html#group6I0", "6I⁰"), =HYPERLINK("CSG0.html#group4C0", "4C⁰"), =HYPERLINK("CSG0.html#group6C0", "6C⁰"), =HYPERLINK("CSG0.html#group8B0", "8B⁰"), =HYPERLINK("CSG0.html#group8L0", "8L⁰"), =HYPERLINK("CSG0.html#group2B0", "2B⁰"), =HYPERLINK("CSG0.html#group4E0", "4E⁰"), =HYPERLINK("CSG1.html#group8B1", "8B¹"), =HYPERLINK("CSG1.html#group12P1", "12P¹"), =HYPERLINK("CSG0.html#group4B0", "4B⁰"), =HYPERLINK("CSG0.html#group1A0", "1A⁰"), =HYPERLINK("CSG3.html#group24C3", "24C³"), =HYPERLINK("CSG5.html#group24I5", "24I⁵"), =HYPERLINK("CSG1.html#group8G1", "8G¹"), =HYPERLINK("CSG0.html#group6F0", "6F⁰"), =HYPERLINK("CSG0.html#group2C0", "2C⁰"), =HYPERLINK("CSG0.html#group12E0", "12E⁰"), =HYPERLINK("CSG0.html#group8J0", "8J⁰")</f>
        <v/>
      </c>
      <c r="N1986">
        <f>HYPERLINK("CSG17.html#group24AQ17", "24AQ¹⁷"), =HYPERLINK("CSG21.html#group48CP21", "48CP²¹"), =HYPERLINK("CSG21.html#group48CQ21", "48CQ²¹"), =HYPERLINK("CSG17.html#group24AS17", "24AS¹⁷"), =HYPERLINK("CSG17.html#group24AO17", "24AO¹⁷")</f>
        <v/>
      </c>
    </row>
    <row r="1987">
      <c r="A1987" t="inlineStr">
        <is>
          <t>24AI⁹</t>
        </is>
      </c>
      <c r="B1987" t="inlineStr"/>
      <c r="C1987" t="inlineStr">
        <is>
          <t>192</t>
        </is>
      </c>
      <c r="D1987" t="inlineStr">
        <is>
          <t>1</t>
        </is>
      </c>
      <c r="E1987" t="inlineStr">
        <is>
          <t>48</t>
        </is>
      </c>
      <c r="F1987" t="inlineStr">
        <is>
          <t>0</t>
        </is>
      </c>
      <c r="G1987" t="inlineStr">
        <is>
          <t>0</t>
        </is>
      </c>
      <c r="H1987" t="inlineStr">
        <is>
          <t>4⁴, 8⁴, 12⁴, 24⁴</t>
        </is>
      </c>
      <c r="I1987" t="n">
        <v>16</v>
      </c>
      <c r="J1987" t="inlineStr">
        <is>
          <t>2¹², 4⁶</t>
        </is>
      </c>
      <c r="K1987">
        <f>HYPERLINK("CSG5.html#group24K5", "24K⁵"), =HYPERLINK("CSG5.html#group24M5", "24M⁵")</f>
        <v/>
      </c>
      <c r="L1987">
        <f>HYPERLINK("CSG17.html#group24AN17", "24AN¹⁷"), =HYPERLINK("CSG21.html#group24I21", "24I²¹"), =HYPERLINK("CSG21.html#group48CN21", "48CN²¹")</f>
        <v/>
      </c>
      <c r="M1987">
        <f>HYPERLINK("CSG0.html#group3B0", "3B⁰"), =HYPERLINK("CSG5.html#group24K5", "24K⁵"), =HYPERLINK("CSG1.html#group8A1", "8A¹"), =HYPERLINK("CSG0.html#group8D0", "8D⁰"), =HYPERLINK("CSG1.html#group12F1", "12F¹"), =HYPERLINK("CSG0.html#group4C0", "4C⁰"), =HYPERLINK("CSG0.html#group2B0", "2B⁰"), =HYPERLINK("CSG0.html#group1A0", "1A⁰"), =HYPERLINK("CSG3.html#group24C3", "24C³"), =HYPERLINK("CSG1.html#group8C1", "8C¹"), =HYPERLINK("CSG2.html#group24I2", "24I²"), =HYPERLINK("CSG5.html#group24M5", "24M⁵"), =HYPERLINK("CSG0.html#group4A0", "4A⁰"), =HYPERLINK("CSG1.html#group12A1", "12A¹"), =HYPERLINK("CSG2.html#group12G2", "12G²"), =HYPERLINK("CSG0.html#group4F0", "4F⁰"), =HYPERLINK("CSG0.html#group6F0", "6F⁰")</f>
        <v/>
      </c>
      <c r="N1987">
        <f>HYPERLINK("CSG21.html#group48CN21", "48CN²¹"), =HYPERLINK("CSG17.html#group24AN17", "24AN¹⁷"), =HYPERLINK("CSG21.html#group24I21", "24I²¹")</f>
        <v/>
      </c>
    </row>
    <row r="1988">
      <c r="A1988" t="inlineStr">
        <is>
          <t>24AJ⁹</t>
        </is>
      </c>
      <c r="B1988" t="inlineStr"/>
      <c r="C1988" t="inlineStr">
        <is>
          <t>192</t>
        </is>
      </c>
      <c r="D1988" t="inlineStr">
        <is>
          <t>1</t>
        </is>
      </c>
      <c r="E1988" t="inlineStr">
        <is>
          <t>48</t>
        </is>
      </c>
      <c r="F1988" t="inlineStr">
        <is>
          <t>0</t>
        </is>
      </c>
      <c r="G1988" t="inlineStr">
        <is>
          <t>0</t>
        </is>
      </c>
      <c r="H1988" t="inlineStr">
        <is>
          <t>4⁴, 8⁴, 12⁴, 24⁴</t>
        </is>
      </c>
      <c r="I1988" t="n">
        <v>16</v>
      </c>
      <c r="J1988" t="inlineStr">
        <is>
          <t>2¹², 4⁶</t>
        </is>
      </c>
      <c r="K1988">
        <f>HYPERLINK("CSG0.html#group8P0", "8P⁰"), =HYPERLINK("CSG5.html#group24J5", "24J⁵"), =HYPERLINK("CSG5.html#group24N5", "24N⁵")</f>
        <v/>
      </c>
      <c r="L1988">
        <f>HYPERLINK("CSG17.html#group24AO17", "24AO¹⁷"), =HYPERLINK("CSG21.html#group24J21", "24J²¹"), =HYPERLINK("CSG21.html#group48CO21", "48CO²¹")</f>
        <v/>
      </c>
      <c r="M1988">
        <f>HYPERLINK("CSG0.html#group3B0", "3B⁰"), =HYPERLINK("CSG5.html#group24N5", "24N⁵"), =HYPERLINK("CSG3.html#group24B3", "24B³"), =HYPERLINK("CSG0.html#group8D0", "8D⁰"), =HYPERLINK("CSG1.html#group12F1", "12F¹"), =HYPERLINK("CSG0.html#group4C0", "4C⁰"), =HYPERLINK("CSG0.html#group8B0", "8B⁰"), =HYPERLINK("CSG0.html#group8L0", "8L⁰"), =HYPERLINK("CSG0.html#group2B0", "2B⁰"), =HYPERLINK("CSG0.html#group1A0", "1A⁰"), =HYPERLINK("CSG0.html#group8H0", "8H⁰"), =HYPERLINK("CSG2.html#group24I2", "24I²"), =HYPERLINK("CSG0.html#group4A0", "4A⁰"), =HYPERLINK("CSG1.html#group12A1", "12A¹"), =HYPERLINK("CSG2.html#group12G2", "12G²"), =HYPERLINK("CSG5.html#group24J5", "24J⁵"), =HYPERLINK("CSG0.html#group4F0", "4F⁰"), =HYPERLINK("CSG0.html#group8P0", "8P⁰"), =HYPERLINK("CSG0.html#group6F0", "6F⁰")</f>
        <v/>
      </c>
      <c r="N1988">
        <f>HYPERLINK("CSG21.html#group48CO21", "48CO²¹"), =HYPERLINK("CSG21.html#group24J21", "24J²¹"), =HYPERLINK("CSG17.html#group24AO17", "24AO¹⁷")</f>
        <v/>
      </c>
    </row>
    <row r="1989">
      <c r="A1989" t="inlineStr">
        <is>
          <t>24AK⁹</t>
        </is>
      </c>
      <c r="B1989" t="inlineStr"/>
      <c r="C1989" t="inlineStr">
        <is>
          <t>192</t>
        </is>
      </c>
      <c r="D1989" t="inlineStr">
        <is>
          <t>1</t>
        </is>
      </c>
      <c r="E1989" t="inlineStr">
        <is>
          <t>48</t>
        </is>
      </c>
      <c r="F1989" t="inlineStr">
        <is>
          <t>0</t>
        </is>
      </c>
      <c r="G1989" t="inlineStr">
        <is>
          <t>0</t>
        </is>
      </c>
      <c r="H1989" t="inlineStr">
        <is>
          <t>4⁴, 8⁴, 12⁴, 24⁴</t>
        </is>
      </c>
      <c r="I1989" t="n">
        <v>16</v>
      </c>
      <c r="J1989" t="inlineStr">
        <is>
          <t>1¹⁶, 2¹², 4²</t>
        </is>
      </c>
      <c r="K1989">
        <f>HYPERLINK("CSG3.html#group24Z3", "24Z³"), =HYPERLINK("CSG3.html#group24AA3", "24AA³"), =HYPERLINK("CSG5.html#group24H5", "24H⁵")</f>
        <v/>
      </c>
      <c r="L1989">
        <f>HYPERLINK("CSG17.html#group24AQ17", "24AQ¹⁷"), =HYPERLINK("CSG17.html#group24AR17", "24AR¹⁷"), =HYPERLINK("CSG17.html#group24AT17", "24AT¹⁷")</f>
        <v/>
      </c>
      <c r="M1989">
        <f>HYPERLINK("CSG0.html#group2A0", "2A⁰"), =HYPERLINK("CSG0.html#group3B0", "3B⁰"), =HYPERLINK("CSG3.html#group24Z3", "24Z³"), =HYPERLINK("CSG3.html#group24AA3", "24AA³"), =HYPERLINK("CSG0.html#group6I0", "6I⁰"), =HYPERLINK("CSG1.html#group12F1", "12F¹"), =HYPERLINK("CSG0.html#group4C0", "4C⁰"), =HYPERLINK("CSG0.html#group6C0", "6C⁰"), =HYPERLINK("CSG0.html#group2B0", "2B⁰"), =HYPERLINK("CSG0.html#group4E0", "4E⁰"), =HYPERLINK("CSG1.html#group12P1", "12P¹"), =HYPERLINK("CSG0.html#group4B0", "4B⁰"), =HYPERLINK("CSG0.html#group1A0", "1A⁰"), =HYPERLINK("CSG5.html#group24H5", "24H⁵"), =HYPERLINK("CSG0.html#group6F0", "6F⁰"), =HYPERLINK("CSG0.html#group2C0", "2C⁰"), =HYPERLINK("CSG0.html#group12E0", "12E⁰"), =HYPERLINK("CSG0.html#group8J0", "8J⁰")</f>
        <v/>
      </c>
      <c r="N1989">
        <f>HYPERLINK("CSG17.html#group24AQ17", "24AQ¹⁷"), =HYPERLINK("CSG17.html#group24AR17", "24AR¹⁷"), =HYPERLINK("CSG17.html#group24AT17", "24AT¹⁷")</f>
        <v/>
      </c>
    </row>
    <row r="1990">
      <c r="A1990" t="inlineStr">
        <is>
          <t>24AL⁹</t>
        </is>
      </c>
      <c r="B1990" t="inlineStr"/>
      <c r="C1990" t="inlineStr">
        <is>
          <t>192</t>
        </is>
      </c>
      <c r="D1990" t="inlineStr">
        <is>
          <t>1</t>
        </is>
      </c>
      <c r="E1990" t="inlineStr">
        <is>
          <t>48</t>
        </is>
      </c>
      <c r="F1990" t="inlineStr">
        <is>
          <t>16</t>
        </is>
      </c>
      <c r="G1990" t="inlineStr">
        <is>
          <t>0</t>
        </is>
      </c>
      <c r="H1990" t="inlineStr">
        <is>
          <t>24⁸</t>
        </is>
      </c>
      <c r="I1990" t="n">
        <v>8</v>
      </c>
      <c r="J1990" t="inlineStr">
        <is>
          <t>4⁴, 8⁴</t>
        </is>
      </c>
      <c r="K1990">
        <f>HYPERLINK("CSG1.html#group12Q1", "12Q¹"), =HYPERLINK("CSG3.html#group24AB3", "24AB³"), =HYPERLINK("CSG5.html#group24O5", "24O⁵")</f>
        <v/>
      </c>
      <c r="L1990">
        <f>HYPERLINK("CSG21.html#group24K21", "24K²¹"), =HYPERLINK("CSG21.html#group24L21", "24L²¹"), =HYPERLINK("CSG21.html#group24M21", "24M²¹")</f>
        <v/>
      </c>
      <c r="M1990">
        <f>HYPERLINK("CSG1.html#group12G1", "12G¹"), =HYPERLINK("CSG1.html#group24F1", "24F¹"), =HYPERLINK("CSG0.html#group12A0", "12A⁰"), =HYPERLINK("CSG0.html#group6B0", "6B⁰"), =HYPERLINK("CSG0.html#group8F0", "8F⁰"), =HYPERLINK("CSG0.html#group6E0", "6E⁰"), =HYPERLINK("CSG0.html#group4A0", "4A⁰"), =HYPERLINK("CSG5.html#group24O5", "24O⁵"), =HYPERLINK("CSG0.html#group12F0", "12F⁰"), =HYPERLINK("CSG1.html#group12Q1", "12Q¹"), =HYPERLINK("CSG0.html#group3C0", "3C⁰"), =HYPERLINK("CSG3.html#group24AB3", "24AB³"), =HYPERLINK("CSG0.html#group3A0", "3A⁰"), =HYPERLINK("CSG0.html#group1A0", "1A⁰")</f>
        <v/>
      </c>
      <c r="N1990">
        <f>HYPERLINK("CSG21.html#group24L21", "24L²¹"), =HYPERLINK("CSG21.html#group24M21", "24M²¹"), =HYPERLINK("CSG21.html#group24K21", "24K²¹")</f>
        <v/>
      </c>
    </row>
    <row r="1991">
      <c r="A1991" t="inlineStr">
        <is>
          <t>24AM⁹</t>
        </is>
      </c>
      <c r="B1991" t="inlineStr"/>
      <c r="C1991" t="inlineStr">
        <is>
          <t>192</t>
        </is>
      </c>
      <c r="D1991" t="inlineStr">
        <is>
          <t>1</t>
        </is>
      </c>
      <c r="E1991" t="inlineStr">
        <is>
          <t>48</t>
        </is>
      </c>
      <c r="F1991" t="inlineStr">
        <is>
          <t>16</t>
        </is>
      </c>
      <c r="G1991" t="inlineStr">
        <is>
          <t>0</t>
        </is>
      </c>
      <c r="H1991" t="inlineStr">
        <is>
          <t>24⁸</t>
        </is>
      </c>
      <c r="I1991" t="n">
        <v>8</v>
      </c>
      <c r="J1991" t="inlineStr">
        <is>
          <t>8¹²</t>
        </is>
      </c>
      <c r="K1991">
        <f>HYPERLINK("CSG2.html#group24G2", "24G²"), =HYPERLINK("CSG3.html#group24AB3", "24AB³"), =HYPERLINK("CSG4.html#group24T4", "24T⁴")</f>
        <v/>
      </c>
      <c r="L1991">
        <f>HYPERLINK("CSG21.html#group24M21", "24M²¹")</f>
        <v/>
      </c>
      <c r="M1991">
        <f>HYPERLINK("CSG1.html#group24F1", "24F¹"), =HYPERLINK("CSG4.html#group24T4", "24T⁴"), =HYPERLINK("CSG0.html#group12A0", "12A⁰"), =HYPERLINK("CSG0.html#group6B0", "6B⁰"), =HYPERLINK("CSG0.html#group8F0", "8F⁰"), =HYPERLINK("CSG0.html#group4A0", "4A⁰"), =HYPERLINK("CSG0.html#group12F0", "12F⁰"), =HYPERLINK("CSG1.html#group24B1", "24B¹"), =HYPERLINK("CSG3.html#group24AB3", "24AB³"), =HYPERLINK("CSG0.html#group3A0", "3A⁰"), =HYPERLINK("CSG0.html#group1A0", "1A⁰"), =HYPERLINK("CSG2.html#group24G2", "24G²")</f>
        <v/>
      </c>
      <c r="N1991">
        <f>HYPERLINK("CSG21.html#group24M21", "24M²¹")</f>
        <v/>
      </c>
    </row>
    <row r="1992">
      <c r="A1992" t="inlineStr">
        <is>
          <t>24AN⁹</t>
        </is>
      </c>
      <c r="B1992" t="inlineStr"/>
      <c r="C1992" t="inlineStr">
        <is>
          <t>192</t>
        </is>
      </c>
      <c r="D1992" t="inlineStr">
        <is>
          <t>1</t>
        </is>
      </c>
      <c r="E1992" t="inlineStr">
        <is>
          <t>48</t>
        </is>
      </c>
      <c r="F1992" t="inlineStr">
        <is>
          <t>16</t>
        </is>
      </c>
      <c r="G1992" t="inlineStr">
        <is>
          <t>0</t>
        </is>
      </c>
      <c r="H1992" t="inlineStr">
        <is>
          <t>24⁸</t>
        </is>
      </c>
      <c r="I1992" t="n">
        <v>8</v>
      </c>
      <c r="J1992" t="inlineStr">
        <is>
          <t>8¹²</t>
        </is>
      </c>
      <c r="K1992">
        <f>HYPERLINK("CSG2.html#group24H2", "24H²"), =HYPERLINK("CSG3.html#group24AB3", "24AB³"), =HYPERLINK("CSG4.html#group24T4", "24T⁴")</f>
        <v/>
      </c>
      <c r="L1992">
        <f>HYPERLINK("CSG21.html#group24M21", "24M²¹")</f>
        <v/>
      </c>
      <c r="M1992">
        <f>HYPERLINK("CSG1.html#group24F1", "24F¹"), =HYPERLINK("CSG0.html#group12A0", "12A⁰"), =HYPERLINK("CSG0.html#group8F0", "8F⁰"), =HYPERLINK("CSG0.html#group6B0", "6B⁰"), =HYPERLINK("CSG0.html#group4A0", "4A⁰"), =HYPERLINK("CSG0.html#group12F0", "12F⁰"), =HYPERLINK("CSG1.html#group24B1", "24B¹"), =HYPERLINK("CSG3.html#group24AB3", "24AB³"), =HYPERLINK("CSG0.html#group3A0", "3A⁰"), =HYPERLINK("CSG0.html#group1A0", "1A⁰"), =HYPERLINK("CSG4.html#group24T4", "24T⁴"), =HYPERLINK("CSG2.html#group24H2", "24H²")</f>
        <v/>
      </c>
      <c r="N1992">
        <f>HYPERLINK("CSG21.html#group24M21", "24M²¹")</f>
        <v/>
      </c>
    </row>
    <row r="1993">
      <c r="A1993" t="inlineStr">
        <is>
          <t>24AO⁹</t>
        </is>
      </c>
      <c r="B1993" t="inlineStr"/>
      <c r="C1993" t="inlineStr">
        <is>
          <t>192</t>
        </is>
      </c>
      <c r="D1993" t="inlineStr">
        <is>
          <t>2</t>
        </is>
      </c>
      <c r="E1993" t="inlineStr">
        <is>
          <t>48</t>
        </is>
      </c>
      <c r="F1993" t="inlineStr">
        <is>
          <t>16</t>
        </is>
      </c>
      <c r="G1993" t="inlineStr">
        <is>
          <t>0</t>
        </is>
      </c>
      <c r="H1993" t="inlineStr">
        <is>
          <t>24⁸</t>
        </is>
      </c>
      <c r="I1993" t="n">
        <v>8</v>
      </c>
      <c r="J1993" t="inlineStr">
        <is>
          <t>4⁸, 8⁸</t>
        </is>
      </c>
      <c r="K1993">
        <f>HYPERLINK("CSG2.html#group24K2", "24K²"), =HYPERLINK("CSG3.html#group24AB3", "24AB³"), =HYPERLINK("CSG4.html#group24S4", "24S⁴"), =HYPERLINK("CSG4.html#group24T4", "24T⁴")</f>
        <v/>
      </c>
      <c r="L1993">
        <f>HYPERLINK("CSG21.html#group24M21", "24M²¹")</f>
        <v/>
      </c>
      <c r="M1993">
        <f>HYPERLINK("CSG0.html#group6B0", "6B⁰"), =HYPERLINK("CSG0.html#group3A0", "3A⁰"), =HYPERLINK("CSG4.html#group24S4", "24S⁴"), =HYPERLINK("CSG0.html#group8A0", "8A⁰"), =HYPERLINK("CSG0.html#group12F0", "12F⁰"), =HYPERLINK("CSG1.html#group24B1", "24B¹"), =HYPERLINK("CSG0.html#group1A0", "1A⁰"), =HYPERLINK("CSG1.html#group24F1", "24F¹"), =HYPERLINK("CSG0.html#group8F0", "8F⁰"), =HYPERLINK("CSG2.html#group24K2", "24K²"), =HYPERLINK("CSG1.html#group24A1", "24A¹"), =HYPERLINK("CSG0.html#group12A0", "12A⁰"), =HYPERLINK("CSG0.html#group4A0", "4A⁰"), =HYPERLINK("CSG3.html#group24AB3", "24AB³"), =HYPERLINK("CSG0.html#group8M0", "8M⁰"), =HYPERLINK("CSG4.html#group24T4", "24T⁴")</f>
        <v/>
      </c>
      <c r="N1993">
        <f>HYPERLINK("CSG21.html#group24M21", "24M²¹")</f>
        <v/>
      </c>
    </row>
    <row r="1994">
      <c r="A1994" t="inlineStr">
        <is>
          <t>24AP⁹</t>
        </is>
      </c>
      <c r="B1994" t="inlineStr"/>
      <c r="C1994" t="inlineStr">
        <is>
          <t>288</t>
        </is>
      </c>
      <c r="D1994" t="inlineStr">
        <is>
          <t>1</t>
        </is>
      </c>
      <c r="E1994" t="inlineStr">
        <is>
          <t>6</t>
        </is>
      </c>
      <c r="F1994" t="inlineStr">
        <is>
          <t>0</t>
        </is>
      </c>
      <c r="G1994" t="inlineStr">
        <is>
          <t>0</t>
        </is>
      </c>
      <c r="H1994" t="inlineStr">
        <is>
          <t>3¹⁶, 6⁸, 24⁸</t>
        </is>
      </c>
      <c r="I1994" t="n">
        <v>32</v>
      </c>
      <c r="J1994" t="inlineStr">
        <is>
          <t>1⁴, 2¹</t>
        </is>
      </c>
      <c r="K1994">
        <f>HYPERLINK("CSG1.html#group24J1", "24J¹"), =HYPERLINK("CSG3.html#group12O3", "12O³"), =HYPERLINK("CSG3.html#group24AC3", "24AC³"), =HYPERLINK("CSG5.html#group24R5", "24R⁵")</f>
        <v/>
      </c>
      <c r="L1994" t="inlineStr"/>
      <c r="M1994">
        <f>HYPERLINK("CSG3.html#group12O3", "12O³"), =HYPERLINK("CSG0.html#group3B0", "3B⁰"), =HYPERLINK("CSG1.html#group24I1", "24I¹"), =HYPERLINK("CSG1.html#group12K1", "12K¹"), =HYPERLINK("CSG1.html#group24G1", "24G¹"), =HYPERLINK("CSG0.html#group12J0", "12J⁰"), =HYPERLINK("CSG0.html#group6G0", "6G⁰"), =HYPERLINK("CSG1.html#group12S1", "12S¹"), =HYPERLINK("CSG0.html#group2B0", "2B⁰"), =HYPERLINK("CSG3.html#group24AC3", "24AC³"), =HYPERLINK("CSG0.html#group8C0", "8C⁰"), =HYPERLINK("CSG0.html#group4B0", "4B⁰"), =HYPERLINK("CSG0.html#group1A0", "1A⁰"), =HYPERLINK("CSG1.html#group24J1", "24J¹"), =HYPERLINK("CSG2.html#group24B2", "24B²"), =HYPERLINK("CSG0.html#group12G0", "12G⁰"), =HYPERLINK("CSG0.html#group24B0", "24B⁰"), =HYPERLINK("CSG3.html#group24L3", "24L³"), =HYPERLINK("CSG0.html#group6F0", "6F⁰"), =HYPERLINK("CSG5.html#group24R5", "24R⁵"), =HYPERLINK("CSG0.html#group3C0", "3C⁰"), =HYPERLINK("CSG0.html#group6K0", "6K⁰"), =HYPERLINK("CSG1.html#group12B1", "12B¹"), =HYPERLINK("CSG0.html#group12D0", "12D⁰"), =HYPERLINK("CSG0.html#group12E0", "12E⁰"), =HYPERLINK("CSG2.html#group24D2", "24D²"), =HYPERLINK("CSG0.html#group3A0", "3A⁰"), =HYPERLINK("CSG3.html#group24K3", "24K³"), =HYPERLINK("CSG0.html#group3D0", "3D⁰"), =HYPERLINK("CSG0.html#group6D0", "6D⁰")</f>
        <v/>
      </c>
      <c r="N1994" t="inlineStr"/>
    </row>
    <row r="1995">
      <c r="A1995" t="inlineStr">
        <is>
          <t>26A⁹</t>
        </is>
      </c>
      <c r="B1995" t="inlineStr"/>
      <c r="C1995" t="inlineStr">
        <is>
          <t>168</t>
        </is>
      </c>
      <c r="D1995" t="inlineStr">
        <is>
          <t>1</t>
        </is>
      </c>
      <c r="E1995" t="inlineStr">
        <is>
          <t>14</t>
        </is>
      </c>
      <c r="F1995" t="inlineStr">
        <is>
          <t>0</t>
        </is>
      </c>
      <c r="G1995" t="inlineStr">
        <is>
          <t>0</t>
        </is>
      </c>
      <c r="H1995" t="inlineStr">
        <is>
          <t>2⁶, 26⁶</t>
        </is>
      </c>
      <c r="I1995" t="n">
        <v>12</v>
      </c>
      <c r="J1995" t="inlineStr">
        <is>
          <t>1², 12¹</t>
        </is>
      </c>
      <c r="K1995">
        <f>HYPERLINK("CSG1.html#group26B1", "26B¹"), =HYPERLINK("CSG2.html#group13A2", "13A²"), =HYPERLINK("CSG2.html#group26B2", "26B²"), =HYPERLINK("CSG5.html#group26A5", "26A⁵")</f>
        <v/>
      </c>
      <c r="L1995">
        <f>HYPERLINK("CSG23.html#group52A23", "52A²³")</f>
        <v/>
      </c>
      <c r="M1995">
        <f>HYPERLINK("CSG0.html#group2A0", "2A⁰"), =HYPERLINK("CSG5.html#group26A5", "26A⁵"), =HYPERLINK("CSG1.html#group26B1", "26B¹"), =HYPERLINK("CSG1.html#group26A1", "26A¹"), =HYPERLINK("CSG2.html#group13A2", "13A²"), =HYPERLINK("CSG0.html#group13A0", "13A⁰"), =HYPERLINK("CSG0.html#group13C0", "13C⁰"), =HYPERLINK("CSG0.html#group26A0", "26A⁰"), =HYPERLINK("CSG2.html#group26B2", "26B²"), =HYPERLINK("CSG0.html#group13B0", "13B⁰"), =HYPERLINK("CSG0.html#group1A0", "1A⁰")</f>
        <v/>
      </c>
      <c r="N1995">
        <f>HYPERLINK("CSG23.html#group52A23", "52A²³")</f>
        <v/>
      </c>
    </row>
    <row r="1996">
      <c r="A1996" t="inlineStr">
        <is>
          <t>26B⁹</t>
        </is>
      </c>
      <c r="B1996" t="inlineStr"/>
      <c r="C1996" t="inlineStr">
        <is>
          <t>168</t>
        </is>
      </c>
      <c r="D1996" t="inlineStr">
        <is>
          <t>1</t>
        </is>
      </c>
      <c r="E1996" t="inlineStr">
        <is>
          <t>14</t>
        </is>
      </c>
      <c r="F1996" t="inlineStr">
        <is>
          <t>0</t>
        </is>
      </c>
      <c r="G1996" t="inlineStr">
        <is>
          <t>0</t>
        </is>
      </c>
      <c r="H1996" t="inlineStr">
        <is>
          <t>2⁶, 26⁶</t>
        </is>
      </c>
      <c r="I1996" t="n">
        <v>12</v>
      </c>
      <c r="J1996" t="inlineStr">
        <is>
          <t>1², 12¹</t>
        </is>
      </c>
      <c r="K1996">
        <f>HYPERLINK("CSG1.html#group26B1", "26B¹"), =HYPERLINK("CSG4.html#group26A4", "26A⁴"), =HYPERLINK("CSG4.html#group26B4", "26B⁴"), =HYPERLINK("CSG5.html#group26B5", "26B⁵")</f>
        <v/>
      </c>
      <c r="L1996">
        <f>HYPERLINK("CSG19.html#group52A19", "52A¹⁹"), =HYPERLINK("CSG21.html#group52C21", "52C²¹"), =HYPERLINK("CSG23.html#group52B23", "52B²³")</f>
        <v/>
      </c>
      <c r="M1996">
        <f>HYPERLINK("CSG5.html#group26B5", "26B⁵"), =HYPERLINK("CSG0.html#group2A0", "2A⁰"), =HYPERLINK("CSG1.html#group26B1", "26B¹"), =HYPERLINK("CSG1.html#group26A1", "26A¹"), =HYPERLINK("CSG0.html#group13A0", "13A⁰"), =HYPERLINK("CSG4.html#group26B4", "26B⁴"), =HYPERLINK("CSG0.html#group2B0", "2B⁰"), =HYPERLINK("CSG0.html#group26A0", "26A⁰"), =HYPERLINK("CSG0.html#group13B0", "13B⁰"), =HYPERLINK("CSG0.html#group1A0", "1A⁰"), =HYPERLINK("CSG0.html#group2C0", "2C⁰"), =HYPERLINK("CSG2.html#group26A2", "26A²"), =HYPERLINK("CSG4.html#group26A4", "26A⁴")</f>
        <v/>
      </c>
      <c r="N1996">
        <f>HYPERLINK("CSG21.html#group52C21", "52C²¹"), =HYPERLINK("CSG19.html#group52A19", "52A¹⁹"), =HYPERLINK("CSG23.html#group52B23", "52B²³")</f>
        <v/>
      </c>
    </row>
    <row r="1997">
      <c r="A1997" t="inlineStr">
        <is>
          <t>26C⁹</t>
        </is>
      </c>
      <c r="B1997" t="inlineStr"/>
      <c r="C1997" t="inlineStr">
        <is>
          <t>182</t>
        </is>
      </c>
      <c r="D1997" t="inlineStr">
        <is>
          <t>1</t>
        </is>
      </c>
      <c r="E1997" t="inlineStr">
        <is>
          <t>91</t>
        </is>
      </c>
      <c r="F1997" t="inlineStr">
        <is>
          <t>12</t>
        </is>
      </c>
      <c r="G1997" t="inlineStr">
        <is>
          <t>2</t>
        </is>
      </c>
      <c r="H1997" t="inlineStr">
        <is>
          <t>26⁷</t>
        </is>
      </c>
      <c r="I1997" t="n">
        <v>7</v>
      </c>
      <c r="J1997" t="inlineStr">
        <is>
          <t>1¹, 6¹, 12⁷</t>
        </is>
      </c>
      <c r="K1997">
        <f>HYPERLINK("CSG3.html#group13C3", "13C³")</f>
        <v/>
      </c>
      <c r="L1997">
        <f>HYPERLINK("CSG20.html#group26A20", "26A²⁰"), =HYPERLINK("CSG20.html#group26B20", "26B²⁰"), =HYPERLINK("CSG23.html#group26A23", "26A²³")</f>
        <v/>
      </c>
      <c r="M1997">
        <f>HYPERLINK("CSG3.html#group13C3", "13C³"), =HYPERLINK("CSG0.html#group1A0", "1A⁰")</f>
        <v/>
      </c>
      <c r="N1997">
        <f>HYPERLINK("CSG20.html#group26A20", "26A²⁰"), =HYPERLINK("CSG20.html#group26B20", "26B²⁰"), =HYPERLINK("CSG23.html#group26A23", "26A²³")</f>
        <v/>
      </c>
    </row>
    <row r="1998">
      <c r="A1998" t="inlineStr">
        <is>
          <t>28A⁹</t>
        </is>
      </c>
      <c r="B1998" t="inlineStr"/>
      <c r="C1998" t="inlineStr">
        <is>
          <t>168</t>
        </is>
      </c>
      <c r="D1998" t="inlineStr">
        <is>
          <t>1</t>
        </is>
      </c>
      <c r="E1998" t="inlineStr">
        <is>
          <t>84</t>
        </is>
      </c>
      <c r="F1998" t="inlineStr">
        <is>
          <t>0</t>
        </is>
      </c>
      <c r="G1998" t="inlineStr">
        <is>
          <t>0</t>
        </is>
      </c>
      <c r="H1998" t="inlineStr">
        <is>
          <t>7⁸, 28⁴</t>
        </is>
      </c>
      <c r="I1998" t="n">
        <v>12</v>
      </c>
      <c r="J1998" t="inlineStr">
        <is>
          <t>1³, 3³, 6¹²</t>
        </is>
      </c>
      <c r="K1998">
        <f>HYPERLINK("CSG3.html#group14D3", "14D³"), =HYPERLINK("CSG3.html#group28A3", "28A³")</f>
        <v/>
      </c>
      <c r="L1998">
        <f>HYPERLINK("CSG17.html#group28A17", "28A¹⁷"), =HYPERLINK("CSG21.html#group28D21", "28D²¹"), =HYPERLINK("CSG21.html#group28B21", "28B²¹"), =HYPERLINK("CSG21.html#group56F21", "56F²¹"), =HYPERLINK("CSG21.html#group56E21", "56E²¹")</f>
        <v/>
      </c>
      <c r="M1998">
        <f>HYPERLINK("CSG1.html#group14B1", "14B¹"), =HYPERLINK("CSG0.html#group7F0", "7F⁰"), =HYPERLINK("CSG3.html#group28A3", "28A³"), =HYPERLINK("CSG0.html#group2B0", "2B⁰"), =HYPERLINK("CSG0.html#group4B0", "4B⁰"), =HYPERLINK("CSG0.html#group1A0", "1A⁰"), =HYPERLINK("CSG0.html#group7A0", "7A⁰"), =HYPERLINK("CSG3.html#group14D3", "14D³")</f>
        <v/>
      </c>
      <c r="N1998">
        <f>HYPERLINK("CSG21.html#group56F21", "56F²¹"), =HYPERLINK("CSG21.html#group28D21", "28D²¹"), =HYPERLINK("CSG17.html#group28A17", "28A¹⁷"), =HYPERLINK("CSG21.html#group56E21", "56E²¹"), =HYPERLINK("CSG21.html#group28B21", "28B²¹")</f>
        <v/>
      </c>
    </row>
    <row r="1999">
      <c r="A1999" t="inlineStr">
        <is>
          <t>28B⁹</t>
        </is>
      </c>
      <c r="B1999" t="inlineStr"/>
      <c r="C1999" t="inlineStr">
        <is>
          <t>168</t>
        </is>
      </c>
      <c r="D1999" t="inlineStr">
        <is>
          <t>1</t>
        </is>
      </c>
      <c r="E1999" t="inlineStr">
        <is>
          <t>84</t>
        </is>
      </c>
      <c r="F1999" t="inlineStr">
        <is>
          <t>8</t>
        </is>
      </c>
      <c r="G1999" t="inlineStr">
        <is>
          <t>0</t>
        </is>
      </c>
      <c r="H1999" t="inlineStr">
        <is>
          <t>14⁴, 28⁴</t>
        </is>
      </c>
      <c r="I1999" t="n">
        <v>8</v>
      </c>
      <c r="J1999" t="inlineStr">
        <is>
          <t>1³, 3³, 6¹²</t>
        </is>
      </c>
      <c r="K1999">
        <f>HYPERLINK("CSG2.html#group28C2", "28C²"), =HYPERLINK("CSG3.html#group14D3", "14D³")</f>
        <v/>
      </c>
      <c r="L1999">
        <f>HYPERLINK("CSG17.html#group28D17", "28D¹⁷"), =HYPERLINK("CSG21.html#group28D21", "28D²¹"), =HYPERLINK("CSG21.html#group28E21", "28E²¹"), =HYPERLINK("CSG21.html#group28I21", "28I²¹"), =HYPERLINK("CSG21.html#group28J21", "28J²¹"), =HYPERLINK("CSG21.html#group56C21", "56C²¹"), =HYPERLINK("CSG21.html#group56D21", "56D²¹"), =HYPERLINK("CSG21.html#group56H21", "56H²¹"), =HYPERLINK("CSG21.html#group56G21", "56G²¹")</f>
        <v/>
      </c>
      <c r="M1999">
        <f>HYPERLINK("CSG2.html#group28C2", "28C²"), =HYPERLINK("CSG1.html#group14B1", "14B¹"), =HYPERLINK("CSG0.html#group4C0", "4C⁰"), =HYPERLINK("CSG0.html#group7F0", "7F⁰"), =HYPERLINK("CSG0.html#group2B0", "2B⁰"), =HYPERLINK("CSG0.html#group1A0", "1A⁰"), =HYPERLINK("CSG0.html#group7A0", "7A⁰"), =HYPERLINK("CSG3.html#group14D3", "14D³")</f>
        <v/>
      </c>
      <c r="N1999">
        <f>HYPERLINK("CSG21.html#group28E21", "28E²¹"), =HYPERLINK("CSG21.html#group56H21", "56H²¹"), =HYPERLINK("CSG21.html#group28I21", "28I²¹"), =HYPERLINK("CSG21.html#group56G21", "56G²¹"), =HYPERLINK("CSG21.html#group56D21", "56D²¹"), =HYPERLINK("CSG21.html#group28J21", "28J²¹"), =HYPERLINK("CSG21.html#group28D21", "28D²¹"), =HYPERLINK("CSG21.html#group56C21", "56C²¹"), =HYPERLINK("CSG17.html#group28D17", "28D¹⁷")</f>
        <v/>
      </c>
    </row>
    <row r="2000">
      <c r="A2000" t="inlineStr">
        <is>
          <t>28C⁹</t>
        </is>
      </c>
      <c r="B2000" t="inlineStr"/>
      <c r="C2000" t="inlineStr">
        <is>
          <t>168</t>
        </is>
      </c>
      <c r="D2000" t="inlineStr">
        <is>
          <t>2</t>
        </is>
      </c>
      <c r="E2000" t="inlineStr">
        <is>
          <t>28</t>
        </is>
      </c>
      <c r="F2000" t="inlineStr">
        <is>
          <t>12</t>
        </is>
      </c>
      <c r="G2000" t="inlineStr">
        <is>
          <t>0</t>
        </is>
      </c>
      <c r="H2000" t="inlineStr">
        <is>
          <t>28⁶</t>
        </is>
      </c>
      <c r="I2000" t="n">
        <v>6</v>
      </c>
      <c r="J2000" t="inlineStr">
        <is>
          <t>4², 12⁴</t>
        </is>
      </c>
      <c r="K2000">
        <f>HYPERLINK("CSG0.html#group7G0", "7G⁰"), =HYPERLINK("CSG3.html#group28D3", "28D³"), =HYPERLINK("CSG4.html#group28B4", "28B⁴")</f>
        <v/>
      </c>
      <c r="L2000">
        <f>HYPERLINK("CSG19.html#group28C19", "28C¹⁹"), =HYPERLINK("CSG21.html#group28F21", "28F²¹"), =HYPERLINK("CSG23.html#group28D23", "28D²³"), =HYPERLINK("CSG23.html#group56C23", "56C²³"), =HYPERLINK("CSG23.html#group56B23", "56B²³"), =HYPERLINK("CSG23.html#group56K23", "56K²³"), =HYPERLINK("CSG23.html#group56L23", "56L²³")</f>
        <v/>
      </c>
      <c r="M2000">
        <f>HYPERLINK("CSG3.html#group28D3", "28D³"), =HYPERLINK("CSG0.html#group7D0", "7D⁰"), =HYPERLINK("CSG0.html#group4A0", "4A⁰"), =HYPERLINK("CSG0.html#group7C0", "7C⁰"), =HYPERLINK("CSG0.html#group7G0", "7G⁰"), =HYPERLINK("CSG4.html#group28B4", "28B⁴"), =HYPERLINK("CSG1.html#group28A1", "28A¹"), =HYPERLINK("CSG0.html#group1A0", "1A⁰"), =HYPERLINK("CSG0.html#group7A0", "7A⁰")</f>
        <v/>
      </c>
      <c r="N2000">
        <f>HYPERLINK("CSG23.html#group56L23", "56L²³"), =HYPERLINK("CSG23.html#group56K23", "56K²³"), =HYPERLINK("CSG23.html#group56C23", "56C²³"), =HYPERLINK("CSG19.html#group28C19", "28C¹⁹"), =HYPERLINK("CSG23.html#group56B23", "56B²³"), =HYPERLINK("CSG23.html#group28D23", "28D²³"), =HYPERLINK("CSG21.html#group28F21", "28F²¹")</f>
        <v/>
      </c>
    </row>
    <row r="2001">
      <c r="A2001" t="inlineStr">
        <is>
          <t>28D⁹</t>
        </is>
      </c>
      <c r="B2001" t="inlineStr"/>
      <c r="C2001" t="inlineStr">
        <is>
          <t>168</t>
        </is>
      </c>
      <c r="D2001" t="inlineStr">
        <is>
          <t>2</t>
        </is>
      </c>
      <c r="E2001" t="inlineStr">
        <is>
          <t>168</t>
        </is>
      </c>
      <c r="F2001" t="inlineStr">
        <is>
          <t>8</t>
        </is>
      </c>
      <c r="G2001" t="inlineStr">
        <is>
          <t>3</t>
        </is>
      </c>
      <c r="H2001" t="inlineStr">
        <is>
          <t>28⁶</t>
        </is>
      </c>
      <c r="I2001" t="n">
        <v>6</v>
      </c>
      <c r="J2001" t="inlineStr">
        <is>
          <t>12²⁸</t>
        </is>
      </c>
      <c r="K2001">
        <f>HYPERLINK("CSG1.html#group14F1", "14F¹")</f>
        <v/>
      </c>
      <c r="L2001">
        <f>HYPERLINK("CSG21.html#group28L21", "28L²¹"), =HYPERLINK("CSG22.html#group56I22", "56I²²"), =HYPERLINK("CSG22.html#group56J22", "56J²²")</f>
        <v/>
      </c>
      <c r="M2001">
        <f>HYPERLINK("CSG0.html#group7A0", "7A⁰"), =HYPERLINK("CSG0.html#group14A0", "14A⁰"), =HYPERLINK("CSG0.html#group1A0", "1A⁰"), =HYPERLINK("CSG1.html#group14F1", "14F¹")</f>
        <v/>
      </c>
      <c r="N2001">
        <f>HYPERLINK("CSG21.html#group28L21", "28L²¹"), =HYPERLINK("CSG22.html#group56J22", "56J²²"), =HYPERLINK("CSG22.html#group56I22", "56I²²")</f>
        <v/>
      </c>
    </row>
    <row r="2002">
      <c r="A2002" t="inlineStr">
        <is>
          <t>28E⁹</t>
        </is>
      </c>
      <c r="B2002" t="inlineStr"/>
      <c r="C2002" t="inlineStr">
        <is>
          <t>168</t>
        </is>
      </c>
      <c r="D2002" t="inlineStr">
        <is>
          <t>2</t>
        </is>
      </c>
      <c r="E2002" t="inlineStr">
        <is>
          <t>168</t>
        </is>
      </c>
      <c r="F2002" t="inlineStr">
        <is>
          <t>8</t>
        </is>
      </c>
      <c r="G2002" t="inlineStr">
        <is>
          <t>3</t>
        </is>
      </c>
      <c r="H2002" t="inlineStr">
        <is>
          <t>28⁶</t>
        </is>
      </c>
      <c r="I2002" t="n">
        <v>6</v>
      </c>
      <c r="J2002" t="inlineStr">
        <is>
          <t>12²⁸</t>
        </is>
      </c>
      <c r="K2002">
        <f>HYPERLINK("CSG1.html#group14F1", "14F¹"), =HYPERLINK("CSG2.html#group28E2", "28E²")</f>
        <v/>
      </c>
      <c r="L2002">
        <f>HYPERLINK("CSG21.html#group28K21", "28K²¹"), =HYPERLINK("CSG22.html#group56K22", "56K²²"), =HYPERLINK("CSG22.html#group56L22", "56L²²")</f>
        <v/>
      </c>
      <c r="M2002">
        <f>HYPERLINK("CSG2.html#group28E2", "28E²"), =HYPERLINK("CSG0.html#group14A0", "14A⁰"), =HYPERLINK("CSG1.html#group14F1", "14F¹"), =HYPERLINK("CSG1.html#group28A1", "28A¹"), =HYPERLINK("CSG0.html#group1A0", "1A⁰"), =HYPERLINK("CSG0.html#group4A0", "4A⁰"), =HYPERLINK("CSG0.html#group7A0", "7A⁰")</f>
        <v/>
      </c>
      <c r="N2002">
        <f>HYPERLINK("CSG22.html#group56K22", "56K²²"), =HYPERLINK("CSG21.html#group28K21", "28K²¹"), =HYPERLINK("CSG22.html#group56L22", "56L²²")</f>
        <v/>
      </c>
    </row>
    <row r="2003">
      <c r="A2003" t="inlineStr">
        <is>
          <t>28F⁹</t>
        </is>
      </c>
      <c r="B2003" t="inlineStr"/>
      <c r="C2003" t="inlineStr">
        <is>
          <t>192</t>
        </is>
      </c>
      <c r="D2003" t="inlineStr">
        <is>
          <t>1</t>
        </is>
      </c>
      <c r="E2003" t="inlineStr">
        <is>
          <t>24</t>
        </is>
      </c>
      <c r="F2003" t="inlineStr">
        <is>
          <t>0</t>
        </is>
      </c>
      <c r="G2003" t="inlineStr">
        <is>
          <t>0</t>
        </is>
      </c>
      <c r="H2003" t="inlineStr">
        <is>
          <t>2⁴, 4⁴, 14⁴, 28⁴</t>
        </is>
      </c>
      <c r="I2003" t="n">
        <v>16</v>
      </c>
      <c r="J2003" t="inlineStr">
        <is>
          <t>1⁶, 6³</t>
        </is>
      </c>
      <c r="K2003">
        <f>HYPERLINK("CSG4.html#group28D4", "28D⁴"), =HYPERLINK("CSG4.html#group28E4", "28E⁴"), =HYPERLINK("CSG5.html#group28E5", "28E⁵")</f>
        <v/>
      </c>
      <c r="L2003">
        <f>HYPERLINK("CSG21.html#group28M21", "28M²¹"), =HYPERLINK("CSG21.html#group56L21", "56L²¹"), =HYPERLINK("CSG21.html#group56N21", "56N²¹")</f>
        <v/>
      </c>
      <c r="M2003">
        <f>HYPERLINK("CSG0.html#group2A0", "2A⁰"), =HYPERLINK("CSG2.html#group28D2", "28D²"), =HYPERLINK("CSG0.html#group4C0", "4C⁰"), =HYPERLINK("CSG0.html#group2B0", "2B⁰"), =HYPERLINK("CSG0.html#group4E0", "4E⁰"), =HYPERLINK("CSG2.html#group14E2", "14E²"), =HYPERLINK("CSG0.html#group4B0", "4B⁰"), =HYPERLINK("CSG0.html#group1A0", "1A⁰"), =HYPERLINK("CSG4.html#group28D4", "28D⁴"), =HYPERLINK("CSG4.html#group28E4", "28E⁴"), =HYPERLINK("CSG5.html#group28E5", "28E⁵"), =HYPERLINK("CSG0.html#group7B0", "7B⁰"), =HYPERLINK("CSG1.html#group14C1", "14C¹"), =HYPERLINK("CSG0.html#group14B0", "14B⁰"), =HYPERLINK("CSG3.html#group28C3", "28C³"), =HYPERLINK("CSG0.html#group2C0", "2C⁰")</f>
        <v/>
      </c>
      <c r="N2003">
        <f>HYPERLINK("CSG21.html#group28M21", "28M²¹"), =HYPERLINK("CSG21.html#group56N21", "56N²¹"), =HYPERLINK("CSG21.html#group56L21", "56L²¹")</f>
        <v/>
      </c>
    </row>
    <row r="2004">
      <c r="A2004" t="inlineStr">
        <is>
          <t>28G⁹</t>
        </is>
      </c>
      <c r="B2004" t="inlineStr"/>
      <c r="C2004" t="inlineStr">
        <is>
          <t>192</t>
        </is>
      </c>
      <c r="D2004" t="inlineStr">
        <is>
          <t>1</t>
        </is>
      </c>
      <c r="E2004" t="inlineStr">
        <is>
          <t>64</t>
        </is>
      </c>
      <c r="F2004" t="inlineStr">
        <is>
          <t>0</t>
        </is>
      </c>
      <c r="G2004" t="inlineStr">
        <is>
          <t>6</t>
        </is>
      </c>
      <c r="H2004" t="inlineStr">
        <is>
          <t>4⁶, 28⁶</t>
        </is>
      </c>
      <c r="I2004" t="n">
        <v>12</v>
      </c>
      <c r="J2004" t="inlineStr">
        <is>
          <t>2⁸, 12⁴</t>
        </is>
      </c>
      <c r="K2004">
        <f>HYPERLINK("CSG0.html#group14C0", "14C⁰"), =HYPERLINK("CSG3.html#group28E3", "28E³")</f>
        <v/>
      </c>
      <c r="L2004">
        <f>HYPERLINK("CSG17.html#group28E17", "28E¹⁷"), =HYPERLINK("CSG23.html#group56T23", "56T²³"), =HYPERLINK("CSG23.html#group56S23", "56S²³")</f>
        <v/>
      </c>
      <c r="M2004">
        <f>HYPERLINK("CSG0.html#group2A0", "2A⁰"), =HYPERLINK("CSG0.html#group7B0", "7B⁰"), =HYPERLINK("CSG0.html#group4A0", "4A⁰"), =HYPERLINK("CSG0.html#group4D0", "4D⁰"), =HYPERLINK("CSG0.html#group14B0", "14B⁰"), =HYPERLINK("CSG3.html#group28E3", "28E³"), =HYPERLINK("CSG0.html#group14C0", "14C⁰"), =HYPERLINK("CSG0.html#group1A0", "1A⁰"), =HYPERLINK("CSG2.html#group28A2", "28A²")</f>
        <v/>
      </c>
      <c r="N2004">
        <f>HYPERLINK("CSG23.html#group56S23", "56S²³"), =HYPERLINK("CSG17.html#group28E17", "28E¹⁷"), =HYPERLINK("CSG23.html#group56T23", "56T²³")</f>
        <v/>
      </c>
    </row>
    <row r="2005">
      <c r="A2005" t="inlineStr">
        <is>
          <t>30A⁹</t>
        </is>
      </c>
      <c r="B2005" t="inlineStr"/>
      <c r="C2005" t="inlineStr">
        <is>
          <t>120</t>
        </is>
      </c>
      <c r="D2005" t="inlineStr">
        <is>
          <t>1</t>
        </is>
      </c>
      <c r="E2005" t="inlineStr">
        <is>
          <t>5</t>
        </is>
      </c>
      <c r="F2005" t="inlineStr">
        <is>
          <t>0</t>
        </is>
      </c>
      <c r="G2005" t="inlineStr">
        <is>
          <t>0</t>
        </is>
      </c>
      <c r="H2005" t="inlineStr">
        <is>
          <t>30⁴</t>
        </is>
      </c>
      <c r="I2005" t="n">
        <v>4</v>
      </c>
      <c r="J2005" t="inlineStr">
        <is>
          <t>1¹, 4¹</t>
        </is>
      </c>
      <c r="K2005">
        <f>HYPERLINK("CSG1.html#group6D1", "6D¹"), =HYPERLINK("CSG2.html#group30D2", "30D²"), =HYPERLINK("CSG4.html#group15A4", "15A⁴"), =HYPERLINK("CSG4.html#group30A4", "30A⁴"), =HYPERLINK("CSG5.html#group30B5", "30B⁵")</f>
        <v/>
      </c>
      <c r="L2005">
        <f>HYPERLINK("CSG19.html#group60A19", "60A¹⁹")</f>
        <v/>
      </c>
      <c r="M2005">
        <f>HYPERLINK("CSG0.html#group3B0", "3B⁰"), =HYPERLINK("CSG0.html#group2A0", "2A⁰"), =HYPERLINK("CSG0.html#group5A0", "5A⁰"), =HYPERLINK("CSG3.html#group30A3", "30A³"), =HYPERLINK("CSG0.html#group6B0", "6B⁰"), =HYPERLINK("CSG4.html#group15A4", "15A⁴"), =HYPERLINK("CSG2.html#group30D2", "30D²"), =HYPERLINK("CSG0.html#group6C0", "6C⁰"), =HYPERLINK("CSG4.html#group30A4", "30A⁴"), =HYPERLINK("CSG0.html#group1A0", "1A⁰"), =HYPERLINK("CSG5.html#group30B5", "30B⁵"), =HYPERLINK("CSG0.html#group10A0", "10A⁰"), =HYPERLINK("CSG2.html#group30A2", "30A²"), =HYPERLINK("CSG1.html#group6D1", "6D¹"), =HYPERLINK("CSG2.html#group15A2", "15A²"), =HYPERLINK("CSG0.html#group6E0", "6E⁰"), =HYPERLINK("CSG1.html#group6B1", "6B¹"), =HYPERLINK("CSG1.html#group15B1", "15B¹"), =HYPERLINK("CSG0.html#group3C0", "3C⁰"), =HYPERLINK("CSG1.html#group6A1", "6A¹"), =HYPERLINK("CSG0.html#group3A0", "3A⁰"), =HYPERLINK("CSG0.html#group3D0", "3D⁰"), =HYPERLINK("CSG1.html#group15A1", "15A¹")</f>
        <v/>
      </c>
      <c r="N2005">
        <f>HYPERLINK("CSG19.html#group60A19", "60A¹⁹")</f>
        <v/>
      </c>
    </row>
    <row r="2006">
      <c r="A2006" t="inlineStr">
        <is>
          <t>30B⁹</t>
        </is>
      </c>
      <c r="B2006" t="inlineStr"/>
      <c r="C2006" t="inlineStr">
        <is>
          <t>120</t>
        </is>
      </c>
      <c r="D2006" t="inlineStr">
        <is>
          <t>1</t>
        </is>
      </c>
      <c r="E2006" t="inlineStr">
        <is>
          <t>10</t>
        </is>
      </c>
      <c r="F2006" t="inlineStr">
        <is>
          <t>0</t>
        </is>
      </c>
      <c r="G2006" t="inlineStr">
        <is>
          <t>0</t>
        </is>
      </c>
      <c r="H2006" t="inlineStr">
        <is>
          <t>30⁴</t>
        </is>
      </c>
      <c r="I2006" t="n">
        <v>4</v>
      </c>
      <c r="J2006" t="inlineStr">
        <is>
          <t>2¹, 4²</t>
        </is>
      </c>
      <c r="K2006">
        <f>HYPERLINK("CSG1.html#group10H1", "10H¹"), =HYPERLINK("CSG2.html#group30F2", "30F²"), =HYPERLINK("CSG3.html#group30A3", "30A³"), =HYPERLINK("CSG4.html#group15B4", "15B⁴"), =HYPERLINK("CSG5.html#group30A5", "30A⁵")</f>
        <v/>
      </c>
      <c r="L2006">
        <f>HYPERLINK("CSG17.html#group30E17", "30E¹⁷"), =HYPERLINK("CSG19.html#group60B19", "60B¹⁹"), =HYPERLINK("CSG19.html#group60D19", "60D¹⁹")</f>
        <v/>
      </c>
      <c r="M2006">
        <f>HYPERLINK("CSG1.html#group10H1", "10H¹"), =HYPERLINK("CSG3.html#group30A3", "30A³"), =HYPERLINK("CSG0.html#group2A0", "2A⁰"), =HYPERLINK("CSG0.html#group5A0", "5A⁰"), =HYPERLINK("CSG0.html#group10D0", "10D⁰"), =HYPERLINK("CSG4.html#group15B4", "15B⁴"), =HYPERLINK("CSG0.html#group5F0", "5F⁰"), =HYPERLINK("CSG5.html#group30A5", "30A⁵"), =HYPERLINK("CSG0.html#group1A0", "1A⁰"), =HYPERLINK("CSG2.html#group30F2", "30F²"), =HYPERLINK("CSG1.html#group15D1", "15D¹"), =HYPERLINK("CSG0.html#group10A0", "10A⁰"), =HYPERLINK("CSG1.html#group10C1", "10C¹"), =HYPERLINK("CSG1.html#group6A1", "6A¹"), =HYPERLINK("CSG0.html#group3A0", "3A⁰"), =HYPERLINK("CSG0.html#group5C0", "5C⁰"), =HYPERLINK("CSG1.html#group15A1", "15A¹")</f>
        <v/>
      </c>
      <c r="N2006">
        <f>HYPERLINK("CSG19.html#group60B19", "60B¹⁹"), =HYPERLINK("CSG17.html#group30E17", "30E¹⁷"), =HYPERLINK("CSG19.html#group60D19", "60D¹⁹")</f>
        <v/>
      </c>
    </row>
    <row r="2007">
      <c r="A2007" t="inlineStr">
        <is>
          <t>30C⁹</t>
        </is>
      </c>
      <c r="B2007" t="inlineStr"/>
      <c r="C2007" t="inlineStr">
        <is>
          <t>120</t>
        </is>
      </c>
      <c r="D2007" t="inlineStr">
        <is>
          <t>1</t>
        </is>
      </c>
      <c r="E2007" t="inlineStr">
        <is>
          <t>30</t>
        </is>
      </c>
      <c r="F2007" t="inlineStr">
        <is>
          <t>0</t>
        </is>
      </c>
      <c r="G2007" t="inlineStr">
        <is>
          <t>0</t>
        </is>
      </c>
      <c r="H2007" t="inlineStr">
        <is>
          <t>30⁴</t>
        </is>
      </c>
      <c r="I2007" t="n">
        <v>4</v>
      </c>
      <c r="J2007" t="inlineStr">
        <is>
          <t>2¹, 4³, 8²</t>
        </is>
      </c>
      <c r="K2007">
        <f>HYPERLINK("CSG3.html#group15C3", "15C³"), =HYPERLINK("CSG4.html#group30C4", "30C⁴")</f>
        <v/>
      </c>
      <c r="L2007">
        <f>HYPERLINK("CSG17.html#group30A17", "30A¹⁷"), =HYPERLINK("CSG17.html#group30C17", "30C¹⁷"), =HYPERLINK("CSG17.html#group30D17", "30D¹⁷")</f>
        <v/>
      </c>
      <c r="M2007">
        <f>HYPERLINK("CSG4.html#group30C4", "30C⁴"), =HYPERLINK("CSG1.html#group15D1", "15D¹"), =HYPERLINK("CSG0.html#group5C0", "5C⁰"), =HYPERLINK("CSG0.html#group3C0", "3C⁰"), =HYPERLINK("CSG3.html#group15C3", "15C³"), =HYPERLINK("CSG0.html#group3A0", "3A⁰"), =HYPERLINK("CSG0.html#group1A0", "1A⁰")</f>
        <v/>
      </c>
      <c r="N2007">
        <f>HYPERLINK("CSG17.html#group30C17", "30C¹⁷"), =HYPERLINK("CSG17.html#group30D17", "30D¹⁷"), =HYPERLINK("CSG17.html#group30A17", "30A¹⁷")</f>
        <v/>
      </c>
    </row>
    <row r="2008">
      <c r="A2008" t="inlineStr">
        <is>
          <t>30D⁹</t>
        </is>
      </c>
      <c r="B2008" t="inlineStr"/>
      <c r="C2008" t="inlineStr">
        <is>
          <t>120</t>
        </is>
      </c>
      <c r="D2008" t="inlineStr">
        <is>
          <t>1</t>
        </is>
      </c>
      <c r="E2008" t="inlineStr">
        <is>
          <t>30</t>
        </is>
      </c>
      <c r="F2008" t="inlineStr">
        <is>
          <t>0</t>
        </is>
      </c>
      <c r="G2008" t="inlineStr">
        <is>
          <t>0</t>
        </is>
      </c>
      <c r="H2008" t="inlineStr">
        <is>
          <t>30⁴</t>
        </is>
      </c>
      <c r="I2008" t="n">
        <v>4</v>
      </c>
      <c r="J2008" t="inlineStr">
        <is>
          <t>2¹, 4³, 8²</t>
        </is>
      </c>
      <c r="K2008">
        <f>HYPERLINK("CSG2.html#group15D2", "15D²"), =HYPERLINK("CSG4.html#group30C4", "30C⁴"), =HYPERLINK("CSG5.html#group30A5", "30A⁵")</f>
        <v/>
      </c>
      <c r="L2008">
        <f>HYPERLINK("CSG17.html#group30C17", "30C¹⁷"), =HYPERLINK("CSG17.html#group30E17", "30E¹⁷")</f>
        <v/>
      </c>
      <c r="M2008">
        <f>HYPERLINK("CSG0.html#group2A0", "2A⁰"), =HYPERLINK("CSG4.html#group30C4", "30C⁴"), =HYPERLINK("CSG1.html#group15D1", "15D¹"), =HYPERLINK("CSG0.html#group5C0", "5C⁰"), =HYPERLINK("CSG2.html#group15D2", "15D²"), =HYPERLINK("CSG1.html#group10C1", "10C¹"), =HYPERLINK("CSG1.html#group6A1", "6A¹"), =HYPERLINK("CSG5.html#group30A5", "30A⁵"), =HYPERLINK("CSG0.html#group3A0", "3A⁰"), =HYPERLINK("CSG0.html#group1A0", "1A⁰")</f>
        <v/>
      </c>
      <c r="N2008">
        <f>HYPERLINK("CSG17.html#group30C17", "30C¹⁷"), =HYPERLINK("CSG17.html#group30E17", "30E¹⁷")</f>
        <v/>
      </c>
    </row>
    <row r="2009">
      <c r="A2009" t="inlineStr">
        <is>
          <t>30E⁹</t>
        </is>
      </c>
      <c r="B2009" t="inlineStr"/>
      <c r="C2009" t="inlineStr">
        <is>
          <t>120</t>
        </is>
      </c>
      <c r="D2009" t="inlineStr">
        <is>
          <t>1</t>
        </is>
      </c>
      <c r="E2009" t="inlineStr">
        <is>
          <t>30</t>
        </is>
      </c>
      <c r="F2009" t="inlineStr">
        <is>
          <t>0</t>
        </is>
      </c>
      <c r="G2009" t="inlineStr">
        <is>
          <t>0</t>
        </is>
      </c>
      <c r="H2009" t="inlineStr">
        <is>
          <t>30⁴</t>
        </is>
      </c>
      <c r="I2009" t="n">
        <v>4</v>
      </c>
      <c r="J2009" t="inlineStr">
        <is>
          <t>2¹, 4³, 8²</t>
        </is>
      </c>
      <c r="K2009">
        <f>HYPERLINK("CSG1.html#group6B1", "6B¹"), =HYPERLINK("CSG3.html#group15C3", "15C³"), =HYPERLINK("CSG3.html#group30H3", "30H³"), =HYPERLINK("CSG5.html#group30A5", "30A⁵")</f>
        <v/>
      </c>
      <c r="L2009">
        <f>HYPERLINK("CSG17.html#group30B17", "30B¹⁷"), =HYPERLINK("CSG17.html#group30C17", "30C¹⁷"), =HYPERLINK("CSG17.html#group30E17", "30E¹⁷")</f>
        <v/>
      </c>
      <c r="M2009">
        <f>HYPERLINK("CSG0.html#group2A0", "2A⁰"), =HYPERLINK("CSG1.html#group15D1", "15D¹"), =HYPERLINK("CSG0.html#group6B0", "6B⁰"), =HYPERLINK("CSG0.html#group3A0", "3A⁰"), =HYPERLINK("CSG1.html#group6B1", "6B¹"), =HYPERLINK("CSG0.html#group5C0", "5C⁰"), =HYPERLINK("CSG0.html#group3C0", "3C⁰"), =HYPERLINK("CSG1.html#group10C1", "10C¹"), =HYPERLINK("CSG1.html#group6A1", "6A¹"), =HYPERLINK("CSG5.html#group30A5", "30A⁵"), =HYPERLINK("CSG3.html#group15C3", "15C³"), =HYPERLINK("CSG3.html#group30H3", "30H³"), =HYPERLINK("CSG0.html#group1A0", "1A⁰")</f>
        <v/>
      </c>
      <c r="N2009">
        <f>HYPERLINK("CSG17.html#group30C17", "30C¹⁷"), =HYPERLINK("CSG17.html#group30B17", "30B¹⁷"), =HYPERLINK("CSG17.html#group30E17", "30E¹⁷")</f>
        <v/>
      </c>
    </row>
    <row r="2010">
      <c r="A2010" t="inlineStr">
        <is>
          <t>30F⁹</t>
        </is>
      </c>
      <c r="B2010" t="inlineStr"/>
      <c r="C2010" t="inlineStr">
        <is>
          <t>120</t>
        </is>
      </c>
      <c r="D2010" t="inlineStr">
        <is>
          <t>1</t>
        </is>
      </c>
      <c r="E2010" t="inlineStr">
        <is>
          <t>30</t>
        </is>
      </c>
      <c r="F2010" t="inlineStr">
        <is>
          <t>0</t>
        </is>
      </c>
      <c r="G2010" t="inlineStr">
        <is>
          <t>0</t>
        </is>
      </c>
      <c r="H2010" t="inlineStr">
        <is>
          <t>30⁴</t>
        </is>
      </c>
      <c r="I2010" t="n">
        <v>4</v>
      </c>
      <c r="J2010" t="inlineStr">
        <is>
          <t>2¹, 4³, 8²</t>
        </is>
      </c>
      <c r="K2010">
        <f>HYPERLINK("CSG2.html#group30A2", "30A²"), =HYPERLINK("CSG3.html#group30H3", "30H³"), =HYPERLINK("CSG4.html#group15B4", "15B⁴"), =HYPERLINK("CSG4.html#group30C4", "30C⁴")</f>
        <v/>
      </c>
      <c r="L2010">
        <f>HYPERLINK("CSG17.html#group30D17", "30D¹⁷"), =HYPERLINK("CSG17.html#group30E17", "30E¹⁷")</f>
        <v/>
      </c>
      <c r="M2010">
        <f>HYPERLINK("CSG4.html#group30C4", "30C⁴"), =HYPERLINK("CSG1.html#group15D1", "15D¹"), =HYPERLINK("CSG2.html#group30A2", "30A²"), =HYPERLINK("CSG0.html#group6B0", "6B⁰"), =HYPERLINK("CSG0.html#group3A0", "3A⁰"), =HYPERLINK("CSG0.html#group5A0", "5A⁰"), =HYPERLINK("CSG4.html#group15B4", "15B⁴"), =HYPERLINK("CSG0.html#group5C0", "5C⁰"), =HYPERLINK("CSG0.html#group5F0", "5F⁰"), =HYPERLINK("CSG3.html#group30H3", "30H³"), =HYPERLINK("CSG0.html#group1A0", "1A⁰"), =HYPERLINK("CSG1.html#group15A1", "15A¹")</f>
        <v/>
      </c>
      <c r="N2010">
        <f>HYPERLINK("CSG17.html#group30D17", "30D¹⁷"), =HYPERLINK("CSG17.html#group30E17", "30E¹⁷")</f>
        <v/>
      </c>
    </row>
    <row r="2011">
      <c r="A2011" t="inlineStr">
        <is>
          <t>30G⁹</t>
        </is>
      </c>
      <c r="B2011" t="inlineStr"/>
      <c r="C2011" t="inlineStr">
        <is>
          <t>144</t>
        </is>
      </c>
      <c r="D2011" t="inlineStr">
        <is>
          <t>1</t>
        </is>
      </c>
      <c r="E2011" t="inlineStr">
        <is>
          <t>6</t>
        </is>
      </c>
      <c r="F2011" t="inlineStr">
        <is>
          <t>0</t>
        </is>
      </c>
      <c r="G2011" t="inlineStr">
        <is>
          <t>0</t>
        </is>
      </c>
      <c r="H2011" t="inlineStr">
        <is>
          <t>6⁴, 30⁴</t>
        </is>
      </c>
      <c r="I2011" t="n">
        <v>8</v>
      </c>
      <c r="J2011" t="inlineStr">
        <is>
          <t>1², 4¹</t>
        </is>
      </c>
      <c r="K2011">
        <f>HYPERLINK("CSG3.html#group15E3", "15E³"), =HYPERLINK("CSG3.html#group30F3", "30F³"), =HYPERLINK("CSG3.html#group30J3", "30J³"), =HYPERLINK("CSG5.html#group30E5", "30E⁵")</f>
        <v/>
      </c>
      <c r="L2011">
        <f>HYPERLINK("CSG17.html#group30H17", "30H¹⁷"), =HYPERLINK("CSG21.html#group60Q21", "60Q²¹")</f>
        <v/>
      </c>
      <c r="M2011">
        <f>HYPERLINK("CSG0.html#group30A0", "30A⁰"), =HYPERLINK("CSG0.html#group3B0", "3B⁰"), =HYPERLINK("CSG3.html#group30J3", "30J³"), =HYPERLINK("CSG0.html#group5B0", "5B⁰"), =HYPERLINK("CSG0.html#group1A0", "1A⁰"), =HYPERLINK("CSG0.html#group10B0", "10B⁰"), =HYPERLINK("CSG1.html#group15C1", "15C¹"), =HYPERLINK("CSG3.html#group30F3", "30F³"), =HYPERLINK("CSG0.html#group15B0", "15B⁰"), =HYPERLINK("CSG3.html#group15E3", "15E³"), =HYPERLINK("CSG5.html#group30E5", "30E⁵"), =HYPERLINK("CSG0.html#group3C0", "3C⁰"), =HYPERLINK("CSG0.html#group3A0", "3A⁰"), =HYPERLINK("CSG0.html#group3D0", "3D⁰"), =HYPERLINK("CSG1.html#group15E1", "15E¹"), =HYPERLINK("CSG2.html#group30C2", "30C²")</f>
        <v/>
      </c>
      <c r="N2011">
        <f>HYPERLINK("CSG17.html#group30H17", "30H¹⁷"), =HYPERLINK("CSG21.html#group60Q21", "60Q²¹")</f>
        <v/>
      </c>
    </row>
    <row r="2012">
      <c r="A2012" t="inlineStr">
        <is>
          <t>30H⁹</t>
        </is>
      </c>
      <c r="B2012" t="inlineStr"/>
      <c r="C2012" t="inlineStr">
        <is>
          <t>144</t>
        </is>
      </c>
      <c r="D2012" t="inlineStr">
        <is>
          <t>1</t>
        </is>
      </c>
      <c r="E2012" t="inlineStr">
        <is>
          <t>6</t>
        </is>
      </c>
      <c r="F2012" t="inlineStr">
        <is>
          <t>0</t>
        </is>
      </c>
      <c r="G2012" t="inlineStr">
        <is>
          <t>0</t>
        </is>
      </c>
      <c r="H2012" t="inlineStr">
        <is>
          <t>6⁴, 30⁴</t>
        </is>
      </c>
      <c r="I2012" t="n">
        <v>8</v>
      </c>
      <c r="J2012" t="inlineStr">
        <is>
          <t>1², 4¹</t>
        </is>
      </c>
      <c r="K2012">
        <f>HYPERLINK("CSG1.html#group6D1", "6D¹"), =HYPERLINK("CSG3.html#group15E3", "15E³"), =HYPERLINK("CSG3.html#group30G3", "30G³"), =HYPERLINK("CSG3.html#group30I3", "30I³"), =HYPERLINK("CSG5.html#group30H5", "30H⁵")</f>
        <v/>
      </c>
      <c r="L2012">
        <f>HYPERLINK("CSG17.html#group30H17", "30H¹⁷"), =HYPERLINK("CSG21.html#group60A21", "60A²¹"), =HYPERLINK("CSG21.html#group60B21", "60B²¹")</f>
        <v/>
      </c>
      <c r="M2012">
        <f>HYPERLINK("CSG0.html#group3B0", "3B⁰"), =HYPERLINK("CSG0.html#group2A0", "2A⁰"), =HYPERLINK("CSG0.html#group6B0", "6B⁰"), =HYPERLINK("CSG3.html#group30I3", "30I³"), =HYPERLINK("CSG1.html#group30C1", "30C¹"), =HYPERLINK("CSG0.html#group6C0", "6C⁰"), =HYPERLINK("CSG0.html#group5B0", "5B⁰"), =HYPERLINK("CSG1.html#group10A1", "10A¹"), =HYPERLINK("CSG3.html#group30G3", "30G³"), =HYPERLINK("CSG0.html#group1A0", "1A⁰"), =HYPERLINK("CSG3.html#group30B3", "30B³"), =HYPERLINK("CSG5.html#group30H5", "30H⁵"), =HYPERLINK("CSG1.html#group15C1", "15C¹"), =HYPERLINK("CSG0.html#group15B0", "15B⁰"), =HYPERLINK("CSG1.html#group6D1", "6D¹"), =HYPERLINK("CSG3.html#group15E3", "15E³"), =HYPERLINK("CSG0.html#group6E0", "6E⁰"), =HYPERLINK("CSG1.html#group6B1", "6B¹"), =HYPERLINK("CSG0.html#group3C0", "3C⁰"), =HYPERLINK("CSG1.html#group6A1", "6A¹"), =HYPERLINK("CSG0.html#group3A0", "3A⁰"), =HYPERLINK("CSG0.html#group3D0", "3D⁰"), =HYPERLINK("CSG1.html#group15E1", "15E¹")</f>
        <v/>
      </c>
      <c r="N2012">
        <f>HYPERLINK("CSG21.html#group60A21", "60A²¹"), =HYPERLINK("CSG21.html#group60B21", "60B²¹"), =HYPERLINK("CSG17.html#group30H17", "30H¹⁷")</f>
        <v/>
      </c>
    </row>
    <row r="2013">
      <c r="A2013" t="inlineStr">
        <is>
          <t>30I⁹</t>
        </is>
      </c>
      <c r="B2013" t="inlineStr"/>
      <c r="C2013" t="inlineStr">
        <is>
          <t>144</t>
        </is>
      </c>
      <c r="D2013" t="inlineStr">
        <is>
          <t>1</t>
        </is>
      </c>
      <c r="E2013" t="inlineStr">
        <is>
          <t>18</t>
        </is>
      </c>
      <c r="F2013" t="inlineStr">
        <is>
          <t>0</t>
        </is>
      </c>
      <c r="G2013" t="inlineStr">
        <is>
          <t>0</t>
        </is>
      </c>
      <c r="H2013" t="inlineStr">
        <is>
          <t>6⁴, 30⁴</t>
        </is>
      </c>
      <c r="I2013" t="n">
        <v>8</v>
      </c>
      <c r="J2013" t="inlineStr">
        <is>
          <t>1², 2², 4¹, 8¹</t>
        </is>
      </c>
      <c r="K2013">
        <f>HYPERLINK("CSG1.html#group15H1", "15H¹"), =HYPERLINK("CSG3.html#group30L3", "30L³"), =HYPERLINK("CSG5.html#group30E5", "30E⁵"), =HYPERLINK("CSG5.html#group30F5", "30F⁵"), =HYPERLINK("CSG5.html#group30H5", "30H⁵")</f>
        <v/>
      </c>
      <c r="L2013">
        <f>HYPERLINK("CSG17.html#group30H17", "30H¹⁷"), =HYPERLINK("CSG17.html#group30I17", "30I¹⁷")</f>
        <v/>
      </c>
      <c r="M2013">
        <f>HYPERLINK("CSG0.html#group2A0", "2A⁰"), =HYPERLINK("CSG3.html#group30L3", "30L³"), =HYPERLINK("CSG0.html#group6B0", "6B⁰"), =HYPERLINK("CSG0.html#group5B0", "5B⁰"), =HYPERLINK("CSG1.html#group10A1", "10A¹"), =HYPERLINK("CSG1.html#group15H1", "15H¹"), =HYPERLINK("CSG0.html#group1A0", "1A⁰"), =HYPERLINK("CSG5.html#group30F5", "30F⁵"), =HYPERLINK("CSG3.html#group30B3", "30B³"), =HYPERLINK("CSG5.html#group30H5", "30H⁵"), =HYPERLINK("CSG0.html#group15B0", "15B⁰"), =HYPERLINK("CSG1.html#group6B1", "6B¹"), =HYPERLINK("CSG5.html#group30E5", "30E⁵"), =HYPERLINK("CSG1.html#group15E1", "15E¹"), =HYPERLINK("CSG0.html#group3C0", "3C⁰"), =HYPERLINK("CSG0.html#group15C0", "15C⁰"), =HYPERLINK("CSG1.html#group6A1", "6A¹"), =HYPERLINK("CSG0.html#group3A0", "3A⁰"), =HYPERLINK("CSG1.html#group30C1", "30C¹"), =HYPERLINK("CSG2.html#group30C2", "30C²")</f>
        <v/>
      </c>
      <c r="N2013">
        <f>HYPERLINK("CSG17.html#group30I17", "30I¹⁷"), =HYPERLINK("CSG17.html#group30H17", "30H¹⁷")</f>
        <v/>
      </c>
    </row>
    <row r="2014">
      <c r="A2014" t="inlineStr">
        <is>
          <t>30J⁹</t>
        </is>
      </c>
      <c r="B2014" t="inlineStr"/>
      <c r="C2014" t="inlineStr">
        <is>
          <t>144</t>
        </is>
      </c>
      <c r="D2014" t="inlineStr">
        <is>
          <t>1</t>
        </is>
      </c>
      <c r="E2014" t="inlineStr">
        <is>
          <t>18</t>
        </is>
      </c>
      <c r="F2014" t="inlineStr">
        <is>
          <t>0</t>
        </is>
      </c>
      <c r="G2014" t="inlineStr">
        <is>
          <t>0</t>
        </is>
      </c>
      <c r="H2014" t="inlineStr">
        <is>
          <t>6⁴, 30⁴</t>
        </is>
      </c>
      <c r="I2014" t="n">
        <v>8</v>
      </c>
      <c r="J2014" t="inlineStr">
        <is>
          <t>1², 2², 4¹, 8¹</t>
        </is>
      </c>
      <c r="K2014">
        <f>HYPERLINK("CSG3.html#group15F3", "15F³"), =HYPERLINK("CSG3.html#group30I3", "30I³"), =HYPERLINK("CSG3.html#group30L3", "30L³"), =HYPERLINK("CSG5.html#group30E5", "30E⁵"), =HYPERLINK("CSG5.html#group30G5", "30G⁵")</f>
        <v/>
      </c>
      <c r="L2014">
        <f>HYPERLINK("CSG17.html#group30H17", "30H¹⁷"), =HYPERLINK("CSG21.html#group60G21", "60G²¹")</f>
        <v/>
      </c>
      <c r="M2014">
        <f>HYPERLINK("CSG3.html#group30L3", "30L³"), =HYPERLINK("CSG0.html#group6B0", "6B⁰"), =HYPERLINK("CSG3.html#group30I3", "30I³"), =HYPERLINK("CSG0.html#group5B0", "5B⁰"), =HYPERLINK("CSG0.html#group5D0", "5D⁰"), =HYPERLINK("CSG5.html#group30G5", "30G⁵"), =HYPERLINK("CSG3.html#group15F3", "15F³"), =HYPERLINK("CSG0.html#group1A0", "1A⁰"), =HYPERLINK("CSG0.html#group15B0", "15B⁰"), =HYPERLINK("CSG0.html#group6E0", "6E⁰"), =HYPERLINK("CSG5.html#group30E5", "30E⁵"), =HYPERLINK("CSG1.html#group15E1", "15E¹"), =HYPERLINK("CSG2.html#group15B2", "15B²"), =HYPERLINK("CSG0.html#group3C0", "3C⁰"), =HYPERLINK("CSG0.html#group15C0", "15C⁰"), =HYPERLINK("CSG0.html#group3A0", "3A⁰"), =HYPERLINK("CSG1.html#group30C1", "30C¹"), =HYPERLINK("CSG2.html#group30C2", "30C²")</f>
        <v/>
      </c>
      <c r="N2014">
        <f>HYPERLINK("CSG21.html#group60G21", "60G²¹"), =HYPERLINK("CSG17.html#group30H17", "30H¹⁷")</f>
        <v/>
      </c>
    </row>
    <row r="2015">
      <c r="A2015" t="inlineStr">
        <is>
          <t>30K⁹</t>
        </is>
      </c>
      <c r="B2015" t="inlineStr"/>
      <c r="C2015" t="inlineStr">
        <is>
          <t>144</t>
        </is>
      </c>
      <c r="D2015" t="inlineStr">
        <is>
          <t>1</t>
        </is>
      </c>
      <c r="E2015" t="inlineStr">
        <is>
          <t>18</t>
        </is>
      </c>
      <c r="F2015" t="inlineStr">
        <is>
          <t>0</t>
        </is>
      </c>
      <c r="G2015" t="inlineStr">
        <is>
          <t>0</t>
        </is>
      </c>
      <c r="H2015" t="inlineStr">
        <is>
          <t>6⁴, 30⁴</t>
        </is>
      </c>
      <c r="I2015" t="n">
        <v>8</v>
      </c>
      <c r="J2015" t="inlineStr">
        <is>
          <t>1², 2², 4¹, 8¹</t>
        </is>
      </c>
      <c r="K2015">
        <f>HYPERLINK("CSG1.html#group30D1", "30D¹"), =HYPERLINK("CSG3.html#group15F3", "15F³"), =HYPERLINK("CSG3.html#group30J3", "30J³"), =HYPERLINK("CSG5.html#group30C5", "30C⁵"), =HYPERLINK("CSG5.html#group30F5", "30F⁵"), =HYPERLINK("CSG5.html#group30G5", "30G⁵"), =HYPERLINK("CSG5.html#group30H5", "30H⁵")</f>
        <v/>
      </c>
      <c r="L2015">
        <f>HYPERLINK("CSG17.html#group30H17", "30H¹⁷"), =HYPERLINK("CSG21.html#group60C21", "60C²¹"), =HYPERLINK("CSG21.html#group60D21", "60D²¹")</f>
        <v/>
      </c>
      <c r="M2015">
        <f>HYPERLINK("CSG0.html#group30A0", "30A⁰"), =HYPERLINK("CSG0.html#group2A0", "2A⁰"), =HYPERLINK("CSG5.html#group30C5", "30C⁵"), =HYPERLINK("CSG0.html#group6B0", "6B⁰"), =HYPERLINK("CSG1.html#group30C1", "30C¹"), =HYPERLINK("CSG3.html#group30J3", "30J³"), =HYPERLINK("CSG0.html#group5B0", "5B⁰"), =HYPERLINK("CSG0.html#group5D0", "5D⁰"), =HYPERLINK("CSG5.html#group30G5", "30G⁵"), =HYPERLINK("CSG3.html#group15F3", "15F³"), =HYPERLINK("CSG1.html#group10A1", "10A¹"), =HYPERLINK("CSG1.html#group10D1", "10D¹"), =HYPERLINK("CSG0.html#group1A0", "1A⁰"), =HYPERLINK("CSG5.html#group30F5", "30F⁵"), =HYPERLINK("CSG3.html#group30B3", "30B³"), =HYPERLINK("CSG1.html#group30D1", "30D¹"), =HYPERLINK("CSG5.html#group30H5", "30H⁵"), =HYPERLINK("CSG0.html#group10B0", "10B⁰"), =HYPERLINK("CSG0.html#group15B0", "15B⁰"), =HYPERLINK("CSG1.html#group6B1", "6B¹"), =HYPERLINK("CSG2.html#group15B2", "15B²"), =HYPERLINK("CSG0.html#group3C0", "3C⁰"), =HYPERLINK("CSG1.html#group6A1", "6A¹"), =HYPERLINK("CSG0.html#group15C0", "15C⁰"), =HYPERLINK("CSG0.html#group3A0", "3A⁰"), =HYPERLINK("CSG1.html#group15E1", "15E¹"), =HYPERLINK("CSG2.html#group30C2", "30C²")</f>
        <v/>
      </c>
      <c r="N2015">
        <f>HYPERLINK("CSG21.html#group60D21", "60D²¹"), =HYPERLINK("CSG21.html#group60C21", "60C²¹"), =HYPERLINK("CSG17.html#group30H17", "30H¹⁷")</f>
        <v/>
      </c>
    </row>
    <row r="2016">
      <c r="A2016" t="inlineStr">
        <is>
          <t>30L⁹</t>
        </is>
      </c>
      <c r="B2016" t="inlineStr"/>
      <c r="C2016" t="inlineStr">
        <is>
          <t>144</t>
        </is>
      </c>
      <c r="D2016" t="inlineStr">
        <is>
          <t>1</t>
        </is>
      </c>
      <c r="E2016" t="inlineStr">
        <is>
          <t>48</t>
        </is>
      </c>
      <c r="F2016" t="inlineStr">
        <is>
          <t>0</t>
        </is>
      </c>
      <c r="G2016" t="inlineStr">
        <is>
          <t>0</t>
        </is>
      </c>
      <c r="H2016" t="inlineStr">
        <is>
          <t>6⁴, 30⁴</t>
        </is>
      </c>
      <c r="I2016" t="n">
        <v>8</v>
      </c>
      <c r="J2016" t="inlineStr">
        <is>
          <t>2⁸, 8⁴</t>
        </is>
      </c>
      <c r="K2016">
        <f>HYPERLINK("CSG0.html#group6J0", "6J⁰"), =HYPERLINK("CSG3.html#group30C3", "30C³"), =HYPERLINK("CSG3.html#group30G3", "30G³")</f>
        <v/>
      </c>
      <c r="L2016">
        <f>HYPERLINK("CSG17.html#group30J17", "30J¹⁷"), =HYPERLINK("CSG21.html#group60I21", "60I²¹"), =HYPERLINK("CSG21.html#group60J21", "60J²¹")</f>
        <v/>
      </c>
      <c r="M2016">
        <f>HYPERLINK("CSG0.html#group3B0", "3B⁰"), =HYPERLINK("CSG0.html#group2A0", "2A⁰"), =HYPERLINK("CSG1.html#group15C1", "15C¹"), =HYPERLINK("CSG0.html#group6A0", "6A⁰"), =HYPERLINK("CSG3.html#group30C3", "30C³"), =HYPERLINK("CSG0.html#group6C0", "6C⁰"), =HYPERLINK("CSG0.html#group6J0", "6J⁰"), =HYPERLINK("CSG0.html#group5B0", "5B⁰"), =HYPERLINK("CSG1.html#group10A1", "10A¹"), =HYPERLINK("CSG3.html#group30G3", "30G³"), =HYPERLINK("CSG0.html#group1A0", "1A⁰")</f>
        <v/>
      </c>
      <c r="N2016">
        <f>HYPERLINK("CSG17.html#group30J17", "30J¹⁷"), =HYPERLINK("CSG21.html#group60J21", "60J²¹"), =HYPERLINK("CSG21.html#group60I21", "60I²¹")</f>
        <v/>
      </c>
    </row>
    <row r="2017">
      <c r="A2017" t="inlineStr">
        <is>
          <t>30M⁹</t>
        </is>
      </c>
      <c r="B2017" t="inlineStr"/>
      <c r="C2017" t="inlineStr">
        <is>
          <t>160</t>
        </is>
      </c>
      <c r="D2017" t="inlineStr">
        <is>
          <t>1</t>
        </is>
      </c>
      <c r="E2017" t="inlineStr">
        <is>
          <t>40</t>
        </is>
      </c>
      <c r="F2017" t="inlineStr">
        <is>
          <t>0</t>
        </is>
      </c>
      <c r="G2017" t="inlineStr">
        <is>
          <t>4</t>
        </is>
      </c>
      <c r="H2017" t="inlineStr">
        <is>
          <t>10⁴, 30⁴</t>
        </is>
      </c>
      <c r="I2017" t="n">
        <v>8</v>
      </c>
      <c r="J2017" t="inlineStr">
        <is>
          <t>2², 4⁵, 8²</t>
        </is>
      </c>
      <c r="K2017">
        <f>HYPERLINK("CSG3.html#group15G3", "15G³")</f>
        <v/>
      </c>
      <c r="L2017">
        <f>HYPERLINK("CSG17.html#group30K17", "30K¹⁷")</f>
        <v/>
      </c>
      <c r="M2017">
        <f>HYPERLINK("CSG0.html#group3B0", "3B⁰"), =HYPERLINK("CSG0.html#group5A0", "5A⁰"), =HYPERLINK("CSG3.html#group15G3", "15G³"), =HYPERLINK("CSG1.html#group15B1", "15B¹"), =HYPERLINK("CSG0.html#group5F0", "5F⁰"), =HYPERLINK("CSG0.html#group1A0", "1A⁰"), =HYPERLINK("CSG2.html#group15C2", "15C²"), =HYPERLINK("CSG0.html#group5C0", "5C⁰")</f>
        <v/>
      </c>
      <c r="N2017">
        <f>HYPERLINK("CSG17.html#group30K17", "30K¹⁷")</f>
        <v/>
      </c>
    </row>
    <row r="2018">
      <c r="A2018" t="inlineStr">
        <is>
          <t>30N⁹</t>
        </is>
      </c>
      <c r="B2018" t="inlineStr"/>
      <c r="C2018" t="inlineStr">
        <is>
          <t>160</t>
        </is>
      </c>
      <c r="D2018" t="inlineStr">
        <is>
          <t>1</t>
        </is>
      </c>
      <c r="E2018" t="inlineStr">
        <is>
          <t>40</t>
        </is>
      </c>
      <c r="F2018" t="inlineStr">
        <is>
          <t>0</t>
        </is>
      </c>
      <c r="G2018" t="inlineStr">
        <is>
          <t>4</t>
        </is>
      </c>
      <c r="H2018" t="inlineStr">
        <is>
          <t>10⁴, 30⁴</t>
        </is>
      </c>
      <c r="I2018" t="n">
        <v>8</v>
      </c>
      <c r="J2018" t="inlineStr">
        <is>
          <t>2², 4⁵, 8²</t>
        </is>
      </c>
      <c r="K2018">
        <f>HYPERLINK("CSG1.html#group10H1", "10H¹"), =HYPERLINK("CSG2.html#group30D2", "30D²"), =HYPERLINK("CSG3.html#group15G3", "15G³"), =HYPERLINK("CSG5.html#group30I5", "30I⁵"), =HYPERLINK("CSG5.html#group30J5", "30J⁵")</f>
        <v/>
      </c>
      <c r="L2018">
        <f>HYPERLINK("CSG17.html#group30K17", "30K¹⁷"), =HYPERLINK("CSG21.html#group60R21", "60R²¹"), =HYPERLINK("CSG21.html#group60S21", "60S²¹")</f>
        <v/>
      </c>
      <c r="M2018">
        <f>HYPERLINK("CSG5.html#group30J5", "30J⁵"), =HYPERLINK("CSG1.html#group10H1", "10H¹"), =HYPERLINK("CSG0.html#group2A0", "2A⁰"), =HYPERLINK("CSG0.html#group3B0", "3B⁰"), =HYPERLINK("CSG0.html#group5A0", "5A⁰"), =HYPERLINK("CSG0.html#group10D0", "10D⁰"), =HYPERLINK("CSG2.html#group30D2", "30D²"), =HYPERLINK("CSG0.html#group6C0", "6C⁰"), =HYPERLINK("CSG0.html#group5F0", "5F⁰"), =HYPERLINK("CSG0.html#group1A0", "1A⁰"), =HYPERLINK("CSG5.html#group30I5", "30I⁵"), =HYPERLINK("CSG0.html#group10A0", "10A⁰"), =HYPERLINK("CSG3.html#group15G3", "15G³"), =HYPERLINK("CSG1.html#group15B1", "15B¹"), =HYPERLINK("CSG1.html#group10C1", "10C¹"), =HYPERLINK("CSG2.html#group15C2", "15C²"), =HYPERLINK("CSG0.html#group5C0", "5C⁰")</f>
        <v/>
      </c>
      <c r="N2018">
        <f>HYPERLINK("CSG17.html#group30K17", "30K¹⁷"), =HYPERLINK("CSG21.html#group60R21", "60R²¹"), =HYPERLINK("CSG21.html#group60S21", "60S²¹")</f>
        <v/>
      </c>
    </row>
    <row r="2019">
      <c r="A2019" t="inlineStr">
        <is>
          <t>30O⁹</t>
        </is>
      </c>
      <c r="B2019" t="inlineStr"/>
      <c r="C2019" t="inlineStr">
        <is>
          <t>180</t>
        </is>
      </c>
      <c r="D2019" t="inlineStr">
        <is>
          <t>1</t>
        </is>
      </c>
      <c r="E2019" t="inlineStr">
        <is>
          <t>45</t>
        </is>
      </c>
      <c r="F2019" t="inlineStr">
        <is>
          <t>16</t>
        </is>
      </c>
      <c r="G2019" t="inlineStr">
        <is>
          <t>0</t>
        </is>
      </c>
      <c r="H2019" t="inlineStr">
        <is>
          <t>30⁶</t>
        </is>
      </c>
      <c r="I2019" t="n">
        <v>6</v>
      </c>
      <c r="J2019" t="inlineStr">
        <is>
          <t>1¹, 2², 4⁴, 8³</t>
        </is>
      </c>
      <c r="K2019">
        <f>HYPERLINK("CSG3.html#group15H3", "15H³"), =HYPERLINK("CSG4.html#group30E4", "30E⁴"), =HYPERLINK("CSG4.html#group30F4", "30F⁴")</f>
        <v/>
      </c>
      <c r="L2019">
        <f>HYPERLINK("CSG21.html#group30A21", "30A²¹"), =HYPERLINK("CSG21.html#group30B21", "30B²¹"), =HYPERLINK("CSG21.html#group30F21", "30F²¹")</f>
        <v/>
      </c>
      <c r="M2019">
        <f>HYPERLINK("CSG0.html#group5A0", "5A⁰"), =HYPERLINK("CSG4.html#group30F4", "30F⁴"), =HYPERLINK("CSG2.html#group30A2", "30A²"), =HYPERLINK("CSG4.html#group30E4", "30E⁴"), =HYPERLINK("CSG0.html#group6B0", "6B⁰"), =HYPERLINK("CSG1.html#group15A1", "15A¹"), =HYPERLINK("CSG1.html#group15F1", "15F¹"), =HYPERLINK("CSG0.html#group5E0", "5E⁰"), =HYPERLINK("CSG0.html#group3A0", "3A⁰"), =HYPERLINK("CSG1.html#group10E1", "10E¹"), =HYPERLINK("CSG0.html#group1A0", "1A⁰"), =HYPERLINK("CSG3.html#group15H3", "15H³"), =HYPERLINK("CSG0.html#group15A0", "15A⁰")</f>
        <v/>
      </c>
      <c r="N2019">
        <f>HYPERLINK("CSG21.html#group30A21", "30A²¹"), =HYPERLINK("CSG21.html#group30F21", "30F²¹"), =HYPERLINK("CSG21.html#group30B21", "30B²¹")</f>
        <v/>
      </c>
    </row>
    <row r="2020">
      <c r="A2020" t="inlineStr">
        <is>
          <t>30P⁹</t>
        </is>
      </c>
      <c r="B2020" t="inlineStr"/>
      <c r="C2020" t="inlineStr">
        <is>
          <t>192</t>
        </is>
      </c>
      <c r="D2020" t="inlineStr">
        <is>
          <t>1</t>
        </is>
      </c>
      <c r="E2020" t="inlineStr">
        <is>
          <t>24</t>
        </is>
      </c>
      <c r="F2020" t="inlineStr">
        <is>
          <t>0</t>
        </is>
      </c>
      <c r="G2020" t="inlineStr">
        <is>
          <t>0</t>
        </is>
      </c>
      <c r="H2020" t="inlineStr">
        <is>
          <t>2⁴, 6⁴, 10⁴, 30⁴</t>
        </is>
      </c>
      <c r="I2020" t="n">
        <v>16</v>
      </c>
      <c r="J2020" t="inlineStr">
        <is>
          <t>1⁴, 2², 4², 8¹</t>
        </is>
      </c>
      <c r="K2020">
        <f>HYPERLINK("CSG1.html#group15I1", "15I¹"), =HYPERLINK("CSG5.html#group30M5", "30M⁵"), =HYPERLINK("CSG5.html#group30N5", "30N⁵")</f>
        <v/>
      </c>
      <c r="L2020" t="inlineStr"/>
      <c r="M2020">
        <f>HYPERLINK("CSG0.html#group3B0", "3B⁰"), =HYPERLINK("CSG0.html#group2A0", "2A⁰"), =HYPERLINK("CSG5.html#group30M5", "30M⁵"), =HYPERLINK("CSG0.html#group6C0", "6C⁰"), =HYPERLINK("CSG5.html#group30N5", "30N⁵"), =HYPERLINK("CSG1.html#group15I1", "15I¹"), =HYPERLINK("CSG0.html#group5B0", "5B⁰"), =HYPERLINK("CSG1.html#group15G1", "15G¹"), =HYPERLINK("CSG0.html#group5D0", "5D⁰"), =HYPERLINK("CSG1.html#group10A1", "10A¹"), =HYPERLINK("CSG3.html#group30G3", "30G³"), =HYPERLINK("CSG1.html#group10D1", "10D¹"), =HYPERLINK("CSG0.html#group1A0", "1A⁰"), =HYPERLINK("CSG0.html#group10B0", "10B⁰"), =HYPERLINK("CSG1.html#group15C1", "15C¹"), =HYPERLINK("CSG3.html#group30F3", "30F³")</f>
        <v/>
      </c>
      <c r="N2020" t="inlineStr"/>
    </row>
    <row r="2021">
      <c r="A2021" t="inlineStr">
        <is>
          <t>30Q⁹</t>
        </is>
      </c>
      <c r="B2021" t="inlineStr"/>
      <c r="C2021" t="inlineStr">
        <is>
          <t>216</t>
        </is>
      </c>
      <c r="D2021" t="inlineStr">
        <is>
          <t>1</t>
        </is>
      </c>
      <c r="E2021" t="inlineStr">
        <is>
          <t>54</t>
        </is>
      </c>
      <c r="F2021" t="inlineStr">
        <is>
          <t>8</t>
        </is>
      </c>
      <c r="G2021" t="inlineStr">
        <is>
          <t>0</t>
        </is>
      </c>
      <c r="H2021" t="inlineStr">
        <is>
          <t>3⁴, 6⁴, 15⁴, 30⁴</t>
        </is>
      </c>
      <c r="I2021" t="n">
        <v>16</v>
      </c>
      <c r="J2021" t="inlineStr">
        <is>
          <t>1⁶, 2⁶, 4³, 8³</t>
        </is>
      </c>
      <c r="K2021">
        <f>HYPERLINK("CSG1.html#group15H1", "15H¹"), =HYPERLINK("CSG4.html#group30I4", "30I⁴"), =HYPERLINK("CSG5.html#group30O5", "30O⁵")</f>
        <v/>
      </c>
      <c r="L2021">
        <f>HYPERLINK("CSG19.html#group30C19", "30C¹⁹"), =HYPERLINK("CSG21.html#group30G21", "30G²¹"), =HYPERLINK("CSG21.html#group30H21", "30H²¹"), =HYPERLINK("CSG21.html#group60W21", "60W²¹"), =HYPERLINK("CSG23.html#group30L23", "30L²³"), =HYPERLINK("CSG23.html#group60Q23", "60Q²³")</f>
        <v/>
      </c>
      <c r="M2021">
        <f>HYPERLINK("CSG0.html#group5B0", "5B⁰"), =HYPERLINK("CSG0.html#group6G0", "6G⁰"), =HYPERLINK("CSG0.html#group2B0", "2B⁰"), =HYPERLINK("CSG5.html#group30O5", "30O⁵"), =HYPERLINK("CSG1.html#group15H1", "15H¹"), =HYPERLINK("CSG0.html#group1A0", "1A⁰"), =HYPERLINK("CSG0.html#group15B0", "15B⁰"), =HYPERLINK("CSG2.html#group30E2", "30E²"), =HYPERLINK("CSG4.html#group30I4", "30I⁴"), =HYPERLINK("CSG0.html#group10C0", "10C⁰"), =HYPERLINK("CSG0.html#group3C0", "3C⁰"), =HYPERLINK("CSG0.html#group15C0", "15C⁰"), =HYPERLINK("CSG0.html#group3A0", "3A⁰"), =HYPERLINK("CSG0.html#group6D0", "6D⁰"), =HYPERLINK("CSG1.html#group15E1", "15E¹")</f>
        <v/>
      </c>
      <c r="N2021">
        <f>HYPERLINK("CSG23.html#group30L23", "30L²³"), =HYPERLINK("CSG21.html#group30G21", "30G²¹"), =HYPERLINK("CSG23.html#group60Q23", "60Q²³"), =HYPERLINK("CSG21.html#group30H21", "30H²¹"), =HYPERLINK("CSG19.html#group30C19", "30C¹⁹"), =HYPERLINK("CSG21.html#group60W21", "60W²¹")</f>
        <v/>
      </c>
    </row>
    <row r="2022">
      <c r="A2022" t="inlineStr">
        <is>
          <t>30R⁹</t>
        </is>
      </c>
      <c r="B2022" t="inlineStr"/>
      <c r="C2022" t="inlineStr">
        <is>
          <t>216</t>
        </is>
      </c>
      <c r="D2022" t="inlineStr">
        <is>
          <t>1</t>
        </is>
      </c>
      <c r="E2022" t="inlineStr">
        <is>
          <t>54</t>
        </is>
      </c>
      <c r="F2022" t="inlineStr">
        <is>
          <t>16</t>
        </is>
      </c>
      <c r="G2022" t="inlineStr">
        <is>
          <t>0</t>
        </is>
      </c>
      <c r="H2022" t="inlineStr">
        <is>
          <t>6⁶, 30⁶</t>
        </is>
      </c>
      <c r="I2022" t="n">
        <v>12</v>
      </c>
      <c r="J2022" t="inlineStr">
        <is>
          <t>1⁶, 2⁶, 4³, 8³</t>
        </is>
      </c>
      <c r="K2022">
        <f>HYPERLINK("CSG1.html#group30D1", "30D¹"), =HYPERLINK("CSG4.html#group30H4", "30H⁴"), =HYPERLINK("CSG4.html#group30I4", "30I⁴"), =HYPERLINK("CSG5.html#group30P5", "30P⁵")</f>
        <v/>
      </c>
      <c r="L2022">
        <f>HYPERLINK("CSG21.html#group30H21", "30H²¹"), =HYPERLINK("CSG21.html#group60X21", "60X²¹"), =HYPERLINK("CSG23.html#group60O23", "60O²³"), =HYPERLINK("CSG23.html#group60P23", "60P²³"), =HYPERLINK("CSG23.html#group60S23", "60S²³")</f>
        <v/>
      </c>
      <c r="M2022">
        <f>HYPERLINK("CSG0.html#group30A0", "30A⁰"), =HYPERLINK("CSG0.html#group6B0", "6B⁰"), =HYPERLINK("CSG0.html#group10G0", "10G⁰"), =HYPERLINK("CSG0.html#group5B0", "5B⁰"), =HYPERLINK("CSG0.html#group2B0", "2B⁰"), =HYPERLINK("CSG0.html#group1A0", "1A⁰"), =HYPERLINK("CSG5.html#group30P5", "30P⁵"), =HYPERLINK("CSG1.html#group30D1", "30D¹"), =HYPERLINK("CSG0.html#group10B0", "10B⁰"), =HYPERLINK("CSG0.html#group15B0", "15B⁰"), =HYPERLINK("CSG2.html#group30E2", "30E²"), =HYPERLINK("CSG4.html#group30I4", "30I⁴"), =HYPERLINK("CSG0.html#group10C0", "10C⁰"), =HYPERLINK("CSG0.html#group15C0", "15C⁰"), =HYPERLINK("CSG4.html#group30H4", "30H⁴"), =HYPERLINK("CSG0.html#group6H0", "6H⁰"), =HYPERLINK("CSG0.html#group3A0", "3A⁰"), =HYPERLINK("CSG0.html#group6D0", "6D⁰"), =HYPERLINK("CSG1.html#group30C1", "30C¹")</f>
        <v/>
      </c>
      <c r="N2022">
        <f>HYPERLINK("CSG23.html#group60O23", "60O²³"), =HYPERLINK("CSG21.html#group60X21", "60X²¹"), =HYPERLINK("CSG23.html#group60S23", "60S²³"), =HYPERLINK("CSG21.html#group30H21", "30H²¹"), =HYPERLINK("CSG23.html#group60P23", "60P²³")</f>
        <v/>
      </c>
    </row>
    <row r="2023">
      <c r="A2023" t="inlineStr">
        <is>
          <t>30S⁹</t>
        </is>
      </c>
      <c r="B2023" t="inlineStr">
        <is>
          <t>Γ₁(30)</t>
        </is>
      </c>
      <c r="C2023" t="inlineStr">
        <is>
          <t>288</t>
        </is>
      </c>
      <c r="D2023" t="inlineStr">
        <is>
          <t>1</t>
        </is>
      </c>
      <c r="E2023" t="inlineStr">
        <is>
          <t>72</t>
        </is>
      </c>
      <c r="F2023" t="inlineStr">
        <is>
          <t>0</t>
        </is>
      </c>
      <c r="G2023" t="inlineStr">
        <is>
          <t>0</t>
        </is>
      </c>
      <c r="H2023" t="inlineStr">
        <is>
          <t>1⁴, 2⁴, 3⁴, 5⁴, 6⁴, 10⁴, 15⁴, 30⁴</t>
        </is>
      </c>
      <c r="I2023" t="n">
        <v>32</v>
      </c>
      <c r="J2023" t="inlineStr">
        <is>
          <t>1¹², 2⁶, 4⁶, 8³</t>
        </is>
      </c>
      <c r="K2023">
        <f>HYPERLINK("CSG1.html#group15I1", "15I¹"), =HYPERLINK("CSG5.html#group30S5", "30S⁵")</f>
        <v/>
      </c>
      <c r="L2023" t="inlineStr"/>
      <c r="M2023">
        <f>HYPERLINK("CSG0.html#group3B0", "3B⁰"), =HYPERLINK("CSG1.html#group15I1", "15I¹"), =HYPERLINK("CSG0.html#group5B0", "5B⁰"), =HYPERLINK("CSG1.html#group15G1", "15G¹"), =HYPERLINK("CSG0.html#group5D0", "5D⁰"), =HYPERLINK("CSG0.html#group2B0", "2B⁰"), =HYPERLINK("CSG0.html#group1A0", "1A⁰"), =HYPERLINK("CSG0.html#group10F0", "10F⁰"), =HYPERLINK("CSG1.html#group15C1", "15C¹"), =HYPERLINK("CSG0.html#group10C0", "10C⁰"), =HYPERLINK("CSG5.html#group30S5", "30S⁵"), =HYPERLINK("CSG3.html#group30K3", "30K³"), =HYPERLINK("CSG0.html#group6F0", "6F⁰")</f>
        <v/>
      </c>
      <c r="N2023" t="inlineStr"/>
    </row>
    <row r="2024">
      <c r="A2024" t="inlineStr">
        <is>
          <t>32A⁹</t>
        </is>
      </c>
      <c r="B2024" t="inlineStr"/>
      <c r="C2024" t="inlineStr">
        <is>
          <t>192</t>
        </is>
      </c>
      <c r="D2024" t="inlineStr">
        <is>
          <t>1</t>
        </is>
      </c>
      <c r="E2024" t="inlineStr">
        <is>
          <t>6</t>
        </is>
      </c>
      <c r="F2024" t="inlineStr">
        <is>
          <t>0</t>
        </is>
      </c>
      <c r="G2024" t="inlineStr">
        <is>
          <t>0</t>
        </is>
      </c>
      <c r="H2024" t="inlineStr">
        <is>
          <t>4⁸, 8⁴, 32⁴</t>
        </is>
      </c>
      <c r="I2024" t="n">
        <v>16</v>
      </c>
      <c r="J2024" t="inlineStr">
        <is>
          <t>1⁴, 2¹</t>
        </is>
      </c>
      <c r="K2024">
        <f>HYPERLINK("CSG3.html#group16H3", "16H³"), =HYPERLINK("CSG3.html#group32J3", "32J³"), =HYPERLINK("CSG5.html#group32A5", "32A⁵")</f>
        <v/>
      </c>
      <c r="L2024">
        <f>HYPERLINK("CSG17.html#group32A17", "32A¹⁷"), =HYPERLINK("CSG21.html#group32A21", "32A²¹"), =HYPERLINK("CSG21.html#group32F21", "32F²¹"), =HYPERLINK("CSG21.html#group64F21", "64F²¹")</f>
        <v/>
      </c>
      <c r="M2024">
        <f>HYPERLINK("CSG0.html#group2A0", "2A⁰"), =HYPERLINK("CSG1.html#group8A1", "8A¹"), =HYPERLINK("CSG0.html#group8D0", "8D⁰"), =HYPERLINK("CSG1.html#group16E1", "16E¹"), =HYPERLINK("CSG0.html#group4C0", "4C⁰"), =HYPERLINK("CSG0.html#group8B0", "8B⁰"), =HYPERLINK("CSG1.html#group16A1", "16A¹"), =HYPERLINK("CSG0.html#group8C0", "8C⁰"), =HYPERLINK("CSG0.html#group2B0", "2B⁰"), =HYPERLINK("CSG0.html#group4E0", "4E⁰"), =HYPERLINK("CSG0.html#group4G0", "4G⁰"), =HYPERLINK("CSG0.html#group4B0", "4B⁰"), =HYPERLINK("CSG1.html#group8B1", "8B¹"), =HYPERLINK("CSG0.html#group1A0", "1A⁰"), =HYPERLINK("CSG3.html#group32C3", "32C³"), =HYPERLINK("CSG3.html#group32J3", "32J³"), =HYPERLINK("CSG1.html#group8F1", "8F¹"), =HYPERLINK("CSG3.html#group16H3", "16H³"), =HYPERLINK("CSG0.html#group8H0", "8H⁰"), =HYPERLINK("CSG1.html#group8C1", "8C¹"), =HYPERLINK("CSG1.html#group32A1", "32A¹"), =HYPERLINK("CSG0.html#group8G0", "8G⁰"), =HYPERLINK("CSG0.html#group4A0", "4A⁰"), =HYPERLINK("CSG0.html#group16C0", "16C⁰"), =HYPERLINK("CSG0.html#group4D0", "4D⁰"), =HYPERLINK("CSG5.html#group32A5", "32A⁵"), =HYPERLINK("CSG0.html#group4F0", "4F⁰"), =HYPERLINK("CSG1.html#group16H1", "16H¹"), =HYPERLINK("CSG0.html#group2C0", "2C⁰")</f>
        <v/>
      </c>
      <c r="N2024">
        <f>HYPERLINK("CSG21.html#group32A21", "32A²¹"), =HYPERLINK("CSG21.html#group32F21", "32F²¹"), =HYPERLINK("CSG21.html#group64F21", "64F²¹"), =HYPERLINK("CSG17.html#group32A17", "32A¹⁷")</f>
        <v/>
      </c>
    </row>
    <row r="2025">
      <c r="A2025" t="inlineStr">
        <is>
          <t>32B⁹</t>
        </is>
      </c>
      <c r="B2025" t="inlineStr"/>
      <c r="C2025" t="inlineStr">
        <is>
          <t>192</t>
        </is>
      </c>
      <c r="D2025" t="inlineStr">
        <is>
          <t>1</t>
        </is>
      </c>
      <c r="E2025" t="inlineStr">
        <is>
          <t>6</t>
        </is>
      </c>
      <c r="F2025" t="inlineStr">
        <is>
          <t>0</t>
        </is>
      </c>
      <c r="G2025" t="inlineStr">
        <is>
          <t>0</t>
        </is>
      </c>
      <c r="H2025" t="inlineStr">
        <is>
          <t>4⁸, 8⁴, 32⁴</t>
        </is>
      </c>
      <c r="I2025" t="n">
        <v>16</v>
      </c>
      <c r="J2025" t="inlineStr">
        <is>
          <t>1⁴, 2¹</t>
        </is>
      </c>
      <c r="K2025">
        <f>HYPERLINK("CSG3.html#group16H3", "16H³"), =HYPERLINK("CSG3.html#group32K3", "32K³"), =HYPERLINK("CSG5.html#group32B5", "32B⁵")</f>
        <v/>
      </c>
      <c r="L2025">
        <f>HYPERLINK("CSG17.html#group32A17", "32A¹⁷"), =HYPERLINK("CSG21.html#group32B21", "32B²¹"), =HYPERLINK("CSG21.html#group32F21", "32F²¹"), =HYPERLINK("CSG21.html#group64D21", "64D²¹")</f>
        <v/>
      </c>
      <c r="M2025">
        <f>HYPERLINK("CSG0.html#group2A0", "2A⁰"), =HYPERLINK("CSG1.html#group8A1", "8A¹"), =HYPERLINK("CSG0.html#group8D0", "8D⁰"), =HYPERLINK("CSG1.html#group16E1", "16E¹"), =HYPERLINK("CSG0.html#group4C0", "4C⁰"), =HYPERLINK("CSG3.html#group32A3", "32A³"), =HYPERLINK("CSG0.html#group8B0", "8B⁰"), =HYPERLINK("CSG1.html#group16A1", "16A¹"), =HYPERLINK("CSG0.html#group8C0", "8C⁰"), =HYPERLINK("CSG0.html#group4E0", "4E⁰"), =HYPERLINK("CSG0.html#group2B0", "2B⁰"), =HYPERLINK("CSG3.html#group32K3", "32K³"), =HYPERLINK("CSG0.html#group4B0", "4B⁰"), =HYPERLINK("CSG0.html#group4G0", "4G⁰"), =HYPERLINK("CSG0.html#group1A0", "1A⁰"), =HYPERLINK("CSG1.html#group8B1", "8B¹"), =HYPERLINK("CSG1.html#group8F1", "8F¹"), =HYPERLINK("CSG3.html#group16H3", "16H³"), =HYPERLINK("CSG0.html#group8H0", "8H⁰"), =HYPERLINK("CSG1.html#group8C1", "8C¹"), =HYPERLINK("CSG5.html#group32B5", "32B⁵"), =HYPERLINK("CSG0.html#group8G0", "8G⁰"), =HYPERLINK("CSG0.html#group4A0", "4A⁰"), =HYPERLINK("CSG0.html#group16C0", "16C⁰"), =HYPERLINK("CSG0.html#group4D0", "4D⁰"), =HYPERLINK("CSG0.html#group32A0", "32A⁰"), =HYPERLINK("CSG2.html#group32A2", "32A²"), =HYPERLINK("CSG0.html#group4F0", "4F⁰"), =HYPERLINK("CSG1.html#group16H1", "16H¹"), =HYPERLINK("CSG0.html#group2C0", "2C⁰"), =HYPERLINK("CSG3.html#group32B3", "32B³")</f>
        <v/>
      </c>
      <c r="N2025">
        <f>HYPERLINK("CSG21.html#group32B21", "32B²¹"), =HYPERLINK("CSG21.html#group32F21", "32F²¹"), =HYPERLINK("CSG21.html#group64D21", "64D²¹"), =HYPERLINK("CSG17.html#group32A17", "32A¹⁷")</f>
        <v/>
      </c>
    </row>
    <row r="2026">
      <c r="A2026" t="inlineStr">
        <is>
          <t>32C⁹</t>
        </is>
      </c>
      <c r="B2026" t="inlineStr"/>
      <c r="C2026" t="inlineStr">
        <is>
          <t>192</t>
        </is>
      </c>
      <c r="D2026" t="inlineStr">
        <is>
          <t>1</t>
        </is>
      </c>
      <c r="E2026" t="inlineStr">
        <is>
          <t>6</t>
        </is>
      </c>
      <c r="F2026" t="inlineStr">
        <is>
          <t>0</t>
        </is>
      </c>
      <c r="G2026" t="inlineStr">
        <is>
          <t>0</t>
        </is>
      </c>
      <c r="H2026" t="inlineStr">
        <is>
          <t>4⁸, 8⁴, 32⁴</t>
        </is>
      </c>
      <c r="I2026" t="n">
        <v>16</v>
      </c>
      <c r="J2026" t="inlineStr">
        <is>
          <t>1⁴, 2¹</t>
        </is>
      </c>
      <c r="K2026">
        <f>HYPERLINK("CSG3.html#group16J3", "16J³"), =HYPERLINK("CSG3.html#group32J3", "32J³"), =HYPERLINK("CSG5.html#group32B5", "32B⁵")</f>
        <v/>
      </c>
      <c r="L2026">
        <f>HYPERLINK("CSG17.html#group32A17", "32A¹⁷"), =HYPERLINK("CSG21.html#group32G21", "32G²¹"), =HYPERLINK("CSG21.html#group64A21", "64A²¹"), =HYPERLINK("CSG21.html#group64B21", "64B²¹")</f>
        <v/>
      </c>
      <c r="M2026">
        <f>HYPERLINK("CSG0.html#group2A0", "2A⁰"), =HYPERLINK("CSG2.html#group16C2", "16C²"), =HYPERLINK("CSG0.html#group8D0", "8D⁰"), =HYPERLINK("CSG1.html#group16E1", "16E¹"), =HYPERLINK("CSG0.html#group4C0", "4C⁰"), =HYPERLINK("CSG3.html#group32A3", "32A³"), =HYPERLINK("CSG1.html#group16A1", "16A¹"), =HYPERLINK("CSG0.html#group8C0", "8C⁰"), =HYPERLINK("CSG0.html#group4E0", "4E⁰"), =HYPERLINK("CSG0.html#group2B0", "2B⁰"), =HYPERLINK("CSG0.html#group8I0", "8I⁰"), =HYPERLINK("CSG3.html#group16J3", "16J³"), =HYPERLINK("CSG0.html#group4B0", "4B⁰"), =HYPERLINK("CSG0.html#group1A0", "1A⁰"), =HYPERLINK("CSG3.html#group32B3", "32B³"), =HYPERLINK("CSG3.html#group32J3", "32J³"), =HYPERLINK("CSG1.html#group32A1", "32A¹"), =HYPERLINK("CSG5.html#group32B5", "32B⁵"), =HYPERLINK("CSG0.html#group8G0", "8G⁰"), =HYPERLINK("CSG0.html#group16C0", "16C⁰"), =HYPERLINK("CSG1.html#group16C1", "16C¹"), =HYPERLINK("CSG0.html#group8J0", "8J⁰"), =HYPERLINK("CSG0.html#group2C0", "2C⁰"), =HYPERLINK("CSG0.html#group8O0", "8O⁰")</f>
        <v/>
      </c>
      <c r="N2026">
        <f>HYPERLINK("CSG21.html#group32G21", "32G²¹"), =HYPERLINK("CSG21.html#group64B21", "64B²¹"), =HYPERLINK("CSG17.html#group32A17", "32A¹⁷"), =HYPERLINK("CSG21.html#group64A21", "64A²¹")</f>
        <v/>
      </c>
    </row>
    <row r="2027">
      <c r="A2027" t="inlineStr">
        <is>
          <t>32D⁹</t>
        </is>
      </c>
      <c r="B2027" t="inlineStr"/>
      <c r="C2027" t="inlineStr">
        <is>
          <t>192</t>
        </is>
      </c>
      <c r="D2027" t="inlineStr">
        <is>
          <t>1</t>
        </is>
      </c>
      <c r="E2027" t="inlineStr">
        <is>
          <t>6</t>
        </is>
      </c>
      <c r="F2027" t="inlineStr">
        <is>
          <t>0</t>
        </is>
      </c>
      <c r="G2027" t="inlineStr">
        <is>
          <t>0</t>
        </is>
      </c>
      <c r="H2027" t="inlineStr">
        <is>
          <t>4⁸, 8⁴, 32⁴</t>
        </is>
      </c>
      <c r="I2027" t="n">
        <v>16</v>
      </c>
      <c r="J2027" t="inlineStr">
        <is>
          <t>1⁴, 2¹</t>
        </is>
      </c>
      <c r="K2027">
        <f>HYPERLINK("CSG3.html#group16J3", "16J³"), =HYPERLINK("CSG3.html#group32K3", "32K³"), =HYPERLINK("CSG5.html#group32A5", "32A⁵")</f>
        <v/>
      </c>
      <c r="L2027">
        <f>HYPERLINK("CSG17.html#group32A17", "32A¹⁷"), =HYPERLINK("CSG21.html#group32H21", "32H²¹"), =HYPERLINK("CSG21.html#group64E21", "64E²¹")</f>
        <v/>
      </c>
      <c r="M2027">
        <f>HYPERLINK("CSG0.html#group2A0", "2A⁰"), =HYPERLINK("CSG2.html#group16C2", "16C²"), =HYPERLINK("CSG0.html#group8D0", "8D⁰"), =HYPERLINK("CSG1.html#group16E1", "16E¹"), =HYPERLINK("CSG0.html#group4C0", "4C⁰"), =HYPERLINK("CSG1.html#group16A1", "16A¹"), =HYPERLINK("CSG0.html#group8C0", "8C⁰"), =HYPERLINK("CSG0.html#group4E0", "4E⁰"), =HYPERLINK("CSG0.html#group2B0", "2B⁰"), =HYPERLINK("CSG3.html#group32K3", "32K³"), =HYPERLINK("CSG3.html#group16J3", "16J³"), =HYPERLINK("CSG0.html#group8I0", "8I⁰"), =HYPERLINK("CSG0.html#group4B0", "4B⁰"), =HYPERLINK("CSG0.html#group1A0", "1A⁰"), =HYPERLINK("CSG3.html#group32C3", "32C³"), =HYPERLINK("CSG0.html#group8G0", "8G⁰"), =HYPERLINK("CSG0.html#group16C0", "16C⁰"), =HYPERLINK("CSG1.html#group16C1", "16C¹"), =HYPERLINK("CSG0.html#group32A0", "32A⁰"), =HYPERLINK("CSG5.html#group32A5", "32A⁵"), =HYPERLINK("CSG2.html#group32A2", "32A²"), =HYPERLINK("CSG0.html#group8J0", "8J⁰"), =HYPERLINK("CSG0.html#group2C0", "2C⁰"), =HYPERLINK("CSG0.html#group8O0", "8O⁰")</f>
        <v/>
      </c>
      <c r="N2027">
        <f>HYPERLINK("CSG21.html#group64E21", "64E²¹"), =HYPERLINK("CSG21.html#group32H21", "32H²¹"), =HYPERLINK("CSG17.html#group32A17", "32A¹⁷")</f>
        <v/>
      </c>
    </row>
    <row r="2028">
      <c r="A2028" t="inlineStr">
        <is>
          <t>32E⁹</t>
        </is>
      </c>
      <c r="B2028" t="inlineStr"/>
      <c r="C2028" t="inlineStr">
        <is>
          <t>192</t>
        </is>
      </c>
      <c r="D2028" t="inlineStr">
        <is>
          <t>1</t>
        </is>
      </c>
      <c r="E2028" t="inlineStr">
        <is>
          <t>6</t>
        </is>
      </c>
      <c r="F2028" t="inlineStr">
        <is>
          <t>0</t>
        </is>
      </c>
      <c r="G2028" t="inlineStr">
        <is>
          <t>0</t>
        </is>
      </c>
      <c r="H2028" t="inlineStr">
        <is>
          <t>4⁸, 8⁴, 32⁴</t>
        </is>
      </c>
      <c r="I2028" t="n">
        <v>16</v>
      </c>
      <c r="J2028" t="inlineStr">
        <is>
          <t>1⁴, 2¹</t>
        </is>
      </c>
      <c r="K2028">
        <f>HYPERLINK("CSG1.html#group16M1", "16M¹"), =HYPERLINK("CSG5.html#group32A5", "32A⁵"), =HYPERLINK("CSG5.html#group32B5", "32B⁵"), =HYPERLINK("CSG5.html#group32C5", "32C⁵"), =HYPERLINK("CSG5.html#group32D5", "32D⁵")</f>
        <v/>
      </c>
      <c r="L2028">
        <f>HYPERLINK("CSG17.html#group32A17", "32A¹⁷"), =HYPERLINK("CSG17.html#group32B17", "32B¹⁷")</f>
        <v/>
      </c>
      <c r="M2028">
        <f>HYPERLINK("CSG0.html#group2A0", "2A⁰"), =HYPERLINK("CSG0.html#group16G0", "16G⁰"), =HYPERLINK("CSG0.html#group8D0", "8D⁰"), =HYPERLINK("CSG1.html#group16E1", "16E¹"), =HYPERLINK("CSG0.html#group4C0", "4C⁰"), =HYPERLINK("CSG3.html#group32A3", "32A³"), =HYPERLINK("CSG1.html#group16A1", "16A¹"), =HYPERLINK("CSG0.html#group8C0", "8C⁰"), =HYPERLINK("CSG0.html#group2B0", "2B⁰"), =HYPERLINK("CSG0.html#group8I0", "8I⁰"), =HYPERLINK("CSG0.html#group4E0", "4E⁰"), =HYPERLINK("CSG0.html#group4B0", "4B⁰"), =HYPERLINK("CSG0.html#group1A0", "1A⁰"), =HYPERLINK("CSG3.html#group32C3", "32C³"), =HYPERLINK("CSG0.html#group16H0", "16H⁰"), =HYPERLINK("CSG0.html#group16E0", "16E⁰"), =HYPERLINK("CSG5.html#group32C5", "32C⁵"), =HYPERLINK("CSG0.html#group8O0", "8O⁰"), =HYPERLINK("CSG5.html#group32B5", "32B⁵"), =HYPERLINK("CSG1.html#group16G1", "16G¹"), =HYPERLINK("CSG0.html#group8G0", "8G⁰"), =HYPERLINK("CSG0.html#group16C0", "16C⁰"), =HYPERLINK("CSG0.html#group16D0", "16D⁰"), =HYPERLINK("CSG5.html#group32D5", "32D⁵"), =HYPERLINK("CSG5.html#group32A5", "32A⁵"), =HYPERLINK("CSG1.html#group16M1", "16M¹"), =HYPERLINK("CSG0.html#group8J0", "8J⁰"), =HYPERLINK("CSG0.html#group2C0", "2C⁰"), =HYPERLINK("CSG3.html#group32B3", "32B³")</f>
        <v/>
      </c>
      <c r="N2028">
        <f>HYPERLINK("CSG17.html#group32B17", "32B¹⁷"), =HYPERLINK("CSG17.html#group32A17", "32A¹⁷")</f>
        <v/>
      </c>
    </row>
    <row r="2029">
      <c r="A2029" t="inlineStr">
        <is>
          <t>32F⁹</t>
        </is>
      </c>
      <c r="B2029" t="inlineStr"/>
      <c r="C2029" t="inlineStr">
        <is>
          <t>192</t>
        </is>
      </c>
      <c r="D2029" t="inlineStr">
        <is>
          <t>1</t>
        </is>
      </c>
      <c r="E2029" t="inlineStr">
        <is>
          <t>12</t>
        </is>
      </c>
      <c r="F2029" t="inlineStr">
        <is>
          <t>16</t>
        </is>
      </c>
      <c r="G2029" t="inlineStr">
        <is>
          <t>0</t>
        </is>
      </c>
      <c r="H2029" t="inlineStr">
        <is>
          <t>16⁴, 32⁴</t>
        </is>
      </c>
      <c r="I2029" t="n">
        <v>8</v>
      </c>
      <c r="J2029" t="inlineStr">
        <is>
          <t>2², 4²</t>
        </is>
      </c>
      <c r="K2029">
        <f>HYPERLINK("CSG3.html#group16K3", "16K³"), =HYPERLINK("CSG3.html#group32L3", "32L³"), =HYPERLINK("CSG5.html#group32E5", "32E⁵")</f>
        <v/>
      </c>
      <c r="L2029">
        <f>HYPERLINK("CSG21.html#group32I21", "32I²¹"), =HYPERLINK("CSG21.html#group32J21", "32J²¹"), =HYPERLINK("CSG21.html#group32M21", "32M²¹"), =HYPERLINK("CSG21.html#group64G21", "64G²¹")</f>
        <v/>
      </c>
      <c r="M2029">
        <f>HYPERLINK("CSG5.html#group32E5", "32E⁵"), =HYPERLINK("CSG0.html#group8D0", "8D⁰"), =HYPERLINK("CSG0.html#group4C0", "4C⁰"), =HYPERLINK("CSG0.html#group8B0", "8B⁰"), =HYPERLINK("CSG0.html#group8A0", "8A⁰"), =HYPERLINK("CSG1.html#group16B1", "16B¹"), =HYPERLINK("CSG0.html#group2B0", "2B⁰"), =HYPERLINK("CSG0.html#group1A0", "1A⁰"), =HYPERLINK("CSG0.html#group8K0", "8K⁰"), =HYPERLINK("CSG1.html#group8D1", "8D¹"), =HYPERLINK("CSG1.html#group8H1", "8H¹"), =HYPERLINK("CSG0.html#group16B0", "16B⁰"), =HYPERLINK("CSG0.html#group8H0", "8H⁰"), =HYPERLINK("CSG3.html#group16K3", "16K³"), =HYPERLINK("CSG0.html#group4A0", "4A⁰"), =HYPERLINK("CSG1.html#group32B1", "32B¹"), =HYPERLINK("CSG0.html#group4F0", "4F⁰"), =HYPERLINK("CSG1.html#group16F1", "16F¹"), =HYPERLINK("CSG1.html#group16H1", "16H¹"), =HYPERLINK("CSG3.html#group32L3", "32L³")</f>
        <v/>
      </c>
      <c r="N2029">
        <f>HYPERLINK("CSG21.html#group64G21", "64G²¹"), =HYPERLINK("CSG21.html#group32M21", "32M²¹"), =HYPERLINK("CSG21.html#group32I21", "32I²¹"), =HYPERLINK("CSG21.html#group32J21", "32J²¹")</f>
        <v/>
      </c>
    </row>
    <row r="2030">
      <c r="A2030" t="inlineStr">
        <is>
          <t>32G⁹</t>
        </is>
      </c>
      <c r="B2030" t="inlineStr"/>
      <c r="C2030" t="inlineStr">
        <is>
          <t>192</t>
        </is>
      </c>
      <c r="D2030" t="inlineStr">
        <is>
          <t>1</t>
        </is>
      </c>
      <c r="E2030" t="inlineStr">
        <is>
          <t>12</t>
        </is>
      </c>
      <c r="F2030" t="inlineStr">
        <is>
          <t>16</t>
        </is>
      </c>
      <c r="G2030" t="inlineStr">
        <is>
          <t>0</t>
        </is>
      </c>
      <c r="H2030" t="inlineStr">
        <is>
          <t>16⁴, 32⁴</t>
        </is>
      </c>
      <c r="I2030" t="n">
        <v>8</v>
      </c>
      <c r="J2030" t="inlineStr">
        <is>
          <t>1², 2¹, 4²</t>
        </is>
      </c>
      <c r="K2030">
        <f>HYPERLINK("CSG3.html#group16L3", "16L³"), =HYPERLINK("CSG3.html#group32L3", "32L³"), =HYPERLINK("CSG5.html#group32F5", "32F⁵")</f>
        <v/>
      </c>
      <c r="L2030">
        <f>HYPERLINK("CSG21.html#group32K21", "32K²¹"), =HYPERLINK("CSG21.html#group32L21", "32L²¹"), =HYPERLINK("CSG21.html#group32M21", "32M²¹"), =HYPERLINK("CSG21.html#group64H21", "64H²¹")</f>
        <v/>
      </c>
      <c r="M2030">
        <f>HYPERLINK("CSG5.html#group32F5", "32F⁵"), =HYPERLINK("CSG1.html#group16I1", "16I¹"), =HYPERLINK("CSG0.html#group8D0", "8D⁰"), =HYPERLINK("CSG0.html#group4C0", "4C⁰"), =HYPERLINK("CSG0.html#group8B0", "8B⁰"), =HYPERLINK("CSG1.html#group16B1", "16B¹"), =HYPERLINK("CSG0.html#group2B0", "2B⁰"), =HYPERLINK("CSG0.html#group1A0", "1A⁰"), =HYPERLINK("CSG0.html#group8H0", "8H⁰"), =HYPERLINK("CSG0.html#group16B0", "16B⁰"), =HYPERLINK("CSG0.html#group16E0", "16E⁰"), =HYPERLINK("CSG0.html#group8F0", "8F⁰"), =HYPERLINK("CSG3.html#group16L3", "16L³"), =HYPERLINK("CSG0.html#group4A0", "4A⁰"), =HYPERLINK("CSG1.html#group8I1", "8I¹"), =HYPERLINK("CSG1.html#group16C1", "16C¹"), =HYPERLINK("CSG1.html#group32B1", "32B¹"), =HYPERLINK("CSG0.html#group4F0", "4F⁰"), =HYPERLINK("CSG1.html#group16F1", "16F¹"), =HYPERLINK("CSG3.html#group32L3", "32L³")</f>
        <v/>
      </c>
      <c r="N2030">
        <f>HYPERLINK("CSG21.html#group32K21", "32K²¹"), =HYPERLINK("CSG21.html#group32M21", "32M²¹"), =HYPERLINK("CSG21.html#group32L21", "32L²¹"), =HYPERLINK("CSG21.html#group64H21", "64H²¹")</f>
        <v/>
      </c>
    </row>
    <row r="2031">
      <c r="A2031" t="inlineStr">
        <is>
          <t>32H⁹</t>
        </is>
      </c>
      <c r="B2031" t="inlineStr"/>
      <c r="C2031" t="inlineStr">
        <is>
          <t>192</t>
        </is>
      </c>
      <c r="D2031" t="inlineStr">
        <is>
          <t>1</t>
        </is>
      </c>
      <c r="E2031" t="inlineStr">
        <is>
          <t>12</t>
        </is>
      </c>
      <c r="F2031" t="inlineStr">
        <is>
          <t>16</t>
        </is>
      </c>
      <c r="G2031" t="inlineStr">
        <is>
          <t>0</t>
        </is>
      </c>
      <c r="H2031" t="inlineStr">
        <is>
          <t>16⁴, 32⁴</t>
        </is>
      </c>
      <c r="I2031" t="n">
        <v>8</v>
      </c>
      <c r="J2031" t="inlineStr">
        <is>
          <t>2⁶</t>
        </is>
      </c>
      <c r="K2031">
        <f>HYPERLINK("CSG3.html#group16M3", "16M³"), =HYPERLINK("CSG3.html#group32L3", "32L³"), =HYPERLINK("CSG3.html#group32N3", "32N³"), =HYPERLINK("CSG5.html#group32G5", "32G⁵"), =HYPERLINK("CSG5.html#group32L5", "32L⁵")</f>
        <v/>
      </c>
      <c r="L2031">
        <f>HYPERLINK("CSG21.html#group32M21", "32M²¹"), =HYPERLINK("CSG21.html#group32Y21", "32Y²¹"), =HYPERLINK("CSG21.html#group64I21", "64I²¹")</f>
        <v/>
      </c>
      <c r="M2031">
        <f>HYPERLINK("CSG5.html#group32L5", "32L⁵"), =HYPERLINK("CSG0.html#group8D0", "8D⁰"), =HYPERLINK("CSG3.html#group16M3", "16M³"), =HYPERLINK("CSG0.html#group4C0", "4C⁰"), =HYPERLINK("CSG0.html#group8B0", "8B⁰"), =HYPERLINK("CSG1.html#group16B1", "16B¹"), =HYPERLINK("CSG0.html#group8L0", "8L⁰"), =HYPERLINK("CSG0.html#group2B0", "2B⁰"), =HYPERLINK("CSG5.html#group32G5", "32G⁵"), =HYPERLINK("CSG1.html#group16J1", "16J¹"), =HYPERLINK("CSG0.html#group1A0", "1A⁰"), =HYPERLINK("CSG2.html#group16E2", "16E²"), =HYPERLINK("CSG3.html#group32N3", "32N³"), =HYPERLINK("CSG0.html#group16B0", "16B⁰"), =HYPERLINK("CSG0.html#group8H0", "8H⁰"), =HYPERLINK("CSG1.html#group16D1", "16D¹"), =HYPERLINK("CSG2.html#group16F2", "16F²"), =HYPERLINK("CSG0.html#group4A0", "4A⁰"), =HYPERLINK("CSG3.html#group32D3", "32D³"), =HYPERLINK("CSG1.html#group32B1", "32B¹"), =HYPERLINK("CSG0.html#group4F0", "4F⁰"), =HYPERLINK("CSG1.html#group16F1", "16F¹"), =HYPERLINK("CSG0.html#group8P0", "8P⁰"), =HYPERLINK("CSG3.html#group32L3", "32L³")</f>
        <v/>
      </c>
      <c r="N2031">
        <f>HYPERLINK("CSG21.html#group32M21", "32M²¹"), =HYPERLINK("CSG21.html#group32Y21", "32Y²¹"), =HYPERLINK("CSG21.html#group64I21", "64I²¹")</f>
        <v/>
      </c>
    </row>
    <row r="2032">
      <c r="A2032" t="inlineStr">
        <is>
          <t>32I⁹</t>
        </is>
      </c>
      <c r="B2032" t="inlineStr"/>
      <c r="C2032" t="inlineStr">
        <is>
          <t>192</t>
        </is>
      </c>
      <c r="D2032" t="inlineStr">
        <is>
          <t>1</t>
        </is>
      </c>
      <c r="E2032" t="inlineStr">
        <is>
          <t>24</t>
        </is>
      </c>
      <c r="F2032" t="inlineStr">
        <is>
          <t>0</t>
        </is>
      </c>
      <c r="G2032" t="inlineStr">
        <is>
          <t>0</t>
        </is>
      </c>
      <c r="H2032" t="inlineStr">
        <is>
          <t>4⁸, 8⁴, 32⁴</t>
        </is>
      </c>
      <c r="I2032" t="n">
        <v>16</v>
      </c>
      <c r="J2032" t="inlineStr">
        <is>
          <t>1⁴, 2², 4², 8¹</t>
        </is>
      </c>
      <c r="K2032">
        <f>HYPERLINK("CSG3.html#group16N3", "16N³"), =HYPERLINK("CSG3.html#group32O3", "32O³"), =HYPERLINK("CSG5.html#group32C5", "32C⁵")</f>
        <v/>
      </c>
      <c r="L2032">
        <f>HYPERLINK("CSG17.html#group32B17", "32B¹⁷"), =HYPERLINK("CSG21.html#group32N21", "32N²¹"), =HYPERLINK("CSG21.html#group64N21", "64N²¹")</f>
        <v/>
      </c>
      <c r="M2032">
        <f>HYPERLINK("CSG3.html#group16N3", "16N³"), =HYPERLINK("CSG5.html#group32C5", "32C⁵"), =HYPERLINK("CSG1.html#group16G1", "16G¹"), =HYPERLINK("CSG3.html#group32O3", "32O³"), =HYPERLINK("CSG0.html#group16D0", "16D⁰"), =HYPERLINK("CSG3.html#group32A3", "32A³"), =HYPERLINK("CSG1.html#group16A1", "16A¹"), =HYPERLINK("CSG0.html#group8C0", "8C⁰"), =HYPERLINK("CSG0.html#group2B0", "2B⁰"), =HYPERLINK("CSG0.html#group8I0", "8I⁰"), =HYPERLINK("CSG0.html#group4B0", "4B⁰"), =HYPERLINK("CSG0.html#group1A0", "1A⁰"), =HYPERLINK("CSG3.html#group32C3", "32C³")</f>
        <v/>
      </c>
      <c r="N2032">
        <f>HYPERLINK("CSG21.html#group64N21", "64N²¹"), =HYPERLINK("CSG17.html#group32B17", "32B¹⁷"), =HYPERLINK("CSG21.html#group32N21", "32N²¹")</f>
        <v/>
      </c>
    </row>
    <row r="2033">
      <c r="A2033" t="inlineStr">
        <is>
          <t>32J⁹</t>
        </is>
      </c>
      <c r="B2033" t="inlineStr"/>
      <c r="C2033" t="inlineStr">
        <is>
          <t>192</t>
        </is>
      </c>
      <c r="D2033" t="inlineStr">
        <is>
          <t>1</t>
        </is>
      </c>
      <c r="E2033" t="inlineStr">
        <is>
          <t>24</t>
        </is>
      </c>
      <c r="F2033" t="inlineStr">
        <is>
          <t>0</t>
        </is>
      </c>
      <c r="G2033" t="inlineStr">
        <is>
          <t>0</t>
        </is>
      </c>
      <c r="H2033" t="inlineStr">
        <is>
          <t>4⁸, 8⁴, 32⁴</t>
        </is>
      </c>
      <c r="I2033" t="n">
        <v>16</v>
      </c>
      <c r="J2033" t="inlineStr">
        <is>
          <t>1⁴, 2², 4², 8¹</t>
        </is>
      </c>
      <c r="K2033">
        <f>HYPERLINK("CSG3.html#group16N3", "16N³"), =HYPERLINK("CSG3.html#group32O3", "32O³"), =HYPERLINK("CSG5.html#group32D5", "32D⁵")</f>
        <v/>
      </c>
      <c r="L2033">
        <f>HYPERLINK("CSG17.html#group32B17", "32B¹⁷"), =HYPERLINK("CSG21.html#group32O21", "32O²¹"), =HYPERLINK("CSG21.html#group64O21", "64O²¹")</f>
        <v/>
      </c>
      <c r="M2033">
        <f>HYPERLINK("CSG3.html#group16N3", "16N³"), =HYPERLINK("CSG1.html#group16G1", "16G¹"), =HYPERLINK("CSG3.html#group32O3", "32O³"), =HYPERLINK("CSG0.html#group16D0", "16D⁰"), =HYPERLINK("CSG5.html#group32D5", "32D⁵"), =HYPERLINK("CSG1.html#group16A1", "16A¹"), =HYPERLINK("CSG0.html#group8C0", "8C⁰"), =HYPERLINK("CSG0.html#group2B0", "2B⁰"), =HYPERLINK("CSG0.html#group8I0", "8I⁰"), =HYPERLINK("CSG0.html#group4B0", "4B⁰"), =HYPERLINK("CSG0.html#group1A0", "1A⁰"), =HYPERLINK("CSG3.html#group32C3", "32C³"), =HYPERLINK("CSG3.html#group32B3", "32B³")</f>
        <v/>
      </c>
      <c r="N2033">
        <f>HYPERLINK("CSG21.html#group32O21", "32O²¹"), =HYPERLINK("CSG17.html#group32B17", "32B¹⁷"), =HYPERLINK("CSG21.html#group64O21", "64O²¹")</f>
        <v/>
      </c>
    </row>
    <row r="2034">
      <c r="A2034" t="inlineStr">
        <is>
          <t>32K⁹</t>
        </is>
      </c>
      <c r="B2034" t="inlineStr"/>
      <c r="C2034" t="inlineStr">
        <is>
          <t>192</t>
        </is>
      </c>
      <c r="D2034" t="inlineStr">
        <is>
          <t>1</t>
        </is>
      </c>
      <c r="E2034" t="inlineStr">
        <is>
          <t>24</t>
        </is>
      </c>
      <c r="F2034" t="inlineStr">
        <is>
          <t>8</t>
        </is>
      </c>
      <c r="G2034" t="inlineStr">
        <is>
          <t>0</t>
        </is>
      </c>
      <c r="H2034" t="inlineStr">
        <is>
          <t>8⁸, 32⁴</t>
        </is>
      </c>
      <c r="I2034" t="n">
        <v>12</v>
      </c>
      <c r="J2034" t="inlineStr">
        <is>
          <t>4², 8²</t>
        </is>
      </c>
      <c r="K2034">
        <f>HYPERLINK("CSG3.html#group16K3", "16K³")</f>
        <v/>
      </c>
      <c r="L2034">
        <f>HYPERLINK("CSG19.html#group32D19", "32D¹⁹"), =HYPERLINK("CSG21.html#group32A21", "32A²¹"), =HYPERLINK("CSG21.html#group32I21", "32I²¹"), =HYPERLINK("CSG23.html#group32B23", "32B²³")</f>
        <v/>
      </c>
      <c r="M2034">
        <f>HYPERLINK("CSG0.html#group8D0", "8D⁰"), =HYPERLINK("CSG0.html#group4C0", "4C⁰"), =HYPERLINK("CSG0.html#group8B0", "8B⁰"), =HYPERLINK("CSG0.html#group8A0", "8A⁰"), =HYPERLINK("CSG1.html#group16B1", "16B¹"), =HYPERLINK("CSG0.html#group2B0", "2B⁰"), =HYPERLINK("CSG0.html#group8K0", "8K⁰"), =HYPERLINK("CSG0.html#group1A0", "1A⁰"), =HYPERLINK("CSG1.html#group8D1", "8D¹"), =HYPERLINK("CSG1.html#group8H1", "8H¹"), =HYPERLINK("CSG0.html#group8H0", "8H⁰"), =HYPERLINK("CSG0.html#group16B0", "16B⁰"), =HYPERLINK("CSG3.html#group16K3", "16K³"), =HYPERLINK("CSG0.html#group4A0", "4A⁰"), =HYPERLINK("CSG0.html#group4F0", "4F⁰"), =HYPERLINK("CSG1.html#group16F1", "16F¹"), =HYPERLINK("CSG1.html#group16H1", "16H¹")</f>
        <v/>
      </c>
      <c r="N2034">
        <f>HYPERLINK("CSG19.html#group32D19", "32D¹⁹"), =HYPERLINK("CSG21.html#group32A21", "32A²¹"), =HYPERLINK("CSG21.html#group32I21", "32I²¹"), =HYPERLINK("CSG23.html#group32B23", "32B²³")</f>
        <v/>
      </c>
    </row>
    <row r="2035">
      <c r="A2035" t="inlineStr">
        <is>
          <t>32L⁹</t>
        </is>
      </c>
      <c r="B2035" t="inlineStr"/>
      <c r="C2035" t="inlineStr">
        <is>
          <t>192</t>
        </is>
      </c>
      <c r="D2035" t="inlineStr">
        <is>
          <t>1</t>
        </is>
      </c>
      <c r="E2035" t="inlineStr">
        <is>
          <t>24</t>
        </is>
      </c>
      <c r="F2035" t="inlineStr">
        <is>
          <t>8</t>
        </is>
      </c>
      <c r="G2035" t="inlineStr">
        <is>
          <t>0</t>
        </is>
      </c>
      <c r="H2035" t="inlineStr">
        <is>
          <t>8⁸, 32⁴</t>
        </is>
      </c>
      <c r="I2035" t="n">
        <v>12</v>
      </c>
      <c r="J2035" t="inlineStr">
        <is>
          <t>4², 8²</t>
        </is>
      </c>
      <c r="K2035">
        <f>HYPERLINK("CSG3.html#group16K3", "16K³")</f>
        <v/>
      </c>
      <c r="L2035">
        <f>HYPERLINK("CSG19.html#group32D19", "32D¹⁹"), =HYPERLINK("CSG21.html#group32B21", "32B²¹"), =HYPERLINK("CSG21.html#group32J21", "32J²¹"), =HYPERLINK("CSG23.html#group32A23", "32A²³")</f>
        <v/>
      </c>
      <c r="M2035">
        <f>HYPERLINK("CSG0.html#group8D0", "8D⁰"), =HYPERLINK("CSG0.html#group4C0", "4C⁰"), =HYPERLINK("CSG0.html#group8B0", "8B⁰"), =HYPERLINK("CSG0.html#group8A0", "8A⁰"), =HYPERLINK("CSG1.html#group16B1", "16B¹"), =HYPERLINK("CSG0.html#group2B0", "2B⁰"), =HYPERLINK("CSG0.html#group8K0", "8K⁰"), =HYPERLINK("CSG0.html#group1A0", "1A⁰"), =HYPERLINK("CSG1.html#group8D1", "8D¹"), =HYPERLINK("CSG1.html#group8H1", "8H¹"), =HYPERLINK("CSG0.html#group8H0", "8H⁰"), =HYPERLINK("CSG0.html#group16B0", "16B⁰"), =HYPERLINK("CSG3.html#group16K3", "16K³"), =HYPERLINK("CSG0.html#group4A0", "4A⁰"), =HYPERLINK("CSG0.html#group4F0", "4F⁰"), =HYPERLINK("CSG1.html#group16F1", "16F¹"), =HYPERLINK("CSG1.html#group16H1", "16H¹")</f>
        <v/>
      </c>
      <c r="N2035">
        <f>HYPERLINK("CSG21.html#group32B21", "32B²¹"), =HYPERLINK("CSG19.html#group32D19", "32D¹⁹"), =HYPERLINK("CSG21.html#group32J21", "32J²¹"), =HYPERLINK("CSG23.html#group32A23", "32A²³")</f>
        <v/>
      </c>
    </row>
    <row r="2036">
      <c r="A2036" t="inlineStr">
        <is>
          <t>32M⁹</t>
        </is>
      </c>
      <c r="B2036" t="inlineStr"/>
      <c r="C2036" t="inlineStr">
        <is>
          <t>192</t>
        </is>
      </c>
      <c r="D2036" t="inlineStr">
        <is>
          <t>1</t>
        </is>
      </c>
      <c r="E2036" t="inlineStr">
        <is>
          <t>24</t>
        </is>
      </c>
      <c r="F2036" t="inlineStr">
        <is>
          <t>8</t>
        </is>
      </c>
      <c r="G2036" t="inlineStr">
        <is>
          <t>0</t>
        </is>
      </c>
      <c r="H2036" t="inlineStr">
        <is>
          <t>8⁸, 32⁴</t>
        </is>
      </c>
      <c r="I2036" t="n">
        <v>12</v>
      </c>
      <c r="J2036" t="inlineStr">
        <is>
          <t>1², 2¹, 4¹, 8²</t>
        </is>
      </c>
      <c r="K2036">
        <f>HYPERLINK("CSG3.html#group16L3", "16L³"), =HYPERLINK("CSG3.html#group32P3", "32P³"), =HYPERLINK("CSG5.html#group32H5", "32H⁵")</f>
        <v/>
      </c>
      <c r="L2036">
        <f>HYPERLINK("CSG19.html#group32E19", "32E¹⁹"), =HYPERLINK("CSG21.html#group32E21", "32E²¹"), =HYPERLINK("CSG21.html#group32K21", "32K²¹"), =HYPERLINK("CSG21.html#group64Q21", "64Q²¹"), =HYPERLINK("CSG23.html#group32D23", "32D²³")</f>
        <v/>
      </c>
      <c r="M2036">
        <f>HYPERLINK("CSG1.html#group16I1", "16I¹"), =HYPERLINK("CSG0.html#group8D0", "8D⁰"), =HYPERLINK("CSG0.html#group4C0", "4C⁰"), =HYPERLINK("CSG5.html#group32H5", "32H⁵"), =HYPERLINK("CSG0.html#group8B0", "8B⁰"), =HYPERLINK("CSG1.html#group16B1", "16B¹"), =HYPERLINK("CSG3.html#group32I3", "32I³"), =HYPERLINK("CSG0.html#group2B0", "2B⁰"), =HYPERLINK("CSG0.html#group1A0", "1A⁰"), =HYPERLINK("CSG0.html#group8H0", "8H⁰"), =HYPERLINK("CSG0.html#group16B0", "16B⁰"), =HYPERLINK("CSG0.html#group16E0", "16E⁰"), =HYPERLINK("CSG0.html#group8F0", "8F⁰"), =HYPERLINK("CSG3.html#group16L3", "16L³"), =HYPERLINK("CSG0.html#group4A0", "4A⁰"), =HYPERLINK("CSG1.html#group8I1", "8I¹"), =HYPERLINK("CSG1.html#group16C1", "16C¹"), =HYPERLINK("CSG0.html#group4F0", "4F⁰"), =HYPERLINK("CSG1.html#group16F1", "16F¹"), =HYPERLINK("CSG3.html#group32P3", "32P³")</f>
        <v/>
      </c>
      <c r="N2036">
        <f>HYPERLINK("CSG21.html#group32K21", "32K²¹"), =HYPERLINK("CSG23.html#group32D23", "32D²³"), =HYPERLINK("CSG21.html#group32E21", "32E²¹"), =HYPERLINK("CSG21.html#group64Q21", "64Q²¹"), =HYPERLINK("CSG19.html#group32E19", "32E¹⁹")</f>
        <v/>
      </c>
    </row>
    <row r="2037">
      <c r="A2037" t="inlineStr">
        <is>
          <t>32N⁹</t>
        </is>
      </c>
      <c r="B2037" t="inlineStr"/>
      <c r="C2037" t="inlineStr">
        <is>
          <t>192</t>
        </is>
      </c>
      <c r="D2037" t="inlineStr">
        <is>
          <t>1</t>
        </is>
      </c>
      <c r="E2037" t="inlineStr">
        <is>
          <t>24</t>
        </is>
      </c>
      <c r="F2037" t="inlineStr">
        <is>
          <t>8</t>
        </is>
      </c>
      <c r="G2037" t="inlineStr">
        <is>
          <t>0</t>
        </is>
      </c>
      <c r="H2037" t="inlineStr">
        <is>
          <t>8⁸, 32⁴</t>
        </is>
      </c>
      <c r="I2037" t="n">
        <v>12</v>
      </c>
      <c r="J2037" t="inlineStr">
        <is>
          <t>2⁴, 8²</t>
        </is>
      </c>
      <c r="K2037">
        <f>HYPERLINK("CSG3.html#group16L3", "16L³"), =HYPERLINK("CSG3.html#group32Q3", "32Q³"), =HYPERLINK("CSG5.html#group32I5", "32I⁵")</f>
        <v/>
      </c>
      <c r="L2037">
        <f>HYPERLINK("CSG19.html#group32E19", "32E¹⁹"), =HYPERLINK("CSG21.html#group32E21", "32E²¹"), =HYPERLINK("CSG21.html#group32L21", "32L²¹"), =HYPERLINK("CSG21.html#group64P21", "64P²¹"), =HYPERLINK("CSG23.html#group32C23", "32C²³")</f>
        <v/>
      </c>
      <c r="M2037">
        <f>HYPERLINK("CSG1.html#group16I1", "16I¹"), =HYPERLINK("CSG0.html#group8D0", "8D⁰"), =HYPERLINK("CSG0.html#group4C0", "4C⁰"), =HYPERLINK("CSG0.html#group8B0", "8B⁰"), =HYPERLINK("CSG1.html#group16B1", "16B¹"), =HYPERLINK("CSG1.html#group32D1", "32D¹"), =HYPERLINK("CSG0.html#group2B0", "2B⁰"), =HYPERLINK("CSG0.html#group1A0", "1A⁰"), =HYPERLINK("CSG3.html#group32Q3", "32Q³"), =HYPERLINK("CSG0.html#group8H0", "8H⁰"), =HYPERLINK("CSG0.html#group16B0", "16B⁰"), =HYPERLINK("CSG0.html#group16E0", "16E⁰"), =HYPERLINK("CSG0.html#group8F0", "8F⁰"), =HYPERLINK("CSG3.html#group16L3", "16L³"), =HYPERLINK("CSG1.html#group32C1", "32C¹"), =HYPERLINK("CSG0.html#group4A0", "4A⁰"), =HYPERLINK("CSG1.html#group8I1", "8I¹"), =HYPERLINK("CSG1.html#group16C1", "16C¹"), =HYPERLINK("CSG0.html#group4F0", "4F⁰"), =HYPERLINK("CSG1.html#group16F1", "16F¹"), =HYPERLINK("CSG5.html#group32I5", "32I⁵")</f>
        <v/>
      </c>
      <c r="N2037">
        <f>HYPERLINK("CSG23.html#group32C23", "32C²³"), =HYPERLINK("CSG21.html#group32L21", "32L²¹"), =HYPERLINK("CSG21.html#group64P21", "64P²¹"), =HYPERLINK("CSG21.html#group32E21", "32E²¹"), =HYPERLINK("CSG19.html#group32E19", "32E¹⁹")</f>
        <v/>
      </c>
    </row>
    <row r="2038">
      <c r="A2038" t="inlineStr">
        <is>
          <t>32O⁹</t>
        </is>
      </c>
      <c r="B2038" t="inlineStr"/>
      <c r="C2038" t="inlineStr">
        <is>
          <t>192</t>
        </is>
      </c>
      <c r="D2038" t="inlineStr">
        <is>
          <t>1</t>
        </is>
      </c>
      <c r="E2038" t="inlineStr">
        <is>
          <t>24</t>
        </is>
      </c>
      <c r="F2038" t="inlineStr">
        <is>
          <t>16</t>
        </is>
      </c>
      <c r="G2038" t="inlineStr">
        <is>
          <t>0</t>
        </is>
      </c>
      <c r="H2038" t="inlineStr">
        <is>
          <t>16⁴, 32⁴</t>
        </is>
      </c>
      <c r="I2038" t="n">
        <v>8</v>
      </c>
      <c r="J2038" t="inlineStr">
        <is>
          <t>2⁸, 8¹</t>
        </is>
      </c>
      <c r="K2038">
        <f>HYPERLINK("CSG3.html#group16R3", "16R³"), =HYPERLINK("CSG3.html#group32N3", "32N³"), =HYPERLINK("CSG5.html#group32K5", "32K⁵")</f>
        <v/>
      </c>
      <c r="L2038">
        <f>HYPERLINK("CSG21.html#group32S21", "32S²¹"), =HYPERLINK("CSG21.html#group32T21", "32T²¹"), =HYPERLINK("CSG21.html#group32Y21", "32Y²¹"), =HYPERLINK("CSG21.html#group64L21", "64L²¹")</f>
        <v/>
      </c>
      <c r="M2038">
        <f>HYPERLINK("CSG0.html#group16B0", "16B⁰"), =HYPERLINK("CSG1.html#group16D1", "16D¹"), =HYPERLINK("CSG5.html#group32K5", "32K⁵"), =HYPERLINK("CSG0.html#group4C0", "4C⁰"), =HYPERLINK("CSG0.html#group8B0", "8B⁰"), =HYPERLINK("CSG0.html#group8L0", "8L⁰"), =HYPERLINK("CSG0.html#group2B0", "2B⁰"), =HYPERLINK("CSG1.html#group32B1", "32B¹"), =HYPERLINK("CSG3.html#group32G3", "32G³"), =HYPERLINK("CSG3.html#group16R3", "16R³"), =HYPERLINK("CSG1.html#group16J1", "16J¹"), =HYPERLINK("CSG0.html#group1A0", "1A⁰"), =HYPERLINK("CSG3.html#group32H3", "32H³"), =HYPERLINK("CSG3.html#group32N3", "32N³")</f>
        <v/>
      </c>
      <c r="N2038">
        <f>HYPERLINK("CSG21.html#group32S21", "32S²¹"), =HYPERLINK("CSG21.html#group32T21", "32T²¹"), =HYPERLINK("CSG21.html#group32Y21", "32Y²¹"), =HYPERLINK("CSG21.html#group64L21", "64L²¹")</f>
        <v/>
      </c>
    </row>
    <row r="2039">
      <c r="A2039" t="inlineStr">
        <is>
          <t>32P⁹</t>
        </is>
      </c>
      <c r="B2039" t="inlineStr"/>
      <c r="C2039" t="inlineStr">
        <is>
          <t>192</t>
        </is>
      </c>
      <c r="D2039" t="inlineStr">
        <is>
          <t>1</t>
        </is>
      </c>
      <c r="E2039" t="inlineStr">
        <is>
          <t>24</t>
        </is>
      </c>
      <c r="F2039" t="inlineStr">
        <is>
          <t>16</t>
        </is>
      </c>
      <c r="G2039" t="inlineStr">
        <is>
          <t>0</t>
        </is>
      </c>
      <c r="H2039" t="inlineStr">
        <is>
          <t>16⁴, 32⁴</t>
        </is>
      </c>
      <c r="I2039" t="n">
        <v>8</v>
      </c>
      <c r="J2039" t="inlineStr">
        <is>
          <t>2⁸, 8¹</t>
        </is>
      </c>
      <c r="K2039">
        <f>HYPERLINK("CSG3.html#group16S3", "16S³"), =HYPERLINK("CSG3.html#group32N3", "32N³"), =HYPERLINK("CSG5.html#group32J5", "32J⁵")</f>
        <v/>
      </c>
      <c r="L2039">
        <f>HYPERLINK("CSG21.html#group32U21", "32U²¹"), =HYPERLINK("CSG21.html#group32V21", "32V²¹"), =HYPERLINK("CSG21.html#group32Y21", "32Y²¹"), =HYPERLINK("CSG21.html#group64M21", "64M²¹")</f>
        <v/>
      </c>
      <c r="M2039">
        <f>HYPERLINK("CSG0.html#group16B0", "16B⁰"), =HYPERLINK("CSG1.html#group16D1", "16D¹"), =HYPERLINK("CSG5.html#group32J5", "32J⁵"), =HYPERLINK("CSG0.html#group4C0", "4C⁰"), =HYPERLINK("CSG0.html#group8B0", "8B⁰"), =HYPERLINK("CSG3.html#group16S3", "16S³"), =HYPERLINK("CSG0.html#group8L0", "8L⁰"), =HYPERLINK("CSG0.html#group2B0", "2B⁰"), =HYPERLINK("CSG3.html#group32E3", "32E³"), =HYPERLINK("CSG1.html#group32B1", "32B¹"), =HYPERLINK("CSG3.html#group32F3", "32F³"), =HYPERLINK("CSG1.html#group16J1", "16J¹"), =HYPERLINK("CSG0.html#group1A0", "1A⁰"), =HYPERLINK("CSG3.html#group32N3", "32N³")</f>
        <v/>
      </c>
      <c r="N2039">
        <f>HYPERLINK("CSG21.html#group32U21", "32U²¹"), =HYPERLINK("CSG21.html#group32Y21", "32Y²¹"), =HYPERLINK("CSG21.html#group32V21", "32V²¹"), =HYPERLINK("CSG21.html#group64M21", "64M²¹")</f>
        <v/>
      </c>
    </row>
    <row r="2040">
      <c r="A2040" t="inlineStr">
        <is>
          <t>32Q⁹</t>
        </is>
      </c>
      <c r="B2040" t="inlineStr"/>
      <c r="C2040" t="inlineStr">
        <is>
          <t>192</t>
        </is>
      </c>
      <c r="D2040" t="inlineStr">
        <is>
          <t>1</t>
        </is>
      </c>
      <c r="E2040" t="inlineStr">
        <is>
          <t>96</t>
        </is>
      </c>
      <c r="F2040" t="inlineStr">
        <is>
          <t>4</t>
        </is>
      </c>
      <c r="G2040" t="inlineStr">
        <is>
          <t>0</t>
        </is>
      </c>
      <c r="H2040" t="inlineStr">
        <is>
          <t>8⁸, 16⁴, 32²</t>
        </is>
      </c>
      <c r="I2040" t="n">
        <v>14</v>
      </c>
      <c r="J2040" t="inlineStr">
        <is>
          <t>8⁴, 16¹⁰</t>
        </is>
      </c>
      <c r="K2040">
        <f>HYPERLINK("CSG3.html#group16P3", "16P³")</f>
        <v/>
      </c>
      <c r="L2040">
        <f>HYPERLINK("CSG18.html#group32A18", "32A¹⁸"), =HYPERLINK("CSG19.html#group32A19", "32A¹⁹"), =HYPERLINK("CSG21.html#group32X21", "32X²¹"), =HYPERLINK("CSG22.html#group32A22", "32A²²"), =HYPERLINK("CSG22.html#group32B22", "32B²²"), =HYPERLINK("CSG23.html#group32G23", "32G²³")</f>
        <v/>
      </c>
      <c r="M2040">
        <f>HYPERLINK("CSG0.html#group8H0", "8H⁰"), =HYPERLINK("CSG0.html#group8D0", "8D⁰"), =HYPERLINK("CSG0.html#group4A0", "4A⁰"), =HYPERLINK("CSG0.html#group4C0", "4C⁰"), =HYPERLINK("CSG0.html#group8B0", "8B⁰"), =HYPERLINK("CSG3.html#group16P3", "16P³"), =HYPERLINK("CSG0.html#group8A0", "8A⁰"), =HYPERLINK("CSG0.html#group1A0", "1A⁰"), =HYPERLINK("CSG0.html#group2B0", "2B⁰"), =HYPERLINK("CSG0.html#group4F0", "4F⁰"), =HYPERLINK("CSG0.html#group8K0", "8K⁰"), =HYPERLINK("CSG1.html#group8D1", "8D¹"), =HYPERLINK("CSG1.html#group8H1", "8H¹")</f>
        <v/>
      </c>
      <c r="N2040">
        <f>HYPERLINK("CSG21.html#group32X21", "32X²¹"), =HYPERLINK("CSG19.html#group32A19", "32A¹⁹"), =HYPERLINK("CSG22.html#group32A22", "32A²²"), =HYPERLINK("CSG18.html#group32A18", "32A¹⁸"), =HYPERLINK("CSG23.html#group32G23", "32G²³"), =HYPERLINK("CSG22.html#group32B22", "32B²²")</f>
        <v/>
      </c>
    </row>
    <row r="2041">
      <c r="A2041" t="inlineStr">
        <is>
          <t>32R⁹</t>
        </is>
      </c>
      <c r="B2041" t="inlineStr"/>
      <c r="C2041" t="inlineStr">
        <is>
          <t>192</t>
        </is>
      </c>
      <c r="D2041" t="inlineStr">
        <is>
          <t>1</t>
        </is>
      </c>
      <c r="E2041" t="inlineStr">
        <is>
          <t>96</t>
        </is>
      </c>
      <c r="F2041" t="inlineStr">
        <is>
          <t>4</t>
        </is>
      </c>
      <c r="G2041" t="inlineStr">
        <is>
          <t>0</t>
        </is>
      </c>
      <c r="H2041" t="inlineStr">
        <is>
          <t>8⁸, 16⁴, 32²</t>
        </is>
      </c>
      <c r="I2041" t="n">
        <v>14</v>
      </c>
      <c r="J2041" t="inlineStr">
        <is>
          <t>8⁴, 16¹⁰</t>
        </is>
      </c>
      <c r="K2041">
        <f>HYPERLINK("CSG3.html#group16P3", "16P³")</f>
        <v/>
      </c>
      <c r="L2041">
        <f>HYPERLINK("CSG18.html#group32B18", "32B¹⁸"), =HYPERLINK("CSG19.html#group32A19", "32A¹⁹"), =HYPERLINK("CSG21.html#group32X21", "32X²¹"), =HYPERLINK("CSG22.html#group32A22", "32A²²"), =HYPERLINK("CSG22.html#group32B22", "32B²²"), =HYPERLINK("CSG23.html#group32G23", "32G²³")</f>
        <v/>
      </c>
      <c r="M2041">
        <f>HYPERLINK("CSG0.html#group8H0", "8H⁰"), =HYPERLINK("CSG0.html#group8D0", "8D⁰"), =HYPERLINK("CSG0.html#group4A0", "4A⁰"), =HYPERLINK("CSG0.html#group4C0", "4C⁰"), =HYPERLINK("CSG0.html#group8B0", "8B⁰"), =HYPERLINK("CSG3.html#group16P3", "16P³"), =HYPERLINK("CSG0.html#group8A0", "8A⁰"), =HYPERLINK("CSG0.html#group1A0", "1A⁰"), =HYPERLINK("CSG0.html#group2B0", "2B⁰"), =HYPERLINK("CSG0.html#group4F0", "4F⁰"), =HYPERLINK("CSG0.html#group8K0", "8K⁰"), =HYPERLINK("CSG1.html#group8D1", "8D¹"), =HYPERLINK("CSG1.html#group8H1", "8H¹")</f>
        <v/>
      </c>
      <c r="N2041">
        <f>HYPERLINK("CSG21.html#group32X21", "32X²¹"), =HYPERLINK("CSG19.html#group32A19", "32A¹⁹"), =HYPERLINK("CSG22.html#group32A22", "32A²²"), =HYPERLINK("CSG23.html#group32G23", "32G²³"), =HYPERLINK("CSG22.html#group32B22", "32B²²"), =HYPERLINK("CSG18.html#group32B18", "32B¹⁸")</f>
        <v/>
      </c>
    </row>
    <row r="2042">
      <c r="A2042" t="inlineStr">
        <is>
          <t>33A⁹</t>
        </is>
      </c>
      <c r="B2042" t="inlineStr"/>
      <c r="C2042" t="inlineStr">
        <is>
          <t>144</t>
        </is>
      </c>
      <c r="D2042" t="inlineStr">
        <is>
          <t>1</t>
        </is>
      </c>
      <c r="E2042" t="inlineStr">
        <is>
          <t>12</t>
        </is>
      </c>
      <c r="F2042" t="inlineStr">
        <is>
          <t>0</t>
        </is>
      </c>
      <c r="G2042" t="inlineStr">
        <is>
          <t>0</t>
        </is>
      </c>
      <c r="H2042" t="inlineStr">
        <is>
          <t>3⁴, 33⁴</t>
        </is>
      </c>
      <c r="I2042" t="n">
        <v>8</v>
      </c>
      <c r="J2042" t="inlineStr">
        <is>
          <t>1², 10¹</t>
        </is>
      </c>
      <c r="K2042">
        <f>HYPERLINK("CSG0.html#group3D0", "3D⁰"), =HYPERLINK("CSG3.html#group33C3", "33C³"), =HYPERLINK("CSG5.html#group33A5", "33A⁵")</f>
        <v/>
      </c>
      <c r="L2042">
        <f>HYPERLINK("CSG17.html#group33B17", "33B¹⁷"), =HYPERLINK("CSG21.html#group66B21", "66B²¹"), =HYPERLINK("CSG21.html#group66C21", "66C²¹")</f>
        <v/>
      </c>
      <c r="M2042">
        <f>HYPERLINK("CSG0.html#group3B0", "3B⁰"), =HYPERLINK("CSG1.html#group11A1", "11A¹"), =HYPERLINK("CSG5.html#group33A5", "33A⁵"), =HYPERLINK("CSG0.html#group3C0", "3C⁰"), =HYPERLINK("CSG0.html#group1A0", "1A⁰"), =HYPERLINK("CSG0.html#group3A0", "3A⁰"), =HYPERLINK("CSG3.html#group33A3", "33A³"), =HYPERLINK("CSG0.html#group3D0", "3D⁰"), =HYPERLINK("CSG3.html#group33C3", "33C³")</f>
        <v/>
      </c>
      <c r="N2042">
        <f>HYPERLINK("CSG17.html#group33B17", "33B¹⁷"), =HYPERLINK("CSG21.html#group66C21", "66C²¹"), =HYPERLINK("CSG21.html#group66B21", "66B²¹")</f>
        <v/>
      </c>
    </row>
    <row r="2043">
      <c r="A2043" t="inlineStr">
        <is>
          <t>34A⁹</t>
        </is>
      </c>
      <c r="B2043" t="inlineStr"/>
      <c r="C2043" t="inlineStr">
        <is>
          <t>144</t>
        </is>
      </c>
      <c r="D2043" t="inlineStr">
        <is>
          <t>1</t>
        </is>
      </c>
      <c r="E2043" t="inlineStr">
        <is>
          <t>18</t>
        </is>
      </c>
      <c r="F2043" t="inlineStr">
        <is>
          <t>0</t>
        </is>
      </c>
      <c r="G2043" t="inlineStr">
        <is>
          <t>0</t>
        </is>
      </c>
      <c r="H2043" t="inlineStr">
        <is>
          <t>2⁴, 34⁴</t>
        </is>
      </c>
      <c r="I2043" t="n">
        <v>8</v>
      </c>
      <c r="J2043" t="inlineStr">
        <is>
          <t>1², 16¹</t>
        </is>
      </c>
      <c r="K2043">
        <f>HYPERLINK("CSG1.html#group17C1", "17C¹"), =HYPERLINK("CSG5.html#group34A5", "34A⁵"), =HYPERLINK("CSG5.html#group34B5", "34B⁵")</f>
        <v/>
      </c>
      <c r="L2043">
        <f>HYPERLINK("CSG17.html#group34A17", "34A¹⁷")</f>
        <v/>
      </c>
      <c r="M2043">
        <f>HYPERLINK("CSG0.html#group2A0", "2A⁰"), =HYPERLINK("CSG5.html#group34A5", "34A⁵"), =HYPERLINK("CSG1.html#group17B1", "17B¹"), =HYPERLINK("CSG5.html#group34B5", "34B⁵"), =HYPERLINK("CSG1.html#group17C1", "17C¹"), =HYPERLINK("CSG1.html#group17A1", "17A¹"), =HYPERLINK("CSG3.html#group34B3", "34B³"), =HYPERLINK("CSG0.html#group1A0", "1A⁰"), =HYPERLINK("CSG3.html#group34A3", "34A³")</f>
        <v/>
      </c>
      <c r="N2043">
        <f>HYPERLINK("CSG17.html#group34A17", "34A¹⁷")</f>
        <v/>
      </c>
    </row>
    <row r="2044">
      <c r="A2044" t="inlineStr">
        <is>
          <t>34B⁹</t>
        </is>
      </c>
      <c r="B2044" t="inlineStr"/>
      <c r="C2044" t="inlineStr">
        <is>
          <t>216</t>
        </is>
      </c>
      <c r="D2044" t="inlineStr">
        <is>
          <t>1</t>
        </is>
      </c>
      <c r="E2044" t="inlineStr">
        <is>
          <t>54</t>
        </is>
      </c>
      <c r="F2044" t="inlineStr">
        <is>
          <t>8</t>
        </is>
      </c>
      <c r="G2044" t="inlineStr">
        <is>
          <t>0</t>
        </is>
      </c>
      <c r="H2044" t="inlineStr">
        <is>
          <t>1⁴, 2⁴, 17⁴, 34⁴</t>
        </is>
      </c>
      <c r="I2044" t="n">
        <v>16</v>
      </c>
      <c r="J2044" t="inlineStr">
        <is>
          <t>1⁶, 16³</t>
        </is>
      </c>
      <c r="K2044">
        <f>HYPERLINK("CSG1.html#group17C1", "17C¹"), =HYPERLINK("CSG5.html#group34C5", "34C⁵")</f>
        <v/>
      </c>
      <c r="L2044">
        <f>HYPERLINK("CSG21.html#group34A21", "34A²¹"), =HYPERLINK("CSG21.html#group34B21", "34B²¹"), =HYPERLINK("CSG21.html#group68C21", "68C²¹")</f>
        <v/>
      </c>
      <c r="M2044">
        <f>HYPERLINK("CSG3.html#group34C3", "34C³"), =HYPERLINK("CSG1.html#group17B1", "17B¹"), =HYPERLINK("CSG5.html#group34C5", "34C⁵"), =HYPERLINK("CSG1.html#group17C1", "17C¹"), =HYPERLINK("CSG1.html#group17A1", "17A¹"), =HYPERLINK("CSG0.html#group2B0", "2B⁰"), =HYPERLINK("CSG0.html#group1A0", "1A⁰")</f>
        <v/>
      </c>
      <c r="N2044">
        <f>HYPERLINK("CSG21.html#group34A21", "34A²¹"), =HYPERLINK("CSG21.html#group68C21", "68C²¹"), =HYPERLINK("CSG21.html#group34B21", "34B²¹")</f>
        <v/>
      </c>
    </row>
    <row r="2045">
      <c r="A2045" t="inlineStr">
        <is>
          <t>35A⁹</t>
        </is>
      </c>
      <c r="B2045" t="inlineStr"/>
      <c r="C2045" t="inlineStr">
        <is>
          <t>140</t>
        </is>
      </c>
      <c r="D2045" t="inlineStr">
        <is>
          <t>1</t>
        </is>
      </c>
      <c r="E2045" t="inlineStr">
        <is>
          <t>140</t>
        </is>
      </c>
      <c r="F2045" t="inlineStr">
        <is>
          <t>4</t>
        </is>
      </c>
      <c r="G2045" t="inlineStr">
        <is>
          <t>2</t>
        </is>
      </c>
      <c r="H2045" t="inlineStr">
        <is>
          <t>35⁴</t>
        </is>
      </c>
      <c r="I2045" t="n">
        <v>4</v>
      </c>
      <c r="J2045" t="inlineStr">
        <is>
          <t>1¹, 3¹, 4¹, 6⁴, 12¹, 24⁴</t>
        </is>
      </c>
      <c r="K2045">
        <f>HYPERLINK("CSG0.html#group7F0", "7F⁰"), =HYPERLINK("CSG2.html#group35A2", "35A²")</f>
        <v/>
      </c>
      <c r="L2045">
        <f>HYPERLINK("CSG19.html#group35A19", "35A¹⁹"), =HYPERLINK("CSG19.html#group70C19", "70C¹⁹"), =HYPERLINK("CSG21.html#group70A21", "70A²¹")</f>
        <v/>
      </c>
      <c r="M2045">
        <f>HYPERLINK("CSG0.html#group7F0", "7F⁰"), =HYPERLINK("CSG0.html#group5A0", "5A⁰"), =HYPERLINK("CSG0.html#group1A0", "1A⁰"), =HYPERLINK("CSG2.html#group35A2", "35A²"), =HYPERLINK("CSG0.html#group7A0", "7A⁰")</f>
        <v/>
      </c>
      <c r="N2045">
        <f>HYPERLINK("CSG21.html#group70A21", "70A²¹"), =HYPERLINK("CSG19.html#group35A19", "35A¹⁹"), =HYPERLINK("CSG19.html#group70C19", "70C¹⁹")</f>
        <v/>
      </c>
    </row>
    <row r="2046">
      <c r="A2046" t="inlineStr">
        <is>
          <t>35B⁹</t>
        </is>
      </c>
      <c r="B2046" t="inlineStr"/>
      <c r="C2046" t="inlineStr">
        <is>
          <t>140</t>
        </is>
      </c>
      <c r="D2046" t="inlineStr">
        <is>
          <t>2</t>
        </is>
      </c>
      <c r="E2046" t="inlineStr">
        <is>
          <t>70</t>
        </is>
      </c>
      <c r="F2046" t="inlineStr">
        <is>
          <t>4</t>
        </is>
      </c>
      <c r="G2046" t="inlineStr">
        <is>
          <t>2</t>
        </is>
      </c>
      <c r="H2046" t="inlineStr">
        <is>
          <t>35⁴</t>
        </is>
      </c>
      <c r="I2046" t="n">
        <v>4</v>
      </c>
      <c r="J2046" t="inlineStr">
        <is>
          <t>4¹, 8², 12², 24⁴</t>
        </is>
      </c>
      <c r="K2046">
        <f>HYPERLINK("CSG0.html#group7C0", "7C⁰"), =HYPERLINK("CSG4.html#group35B4", "35B⁴")</f>
        <v/>
      </c>
      <c r="L2046">
        <f>HYPERLINK("CSG19.html#group35B19", "35B¹⁹"), =HYPERLINK("CSG19.html#group70D19", "70D¹⁹"), =HYPERLINK("CSG21.html#group70C21", "70C²¹")</f>
        <v/>
      </c>
      <c r="M2046">
        <f>HYPERLINK("CSG0.html#group1A0", "1A⁰"), =HYPERLINK("CSG0.html#group5C0", "5C⁰"), =HYPERLINK("CSG4.html#group35B4", "35B⁴"), =HYPERLINK("CSG0.html#group7A0", "7A⁰"), =HYPERLINK("CSG0.html#group7C0", "7C⁰")</f>
        <v/>
      </c>
      <c r="N2046">
        <f>HYPERLINK("CSG21.html#group70C21", "70C²¹"), =HYPERLINK("CSG19.html#group70D19", "70D¹⁹"), =HYPERLINK("CSG19.html#group35B19", "35B¹⁹")</f>
        <v/>
      </c>
    </row>
    <row r="2047">
      <c r="A2047" t="inlineStr">
        <is>
          <t>35C⁹</t>
        </is>
      </c>
      <c r="B2047" t="inlineStr"/>
      <c r="C2047" t="inlineStr">
        <is>
          <t>160</t>
        </is>
      </c>
      <c r="D2047" t="inlineStr">
        <is>
          <t>1</t>
        </is>
      </c>
      <c r="E2047" t="inlineStr">
        <is>
          <t>80</t>
        </is>
      </c>
      <c r="F2047" t="inlineStr">
        <is>
          <t>0</t>
        </is>
      </c>
      <c r="G2047" t="inlineStr">
        <is>
          <t>4</t>
        </is>
      </c>
      <c r="H2047" t="inlineStr">
        <is>
          <t>5⁴, 35⁴</t>
        </is>
      </c>
      <c r="I2047" t="n">
        <v>8</v>
      </c>
      <c r="J2047" t="inlineStr">
        <is>
          <t>2², 4⁴, 12¹, 24²</t>
        </is>
      </c>
      <c r="K2047">
        <f>HYPERLINK("CSG0.html#group5F0", "5F⁰"), =HYPERLINK("CSG2.html#group35B2", "35B²"), =HYPERLINK("CSG5.html#group35A5", "35A⁵")</f>
        <v/>
      </c>
      <c r="L2047">
        <f>HYPERLINK("CSG17.html#group35A17", "35A¹⁷"), =HYPERLINK("CSG21.html#group70F21", "70F²¹"), =HYPERLINK("CSG21.html#group70G21", "70G²¹")</f>
        <v/>
      </c>
      <c r="M2047">
        <f>HYPERLINK("CSG5.html#group35A5", "35A⁵"), =HYPERLINK("CSG0.html#group5A0", "5A⁰"), =HYPERLINK("CSG0.html#group7B0", "7B⁰"), =HYPERLINK("CSG0.html#group5C0", "5C⁰"), =HYPERLINK("CSG0.html#group5F0", "5F⁰"), =HYPERLINK("CSG2.html#group35B2", "35B²"), =HYPERLINK("CSG0.html#group1A0", "1A⁰")</f>
        <v/>
      </c>
      <c r="N2047">
        <f>HYPERLINK("CSG21.html#group70G21", "70G²¹"), =HYPERLINK("CSG17.html#group35A17", "35A¹⁷"), =HYPERLINK("CSG21.html#group70F21", "70F²¹")</f>
        <v/>
      </c>
    </row>
    <row r="2048">
      <c r="A2048" t="inlineStr">
        <is>
          <t>35D⁹</t>
        </is>
      </c>
      <c r="B2048" t="inlineStr"/>
      <c r="C2048" t="inlineStr">
        <is>
          <t>168</t>
        </is>
      </c>
      <c r="D2048" t="inlineStr">
        <is>
          <t>1</t>
        </is>
      </c>
      <c r="E2048" t="inlineStr">
        <is>
          <t>168</t>
        </is>
      </c>
      <c r="F2048" t="inlineStr">
        <is>
          <t>8</t>
        </is>
      </c>
      <c r="G2048" t="inlineStr">
        <is>
          <t>0</t>
        </is>
      </c>
      <c r="H2048" t="inlineStr">
        <is>
          <t>7⁴, 35⁴</t>
        </is>
      </c>
      <c r="I2048" t="n">
        <v>8</v>
      </c>
      <c r="J2048" t="inlineStr">
        <is>
          <t>1², 3², 4¹, 6⁸, 12¹, 24⁴</t>
        </is>
      </c>
      <c r="K2048">
        <f>HYPERLINK("CSG0.html#group7F0", "7F⁰"), =HYPERLINK("CSG2.html#group35C2", "35C²")</f>
        <v/>
      </c>
      <c r="L2048">
        <f>HYPERLINK("CSG17.html#group35B17", "35B¹⁷"), =HYPERLINK("CSG21.html#group35A21", "35A²¹"), =HYPERLINK("CSG21.html#group35B21", "35B²¹"), =HYPERLINK("CSG21.html#group70H21", "70H²¹"), =HYPERLINK("CSG21.html#group70I21", "70I²¹")</f>
        <v/>
      </c>
      <c r="M2048">
        <f>HYPERLINK("CSG0.html#group7F0", "7F⁰"), =HYPERLINK("CSG2.html#group35C2", "35C²"), =HYPERLINK("CSG0.html#group5B0", "5B⁰"), =HYPERLINK("CSG0.html#group1A0", "1A⁰"), =HYPERLINK("CSG0.html#group7A0", "7A⁰")</f>
        <v/>
      </c>
      <c r="N2048">
        <f>HYPERLINK("CSG17.html#group35B17", "35B¹⁷"), =HYPERLINK("CSG21.html#group70H21", "70H²¹"), =HYPERLINK("CSG21.html#group35B21", "35B²¹"), =HYPERLINK("CSG21.html#group70I21", "70I²¹"), =HYPERLINK("CSG21.html#group35A21", "35A²¹")</f>
        <v/>
      </c>
    </row>
    <row r="2049">
      <c r="A2049" t="inlineStr">
        <is>
          <t>35E⁹</t>
        </is>
      </c>
      <c r="B2049" t="inlineStr"/>
      <c r="C2049" t="inlineStr">
        <is>
          <t>192</t>
        </is>
      </c>
      <c r="D2049" t="inlineStr">
        <is>
          <t>1</t>
        </is>
      </c>
      <c r="E2049" t="inlineStr">
        <is>
          <t>48</t>
        </is>
      </c>
      <c r="F2049" t="inlineStr">
        <is>
          <t>0</t>
        </is>
      </c>
      <c r="G2049" t="inlineStr">
        <is>
          <t>0</t>
        </is>
      </c>
      <c r="H2049" t="inlineStr">
        <is>
          <t>1⁴, 5⁴, 7⁴, 35⁴</t>
        </is>
      </c>
      <c r="I2049" t="n">
        <v>16</v>
      </c>
      <c r="J2049" t="inlineStr">
        <is>
          <t>1⁴, 4², 6², 24¹</t>
        </is>
      </c>
      <c r="K2049">
        <f>HYPERLINK("CSG5.html#group35C5", "35C⁵")</f>
        <v/>
      </c>
      <c r="L2049" t="inlineStr"/>
      <c r="M2049">
        <f>HYPERLINK("CSG0.html#group5B0", "5B⁰"), =HYPERLINK("CSG0.html#group5D0", "5D⁰"), =HYPERLINK("CSG0.html#group1A0", "1A⁰"), =HYPERLINK("CSG0.html#group7B0", "7B⁰"), =HYPERLINK("CSG3.html#group35A3", "35A³"), =HYPERLINK("CSG5.html#group35C5", "35C⁵")</f>
        <v/>
      </c>
      <c r="N2049" t="inlineStr"/>
    </row>
    <row r="2050">
      <c r="A2050" t="inlineStr">
        <is>
          <t>36A⁹</t>
        </is>
      </c>
      <c r="B2050" t="inlineStr"/>
      <c r="C2050" t="inlineStr">
        <is>
          <t>144</t>
        </is>
      </c>
      <c r="D2050" t="inlineStr">
        <is>
          <t>1</t>
        </is>
      </c>
      <c r="E2050" t="inlineStr">
        <is>
          <t>6</t>
        </is>
      </c>
      <c r="F2050" t="inlineStr">
        <is>
          <t>0</t>
        </is>
      </c>
      <c r="G2050" t="inlineStr">
        <is>
          <t>0</t>
        </is>
      </c>
      <c r="H2050" t="inlineStr">
        <is>
          <t>12⁶, 36²</t>
        </is>
      </c>
      <c r="I2050" t="n">
        <v>8</v>
      </c>
      <c r="J2050" t="inlineStr">
        <is>
          <t>1², 2²</t>
        </is>
      </c>
      <c r="K2050">
        <f>HYPERLINK("CSG3.html#group12A3", "12A³"), =HYPERLINK("CSG3.html#group18F3", "18F³"), =HYPERLINK("CSG4.html#group36H4", "36H⁴"), =HYPERLINK("CSG4.html#group36I4", "36I⁴")</f>
        <v/>
      </c>
      <c r="L2050" t="inlineStr"/>
      <c r="M2050">
        <f>HYPERLINK("CSG0.html#group3B0", "3B⁰"), =HYPERLINK("CSG0.html#group2A0", "2A⁰"), =HYPERLINK("CSG2.html#group18F2", "18F²"), =HYPERLINK("CSG1.html#group12D1", "12D¹"), =HYPERLINK("CSG0.html#group6B0", "6B⁰"), =HYPERLINK("CSG4.html#group36I4", "36I⁴"), =HYPERLINK("CSG3.html#group12A3", "12A³"), =HYPERLINK("CSG0.html#group6C0", "6C⁰"), =HYPERLINK("CSG0.html#group9E0", "9E⁰"), =HYPERLINK("CSG4.html#group36H4", "36H⁴"), =HYPERLINK("CSG0.html#group1A0", "1A⁰"), =HYPERLINK("CSG3.html#group18F3", "18F³"), =HYPERLINK("CSG1.html#group6D1", "6D¹"), =HYPERLINK("CSG0.html#group6E0", "6E⁰"), =HYPERLINK("CSG1.html#group6B1", "6B¹"), =HYPERLINK("CSG0.html#group3C0", "3C⁰"), =HYPERLINK("CSG1.html#group6A1", "6A¹"), =HYPERLINK("CSG1.html#group18F1", "18F¹"), =HYPERLINK("CSG0.html#group9H0", "9H⁰"), =HYPERLINK("CSG0.html#group3A0", "3A⁰"), =HYPERLINK("CSG0.html#group3D0", "3D⁰"), =HYPERLINK("CSG0.html#group12B0", "12B⁰")</f>
        <v/>
      </c>
      <c r="N2050" t="inlineStr"/>
    </row>
    <row r="2051">
      <c r="A2051" t="inlineStr">
        <is>
          <t>36B⁹</t>
        </is>
      </c>
      <c r="B2051" t="inlineStr"/>
      <c r="C2051" t="inlineStr">
        <is>
          <t>144</t>
        </is>
      </c>
      <c r="D2051" t="inlineStr">
        <is>
          <t>1</t>
        </is>
      </c>
      <c r="E2051" t="inlineStr">
        <is>
          <t>12</t>
        </is>
      </c>
      <c r="F2051" t="inlineStr">
        <is>
          <t>0</t>
        </is>
      </c>
      <c r="G2051" t="inlineStr">
        <is>
          <t>0</t>
        </is>
      </c>
      <c r="H2051" t="inlineStr">
        <is>
          <t>4³, 12², 36³</t>
        </is>
      </c>
      <c r="I2051" t="n">
        <v>8</v>
      </c>
      <c r="J2051" t="inlineStr">
        <is>
          <t>1², 2², 6¹</t>
        </is>
      </c>
      <c r="K2051">
        <f>HYPERLINK("CSG3.html#group18G3", "18G³"), =HYPERLINK("CSG3.html#group36A3", "36A³")</f>
        <v/>
      </c>
      <c r="L2051" t="inlineStr"/>
      <c r="M2051">
        <f>HYPERLINK("CSG0.html#group3B0", "3B⁰"), =HYPERLINK("CSG0.html#group2A0", "2A⁰"), =HYPERLINK("CSG3.html#group18G3", "18G³"), =HYPERLINK("CSG1.html#group18C1", "18C¹"), =HYPERLINK("CSG0.html#group6C0", "6C⁰"), =HYPERLINK("CSG0.html#group9I0", "9I⁰"), =HYPERLINK("CSG0.html#group9B0", "9B⁰"), =HYPERLINK("CSG0.html#group1A0", "1A⁰"), =HYPERLINK("CSG3.html#group36A3", "36A³"), =HYPERLINK("CSG0.html#group12B0", "12B⁰")</f>
        <v/>
      </c>
      <c r="N2051" t="inlineStr"/>
    </row>
    <row r="2052">
      <c r="A2052" t="inlineStr">
        <is>
          <t>36C⁹</t>
        </is>
      </c>
      <c r="B2052" t="inlineStr"/>
      <c r="C2052" t="inlineStr">
        <is>
          <t>144</t>
        </is>
      </c>
      <c r="D2052" t="inlineStr">
        <is>
          <t>1</t>
        </is>
      </c>
      <c r="E2052" t="inlineStr">
        <is>
          <t>12</t>
        </is>
      </c>
      <c r="F2052" t="inlineStr">
        <is>
          <t>0</t>
        </is>
      </c>
      <c r="G2052" t="inlineStr">
        <is>
          <t>0</t>
        </is>
      </c>
      <c r="H2052" t="inlineStr">
        <is>
          <t>6², 12², 18², 36²</t>
        </is>
      </c>
      <c r="I2052" t="n">
        <v>8</v>
      </c>
      <c r="J2052" t="inlineStr">
        <is>
          <t>1⁶, 2³</t>
        </is>
      </c>
      <c r="K2052">
        <f>HYPERLINK("CSG1.html#group12P1", "12P¹"), =HYPERLINK("CSG4.html#group18C4", "18C⁴"), =HYPERLINK("CSG4.html#group36F4", "36F⁴"), =HYPERLINK("CSG5.html#group36A5", "36A⁵")</f>
        <v/>
      </c>
      <c r="L2052">
        <f>HYPERLINK("CSG17.html#group36A17", "36A¹⁷"), =HYPERLINK("CSG19.html#group36A19", "36A¹⁹"), =HYPERLINK("CSG19.html#group36C19", "36C¹⁹"), =HYPERLINK("CSG19.html#group72C19", "72C¹⁹"), =HYPERLINK("CSG19.html#group72A19", "72A¹⁹"), =HYPERLINK("CSG19.html#group72M19", "72M¹⁹"), =HYPERLINK("CSG19.html#group72K19", "72K¹⁹"), =HYPERLINK("CSG21.html#group72A21", "72A²¹"), =HYPERLINK("CSG21.html#group72C21", "72C²¹")</f>
        <v/>
      </c>
      <c r="M2052">
        <f>HYPERLINK("CSG0.html#group3B0", "3B⁰"), =HYPERLINK("CSG0.html#group2A0", "2A⁰"), =HYPERLINK("CSG1.html#group12F1", "12F¹"), =HYPERLINK("CSG0.html#group18B0", "18B⁰"), =HYPERLINK("CSG0.html#group6I0", "6I⁰"), =HYPERLINK("CSG0.html#group4C0", "4C⁰"), =HYPERLINK("CSG0.html#group6C0", "6C⁰"), =HYPERLINK("CSG2.html#group18D2", "18D²"), =HYPERLINK("CSG4.html#group36F4", "36F⁴"), =HYPERLINK("CSG0.html#group2B0", "2B⁰"), =HYPERLINK("CSG0.html#group4E0", "4E⁰"), =HYPERLINK("CSG0.html#group9C0", "9C⁰"), =HYPERLINK("CSG5.html#group36A5", "36A⁵"), =HYPERLINK("CSG1.html#group12P1", "12P¹"), =HYPERLINK("CSG0.html#group1A0", "1A⁰"), =HYPERLINK("CSG0.html#group4B0", "4B⁰"), =HYPERLINK("CSG2.html#group18C2", "18C²"), =HYPERLINK("CSG0.html#group6F0", "6F⁰"), =HYPERLINK("CSG0.html#group2C0", "2C⁰"), =HYPERLINK("CSG0.html#group12E0", "12E⁰"), =HYPERLINK("CSG4.html#group18C4", "18C⁴")</f>
        <v/>
      </c>
      <c r="N2052">
        <f>HYPERLINK("CSG19.html#group72A19", "72A¹⁹"), =HYPERLINK("CSG19.html#group72K19", "72K¹⁹"), =HYPERLINK("CSG19.html#group36A19", "36A¹⁹"), =HYPERLINK("CSG19.html#group72C19", "72C¹⁹"), =HYPERLINK("CSG19.html#group72M19", "72M¹⁹"), =HYPERLINK("CSG21.html#group72A21", "72A²¹"), =HYPERLINK("CSG21.html#group72C21", "72C²¹"), =HYPERLINK("CSG17.html#group36A17", "36A¹⁷"), =HYPERLINK("CSG19.html#group36C19", "36C¹⁹")</f>
        <v/>
      </c>
    </row>
    <row r="2053">
      <c r="A2053" t="inlineStr">
        <is>
          <t>36D⁹</t>
        </is>
      </c>
      <c r="B2053" t="inlineStr"/>
      <c r="C2053" t="inlineStr">
        <is>
          <t>144</t>
        </is>
      </c>
      <c r="D2053" t="inlineStr">
        <is>
          <t>1</t>
        </is>
      </c>
      <c r="E2053" t="inlineStr">
        <is>
          <t>12</t>
        </is>
      </c>
      <c r="F2053" t="inlineStr">
        <is>
          <t>0</t>
        </is>
      </c>
      <c r="G2053" t="inlineStr">
        <is>
          <t>0</t>
        </is>
      </c>
      <c r="H2053" t="inlineStr">
        <is>
          <t>6², 12², 18², 36²</t>
        </is>
      </c>
      <c r="I2053" t="n">
        <v>8</v>
      </c>
      <c r="J2053" t="inlineStr">
        <is>
          <t>1⁶, 2³</t>
        </is>
      </c>
      <c r="K2053">
        <f>HYPERLINK("CSG1.html#group12P1", "12P¹"), =HYPERLINK("CSG4.html#group18D4", "18D⁴"), =HYPERLINK("CSG4.html#group36G4", "36G⁴"), =HYPERLINK("CSG5.html#group36B5", "36B⁵")</f>
        <v/>
      </c>
      <c r="L2053">
        <f>HYPERLINK("CSG17.html#group36B17", "36B¹⁷"), =HYPERLINK("CSG19.html#group36B19", "36B¹⁹"), =HYPERLINK("CSG19.html#group36D19", "36D¹⁹"), =HYPERLINK("CSG19.html#group72D19", "72D¹⁹"), =HYPERLINK("CSG19.html#group72B19", "72B¹⁹"), =HYPERLINK("CSG19.html#group72N19", "72N¹⁹"), =HYPERLINK("CSG19.html#group72L19", "72L¹⁹"), =HYPERLINK("CSG21.html#group72B21", "72B²¹"), =HYPERLINK("CSG21.html#group72D21", "72D²¹")</f>
        <v/>
      </c>
      <c r="M2053">
        <f>HYPERLINK("CSG0.html#group3B0", "3B⁰"), =HYPERLINK("CSG0.html#group2A0", "2A⁰"), =HYPERLINK("CSG1.html#group12F1", "12F¹"), =HYPERLINK("CSG0.html#group6I0", "6I⁰"), =HYPERLINK("CSG0.html#group4C0", "4C⁰"), =HYPERLINK("CSG2.html#group18E2", "18E²"), =HYPERLINK("CSG0.html#group6C0", "6C⁰"), =HYPERLINK("CSG4.html#group36G4", "36G⁴"), =HYPERLINK("CSG5.html#group36B5", "36B⁵"), =HYPERLINK("CSG0.html#group2B0", "2B⁰"), =HYPERLINK("CSG0.html#group4E0", "4E⁰"), =HYPERLINK("CSG1.html#group12P1", "12P¹"), =HYPERLINK("CSG0.html#group4B0", "4B⁰"), =HYPERLINK("CSG0.html#group1A0", "1A⁰"), =HYPERLINK("CSG2.html#group18B2", "18B²"), =HYPERLINK("CSG1.html#group9A1", "9A¹"), =HYPERLINK("CSG4.html#group18D4", "18D⁴"), =HYPERLINK("CSG0.html#group6F0", "6F⁰"), =HYPERLINK("CSG0.html#group2C0", "2C⁰"), =HYPERLINK("CSG0.html#group12E0", "12E⁰"), =HYPERLINK("CSG1.html#group18D1", "18D¹")</f>
        <v/>
      </c>
      <c r="N2053">
        <f>HYPERLINK("CSG19.html#group72N19", "72N¹⁹"), =HYPERLINK("CSG19.html#group72L19", "72L¹⁹"), =HYPERLINK("CSG19.html#group72D19", "72D¹⁹"), =HYPERLINK("CSG21.html#group72D21", "72D²¹"), =HYPERLINK("CSG19.html#group72B19", "72B¹⁹"), =HYPERLINK("CSG19.html#group36D19", "36D¹⁹"), =HYPERLINK("CSG17.html#group36B17", "36B¹⁷"), =HYPERLINK("CSG19.html#group36B19", "36B¹⁹"), =HYPERLINK("CSG21.html#group72B21", "72B²¹")</f>
        <v/>
      </c>
    </row>
    <row r="2054">
      <c r="A2054" t="inlineStr">
        <is>
          <t>36E⁹</t>
        </is>
      </c>
      <c r="B2054" t="inlineStr"/>
      <c r="C2054" t="inlineStr">
        <is>
          <t>144</t>
        </is>
      </c>
      <c r="D2054" t="inlineStr">
        <is>
          <t>1</t>
        </is>
      </c>
      <c r="E2054" t="inlineStr">
        <is>
          <t>12</t>
        </is>
      </c>
      <c r="F2054" t="inlineStr">
        <is>
          <t>0</t>
        </is>
      </c>
      <c r="G2054" t="inlineStr">
        <is>
          <t>0</t>
        </is>
      </c>
      <c r="H2054" t="inlineStr">
        <is>
          <t>12⁶, 36²</t>
        </is>
      </c>
      <c r="I2054" t="n">
        <v>8</v>
      </c>
      <c r="J2054" t="inlineStr">
        <is>
          <t>1², 2⁵</t>
        </is>
      </c>
      <c r="K2054">
        <f>HYPERLINK("CSG3.html#group12A3", "12A³"), =HYPERLINK("CSG3.html#group18H3", "18H³"), =HYPERLINK("CSG4.html#group36J4", "36J⁴"), =HYPERLINK("CSG4.html#group36K4", "36K⁴")</f>
        <v/>
      </c>
      <c r="L2054" t="inlineStr"/>
      <c r="M2054">
        <f>HYPERLINK("CSG4.html#group36K4", "36K⁴"), =HYPERLINK("CSG4.html#group36J4", "36J⁴"), =HYPERLINK("CSG0.html#group3B0", "3B⁰"), =HYPERLINK("CSG1.html#group12D1", "12D¹"), =HYPERLINK("CSG0.html#group6B0", "6B⁰"), =HYPERLINK("CSG0.html#group2A0", "2A⁰"), =HYPERLINK("CSG3.html#group12A3", "12A³"), =HYPERLINK("CSG0.html#group6C0", "6C⁰"), =HYPERLINK("CSG0.html#group1A0", "1A⁰"), =HYPERLINK("CSG1.html#group6D1", "6D¹"), =HYPERLINK("CSG0.html#group6E0", "6E⁰"), =HYPERLINK("CSG1.html#group6B1", "6B¹"), =HYPERLINK("CSG3.html#group18H3", "18H³"), =HYPERLINK("CSG0.html#group3C0", "3C⁰"), =HYPERLINK("CSG1.html#group6A1", "6A¹"), =HYPERLINK("CSG1.html#group18G1", "18G¹"), =HYPERLINK("CSG0.html#group3A0", "3A⁰"), =HYPERLINK("CSG0.html#group3D0", "3D⁰"), =HYPERLINK("CSG0.html#group12B0", "12B⁰")</f>
        <v/>
      </c>
      <c r="N2054" t="inlineStr"/>
    </row>
    <row r="2055">
      <c r="A2055" t="inlineStr">
        <is>
          <t>36F⁹</t>
        </is>
      </c>
      <c r="B2055" t="inlineStr"/>
      <c r="C2055" t="inlineStr">
        <is>
          <t>144</t>
        </is>
      </c>
      <c r="D2055" t="inlineStr">
        <is>
          <t>1</t>
        </is>
      </c>
      <c r="E2055" t="inlineStr">
        <is>
          <t>24</t>
        </is>
      </c>
      <c r="F2055" t="inlineStr">
        <is>
          <t>0</t>
        </is>
      </c>
      <c r="G2055" t="inlineStr">
        <is>
          <t>0</t>
        </is>
      </c>
      <c r="H2055" t="inlineStr">
        <is>
          <t>4³, 12², 36³</t>
        </is>
      </c>
      <c r="I2055" t="n">
        <v>8</v>
      </c>
      <c r="J2055" t="inlineStr">
        <is>
          <t>1⁴, 2⁴, 6²</t>
        </is>
      </c>
      <c r="K2055">
        <f>HYPERLINK("CSG3.html#group18I3", "18I³"), =HYPERLINK("CSG3.html#group36A3", "36A³")</f>
        <v/>
      </c>
      <c r="L2055" t="inlineStr"/>
      <c r="M2055">
        <f>HYPERLINK("CSG0.html#group3B0", "3B⁰"), =HYPERLINK("CSG0.html#group2A0", "2A⁰"), =HYPERLINK("CSG1.html#group18C1", "18C¹"), =HYPERLINK("CSG0.html#group6C0", "6C⁰"), =HYPERLINK("CSG0.html#group9B0", "9B⁰"), =HYPERLINK("CSG3.html#group18I3", "18I³"), =HYPERLINK("CSG0.html#group1A0", "1A⁰"), =HYPERLINK("CSG3.html#group36A3", "36A³"), =HYPERLINK("CSG0.html#group12B0", "12B⁰")</f>
        <v/>
      </c>
      <c r="N2055" t="inlineStr"/>
    </row>
    <row r="2056">
      <c r="A2056" t="inlineStr">
        <is>
          <t>36G⁹</t>
        </is>
      </c>
      <c r="B2056" t="inlineStr"/>
      <c r="C2056" t="inlineStr">
        <is>
          <t>144</t>
        </is>
      </c>
      <c r="D2056" t="inlineStr">
        <is>
          <t>1</t>
        </is>
      </c>
      <c r="E2056" t="inlineStr">
        <is>
          <t>24</t>
        </is>
      </c>
      <c r="F2056" t="inlineStr">
        <is>
          <t>0</t>
        </is>
      </c>
      <c r="G2056" t="inlineStr">
        <is>
          <t>0</t>
        </is>
      </c>
      <c r="H2056" t="inlineStr">
        <is>
          <t>12⁶, 36²</t>
        </is>
      </c>
      <c r="I2056" t="n">
        <v>8</v>
      </c>
      <c r="J2056" t="inlineStr">
        <is>
          <t>2⁴, 4⁴</t>
        </is>
      </c>
      <c r="K2056">
        <f>HYPERLINK("CSG0.html#group9H0", "9H⁰"), =HYPERLINK("CSG3.html#group12B3", "12B³"), =HYPERLINK("CSG4.html#group36M4", "36M⁴")</f>
        <v/>
      </c>
      <c r="L2056">
        <f>HYPERLINK("CSG17.html#group36C17", "36C¹⁷"), =HYPERLINK("CSG21.html#group72O21", "72O²¹")</f>
        <v/>
      </c>
      <c r="M2056">
        <f>HYPERLINK("CSG1.html#group12G1", "12G¹"), =HYPERLINK("CSG0.html#group3B0", "3B⁰"), =HYPERLINK("CSG0.html#group12A0", "12A⁰"), =HYPERLINK("CSG3.html#group12B3", "12B³"), =HYPERLINK("CSG0.html#group4A0", "4A⁰"), =HYPERLINK("CSG1.html#group12A1", "12A¹"), =HYPERLINK("CSG4.html#group36M4", "36M⁴"), =HYPERLINK("CSG0.html#group3C0", "3C⁰"), =HYPERLINK("CSG0.html#group9H0", "9H⁰"), =HYPERLINK("CSG0.html#group9E0", "9E⁰"), =HYPERLINK("CSG0.html#group3A0", "3A⁰"), =HYPERLINK("CSG0.html#group1A0", "1A⁰"), =HYPERLINK("CSG0.html#group3D0", "3D⁰")</f>
        <v/>
      </c>
      <c r="N2056">
        <f>HYPERLINK("CSG17.html#group36C17", "36C¹⁷"), =HYPERLINK("CSG21.html#group72O21", "72O²¹")</f>
        <v/>
      </c>
    </row>
    <row r="2057">
      <c r="A2057" t="inlineStr">
        <is>
          <t>36H⁹</t>
        </is>
      </c>
      <c r="B2057" t="inlineStr"/>
      <c r="C2057" t="inlineStr">
        <is>
          <t>144</t>
        </is>
      </c>
      <c r="D2057" t="inlineStr">
        <is>
          <t>1</t>
        </is>
      </c>
      <c r="E2057" t="inlineStr">
        <is>
          <t>48</t>
        </is>
      </c>
      <c r="F2057" t="inlineStr">
        <is>
          <t>0</t>
        </is>
      </c>
      <c r="G2057" t="inlineStr">
        <is>
          <t>0</t>
        </is>
      </c>
      <c r="H2057" t="inlineStr">
        <is>
          <t>4³, 12², 36³</t>
        </is>
      </c>
      <c r="I2057" t="n">
        <v>8</v>
      </c>
      <c r="J2057" t="inlineStr">
        <is>
          <t>2⁴, 4⁴, 12²</t>
        </is>
      </c>
      <c r="K2057">
        <f>HYPERLINK("CSG0.html#group9I0", "9I⁰"), =HYPERLINK("CSG3.html#group36B3", "36B³")</f>
        <v/>
      </c>
      <c r="L2057">
        <f>HYPERLINK("CSG17.html#group36D17", "36D¹⁷"), =HYPERLINK("CSG21.html#group72R21", "72R²¹")</f>
        <v/>
      </c>
      <c r="M2057">
        <f>HYPERLINK("CSG0.html#group3B0", "3B⁰"), =HYPERLINK("CSG0.html#group4A0", "4A⁰"), =HYPERLINK("CSG1.html#group12A1", "12A¹"), =HYPERLINK("CSG0.html#group9I0", "9I⁰"), =HYPERLINK("CSG0.html#group9B0", "9B⁰"), =HYPERLINK("CSG3.html#group36B3", "36B³"), =HYPERLINK("CSG0.html#group1A0", "1A⁰")</f>
        <v/>
      </c>
      <c r="N2057">
        <f>HYPERLINK("CSG17.html#group36D17", "36D¹⁷"), =HYPERLINK("CSG21.html#group72R21", "72R²¹")</f>
        <v/>
      </c>
    </row>
    <row r="2058">
      <c r="A2058" t="inlineStr">
        <is>
          <t>36I⁹</t>
        </is>
      </c>
      <c r="B2058" t="inlineStr"/>
      <c r="C2058" t="inlineStr">
        <is>
          <t>144</t>
        </is>
      </c>
      <c r="D2058" t="inlineStr">
        <is>
          <t>1</t>
        </is>
      </c>
      <c r="E2058" t="inlineStr">
        <is>
          <t>48</t>
        </is>
      </c>
      <c r="F2058" t="inlineStr">
        <is>
          <t>0</t>
        </is>
      </c>
      <c r="G2058" t="inlineStr">
        <is>
          <t>3</t>
        </is>
      </c>
      <c r="H2058" t="inlineStr">
        <is>
          <t>12³, 36³</t>
        </is>
      </c>
      <c r="I2058" t="n">
        <v>6</v>
      </c>
      <c r="J2058" t="inlineStr">
        <is>
          <t>2⁴, 4⁴, 12²</t>
        </is>
      </c>
      <c r="K2058">
        <f>HYPERLINK("CSG0.html#group9J0", "9J⁰"), =HYPERLINK("CSG3.html#group36C3", "36C³")</f>
        <v/>
      </c>
      <c r="L2058">
        <f>HYPERLINK("CSG17.html#group36F17", "36F¹⁷"), =HYPERLINK("CSG20.html#group72C20", "72C²⁰")</f>
        <v/>
      </c>
      <c r="M2058">
        <f>HYPERLINK("CSG0.html#group3B0", "3B⁰"), =HYPERLINK("CSG0.html#group9J0", "9J⁰"), =HYPERLINK("CSG0.html#group4A0", "4A⁰"), =HYPERLINK("CSG1.html#group12A1", "12A¹"), =HYPERLINK("CSG0.html#group9C0", "9C⁰"), =HYPERLINK("CSG0.html#group1A0", "1A⁰"), =HYPERLINK("CSG3.html#group36C3", "36C³")</f>
        <v/>
      </c>
      <c r="N2058">
        <f>HYPERLINK("CSG20.html#group72C20", "72C²⁰"), =HYPERLINK("CSG17.html#group36F17", "36F¹⁷")</f>
        <v/>
      </c>
    </row>
    <row r="2059">
      <c r="A2059" t="inlineStr">
        <is>
          <t>36J⁹</t>
        </is>
      </c>
      <c r="B2059" t="inlineStr"/>
      <c r="C2059" t="inlineStr">
        <is>
          <t>144</t>
        </is>
      </c>
      <c r="D2059" t="inlineStr">
        <is>
          <t>1</t>
        </is>
      </c>
      <c r="E2059" t="inlineStr">
        <is>
          <t>72</t>
        </is>
      </c>
      <c r="F2059" t="inlineStr">
        <is>
          <t>0</t>
        </is>
      </c>
      <c r="G2059" t="inlineStr">
        <is>
          <t>0</t>
        </is>
      </c>
      <c r="H2059" t="inlineStr">
        <is>
          <t>12⁶, 36²</t>
        </is>
      </c>
      <c r="I2059" t="n">
        <v>8</v>
      </c>
      <c r="J2059" t="inlineStr">
        <is>
          <t>2², 4², 6², 12⁴</t>
        </is>
      </c>
      <c r="K2059">
        <f>HYPERLINK("CSG2.html#group18F2", "18F²"), =HYPERLINK("CSG3.html#group12C3", "12C³"), =HYPERLINK("CSG4.html#group36M4", "36M⁴")</f>
        <v/>
      </c>
      <c r="L2059">
        <f>HYPERLINK("CSG17.html#group36C17", "36C¹⁷"), =HYPERLINK("CSG21.html#group72M21", "72M²¹"), =HYPERLINK("CSG21.html#group72N21", "72N²¹")</f>
        <v/>
      </c>
      <c r="M2059">
        <f>HYPERLINK("CSG1.html#group12G1", "12G¹"), =HYPERLINK("CSG2.html#group18F2", "18F²"), =HYPERLINK("CSG0.html#group2A0", "2A⁰"), =HYPERLINK("CSG0.html#group6B0", "6B⁰"), =HYPERLINK("CSG3.html#group12C3", "12C³"), =HYPERLINK("CSG0.html#group12F0", "12F⁰"), =HYPERLINK("CSG0.html#group9E0", "9E⁰"), =HYPERLINK("CSG0.html#group1A0", "1A⁰"), =HYPERLINK("CSG0.html#group12A0", "12A⁰"), =HYPERLINK("CSG1.html#group6B1", "6B¹"), =HYPERLINK("CSG0.html#group4A0", "4A⁰"), =HYPERLINK("CSG0.html#group4D0", "4D⁰"), =HYPERLINK("CSG2.html#group12A2", "12A²"), =HYPERLINK("CSG4.html#group36M4", "36M⁴"), =HYPERLINK("CSG0.html#group3C0", "3C⁰"), =HYPERLINK("CSG1.html#group6A1", "6A¹"), =HYPERLINK("CSG0.html#group3A0", "3A⁰")</f>
        <v/>
      </c>
      <c r="N2059">
        <f>HYPERLINK("CSG17.html#group36C17", "36C¹⁷"), =HYPERLINK("CSG21.html#group72N21", "72N²¹"), =HYPERLINK("CSG21.html#group72M21", "72M²¹")</f>
        <v/>
      </c>
    </row>
    <row r="2060">
      <c r="A2060" t="inlineStr">
        <is>
          <t>36K⁹</t>
        </is>
      </c>
      <c r="B2060" t="inlineStr"/>
      <c r="C2060" t="inlineStr">
        <is>
          <t>144</t>
        </is>
      </c>
      <c r="D2060" t="inlineStr">
        <is>
          <t>2</t>
        </is>
      </c>
      <c r="E2060" t="inlineStr">
        <is>
          <t>36</t>
        </is>
      </c>
      <c r="F2060" t="inlineStr">
        <is>
          <t>8</t>
        </is>
      </c>
      <c r="G2060" t="inlineStr">
        <is>
          <t>0</t>
        </is>
      </c>
      <c r="H2060" t="inlineStr">
        <is>
          <t>36⁴</t>
        </is>
      </c>
      <c r="I2060" t="n">
        <v>4</v>
      </c>
      <c r="J2060" t="inlineStr">
        <is>
          <t>4⁶, 12⁴</t>
        </is>
      </c>
      <c r="K2060">
        <f>HYPERLINK("CSG1.html#group12Q1", "12Q¹"), =HYPERLINK("CSG2.html#group18G2", "18G²"), =HYPERLINK("CSG2.html#group36D2", "36D²"), =HYPERLINK("CSG4.html#group36L4", "36L⁴"), =HYPERLINK("CSG5.html#group36E5", "36E⁵")</f>
        <v/>
      </c>
      <c r="L2060">
        <f>HYPERLINK("CSG19.html#group36K19", "36K¹⁹"), =HYPERLINK("CSG21.html#group36A21", "36A²¹"), =HYPERLINK("CSG21.html#group72P21", "72P²¹"), =HYPERLINK("CSG21.html#group72Q21", "72Q²¹"), =HYPERLINK("CSG21.html#group72S21", "72S²¹")</f>
        <v/>
      </c>
      <c r="M2060">
        <f>HYPERLINK("CSG1.html#group12G1", "12G¹"), =HYPERLINK("CSG2.html#group36D2", "36D²"), =HYPERLINK("CSG0.html#group6B0", "6B⁰"), =HYPERLINK("CSG0.html#group12F0", "12F⁰"), =HYPERLINK("CSG0.html#group1A0", "1A⁰"), =HYPERLINK("CSG0.html#group18A0", "18A⁰"), =HYPERLINK("CSG1.html#group9B1", "9B¹"), =HYPERLINK("CSG1.html#group36A1", "36A¹"), =HYPERLINK("CSG0.html#group12A0", "12A⁰"), =HYPERLINK("CSG0.html#group6E0", "6E⁰"), =HYPERLINK("CSG0.html#group4A0", "4A⁰"), =HYPERLINK("CSG5.html#group36E5", "36E⁵"), =HYPERLINK("CSG0.html#group9A0", "9A⁰"), =HYPERLINK("CSG1.html#group12Q1", "12Q¹"), =HYPERLINK("CSG0.html#group3C0", "3C⁰"), =HYPERLINK("CSG2.html#group18G2", "18G²"), =HYPERLINK("CSG0.html#group3A0", "3A⁰"), =HYPERLINK("CSG1.html#group18A1", "18A¹"), =HYPERLINK("CSG4.html#group36L4", "36L⁴")</f>
        <v/>
      </c>
      <c r="N2060">
        <f>HYPERLINK("CSG21.html#group72Q21", "72Q²¹"), =HYPERLINK("CSG21.html#group72S21", "72S²¹"), =HYPERLINK("CSG19.html#group36K19", "36K¹⁹"), =HYPERLINK("CSG21.html#group36A21", "36A²¹"), =HYPERLINK("CSG21.html#group72P21", "72P²¹")</f>
        <v/>
      </c>
    </row>
    <row r="2061">
      <c r="A2061" t="inlineStr">
        <is>
          <t>36L⁹</t>
        </is>
      </c>
      <c r="B2061" t="inlineStr"/>
      <c r="C2061" t="inlineStr">
        <is>
          <t>144</t>
        </is>
      </c>
      <c r="D2061" t="inlineStr">
        <is>
          <t>2</t>
        </is>
      </c>
      <c r="E2061" t="inlineStr">
        <is>
          <t>72</t>
        </is>
      </c>
      <c r="F2061" t="inlineStr">
        <is>
          <t>8</t>
        </is>
      </c>
      <c r="G2061" t="inlineStr">
        <is>
          <t>0</t>
        </is>
      </c>
      <c r="H2061" t="inlineStr">
        <is>
          <t>36⁴</t>
        </is>
      </c>
      <c r="I2061" t="n">
        <v>4</v>
      </c>
      <c r="J2061" t="inlineStr">
        <is>
          <t>4¹², 12⁸</t>
        </is>
      </c>
      <c r="K2061">
        <f>HYPERLINK("CSG1.html#group12Q1", "12Q¹"), =HYPERLINK("CSG2.html#group18H2", "18H²"), =HYPERLINK("CSG4.html#group36N4", "36N⁴")</f>
        <v/>
      </c>
      <c r="L2061">
        <f>HYPERLINK("CSG19.html#group36L19", "36L¹⁹"), =HYPERLINK("CSG21.html#group36B21", "36B²¹"), =HYPERLINK("CSG21.html#group72T21", "72T²¹"), =HYPERLINK("CSG21.html#group72U21", "72U²¹"), =HYPERLINK("CSG21.html#group72V21", "72V²¹")</f>
        <v/>
      </c>
      <c r="M2061">
        <f>HYPERLINK("CSG1.html#group12G1", "12G¹"), =HYPERLINK("CSG4.html#group36N4", "36N⁴"), =HYPERLINK("CSG0.html#group6B0", "6B⁰"), =HYPERLINK("CSG0.html#group12A0", "12A⁰"), =HYPERLINK("CSG2.html#group18H2", "18H²"), =HYPERLINK("CSG0.html#group6E0", "6E⁰"), =HYPERLINK("CSG0.html#group4A0", "4A⁰"), =HYPERLINK("CSG0.html#group12F0", "12F⁰"), =HYPERLINK("CSG1.html#group18B1", "18B¹"), =HYPERLINK("CSG1.html#group12Q1", "12Q¹"), =HYPERLINK("CSG0.html#group3C0", "3C⁰"), =HYPERLINK("CSG0.html#group3A0", "3A⁰"), =HYPERLINK("CSG0.html#group1A0", "1A⁰")</f>
        <v/>
      </c>
      <c r="N2061">
        <f>HYPERLINK("CSG21.html#group72V21", "72V²¹"), =HYPERLINK("CSG21.html#group36B21", "36B²¹"), =HYPERLINK("CSG21.html#group72T21", "72T²¹"), =HYPERLINK("CSG19.html#group36L19", "36L¹⁹"), =HYPERLINK("CSG21.html#group72U21", "72U²¹")</f>
        <v/>
      </c>
    </row>
    <row r="2062">
      <c r="A2062" t="inlineStr">
        <is>
          <t>36M⁹</t>
        </is>
      </c>
      <c r="B2062" t="inlineStr"/>
      <c r="C2062" t="inlineStr">
        <is>
          <t>192</t>
        </is>
      </c>
      <c r="D2062" t="inlineStr">
        <is>
          <t>1</t>
        </is>
      </c>
      <c r="E2062" t="inlineStr">
        <is>
          <t>16</t>
        </is>
      </c>
      <c r="F2062" t="inlineStr">
        <is>
          <t>0</t>
        </is>
      </c>
      <c r="G2062" t="inlineStr">
        <is>
          <t>0</t>
        </is>
      </c>
      <c r="H2062" t="inlineStr">
        <is>
          <t>4¹², 36⁴</t>
        </is>
      </c>
      <c r="I2062" t="n">
        <v>16</v>
      </c>
      <c r="J2062" t="inlineStr">
        <is>
          <t>2⁴, 4²</t>
        </is>
      </c>
      <c r="K2062">
        <f>HYPERLINK("CSG1.html#group12R1", "12R¹"), =HYPERLINK("CSG3.html#group36A3", "36A³"), =HYPERLINK("CSG5.html#group36F5", "36F⁵")</f>
        <v/>
      </c>
      <c r="L2062" t="inlineStr"/>
      <c r="M2062">
        <f>HYPERLINK("CSG0.html#group3B0", "3B⁰"), =HYPERLINK("CSG0.html#group2A0", "2A⁰"), =HYPERLINK("CSG1.html#group12I1", "12I¹"), =HYPERLINK("CSG0.html#group4A0", "4A⁰"), =HYPERLINK("CSG1.html#group18C1", "18C¹"), =HYPERLINK("CSG1.html#group12A1", "12A¹"), =HYPERLINK("CSG0.html#group6C0", "6C⁰"), =HYPERLINK("CSG0.html#group4D0", "4D⁰"), =HYPERLINK("CSG0.html#group9B0", "9B⁰"), =HYPERLINK("CSG0.html#group1A0", "1A⁰"), =HYPERLINK("CSG1.html#group12R1", "12R¹"), =HYPERLINK("CSG3.html#group36B3", "36B³"), =HYPERLINK("CSG5.html#group36F5", "36F⁵"), =HYPERLINK("CSG3.html#group36A3", "36A³"), =HYPERLINK("CSG0.html#group12B0", "12B⁰")</f>
        <v/>
      </c>
      <c r="N2062" t="inlineStr"/>
    </row>
    <row r="2063">
      <c r="A2063" t="inlineStr">
        <is>
          <t>36N⁹</t>
        </is>
      </c>
      <c r="B2063" t="inlineStr"/>
      <c r="C2063" t="inlineStr">
        <is>
          <t>192</t>
        </is>
      </c>
      <c r="D2063" t="inlineStr">
        <is>
          <t>1</t>
        </is>
      </c>
      <c r="E2063" t="inlineStr">
        <is>
          <t>16</t>
        </is>
      </c>
      <c r="F2063" t="inlineStr">
        <is>
          <t>0</t>
        </is>
      </c>
      <c r="G2063" t="inlineStr">
        <is>
          <t>12</t>
        </is>
      </c>
      <c r="H2063" t="inlineStr">
        <is>
          <t>12⁴, 36⁴</t>
        </is>
      </c>
      <c r="I2063" t="n">
        <v>8</v>
      </c>
      <c r="J2063" t="inlineStr">
        <is>
          <t>2⁴, 4²</t>
        </is>
      </c>
      <c r="K2063">
        <f>HYPERLINK("CSG0.html#group36A0", "36A⁰"), =HYPERLINK("CSG1.html#group12R1", "12R¹"), =HYPERLINK("CSG5.html#group36G5", "36G⁵")</f>
        <v/>
      </c>
      <c r="L2063">
        <f>HYPERLINK("CSG21.html#group72Y21", "72Y²¹")</f>
        <v/>
      </c>
      <c r="M2063">
        <f>HYPERLINK("CSG0.html#group2A0", "2A⁰"), =HYPERLINK("CSG0.html#group3B0", "3B⁰"), =HYPERLINK("CSG1.html#group12I1", "12I¹"), =HYPERLINK("CSG0.html#group18B0", "18B⁰"), =HYPERLINK("CSG0.html#group6C0", "6C⁰"), =HYPERLINK("CSG0.html#group9C0", "9C⁰"), =HYPERLINK("CSG0.html#group1A0", "1A⁰"), =HYPERLINK("CSG5.html#group36G5", "36G⁵"), =HYPERLINK("CSG3.html#group36C3", "36C³"), =HYPERLINK("CSG0.html#group4A0", "4A⁰"), =HYPERLINK("CSG0.html#group4D0", "4D⁰"), =HYPERLINK("CSG1.html#group12A1", "12A¹"), =HYPERLINK("CSG1.html#group12R1", "12R¹"), =HYPERLINK("CSG0.html#group36A0", "36A⁰"), =HYPERLINK("CSG0.html#group12B0", "12B⁰")</f>
        <v/>
      </c>
      <c r="N2063">
        <f>HYPERLINK("CSG21.html#group72Y21", "72Y²¹")</f>
        <v/>
      </c>
    </row>
    <row r="2064">
      <c r="A2064" t="inlineStr">
        <is>
          <t>36O⁹</t>
        </is>
      </c>
      <c r="B2064" t="inlineStr"/>
      <c r="C2064" t="inlineStr">
        <is>
          <t>216</t>
        </is>
      </c>
      <c r="D2064" t="inlineStr">
        <is>
          <t>1</t>
        </is>
      </c>
      <c r="E2064" t="inlineStr">
        <is>
          <t>9</t>
        </is>
      </c>
      <c r="F2064" t="inlineStr">
        <is>
          <t>24</t>
        </is>
      </c>
      <c r="G2064" t="inlineStr">
        <is>
          <t>0</t>
        </is>
      </c>
      <c r="H2064" t="inlineStr">
        <is>
          <t>18⁴, 36⁴</t>
        </is>
      </c>
      <c r="I2064" t="n">
        <v>8</v>
      </c>
      <c r="J2064" t="inlineStr">
        <is>
          <t>1³, 2³</t>
        </is>
      </c>
      <c r="K2064">
        <f>HYPERLINK("CSG1.html#group12T1", "12T¹"), =HYPERLINK("CSG4.html#group18L4", "18L⁴"), =HYPERLINK("CSG4.html#group36P4", "36P⁴"), =HYPERLINK("CSG4.html#group36R4", "36R⁴"), =HYPERLINK("CSG5.html#group36H5", "36H⁵"), =HYPERLINK("CSG5.html#group36K5", "36K⁵")</f>
        <v/>
      </c>
      <c r="L2064">
        <f>HYPERLINK("CSG21.html#group72AA21", "72AA²¹"), =HYPERLINK("CSG23.html#group36A23", "36A²³")</f>
        <v/>
      </c>
      <c r="M2064">
        <f>HYPERLINK("CSG1.html#group12T1", "12T¹"), =HYPERLINK("CSG0.html#group12C0", "12C⁰"), =HYPERLINK("CSG3.html#group36E3", "36E³"), =HYPERLINK("CSG0.html#group4C0", "4C⁰"), =HYPERLINK("CSG2.html#group36B2", "36B²"), =HYPERLINK("CSG4.html#group36R4", "36R⁴"), =HYPERLINK("CSG0.html#group6G0", "6G⁰"), =HYPERLINK("CSG0.html#group2B0", "2B⁰"), =HYPERLINK("CSG1.html#group12N1", "12N¹"), =HYPERLINK("CSG0.html#group1A0", "1A⁰"), =HYPERLINK("CSG0.html#group18A0", "18A⁰"), =HYPERLINK("CSG2.html#group18L2", "18L²"), =HYPERLINK("CSG0.html#group3C0", "3C⁰"), =HYPERLINK("CSG0.html#group6H0", "6H⁰"), =HYPERLINK("CSG0.html#group3A0", "3A⁰"), =HYPERLINK("CSG1.html#group18E1", "18E¹"), =HYPERLINK("CSG0.html#group6B0", "6B⁰"), =HYPERLINK("CSG4.html#group18L4", "18L⁴"), =HYPERLINK("CSG5.html#group36K5", "36K⁵"), =HYPERLINK("CSG4.html#group36P4", "36P⁴"), =HYPERLINK("CSG5.html#group36H5", "36H⁵"), =HYPERLINK("CSG1.html#group12L1", "12L¹"), =HYPERLINK("CSG0.html#group12G0", "12G⁰"), =HYPERLINK("CSG0.html#group9D0", "9D⁰"), =HYPERLINK("CSG1.html#group12C1", "12C¹"), =HYPERLINK("CSG0.html#group18D0", "18D⁰"), =HYPERLINK("CSG0.html#group6E0", "6E⁰"), =HYPERLINK("CSG0.html#group6L0", "6L⁰"), =HYPERLINK("CSG0.html#group9A0", "9A⁰"), =HYPERLINK("CSG0.html#group12D0", "12D⁰"), =HYPERLINK("CSG0.html#group12H0", "12H⁰"), =HYPERLINK("CSG2.html#group18I2", "18I²"), =HYPERLINK("CSG0.html#group6D0", "6D⁰"), =HYPERLINK("CSG2.html#group36C2", "36C²")</f>
        <v/>
      </c>
      <c r="N2064">
        <f>HYPERLINK("CSG21.html#group72AA21", "72AA²¹"), =HYPERLINK("CSG23.html#group36A23", "36A²³")</f>
        <v/>
      </c>
    </row>
    <row r="2065">
      <c r="A2065" t="inlineStr">
        <is>
          <t>36P⁹</t>
        </is>
      </c>
      <c r="B2065" t="inlineStr"/>
      <c r="C2065" t="inlineStr">
        <is>
          <t>216</t>
        </is>
      </c>
      <c r="D2065" t="inlineStr">
        <is>
          <t>1</t>
        </is>
      </c>
      <c r="E2065" t="inlineStr">
        <is>
          <t>54</t>
        </is>
      </c>
      <c r="F2065" t="inlineStr">
        <is>
          <t>8</t>
        </is>
      </c>
      <c r="G2065" t="inlineStr">
        <is>
          <t>0</t>
        </is>
      </c>
      <c r="H2065" t="inlineStr">
        <is>
          <t>6⁶, 12⁶, 18², 36²</t>
        </is>
      </c>
      <c r="I2065" t="n">
        <v>16</v>
      </c>
      <c r="J2065" t="inlineStr">
        <is>
          <t>1³, 2³, 3³, 6⁶</t>
        </is>
      </c>
      <c r="K2065">
        <f>HYPERLINK("CSG1.html#group12T1", "12T¹"), =HYPERLINK("CSG3.html#group18K3", "18K³"), =HYPERLINK("CSG3.html#group36I3", "36I³"), =HYPERLINK("CSG5.html#group36I5", "36I⁵")</f>
        <v/>
      </c>
      <c r="L2065">
        <f>HYPERLINK("CSG19.html#group36U19", "36U¹⁹"), =HYPERLINK("CSG21.html#group36E21", "36E²¹"), =HYPERLINK("CSG23.html#group36B23", "36B²³"), =HYPERLINK("CSG23.html#group36C23", "36C²³"), =HYPERLINK("CSG23.html#group36D23", "36D²³"), =HYPERLINK("CSG23.html#group72I23", "72I²³"), =HYPERLINK("CSG23.html#group72J23", "72J²³"), =HYPERLINK("CSG23.html#group72K23", "72K²³")</f>
        <v/>
      </c>
      <c r="M2065">
        <f>HYPERLINK("CSG1.html#group12T1", "12T¹"), =HYPERLINK("CSG5.html#group36I5", "36I⁵"), =HYPERLINK("CSG0.html#group6B0", "6B⁰"), =HYPERLINK("CSG0.html#group12C0", "12C⁰"), =HYPERLINK("CSG0.html#group3A0", "3A⁰"), =HYPERLINK("CSG1.html#group18I1", "18I¹"), =HYPERLINK("CSG0.html#group4C0", "4C⁰"), =HYPERLINK("CSG0.html#group6G0", "6G⁰"), =HYPERLINK("CSG0.html#group2B0", "2B⁰"), =HYPERLINK("CSG1.html#group12N1", "12N¹"), =HYPERLINK("CSG0.html#group9E0", "9E⁰"), =HYPERLINK("CSG0.html#group1A0", "1A⁰"), =HYPERLINK("CSG1.html#group12L1", "12L¹"), =HYPERLINK("CSG0.html#group12G0", "12G⁰"), =HYPERLINK("CSG1.html#group12C1", "12C¹"), =HYPERLINK("CSG0.html#group6E0", "6E⁰"), =HYPERLINK("CSG0.html#group6L0", "6L⁰"), =HYPERLINK("CSG0.html#group3C0", "3C⁰"), =HYPERLINK("CSG3.html#group18K3", "18K³"), =HYPERLINK("CSG0.html#group12D0", "12D⁰"), =HYPERLINK("CSG3.html#group36I3", "36I³"), =HYPERLINK("CSG0.html#group6H0", "6H⁰"), =HYPERLINK("CSG0.html#group12H0", "12H⁰"), =HYPERLINK("CSG1.html#group18G1", "18G¹"), =HYPERLINK("CSG1.html#group18F1", "18F¹"), =HYPERLINK("CSG0.html#group6D0", "6D⁰")</f>
        <v/>
      </c>
      <c r="N2065">
        <f>HYPERLINK("CSG23.html#group36D23", "36D²³"), =HYPERLINK("CSG21.html#group36E21", "36E²¹"), =HYPERLINK("CSG23.html#group72J23", "72J²³"), =HYPERLINK("CSG23.html#group72K23", "72K²³"), =HYPERLINK("CSG23.html#group72I23", "72I²³"), =HYPERLINK("CSG19.html#group36U19", "36U¹⁹"), =HYPERLINK("CSG23.html#group36C23", "36C²³"), =HYPERLINK("CSG23.html#group36B23", "36B²³")</f>
        <v/>
      </c>
    </row>
    <row r="2066">
      <c r="A2066" t="inlineStr">
        <is>
          <t>36Q⁹</t>
        </is>
      </c>
      <c r="B2066" t="inlineStr"/>
      <c r="C2066" t="inlineStr">
        <is>
          <t>288</t>
        </is>
      </c>
      <c r="D2066" t="inlineStr">
        <is>
          <t>1</t>
        </is>
      </c>
      <c r="E2066" t="inlineStr">
        <is>
          <t>12</t>
        </is>
      </c>
      <c r="F2066" t="inlineStr">
        <is>
          <t>0</t>
        </is>
      </c>
      <c r="G2066" t="inlineStr">
        <is>
          <t>0</t>
        </is>
      </c>
      <c r="H2066" t="inlineStr">
        <is>
          <t>2¹², 4¹², 18⁴, 36⁴</t>
        </is>
      </c>
      <c r="I2066" t="n">
        <v>32</v>
      </c>
      <c r="J2066" t="inlineStr">
        <is>
          <t>1⁶, 2³</t>
        </is>
      </c>
      <c r="K2066">
        <f>HYPERLINK("CSG1.html#group12V1", "12V¹"), =HYPERLINK("CSG3.html#group36J3", "36J³"), =HYPERLINK("CSG3.html#group36K3", "36K³"), =HYPERLINK("CSG5.html#group36L5", "36L⁵")</f>
        <v/>
      </c>
      <c r="L2066" t="inlineStr"/>
      <c r="M2066">
        <f>HYPERLINK("CSG0.html#group3B0", "3B⁰"), =HYPERLINK("CSG0.html#group2A0", "2A⁰"), =HYPERLINK("CSG5.html#group36L5", "36L⁵"), =HYPERLINK("CSG3.html#group36G3", "36G³"), =HYPERLINK("CSG1.html#group12V1", "12V¹"), =HYPERLINK("CSG0.html#group6I0", "6I⁰"), =HYPERLINK("CSG1.html#group12F1", "12F¹"), =HYPERLINK("CSG0.html#group6C0", "6C⁰"), =HYPERLINK("CSG0.html#group12I0", "12I⁰"), =HYPERLINK("CSG0.html#group4C0", "4C⁰"), =HYPERLINK("CSG0.html#group12J0", "12J⁰"), =HYPERLINK("CSG0.html#group9B0", "9B⁰"), =HYPERLINK("CSG0.html#group2B0", "2B⁰"), =HYPERLINK("CSG0.html#group4E0", "4E⁰"), =HYPERLINK("CSG1.html#group12P1", "12P¹"), =HYPERLINK("CSG0.html#group4B0", "4B⁰"), =HYPERLINK("CSG1.html#group18J1", "18J¹"), =HYPERLINK("CSG0.html#group1A0", "1A⁰"), =HYPERLINK("CSG0.html#group18C0", "18C⁰"), =HYPERLINK("CSG0.html#group18E0", "18E⁰"), =HYPERLINK("CSG1.html#group18C1", "18C¹"), =HYPERLINK("CSG3.html#group36K3", "36K³"), =HYPERLINK("CSG1.html#group36C1", "36C¹"), =HYPERLINK("CSG3.html#group36J3", "36J³"), =HYPERLINK("CSG0.html#group6F0", "6F⁰"), =HYPERLINK("CSG0.html#group2C0", "2C⁰"), =HYPERLINK("CSG0.html#group12E0", "12E⁰")</f>
        <v/>
      </c>
      <c r="N2066" t="inlineStr"/>
    </row>
    <row r="2067">
      <c r="A2067" t="inlineStr">
        <is>
          <t>39A⁹</t>
        </is>
      </c>
      <c r="B2067" t="inlineStr"/>
      <c r="C2067" t="inlineStr">
        <is>
          <t>168</t>
        </is>
      </c>
      <c r="D2067" t="inlineStr">
        <is>
          <t>1</t>
        </is>
      </c>
      <c r="E2067" t="inlineStr">
        <is>
          <t>42</t>
        </is>
      </c>
      <c r="F2067" t="inlineStr">
        <is>
          <t>8</t>
        </is>
      </c>
      <c r="G2067" t="inlineStr">
        <is>
          <t>0</t>
        </is>
      </c>
      <c r="H2067" t="inlineStr">
        <is>
          <t>3⁴, 39⁴</t>
        </is>
      </c>
      <c r="I2067" t="n">
        <v>8</v>
      </c>
      <c r="J2067" t="inlineStr">
        <is>
          <t>1², 2², 12¹, 24¹</t>
        </is>
      </c>
      <c r="K2067">
        <f>HYPERLINK("CSG4.html#group39A4", "39A⁴"), =HYPERLINK("CSG5.html#group39A5", "39A⁵")</f>
        <v/>
      </c>
      <c r="L2067">
        <f>HYPERLINK("CSG19.html#group39A19", "39A¹⁹"), =HYPERLINK("CSG21.html#group39B21", "39B²¹"), =HYPERLINK("CSG21.html#group78A21", "78A²¹"), =HYPERLINK("CSG23.html#group78D23", "78D²³")</f>
        <v/>
      </c>
      <c r="M2067">
        <f>HYPERLINK("CSG0.html#group13A0", "13A⁰"), =HYPERLINK("CSG2.html#group39A2", "39A²"), =HYPERLINK("CSG0.html#group3C0", "3C⁰"), =HYPERLINK("CSG4.html#group39A4", "39A⁴"), =HYPERLINK("CSG0.html#group3A0", "3A⁰"), =HYPERLINK("CSG5.html#group39A5", "39A⁵"), =HYPERLINK("CSG0.html#group1A0", "1A⁰")</f>
        <v/>
      </c>
      <c r="N2067">
        <f>HYPERLINK("CSG23.html#group78D23", "78D²³"), =HYPERLINK("CSG21.html#group78A21", "78A²¹"), =HYPERLINK("CSG21.html#group39B21", "39B²¹"), =HYPERLINK("CSG19.html#group39A19", "39A¹⁹")</f>
        <v/>
      </c>
    </row>
    <row r="2068">
      <c r="A2068" t="inlineStr">
        <is>
          <t>39B⁹</t>
        </is>
      </c>
      <c r="B2068" t="inlineStr"/>
      <c r="C2068" t="inlineStr">
        <is>
          <t>168</t>
        </is>
      </c>
      <c r="D2068" t="inlineStr">
        <is>
          <t>1</t>
        </is>
      </c>
      <c r="E2068" t="inlineStr">
        <is>
          <t>56</t>
        </is>
      </c>
      <c r="F2068" t="inlineStr">
        <is>
          <t>0</t>
        </is>
      </c>
      <c r="G2068" t="inlineStr">
        <is>
          <t>0</t>
        </is>
      </c>
      <c r="H2068" t="inlineStr">
        <is>
          <t>1³, 3³, 13³, 39³</t>
        </is>
      </c>
      <c r="I2068" t="n">
        <v>12</v>
      </c>
      <c r="J2068" t="inlineStr">
        <is>
          <t>1⁴, 2², 12², 24¹</t>
        </is>
      </c>
      <c r="K2068">
        <f>HYPERLINK("CSG0.html#group13C0", "13C⁰"), =HYPERLINK("CSG3.html#group39A3", "39A³")</f>
        <v/>
      </c>
      <c r="L2068">
        <f>HYPERLINK("CSG17.html#group39A17", "39A¹⁷"), =HYPERLINK("CSG23.html#group78A23", "78A²³"), =HYPERLINK("CSG23.html#group78B23", "78B²³")</f>
        <v/>
      </c>
      <c r="M2068">
        <f>HYPERLINK("CSG0.html#group13A0", "13A⁰"), =HYPERLINK("CSG0.html#group3B0", "3B⁰"), =HYPERLINK("CSG3.html#group39A3", "39A³"), =HYPERLINK("CSG0.html#group13C0", "13C⁰"), =HYPERLINK("CSG0.html#group1A0", "1A⁰")</f>
        <v/>
      </c>
      <c r="N2068">
        <f>HYPERLINK("CSG23.html#group78B23", "78B²³"), =HYPERLINK("CSG17.html#group39A17", "39A¹⁷"), =HYPERLINK("CSG23.html#group78A23", "78A²³")</f>
        <v/>
      </c>
    </row>
    <row r="2069">
      <c r="A2069" t="inlineStr">
        <is>
          <t>39C⁹</t>
        </is>
      </c>
      <c r="B2069" t="inlineStr"/>
      <c r="C2069" t="inlineStr">
        <is>
          <t>224</t>
        </is>
      </c>
      <c r="D2069" t="inlineStr">
        <is>
          <t>1</t>
        </is>
      </c>
      <c r="E2069" t="inlineStr">
        <is>
          <t>56</t>
        </is>
      </c>
      <c r="F2069" t="inlineStr">
        <is>
          <t>0</t>
        </is>
      </c>
      <c r="G2069" t="inlineStr">
        <is>
          <t>8</t>
        </is>
      </c>
      <c r="H2069" t="inlineStr">
        <is>
          <t>1⁴, 3⁴, 13⁴, 39⁴</t>
        </is>
      </c>
      <c r="I2069" t="n">
        <v>16</v>
      </c>
      <c r="J2069" t="inlineStr">
        <is>
          <t>1⁴, 2², 12², 24¹</t>
        </is>
      </c>
      <c r="K2069">
        <f>HYPERLINK("CSG5.html#group39B5", "39B⁵")</f>
        <v/>
      </c>
      <c r="L2069" t="inlineStr"/>
      <c r="M2069">
        <f>HYPERLINK("CSG0.html#group13A0", "13A⁰"), =HYPERLINK("CSG0.html#group3B0", "3B⁰"), =HYPERLINK("CSG3.html#group39A3", "39A³"), =HYPERLINK("CSG0.html#group13B0", "13B⁰"), =HYPERLINK("CSG0.html#group1A0", "1A⁰"), =HYPERLINK("CSG5.html#group39B5", "39B⁵")</f>
        <v/>
      </c>
      <c r="N2069" t="inlineStr"/>
    </row>
    <row r="2070">
      <c r="A2070" t="inlineStr">
        <is>
          <t>40A⁹</t>
        </is>
      </c>
      <c r="B2070" t="inlineStr"/>
      <c r="C2070" t="inlineStr">
        <is>
          <t>120</t>
        </is>
      </c>
      <c r="D2070" t="inlineStr">
        <is>
          <t>1</t>
        </is>
      </c>
      <c r="E2070" t="inlineStr">
        <is>
          <t>15</t>
        </is>
      </c>
      <c r="F2070" t="inlineStr">
        <is>
          <t>0</t>
        </is>
      </c>
      <c r="G2070" t="inlineStr">
        <is>
          <t>0</t>
        </is>
      </c>
      <c r="H2070" t="inlineStr">
        <is>
          <t>20², 40²</t>
        </is>
      </c>
      <c r="I2070" t="n">
        <v>4</v>
      </c>
      <c r="J2070" t="inlineStr">
        <is>
          <t>1³, 4³</t>
        </is>
      </c>
      <c r="K2070">
        <f>HYPERLINK("CSG1.html#group8B1", "8B¹"), =HYPERLINK("CSG4.html#group20A4", "20A⁴"), =HYPERLINK("CSG4.html#group40A4", "40A⁴"), =HYPERLINK("CSG5.html#group40A5", "40A⁵")</f>
        <v/>
      </c>
      <c r="L2070">
        <f>HYPERLINK("CSG17.html#group40A17", "40A¹⁷"), =HYPERLINK("CSG17.html#group40G17", "40G¹⁷"), =HYPERLINK("CSG19.html#group80A19", "80A¹⁹"), =HYPERLINK("CSG19.html#group80B19", "80B¹⁹"), =HYPERLINK("CSG19.html#group80F19", "80F¹⁹")</f>
        <v/>
      </c>
      <c r="M2070">
        <f>HYPERLINK("CSG2.html#group20A2", "20A²"), =HYPERLINK("CSG0.html#group2A0", "2A⁰"), =HYPERLINK("CSG0.html#group5A0", "5A⁰"), =HYPERLINK("CSG4.html#group40A4", "40A⁴"), =HYPERLINK("CSG1.html#group8A1", "8A¹"), =HYPERLINK("CSG1.html#group10B1", "10B¹"), =HYPERLINK("CSG2.html#group20B2", "20B²"), =HYPERLINK("CSG0.html#group4C0", "4C⁰"), =HYPERLINK("CSG0.html#group8B0", "8B⁰"), =HYPERLINK("CSG0.html#group2B0", "2B⁰"), =HYPERLINK("CSG1.html#group8B1", "8B¹"), =HYPERLINK("CSG0.html#group4E0", "4E⁰"), =HYPERLINK("CSG2.html#group10B2", "10B²"), =HYPERLINK("CSG0.html#group4B0", "4B⁰"), =HYPERLINK("CSG0.html#group1A0", "1A⁰"), =HYPERLINK("CSG0.html#group10A0", "10A⁰"), =HYPERLINK("CSG4.html#group20A4", "20A⁴"), =HYPERLINK("CSG5.html#group40A5", "40A⁵"), =HYPERLINK("CSG0.html#group2C0", "2C⁰")</f>
        <v/>
      </c>
      <c r="N2070">
        <f>HYPERLINK("CSG17.html#group40A17", "40A¹⁷"), =HYPERLINK("CSG19.html#group80F19", "80F¹⁹"), =HYPERLINK("CSG19.html#group80B19", "80B¹⁹"), =HYPERLINK("CSG19.html#group80A19", "80A¹⁹"), =HYPERLINK("CSG17.html#group40G17", "40G¹⁷")</f>
        <v/>
      </c>
    </row>
    <row r="2071">
      <c r="A2071" t="inlineStr">
        <is>
          <t>40B⁹</t>
        </is>
      </c>
      <c r="B2071" t="inlineStr"/>
      <c r="C2071" t="inlineStr">
        <is>
          <t>120</t>
        </is>
      </c>
      <c r="D2071" t="inlineStr">
        <is>
          <t>1</t>
        </is>
      </c>
      <c r="E2071" t="inlineStr">
        <is>
          <t>30</t>
        </is>
      </c>
      <c r="F2071" t="inlineStr">
        <is>
          <t>0</t>
        </is>
      </c>
      <c r="G2071" t="inlineStr">
        <is>
          <t>0</t>
        </is>
      </c>
      <c r="H2071" t="inlineStr">
        <is>
          <t>20², 40²</t>
        </is>
      </c>
      <c r="I2071" t="n">
        <v>4</v>
      </c>
      <c r="J2071" t="inlineStr">
        <is>
          <t>1², 2², 4², 8²</t>
        </is>
      </c>
      <c r="K2071">
        <f>HYPERLINK("CSG1.html#group8C1", "8C¹"), =HYPERLINK("CSG4.html#group20C4", "20C⁴"), =HYPERLINK("CSG4.html#group40C4", "40C⁴"), =HYPERLINK("CSG5.html#group40A5", "40A⁵")</f>
        <v/>
      </c>
      <c r="L2071">
        <f>HYPERLINK("CSG17.html#group40A17", "40A¹⁷"), =HYPERLINK("CSG18.html#group40C18", "40C¹⁸"), =HYPERLINK("CSG18.html#group80B18", "80B¹⁸"), =HYPERLINK("CSG19.html#group80G19", "80G¹⁹")</f>
        <v/>
      </c>
      <c r="M2071">
        <f>HYPERLINK("CSG0.html#group5A0", "5A⁰"), =HYPERLINK("CSG1.html#group8A1", "8A¹"), =HYPERLINK("CSG0.html#group8D0", "8D⁰"), =HYPERLINK("CSG1.html#group10B1", "10B¹"), =HYPERLINK("CSG2.html#group20B2", "20B²"), =HYPERLINK("CSG0.html#group4C0", "4C⁰"), =HYPERLINK("CSG1.html#group20A1", "20A¹"), =HYPERLINK("CSG4.html#group20C4", "20C⁴"), =HYPERLINK("CSG0.html#group2B0", "2B⁰"), =HYPERLINK("CSG0.html#group1A0", "1A⁰"), =HYPERLINK("CSG4.html#group40C4", "40C⁴"), =HYPERLINK("CSG1.html#group8C1", "8C¹"), =HYPERLINK("CSG0.html#group4A0", "4A⁰"), =HYPERLINK("CSG0.html#group4F0", "4F⁰"), =HYPERLINK("CSG5.html#group40A5", "40A⁵")</f>
        <v/>
      </c>
      <c r="N2071">
        <f>HYPERLINK("CSG17.html#group40A17", "40A¹⁷"), =HYPERLINK("CSG19.html#group80G19", "80G¹⁹"), =HYPERLINK("CSG18.html#group80B18", "80B¹⁸"), =HYPERLINK("CSG18.html#group40C18", "40C¹⁸")</f>
        <v/>
      </c>
    </row>
    <row r="2072">
      <c r="A2072" t="inlineStr">
        <is>
          <t>40C⁹</t>
        </is>
      </c>
      <c r="B2072" t="inlineStr"/>
      <c r="C2072" t="inlineStr">
        <is>
          <t>120</t>
        </is>
      </c>
      <c r="D2072" t="inlineStr">
        <is>
          <t>1</t>
        </is>
      </c>
      <c r="E2072" t="inlineStr">
        <is>
          <t>30</t>
        </is>
      </c>
      <c r="F2072" t="inlineStr">
        <is>
          <t>0</t>
        </is>
      </c>
      <c r="G2072" t="inlineStr">
        <is>
          <t>0</t>
        </is>
      </c>
      <c r="H2072" t="inlineStr">
        <is>
          <t>20², 40²</t>
        </is>
      </c>
      <c r="I2072" t="n">
        <v>4</v>
      </c>
      <c r="J2072" t="inlineStr">
        <is>
          <t>2³, 4⁶</t>
        </is>
      </c>
      <c r="K2072">
        <f>HYPERLINK("CSG3.html#group20F3", "20F³")</f>
        <v/>
      </c>
      <c r="L2072">
        <f>HYPERLINK("CSG17.html#group40B17", "40B¹⁷"), =HYPERLINK("CSG17.html#group40C17", "40C¹⁷"), =HYPERLINK("CSG17.html#group40E17", "40E¹⁷"), =HYPERLINK("CSG17.html#group40L17", "40L¹⁷"), =HYPERLINK("CSG17.html#group40K17", "40K¹⁷")</f>
        <v/>
      </c>
      <c r="M2072">
        <f>HYPERLINK("CSG0.html#group1A0", "1A⁰"), =HYPERLINK("CSG0.html#group2B0", "2B⁰"), =HYPERLINK("CSG0.html#group5C0", "5C⁰"), =HYPERLINK("CSG3.html#group20F3", "20F³"), =HYPERLINK("CSG0.html#group4C0", "4C⁰"), =HYPERLINK("CSG1.html#group10F1", "10F¹")</f>
        <v/>
      </c>
      <c r="N2072">
        <f>HYPERLINK("CSG17.html#group40L17", "40L¹⁷"), =HYPERLINK("CSG17.html#group40E17", "40E¹⁷"), =HYPERLINK("CSG17.html#group40K17", "40K¹⁷"), =HYPERLINK("CSG17.html#group40B17", "40B¹⁷"), =HYPERLINK("CSG17.html#group40C17", "40C¹⁷")</f>
        <v/>
      </c>
    </row>
    <row r="2073">
      <c r="A2073" t="inlineStr">
        <is>
          <t>40D⁹</t>
        </is>
      </c>
      <c r="B2073" t="inlineStr"/>
      <c r="C2073" t="inlineStr">
        <is>
          <t>120</t>
        </is>
      </c>
      <c r="D2073" t="inlineStr">
        <is>
          <t>1</t>
        </is>
      </c>
      <c r="E2073" t="inlineStr">
        <is>
          <t>30</t>
        </is>
      </c>
      <c r="F2073" t="inlineStr">
        <is>
          <t>0</t>
        </is>
      </c>
      <c r="G2073" t="inlineStr">
        <is>
          <t>0</t>
        </is>
      </c>
      <c r="H2073" t="inlineStr">
        <is>
          <t>20², 40²</t>
        </is>
      </c>
      <c r="I2073" t="n">
        <v>4</v>
      </c>
      <c r="J2073" t="inlineStr">
        <is>
          <t>2³, 4⁶</t>
        </is>
      </c>
      <c r="K2073">
        <f>HYPERLINK("CSG1.html#group8A1", "8A¹"), =HYPERLINK("CSG3.html#group20F3", "20F³")</f>
        <v/>
      </c>
      <c r="L2073">
        <f>HYPERLINK("CSG17.html#group40B17", "40B¹⁷"), =HYPERLINK("CSG17.html#group40D17", "40D¹⁷"), =HYPERLINK("CSG17.html#group40F17", "40F¹⁷"), =HYPERLINK("CSG17.html#group40J17", "40J¹⁷"), =HYPERLINK("CSG17.html#group40M17", "40M¹⁷"), =HYPERLINK("CSG19.html#group80I19", "80I¹⁹"), =HYPERLINK("CSG19.html#group80J19", "80J¹⁹")</f>
        <v/>
      </c>
      <c r="M2073">
        <f>HYPERLINK("CSG0.html#group1A0", "1A⁰"), =HYPERLINK("CSG0.html#group2B0", "2B⁰"), =HYPERLINK("CSG1.html#group8A1", "8A¹"), =HYPERLINK("CSG0.html#group5C0", "5C⁰"), =HYPERLINK("CSG3.html#group20F3", "20F³"), =HYPERLINK("CSG0.html#group4C0", "4C⁰"), =HYPERLINK("CSG1.html#group10F1", "10F¹")</f>
        <v/>
      </c>
      <c r="N2073">
        <f>HYPERLINK("CSG19.html#group80J19", "80J¹⁹"), =HYPERLINK("CSG17.html#group40F17", "40F¹⁷"), =HYPERLINK("CSG17.html#group40M17", "40M¹⁷"), =HYPERLINK("CSG17.html#group40B17", "40B¹⁷"), =HYPERLINK("CSG19.html#group80I19", "80I¹⁹"), =HYPERLINK("CSG17.html#group40J17", "40J¹⁷"), =HYPERLINK("CSG17.html#group40D17", "40D¹⁷")</f>
        <v/>
      </c>
    </row>
    <row r="2074">
      <c r="A2074" t="inlineStr">
        <is>
          <t>40E⁹</t>
        </is>
      </c>
      <c r="B2074" t="inlineStr"/>
      <c r="C2074" t="inlineStr">
        <is>
          <t>120</t>
        </is>
      </c>
      <c r="D2074" t="inlineStr">
        <is>
          <t>1</t>
        </is>
      </c>
      <c r="E2074" t="inlineStr">
        <is>
          <t>60</t>
        </is>
      </c>
      <c r="F2074" t="inlineStr">
        <is>
          <t>2</t>
        </is>
      </c>
      <c r="G2074" t="inlineStr">
        <is>
          <t>0</t>
        </is>
      </c>
      <c r="H2074" t="inlineStr">
        <is>
          <t>40³</t>
        </is>
      </c>
      <c r="I2074" t="n">
        <v>3</v>
      </c>
      <c r="J2074" t="inlineStr">
        <is>
          <t>2², 4², 8², 16²</t>
        </is>
      </c>
      <c r="K2074">
        <f>HYPERLINK("CSG1.html#group8D1", "8D¹"), =HYPERLINK("CSG2.html#group40A2", "40A²"), =HYPERLINK("CSG4.html#group20C4", "20C⁴")</f>
        <v/>
      </c>
      <c r="L2074">
        <f>HYPERLINK("CSG17.html#group40N17", "40N¹⁷"), =HYPERLINK("CSG18.html#group40A18", "40A¹⁸"), =HYPERLINK("CSG18.html#group40C18", "40C¹⁸"), =HYPERLINK("CSG19.html#group80K19", "80K¹⁹")</f>
        <v/>
      </c>
      <c r="M2074">
        <f>HYPERLINK("CSG0.html#group5A0", "5A⁰"), =HYPERLINK("CSG0.html#group4A0", "4A⁰"), =HYPERLINK("CSG1.html#group10B1", "10B¹"), =HYPERLINK("CSG2.html#group20B2", "20B²"), =HYPERLINK("CSG0.html#group4C0", "4C⁰"), =HYPERLINK("CSG0.html#group8A0", "8A⁰"), =HYPERLINK("CSG1.html#group20A1", "20A¹"), =HYPERLINK("CSG4.html#group20C4", "20C⁴"), =HYPERLINK("CSG0.html#group1A0", "1A⁰"), =HYPERLINK("CSG0.html#group2B0", "2B⁰"), =HYPERLINK("CSG0.html#group4F0", "4F⁰"), =HYPERLINK("CSG2.html#group40A2", "40A²"), =HYPERLINK("CSG1.html#group8D1", "8D¹")</f>
        <v/>
      </c>
      <c r="N2074">
        <f>HYPERLINK("CSG19.html#group80K19", "80K¹⁹"), =HYPERLINK("CSG17.html#group40N17", "40N¹⁷"), =HYPERLINK("CSG18.html#group40C18", "40C¹⁸"), =HYPERLINK("CSG18.html#group40A18", "40A¹⁸")</f>
        <v/>
      </c>
    </row>
    <row r="2075">
      <c r="A2075" t="inlineStr">
        <is>
          <t>40F⁹</t>
        </is>
      </c>
      <c r="B2075" t="inlineStr"/>
      <c r="C2075" t="inlineStr">
        <is>
          <t>144</t>
        </is>
      </c>
      <c r="D2075" t="inlineStr">
        <is>
          <t>1</t>
        </is>
      </c>
      <c r="E2075" t="inlineStr">
        <is>
          <t>18</t>
        </is>
      </c>
      <c r="F2075" t="inlineStr">
        <is>
          <t>0</t>
        </is>
      </c>
      <c r="G2075" t="inlineStr">
        <is>
          <t>0</t>
        </is>
      </c>
      <c r="H2075" t="inlineStr">
        <is>
          <t>4², 8², 20², 40²</t>
        </is>
      </c>
      <c r="I2075" t="n">
        <v>8</v>
      </c>
      <c r="J2075" t="inlineStr">
        <is>
          <t>1⁶, 4³</t>
        </is>
      </c>
      <c r="K2075">
        <f>HYPERLINK("CSG1.html#group20I1", "20I¹"), =HYPERLINK("CSG5.html#group40B5", "40B⁵"), =HYPERLINK("CSG5.html#group40C5", "40C⁵")</f>
        <v/>
      </c>
      <c r="L2075">
        <f>HYPERLINK("CSG17.html#group40Y17", "40Y¹⁷"), =HYPERLINK("CSG17.html#group40Z17", "40Z¹⁷"), =HYPERLINK("CSG17.html#group40AC17", "40AC¹⁷"), =HYPERLINK("CSG17.html#group40AQ17", "40AQ¹⁷"), =HYPERLINK("CSG21.html#group80U21", "80U²¹"), =HYPERLINK("CSG21.html#group80Y21", "80Y²¹")</f>
        <v/>
      </c>
      <c r="M2075">
        <f>HYPERLINK("CSG1.html#group20E1", "20E¹"), =HYPERLINK("CSG0.html#group20A0", "20A⁰"), =HYPERLINK("CSG0.html#group10G0", "10G⁰"), =HYPERLINK("CSG1.html#group8A1", "8A¹"), =HYPERLINK("CSG1.html#group20I1", "20I¹"), =HYPERLINK("CSG0.html#group4C0", "4C⁰"), =HYPERLINK("CSG5.html#group40C5", "40C⁵"), =HYPERLINK("CSG0.html#group5B0", "5B⁰"), =HYPERLINK("CSG0.html#group10C0", "10C⁰"), =HYPERLINK("CSG5.html#group40B5", "40B⁵"), =HYPERLINK("CSG0.html#group2B0", "2B⁰"), =HYPERLINK("CSG0.html#group1A0", "1A⁰"), =HYPERLINK("CSG0.html#group10B0", "10B⁰")</f>
        <v/>
      </c>
      <c r="N2075">
        <f>HYPERLINK("CSG17.html#group40AC17", "40AC¹⁷"), =HYPERLINK("CSG21.html#group80Y21", "80Y²¹"), =HYPERLINK("CSG17.html#group40AQ17", "40AQ¹⁷"), =HYPERLINK("CSG17.html#group40Y17", "40Y¹⁷"), =HYPERLINK("CSG21.html#group80U21", "80U²¹"), =HYPERLINK("CSG17.html#group40Z17", "40Z¹⁷")</f>
        <v/>
      </c>
    </row>
    <row r="2076">
      <c r="A2076" t="inlineStr">
        <is>
          <t>40G⁹</t>
        </is>
      </c>
      <c r="B2076" t="inlineStr"/>
      <c r="C2076" t="inlineStr">
        <is>
          <t>144</t>
        </is>
      </c>
      <c r="D2076" t="inlineStr">
        <is>
          <t>1</t>
        </is>
      </c>
      <c r="E2076" t="inlineStr">
        <is>
          <t>18</t>
        </is>
      </c>
      <c r="F2076" t="inlineStr">
        <is>
          <t>0</t>
        </is>
      </c>
      <c r="G2076" t="inlineStr">
        <is>
          <t>0</t>
        </is>
      </c>
      <c r="H2076" t="inlineStr">
        <is>
          <t>4², 8², 20², 40²</t>
        </is>
      </c>
      <c r="I2076" t="n">
        <v>8</v>
      </c>
      <c r="J2076" t="inlineStr">
        <is>
          <t>1⁶, 4³</t>
        </is>
      </c>
      <c r="K2076">
        <f>HYPERLINK("CSG3.html#group20G3", "20G³"), =HYPERLINK("CSG3.html#group40C3", "40C³"), =HYPERLINK("CSG5.html#group40C5", "40C⁵")</f>
        <v/>
      </c>
      <c r="L2076">
        <f>HYPERLINK("CSG17.html#group40Y17", "40Y¹⁷"), =HYPERLINK("CSG17.html#group40AB17", "40AB¹⁷"), =HYPERLINK("CSG17.html#group40AF17", "40AF¹⁷"), =HYPERLINK("CSG21.html#group80A21", "80A²¹"), =HYPERLINK("CSG21.html#group80B21", "80B²¹"), =HYPERLINK("CSG21.html#group80J21", "80J²¹"), =HYPERLINK("CSG21.html#group80Z21", "80Z²¹")</f>
        <v/>
      </c>
      <c r="M2076">
        <f>HYPERLINK("CSG3.html#group40C3", "40C³"), =HYPERLINK("CSG1.html#group20E1", "20E¹"), =HYPERLINK("CSG2.html#group20C2", "20C²"), =HYPERLINK("CSG1.html#group8A1", "8A¹"), =HYPERLINK("CSG3.html#group20G3", "20G³"), =HYPERLINK("CSG0.html#group4C0", "4C⁰"), =HYPERLINK("CSG5.html#group40C5", "40C⁵"), =HYPERLINK("CSG0.html#group5B0", "5B⁰"), =HYPERLINK("CSG0.html#group10C0", "10C⁰"), =HYPERLINK("CSG0.html#group5D0", "5D⁰"), =HYPERLINK("CSG0.html#group2B0", "2B⁰"), =HYPERLINK("CSG0.html#group1A0", "1A⁰"), =HYPERLINK("CSG0.html#group10F0", "10F⁰")</f>
        <v/>
      </c>
      <c r="N2076">
        <f>HYPERLINK("CSG21.html#group80Z21", "80Z²¹"), =HYPERLINK("CSG17.html#group40AB17", "40AB¹⁷"), =HYPERLINK("CSG21.html#group80B21", "80B²¹"), =HYPERLINK("CSG17.html#group40Y17", "40Y¹⁷"), =HYPERLINK("CSG21.html#group80J21", "80J²¹"), =HYPERLINK("CSG21.html#group80A21", "80A²¹"), =HYPERLINK("CSG17.html#group40AF17", "40AF¹⁷")</f>
        <v/>
      </c>
    </row>
    <row r="2077">
      <c r="A2077" t="inlineStr">
        <is>
          <t>40H⁹</t>
        </is>
      </c>
      <c r="B2077" t="inlineStr"/>
      <c r="C2077" t="inlineStr">
        <is>
          <t>144</t>
        </is>
      </c>
      <c r="D2077" t="inlineStr">
        <is>
          <t>1</t>
        </is>
      </c>
      <c r="E2077" t="inlineStr">
        <is>
          <t>18</t>
        </is>
      </c>
      <c r="F2077" t="inlineStr">
        <is>
          <t>0</t>
        </is>
      </c>
      <c r="G2077" t="inlineStr">
        <is>
          <t>0</t>
        </is>
      </c>
      <c r="H2077" t="inlineStr">
        <is>
          <t>4², 8², 20², 40²</t>
        </is>
      </c>
      <c r="I2077" t="n">
        <v>8</v>
      </c>
      <c r="J2077" t="inlineStr">
        <is>
          <t>1⁶, 4³</t>
        </is>
      </c>
      <c r="K2077">
        <f>HYPERLINK("CSG3.html#group20G3", "20G³"), =HYPERLINK("CSG3.html#group40D3", "40D³"), =HYPERLINK("CSG5.html#group40B5", "40B⁵")</f>
        <v/>
      </c>
      <c r="L2077">
        <f>HYPERLINK("CSG17.html#group40Y17", "40Y¹⁷"), =HYPERLINK("CSG17.html#group40AA17", "40AA¹⁷"), =HYPERLINK("CSG17.html#group40AG17", "40AG¹⁷"), =HYPERLINK("CSG21.html#group80H21", "80H²¹"), =HYPERLINK("CSG21.html#group80F21", "80F²¹"), =HYPERLINK("CSG21.html#group80N21", "80N²¹"), =HYPERLINK("CSG21.html#group80AA21", "80AA²¹")</f>
        <v/>
      </c>
      <c r="M2077">
        <f>HYPERLINK("CSG1.html#group20E1", "20E¹"), =HYPERLINK("CSG2.html#group20C2", "20C²"), =HYPERLINK("CSG3.html#group20G3", "20G³"), =HYPERLINK("CSG0.html#group4C0", "4C⁰"), =HYPERLINK("CSG0.html#group8B0", "8B⁰"), =HYPERLINK("CSG0.html#group5B0", "5B⁰"), =HYPERLINK("CSG0.html#group10C0", "10C⁰"), =HYPERLINK("CSG0.html#group1A0", "1A⁰"), =HYPERLINK("CSG5.html#group40B5", "40B⁵"), =HYPERLINK("CSG0.html#group2B0", "2B⁰"), =HYPERLINK("CSG0.html#group5D0", "5D⁰"), =HYPERLINK("CSG3.html#group40D3", "40D³"), =HYPERLINK("CSG0.html#group10F0", "10F⁰")</f>
        <v/>
      </c>
      <c r="N2077">
        <f>HYPERLINK("CSG21.html#group80N21", "80N²¹"), =HYPERLINK("CSG17.html#group40AG17", "40AG¹⁷"), =HYPERLINK("CSG17.html#group40Y17", "40Y¹⁷"), =HYPERLINK("CSG21.html#group80F21", "80F²¹"), =HYPERLINK("CSG17.html#group40AA17", "40AA¹⁷"), =HYPERLINK("CSG21.html#group80H21", "80H²¹"), =HYPERLINK("CSG21.html#group80AA21", "80AA²¹")</f>
        <v/>
      </c>
    </row>
    <row r="2078">
      <c r="A2078" t="inlineStr">
        <is>
          <t>40I⁹</t>
        </is>
      </c>
      <c r="B2078" t="inlineStr"/>
      <c r="C2078" t="inlineStr">
        <is>
          <t>144</t>
        </is>
      </c>
      <c r="D2078" t="inlineStr">
        <is>
          <t>1</t>
        </is>
      </c>
      <c r="E2078" t="inlineStr">
        <is>
          <t>18</t>
        </is>
      </c>
      <c r="F2078" t="inlineStr">
        <is>
          <t>0</t>
        </is>
      </c>
      <c r="G2078" t="inlineStr">
        <is>
          <t>0</t>
        </is>
      </c>
      <c r="H2078" t="inlineStr">
        <is>
          <t>4², 8², 20², 40²</t>
        </is>
      </c>
      <c r="I2078" t="n">
        <v>8</v>
      </c>
      <c r="J2078" t="inlineStr">
        <is>
          <t>1⁶, 4³</t>
        </is>
      </c>
      <c r="K2078">
        <f>HYPERLINK("CSG3.html#group20J3", "20J³"), =HYPERLINK("CSG3.html#group40C3", "40C³"), =HYPERLINK("CSG5.html#group40B5", "40B⁵")</f>
        <v/>
      </c>
      <c r="L2078">
        <f>HYPERLINK("CSG17.html#group40U17", "40U¹⁷"), =HYPERLINK("CSG17.html#group40W17", "40W¹⁷"), =HYPERLINK("CSG17.html#group40Y17", "40Y¹⁷"), =HYPERLINK("CSG17.html#group40AH17", "40AH¹⁷"), =HYPERLINK("CSG21.html#group80R21", "80R²¹"), =HYPERLINK("CSG21.html#group80AC21", "80AC²¹"), =HYPERLINK("CSG21.html#group80AD21", "80AD²¹")</f>
        <v/>
      </c>
      <c r="M2078">
        <f>HYPERLINK("CSG1.html#group20E1", "20E¹"), =HYPERLINK("CSG0.html#group2A0", "2A⁰"), =HYPERLINK("CSG0.html#group4C0", "4C⁰"), =HYPERLINK("CSG0.html#group5B0", "5B⁰"), =HYPERLINK("CSG1.html#group10A1", "10A¹"), =HYPERLINK("CSG5.html#group40B5", "40B⁵"), =HYPERLINK("CSG0.html#group2B0", "2B⁰"), =HYPERLINK("CSG1.html#group20D1", "20D¹"), =HYPERLINK("CSG0.html#group4E0", "4E⁰"), =HYPERLINK("CSG0.html#group4B0", "4B⁰"), =HYPERLINK("CSG0.html#group1A0", "1A⁰"), =HYPERLINK("CSG3.html#group40C3", "40C³"), =HYPERLINK("CSG0.html#group10C0", "10C⁰"), =HYPERLINK("CSG3.html#group20J3", "20J³"), =HYPERLINK("CSG0.html#group2C0", "2C⁰"), =HYPERLINK("CSG1.html#group10G1", "10G¹")</f>
        <v/>
      </c>
      <c r="N2078">
        <f>HYPERLINK("CSG17.html#group40AH17", "40AH¹⁷"), =HYPERLINK("CSG21.html#group80AD21", "80AD²¹"), =HYPERLINK("CSG17.html#group40U17", "40U¹⁷"), =HYPERLINK("CSG21.html#group80AC21", "80AC²¹"), =HYPERLINK("CSG17.html#group40Y17", "40Y¹⁷"), =HYPERLINK("CSG21.html#group80R21", "80R²¹"), =HYPERLINK("CSG17.html#group40W17", "40W¹⁷")</f>
        <v/>
      </c>
    </row>
    <row r="2079">
      <c r="A2079" t="inlineStr">
        <is>
          <t>40J⁹</t>
        </is>
      </c>
      <c r="B2079" t="inlineStr"/>
      <c r="C2079" t="inlineStr">
        <is>
          <t>144</t>
        </is>
      </c>
      <c r="D2079" t="inlineStr">
        <is>
          <t>1</t>
        </is>
      </c>
      <c r="E2079" t="inlineStr">
        <is>
          <t>18</t>
        </is>
      </c>
      <c r="F2079" t="inlineStr">
        <is>
          <t>0</t>
        </is>
      </c>
      <c r="G2079" t="inlineStr">
        <is>
          <t>0</t>
        </is>
      </c>
      <c r="H2079" t="inlineStr">
        <is>
          <t>4², 8², 20², 40²</t>
        </is>
      </c>
      <c r="I2079" t="n">
        <v>8</v>
      </c>
      <c r="J2079" t="inlineStr">
        <is>
          <t>1⁶, 4³</t>
        </is>
      </c>
      <c r="K2079">
        <f>HYPERLINK("CSG1.html#group8B1", "8B¹"), =HYPERLINK("CSG3.html#group20J3", "20J³"), =HYPERLINK("CSG3.html#group40D3", "40D³"), =HYPERLINK("CSG5.html#group40C5", "40C⁵")</f>
        <v/>
      </c>
      <c r="L2079">
        <f>HYPERLINK("CSG17.html#group40V17", "40V¹⁷"), =HYPERLINK("CSG17.html#group40X17", "40X¹⁷"), =HYPERLINK("CSG17.html#group40Y17", "40Y¹⁷"), =HYPERLINK("CSG17.html#group40AD17", "40AD¹⁷"), =HYPERLINK("CSG17.html#group40AE17", "40AE¹⁷"), =HYPERLINK("CSG21.html#group80C21", "80C²¹"), =HYPERLINK("CSG21.html#group80D21", "80D²¹"), =HYPERLINK("CSG21.html#group80G21", "80G²¹"), =HYPERLINK("CSG21.html#group80I21", "80I²¹"), =HYPERLINK("CSG21.html#group80P21", "80P²¹"), =HYPERLINK("CSG21.html#group80Q21", "80Q²¹")</f>
        <v/>
      </c>
      <c r="M2079">
        <f>HYPERLINK("CSG1.html#group20E1", "20E¹"), =HYPERLINK("CSG0.html#group2A0", "2A⁰"), =HYPERLINK("CSG1.html#group8A1", "8A¹"), =HYPERLINK("CSG0.html#group4C0", "4C⁰"), =HYPERLINK("CSG5.html#group40C5", "40C⁵"), =HYPERLINK("CSG0.html#group5B0", "5B⁰"), =HYPERLINK("CSG1.html#group10A1", "10A¹"), =HYPERLINK("CSG0.html#group8B0", "8B⁰"), =HYPERLINK("CSG0.html#group2B0", "2B⁰"), =HYPERLINK("CSG1.html#group8B1", "8B¹"), =HYPERLINK("CSG1.html#group20D1", "20D¹"), =HYPERLINK("CSG0.html#group4E0", "4E⁰"), =HYPERLINK("CSG0.html#group4B0", "4B⁰"), =HYPERLINK("CSG0.html#group1A0", "1A⁰"), =HYPERLINK("CSG3.html#group20J3", "20J³"), =HYPERLINK("CSG0.html#group10C0", "10C⁰"), =HYPERLINK("CSG3.html#group40D3", "40D³"), =HYPERLINK("CSG0.html#group2C0", "2C⁰"), =HYPERLINK("CSG1.html#group10G1", "10G¹")</f>
        <v/>
      </c>
      <c r="N2079">
        <f>HYPERLINK("CSG17.html#group40AD17", "40AD¹⁷"), =HYPERLINK("CSG21.html#group80P21", "80P²¹"), =HYPERLINK("CSG21.html#group80I21", "80I²¹"), =HYPERLINK("CSG17.html#group40V17", "40V¹⁷"), =HYPERLINK("CSG17.html#group40X17", "40X¹⁷"), =HYPERLINK("CSG21.html#group80C21", "80C²¹"), =HYPERLINK("CSG21.html#group80D21", "80D²¹"), =HYPERLINK("CSG17.html#group40Y17", "40Y¹⁷"), =HYPERLINK("CSG17.html#group40AE17", "40AE¹⁷"), =HYPERLINK("CSG21.html#group80Q21", "80Q²¹"), =HYPERLINK("CSG21.html#group80G21", "80G²¹")</f>
        <v/>
      </c>
    </row>
    <row r="2080">
      <c r="A2080" t="inlineStr">
        <is>
          <t>40K⁹</t>
        </is>
      </c>
      <c r="B2080" t="inlineStr"/>
      <c r="C2080" t="inlineStr">
        <is>
          <t>144</t>
        </is>
      </c>
      <c r="D2080" t="inlineStr">
        <is>
          <t>1</t>
        </is>
      </c>
      <c r="E2080" t="inlineStr">
        <is>
          <t>36</t>
        </is>
      </c>
      <c r="F2080" t="inlineStr">
        <is>
          <t>0</t>
        </is>
      </c>
      <c r="G2080" t="inlineStr">
        <is>
          <t>0</t>
        </is>
      </c>
      <c r="H2080" t="inlineStr">
        <is>
          <t>4², 8², 20², 40²</t>
        </is>
      </c>
      <c r="I2080" t="n">
        <v>8</v>
      </c>
      <c r="J2080" t="inlineStr">
        <is>
          <t>2⁶, 8³</t>
        </is>
      </c>
      <c r="K2080">
        <f>HYPERLINK("CSG3.html#group20I3", "20I³")</f>
        <v/>
      </c>
      <c r="L2080">
        <f>HYPERLINK("CSG17.html#group40T17", "40T¹⁷"), =HYPERLINK("CSG17.html#group40AR17", "40AR¹⁷")</f>
        <v/>
      </c>
      <c r="M2080">
        <f>HYPERLINK("CSG0.html#group2A0", "2A⁰"), =HYPERLINK("CSG0.html#group20A0", "20A⁰"), =HYPERLINK("CSG0.html#group5B0", "5B⁰"), =HYPERLINK("CSG0.html#group10C0", "10C⁰"), =HYPERLINK("CSG1.html#group10A1", "10A¹"), =HYPERLINK("CSG0.html#group2B0", "2B⁰"), =HYPERLINK("CSG3.html#group20I3", "20I³"), =HYPERLINK("CSG0.html#group1A0", "1A⁰"), =HYPERLINK("CSG0.html#group2C0", "2C⁰"), =HYPERLINK("CSG2.html#group20C2", "20C²"), =HYPERLINK("CSG1.html#group10G1", "10G¹")</f>
        <v/>
      </c>
      <c r="N2080">
        <f>HYPERLINK("CSG17.html#group40T17", "40T¹⁷"), =HYPERLINK("CSG17.html#group40AR17", "40AR¹⁷")</f>
        <v/>
      </c>
    </row>
    <row r="2081">
      <c r="A2081" t="inlineStr">
        <is>
          <t>40L⁹</t>
        </is>
      </c>
      <c r="B2081" t="inlineStr"/>
      <c r="C2081" t="inlineStr">
        <is>
          <t>144</t>
        </is>
      </c>
      <c r="D2081" t="inlineStr">
        <is>
          <t>1</t>
        </is>
      </c>
      <c r="E2081" t="inlineStr">
        <is>
          <t>36</t>
        </is>
      </c>
      <c r="F2081" t="inlineStr">
        <is>
          <t>0</t>
        </is>
      </c>
      <c r="G2081" t="inlineStr">
        <is>
          <t>0</t>
        </is>
      </c>
      <c r="H2081" t="inlineStr">
        <is>
          <t>4², 8², 20², 40²</t>
        </is>
      </c>
      <c r="I2081" t="n">
        <v>8</v>
      </c>
      <c r="J2081" t="inlineStr">
        <is>
          <t>1⁴, 2⁴, 4², 8²</t>
        </is>
      </c>
      <c r="K2081">
        <f>HYPERLINK("CSG3.html#group20H3", "20H³")</f>
        <v/>
      </c>
      <c r="L2081">
        <f>HYPERLINK("CSG17.html#group40T17", "40T¹⁷"), =HYPERLINK("CSG17.html#group40AS17", "40AS¹⁷")</f>
        <v/>
      </c>
      <c r="M2081">
        <f>HYPERLINK("CSG2.html#group20C2", "20C²"), =HYPERLINK("CSG0.html#group10G0", "10G⁰"), =HYPERLINK("CSG0.html#group5B0", "5B⁰"), =HYPERLINK("CSG0.html#group10C0", "10C⁰"), =HYPERLINK("CSG1.html#group20D1", "20D¹"), =HYPERLINK("CSG0.html#group2B0", "2B⁰"), =HYPERLINK("CSG0.html#group4B0", "4B⁰"), =HYPERLINK("CSG0.html#group1A0", "1A⁰"), =HYPERLINK("CSG3.html#group20H3", "20H³"), =HYPERLINK("CSG0.html#group10B0", "10B⁰")</f>
        <v/>
      </c>
      <c r="N2081">
        <f>HYPERLINK("CSG17.html#group40T17", "40T¹⁷"), =HYPERLINK("CSG17.html#group40AS17", "40AS¹⁷")</f>
        <v/>
      </c>
    </row>
    <row r="2082">
      <c r="A2082" t="inlineStr">
        <is>
          <t>40M⁹</t>
        </is>
      </c>
      <c r="B2082" t="inlineStr"/>
      <c r="C2082" t="inlineStr">
        <is>
          <t>144</t>
        </is>
      </c>
      <c r="D2082" t="inlineStr">
        <is>
          <t>1</t>
        </is>
      </c>
      <c r="E2082" t="inlineStr">
        <is>
          <t>36</t>
        </is>
      </c>
      <c r="F2082" t="inlineStr">
        <is>
          <t>0</t>
        </is>
      </c>
      <c r="G2082" t="inlineStr">
        <is>
          <t>0</t>
        </is>
      </c>
      <c r="H2082" t="inlineStr">
        <is>
          <t>4², 8², 20², 40²</t>
        </is>
      </c>
      <c r="I2082" t="n">
        <v>8</v>
      </c>
      <c r="J2082" t="inlineStr">
        <is>
          <t>1⁴, 2⁴, 4², 8²</t>
        </is>
      </c>
      <c r="K2082">
        <f>HYPERLINK("CSG3.html#group20K3", "20K³"), =HYPERLINK("CSG3.html#group40G3", "40G³"), =HYPERLINK("CSG5.html#group40C5", "40C⁵")</f>
        <v/>
      </c>
      <c r="L2082">
        <f>HYPERLINK("CSG17.html#group40V17", "40V¹⁷"), =HYPERLINK("CSG17.html#group40Z17", "40Z¹⁷"), =HYPERLINK("CSG17.html#group40AB17", "40AB¹⁷"), =HYPERLINK("CSG21.html#group80AE21", "80AE²¹")</f>
        <v/>
      </c>
      <c r="M2082">
        <f>HYPERLINK("CSG1.html#group20E1", "20E¹"), =HYPERLINK("CSG1.html#group8A1", "8A¹"), =HYPERLINK("CSG0.html#group4C0", "4C⁰"), =HYPERLINK("CSG5.html#group40C5", "40C⁵"), =HYPERLINK("CSG0.html#group5B0", "5B⁰"), =HYPERLINK("CSG0.html#group10C0", "10C⁰"), =HYPERLINK("CSG0.html#group2B0", "2B⁰"), =HYPERLINK("CSG3.html#group20K3", "20K³"), =HYPERLINK("CSG0.html#group1A0", "1A⁰"), =HYPERLINK("CSG3.html#group40G3", "40G³")</f>
        <v/>
      </c>
      <c r="N2082">
        <f>HYPERLINK("CSG17.html#group40AB17", "40AB¹⁷"), =HYPERLINK("CSG21.html#group80AE21", "80AE²¹"), =HYPERLINK("CSG17.html#group40Z17", "40Z¹⁷"), =HYPERLINK("CSG17.html#group40V17", "40V¹⁷")</f>
        <v/>
      </c>
    </row>
    <row r="2083">
      <c r="A2083" t="inlineStr">
        <is>
          <t>40N⁹</t>
        </is>
      </c>
      <c r="B2083" t="inlineStr"/>
      <c r="C2083" t="inlineStr">
        <is>
          <t>144</t>
        </is>
      </c>
      <c r="D2083" t="inlineStr">
        <is>
          <t>1</t>
        </is>
      </c>
      <c r="E2083" t="inlineStr">
        <is>
          <t>36</t>
        </is>
      </c>
      <c r="F2083" t="inlineStr">
        <is>
          <t>0</t>
        </is>
      </c>
      <c r="G2083" t="inlineStr">
        <is>
          <t>0</t>
        </is>
      </c>
      <c r="H2083" t="inlineStr">
        <is>
          <t>4², 8², 20², 40²</t>
        </is>
      </c>
      <c r="I2083" t="n">
        <v>8</v>
      </c>
      <c r="J2083" t="inlineStr">
        <is>
          <t>1⁴, 2⁴, 4², 8²</t>
        </is>
      </c>
      <c r="K2083">
        <f>HYPERLINK("CSG3.html#group20K3", "20K³"), =HYPERLINK("CSG3.html#group40H3", "40H³"), =HYPERLINK("CSG5.html#group40B5", "40B⁵")</f>
        <v/>
      </c>
      <c r="L2083">
        <f>HYPERLINK("CSG17.html#group40W17", "40W¹⁷"), =HYPERLINK("CSG17.html#group40Z17", "40Z¹⁷"), =HYPERLINK("CSG17.html#group40AA17", "40AA¹⁷"), =HYPERLINK("CSG19.html#group80R19", "80R¹⁹"), =HYPERLINK("CSG19.html#group80P19", "80P¹⁹")</f>
        <v/>
      </c>
      <c r="M2083">
        <f>HYPERLINK("CSG1.html#group20E1", "20E¹"), =HYPERLINK("CSG3.html#group40H3", "40H³"), =HYPERLINK("CSG0.html#group8D0", "8D⁰"), =HYPERLINK("CSG0.html#group4C0", "4C⁰"), =HYPERLINK("CSG0.html#group5B0", "5B⁰"), =HYPERLINK("CSG0.html#group10C0", "10C⁰"), =HYPERLINK("CSG5.html#group40B5", "40B⁵"), =HYPERLINK("CSG0.html#group2B0", "2B⁰"), =HYPERLINK("CSG3.html#group20K3", "20K³"), =HYPERLINK("CSG0.html#group1A0", "1A⁰")</f>
        <v/>
      </c>
      <c r="N2083">
        <f>HYPERLINK("CSG19.html#group80R19", "80R¹⁹"), =HYPERLINK("CSG17.html#group40AA17", "40AA¹⁷"), =HYPERLINK("CSG19.html#group80P19", "80P¹⁹"), =HYPERLINK("CSG17.html#group40W17", "40W¹⁷"), =HYPERLINK("CSG17.html#group40Z17", "40Z¹⁷")</f>
        <v/>
      </c>
    </row>
    <row r="2084">
      <c r="A2084" t="inlineStr">
        <is>
          <t>40O⁹</t>
        </is>
      </c>
      <c r="B2084" t="inlineStr"/>
      <c r="C2084" t="inlineStr">
        <is>
          <t>144</t>
        </is>
      </c>
      <c r="D2084" t="inlineStr">
        <is>
          <t>1</t>
        </is>
      </c>
      <c r="E2084" t="inlineStr">
        <is>
          <t>36</t>
        </is>
      </c>
      <c r="F2084" t="inlineStr">
        <is>
          <t>0</t>
        </is>
      </c>
      <c r="G2084" t="inlineStr">
        <is>
          <t>0</t>
        </is>
      </c>
      <c r="H2084" t="inlineStr">
        <is>
          <t>4², 8², 20², 40²</t>
        </is>
      </c>
      <c r="I2084" t="n">
        <v>8</v>
      </c>
      <c r="J2084" t="inlineStr">
        <is>
          <t>1⁴, 2⁴, 4², 8²</t>
        </is>
      </c>
      <c r="K2084">
        <f>HYPERLINK("CSG3.html#group20L3", "20L³"), =HYPERLINK("CSG3.html#group40G3", "40G³"), =HYPERLINK("CSG5.html#group40B5", "40B⁵")</f>
        <v/>
      </c>
      <c r="L2084">
        <f>HYPERLINK("CSG17.html#group40U17", "40U¹⁷"), =HYPERLINK("CSG17.html#group40Z17", "40Z¹⁷"), =HYPERLINK("CSG17.html#group40AA17", "40AA¹⁷"), =HYPERLINK("CSG19.html#group40F19", "40F¹⁹"), =HYPERLINK("CSG19.html#group40D19", "40D¹⁹")</f>
        <v/>
      </c>
      <c r="M2084">
        <f>HYPERLINK("CSG1.html#group20E1", "20E¹"), =HYPERLINK("CSG0.html#group4A0", "4A⁰"), =HYPERLINK("CSG0.html#group4C0", "4C⁰"), =HYPERLINK("CSG0.html#group5B0", "5B⁰"), =HYPERLINK("CSG0.html#group10C0", "10C⁰"), =HYPERLINK("CSG0.html#group1A0", "1A⁰"), =HYPERLINK("CSG5.html#group40B5", "40B⁵"), =HYPERLINK("CSG0.html#group2B0", "2B⁰"), =HYPERLINK("CSG0.html#group4F0", "4F⁰"), =HYPERLINK("CSG3.html#group20L3", "20L³"), =HYPERLINK("CSG1.html#group20B1", "20B¹"), =HYPERLINK("CSG3.html#group40G3", "40G³")</f>
        <v/>
      </c>
      <c r="N2084">
        <f>HYPERLINK("CSG17.html#group40U17", "40U¹⁷"), =HYPERLINK("CSG19.html#group40F19", "40F¹⁹"), =HYPERLINK("CSG17.html#group40AA17", "40AA¹⁷"), =HYPERLINK("CSG17.html#group40Z17", "40Z¹⁷"), =HYPERLINK("CSG19.html#group40D19", "40D¹⁹")</f>
        <v/>
      </c>
    </row>
    <row r="2085">
      <c r="A2085" t="inlineStr">
        <is>
          <t>40P⁹</t>
        </is>
      </c>
      <c r="B2085" t="inlineStr"/>
      <c r="C2085" t="inlineStr">
        <is>
          <t>144</t>
        </is>
      </c>
      <c r="D2085" t="inlineStr">
        <is>
          <t>1</t>
        </is>
      </c>
      <c r="E2085" t="inlineStr">
        <is>
          <t>36</t>
        </is>
      </c>
      <c r="F2085" t="inlineStr">
        <is>
          <t>0</t>
        </is>
      </c>
      <c r="G2085" t="inlineStr">
        <is>
          <t>0</t>
        </is>
      </c>
      <c r="H2085" t="inlineStr">
        <is>
          <t>4², 8², 20², 40²</t>
        </is>
      </c>
      <c r="I2085" t="n">
        <v>8</v>
      </c>
      <c r="J2085" t="inlineStr">
        <is>
          <t>1⁴, 2⁴, 4², 8²</t>
        </is>
      </c>
      <c r="K2085">
        <f>HYPERLINK("CSG1.html#group8C1", "8C¹"), =HYPERLINK("CSG3.html#group20L3", "20L³"), =HYPERLINK("CSG3.html#group40H3", "40H³"), =HYPERLINK("CSG5.html#group40C5", "40C⁵")</f>
        <v/>
      </c>
      <c r="L2085">
        <f>HYPERLINK("CSG17.html#group40X17", "40X¹⁷"), =HYPERLINK("CSG17.html#group40Z17", "40Z¹⁷"), =HYPERLINK("CSG17.html#group40AB17", "40AB¹⁷"), =HYPERLINK("CSG19.html#group40E19", "40E¹⁹"), =HYPERLINK("CSG19.html#group40G19", "40G¹⁹"), =HYPERLINK("CSG19.html#group80Q19", "80Q¹⁹"), =HYPERLINK("CSG19.html#group80S19", "80S¹⁹"), =HYPERLINK("CSG21.html#group80S21", "80S²¹"), =HYPERLINK("CSG21.html#group80T21", "80T²¹")</f>
        <v/>
      </c>
      <c r="M2085">
        <f>HYPERLINK("CSG1.html#group20E1", "20E¹"), =HYPERLINK("CSG1.html#group8A1", "8A¹"), =HYPERLINK("CSG3.html#group40H3", "40H³"), =HYPERLINK("CSG0.html#group8D0", "8D⁰"), =HYPERLINK("CSG0.html#group4C0", "4C⁰"), =HYPERLINK("CSG5.html#group40C5", "40C⁵"), =HYPERLINK("CSG0.html#group5B0", "5B⁰"), =HYPERLINK("CSG0.html#group2B0", "2B⁰"), =HYPERLINK("CSG0.html#group1A0", "1A⁰"), =HYPERLINK("CSG1.html#group20B1", "20B¹"), =HYPERLINK("CSG1.html#group8C1", "8C¹"), =HYPERLINK("CSG0.html#group4A0", "4A⁰"), =HYPERLINK("CSG0.html#group10C0", "10C⁰"), =HYPERLINK("CSG0.html#group4F0", "4F⁰"), =HYPERLINK("CSG3.html#group20L3", "20L³")</f>
        <v/>
      </c>
      <c r="N2085">
        <f>HYPERLINK("CSG19.html#group40E19", "40E¹⁹"), =HYPERLINK("CSG17.html#group40AB17", "40AB¹⁷"), =HYPERLINK("CSG19.html#group80S19", "80S¹⁹"), =HYPERLINK("CSG19.html#group40G19", "40G¹⁹"), =HYPERLINK("CSG17.html#group40Z17", "40Z¹⁷"), =HYPERLINK("CSG17.html#group40X17", "40X¹⁷"), =HYPERLINK("CSG19.html#group80Q19", "80Q¹⁹"), =HYPERLINK("CSG21.html#group80T21", "80T²¹"), =HYPERLINK("CSG21.html#group80S21", "80S²¹")</f>
        <v/>
      </c>
    </row>
    <row r="2086">
      <c r="A2086" t="inlineStr">
        <is>
          <t>40Q⁹</t>
        </is>
      </c>
      <c r="B2086" t="inlineStr"/>
      <c r="C2086" t="inlineStr">
        <is>
          <t>144</t>
        </is>
      </c>
      <c r="D2086" t="inlineStr">
        <is>
          <t>1</t>
        </is>
      </c>
      <c r="E2086" t="inlineStr">
        <is>
          <t>72</t>
        </is>
      </c>
      <c r="F2086" t="inlineStr">
        <is>
          <t>4</t>
        </is>
      </c>
      <c r="G2086" t="inlineStr">
        <is>
          <t>0</t>
        </is>
      </c>
      <c r="H2086" t="inlineStr">
        <is>
          <t>8³, 40³</t>
        </is>
      </c>
      <c r="I2086" t="n">
        <v>6</v>
      </c>
      <c r="J2086" t="inlineStr">
        <is>
          <t>2⁴, 4⁴, 8², 16²</t>
        </is>
      </c>
      <c r="K2086">
        <f>HYPERLINK("CSG3.html#group20L3", "20L³"), =HYPERLINK("CSG3.html#group40A3", "40A³")</f>
        <v/>
      </c>
      <c r="L2086">
        <f>HYPERLINK("CSG17.html#group40AK17", "40AK¹⁷"), =HYPERLINK("CSG17.html#group40AL17", "40AL¹⁷"), =HYPERLINK("CSG17.html#group40AN17", "40AN¹⁷"), =HYPERLINK("CSG19.html#group40A19", "40A¹⁹"), =HYPERLINK("CSG19.html#group40F19", "40F¹⁹"), =HYPERLINK("CSG19.html#group40E19", "40E¹⁹"), =HYPERLINK("CSG19.html#group40H19", "40H¹⁹")</f>
        <v/>
      </c>
      <c r="M2086">
        <f>HYPERLINK("CSG1.html#group20E1", "20E¹"), =HYPERLINK("CSG3.html#group40A3", "40A³"), =HYPERLINK("CSG0.html#group4A0", "4A⁰"), =HYPERLINK("CSG0.html#group4C0", "4C⁰"), =HYPERLINK("CSG0.html#group5B0", "5B⁰"), =HYPERLINK("CSG0.html#group10C0", "10C⁰"), =HYPERLINK("CSG0.html#group1A0", "1A⁰"), =HYPERLINK("CSG0.html#group2B0", "2B⁰"), =HYPERLINK("CSG0.html#group4F0", "4F⁰"), =HYPERLINK("CSG3.html#group20L3", "20L³"), =HYPERLINK("CSG1.html#group20B1", "20B¹")</f>
        <v/>
      </c>
      <c r="N2086">
        <f>HYPERLINK("CSG19.html#group40E19", "40E¹⁹"), =HYPERLINK("CSG17.html#group40AL17", "40AL¹⁷"), =HYPERLINK("CSG19.html#group40F19", "40F¹⁹"), =HYPERLINK("CSG17.html#group40AK17", "40AK¹⁷"), =HYPERLINK("CSG19.html#group40A19", "40A¹⁹"), =HYPERLINK("CSG19.html#group40H19", "40H¹⁹"), =HYPERLINK("CSG17.html#group40AN17", "40AN¹⁷")</f>
        <v/>
      </c>
    </row>
    <row r="2087">
      <c r="A2087" t="inlineStr">
        <is>
          <t>40R⁹</t>
        </is>
      </c>
      <c r="B2087" t="inlineStr"/>
      <c r="C2087" t="inlineStr">
        <is>
          <t>144</t>
        </is>
      </c>
      <c r="D2087" t="inlineStr">
        <is>
          <t>1</t>
        </is>
      </c>
      <c r="E2087" t="inlineStr">
        <is>
          <t>72</t>
        </is>
      </c>
      <c r="F2087" t="inlineStr">
        <is>
          <t>4</t>
        </is>
      </c>
      <c r="G2087" t="inlineStr">
        <is>
          <t>0</t>
        </is>
      </c>
      <c r="H2087" t="inlineStr">
        <is>
          <t>8³, 40³</t>
        </is>
      </c>
      <c r="I2087" t="n">
        <v>6</v>
      </c>
      <c r="J2087" t="inlineStr">
        <is>
          <t>2⁴, 4⁴, 8², 16²</t>
        </is>
      </c>
      <c r="K2087">
        <f>HYPERLINK("CSG1.html#group8D1", "8D¹"), =HYPERLINK("CSG3.html#group20L3", "20L³"), =HYPERLINK("CSG3.html#group40B3", "40B³")</f>
        <v/>
      </c>
      <c r="L2087">
        <f>HYPERLINK("CSG17.html#group40AJ17", "40AJ¹⁷"), =HYPERLINK("CSG17.html#group40AM17", "40AM¹⁷"), =HYPERLINK("CSG17.html#group40AN17", "40AN¹⁷"), =HYPERLINK("CSG19.html#group40B19", "40B¹⁹"), =HYPERLINK("CSG19.html#group40D19", "40D¹⁹"), =HYPERLINK("CSG19.html#group40G19", "40G¹⁹"), =HYPERLINK("CSG19.html#group40H19", "40H¹⁹"), =HYPERLINK("CSG21.html#group80AF21", "80AF²¹"), =HYPERLINK("CSG21.html#group80AG21", "80AG²¹")</f>
        <v/>
      </c>
      <c r="M2087">
        <f>HYPERLINK("CSG1.html#group20E1", "20E¹"), =HYPERLINK("CSG0.html#group4A0", "4A⁰"), =HYPERLINK("CSG3.html#group40B3", "40B³"), =HYPERLINK("CSG0.html#group4C0", "4C⁰"), =HYPERLINK("CSG0.html#group5B0", "5B⁰"), =HYPERLINK("CSG0.html#group10C0", "10C⁰"), =HYPERLINK("CSG0.html#group8A0", "8A⁰"), =HYPERLINK("CSG0.html#group1A0", "1A⁰"), =HYPERLINK("CSG0.html#group2B0", "2B⁰"), =HYPERLINK("CSG0.html#group4F0", "4F⁰"), =HYPERLINK("CSG3.html#group20L3", "20L³"), =HYPERLINK("CSG1.html#group8D1", "8D¹"), =HYPERLINK("CSG1.html#group20B1", "20B¹")</f>
        <v/>
      </c>
      <c r="N2087">
        <f>HYPERLINK("CSG19.html#group40D19", "40D¹⁹"), =HYPERLINK("CSG19.html#group40H19", "40H¹⁹"), =HYPERLINK("CSG19.html#group40G19", "40G¹⁹"), =HYPERLINK("CSG21.html#group80AG21", "80AG²¹"), =HYPERLINK("CSG21.html#group80AF21", "80AF²¹"), =HYPERLINK("CSG17.html#group40AJ17", "40AJ¹⁷"), =HYPERLINK("CSG17.html#group40AM17", "40AM¹⁷"), =HYPERLINK("CSG19.html#group40B19", "40B¹⁹"), =HYPERLINK("CSG17.html#group40AN17", "40AN¹⁷")</f>
        <v/>
      </c>
    </row>
    <row r="2088">
      <c r="A2088" t="inlineStr">
        <is>
          <t>40S⁹</t>
        </is>
      </c>
      <c r="B2088" t="inlineStr"/>
      <c r="C2088" t="inlineStr">
        <is>
          <t>160</t>
        </is>
      </c>
      <c r="D2088" t="inlineStr">
        <is>
          <t>1</t>
        </is>
      </c>
      <c r="E2088" t="inlineStr">
        <is>
          <t>40</t>
        </is>
      </c>
      <c r="F2088" t="inlineStr">
        <is>
          <t>8</t>
        </is>
      </c>
      <c r="G2088" t="inlineStr">
        <is>
          <t>4</t>
        </is>
      </c>
      <c r="H2088" t="inlineStr">
        <is>
          <t>40⁴</t>
        </is>
      </c>
      <c r="I2088" t="n">
        <v>4</v>
      </c>
      <c r="J2088" t="inlineStr">
        <is>
          <t>8², 16⁴</t>
        </is>
      </c>
      <c r="K2088">
        <f>HYPERLINK("CSG3.html#group20O3", "20O³")</f>
        <v/>
      </c>
      <c r="L2088">
        <f>HYPERLINK("CSG19.html#group40J19", "40J¹⁹"), =HYPERLINK("CSG21.html#group40A21", "40A²¹")</f>
        <v/>
      </c>
      <c r="M2088">
        <f>HYPERLINK("CSG2.html#group20E2", "20E²"), =HYPERLINK("CSG3.html#group20O3", "20O³"), =HYPERLINK("CSG0.html#group1A0", "1A⁰"), =HYPERLINK("CSG0.html#group4A0", "4A⁰"), =HYPERLINK("CSG0.html#group10D0", "10D⁰"), =HYPERLINK("CSG0.html#group5C0", "5C⁰")</f>
        <v/>
      </c>
      <c r="N2088">
        <f>HYPERLINK("CSG21.html#group40A21", "40A²¹"), =HYPERLINK("CSG19.html#group40J19", "40J¹⁹")</f>
        <v/>
      </c>
    </row>
    <row r="2089">
      <c r="A2089" t="inlineStr">
        <is>
          <t>40T⁹</t>
        </is>
      </c>
      <c r="B2089" t="inlineStr"/>
      <c r="C2089" t="inlineStr">
        <is>
          <t>160</t>
        </is>
      </c>
      <c r="D2089" t="inlineStr">
        <is>
          <t>1</t>
        </is>
      </c>
      <c r="E2089" t="inlineStr">
        <is>
          <t>40</t>
        </is>
      </c>
      <c r="F2089" t="inlineStr">
        <is>
          <t>8</t>
        </is>
      </c>
      <c r="G2089" t="inlineStr">
        <is>
          <t>4</t>
        </is>
      </c>
      <c r="H2089" t="inlineStr">
        <is>
          <t>40⁴</t>
        </is>
      </c>
      <c r="I2089" t="n">
        <v>4</v>
      </c>
      <c r="J2089" t="inlineStr">
        <is>
          <t>8², 16⁴</t>
        </is>
      </c>
      <c r="K2089">
        <f>HYPERLINK("CSG3.html#group20O3", "20O³")</f>
        <v/>
      </c>
      <c r="L2089">
        <f>HYPERLINK("CSG19.html#group40K19", "40K¹⁹"), =HYPERLINK("CSG21.html#group40A21", "40A²¹")</f>
        <v/>
      </c>
      <c r="M2089">
        <f>HYPERLINK("CSG2.html#group20E2", "20E²"), =HYPERLINK("CSG3.html#group20O3", "20O³"), =HYPERLINK("CSG0.html#group1A0", "1A⁰"), =HYPERLINK("CSG0.html#group4A0", "4A⁰"), =HYPERLINK("CSG0.html#group10D0", "10D⁰"), =HYPERLINK("CSG0.html#group5C0", "5C⁰")</f>
        <v/>
      </c>
      <c r="N2089">
        <f>HYPERLINK("CSG19.html#group40K19", "40K¹⁹"), =HYPERLINK("CSG21.html#group40A21", "40A²¹")</f>
        <v/>
      </c>
    </row>
    <row r="2090">
      <c r="A2090" t="inlineStr">
        <is>
          <t>40U⁹</t>
        </is>
      </c>
      <c r="B2090" t="inlineStr"/>
      <c r="C2090" t="inlineStr">
        <is>
          <t>160</t>
        </is>
      </c>
      <c r="D2090" t="inlineStr">
        <is>
          <t>2</t>
        </is>
      </c>
      <c r="E2090" t="inlineStr">
        <is>
          <t>40</t>
        </is>
      </c>
      <c r="F2090" t="inlineStr">
        <is>
          <t>8</t>
        </is>
      </c>
      <c r="G2090" t="inlineStr">
        <is>
          <t>4</t>
        </is>
      </c>
      <c r="H2090" t="inlineStr">
        <is>
          <t>40⁴</t>
        </is>
      </c>
      <c r="I2090" t="n">
        <v>4</v>
      </c>
      <c r="J2090" t="inlineStr">
        <is>
          <t>8², 16⁴</t>
        </is>
      </c>
      <c r="K2090">
        <f>HYPERLINK("CSG3.html#group20O3", "20O³"), =HYPERLINK("CSG5.html#group40E5", "40E⁵"), =HYPERLINK("CSG5.html#group40F5", "40F⁵")</f>
        <v/>
      </c>
      <c r="L2090">
        <f>HYPERLINK("CSG19.html#group40J19", "40J¹⁹"), =HYPERLINK("CSG19.html#group40K19", "40K¹⁹"), =HYPERLINK("CSG21.html#group40B21", "40B²¹"), =HYPERLINK("CSG21.html#group80AH21", "80AH²¹"), =HYPERLINK("CSG21.html#group80AI21", "80AI²¹")</f>
        <v/>
      </c>
      <c r="M2090">
        <f>HYPERLINK("CSG5.html#group40F5", "40F⁵"), =HYPERLINK("CSG5.html#group40E5", "40E⁵"), =HYPERLINK("CSG3.html#group20O3", "20O³"), =HYPERLINK("CSG0.html#group4A0", "4A⁰"), =HYPERLINK("CSG0.html#group10D0", "10D⁰"), =HYPERLINK("CSG0.html#group5C0", "5C⁰"), =HYPERLINK("CSG0.html#group8A0", "8A⁰"), =HYPERLINK("CSG0.html#group1A0", "1A⁰"), =HYPERLINK("CSG2.html#group20E2", "20E²")</f>
        <v/>
      </c>
      <c r="N2090">
        <f>HYPERLINK("CSG21.html#group40B21", "40B²¹"), =HYPERLINK("CSG19.html#group40K19", "40K¹⁹"), =HYPERLINK("CSG19.html#group40J19", "40J¹⁹"), =HYPERLINK("CSG21.html#group80AI21", "80AI²¹"), =HYPERLINK("CSG21.html#group80AH21", "80AH²¹")</f>
        <v/>
      </c>
    </row>
    <row r="2091">
      <c r="A2091" t="inlineStr">
        <is>
          <t>40V⁹</t>
        </is>
      </c>
      <c r="B2091" t="inlineStr"/>
      <c r="C2091" t="inlineStr">
        <is>
          <t>192</t>
        </is>
      </c>
      <c r="D2091" t="inlineStr">
        <is>
          <t>1</t>
        </is>
      </c>
      <c r="E2091" t="inlineStr">
        <is>
          <t>96</t>
        </is>
      </c>
      <c r="F2091" t="inlineStr">
        <is>
          <t>16</t>
        </is>
      </c>
      <c r="G2091" t="inlineStr">
        <is>
          <t>0</t>
        </is>
      </c>
      <c r="H2091" t="inlineStr">
        <is>
          <t>8⁴, 40⁴</t>
        </is>
      </c>
      <c r="I2091" t="n">
        <v>8</v>
      </c>
      <c r="J2091" t="inlineStr">
        <is>
          <t>4⁸, 16⁴</t>
        </is>
      </c>
      <c r="K2091">
        <f>HYPERLINK("CSG1.html#group20G1", "20G¹"), =HYPERLINK("CSG5.html#group40I5", "40I⁵")</f>
        <v/>
      </c>
      <c r="L2091">
        <f>HYPERLINK("CSG21.html#group40J21", "40J²¹"), =HYPERLINK("CSG21.html#group40K21", "40K²¹"), =HYPERLINK("CSG21.html#group40L21", "40L²¹"), =HYPERLINK("CSG21.html#group40M21", "40M²¹")</f>
        <v/>
      </c>
      <c r="M2091">
        <f>HYPERLINK("CSG5.html#group40I5", "40I⁵"), =HYPERLINK("CSG0.html#group8F0", "8F⁰"), =HYPERLINK("CSG0.html#group4A0", "4A⁰"), =HYPERLINK("CSG1.html#group20G1", "20G¹"), =HYPERLINK("CSG0.html#group5B0", "5B⁰"), =HYPERLINK("CSG0.html#group1A0", "1A⁰"), =HYPERLINK("CSG1.html#group20B1", "20B¹"), =HYPERLINK("CSG0.html#group10B0", "10B⁰")</f>
        <v/>
      </c>
      <c r="N2091">
        <f>HYPERLINK("CSG21.html#group40K21", "40K²¹"), =HYPERLINK("CSG21.html#group40L21", "40L²¹"), =HYPERLINK("CSG21.html#group40M21", "40M²¹"), =HYPERLINK("CSG21.html#group40J21", "40J²¹")</f>
        <v/>
      </c>
    </row>
    <row r="2092">
      <c r="A2092" t="inlineStr">
        <is>
          <t>40W⁹</t>
        </is>
      </c>
      <c r="B2092" t="inlineStr"/>
      <c r="C2092" t="inlineStr">
        <is>
          <t>288</t>
        </is>
      </c>
      <c r="D2092" t="inlineStr">
        <is>
          <t>1</t>
        </is>
      </c>
      <c r="E2092" t="inlineStr">
        <is>
          <t>36</t>
        </is>
      </c>
      <c r="F2092" t="inlineStr">
        <is>
          <t>0</t>
        </is>
      </c>
      <c r="G2092" t="inlineStr">
        <is>
          <t>0</t>
        </is>
      </c>
      <c r="H2092" t="inlineStr">
        <is>
          <t>1⁸, 2⁴, 5⁸, 8⁴, 10⁴, 40⁴</t>
        </is>
      </c>
      <c r="I2092" t="n">
        <v>32</v>
      </c>
      <c r="J2092" t="inlineStr">
        <is>
          <t>1⁸, 2², 4⁴, 8¹</t>
        </is>
      </c>
      <c r="K2092">
        <f>HYPERLINK("CSG3.html#group20S3", "20S³"), =HYPERLINK("CSG3.html#group40J3", "40J³"), =HYPERLINK("CSG5.html#group40M5", "40M⁵")</f>
        <v/>
      </c>
      <c r="L2092" t="inlineStr"/>
      <c r="M2092">
        <f>HYPERLINK("CSG1.html#group40A1", "40A¹"), =HYPERLINK("CSG0.html#group5B0", "5B⁰"), =HYPERLINK("CSG0.html#group5D0", "5D⁰"), =HYPERLINK("CSG1.html#group20D1", "20D¹"), =HYPERLINK("CSG0.html#group8C0", "8C⁰"), =HYPERLINK("CSG1.html#group20H1", "20H¹"), =HYPERLINK("CSG3.html#group40J3", "40J³"), =HYPERLINK("CSG0.html#group2B0", "2B⁰"), =HYPERLINK("CSG0.html#group4B0", "4B⁰"), =HYPERLINK("CSG0.html#group1A0", "1A⁰"), =HYPERLINK("CSG0.html#group10F0", "10F⁰"), =HYPERLINK("CSG3.html#group20S3", "20S³"), =HYPERLINK("CSG0.html#group20A0", "20A⁰"), =HYPERLINK("CSG3.html#group40F3", "40F³"), =HYPERLINK("CSG5.html#group40M5", "40M⁵"), =HYPERLINK("CSG0.html#group10C0", "10C⁰"), =HYPERLINK("CSG3.html#group40E3", "40E³")</f>
        <v/>
      </c>
      <c r="N2092" t="inlineStr"/>
    </row>
    <row r="2093">
      <c r="A2093" t="inlineStr">
        <is>
          <t>42A⁹</t>
        </is>
      </c>
      <c r="B2093" t="inlineStr"/>
      <c r="C2093" t="inlineStr">
        <is>
          <t>144</t>
        </is>
      </c>
      <c r="D2093" t="inlineStr">
        <is>
          <t>1</t>
        </is>
      </c>
      <c r="E2093" t="inlineStr">
        <is>
          <t>72</t>
        </is>
      </c>
      <c r="F2093" t="inlineStr">
        <is>
          <t>0</t>
        </is>
      </c>
      <c r="G2093" t="inlineStr">
        <is>
          <t>0</t>
        </is>
      </c>
      <c r="H2093" t="inlineStr">
        <is>
          <t>3², 6², 21², 42²</t>
        </is>
      </c>
      <c r="I2093" t="n">
        <v>8</v>
      </c>
      <c r="J2093" t="inlineStr">
        <is>
          <t>1⁶, 2⁶, 6³, 12³</t>
        </is>
      </c>
      <c r="K2093">
        <f>HYPERLINK("CSG0.html#group6G0", "6G⁰"), =HYPERLINK("CSG3.html#group21A3", "21A³"), =HYPERLINK("CSG5.html#group42A5", "42A⁵")</f>
        <v/>
      </c>
      <c r="L2093">
        <f>HYPERLINK("CSG17.html#group42I17", "42I¹⁷"), =HYPERLINK("CSG19.html#group42P19", "42P¹⁹"), =HYPERLINK("CSG19.html#group42R19", "42R¹⁹"), =HYPERLINK("CSG19.html#group84J19", "84J¹⁹"), =HYPERLINK("CSG19.html#group84K19", "84K¹⁹"), =HYPERLINK("CSG21.html#group84B21", "84B²¹"), =HYPERLINK("CSG21.html#group84D21", "84D²¹")</f>
        <v/>
      </c>
      <c r="M2093">
        <f>HYPERLINK("CSG2.html#group21A2", "21A²"), =HYPERLINK("CSG5.html#group42A5", "42A⁵"), =HYPERLINK("CSG0.html#group7B0", "7B⁰"), =HYPERLINK("CSG1.html#group14C1", "14C¹"), =HYPERLINK("CSG0.html#group6G0", "6G⁰"), =HYPERLINK("CSG0.html#group3C0", "3C⁰"), =HYPERLINK("CSG0.html#group2B0", "2B⁰"), =HYPERLINK("CSG0.html#group3A0", "3A⁰"), =HYPERLINK("CSG0.html#group1A0", "1A⁰"), =HYPERLINK("CSG3.html#group21A3", "21A³"), =HYPERLINK("CSG0.html#group6D0", "6D⁰")</f>
        <v/>
      </c>
      <c r="N2093">
        <f>HYPERLINK("CSG19.html#group84K19", "84K¹⁹"), =HYPERLINK("CSG19.html#group42P19", "42P¹⁹"), =HYPERLINK("CSG19.html#group42R19", "42R¹⁹"), =HYPERLINK("CSG17.html#group42I17", "42I¹⁷"), =HYPERLINK("CSG21.html#group84D21", "84D²¹"), =HYPERLINK("CSG19.html#group84J19", "84J¹⁹"), =HYPERLINK("CSG21.html#group84B21", "84B²¹")</f>
        <v/>
      </c>
    </row>
    <row r="2094">
      <c r="A2094" t="inlineStr">
        <is>
          <t>42B⁹</t>
        </is>
      </c>
      <c r="B2094" t="inlineStr"/>
      <c r="C2094" t="inlineStr">
        <is>
          <t>168</t>
        </is>
      </c>
      <c r="D2094" t="inlineStr">
        <is>
          <t>1</t>
        </is>
      </c>
      <c r="E2094" t="inlineStr">
        <is>
          <t>84</t>
        </is>
      </c>
      <c r="F2094" t="inlineStr">
        <is>
          <t>16</t>
        </is>
      </c>
      <c r="G2094" t="inlineStr">
        <is>
          <t>0</t>
        </is>
      </c>
      <c r="H2094" t="inlineStr">
        <is>
          <t>42⁴</t>
        </is>
      </c>
      <c r="I2094" t="n">
        <v>4</v>
      </c>
      <c r="J2094" t="inlineStr">
        <is>
          <t>1¹, 2¹, 3¹, 6⁵, 12⁴</t>
        </is>
      </c>
      <c r="K2094">
        <f>HYPERLINK("CSG1.html#group42B1", "42B¹"), =HYPERLINK("CSG3.html#group21C3", "21C³")</f>
        <v/>
      </c>
      <c r="L2094">
        <f>HYPERLINK("CSG17.html#group42K17", "42K¹⁷"), =HYPERLINK("CSG21.html#group42A21", "42A²¹"), =HYPERLINK("CSG21.html#group42E21", "42E²¹")</f>
        <v/>
      </c>
      <c r="M2094">
        <f>HYPERLINK("CSG0.html#group6B0", "6B⁰"), =HYPERLINK("CSG0.html#group7F0", "7F⁰"), =HYPERLINK("CSG0.html#group21A0", "21A⁰"), =HYPERLINK("CSG1.html#group42B1", "42B¹"), =HYPERLINK("CSG0.html#group3A0", "3A⁰"), =HYPERLINK("CSG0.html#group1A0", "1A⁰"), =HYPERLINK("CSG3.html#group21C3", "21C³"), =HYPERLINK("CSG0.html#group7A0", "7A⁰")</f>
        <v/>
      </c>
      <c r="N2094">
        <f>HYPERLINK("CSG21.html#group42A21", "42A²¹"), =HYPERLINK("CSG17.html#group42K17", "42K¹⁷"), =HYPERLINK("CSG21.html#group42E21", "42E²¹")</f>
        <v/>
      </c>
    </row>
    <row r="2095">
      <c r="A2095" t="inlineStr">
        <is>
          <t>42C⁹</t>
        </is>
      </c>
      <c r="B2095" t="inlineStr"/>
      <c r="C2095" t="inlineStr">
        <is>
          <t>168</t>
        </is>
      </c>
      <c r="D2095" t="inlineStr">
        <is>
          <t>2</t>
        </is>
      </c>
      <c r="E2095" t="inlineStr">
        <is>
          <t>21</t>
        </is>
      </c>
      <c r="F2095" t="inlineStr">
        <is>
          <t>16</t>
        </is>
      </c>
      <c r="G2095" t="inlineStr">
        <is>
          <t>0</t>
        </is>
      </c>
      <c r="H2095" t="inlineStr">
        <is>
          <t>42⁴</t>
        </is>
      </c>
      <c r="I2095" t="n">
        <v>4</v>
      </c>
      <c r="J2095" t="inlineStr">
        <is>
          <t>2¹, 4¹, 6², 12²</t>
        </is>
      </c>
      <c r="K2095">
        <f>HYPERLINK("CSG3.html#group42F3", "42F³"), =HYPERLINK("CSG4.html#group21B4", "21B⁴"), =HYPERLINK("CSG4.html#group42F4", "42F⁴"), =HYPERLINK("CSG4.html#group42G4", "42G⁴"), =HYPERLINK("CSG4.html#group42H4", "42H⁴"), =HYPERLINK("CSG5.html#group42E5", "42E⁵")</f>
        <v/>
      </c>
      <c r="L2095">
        <f>HYPERLINK("CSG23.html#group84A23", "84A²³")</f>
        <v/>
      </c>
      <c r="M2095">
        <f>HYPERLINK("CSG0.html#group14A0", "14A⁰"), =HYPERLINK("CSG2.html#group21D2", "21D²"), =HYPERLINK("CSG0.html#group6B0", "6B⁰"), =HYPERLINK("CSG4.html#group42F4", "42F⁴"), =HYPERLINK("CSG1.html#group42A1", "42A¹"), =HYPERLINK("CSG4.html#group42H4", "42H⁴"), =HYPERLINK("CSG1.html#group21D1", "21D¹"), =HYPERLINK("CSG0.html#group21A0", "21A⁰"), =HYPERLINK("CSG0.html#group1A0", "1A⁰"), =HYPERLINK("CSG2.html#group42A2", "42A²"), =HYPERLINK("CSG0.html#group6E0", "6E⁰"), =HYPERLINK("CSG5.html#group42E5", "42E⁵"), =HYPERLINK("CSG4.html#group42G4", "42G⁴"), =HYPERLINK("CSG0.html#group3C0", "3C⁰"), =HYPERLINK("CSG4.html#group21B4", "21B⁴"), =HYPERLINK("CSG1.html#group42B1", "42B¹"), =HYPERLINK("CSG0.html#group3A0", "3A⁰"), =HYPERLINK("CSG3.html#group42F3", "42F³"), =HYPERLINK("CSG0.html#group7A0", "7A⁰")</f>
        <v/>
      </c>
      <c r="N2095">
        <f>HYPERLINK("CSG23.html#group84A23", "84A²³")</f>
        <v/>
      </c>
    </row>
    <row r="2096">
      <c r="A2096" t="inlineStr">
        <is>
          <t>42D⁹</t>
        </is>
      </c>
      <c r="B2096" t="inlineStr"/>
      <c r="C2096" t="inlineStr">
        <is>
          <t>192</t>
        </is>
      </c>
      <c r="D2096" t="inlineStr">
        <is>
          <t>1</t>
        </is>
      </c>
      <c r="E2096" t="inlineStr">
        <is>
          <t>64</t>
        </is>
      </c>
      <c r="F2096" t="inlineStr">
        <is>
          <t>0</t>
        </is>
      </c>
      <c r="G2096" t="inlineStr">
        <is>
          <t>6</t>
        </is>
      </c>
      <c r="H2096" t="inlineStr">
        <is>
          <t>2³, 6³, 14³, 42³</t>
        </is>
      </c>
      <c r="I2096" t="n">
        <v>12</v>
      </c>
      <c r="J2096" t="inlineStr">
        <is>
          <t>1⁸, 2⁴, 6⁴, 12²</t>
        </is>
      </c>
      <c r="K2096">
        <f>HYPERLINK("CSG0.html#group14C0", "14C⁰"), =HYPERLINK("CSG3.html#group42E3", "42E³")</f>
        <v/>
      </c>
      <c r="L2096">
        <f>HYPERLINK("CSG17.html#group42L17", "42L¹⁷"), =HYPERLINK("CSG23.html#group84G23", "84G²³"), =HYPERLINK("CSG23.html#group84H23", "84H²³")</f>
        <v/>
      </c>
      <c r="M2096">
        <f>HYPERLINK("CSG0.html#group2A0", "2A⁰"), =HYPERLINK("CSG0.html#group3B0", "3B⁰"), =HYPERLINK("CSG1.html#group21B1", "21B¹"), =HYPERLINK("CSG0.html#group7B0", "7B⁰"), =HYPERLINK("CSG3.html#group42E3", "42E³"), =HYPERLINK("CSG0.html#group6C0", "6C⁰"), =HYPERLINK("CSG0.html#group14B0", "14B⁰"), =HYPERLINK("CSG0.html#group14C0", "14C⁰"), =HYPERLINK("CSG0.html#group1A0", "1A⁰")</f>
        <v/>
      </c>
      <c r="N2096">
        <f>HYPERLINK("CSG23.html#group84G23", "84G²³"), =HYPERLINK("CSG23.html#group84H23", "84H²³"), =HYPERLINK("CSG17.html#group42L17", "42L¹⁷")</f>
        <v/>
      </c>
    </row>
    <row r="2097">
      <c r="A2097" t="inlineStr">
        <is>
          <t>42E⁹</t>
        </is>
      </c>
      <c r="B2097" t="inlineStr"/>
      <c r="C2097" t="inlineStr">
        <is>
          <t>192</t>
        </is>
      </c>
      <c r="D2097" t="inlineStr">
        <is>
          <t>1</t>
        </is>
      </c>
      <c r="E2097" t="inlineStr">
        <is>
          <t>96</t>
        </is>
      </c>
      <c r="F2097" t="inlineStr">
        <is>
          <t>0</t>
        </is>
      </c>
      <c r="G2097" t="inlineStr">
        <is>
          <t>0</t>
        </is>
      </c>
      <c r="H2097" t="inlineStr">
        <is>
          <t>1², 2², 3², 6², 7², 14², 21², 42²</t>
        </is>
      </c>
      <c r="I2097" t="n">
        <v>16</v>
      </c>
      <c r="J2097" t="inlineStr">
        <is>
          <t>1¹², 2⁶, 6⁶, 12³</t>
        </is>
      </c>
      <c r="K2097">
        <f>HYPERLINK("CSG1.html#group21F1", "21F¹"), =HYPERLINK("CSG5.html#group42G5", "42G⁵")</f>
        <v/>
      </c>
      <c r="L2097">
        <f>HYPERLINK("CSG21.html#group42H21", "42H²¹"), =HYPERLINK("CSG21.html#group84Q21", "84Q²¹")</f>
        <v/>
      </c>
      <c r="M2097">
        <f>HYPERLINK("CSG0.html#group3B0", "3B⁰"), =HYPERLINK("CSG1.html#group21B1", "21B¹"), =HYPERLINK("CSG0.html#group7B0", "7B⁰"), =HYPERLINK("CSG1.html#group14C1", "14C¹"), =HYPERLINK("CSG0.html#group1A0", "1A⁰"), =HYPERLINK("CSG0.html#group2B0", "2B⁰"), =HYPERLINK("CSG5.html#group42G5", "42G⁵"), =HYPERLINK("CSG0.html#group6F0", "6F⁰"), =HYPERLINK("CSG1.html#group21F1", "21F¹")</f>
        <v/>
      </c>
      <c r="N2097">
        <f>HYPERLINK("CSG21.html#group42H21", "42H²¹"), =HYPERLINK("CSG21.html#group84Q21", "84Q²¹")</f>
        <v/>
      </c>
    </row>
    <row r="2098">
      <c r="A2098" t="inlineStr">
        <is>
          <t>43A⁹</t>
        </is>
      </c>
      <c r="B2098" t="inlineStr"/>
      <c r="C2098" t="inlineStr">
        <is>
          <t>132</t>
        </is>
      </c>
      <c r="D2098" t="inlineStr">
        <is>
          <t>1</t>
        </is>
      </c>
      <c r="E2098" t="inlineStr">
        <is>
          <t>44</t>
        </is>
      </c>
      <c r="F2098" t="inlineStr">
        <is>
          <t>0</t>
        </is>
      </c>
      <c r="G2098" t="inlineStr">
        <is>
          <t>0</t>
        </is>
      </c>
      <c r="H2098" t="inlineStr">
        <is>
          <t>1³, 43³</t>
        </is>
      </c>
      <c r="I2098" t="n">
        <v>6</v>
      </c>
      <c r="J2098" t="inlineStr">
        <is>
          <t>1², 42¹</t>
        </is>
      </c>
      <c r="K2098">
        <f>HYPERLINK("CSG3.html#group43A3", "43A³")</f>
        <v/>
      </c>
      <c r="L2098">
        <f>HYPERLINK("CSG20.html#group86A20", "86A²⁰")</f>
        <v/>
      </c>
      <c r="M2098">
        <f>HYPERLINK("CSG0.html#group1A0", "1A⁰"), =HYPERLINK("CSG3.html#group43A3", "43A³")</f>
        <v/>
      </c>
      <c r="N2098">
        <f>HYPERLINK("CSG20.html#group86A20", "86A²⁰")</f>
        <v/>
      </c>
    </row>
    <row r="2099">
      <c r="A2099" t="inlineStr">
        <is>
          <t>44A⁹</t>
        </is>
      </c>
      <c r="B2099" t="inlineStr"/>
      <c r="C2099" t="inlineStr">
        <is>
          <t>132</t>
        </is>
      </c>
      <c r="D2099" t="inlineStr">
        <is>
          <t>2</t>
        </is>
      </c>
      <c r="E2099" t="inlineStr">
        <is>
          <t>66</t>
        </is>
      </c>
      <c r="F2099" t="inlineStr">
        <is>
          <t>6</t>
        </is>
      </c>
      <c r="G2099" t="inlineStr">
        <is>
          <t>0</t>
        </is>
      </c>
      <c r="H2099" t="inlineStr">
        <is>
          <t>44³</t>
        </is>
      </c>
      <c r="I2099" t="n">
        <v>3</v>
      </c>
      <c r="J2099" t="inlineStr">
        <is>
          <t>2², 4², 10⁴, 20⁴</t>
        </is>
      </c>
      <c r="K2099">
        <f>HYPERLINK("CSG0.html#group4F0", "4F⁰"), =HYPERLINK("CSG2.html#group44A2", "44A²"), =HYPERLINK("CSG4.html#group44C4", "44C⁴")</f>
        <v/>
      </c>
      <c r="L2099">
        <f>HYPERLINK("CSG18.html#group88A18", "88A¹⁸"), =HYPERLINK("CSG19.html#group88A19", "88A¹⁹"), =HYPERLINK("CSG20.html#group44A20", "44A²⁰"), =HYPERLINK("CSG20.html#group88D20", "88D²⁰"), =HYPERLINK("CSG21.html#group88B21", "88B²¹")</f>
        <v/>
      </c>
      <c r="M2099">
        <f>HYPERLINK("CSG0.html#group11A0", "11A⁰"), =HYPERLINK("CSG2.html#group44A2", "44A²"), =HYPERLINK("CSG4.html#group44C4", "44C⁴"), =HYPERLINK("CSG0.html#group4A0", "4A⁰"), =HYPERLINK("CSG0.html#group4C0", "4C⁰"), =HYPERLINK("CSG0.html#group2B0", "2B⁰"), =HYPERLINK("CSG0.html#group4F0", "4F⁰"), =HYPERLINK("CSG2.html#group22B2", "22B²"), =HYPERLINK("CSG0.html#group1A0", "1A⁰")</f>
        <v/>
      </c>
      <c r="N2099">
        <f>HYPERLINK("CSG20.html#group88D20", "88D²⁰"), =HYPERLINK("CSG19.html#group88A19", "88A¹⁹"), =HYPERLINK("CSG18.html#group88A18", "88A¹⁸"), =HYPERLINK("CSG20.html#group44A20", "44A²⁰"), =HYPERLINK("CSG21.html#group88B21", "88B²¹")</f>
        <v/>
      </c>
    </row>
    <row r="2100">
      <c r="A2100" t="inlineStr">
        <is>
          <t>44B⁹</t>
        </is>
      </c>
      <c r="B2100" t="inlineStr"/>
      <c r="C2100" t="inlineStr">
        <is>
          <t>144</t>
        </is>
      </c>
      <c r="D2100" t="inlineStr">
        <is>
          <t>1</t>
        </is>
      </c>
      <c r="E2100" t="inlineStr">
        <is>
          <t>36</t>
        </is>
      </c>
      <c r="F2100" t="inlineStr">
        <is>
          <t>0</t>
        </is>
      </c>
      <c r="G2100" t="inlineStr">
        <is>
          <t>0</t>
        </is>
      </c>
      <c r="H2100" t="inlineStr">
        <is>
          <t>2², 4², 22², 44²</t>
        </is>
      </c>
      <c r="I2100" t="n">
        <v>8</v>
      </c>
      <c r="J2100" t="inlineStr">
        <is>
          <t>1⁶, 10³</t>
        </is>
      </c>
      <c r="K2100">
        <f>HYPERLINK("CSG0.html#group4E0", "4E⁰"), =HYPERLINK("CSG4.html#group22A4", "22A⁴"), =HYPERLINK("CSG4.html#group44D4", "44D⁴"), =HYPERLINK("CSG5.html#group44B5", "44B⁵")</f>
        <v/>
      </c>
      <c r="L2100">
        <f>HYPERLINK("CSG17.html#group44D17", "44D¹⁷"), =HYPERLINK("CSG19.html#group44A19", "44A¹⁹"), =HYPERLINK("CSG19.html#group44B19", "44B¹⁹"), =HYPERLINK("CSG19.html#group88B19", "88B¹⁹"), =HYPERLINK("CSG19.html#group88C19", "88C¹⁹"), =HYPERLINK("CSG19.html#group88G19", "88G¹⁹"), =HYPERLINK("CSG19.html#group88H19", "88H¹⁹"), =HYPERLINK("CSG21.html#group88C21", "88C²¹"), =HYPERLINK("CSG21.html#group88D21", "88D²¹")</f>
        <v/>
      </c>
      <c r="M2100">
        <f>HYPERLINK("CSG0.html#group2A0", "2A⁰"), =HYPERLINK("CSG1.html#group11A1", "11A¹"), =HYPERLINK("CSG0.html#group2C0", "2C⁰"), =HYPERLINK("CSG2.html#group22A2", "22A²"), =HYPERLINK("CSG0.html#group4C0", "4C⁰"), =HYPERLINK("CSG5.html#group44B5", "44B⁵"), =HYPERLINK("CSG0.html#group2B0", "2B⁰"), =HYPERLINK("CSG0.html#group4E0", "4E⁰"), =HYPERLINK("CSG0.html#group4B0", "4B⁰"), =HYPERLINK("CSG2.html#group22C2", "22C²"), =HYPERLINK("CSG0.html#group1A0", "1A⁰"), =HYPERLINK("CSG4.html#group22A4", "22A⁴"), =HYPERLINK("CSG4.html#group44D4", "44D⁴")</f>
        <v/>
      </c>
      <c r="N2100">
        <f>HYPERLINK("CSG19.html#group88B19", "88B¹⁹"), =HYPERLINK("CSG19.html#group44B19", "44B¹⁹"), =HYPERLINK("CSG19.html#group44A19", "44A¹⁹"), =HYPERLINK("CSG19.html#group88G19", "88G¹⁹"), =HYPERLINK("CSG21.html#group88D21", "88D²¹"), =HYPERLINK("CSG19.html#group88C19", "88C¹⁹"), =HYPERLINK("CSG19.html#group88H19", "88H¹⁹"), =HYPERLINK("CSG21.html#group88C21", "88C²¹"), =HYPERLINK("CSG17.html#group44D17", "44D¹⁷")</f>
        <v/>
      </c>
    </row>
    <row r="2101">
      <c r="A2101" t="inlineStr">
        <is>
          <t>45A⁹</t>
        </is>
      </c>
      <c r="B2101" t="inlineStr"/>
      <c r="C2101" t="inlineStr">
        <is>
          <t>120</t>
        </is>
      </c>
      <c r="D2101" t="inlineStr">
        <is>
          <t>1</t>
        </is>
      </c>
      <c r="E2101" t="inlineStr">
        <is>
          <t>40</t>
        </is>
      </c>
      <c r="F2101" t="inlineStr">
        <is>
          <t>0</t>
        </is>
      </c>
      <c r="G2101" t="inlineStr">
        <is>
          <t>0</t>
        </is>
      </c>
      <c r="H2101" t="inlineStr">
        <is>
          <t>15², 45²</t>
        </is>
      </c>
      <c r="I2101" t="n">
        <v>4</v>
      </c>
      <c r="J2101" t="inlineStr">
        <is>
          <t>2², 4⁵, 8²</t>
        </is>
      </c>
      <c r="K2101">
        <f>HYPERLINK("CSG1.html#group9A1", "9A¹"), =HYPERLINK("CSG2.html#group15C2", "15C²")</f>
        <v/>
      </c>
      <c r="L2101">
        <f>HYPERLINK("CSG17.html#group45A17", "45A¹⁷"), =HYPERLINK("CSG19.html#group90A19", "90A¹⁹"), =HYPERLINK("CSG19.html#group90B19", "90B¹⁹")</f>
        <v/>
      </c>
      <c r="M2101">
        <f>HYPERLINK("CSG0.html#group3B0", "3B⁰"), =HYPERLINK("CSG0.html#group1A0", "1A⁰"), =HYPERLINK("CSG2.html#group15C2", "15C²"), =HYPERLINK("CSG0.html#group5C0", "5C⁰"), =HYPERLINK("CSG1.html#group9A1", "9A¹")</f>
        <v/>
      </c>
      <c r="N2101">
        <f>HYPERLINK("CSG19.html#group90B19", "90B¹⁹"), =HYPERLINK("CSG19.html#group90A19", "90A¹⁹"), =HYPERLINK("CSG17.html#group45A17", "45A¹⁷")</f>
        <v/>
      </c>
    </row>
    <row r="2102">
      <c r="A2102" t="inlineStr">
        <is>
          <t>45B⁹</t>
        </is>
      </c>
      <c r="B2102" t="inlineStr"/>
      <c r="C2102" t="inlineStr">
        <is>
          <t>135</t>
        </is>
      </c>
      <c r="D2102" t="inlineStr">
        <is>
          <t>1</t>
        </is>
      </c>
      <c r="E2102" t="inlineStr">
        <is>
          <t>135</t>
        </is>
      </c>
      <c r="F2102" t="inlineStr">
        <is>
          <t>7</t>
        </is>
      </c>
      <c r="G2102" t="inlineStr">
        <is>
          <t>0</t>
        </is>
      </c>
      <c r="H2102" t="inlineStr">
        <is>
          <t>45³</t>
        </is>
      </c>
      <c r="I2102" t="n">
        <v>3</v>
      </c>
      <c r="J2102" t="inlineStr">
        <is>
          <t>3¹, 6⁴, 12¹, 24⁴</t>
        </is>
      </c>
      <c r="K2102">
        <f>HYPERLINK("CSG0.html#group9G0", "9G⁰"), =HYPERLINK("CSG3.html#group45A3", "45A³")</f>
        <v/>
      </c>
      <c r="L2102">
        <f>HYPERLINK("CSG19.html#group45C19", "45C¹⁹"), =HYPERLINK("CSG19.html#group90F19", "90F¹⁹"), =HYPERLINK("CSG20.html#group45A20", "45A²⁰"), =HYPERLINK("CSG20.html#group90C20", "90C²⁰"), =HYPERLINK("CSG22.html#group90D22", "90D²²")</f>
        <v/>
      </c>
      <c r="M2102">
        <f>HYPERLINK("CSG0.html#group5A0", "5A⁰"), =HYPERLINK("CSG0.html#group9A0", "9A⁰"), =HYPERLINK("CSG0.html#group9G0", "9G⁰"), =HYPERLINK("CSG0.html#group3A0", "3A⁰"), =HYPERLINK("CSG0.html#group1A0", "1A⁰"), =HYPERLINK("CSG1.html#group15A1", "15A¹"), =HYPERLINK("CSG3.html#group45A3", "45A³")</f>
        <v/>
      </c>
      <c r="N2102">
        <f>HYPERLINK("CSG20.html#group45A20", "45A²⁰"), =HYPERLINK("CSG22.html#group90D22", "90D²²"), =HYPERLINK("CSG19.html#group90F19", "90F¹⁹"), =HYPERLINK("CSG19.html#group45C19", "45C¹⁹"), =HYPERLINK("CSG20.html#group90C20", "90C²⁰")</f>
        <v/>
      </c>
    </row>
    <row r="2103">
      <c r="A2103" t="inlineStr">
        <is>
          <t>45C⁹</t>
        </is>
      </c>
      <c r="B2103" t="inlineStr"/>
      <c r="C2103" t="inlineStr">
        <is>
          <t>144</t>
        </is>
      </c>
      <c r="D2103" t="inlineStr">
        <is>
          <t>1</t>
        </is>
      </c>
      <c r="E2103" t="inlineStr">
        <is>
          <t>24</t>
        </is>
      </c>
      <c r="F2103" t="inlineStr">
        <is>
          <t>0</t>
        </is>
      </c>
      <c r="G2103" t="inlineStr">
        <is>
          <t>0</t>
        </is>
      </c>
      <c r="H2103" t="inlineStr">
        <is>
          <t>3², 9², 15², 45²</t>
        </is>
      </c>
      <c r="I2103" t="n">
        <v>8</v>
      </c>
      <c r="J2103" t="inlineStr">
        <is>
          <t>1⁴, 2², 4², 8¹</t>
        </is>
      </c>
      <c r="K2103">
        <f>HYPERLINK("CSG1.html#group15G1", "15G¹"), =HYPERLINK("CSG5.html#group45C5", "45C⁵")</f>
        <v/>
      </c>
      <c r="L2103">
        <f>HYPERLINK("CSG17.html#group45E17", "45E¹⁷"), =HYPERLINK("CSG21.html#group90C21", "90C²¹"), =HYPERLINK("CSG21.html#group90E21", "90E²¹")</f>
        <v/>
      </c>
      <c r="M2103">
        <f>HYPERLINK("CSG5.html#group45C5", "45C⁵"), =HYPERLINK("CSG1.html#group15C1", "15C¹"), =HYPERLINK("CSG0.html#group3B0", "3B⁰"), =HYPERLINK("CSG0.html#group5B0", "5B⁰"), =HYPERLINK("CSG1.html#group15G1", "15G¹"), =HYPERLINK("CSG0.html#group5D0", "5D⁰"), =HYPERLINK("CSG0.html#group9C0", "9C⁰"), =HYPERLINK("CSG0.html#group1A0", "1A⁰")</f>
        <v/>
      </c>
      <c r="N2103">
        <f>HYPERLINK("CSG21.html#group90E21", "90E²¹"), =HYPERLINK("CSG17.html#group45E17", "45E¹⁷"), =HYPERLINK("CSG21.html#group90C21", "90C²¹")</f>
        <v/>
      </c>
    </row>
    <row r="2104">
      <c r="A2104" t="inlineStr">
        <is>
          <t>45D⁹</t>
        </is>
      </c>
      <c r="B2104" t="inlineStr"/>
      <c r="C2104" t="inlineStr">
        <is>
          <t>144</t>
        </is>
      </c>
      <c r="D2104" t="inlineStr">
        <is>
          <t>1</t>
        </is>
      </c>
      <c r="E2104" t="inlineStr">
        <is>
          <t>24</t>
        </is>
      </c>
      <c r="F2104" t="inlineStr">
        <is>
          <t>0</t>
        </is>
      </c>
      <c r="G2104" t="inlineStr">
        <is>
          <t>0</t>
        </is>
      </c>
      <c r="H2104" t="inlineStr">
        <is>
          <t>3², 9², 15², 45²</t>
        </is>
      </c>
      <c r="I2104" t="n">
        <v>8</v>
      </c>
      <c r="J2104" t="inlineStr">
        <is>
          <t>1⁴, 2², 4², 8¹</t>
        </is>
      </c>
      <c r="K2104">
        <f>HYPERLINK("CSG1.html#group15G1", "15G¹"), =HYPERLINK("CSG5.html#group45D5", "45D⁵")</f>
        <v/>
      </c>
      <c r="L2104">
        <f>HYPERLINK("CSG17.html#group45F17", "45F¹⁷"), =HYPERLINK("CSG21.html#group90D21", "90D²¹"), =HYPERLINK("CSG21.html#group90F21", "90F²¹")</f>
        <v/>
      </c>
      <c r="M2104">
        <f>HYPERLINK("CSG1.html#group15C1", "15C¹"), =HYPERLINK("CSG0.html#group3B0", "3B⁰"), =HYPERLINK("CSG1.html#group9A1", "9A¹"), =HYPERLINK("CSG0.html#group5B0", "5B⁰"), =HYPERLINK("CSG1.html#group15G1", "15G¹"), =HYPERLINK("CSG0.html#group5D0", "5D⁰"), =HYPERLINK("CSG0.html#group1A0", "1A⁰"), =HYPERLINK("CSG5.html#group45D5", "45D⁵")</f>
        <v/>
      </c>
      <c r="N2104">
        <f>HYPERLINK("CSG21.html#group90D21", "90D²¹"), =HYPERLINK("CSG21.html#group90F21", "90F²¹"), =HYPERLINK("CSG17.html#group45F17", "45F¹⁷")</f>
        <v/>
      </c>
    </row>
    <row r="2105">
      <c r="A2105" t="inlineStr">
        <is>
          <t>45E⁹</t>
        </is>
      </c>
      <c r="B2105" t="inlineStr"/>
      <c r="C2105" t="inlineStr">
        <is>
          <t>216</t>
        </is>
      </c>
      <c r="D2105" t="inlineStr">
        <is>
          <t>1</t>
        </is>
      </c>
      <c r="E2105" t="inlineStr">
        <is>
          <t>18</t>
        </is>
      </c>
      <c r="F2105" t="inlineStr">
        <is>
          <t>24</t>
        </is>
      </c>
      <c r="G2105" t="inlineStr">
        <is>
          <t>0</t>
        </is>
      </c>
      <c r="H2105" t="inlineStr">
        <is>
          <t>9⁴, 45⁴</t>
        </is>
      </c>
      <c r="I2105" t="n">
        <v>8</v>
      </c>
      <c r="J2105" t="inlineStr">
        <is>
          <t>1², 2², 4¹, 8¹</t>
        </is>
      </c>
      <c r="K2105">
        <f>HYPERLINK("CSG1.html#group15H1", "15H¹"), =HYPERLINK("CSG4.html#group45C4", "45C⁴"), =HYPERLINK("CSG5.html#group45F5", "45F⁵")</f>
        <v/>
      </c>
      <c r="L2105">
        <f>HYPERLINK("CSG21.html#group90N21", "90N²¹"), =HYPERLINK("CSG23.html#group45D23", "45D²³")</f>
        <v/>
      </c>
      <c r="M2105">
        <f>HYPERLINK("CSG2.html#group45A2", "45A²"), =HYPERLINK("CSG0.html#group15B0", "15B⁰"), =HYPERLINK("CSG5.html#group45F5", "45F⁵"), =HYPERLINK("CSG0.html#group9D0", "9D⁰"), =HYPERLINK("CSG1.html#group15E1", "15E¹"), =HYPERLINK("CSG0.html#group9A0", "9A⁰"), =HYPERLINK("CSG4.html#group45C4", "45C⁴"), =HYPERLINK("CSG0.html#group5B0", "5B⁰"), =HYPERLINK("CSG0.html#group3C0", "3C⁰"), =HYPERLINK("CSG0.html#group3A0", "3A⁰"), =HYPERLINK("CSG1.html#group15H1", "15H¹"), =HYPERLINK("CSG0.html#group1A0", "1A⁰"), =HYPERLINK("CSG0.html#group15C0", "15C⁰")</f>
        <v/>
      </c>
      <c r="N2105">
        <f>HYPERLINK("CSG23.html#group45D23", "45D²³"), =HYPERLINK("CSG21.html#group90N21", "90N²¹")</f>
        <v/>
      </c>
    </row>
    <row r="2106">
      <c r="A2106" t="inlineStr">
        <is>
          <t>45F⁹</t>
        </is>
      </c>
      <c r="B2106" t="inlineStr"/>
      <c r="C2106" t="inlineStr">
        <is>
          <t>216</t>
        </is>
      </c>
      <c r="D2106" t="inlineStr">
        <is>
          <t>1</t>
        </is>
      </c>
      <c r="E2106" t="inlineStr">
        <is>
          <t>108</t>
        </is>
      </c>
      <c r="F2106" t="inlineStr">
        <is>
          <t>8</t>
        </is>
      </c>
      <c r="G2106" t="inlineStr">
        <is>
          <t>0</t>
        </is>
      </c>
      <c r="H2106" t="inlineStr">
        <is>
          <t>3⁶, 9², 15⁶, 45²</t>
        </is>
      </c>
      <c r="I2106" t="n">
        <v>16</v>
      </c>
      <c r="J2106" t="inlineStr">
        <is>
          <t>1², 2², 3², 4¹, 6⁴, 8¹, 12¹, 24²</t>
        </is>
      </c>
      <c r="K2106">
        <f>HYPERLINK("CSG1.html#group15H1", "15H¹"), =HYPERLINK("CSG5.html#group45G5", "45G⁵")</f>
        <v/>
      </c>
      <c r="L2106">
        <f>HYPERLINK("CSG19.html#group45I19", "45I¹⁹"), =HYPERLINK("CSG21.html#group45E21", "45E²¹")</f>
        <v/>
      </c>
      <c r="M2106">
        <f>HYPERLINK("CSG0.html#group15B0", "15B⁰"), =HYPERLINK("CSG1.html#group15E1", "15E¹"), =HYPERLINK("CSG5.html#group45G5", "45G⁵"), =HYPERLINK("CSG0.html#group5B0", "5B⁰"), =HYPERLINK("CSG0.html#group3C0", "3C⁰"), =HYPERLINK("CSG0.html#group9E0", "9E⁰"), =HYPERLINK("CSG0.html#group3A0", "3A⁰"), =HYPERLINK("CSG1.html#group15H1", "15H¹"), =HYPERLINK("CSG0.html#group1A0", "1A⁰"), =HYPERLINK("CSG0.html#group15C0", "15C⁰")</f>
        <v/>
      </c>
      <c r="N2106">
        <f>HYPERLINK("CSG19.html#group45I19", "45I¹⁹"), =HYPERLINK("CSG21.html#group45E21", "45E²¹")</f>
        <v/>
      </c>
    </row>
    <row r="2107">
      <c r="A2107" t="inlineStr">
        <is>
          <t>45G⁹</t>
        </is>
      </c>
      <c r="B2107" t="inlineStr"/>
      <c r="C2107" t="inlineStr">
        <is>
          <t>288</t>
        </is>
      </c>
      <c r="D2107" t="inlineStr">
        <is>
          <t>1</t>
        </is>
      </c>
      <c r="E2107" t="inlineStr">
        <is>
          <t>24</t>
        </is>
      </c>
      <c r="F2107" t="inlineStr">
        <is>
          <t>0</t>
        </is>
      </c>
      <c r="G2107" t="inlineStr">
        <is>
          <t>0</t>
        </is>
      </c>
      <c r="H2107" t="inlineStr">
        <is>
          <t>1¹², 5¹², 9⁴, 45⁴</t>
        </is>
      </c>
      <c r="I2107" t="n">
        <v>32</v>
      </c>
      <c r="J2107" t="inlineStr">
        <is>
          <t>1⁴, 2², 4², 8¹</t>
        </is>
      </c>
      <c r="K2107">
        <f>HYPERLINK("CSG1.html#group15I1", "15I¹"), =HYPERLINK("CSG5.html#group45H5", "45H⁵")</f>
        <v/>
      </c>
      <c r="L2107" t="inlineStr"/>
      <c r="M2107">
        <f>HYPERLINK("CSG1.html#group15C1", "15C¹"), =HYPERLINK("CSG0.html#group3B0", "3B⁰"), =HYPERLINK("CSG1.html#group15I1", "15I¹"), =HYPERLINK("CSG0.html#group5B0", "5B⁰"), =HYPERLINK("CSG5.html#group45H5", "45H⁵"), =HYPERLINK("CSG1.html#group15G1", "15G¹"), =HYPERLINK("CSG0.html#group5D0", "5D⁰"), =HYPERLINK("CSG3.html#group45D3", "45D³"), =HYPERLINK("CSG0.html#group9B0", "9B⁰"), =HYPERLINK("CSG0.html#group1A0", "1A⁰")</f>
        <v/>
      </c>
      <c r="N2107" t="inlineStr"/>
    </row>
    <row r="2108">
      <c r="A2108" t="inlineStr">
        <is>
          <t>48A⁹</t>
        </is>
      </c>
      <c r="B2108" t="inlineStr"/>
      <c r="C2108" t="inlineStr">
        <is>
          <t>144</t>
        </is>
      </c>
      <c r="D2108" t="inlineStr">
        <is>
          <t>1</t>
        </is>
      </c>
      <c r="E2108" t="inlineStr">
        <is>
          <t>6</t>
        </is>
      </c>
      <c r="F2108" t="inlineStr">
        <is>
          <t>0</t>
        </is>
      </c>
      <c r="G2108" t="inlineStr">
        <is>
          <t>0</t>
        </is>
      </c>
      <c r="H2108" t="inlineStr">
        <is>
          <t>6⁴, 12², 48²</t>
        </is>
      </c>
      <c r="I2108" t="n">
        <v>8</v>
      </c>
      <c r="J2108" t="inlineStr">
        <is>
          <t>1⁴, 2¹</t>
        </is>
      </c>
      <c r="K2108">
        <f>HYPERLINK("CSG1.html#group16E1", "16E¹"), =HYPERLINK("CSG4.html#group24D4", "24D⁴"), =HYPERLINK("CSG4.html#group48B4", "48B⁴"), =HYPERLINK("CSG5.html#group48A5", "48A⁵")</f>
        <v/>
      </c>
      <c r="L2108">
        <f>HYPERLINK("CSG17.html#group48D17", "48D¹⁷"), =HYPERLINK("CSG17.html#group48J17", "48J¹⁷"), =HYPERLINK("CSG17.html#group48K17", "48K¹⁷"), =HYPERLINK("CSG19.html#group48A19", "48A¹⁹"), =HYPERLINK("CSG19.html#group48C19", "48C¹⁹"), =HYPERLINK("CSG19.html#group48N19", "48N¹⁹"), =HYPERLINK("CSG19.html#group48P19", "48P¹⁹"), =HYPERLINK("CSG19.html#group96A19", "96A¹⁹"), =HYPERLINK("CSG19.html#group96B19", "96B¹⁹"), =HYPERLINK("CSG19.html#group96E19", "96E¹⁹"), =HYPERLINK("CSG19.html#group96H19", "96H¹⁹"), =HYPERLINK("CSG21.html#group96A21", "96A²¹"), =HYPERLINK("CSG21.html#group96B21", "96B²¹"), =HYPERLINK("CSG21.html#group96E21", "96E²¹"), =HYPERLINK("CSG21.html#group96H21", "96H²¹")</f>
        <v/>
      </c>
      <c r="M2108">
        <f>HYPERLINK("CSG0.html#group2A0", "2A⁰"), =HYPERLINK("CSG5.html#group48A5", "48A⁵"), =HYPERLINK("CSG0.html#group12C0", "12C⁰"), =HYPERLINK("CSG0.html#group8D0", "8D⁰"), =HYPERLINK("CSG1.html#group16E1", "16E¹"), =HYPERLINK("CSG0.html#group4C0", "4C⁰"), =HYPERLINK("CSG1.html#group6C1", "6C¹"), =HYPERLINK("CSG2.html#group12B2", "12B²"), =HYPERLINK("CSG1.html#group16A1", "16A¹"), =HYPERLINK("CSG0.html#group8C0", "8C⁰"), =HYPERLINK("CSG0.html#group2B0", "2B⁰"), =HYPERLINK("CSG0.html#group4E0", "4E⁰"), =HYPERLINK("CSG0.html#group4B0", "4B⁰"), =HYPERLINK("CSG0.html#group1A0", "1A⁰"), =HYPERLINK("CSG4.html#group24D4", "24D⁴"), =HYPERLINK("CSG4.html#group48B4", "48B⁴"), =HYPERLINK("CSG2.html#group24B2", "24B²"), =HYPERLINK("CSG0.html#group6A0", "6A⁰"), =HYPERLINK("CSG0.html#group8G0", "8G⁰"), =HYPERLINK("CSG0.html#group16C0", "16C⁰"), =HYPERLINK("CSG1.html#group24C1", "24C¹"), =HYPERLINK("CSG1.html#group12B1", "12B¹"), =HYPERLINK("CSG1.html#group6A1", "6A¹"), =HYPERLINK("CSG0.html#group3A0", "3A⁰"), =HYPERLINK("CSG0.html#group2C0", "2C⁰"), =HYPERLINK("CSG0.html#group6D0", "6D⁰")</f>
        <v/>
      </c>
      <c r="N2108">
        <f>HYPERLINK("CSG19.html#group48P19", "48P¹⁹"), =HYPERLINK("CSG17.html#group48J17", "48J¹⁷"), =HYPERLINK("CSG21.html#group96A21", "96A²¹"), =HYPERLINK("CSG17.html#group48K17", "48K¹⁷"), =HYPERLINK("CSG21.html#group96B21", "96B²¹"), =HYPERLINK("CSG21.html#group96E21", "96E²¹"), =HYPERLINK("CSG19.html#group96E19", "96E¹⁹"), =HYPERLINK("CSG17.html#group48D17", "48D¹⁷"), =HYPERLINK("CSG21.html#group96H21", "96H²¹"), =HYPERLINK("CSG19.html#group48C19", "48C¹⁹"), =HYPERLINK("CSG19.html#group96A19", "96A¹⁹"), =HYPERLINK("CSG19.html#group96B19", "96B¹⁹"), =HYPERLINK("CSG19.html#group48N19", "48N¹⁹"), =HYPERLINK("CSG19.html#group96H19", "96H¹⁹"), =HYPERLINK("CSG19.html#group48A19", "48A¹⁹")</f>
        <v/>
      </c>
    </row>
    <row r="2109">
      <c r="A2109" t="inlineStr">
        <is>
          <t>48B⁹</t>
        </is>
      </c>
      <c r="B2109" t="inlineStr"/>
      <c r="C2109" t="inlineStr">
        <is>
          <t>144</t>
        </is>
      </c>
      <c r="D2109" t="inlineStr">
        <is>
          <t>1</t>
        </is>
      </c>
      <c r="E2109" t="inlineStr">
        <is>
          <t>12</t>
        </is>
      </c>
      <c r="F2109" t="inlineStr">
        <is>
          <t>0</t>
        </is>
      </c>
      <c r="G2109" t="inlineStr">
        <is>
          <t>0</t>
        </is>
      </c>
      <c r="H2109" t="inlineStr">
        <is>
          <t>6⁴, 12², 48²</t>
        </is>
      </c>
      <c r="I2109" t="n">
        <v>8</v>
      </c>
      <c r="J2109" t="inlineStr">
        <is>
          <t>1⁴, 2², 4¹</t>
        </is>
      </c>
      <c r="K2109">
        <f>HYPERLINK("CSG1.html#group16G1", "16G¹"), =HYPERLINK("CSG4.html#group24F4", "24F⁴"), =HYPERLINK("CSG4.html#group48D4", "48D⁴"), =HYPERLINK("CSG5.html#group48A5", "48A⁵")</f>
        <v/>
      </c>
      <c r="L2109">
        <f>HYPERLINK("CSG17.html#group48D17", "48D¹⁷"), =HYPERLINK("CSG17.html#group48AB17", "48AB¹⁷"), =HYPERLINK("CSG17.html#group48AD17", "48AD¹⁷"), =HYPERLINK("CSG19.html#group48Q19", "48Q¹⁹"), =HYPERLINK("CSG19.html#group48AP19", "48AP¹⁹"), =HYPERLINK("CSG19.html#group96K19", "96K¹⁹"), =HYPERLINK("CSG19.html#group96Z19", "96Z¹⁹"), =HYPERLINK("CSG21.html#group96C21", "96C²¹"), =HYPERLINK("CSG21.html#group96D21", "96D²¹"), =HYPERLINK("CSG21.html#group96Q21", "96Q²¹"), =HYPERLINK("CSG21.html#group96R21", "96R²¹")</f>
        <v/>
      </c>
      <c r="M2109">
        <f>HYPERLINK("CSG5.html#group48A5", "48A⁵"), =HYPERLINK("CSG4.html#group24F4", "24F⁴"), =HYPERLINK("CSG1.html#group16A1", "16A¹"), =HYPERLINK("CSG0.html#group8C0", "8C⁰"), =HYPERLINK("CSG0.html#group2B0", "2B⁰"), =HYPERLINK("CSG0.html#group8I0", "8I⁰"), =HYPERLINK("CSG0.html#group4B0", "4B⁰"), =HYPERLINK("CSG0.html#group1A0", "1A⁰"), =HYPERLINK("CSG2.html#group24B2", "24B²"), =HYPERLINK("CSG1.html#group16G1", "16G¹"), =HYPERLINK("CSG0.html#group16D0", "16D⁰"), =HYPERLINK("CSG1.html#group12B1", "12B¹"), =HYPERLINK("CSG0.html#group3A0", "3A⁰"), =HYPERLINK("CSG0.html#group6D0", "6D⁰"), =HYPERLINK("CSG4.html#group48D4", "48D⁴")</f>
        <v/>
      </c>
      <c r="N2109">
        <f>HYPERLINK("CSG19.html#group96Z19", "96Z¹⁹"), =HYPERLINK("CSG21.html#group96D21", "96D²¹"), =HYPERLINK("CSG17.html#group48AB17", "48AB¹⁷"), =HYPERLINK("CSG17.html#group48AD17", "48AD¹⁷"), =HYPERLINK("CSG19.html#group48AP19", "48AP¹⁹"), =HYPERLINK("CSG19.html#group96K19", "96K¹⁹"), =HYPERLINK("CSG21.html#group96C21", "96C²¹"), =HYPERLINK("CSG17.html#group48D17", "48D¹⁷"), =HYPERLINK("CSG21.html#group96R21", "96R²¹"), =HYPERLINK("CSG21.html#group96Q21", "96Q²¹"), =HYPERLINK("CSG19.html#group48Q19", "48Q¹⁹")</f>
        <v/>
      </c>
    </row>
    <row r="2110">
      <c r="A2110" t="inlineStr">
        <is>
          <t>48C⁹</t>
        </is>
      </c>
      <c r="B2110" t="inlineStr"/>
      <c r="C2110" t="inlineStr">
        <is>
          <t>144</t>
        </is>
      </c>
      <c r="D2110" t="inlineStr">
        <is>
          <t>1</t>
        </is>
      </c>
      <c r="E2110" t="inlineStr">
        <is>
          <t>18</t>
        </is>
      </c>
      <c r="F2110" t="inlineStr">
        <is>
          <t>0</t>
        </is>
      </c>
      <c r="G2110" t="inlineStr">
        <is>
          <t>0</t>
        </is>
      </c>
      <c r="H2110" t="inlineStr">
        <is>
          <t>6⁴, 12², 48²</t>
        </is>
      </c>
      <c r="I2110" t="n">
        <v>8</v>
      </c>
      <c r="J2110" t="inlineStr">
        <is>
          <t>1⁴, 2⁵, 4¹</t>
        </is>
      </c>
      <c r="K2110">
        <f>HYPERLINK("CSG3.html#group24L3", "24L³"), =HYPERLINK("CSG5.html#group48B5", "48B⁵")</f>
        <v/>
      </c>
      <c r="L2110">
        <f>HYPERLINK("CSG17.html#group48C17", "48C¹⁷"), =HYPERLINK("CSG17.html#group48E17", "48E¹⁷"), =HYPERLINK("CSG17.html#group48G17", "48G¹⁷"), =HYPERLINK("CSG17.html#group48AA17", "48AA¹⁷"), =HYPERLINK("CSG17.html#group48Z17", "48Z¹⁷"), =HYPERLINK("CSG21.html#group96M21", "96M²¹"), =HYPERLINK("CSG21.html#group96N21", "96N²¹"), =HYPERLINK("CSG21.html#group96AB21", "96AB²¹")</f>
        <v/>
      </c>
      <c r="M2110">
        <f>HYPERLINK("CSG2.html#group24B2", "24B²"), =HYPERLINK("CSG1.html#group12K1", "12K¹"), =HYPERLINK("CSG0.html#group3A0", "3A⁰"), =HYPERLINK("CSG2.html#group24D2", "24D²"), =HYPERLINK("CSG0.html#group6G0", "6G⁰"), =HYPERLINK("CSG0.html#group3C0", "3C⁰"), =HYPERLINK("CSG1.html#group12B1", "12B¹"), =HYPERLINK("CSG0.html#group2B0", "2B⁰"), =HYPERLINK("CSG0.html#group8C0", "8C⁰"), =HYPERLINK("CSG0.html#group12D0", "12D⁰"), =HYPERLINK("CSG0.html#group4B0", "4B⁰"), =HYPERLINK("CSG3.html#group24L3", "24L³"), =HYPERLINK("CSG0.html#group1A0", "1A⁰"), =HYPERLINK("CSG0.html#group6D0", "6D⁰"), =HYPERLINK("CSG5.html#group48B5", "48B⁵")</f>
        <v/>
      </c>
      <c r="N2110">
        <f>HYPERLINK("CSG21.html#group96M21", "96M²¹"), =HYPERLINK("CSG17.html#group48C17", "48C¹⁷"), =HYPERLINK("CSG17.html#group48Z17", "48Z¹⁷"), =HYPERLINK("CSG21.html#group96AB21", "96AB²¹"), =HYPERLINK("CSG21.html#group96N21", "96N²¹"), =HYPERLINK("CSG17.html#group48G17", "48G¹⁷"), =HYPERLINK("CSG17.html#group48AA17", "48AA¹⁷"), =HYPERLINK("CSG17.html#group48E17", "48E¹⁷")</f>
        <v/>
      </c>
    </row>
    <row r="2111">
      <c r="A2111" t="inlineStr">
        <is>
          <t>48D⁹</t>
        </is>
      </c>
      <c r="B2111" t="inlineStr"/>
      <c r="C2111" t="inlineStr">
        <is>
          <t>144</t>
        </is>
      </c>
      <c r="D2111" t="inlineStr">
        <is>
          <t>1</t>
        </is>
      </c>
      <c r="E2111" t="inlineStr">
        <is>
          <t>18</t>
        </is>
      </c>
      <c r="F2111" t="inlineStr">
        <is>
          <t>0</t>
        </is>
      </c>
      <c r="G2111" t="inlineStr">
        <is>
          <t>0</t>
        </is>
      </c>
      <c r="H2111" t="inlineStr">
        <is>
          <t>6⁴, 12², 48²</t>
        </is>
      </c>
      <c r="I2111" t="n">
        <v>8</v>
      </c>
      <c r="J2111" t="inlineStr">
        <is>
          <t>1⁴, 2⁵, 4¹</t>
        </is>
      </c>
      <c r="K2111">
        <f>HYPERLINK("CSG3.html#group24L3", "24L³"), =HYPERLINK("CSG5.html#group48A5", "48A⁵"), =HYPERLINK("CSG5.html#group48B5", "48B⁵")</f>
        <v/>
      </c>
      <c r="L2111">
        <f>HYPERLINK("CSG17.html#group48C17", "48C¹⁷"), =HYPERLINK("CSG17.html#group48F17", "48F¹⁷"), =HYPERLINK("CSG17.html#group48K17", "48K¹⁷"), =HYPERLINK("CSG17.html#group48Y17", "48Y¹⁷"), =HYPERLINK("CSG17.html#group48AB17", "48AB¹⁷"), =HYPERLINK("CSG21.html#group96F21", "96F²¹"), =HYPERLINK("CSG21.html#group96G21", "96G²¹"), =HYPERLINK("CSG21.html#group96I21", "96I²¹"), =HYPERLINK("CSG21.html#group96J21", "96J²¹"), =HYPERLINK("CSG21.html#group96P21", "96P²¹"), =HYPERLINK("CSG21.html#group96S21", "96S²¹")</f>
        <v/>
      </c>
      <c r="M2111">
        <f>HYPERLINK("CSG5.html#group48A5", "48A⁵"), =HYPERLINK("CSG1.html#group12K1", "12K¹"), =HYPERLINK("CSG0.html#group6G0", "6G⁰"), =HYPERLINK("CSG1.html#group16A1", "16A¹"), =HYPERLINK("CSG0.html#group2B0", "2B⁰"), =HYPERLINK("CSG0.html#group8C0", "8C⁰"), =HYPERLINK("CSG0.html#group4B0", "4B⁰"), =HYPERLINK("CSG0.html#group1A0", "1A⁰"), =HYPERLINK("CSG2.html#group24B2", "24B²"),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"6D⁰"), =HYPERLINK("CSG5.html#group48B5", "48B⁵")</f>
        <v/>
      </c>
      <c r="N2111">
        <f>HYPERLINK("CSG21.html#group96G21", "96G²¹"), =HYPERLINK("CSG17.html#group48AB17", "48AB¹⁷"), =HYPERLINK("CSG21.html#group96J21", "96J²¹"), =HYPERLINK("CSG17.html#group48C17", "48C¹⁷"), =HYPERLINK("CSG17.html#group48K17", "48K¹⁷"), =HYPERLINK("CSG21.html#group96S21", "96S²¹"), =HYPERLINK("CSG17.html#group48Y17", "48Y¹⁷"), =HYPERLINK("CSG21.html#group96F21", "96F²¹"), =HYPERLINK("CSG21.html#group96I21", "96I²¹"), =HYPERLINK("CSG17.html#group48F17", "48F¹⁷"), =HYPERLINK("CSG21.html#group96P21", "96P²¹")</f>
        <v/>
      </c>
    </row>
    <row r="2112">
      <c r="A2112" t="inlineStr">
        <is>
          <t>48E⁹</t>
        </is>
      </c>
      <c r="B2112" t="inlineStr"/>
      <c r="C2112" t="inlineStr">
        <is>
          <t>144</t>
        </is>
      </c>
      <c r="D2112" t="inlineStr">
        <is>
          <t>1</t>
        </is>
      </c>
      <c r="E2112" t="inlineStr">
        <is>
          <t>18</t>
        </is>
      </c>
      <c r="F2112" t="inlineStr">
        <is>
          <t>0</t>
        </is>
      </c>
      <c r="G2112" t="inlineStr">
        <is>
          <t>0</t>
        </is>
      </c>
      <c r="H2112" t="inlineStr">
        <is>
          <t>6⁴, 12², 48²</t>
        </is>
      </c>
      <c r="I2112" t="n">
        <v>8</v>
      </c>
      <c r="J2112" t="inlineStr">
        <is>
          <t>1⁴, 2⁵, 4¹</t>
        </is>
      </c>
      <c r="K2112">
        <f>HYPERLINK("CSG4.html#group24D4", "24D⁴"), =HYPERLINK("CSG4.html#group48F4", "48F⁴"), =HYPERLINK("CSG5.html#group48B5", "48B⁵")</f>
        <v/>
      </c>
      <c r="L2112">
        <f>HYPERLINK("CSG17.html#group48E17", "48E¹⁷"), =HYPERLINK("CSG17.html#group48H17", "48H¹⁷"), =HYPERLINK("CSG17.html#group48I17", "48I¹⁷"), =HYPERLINK("CSG17.html#group48K17", "48K¹⁷"), =HYPERLINK("CSG17.html#group48BP17", "48BP¹⁷"), =HYPERLINK("CSG19.html#group48D19", "48D¹⁹"), =HYPERLINK("CSG19.html#group48L19", "48L¹⁹"), =HYPERLINK("CSG19.html#group48M19", "48M¹⁹"), =HYPERLINK("CSG19.html#group48O19", "48O¹⁹"), =HYPERLINK("CSG19.html#group48P19", "48P¹⁹"), =HYPERLINK("CSG19.html#group48AX19", "48AX¹⁹")</f>
        <v/>
      </c>
      <c r="M2112">
        <f>HYPERLINK("CSG0.html#group2A0", "2A⁰"), =HYPERLINK("CSG0.html#group12C0", "12C⁰"), =HYPERLINK("CSG0.html#group8D0", "8D⁰"), =HYPERLINK("CSG1.html#group6C1", "6C¹"), =HYPERLINK("CSG0.html#group4C0", "4C⁰"), =HYPERLINK("CSG4.html#group48F4", "48F⁴"), =HYPERLINK("CSG2.html#group12B2", "12B²"), =HYPERLINK("CSG0.html#group8C0", "8C⁰"), =HYPERLINK("CSG0.html#group2B0", "2B⁰"), =HYPERLINK("CSG0.html#group4E0", "4E⁰"), =HYPERLINK("CSG0.html#group4B0", "4B⁰"), =HYPERLINK("CSG0.html#group1A0", "1A⁰"), =HYPERLINK("CSG4.html#group24D4", "24D⁴"), =HYPERLINK("CSG2.html#group24B2", "24B²"), =HYPERLINK("CSG0.html#group6A0", "6A⁰"), =HYPERLINK("CSG0.html#group8G0", "8G⁰"), =HYPERLINK("CSG1.html#group24C1", "24C¹"), =HYPERLINK("CSG1.html#group12B1", "12B¹"), =HYPERLINK("CSG1.html#group6A1", "6A¹"), =HYPERLINK("CSG0.html#group3A0", "3A⁰"), =HYPERLINK("CSG0.html#group2C0", "2C⁰"), =HYPERLINK("CSG0.html#group6D0", "6D⁰"), =HYPERLINK("CSG5.html#group48B5", "48B⁵")</f>
        <v/>
      </c>
      <c r="N2112">
        <f>HYPERLINK("CSG17.html#group48H17", "48H¹⁷"), =HYPERLINK("CSG19.html#group48M19", "48M¹⁹"), =HYPERLINK("CSG19.html#group48O19", "48O¹⁹"), =HYPERLINK("CSG19.html#group48P19", "48P¹⁹"), =HYPERLINK("CSG19.html#group48AX19", "48AX¹⁹"), =HYPERLINK("CSG17.html#group48BP17", "48BP¹⁷"), =HYPERLINK("CSG17.html#group48K17", "48K¹⁷"), =HYPERLINK("CSG19.html#group48D19", "48D¹⁹"), =HYPERLINK("CSG19.html#group48L19", "48L¹⁹"), =HYPERLINK("CSG17.html#group48I17", "48I¹⁷"), =HYPERLINK("CSG17.html#group48E17", "48E¹⁷")</f>
        <v/>
      </c>
    </row>
    <row r="2113">
      <c r="A2113" t="inlineStr">
        <is>
          <t>48F⁹</t>
        </is>
      </c>
      <c r="B2113" t="inlineStr"/>
      <c r="C2113" t="inlineStr">
        <is>
          <t>144</t>
        </is>
      </c>
      <c r="D2113" t="inlineStr">
        <is>
          <t>1</t>
        </is>
      </c>
      <c r="E2113" t="inlineStr">
        <is>
          <t>18</t>
        </is>
      </c>
      <c r="F2113" t="inlineStr">
        <is>
          <t>0</t>
        </is>
      </c>
      <c r="G2113" t="inlineStr">
        <is>
          <t>0</t>
        </is>
      </c>
      <c r="H2113" t="inlineStr">
        <is>
          <t>6⁴, 12², 48²</t>
        </is>
      </c>
      <c r="I2113" t="n">
        <v>8</v>
      </c>
      <c r="J2113" t="inlineStr">
        <is>
          <t>1⁴, 2⁵, 4¹</t>
        </is>
      </c>
      <c r="K2113">
        <f>HYPERLINK("CSG4.html#group24J4", "24J⁴"), =HYPERLINK("CSG4.html#group48B4", "48B⁴"), =HYPERLINK("CSG5.html#group48B5", "48B⁵")</f>
        <v/>
      </c>
      <c r="L2113">
        <f>HYPERLINK("CSG17.html#group48G17", "48G¹⁷"), =HYPERLINK("CSG17.html#group48K17", "48K¹⁷"), =HYPERLINK("CSG17.html#group48W17", "48W¹⁷"), =HYPERLINK("CSG17.html#group48AC17", "48AC¹⁷"), =HYPERLINK("CSG19.html#group96G19", "96G¹⁹"), =HYPERLINK("CSG19.html#group96I19", "96I¹⁹"), =HYPERLINK("CSG19.html#group96O19", "96O¹⁹"), =HYPERLINK("CSG19.html#group96S19", "96S¹⁹"), =HYPERLINK("CSG19.html#group96AW19", "96AW¹⁹")</f>
        <v/>
      </c>
      <c r="M2113">
        <f>HYPERLINK("CSG0.html#group6B0", "6B⁰"), =HYPERLINK("CSG2.html#group12D2", "12D²"), =HYPERLINK("CSG4.html#group24J4", "24J⁴"), =HYPERLINK("CSG0.html#group8C0", "8C⁰"), =HYPERLINK("CSG0.html#group2B0", "2B⁰"), =HYPERLINK("CSG0.html#group4B0", "4B⁰"), =HYPERLINK("CSG0.html#group1A0", "1A⁰"), =HYPERLINK("CSG4.html#group48B4", "48B⁴"), =HYPERLINK("CSG2.html#group24B2", "24B²"), =HYPERLINK("CSG1.html#group12C1", "12C¹"), =HYPERLINK("CSG0.html#group16C0", "16C⁰"), =HYPERLINK("CSG2.html#group24D2", "24D²"), =HYPERLINK("CSG1.html#group12B1", "12B¹"), =HYPERLINK("CSG0.html#group6H0", "6H⁰"), =HYPERLINK("CSG0.html#group3A0", "3A⁰"), =HYPERLINK("CSG0.html#group6D0", "6D⁰"), =HYPERLINK("CSG5.html#group48B5", "48B⁵")</f>
        <v/>
      </c>
      <c r="N2113">
        <f>HYPERLINK("CSG17.html#group48W17", "48W¹⁷"), =HYPERLINK("CSG17.html#group48AC17", "48AC¹⁷"), =HYPERLINK("CSG19.html#group96O19", "96O¹⁹"), =HYPERLINK("CSG19.html#group96G19", "96G¹⁹"), =HYPERLINK("CSG17.html#group48K17", "48K¹⁷"), =HYPERLINK("CSG17.html#group48G17", "48G¹⁷"), =HYPERLINK("CSG19.html#group96I19", "96I¹⁹"), =HYPERLINK("CSG19.html#group96AW19", "96AW¹⁹"), =HYPERLINK("CSG19.html#group96S19", "96S¹⁹")</f>
        <v/>
      </c>
    </row>
    <row r="2114">
      <c r="A2114" t="inlineStr">
        <is>
          <t>48G⁹</t>
        </is>
      </c>
      <c r="B2114" t="inlineStr"/>
      <c r="C2114" t="inlineStr">
        <is>
          <t>144</t>
        </is>
      </c>
      <c r="D2114" t="inlineStr">
        <is>
          <t>1</t>
        </is>
      </c>
      <c r="E2114" t="inlineStr">
        <is>
          <t>18</t>
        </is>
      </c>
      <c r="F2114" t="inlineStr">
        <is>
          <t>0</t>
        </is>
      </c>
      <c r="G2114" t="inlineStr">
        <is>
          <t>0</t>
        </is>
      </c>
      <c r="H2114" t="inlineStr">
        <is>
          <t>6⁴, 12², 48²</t>
        </is>
      </c>
      <c r="I2114" t="n">
        <v>8</v>
      </c>
      <c r="J2114" t="inlineStr">
        <is>
          <t>1⁴, 2⁵, 4¹</t>
        </is>
      </c>
      <c r="K2114">
        <f>HYPERLINK("CSG4.html#group24J4", "24J⁴"), =HYPERLINK("CSG4.html#group48F4", "48F⁴"), =HYPERLINK("CSG5.html#group48A5", "48A⁵")</f>
        <v/>
      </c>
      <c r="L2114">
        <f>HYPERLINK("CSG17.html#group48F17", "48F¹⁷"), =HYPERLINK("CSG17.html#group48K17", "48K¹⁷"), =HYPERLINK("CSG17.html#group48X17", "48X¹⁷"), =HYPERLINK("CSG17.html#group48AD17", "48AD¹⁷"), =HYPERLINK("CSG21.html#group96K21", "96K²¹"), =HYPERLINK("CSG21.html#group96L21", "96L²¹"), =HYPERLINK("CSG21.html#group96O21", "96O²¹"), =HYPERLINK("CSG21.html#group96T21", "96T²¹"), =HYPERLINK("CSG21.html#group96AQ21", "96AQ²¹")</f>
        <v/>
      </c>
      <c r="M2114">
        <f>HYPERLINK("CSG5.html#group48A5", "48A⁵"), =HYPERLINK("CSG0.html#group6B0", "6B⁰"), =HYPERLINK("CSG2.html#group12D2", "12D²"), =HYPERLINK("CSG4.html#group24J4", "24J⁴"), =HYPERLINK("CSG4.html#group48F4", "48F⁴"), =HYPERLINK("CSG1.html#group16A1", "16A¹"), =HYPERLINK("CSG0.html#group8C0", "8C⁰"), =HYPERLINK("CSG0.html#group2B0", "2B⁰"), =HYPERLINK("CSG0.html#group4B0", "4B⁰"), =HYPERLINK("CSG0.html#group1A0", "1A⁰"), =HYPERLINK("CSG2.html#group24B2", "24B²"), =HYPERLINK("CSG1.html#group12C1", "12C¹"), =HYPERLINK("CSG2.html#group24D2", "24D²"), =HYPERLINK("CSG1.html#group12B1", "12B¹"), =HYPERLINK("CSG0.html#group6H0", "6H⁰"), =HYPERLINK("CSG0.html#group3A0", "3A⁰"), =HYPERLINK("CSG0.html#group6D0", "6D⁰")</f>
        <v/>
      </c>
      <c r="N2114">
        <f>HYPERLINK("CSG21.html#group96K21", "96K²¹"), =HYPERLINK("CSG21.html#group96O21", "96O²¹"), =HYPERLINK("CSG21.html#group96T21", "96T²¹"), =HYPERLINK("CSG17.html#group48AD17", "48AD¹⁷"), =HYPERLINK("CSG17.html#group48X17", "48X¹⁷"), =HYPERLINK("CSG21.html#group96AQ21", "96AQ²¹"), =HYPERLINK("CSG21.html#group96L21", "96L²¹"), =HYPERLINK("CSG17.html#group48K17", "48K¹⁷"), =HYPERLINK("CSG17.html#group48F17", "48F¹⁷")</f>
        <v/>
      </c>
    </row>
    <row r="2115">
      <c r="A2115" t="inlineStr">
        <is>
          <t>48H⁹</t>
        </is>
      </c>
      <c r="B2115" t="inlineStr"/>
      <c r="C2115" t="inlineStr">
        <is>
          <t>144</t>
        </is>
      </c>
      <c r="D2115" t="inlineStr">
        <is>
          <t>1</t>
        </is>
      </c>
      <c r="E2115" t="inlineStr">
        <is>
          <t>18</t>
        </is>
      </c>
      <c r="F2115" t="inlineStr">
        <is>
          <t>8</t>
        </is>
      </c>
      <c r="G2115" t="inlineStr">
        <is>
          <t>0</t>
        </is>
      </c>
      <c r="H2115" t="inlineStr">
        <is>
          <t>24², 48²</t>
        </is>
      </c>
      <c r="I2115" t="n">
        <v>4</v>
      </c>
      <c r="J2115" t="inlineStr">
        <is>
          <t>2³, 4³</t>
        </is>
      </c>
      <c r="K2115">
        <f>HYPERLINK("CSG3.html#group24H3", "24H³")</f>
        <v/>
      </c>
      <c r="L2115">
        <f>HYPERLINK("CSG17.html#group48L17", "48L¹⁷"), =HYPERLINK("CSG19.html#group48AH19", "48AH¹⁹"), =HYPERLINK("CSG19.html#group48AF19", "48AF¹⁹"), =HYPERLINK("CSG21.html#group48A21", "48A²¹"), =HYPERLINK("CSG21.html#group48Z21", "48Z²¹")</f>
        <v/>
      </c>
      <c r="M2115">
        <f>HYPERLINK("CSG0.html#group12C0", "12C⁰"), =HYPERLINK("CSG1.html#group12C1", "12C¹"), =HYPERLINK("CSG3.html#group24H3", "24H³"), =HYPERLINK("CSG1.html#group12L1", "12L¹"), =HYPERLINK("CSG0.html#group4C0", "4C⁰"), =HYPERLINK("CSG1.html#group24D1", "24D¹"), =HYPERLINK("CSG0.html#group6G0", "6G⁰"), =HYPERLINK("CSG0.html#group3C0", "3C⁰"), =HYPERLINK("CSG0.html#group2B0", "2B⁰"), =HYPERLINK("CSG0.html#group3A0", "3A⁰"), =HYPERLINK("CSG0.html#group1A0", "1A⁰"), =HYPERLINK("CSG0.html#group6D0", "6D⁰")</f>
        <v/>
      </c>
      <c r="N2115">
        <f>HYPERLINK("CSG19.html#group48AH19", "48AH¹⁹"), =HYPERLINK("CSG21.html#group48Z21", "48Z²¹"), =HYPERLINK("CSG19.html#group48AF19", "48AF¹⁹"), =HYPERLINK("CSG17.html#group48L17", "48L¹⁷"), =HYPERLINK("CSG21.html#group48A21", "48A²¹")</f>
        <v/>
      </c>
    </row>
    <row r="2116">
      <c r="A2116" t="inlineStr">
        <is>
          <t>48I⁹</t>
        </is>
      </c>
      <c r="B2116" t="inlineStr"/>
      <c r="C2116" t="inlineStr">
        <is>
          <t>144</t>
        </is>
      </c>
      <c r="D2116" t="inlineStr">
        <is>
          <t>1</t>
        </is>
      </c>
      <c r="E2116" t="inlineStr">
        <is>
          <t>18</t>
        </is>
      </c>
      <c r="F2116" t="inlineStr">
        <is>
          <t>8</t>
        </is>
      </c>
      <c r="G2116" t="inlineStr">
        <is>
          <t>0</t>
        </is>
      </c>
      <c r="H2116" t="inlineStr">
        <is>
          <t>24², 48²</t>
        </is>
      </c>
      <c r="I2116" t="n">
        <v>4</v>
      </c>
      <c r="J2116" t="inlineStr">
        <is>
          <t>2³, 4³</t>
        </is>
      </c>
      <c r="K2116">
        <f>HYPERLINK("CSG3.html#group24H3", "24H³")</f>
        <v/>
      </c>
      <c r="L2116">
        <f>HYPERLINK("CSG17.html#group48L17", "48L¹⁷"), =HYPERLINK("CSG19.html#group48AI19", "48AI¹⁹"), =HYPERLINK("CSG19.html#group48AG19", "48AG¹⁹"), =HYPERLINK("CSG21.html#group48B21", "48B²¹"), =HYPERLINK("CSG21.html#group48Z21", "48Z²¹")</f>
        <v/>
      </c>
      <c r="M2116">
        <f>HYPERLINK("CSG0.html#group12C0", "12C⁰"), =HYPERLINK("CSG1.html#group12C1", "12C¹"), =HYPERLINK("CSG3.html#group24H3", "24H³"), =HYPERLINK("CSG1.html#group12L1", "12L¹"), =HYPERLINK("CSG0.html#group4C0", "4C⁰"), =HYPERLINK("CSG1.html#group24D1", "24D¹"), =HYPERLINK("CSG0.html#group6G0", "6G⁰"), =HYPERLINK("CSG0.html#group3C0", "3C⁰"), =HYPERLINK("CSG0.html#group2B0", "2B⁰"), =HYPERLINK("CSG0.html#group3A0", "3A⁰"), =HYPERLINK("CSG0.html#group1A0", "1A⁰"), =HYPERLINK("CSG0.html#group6D0", "6D⁰")</f>
        <v/>
      </c>
      <c r="N2116">
        <f>HYPERLINK("CSG21.html#group48B21", "48B²¹"), =HYPERLINK("CSG19.html#group48AI19", "48AI¹⁹"), =HYPERLINK("CSG21.html#group48Z21", "48Z²¹"), =HYPERLINK("CSG17.html#group48L17", "48L¹⁷"), =HYPERLINK("CSG19.html#group48AG19", "48AG¹⁹")</f>
        <v/>
      </c>
    </row>
    <row r="2117">
      <c r="A2117" t="inlineStr">
        <is>
          <t>48J⁹</t>
        </is>
      </c>
      <c r="B2117" t="inlineStr"/>
      <c r="C2117" t="inlineStr">
        <is>
          <t>144</t>
        </is>
      </c>
      <c r="D2117" t="inlineStr">
        <is>
          <t>1</t>
        </is>
      </c>
      <c r="E2117" t="inlineStr">
        <is>
          <t>18</t>
        </is>
      </c>
      <c r="F2117" t="inlineStr">
        <is>
          <t>8</t>
        </is>
      </c>
      <c r="G2117" t="inlineStr">
        <is>
          <t>0</t>
        </is>
      </c>
      <c r="H2117" t="inlineStr">
        <is>
          <t>24², 48²</t>
        </is>
      </c>
      <c r="I2117" t="n">
        <v>4</v>
      </c>
      <c r="J2117" t="inlineStr">
        <is>
          <t>1², 2⁴, 4²</t>
        </is>
      </c>
      <c r="K2117">
        <f>HYPERLINK("CSG3.html#group24I3", "24I³"), =HYPERLINK("CSG3.html#group48F3", "48F³")</f>
        <v/>
      </c>
      <c r="L2117">
        <f>HYPERLINK("CSG17.html#group48M17", "48M¹⁷"), =HYPERLINK("CSG17.html#group48N17", "48N¹⁷"), =HYPERLINK("CSG17.html#group48P17", "48P¹⁷"), =HYPERLINK("CSG19.html#group48BE19", "48BE¹⁹"), =HYPERLINK("CSG19.html#group48BD19", "48BD¹⁹"), =HYPERLINK("CSG21.html#group48H21", "48H²¹"), =HYPERLINK("CSG21.html#group48K21", "48K²¹"), =HYPERLINK("CSG21.html#group48AB21", "48AB²¹"), =HYPERLINK("CSG21.html#group48AD21", "48AD²¹")</f>
        <v/>
      </c>
      <c r="M2117">
        <f>HYPERLINK("CSG0.html#group12C0", "12C⁰"), =HYPERLINK("CSG1.html#group12C1", "12C¹"), =HYPERLINK("CSG0.html#group24A0", "24A⁰"), =HYPERLINK("CSG1.html#group12L1", "12L¹"), =HYPERLINK("CSG0.html#group4C0", "4C⁰"), =HYPERLINK("CSG3.html#group24I3", "24I³"), =HYPERLINK("CSG0.html#group8B0", "8B⁰"), =HYPERLINK("CSG0.html#group6G0", "6G⁰"), =HYPERLINK("CSG0.html#group3C0", "3C⁰"), =HYPERLINK("CSG0.html#group2B0", "2B⁰"), =HYPERLINK("CSG2.html#group24C2", "24C²"), =HYPERLINK("CSG3.html#group48F3", "48F³"), =HYPERLINK("CSG0.html#group3A0", "3A⁰"), =HYPERLINK("CSG0.html#group1A0", "1A⁰"), =HYPERLINK("CSG0.html#group6D0", "6D⁰")</f>
        <v/>
      </c>
      <c r="N2117">
        <f>HYPERLINK("CSG21.html#group48AD21", "48AD²¹"), =HYPERLINK("CSG19.html#group48BE19", "48BE¹⁹"), =HYPERLINK("CSG19.html#group48BD19", "48BD¹⁹"), =HYPERLINK("CSG17.html#group48M17", "48M¹⁷"), =HYPERLINK("CSG17.html#group48N17", "48N¹⁷"), =HYPERLINK("CSG21.html#group48K21", "48K²¹"), =HYPERLINK("CSG21.html#group48H21", "48H²¹"), =HYPERLINK("CSG17.html#group48P17", "48P¹⁷"), =HYPERLINK("CSG21.html#group48AB21", "48AB²¹")</f>
        <v/>
      </c>
    </row>
    <row r="2118">
      <c r="A2118" t="inlineStr">
        <is>
          <t>48K⁹</t>
        </is>
      </c>
      <c r="B2118" t="inlineStr"/>
      <c r="C2118" t="inlineStr">
        <is>
          <t>144</t>
        </is>
      </c>
      <c r="D2118" t="inlineStr">
        <is>
          <t>1</t>
        </is>
      </c>
      <c r="E2118" t="inlineStr">
        <is>
          <t>18</t>
        </is>
      </c>
      <c r="F2118" t="inlineStr">
        <is>
          <t>8</t>
        </is>
      </c>
      <c r="G2118" t="inlineStr">
        <is>
          <t>0</t>
        </is>
      </c>
      <c r="H2118" t="inlineStr">
        <is>
          <t>24², 48²</t>
        </is>
      </c>
      <c r="I2118" t="n">
        <v>4</v>
      </c>
      <c r="J2118" t="inlineStr">
        <is>
          <t>1², 2⁴, 4²</t>
        </is>
      </c>
      <c r="K2118">
        <f>HYPERLINK("CSG2.html#group24L2", "24L²"), =HYPERLINK("CSG3.html#group48F3", "48F³"), =HYPERLINK("CSG4.html#group48C4", "48C⁴")</f>
        <v/>
      </c>
      <c r="L2118">
        <f>HYPERLINK("CSG17.html#group48Q17", "48Q¹⁷"), =HYPERLINK("CSG17.html#group48BR17", "48BR¹⁷"), =HYPERLINK("CSG19.html#group48AB19", "48AB¹⁹"), =HYPERLINK("CSG19.html#group48AC19", "48AC¹⁹"), =HYPERLINK("CSG19.html#group48AD19", "48AD¹⁹"), =HYPERLINK("CSG19.html#group48AE19", "48AE¹⁹"), =HYPERLINK("CSG19.html#group48AJ19", "48AJ¹⁹"), =HYPERLINK("CSG19.html#group48AK19", "48AK¹⁹"), =HYPERLINK("CSG19.html#group48AY19", "48AY¹⁹"), =HYPERLINK("CSG19.html#group48AZ19", "48AZ¹⁹"), =HYPERLINK("CSG19.html#group48BA19", "48BA¹⁹"), =HYPERLINK("CSG21.html#group48Q21", "48Q²¹"), =HYPERLINK("CSG21.html#group48AD21", "48AD²¹"), =HYPERLINK("CSG21.html#group48AE21", "48AE²¹")</f>
        <v/>
      </c>
      <c r="M2118">
        <f>HYPERLINK("CSG0.html#group12C0", "12C⁰"), =HYPERLINK("CSG0.html#group8D0", "8D⁰"), =HYPERLINK("CSG0.html#group4C0", "4C⁰"), =HYPERLINK("CSG0.html#group8B0", "8B⁰"), =HYPERLINK("CSG0.html#group2B0", "2B⁰"), =HYPERLINK("CSG2.html#group24L2", "24L²"), =HYPERLINK("CSG0.html#group1A0", "1A⁰"), =HYPERLINK("CSG4.html#group48C4", "48C⁴"), =HYPERLINK("CSG0.html#group8H0", "8H⁰"),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=HYPERLINK("CSG3.html#group48F3", "48F³"), =HYPERLINK("CSG0.html#group3A0", "3A⁰"), =HYPERLINK("CSG0.html#group6D0", "6D⁰")</f>
        <v/>
      </c>
      <c r="N2118">
        <f>HYPERLINK("CSG19.html#group48AD19", "48AD¹⁹"), =HYPERLINK("CSG19.html#group48AK19", "48AK¹⁹"), =HYPERLINK("CSG21.html#group48AD21", "48AD²¹"), =HYPERLINK("CSG21.html#group48AE21", "48AE²¹"), =HYPERLINK("CSG17.html#group48BR17", "48BR¹⁷"), =HYPERLINK("CSG19.html#group48BA19", "48BA¹⁹"), =HYPERLINK("CSG19.html#group48AJ19", "48AJ¹⁹"), =HYPERLINK("CSG19.html#group48AY19", "48AY¹⁹"), =HYPERLINK("CSG19.html#group48AE19", "48AE¹⁹"), =HYPERLINK("CSG19.html#group48AB19", "48AB¹⁹"), =HYPERLINK("CSG21.html#group48Q21", "48Q²¹"), =HYPERLINK("CSG17.html#group48Q17", "48Q¹⁷"), =HYPERLINK("CSG19.html#group48AC19", "48AC¹⁹"), =HYPERLINK("CSG19.html#group48AZ19", "48AZ¹⁹")</f>
        <v/>
      </c>
    </row>
    <row r="2119">
      <c r="A2119" t="inlineStr">
        <is>
          <t>48L⁹</t>
        </is>
      </c>
      <c r="B2119" t="inlineStr"/>
      <c r="C2119" t="inlineStr">
        <is>
          <t>144</t>
        </is>
      </c>
      <c r="D2119" t="inlineStr">
        <is>
          <t>1</t>
        </is>
      </c>
      <c r="E2119" t="inlineStr">
        <is>
          <t>18</t>
        </is>
      </c>
      <c r="F2119" t="inlineStr">
        <is>
          <t>8</t>
        </is>
      </c>
      <c r="G2119" t="inlineStr">
        <is>
          <t>0</t>
        </is>
      </c>
      <c r="H2119" t="inlineStr">
        <is>
          <t>24², 48²</t>
        </is>
      </c>
      <c r="I2119" t="n">
        <v>4</v>
      </c>
      <c r="J2119" t="inlineStr">
        <is>
          <t>1², 2⁴, 4²</t>
        </is>
      </c>
      <c r="K2119">
        <f>HYPERLINK("CSG2.html#group24P2", "24P²"), =HYPERLINK("CSG3.html#group48C3", "48C³"), =HYPERLINK("CSG4.html#group48C4", "48C⁴")</f>
        <v/>
      </c>
      <c r="L2119">
        <f>HYPERLINK("CSG17.html#group48Q17", "48Q¹⁷"), =HYPERLINK("CSG17.html#group48BQ17", "48BQ¹⁷"), =HYPERLINK("CSG19.html#group48AN19", "48AN¹⁹"), =HYPERLINK("CSG19.html#group48AO19", "48AO¹⁹"), =HYPERLINK("CSG19.html#group48BF19", "48BF¹⁹"), =HYPERLINK("CSG21.html#group48R21", "48R²¹"), =HYPERLINK("CSG21.html#group48AC21", "48AC²¹"), =HYPERLINK("CSG21.html#group48AE21", "48AE²¹")</f>
        <v/>
      </c>
      <c r="M2119">
        <f>HYPERLINK("CSG3.html#group48C3", "48C³"), =HYPERLINK("CSG1.html#group24E1", "24E¹"), =HYPERLINK("CSG0.html#group12C0", "12C⁰"), =HYPERLINK("CSG0.html#group24A0", "24A⁰"), =HYPERLINK("CSG0.html#group4C0", "4C⁰"), =HYPERLINK("CSG0.html#group8B0", "8B⁰"), =HYPERLINK("CSG2.html#group24P2", "24P²"), =HYPERLINK("CSG1.html#group16B1", "16B¹"), =HYPERLINK("CSG0.html#group2B0", "2B⁰"), =HYPERLINK("CSG1.html#group12M1", "12M¹"), =HYPERLINK("CSG0.html#group3A0", "3A⁰"), =HYPERLINK("CSG0.html#group1A0", "1A⁰"), =HYPERLINK("CSG0.html#group6D0", "6D⁰"), =HYPERLINK("CSG4.html#group48C4", "48C⁴")</f>
        <v/>
      </c>
      <c r="N2119">
        <f>HYPERLINK("CSG17.html#group48BQ17", "48BQ¹⁷"), =HYPERLINK("CSG21.html#group48AC21", "48AC²¹"), =HYPERLINK("CSG21.html#group48AE21", "48AE²¹"), =HYPERLINK("CSG19.html#group48BF19", "48BF¹⁹"), =HYPERLINK("CSG19.html#group48AO19", "48AO¹⁹"), =HYPERLINK("CSG21.html#group48R21", "48R²¹"), =HYPERLINK("CSG17.html#group48Q17", "48Q¹⁷"), =HYPERLINK("CSG19.html#group48AN19", "48AN¹⁹")</f>
        <v/>
      </c>
    </row>
    <row r="2120">
      <c r="A2120" t="inlineStr">
        <is>
          <t>48M⁹</t>
        </is>
      </c>
      <c r="B2120" t="inlineStr"/>
      <c r="C2120" t="inlineStr">
        <is>
          <t>144</t>
        </is>
      </c>
      <c r="D2120" t="inlineStr">
        <is>
          <t>1</t>
        </is>
      </c>
      <c r="E2120" t="inlineStr">
        <is>
          <t>18</t>
        </is>
      </c>
      <c r="F2120" t="inlineStr">
        <is>
          <t>8</t>
        </is>
      </c>
      <c r="G2120" t="inlineStr">
        <is>
          <t>0</t>
        </is>
      </c>
      <c r="H2120" t="inlineStr">
        <is>
          <t>24², 48²</t>
        </is>
      </c>
      <c r="I2120" t="n">
        <v>4</v>
      </c>
      <c r="J2120" t="inlineStr">
        <is>
          <t>1², 2⁴, 4²</t>
        </is>
      </c>
      <c r="K2120">
        <f>HYPERLINK("CSG3.html#group24I3", "24I³"), =HYPERLINK("CSG3.html#group48C3", "48C³"), =HYPERLINK("CSG3.html#group48F3", "48F³")</f>
        <v/>
      </c>
      <c r="L2120">
        <f>HYPERLINK("CSG17.html#group48M17", "48M¹⁷"), =HYPERLINK("CSG17.html#group48O17", "48O¹⁷"), =HYPERLINK("CSG17.html#group48Q17", "48Q¹⁷"), =HYPERLINK("CSG19.html#group48BC19", "48BC¹⁹"), =HYPERLINK("CSG19.html#group48BG19", "48BG¹⁹"), =HYPERLINK("CSG21.html#group48H21", "48H²¹"), =HYPERLINK("CSG21.html#group48P21", "48P²¹"), =HYPERLINK("CSG21.html#group48AC21", "48AC²¹"), =HYPERLINK("CSG21.html#group48AF21", "48AF²¹")</f>
        <v/>
      </c>
      <c r="M2120">
        <f>HYPERLINK("CSG0.html#group12C0", "12C⁰"), =HYPERLINK("CSG0.html#group4C0", "4C⁰"), =HYPERLINK("CSG3.html#group24I3", "24I³"), =HYPERLINK("CSG0.html#group8B0", "8B⁰"), =HYPERLINK("CSG0.html#group6G0", "6G⁰"), =HYPERLINK("CSG1.html#group16B1", "16B¹"), =HYPERLINK("CSG0.html#group2B0", "2B⁰"), =HYPERLINK("CSG2.html#group24C2", "24C²"), =HYPERLINK("CSG0.html#group1A0", "1A⁰"), =HYPERLINK("CSG1.html#group12L1", "12L¹"), =HYPERLINK("CSG3.html#group48C3", "48C³"), =HYPERLINK("CSG1.html#group12C1", "12C¹"), =HYPERLINK("CSG0.html#group24A0", "24A⁰"), =HYPERLINK("CSG0.html#group3C0", "3C⁰"), =HYPERLINK("CSG3.html#group48F3", "48F³"), =HYPERLINK("CSG0.html#group3A0", "3A⁰"), =HYPERLINK("CSG0.html#group6D0", "6D⁰")</f>
        <v/>
      </c>
      <c r="N2120">
        <f>HYPERLINK("CSG21.html#group48AC21", "48AC²¹"), =HYPERLINK("CSG21.html#group48AF21", "48AF²¹"), =HYPERLINK("CSG21.html#group48P21", "48P²¹"), =HYPERLINK("CSG19.html#group48BC19", "48BC¹⁹"), =HYPERLINK("CSG17.html#group48O17", "48O¹⁷"), =HYPERLINK("CSG17.html#group48M17", "48M¹⁷"), =HYPERLINK("CSG19.html#group48BG19", "48BG¹⁹"), =HYPERLINK("CSG21.html#group48H21", "48H²¹"), =HYPERLINK("CSG17.html#group48Q17", "48Q¹⁷")</f>
        <v/>
      </c>
    </row>
    <row r="2121">
      <c r="A2121" t="inlineStr">
        <is>
          <t>48N⁹</t>
        </is>
      </c>
      <c r="B2121" t="inlineStr"/>
      <c r="C2121" t="inlineStr">
        <is>
          <t>144</t>
        </is>
      </c>
      <c r="D2121" t="inlineStr">
        <is>
          <t>1</t>
        </is>
      </c>
      <c r="E2121" t="inlineStr">
        <is>
          <t>36</t>
        </is>
      </c>
      <c r="F2121" t="inlineStr">
        <is>
          <t>0</t>
        </is>
      </c>
      <c r="G2121" t="inlineStr">
        <is>
          <t>0</t>
        </is>
      </c>
      <c r="H2121" t="inlineStr">
        <is>
          <t>6⁴, 12², 48²</t>
        </is>
      </c>
      <c r="I2121" t="n">
        <v>8</v>
      </c>
      <c r="J2121" t="inlineStr">
        <is>
          <t>2⁴, 4⁷</t>
        </is>
      </c>
      <c r="K2121">
        <f>HYPERLINK("CSG3.html#group24K3", "24K³")</f>
        <v/>
      </c>
      <c r="L2121">
        <f>HYPERLINK("CSG17.html#group48B17", "48B¹⁷"), =HYPERLINK("CSG17.html#group48U17", "48U¹⁷"), =HYPERLINK("CSG17.html#group48V17", "48V¹⁷")</f>
        <v/>
      </c>
      <c r="M2121">
        <f>HYPERLINK("CSG1.html#group12K1", "12K¹"), =HYPERLINK("CSG0.html#group3A0", "3A⁰"), =HYPERLINK("CSG2.html#group24D2", "24D²"), =HYPERLINK("CSG0.html#group6G0", "6G⁰"), =HYPERLINK("CSG0.html#group3C0", "3C⁰"), =HYPERLINK("CSG1.html#group12B1", "12B¹"), =HYPERLINK("CSG3.html#group24K3", "24K³"), =HYPERLINK("CSG0.html#group2B0", "2B⁰"), =HYPERLINK("CSG0.html#group12D0", "12D⁰"), =HYPERLINK("CSG0.html#group4B0", "4B⁰"), =HYPERLINK("CSG0.html#group1A0", "1A⁰"), =HYPERLINK("CSG0.html#group6D0", "6D⁰")</f>
        <v/>
      </c>
      <c r="N2121">
        <f>HYPERLINK("CSG17.html#group48V17", "48V¹⁷"), =HYPERLINK("CSG17.html#group48U17", "48U¹⁷"), =HYPERLINK("CSG17.html#group48B17", "48B¹⁷")</f>
        <v/>
      </c>
    </row>
    <row r="2122">
      <c r="A2122" t="inlineStr">
        <is>
          <t>48O⁹</t>
        </is>
      </c>
      <c r="B2122" t="inlineStr"/>
      <c r="C2122" t="inlineStr">
        <is>
          <t>144</t>
        </is>
      </c>
      <c r="D2122" t="inlineStr">
        <is>
          <t>1</t>
        </is>
      </c>
      <c r="E2122" t="inlineStr">
        <is>
          <t>36</t>
        </is>
      </c>
      <c r="F2122" t="inlineStr">
        <is>
          <t>0</t>
        </is>
      </c>
      <c r="G2122" t="inlineStr">
        <is>
          <t>0</t>
        </is>
      </c>
      <c r="H2122" t="inlineStr">
        <is>
          <t>6⁴, 12², 48²</t>
        </is>
      </c>
      <c r="I2122" t="n">
        <v>8</v>
      </c>
      <c r="J2122" t="inlineStr">
        <is>
          <t>1⁴, 2⁶, 4³, 8¹</t>
        </is>
      </c>
      <c r="K2122">
        <f>HYPERLINK("CSG4.html#group24F4", "24F⁴"), =HYPERLINK("CSG4.html#group48G4", "48G⁴"), =HYPERLINK("CSG5.html#group48B5", "48B⁵")</f>
        <v/>
      </c>
      <c r="L2122">
        <f>HYPERLINK("CSG17.html#group48H17", "48H¹⁷"), =HYPERLINK("CSG17.html#group48AA17", "48AA¹⁷"), =HYPERLINK("CSG17.html#group48AB17", "48AB¹⁷"), =HYPERLINK("CSG17.html#group48AC17", "48AC¹⁷"), =HYPERLINK("CSG17.html#group48BT17", "48BT¹⁷")</f>
        <v/>
      </c>
      <c r="M2122">
        <f>HYPERLINK("CSG2.html#group24B2", "24B²"), =HYPERLINK("CSG4.html#group24F4", "24F⁴"), =HYPERLINK("CSG0.html#group3A0", "3A⁰"), =HYPERLINK("CSG0.html#group8C0", "8C⁰"), =HYPERLINK("CSG1.html#group12B1", "12B¹"), =HYPERLINK("CSG0.html#group8I0", "8I⁰"), =HYPERLINK("CSG0.html#group2B0", "2B⁰"), =HYPERLINK("CSG0.html#group4B0", "4B⁰"), =HYPERLINK("CSG0.html#group1A0", "1A⁰"), =HYPERLINK("CSG4.html#group48G4", "48G⁴"), =HYPERLINK("CSG0.html#group6D0", "6D⁰"), =HYPERLINK("CSG5.html#group48B5", "48B⁵")</f>
        <v/>
      </c>
      <c r="N2122">
        <f>HYPERLINK("CSG17.html#group48H17", "48H¹⁷"), =HYPERLINK("CSG17.html#group48AC17", "48AC¹⁷"), =HYPERLINK("CSG17.html#group48AB17", "48AB¹⁷"), =HYPERLINK("CSG17.html#group48BT17", "48BT¹⁷"), =HYPERLINK("CSG17.html#group48AA17", "48AA¹⁷")</f>
        <v/>
      </c>
    </row>
    <row r="2123">
      <c r="A2123" t="inlineStr">
        <is>
          <t>48P⁹</t>
        </is>
      </c>
      <c r="B2123" t="inlineStr"/>
      <c r="C2123" t="inlineStr">
        <is>
          <t>144</t>
        </is>
      </c>
      <c r="D2123" t="inlineStr">
        <is>
          <t>1</t>
        </is>
      </c>
      <c r="E2123" t="inlineStr">
        <is>
          <t>36</t>
        </is>
      </c>
      <c r="F2123" t="inlineStr">
        <is>
          <t>0</t>
        </is>
      </c>
      <c r="G2123" t="inlineStr">
        <is>
          <t>0</t>
        </is>
      </c>
      <c r="H2123" t="inlineStr">
        <is>
          <t>6⁴, 12², 48²</t>
        </is>
      </c>
      <c r="I2123" t="n">
        <v>8</v>
      </c>
      <c r="J2123" t="inlineStr">
        <is>
          <t>1⁴, 2⁶, 4³, 8¹</t>
        </is>
      </c>
      <c r="K2123">
        <f>HYPERLINK("CSG4.html#group24M4", "24M⁴"), =HYPERLINK("CSG4.html#group48D4", "48D⁴"), =HYPERLINK("CSG5.html#group48B5", "48B⁵")</f>
        <v/>
      </c>
      <c r="L2123">
        <f>HYPERLINK("CSG17.html#group48I17", "48I¹⁷"), =HYPERLINK("CSG17.html#group48Z17", "48Z¹⁷"), =HYPERLINK("CSG17.html#group48AB17", "48AB¹⁷"), =HYPERLINK("CSG17.html#group48AC17", "48AC¹⁷"), =HYPERLINK("CSG17.html#group48BS17", "48BS¹⁷")</f>
        <v/>
      </c>
      <c r="M2123">
        <f>HYPERLINK("CSG2.html#group24B2", "24B²"), =HYPERLINK("CSG0.html#group3A0", "3A⁰"), =HYPERLINK("CSG0.html#group16D0", "16D⁰"), =HYPERLINK("CSG4.html#group24M4", "24M⁴"), =HYPERLINK("CSG0.html#group8C0", "8C⁰"), =HYPERLINK("CSG1.html#group12B1", "12B¹"), =HYPERLINK("CSG0.html#group2B0", "2B⁰"), =HYPERLINK("CSG0.html#group4B0", "4B⁰"), =HYPERLINK("CSG0.html#group1A0", "1A⁰"), =HYPERLINK("CSG0.html#group6D0", "6D⁰"), =HYPERLINK("CSG4.html#group48D4", "48D⁴"), =HYPERLINK("CSG5.html#group48B5", "48B⁵")</f>
        <v/>
      </c>
      <c r="N2123">
        <f>HYPERLINK("CSG17.html#group48AC17", "48AC¹⁷"), =HYPERLINK("CSG17.html#group48AB17", "48AB¹⁷"), =HYPERLINK("CSG17.html#group48BS17", "48BS¹⁷"), =HYPERLINK("CSG17.html#group48Z17", "48Z¹⁷"), =HYPERLINK("CSG17.html#group48I17", "48I¹⁷")</f>
        <v/>
      </c>
    </row>
    <row r="2124">
      <c r="A2124" t="inlineStr">
        <is>
          <t>48Q⁹</t>
        </is>
      </c>
      <c r="B2124" t="inlineStr"/>
      <c r="C2124" t="inlineStr">
        <is>
          <t>144</t>
        </is>
      </c>
      <c r="D2124" t="inlineStr">
        <is>
          <t>1</t>
        </is>
      </c>
      <c r="E2124" t="inlineStr">
        <is>
          <t>36</t>
        </is>
      </c>
      <c r="F2124" t="inlineStr">
        <is>
          <t>0</t>
        </is>
      </c>
      <c r="G2124" t="inlineStr">
        <is>
          <t>0</t>
        </is>
      </c>
      <c r="H2124" t="inlineStr">
        <is>
          <t>6⁴, 12², 48²</t>
        </is>
      </c>
      <c r="I2124" t="n">
        <v>8</v>
      </c>
      <c r="J2124" t="inlineStr">
        <is>
          <t>1⁴, 2⁶, 4³, 8¹</t>
        </is>
      </c>
      <c r="K2124">
        <f>HYPERLINK("CSG4.html#group24M4", "24M⁴"), =HYPERLINK("CSG4.html#group48G4", "48G⁴"), =HYPERLINK("CSG5.html#group48A5", "48A⁵")</f>
        <v/>
      </c>
      <c r="L2124">
        <f>HYPERLINK("CSG17.html#group48J17", "48J¹⁷"), =HYPERLINK("CSG17.html#group48X17", "48X¹⁷"), =HYPERLINK("CSG17.html#group48Y17", "48Y¹⁷"), =HYPERLINK("CSG17.html#group48AB17", "48AB¹⁷"), =HYPERLINK("CSG17.html#group48AD17", "48AD¹⁷"), =HYPERLINK("CSG21.html#group96U21", "96U²¹"), =HYPERLINK("CSG21.html#group96V21", "96V²¹"), =HYPERLINK("CSG21.html#group96W21", "96W²¹"), =HYPERLINK("CSG21.html#group96X21", "96X²¹"), =HYPERLINK("CSG21.html#group96AR21", "96AR²¹"), =HYPERLINK("CSG21.html#group96AS21", "96AS²¹")</f>
        <v/>
      </c>
      <c r="M2124">
        <f>HYPERLINK("CSG5.html#group48A5", "48A⁵"), =HYPERLINK("CSG2.html#group24B2", "24B²"), =HYPERLINK("CSG0.html#group3A0", "3A⁰"), =HYPERLINK("CSG4.html#group24M4", "24M⁴"), =HYPERLINK("CSG1.html#group16A1", "16A¹"), =HYPERLINK("CSG0.html#group8C0", "8C⁰"), =HYPERLINK("CSG1.html#group12B1", "12B¹"), =HYPERLINK("CSG0.html#group2B0", "2B⁰"), =HYPERLINK("CSG0.html#group4B0", "4B⁰"), =HYPERLINK("CSG0.html#group1A0", "1A⁰"), =HYPERLINK("CSG4.html#group48G4", "48G⁴"), =HYPERLINK("CSG0.html#group6D0", "6D⁰")</f>
        <v/>
      </c>
      <c r="N2124">
        <f>HYPERLINK("CSG21.html#group96V21", "96V²¹"), =HYPERLINK("CSG21.html#group96X21", "96X²¹"), =HYPERLINK("CSG17.html#group48AB17", "48AB¹⁷"), =HYPERLINK("CSG17.html#group48AD17", "48AD¹⁷"), =HYPERLINK("CSG17.html#group48X17", "48X¹⁷"), =HYPERLINK("CSG17.html#group48J17", "48J¹⁷"), =HYPERLINK("CSG21.html#group96W21", "96W²¹"), =HYPERLINK("CSG21.html#group96AR21", "96AR²¹"), =HYPERLINK("CSG21.html#group96U21", "96U²¹"), =HYPERLINK("CSG17.html#group48Y17", "48Y¹⁷"), =HYPERLINK("CSG21.html#group96AS21", "96AS²¹")</f>
        <v/>
      </c>
    </row>
    <row r="2125">
      <c r="A2125" t="inlineStr">
        <is>
          <t>48R⁹</t>
        </is>
      </c>
      <c r="B2125" t="inlineStr"/>
      <c r="C2125" t="inlineStr">
        <is>
          <t>144</t>
        </is>
      </c>
      <c r="D2125" t="inlineStr">
        <is>
          <t>1</t>
        </is>
      </c>
      <c r="E2125" t="inlineStr">
        <is>
          <t>36</t>
        </is>
      </c>
      <c r="F2125" t="inlineStr">
        <is>
          <t>4</t>
        </is>
      </c>
      <c r="G2125" t="inlineStr">
        <is>
          <t>0</t>
        </is>
      </c>
      <c r="H2125" t="inlineStr">
        <is>
          <t>12⁴, 48²</t>
        </is>
      </c>
      <c r="I2125" t="n">
        <v>6</v>
      </c>
      <c r="J2125" t="inlineStr">
        <is>
          <t>1², 2³, 4³, 8²</t>
        </is>
      </c>
      <c r="K2125">
        <f>HYPERLINK("CSG3.html#group24O3", "24O³"), =HYPERLINK("CSG4.html#group48H4", "48H⁴")</f>
        <v/>
      </c>
      <c r="L2125">
        <f>HYPERLINK("CSG17.html#group48AH17", "48AH¹⁷"), =HYPERLINK("CSG17.html#group48AJ17", "48AJ¹⁷"), =HYPERLINK("CSG17.html#group48AK17", "48AK¹⁷"), =HYPERLINK("CSG19.html#group48E19", "48E¹⁹"), =HYPERLINK("CSG19.html#group48J19", "48J¹⁹"), =HYPERLINK("CSG19.html#group48X19", "48X¹⁹"), =HYPERLINK("CSG19.html#group48V19", "48V¹⁹")</f>
        <v/>
      </c>
      <c r="M2125">
        <f>HYPERLINK("CSG1.html#group24E1", "24E¹"), =HYPERLINK("CSG0.html#group12C0", "12C⁰"), =HYPERLINK("CSG4.html#group48H4", "48H⁴"), =HYPERLINK("CSG0.html#group8D0", "8D⁰"), =HYPERLINK("CSG0.html#group4C0", "4C⁰"), =HYPERLINK("CSG0.html#group6G0", "6G⁰"), =HYPERLINK("CSG0.html#group2B0", "2B⁰"), =HYPERLINK("CSG0.html#group1A0", "1A⁰"), =HYPERLINK("CSG3.html#group24O3", "24O³"), =HYPERLINK("CSG1.html#group12L1", "12L¹"), =HYPERLINK("CSG1.html#group12C1", "12C¹"), =HYPERLINK("CSG1.html#group24C1", "24C¹"), =HYPERLINK("CSG0.html#group3C0", "3C⁰"), =HYPERLINK("CSG0.html#group3A0", "3A⁰"), =HYPERLINK("CSG0.html#group6D0", "6D⁰")</f>
        <v/>
      </c>
      <c r="N2125">
        <f>HYPERLINK("CSG17.html#group48AH17", "48AH¹⁷"), =HYPERLINK("CSG19.html#group48J19", "48J¹⁹"), =HYPERLINK("CSG17.html#group48AK17", "48AK¹⁷"), =HYPERLINK("CSG19.html#group48V19", "48V¹⁹"), =HYPERLINK("CSG19.html#group48X19", "48X¹⁹"), =HYPERLINK("CSG19.html#group48E19", "48E¹⁹"), =HYPERLINK("CSG17.html#group48AJ17", "48AJ¹⁷")</f>
        <v/>
      </c>
    </row>
    <row r="2126">
      <c r="A2126" t="inlineStr">
        <is>
          <t>48S⁹</t>
        </is>
      </c>
      <c r="B2126" t="inlineStr"/>
      <c r="C2126" t="inlineStr">
        <is>
          <t>144</t>
        </is>
      </c>
      <c r="D2126" t="inlineStr">
        <is>
          <t>1</t>
        </is>
      </c>
      <c r="E2126" t="inlineStr">
        <is>
          <t>36</t>
        </is>
      </c>
      <c r="F2126" t="inlineStr">
        <is>
          <t>4</t>
        </is>
      </c>
      <c r="G2126" t="inlineStr">
        <is>
          <t>0</t>
        </is>
      </c>
      <c r="H2126" t="inlineStr">
        <is>
          <t>12⁴, 48²</t>
        </is>
      </c>
      <c r="I2126" t="n">
        <v>6</v>
      </c>
      <c r="J2126" t="inlineStr">
        <is>
          <t>1², 2³, 4³, 8²</t>
        </is>
      </c>
      <c r="K2126">
        <f>HYPERLINK("CSG3.html#group24O3", "24O³"), =HYPERLINK("CSG4.html#group48E4", "48E⁴"), =HYPERLINK("CSG4.html#group48H4", "48H⁴")</f>
        <v/>
      </c>
      <c r="L2126">
        <f>HYPERLINK("CSG17.html#group48AH17", "48AH¹⁷"), =HYPERLINK("CSG17.html#group48AI17", "48AI¹⁷"), =HYPERLINK("CSG17.html#group48AL17", "48AL¹⁷"), =HYPERLINK("CSG19.html#group48F19", "48F¹⁹"), =HYPERLINK("CSG19.html#group48J19", "48J¹⁹"), =HYPERLINK("CSG19.html#group48W19", "48W¹⁹"), =HYPERLINK("CSG19.html#group48Z19", "48Z¹⁹"), =HYPERLINK("CSG21.html#group96AU21", "96AU²¹"), =HYPERLINK("CSG21.html#group96AV21", "96AV²¹")</f>
        <v/>
      </c>
      <c r="M2126">
        <f>HYPERLINK("CSG1.html#group24E1", "24E¹"), =HYPERLINK("CSG0.html#group12C0", "12C⁰"), =HYPERLINK("CSG4.html#group48H4", "48H⁴"), =HYPERLINK("CSG0.html#group8D0", "8D⁰"), =HYPERLINK("CSG0.html#group4C0", "4C⁰"), =HYPERLINK("CSG0.html#group6G0", "6G⁰"), =HYPERLINK("CSG0.html#group2B0", "2B⁰"), =HYPERLINK("CSG0.html#group1A0", "1A⁰"), =HYPERLINK("CSG3.html#group24O3", "24O³"), =HYPERLINK("CSG1.html#group12L1", "12L¹"), =HYPERLINK("CSG4.html#group48E4", "48E⁴"), =HYPERLINK("CSG1.html#group12C1", "12C¹"), =HYPERLINK("CSG1.html#group16C1", "16C¹"), =HYPERLINK("CSG1.html#group24C1", "24C¹"), =HYPERLINK("CSG0.html#group3C0", "3C⁰"), =HYPERLINK("CSG0.html#group3A0", "3A⁰"), =HYPERLINK("CSG0.html#group6D0", "6D⁰")</f>
        <v/>
      </c>
      <c r="N2126">
        <f>HYPERLINK("CSG21.html#group96AV21", "96AV²¹"), =HYPERLINK("CSG19.html#group48J19", "48J¹⁹"), =HYPERLINK("CSG19.html#group48F19", "48F¹⁹"), =HYPERLINK("CSG19.html#group48Z19", "48Z¹⁹"), =HYPERLINK("CSG17.html#group48AI17", "48AI¹⁷"), =HYPERLINK("CSG17.html#group48AH17", "48AH¹⁷"), =HYPERLINK("CSG17.html#group48AL17", "48AL¹⁷"), =HYPERLINK("CSG21.html#group96AU21", "96AU²¹"), =HYPERLINK("CSG19.html#group48W19", "48W¹⁹")</f>
        <v/>
      </c>
    </row>
    <row r="2127">
      <c r="A2127" t="inlineStr">
        <is>
          <t>48T⁹</t>
        </is>
      </c>
      <c r="B2127" t="inlineStr"/>
      <c r="C2127" t="inlineStr">
        <is>
          <t>144</t>
        </is>
      </c>
      <c r="D2127" t="inlineStr">
        <is>
          <t>1</t>
        </is>
      </c>
      <c r="E2127" t="inlineStr">
        <is>
          <t>36</t>
        </is>
      </c>
      <c r="F2127" t="inlineStr">
        <is>
          <t>4</t>
        </is>
      </c>
      <c r="G2127" t="inlineStr">
        <is>
          <t>0</t>
        </is>
      </c>
      <c r="H2127" t="inlineStr">
        <is>
          <t>12⁴, 48²</t>
        </is>
      </c>
      <c r="I2127" t="n">
        <v>6</v>
      </c>
      <c r="J2127" t="inlineStr">
        <is>
          <t>1², 2³, 4³, 8²</t>
        </is>
      </c>
      <c r="K2127">
        <f>HYPERLINK("CSG3.html#group48D3", "48D³"), =HYPERLINK("CSG4.html#group24L4", "24L⁴"), =HYPERLINK("CSG4.html#group48H4", "48H⁴")</f>
        <v/>
      </c>
      <c r="L2127">
        <f>HYPERLINK("CSG17.html#group48AL17", "48AL¹⁷"), =HYPERLINK("CSG17.html#group48BV17", "48BV¹⁷"), =HYPERLINK("CSG19.html#group48H19", "48H¹⁹"), =HYPERLINK("CSG19.html#group48X19", "48X¹⁹"), =HYPERLINK("CSG19.html#group48Y19", "48Y¹⁹"), =HYPERLINK("CSG19.html#group96AA19", "96AA¹⁹"), =HYPERLINK("CSG19.html#group96AB19", "96AB¹⁹"), =HYPERLINK("CSG19.html#group96AZ19", "96AZ¹⁹")</f>
        <v/>
      </c>
      <c r="M2127">
        <f>HYPERLINK("CSG0.html#group16E0", "16E⁰"), =HYPERLINK("CSG0.html#group12C0", "12C⁰"), =HYPERLINK("CSG4.html#group48H4", "48H⁴"), =HYPERLINK("CSG0.html#group8D0", "8D⁰"), =HYPERLINK("CSG0.html#group4C0", "4C⁰"), =HYPERLINK("CSG1.html#group24C1", "24C¹"), =HYPERLINK("CSG0.html#group2B0", "2B⁰"), =HYPERLINK("CSG1.html#group12M1", "12M¹"), =HYPERLINK("CSG3.html#group48D3", "48D³"), =HYPERLINK("CSG2.html#group24C2", "24C²"), =HYPERLINK("CSG0.html#group3A0", "3A⁰"), =HYPERLINK("CSG0.html#group1A0", "1A⁰"), =HYPERLINK("CSG4.html#group24L4", "24L⁴"), =HYPERLINK("CSG0.html#group6D0", "6D⁰")</f>
        <v/>
      </c>
      <c r="N2127">
        <f>HYPERLINK("CSG17.html#group48BV17", "48BV¹⁷"), =HYPERLINK("CSG19.html#group48X19", "48X¹⁹"), =HYPERLINK("CSG19.html#group48Y19", "48Y¹⁹"), =HYPERLINK("CSG19.html#group96AA19", "96AA¹⁹"), =HYPERLINK("CSG17.html#group48AL17", "48AL¹⁷"), =HYPERLINK("CSG19.html#group96AZ19", "96AZ¹⁹"), =HYPERLINK("CSG19.html#group96AB19", "96AB¹⁹"), =HYPERLINK("CSG19.html#group48H19", "48H¹⁹")</f>
        <v/>
      </c>
    </row>
    <row r="2128">
      <c r="A2128" t="inlineStr">
        <is>
          <t>48U⁹</t>
        </is>
      </c>
      <c r="B2128" t="inlineStr"/>
      <c r="C2128" t="inlineStr">
        <is>
          <t>144</t>
        </is>
      </c>
      <c r="D2128" t="inlineStr">
        <is>
          <t>1</t>
        </is>
      </c>
      <c r="E2128" t="inlineStr">
        <is>
          <t>36</t>
        </is>
      </c>
      <c r="F2128" t="inlineStr">
        <is>
          <t>4</t>
        </is>
      </c>
      <c r="G2128" t="inlineStr">
        <is>
          <t>0</t>
        </is>
      </c>
      <c r="H2128" t="inlineStr">
        <is>
          <t>12⁴, 48²</t>
        </is>
      </c>
      <c r="I2128" t="n">
        <v>6</v>
      </c>
      <c r="J2128" t="inlineStr">
        <is>
          <t>1², 2³, 4³, 8²</t>
        </is>
      </c>
      <c r="K2128">
        <f>HYPERLINK("CSG3.html#group48G3", "48G³"), =HYPERLINK("CSG4.html#group24L4", "24L⁴"), =HYPERLINK("CSG4.html#group48E4", "48E⁴")</f>
        <v/>
      </c>
      <c r="L2128">
        <f>HYPERLINK("CSG17.html#group48AL17", "48AL¹⁷"), =HYPERLINK("CSG17.html#group48BU17", "48BU¹⁷"), =HYPERLINK("CSG19.html#group48I19", "48I¹⁹"), =HYPERLINK("CSG19.html#group48W19", "48W¹⁹"), =HYPERLINK("CSG19.html#group48Y19", "48Y¹⁹"), =HYPERLINK("CSG21.html#group96AC21", "96AC²¹"), =HYPERLINK("CSG21.html#group96AD21", "96AD²¹"), =HYPERLINK("CSG21.html#group96AW21", "96AW²¹")</f>
        <v/>
      </c>
      <c r="M2128">
        <f>HYPERLINK("CSG4.html#group48E4", "48E⁴"), =HYPERLINK("CSG3.html#group48G3", "48G³"), =HYPERLINK("CSG0.html#group12C0", "12C⁰"), =HYPERLINK("CSG0.html#group8D0", "8D⁰"), =HYPERLINK("CSG1.html#group16C1", "16C¹"), =HYPERLINK("CSG0.html#group4C0", "4C⁰"), =HYPERLINK("CSG1.html#group24C1", "24C¹"), =HYPERLINK("CSG1.html#group12M1", "12M¹"), =HYPERLINK("CSG0.html#group2B0", "2B⁰"), =HYPERLINK("CSG2.html#group24C2", "24C²"), =HYPERLINK("CSG0.html#group3A0", "3A⁰"), =HYPERLINK("CSG0.html#group1A0", "1A⁰"), =HYPERLINK("CSG4.html#group24L4", "24L⁴"), =HYPERLINK("CSG0.html#group6D0", "6D⁰")</f>
        <v/>
      </c>
      <c r="N2128">
        <f>HYPERLINK("CSG21.html#group96AC21", "96AC²¹"), =HYPERLINK("CSG21.html#group96AW21", "96AW²¹"), =HYPERLINK("CSG19.html#group48Y19", "48Y¹⁹"), =HYPERLINK("CSG19.html#group48I19", "48I¹⁹"), =HYPERLINK("CSG21.html#group96AD21", "96AD²¹"), =HYPERLINK("CSG17.html#group48AL17", "48AL¹⁷"), =HYPERLINK("CSG17.html#group48BU17", "48BU¹⁷"), =HYPERLINK("CSG19.html#group48W19", "48W¹⁹")</f>
        <v/>
      </c>
    </row>
    <row r="2129">
      <c r="A2129" t="inlineStr">
        <is>
          <t>48V⁹</t>
        </is>
      </c>
      <c r="B2129" t="inlineStr"/>
      <c r="C2129" t="inlineStr">
        <is>
          <t>144</t>
        </is>
      </c>
      <c r="D2129" t="inlineStr">
        <is>
          <t>1</t>
        </is>
      </c>
      <c r="E2129" t="inlineStr">
        <is>
          <t>36</t>
        </is>
      </c>
      <c r="F2129" t="inlineStr">
        <is>
          <t>8</t>
        </is>
      </c>
      <c r="G2129" t="inlineStr">
        <is>
          <t>0</t>
        </is>
      </c>
      <c r="H2129" t="inlineStr">
        <is>
          <t>24², 48²</t>
        </is>
      </c>
      <c r="I2129" t="n">
        <v>4</v>
      </c>
      <c r="J2129" t="inlineStr">
        <is>
          <t>2², 4⁸</t>
        </is>
      </c>
      <c r="K2129">
        <f>HYPERLINK("CSG3.html#group24H3", "24H³")</f>
        <v/>
      </c>
      <c r="L2129">
        <f>HYPERLINK("CSG17.html#group48R17", "48R¹⁷"), =HYPERLINK("CSG19.html#group48AH19", "48AH¹⁹"), =HYPERLINK("CSG19.html#group48AI19", "48AI¹⁹"), =HYPERLINK("CSG19.html#group48AF19", "48AF¹⁹"), =HYPERLINK("CSG19.html#group48AG19", "48AG¹⁹"), =HYPERLINK("CSG21.html#group48G21", "48G²¹"), =HYPERLINK("CSG21.html#group48Y21", "48Y²¹")</f>
        <v/>
      </c>
      <c r="M2129">
        <f>HYPERLINK("CSG0.html#group12C0", "12C⁰"), =HYPERLINK("CSG1.html#group12C1", "12C¹"), =HYPERLINK("CSG3.html#group24H3", "24H³"), =HYPERLINK("CSG1.html#group12L1", "12L¹"), =HYPERLINK("CSG0.html#group4C0", "4C⁰"), =HYPERLINK("CSG1.html#group24D1", "24D¹"), =HYPERLINK("CSG0.html#group6G0", "6G⁰"), =HYPERLINK("CSG0.html#group3C0", "3C⁰"), =HYPERLINK("CSG0.html#group2B0", "2B⁰"), =HYPERLINK("CSG0.html#group3A0", "3A⁰"), =HYPERLINK("CSG0.html#group1A0", "1A⁰"), =HYPERLINK("CSG0.html#group6D0", "6D⁰")</f>
        <v/>
      </c>
      <c r="N2129">
        <f>HYPERLINK("CSG19.html#group48AI19", "48AI¹⁹"), =HYPERLINK("CSG19.html#group48AF19", "48AF¹⁹"), =HYPERLINK("CSG17.html#group48R17", "48R¹⁷"), =HYPERLINK("CSG21.html#group48Y21", "48Y²¹"), =HYPERLINK("CSG19.html#group48AG19", "48AG¹⁹"), =HYPERLINK("CSG19.html#group48AH19", "48AH¹⁹"), =HYPERLINK("CSG21.html#group48G21", "48G²¹")</f>
        <v/>
      </c>
    </row>
    <row r="2130">
      <c r="A2130" t="inlineStr">
        <is>
          <t>48W⁹</t>
        </is>
      </c>
      <c r="B2130" t="inlineStr"/>
      <c r="C2130" t="inlineStr">
        <is>
          <t>144</t>
        </is>
      </c>
      <c r="D2130" t="inlineStr">
        <is>
          <t>1</t>
        </is>
      </c>
      <c r="E2130" t="inlineStr">
        <is>
          <t>36</t>
        </is>
      </c>
      <c r="F2130" t="inlineStr">
        <is>
          <t>8</t>
        </is>
      </c>
      <c r="G2130" t="inlineStr">
        <is>
          <t>0</t>
        </is>
      </c>
      <c r="H2130" t="inlineStr">
        <is>
          <t>24², 48²</t>
        </is>
      </c>
      <c r="I2130" t="n">
        <v>4</v>
      </c>
      <c r="J2130" t="inlineStr">
        <is>
          <t>1⁴, 2⁶, 4³, 8¹</t>
        </is>
      </c>
      <c r="K2130">
        <f>HYPERLINK("CSG3.html#group24I3", "24I³"), =HYPERLINK("CSG3.html#group48H3", "48H³")</f>
        <v/>
      </c>
      <c r="L2130">
        <f>HYPERLINK("CSG17.html#group48AV17", "48AV¹⁷"), =HYPERLINK("CSG17.html#group48AW17", "48AW¹⁷"), =HYPERLINK("CSG17.html#group48AY17", "48AY¹⁷"), =HYPERLINK("CSG19.html#group48AM19", "48AM¹⁹"), =HYPERLINK("CSG19.html#group48BB19", "48BB¹⁹"), =HYPERLINK("CSG19.html#group48BE19", "48BE¹⁹"), =HYPERLINK("CSG19.html#group48BC19", "48BC¹⁹"), =HYPERLINK("CSG21.html#group48W21", "48W²¹"), =HYPERLINK("CSG21.html#group48AO21", "48AO²¹"), =HYPERLINK("CSG21.html#group48BD21", "48BD²¹"), =HYPERLINK("CSG21.html#group48BB21", "48BB²¹")</f>
        <v/>
      </c>
      <c r="M2130">
        <f>HYPERLINK("CSG0.html#group12C0", "12C⁰"), =HYPERLINK("CSG1.html#group12C1", "12C¹"), =HYPERLINK("CSG0.html#group24A0", "24A⁰"), =HYPERLINK("CSG1.html#group12L1", "12L¹"), =HYPERLINK("CSG0.html#group4C0", "4C⁰"), =HYPERLINK("CSG3.html#group24I3", "24I³"), =HYPERLINK("CSG0.html#group8B0", "8B⁰"), =HYPERLINK("CSG0.html#group6G0", "6G⁰"), =HYPERLINK("CSG0.html#group3C0", "3C⁰"), =HYPERLINK("CSG0.html#group2B0", "2B⁰"), =HYPERLINK("CSG2.html#group24C2", "24C²"), =HYPERLINK("CSG0.html#group3A0", "3A⁰"), =HYPERLINK("CSG0.html#group1A0", "1A⁰"), =HYPERLINK("CSG3.html#group48H3", "48H³"), =HYPERLINK("CSG0.html#group6D0", "6D⁰")</f>
        <v/>
      </c>
      <c r="N2130">
        <f>HYPERLINK("CSG21.html#group48AO21", "48AO²¹"), =HYPERLINK("CSG21.html#group48W21", "48W²¹"), =HYPERLINK("CSG21.html#group48BD21", "48BD²¹"), =HYPERLINK("CSG17.html#group48AW17", "48AW¹⁷"), =HYPERLINK("CSG19.html#group48BE19", "48BE¹⁹"), =HYPERLINK("CSG19.html#group48BC19", "48BC¹⁹"), =HYPERLINK("CSG21.html#group48BB21", "48BB²¹"), =HYPERLINK("CSG19.html#group48AM19", "48AM¹⁹"), =HYPERLINK("CSG19.html#group48BB19", "48BB¹⁹"), =HYPERLINK("CSG17.html#group48AY17", "48AY¹⁷"), =HYPERLINK("CSG17.html#group48AV17", "48AV¹⁷")</f>
        <v/>
      </c>
    </row>
    <row r="2131">
      <c r="A2131" t="inlineStr">
        <is>
          <t>48X⁹</t>
        </is>
      </c>
      <c r="B2131" t="inlineStr"/>
      <c r="C2131" t="inlineStr">
        <is>
          <t>144</t>
        </is>
      </c>
      <c r="D2131" t="inlineStr">
        <is>
          <t>1</t>
        </is>
      </c>
      <c r="E2131" t="inlineStr">
        <is>
          <t>36</t>
        </is>
      </c>
      <c r="F2131" t="inlineStr">
        <is>
          <t>8</t>
        </is>
      </c>
      <c r="G2131" t="inlineStr">
        <is>
          <t>0</t>
        </is>
      </c>
      <c r="H2131" t="inlineStr">
        <is>
          <t>24², 48²</t>
        </is>
      </c>
      <c r="I2131" t="n">
        <v>4</v>
      </c>
      <c r="J2131" t="inlineStr">
        <is>
          <t>1⁴, 2⁶, 4³, 8¹</t>
        </is>
      </c>
      <c r="K2131">
        <f>HYPERLINK("CSG2.html#group24M2", "24M²"), =HYPERLINK("CSG3.html#group48H3", "48H³"), =HYPERLINK("CSG4.html#group48C4", "48C⁴")</f>
        <v/>
      </c>
      <c r="L2131">
        <f>HYPERLINK("CSG17.html#group48AZ17", "48AZ¹⁷"), =HYPERLINK("CSG17.html#group48CD17", "48CD¹⁷"), =HYPERLINK("CSG19.html#group48AJ19", "48AJ¹⁹"), =HYPERLINK("CSG19.html#group48BF19", "48BF¹⁹"), =HYPERLINK("CSG19.html#group48BJ19", "48BJ¹⁹"), =HYPERLINK("CSG19.html#group48BK19", "48BK¹⁹"), =HYPERLINK("CSG21.html#group48AL21", "48AL²¹"), =HYPERLINK("CSG21.html#group48BD21", "48BD²¹"), =HYPERLINK("CSG21.html#group48BF21", "48BF²¹")</f>
        <v/>
      </c>
      <c r="M2131">
        <f>HYPERLINK("CSG0.html#group12C0", "12C⁰"), =HYPERLINK("CSG0.html#group24A0", "24A⁰"), =HYPERLINK("CSG2.html#group24M2", "24M²"), =HYPERLINK("CSG0.html#group4C0", "4C⁰"), =HYPERLINK("CSG0.html#group8B0", "8B⁰"), =HYPERLINK("CSG0.html#group8L0", "8L⁰"), =HYPERLINK("CSG0.html#group2B0", "2B⁰"), =HYPERLINK("CSG0.html#group3A0", "3A⁰"), =HYPERLINK("CSG0.html#group1A0", "1A⁰"), =HYPERLINK("CSG3.html#group48H3", "48H³"), =HYPERLINK("CSG0.html#group6D0", "6D⁰"), =HYPERLINK("CSG4.html#group48C4", "48C⁴")</f>
        <v/>
      </c>
      <c r="N2131">
        <f>HYPERLINK("CSG17.html#group48CD17", "48CD¹⁷"), =HYPERLINK("CSG21.html#group48BF21", "48BF²¹"), =HYPERLINK("CSG19.html#group48AJ19", "48AJ¹⁹"), =HYPERLINK("CSG19.html#group48BJ19", "48BJ¹⁹"), =HYPERLINK("CSG17.html#group48AZ17", "48AZ¹⁷"), =HYPERLINK("CSG19.html#group48BF19", "48BF¹⁹"), =HYPERLINK("CSG19.html#group48BK19", "48BK¹⁹"), =HYPERLINK("CSG21.html#group48BD21", "48BD²¹"), =HYPERLINK("CSG21.html#group48AL21", "48AL²¹")</f>
        <v/>
      </c>
    </row>
    <row r="2132">
      <c r="A2132" t="inlineStr">
        <is>
          <t>48Y⁹</t>
        </is>
      </c>
      <c r="B2132" t="inlineStr"/>
      <c r="C2132" t="inlineStr">
        <is>
          <t>144</t>
        </is>
      </c>
      <c r="D2132" t="inlineStr">
        <is>
          <t>1</t>
        </is>
      </c>
      <c r="E2132" t="inlineStr">
        <is>
          <t>36</t>
        </is>
      </c>
      <c r="F2132" t="inlineStr">
        <is>
          <t>8</t>
        </is>
      </c>
      <c r="G2132" t="inlineStr">
        <is>
          <t>0</t>
        </is>
      </c>
      <c r="H2132" t="inlineStr">
        <is>
          <t>24², 48²</t>
        </is>
      </c>
      <c r="I2132" t="n">
        <v>4</v>
      </c>
      <c r="J2132" t="inlineStr">
        <is>
          <t>1⁴, 2⁶, 4³, 8¹</t>
        </is>
      </c>
      <c r="K2132">
        <f>HYPERLINK("CSG2.html#group24Q2", "24Q²"), =HYPERLINK("CSG3.html#group48E3", "48E³"), =HYPERLINK("CSG4.html#group48C4", "48C⁴")</f>
        <v/>
      </c>
      <c r="L2132">
        <f>HYPERLINK("CSG17.html#group48AZ17", "48AZ¹⁷"), =HYPERLINK("CSG17.html#group48CC17", "48CC¹⁷"), =HYPERLINK("CSG19.html#group48AK19", "48AK¹⁹"), =HYPERLINK("CSG19.html#group48BF19", "48BF¹⁹"), =HYPERLINK("CSG19.html#group48BH19", "48BH¹⁹"), =HYPERLINK("CSG19.html#group48BI19", "48BI¹⁹"), =HYPERLINK("CSG21.html#group48AM21", "48AM²¹"), =HYPERLINK("CSG21.html#group48BC21", "48BC²¹"), =HYPERLINK("CSG21.html#group48BF21", "48BF²¹"), =HYPERLINK("CSG21.html#group96AI21", "96AI²¹"), =HYPERLINK("CSG21.html#group96AL21", "96AL²¹"), =HYPERLINK("CSG21.html#group96AK21", "96AK²¹"), =HYPERLINK("CSG21.html#group96AJ21", "96AJ²¹"), =HYPERLINK("CSG21.html#group96AX21", "96AX²¹"), =HYPERLINK("CSG21.html#group96AY21", "96AY²¹")</f>
        <v/>
      </c>
      <c r="M2132">
        <f>HYPERLINK("CSG1.html#group16D1", "16D¹"), =HYPERLINK("CSG0.html#group12C0", "12C⁰"), =HYPERLINK("CSG3.html#group48E3", "48E³"), =HYPERLINK("CSG0.html#group24A0", "24A⁰"), =HYPERLINK("CSG0.html#group4C0", "4C⁰"), =HYPERLINK("CSG0.html#group8B0", "8B⁰"), =HYPERLINK("CSG2.html#group24Q2", "24Q²"), =HYPERLINK("CSG0.html#group2B0", "2B⁰"), =HYPERLINK("CSG0.html#group3A0", "3A⁰"), =HYPERLINK("CSG0.html#group1A0", "1A⁰"), =HYPERLINK("CSG0.html#group6D0", "6D⁰"), =HYPERLINK("CSG4.html#group48C4", "48C⁴")</f>
        <v/>
      </c>
      <c r="N2132">
        <f>HYPERLINK("CSG21.html#group96AL21", "96AL²¹"), =HYPERLINK("CSG21.html#group96AX21", "96AX²¹"), =HYPERLINK("CSG19.html#group48AK19", "48AK¹⁹"), =HYPERLINK("CSG21.html#group96AY21", "96AY²¹"), =HYPERLINK("CSG21.html#group48BF21", "48BF²¹"), =HYPERLINK("CSG21.html#group96AI21", "96AI²¹"), =HYPERLINK("CSG21.html#group96AK21", "96AK²¹"), =HYPERLINK("CSG21.html#group48AM21", "48AM²¹"), =HYPERLINK("CSG19.html#group48BH19", "48BH¹⁹"), =HYPERLINK("CSG17.html#group48AZ17", "48AZ¹⁷"), =HYPERLINK("CSG21.html#group96AJ21", "96AJ²¹"), =HYPERLINK("CSG19.html#group48BF19", "48BF¹⁹"), =HYPERLINK("CSG19.html#group48BI19", "48BI¹⁹"), =HYPERLINK("CSG21.html#group48BC21", "48BC²¹"), =HYPERLINK("CSG17.html#group48CC17", "48CC¹⁷")</f>
        <v/>
      </c>
    </row>
    <row r="2133">
      <c r="A2133" t="inlineStr">
        <is>
          <t>48Z⁹</t>
        </is>
      </c>
      <c r="B2133" t="inlineStr"/>
      <c r="C2133" t="inlineStr">
        <is>
          <t>144</t>
        </is>
      </c>
      <c r="D2133" t="inlineStr">
        <is>
          <t>1</t>
        </is>
      </c>
      <c r="E2133" t="inlineStr">
        <is>
          <t>36</t>
        </is>
      </c>
      <c r="F2133" t="inlineStr">
        <is>
          <t>8</t>
        </is>
      </c>
      <c r="G2133" t="inlineStr">
        <is>
          <t>0</t>
        </is>
      </c>
      <c r="H2133" t="inlineStr">
        <is>
          <t>24², 48²</t>
        </is>
      </c>
      <c r="I2133" t="n">
        <v>4</v>
      </c>
      <c r="J2133" t="inlineStr">
        <is>
          <t>1⁴, 2⁶, 4³, 8¹</t>
        </is>
      </c>
      <c r="K2133">
        <f>HYPERLINK("CSG3.html#group24I3", "24I³"), =HYPERLINK("CSG3.html#group48E3", "48E³"), =HYPERLINK("CSG3.html#group48H3", "48H³")</f>
        <v/>
      </c>
      <c r="L2133">
        <f>HYPERLINK("CSG17.html#group48AV17", "48AV¹⁷"), =HYPERLINK("CSG17.html#group48AX17", "48AX¹⁷"), =HYPERLINK("CSG17.html#group48AZ17", "48AZ¹⁷"), =HYPERLINK("CSG19.html#group48AL19", "48AL¹⁹"), =HYPERLINK("CSG19.html#group48BB19", "48BB¹⁹"), =HYPERLINK("CSG19.html#group48BD19", "48BD¹⁹"), =HYPERLINK("CSG19.html#group48BG19", "48BG¹⁹"), =HYPERLINK("CSG21.html#group48W21", "48W²¹"), =HYPERLINK("CSG21.html#group48AP21", "48AP²¹"), =HYPERLINK("CSG21.html#group48BC21", "48BC²¹"), =HYPERLINK("CSG21.html#group48BG21", "48BG²¹"), =HYPERLINK("CSG21.html#group96AE21", "96AE²¹"), =HYPERLINK("CSG21.html#group96AF21", "96AF²¹"), =HYPERLINK("CSG21.html#group96AH21", "96AH²¹"), =HYPERLINK("CSG21.html#group96AG21", "96AG²¹"), =HYPERLINK("CSG21.html#group96AM21", "96AM²¹"), =HYPERLINK("CSG21.html#group96AP21", "96AP²¹"), =HYPERLINK("CSG21.html#group96AO21", "96AO²¹"), =HYPERLINK("CSG21.html#group96AN21", "96AN²¹")</f>
        <v/>
      </c>
      <c r="M2133">
        <f>HYPERLINK("CSG0.html#group12C0", "12C⁰"), =HYPERLINK("CSG0.html#group4C0", "4C⁰"), =HYPERLINK("CSG3.html#group24I3", "24I³"), =HYPERLINK("CSG0.html#group8B0", "8B⁰"), =HYPERLINK("CSG0.html#group6G0", "6G⁰"), =HYPERLINK("CSG0.html#group2B0", "2B⁰"), =HYPERLINK("CSG2.html#group24C2", "24C²"), =HYPERLINK("CSG0.html#group1A0", "1A⁰"), =HYPERLINK("CSG3.html#group48H3", "48H³"), =HYPERLINK("CSG1.html#group12L1", "12L¹"), =HYPERLINK("CSG1.html#group16D1", "16D¹"), =HYPERLINK("CSG1.html#group12C1", "12C¹"), =HYPERLINK("CSG3.html#group48E3", "48E³"), =HYPERLINK("CSG0.html#group24A0", "24A⁰"), =HYPERLINK("CSG0.html#group3C0", "3C⁰"), =HYPERLINK("CSG0.html#group3A0", "3A⁰"), =HYPERLINK("CSG0.html#group6D0", "6D⁰")</f>
        <v/>
      </c>
      <c r="N2133">
        <f>HYPERLINK("CSG21.html#group96AH21", "96AH²¹"), =HYPERLINK("CSG19.html#group48AL19", "48AL¹⁹"), =HYPERLINK("CSG19.html#group48BG19", "48BG¹⁹"), =HYPERLINK("CSG21.html#group96AG21", "96AG²¹"), =HYPERLINK("CSG21.html#group96AF21", "96AF²¹"), =HYPERLINK("CSG21.html#group96AN21", "96AN²¹"), =HYPERLINK("CSG19.html#group48BB19", "48BB¹⁹"), =HYPERLINK("CSG21.html#group48BC21", "48BC²¹"), =HYPERLINK("CSG21.html#group96AO21", "96AO²¹"), =HYPERLINK("CSG21.html#group96AM21", "96AM²¹"), =HYPERLINK("CSG17.html#group48AX17", "48AX¹⁷"), =HYPERLINK("CSG21.html#group96AE21", "96AE²¹"), =HYPERLINK("CSG21.html#group48W21", "48W²¹"), =HYPERLINK("CSG21.html#group48BG21", "48BG²¹"), =HYPERLINK("CSG19.html#group48BD19", "48BD¹⁹"), =HYPERLINK("CSG21.html#group96AP21", "96AP²¹"), =HYPERLINK("CSG17.html#group48AZ17", "48AZ¹⁷"), =HYPERLINK("CSG21.html#group48AP21", "48AP²¹"), =HYPERLINK("CSG17.html#group48AV17", "48AV¹⁷")</f>
        <v/>
      </c>
    </row>
    <row r="2134">
      <c r="A2134" t="inlineStr">
        <is>
          <t>48AA⁹</t>
        </is>
      </c>
      <c r="B2134" t="inlineStr"/>
      <c r="C2134" t="inlineStr">
        <is>
          <t>144</t>
        </is>
      </c>
      <c r="D2134" t="inlineStr">
        <is>
          <t>2</t>
        </is>
      </c>
      <c r="E2134" t="inlineStr">
        <is>
          <t>18</t>
        </is>
      </c>
      <c r="F2134" t="inlineStr">
        <is>
          <t>0</t>
        </is>
      </c>
      <c r="G2134" t="inlineStr">
        <is>
          <t>0</t>
        </is>
      </c>
      <c r="H2134" t="inlineStr">
        <is>
          <t>6⁴, 12², 48²</t>
        </is>
      </c>
      <c r="I2134" t="n">
        <v>8</v>
      </c>
      <c r="J2134" t="inlineStr">
        <is>
          <t>2¹², 4³</t>
        </is>
      </c>
      <c r="K2134">
        <f>HYPERLINK("CSG4.html#group24J4", "24J⁴"), =HYPERLINK("CSG4.html#group48F4", "48F⁴"), =HYPERLINK("CSG5.html#group48B5", "48B⁵")</f>
        <v/>
      </c>
      <c r="L2134">
        <f>HYPERLINK("CSG17.html#group48E17", "48E¹⁷"), =HYPERLINK("CSG17.html#group48G17", "48G¹⁷"), =HYPERLINK("CSG17.html#group48F17", "48F¹⁷"), =HYPERLINK("CSG17.html#group48BT17", "48BT¹⁷"), =HYPERLINK("CSG17.html#group48BS17", "48BS¹⁷")</f>
        <v/>
      </c>
      <c r="M2134">
        <f>HYPERLINK("CSG0.html#group6B0", "6B⁰"), =HYPERLINK("CSG2.html#group12D2", "12D²"), =HYPERLINK("CSG4.html#group24J4", "24J⁴"), =HYPERLINK("CSG4.html#group48F4", "48F⁴"), =HYPERLINK("CSG0.html#group8C0", "8C⁰"), =HYPERLINK("CSG0.html#group2B0", "2B⁰"), =HYPERLINK("CSG0.html#group4B0", "4B⁰"), =HYPERLINK("CSG0.html#group1A0", "1A⁰"), =HYPERLINK("CSG2.html#group24B2", "24B²"), =HYPERLINK("CSG1.html#group12C1", "12C¹"), =HYPERLINK("CSG2.html#group24D2", "24D²"), =HYPERLINK("CSG1.html#group12B1", "12B¹"), =HYPERLINK("CSG0.html#group6H0", "6H⁰"), =HYPERLINK("CSG0.html#group3A0", "3A⁰"), =HYPERLINK("CSG0.html#group6D0", "6D⁰"), =HYPERLINK("CSG5.html#group48B5", "48B⁵")</f>
        <v/>
      </c>
      <c r="N2134">
        <f>HYPERLINK("CSG17.html#group48G17", "48G¹⁷"), =HYPERLINK("CSG17.html#group48BS17", "48BS¹⁷"), =HYPERLINK("CSG17.html#group48BT17", "48BT¹⁷"), =HYPERLINK("CSG17.html#group48F17", "48F¹⁷"), =HYPERLINK("CSG17.html#group48E17", "48E¹⁷")</f>
        <v/>
      </c>
    </row>
    <row r="2135">
      <c r="A2135" t="inlineStr">
        <is>
          <t>48AB⁹</t>
        </is>
      </c>
      <c r="B2135" t="inlineStr"/>
      <c r="C2135" t="inlineStr">
        <is>
          <t>144</t>
        </is>
      </c>
      <c r="D2135" t="inlineStr">
        <is>
          <t>2</t>
        </is>
      </c>
      <c r="E2135" t="inlineStr">
        <is>
          <t>18</t>
        </is>
      </c>
      <c r="F2135" t="inlineStr">
        <is>
          <t>8</t>
        </is>
      </c>
      <c r="G2135" t="inlineStr">
        <is>
          <t>0</t>
        </is>
      </c>
      <c r="H2135" t="inlineStr">
        <is>
          <t>24², 48²</t>
        </is>
      </c>
      <c r="I2135" t="n">
        <v>4</v>
      </c>
      <c r="J2135" t="inlineStr">
        <is>
          <t>2⁶, 4⁶</t>
        </is>
      </c>
      <c r="K2135">
        <f>HYPERLINK("CSG2.html#group24P2", "24P²"), =HYPERLINK("CSG3.html#group48F3", "48F³"), =HYPERLINK("CSG4.html#group48C4", "48C⁴")</f>
        <v/>
      </c>
      <c r="L2135">
        <f>HYPERLINK("CSG17.html#group48N17", "48N¹⁷"), =HYPERLINK("CSG17.html#group48BR17", "48BR¹⁷"), =HYPERLINK("CSG17.html#group48BQ17", "48BQ¹⁷"), =HYPERLINK("CSG19.html#group48BH19", "48BH¹⁹"), =HYPERLINK("CSG19.html#group48BI19", "48BI¹⁹"), =HYPERLINK("CSG19.html#group48BJ19", "48BJ¹⁹"), =HYPERLINK("CSG19.html#group48BK19", "48BK¹⁹"), =HYPERLINK("CSG21.html#group48AA21", "48AA²¹"), =HYPERLINK("CSG21.html#group48AC21", "48AC²¹"), =HYPERLINK("CSG21.html#group48AD21", "48AD²¹"), =HYPERLINK("CSG21.html#group48BQ21", "48BQ²¹")</f>
        <v/>
      </c>
      <c r="M2135">
        <f>HYPERLINK("CSG1.html#group24E1", "24E¹"), =HYPERLINK("CSG0.html#group12C0", "12C⁰"), =HYPERLINK("CSG0.html#group24A0", "24A⁰"), =HYPERLINK("CSG0.html#group4C0", "4C⁰"), =HYPERLINK("CSG0.html#group8B0", "8B⁰"), =HYPERLINK("CSG2.html#group24P2", "24P²"), =HYPERLINK("CSG1.html#group12M1", "12M¹"), =HYPERLINK("CSG0.html#group2B0", "2B⁰"), =HYPERLINK("CSG3.html#group48F3", "48F³"), =HYPERLINK("CSG0.html#group3A0", "3A⁰"), =HYPERLINK("CSG0.html#group1A0", "1A⁰"), =HYPERLINK("CSG0.html#group6D0", "6D⁰"), =HYPERLINK("CSG4.html#group48C4", "48C⁴")</f>
        <v/>
      </c>
      <c r="N2135">
        <f>HYPERLINK("CSG21.html#group48AA21", "48AA²¹"), =HYPERLINK("CSG17.html#group48BQ17", "48BQ¹⁷"), =HYPERLINK("CSG21.html#group48AC21", "48AC²¹"), =HYPERLINK("CSG21.html#group48AD21", "48AD²¹"), =HYPERLINK("CSG17.html#group48BR17", "48BR¹⁷"), =HYPERLINK("CSG17.html#group48N17", "48N¹⁷"), =HYPERLINK("CSG19.html#group48BJ19", "48BJ¹⁹"), =HYPERLINK("CSG19.html#group48BH19", "48BH¹⁹"), =HYPERLINK("CSG21.html#group48BQ21", "48BQ²¹"), =HYPERLINK("CSG19.html#group48BI19", "48BI¹⁹"), =HYPERLINK("CSG19.html#group48BK19", "48BK¹⁹")</f>
        <v/>
      </c>
    </row>
    <row r="2136">
      <c r="A2136" t="inlineStr">
        <is>
          <t>48AC⁹</t>
        </is>
      </c>
      <c r="B2136" t="inlineStr"/>
      <c r="C2136" t="inlineStr">
        <is>
          <t>144</t>
        </is>
      </c>
      <c r="D2136" t="inlineStr">
        <is>
          <t>2</t>
        </is>
      </c>
      <c r="E2136" t="inlineStr">
        <is>
          <t>36</t>
        </is>
      </c>
      <c r="F2136" t="inlineStr">
        <is>
          <t>0</t>
        </is>
      </c>
      <c r="G2136" t="inlineStr">
        <is>
          <t>0</t>
        </is>
      </c>
      <c r="H2136" t="inlineStr">
        <is>
          <t>6⁴, 12², 48²</t>
        </is>
      </c>
      <c r="I2136" t="n">
        <v>8</v>
      </c>
      <c r="J2136" t="inlineStr">
        <is>
          <t>2¹², 4⁶, 8³</t>
        </is>
      </c>
      <c r="K2136">
        <f>HYPERLINK("CSG4.html#group24M4", "24M⁴"), =HYPERLINK("CSG4.html#group48G4", "48G⁴"), =HYPERLINK("CSG5.html#group48B5", "48B⁵")</f>
        <v/>
      </c>
      <c r="L2136">
        <f>HYPERLINK("CSG17.html#group48W17", "48W¹⁷"), =HYPERLINK("CSG17.html#group48AA17", "48AA¹⁷"), =HYPERLINK("CSG17.html#group48Z17", "48Z¹⁷"), =HYPERLINK("CSG17.html#group48Y17", "48Y¹⁷"), =HYPERLINK("CSG17.html#group48BP17", "48BP¹⁷"), =HYPERLINK("CSG17.html#group48BT17", "48BT¹⁷"), =HYPERLINK("CSG17.html#group48BS17", "48BS¹⁷")</f>
        <v/>
      </c>
      <c r="M2136">
        <f>HYPERLINK("CSG2.html#group24B2", "24B²"), =HYPERLINK("CSG0.html#group3A0", "3A⁰"), =HYPERLINK("CSG4.html#group24M4", "24M⁴"), =HYPERLINK("CSG0.html#group8C0", "8C⁰"), =HYPERLINK("CSG1.html#group12B1", "12B¹"), =HYPERLINK("CSG0.html#group2B0", "2B⁰"), =HYPERLINK("CSG0.html#group4B0", "4B⁰"), =HYPERLINK("CSG0.html#group1A0", "1A⁰"), =HYPERLINK("CSG4.html#group48G4", "48G⁴"), =HYPERLINK("CSG0.html#group6D0", "6D⁰"), =HYPERLINK("CSG5.html#group48B5", "48B⁵")</f>
        <v/>
      </c>
      <c r="N2136">
        <f>HYPERLINK("CSG17.html#group48BT17", "48BT¹⁷"), =HYPERLINK("CSG17.html#group48AA17", "48AA¹⁷"), =HYPERLINK("CSG17.html#group48W17", "48W¹⁷"), =HYPERLINK("CSG17.html#group48Y17", "48Y¹⁷"), =HYPERLINK("CSG17.html#group48BS17", "48BS¹⁷"), =HYPERLINK("CSG17.html#group48BP17", "48BP¹⁷"), =HYPERLINK("CSG17.html#group48Z17", "48Z¹⁷")</f>
        <v/>
      </c>
    </row>
    <row r="2137">
      <c r="A2137" t="inlineStr">
        <is>
          <t>48AD⁹</t>
        </is>
      </c>
      <c r="B2137" t="inlineStr"/>
      <c r="C2137" t="inlineStr">
        <is>
          <t>144</t>
        </is>
      </c>
      <c r="D2137" t="inlineStr">
        <is>
          <t>2</t>
        </is>
      </c>
      <c r="E2137" t="inlineStr">
        <is>
          <t>36</t>
        </is>
      </c>
      <c r="F2137" t="inlineStr">
        <is>
          <t>4</t>
        </is>
      </c>
      <c r="G2137" t="inlineStr">
        <is>
          <t>0</t>
        </is>
      </c>
      <c r="H2137" t="inlineStr">
        <is>
          <t>12⁴, 48²</t>
        </is>
      </c>
      <c r="I2137" t="n">
        <v>6</v>
      </c>
      <c r="J2137" t="inlineStr">
        <is>
          <t>2⁶, 4³, 8⁶</t>
        </is>
      </c>
      <c r="K2137">
        <f>HYPERLINK("CSG3.html#group48G3", "48G³"), =HYPERLINK("CSG4.html#group24L4", "24L⁴"), =HYPERLINK("CSG4.html#group48H4", "48H⁴")</f>
        <v/>
      </c>
      <c r="L2137">
        <f>HYPERLINK("CSG17.html#group48AK17", "48AK¹⁷"), =HYPERLINK("CSG17.html#group48BV17", "48BV¹⁷"), =HYPERLINK("CSG17.html#group48BU17", "48BU¹⁷"), =HYPERLINK("CSG19.html#group48U19", "48U¹⁹"), =HYPERLINK("CSG19.html#group48X19", "48X¹⁹"), =HYPERLINK("CSG19.html#group48W19", "48W¹⁹"), =HYPERLINK("CSG19.html#group48AW19", "48AW¹⁹")</f>
        <v/>
      </c>
      <c r="M2137">
        <f>HYPERLINK("CSG0.html#group12C0", "12C⁰"), =HYPERLINK("CSG3.html#group48G3", "48G³"), =HYPERLINK("CSG4.html#group48H4", "48H⁴"), =HYPERLINK("CSG0.html#group8D0", "8D⁰"), =HYPERLINK("CSG0.html#group4C0", "4C⁰"), =HYPERLINK("CSG1.html#group24C1", "24C¹"), =HYPERLINK("CSG0.html#group2B0", "2B⁰"), =HYPERLINK("CSG1.html#group12M1", "12M¹"), =HYPERLINK("CSG2.html#group24C2", "24C²"), =HYPERLINK("CSG0.html#group3A0", "3A⁰"), =HYPERLINK("CSG0.html#group1A0", "1A⁰"), =HYPERLINK("CSG4.html#group24L4", "24L⁴"), =HYPERLINK("CSG0.html#group6D0", "6D⁰")</f>
        <v/>
      </c>
      <c r="N2137">
        <f>HYPERLINK("CSG19.html#group48U19", "48U¹⁹"), =HYPERLINK("CSG19.html#group48AW19", "48AW¹⁹"), =HYPERLINK("CSG17.html#group48BV17", "48BV¹⁷"), =HYPERLINK("CSG17.html#group48BU17", "48BU¹⁷"), =HYPERLINK("CSG17.html#group48AK17", "48AK¹⁷"), =HYPERLINK("CSG19.html#group48X19", "48X¹⁹"), =HYPERLINK("CSG19.html#group48W19", "48W¹⁹")</f>
        <v/>
      </c>
    </row>
    <row r="2138">
      <c r="A2138" t="inlineStr">
        <is>
          <t>48AE⁹</t>
        </is>
      </c>
      <c r="B2138" t="inlineStr"/>
      <c r="C2138" t="inlineStr">
        <is>
          <t>144</t>
        </is>
      </c>
      <c r="D2138" t="inlineStr">
        <is>
          <t>2</t>
        </is>
      </c>
      <c r="E2138" t="inlineStr">
        <is>
          <t>36</t>
        </is>
      </c>
      <c r="F2138" t="inlineStr">
        <is>
          <t>8</t>
        </is>
      </c>
      <c r="G2138" t="inlineStr">
        <is>
          <t>0</t>
        </is>
      </c>
      <c r="H2138" t="inlineStr">
        <is>
          <t>24², 48²</t>
        </is>
      </c>
      <c r="I2138" t="n">
        <v>4</v>
      </c>
      <c r="J2138" t="inlineStr">
        <is>
          <t>2¹², 4⁶, 8³</t>
        </is>
      </c>
      <c r="K2138">
        <f>HYPERLINK("CSG2.html#group24Q2", "24Q²"), =HYPERLINK("CSG3.html#group48H3", "48H³"), =HYPERLINK("CSG4.html#group48C4", "48C⁴")</f>
        <v/>
      </c>
      <c r="L2138">
        <f>HYPERLINK("CSG17.html#group48AW17", "48AW¹⁷"), =HYPERLINK("CSG17.html#group48CD17", "48CD¹⁷"), =HYPERLINK("CSG17.html#group48CC17", "48CC¹⁷"), =HYPERLINK("CSG19.html#group48AN19", "48AN¹⁹"), =HYPERLINK("CSG19.html#group48AO19", "48AO¹⁹"), =HYPERLINK("CSG19.html#group48BA19", "48BA¹⁹"), =HYPERLINK("CSG19.html#group48BH19", "48BH¹⁹"), =HYPERLINK("CSG19.html#group48BI19", "48BI¹⁹"), =HYPERLINK("CSG19.html#group48BJ19", "48BJ¹⁹"), =HYPERLINK("CSG19.html#group48BK19", "48BK¹⁹"), =HYPERLINK("CSG21.html#group48AW21", "48AW²¹"), =HYPERLINK("CSG21.html#group48BD21", "48BD²¹"), =HYPERLINK("CSG21.html#group48BC21", "48BC²¹"), =HYPERLINK("CSG21.html#group48BR21", "48BR²¹")</f>
        <v/>
      </c>
      <c r="M2138">
        <f>HYPERLINK("CSG0.html#group12C0", "12C⁰"), =HYPERLINK("CSG0.html#group24A0", "24A⁰"), =HYPERLINK("CSG0.html#group4C0", "4C⁰"), =HYPERLINK("CSG0.html#group8B0", "8B⁰"), =HYPERLINK("CSG2.html#group24Q2", "24Q²"), =HYPERLINK("CSG0.html#group2B0", "2B⁰"), =HYPERLINK("CSG0.html#group3A0", "3A⁰"), =HYPERLINK("CSG0.html#group1A0", "1A⁰"), =HYPERLINK("CSG3.html#group48H3", "48H³"), =HYPERLINK("CSG0.html#group6D0", "6D⁰"), =HYPERLINK("CSG4.html#group48C4", "48C⁴")</f>
        <v/>
      </c>
      <c r="N2138">
        <f>HYPERLINK("CSG21.html#group48AW21", "48AW²¹"), =HYPERLINK("CSG17.html#group48AW17", "48AW¹⁷"), =HYPERLINK("CSG21.html#group48BR21", "48BR²¹"), =HYPERLINK("CSG19.html#group48BA19", "48BA¹⁹"), =HYPERLINK("CSG17.html#group48CD17", "48CD¹⁷"), =HYPERLINK("CSG19.html#group48BJ19", "48BJ¹⁹"), =HYPERLINK("CSG19.html#group48AO19", "48AO¹⁹"), =HYPERLINK("CSG19.html#group48BH19", "48BH¹⁹"), =HYPERLINK("CSG19.html#group48BI19", "48BI¹⁹"), =HYPERLINK("CSG21.html#group48BC21", "48BC²¹"), =HYPERLINK("CSG21.html#group48BD21", "48BD²¹"), =HYPERLINK("CSG17.html#group48CC17", "48CC¹⁷"), =HYPERLINK("CSG19.html#group48AN19", "48AN¹⁹"), =HYPERLINK("CSG19.html#group48BK19", "48BK¹⁹")</f>
        <v/>
      </c>
    </row>
    <row r="2139">
      <c r="A2139" t="inlineStr">
        <is>
          <t>48AF⁹</t>
        </is>
      </c>
      <c r="B2139" t="inlineStr"/>
      <c r="C2139" t="inlineStr">
        <is>
          <t>144</t>
        </is>
      </c>
      <c r="D2139" t="inlineStr">
        <is>
          <t>2</t>
        </is>
      </c>
      <c r="E2139" t="inlineStr">
        <is>
          <t>72</t>
        </is>
      </c>
      <c r="F2139" t="inlineStr">
        <is>
          <t>8</t>
        </is>
      </c>
      <c r="G2139" t="inlineStr">
        <is>
          <t>0</t>
        </is>
      </c>
      <c r="H2139" t="inlineStr">
        <is>
          <t>24², 48²</t>
        </is>
      </c>
      <c r="I2139" t="n">
        <v>4</v>
      </c>
      <c r="J2139" t="inlineStr">
        <is>
          <t>4²⁴, 8⁶</t>
        </is>
      </c>
      <c r="K2139">
        <f>HYPERLINK("CSG3.html#group24S3", "24S³")</f>
        <v/>
      </c>
      <c r="L2139">
        <f>HYPERLINK("CSG17.html#group48AR17", "48AR¹⁷"), =HYPERLINK("CSG19.html#group48BM19", "48BM¹⁹"), =HYPERLINK("CSG19.html#group48BN19", "48BN¹⁹"), =HYPERLINK("CSG21.html#group48AU21", "48AU²¹"), =HYPERLINK("CSG21.html#group48AV21", "48AV²¹")</f>
        <v/>
      </c>
      <c r="M2139">
        <f>HYPERLINK("CSG0.html#group6B0", "6B⁰"), =HYPERLINK("CSG0.html#group12C0", "12C⁰"), =HYPERLINK("CSG3.html#group24S3", "24S³"), =HYPERLINK("CSG0.html#group4C0", "4C⁰"), =HYPERLINK("CSG1.html#group24D1", "24D¹"), =HYPERLINK("CSG0.html#group2B0", "2B⁰"), =HYPERLINK("CSG0.html#group12D0", "12D⁰"), =HYPERLINK("CSG2.html#group24C2", "24C²"), =HYPERLINK("CSG0.html#group6H0", "6H⁰"), =HYPERLINK("CSG0.html#group3A0", "3A⁰"), =HYPERLINK("CSG0.html#group12H0", "12H⁰"), =HYPERLINK("CSG0.html#group1A0", "1A⁰"), =HYPERLINK("CSG0.html#group6D0", "6D⁰")</f>
        <v/>
      </c>
      <c r="N2139">
        <f>HYPERLINK("CSG19.html#group48BM19", "48BM¹⁹"), =HYPERLINK("CSG21.html#group48AU21", "48AU²¹"), =HYPERLINK("CSG21.html#group48AV21", "48AV²¹"), =HYPERLINK("CSG19.html#group48BN19", "48BN¹⁹"), =HYPERLINK("CSG17.html#group48AR17", "48AR¹⁷")</f>
        <v/>
      </c>
    </row>
    <row r="2140">
      <c r="A2140" t="inlineStr">
        <is>
          <t>48AG⁹</t>
        </is>
      </c>
      <c r="B2140" t="inlineStr"/>
      <c r="C2140" t="inlineStr">
        <is>
          <t>192</t>
        </is>
      </c>
      <c r="D2140" t="inlineStr">
        <is>
          <t>1</t>
        </is>
      </c>
      <c r="E2140" t="inlineStr">
        <is>
          <t>24</t>
        </is>
      </c>
      <c r="F2140" t="inlineStr">
        <is>
          <t>0</t>
        </is>
      </c>
      <c r="G2140" t="inlineStr">
        <is>
          <t>0</t>
        </is>
      </c>
      <c r="H2140" t="inlineStr">
        <is>
          <t>2⁴, 4², 6⁴, 12², 16², 48²</t>
        </is>
      </c>
      <c r="I2140" t="n">
        <v>16</v>
      </c>
      <c r="J2140" t="inlineStr">
        <is>
          <t>1⁸, 2⁶, 4¹</t>
        </is>
      </c>
      <c r="K2140">
        <f>HYPERLINK("CSG1.html#group24J1", "24J¹"), =HYPERLINK("CSG5.html#group48C5", "48C⁵"), =HYPERLINK("CSG5.html#group48D5", "48D⁵")</f>
        <v/>
      </c>
      <c r="L2140">
        <f>HYPERLINK("CSG17.html#group48CN17", "48CN¹⁷"), =HYPERLINK("CSG17.html#group48CO17", "48CO¹⁷")</f>
        <v/>
      </c>
      <c r="M2140">
        <f>HYPERLINK("CSG5.html#group48C5", "48C⁵"), =HYPERLINK("CSG1.html#group24J1", "24J¹"), =HYPERLINK("CSG0.html#group3B0", "3B⁰"), =HYPERLINK("CSG0.html#group24B0", "24B⁰"), =HYPERLINK("CSG1.html#group24G1", "24G¹"), =HYPERLINK("CSG0.html#group6F0", "6F⁰"), =HYPERLINK("CSG0.html#group12J0", "12J⁰"), =HYPERLINK("CSG1.html#group16A1", "16A¹"), =HYPERLINK("CSG0.html#group8C0", "8C⁰"), =HYPERLINK("CSG0.html#group2B0", "2B⁰"), =HYPERLINK("CSG0.html#group4B0", "4B⁰"), =HYPERLINK("CSG5.html#group48D5", "48D⁵"), =HYPERLINK("CSG0.html#group1A0", "1A⁰"), =HYPERLINK("CSG0.html#group12E0", "12E⁰")</f>
        <v/>
      </c>
      <c r="N2140">
        <f>HYPERLINK("CSG17.html#group48CN17", "48CN¹⁷"), =HYPERLINK("CSG17.html#group48CO17", "48CO¹⁷")</f>
        <v/>
      </c>
    </row>
    <row r="2141">
      <c r="A2141" t="inlineStr">
        <is>
          <t>48AH⁹</t>
        </is>
      </c>
      <c r="B2141" t="inlineStr"/>
      <c r="C2141" t="inlineStr">
        <is>
          <t>192</t>
        </is>
      </c>
      <c r="D2141" t="inlineStr">
        <is>
          <t>1</t>
        </is>
      </c>
      <c r="E2141" t="inlineStr">
        <is>
          <t>24</t>
        </is>
      </c>
      <c r="F2141" t="inlineStr">
        <is>
          <t>0</t>
        </is>
      </c>
      <c r="G2141" t="inlineStr">
        <is>
          <t>0</t>
        </is>
      </c>
      <c r="H2141" t="inlineStr">
        <is>
          <t>2⁴, 4², 6⁴, 12², 16², 48²</t>
        </is>
      </c>
      <c r="I2141" t="n">
        <v>16</v>
      </c>
      <c r="J2141" t="inlineStr">
        <is>
          <t>1⁸, 2⁶, 4¹</t>
        </is>
      </c>
      <c r="K2141">
        <f>HYPERLINK("CSG3.html#group24V3", "24V³"), =HYPERLINK("CSG3.html#group48I3", "48I³"), =HYPERLINK("CSG5.html#group48C5", "48C⁵")</f>
        <v/>
      </c>
      <c r="L2141">
        <f>HYPERLINK("CSG17.html#group48CL17", "48CL¹⁷"), =HYPERLINK("CSG17.html#group48CK17", "48CK¹⁷"), =HYPERLINK("CSG17.html#group48CN17", "48CN¹⁷"), =HYPERLINK("CSG21.html#group48CD21", "48CD²¹"), =HYPERLINK("CSG21.html#group48CI21", "48CI²¹"), =HYPERLINK("CSG21.html#group48CG21", "48CG²¹"), =HYPERLINK("CSG21.html#group48CJ21", "48CJ²¹")</f>
        <v/>
      </c>
      <c r="M2141">
        <f>HYPERLINK("CSG5.html#group48C5", "48C⁵"), =HYPERLINK("CSG0.html#group3B0", "3B⁰"), =HYPERLINK("CSG0.html#group2A0", "2A⁰"), =HYPERLINK("CSG3.html#group24V3", "24V³"), =HYPERLINK("CSG0.html#group8D0", "8D⁰"), =HYPERLINK("CSG1.html#group12F1", "12F¹"), =HYPERLINK("CSG0.html#group6I0", "6I⁰"), =HYPERLINK("CSG1.html#group24G1", "24G¹"), =HYPERLINK("CSG0.html#group4C0", "4C⁰"), =HYPERLINK("CSG0.html#group6C0", "6C⁰"), =HYPERLINK("CSG0.html#group8C0", "8C⁰"), =HYPERLINK("CSG0.html#group2B0", "2B⁰"), =HYPERLINK("CSG0.html#group4E0", "4E⁰"), =HYPERLINK("CSG1.html#group12P1", "12P¹"), =HYPERLINK("CSG0.html#group4B0", "4B⁰"), =HYPERLINK("CSG0.html#group1A0", "1A⁰"), =HYPERLINK("CSG2.html#group24I2", "24I²"), =HYPERLINK("CSG0.html#group8G0", "8G⁰"), =HYPERLINK("CSG3.html#group48I3", "48I³"), =HYPERLINK("CSG0.html#group6F0", "6F⁰"), =HYPERLINK("CSG0.html#group2C0", "2C⁰"), =HYPERLINK("CSG0.html#group12E0", "12E⁰")</f>
        <v/>
      </c>
      <c r="N2141">
        <f>HYPERLINK("CSG21.html#group48CD21", "48CD²¹"), =HYPERLINK("CSG21.html#group48CI21", "48CI²¹"), =HYPERLINK("CSG17.html#group48CL17", "48CL¹⁷"), =HYPERLINK("CSG17.html#group48CN17", "48CN¹⁷"), =HYPERLINK("CSG17.html#group48CK17", "48CK¹⁷"), =HYPERLINK("CSG21.html#group48CJ21", "48CJ²¹"), =HYPERLINK("CSG21.html#group48CG21", "48CG²¹")</f>
        <v/>
      </c>
    </row>
    <row r="2142">
      <c r="A2142" t="inlineStr">
        <is>
          <t>48AI⁹</t>
        </is>
      </c>
      <c r="B2142" t="inlineStr"/>
      <c r="C2142" t="inlineStr">
        <is>
          <t>192</t>
        </is>
      </c>
      <c r="D2142" t="inlineStr">
        <is>
          <t>1</t>
        </is>
      </c>
      <c r="E2142" t="inlineStr">
        <is>
          <t>24</t>
        </is>
      </c>
      <c r="F2142" t="inlineStr">
        <is>
          <t>0</t>
        </is>
      </c>
      <c r="G2142" t="inlineStr">
        <is>
          <t>0</t>
        </is>
      </c>
      <c r="H2142" t="inlineStr">
        <is>
          <t>2⁴, 4², 6⁴, 12², 16², 48²</t>
        </is>
      </c>
      <c r="I2142" t="n">
        <v>16</v>
      </c>
      <c r="J2142" t="inlineStr">
        <is>
          <t>1⁸, 2⁶, 4¹</t>
        </is>
      </c>
      <c r="K2142">
        <f>HYPERLINK("CSG3.html#group24W3", "24W³"), =HYPERLINK("CSG3.html#group48I3", "48I³"), =HYPERLINK("CSG5.html#group48D5", "48D⁵")</f>
        <v/>
      </c>
      <c r="L2142">
        <f>HYPERLINK("CSG17.html#group48CN17", "48CN¹⁷"), =HYPERLINK("CSG17.html#group48CQ17", "48CQ¹⁷")</f>
        <v/>
      </c>
      <c r="M2142">
        <f>HYPERLINK("CSG2.html#group24F2", "24F²"), =HYPERLINK("CSG0.html#group3B0", "3B⁰"), =HYPERLINK("CSG1.html#group24G1", "24G¹"), =HYPERLINK("CSG0.html#group12J0", "12J⁰"), =HYPERLINK("CSG3.html#group24W3", "24W³"), =HYPERLINK("CSG1.html#group16A1", "16A¹"), =HYPERLINK("CSG0.html#group8C0", "8C⁰"), =HYPERLINK("CSG3.html#group48I3", "48I³"), =HYPERLINK("CSG0.html#group2B0", "2B⁰"), =HYPERLINK("CSG0.html#group1A0", "1A⁰"), =HYPERLINK("CSG0.html#group4B0", "4B⁰"), =HYPERLINK("CSG5.html#group48D5", "48D⁵"), =HYPERLINK("CSG0.html#group6F0", "6F⁰"), =HYPERLINK("CSG0.html#group12E0", "12E⁰")</f>
        <v/>
      </c>
      <c r="N2142">
        <f>HYPERLINK("CSG17.html#group48CQ17", "48CQ¹⁷"), =HYPERLINK("CSG17.html#group48CN17", "48CN¹⁷")</f>
        <v/>
      </c>
    </row>
    <row r="2143">
      <c r="A2143" t="inlineStr">
        <is>
          <t>48AJ⁹</t>
        </is>
      </c>
      <c r="B2143" t="inlineStr"/>
      <c r="C2143" t="inlineStr">
        <is>
          <t>192</t>
        </is>
      </c>
      <c r="D2143" t="inlineStr">
        <is>
          <t>1</t>
        </is>
      </c>
      <c r="E2143" t="inlineStr">
        <is>
          <t>24</t>
        </is>
      </c>
      <c r="F2143" t="inlineStr">
        <is>
          <t>0</t>
        </is>
      </c>
      <c r="G2143" t="inlineStr">
        <is>
          <t>0</t>
        </is>
      </c>
      <c r="H2143" t="inlineStr">
        <is>
          <t>2⁴, 4², 6⁴, 12², 16², 48²</t>
        </is>
      </c>
      <c r="I2143" t="n">
        <v>16</v>
      </c>
      <c r="J2143" t="inlineStr">
        <is>
          <t>1⁸, 2⁶, 4¹</t>
        </is>
      </c>
      <c r="K2143">
        <f>HYPERLINK("CSG3.html#group24W3", "24W³"), =HYPERLINK("CSG3.html#group48J3", "48J³"), =HYPERLINK("CSG5.html#group48C5", "48C⁵")</f>
        <v/>
      </c>
      <c r="L2143">
        <f>HYPERLINK("CSG17.html#group48CN17", "48CN¹⁷"), =HYPERLINK("CSG17.html#group48CP17", "48CP¹⁷"), =HYPERLINK("CSG21.html#group96BE21", "96BE²¹"), =HYPERLINK("CSG21.html#group96BC21", "96BC²¹"), =HYPERLINK("CSG21.html#group96BJ21", "96BJ²¹")</f>
        <v/>
      </c>
      <c r="M2143">
        <f>HYPERLINK("CSG5.html#group48C5", "48C⁵"), =HYPERLINK("CSG0.html#group3B0", "3B⁰"), =HYPERLINK("CSG2.html#group24F2", "24F²"), =HYPERLINK("CSG3.html#group48J3", "48J³"), =HYPERLINK("CSG0.html#group16C0", "16C⁰"), =HYPERLINK("CSG1.html#group24G1", "24G¹"), =HYPERLINK("CSG0.html#group6F0", "6F⁰"), =HYPERLINK("CSG0.html#group12J0", "12J⁰"), =HYPERLINK("CSG3.html#group24W3", "24W³"), =HYPERLINK("CSG0.html#group8C0", "8C⁰"), =HYPERLINK("CSG0.html#group2B0", "2B⁰"), =HYPERLINK("CSG0.html#group4B0", "4B⁰"), =HYPERLINK("CSG0.html#group1A0", "1A⁰"), =HYPERLINK("CSG0.html#group12E0", "12E⁰")</f>
        <v/>
      </c>
      <c r="N2143">
        <f>HYPERLINK("CSG21.html#group96BE21", "96BE²¹"), =HYPERLINK("CSG17.html#group48CN17", "48CN¹⁷"), =HYPERLINK("CSG17.html#group48CP17", "48CP¹⁷"), =HYPERLINK("CSG21.html#group96BC21", "96BC²¹"), =HYPERLINK("CSG21.html#group96BJ21", "96BJ²¹")</f>
        <v/>
      </c>
    </row>
    <row r="2144">
      <c r="A2144" t="inlineStr">
        <is>
          <t>48AK⁹</t>
        </is>
      </c>
      <c r="B2144" t="inlineStr"/>
      <c r="C2144" t="inlineStr">
        <is>
          <t>192</t>
        </is>
      </c>
      <c r="D2144" t="inlineStr">
        <is>
          <t>1</t>
        </is>
      </c>
      <c r="E2144" t="inlineStr">
        <is>
          <t>24</t>
        </is>
      </c>
      <c r="F2144" t="inlineStr">
        <is>
          <t>0</t>
        </is>
      </c>
      <c r="G2144" t="inlineStr">
        <is>
          <t>0</t>
        </is>
      </c>
      <c r="H2144" t="inlineStr">
        <is>
          <t>2⁴, 4², 6⁴, 12², 16², 48²</t>
        </is>
      </c>
      <c r="I2144" t="n">
        <v>16</v>
      </c>
      <c r="J2144" t="inlineStr">
        <is>
          <t>1⁸, 2⁶, 4¹</t>
        </is>
      </c>
      <c r="K2144">
        <f>HYPERLINK("CSG1.html#group16E1", "16E¹"), =HYPERLINK("CSG3.html#group24V3", "24V³"), =HYPERLINK("CSG3.html#group48J3", "48J³"), =HYPERLINK("CSG5.html#group48D5", "48D⁵")</f>
        <v/>
      </c>
      <c r="L2144">
        <f>HYPERLINK("CSG17.html#group48CJ17", "48CJ¹⁷"), =HYPERLINK("CSG17.html#group48CM17", "48CM¹⁷"), =HYPERLINK("CSG17.html#group48CN17", "48CN¹⁷"), =HYPERLINK("CSG21.html#group48CE21", "48CE²¹"), =HYPERLINK("CSG21.html#group48CH21", "48CH²¹"), =HYPERLINK("CSG21.html#group48CJ21", "48CJ²¹"), =HYPERLINK("CSG21.html#group48CK21", "48CK²¹"), =HYPERLINK("CSG21.html#group96AZ21", "96AZ²¹"), =HYPERLINK("CSG21.html#group96BA21", "96BA²¹"), =HYPERLINK("CSG21.html#group96BD21", "96BD²¹"), =HYPERLINK("CSG21.html#group96BF21", "96BF²¹")</f>
        <v/>
      </c>
      <c r="M2144">
        <f>HYPERLINK("CSG0.html#group3B0", "3B⁰"), =HYPERLINK("CSG0.html#group2A0", "2A⁰"), =HYPERLINK("CSG3.html#group24V3", "24V³"), =HYPERLINK("CSG0.html#group8D0", "8D⁰"), =HYPERLINK("CSG1.html#group12F1", "12F¹"), =HYPERLINK("CSG1.html#group16E1", "16E¹"), =HYPERLINK("CSG1.html#group24G1", "24G¹"), =HYPERLINK("CSG0.html#group4C0", "4C⁰"), =HYPERLINK("CSG0.html#group6I0", "6I⁰"), =HYPERLINK("CSG0.html#group6C0", "6C⁰"), =HYPERLINK("CSG1.html#group16A1", "16A¹"), =HYPERLINK("CSG0.html#group8C0", "8C⁰"), =HYPERLINK("CSG0.html#group2B0", "2B⁰"), =HYPERLINK("CSG0.html#group4E0", "4E⁰"), =HYPERLINK("CSG1.html#group12P1", "12P¹"), =HYPERLINK("CSG0.html#group4B0", "4B⁰"), =HYPERLINK("CSG0.html#group1A0", "1A⁰"), =HYPERLINK("CSG2.html#group24I2", "24I²"), =HYPERLINK("CSG0.html#group8G0", "8G⁰"), =HYPERLINK("CSG3.html#group48J3", "48J³"), =HYPERLINK("CSG0.html#group16C0", "16C⁰"), =HYPERLINK("CSG5.html#group48D5", "48D⁵"), =HYPERLINK("CSG0.html#group6F0", "6F⁰"), =HYPERLINK("CSG0.html#group2C0", "2C⁰"), =HYPERLINK("CSG0.html#group12E0", "12E⁰")</f>
        <v/>
      </c>
      <c r="N2144">
        <f>HYPERLINK("CSG21.html#group48CE21", "48CE²¹"), =HYPERLINK("CSG17.html#group48CM17", "48CM¹⁷"), =HYPERLINK("CSG21.html#group48CH21", "48CH²¹"), =HYPERLINK("CSG21.html#group96BA21", "96BA²¹"), =HYPERLINK("CSG21.html#group96BF21", "96BF²¹"), =HYPERLINK("CSG21.html#group96AZ21", "96AZ²¹"), =HYPERLINK("CSG17.html#group48CJ17", "48CJ¹⁷"), =HYPERLINK("CSG21.html#group48CK21", "48CK²¹"), =HYPERLINK("CSG17.html#group48CN17", "48CN¹⁷"), =HYPERLINK("CSG21.html#group48CJ21", "48CJ²¹"), =HYPERLINK("CSG21.html#group96BD21", "96BD²¹")</f>
        <v/>
      </c>
    </row>
    <row r="2145">
      <c r="A2145" t="inlineStr">
        <is>
          <t>48AL⁹</t>
        </is>
      </c>
      <c r="B2145" t="inlineStr"/>
      <c r="C2145" t="inlineStr">
        <is>
          <t>192</t>
        </is>
      </c>
      <c r="D2145" t="inlineStr">
        <is>
          <t>1</t>
        </is>
      </c>
      <c r="E2145" t="inlineStr">
        <is>
          <t>48</t>
        </is>
      </c>
      <c r="F2145" t="inlineStr">
        <is>
          <t>0</t>
        </is>
      </c>
      <c r="G2145" t="inlineStr">
        <is>
          <t>0</t>
        </is>
      </c>
      <c r="H2145" t="inlineStr">
        <is>
          <t>2⁴, 4², 6⁴, 12², 16², 48²</t>
        </is>
      </c>
      <c r="I2145" t="n">
        <v>16</v>
      </c>
      <c r="J2145" t="inlineStr">
        <is>
          <t>1⁸, 2⁸, 4⁴, 8¹</t>
        </is>
      </c>
      <c r="K2145">
        <f>HYPERLINK("CSG3.html#group24X3", "24X³"), =HYPERLINK("CSG3.html#group48K3", "48K³"), =HYPERLINK("CSG5.html#group48D5", "48D⁵")</f>
        <v/>
      </c>
      <c r="L2145">
        <f>HYPERLINK("CSG17.html#group48CJ17", "48CJ¹⁷"), =HYPERLINK("CSG17.html#group48CO17", "48CO¹⁷"), =HYPERLINK("CSG17.html#group48CQ17", "48CQ¹⁷")</f>
        <v/>
      </c>
      <c r="M2145">
        <f>HYPERLINK("CSG0.html#group3B0", "3B⁰"), =HYPERLINK("CSG3.html#group24X3", "24X³"), =HYPERLINK("CSG3.html#group48K3", "48K³"), =HYPERLINK("CSG1.html#group24G1", "24G¹"), =HYPERLINK("CSG1.html#group16A1", "16A¹"), =HYPERLINK("CSG0.html#group8C0", "8C⁰"), =HYPERLINK("CSG0.html#group2B0", "2B⁰"), =HYPERLINK("CSG0.html#group1A0", "1A⁰"), =HYPERLINK("CSG0.html#group4B0", "4B⁰"), =HYPERLINK("CSG5.html#group48D5", "48D⁵"), =HYPERLINK("CSG0.html#group6F0", "6F⁰"), =HYPERLINK("CSG0.html#group12E0", "12E⁰")</f>
        <v/>
      </c>
      <c r="N2145">
        <f>HYPERLINK("CSG17.html#group48CJ17", "48CJ¹⁷"), =HYPERLINK("CSG17.html#group48CQ17", "48CQ¹⁷"), =HYPERLINK("CSG17.html#group48CO17", "48CO¹⁷")</f>
        <v/>
      </c>
    </row>
    <row r="2146">
      <c r="A2146" t="inlineStr">
        <is>
          <t>48AM⁹</t>
        </is>
      </c>
      <c r="B2146" t="inlineStr"/>
      <c r="C2146" t="inlineStr">
        <is>
          <t>192</t>
        </is>
      </c>
      <c r="D2146" t="inlineStr">
        <is>
          <t>1</t>
        </is>
      </c>
      <c r="E2146" t="inlineStr">
        <is>
          <t>48</t>
        </is>
      </c>
      <c r="F2146" t="inlineStr">
        <is>
          <t>0</t>
        </is>
      </c>
      <c r="G2146" t="inlineStr">
        <is>
          <t>0</t>
        </is>
      </c>
      <c r="H2146" t="inlineStr">
        <is>
          <t>2⁴, 4², 6⁴, 12², 16², 48²</t>
        </is>
      </c>
      <c r="I2146" t="n">
        <v>16</v>
      </c>
      <c r="J2146" t="inlineStr">
        <is>
          <t>1⁸, 2⁸, 4⁴, 8¹</t>
        </is>
      </c>
      <c r="K2146">
        <f>HYPERLINK("CSG3.html#group24X3", "24X³"), =HYPERLINK("CSG3.html#group48L3", "48L³"), =HYPERLINK("CSG5.html#group48C5", "48C⁵")</f>
        <v/>
      </c>
      <c r="L2146">
        <f>HYPERLINK("CSG17.html#group48CK17", "48CK¹⁷"), =HYPERLINK("CSG17.html#group48CO17", "48CO¹⁷"), =HYPERLINK("CSG17.html#group48CP17", "48CP¹⁷")</f>
        <v/>
      </c>
      <c r="M2146">
        <f>HYPERLINK("CSG5.html#group48C5", "48C⁵"), =HYPERLINK("CSG0.html#group3B0", "3B⁰"), =HYPERLINK("CSG3.html#group24X3", "24X³"), =HYPERLINK("CSG1.html#group24G1", "24G¹"), =HYPERLINK("CSG0.html#group16D0", "16D⁰"), =HYPERLINK("CSG0.html#group6F0", "6F⁰"), =HYPERLINK("CSG0.html#group8C0", "8C⁰"), =HYPERLINK("CSG0.html#group2B0", "2B⁰"), =HYPERLINK("CSG0.html#group4B0", "4B⁰"), =HYPERLINK("CSG0.html#group1A0", "1A⁰"), =HYPERLINK("CSG0.html#group12E0", "12E⁰"), =HYPERLINK("CSG3.html#group48L3", "48L³")</f>
        <v/>
      </c>
      <c r="N2146">
        <f>HYPERLINK("CSG17.html#group48CK17", "48CK¹⁷"), =HYPERLINK("CSG17.html#group48CP17", "48CP¹⁷"), =HYPERLINK("CSG17.html#group48CO17", "48CO¹⁷")</f>
        <v/>
      </c>
    </row>
    <row r="2147">
      <c r="A2147" t="inlineStr">
        <is>
          <t>48AN⁹</t>
        </is>
      </c>
      <c r="B2147" t="inlineStr"/>
      <c r="C2147" t="inlineStr">
        <is>
          <t>192</t>
        </is>
      </c>
      <c r="D2147" t="inlineStr">
        <is>
          <t>1</t>
        </is>
      </c>
      <c r="E2147" t="inlineStr">
        <is>
          <t>48</t>
        </is>
      </c>
      <c r="F2147" t="inlineStr">
        <is>
          <t>0</t>
        </is>
      </c>
      <c r="G2147" t="inlineStr">
        <is>
          <t>0</t>
        </is>
      </c>
      <c r="H2147" t="inlineStr">
        <is>
          <t>2⁴, 4², 6⁴, 12², 16², 48²</t>
        </is>
      </c>
      <c r="I2147" t="n">
        <v>16</v>
      </c>
      <c r="J2147" t="inlineStr">
        <is>
          <t>1⁸, 2⁸, 4⁴, 8¹</t>
        </is>
      </c>
      <c r="K2147">
        <f>HYPERLINK("CSG3.html#group24Y3", "24Y³"), =HYPERLINK("CSG3.html#group48K3", "48K³"), =HYPERLINK("CSG5.html#group48C5", "48C⁵")</f>
        <v/>
      </c>
      <c r="L2147">
        <f>HYPERLINK("CSG17.html#group48CL17", "48CL¹⁷"), =HYPERLINK("CSG17.html#group48CO17", "48CO¹⁷"), =HYPERLINK("CSG17.html#group48CP17", "48CP¹⁷")</f>
        <v/>
      </c>
      <c r="M2147">
        <f>HYPERLINK("CSG5.html#group48C5", "48C⁵"), =HYPERLINK("CSG0.html#group3B0", "3B⁰"), =HYPERLINK("CSG3.html#group48K3", "48K³"), =HYPERLINK("CSG1.html#group24G1", "24G¹"), =HYPERLINK("CSG0.html#group6F0", "6F⁰"), =HYPERLINK("CSG0.html#group8C0", "8C⁰"), =HYPERLINK("CSG0.html#group2B0", "2B⁰"), =HYPERLINK("CSG3.html#group24Y3", "24Y³"), =HYPERLINK("CSG0.html#group8I0", "8I⁰"), =HYPERLINK("CSG0.html#group4B0", "4B⁰"), =HYPERLINK("CSG0.html#group1A0", "1A⁰"), =HYPERLINK("CSG0.html#group12E0", "12E⁰")</f>
        <v/>
      </c>
      <c r="N2147">
        <f>HYPERLINK("CSG17.html#group48CP17", "48CP¹⁷"), =HYPERLINK("CSG17.html#group48CL17", "48CL¹⁷"), =HYPERLINK("CSG17.html#group48CO17", "48CO¹⁷")</f>
        <v/>
      </c>
    </row>
    <row r="2148">
      <c r="A2148" t="inlineStr">
        <is>
          <t>48AO⁹</t>
        </is>
      </c>
      <c r="B2148" t="inlineStr"/>
      <c r="C2148" t="inlineStr">
        <is>
          <t>192</t>
        </is>
      </c>
      <c r="D2148" t="inlineStr">
        <is>
          <t>1</t>
        </is>
      </c>
      <c r="E2148" t="inlineStr">
        <is>
          <t>48</t>
        </is>
      </c>
      <c r="F2148" t="inlineStr">
        <is>
          <t>0</t>
        </is>
      </c>
      <c r="G2148" t="inlineStr">
        <is>
          <t>0</t>
        </is>
      </c>
      <c r="H2148" t="inlineStr">
        <is>
          <t>2⁴, 4², 6⁴, 12², 16², 48²</t>
        </is>
      </c>
      <c r="I2148" t="n">
        <v>16</v>
      </c>
      <c r="J2148" t="inlineStr">
        <is>
          <t>1⁸, 2⁸, 4⁴, 8¹</t>
        </is>
      </c>
      <c r="K2148">
        <f>HYPERLINK("CSG1.html#group16G1", "16G¹"), =HYPERLINK("CSG3.html#group24Y3", "24Y³"), =HYPERLINK("CSG3.html#group48L3", "48L³"), =HYPERLINK("CSG5.html#group48D5", "48D⁵")</f>
        <v/>
      </c>
      <c r="L2148">
        <f>HYPERLINK("CSG17.html#group48CM17", "48CM¹⁷"), =HYPERLINK("CSG17.html#group48CO17", "48CO¹⁷"), =HYPERLINK("CSG17.html#group48CQ17", "48CQ¹⁷"), =HYPERLINK("CSG21.html#group48CL21", "48CL²¹"), =HYPERLINK("CSG21.html#group48CM21", "48CM²¹"), =HYPERLINK("CSG21.html#group96BL21", "96BL²¹"), =HYPERLINK("CSG21.html#group96BM21", "96BM²¹")</f>
        <v/>
      </c>
      <c r="M2148">
        <f>HYPERLINK("CSG0.html#group3B0", "3B⁰"), =HYPERLINK("CSG1.html#group24G1", "24G¹"), =HYPERLINK("CSG1.html#group16A1", "16A¹"), =HYPERLINK("CSG0.html#group8C0", "8C⁰"), =HYPERLINK("CSG0.html#group2B0", "2B⁰"), =HYPERLINK("CSG0.html#group8I0", "8I⁰"), =HYPERLINK("CSG0.html#group4B0", "4B⁰"), =HYPERLINK("CSG0.html#group1A0", "1A⁰"), =HYPERLINK("CSG1.html#group16G1", "16G¹"), =HYPERLINK("CSG0.html#group16D0", "16D⁰"), =HYPERLINK("CSG3.html#group24Y3", "24Y³"), =HYPERLINK("CSG5.html#group48D5", "48D⁵"), =HYPERLINK("CSG0.html#group6F0", "6F⁰"), =HYPERLINK("CSG0.html#group12E0", "12E⁰"), =HYPERLINK("CSG3.html#group48L3", "48L³")</f>
        <v/>
      </c>
      <c r="N2148">
        <f>HYPERLINK("CSG21.html#group48CL21", "48CL²¹"), =HYPERLINK("CSG21.html#group48CM21", "48CM²¹"), =HYPERLINK("CSG17.html#group48CM17", "48CM¹⁷"), =HYPERLINK("CSG17.html#group48CQ17", "48CQ¹⁷"), =HYPERLINK("CSG21.html#group96BL21", "96BL²¹"), =HYPERLINK("CSG17.html#group48CO17", "48CO¹⁷"), =HYPERLINK("CSG21.html#group96BM21", "96BM²¹")</f>
        <v/>
      </c>
    </row>
    <row r="2149">
      <c r="A2149" t="inlineStr">
        <is>
          <t>48AP⁹</t>
        </is>
      </c>
      <c r="B2149" t="inlineStr"/>
      <c r="C2149" t="inlineStr">
        <is>
          <t>192</t>
        </is>
      </c>
      <c r="D2149" t="inlineStr">
        <is>
          <t>1</t>
        </is>
      </c>
      <c r="E2149" t="inlineStr">
        <is>
          <t>64</t>
        </is>
      </c>
      <c r="F2149" t="inlineStr">
        <is>
          <t>24</t>
        </is>
      </c>
      <c r="G2149" t="inlineStr">
        <is>
          <t>0</t>
        </is>
      </c>
      <c r="H2149" t="inlineStr">
        <is>
          <t>48⁴</t>
        </is>
      </c>
      <c r="I2149" t="n">
        <v>4</v>
      </c>
      <c r="J2149" t="inlineStr">
        <is>
          <t>8⁸</t>
        </is>
      </c>
      <c r="K2149">
        <f>HYPERLINK("CSG1.html#group24F1", "24F¹"), =HYPERLINK("CSG2.html#group16G2", "16G²")</f>
        <v/>
      </c>
      <c r="L2149">
        <f>HYPERLINK("CSG21.html#group48CR21", "48CR²¹"), =HYPERLINK("CSG23.html#group48E23", "48E²³"), =HYPERLINK("CSG23.html#group48F23", "48F²³")</f>
        <v/>
      </c>
      <c r="M2149">
        <f>HYPERLINK("CSG1.html#group24F1", "24F¹"), =HYPERLINK("CSG2.html#group16G2", "16G²"), =HYPERLINK("CSG0.html#group12A0", "12A⁰"), =HYPERLINK("CSG0.html#group8F0", "8F⁰"), =HYPERLINK("CSG0.html#group3A0", "3A⁰"), =HYPERLINK("CSG0.html#group1A0", "1A⁰"), =HYPERLINK("CSG0.html#group4A0", "4A⁰")</f>
        <v/>
      </c>
      <c r="N2149">
        <f>HYPERLINK("CSG21.html#group48CR21", "48CR²¹"), =HYPERLINK("CSG23.html#group48E23", "48E²³"), =HYPERLINK("CSG23.html#group48F23", "48F²³")</f>
        <v/>
      </c>
    </row>
    <row r="2150">
      <c r="A2150" t="inlineStr">
        <is>
          <t>49A⁹</t>
        </is>
      </c>
      <c r="B2150" t="inlineStr"/>
      <c r="C2150" t="inlineStr">
        <is>
          <t>147</t>
        </is>
      </c>
      <c r="D2150" t="inlineStr">
        <is>
          <t>1</t>
        </is>
      </c>
      <c r="E2150" t="inlineStr">
        <is>
          <t>147</t>
        </is>
      </c>
      <c r="F2150" t="inlineStr">
        <is>
          <t>11</t>
        </is>
      </c>
      <c r="G2150" t="inlineStr">
        <is>
          <t>0</t>
        </is>
      </c>
      <c r="H2150" t="inlineStr">
        <is>
          <t>49³</t>
        </is>
      </c>
      <c r="I2150" t="n">
        <v>3</v>
      </c>
      <c r="J2150" t="inlineStr">
        <is>
          <t>3¹, 6³, 42³</t>
        </is>
      </c>
      <c r="K2150">
        <f>HYPERLINK("CSG0.html#group7D0", "7D⁰")</f>
        <v/>
      </c>
      <c r="L2150">
        <f>HYPERLINK("CSG18.html#group49A18", "49A¹⁸"), =HYPERLINK("CSG19.html#group49A19", "49A¹⁹"), =HYPERLINK("CSG22.html#group98A22", "98A²²"), =HYPERLINK("CSG23.html#group98A23", "98A²³"), =HYPERLINK("CSG24.html#group98A24", "98A²⁴")</f>
        <v/>
      </c>
      <c r="M2150">
        <f>HYPERLINK("CSG0.html#group7D0", "7D⁰"), =HYPERLINK("CSG0.html#group1A0", "1A⁰"), =HYPERLINK("CSG0.html#group7A0", "7A⁰")</f>
        <v/>
      </c>
      <c r="N2150">
        <f>HYPERLINK("CSG23.html#group98A23", "98A²³"), =HYPERLINK("CSG22.html#group98A22", "98A²²"), =HYPERLINK("CSG24.html#group98A24", "98A²⁴"), =HYPERLINK("CSG19.html#group49A19", "49A¹⁹"), =HYPERLINK("CSG18.html#group49A18", "49A¹⁸")</f>
        <v/>
      </c>
    </row>
    <row r="2151">
      <c r="A2151" t="inlineStr">
        <is>
          <t>49B⁹</t>
        </is>
      </c>
      <c r="B2151" t="inlineStr"/>
      <c r="C2151" t="inlineStr">
        <is>
          <t>196</t>
        </is>
      </c>
      <c r="D2151" t="inlineStr">
        <is>
          <t>1</t>
        </is>
      </c>
      <c r="E2151" t="inlineStr">
        <is>
          <t>196</t>
        </is>
      </c>
      <c r="F2151" t="inlineStr">
        <is>
          <t>4</t>
        </is>
      </c>
      <c r="G2151" t="inlineStr">
        <is>
          <t>7</t>
        </is>
      </c>
      <c r="H2151" t="inlineStr">
        <is>
          <t>7⁷, 49³</t>
        </is>
      </c>
      <c r="I2151" t="n">
        <v>10</v>
      </c>
      <c r="J2151" t="inlineStr">
        <is>
          <t>3¹, 6³, 7¹, 42⁴</t>
        </is>
      </c>
      <c r="K2151">
        <f>HYPERLINK("CSG0.html#group7F0", "7F⁰")</f>
        <v/>
      </c>
      <c r="L2151">
        <f>HYPERLINK("CSG19.html#group49B19", "49B¹⁹"), =HYPERLINK("CSG22.html#group98B22", "98B²²"), =HYPERLINK("CSG24.html#group98B24", "98B²⁴")</f>
        <v/>
      </c>
      <c r="M2151">
        <f>HYPERLINK("CSG0.html#group7F0", "7F⁰"), =HYPERLINK("CSG0.html#group1A0", "1A⁰"), =HYPERLINK("CSG0.html#group7A0", "7A⁰")</f>
        <v/>
      </c>
      <c r="N2151">
        <f>HYPERLINK("CSG19.html#group49B19", "49B¹⁹"), =HYPERLINK("CSG24.html#group98B24", "98B²⁴"), =HYPERLINK("CSG22.html#group98B22", "98B²²")</f>
        <v/>
      </c>
    </row>
    <row r="2152">
      <c r="A2152" t="inlineStr">
        <is>
          <t>50A⁹</t>
        </is>
      </c>
      <c r="B2152" t="inlineStr"/>
      <c r="C2152" t="inlineStr">
        <is>
          <t>120</t>
        </is>
      </c>
      <c r="D2152" t="inlineStr">
        <is>
          <t>1</t>
        </is>
      </c>
      <c r="E2152" t="inlineStr">
        <is>
          <t>6</t>
        </is>
      </c>
      <c r="F2152" t="inlineStr">
        <is>
          <t>0</t>
        </is>
      </c>
      <c r="G2152" t="inlineStr">
        <is>
          <t>0</t>
        </is>
      </c>
      <c r="H2152" t="inlineStr">
        <is>
          <t>10², 50²</t>
        </is>
      </c>
      <c r="I2152" t="n">
        <v>4</v>
      </c>
      <c r="J2152" t="inlineStr">
        <is>
          <t>2², 4²</t>
        </is>
      </c>
      <c r="K2152">
        <f>HYPERLINK("CSG1.html#group10D1", "10D¹"), =HYPERLINK("CSG4.html#group25A4", "25A⁴"), =HYPERLINK("CSG4.html#group50A4", "50A⁴"), =HYPERLINK("CSG5.html#group50A5", "50A⁵")</f>
        <v/>
      </c>
      <c r="L2152">
        <f>HYPERLINK("CSG19.html#group100A19", "100A¹⁹")</f>
        <v/>
      </c>
      <c r="M2152">
        <f>HYPERLINK("CSG0.html#group2A0", "2A⁰"), =HYPERLINK("CSG2.html#group25A2", "25A²"), =HYPERLINK("CSG5.html#group50A5", "50A⁵"), =HYPERLINK("CSG0.html#group5B0", "5B⁰"), =HYPERLINK("CSG1.html#group10A1", "10A¹"), =HYPERLINK("CSG0.html#group5D0", "5D⁰"), =HYPERLINK("CSG1.html#group10D1", "10D¹"), =HYPERLINK("CSG0.html#group1A0", "1A⁰"), =HYPERLINK("CSG4.html#group50A4", "50A⁴"), =HYPERLINK("CSG4.html#group25A4", "25A⁴"), =HYPERLINK("CSG0.html#group10B0", "10B⁰")</f>
        <v/>
      </c>
      <c r="N2152">
        <f>HYPERLINK("CSG19.html#group100A19", "100A¹⁹")</f>
        <v/>
      </c>
    </row>
    <row r="2153">
      <c r="A2153" t="inlineStr">
        <is>
          <t>50B⁹</t>
        </is>
      </c>
      <c r="B2153" t="inlineStr"/>
      <c r="C2153" t="inlineStr">
        <is>
          <t>120</t>
        </is>
      </c>
      <c r="D2153" t="inlineStr">
        <is>
          <t>1</t>
        </is>
      </c>
      <c r="E2153" t="inlineStr">
        <is>
          <t>6</t>
        </is>
      </c>
      <c r="F2153" t="inlineStr">
        <is>
          <t>0</t>
        </is>
      </c>
      <c r="G2153" t="inlineStr">
        <is>
          <t>0</t>
        </is>
      </c>
      <c r="H2153" t="inlineStr">
        <is>
          <t>10², 50²</t>
        </is>
      </c>
      <c r="I2153" t="n">
        <v>4</v>
      </c>
      <c r="J2153" t="inlineStr">
        <is>
          <t>2², 4²</t>
        </is>
      </c>
      <c r="K2153">
        <f>HYPERLINK("CSG1.html#group10D1", "10D¹"), =HYPERLINK("CSG4.html#group25B4", "25B⁴"), =HYPERLINK("CSG4.html#group50B4", "50B⁴"), =HYPERLINK("CSG5.html#group50B5", "50B⁵")</f>
        <v/>
      </c>
      <c r="L2153">
        <f>HYPERLINK("CSG19.html#group100B19", "100B¹⁹")</f>
        <v/>
      </c>
      <c r="M2153">
        <f>HYPERLINK("CSG0.html#group2A0", "2A⁰"), =HYPERLINK("CSG4.html#group50B4", "50B⁴"), =HYPERLINK("CSG5.html#group50B5", "50B⁵"), =HYPERLINK("CSG4.html#group25B4", "25B⁴"), =HYPERLINK("CSG0.html#group5B0", "5B⁰"), =HYPERLINK("CSG1.html#group10A1", "10A¹"), =HYPERLINK("CSG0.html#group5D0", "5D⁰"), =HYPERLINK("CSG1.html#group10D1", "10D¹"), =HYPERLINK("CSG0.html#group1A0", "1A⁰"), =HYPERLINK("CSG2.html#group25B2", "25B²"), =HYPERLINK("CSG0.html#group10B0", "10B⁰")</f>
        <v/>
      </c>
      <c r="N2153">
        <f>HYPERLINK("CSG19.html#group100B19", "100B¹⁹")</f>
        <v/>
      </c>
    </row>
    <row r="2154">
      <c r="A2154" t="inlineStr">
        <is>
          <t>50C⁹</t>
        </is>
      </c>
      <c r="B2154" t="inlineStr"/>
      <c r="C2154" t="inlineStr">
        <is>
          <t>120</t>
        </is>
      </c>
      <c r="D2154" t="inlineStr">
        <is>
          <t>1</t>
        </is>
      </c>
      <c r="E2154" t="inlineStr">
        <is>
          <t>6</t>
        </is>
      </c>
      <c r="F2154" t="inlineStr">
        <is>
          <t>0</t>
        </is>
      </c>
      <c r="G2154" t="inlineStr">
        <is>
          <t>0</t>
        </is>
      </c>
      <c r="H2154" t="inlineStr">
        <is>
          <t>10², 50²</t>
        </is>
      </c>
      <c r="I2154" t="n">
        <v>4</v>
      </c>
      <c r="J2154" t="inlineStr">
        <is>
          <t>2², 4²</t>
        </is>
      </c>
      <c r="K2154">
        <f>HYPERLINK("CSG1.html#group10D1", "10D¹"), =HYPERLINK("CSG4.html#group25C4", "25C⁴"), =HYPERLINK("CSG4.html#group50C4", "50C⁴"), =HYPERLINK("CSG5.html#group50C5", "50C⁵")</f>
        <v/>
      </c>
      <c r="L2154">
        <f>HYPERLINK("CSG19.html#group100C19", "100C¹⁹")</f>
        <v/>
      </c>
      <c r="M2154">
        <f>HYPERLINK("CSG0.html#group2A0", "2A⁰"), =HYPERLINK("CSG0.html#group5B0", "5B⁰"), =HYPERLINK("CSG5.html#group50C5", "50C⁵"), =HYPERLINK("CSG0.html#group5D0", "5D⁰"), =HYPERLINK("CSG1.html#group10A1", "10A¹"), =HYPERLINK("CSG4.html#group50C4", "50C⁴"), =HYPERLINK("CSG1.html#group10D1", "10D¹"), =HYPERLINK("CSG0.html#group1A0", "1A⁰"), =HYPERLINK("CSG2.html#group25C2", "25C²"), =HYPERLINK("CSG4.html#group25C4", "25C⁴"), =HYPERLINK("CSG0.html#group10B0", "10B⁰")</f>
        <v/>
      </c>
      <c r="N2154">
        <f>HYPERLINK("CSG19.html#group100C19", "100C¹⁹")</f>
        <v/>
      </c>
    </row>
    <row r="2155">
      <c r="A2155" t="inlineStr">
        <is>
          <t>50D⁹</t>
        </is>
      </c>
      <c r="B2155" t="inlineStr"/>
      <c r="C2155" t="inlineStr">
        <is>
          <t>120</t>
        </is>
      </c>
      <c r="D2155" t="inlineStr">
        <is>
          <t>1</t>
        </is>
      </c>
      <c r="E2155" t="inlineStr">
        <is>
          <t>6</t>
        </is>
      </c>
      <c r="F2155" t="inlineStr">
        <is>
          <t>0</t>
        </is>
      </c>
      <c r="G2155" t="inlineStr">
        <is>
          <t>0</t>
        </is>
      </c>
      <c r="H2155" t="inlineStr">
        <is>
          <t>10², 50²</t>
        </is>
      </c>
      <c r="I2155" t="n">
        <v>4</v>
      </c>
      <c r="J2155" t="inlineStr">
        <is>
          <t>2², 4²</t>
        </is>
      </c>
      <c r="K2155">
        <f>HYPERLINK("CSG1.html#group10D1", "10D¹"), =HYPERLINK("CSG4.html#group25D4", "25D⁴"), =HYPERLINK("CSG4.html#group50D4", "50D⁴"), =HYPERLINK("CSG5.html#group50D5", "50D⁵")</f>
        <v/>
      </c>
      <c r="L2155">
        <f>HYPERLINK("CSG19.html#group100D19", "100D¹⁹")</f>
        <v/>
      </c>
      <c r="M2155">
        <f>HYPERLINK("CSG0.html#group2A0", "2A⁰"), =HYPERLINK("CSG0.html#group5B0", "5B⁰"), =HYPERLINK("CSG5.html#group50D5", "50D⁵"), =HYPERLINK("CSG0.html#group5D0", "5D⁰"), =HYPERLINK("CSG1.html#group10A1", "10A¹"), =HYPERLINK("CSG4.html#group50D4", "50D⁴"), =HYPERLINK("CSG4.html#group25D4", "25D⁴"), =HYPERLINK("CSG1.html#group10D1", "10D¹"), =HYPERLINK("CSG0.html#group1A0", "1A⁰"), =HYPERLINK("CSG2.html#group25D2", "25D²"), =HYPERLINK("CSG0.html#group10B0", "10B⁰")</f>
        <v/>
      </c>
      <c r="N2155">
        <f>HYPERLINK("CSG19.html#group100D19", "100D¹⁹")</f>
        <v/>
      </c>
    </row>
    <row r="2156">
      <c r="A2156" t="inlineStr">
        <is>
          <t>50E⁹</t>
        </is>
      </c>
      <c r="B2156" t="inlineStr"/>
      <c r="C2156" t="inlineStr">
        <is>
          <t>150</t>
        </is>
      </c>
      <c r="D2156" t="inlineStr">
        <is>
          <t>1</t>
        </is>
      </c>
      <c r="E2156" t="inlineStr">
        <is>
          <t>75</t>
        </is>
      </c>
      <c r="F2156" t="inlineStr">
        <is>
          <t>4</t>
        </is>
      </c>
      <c r="G2156" t="inlineStr">
        <is>
          <t>0</t>
        </is>
      </c>
      <c r="H2156" t="inlineStr">
        <is>
          <t>10⁵, 50²</t>
        </is>
      </c>
      <c r="I2156" t="n">
        <v>7</v>
      </c>
      <c r="J2156" t="inlineStr">
        <is>
          <t>2¹, 4², 5¹, 20³</t>
        </is>
      </c>
      <c r="K2156">
        <f>HYPERLINK("CSG1.html#group10E1", "10E¹"), =HYPERLINK("CSG2.html#group25F2", "25F²")</f>
        <v/>
      </c>
      <c r="L2156">
        <f>HYPERLINK("CSG18.html#group50A18", "50A¹⁸"), =HYPERLINK("CSG18.html#group50B18", "50B¹⁸"), =HYPERLINK("CSG19.html#group50A19", "50A¹⁹")</f>
        <v/>
      </c>
      <c r="M2156">
        <f>HYPERLINK("CSG2.html#group25F2", "25F²"), =HYPERLINK("CSG0.html#group5E0", "5E⁰"), =HYPERLINK("CSG0.html#group5A0", "5A⁰"), =HYPERLINK("CSG1.html#group10E1", "10E¹"), =HYPERLINK("CSG0.html#group1A0", "1A⁰")</f>
        <v/>
      </c>
      <c r="N2156">
        <f>HYPERLINK("CSG18.html#group50A18", "50A¹⁸"), =HYPERLINK("CSG18.html#group50B18", "50B¹⁸"), =HYPERLINK("CSG19.html#group50A19", "50A¹⁹")</f>
        <v/>
      </c>
    </row>
    <row r="2157">
      <c r="A2157" t="inlineStr">
        <is>
          <t>50F⁹</t>
        </is>
      </c>
      <c r="B2157" t="inlineStr"/>
      <c r="C2157" t="inlineStr">
        <is>
          <t>200</t>
        </is>
      </c>
      <c r="D2157" t="inlineStr">
        <is>
          <t>1</t>
        </is>
      </c>
      <c r="E2157" t="inlineStr">
        <is>
          <t>10</t>
        </is>
      </c>
      <c r="F2157" t="inlineStr">
        <is>
          <t>0</t>
        </is>
      </c>
      <c r="G2157" t="inlineStr">
        <is>
          <t>20</t>
        </is>
      </c>
      <c r="H2157" t="inlineStr">
        <is>
          <t>50⁴</t>
        </is>
      </c>
      <c r="I2157" t="n">
        <v>4</v>
      </c>
      <c r="J2157" t="inlineStr">
        <is>
          <t>2¹, 4²</t>
        </is>
      </c>
      <c r="K2157">
        <f>HYPERLINK("CSG1.html#group10H1", "10H¹"), =HYPERLINK("CSG4.html#group25E4", "25E⁴"), =HYPERLINK("CSG4.html#group50E4", "50E⁴"), =HYPERLINK("CSG5.html#group50E5", "50E⁵")</f>
        <v/>
      </c>
      <c r="L2157">
        <f>HYPERLINK("CSG19.html#group100R19", "100R¹⁹")</f>
        <v/>
      </c>
      <c r="M2157">
        <f>HYPERLINK("CSG1.html#group10H1", "10H¹"), =HYPERLINK("CSG0.html#group2A0", "2A⁰"), =HYPERLINK("CSG0.html#group5A0", "5A⁰"), =HYPERLINK("CSG0.html#group10A0", "10A⁰"), =HYPERLINK("CSG5.html#group50E5", "50E⁵"), =HYPERLINK("CSG4.html#group25E4", "25E⁴"), =HYPERLINK("CSG0.html#group10D0", "10D⁰"), =HYPERLINK("CSG2.html#group25E2", "25E²"), =HYPERLINK("CSG0.html#group5F0", "5F⁰"), =HYPERLINK("CSG4.html#group50E4", "50E⁴"), =HYPERLINK("CSG1.html#group10C1", "10C¹"), =HYPERLINK("CSG0.html#group1A0", "1A⁰"), =HYPERLINK("CSG0.html#group5C0", "5C⁰")</f>
        <v/>
      </c>
      <c r="N2157">
        <f>HYPERLINK("CSG19.html#group100R19", "100R¹⁹")</f>
        <v/>
      </c>
    </row>
    <row r="2158">
      <c r="A2158" t="inlineStr">
        <is>
          <t>51A⁹</t>
        </is>
      </c>
      <c r="B2158" t="inlineStr"/>
      <c r="C2158" t="inlineStr">
        <is>
          <t>144</t>
        </is>
      </c>
      <c r="D2158" t="inlineStr">
        <is>
          <t>1</t>
        </is>
      </c>
      <c r="E2158" t="inlineStr">
        <is>
          <t>72</t>
        </is>
      </c>
      <c r="F2158" t="inlineStr">
        <is>
          <t>0</t>
        </is>
      </c>
      <c r="G2158" t="inlineStr">
        <is>
          <t>0</t>
        </is>
      </c>
      <c r="H2158" t="inlineStr">
        <is>
          <t>1², 3², 17², 51²</t>
        </is>
      </c>
      <c r="I2158" t="n">
        <v>8</v>
      </c>
      <c r="J2158" t="inlineStr">
        <is>
          <t>1⁴, 2², 16², 32¹</t>
        </is>
      </c>
      <c r="K2158">
        <f>HYPERLINK("CSG1.html#group17B1", "17B¹"), =HYPERLINK("CSG5.html#group51A5", "51A⁵")</f>
        <v/>
      </c>
      <c r="L2158">
        <f>HYPERLINK("CSG17.html#group51A17", "51A¹⁷"), =HYPERLINK("CSG21.html#group102A21", "102A²¹"), =HYPERLINK("CSG21.html#group102B21", "102B²¹")</f>
        <v/>
      </c>
      <c r="M2158">
        <f>HYPERLINK("CSG0.html#group3B0", "3B⁰"), =HYPERLINK("CSG1.html#group17A1", "17A¹"), =HYPERLINK("CSG5.html#group51A5", "51A⁵"), =HYPERLINK("CSG0.html#group1A0", "1A⁰"), =HYPERLINK("CSG1.html#group17B1", "17B¹")</f>
        <v/>
      </c>
      <c r="N2158">
        <f>HYPERLINK("CSG21.html#group102B21", "102B²¹"), =HYPERLINK("CSG17.html#group51A17", "51A¹⁷"), =HYPERLINK("CSG21.html#group102A21", "102A²¹")</f>
        <v/>
      </c>
    </row>
    <row r="2159">
      <c r="A2159" t="inlineStr">
        <is>
          <t>51B⁹</t>
        </is>
      </c>
      <c r="B2159" t="inlineStr"/>
      <c r="C2159" t="inlineStr">
        <is>
          <t>216</t>
        </is>
      </c>
      <c r="D2159" t="inlineStr">
        <is>
          <t>1</t>
        </is>
      </c>
      <c r="E2159" t="inlineStr">
        <is>
          <t>18</t>
        </is>
      </c>
      <c r="F2159" t="inlineStr">
        <is>
          <t>24</t>
        </is>
      </c>
      <c r="G2159" t="inlineStr">
        <is>
          <t>0</t>
        </is>
      </c>
      <c r="H2159" t="inlineStr">
        <is>
          <t>3⁴, 51⁴</t>
        </is>
      </c>
      <c r="I2159" t="n">
        <v>8</v>
      </c>
      <c r="J2159" t="inlineStr">
        <is>
          <t>1², 16¹</t>
        </is>
      </c>
      <c r="K2159">
        <f>HYPERLINK("CSG1.html#group17C1", "17C¹"), =HYPERLINK("CSG5.html#group51B5", "51B⁵")</f>
        <v/>
      </c>
      <c r="L2159">
        <f>HYPERLINK("CSG21.html#group51A21", "51A²¹"), =HYPERLINK("CSG21.html#group102D21", "102D²¹")</f>
        <v/>
      </c>
      <c r="M2159">
        <f>HYPERLINK("CSG3.html#group51A3", "51A³"), =HYPERLINK("CSG1.html#group17B1", "17B¹"), =HYPERLINK("CSG1.html#group17C1", "17C¹"), =HYPERLINK("CSG1.html#group17A1", "17A¹"), =HYPERLINK("CSG5.html#group51B5", "51B⁵"), =HYPERLINK("CSG0.html#group3A0", "3A⁰"), =HYPERLINK("CSG0.html#group1A0", "1A⁰")</f>
        <v/>
      </c>
      <c r="N2159">
        <f>HYPERLINK("CSG21.html#group51A21", "51A²¹"), =HYPERLINK("CSG21.html#group102D21", "102D²¹")</f>
        <v/>
      </c>
    </row>
    <row r="2160">
      <c r="A2160" t="inlineStr">
        <is>
          <t>52A⁹</t>
        </is>
      </c>
      <c r="B2160" t="inlineStr"/>
      <c r="C2160" t="inlineStr">
        <is>
          <t>168</t>
        </is>
      </c>
      <c r="D2160" t="inlineStr">
        <is>
          <t>1</t>
        </is>
      </c>
      <c r="E2160" t="inlineStr">
        <is>
          <t>42</t>
        </is>
      </c>
      <c r="F2160" t="inlineStr">
        <is>
          <t>0</t>
        </is>
      </c>
      <c r="G2160" t="inlineStr">
        <is>
          <t>0</t>
        </is>
      </c>
      <c r="H2160" t="inlineStr">
        <is>
          <t>1⁴, 4², 13⁴, 52²</t>
        </is>
      </c>
      <c r="I2160" t="n">
        <v>12</v>
      </c>
      <c r="J2160" t="inlineStr">
        <is>
          <t>1⁶, 12³</t>
        </is>
      </c>
      <c r="K2160">
        <f>HYPERLINK("CSG4.html#group26A4", "26A⁴"), =HYPERLINK("CSG4.html#group52A4", "52A⁴"), =HYPERLINK("CSG5.html#group52A5", "52A⁵")</f>
        <v/>
      </c>
      <c r="L2160">
        <f>HYPERLINK("CSG19.html#group52B19", "52B¹⁹"), =HYPERLINK("CSG19.html#group104A19", "104A¹⁹"), =HYPERLINK("CSG21.html#group52C21", "52C²¹"), =HYPERLINK("CSG21.html#group104B21", "104B²¹"), =HYPERLINK("CSG23.html#group104A23", "104A²³")</f>
        <v/>
      </c>
      <c r="M2160">
        <f>HYPERLINK("CSG5.html#group52A5", "52A⁵"), =HYPERLINK("CSG0.html#group13A0", "13A⁰"), =HYPERLINK("CSG0.html#group2B0", "2B⁰"), =HYPERLINK("CSG0.html#group13B0", "13B⁰"), =HYPERLINK("CSG4.html#group52A4", "52A⁴"), =HYPERLINK("CSG0.html#group4B0", "4B⁰"), =HYPERLINK("CSG0.html#group1A0", "1A⁰"), =HYPERLINK("CSG2.html#group26A2", "26A²"), =HYPERLINK("CSG4.html#group26A4", "26A⁴")</f>
        <v/>
      </c>
      <c r="N2160">
        <f>HYPERLINK("CSG21.html#group52C21", "52C²¹"), =HYPERLINK("CSG23.html#group104A23", "104A²³"), =HYPERLINK("CSG21.html#group104B21", "104B²¹"), =HYPERLINK("CSG19.html#group52B19", "52B¹⁹"), =HYPERLINK("CSG19.html#group104A19", "104A¹⁹")</f>
        <v/>
      </c>
    </row>
    <row r="2161">
      <c r="A2161" t="inlineStr">
        <is>
          <t>52B⁹</t>
        </is>
      </c>
      <c r="B2161" t="inlineStr"/>
      <c r="C2161" t="inlineStr">
        <is>
          <t>168</t>
        </is>
      </c>
      <c r="D2161" t="inlineStr">
        <is>
          <t>1</t>
        </is>
      </c>
      <c r="E2161" t="inlineStr">
        <is>
          <t>42</t>
        </is>
      </c>
      <c r="F2161" t="inlineStr">
        <is>
          <t>8</t>
        </is>
      </c>
      <c r="G2161" t="inlineStr">
        <is>
          <t>0</t>
        </is>
      </c>
      <c r="H2161" t="inlineStr">
        <is>
          <t>2², 4², 26², 52²</t>
        </is>
      </c>
      <c r="I2161" t="n">
        <v>8</v>
      </c>
      <c r="J2161" t="inlineStr">
        <is>
          <t>1⁶, 12³</t>
        </is>
      </c>
      <c r="K2161">
        <f>HYPERLINK("CSG4.html#group26B4", "26B⁴"), =HYPERLINK("CSG4.html#group52A4", "52A⁴"), =HYPERLINK("CSG5.html#group52B5", "52B⁵")</f>
        <v/>
      </c>
      <c r="L2161">
        <f>HYPERLINK("CSG19.html#group52C19", "52C¹⁹"), =HYPERLINK("CSG21.html#group52C21", "52C²¹"), =HYPERLINK("CSG21.html#group52D21", "52D²¹"), =HYPERLINK("CSG21.html#group52F21", "52F²¹"), =HYPERLINK("CSG21.html#group104A21", "104A²¹"), =HYPERLINK("CSG21.html#group104C21", "104C²¹"), =HYPERLINK("CSG21.html#group104D21", "104D²¹"), =HYPERLINK("CSG23.html#group104J23", "104J²³")</f>
        <v/>
      </c>
      <c r="M2161">
        <f>HYPERLINK("CSG0.html#group4C0", "4C⁰"), =HYPERLINK("CSG0.html#group13A0", "13A⁰"), =HYPERLINK("CSG4.html#group26B4", "26B⁴"), =HYPERLINK("CSG5.html#group52B5", "52B⁵"), =HYPERLINK("CSG0.html#group2B0", "2B⁰"), =HYPERLINK("CSG0.html#group26A0", "26A⁰"), =HYPERLINK("CSG4.html#group52A4", "52A⁴"), =HYPERLINK("CSG0.html#group1A0", "1A⁰"), =HYPERLINK("CSG2.html#group26A2", "26A²")</f>
        <v/>
      </c>
      <c r="N2161">
        <f>HYPERLINK("CSG21.html#group52D21", "52D²¹"), =HYPERLINK("CSG21.html#group104D21", "104D²¹"), =HYPERLINK("CSG21.html#group104A21", "104A²¹"), =HYPERLINK("CSG21.html#group104C21", "104C²¹"), =HYPERLINK("CSG23.html#group104J23", "104J²³"), =HYPERLINK("CSG21.html#group52C21", "52C²¹"), =HYPERLINK("CSG19.html#group52C19", "52C¹⁹"), =HYPERLINK("CSG21.html#group52F21", "52F²¹")</f>
        <v/>
      </c>
    </row>
    <row r="2162">
      <c r="A2162" t="inlineStr">
        <is>
          <t>52C⁹</t>
        </is>
      </c>
      <c r="B2162" t="inlineStr"/>
      <c r="C2162" t="inlineStr">
        <is>
          <t>168</t>
        </is>
      </c>
      <c r="D2162" t="inlineStr">
        <is>
          <t>1</t>
        </is>
      </c>
      <c r="E2162" t="inlineStr">
        <is>
          <t>56</t>
        </is>
      </c>
      <c r="F2162" t="inlineStr">
        <is>
          <t>12</t>
        </is>
      </c>
      <c r="G2162" t="inlineStr">
        <is>
          <t>0</t>
        </is>
      </c>
      <c r="H2162" t="inlineStr">
        <is>
          <t>4³, 52³</t>
        </is>
      </c>
      <c r="I2162" t="n">
        <v>6</v>
      </c>
      <c r="J2162" t="inlineStr">
        <is>
          <t>2⁴, 24²</t>
        </is>
      </c>
      <c r="K2162">
        <f>HYPERLINK("CSG0.html#group13C0", "13C⁰"), =HYPERLINK("CSG3.html#group52A3", "52A³")</f>
        <v/>
      </c>
      <c r="L2162">
        <f>HYPERLINK("CSG17.html#group52A17", "52A¹⁷"), =HYPERLINK("CSG23.html#group52E23", "52E²³"), =HYPERLINK("CSG23.html#group52F23", "52F²³"), =HYPERLINK("CSG23.html#group104U23", "104U²³"), =HYPERLINK("CSG23.html#group104T23", "104T²³")</f>
        <v/>
      </c>
      <c r="M2162">
        <f>HYPERLINK("CSG0.html#group13A0", "13A⁰"), =HYPERLINK("CSG0.html#group13C0", "13C⁰"), =HYPERLINK("CSG3.html#group52A3", "52A³"), =HYPERLINK("CSG0.html#group1A0", "1A⁰"), =HYPERLINK("CSG0.html#group4A0", "4A⁰")</f>
        <v/>
      </c>
      <c r="N2162">
        <f>HYPERLINK("CSG23.html#group104T23", "104T²³"), =HYPERLINK("CSG23.html#group104U23", "104U²³"), =HYPERLINK("CSG23.html#group52F23", "52F²³"), =HYPERLINK("CSG17.html#group52A17", "52A¹⁷"), =HYPERLINK("CSG23.html#group52E23", "52E²³")</f>
        <v/>
      </c>
    </row>
    <row r="2163">
      <c r="A2163" t="inlineStr">
        <is>
          <t>52D⁹</t>
        </is>
      </c>
      <c r="B2163" t="inlineStr"/>
      <c r="C2163" t="inlineStr">
        <is>
          <t>168</t>
        </is>
      </c>
      <c r="D2163" t="inlineStr">
        <is>
          <t>2</t>
        </is>
      </c>
      <c r="E2163" t="inlineStr">
        <is>
          <t>14</t>
        </is>
      </c>
      <c r="F2163" t="inlineStr">
        <is>
          <t>12</t>
        </is>
      </c>
      <c r="G2163" t="inlineStr">
        <is>
          <t>0</t>
        </is>
      </c>
      <c r="H2163" t="inlineStr">
        <is>
          <t>4³, 52³</t>
        </is>
      </c>
      <c r="I2163" t="n">
        <v>6</v>
      </c>
      <c r="J2163" t="inlineStr">
        <is>
          <t>2², 24¹</t>
        </is>
      </c>
      <c r="K2163">
        <f>HYPERLINK("CSG1.html#group52A1", "52A¹"), =HYPERLINK("CSG2.html#group26B2", "26B²")</f>
        <v/>
      </c>
      <c r="L2163">
        <f>HYPERLINK("CSG23.html#group52A23", "52A²³")</f>
        <v/>
      </c>
      <c r="M2163">
        <f>HYPERLINK("CSG0.html#group13A0", "13A⁰"), =HYPERLINK("CSG0.html#group13C0", "13C⁰"), =HYPERLINK("CSG0.html#group26A0", "26A⁰"), =HYPERLINK("CSG2.html#group26B2", "26B²"), =HYPERLINK("CSG1.html#group52A1", "52A¹"), =HYPERLINK("CSG0.html#group1A0", "1A⁰")</f>
        <v/>
      </c>
      <c r="N2163">
        <f>HYPERLINK("CSG23.html#group52A23", "52A²³")</f>
        <v/>
      </c>
    </row>
    <row r="2164">
      <c r="A2164" t="inlineStr">
        <is>
          <t>52E⁹</t>
        </is>
      </c>
      <c r="B2164" t="inlineStr"/>
      <c r="C2164" t="inlineStr">
        <is>
          <t>168</t>
        </is>
      </c>
      <c r="D2164" t="inlineStr">
        <is>
          <t>2</t>
        </is>
      </c>
      <c r="E2164" t="inlineStr">
        <is>
          <t>42</t>
        </is>
      </c>
      <c r="F2164" t="inlineStr">
        <is>
          <t>4</t>
        </is>
      </c>
      <c r="G2164" t="inlineStr">
        <is>
          <t>0</t>
        </is>
      </c>
      <c r="H2164" t="inlineStr">
        <is>
          <t>2⁴, 4¹, 26⁴, 52¹</t>
        </is>
      </c>
      <c r="I2164" t="n">
        <v>10</v>
      </c>
      <c r="J2164" t="inlineStr">
        <is>
          <t>2⁶, 24³</t>
        </is>
      </c>
      <c r="K2164">
        <f>HYPERLINK("CSG4.html#group26B4", "26B⁴")</f>
        <v/>
      </c>
      <c r="L2164">
        <f>HYPERLINK("CSG19.html#group52A19", "52A¹⁹"), =HYPERLINK("CSG21.html#group52F21", "52F²¹"), =HYPERLINK("CSG23.html#group52H23", "52H²³")</f>
        <v/>
      </c>
      <c r="M2164">
        <f>HYPERLINK("CSG0.html#group13A0", "13A⁰"), =HYPERLINK("CSG4.html#group26B4", "26B⁴"), =HYPERLINK("CSG0.html#group2B0", "2B⁰"), =HYPERLINK("CSG0.html#group26A0", "26A⁰"), =HYPERLINK("CSG0.html#group1A0", "1A⁰"), =HYPERLINK("CSG2.html#group26A2", "26A²")</f>
        <v/>
      </c>
      <c r="N2164">
        <f>HYPERLINK("CSG19.html#group52A19", "52A¹⁹"), =HYPERLINK("CSG21.html#group52F21", "52F²¹"), =HYPERLINK("CSG23.html#group52H23", "52H²³")</f>
        <v/>
      </c>
    </row>
    <row r="2165">
      <c r="A2165" t="inlineStr">
        <is>
          <t>55A⁹</t>
        </is>
      </c>
      <c r="B2165" t="inlineStr"/>
      <c r="C2165" t="inlineStr">
        <is>
          <t>120</t>
        </is>
      </c>
      <c r="D2165" t="inlineStr">
        <is>
          <t>1</t>
        </is>
      </c>
      <c r="E2165" t="inlineStr">
        <is>
          <t>120</t>
        </is>
      </c>
      <c r="F2165" t="inlineStr">
        <is>
          <t>0</t>
        </is>
      </c>
      <c r="G2165" t="inlineStr">
        <is>
          <t>0</t>
        </is>
      </c>
      <c r="H2165" t="inlineStr">
        <is>
          <t>5², 55²</t>
        </is>
      </c>
      <c r="I2165" t="n">
        <v>4</v>
      </c>
      <c r="J2165" t="inlineStr">
        <is>
          <t>2², 4⁴, 20¹, 40²</t>
        </is>
      </c>
      <c r="K2165">
        <f>HYPERLINK("CSG0.html#group5C0", "5C⁰"), =HYPERLINK("CSG1.html#group11A1", "11A¹")</f>
        <v/>
      </c>
      <c r="L2165">
        <f>HYPERLINK("CSG17.html#group55A17", "55A¹⁷"), =HYPERLINK("CSG19.html#group110A19", "110A¹⁹"), =HYPERLINK("CSG19.html#group110B19", "110B¹⁹")</f>
        <v/>
      </c>
      <c r="M2165">
        <f>HYPERLINK("CSG0.html#group5C0", "5C⁰"), =HYPERLINK("CSG1.html#group11A1", "11A¹"), =HYPERLINK("CSG0.html#group1A0", "1A⁰")</f>
        <v/>
      </c>
      <c r="N2165">
        <f>HYPERLINK("CSG17.html#group55A17", "55A¹⁷"), =HYPERLINK("CSG19.html#group110A19", "110A¹⁹"), =HYPERLINK("CSG19.html#group110B19", "110B¹⁹")</f>
        <v/>
      </c>
    </row>
    <row r="2166">
      <c r="A2166" t="inlineStr">
        <is>
          <t>55B⁹</t>
        </is>
      </c>
      <c r="B2166" t="inlineStr"/>
      <c r="C2166" t="inlineStr">
        <is>
          <t>144</t>
        </is>
      </c>
      <c r="D2166" t="inlineStr">
        <is>
          <t>1</t>
        </is>
      </c>
      <c r="E2166" t="inlineStr">
        <is>
          <t>72</t>
        </is>
      </c>
      <c r="F2166" t="inlineStr">
        <is>
          <t>0</t>
        </is>
      </c>
      <c r="G2166" t="inlineStr">
        <is>
          <t>0</t>
        </is>
      </c>
      <c r="H2166" t="inlineStr">
        <is>
          <t>1², 5², 11², 55²</t>
        </is>
      </c>
      <c r="I2166" t="n">
        <v>8</v>
      </c>
      <c r="J2166" t="inlineStr">
        <is>
          <t>1⁴, 4², 10², 40¹</t>
        </is>
      </c>
      <c r="K2166">
        <f>HYPERLINK("CSG0.html#group5D0", "5D⁰"), =HYPERLINK("CSG5.html#group55B5", "55B⁵")</f>
        <v/>
      </c>
      <c r="L2166">
        <f>HYPERLINK("CSG17.html#group55B17", "55B¹⁷"), =HYPERLINK("CSG21.html#group110B21", "110B²¹"), =HYPERLINK("CSG21.html#group110C21", "110C²¹")</f>
        <v/>
      </c>
      <c r="M2166">
        <f>HYPERLINK("CSG0.html#group5B0", "5B⁰"), =HYPERLINK("CSG0.html#group5D0", "5D⁰"), =HYPERLINK("CSG5.html#group55B5", "55B⁵"), =HYPERLINK("CSG0.html#group1A0", "1A⁰"), =HYPERLINK("CSG1.html#group11A1", "11A¹")</f>
        <v/>
      </c>
      <c r="N2166">
        <f>HYPERLINK("CSG21.html#group110B21", "110B²¹"), =HYPERLINK("CSG17.html#group55B17", "55B¹⁷"), =HYPERLINK("CSG21.html#group110C21", "110C²¹")</f>
        <v/>
      </c>
    </row>
    <row r="2167">
      <c r="A2167" t="inlineStr">
        <is>
          <t>56A⁹</t>
        </is>
      </c>
      <c r="B2167" t="inlineStr"/>
      <c r="C2167" t="inlineStr">
        <is>
          <t>128</t>
        </is>
      </c>
      <c r="D2167" t="inlineStr">
        <is>
          <t>1</t>
        </is>
      </c>
      <c r="E2167" t="inlineStr">
        <is>
          <t>128</t>
        </is>
      </c>
      <c r="F2167" t="inlineStr">
        <is>
          <t>0</t>
        </is>
      </c>
      <c r="G2167" t="inlineStr">
        <is>
          <t>2</t>
        </is>
      </c>
      <c r="H2167" t="inlineStr">
        <is>
          <t>8², 56²</t>
        </is>
      </c>
      <c r="I2167" t="n">
        <v>4</v>
      </c>
      <c r="J2167" t="inlineStr">
        <is>
          <t>4⁸, 24⁴</t>
        </is>
      </c>
      <c r="K2167">
        <f>HYPERLINK("CSG0.html#group8F0", "8F⁰"), =HYPERLINK("CSG2.html#group28A2", "28A²")</f>
        <v/>
      </c>
      <c r="L2167">
        <f>HYPERLINK("CSG17.html#group56C17", "56C¹⁷"), =HYPERLINK("CSG17.html#group56D17", "56D¹⁷")</f>
        <v/>
      </c>
      <c r="M2167">
        <f>HYPERLINK("CSG0.html#group7B0", "7B⁰"), =HYPERLINK("CSG0.html#group8F0", "8F⁰"), =HYPERLINK("CSG0.html#group1A0", "1A⁰"), =HYPERLINK("CSG0.html#group4A0", "4A⁰"), =HYPERLINK("CSG2.html#group28A2", "28A²")</f>
        <v/>
      </c>
      <c r="N2167">
        <f>HYPERLINK("CSG17.html#group56C17", "56C¹⁷"), =HYPERLINK("CSG17.html#group56D17", "56D¹⁷")</f>
        <v/>
      </c>
    </row>
    <row r="2168">
      <c r="A2168" t="inlineStr">
        <is>
          <t>56B⁹</t>
        </is>
      </c>
      <c r="B2168" t="inlineStr"/>
      <c r="C2168" t="inlineStr">
        <is>
          <t>168</t>
        </is>
      </c>
      <c r="D2168" t="inlineStr">
        <is>
          <t>2</t>
        </is>
      </c>
      <c r="E2168" t="inlineStr">
        <is>
          <t>21</t>
        </is>
      </c>
      <c r="F2168" t="inlineStr">
        <is>
          <t>16</t>
        </is>
      </c>
      <c r="G2168" t="inlineStr">
        <is>
          <t>0</t>
        </is>
      </c>
      <c r="H2168" t="inlineStr">
        <is>
          <t>28², 56²</t>
        </is>
      </c>
      <c r="I2168" t="n">
        <v>4</v>
      </c>
      <c r="J2168" t="inlineStr">
        <is>
          <t>2³, 6⁶</t>
        </is>
      </c>
      <c r="K2168">
        <f>HYPERLINK("CSG4.html#group28C4", "28C⁴"), =HYPERLINK("CSG4.html#group56B4", "56B⁴"), =HYPERLINK("CSG5.html#group56A5", "56A⁵")</f>
        <v/>
      </c>
      <c r="L2168">
        <f>HYPERLINK("CSG19.html#group112A19", "112A¹⁹"), =HYPERLINK("CSG21.html#group56J21", "56J²¹"), =HYPERLINK("CSG21.html#group56K21", "56K²¹"), =HYPERLINK("CSG23.html#group112C23", "112C²³"), =HYPERLINK("CSG23.html#group112L23", "112L²³")</f>
        <v/>
      </c>
      <c r="M2168">
        <f>HYPERLINK("CSG2.html#group28C2", "28C²"), =HYPERLINK("CSG0.html#group14A0", "14A⁰"), =HYPERLINK("CSG4.html#group28C4", "28C⁴"), =HYPERLINK("CSG1.html#group14B1", "14B¹"), =HYPERLINK("CSG2.html#group14C2", "14C²"), =HYPERLINK("CSG0.html#group4C0", "4C⁰"), =HYPERLINK("CSG0.html#group8B0", "8B⁰"), =HYPERLINK("CSG0.html#group2B0", "2B⁰"), =HYPERLINK("CSG5.html#group56A5", "56A⁵"), =HYPERLINK("CSG0.html#group1A0", "1A⁰"), =HYPERLINK("CSG2.html#group28B2", "28B²"), =HYPERLINK("CSG0.html#group7A0", "7A⁰"), =HYPERLINK("CSG4.html#group56B4", "56B⁴")</f>
        <v/>
      </c>
      <c r="N2168">
        <f>HYPERLINK("CSG19.html#group112A19", "112A¹⁹"), =HYPERLINK("CSG21.html#group56J21", "56J²¹"), =HYPERLINK("CSG21.html#group56K21", "56K²¹"), =HYPERLINK("CSG23.html#group112C23", "112C²³"), =HYPERLINK("CSG23.html#group112L23", "112L²³")</f>
        <v/>
      </c>
    </row>
    <row r="2169">
      <c r="A2169" t="inlineStr">
        <is>
          <t>56C⁹</t>
        </is>
      </c>
      <c r="B2169" t="inlineStr"/>
      <c r="C2169" t="inlineStr">
        <is>
          <t>192</t>
        </is>
      </c>
      <c r="D2169" t="inlineStr">
        <is>
          <t>1</t>
        </is>
      </c>
      <c r="E2169" t="inlineStr">
        <is>
          <t>48</t>
        </is>
      </c>
      <c r="F2169" t="inlineStr">
        <is>
          <t>0</t>
        </is>
      </c>
      <c r="G2169" t="inlineStr">
        <is>
          <t>0</t>
        </is>
      </c>
      <c r="H2169" t="inlineStr">
        <is>
          <t>1⁴, 2², 7⁴, 8², 14², 56²</t>
        </is>
      </c>
      <c r="I2169" t="n">
        <v>16</v>
      </c>
      <c r="J2169" t="inlineStr">
        <is>
          <t>1⁸, 2², 6⁴, 12¹</t>
        </is>
      </c>
      <c r="K2169">
        <f>HYPERLINK("CSG4.html#group28E4", "28E⁴"), =HYPERLINK("CSG4.html#group56C4", "56C⁴"), =HYPERLINK("CSG5.html#group56D5", "56D⁵")</f>
        <v/>
      </c>
      <c r="L2169">
        <f>HYPERLINK("CSG21.html#group56L21", "56L²¹"), =HYPERLINK("CSG21.html#group56M21", "56M²¹"), =HYPERLINK("CSG21.html#group112E21", "112E²¹"), =HYPERLINK("CSG21.html#group112F21", "112F²¹")</f>
        <v/>
      </c>
      <c r="M2169">
        <f>HYPERLINK("CSG4.html#group28E4", "28E⁴"), =HYPERLINK("CSG4.html#group56C4", "56C⁴"), =HYPERLINK("CSG0.html#group7B0", "7B⁰"), =HYPERLINK("CSG2.html#group28D2", "28D²"), =HYPERLINK("CSG1.html#group14C1", "14C¹"), =HYPERLINK("CSG0.html#group8C0", "8C⁰"), =HYPERLINK("CSG0.html#group2B0", "2B⁰"), =HYPERLINK("CSG0.html#group4B0", "4B⁰"), =HYPERLINK("CSG5.html#group56D5", "56D⁵"), =HYPERLINK("CSG0.html#group1A0", "1A⁰")</f>
        <v/>
      </c>
      <c r="N2169">
        <f>HYPERLINK("CSG21.html#group56L21", "56L²¹"), =HYPERLINK("CSG21.html#group112F21", "112F²¹"), =HYPERLINK("CSG21.html#group112E21", "112E²¹"), =HYPERLINK("CSG21.html#group56M21", "56M²¹")</f>
        <v/>
      </c>
    </row>
    <row r="2170">
      <c r="A2170" t="inlineStr">
        <is>
          <t>57A⁹</t>
        </is>
      </c>
      <c r="B2170" t="inlineStr"/>
      <c r="C2170" t="inlineStr">
        <is>
          <t>120</t>
        </is>
      </c>
      <c r="D2170" t="inlineStr">
        <is>
          <t>1</t>
        </is>
      </c>
      <c r="E2170" t="inlineStr">
        <is>
          <t>60</t>
        </is>
      </c>
      <c r="F2170" t="inlineStr">
        <is>
          <t>0</t>
        </is>
      </c>
      <c r="G2170" t="inlineStr">
        <is>
          <t>0</t>
        </is>
      </c>
      <c r="H2170" t="inlineStr">
        <is>
          <t>3², 57²</t>
        </is>
      </c>
      <c r="I2170" t="n">
        <v>4</v>
      </c>
      <c r="J2170" t="inlineStr">
        <is>
          <t>1², 2², 18¹, 36¹</t>
        </is>
      </c>
      <c r="K2170">
        <f>HYPERLINK("CSG0.html#group3C0", "3C⁰"), =HYPERLINK("CSG5.html#group57A5", "57A⁵")</f>
        <v/>
      </c>
      <c r="L2170">
        <f>HYPERLINK("CSG17.html#group57A17", "57A¹⁷"), =HYPERLINK("CSG19.html#group114A19", "114A¹⁹"), =HYPERLINK("CSG19.html#group114B19", "114B¹⁹")</f>
        <v/>
      </c>
      <c r="M2170">
        <f>HYPERLINK("CSG1.html#group19A1", "19A¹"), =HYPERLINK("CSG0.html#group3C0", "3C⁰"), =HYPERLINK("CSG5.html#group57A5", "57A⁵"), =HYPERLINK("CSG0.html#group3A0", "3A⁰"), =HYPERLINK("CSG0.html#group1A0", "1A⁰")</f>
        <v/>
      </c>
      <c r="N2170">
        <f>HYPERLINK("CSG19.html#group114A19", "114A¹⁹"), =HYPERLINK("CSG17.html#group57A17", "57A¹⁷"), =HYPERLINK("CSG19.html#group114B19", "114B¹⁹")</f>
        <v/>
      </c>
    </row>
    <row r="2171">
      <c r="A2171" t="inlineStr">
        <is>
          <t>57B⁹</t>
        </is>
      </c>
      <c r="B2171" t="inlineStr"/>
      <c r="C2171" t="inlineStr">
        <is>
          <t>160</t>
        </is>
      </c>
      <c r="D2171" t="inlineStr">
        <is>
          <t>1</t>
        </is>
      </c>
      <c r="E2171" t="inlineStr">
        <is>
          <t>80</t>
        </is>
      </c>
      <c r="F2171" t="inlineStr">
        <is>
          <t>0</t>
        </is>
      </c>
      <c r="G2171" t="inlineStr">
        <is>
          <t>4</t>
        </is>
      </c>
      <c r="H2171" t="inlineStr">
        <is>
          <t>1², 3², 19², 57²</t>
        </is>
      </c>
      <c r="I2171" t="n">
        <v>8</v>
      </c>
      <c r="J2171" t="inlineStr">
        <is>
          <t>1⁴, 2², 18², 36¹</t>
        </is>
      </c>
      <c r="K2171">
        <f>HYPERLINK("CSG5.html#group57C5", "57C⁵")</f>
        <v/>
      </c>
      <c r="L2171">
        <f>HYPERLINK("CSG21.html#group114A21", "114A²¹")</f>
        <v/>
      </c>
      <c r="M2171">
        <f>HYPERLINK("CSG0.html#group3B0", "3B⁰"), =HYPERLINK("CSG0.html#group1A0", "1A⁰"), =HYPERLINK("CSG1.html#group19A1", "19A¹"), =HYPERLINK("CSG5.html#group57C5", "57C⁵")</f>
        <v/>
      </c>
      <c r="N2171">
        <f>HYPERLINK("CSG21.html#group114A21", "114A²¹")</f>
        <v/>
      </c>
    </row>
    <row r="2172">
      <c r="A2172" t="inlineStr">
        <is>
          <t>58A⁹</t>
        </is>
      </c>
      <c r="B2172" t="inlineStr"/>
      <c r="C2172" t="inlineStr">
        <is>
          <t>120</t>
        </is>
      </c>
      <c r="D2172" t="inlineStr">
        <is>
          <t>1</t>
        </is>
      </c>
      <c r="E2172" t="inlineStr">
        <is>
          <t>30</t>
        </is>
      </c>
      <c r="F2172" t="inlineStr">
        <is>
          <t>0</t>
        </is>
      </c>
      <c r="G2172" t="inlineStr">
        <is>
          <t>0</t>
        </is>
      </c>
      <c r="H2172" t="inlineStr">
        <is>
          <t>2², 58²</t>
        </is>
      </c>
      <c r="I2172" t="n">
        <v>4</v>
      </c>
      <c r="J2172" t="inlineStr">
        <is>
          <t>1², 28¹</t>
        </is>
      </c>
      <c r="K2172">
        <f>HYPERLINK("CSG4.html#group29A4", "29A⁴"), =HYPERLINK("CSG4.html#group58A4", "58A⁴"), =HYPERLINK("CSG5.html#group58A5", "58A⁵")</f>
        <v/>
      </c>
      <c r="L2172">
        <f>HYPERLINK("CSG19.html#group116A19", "116A¹⁹")</f>
        <v/>
      </c>
      <c r="M2172">
        <f>HYPERLINK("CSG0.html#group2A0", "2A⁰"), =HYPERLINK("CSG4.html#group58A4", "58A⁴"), =HYPERLINK("CSG5.html#group58A5", "58A⁵"), =HYPERLINK("CSG4.html#group29A4", "29A⁴"), =HYPERLINK("CSG0.html#group1A0", "1A⁰"), =HYPERLINK("CSG2.html#group29A2", "29A²")</f>
        <v/>
      </c>
      <c r="N2172">
        <f>HYPERLINK("CSG19.html#group116A19", "116A¹⁹")</f>
        <v/>
      </c>
    </row>
    <row r="2173">
      <c r="A2173" t="inlineStr">
        <is>
          <t>60A⁹</t>
        </is>
      </c>
      <c r="B2173" t="inlineStr"/>
      <c r="C2173" t="inlineStr">
        <is>
          <t>120</t>
        </is>
      </c>
      <c r="D2173" t="inlineStr">
        <is>
          <t>1</t>
        </is>
      </c>
      <c r="E2173" t="inlineStr">
        <is>
          <t>30</t>
        </is>
      </c>
      <c r="F2173" t="inlineStr">
        <is>
          <t>4</t>
        </is>
      </c>
      <c r="G2173" t="inlineStr">
        <is>
          <t>0</t>
        </is>
      </c>
      <c r="H2173" t="inlineStr">
        <is>
          <t>60²</t>
        </is>
      </c>
      <c r="I2173" t="n">
        <v>2</v>
      </c>
      <c r="J2173" t="inlineStr">
        <is>
          <t>2¹, 4¹, 8¹, 16¹</t>
        </is>
      </c>
      <c r="K2173">
        <f>HYPERLINK("CSG1.html#group12D1", "12D¹"), =HYPERLINK("CSG4.html#group30A4", "30A⁴")</f>
        <v/>
      </c>
      <c r="L2173">
        <f>HYPERLINK("CSG19.html#group60A19", "60A¹⁹")</f>
        <v/>
      </c>
      <c r="M2173">
        <f>HYPERLINK("CSG0.html#group5A0", "5A⁰"), =HYPERLINK("CSG1.html#group12D1", "12D¹"), =HYPERLINK("CSG0.html#group6B0", "6B⁰"), =HYPERLINK("CSG4.html#group30A4", "30A⁴"), =HYPERLINK("CSG0.html#group1A0", "1A⁰"), =HYPERLINK("CSG2.html#group30A2", "30A²"), =HYPERLINK("CSG2.html#group15A2", "15A²"), =HYPERLINK("CSG0.html#group6E0", "6E⁰"), =HYPERLINK("CSG0.html#group3C0", "3C⁰"), =HYPERLINK("CSG0.html#group3A0", "3A⁰"), =HYPERLINK("CSG1.html#group15A1", "15A¹")</f>
        <v/>
      </c>
      <c r="N2173">
        <f>HYPERLINK("CSG19.html#group60A19", "60A¹⁹")</f>
        <v/>
      </c>
    </row>
    <row r="2174">
      <c r="A2174" t="inlineStr">
        <is>
          <t>60B⁹</t>
        </is>
      </c>
      <c r="B2174" t="inlineStr"/>
      <c r="C2174" t="inlineStr">
        <is>
          <t>120</t>
        </is>
      </c>
      <c r="D2174" t="inlineStr">
        <is>
          <t>1</t>
        </is>
      </c>
      <c r="E2174" t="inlineStr">
        <is>
          <t>60</t>
        </is>
      </c>
      <c r="F2174" t="inlineStr">
        <is>
          <t>0</t>
        </is>
      </c>
      <c r="G2174" t="inlineStr">
        <is>
          <t>0</t>
        </is>
      </c>
      <c r="H2174" t="inlineStr">
        <is>
          <t>10¹, 20¹, 30¹, 60¹</t>
        </is>
      </c>
      <c r="I2174" t="n">
        <v>4</v>
      </c>
      <c r="J2174" t="inlineStr">
        <is>
          <t>1⁶, 2³, 4⁶, 8³</t>
        </is>
      </c>
      <c r="K2174">
        <f>HYPERLINK("CSG1.html#group12F1", "12F¹"), =HYPERLINK("CSG2.html#group20B2", "20B²"), =HYPERLINK("CSG4.html#group30D4", "30D⁴")</f>
        <v/>
      </c>
      <c r="L2174">
        <f>HYPERLINK("CSG17.html#group60B17", "60B¹⁷"), =HYPERLINK("CSG18.html#group60G18", "60G¹⁸"), =HYPERLINK("CSG18.html#group120D18", "120D¹⁸"), =HYPERLINK("CSG19.html#group120A19", "120A¹⁹"), =HYPERLINK("CSG19.html#group120B19", "120B¹⁹")</f>
        <v/>
      </c>
      <c r="M2174">
        <f>HYPERLINK("CSG0.html#group3B0", "3B⁰"), =HYPERLINK("CSG0.html#group5A0", "5A⁰"), =HYPERLINK("CSG4.html#group30D4", "30D⁴"), =HYPERLINK("CSG1.html#group12F1", "12F¹"), =HYPERLINK("CSG1.html#group10B1", "10B¹"), =HYPERLINK("CSG2.html#group20B2", "20B²"), =HYPERLINK("CSG0.html#group4C0", "4C⁰"), =HYPERLINK("CSG1.html#group15B1", "15B¹"), =HYPERLINK("CSG0.html#group1A0", "1A⁰"), =HYPERLINK("CSG0.html#group2B0", "2B⁰"), =HYPERLINK("CSG0.html#group6F0", "6F⁰")</f>
        <v/>
      </c>
      <c r="N2174">
        <f>HYPERLINK("CSG19.html#group120A19", "120A¹⁹"), =HYPERLINK("CSG18.html#group120D18", "120D¹⁸"), =HYPERLINK("CSG17.html#group60B17", "60B¹⁷"), =HYPERLINK("CSG18.html#group60G18", "60G¹⁸"), =HYPERLINK("CSG19.html#group120B19", "120B¹⁹")</f>
        <v/>
      </c>
    </row>
    <row r="2175">
      <c r="A2175" t="inlineStr">
        <is>
          <t>60C⁹</t>
        </is>
      </c>
      <c r="B2175" t="inlineStr"/>
      <c r="C2175" t="inlineStr">
        <is>
          <t>120</t>
        </is>
      </c>
      <c r="D2175" t="inlineStr">
        <is>
          <t>1</t>
        </is>
      </c>
      <c r="E2175" t="inlineStr">
        <is>
          <t>60</t>
        </is>
      </c>
      <c r="F2175" t="inlineStr">
        <is>
          <t>4</t>
        </is>
      </c>
      <c r="G2175" t="inlineStr">
        <is>
          <t>0</t>
        </is>
      </c>
      <c r="H2175" t="inlineStr">
        <is>
          <t>60²</t>
        </is>
      </c>
      <c r="I2175" t="n">
        <v>2</v>
      </c>
      <c r="J2175" t="inlineStr">
        <is>
          <t>2², 4², 8², 16²</t>
        </is>
      </c>
      <c r="K2175">
        <f>HYPERLINK("CSG1.html#group12G1", "12G¹"), =HYPERLINK("CSG2.html#group15A2", "15A²"), =HYPERLINK("CSG4.html#group60A4", "60A⁴")</f>
        <v/>
      </c>
      <c r="L2175">
        <f>HYPERLINK("CSG17.html#group60E17", "60E¹⁷"), =HYPERLINK("CSG19.html#group60C19", "60C¹⁹"), =HYPERLINK("CSG19.html#group60G19", "60G¹⁹"), =HYPERLINK("CSG19.html#group120C19", "120C¹⁹"), =HYPERLINK("CSG19.html#group120D19", "120D¹⁹")</f>
        <v/>
      </c>
      <c r="M2175">
        <f>HYPERLINK("CSG1.html#group12G1", "12G¹"), =HYPERLINK("CSG0.html#group5A0", "5A⁰"), =HYPERLINK("CSG0.html#group12A0", "12A⁰"), =HYPERLINK("CSG2.html#group15A2", "15A²"), =HYPERLINK("CSG0.html#group4A0", "4A⁰"), =HYPERLINK("CSG4.html#group60A4", "60A⁴"), =HYPERLINK("CSG0.html#group3C0", "3C⁰"), =HYPERLINK("CSG1.html#group20A1", "20A¹"), =HYPERLINK("CSG0.html#group3A0", "3A⁰"), =HYPERLINK("CSG0.html#group1A0", "1A⁰"), =HYPERLINK("CSG1.html#group15A1", "15A¹")</f>
        <v/>
      </c>
      <c r="N2175">
        <f>HYPERLINK("CSG19.html#group120D19", "120D¹⁹"), =HYPERLINK("CSG19.html#group60G19", "60G¹⁹"), =HYPERLINK("CSG17.html#group60E17", "60E¹⁷"), =HYPERLINK("CSG19.html#group60C19", "60C¹⁹"), =HYPERLINK("CSG19.html#group120C19", "120C¹⁹")</f>
        <v/>
      </c>
    </row>
    <row r="2176">
      <c r="A2176" t="inlineStr">
        <is>
          <t>60D⁹</t>
        </is>
      </c>
      <c r="B2176" t="inlineStr"/>
      <c r="C2176" t="inlineStr">
        <is>
          <t>120</t>
        </is>
      </c>
      <c r="D2176" t="inlineStr">
        <is>
          <t>2</t>
        </is>
      </c>
      <c r="E2176" t="inlineStr">
        <is>
          <t>40</t>
        </is>
      </c>
      <c r="F2176" t="inlineStr">
        <is>
          <t>0</t>
        </is>
      </c>
      <c r="G2176" t="inlineStr">
        <is>
          <t>3</t>
        </is>
      </c>
      <c r="H2176" t="inlineStr">
        <is>
          <t>60²</t>
        </is>
      </c>
      <c r="I2176" t="n">
        <v>2</v>
      </c>
      <c r="J2176" t="inlineStr">
        <is>
          <t>8², 16⁴</t>
        </is>
      </c>
      <c r="K2176">
        <f>HYPERLINK("CSG2.html#group20D2", "20D²"), =HYPERLINK("CSG2.html#group30B2", "30B²")</f>
        <v/>
      </c>
      <c r="L2176">
        <f>HYPERLINK("CSG18.html#group120E18", "120E¹⁸")</f>
        <v/>
      </c>
      <c r="M2176">
        <f>HYPERLINK("CSG0.html#group2A0", "2A⁰"), =HYPERLINK("CSG2.html#group30B2", "30B²"), =HYPERLINK("CSG0.html#group5A0", "5A⁰"), =HYPERLINK("CSG0.html#group10A0", "10A⁰"), =HYPERLINK("CSG2.html#group20D2", "20D²"), =HYPERLINK("CSG0.html#group4A0", "4A⁰"), =HYPERLINK("CSG0.html#group4D0", "4D⁰"), =HYPERLINK("CSG1.html#group20A1", "20A¹"), =HYPERLINK("CSG0.html#group1A0", "1A⁰")</f>
        <v/>
      </c>
      <c r="N2176">
        <f>HYPERLINK("CSG18.html#group120E18", "120E¹⁸")</f>
        <v/>
      </c>
    </row>
    <row r="2177">
      <c r="A2177" t="inlineStr">
        <is>
          <t>60E⁹</t>
        </is>
      </c>
      <c r="B2177" t="inlineStr"/>
      <c r="C2177" t="inlineStr">
        <is>
          <t>144</t>
        </is>
      </c>
      <c r="D2177" t="inlineStr">
        <is>
          <t>1</t>
        </is>
      </c>
      <c r="E2177" t="inlineStr">
        <is>
          <t>36</t>
        </is>
      </c>
      <c r="F2177" t="inlineStr">
        <is>
          <t>8</t>
        </is>
      </c>
      <c r="G2177" t="inlineStr">
        <is>
          <t>0</t>
        </is>
      </c>
      <c r="H2177" t="inlineStr">
        <is>
          <t>12², 60²</t>
        </is>
      </c>
      <c r="I2177" t="n">
        <v>4</v>
      </c>
      <c r="J2177" t="inlineStr">
        <is>
          <t>2², 4², 8¹, 16¹</t>
        </is>
      </c>
      <c r="K2177">
        <f>HYPERLINK("CSG3.html#group30I3", "30I³")</f>
        <v/>
      </c>
      <c r="L2177">
        <f>HYPERLINK("CSG17.html#group60N17", "60N¹⁷"), =HYPERLINK("CSG21.html#group60A21", "60A²¹"), =HYPERLINK("CSG21.html#group60G21", "60G²¹")</f>
        <v/>
      </c>
      <c r="M2177">
        <f>HYPERLINK("CSG0.html#group15B0", "15B⁰"), =HYPERLINK("CSG0.html#group6B0", "6B⁰"), =HYPERLINK("CSG3.html#group30I3", "30I³"), =HYPERLINK("CSG0.html#group6E0", "6E⁰"), =HYPERLINK("CSG1.html#group15E1", "15E¹"), =HYPERLINK("CSG0.html#group5B0", "5B⁰"), =HYPERLINK("CSG0.html#group3C0", "3C⁰"), =HYPERLINK("CSG0.html#group3A0", "3A⁰"), =HYPERLINK("CSG0.html#group1A0", "1A⁰"), =HYPERLINK("CSG1.html#group30C1", "30C¹")</f>
        <v/>
      </c>
      <c r="N2177">
        <f>HYPERLINK("CSG21.html#group60G21", "60G²¹"), =HYPERLINK("CSG21.html#group60A21", "60A²¹"), =HYPERLINK("CSG17.html#group60N17", "60N¹⁷")</f>
        <v/>
      </c>
    </row>
    <row r="2178">
      <c r="A2178" t="inlineStr">
        <is>
          <t>60F⁹</t>
        </is>
      </c>
      <c r="B2178" t="inlineStr"/>
      <c r="C2178" t="inlineStr">
        <is>
          <t>144</t>
        </is>
      </c>
      <c r="D2178" t="inlineStr">
        <is>
          <t>1</t>
        </is>
      </c>
      <c r="E2178" t="inlineStr">
        <is>
          <t>36</t>
        </is>
      </c>
      <c r="F2178" t="inlineStr">
        <is>
          <t>8</t>
        </is>
      </c>
      <c r="G2178" t="inlineStr">
        <is>
          <t>0</t>
        </is>
      </c>
      <c r="H2178" t="inlineStr">
        <is>
          <t>12², 60²</t>
        </is>
      </c>
      <c r="I2178" t="n">
        <v>4</v>
      </c>
      <c r="J2178" t="inlineStr">
        <is>
          <t>2², 4², 8¹, 16¹</t>
        </is>
      </c>
      <c r="K2178">
        <f>HYPERLINK("CSG1.html#group12D1", "12D¹"), =HYPERLINK("CSG3.html#group30I3", "30I³")</f>
        <v/>
      </c>
      <c r="L2178">
        <f>HYPERLINK("CSG17.html#group60N17", "60N¹⁷"), =HYPERLINK("CSG21.html#group60B21", "60B²¹"), =HYPERLINK("CSG21.html#group60G21", "60G²¹")</f>
        <v/>
      </c>
      <c r="M2178">
        <f>HYPERLINK("CSG1.html#group12D1", "12D¹"), =HYPERLINK("CSG0.html#group6B0", "6B⁰"), =HYPERLINK("CSG3.html#group30I3", "30I³"), =HYPERLINK("CSG1.html#group30C1", "30C¹"), =HYPERLINK("CSG0.html#group5B0", "5B⁰"), =HYPERLINK("CSG0.html#group1A0", "1A⁰"), =HYPERLINK("CSG0.html#group15B0", "15B⁰"), =HYPERLINK("CSG0.html#group6E0", "6E⁰"), =HYPERLINK("CSG0.html#group3C0", "3C⁰"), =HYPERLINK("CSG0.html#group3A0", "3A⁰"), =HYPERLINK("CSG1.html#group15E1", "15E¹")</f>
        <v/>
      </c>
      <c r="N2178">
        <f>HYPERLINK("CSG21.html#group60G21", "60G²¹"), =HYPERLINK("CSG21.html#group60B21", "60B²¹"), =HYPERLINK("CSG17.html#group60N17", "60N¹⁷")</f>
        <v/>
      </c>
    </row>
    <row r="2179">
      <c r="A2179" t="inlineStr">
        <is>
          <t>60G⁹</t>
        </is>
      </c>
      <c r="B2179" t="inlineStr"/>
      <c r="C2179" t="inlineStr">
        <is>
          <t>144</t>
        </is>
      </c>
      <c r="D2179" t="inlineStr">
        <is>
          <t>1</t>
        </is>
      </c>
      <c r="E2179" t="inlineStr">
        <is>
          <t>72</t>
        </is>
      </c>
      <c r="F2179" t="inlineStr">
        <is>
          <t>0</t>
        </is>
      </c>
      <c r="G2179" t="inlineStr">
        <is>
          <t>0</t>
        </is>
      </c>
      <c r="H2179" t="inlineStr">
        <is>
          <t>2¹, 4¹, 6¹, 10¹, 12¹, 20¹, 30¹, 60¹</t>
        </is>
      </c>
      <c r="I2179" t="n">
        <v>8</v>
      </c>
      <c r="J2179" t="inlineStr">
        <is>
          <t>1¹², 2⁶, 4⁶, 8³</t>
        </is>
      </c>
      <c r="K2179">
        <f>HYPERLINK("CSG2.html#group20C2", "20C²"), =HYPERLINK("CSG3.html#group30K3", "30K³")</f>
        <v/>
      </c>
      <c r="L2179">
        <f>HYPERLINK("CSG17.html#group60Q17", "60Q¹⁷"), =HYPERLINK("CSG17.html#group60R17", "60R¹⁷"), =HYPERLINK("CSG17.html#group60S17", "60S¹⁷"), =HYPERLINK("CSG21.html#group120E21", "120E²¹"), =HYPERLINK("CSG21.html#group120F21", "120F²¹")</f>
        <v/>
      </c>
      <c r="M2179">
        <f>HYPERLINK("CSG1.html#group15C1", "15C¹"), =HYPERLINK("CSG0.html#group3B0", "3B⁰"), =HYPERLINK("CSG0.html#group5B0", "5B⁰"), =HYPERLINK("CSG0.html#group10C0", "10C⁰"), =HYPERLINK("CSG0.html#group6F0", "6F⁰"), =HYPERLINK("CSG0.html#group2B0", "2B⁰"), =HYPERLINK("CSG3.html#group30K3", "30K³"), =HYPERLINK("CSG0.html#group1A0", "1A⁰"), =HYPERLINK("CSG2.html#group20C2", "20C²")</f>
        <v/>
      </c>
      <c r="N2179">
        <f>HYPERLINK("CSG17.html#group60R17", "60R¹⁷"), =HYPERLINK("CSG17.html#group60Q17", "60Q¹⁷"), =HYPERLINK("CSG21.html#group120E21", "120E²¹"), =HYPERLINK("CSG17.html#group60S17", "60S¹⁷"), =HYPERLINK("CSG21.html#group120F21", "120F²¹")</f>
        <v/>
      </c>
    </row>
    <row r="2180">
      <c r="A2180" t="inlineStr">
        <is>
          <t>60H⁹</t>
        </is>
      </c>
      <c r="B2180" t="inlineStr"/>
      <c r="C2180" t="inlineStr">
        <is>
          <t>144</t>
        </is>
      </c>
      <c r="D2180" t="inlineStr">
        <is>
          <t>1</t>
        </is>
      </c>
      <c r="E2180" t="inlineStr">
        <is>
          <t>72</t>
        </is>
      </c>
      <c r="F2180" t="inlineStr">
        <is>
          <t>0</t>
        </is>
      </c>
      <c r="G2180" t="inlineStr">
        <is>
          <t>0</t>
        </is>
      </c>
      <c r="H2180" t="inlineStr">
        <is>
          <t>2¹, 4¹, 6¹, 10¹, 12¹, 20¹, 30¹, 60¹</t>
        </is>
      </c>
      <c r="I2180" t="n">
        <v>8</v>
      </c>
      <c r="J2180" t="inlineStr">
        <is>
          <t>1¹², 2⁶, 4⁶, 8³</t>
        </is>
      </c>
      <c r="K2180">
        <f>HYPERLINK("CSG1.html#group12F1", "12F¹"), =HYPERLINK("CSG1.html#group20E1", "20E¹"), =HYPERLINK("CSG3.html#group30K3", "30K³")</f>
        <v/>
      </c>
      <c r="L2180">
        <f>HYPERLINK("CSG17.html#group60P17", "60P¹⁷"), =HYPERLINK("CSG17.html#group60Q17", "60Q¹⁷"), =HYPERLINK("CSG17.html#group60T17", "60T¹⁷"), =HYPERLINK("CSG19.html#group60M19", "60M¹⁹"), =HYPERLINK("CSG19.html#group60N19", "60N¹⁹"), =HYPERLINK("CSG19.html#group120K19", "120K¹⁹"), =HYPERLINK("CSG19.html#group120L19", "120L¹⁹"), =HYPERLINK("CSG21.html#group120A21", "120A²¹"), =HYPERLINK("CSG21.html#group120B21", "120B²¹"), =HYPERLINK("CSG21.html#group120C21", "120C²¹"), =HYPERLINK("CSG21.html#group120D21", "120D²¹")</f>
        <v/>
      </c>
      <c r="M2180">
        <f>HYPERLINK("CSG1.html#group20E1", "20E¹"), =HYPERLINK("CSG0.html#group3B0", "3B⁰"), =HYPERLINK("CSG1.html#group15C1", "15C¹"), =HYPERLINK("CSG1.html#group12F1", "12F¹"), =HYPERLINK("CSG0.html#group4C0", "4C⁰"), =HYPERLINK("CSG0.html#group5B0", "5B⁰"), =HYPERLINK("CSG0.html#group10C0", "10C⁰"), =HYPERLINK("CSG0.html#group6F0", "6F⁰"), =HYPERLINK("CSG0.html#group2B0", "2B⁰"), =HYPERLINK("CSG3.html#group30K3", "30K³"), =HYPERLINK("CSG0.html#group1A0", "1A⁰")</f>
        <v/>
      </c>
      <c r="N2180">
        <f>HYPERLINK("CSG17.html#group60T17", "60T¹⁷"), =HYPERLINK("CSG21.html#group120B21", "120B²¹"), =HYPERLINK("CSG19.html#group120K19", "120K¹⁹"), =HYPERLINK("CSG19.html#group60M19", "60M¹⁹"), =HYPERLINK("CSG19.html#group60N19", "60N¹⁹"), =HYPERLINK("CSG17.html#group60Q17", "60Q¹⁷"), =HYPERLINK("CSG17.html#group60P17", "60P¹⁷"), =HYPERLINK("CSG21.html#group120C21", "120C²¹"), =HYPERLINK("CSG21.html#group120D21", "120D²¹"), =HYPERLINK("CSG21.html#group120A21", "120A²¹"), =HYPERLINK("CSG19.html#group120L19", "120L¹⁹")</f>
        <v/>
      </c>
    </row>
    <row r="2181">
      <c r="A2181" t="inlineStr">
        <is>
          <t>60I⁹</t>
        </is>
      </c>
      <c r="B2181" t="inlineStr"/>
      <c r="C2181" t="inlineStr">
        <is>
          <t>144</t>
        </is>
      </c>
      <c r="D2181" t="inlineStr">
        <is>
          <t>1</t>
        </is>
      </c>
      <c r="E2181" t="inlineStr">
        <is>
          <t>72</t>
        </is>
      </c>
      <c r="F2181" t="inlineStr">
        <is>
          <t>8</t>
        </is>
      </c>
      <c r="G2181" t="inlineStr">
        <is>
          <t>0</t>
        </is>
      </c>
      <c r="H2181" t="inlineStr">
        <is>
          <t>12², 60²</t>
        </is>
      </c>
      <c r="I2181" t="n">
        <v>4</v>
      </c>
      <c r="J2181" t="inlineStr">
        <is>
          <t>2⁴, 4⁴, 8², 16²</t>
        </is>
      </c>
      <c r="K2181">
        <f>HYPERLINK("CSG2.html#group30C2", "30C²"), =HYPERLINK("CSG3.html#group60B3", "60B³")</f>
        <v/>
      </c>
      <c r="L2181">
        <f>HYPERLINK("CSG17.html#group60W17", "60W¹⁷"), =HYPERLINK("CSG17.html#group60Y17", "60Y¹⁷"), =HYPERLINK("CSG21.html#group60K21", "60K²¹"), =HYPERLINK("CSG21.html#group60N21", "60N²¹"), =HYPERLINK("CSG21.html#group60M21", "60M²¹"), =HYPERLINK("CSG21.html#group120J21", "120J²¹"), =HYPERLINK("CSG21.html#group120I21", "120I²¹"), =HYPERLINK("CSG21.html#group120M21", "120M²¹"), =HYPERLINK("CSG21.html#group120N21", "120N²¹")</f>
        <v/>
      </c>
      <c r="M2181">
        <f>HYPERLINK("CSG0.html#group15B0", "15B⁰"), =HYPERLINK("CSG0.html#group12A0", "12A⁰"), =HYPERLINK("CSG0.html#group4A0", "4A⁰"), =HYPERLINK("CSG0.html#group5B0", "5B⁰"), =HYPERLINK("CSG3.html#group60B3", "60B³"), =HYPERLINK("CSG0.html#group3A0", "3A⁰"), =HYPERLINK("CSG0.html#group1A0", "1A⁰"), =HYPERLINK("CSG1.html#group20B1", "20B¹"), =HYPERLINK("CSG2.html#group30C2", "30C²")</f>
        <v/>
      </c>
      <c r="N2181">
        <f>HYPERLINK("CSG21.html#group120M21", "120M²¹"), =HYPERLINK("CSG17.html#group60W17", "60W¹⁷"), =HYPERLINK("CSG21.html#group60N21", "60N²¹"), =HYPERLINK("CSG21.html#group60K21", "60K²¹"), =HYPERLINK("CSG21.html#group120N21", "120N²¹"), =HYPERLINK("CSG17.html#group60Y17", "60Y¹⁷"), =HYPERLINK("CSG21.html#group60M21", "60M²¹"), =HYPERLINK("CSG21.html#group120J21", "120J²¹"), =HYPERLINK("CSG21.html#group120I21", "120I²¹")</f>
        <v/>
      </c>
    </row>
    <row r="2182">
      <c r="A2182" t="inlineStr">
        <is>
          <t>60J⁹</t>
        </is>
      </c>
      <c r="B2182" t="inlineStr"/>
      <c r="C2182" t="inlineStr">
        <is>
          <t>144</t>
        </is>
      </c>
      <c r="D2182" t="inlineStr">
        <is>
          <t>1</t>
        </is>
      </c>
      <c r="E2182" t="inlineStr">
        <is>
          <t>72</t>
        </is>
      </c>
      <c r="F2182" t="inlineStr">
        <is>
          <t>8</t>
        </is>
      </c>
      <c r="G2182" t="inlineStr">
        <is>
          <t>0</t>
        </is>
      </c>
      <c r="H2182" t="inlineStr">
        <is>
          <t>12², 60²</t>
        </is>
      </c>
      <c r="I2182" t="n">
        <v>4</v>
      </c>
      <c r="J2182" t="inlineStr">
        <is>
          <t>2⁴, 4⁴, 8², 16²</t>
        </is>
      </c>
      <c r="K2182">
        <f>HYPERLINK("CSG1.html#group12G1", "12G¹"), =HYPERLINK("CSG1.html#group15E1", "15E¹"), =HYPERLINK("CSG3.html#group60B3", "60B³")</f>
        <v/>
      </c>
      <c r="L2182">
        <f>HYPERLINK("CSG17.html#group60U17", "60U¹⁷"), =HYPERLINK("CSG17.html#group60V17", "60V¹⁷"), =HYPERLINK("CSG17.html#group60W17", "60W¹⁷"), =HYPERLINK("CSG21.html#group60E21", "60E²¹"), =HYPERLINK("CSG21.html#group60K21", "60K²¹"), =HYPERLINK("CSG21.html#group60L21", "60L²¹"), =HYPERLINK("CSG21.html#group60O21", "60O²¹"), =HYPERLINK("CSG21.html#group120G21", "120G²¹"), =HYPERLINK("CSG21.html#group120H21", "120H²¹"), =HYPERLINK("CSG21.html#group120K21", "120K²¹"), =HYPERLINK("CSG21.html#group120L21", "120L²¹")</f>
        <v/>
      </c>
      <c r="M2182">
        <f>HYPERLINK("CSG1.html#group12G1", "12G¹"), =HYPERLINK("CSG0.html#group15B0", "15B⁰"), =HYPERLINK("CSG0.html#group12A0", "12A⁰"), =HYPERLINK("CSG0.html#group4A0", "4A⁰"), =HYPERLINK("CSG0.html#group5B0", "5B⁰"), =HYPERLINK("CSG0.html#group3C0", "3C⁰"), =HYPERLINK("CSG3.html#group60B3", "60B³"), =HYPERLINK("CSG0.html#group3A0", "3A⁰"), =HYPERLINK("CSG0.html#group1A0", "1A⁰"), =HYPERLINK("CSG1.html#group20B1", "20B¹"), =HYPERLINK("CSG1.html#group15E1", "15E¹")</f>
        <v/>
      </c>
      <c r="N2182">
        <f>HYPERLINK("CSG17.html#group60W17", "60W¹⁷"), =HYPERLINK("CSG21.html#group120H21", "120H²¹"), =HYPERLINK("CSG21.html#group60K21", "60K²¹"), =HYPERLINK("CSG17.html#group60U17", "60U¹⁷"), =HYPERLINK("CSG21.html#group60E21", "60E²¹"), =HYPERLINK("CSG21.html#group60L21", "60L²¹"), =HYPERLINK("CSG17.html#group60V17", "60V¹⁷"), =HYPERLINK("CSG21.html#group120L21", "120L²¹"), =HYPERLINK("CSG21.html#group120K21", "120K²¹"), =HYPERLINK("CSG21.html#group60O21", "60O²¹"), =HYPERLINK("CSG21.html#group120G21", "120G²¹")</f>
        <v/>
      </c>
    </row>
    <row r="2183">
      <c r="A2183" t="inlineStr">
        <is>
          <t>60K⁹</t>
        </is>
      </c>
      <c r="B2183" t="inlineStr"/>
      <c r="C2183" t="inlineStr">
        <is>
          <t>144</t>
        </is>
      </c>
      <c r="D2183" t="inlineStr">
        <is>
          <t>2</t>
        </is>
      </c>
      <c r="E2183" t="inlineStr">
        <is>
          <t>18</t>
        </is>
      </c>
      <c r="F2183" t="inlineStr">
        <is>
          <t>8</t>
        </is>
      </c>
      <c r="G2183" t="inlineStr">
        <is>
          <t>0</t>
        </is>
      </c>
      <c r="H2183" t="inlineStr">
        <is>
          <t>12², 60²</t>
        </is>
      </c>
      <c r="I2183" t="n">
        <v>4</v>
      </c>
      <c r="J2183" t="inlineStr">
        <is>
          <t>2², 4², 8¹, 16¹</t>
        </is>
      </c>
      <c r="K2183">
        <f>HYPERLINK("CSG3.html#group30J3", "30J³"), =HYPERLINK("CSG3.html#group60D3", "60D³")</f>
        <v/>
      </c>
      <c r="L2183">
        <f>HYPERLINK("CSG17.html#group60X17", "60X¹⁷"), =HYPERLINK("CSG21.html#group60C21", "60C²¹"), =HYPERLINK("CSG21.html#group60Q21", "60Q²¹")</f>
        <v/>
      </c>
      <c r="M2183">
        <f>HYPERLINK("CSG0.html#group30A0", "30A⁰"), =HYPERLINK("CSG0.html#group15B0", "15B⁰"), =HYPERLINK("CSG3.html#group30J3", "30J³"), =HYPERLINK("CSG0.html#group5B0", "5B⁰"), =HYPERLINK("CSG0.html#group3C0", "3C⁰"), =HYPERLINK("CSG2.html#group30C2", "30C²"), =HYPERLINK("CSG3.html#group60D3", "60D³"), =HYPERLINK("CSG0.html#group3A0", "3A⁰"), =HYPERLINK("CSG0.html#group1A0", "1A⁰"), =HYPERLINK("CSG1.html#group15E1", "15E¹"), =HYPERLINK("CSG0.html#group10B0", "10B⁰")</f>
        <v/>
      </c>
      <c r="N2183">
        <f>HYPERLINK("CSG17.html#group60X17", "60X¹⁷"), =HYPERLINK("CSG21.html#group60C21", "60C²¹"), =HYPERLINK("CSG21.html#group60Q21", "60Q²¹")</f>
        <v/>
      </c>
    </row>
    <row r="2184">
      <c r="A2184" t="inlineStr">
        <is>
          <t>60L⁹</t>
        </is>
      </c>
      <c r="B2184" t="inlineStr"/>
      <c r="C2184" t="inlineStr">
        <is>
          <t>144</t>
        </is>
      </c>
      <c r="D2184" t="inlineStr">
        <is>
          <t>2</t>
        </is>
      </c>
      <c r="E2184" t="inlineStr">
        <is>
          <t>18</t>
        </is>
      </c>
      <c r="F2184" t="inlineStr">
        <is>
          <t>8</t>
        </is>
      </c>
      <c r="G2184" t="inlineStr">
        <is>
          <t>0</t>
        </is>
      </c>
      <c r="H2184" t="inlineStr">
        <is>
          <t>12², 60²</t>
        </is>
      </c>
      <c r="I2184" t="n">
        <v>4</v>
      </c>
      <c r="J2184" t="inlineStr">
        <is>
          <t>2², 4², 8¹, 16¹</t>
        </is>
      </c>
      <c r="K2184">
        <f>HYPERLINK("CSG3.html#group30J3", "30J³"), =HYPERLINK("CSG3.html#group60C3", "60C³"), =HYPERLINK("CSG3.html#group60D3", "60D³")</f>
        <v/>
      </c>
      <c r="L2184">
        <f>HYPERLINK("CSG17.html#group60X17", "60X¹⁷"), =HYPERLINK("CSG21.html#group60D21", "60D²¹"), =HYPERLINK("CSG21.html#group60Q21", "60Q²¹")</f>
        <v/>
      </c>
      <c r="M2184">
        <f>HYPERLINK("CSG0.html#group30A0", "30A⁰"), =HYPERLINK("CSG1.html#group20C1", "20C¹"), =HYPERLINK("CSG0.html#group15B0", "15B⁰"), =HYPERLINK("CSG3.html#group60C3", "60C³"), =HYPERLINK("CSG3.html#group30J3", "30J³"), =HYPERLINK("CSG0.html#group5B0", "5B⁰"), =HYPERLINK("CSG0.html#group3C0", "3C⁰"), =HYPERLINK("CSG2.html#group30C2", "30C²"), =HYPERLINK("CSG3.html#group60D3", "60D³"), =HYPERLINK("CSG0.html#group3A0", "3A⁰"), =HYPERLINK("CSG0.html#group1A0", "1A⁰"), =HYPERLINK("CSG1.html#group15E1", "15E¹"), =HYPERLINK("CSG0.html#group10B0", "10B⁰")</f>
        <v/>
      </c>
      <c r="N2184">
        <f>HYPERLINK("CSG17.html#group60X17", "60X¹⁷"), =HYPERLINK("CSG21.html#group60D21", "60D²¹"), =HYPERLINK("CSG21.html#group60Q21", "60Q²¹")</f>
        <v/>
      </c>
    </row>
    <row r="2185">
      <c r="A2185" t="inlineStr">
        <is>
          <t>60M⁹</t>
        </is>
      </c>
      <c r="B2185" t="inlineStr"/>
      <c r="C2185" t="inlineStr">
        <is>
          <t>216</t>
        </is>
      </c>
      <c r="D2185" t="inlineStr">
        <is>
          <t>1</t>
        </is>
      </c>
      <c r="E2185" t="inlineStr">
        <is>
          <t>18</t>
        </is>
      </c>
      <c r="F2185" t="inlineStr">
        <is>
          <t>24</t>
        </is>
      </c>
      <c r="G2185" t="inlineStr">
        <is>
          <t>0</t>
        </is>
      </c>
      <c r="H2185" t="inlineStr">
        <is>
          <t>6², 12², 30², 60²</t>
        </is>
      </c>
      <c r="I2185" t="n">
        <v>8</v>
      </c>
      <c r="J2185" t="inlineStr">
        <is>
          <t>1⁶, 4³</t>
        </is>
      </c>
      <c r="K2185">
        <f>HYPERLINK("CSG1.html#group20I1", "20I¹"), =HYPERLINK("CSG4.html#group30H4", "30H⁴"), =HYPERLINK("CSG4.html#group60C4", "60C⁴"), =HYPERLINK("CSG5.html#group60A5", "60A⁵")</f>
        <v/>
      </c>
      <c r="L2185">
        <f>HYPERLINK("CSG21.html#group60X21", "60X²¹"), =HYPERLINK("CSG21.html#group120O21", "120O²¹"), =HYPERLINK("CSG23.html#group60N23", "60N²³"), =HYPERLINK("CSG23.html#group60R23", "60R²³")</f>
        <v/>
      </c>
      <c r="M2185">
        <f>HYPERLINK("CSG0.html#group30A0", "30A⁰"), =HYPERLINK("CSG1.html#group20E1", "20E¹"), =HYPERLINK("CSG0.html#group10G0", "10G⁰"), =HYPERLINK("CSG0.html#group12C0", "12C⁰"), =HYPERLINK("CSG0.html#group4C0", "4C⁰"), =HYPERLINK("CSG0.html#group5B0", "5B⁰"), =HYPERLINK("CSG4.html#group60C4", "60C⁴"), =HYPERLINK("CSG0.html#group2B0", "2B⁰"), =HYPERLINK("CSG0.html#group1A0", "1A⁰"), =HYPERLINK("CSG0.html#group10B0", "10B⁰"), =HYPERLINK("CSG0.html#group20A0", "20A⁰"), =HYPERLINK("CSG0.html#group15B0", "15B⁰"), =HYPERLINK("CSG2.html#group30E2", "30E²"), =HYPERLINK("CSG1.html#group20I1", "20I¹"), =HYPERLINK("CSG5.html#group60A5", "60A⁵"), =HYPERLINK("CSG0.html#group10C0", "10C⁰"), =HYPERLINK("CSG4.html#group30H4", "30H⁴"), =HYPERLINK("CSG0.html#group3A0", "3A⁰"), =HYPERLINK("CSG0.html#group6D0", "6D⁰")</f>
        <v/>
      </c>
      <c r="N2185">
        <f>HYPERLINK("CSG23.html#group60R23", "60R²³"), =HYPERLINK("CSG21.html#group60X21", "60X²¹"), =HYPERLINK("CSG21.html#group120O21", "120O²¹"), =HYPERLINK("CSG23.html#group60N23", "60N²³")</f>
        <v/>
      </c>
    </row>
    <row r="2186">
      <c r="A2186" t="inlineStr">
        <is>
          <t>60N⁹</t>
        </is>
      </c>
      <c r="B2186" t="inlineStr"/>
      <c r="C2186" t="inlineStr">
        <is>
          <t>216</t>
        </is>
      </c>
      <c r="D2186" t="inlineStr">
        <is>
          <t>1</t>
        </is>
      </c>
      <c r="E2186" t="inlineStr">
        <is>
          <t>54</t>
        </is>
      </c>
      <c r="F2186" t="inlineStr">
        <is>
          <t>16</t>
        </is>
      </c>
      <c r="G2186" t="inlineStr">
        <is>
          <t>0</t>
        </is>
      </c>
      <c r="H2186" t="inlineStr">
        <is>
          <t>3⁴, 12², 15⁴, 60²</t>
        </is>
      </c>
      <c r="I2186" t="n">
        <v>12</v>
      </c>
      <c r="J2186" t="inlineStr">
        <is>
          <t>1⁶, 2⁶, 4³, 8³</t>
        </is>
      </c>
      <c r="K2186">
        <f>HYPERLINK("CSG4.html#group30I4", "30I⁴"), =HYPERLINK("CSG4.html#group60C4", "60C⁴"), =HYPERLINK("CSG5.html#group60B5", "60B⁵")</f>
        <v/>
      </c>
      <c r="L2186">
        <f>HYPERLINK("CSG21.html#group60W21", "60W²¹"), =HYPERLINK("CSG21.html#group60X21", "60X²¹"), =HYPERLINK("CSG23.html#group120Q23", "120Q²³"), =HYPERLINK("CSG23.html#group120R23", "120R²³"), =HYPERLINK("CSG23.html#group120S23", "120S²³")</f>
        <v/>
      </c>
      <c r="M2186">
        <f>HYPERLINK("CSG0.html#group20A0", "20A⁰"), =HYPERLINK("CSG0.html#group15B0", "15B⁰"), =HYPERLINK("CSG2.html#group30E2", "30E²"), =HYPERLINK("CSG4.html#group30I4", "30I⁴"), =HYPERLINK("CSG0.html#group5B0", "5B⁰"), =HYPERLINK("CSG0.html#group10C0", "10C⁰"), =HYPERLINK("CSG4.html#group60C4", "60C⁴"), =HYPERLINK("CSG0.html#group2B0", "2B⁰"), =HYPERLINK("CSG0.html#group12D0", "12D⁰"), =HYPERLINK("CSG0.html#group15C0", "15C⁰"), =HYPERLINK("CSG0.html#group3A0", "3A⁰"), =HYPERLINK("CSG0.html#group1A0", "1A⁰"), =HYPERLINK("CSG0.html#group6D0", "6D⁰"), =HYPERLINK("CSG5.html#group60B5", "60B⁵")</f>
        <v/>
      </c>
      <c r="N2186">
        <f>HYPERLINK("CSG23.html#group120R23", "120R²³"), =HYPERLINK("CSG21.html#group60X21", "60X²¹"), =HYPERLINK("CSG23.html#group120Q23", "120Q²³"), =HYPERLINK("CSG23.html#group120S23", "120S²³"), =HYPERLINK("CSG21.html#group60W21", "60W²¹")</f>
        <v/>
      </c>
    </row>
    <row r="2187">
      <c r="A2187" t="inlineStr">
        <is>
          <t>63A⁹</t>
        </is>
      </c>
      <c r="B2187" t="inlineStr"/>
      <c r="C2187" t="inlineStr">
        <is>
          <t>126</t>
        </is>
      </c>
      <c r="D2187" t="inlineStr">
        <is>
          <t>2</t>
        </is>
      </c>
      <c r="E2187" t="inlineStr">
        <is>
          <t>63</t>
        </is>
      </c>
      <c r="F2187" t="inlineStr">
        <is>
          <t>6</t>
        </is>
      </c>
      <c r="G2187" t="inlineStr">
        <is>
          <t>0</t>
        </is>
      </c>
      <c r="H2187" t="inlineStr">
        <is>
          <t>63²</t>
        </is>
      </c>
      <c r="I2187" t="n">
        <v>2</v>
      </c>
      <c r="J2187" t="inlineStr">
        <is>
          <t>4³, 12⁸, 36⁴</t>
        </is>
      </c>
      <c r="K2187">
        <f>HYPERLINK("CSG1.html#group9B1", "9B¹"), =HYPERLINK("CSG2.html#group21D2", "21D²"), =HYPERLINK("CSG2.html#group63A2", "63A²")</f>
        <v/>
      </c>
      <c r="L2187">
        <f>HYPERLINK("CSG18.html#group63B18", "63B¹⁸"), =HYPERLINK("CSG18.html#group126D18", "126D¹⁸"), =HYPERLINK("CSG19.html#group63E19", "63E¹⁹"), =HYPERLINK("CSG19.html#group126B19", "126B¹⁹"), =HYPERLINK("CSG20.html#group63A20", "63A²⁰"), =HYPERLINK("CSG20.html#group126B20", "126B²⁰"), =HYPERLINK("CSG21.html#group126H21", "126H²¹")</f>
        <v/>
      </c>
      <c r="M2187">
        <f>HYPERLINK("CSG2.html#group21D2", "21D²"), =HYPERLINK("CSG0.html#group9A0", "9A⁰"), =HYPERLINK("CSG0.html#group21A0", "21A⁰"), =HYPERLINK("CSG0.html#group3C0", "3C⁰"), =HYPERLINK("CSG0.html#group7A0", "7A⁰"), =HYPERLINK("CSG0.html#group3A0", "3A⁰"), =HYPERLINK("CSG0.html#group1A0", "1A⁰"), =HYPERLINK("CSG1.html#group9B1", "9B¹"), =HYPERLINK("CSG2.html#group63A2", "63A²")</f>
        <v/>
      </c>
      <c r="N2187">
        <f>HYPERLINK("CSG19.html#group126B19", "126B¹⁹"), =HYPERLINK("CSG18.html#group63B18", "63B¹⁸"), =HYPERLINK("CSG20.html#group63A20", "63A²⁰"), =HYPERLINK("CSG20.html#group126B20", "126B²⁰"), =HYPERLINK("CSG21.html#group126H21", "126H²¹"), =HYPERLINK("CSG19.html#group63E19", "63E¹⁹"), =HYPERLINK("CSG18.html#group126D18", "126D¹⁸")</f>
        <v/>
      </c>
    </row>
    <row r="2188">
      <c r="A2188" t="inlineStr">
        <is>
          <t>63B⁹</t>
        </is>
      </c>
      <c r="B2188" t="inlineStr"/>
      <c r="C2188" t="inlineStr">
        <is>
          <t>126</t>
        </is>
      </c>
      <c r="D2188" t="inlineStr">
        <is>
          <t>2</t>
        </is>
      </c>
      <c r="E2188" t="inlineStr">
        <is>
          <t>63</t>
        </is>
      </c>
      <c r="F2188" t="inlineStr">
        <is>
          <t>6</t>
        </is>
      </c>
      <c r="G2188" t="inlineStr">
        <is>
          <t>0</t>
        </is>
      </c>
      <c r="H2188" t="inlineStr">
        <is>
          <t>63²</t>
        </is>
      </c>
      <c r="I2188" t="n">
        <v>2</v>
      </c>
      <c r="J2188" t="inlineStr">
        <is>
          <t>4³, 12⁸, 36⁴</t>
        </is>
      </c>
      <c r="K2188">
        <f>HYPERLINK("CSG1.html#group9B1", "9B¹"), =HYPERLINK("CSG2.html#group21D2", "21D²"), =HYPERLINK("CSG2.html#group63A2", "63A²")</f>
        <v/>
      </c>
      <c r="L2188">
        <f>HYPERLINK("CSG18.html#group63C18", "63C¹⁸"), =HYPERLINK("CSG18.html#group126E18", "126E¹⁸"), =HYPERLINK("CSG19.html#group63D19", "63D¹⁹"), =HYPERLINK("CSG19.html#group126C19", "126C¹⁹"), =HYPERLINK("CSG20.html#group63A20", "63A²⁰"), =HYPERLINK("CSG20.html#group126A20", "126A²⁰"), =HYPERLINK("CSG21.html#group126G21", "126G²¹")</f>
        <v/>
      </c>
      <c r="M2188">
        <f>HYPERLINK("CSG2.html#group21D2", "21D²"), =HYPERLINK("CSG0.html#group9A0", "9A⁰"), =HYPERLINK("CSG0.html#group21A0", "21A⁰"), =HYPERLINK("CSG0.html#group3C0", "3C⁰"), =HYPERLINK("CSG0.html#group7A0", "7A⁰"), =HYPERLINK("CSG0.html#group3A0", "3A⁰"), =HYPERLINK("CSG0.html#group1A0", "1A⁰"), =HYPERLINK("CSG1.html#group9B1", "9B¹"), =HYPERLINK("CSG2.html#group63A2", "63A²")</f>
        <v/>
      </c>
      <c r="N2188">
        <f>HYPERLINK("CSG19.html#group126C19", "126C¹⁹"), =HYPERLINK("CSG20.html#group126A20", "126A²⁰"), =HYPERLINK("CSG20.html#group63A20", "63A²⁰"), =HYPERLINK("CSG21.html#group126G21", "126G²¹"), =HYPERLINK("CSG18.html#group63C18", "63C¹⁸"), =HYPERLINK("CSG18.html#group126E18", "126E¹⁸"), =HYPERLINK("CSG19.html#group63D19", "63D¹⁹")</f>
        <v/>
      </c>
    </row>
    <row r="2189">
      <c r="A2189" t="inlineStr">
        <is>
          <t>63C⁹</t>
        </is>
      </c>
      <c r="B2189" t="inlineStr"/>
      <c r="C2189" t="inlineStr">
        <is>
          <t>144</t>
        </is>
      </c>
      <c r="D2189" t="inlineStr">
        <is>
          <t>1</t>
        </is>
      </c>
      <c r="E2189" t="inlineStr">
        <is>
          <t>144</t>
        </is>
      </c>
      <c r="F2189" t="inlineStr">
        <is>
          <t>0</t>
        </is>
      </c>
      <c r="G2189" t="inlineStr">
        <is>
          <t>0</t>
        </is>
      </c>
      <c r="H2189" t="inlineStr">
        <is>
          <t>3³, 9¹, 21³, 63¹</t>
        </is>
      </c>
      <c r="I2189" t="n">
        <v>8</v>
      </c>
      <c r="J2189" t="inlineStr">
        <is>
          <t>1², 2², 3², 6⁵, 12¹, 18¹, 36²</t>
        </is>
      </c>
      <c r="K2189">
        <f>HYPERLINK("CSG0.html#group9E0", "9E⁰"), =HYPERLINK("CSG3.html#group21A3", "21A³")</f>
        <v/>
      </c>
      <c r="L2189">
        <f>HYPERLINK("CSG17.html#group63D17", "63D¹⁷"), =HYPERLINK("CSG21.html#group126L21", "126L²¹"), =HYPERLINK("CSG21.html#group126M21", "126M²¹")</f>
        <v/>
      </c>
      <c r="M2189">
        <f>HYPERLINK("CSG0.html#group3C0", "3C⁰"), =HYPERLINK("CSG0.html#group9E0", "9E⁰"), =HYPERLINK("CSG0.html#group3A0", "3A⁰"), =HYPERLINK("CSG0.html#group1A0", "1A⁰"), =HYPERLINK("CSG0.html#group7B0", "7B⁰"), =HYPERLINK("CSG3.html#group21A3", "21A³"), =HYPERLINK("CSG2.html#group21A2", "21A²")</f>
        <v/>
      </c>
      <c r="N2189">
        <f>HYPERLINK("CSG21.html#group126L21", "126L²¹"), =HYPERLINK("CSG17.html#group63D17", "63D¹⁷"), =HYPERLINK("CSG21.html#group126M21", "126M²¹")</f>
        <v/>
      </c>
    </row>
    <row r="2190">
      <c r="A2190" t="inlineStr">
        <is>
          <t>63D⁹</t>
        </is>
      </c>
      <c r="B2190" t="inlineStr"/>
      <c r="C2190" t="inlineStr">
        <is>
          <t>189</t>
        </is>
      </c>
      <c r="D2190" t="inlineStr">
        <is>
          <t>1</t>
        </is>
      </c>
      <c r="E2190" t="inlineStr">
        <is>
          <t>189</t>
        </is>
      </c>
      <c r="F2190" t="inlineStr">
        <is>
          <t>25</t>
        </is>
      </c>
      <c r="G2190" t="inlineStr">
        <is>
          <t>0</t>
        </is>
      </c>
      <c r="H2190" t="inlineStr">
        <is>
          <t>63³</t>
        </is>
      </c>
      <c r="I2190" t="n">
        <v>3</v>
      </c>
      <c r="J2190" t="inlineStr">
        <is>
          <t>3¹, 6⁴, 12³, 18¹, 36³</t>
        </is>
      </c>
      <c r="K2190">
        <f>HYPERLINK("CSG1.html#group21E1", "21E¹"), =HYPERLINK("CSG2.html#group63A2", "63A²")</f>
        <v/>
      </c>
      <c r="L2190">
        <f>HYPERLINK("CSG21.html#group63D21", "63D²¹"), =HYPERLINK("CSG21.html#group126Q21", "126Q²¹"), =HYPERLINK("CSG21.html#group126R21", "126R²¹"), =HYPERLINK("CSG22.html#group63A22", "63A²²"), =HYPERLINK("CSG22.html#group63B22", "63B²²"), =HYPERLINK("CSG23.html#group63B23", "63B²³"), =HYPERLINK("CSG24.html#group63B24", "63B²⁴"), =HYPERLINK("CSG24.html#group63G24", "63G²⁴"), =HYPERLINK("CSG24.html#group63F24", "63F²⁴"), =HYPERLINK("CSG24.html#group126B24", "126B²⁴"), =HYPERLINK("CSG24.html#group126E24", "126E²⁴"), =HYPERLINK("CSG24.html#group126D24", "126D²⁴")</f>
        <v/>
      </c>
      <c r="M2190">
        <f>HYPERLINK("CSG0.html#group7D0", "7D⁰"), =HYPERLINK("CSG1.html#group21E1", "21E¹"), =HYPERLINK("CSG0.html#group9A0", "9A⁰"), =HYPERLINK("CSG2.html#group63A2", "63A²"), =HYPERLINK("CSG0.html#group21A0", "21A⁰"), =HYPERLINK("CSG0.html#group3A0", "3A⁰"), =HYPERLINK("CSG0.html#group1A0", "1A⁰"), =HYPERLINK("CSG0.html#group7A0", "7A⁰")</f>
        <v/>
      </c>
      <c r="N2190">
        <f>HYPERLINK("CSG21.html#group126R21", "126R²¹"), =HYPERLINK("CSG24.html#group126E24", "126E²⁴"), =HYPERLINK("CSG21.html#group126Q21", "126Q²¹"), =HYPERLINK("CSG22.html#group63B22", "63B²²"), =HYPERLINK("CSG24.html#group63G24", "63G²⁴"), =HYPERLINK("CSG24.html#group126D24", "126D²⁴"), =HYPERLINK("CSG24.html#group63F24", "63F²⁴"), =HYPERLINK("CSG22.html#group63A22", "63A²²"), =HYPERLINK("CSG24.html#group63B24", "63B²⁴"), =HYPERLINK("CSG21.html#group63D21", "63D²¹"), =HYPERLINK("CSG24.html#group126B24", "126B²⁴"), =HYPERLINK("CSG23.html#group63B23", "63B²³")</f>
        <v/>
      </c>
    </row>
    <row r="2191">
      <c r="A2191" t="inlineStr">
        <is>
          <t>63E⁹</t>
        </is>
      </c>
      <c r="B2191" t="inlineStr"/>
      <c r="C2191" t="inlineStr">
        <is>
          <t>192</t>
        </is>
      </c>
      <c r="D2191" t="inlineStr">
        <is>
          <t>1</t>
        </is>
      </c>
      <c r="E2191" t="inlineStr">
        <is>
          <t>32</t>
        </is>
      </c>
      <c r="F2191" t="inlineStr">
        <is>
          <t>0</t>
        </is>
      </c>
      <c r="G2191" t="inlineStr">
        <is>
          <t>0</t>
        </is>
      </c>
      <c r="H2191" t="inlineStr">
        <is>
          <t>1⁶, 7⁶, 9², 63²</t>
        </is>
      </c>
      <c r="I2191" t="n">
        <v>16</v>
      </c>
      <c r="J2191" t="inlineStr">
        <is>
          <t>1⁴, 2², 6², 12¹</t>
        </is>
      </c>
      <c r="K2191">
        <f>HYPERLINK("CSG1.html#group21F1", "21F¹"), =HYPERLINK("CSG5.html#group63A5", "63A⁵")</f>
        <v/>
      </c>
      <c r="L2191" t="inlineStr"/>
      <c r="M2191">
        <f>HYPERLINK("CSG5.html#group63A5", "63A⁵"), =HYPERLINK("CSG0.html#group3B0", "3B⁰"), =HYPERLINK("CSG0.html#group9B0", "9B⁰"), =HYPERLINK("CSG1.html#group21B1", "21B¹"), =HYPERLINK("CSG0.html#group1A0", "1A⁰"), =HYPERLINK("CSG0.html#group7B0", "7B⁰"), =HYPERLINK("CSG1.html#group21F1", "21F¹")</f>
        <v/>
      </c>
      <c r="N2191" t="inlineStr"/>
    </row>
    <row r="2192">
      <c r="A2192" t="inlineStr">
        <is>
          <t>63F⁹</t>
        </is>
      </c>
      <c r="B2192" t="inlineStr"/>
      <c r="C2192" t="inlineStr">
        <is>
          <t>192</t>
        </is>
      </c>
      <c r="D2192" t="inlineStr">
        <is>
          <t>1</t>
        </is>
      </c>
      <c r="E2192" t="inlineStr">
        <is>
          <t>32</t>
        </is>
      </c>
      <c r="F2192" t="inlineStr">
        <is>
          <t>0</t>
        </is>
      </c>
      <c r="G2192" t="inlineStr">
        <is>
          <t>12</t>
        </is>
      </c>
      <c r="H2192" t="inlineStr">
        <is>
          <t>3², 9², 21², 63²</t>
        </is>
      </c>
      <c r="I2192" t="n">
        <v>8</v>
      </c>
      <c r="J2192" t="inlineStr">
        <is>
          <t>1⁴, 2², 6², 12¹</t>
        </is>
      </c>
      <c r="K2192">
        <f>HYPERLINK("CSG1.html#group21F1", "21F¹"), =HYPERLINK("CSG5.html#group63B5", "63B⁵")</f>
        <v/>
      </c>
      <c r="L2192">
        <f>HYPERLINK("CSG21.html#group126S21", "126S²¹")</f>
        <v/>
      </c>
      <c r="M2192">
        <f>HYPERLINK("CSG0.html#group3B0", "3B⁰"), =HYPERLINK("CSG5.html#group63B5", "63B⁵"), =HYPERLINK("CSG1.html#group21B1", "21B¹"), =HYPERLINK("CSG0.html#group9C0", "9C⁰"), =HYPERLINK("CSG0.html#group1A0", "1A⁰"), =HYPERLINK("CSG0.html#group7B0", "7B⁰"), =HYPERLINK("CSG1.html#group21F1", "21F¹")</f>
        <v/>
      </c>
      <c r="N2192">
        <f>HYPERLINK("CSG21.html#group126S21", "126S²¹")</f>
        <v/>
      </c>
    </row>
    <row r="2193">
      <c r="A2193" t="inlineStr">
        <is>
          <t>64A⁹</t>
        </is>
      </c>
      <c r="B2193" t="inlineStr"/>
      <c r="C2193" t="inlineStr">
        <is>
          <t>192</t>
        </is>
      </c>
      <c r="D2193" t="inlineStr">
        <is>
          <t>1</t>
        </is>
      </c>
      <c r="E2193" t="inlineStr">
        <is>
          <t>12</t>
        </is>
      </c>
      <c r="F2193" t="inlineStr">
        <is>
          <t>0</t>
        </is>
      </c>
      <c r="G2193" t="inlineStr">
        <is>
          <t>0</t>
        </is>
      </c>
      <c r="H2193" t="inlineStr">
        <is>
          <t>2⁸, 4⁴, 16², 64²</t>
        </is>
      </c>
      <c r="I2193" t="n">
        <v>16</v>
      </c>
      <c r="J2193" t="inlineStr">
        <is>
          <t>1⁴, 2², 4¹</t>
        </is>
      </c>
      <c r="K2193">
        <f>HYPERLINK("CSG1.html#group32E1", "32E¹"), =HYPERLINK("CSG5.html#group64B5", "64B⁵"), =HYPERLINK("CSG5.html#group64A5", "64A⁵")</f>
        <v/>
      </c>
      <c r="L2193">
        <f>HYPERLINK("CSG17.html#group64A17", "64A¹⁷"), =HYPERLINK("CSG17.html#group64B17", "64B¹⁷")</f>
        <v/>
      </c>
      <c r="M2193">
        <f>HYPERLINK("CSG1.html#group32A1", "32A¹"), =HYPERLINK("CSG0.html#group16H0", "16H⁰"), =HYPERLINK("CSG0.html#group16C0", "16C⁰"), =HYPERLINK("CSG0.html#group16D0", "16D⁰"), =HYPERLINK("CSG0.html#group32A0", "32A⁰"), =HYPERLINK("CSG0.html#group1A0", "1A⁰"), =HYPERLINK("CSG0.html#group8C0", "8C⁰"), =HYPERLINK("CSG0.html#group2B0", "2B⁰"), =HYPERLINK("CSG0.html#group8I0", "8I⁰"), =HYPERLINK("CSG0.html#group4B0", "4B⁰"), =HYPERLINK("CSG1.html#group32E1", "32E¹"), =HYPERLINK("CSG5.html#group64B5", "64B⁵"), =HYPERLINK("CSG5.html#group64A5", "64A⁵")</f>
        <v/>
      </c>
      <c r="N2193">
        <f>HYPERLINK("CSG17.html#group64A17", "64A¹⁷"), =HYPERLINK("CSG17.html#group64B17", "64B¹⁷")</f>
        <v/>
      </c>
    </row>
    <row r="2194">
      <c r="A2194" t="inlineStr">
        <is>
          <t>64B⁹</t>
        </is>
      </c>
      <c r="B2194" t="inlineStr"/>
      <c r="C2194" t="inlineStr">
        <is>
          <t>192</t>
        </is>
      </c>
      <c r="D2194" t="inlineStr">
        <is>
          <t>1</t>
        </is>
      </c>
      <c r="E2194" t="inlineStr">
        <is>
          <t>12</t>
        </is>
      </c>
      <c r="F2194" t="inlineStr">
        <is>
          <t>0</t>
        </is>
      </c>
      <c r="G2194" t="inlineStr">
        <is>
          <t>0</t>
        </is>
      </c>
      <c r="H2194" t="inlineStr">
        <is>
          <t>2⁸, 4⁴, 16², 64²</t>
        </is>
      </c>
      <c r="I2194" t="n">
        <v>16</v>
      </c>
      <c r="J2194" t="inlineStr">
        <is>
          <t>1⁴, 2², 4¹</t>
        </is>
      </c>
      <c r="K2194">
        <f>HYPERLINK("CSG3.html#group32J3", "32J³"), =HYPERLINK("CSG3.html#group64A3", "64A³"), =HYPERLINK("CSG5.html#group64A5", "64A⁵")</f>
        <v/>
      </c>
      <c r="L2194">
        <f>HYPERLINK("CSG17.html#group64A17", "64A¹⁷"), =HYPERLINK("CSG21.html#group64A21", "64A²¹"), =HYPERLINK("CSG21.html#group64F21", "64F²¹"), =HYPERLINK("CSG21.html#group128D21", "128D²¹")</f>
        <v/>
      </c>
      <c r="M2194">
        <f>HYPERLINK("CSG0.html#group2A0", "2A⁰"), =HYPERLINK("CSG0.html#group8D0", "8D⁰"), =HYPERLINK("CSG1.html#group16E1", "16E¹"), =HYPERLINK("CSG0.html#group4C0", "4C⁰"), =HYPERLINK("CSG1.html#group16A1", "16A¹"), =HYPERLINK("CSG0.html#group8C0", "8C⁰"), =HYPERLINK("CSG0.html#group2B0", "2B⁰"), =HYPERLINK("CSG0.html#group4E0", "4E⁰"), =HYPERLINK("CSG0.html#group4B0", "4B⁰"), =HYPERLINK("CSG0.html#group1A0", "1A⁰"), =HYPERLINK("CSG3.html#group32J3", "32J³"), =HYPERLINK("CSG1.html#group32A1", "32A¹"), =HYPERLINK("CSG0.html#group8G0", "8G⁰"), =HYPERLINK("CSG0.html#group16C0", "16C⁰"), =HYPERLINK("CSG3.html#group64A3", "64A³"), =HYPERLINK("CSG0.html#group2C0", "2C⁰"), =HYPERLINK("CSG5.html#group64A5", "64A⁵")</f>
        <v/>
      </c>
      <c r="N2194">
        <f>HYPERLINK("CSG21.html#group128D21", "128D²¹"), =HYPERLINK("CSG17.html#group64A17", "64A¹⁷"), =HYPERLINK("CSG21.html#group64F21", "64F²¹"), =HYPERLINK("CSG21.html#group64A21", "64A²¹")</f>
        <v/>
      </c>
    </row>
    <row r="2195">
      <c r="A2195" t="inlineStr">
        <is>
          <t>64C⁹</t>
        </is>
      </c>
      <c r="B2195" t="inlineStr"/>
      <c r="C2195" t="inlineStr">
        <is>
          <t>192</t>
        </is>
      </c>
      <c r="D2195" t="inlineStr">
        <is>
          <t>1</t>
        </is>
      </c>
      <c r="E2195" t="inlineStr">
        <is>
          <t>12</t>
        </is>
      </c>
      <c r="F2195" t="inlineStr">
        <is>
          <t>0</t>
        </is>
      </c>
      <c r="G2195" t="inlineStr">
        <is>
          <t>0</t>
        </is>
      </c>
      <c r="H2195" t="inlineStr">
        <is>
          <t>2⁸, 4⁴, 16², 64²</t>
        </is>
      </c>
      <c r="I2195" t="n">
        <v>16</v>
      </c>
      <c r="J2195" t="inlineStr">
        <is>
          <t>1⁴, 2², 4¹</t>
        </is>
      </c>
      <c r="K2195">
        <f>HYPERLINK("CSG3.html#group32J3", "32J³"), =HYPERLINK("CSG3.html#group64B3", "64B³"), =HYPERLINK("CSG5.html#group64B5", "64B⁵")</f>
        <v/>
      </c>
      <c r="L2195">
        <f>HYPERLINK("CSG17.html#group64A17", "64A¹⁷"), =HYPERLINK("CSG21.html#group64B21", "64B²¹"), =HYPERLINK("CSG21.html#group64F21", "64F²¹"), =HYPERLINK("CSG21.html#group128F21", "128F²¹")</f>
        <v/>
      </c>
      <c r="M2195">
        <f>HYPERLINK("CSG0.html#group2A0", "2A⁰"), =HYPERLINK("CSG0.html#group8D0", "8D⁰"), =HYPERLINK("CSG1.html#group16E1", "16E¹"), =HYPERLINK("CSG0.html#group4C0", "4C⁰"), =HYPERLINK("CSG3.html#group64B3", "64B³"), =HYPERLINK("CSG1.html#group16A1", "16A¹"), =HYPERLINK("CSG0.html#group8C0", "8C⁰"), =HYPERLINK("CSG0.html#group2B0", "2B⁰"), =HYPERLINK("CSG0.html#group4E0", "4E⁰"), =HYPERLINK("CSG0.html#group4B0", "4B⁰"), =HYPERLINK("CSG0.html#group1A0", "1A⁰"), =HYPERLINK("CSG3.html#group32J3", "32J³"), =HYPERLINK("CSG5.html#group64B5", "64B⁵"), =HYPERLINK("CSG1.html#group32A1", "32A¹"), =HYPERLINK("CSG0.html#group8G0", "8G⁰"), =HYPERLINK("CSG0.html#group16C0", "16C⁰"), =HYPERLINK("CSG0.html#group2C0", "2C⁰")</f>
        <v/>
      </c>
      <c r="N2195">
        <f>HYPERLINK("CSG21.html#group128F21", "128F²¹"), =HYPERLINK("CSG17.html#group64A17", "64A¹⁷"), =HYPERLINK("CSG21.html#group64F21", "64F²¹"), =HYPERLINK("CSG21.html#group64B21", "64B²¹")</f>
        <v/>
      </c>
    </row>
    <row r="2196">
      <c r="A2196" t="inlineStr">
        <is>
          <t>64D⁹</t>
        </is>
      </c>
      <c r="B2196" t="inlineStr"/>
      <c r="C2196" t="inlineStr">
        <is>
          <t>192</t>
        </is>
      </c>
      <c r="D2196" t="inlineStr">
        <is>
          <t>1</t>
        </is>
      </c>
      <c r="E2196" t="inlineStr">
        <is>
          <t>12</t>
        </is>
      </c>
      <c r="F2196" t="inlineStr">
        <is>
          <t>0</t>
        </is>
      </c>
      <c r="G2196" t="inlineStr">
        <is>
          <t>0</t>
        </is>
      </c>
      <c r="H2196" t="inlineStr">
        <is>
          <t>2⁸, 4⁴, 16², 64²</t>
        </is>
      </c>
      <c r="I2196" t="n">
        <v>16</v>
      </c>
      <c r="J2196" t="inlineStr">
        <is>
          <t>1⁴, 2², 4¹</t>
        </is>
      </c>
      <c r="K2196">
        <f>HYPERLINK("CSG3.html#group32M3", "32M³"), =HYPERLINK("CSG3.html#group64A3", "64A³"), =HYPERLINK("CSG5.html#group64B5", "64B⁵")</f>
        <v/>
      </c>
      <c r="L2196">
        <f>HYPERLINK("CSG17.html#group64A17", "64A¹⁷"), =HYPERLINK("CSG21.html#group64J21", "64J²¹"), =HYPERLINK("CSG21.html#group128E21", "128E²¹")</f>
        <v/>
      </c>
      <c r="M2196">
        <f>HYPERLINK("CSG1.html#group32A1", "32A¹"), =HYPERLINK("CSG0.html#group16H0", "16H⁰"), =HYPERLINK("CSG0.html#group4B0", "4B⁰"), =HYPERLINK("CSG0.html#group16C0", "16C⁰"), =HYPERLINK("CSG0.html#group16D0", "16D⁰"), =HYPERLINK("CSG3.html#group32M3", "32M³"), =HYPERLINK("CSG0.html#group8C0", "8C⁰"), =HYPERLINK("CSG0.html#group2B0", "2B⁰"), =HYPERLINK("CSG2.html#group32A2", "32A²"), =HYPERLINK("CSG0.html#group8I0", "8I⁰"), =HYPERLINK("CSG3.html#group64A3", "64A³"), =HYPERLINK("CSG0.html#group1A0", "1A⁰"), =HYPERLINK("CSG5.html#group64B5", "64B⁵")</f>
        <v/>
      </c>
      <c r="N2196">
        <f>HYPERLINK("CSG17.html#group64A17", "64A¹⁷"), =HYPERLINK("CSG21.html#group64J21", "64J²¹"), =HYPERLINK("CSG21.html#group128E21", "128E²¹")</f>
        <v/>
      </c>
    </row>
    <row r="2197">
      <c r="A2197" t="inlineStr">
        <is>
          <t>64E⁹</t>
        </is>
      </c>
      <c r="B2197" t="inlineStr"/>
      <c r="C2197" t="inlineStr">
        <is>
          <t>192</t>
        </is>
      </c>
      <c r="D2197" t="inlineStr">
        <is>
          <t>1</t>
        </is>
      </c>
      <c r="E2197" t="inlineStr">
        <is>
          <t>12</t>
        </is>
      </c>
      <c r="F2197" t="inlineStr">
        <is>
          <t>0</t>
        </is>
      </c>
      <c r="G2197" t="inlineStr">
        <is>
          <t>0</t>
        </is>
      </c>
      <c r="H2197" t="inlineStr">
        <is>
          <t>2⁸, 4⁴, 16², 64²</t>
        </is>
      </c>
      <c r="I2197" t="n">
        <v>16</v>
      </c>
      <c r="J2197" t="inlineStr">
        <is>
          <t>1⁴, 2², 4¹</t>
        </is>
      </c>
      <c r="K2197">
        <f>HYPERLINK("CSG3.html#group32M3", "32M³"), =HYPERLINK("CSG3.html#group64B3", "64B³"), =HYPERLINK("CSG5.html#group64A5", "64A⁵")</f>
        <v/>
      </c>
      <c r="L2197">
        <f>HYPERLINK("CSG17.html#group64A17", "64A¹⁷"), =HYPERLINK("CSG21.html#group64K21", "64K²¹"), =HYPERLINK("CSG21.html#group128B21", "128B²¹"), =HYPERLINK("CSG21.html#group128C21", "128C²¹")</f>
        <v/>
      </c>
      <c r="M2197">
        <f>HYPERLINK("CSG1.html#group32A1", "32A¹"), =HYPERLINK("CSG0.html#group16H0", "16H⁰"), =HYPERLINK("CSG0.html#group16C0", "16C⁰"), =HYPERLINK("CSG0.html#group16D0", "16D⁰"), =HYPERLINK("CSG3.html#group32M3", "32M³"), =HYPERLINK("CSG3.html#group64B3", "64B³"), =HYPERLINK("CSG0.html#group8C0", "8C⁰"), =HYPERLINK("CSG0.html#group2B0", "2B⁰"), =HYPERLINK("CSG2.html#group32A2", "32A²"), =HYPERLINK("CSG0.html#group8I0", "8I⁰"), =HYPERLINK("CSG0.html#group4B0", "4B⁰"), =HYPERLINK("CSG0.html#group1A0", "1A⁰"), =HYPERLINK("CSG5.html#group64A5", "64A⁵")</f>
        <v/>
      </c>
      <c r="N2197">
        <f>HYPERLINK("CSG21.html#group64K21", "64K²¹"), =HYPERLINK("CSG17.html#group64A17", "64A¹⁷"), =HYPERLINK("CSG21.html#group128C21", "128C²¹"), =HYPERLINK("CSG21.html#group128B21", "128B²¹")</f>
        <v/>
      </c>
    </row>
    <row r="2198">
      <c r="A2198" t="inlineStr">
        <is>
          <t>64F⁹</t>
        </is>
      </c>
      <c r="B2198" t="inlineStr"/>
      <c r="C2198" t="inlineStr">
        <is>
          <t>192</t>
        </is>
      </c>
      <c r="D2198" t="inlineStr">
        <is>
          <t>1</t>
        </is>
      </c>
      <c r="E2198" t="inlineStr">
        <is>
          <t>24</t>
        </is>
      </c>
      <c r="F2198" t="inlineStr">
        <is>
          <t>24</t>
        </is>
      </c>
      <c r="G2198" t="inlineStr">
        <is>
          <t>0</t>
        </is>
      </c>
      <c r="H2198" t="inlineStr">
        <is>
          <t>32², 64²</t>
        </is>
      </c>
      <c r="I2198" t="n">
        <v>4</v>
      </c>
      <c r="J2198" t="inlineStr">
        <is>
          <t>2², 4⁵</t>
        </is>
      </c>
      <c r="K2198">
        <f>HYPERLINK("CSG3.html#group32L3", "32L³")</f>
        <v/>
      </c>
      <c r="L2198">
        <f>HYPERLINK("CSG21.html#group64G21", "64G²¹"), =HYPERLINK("CSG21.html#group64H21", "64H²¹"), =HYPERLINK("CSG21.html#group64I21", "64I²¹")</f>
        <v/>
      </c>
      <c r="M2198">
        <f>HYPERLINK("CSG0.html#group16B0", "16B⁰"), =HYPERLINK("CSG0.html#group8H0", "8H⁰"), =HYPERLINK("CSG0.html#group8D0", "8D⁰"), =HYPERLINK("CSG0.html#group4A0", "4A⁰"), =HYPERLINK("CSG0.html#group4C0", "4C⁰"), =HYPERLINK("CSG0.html#group8B0", "8B⁰"), =HYPERLINK("CSG1.html#group16B1", "16B¹"), =HYPERLINK("CSG0.html#group1A0", "1A⁰"), =HYPERLINK("CSG0.html#group2B0", "2B⁰"), =HYPERLINK("CSG1.html#group32B1", "32B¹"), =HYPERLINK("CSG0.html#group4F0", "4F⁰"), =HYPERLINK("CSG1.html#group16F1", "16F¹"), =HYPERLINK("CSG3.html#group32L3", "32L³")</f>
        <v/>
      </c>
      <c r="N2198">
        <f>HYPERLINK("CSG21.html#group64G21", "64G²¹"), =HYPERLINK("CSG21.html#group64I21", "64I²¹"), =HYPERLINK("CSG21.html#group64H21", "64H²¹")</f>
        <v/>
      </c>
    </row>
    <row r="2199">
      <c r="A2199" t="inlineStr">
        <is>
          <t>64G⁹</t>
        </is>
      </c>
      <c r="B2199" t="inlineStr"/>
      <c r="C2199" t="inlineStr">
        <is>
          <t>192</t>
        </is>
      </c>
      <c r="D2199" t="inlineStr">
        <is>
          <t>1</t>
        </is>
      </c>
      <c r="E2199" t="inlineStr">
        <is>
          <t>96</t>
        </is>
      </c>
      <c r="F2199" t="inlineStr">
        <is>
          <t>4</t>
        </is>
      </c>
      <c r="G2199" t="inlineStr">
        <is>
          <t>0</t>
        </is>
      </c>
      <c r="H2199" t="inlineStr">
        <is>
          <t>4⁸, 8⁴, 64²</t>
        </is>
      </c>
      <c r="I2199" t="n">
        <v>14</v>
      </c>
      <c r="J2199" t="inlineStr">
        <is>
          <t>2⁴, 4⁶, 8⁴, 16⁸</t>
        </is>
      </c>
      <c r="K2199">
        <f>HYPERLINK("CSG3.html#group32P3", "32P³")</f>
        <v/>
      </c>
      <c r="L2199">
        <f>HYPERLINK("CSG18.html#group64A18", "64A¹⁸"), =HYPERLINK("CSG19.html#group64A19", "64A¹⁹"), =HYPERLINK("CSG21.html#group64Q21", "64Q²¹"), =HYPERLINK("CSG22.html#group64A22", "64A²²"), =HYPERLINK("CSG22.html#group64B22", "64B²²"), =HYPERLINK("CSG23.html#group64B23", "64B²³")</f>
        <v/>
      </c>
      <c r="M2199">
        <f>HYPERLINK("CSG0.html#group8H0", "8H⁰"), =HYPERLINK("CSG0.html#group16E0", "16E⁰"), =HYPERLINK("CSG1.html#group16I1", "16I¹"), =HYPERLINK("CSG0.html#group8D0", "8D⁰"), =HYPERLINK("CSG0.html#group4A0", "4A⁰"), =HYPERLINK("CSG1.html#group16C1", "16C¹"), =HYPERLINK("CSG0.html#group4C0", "4C⁰"), =HYPERLINK("CSG0.html#group8B0", "8B⁰"), =HYPERLINK("CSG0.html#group1A0", "1A⁰"), =HYPERLINK("CSG0.html#group2B0", "2B⁰"), =HYPERLINK("CSG0.html#group4F0", "4F⁰"), =HYPERLINK("CSG3.html#group32P3", "32P³")</f>
        <v/>
      </c>
      <c r="N2199">
        <f>HYPERLINK("CSG23.html#group64B23", "64B²³"), =HYPERLINK("CSG22.html#group64A22", "64A²²"), =HYPERLINK("CSG22.html#group64B22", "64B²²"), =HYPERLINK("CSG18.html#group64A18", "64A¹⁸"), =HYPERLINK("CSG21.html#group64Q21", "64Q²¹"), =HYPERLINK("CSG19.html#group64A19", "64A¹⁹")</f>
        <v/>
      </c>
    </row>
    <row r="2200">
      <c r="A2200" t="inlineStr">
        <is>
          <t>64H⁹</t>
        </is>
      </c>
      <c r="B2200" t="inlineStr"/>
      <c r="C2200" t="inlineStr">
        <is>
          <t>192</t>
        </is>
      </c>
      <c r="D2200" t="inlineStr">
        <is>
          <t>1</t>
        </is>
      </c>
      <c r="E2200" t="inlineStr">
        <is>
          <t>96</t>
        </is>
      </c>
      <c r="F2200" t="inlineStr">
        <is>
          <t>4</t>
        </is>
      </c>
      <c r="G2200" t="inlineStr">
        <is>
          <t>0</t>
        </is>
      </c>
      <c r="H2200" t="inlineStr">
        <is>
          <t>4⁸, 8⁴, 64²</t>
        </is>
      </c>
      <c r="I2200" t="n">
        <v>14</v>
      </c>
      <c r="J2200" t="inlineStr">
        <is>
          <t>2⁴, 4⁶, 8⁴, 16⁸</t>
        </is>
      </c>
      <c r="K2200">
        <f>HYPERLINK("CSG3.html#group32P3", "32P³")</f>
        <v/>
      </c>
      <c r="L2200">
        <f>HYPERLINK("CSG18.html#group64B18", "64B¹⁸"), =HYPERLINK("CSG19.html#group64A19", "64A¹⁹"), =HYPERLINK("CSG21.html#group64Q21", "64Q²¹"), =HYPERLINK("CSG22.html#group64A22", "64A²²"), =HYPERLINK("CSG22.html#group64B22", "64B²²"), =HYPERLINK("CSG23.html#group64B23", "64B²³")</f>
        <v/>
      </c>
      <c r="M2200">
        <f>HYPERLINK("CSG0.html#group8H0", "8H⁰"), =HYPERLINK("CSG0.html#group16E0", "16E⁰"), =HYPERLINK("CSG1.html#group16I1", "16I¹"), =HYPERLINK("CSG0.html#group8D0", "8D⁰"), =HYPERLINK("CSG0.html#group4A0", "4A⁰"), =HYPERLINK("CSG1.html#group16C1", "16C¹"), =HYPERLINK("CSG0.html#group4C0", "4C⁰"), =HYPERLINK("CSG0.html#group8B0", "8B⁰"), =HYPERLINK("CSG0.html#group1A0", "1A⁰"), =HYPERLINK("CSG0.html#group2B0", "2B⁰"), =HYPERLINK("CSG0.html#group4F0", "4F⁰"), =HYPERLINK("CSG3.html#group32P3", "32P³")</f>
        <v/>
      </c>
      <c r="N2200">
        <f>HYPERLINK("CSG23.html#group64B23", "64B²³"), =HYPERLINK("CSG22.html#group64A22", "64A²²"), =HYPERLINK("CSG22.html#group64B22", "64B²²"), =HYPERLINK("CSG18.html#group64B18", "64B¹⁸"), =HYPERLINK("CSG21.html#group64Q21", "64Q²¹"), =HYPERLINK("CSG19.html#group64A19", "64A¹⁹")</f>
        <v/>
      </c>
    </row>
    <row r="2201">
      <c r="A2201" t="inlineStr">
        <is>
          <t>64I⁹</t>
        </is>
      </c>
      <c r="B2201" t="inlineStr"/>
      <c r="C2201" t="inlineStr">
        <is>
          <t>192</t>
        </is>
      </c>
      <c r="D2201" t="inlineStr">
        <is>
          <t>2</t>
        </is>
      </c>
      <c r="E2201" t="inlineStr">
        <is>
          <t>24</t>
        </is>
      </c>
      <c r="F2201" t="inlineStr">
        <is>
          <t>24</t>
        </is>
      </c>
      <c r="G2201" t="inlineStr">
        <is>
          <t>0</t>
        </is>
      </c>
      <c r="H2201" t="inlineStr">
        <is>
          <t>32², 64²</t>
        </is>
      </c>
      <c r="I2201" t="n">
        <v>4</v>
      </c>
      <c r="J2201" t="inlineStr">
        <is>
          <t>2⁸, 4⁴, 8²</t>
        </is>
      </c>
      <c r="K2201">
        <f>HYPERLINK("CSG3.html#group32N3", "32N³")</f>
        <v/>
      </c>
      <c r="L2201">
        <f>HYPERLINK("CSG21.html#group64I21", "64I²¹"), =HYPERLINK("CSG21.html#group64L21", "64L²¹"), =HYPERLINK("CSG21.html#group64M21", "64M²¹")</f>
        <v/>
      </c>
      <c r="M2201">
        <f>HYPERLINK("CSG0.html#group16B0", "16B⁰"), =HYPERLINK("CSG1.html#group16D1", "16D¹"), =HYPERLINK("CSG0.html#group4C0", "4C⁰"), =HYPERLINK("CSG0.html#group8B0", "8B⁰"), =HYPERLINK("CSG0.html#group8L0", "8L⁰"), =HYPERLINK("CSG1.html#group32B1", "32B¹"), =HYPERLINK("CSG0.html#group2B0", "2B⁰"), =HYPERLINK("CSG1.html#group16J1", "16J¹"), =HYPERLINK("CSG0.html#group1A0", "1A⁰"), =HYPERLINK("CSG3.html#group32N3", "32N³")</f>
        <v/>
      </c>
      <c r="N2201">
        <f>HYPERLINK("CSG21.html#group64M21", "64M²¹"), =HYPERLINK("CSG21.html#group64I21", "64I²¹"), =HYPERLINK("CSG21.html#group64L21", "64L²¹")</f>
        <v/>
      </c>
    </row>
    <row r="2202">
      <c r="A2202" t="inlineStr">
        <is>
          <t>65A⁹</t>
        </is>
      </c>
      <c r="B2202" t="inlineStr"/>
      <c r="C2202" t="inlineStr">
        <is>
          <t>140</t>
        </is>
      </c>
      <c r="D2202" t="inlineStr">
        <is>
          <t>1</t>
        </is>
      </c>
      <c r="E2202" t="inlineStr">
        <is>
          <t>140</t>
        </is>
      </c>
      <c r="F2202" t="inlineStr">
        <is>
          <t>4</t>
        </is>
      </c>
      <c r="G2202" t="inlineStr">
        <is>
          <t>2</t>
        </is>
      </c>
      <c r="H2202" t="inlineStr">
        <is>
          <t>5², 65²</t>
        </is>
      </c>
      <c r="I2202" t="n">
        <v>4</v>
      </c>
      <c r="J2202" t="inlineStr">
        <is>
          <t>2², 4⁴, 24¹, 48²</t>
        </is>
      </c>
      <c r="K2202">
        <f>HYPERLINK("CSG0.html#group5C0", "5C⁰"), =HYPERLINK("CSG0.html#group13A0", "13A⁰")</f>
        <v/>
      </c>
      <c r="L2202">
        <f>HYPERLINK("CSG17.html#group65A17", "65A¹⁷"), =HYPERLINK("CSG19.html#group65A19", "65A¹⁹"), =HYPERLINK("CSG19.html#group65B19", "65B¹⁹"), =HYPERLINK("CSG19.html#group130A19", "130A¹⁹"), =HYPERLINK("CSG19.html#group130B19", "130B¹⁹"), =HYPERLINK("CSG21.html#group130A21", "130A²¹"), =HYPERLINK("CSG21.html#group130B21", "130B²¹")</f>
        <v/>
      </c>
      <c r="M2202">
        <f>HYPERLINK("CSG0.html#group13A0", "13A⁰"), =HYPERLINK("CSG0.html#group5C0", "5C⁰"), =HYPERLINK("CSG0.html#group1A0", "1A⁰")</f>
        <v/>
      </c>
      <c r="N2202">
        <f>HYPERLINK("CSG17.html#group65A17", "65A¹⁷"), =HYPERLINK("CSG19.html#group130B19", "130B¹⁹"), =HYPERLINK("CSG19.html#group65A19", "65A¹⁹"), =HYPERLINK("CSG19.html#group65B19", "65B¹⁹"), =HYPERLINK("CSG21.html#group130B21", "130B²¹"), =HYPERLINK("CSG19.html#group130A19", "130A¹⁹"), =HYPERLINK("CSG21.html#group130A21", "130A²¹")</f>
        <v/>
      </c>
    </row>
    <row r="2203">
      <c r="A2203" t="inlineStr">
        <is>
          <t>65B⁹</t>
        </is>
      </c>
      <c r="B2203" t="inlineStr"/>
      <c r="C2203" t="inlineStr">
        <is>
          <t>168</t>
        </is>
      </c>
      <c r="D2203" t="inlineStr">
        <is>
          <t>1</t>
        </is>
      </c>
      <c r="E2203" t="inlineStr">
        <is>
          <t>84</t>
        </is>
      </c>
      <c r="F2203" t="inlineStr">
        <is>
          <t>8</t>
        </is>
      </c>
      <c r="G2203" t="inlineStr">
        <is>
          <t>0</t>
        </is>
      </c>
      <c r="H2203" t="inlineStr">
        <is>
          <t>1², 5², 13², 65²</t>
        </is>
      </c>
      <c r="I2203" t="n">
        <v>8</v>
      </c>
      <c r="J2203" t="inlineStr">
        <is>
          <t>1⁴, 4², 12², 48¹</t>
        </is>
      </c>
      <c r="K2203">
        <f>HYPERLINK("CSG5.html#group65A5", "65A⁵")</f>
        <v/>
      </c>
      <c r="L2203">
        <f>HYPERLINK("CSG19.html#group65C19", "65C¹⁹"), =HYPERLINK("CSG19.html#group65D19", "65D¹⁹"), =HYPERLINK("CSG21.html#group65A21", "65A²¹"), =HYPERLINK("CSG21.html#group130C21", "130C²¹"), =HYPERLINK("CSG23.html#group130A23", "130A²³"), =HYPERLINK("CSG23.html#group130B23", "130B²³")</f>
        <v/>
      </c>
      <c r="M2203">
        <f>HYPERLINK("CSG0.html#group5B0", "5B⁰"), =HYPERLINK("CSG0.html#group13A0", "13A⁰"), =HYPERLINK("CSG0.html#group1A0", "1A⁰"), =HYPERLINK("CSG5.html#group65A5", "65A⁵")</f>
        <v/>
      </c>
      <c r="N2203">
        <f>HYPERLINK("CSG19.html#group65C19", "65C¹⁹"), =HYPERLINK("CSG23.html#group130A23", "130A²³"), =HYPERLINK("CSG19.html#group65D19", "65D¹⁹"), =HYPERLINK("CSG21.html#group65A21", "65A²¹"), =HYPERLINK("CSG23.html#group130B23", "130B²³"), =HYPERLINK("CSG21.html#group130C21", "130C²¹")</f>
        <v/>
      </c>
    </row>
    <row r="2204">
      <c r="A2204" t="inlineStr">
        <is>
          <t>66A⁹</t>
        </is>
      </c>
      <c r="B2204" t="inlineStr">
        <is>
          <t>Γ₀(66)</t>
        </is>
      </c>
      <c r="C2204" t="inlineStr">
        <is>
          <t>144</t>
        </is>
      </c>
      <c r="D2204" t="inlineStr">
        <is>
          <t>1</t>
        </is>
      </c>
      <c r="E2204" t="inlineStr">
        <is>
          <t>144</t>
        </is>
      </c>
      <c r="F2204" t="inlineStr">
        <is>
          <t>0</t>
        </is>
      </c>
      <c r="G2204" t="inlineStr">
        <is>
          <t>0</t>
        </is>
      </c>
      <c r="H2204" t="inlineStr">
        <is>
          <t>1¹, 2¹, 3¹, 6¹, 11¹, 22¹, 33¹, 66¹</t>
        </is>
      </c>
      <c r="I2204" t="n">
        <v>8</v>
      </c>
      <c r="J2204" t="inlineStr">
        <is>
          <t>1¹², 2⁶, 10⁶, 20³</t>
        </is>
      </c>
      <c r="K2204">
        <f>HYPERLINK("CSG0.html#group6F0", "6F⁰"), =HYPERLINK("CSG2.html#group22C2", "22C²"), =HYPERLINK("CSG3.html#group33C3", "33C³")</f>
        <v/>
      </c>
      <c r="L2204">
        <f>HYPERLINK("CSG17.html#group66A17", "66A¹⁷"), =HYPERLINK("CSG19.html#group66B19", "66B¹⁹"), =HYPERLINK("CSG19.html#group66C19", "66C¹⁹"), =HYPERLINK("CSG19.html#group132C19", "132C¹⁹"), =HYPERLINK("CSG19.html#group132D19", "132D¹⁹"), =HYPERLINK("CSG21.html#group132B21", "132B²¹"), =HYPERLINK("CSG21.html#group132C21", "132C²¹")</f>
        <v/>
      </c>
      <c r="M2204">
        <f>HYPERLINK("CSG0.html#group3B0", "3B⁰"), =HYPERLINK("CSG1.html#group11A1", "11A¹"), =HYPERLINK("CSG0.html#group6F0", "6F⁰"), =HYPERLINK("CSG0.html#group2B0", "2B⁰"), =HYPERLINK("CSG2.html#group22C2", "22C²"), =HYPERLINK("CSG0.html#group1A0", "1A⁰"), =HYPERLINK("CSG3.html#group33C3", "33C³")</f>
        <v/>
      </c>
      <c r="N2204">
        <f>HYPERLINK("CSG19.html#group66C19", "66C¹⁹"), =HYPERLINK("CSG21.html#group132B21", "132B²¹"), =HYPERLINK("CSG17.html#group66A17", "66A¹⁷"), =HYPERLINK("CSG19.html#group132C19", "132C¹⁹"), =HYPERLINK("CSG19.html#group66B19", "66B¹⁹"), =HYPERLINK("CSG19.html#group132D19", "132D¹⁹"), =HYPERLINK("CSG21.html#group132C21", "132C²¹")</f>
        <v/>
      </c>
    </row>
    <row r="2205">
      <c r="A2205" t="inlineStr">
        <is>
          <t>68A⁹</t>
        </is>
      </c>
      <c r="B2205" t="inlineStr"/>
      <c r="C2205" t="inlineStr">
        <is>
          <t>144</t>
        </is>
      </c>
      <c r="D2205" t="inlineStr">
        <is>
          <t>1</t>
        </is>
      </c>
      <c r="E2205" t="inlineStr">
        <is>
          <t>72</t>
        </is>
      </c>
      <c r="F2205" t="inlineStr">
        <is>
          <t>8</t>
        </is>
      </c>
      <c r="G2205" t="inlineStr">
        <is>
          <t>0</t>
        </is>
      </c>
      <c r="H2205" t="inlineStr">
        <is>
          <t>4², 68²</t>
        </is>
      </c>
      <c r="I2205" t="n">
        <v>4</v>
      </c>
      <c r="J2205" t="inlineStr">
        <is>
          <t>2⁴, 32²</t>
        </is>
      </c>
      <c r="K2205">
        <f>HYPERLINK("CSG1.html#group17B1", "17B¹"), =HYPERLINK("CSG5.html#group68A5", "68A⁵")</f>
        <v/>
      </c>
      <c r="L2205">
        <f>HYPERLINK("CSG17.html#group68A17", "68A¹⁷"), =HYPERLINK("CSG21.html#group68A21", "68A²¹"), =HYPERLINK("CSG21.html#group68B21", "68B²¹"), =HYPERLINK("CSG21.html#group136B21", "136B²¹"), =HYPERLINK("CSG21.html#group136C21", "136C²¹")</f>
        <v/>
      </c>
      <c r="M2205">
        <f>HYPERLINK("CSG5.html#group68A5", "68A⁵"), =HYPERLINK("CSG1.html#group17A1", "17A¹"), =HYPERLINK("CSG0.html#group1A0", "1A⁰"), =HYPERLINK("CSG0.html#group4A0", "4A⁰"), =HYPERLINK("CSG1.html#group17B1", "17B¹")</f>
        <v/>
      </c>
      <c r="N2205">
        <f>HYPERLINK("CSG17.html#group68A17", "68A¹⁷"), =HYPERLINK("CSG21.html#group136B21", "136B²¹"), =HYPERLINK("CSG21.html#group68B21", "68B²¹"), =HYPERLINK("CSG21.html#group136C21", "136C²¹"), =HYPERLINK("CSG21.html#group68A21", "68A²¹")</f>
        <v/>
      </c>
    </row>
    <row r="2206">
      <c r="A2206" t="inlineStr">
        <is>
          <t>70A⁹</t>
        </is>
      </c>
      <c r="B2206" t="inlineStr"/>
      <c r="C2206" t="inlineStr">
        <is>
          <t>120</t>
        </is>
      </c>
      <c r="D2206" t="inlineStr">
        <is>
          <t>1</t>
        </is>
      </c>
      <c r="E2206" t="inlineStr">
        <is>
          <t>120</t>
        </is>
      </c>
      <c r="F2206" t="inlineStr">
        <is>
          <t>0</t>
        </is>
      </c>
      <c r="G2206" t="inlineStr">
        <is>
          <t>0</t>
        </is>
      </c>
      <c r="H2206" t="inlineStr">
        <is>
          <t>5¹, 10¹, 35¹, 70¹</t>
        </is>
      </c>
      <c r="I2206" t="n">
        <v>4</v>
      </c>
      <c r="J2206" t="inlineStr">
        <is>
          <t>1⁶, 4⁶, 6³, 24³</t>
        </is>
      </c>
      <c r="K2206">
        <f>HYPERLINK("CSG1.html#group10B1", "10B¹"), =HYPERLINK("CSG1.html#group14C1", "14C¹"), =HYPERLINK("CSG2.html#group35B2", "35B²")</f>
        <v/>
      </c>
      <c r="L2206">
        <f>HYPERLINK("CSG18.html#group70C18", "70C¹⁸"), =HYPERLINK("CSG18.html#group140A18", "140A¹⁸"), =HYPERLINK("CSG19.html#group140A19", "140A¹⁹")</f>
        <v/>
      </c>
      <c r="M2206">
        <f>HYPERLINK("CSG0.html#group5A0", "5A⁰"), =HYPERLINK("CSG0.html#group7B0", "7B⁰"), =HYPERLINK("CSG1.html#group10B1", "10B¹"), =HYPERLINK("CSG1.html#group14C1", "14C¹"), =HYPERLINK("CSG0.html#group2B0", "2B⁰"), =HYPERLINK("CSG2.html#group35B2", "35B²"), =HYPERLINK("CSG0.html#group1A0", "1A⁰")</f>
        <v/>
      </c>
      <c r="N2206">
        <f>HYPERLINK("CSG18.html#group140A18", "140A¹⁸"), =HYPERLINK("CSG19.html#group140A19", "140A¹⁹"), =HYPERLINK("CSG18.html#group70C18", "70C¹⁸")</f>
        <v/>
      </c>
    </row>
    <row r="2207">
      <c r="A2207" t="inlineStr">
        <is>
          <t>70B⁹</t>
        </is>
      </c>
      <c r="B2207" t="inlineStr"/>
      <c r="C2207" t="inlineStr">
        <is>
          <t>140</t>
        </is>
      </c>
      <c r="D2207" t="inlineStr">
        <is>
          <t>2</t>
        </is>
      </c>
      <c r="E2207" t="inlineStr">
        <is>
          <t>35</t>
        </is>
      </c>
      <c r="F2207" t="inlineStr">
        <is>
          <t>0</t>
        </is>
      </c>
      <c r="G2207" t="inlineStr">
        <is>
          <t>8</t>
        </is>
      </c>
      <c r="H2207" t="inlineStr">
        <is>
          <t>70²</t>
        </is>
      </c>
      <c r="I2207" t="n">
        <v>2</v>
      </c>
      <c r="J2207" t="inlineStr">
        <is>
          <t>2¹, 6², 8¹, 24²</t>
        </is>
      </c>
      <c r="K2207">
        <f>HYPERLINK("CSG1.html#group14D1", "14D¹"), =HYPERLINK("CSG4.html#group35A4", "35A⁴"), =HYPERLINK("CSG4.html#group70A4", "70A⁴"), =HYPERLINK("CSG5.html#group70A5", "70A⁵")</f>
        <v/>
      </c>
      <c r="L2207" t="inlineStr"/>
      <c r="M2207">
        <f>HYPERLINK("CSG0.html#group2A0", "2A⁰"), =HYPERLINK("CSG0.html#group14A0", "14A⁰"), =HYPERLINK("CSG0.html#group5A0", "5A⁰"), =HYPERLINK("CSG0.html#group10A0", "10A⁰"), =HYPERLINK("CSG4.html#group70A4", "70A⁴"), =HYPERLINK("CSG4.html#group35A4", "35A⁴"), =HYPERLINK("CSG1.html#group14A1", "14A¹"), =HYPERLINK("CSG5.html#group70A5", "70A⁵"), =HYPERLINK("CSG0.html#group7C0", "7C⁰"), =HYPERLINK("CSG0.html#group1A0", "1A⁰"), =HYPERLINK("CSG1.html#group14D1", "14D¹"), =HYPERLINK("CSG2.html#group35A2", "35A²"), =HYPERLINK("CSG0.html#group7A0", "7A⁰")</f>
        <v/>
      </c>
      <c r="N2207" t="inlineStr"/>
    </row>
    <row r="2208">
      <c r="A2208" t="inlineStr">
        <is>
          <t>70C⁹</t>
        </is>
      </c>
      <c r="B2208" t="inlineStr"/>
      <c r="C2208" t="inlineStr">
        <is>
          <t>140</t>
        </is>
      </c>
      <c r="D2208" t="inlineStr">
        <is>
          <t>2</t>
        </is>
      </c>
      <c r="E2208" t="inlineStr">
        <is>
          <t>70</t>
        </is>
      </c>
      <c r="F2208" t="inlineStr">
        <is>
          <t>8</t>
        </is>
      </c>
      <c r="G2208" t="inlineStr">
        <is>
          <t>2</t>
        </is>
      </c>
      <c r="H2208" t="inlineStr">
        <is>
          <t>70²</t>
        </is>
      </c>
      <c r="I2208" t="n">
        <v>2</v>
      </c>
      <c r="J2208" t="inlineStr">
        <is>
          <t>4¹, 8², 12², 24⁴</t>
        </is>
      </c>
      <c r="K2208">
        <f>HYPERLINK("CSG0.html#group14A0", "14A⁰"), =HYPERLINK("CSG4.html#group35B4", "35B⁴")</f>
        <v/>
      </c>
      <c r="L2208">
        <f>HYPERLINK("CSG17.html#group70I17", "70I¹⁷"), =HYPERLINK("CSG21.html#group70C21", "70C²¹"), =HYPERLINK("CSG21.html#group70D21", "70D²¹")</f>
        <v/>
      </c>
      <c r="M2208">
        <f>HYPERLINK("CSG0.html#group14A0", "14A⁰"), =HYPERLINK("CSG0.html#group5C0", "5C⁰"), =HYPERLINK("CSG0.html#group1A0", "1A⁰"), =HYPERLINK("CSG4.html#group35B4", "35B⁴"), =HYPERLINK("CSG0.html#group7A0", "7A⁰")</f>
        <v/>
      </c>
      <c r="N2208">
        <f>HYPERLINK("CSG21.html#group70C21", "70C²¹"), =HYPERLINK("CSG17.html#group70I17", "70I¹⁷"), =HYPERLINK("CSG21.html#group70D21", "70D²¹")</f>
        <v/>
      </c>
    </row>
    <row r="2209">
      <c r="A2209" t="inlineStr">
        <is>
          <t>70D⁹</t>
        </is>
      </c>
      <c r="B2209" t="inlineStr">
        <is>
          <t>Γ₀(70)</t>
        </is>
      </c>
      <c r="C2209" t="inlineStr">
        <is>
          <t>144</t>
        </is>
      </c>
      <c r="D2209" t="inlineStr">
        <is>
          <t>1</t>
        </is>
      </c>
      <c r="E2209" t="inlineStr">
        <is>
          <t>144</t>
        </is>
      </c>
      <c r="F2209" t="inlineStr">
        <is>
          <t>0</t>
        </is>
      </c>
      <c r="G2209" t="inlineStr">
        <is>
          <t>0</t>
        </is>
      </c>
      <c r="H2209" t="inlineStr">
        <is>
          <t>1¹, 2¹, 5¹, 7¹, 10¹, 14¹, 35¹, 70¹</t>
        </is>
      </c>
      <c r="I2209" t="n">
        <v>8</v>
      </c>
      <c r="J2209" t="inlineStr">
        <is>
          <t>1¹², 4⁶, 6⁶, 24³</t>
        </is>
      </c>
      <c r="K2209">
        <f>HYPERLINK("CSG0.html#group10C0", "10C⁰"), =HYPERLINK("CSG1.html#group14C1", "14C¹"), =HYPERLINK("CSG3.html#group35A3", "35A³")</f>
        <v/>
      </c>
      <c r="L2209">
        <f>HYPERLINK("CSG17.html#group70J17", "70J¹⁷"), =HYPERLINK("CSG19.html#group70G19", "70G¹⁹"), =HYPERLINK("CSG19.html#group70I19", "70I¹⁹"), =HYPERLINK("CSG19.html#group140H19", "140H¹⁹"), =HYPERLINK("CSG19.html#group140I19", "140I¹⁹"), =HYPERLINK("CSG21.html#group140B21", "140B²¹"), =HYPERLINK("CSG21.html#group140C21", "140C²¹")</f>
        <v/>
      </c>
      <c r="M2209">
        <f>HYPERLINK("CSG0.html#group7B0", "7B⁰"), =HYPERLINK("CSG1.html#group14C1", "14C¹"), =HYPERLINK("CSG0.html#group5B0", "5B⁰"), =HYPERLINK("CSG0.html#group10C0", "10C⁰"), =HYPERLINK("CSG0.html#group2B0", "2B⁰"), =HYPERLINK("CSG0.html#group1A0", "1A⁰"), =HYPERLINK("CSG3.html#group35A3", "35A³")</f>
        <v/>
      </c>
      <c r="N2209">
        <f>HYPERLINK("CSG21.html#group140C21", "140C²¹"), =HYPERLINK("CSG19.html#group70I19", "70I¹⁹"), =HYPERLINK("CSG21.html#group140B21", "140B²¹"), =HYPERLINK("CSG19.html#group140H19", "140H¹⁹"), =HYPERLINK("CSG17.html#group70J17", "70J¹⁷"), =HYPERLINK("CSG19.html#group70G19", "70G¹⁹"), =HYPERLINK("CSG19.html#group140I19", "140I¹⁹")</f>
        <v/>
      </c>
    </row>
    <row r="2210">
      <c r="A2210" t="inlineStr">
        <is>
          <t>70E⁹</t>
        </is>
      </c>
      <c r="B2210" t="inlineStr"/>
      <c r="C2210" t="inlineStr">
        <is>
          <t>168</t>
        </is>
      </c>
      <c r="D2210" t="inlineStr">
        <is>
          <t>2</t>
        </is>
      </c>
      <c r="E2210" t="inlineStr">
        <is>
          <t>42</t>
        </is>
      </c>
      <c r="F2210" t="inlineStr">
        <is>
          <t>16</t>
        </is>
      </c>
      <c r="G2210" t="inlineStr">
        <is>
          <t>0</t>
        </is>
      </c>
      <c r="H2210" t="inlineStr">
        <is>
          <t>14², 70²</t>
        </is>
      </c>
      <c r="I2210" t="n">
        <v>4</v>
      </c>
      <c r="J2210" t="inlineStr">
        <is>
          <t>2², 6⁴, 8¹, 24²</t>
        </is>
      </c>
      <c r="K2210">
        <f>HYPERLINK("CSG4.html#group35C4", "35C⁴"), =HYPERLINK("CSG4.html#group70C4", "70C⁴"), =HYPERLINK("CSG5.html#group70B5", "70B⁵")</f>
        <v/>
      </c>
      <c r="L2210">
        <f>HYPERLINK("CSG23.html#group140E23", "140E²³"), =HYPERLINK("CSG23.html#group140F23", "140F²³")</f>
        <v/>
      </c>
      <c r="M2210">
        <f>HYPERLINK("CSG2.html#group35C2", "35C²"), =HYPERLINK("CSG0.html#group14A0", "14A⁰"), =HYPERLINK("CSG4.html#group35C4", "35C⁴"), =HYPERLINK("CSG4.html#group70C4", "70C⁴"), =HYPERLINK("CSG0.html#group5B0", "5B⁰"), =HYPERLINK("CSG5.html#group70B5", "70B⁵"), =HYPERLINK("CSG0.html#group1A0", "1A⁰"), =HYPERLINK("CSG0.html#group7A0", "7A⁰"), =HYPERLINK("CSG0.html#group10B0", "10B⁰")</f>
        <v/>
      </c>
      <c r="N2210">
        <f>HYPERLINK("CSG23.html#group140F23", "140F²³"), =HYPERLINK("CSG23.html#group140E23", "140E²³")</f>
        <v/>
      </c>
    </row>
    <row r="2211">
      <c r="A2211" t="inlineStr">
        <is>
          <t>72A⁹</t>
        </is>
      </c>
      <c r="B2211" t="inlineStr"/>
      <c r="C2211" t="inlineStr">
        <is>
          <t>108</t>
        </is>
      </c>
      <c r="D2211" t="inlineStr">
        <is>
          <t>1</t>
        </is>
      </c>
      <c r="E2211" t="inlineStr">
        <is>
          <t>27</t>
        </is>
      </c>
      <c r="F2211" t="inlineStr">
        <is>
          <t>0</t>
        </is>
      </c>
      <c r="G2211" t="inlineStr">
        <is>
          <t>0</t>
        </is>
      </c>
      <c r="H2211" t="inlineStr">
        <is>
          <t>36¹, 72¹</t>
        </is>
      </c>
      <c r="I2211" t="n">
        <v>2</v>
      </c>
      <c r="J2211" t="inlineStr">
        <is>
          <t>1³, 2³, 6³</t>
        </is>
      </c>
      <c r="K2211">
        <f>HYPERLINK("CSG2.html#group36B2", "36B²"), =HYPERLINK("CSG3.html#group24A3", "24A³")</f>
        <v/>
      </c>
      <c r="L2211">
        <f>HYPERLINK("CSG17.html#group72B17", "72B¹⁷"), =HYPERLINK("CSG17.html#group72C17", "72C¹⁷"), =HYPERLINK("CSG17.html#group72D17", "72D¹⁷"), =HYPERLINK("CSG17.html#group72F17", "72F¹⁷"), =HYPERLINK("CSG17.html#group72G17", "72G¹⁷"), =HYPERLINK("CSG17.html#group72H17", "72H¹⁷"), =HYPERLINK("CSG17.html#group72J17", "72J¹⁷"), =HYPERLINK("CSG17.html#group72L17", "72L¹⁷"), =HYPERLINK("CSG18.html#group144B18", "144B¹⁸"), =HYPERLINK("CSG18.html#group144C18", "144C¹⁸"), =HYPERLINK("CSG18.html#group144D18", "144D¹⁸")</f>
        <v/>
      </c>
      <c r="M2211">
        <f>HYPERLINK("CSG3.html#group24A3", "24A³"), =HYPERLINK("CSG1.html#group8A1", "8A¹"), =HYPERLINK("CSG0.html#group12C0", "12C⁰"), =HYPERLINK("CSG0.html#group9A0", "9A⁰"), =HYPERLINK("CSG2.html#group36B2", "36B²"), =HYPERLINK("CSG0.html#group4C0", "4C⁰"), =HYPERLINK("CSG0.html#group2B0", "2B⁰"), =HYPERLINK("CSG1.html#group18E1", "18E¹"), =HYPERLINK("CSG0.html#group3A0", "3A⁰"), =HYPERLINK("CSG0.html#group1A0", "1A⁰"), =HYPERLINK("CSG0.html#group6D0", "6D⁰")</f>
        <v/>
      </c>
      <c r="N2211">
        <f>HYPERLINK("CSG17.html#group72H17", "72H¹⁷"), =HYPERLINK("CSG17.html#group72C17", "72C¹⁷"), =HYPERLINK("CSG17.html#group72D17", "72D¹⁷"), =HYPERLINK("CSG17.html#group72L17", "72L¹⁷"), =HYPERLINK("CSG17.html#group72F17", "72F¹⁷"), =HYPERLINK("CSG17.html#group72J17", "72J¹⁷"), =HYPERLINK("CSG18.html#group144C18", "144C¹⁸"), =HYPERLINK("CSG17.html#group72G17", "72G¹⁷"), =HYPERLINK("CSG17.html#group72B17", "72B¹⁷"), =HYPERLINK("CSG18.html#group144D18", "144D¹⁸"), =HYPERLINK("CSG18.html#group144B18", "144B¹⁸")</f>
        <v/>
      </c>
    </row>
    <row r="2212">
      <c r="A2212" t="inlineStr">
        <is>
          <t>72B⁹</t>
        </is>
      </c>
      <c r="B2212" t="inlineStr"/>
      <c r="C2212" t="inlineStr">
        <is>
          <t>144</t>
        </is>
      </c>
      <c r="D2212" t="inlineStr">
        <is>
          <t>1</t>
        </is>
      </c>
      <c r="E2212" t="inlineStr">
        <is>
          <t>12</t>
        </is>
      </c>
      <c r="F2212" t="inlineStr">
        <is>
          <t>0</t>
        </is>
      </c>
      <c r="G2212" t="inlineStr">
        <is>
          <t>0</t>
        </is>
      </c>
      <c r="H2212" t="inlineStr">
        <is>
          <t>4³, 8³, 36¹, 72¹</t>
        </is>
      </c>
      <c r="I2212" t="n">
        <v>8</v>
      </c>
      <c r="J2212" t="inlineStr">
        <is>
          <t>1⁶, 2³</t>
        </is>
      </c>
      <c r="K2212">
        <f>HYPERLINK("CSG3.html#group24B3", "24B³"), =HYPERLINK("CSG3.html#group36G3", "36G³")</f>
        <v/>
      </c>
      <c r="L2212">
        <f>HYPERLINK("CSG17.html#group72N17", "72N¹⁷"), =HYPERLINK("CSG17.html#group72Q17", "72Q¹⁷"), =HYPERLINK("CSG17.html#group72U17", "72U¹⁷"), =HYPERLINK("CSG21.html#group144D21", "144D²¹"), =HYPERLINK("CSG21.html#group144C21", "144C²¹"), =HYPERLINK("CSG21.html#group144J21", "144J²¹"), =HYPERLINK("CSG21.html#group144K21", "144K²¹")</f>
        <v/>
      </c>
      <c r="M2212">
        <f>HYPERLINK("CSG0.html#group3B0", "3B⁰"), =HYPERLINK("CSG0.html#group18E0", "18E⁰"), =HYPERLINK("CSG3.html#group24B3", "24B³"), =HYPERLINK("CSG1.html#group12F1", "12F¹"), =HYPERLINK("CSG0.html#group4C0", "4C⁰"), =HYPERLINK("CSG0.html#group8B0", "8B⁰"), =HYPERLINK("CSG0.html#group9B0", "9B⁰"), =HYPERLINK("CSG0.html#group1A0", "1A⁰"), =HYPERLINK("CSG0.html#group2B0", "2B⁰"), =HYPERLINK("CSG0.html#group6F0", "6F⁰"), =HYPERLINK("CSG3.html#group36G3", "36G³")</f>
        <v/>
      </c>
      <c r="N2212">
        <f>HYPERLINK("CSG17.html#group72U17", "72U¹⁷"), =HYPERLINK("CSG21.html#group144J21", "144J²¹"), =HYPERLINK("CSG17.html#group72Q17", "72Q¹⁷"), =HYPERLINK("CSG21.html#group144K21", "144K²¹"), =HYPERLINK("CSG21.html#group144C21", "144C²¹"), =HYPERLINK("CSG17.html#group72N17", "72N¹⁷"), =HYPERLINK("CSG21.html#group144D21", "144D²¹")</f>
        <v/>
      </c>
    </row>
    <row r="2213">
      <c r="A2213" t="inlineStr">
        <is>
          <t>72C⁹</t>
        </is>
      </c>
      <c r="B2213" t="inlineStr"/>
      <c r="C2213" t="inlineStr">
        <is>
          <t>144</t>
        </is>
      </c>
      <c r="D2213" t="inlineStr">
        <is>
          <t>1</t>
        </is>
      </c>
      <c r="E2213" t="inlineStr">
        <is>
          <t>12</t>
        </is>
      </c>
      <c r="F2213" t="inlineStr">
        <is>
          <t>0</t>
        </is>
      </c>
      <c r="G2213" t="inlineStr">
        <is>
          <t>0</t>
        </is>
      </c>
      <c r="H2213" t="inlineStr">
        <is>
          <t>4³, 8³, 36¹, 72¹</t>
        </is>
      </c>
      <c r="I2213" t="n">
        <v>8</v>
      </c>
      <c r="J2213" t="inlineStr">
        <is>
          <t>1⁶, 2³</t>
        </is>
      </c>
      <c r="K2213">
        <f>HYPERLINK("CSG3.html#group24C3", "24C³"), =HYPERLINK("CSG3.html#group36G3", "36G³")</f>
        <v/>
      </c>
      <c r="L2213">
        <f>HYPERLINK("CSG17.html#group72N17", "72N¹⁷"), =HYPERLINK("CSG17.html#group72R17", "72R¹⁷"), =HYPERLINK("CSG17.html#group72T17", "72T¹⁷"), =HYPERLINK("CSG21.html#group144A21", "144A²¹"), =HYPERLINK("CSG21.html#group144B21", "144B²¹"), =HYPERLINK("CSG21.html#group144I21", "144I²¹"), =HYPERLINK("CSG21.html#group144L21", "144L²¹")</f>
        <v/>
      </c>
      <c r="M2213">
        <f>HYPERLINK("CSG3.html#group24C3", "24C³"), =HYPERLINK("CSG0.html#group3B0", "3B⁰"), =HYPERLINK("CSG1.html#group8A1", "8A¹"), =HYPERLINK("CSG0.html#group18E0", "18E⁰"), =HYPERLINK("CSG1.html#group12F1", "12F¹"), =HYPERLINK("CSG0.html#group4C0", "4C⁰"), =HYPERLINK("CSG0.html#group9B0", "9B⁰"), =HYPERLINK("CSG0.html#group1A0", "1A⁰"), =HYPERLINK("CSG0.html#group2B0", "2B⁰"), =HYPERLINK("CSG0.html#group6F0", "6F⁰"), =HYPERLINK("CSG3.html#group36G3", "36G³")</f>
        <v/>
      </c>
      <c r="N2213">
        <f>HYPERLINK("CSG17.html#group72R17", "72R¹⁷"), =HYPERLINK("CSG21.html#group144A21", "144A²¹"), =HYPERLINK("CSG21.html#group144B21", "144B²¹"), =HYPERLINK("CSG21.html#group144L21", "144L²¹"), =HYPERLINK("CSG21.html#group144I21", "144I²¹"), =HYPERLINK("CSG17.html#group72N17", "72N¹⁷"), =HYPERLINK("CSG17.html#group72T17", "72T¹⁷")</f>
        <v/>
      </c>
    </row>
    <row r="2214">
      <c r="A2214" t="inlineStr">
        <is>
          <t>72D⁹</t>
        </is>
      </c>
      <c r="B2214" t="inlineStr"/>
      <c r="C2214" t="inlineStr">
        <is>
          <t>144</t>
        </is>
      </c>
      <c r="D2214" t="inlineStr">
        <is>
          <t>1</t>
        </is>
      </c>
      <c r="E2214" t="inlineStr">
        <is>
          <t>24</t>
        </is>
      </c>
      <c r="F2214" t="inlineStr">
        <is>
          <t>0</t>
        </is>
      </c>
      <c r="G2214" t="inlineStr">
        <is>
          <t>0</t>
        </is>
      </c>
      <c r="H2214" t="inlineStr">
        <is>
          <t>3², 6¹, 9², 18¹, 24¹, 72¹</t>
        </is>
      </c>
      <c r="I2214" t="n">
        <v>8</v>
      </c>
      <c r="J2214" t="inlineStr">
        <is>
          <t>1⁸, 2⁶, 4¹</t>
        </is>
      </c>
      <c r="K2214">
        <f>HYPERLINK("CSG1.html#group24G1", "24G¹"), =HYPERLINK("CSG4.html#group36F4", "36F⁴")</f>
        <v/>
      </c>
      <c r="L2214">
        <f>HYPERLINK("CSG17.html#group72O17", "72O¹⁷"), =HYPERLINK("CSG19.html#group72C19", "72C¹⁹"), =HYPERLINK("CSG19.html#group72E19", "72E¹⁹"), =HYPERLINK("CSG19.html#group72I19", "72I¹⁹"), =HYPERLINK("CSG19.html#group72G19", "72G¹⁹"), =HYPERLINK("CSG19.html#group144C19", "144C¹⁹"), =HYPERLINK("CSG19.html#group144A19", "144A¹⁹"), =HYPERLINK("CSG19.html#group144G19", "144G¹⁹"), =HYPERLINK("CSG19.html#group144E19", "144E¹⁹"), =HYPERLINK("CSG21.html#group144G21", "144G²¹"), =HYPERLINK("CSG21.html#group144E21", "144E²¹")</f>
        <v/>
      </c>
      <c r="M2214">
        <f>HYPERLINK("CSG0.html#group3B0", "3B⁰"), =HYPERLINK("CSG1.html#group24G1", "24G¹"), =HYPERLINK("CSG0.html#group6F0", "6F⁰"), =HYPERLINK("CSG2.html#group18D2", "18D²"), =HYPERLINK("CSG4.html#group36F4", "36F⁴"), =HYPERLINK("CSG0.html#group2B0", "2B⁰"), =HYPERLINK("CSG0.html#group8C0", "8C⁰"), =HYPERLINK("CSG0.html#group9C0", "9C⁰"), =HYPERLINK("CSG0.html#group4B0", "4B⁰"), =HYPERLINK("CSG0.html#group1A0", "1A⁰"), =HYPERLINK("CSG0.html#group12E0", "12E⁰")</f>
        <v/>
      </c>
      <c r="N2214">
        <f>HYPERLINK("CSG19.html#group144A19", "144A¹⁹"), =HYPERLINK("CSG19.html#group144C19", "144C¹⁹"), =HYPERLINK("CSG21.html#group144G21", "144G²¹"), =HYPERLINK("CSG21.html#group144E21", "144E²¹"), =HYPERLINK("CSG17.html#group72O17", "72O¹⁷"), =HYPERLINK("CSG19.html#group144G19", "144G¹⁹"), =HYPERLINK("CSG19.html#group72E19", "72E¹⁹"), =HYPERLINK("CSG19.html#group72C19", "72C¹⁹"), =HYPERLINK("CSG19.html#group144E19", "144E¹⁹"), =HYPERLINK("CSG19.html#group72I19", "72I¹⁹"), =HYPERLINK("CSG19.html#group72G19", "72G¹⁹")</f>
        <v/>
      </c>
    </row>
    <row r="2215">
      <c r="A2215" t="inlineStr">
        <is>
          <t>72E⁹</t>
        </is>
      </c>
      <c r="B2215" t="inlineStr"/>
      <c r="C2215" t="inlineStr">
        <is>
          <t>144</t>
        </is>
      </c>
      <c r="D2215" t="inlineStr">
        <is>
          <t>1</t>
        </is>
      </c>
      <c r="E2215" t="inlineStr">
        <is>
          <t>24</t>
        </is>
      </c>
      <c r="F2215" t="inlineStr">
        <is>
          <t>0</t>
        </is>
      </c>
      <c r="G2215" t="inlineStr">
        <is>
          <t>0</t>
        </is>
      </c>
      <c r="H2215" t="inlineStr">
        <is>
          <t>3², 6¹, 9², 18¹, 24¹, 72¹</t>
        </is>
      </c>
      <c r="I2215" t="n">
        <v>8</v>
      </c>
      <c r="J2215" t="inlineStr">
        <is>
          <t>1⁸, 2⁶, 4¹</t>
        </is>
      </c>
      <c r="K2215">
        <f>HYPERLINK("CSG1.html#group24G1", "24G¹"), =HYPERLINK("CSG4.html#group36G4", "36G⁴")</f>
        <v/>
      </c>
      <c r="L2215">
        <f>HYPERLINK("CSG17.html#group72P17", "72P¹⁷"), =HYPERLINK("CSG19.html#group72D19", "72D¹⁹"), =HYPERLINK("CSG19.html#group72F19", "72F¹⁹"), =HYPERLINK("CSG19.html#group72J19", "72J¹⁹"), =HYPERLINK("CSG19.html#group72H19", "72H¹⁹"), =HYPERLINK("CSG19.html#group144D19", "144D¹⁹"), =HYPERLINK("CSG19.html#group144B19", "144B¹⁹"), =HYPERLINK("CSG19.html#group144H19", "144H¹⁹"), =HYPERLINK("CSG19.html#group144F19", "144F¹⁹"), =HYPERLINK("CSG21.html#group144H21", "144H²¹"), =HYPERLINK("CSG21.html#group144F21", "144F²¹")</f>
        <v/>
      </c>
      <c r="M2215">
        <f>HYPERLINK("CSG0.html#group3B0", "3B⁰"), =HYPERLINK("CSG1.html#group24G1", "24G¹"), =HYPERLINK("CSG1.html#group9A1", "9A¹"), =HYPERLINK("CSG2.html#group18E2", "18E²"), =HYPERLINK("CSG0.html#group6F0", "6F⁰"), =HYPERLINK("CSG4.html#group36G4", "36G⁴"), =HYPERLINK("CSG0.html#group2B0", "2B⁰"), =HYPERLINK("CSG0.html#group8C0", "8C⁰"), =HYPERLINK("CSG0.html#group4B0", "4B⁰"), =HYPERLINK("CSG0.html#group1A0", "1A⁰"), =HYPERLINK("CSG0.html#group12E0", "12E⁰")</f>
        <v/>
      </c>
      <c r="N2215">
        <f>HYPERLINK("CSG17.html#group72P17", "72P¹⁷"), =HYPERLINK("CSG19.html#group72H19", "72H¹⁹"), =HYPERLINK("CSG21.html#group144F21", "144F²¹"), =HYPERLINK("CSG21.html#group144H21", "144H²¹"), =HYPERLINK("CSG19.html#group144H19", "144H¹⁹"), =HYPERLINK("CSG19.html#group72F19", "72F¹⁹"), =HYPERLINK("CSG19.html#group144F19", "144F¹⁹"), =HYPERLINK("CSG19.html#group144B19", "144B¹⁹"), =HYPERLINK("CSG19.html#group72J19", "72J¹⁹"), =HYPERLINK("CSG19.html#group72D19", "72D¹⁹"), =HYPERLINK("CSG19.html#group144D19", "144D¹⁹")</f>
        <v/>
      </c>
    </row>
    <row r="2216">
      <c r="A2216" t="inlineStr">
        <is>
          <t>72F⁹</t>
        </is>
      </c>
      <c r="B2216" t="inlineStr"/>
      <c r="C2216" t="inlineStr">
        <is>
          <t>144</t>
        </is>
      </c>
      <c r="D2216" t="inlineStr">
        <is>
          <t>2</t>
        </is>
      </c>
      <c r="E2216" t="inlineStr">
        <is>
          <t>12</t>
        </is>
      </c>
      <c r="F2216" t="inlineStr">
        <is>
          <t>12</t>
        </is>
      </c>
      <c r="G2216" t="inlineStr">
        <is>
          <t>0</t>
        </is>
      </c>
      <c r="H2216" t="inlineStr">
        <is>
          <t>72²</t>
        </is>
      </c>
      <c r="I2216" t="n">
        <v>2</v>
      </c>
      <c r="J2216" t="inlineStr">
        <is>
          <t>4², 8²</t>
        </is>
      </c>
      <c r="K2216">
        <f>HYPERLINK("CSG3.html#group24D3", "24D³"), =HYPERLINK("CSG3.html#group36H3", "36H³"), =HYPERLINK("CSG4.html#group72C4", "72C⁴"), =HYPERLINK("CSG4.html#group72D4", "72D⁴")</f>
        <v/>
      </c>
      <c r="L2216">
        <f>HYPERLINK("CSG17.html#group72W17", "72W¹⁷"), =HYPERLINK("CSG23.html#group72A23", "72A²³"), =HYPERLINK("CSG23.html#group72F23", "72F²³")</f>
        <v/>
      </c>
      <c r="M2216">
        <f>HYPERLINK("CSG1.html#group36A1", "36A¹"), =HYPERLINK("CSG1.html#group12G1", "12G¹"), =HYPERLINK("CSG0.html#group12A0", "12A⁰"), =HYPERLINK("CSG3.html#group24D3", "24D³"), =HYPERLINK("CSG0.html#group9D0", "9D⁰"), =HYPERLINK("CSG0.html#group4A0", "4A⁰"), =HYPERLINK("CSG0.html#group9A0", "9A⁰"), =HYPERLINK("CSG3.html#group36H3", "36H³"), =HYPERLINK("CSG4.html#group72C4", "72C⁴"), =HYPERLINK("CSG0.html#group3C0", "3C⁰"), =HYPERLINK("CSG1.html#group24B1", "24B¹"), =HYPERLINK("CSG4.html#group72D4", "72D⁴"), =HYPERLINK("CSG0.html#group3A0", "3A⁰"), =HYPERLINK("CSG0.html#group1A0", "1A⁰")</f>
        <v/>
      </c>
      <c r="N2216">
        <f>HYPERLINK("CSG23.html#group72A23", "72A²³"), =HYPERLINK("CSG23.html#group72F23", "72F²³"), =HYPERLINK("CSG17.html#group72W17", "72W¹⁷")</f>
        <v/>
      </c>
    </row>
    <row r="2217">
      <c r="A2217" t="inlineStr">
        <is>
          <t>72G⁹</t>
        </is>
      </c>
      <c r="B2217" t="inlineStr"/>
      <c r="C2217" t="inlineStr">
        <is>
          <t>144</t>
        </is>
      </c>
      <c r="D2217" t="inlineStr">
        <is>
          <t>2</t>
        </is>
      </c>
      <c r="E2217" t="inlineStr">
        <is>
          <t>12</t>
        </is>
      </c>
      <c r="F2217" t="inlineStr">
        <is>
          <t>12</t>
        </is>
      </c>
      <c r="G2217" t="inlineStr">
        <is>
          <t>0</t>
        </is>
      </c>
      <c r="H2217" t="inlineStr">
        <is>
          <t>72²</t>
        </is>
      </c>
      <c r="I2217" t="n">
        <v>2</v>
      </c>
      <c r="J2217" t="inlineStr">
        <is>
          <t>4², 8²</t>
        </is>
      </c>
      <c r="K2217">
        <f>HYPERLINK("CSG3.html#group24E3", "24E³"), =HYPERLINK("CSG3.html#group36H3", "36H³"), =HYPERLINK("CSG4.html#group72A4", "72A⁴"), =HYPERLINK("CSG4.html#group72B4", "72B⁴")</f>
        <v/>
      </c>
      <c r="L2217">
        <f>HYPERLINK("CSG17.html#group72W17", "72W¹⁷"), =HYPERLINK("CSG21.html#group144N21", "144N²¹"), =HYPERLINK("CSG21.html#group144M21", "144M²¹"), =HYPERLINK("CSG23.html#group72B23", "72B²³"), =HYPERLINK("CSG23.html#group72F23", "72F²³")</f>
        <v/>
      </c>
      <c r="M2217">
        <f>HYPERLINK("CSG1.html#group12G1", "12G¹"), =HYPERLINK("CSG4.html#group72B4", "72B⁴"), =HYPERLINK("CSG3.html#group36H3", "36H³"), =HYPERLINK("CSG0.html#group8A0", "8A⁰"), =HYPERLINK("CSG1.html#group24B1", "24B¹"), =HYPERLINK("CSG0.html#group1A0", "1A⁰"), =HYPERLINK("CSG4.html#group72A4", "72A⁴"), =HYPERLINK("CSG1.html#group36A1", "36A¹"), =HYPERLINK("CSG3.html#group24E3", "24E³"), =HYPERLINK("CSG0.html#group12A0", "12A⁰"), =HYPERLINK("CSG1.html#group24A1", "24A¹"), =HYPERLINK("CSG0.html#group9D0", "9D⁰"), =HYPERLINK("CSG0.html#group4A0", "4A⁰"), =HYPERLINK("CSG0.html#group9A0", "9A⁰"), =HYPERLINK("CSG0.html#group3C0", "3C⁰"), =HYPERLINK("CSG0.html#group3A0", "3A⁰")</f>
        <v/>
      </c>
      <c r="N2217">
        <f>HYPERLINK("CSG21.html#group144M21", "144M²¹"), =HYPERLINK("CSG21.html#group144N21", "144N²¹"), =HYPERLINK("CSG23.html#group72B23", "72B²³"), =HYPERLINK("CSG23.html#group72F23", "72F²³"), =HYPERLINK("CSG17.html#group72W17", "72W¹⁷")</f>
        <v/>
      </c>
    </row>
    <row r="2218">
      <c r="A2218" t="inlineStr">
        <is>
          <t>72H⁹</t>
        </is>
      </c>
      <c r="B2218" t="inlineStr"/>
      <c r="C2218" t="inlineStr">
        <is>
          <t>216</t>
        </is>
      </c>
      <c r="D2218" t="inlineStr">
        <is>
          <t>2</t>
        </is>
      </c>
      <c r="E2218" t="inlineStr">
        <is>
          <t>27</t>
        </is>
      </c>
      <c r="F2218" t="inlineStr">
        <is>
          <t>32</t>
        </is>
      </c>
      <c r="G2218" t="inlineStr">
        <is>
          <t>0</t>
        </is>
      </c>
      <c r="H2218" t="inlineStr">
        <is>
          <t>36², 72²</t>
        </is>
      </c>
      <c r="I2218" t="n">
        <v>4</v>
      </c>
      <c r="J2218" t="inlineStr">
        <is>
          <t>2⁹, 6⁶</t>
        </is>
      </c>
      <c r="K2218">
        <f>HYPERLINK("CSG1.html#group24H1", "24H¹"), =HYPERLINK("CSG4.html#group36R4", "36R⁴"), =HYPERLINK("CSG4.html#group72E4", "72E⁴"), =HYPERLINK("CSG5.html#group72A5", "72A⁵")</f>
        <v/>
      </c>
      <c r="L2218">
        <f>HYPERLINK("CSG19.html#group144J19", "144J¹⁹"), =HYPERLINK("CSG21.html#group72AA21", "72AA²¹"), =HYPERLINK("CSG23.html#group144Y23", "144Y²³")</f>
        <v/>
      </c>
      <c r="M2218">
        <f>HYPERLINK("CSG0.html#group6B0", "6B⁰"), =HYPERLINK("CSG0.html#group12C0", "12C⁰"), =HYPERLINK("CSG4.html#group72E4", "72E⁴"), =HYPERLINK("CSG0.html#group4C0", "4C⁰"), =HYPERLINK("CSG1.html#group24D1", "24D¹"), =HYPERLINK("CSG0.html#group8B0", "8B⁰"), =HYPERLINK("CSG4.html#group36R4", "36R⁴"), =HYPERLINK("CSG2.html#group36B2", "36B²"), =HYPERLINK("CSG5.html#group72A5", "72A⁵"), =HYPERLINK("CSG0.html#group2B0", "2B⁰"), =HYPERLINK("CSG0.html#group12H0", "12H⁰"), =HYPERLINK("CSG0.html#group1A0", "1A⁰"), =HYPERLINK("CSG0.html#group18A0", "18A⁰"), =HYPERLINK("CSG2.html#group18L2", "18L²"), =HYPERLINK("CSG0.html#group24A0", "24A⁰"), =HYPERLINK("CSG0.html#group9A0", "9A⁰"), =HYPERLINK("CSG1.html#group18E1", "18E¹"), =HYPERLINK("CSG0.html#group12D0", "12D⁰"), =HYPERLINK("CSG0.html#group6H0", "6H⁰"), =HYPERLINK("CSG0.html#group3A0", "3A⁰"), =HYPERLINK("CSG1.html#group24H1", "24H¹"), =HYPERLINK("CSG0.html#group6D0", "6D⁰"), =HYPERLINK("CSG2.html#group36C2", "36C²")</f>
        <v/>
      </c>
      <c r="N2218">
        <f>HYPERLINK("CSG21.html#group72AA21", "72AA²¹"), =HYPERLINK("CSG23.html#group144Y23", "144Y²³"), =HYPERLINK("CSG19.html#group144J19", "144J¹⁹")</f>
        <v/>
      </c>
    </row>
    <row r="2219">
      <c r="A2219" t="inlineStr">
        <is>
          <t>72I⁹</t>
        </is>
      </c>
      <c r="B2219" t="inlineStr"/>
      <c r="C2219" t="inlineStr">
        <is>
          <t>288</t>
        </is>
      </c>
      <c r="D2219" t="inlineStr">
        <is>
          <t>1</t>
        </is>
      </c>
      <c r="E2219" t="inlineStr">
        <is>
          <t>24</t>
        </is>
      </c>
      <c r="F2219" t="inlineStr">
        <is>
          <t>0</t>
        </is>
      </c>
      <c r="G2219" t="inlineStr">
        <is>
          <t>0</t>
        </is>
      </c>
      <c r="H2219" t="inlineStr">
        <is>
          <t>1¹², 2⁶, 8⁶, 9⁴, 18², 72²</t>
        </is>
      </c>
      <c r="I2219" t="n">
        <v>32</v>
      </c>
      <c r="J2219" t="inlineStr">
        <is>
          <t>1⁸, 2⁶, 4¹</t>
        </is>
      </c>
      <c r="K2219">
        <f>HYPERLINK("CSG1.html#group24J1", "24J¹"), =HYPERLINK("CSG3.html#group36K3", "36K³"), =HYPERLINK("CSG3.html#group72A3", "72A³"), =HYPERLINK("CSG5.html#group72B5", "72B⁵")</f>
        <v/>
      </c>
      <c r="L2219" t="inlineStr"/>
      <c r="M2219">
        <f>HYPERLINK("CSG0.html#group3B0", "3B⁰"), =HYPERLINK("CSG1.html#group24G1", "24G¹"), =HYPERLINK("CSG0.html#group9B0", "9B⁰"), =HYPERLINK("CSG0.html#group12J0", "12J⁰"), =HYPERLINK("CSG0.html#group2B0", "2B⁰"), =HYPERLINK("CSG0.html#group8C0", "8C⁰"), =HYPERLINK("CSG0.html#group4B0", "4B⁰"), =HYPERLINK("CSG0.html#group1A0", "1A⁰"), =HYPERLINK("CSG3.html#group72A3", "72A³"), =HYPERLINK("CSG1.html#group24J1", "24J¹"), =HYPERLINK("CSG0.html#group18E0", "18E⁰"), =HYPERLINK("CSG0.html#group24B0", "24B⁰"), =HYPERLINK("CSG5.html#group72B5", "72B⁵"), =HYPERLINK("CSG3.html#group36K3", "36K³"), =HYPERLINK("CSG1.html#group36C1", "36C¹"), =HYPERLINK("CSG0.html#group6F0", "6F⁰"), =HYPERLINK("CSG0.html#group12E0", "12E⁰")</f>
        <v/>
      </c>
      <c r="N2219" t="inlineStr"/>
    </row>
    <row r="2220">
      <c r="A2220" t="inlineStr">
        <is>
          <t>73A⁹</t>
        </is>
      </c>
      <c r="B2220" t="inlineStr"/>
      <c r="C2220" t="inlineStr">
        <is>
          <t>148</t>
        </is>
      </c>
      <c r="D2220" t="inlineStr">
        <is>
          <t>1</t>
        </is>
      </c>
      <c r="E2220" t="inlineStr">
        <is>
          <t>74</t>
        </is>
      </c>
      <c r="F2220" t="inlineStr">
        <is>
          <t>4</t>
        </is>
      </c>
      <c r="G2220" t="inlineStr">
        <is>
          <t>4</t>
        </is>
      </c>
      <c r="H2220" t="inlineStr">
        <is>
          <t>1², 73²</t>
        </is>
      </c>
      <c r="I2220" t="n">
        <v>4</v>
      </c>
      <c r="J2220" t="inlineStr">
        <is>
          <t>1², 72¹</t>
        </is>
      </c>
      <c r="K2220">
        <f>HYPERLINK("CSG5.html#group73A5", "73A⁵")</f>
        <v/>
      </c>
      <c r="L2220">
        <f>HYPERLINK("CSG19.html#group73A19", "73A¹⁹"), =HYPERLINK("CSG19.html#group146A19", "146A¹⁹"), =HYPERLINK("CSG21.html#group146A21", "146A²¹")</f>
        <v/>
      </c>
      <c r="M2220">
        <f>HYPERLINK("CSG0.html#group1A0", "1A⁰"), =HYPERLINK("CSG5.html#group73A5", "73A⁵")</f>
        <v/>
      </c>
      <c r="N2220">
        <f>HYPERLINK("CSG19.html#group73A19", "73A¹⁹"), =HYPERLINK("CSG21.html#group146A21", "146A²¹"), =HYPERLINK("CSG19.html#group146A19", "146A¹⁹")</f>
        <v/>
      </c>
    </row>
    <row r="2221">
      <c r="A2221" t="inlineStr">
        <is>
          <t>74A⁹</t>
        </is>
      </c>
      <c r="B2221" t="inlineStr"/>
      <c r="C2221" t="inlineStr">
        <is>
          <t>152</t>
        </is>
      </c>
      <c r="D2221" t="inlineStr">
        <is>
          <t>1</t>
        </is>
      </c>
      <c r="E2221" t="inlineStr">
        <is>
          <t>38</t>
        </is>
      </c>
      <c r="F2221" t="inlineStr">
        <is>
          <t>0</t>
        </is>
      </c>
      <c r="G2221" t="inlineStr">
        <is>
          <t>8</t>
        </is>
      </c>
      <c r="H2221" t="inlineStr">
        <is>
          <t>2², 74²</t>
        </is>
      </c>
      <c r="I2221" t="n">
        <v>4</v>
      </c>
      <c r="J2221" t="inlineStr">
        <is>
          <t>1², 36¹</t>
        </is>
      </c>
      <c r="K2221">
        <f>HYPERLINK("CSG4.html#group37A4", "37A⁴"), =HYPERLINK("CSG4.html#group74A4", "74A⁴"), =HYPERLINK("CSG5.html#group74A5", "74A⁵")</f>
        <v/>
      </c>
      <c r="L2221">
        <f>HYPERLINK("CSG19.html#group148A19", "148A¹⁹")</f>
        <v/>
      </c>
      <c r="M2221">
        <f>HYPERLINK("CSG2.html#group37A2", "37A²"), =HYPERLINK("CSG5.html#group74A5", "74A⁵"), =HYPERLINK("CSG0.html#group2A0", "2A⁰"), =HYPERLINK("CSG4.html#group37A4", "37A⁴"), =HYPERLINK("CSG0.html#group1A0", "1A⁰"), =HYPERLINK("CSG4.html#group74A4", "74A⁴")</f>
        <v/>
      </c>
      <c r="N2221">
        <f>HYPERLINK("CSG19.html#group148A19", "148A¹⁹")</f>
        <v/>
      </c>
    </row>
    <row r="2222">
      <c r="A2222" t="inlineStr">
        <is>
          <t>75A⁹</t>
        </is>
      </c>
      <c r="B2222" t="inlineStr"/>
      <c r="C2222" t="inlineStr">
        <is>
          <t>120</t>
        </is>
      </c>
      <c r="D2222" t="inlineStr">
        <is>
          <t>1</t>
        </is>
      </c>
      <c r="E2222" t="inlineStr">
        <is>
          <t>120</t>
        </is>
      </c>
      <c r="F2222" t="inlineStr">
        <is>
          <t>0</t>
        </is>
      </c>
      <c r="G2222" t="inlineStr">
        <is>
          <t>0</t>
        </is>
      </c>
      <c r="H2222" t="inlineStr">
        <is>
          <t>5¹, 15¹, 25¹, 75¹</t>
        </is>
      </c>
      <c r="I2222" t="n">
        <v>4</v>
      </c>
      <c r="J2222" t="inlineStr">
        <is>
          <t>2⁴, 4¹⁰, 8⁴, 20⁴, 40²</t>
        </is>
      </c>
      <c r="K2222">
        <f>HYPERLINK("CSG1.html#group15C1", "15C¹"), =HYPERLINK("CSG2.html#group25A2", "25A²")</f>
        <v/>
      </c>
      <c r="L2222">
        <f>HYPERLINK("CSG17.html#group75A17", "75A¹⁷"), =HYPERLINK("CSG19.html#group150E19", "150E¹⁹"), =HYPERLINK("CSG19.html#group150A19", "150A¹⁹")</f>
        <v/>
      </c>
      <c r="M2222">
        <f>HYPERLINK("CSG0.html#group5B0", "5B⁰"), =HYPERLINK("CSG1.html#group15C1", "15C¹"), =HYPERLINK("CSG0.html#group3B0", "3B⁰"), =HYPERLINK("CSG2.html#group25A2", "25A²"), =HYPERLINK("CSG0.html#group1A0", "1A⁰")</f>
        <v/>
      </c>
      <c r="N2222">
        <f>HYPERLINK("CSG19.html#group150A19", "150A¹⁹"), =HYPERLINK("CSG19.html#group150E19", "150E¹⁹"), =HYPERLINK("CSG17.html#group75A17", "75A¹⁷")</f>
        <v/>
      </c>
    </row>
    <row r="2223">
      <c r="A2223" t="inlineStr">
        <is>
          <t>75B⁹</t>
        </is>
      </c>
      <c r="B2223" t="inlineStr"/>
      <c r="C2223" t="inlineStr">
        <is>
          <t>120</t>
        </is>
      </c>
      <c r="D2223" t="inlineStr">
        <is>
          <t>1</t>
        </is>
      </c>
      <c r="E2223" t="inlineStr">
        <is>
          <t>120</t>
        </is>
      </c>
      <c r="F2223" t="inlineStr">
        <is>
          <t>0</t>
        </is>
      </c>
      <c r="G2223" t="inlineStr">
        <is>
          <t>0</t>
        </is>
      </c>
      <c r="H2223" t="inlineStr">
        <is>
          <t>5¹, 15¹, 25¹, 75¹</t>
        </is>
      </c>
      <c r="I2223" t="n">
        <v>4</v>
      </c>
      <c r="J2223" t="inlineStr">
        <is>
          <t>2⁴, 4¹⁰, 8⁴, 20⁴, 40²</t>
        </is>
      </c>
      <c r="K2223">
        <f>HYPERLINK("CSG1.html#group15C1", "15C¹"), =HYPERLINK("CSG2.html#group25B2", "25B²")</f>
        <v/>
      </c>
      <c r="L2223">
        <f>HYPERLINK("CSG17.html#group75B17", "75B¹⁷"), =HYPERLINK("CSG19.html#group150F19", "150F¹⁹"), =HYPERLINK("CSG19.html#group150B19", "150B¹⁹")</f>
        <v/>
      </c>
      <c r="M2223">
        <f>HYPERLINK("CSG0.html#group5B0", "5B⁰"), =HYPERLINK("CSG1.html#group15C1", "15C¹"), =HYPERLINK("CSG0.html#group3B0", "3B⁰"), =HYPERLINK("CSG0.html#group1A0", "1A⁰"), =HYPERLINK("CSG2.html#group25B2", "25B²")</f>
        <v/>
      </c>
      <c r="N2223">
        <f>HYPERLINK("CSG19.html#group150B19", "150B¹⁹"), =HYPERLINK("CSG19.html#group150F19", "150F¹⁹"), =HYPERLINK("CSG17.html#group75B17", "75B¹⁷")</f>
        <v/>
      </c>
    </row>
    <row r="2224">
      <c r="A2224" t="inlineStr">
        <is>
          <t>75C⁹</t>
        </is>
      </c>
      <c r="B2224" t="inlineStr"/>
      <c r="C2224" t="inlineStr">
        <is>
          <t>120</t>
        </is>
      </c>
      <c r="D2224" t="inlineStr">
        <is>
          <t>1</t>
        </is>
      </c>
      <c r="E2224" t="inlineStr">
        <is>
          <t>120</t>
        </is>
      </c>
      <c r="F2224" t="inlineStr">
        <is>
          <t>0</t>
        </is>
      </c>
      <c r="G2224" t="inlineStr">
        <is>
          <t>0</t>
        </is>
      </c>
      <c r="H2224" t="inlineStr">
        <is>
          <t>5¹, 15¹, 25¹, 75¹</t>
        </is>
      </c>
      <c r="I2224" t="n">
        <v>4</v>
      </c>
      <c r="J2224" t="inlineStr">
        <is>
          <t>2⁴, 4¹⁰, 8⁴, 20⁴, 40²</t>
        </is>
      </c>
      <c r="K2224">
        <f>HYPERLINK("CSG1.html#group15C1", "15C¹"), =HYPERLINK("CSG2.html#group25C2", "25C²")</f>
        <v/>
      </c>
      <c r="L2224">
        <f>HYPERLINK("CSG17.html#group75C17", "75C¹⁷"), =HYPERLINK("CSG19.html#group150G19", "150G¹⁹"), =HYPERLINK("CSG19.html#group150C19", "150C¹⁹")</f>
        <v/>
      </c>
      <c r="M2224">
        <f>HYPERLINK("CSG0.html#group5B0", "5B⁰"), =HYPERLINK("CSG1.html#group15C1", "15C¹"), =HYPERLINK("CSG0.html#group3B0", "3B⁰"), =HYPERLINK("CSG0.html#group1A0", "1A⁰"), =HYPERLINK("CSG2.html#group25C2", "25C²")</f>
        <v/>
      </c>
      <c r="N2224">
        <f>HYPERLINK("CSG19.html#group150G19", "150G¹⁹"), =HYPERLINK("CSG19.html#group150C19", "150C¹⁹"), =HYPERLINK("CSG17.html#group75C17", "75C¹⁷")</f>
        <v/>
      </c>
    </row>
    <row r="2225">
      <c r="A2225" t="inlineStr">
        <is>
          <t>75D⁹</t>
        </is>
      </c>
      <c r="B2225" t="inlineStr"/>
      <c r="C2225" t="inlineStr">
        <is>
          <t>120</t>
        </is>
      </c>
      <c r="D2225" t="inlineStr">
        <is>
          <t>1</t>
        </is>
      </c>
      <c r="E2225" t="inlineStr">
        <is>
          <t>120</t>
        </is>
      </c>
      <c r="F2225" t="inlineStr">
        <is>
          <t>0</t>
        </is>
      </c>
      <c r="G2225" t="inlineStr">
        <is>
          <t>0</t>
        </is>
      </c>
      <c r="H2225" t="inlineStr">
        <is>
          <t>5¹, 15¹, 25¹, 75¹</t>
        </is>
      </c>
      <c r="I2225" t="n">
        <v>4</v>
      </c>
      <c r="J2225" t="inlineStr">
        <is>
          <t>2⁴, 4¹⁰, 8⁴, 20⁴, 40²</t>
        </is>
      </c>
      <c r="K2225">
        <f>HYPERLINK("CSG1.html#group15C1", "15C¹"), =HYPERLINK("CSG2.html#group25D2", "25D²")</f>
        <v/>
      </c>
      <c r="L2225">
        <f>HYPERLINK("CSG17.html#group75D17", "75D¹⁷"), =HYPERLINK("CSG19.html#group150H19", "150H¹⁹"), =HYPERLINK("CSG19.html#group150D19", "150D¹⁹")</f>
        <v/>
      </c>
      <c r="M2225">
        <f>HYPERLINK("CSG0.html#group5B0", "5B⁰"), =HYPERLINK("CSG1.html#group15C1", "15C¹"), =HYPERLINK("CSG0.html#group3B0", "3B⁰"), =HYPERLINK("CSG0.html#group1A0", "1A⁰"), =HYPERLINK("CSG2.html#group25D2", "25D²")</f>
        <v/>
      </c>
      <c r="N2225">
        <f>HYPERLINK("CSG19.html#group150D19", "150D¹⁹"), =HYPERLINK("CSG19.html#group150H19", "150H¹⁹"), =HYPERLINK("CSG17.html#group75D17", "75D¹⁷")</f>
        <v/>
      </c>
    </row>
    <row r="2226">
      <c r="A2226" t="inlineStr">
        <is>
          <t>75E⁹</t>
        </is>
      </c>
      <c r="B2226" t="inlineStr"/>
      <c r="C2226" t="inlineStr">
        <is>
          <t>180</t>
        </is>
      </c>
      <c r="D2226" t="inlineStr">
        <is>
          <t>1</t>
        </is>
      </c>
      <c r="E2226" t="inlineStr">
        <is>
          <t>90</t>
        </is>
      </c>
      <c r="F2226" t="inlineStr">
        <is>
          <t>4</t>
        </is>
      </c>
      <c r="G2226" t="inlineStr">
        <is>
          <t>0</t>
        </is>
      </c>
      <c r="H2226" t="inlineStr">
        <is>
          <t>3¹⁰, 75²</t>
        </is>
      </c>
      <c r="I2226" t="n">
        <v>12</v>
      </c>
      <c r="J2226" t="inlineStr">
        <is>
          <t>1², 2², 4², 8², 20¹, 40¹</t>
        </is>
      </c>
      <c r="K2226">
        <f>HYPERLINK("CSG1.html#group15E1", "15E¹"), =HYPERLINK("CSG4.html#group75A4", "75A⁴")</f>
        <v/>
      </c>
      <c r="L2226">
        <f>HYPERLINK("CSG17.html#group75E17", "75E¹⁷"), =HYPERLINK("CSG19.html#group75C19", "75C¹⁹"), =HYPERLINK("CSG19.html#group75D19", "75D¹⁹"), =HYPERLINK("CSG23.html#group150B23", "150B²³"), =HYPERLINK("CSG23.html#group150C23", "150C²³")</f>
        <v/>
      </c>
      <c r="M2226">
        <f>HYPERLINK("CSG0.html#group15B0", "15B⁰"), =HYPERLINK("CSG0.html#group5B0", "5B⁰"), =HYPERLINK("CSG0.html#group25A0", "25A⁰"), =HYPERLINK("CSG0.html#group3C0", "3C⁰"), =HYPERLINK("CSG4.html#group75A4", "75A⁴"), =HYPERLINK("CSG0.html#group3A0", "3A⁰"), =HYPERLINK("CSG0.html#group1A0", "1A⁰"), =HYPERLINK("CSG1.html#group15E1", "15E¹")</f>
        <v/>
      </c>
      <c r="N2226">
        <f>HYPERLINK("CSG19.html#group75D19", "75D¹⁹"), =HYPERLINK("CSG23.html#group150C23", "150C²³"), =HYPERLINK("CSG19.html#group75C19", "75C¹⁹"), =HYPERLINK("CSG23.html#group150B23", "150B²³"), =HYPERLINK("CSG17.html#group75E17", "75E¹⁷")</f>
        <v/>
      </c>
    </row>
    <row r="2227">
      <c r="A2227" t="inlineStr">
        <is>
          <t>75F⁹</t>
        </is>
      </c>
      <c r="B2227" t="inlineStr"/>
      <c r="C2227" t="inlineStr">
        <is>
          <t>240</t>
        </is>
      </c>
      <c r="D2227" t="inlineStr">
        <is>
          <t>1</t>
        </is>
      </c>
      <c r="E2227" t="inlineStr">
        <is>
          <t>24</t>
        </is>
      </c>
      <c r="F2227" t="inlineStr">
        <is>
          <t>0</t>
        </is>
      </c>
      <c r="G2227" t="inlineStr">
        <is>
          <t>0</t>
        </is>
      </c>
      <c r="H2227" t="inlineStr">
        <is>
          <t>1¹⁰, 3¹⁰, 25², 75²</t>
        </is>
      </c>
      <c r="I2227" t="n">
        <v>24</v>
      </c>
      <c r="J2227" t="inlineStr">
        <is>
          <t>1⁴, 2², 4², 8¹</t>
        </is>
      </c>
      <c r="K2227">
        <f>HYPERLINK("CSG0.html#group25B0", "25B⁰"), =HYPERLINK("CSG1.html#group15G1", "15G¹"), =HYPERLINK("CSG5.html#group75A5", "75A⁵")</f>
        <v/>
      </c>
      <c r="L2227">
        <f>HYPERLINK("CSG17.html#group75F17", "75F¹⁷")</f>
        <v/>
      </c>
      <c r="M2227">
        <f>HYPERLINK("CSG1.html#group15C1", "15C¹"), =HYPERLINK("CSG0.html#group3B0", "3B⁰"), =HYPERLINK("CSG5.html#group75A5", "75A⁵"), =HYPERLINK("CSG0.html#group5B0", "5B⁰"), =HYPERLINK("CSG0.html#group25A0", "25A⁰"), =HYPERLINK("CSG1.html#group15G1", "15G¹"), =HYPERLINK("CSG0.html#group5D0", "5D⁰"), =HYPERLINK("CSG0.html#group1A0", "1A⁰"), =HYPERLINK("CSG0.html#group25B0", "25B⁰")</f>
        <v/>
      </c>
      <c r="N2227">
        <f>HYPERLINK("CSG17.html#group75F17", "75F¹⁷")</f>
        <v/>
      </c>
    </row>
    <row r="2228">
      <c r="A2228" t="inlineStr">
        <is>
          <t>76A⁹</t>
        </is>
      </c>
      <c r="B2228" t="inlineStr"/>
      <c r="C2228" t="inlineStr">
        <is>
          <t>120</t>
        </is>
      </c>
      <c r="D2228" t="inlineStr">
        <is>
          <t>1</t>
        </is>
      </c>
      <c r="E2228" t="inlineStr">
        <is>
          <t>60</t>
        </is>
      </c>
      <c r="F2228" t="inlineStr">
        <is>
          <t>0</t>
        </is>
      </c>
      <c r="G2228" t="inlineStr">
        <is>
          <t>0</t>
        </is>
      </c>
      <c r="H2228" t="inlineStr">
        <is>
          <t>2¹, 4¹, 38¹, 76¹</t>
        </is>
      </c>
      <c r="I2228" t="n">
        <v>4</v>
      </c>
      <c r="J2228" t="inlineStr">
        <is>
          <t>1⁶, 18³</t>
        </is>
      </c>
      <c r="K2228">
        <f>HYPERLINK("CSG0.html#group4C0", "4C⁰"), =HYPERLINK("CSG4.html#group38A4", "38A⁴")</f>
        <v/>
      </c>
      <c r="L2228">
        <f>HYPERLINK("CSG17.html#group76A17", "76A¹⁷"), =HYPERLINK("CSG18.html#group76C18", "76C¹⁸"), =HYPERLINK("CSG18.html#group152B18", "152B¹⁸"), =HYPERLINK("CSG19.html#group152A19", "152A¹⁹"), =HYPERLINK("CSG19.html#group152B19", "152B¹⁹")</f>
        <v/>
      </c>
      <c r="M2228">
        <f>HYPERLINK("CSG1.html#group19A1", "19A¹"), =HYPERLINK("CSG0.html#group2B0", "2B⁰"), =HYPERLINK("CSG0.html#group1A0", "1A⁰"), =HYPERLINK("CSG0.html#group4C0", "4C⁰"), =HYPERLINK("CSG4.html#group38A4", "38A⁴")</f>
        <v/>
      </c>
      <c r="N2228">
        <f>HYPERLINK("CSG19.html#group152B19", "152B¹⁹"), =HYPERLINK("CSG18.html#group76C18", "76C¹⁸"), =HYPERLINK("CSG19.html#group152A19", "152A¹⁹"), =HYPERLINK("CSG17.html#group76A17", "76A¹⁷"), =HYPERLINK("CSG18.html#group152B18", "152B¹⁸")</f>
        <v/>
      </c>
    </row>
    <row r="2229">
      <c r="A2229" t="inlineStr">
        <is>
          <t>78A⁹</t>
        </is>
      </c>
      <c r="B2229" t="inlineStr"/>
      <c r="C2229" t="inlineStr">
        <is>
          <t>168</t>
        </is>
      </c>
      <c r="D2229" t="inlineStr">
        <is>
          <t>1</t>
        </is>
      </c>
      <c r="E2229" t="inlineStr">
        <is>
          <t>28</t>
        </is>
      </c>
      <c r="F2229" t="inlineStr">
        <is>
          <t>0</t>
        </is>
      </c>
      <c r="G2229" t="inlineStr">
        <is>
          <t>12</t>
        </is>
      </c>
      <c r="H2229" t="inlineStr">
        <is>
          <t>6², 78²</t>
        </is>
      </c>
      <c r="I2229" t="n">
        <v>4</v>
      </c>
      <c r="J2229" t="inlineStr">
        <is>
          <t>2², 24¹</t>
        </is>
      </c>
      <c r="K2229">
        <f>HYPERLINK("CSG1.html#group26B1", "26B¹"), =HYPERLINK("CSG5.html#group78A5", "78A⁵")</f>
        <v/>
      </c>
      <c r="L2229">
        <f>HYPERLINK("CSG19.html#group156D19", "156D¹⁹")</f>
        <v/>
      </c>
      <c r="M2229">
        <f>HYPERLINK("CSG0.html#group2A0", "2A⁰"), =HYPERLINK("CSG1.html#group26B1", "26B¹"), =HYPERLINK("CSG1.html#group26A1", "26A¹"), =HYPERLINK("CSG0.html#group6A0", "6A⁰"), =HYPERLINK("CSG0.html#group13A0", "13A⁰"), =HYPERLINK("CSG0.html#group26A0", "26A⁰"), =HYPERLINK("CSG0.html#group13B0", "13B⁰"), =HYPERLINK("CSG5.html#group78A5", "78A⁵"), =HYPERLINK("CSG0.html#group1A0", "1A⁰")</f>
        <v/>
      </c>
      <c r="N2229">
        <f>HYPERLINK("CSG19.html#group156D19", "156D¹⁹")</f>
        <v/>
      </c>
    </row>
    <row r="2230">
      <c r="A2230" t="inlineStr">
        <is>
          <t>78B⁹</t>
        </is>
      </c>
      <c r="B2230" t="inlineStr"/>
      <c r="C2230" t="inlineStr">
        <is>
          <t>168</t>
        </is>
      </c>
      <c r="D2230" t="inlineStr">
        <is>
          <t>1</t>
        </is>
      </c>
      <c r="E2230" t="inlineStr">
        <is>
          <t>42</t>
        </is>
      </c>
      <c r="F2230" t="inlineStr">
        <is>
          <t>16</t>
        </is>
      </c>
      <c r="G2230" t="inlineStr">
        <is>
          <t>0</t>
        </is>
      </c>
      <c r="H2230" t="inlineStr">
        <is>
          <t>6², 78²</t>
        </is>
      </c>
      <c r="I2230" t="n">
        <v>4</v>
      </c>
      <c r="J2230" t="inlineStr">
        <is>
          <t>1², 2², 12¹, 24¹</t>
        </is>
      </c>
      <c r="K2230">
        <f>HYPERLINK("CSG4.html#group39A4", "39A⁴"), =HYPERLINK("CSG4.html#group78A4", "78A⁴"), =HYPERLINK("CSG5.html#group78B5", "78B⁵")</f>
        <v/>
      </c>
      <c r="L2230">
        <f>HYPERLINK("CSG21.html#group78A21", "78A²¹"), =HYPERLINK("CSG23.html#group156A23", "156A²³"), =HYPERLINK("CSG23.html#group156B23", "156B²³"), =HYPERLINK("CSG23.html#group156H23", "156H²³")</f>
        <v/>
      </c>
      <c r="M2230">
        <f>HYPERLINK("CSG2.html#group39A2", "39A²"), =HYPERLINK("CSG4.html#group78A4", "78A⁴"), =HYPERLINK("CSG0.html#group6B0", "6B⁰"), =HYPERLINK("CSG5.html#group78B5", "78B⁵"), =HYPERLINK("CSG0.html#group13A0", "13A⁰"), =HYPERLINK("CSG0.html#group26A0", "26A⁰"), =HYPERLINK("CSG4.html#group39A4", "39A⁴"), =HYPERLINK("CSG0.html#group3A0", "3A⁰"), =HYPERLINK("CSG0.html#group1A0", "1A⁰")</f>
        <v/>
      </c>
      <c r="N2230">
        <f>HYPERLINK("CSG23.html#group156B23", "156B²³"), =HYPERLINK("CSG23.html#group156A23", "156A²³"), =HYPERLINK("CSG21.html#group78A21", "78A²¹"), =HYPERLINK("CSG23.html#group156H23", "156H²³")</f>
        <v/>
      </c>
    </row>
    <row r="2231">
      <c r="A2231" t="inlineStr">
        <is>
          <t>78C⁹</t>
        </is>
      </c>
      <c r="B2231" t="inlineStr"/>
      <c r="C2231" t="inlineStr">
        <is>
          <t>168</t>
        </is>
      </c>
      <c r="D2231" t="inlineStr">
        <is>
          <t>2</t>
        </is>
      </c>
      <c r="E2231" t="inlineStr">
        <is>
          <t>14</t>
        </is>
      </c>
      <c r="F2231" t="inlineStr">
        <is>
          <t>0</t>
        </is>
      </c>
      <c r="G2231" t="inlineStr">
        <is>
          <t>12</t>
        </is>
      </c>
      <c r="H2231" t="inlineStr">
        <is>
          <t>6², 78²</t>
        </is>
      </c>
      <c r="I2231" t="n">
        <v>4</v>
      </c>
      <c r="J2231" t="inlineStr">
        <is>
          <t>2², 24¹</t>
        </is>
      </c>
      <c r="K2231">
        <f>HYPERLINK("CSG1.html#group26B1", "26B¹"), =HYPERLINK("CSG2.html#group78A2", "78A²"), =HYPERLINK("CSG4.html#group39B4", "39B⁴"), =HYPERLINK("CSG5.html#group78C5", "78C⁵")</f>
        <v/>
      </c>
      <c r="L2231">
        <f>HYPERLINK("CSG19.html#group156E19", "156E¹⁹")</f>
        <v/>
      </c>
      <c r="M2231">
        <f>HYPERLINK("CSG4.html#group39B4", "39B⁴"), =HYPERLINK("CSG0.html#group2A0", "2A⁰"), =HYPERLINK("CSG1.html#group26B1", "26B¹"), =HYPERLINK("CSG1.html#group26A1", "26A¹"), =HYPERLINK("CSG2.html#group78A2", "78A²"), =HYPERLINK("CSG0.html#group13A0", "13A⁰"), =HYPERLINK("CSG0.html#group13B0", "13B⁰"), =HYPERLINK("CSG0.html#group26A0", "26A⁰"), =HYPERLINK("CSG1.html#group39A1", "39A¹"), =HYPERLINK("CSG0.html#group1A0", "1A⁰"), =HYPERLINK("CSG5.html#group78C5", "78C⁵")</f>
        <v/>
      </c>
      <c r="N2231">
        <f>HYPERLINK("CSG19.html#group156E19", "156E¹⁹")</f>
        <v/>
      </c>
    </row>
    <row r="2232">
      <c r="A2232" t="inlineStr">
        <is>
          <t>80A⁹</t>
        </is>
      </c>
      <c r="B2232" t="inlineStr"/>
      <c r="C2232" t="inlineStr">
        <is>
          <t>120</t>
        </is>
      </c>
      <c r="D2232" t="inlineStr">
        <is>
          <t>1</t>
        </is>
      </c>
      <c r="E2232" t="inlineStr">
        <is>
          <t>30</t>
        </is>
      </c>
      <c r="F2232" t="inlineStr">
        <is>
          <t>0</t>
        </is>
      </c>
      <c r="G2232" t="inlineStr">
        <is>
          <t>0</t>
        </is>
      </c>
      <c r="H2232" t="inlineStr">
        <is>
          <t>10², 20¹, 80¹</t>
        </is>
      </c>
      <c r="I2232" t="n">
        <v>4</v>
      </c>
      <c r="J2232" t="inlineStr">
        <is>
          <t>1⁴, 2¹, 4⁴, 8¹</t>
        </is>
      </c>
      <c r="K2232">
        <f>HYPERLINK("CSG1.html#group16A1", "16A¹"), =HYPERLINK("CSG4.html#group40B4", "40B⁴")</f>
        <v/>
      </c>
      <c r="L2232">
        <f>HYPERLINK("CSG17.html#group80A17", "80A¹⁷"), =HYPERLINK("CSG17.html#group80C17", "80C¹⁷"), =HYPERLINK("CSG19.html#group160A19", "160A¹⁹"), =HYPERLINK("CSG19.html#group160B19", "160B¹⁹"), =HYPERLINK("CSG19.html#group160C19", "160C¹⁹")</f>
        <v/>
      </c>
      <c r="M2232">
        <f>HYPERLINK("CSG2.html#group20A2", "20A²"), =HYPERLINK("CSG0.html#group5A0", "5A⁰"), =HYPERLINK("CSG1.html#group10B1", "10B¹"), =HYPERLINK("CSG1.html#group16A1", "16A¹"), =HYPERLINK("CSG0.html#group8C0", "8C⁰"), =HYPERLINK("CSG0.html#group2B0", "2B⁰"), =HYPERLINK("CSG0.html#group4B0", "4B⁰"), =HYPERLINK("CSG4.html#group40B4", "40B⁴"), =HYPERLINK("CSG0.html#group1A0", "1A⁰")</f>
        <v/>
      </c>
      <c r="N2232">
        <f>HYPERLINK("CSG19.html#group160A19", "160A¹⁹"), =HYPERLINK("CSG19.html#group160C19", "160C¹⁹"), =HYPERLINK("CSG19.html#group160B19", "160B¹⁹"), =HYPERLINK("CSG17.html#group80A17", "80A¹⁷"), =HYPERLINK("CSG17.html#group80C17", "80C¹⁷")</f>
        <v/>
      </c>
    </row>
    <row r="2233">
      <c r="A2233" t="inlineStr">
        <is>
          <t>80B⁹</t>
        </is>
      </c>
      <c r="B2233" t="inlineStr"/>
      <c r="C2233" t="inlineStr">
        <is>
          <t>120</t>
        </is>
      </c>
      <c r="D2233" t="inlineStr">
        <is>
          <t>1</t>
        </is>
      </c>
      <c r="E2233" t="inlineStr">
        <is>
          <t>30</t>
        </is>
      </c>
      <c r="F2233" t="inlineStr">
        <is>
          <t>4</t>
        </is>
      </c>
      <c r="G2233" t="inlineStr">
        <is>
          <t>0</t>
        </is>
      </c>
      <c r="H2233" t="inlineStr">
        <is>
          <t>40¹, 80¹</t>
        </is>
      </c>
      <c r="I2233" t="n">
        <v>2</v>
      </c>
      <c r="J2233" t="inlineStr">
        <is>
          <t>1², 2², 4², 8²</t>
        </is>
      </c>
      <c r="K2233">
        <f>HYPERLINK("CSG1.html#group16B1", "16B¹"), =HYPERLINK("CSG4.html#group40A4", "40A⁴")</f>
        <v/>
      </c>
      <c r="L2233">
        <f>HYPERLINK("CSG17.html#group80B17", "80B¹⁷"), =HYPERLINK("CSG18.html#group80E18", "80E¹⁸"), =HYPERLINK("CSG19.html#group80A19", "80A¹⁹"), =HYPERLINK("CSG19.html#group80C19", "80C¹⁹")</f>
        <v/>
      </c>
      <c r="M2233">
        <f>HYPERLINK("CSG0.html#group5A0", "5A⁰"), =HYPERLINK("CSG4.html#group40A4", "40A⁴"), =HYPERLINK("CSG1.html#group10B1", "10B¹"), =HYPERLINK("CSG2.html#group20B2", "20B²"), =HYPERLINK("CSG0.html#group4C0", "4C⁰"), =HYPERLINK("CSG0.html#group8B0", "8B⁰"), =HYPERLINK("CSG1.html#group16B1", "16B¹"), =HYPERLINK("CSG0.html#group2B0", "2B⁰"), =HYPERLINK("CSG0.html#group1A0", "1A⁰")</f>
        <v/>
      </c>
      <c r="N2233">
        <f>HYPERLINK("CSG19.html#group80C19", "80C¹⁹"), =HYPERLINK("CSG18.html#group80E18", "80E¹⁸"), =HYPERLINK("CSG19.html#group80A19", "80A¹⁹"), =HYPERLINK("CSG17.html#group80B17", "80B¹⁷")</f>
        <v/>
      </c>
    </row>
    <row r="2234">
      <c r="A2234" t="inlineStr">
        <is>
          <t>80C⁹</t>
        </is>
      </c>
      <c r="B2234" t="inlineStr"/>
      <c r="C2234" t="inlineStr">
        <is>
          <t>120</t>
        </is>
      </c>
      <c r="D2234" t="inlineStr">
        <is>
          <t>1</t>
        </is>
      </c>
      <c r="E2234" t="inlineStr">
        <is>
          <t>60</t>
        </is>
      </c>
      <c r="F2234" t="inlineStr">
        <is>
          <t>2</t>
        </is>
      </c>
      <c r="G2234" t="inlineStr">
        <is>
          <t>0</t>
        </is>
      </c>
      <c r="H2234" t="inlineStr">
        <is>
          <t>20², 80¹</t>
        </is>
      </c>
      <c r="I2234" t="n">
        <v>3</v>
      </c>
      <c r="J2234" t="inlineStr">
        <is>
          <t>1², 2¹, 4⁴, 8¹, 16²</t>
        </is>
      </c>
      <c r="K2234">
        <f>HYPERLINK("CSG1.html#group16C1", "16C¹"), =HYPERLINK("CSG4.html#group40C4", "40C⁴")</f>
        <v/>
      </c>
      <c r="L2234">
        <f>HYPERLINK("CSG17.html#group80G17", "80G¹⁷"), =HYPERLINK("CSG18.html#group80A18", "80A¹⁸"), =HYPERLINK("CSG18.html#group80B18", "80B¹⁸"), =HYPERLINK("CSG19.html#group160I19", "160I¹⁹")</f>
        <v/>
      </c>
      <c r="M2234">
        <f>HYPERLINK("CSG4.html#group40C4", "40C⁴"), =HYPERLINK("CSG0.html#group5A0", "5A⁰"), =HYPERLINK("CSG0.html#group8D0", "8D⁰"), =HYPERLINK("CSG1.html#group10B1", "10B¹"), =HYPERLINK("CSG1.html#group16C1", "16C¹"), =HYPERLINK("CSG2.html#group20B2", "20B²"), =HYPERLINK("CSG0.html#group4C0", "4C⁰"), =HYPERLINK("CSG0.html#group2B0", "2B⁰"), =HYPERLINK("CSG0.html#group1A0", "1A⁰")</f>
        <v/>
      </c>
      <c r="N2234">
        <f>HYPERLINK("CSG18.html#group80B18", "80B¹⁸"), =HYPERLINK("CSG17.html#group80G17", "80G¹⁷"), =HYPERLINK("CSG19.html#group160I19", "160I¹⁹"), =HYPERLINK("CSG18.html#group80A18", "80A¹⁸")</f>
        <v/>
      </c>
    </row>
    <row r="2235">
      <c r="A2235" t="inlineStr">
        <is>
          <t>80D⁹</t>
        </is>
      </c>
      <c r="B2235" t="inlineStr"/>
      <c r="C2235" t="inlineStr">
        <is>
          <t>120</t>
        </is>
      </c>
      <c r="D2235" t="inlineStr">
        <is>
          <t>1</t>
        </is>
      </c>
      <c r="E2235" t="inlineStr">
        <is>
          <t>60</t>
        </is>
      </c>
      <c r="F2235" t="inlineStr">
        <is>
          <t>4</t>
        </is>
      </c>
      <c r="G2235" t="inlineStr">
        <is>
          <t>0</t>
        </is>
      </c>
      <c r="H2235" t="inlineStr">
        <is>
          <t>40¹, 80¹</t>
        </is>
      </c>
      <c r="I2235" t="n">
        <v>2</v>
      </c>
      <c r="J2235" t="inlineStr">
        <is>
          <t>1⁴, 2², 4⁵, 8², 16¹</t>
        </is>
      </c>
      <c r="K2235">
        <f>HYPERLINK("CSG1.html#group16D1", "16D¹"), =HYPERLINK("CSG4.html#group40A4", "40A⁴")</f>
        <v/>
      </c>
      <c r="L2235">
        <f>HYPERLINK("CSG17.html#group80J17", "80J¹⁷"), =HYPERLINK("CSG18.html#group80C18", "80C¹⁸"), =HYPERLINK("CSG18.html#group80E18", "80E¹⁸"), =HYPERLINK("CSG19.html#group80F19", "80F¹⁹"), =HYPERLINK("CSG19.html#group80H19", "80H¹⁹"), =HYPERLINK("CSG19.html#group160E19", "160E¹⁹"), =HYPERLINK("CSG19.html#group160H19", "160H¹⁹"), =HYPERLINK("CSG19.html#group160G19", "160G¹⁹"), =HYPERLINK("CSG19.html#group160F19", "160F¹⁹")</f>
        <v/>
      </c>
      <c r="M2235">
        <f>HYPERLINK("CSG0.html#group5A0", "5A⁰"), =HYPERLINK("CSG1.html#group16D1", "16D¹"), =HYPERLINK("CSG4.html#group40A4", "40A⁴"), =HYPERLINK("CSG1.html#group10B1", "10B¹"), =HYPERLINK("CSG2.html#group20B2", "20B²"), =HYPERLINK("CSG0.html#group4C0", "4C⁰"), =HYPERLINK("CSG0.html#group8B0", "8B⁰"), =HYPERLINK("CSG0.html#group2B0", "2B⁰"), =HYPERLINK("CSG0.html#group1A0", "1A⁰")</f>
        <v/>
      </c>
      <c r="N2235">
        <f>HYPERLINK("CSG19.html#group160H19", "160H¹⁹"), =HYPERLINK("CSG18.html#group80E18", "80E¹⁸"), =HYPERLINK("CSG19.html#group80H19", "80H¹⁹"), =HYPERLINK("CSG19.html#group80F19", "80F¹⁹"), =HYPERLINK("CSG18.html#group80C18", "80C¹⁸"), =HYPERLINK("CSG19.html#group160F19", "160F¹⁹"), =HYPERLINK("CSG19.html#group160E19", "160E¹⁹"), =HYPERLINK("CSG17.html#group80J17", "80J¹⁷"), =HYPERLINK("CSG19.html#group160G19", "160G¹⁹")</f>
        <v/>
      </c>
    </row>
    <row r="2236">
      <c r="A2236" t="inlineStr">
        <is>
          <t>80E⁹</t>
        </is>
      </c>
      <c r="B2236" t="inlineStr"/>
      <c r="C2236" t="inlineStr">
        <is>
          <t>144</t>
        </is>
      </c>
      <c r="D2236" t="inlineStr">
        <is>
          <t>1</t>
        </is>
      </c>
      <c r="E2236" t="inlineStr">
        <is>
          <t>36</t>
        </is>
      </c>
      <c r="F2236" t="inlineStr">
        <is>
          <t>0</t>
        </is>
      </c>
      <c r="G2236" t="inlineStr">
        <is>
          <t>0</t>
        </is>
      </c>
      <c r="H2236" t="inlineStr">
        <is>
          <t>2², 4¹, 10², 16¹, 20¹, 80¹</t>
        </is>
      </c>
      <c r="I2236" t="n">
        <v>8</v>
      </c>
      <c r="J2236" t="inlineStr">
        <is>
          <t>1⁸, 2², 4⁴, 8¹</t>
        </is>
      </c>
      <c r="K2236">
        <f>HYPERLINK("CSG3.html#group40F3", "40F³")</f>
        <v/>
      </c>
      <c r="L2236">
        <f>HYPERLINK("CSG17.html#group80V17", "80V¹⁷"), =HYPERLINK("CSG17.html#group80W17", "80W¹⁷"), =HYPERLINK("CSG17.html#group80Y17", "80Y¹⁷"), =HYPERLINK("CSG17.html#group80AI17", "80AI¹⁷"), =HYPERLINK("CSG17.html#group80AH17", "80AH¹⁷"), =HYPERLINK("CSG21.html#group160Q21", "160Q²¹"), =HYPERLINK("CSG21.html#group160R21", "160R²¹"), =HYPERLINK("CSG21.html#group160S21", "160S²¹")</f>
        <v/>
      </c>
      <c r="M2236">
        <f>HYPERLINK("CSG3.html#group40F3", "40F³"), =HYPERLINK("CSG0.html#group5B0", "5B⁰"),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2236">
        <f>HYPERLINK("CSG21.html#group160S21", "160S²¹"), =HYPERLINK("CSG21.html#group160R21", "160R²¹"), =HYPERLINK("CSG17.html#group80AI17", "80AI¹⁷"), =HYPERLINK("CSG17.html#group80V17", "80V¹⁷"), =HYPERLINK("CSG17.html#group80W17", "80W¹⁷"), =HYPERLINK("CSG21.html#group160Q21", "160Q²¹"), =HYPERLINK("CSG17.html#group80Y17", "80Y¹⁷"), =HYPERLINK("CSG17.html#group80AH17", "80AH¹⁷")</f>
        <v/>
      </c>
    </row>
    <row r="2237">
      <c r="A2237" t="inlineStr">
        <is>
          <t>80F⁹</t>
        </is>
      </c>
      <c r="B2237" t="inlineStr"/>
      <c r="C2237" t="inlineStr">
        <is>
          <t>144</t>
        </is>
      </c>
      <c r="D2237" t="inlineStr">
        <is>
          <t>1</t>
        </is>
      </c>
      <c r="E2237" t="inlineStr">
        <is>
          <t>36</t>
        </is>
      </c>
      <c r="F2237" t="inlineStr">
        <is>
          <t>0</t>
        </is>
      </c>
      <c r="G2237" t="inlineStr">
        <is>
          <t>0</t>
        </is>
      </c>
      <c r="H2237" t="inlineStr">
        <is>
          <t>2², 4¹, 10², 16¹, 20¹, 80¹</t>
        </is>
      </c>
      <c r="I2237" t="n">
        <v>8</v>
      </c>
      <c r="J2237" t="inlineStr">
        <is>
          <t>1⁸, 2², 4⁴, 8¹</t>
        </is>
      </c>
      <c r="K2237">
        <f>HYPERLINK("CSG1.html#group16A1", "16A¹"), =HYPERLINK("CSG3.html#group40F3", "40F³")</f>
        <v/>
      </c>
      <c r="L2237">
        <f>HYPERLINK("CSG17.html#group80V17", "80V¹⁷"), =HYPERLINK("CSG17.html#group80X17", "80X¹⁷"), =HYPERLINK("CSG17.html#group80Z17", "80Z¹⁷"), =HYPERLINK("CSG17.html#group80AG17", "80AG¹⁷"), =HYPERLINK("CSG17.html#group80AJ17", "80AJ¹⁷"), =HYPERLINK("CSG21.html#group160A21", "160A²¹"), =HYPERLINK("CSG21.html#group160B21", "160B²¹"), =HYPERLINK("CSG21.html#group160C21", "160C²¹"), =HYPERLINK("CSG21.html#group160D21", "160D²¹"), =HYPERLINK("CSG21.html#group160E21", "160E²¹"), =HYPERLINK("CSG21.html#group160F21", "160F²¹")</f>
        <v/>
      </c>
      <c r="M2237">
        <f>HYPERLINK("CSG3.html#group40F3", "40F³"), =HYPERLINK("CSG0.html#group5B0", "5B⁰"), =HYPERLINK("CSG0.html#group10C0", "10C⁰"), =HYPERLINK("CSG1.html#group16A1", "16A¹"), =HYPERLINK("CSG1.html#group20D1", "20D¹"), =HYPERLINK("CSG0.html#group8C0", "8C⁰"), =HYPERLINK("CSG0.html#group2B0", "2B⁰"), =HYPERLINK("CSG0.html#group4B0", "4B⁰"), =HYPERLINK("CSG0.html#group1A0", "1A⁰")</f>
        <v/>
      </c>
      <c r="N2237">
        <f>HYPERLINK("CSG21.html#group160E21", "160E²¹"), =HYPERLINK("CSG21.html#group160B21", "160B²¹"), =HYPERLINK("CSG17.html#group80AJ17", "80AJ¹⁷"), =HYPERLINK("CSG21.html#group160D21", "160D²¹"), =HYPERLINK("CSG17.html#group80V17", "80V¹⁷"), =HYPERLINK("CSG21.html#group160C21", "160C²¹"), =HYPERLINK("CSG17.html#group80AG17", "80AG¹⁷"), =HYPERLINK("CSG21.html#group160F21", "160F²¹"), =HYPERLINK("CSG17.html#group80Z17", "80Z¹⁷"), =HYPERLINK("CSG21.html#group160A21", "160A²¹"), =HYPERLINK("CSG17.html#group80X17", "80X¹⁷")</f>
        <v/>
      </c>
    </row>
    <row r="2238">
      <c r="A2238" t="inlineStr">
        <is>
          <t>80G⁹</t>
        </is>
      </c>
      <c r="B2238" t="inlineStr"/>
      <c r="C2238" t="inlineStr">
        <is>
          <t>144</t>
        </is>
      </c>
      <c r="D2238" t="inlineStr">
        <is>
          <t>1</t>
        </is>
      </c>
      <c r="E2238" t="inlineStr">
        <is>
          <t>36</t>
        </is>
      </c>
      <c r="F2238" t="inlineStr">
        <is>
          <t>8</t>
        </is>
      </c>
      <c r="G2238" t="inlineStr">
        <is>
          <t>0</t>
        </is>
      </c>
      <c r="H2238" t="inlineStr">
        <is>
          <t>8¹, 16¹, 40¹, 80¹</t>
        </is>
      </c>
      <c r="I2238" t="n">
        <v>4</v>
      </c>
      <c r="J2238" t="inlineStr">
        <is>
          <t>1⁴, 2⁴, 4², 8²</t>
        </is>
      </c>
      <c r="K2238">
        <f>HYPERLINK("CSG3.html#group40D3", "40D³")</f>
        <v/>
      </c>
      <c r="L2238">
        <f>HYPERLINK("CSG17.html#group80AA17", "80AA¹⁷"), =HYPERLINK("CSG17.html#group80AC17", "80AC¹⁷"), =HYPERLINK("CSG17.html#group80AD17", "80AD¹⁷"), =HYPERLINK("CSG19.html#group80AD19", "80AD¹⁹"), =HYPERLINK("CSG19.html#group80AB19", "80AB¹⁹"), =HYPERLINK("CSG21.html#group80C21", "80C²¹"), =HYPERLINK("CSG21.html#group80K21", "80K²¹"), =HYPERLINK("CSG21.html#group80M21", "80M²¹"), =HYPERLINK("CSG21.html#group80N21", "80N²¹")</f>
        <v/>
      </c>
      <c r="M2238">
        <f>HYPERLINK("CSG1.html#group20E1", "20E¹"), =HYPERLINK("CSG0.html#group4C0", "4C⁰"), =HYPERLINK("CSG0.html#group8B0", "8B⁰"), =HYPERLINK("CSG0.html#group5B0", "5B⁰"), =HYPERLINK("CSG0.html#group10C0", "10C⁰"), =HYPERLINK("CSG0.html#group1A0", "1A⁰"), =HYPERLINK("CSG0.html#group2B0", "2B⁰"), =HYPERLINK("CSG3.html#group40D3", "40D³")</f>
        <v/>
      </c>
      <c r="N2238">
        <f>HYPERLINK("CSG17.html#group80AA17", "80AA¹⁷"), =HYPERLINK("CSG21.html#group80N21", "80N²¹"), =HYPERLINK("CSG21.html#group80M21", "80M²¹"), =HYPERLINK("CSG19.html#group80AD19", "80AD¹⁹"), =HYPERLINK("CSG17.html#group80AC17", "80AC¹⁷"), =HYPERLINK("CSG17.html#group80AD17", "80AD¹⁷"), =HYPERLINK("CSG19.html#group80AB19", "80AB¹⁹"), =HYPERLINK("CSG21.html#group80C21", "80C²¹"), =HYPERLINK("CSG21.html#group80K21", "80K²¹")</f>
        <v/>
      </c>
    </row>
    <row r="2239">
      <c r="A2239" t="inlineStr">
        <is>
          <t>80H⁹</t>
        </is>
      </c>
      <c r="B2239" t="inlineStr"/>
      <c r="C2239" t="inlineStr">
        <is>
          <t>144</t>
        </is>
      </c>
      <c r="D2239" t="inlineStr">
        <is>
          <t>1</t>
        </is>
      </c>
      <c r="E2239" t="inlineStr">
        <is>
          <t>36</t>
        </is>
      </c>
      <c r="F2239" t="inlineStr">
        <is>
          <t>8</t>
        </is>
      </c>
      <c r="G2239" t="inlineStr">
        <is>
          <t>0</t>
        </is>
      </c>
      <c r="H2239" t="inlineStr">
        <is>
          <t>8¹, 16¹, 40¹, 80¹</t>
        </is>
      </c>
      <c r="I2239" t="n">
        <v>4</v>
      </c>
      <c r="J2239" t="inlineStr">
        <is>
          <t>1⁴, 2⁴, 4², 8²</t>
        </is>
      </c>
      <c r="K2239">
        <f>HYPERLINK("CSG1.html#group16B1", "16B¹"), =HYPERLINK("CSG3.html#group40D3", "40D³")</f>
        <v/>
      </c>
      <c r="L2239">
        <f>HYPERLINK("CSG17.html#group80AA17", "80AA¹⁷"), =HYPERLINK("CSG17.html#group80AB17", "80AB¹⁷"), =HYPERLINK("CSG17.html#group80AE17", "80AE¹⁷"), =HYPERLINK("CSG19.html#group80AC19", "80AC¹⁹"), =HYPERLINK("CSG19.html#group80AE19", "80AE¹⁹"), =HYPERLINK("CSG21.html#group80D21", "80D²¹"), =HYPERLINK("CSG21.html#group80L21", "80L²¹"), =HYPERLINK("CSG21.html#group80N21", "80N²¹"), =HYPERLINK("CSG21.html#group80O21", "80O²¹")</f>
        <v/>
      </c>
      <c r="M2239">
        <f>HYPERLINK("CSG1.html#group20E1", "20E¹"), =HYPERLINK("CSG3.html#group40D3", "40D³"), =HYPERLINK("CSG0.html#group4C0", "4C⁰"), =HYPERLINK("CSG0.html#group8B0", "8B⁰"), =HYPERLINK("CSG0.html#group5B0", "5B⁰"), =HYPERLINK("CSG1.html#group16B1", "16B¹"), =HYPERLINK("CSG0.html#group10C0", "10C⁰"), =HYPERLINK("CSG0.html#group2B0", "2B⁰"), =HYPERLINK("CSG0.html#group1A0", "1A⁰")</f>
        <v/>
      </c>
      <c r="N2239">
        <f>HYPERLINK("CSG17.html#group80AA17", "80AA¹⁷"), =HYPERLINK("CSG21.html#group80N21", "80N²¹"), =HYPERLINK("CSG17.html#group80AE17", "80AE¹⁷"), =HYPERLINK("CSG19.html#group80AC19", "80AC¹⁹"), =HYPERLINK("CSG17.html#group80AB17", "80AB¹⁷"), =HYPERLINK("CSG19.html#group80AE19", "80AE¹⁹"), =HYPERLINK("CSG21.html#group80O21", "80O²¹"), =HYPERLINK("CSG21.html#group80D21", "80D²¹"), =HYPERLINK("CSG21.html#group80L21", "80L²¹")</f>
        <v/>
      </c>
    </row>
    <row r="2240">
      <c r="A2240" t="inlineStr">
        <is>
          <t>80I⁹</t>
        </is>
      </c>
      <c r="B2240" t="inlineStr"/>
      <c r="C2240" t="inlineStr">
        <is>
          <t>144</t>
        </is>
      </c>
      <c r="D2240" t="inlineStr">
        <is>
          <t>1</t>
        </is>
      </c>
      <c r="E2240" t="inlineStr">
        <is>
          <t>72</t>
        </is>
      </c>
      <c r="F2240" t="inlineStr">
        <is>
          <t>4</t>
        </is>
      </c>
      <c r="G2240" t="inlineStr">
        <is>
          <t>0</t>
        </is>
      </c>
      <c r="H2240" t="inlineStr">
        <is>
          <t>4², 16¹, 20², 80¹</t>
        </is>
      </c>
      <c r="I2240" t="n">
        <v>6</v>
      </c>
      <c r="J2240" t="inlineStr">
        <is>
          <t>1⁴, 2², 4⁶, 8¹, 16²</t>
        </is>
      </c>
      <c r="K2240">
        <f>HYPERLINK("CSG3.html#group40H3", "40H³")</f>
        <v/>
      </c>
      <c r="L2240">
        <f>HYPERLINK("CSG17.html#group80AN17", "80AN¹⁷"), =HYPERLINK("CSG17.html#group80AP17", "80AP¹⁷"), =HYPERLINK("CSG17.html#group80AQ17", "80AQ¹⁷"), =HYPERLINK("CSG19.html#group80L19", "80L¹⁹"), =HYPERLINK("CSG19.html#group80O19", "80O¹⁹"), =HYPERLINK("CSG19.html#group80R19", "80R¹⁹"), =HYPERLINK("CSG19.html#group80Q19", "80Q¹⁹")</f>
        <v/>
      </c>
      <c r="M2240">
        <f>HYPERLINK("CSG1.html#group20E1", "20E¹"), =HYPERLINK("CSG3.html#group40H3", "40H³"), =HYPERLINK("CSG0.html#group8D0", "8D⁰"), =HYPERLINK("CSG0.html#group4C0", "4C⁰"), =HYPERLINK("CSG0.html#group5B0", "5B⁰"), =HYPERLINK("CSG0.html#group10C0", "10C⁰"), =HYPERLINK("CSG0.html#group2B0", "2B⁰"), =HYPERLINK("CSG0.html#group1A0", "1A⁰")</f>
        <v/>
      </c>
      <c r="N2240">
        <f>HYPERLINK("CSG17.html#group80AN17", "80AN¹⁷"), =HYPERLINK("CSG19.html#group80Q19", "80Q¹⁹"), =HYPERLINK("CSG17.html#group80AQ17", "80AQ¹⁷"), =HYPERLINK("CSG19.html#group80L19", "80L¹⁹"), =HYPERLINK("CSG19.html#group80R19", "80R¹⁹"), =HYPERLINK("CSG19.html#group80O19", "80O¹⁹"), =HYPERLINK("CSG17.html#group80AP17", "80AP¹⁷")</f>
        <v/>
      </c>
    </row>
    <row r="2241">
      <c r="A2241" t="inlineStr">
        <is>
          <t>80J⁹</t>
        </is>
      </c>
      <c r="B2241" t="inlineStr"/>
      <c r="C2241" t="inlineStr">
        <is>
          <t>144</t>
        </is>
      </c>
      <c r="D2241" t="inlineStr">
        <is>
          <t>1</t>
        </is>
      </c>
      <c r="E2241" t="inlineStr">
        <is>
          <t>72</t>
        </is>
      </c>
      <c r="F2241" t="inlineStr">
        <is>
          <t>4</t>
        </is>
      </c>
      <c r="G2241" t="inlineStr">
        <is>
          <t>0</t>
        </is>
      </c>
      <c r="H2241" t="inlineStr">
        <is>
          <t>4², 16¹, 20², 80¹</t>
        </is>
      </c>
      <c r="I2241" t="n">
        <v>6</v>
      </c>
      <c r="J2241" t="inlineStr">
        <is>
          <t>1⁴, 2², 4⁶, 8¹, 16²</t>
        </is>
      </c>
      <c r="K2241">
        <f>HYPERLINK("CSG1.html#group16C1", "16C¹"), =HYPERLINK("CSG3.html#group40H3", "40H³")</f>
        <v/>
      </c>
      <c r="L2241">
        <f>HYPERLINK("CSG17.html#group80AN17", "80AN¹⁷"), =HYPERLINK("CSG17.html#group80AO17", "80AO¹⁷"), =HYPERLINK("CSG17.html#group80AR17", "80AR¹⁷"), =HYPERLINK("CSG19.html#group80M19", "80M¹⁹"), =HYPERLINK("CSG19.html#group80O19", "80O¹⁹"), =HYPERLINK("CSG19.html#group80P19", "80P¹⁹"), =HYPERLINK("CSG19.html#group80S19", "80S¹⁹"), =HYPERLINK("CSG21.html#group160T21", "160T²¹"), =HYPERLINK("CSG21.html#group160U21", "160U²¹")</f>
        <v/>
      </c>
      <c r="M2241">
        <f>HYPERLINK("CSG1.html#group20E1", "20E¹"), =HYPERLINK("CSG3.html#group40H3", "40H³"), =HYPERLINK("CSG0.html#group8D0", "8D⁰"), =HYPERLINK("CSG1.html#group16C1", "16C¹"), =HYPERLINK("CSG0.html#group4C0", "4C⁰"), =HYPERLINK("CSG0.html#group5B0", "5B⁰"), =HYPERLINK("CSG0.html#group10C0", "10C⁰"), =HYPERLINK("CSG0.html#group2B0", "2B⁰"), =HYPERLINK("CSG0.html#group1A0", "1A⁰")</f>
        <v/>
      </c>
      <c r="N2241">
        <f>HYPERLINK("CSG17.html#group80AN17", "80AN¹⁷"), =HYPERLINK("CSG21.html#group160T21", "160T²¹"), =HYPERLINK("CSG19.html#group80P19", "80P¹⁹"), =HYPERLINK("CSG19.html#group80S19", "80S¹⁹"), =HYPERLINK("CSG21.html#group160U21", "160U²¹"), =HYPERLINK("CSG19.html#group80M19", "80M¹⁹"), =HYPERLINK("CSG17.html#group80AO17", "80AO¹⁷"), =HYPERLINK("CSG19.html#group80O19", "80O¹⁹"), =HYPERLINK("CSG17.html#group80AR17", "80AR¹⁷")</f>
        <v/>
      </c>
    </row>
    <row r="2242">
      <c r="A2242" t="inlineStr">
        <is>
          <t>80K⁹</t>
        </is>
      </c>
      <c r="B2242" t="inlineStr"/>
      <c r="C2242" t="inlineStr">
        <is>
          <t>144</t>
        </is>
      </c>
      <c r="D2242" t="inlineStr">
        <is>
          <t>1</t>
        </is>
      </c>
      <c r="E2242" t="inlineStr">
        <is>
          <t>72</t>
        </is>
      </c>
      <c r="F2242" t="inlineStr">
        <is>
          <t>8</t>
        </is>
      </c>
      <c r="G2242" t="inlineStr">
        <is>
          <t>0</t>
        </is>
      </c>
      <c r="H2242" t="inlineStr">
        <is>
          <t>8¹, 16¹, 40¹, 80¹</t>
        </is>
      </c>
      <c r="I2242" t="n">
        <v>4</v>
      </c>
      <c r="J2242" t="inlineStr">
        <is>
          <t>1⁸, 2⁴, 4⁶, 8², 16¹</t>
        </is>
      </c>
      <c r="K2242">
        <f>HYPERLINK("CSG3.html#group40D3", "40D³")</f>
        <v/>
      </c>
      <c r="L2242">
        <f>HYPERLINK("CSG17.html#group80AT17", "80AT¹⁷"), =HYPERLINK("CSG17.html#group80AW17", "80AW¹⁷"), =HYPERLINK("CSG17.html#group80AV17", "80AV¹⁷"), =HYPERLINK("CSG19.html#group80U19", "80U¹⁹"), =HYPERLINK("CSG19.html#group80AA19", "80AA¹⁹"), =HYPERLINK("CSG19.html#group80AD19", "80AD¹⁹"), =HYPERLINK("CSG19.html#group80AC19", "80AC¹⁹"), =HYPERLINK("CSG21.html#group80P21", "80P²¹"), =HYPERLINK("CSG21.html#group80X21", "80X²¹"), =HYPERLINK("CSG21.html#group80V21", "80V²¹"), =HYPERLINK("CSG21.html#group80AA21", "80AA²¹")</f>
        <v/>
      </c>
      <c r="M2242">
        <f>HYPERLINK("CSG1.html#group20E1", "20E¹"), =HYPERLINK("CSG0.html#group4C0", "4C⁰"), =HYPERLINK("CSG0.html#group8B0", "8B⁰"), =HYPERLINK("CSG0.html#group5B0", "5B⁰"), =HYPERLINK("CSG0.html#group10C0", "10C⁰"), =HYPERLINK("CSG0.html#group1A0", "1A⁰"), =HYPERLINK("CSG0.html#group2B0", "2B⁰"), =HYPERLINK("CSG3.html#group40D3", "40D³")</f>
        <v/>
      </c>
      <c r="N2242">
        <f>HYPERLINK("CSG17.html#group80AV17", "80AV¹⁷"), =HYPERLINK("CSG19.html#group80AC19", "80AC¹⁹"), =HYPERLINK("CSG17.html#group80AW17", "80AW¹⁷"), =HYPERLINK("CSG21.html#group80P21", "80P²¹"), =HYPERLINK("CSG19.html#group80AD19", "80AD¹⁹"), =HYPERLINK("CSG19.html#group80U19", "80U¹⁹"), =HYPERLINK("CSG19.html#group80AA19", "80AA¹⁹"), =HYPERLINK("CSG21.html#group80AA21", "80AA²¹"), =HYPERLINK("CSG17.html#group80AT17", "80AT¹⁷"), =HYPERLINK("CSG21.html#group80V21", "80V²¹"), =HYPERLINK("CSG21.html#group80X21", "80X²¹")</f>
        <v/>
      </c>
    </row>
    <row r="2243">
      <c r="A2243" t="inlineStr">
        <is>
          <t>80L⁹</t>
        </is>
      </c>
      <c r="B2243" t="inlineStr"/>
      <c r="C2243" t="inlineStr">
        <is>
          <t>144</t>
        </is>
      </c>
      <c r="D2243" t="inlineStr">
        <is>
          <t>1</t>
        </is>
      </c>
      <c r="E2243" t="inlineStr">
        <is>
          <t>72</t>
        </is>
      </c>
      <c r="F2243" t="inlineStr">
        <is>
          <t>8</t>
        </is>
      </c>
      <c r="G2243" t="inlineStr">
        <is>
          <t>0</t>
        </is>
      </c>
      <c r="H2243" t="inlineStr">
        <is>
          <t>8¹, 16¹, 40¹, 80¹</t>
        </is>
      </c>
      <c r="I2243" t="n">
        <v>4</v>
      </c>
      <c r="J2243" t="inlineStr">
        <is>
          <t>1⁸, 2⁴, 4⁶, 8², 16¹</t>
        </is>
      </c>
      <c r="K2243">
        <f>HYPERLINK("CSG1.html#group16D1", "16D¹"), =HYPERLINK("CSG3.html#group40D3", "40D³")</f>
        <v/>
      </c>
      <c r="L2243">
        <f>HYPERLINK("CSG17.html#group80AT17", "80AT¹⁷"), =HYPERLINK("CSG17.html#group80AU17", "80AU¹⁷"), =HYPERLINK("CSG17.html#group80AX17", "80AX¹⁷"), =HYPERLINK("CSG19.html#group80V19", "80V¹⁹"), =HYPERLINK("CSG19.html#group80AA19", "80AA¹⁹"), =HYPERLINK("CSG19.html#group80AB19", "80AB¹⁹"), =HYPERLINK("CSG19.html#group80AE19", "80AE¹⁹"), =HYPERLINK("CSG21.html#group80Q21", "80Q²¹"), =HYPERLINK("CSG21.html#group80W21", "80W²¹"), =HYPERLINK("CSG21.html#group80AA21", "80AA²¹"), =HYPERLINK("CSG21.html#group80AB21", "80AB²¹"), =HYPERLINK("CSG21.html#group160I21", "160I²¹"), =HYPERLINK("CSG21.html#group160J21", "160J²¹"), =HYPERLINK("CSG21.html#group160K21", "160K²¹"), =HYPERLINK("CSG21.html#group160L21", "160L²¹"), =HYPERLINK("CSG21.html#group160M21", "160M²¹"), =HYPERLINK("CSG21.html#group160P21", "160P²¹"), =HYPERLINK("CSG21.html#group160O21", "160O²¹"), =HYPERLINK("CSG21.html#group160N21", "160N²¹")</f>
        <v/>
      </c>
      <c r="M2243">
        <f>HYPERLINK("CSG1.html#group20E1", "20E¹"), =HYPERLINK("CSG1.html#group16D1", "16D¹"), =HYPERLINK("CSG0.html#group4C0", "4C⁰"), =HYPERLINK("CSG0.html#group8B0", "8B⁰"), =HYPERLINK("CSG0.html#group5B0", "5B⁰"), =HYPERLINK("CSG0.html#group10C0", "10C⁰"), =HYPERLINK("CSG0.html#group1A0", "1A⁰"), =HYPERLINK("CSG0.html#group2B0", "2B⁰"), =HYPERLINK("CSG3.html#group40D3", "40D³")</f>
        <v/>
      </c>
      <c r="N2243">
        <f>HYPERLINK("CSG17.html#group80AX17", "80AX¹⁷"), =HYPERLINK("CSG21.html#group160O21", "160O²¹"), =HYPERLINK("CSG19.html#group80AE19", "80AE¹⁹"), =HYPERLINK("CSG21.html#group160K21", "160K²¹"), =HYPERLINK("CSG19.html#group80AA19", "80AA¹⁹"), =HYPERLINK("CSG21.html#group80AA21", "80AA²¹"), =HYPERLINK("CSG17.html#group80AT17", "80AT¹⁷"), =HYPERLINK("CSG21.html#group80AB21", "80AB²¹"), =HYPERLINK("CSG21.html#group160I21", "160I²¹"), =HYPERLINK("CSG21.html#group80W21", "80W²¹"), =HYPERLINK("CSG21.html#group160J21", "160J²¹"), =HYPERLINK("CSG21.html#group160N21", "160N²¹"), =HYPERLINK("CSG21.html#group160M21", "160M²¹"), =HYPERLINK("CSG19.html#group80V19", "80V¹⁹"), =HYPERLINK("CSG19.html#group80AB19", "80AB¹⁹"), =HYPERLINK("CSG17.html#group80AU17", "80AU¹⁷"), =HYPERLINK("CSG21.html#group160L21", "160L²¹"), =HYPERLINK("CSG21.html#group80Q21", "80Q²¹"), =HYPERLINK("CSG21.html#group160P21", "160P²¹")</f>
        <v/>
      </c>
    </row>
    <row r="2244">
      <c r="A2244" t="inlineStr">
        <is>
          <t>80M⁹</t>
        </is>
      </c>
      <c r="B2244" t="inlineStr"/>
      <c r="C2244" t="inlineStr">
        <is>
          <t>144</t>
        </is>
      </c>
      <c r="D2244" t="inlineStr">
        <is>
          <t>2</t>
        </is>
      </c>
      <c r="E2244" t="inlineStr">
        <is>
          <t>18</t>
        </is>
      </c>
      <c r="F2244" t="inlineStr">
        <is>
          <t>8</t>
        </is>
      </c>
      <c r="G2244" t="inlineStr">
        <is>
          <t>0</t>
        </is>
      </c>
      <c r="H2244" t="inlineStr">
        <is>
          <t>8¹, 16¹, 40¹, 80¹</t>
        </is>
      </c>
      <c r="I2244" t="n">
        <v>4</v>
      </c>
      <c r="J2244" t="inlineStr">
        <is>
          <t>2⁶, 8³</t>
        </is>
      </c>
      <c r="K2244">
        <f>HYPERLINK("CSG3.html#group40C3", "40C³")</f>
        <v/>
      </c>
      <c r="L2244">
        <f>HYPERLINK("CSG17.html#group80BC17", "80BC¹⁷"), =HYPERLINK("CSG19.html#group80W19", "80W¹⁹"), =HYPERLINK("CSG19.html#group80Y19", "80Y¹⁹"), =HYPERLINK("CSG21.html#group80A21", "80A²¹"), =HYPERLINK("CSG21.html#group80AD21", "80AD²¹")</f>
        <v/>
      </c>
      <c r="M2244">
        <f>HYPERLINK("CSG3.html#group40C3", "40C³"), =HYPERLINK("CSG0.html#group5B0", "5B⁰"), =HYPERLINK("CSG1.html#group20E1", "20E¹"), =HYPERLINK("CSG0.html#group10C0", "10C⁰"), =HYPERLINK("CSG0.html#group2B0", "2B⁰"), =HYPERLINK("CSG0.html#group1A0", "1A⁰"), =HYPERLINK("CSG0.html#group4C0", "4C⁰")</f>
        <v/>
      </c>
      <c r="N2244">
        <f>HYPERLINK("CSG21.html#group80AD21", "80AD²¹"), =HYPERLINK("CSG19.html#group80Y19", "80Y¹⁹"), =HYPERLINK("CSG19.html#group80W19", "80W¹⁹"), =HYPERLINK("CSG21.html#group80A21", "80A²¹"), =HYPERLINK("CSG17.html#group80BC17", "80BC¹⁷")</f>
        <v/>
      </c>
    </row>
    <row r="2245">
      <c r="A2245" t="inlineStr">
        <is>
          <t>80N⁹</t>
        </is>
      </c>
      <c r="B2245" t="inlineStr"/>
      <c r="C2245" t="inlineStr">
        <is>
          <t>144</t>
        </is>
      </c>
      <c r="D2245" t="inlineStr">
        <is>
          <t>2</t>
        </is>
      </c>
      <c r="E2245" t="inlineStr">
        <is>
          <t>18</t>
        </is>
      </c>
      <c r="F2245" t="inlineStr">
        <is>
          <t>8</t>
        </is>
      </c>
      <c r="G2245" t="inlineStr">
        <is>
          <t>0</t>
        </is>
      </c>
      <c r="H2245" t="inlineStr">
        <is>
          <t>8¹, 16¹, 40¹, 80¹</t>
        </is>
      </c>
      <c r="I2245" t="n">
        <v>4</v>
      </c>
      <c r="J2245" t="inlineStr">
        <is>
          <t>2⁶, 8³</t>
        </is>
      </c>
      <c r="K2245">
        <f>HYPERLINK("CSG3.html#group40C3", "40C³")</f>
        <v/>
      </c>
      <c r="L2245">
        <f>HYPERLINK("CSG17.html#group80BC17", "80BC¹⁷"), =HYPERLINK("CSG19.html#group80X19", "80X¹⁹"), =HYPERLINK("CSG19.html#group80Z19", "80Z¹⁹"), =HYPERLINK("CSG21.html#group80B21", "80B²¹"), =HYPERLINK("CSG21.html#group80AD21", "80AD²¹")</f>
        <v/>
      </c>
      <c r="M2245">
        <f>HYPERLINK("CSG3.html#group40C3", "40C³"), =HYPERLINK("CSG0.html#group5B0", "5B⁰"), =HYPERLINK("CSG1.html#group20E1", "20E¹"), =HYPERLINK("CSG0.html#group10C0", "10C⁰"), =HYPERLINK("CSG0.html#group2B0", "2B⁰"), =HYPERLINK("CSG0.html#group1A0", "1A⁰"), =HYPERLINK("CSG0.html#group4C0", "4C⁰")</f>
        <v/>
      </c>
      <c r="N2245">
        <f>HYPERLINK("CSG21.html#group80AD21", "80AD²¹"), =HYPERLINK("CSG21.html#group80B21", "80B²¹"), =HYPERLINK("CSG19.html#group80Z19", "80Z¹⁹"), =HYPERLINK("CSG19.html#group80X19", "80X¹⁹"), =HYPERLINK("CSG17.html#group80BC17", "80BC¹⁷")</f>
        <v/>
      </c>
    </row>
    <row r="2246">
      <c r="A2246" t="inlineStr">
        <is>
          <t>80O⁹</t>
        </is>
      </c>
      <c r="B2246" t="inlineStr"/>
      <c r="C2246" t="inlineStr">
        <is>
          <t>144</t>
        </is>
      </c>
      <c r="D2246" t="inlineStr">
        <is>
          <t>2</t>
        </is>
      </c>
      <c r="E2246" t="inlineStr">
        <is>
          <t>36</t>
        </is>
      </c>
      <c r="F2246" t="inlineStr">
        <is>
          <t>0</t>
        </is>
      </c>
      <c r="G2246" t="inlineStr">
        <is>
          <t>0</t>
        </is>
      </c>
      <c r="H2246" t="inlineStr">
        <is>
          <t>2², 4¹, 10², 16¹, 20¹, 80¹</t>
        </is>
      </c>
      <c r="I2246" t="n">
        <v>8</v>
      </c>
      <c r="J2246" t="inlineStr">
        <is>
          <t>2¹², 8⁶</t>
        </is>
      </c>
      <c r="K2246">
        <f>HYPERLINK("CSG3.html#group40E3", "40E³")</f>
        <v/>
      </c>
      <c r="L2246">
        <f>HYPERLINK("CSG17.html#group80U17", "80U¹⁷"), =HYPERLINK("CSG17.html#group80BD17", "80BD¹⁷"), =HYPERLINK("CSG17.html#group80BE17", "80BE¹⁷")</f>
        <v/>
      </c>
      <c r="M2246">
        <f>HYPERLINK("CSG0.html#group5B0", "5B⁰"), =HYPERLINK("CSG0.html#group10C0", "10C⁰"), =HYPERLINK("CSG3.html#group40E3", "40E³"), =HYPERLINK("CSG1.html#group20D1", "20D¹"), =HYPERLINK("CSG0.html#group2B0", "2B⁰"), =HYPERLINK("CSG0.html#group4B0", "4B⁰"), =HYPERLINK("CSG0.html#group1A0", "1A⁰")</f>
        <v/>
      </c>
      <c r="N2246">
        <f>HYPERLINK("CSG17.html#group80BE17", "80BE¹⁷"), =HYPERLINK("CSG17.html#group80U17", "80U¹⁷"), =HYPERLINK("CSG17.html#group80BD17", "80BD¹⁷")</f>
        <v/>
      </c>
    </row>
    <row r="2247">
      <c r="A2247" t="inlineStr">
        <is>
          <t>80P⁹</t>
        </is>
      </c>
      <c r="B2247" t="inlineStr"/>
      <c r="C2247" t="inlineStr">
        <is>
          <t>144</t>
        </is>
      </c>
      <c r="D2247" t="inlineStr">
        <is>
          <t>2</t>
        </is>
      </c>
      <c r="E2247" t="inlineStr">
        <is>
          <t>36</t>
        </is>
      </c>
      <c r="F2247" t="inlineStr">
        <is>
          <t>8</t>
        </is>
      </c>
      <c r="G2247" t="inlineStr">
        <is>
          <t>0</t>
        </is>
      </c>
      <c r="H2247" t="inlineStr">
        <is>
          <t>8¹, 16¹, 40¹, 80¹</t>
        </is>
      </c>
      <c r="I2247" t="n">
        <v>4</v>
      </c>
      <c r="J2247" t="inlineStr">
        <is>
          <t>2¹², 8⁶</t>
        </is>
      </c>
      <c r="K2247">
        <f>HYPERLINK("CSG3.html#group40C3", "40C³")</f>
        <v/>
      </c>
      <c r="L2247">
        <f>HYPERLINK("CSG17.html#group80AF17", "80AF¹⁷"), =HYPERLINK("CSG19.html#group80W19", "80W¹⁹"), =HYPERLINK("CSG19.html#group80X19", "80X¹⁹"), =HYPERLINK("CSG19.html#group80Y19", "80Y¹⁹"), =HYPERLINK("CSG19.html#group80Z19", "80Z¹⁹"), =HYPERLINK("CSG21.html#group80J21", "80J²¹"), =HYPERLINK("CSG21.html#group80AC21", "80AC²¹")</f>
        <v/>
      </c>
      <c r="M2247">
        <f>HYPERLINK("CSG3.html#group40C3", "40C³"), =HYPERLINK("CSG0.html#group5B0", "5B⁰"), =HYPERLINK("CSG1.html#group20E1", "20E¹"), =HYPERLINK("CSG0.html#group10C0", "10C⁰"), =HYPERLINK("CSG0.html#group2B0", "2B⁰"), =HYPERLINK("CSG0.html#group1A0", "1A⁰"), =HYPERLINK("CSG0.html#group4C0", "4C⁰")</f>
        <v/>
      </c>
      <c r="N2247">
        <f>HYPERLINK("CSG21.html#group80AC21", "80AC²¹"), =HYPERLINK("CSG17.html#group80AF17", "80AF¹⁷"), =HYPERLINK("CSG19.html#group80X19", "80X¹⁹"), =HYPERLINK("CSG19.html#group80Y19", "80Y¹⁹"), =HYPERLINK("CSG19.html#group80Z19", "80Z¹⁹"), =HYPERLINK("CSG19.html#group80W19", "80W¹⁹"), =HYPERLINK("CSG21.html#group80J21", "80J²¹")</f>
        <v/>
      </c>
    </row>
    <row r="2248">
      <c r="A2248" t="inlineStr">
        <is>
          <t>82A⁹</t>
        </is>
      </c>
      <c r="B2248" t="inlineStr">
        <is>
          <t>Γ₀(82)</t>
        </is>
      </c>
      <c r="C2248" t="inlineStr">
        <is>
          <t>126</t>
        </is>
      </c>
      <c r="D2248" t="inlineStr">
        <is>
          <t>1</t>
        </is>
      </c>
      <c r="E2248" t="inlineStr">
        <is>
          <t>126</t>
        </is>
      </c>
      <c r="F2248" t="inlineStr">
        <is>
          <t>2</t>
        </is>
      </c>
      <c r="G2248" t="inlineStr">
        <is>
          <t>0</t>
        </is>
      </c>
      <c r="H2248" t="inlineStr">
        <is>
          <t>1¹, 2¹, 41¹, 82¹</t>
        </is>
      </c>
      <c r="I2248" t="n">
        <v>4</v>
      </c>
      <c r="J2248" t="inlineStr">
        <is>
          <t>1⁶, 40³</t>
        </is>
      </c>
      <c r="K2248">
        <f>HYPERLINK("CSG0.html#group2B0", "2B⁰"), =HYPERLINK("CSG3.html#group41A3", "41A³")</f>
        <v/>
      </c>
      <c r="L2248">
        <f>HYPERLINK("CSG17.html#group82A17", "82A¹⁷"), =HYPERLINK("CSG19.html#group82A19", "82A¹⁹"), =HYPERLINK("CSG19.html#group82B19", "82B¹⁹"), =HYPERLINK("CSG19.html#group164A19", "164A¹⁹"), =HYPERLINK("CSG19.html#group164B19", "164B¹⁹"), =HYPERLINK("CSG19.html#group164C19", "164C¹⁹"), =HYPERLINK("CSG19.html#group164D19", "164D¹⁹")</f>
        <v/>
      </c>
      <c r="M2248">
        <f>HYPERLINK("CSG0.html#group1A0", "1A⁰"), =HYPERLINK("CSG0.html#group2B0", "2B⁰"), =HYPERLINK("CSG3.html#group41A3", "41A³")</f>
        <v/>
      </c>
      <c r="N2248">
        <f>HYPERLINK("CSG19.html#group82A19", "82A¹⁹"), =HYPERLINK("CSG19.html#group164C19", "164C¹⁹"), =HYPERLINK("CSG19.html#group164A19", "164A¹⁹"), =HYPERLINK("CSG19.html#group164B19", "164B¹⁹"), =HYPERLINK("CSG19.html#group164D19", "164D¹⁹"), =HYPERLINK("CSG17.html#group82A17", "82A¹⁷"), =HYPERLINK("CSG19.html#group82B19", "82B¹⁹")</f>
        <v/>
      </c>
    </row>
    <row r="2249">
      <c r="A2249" t="inlineStr">
        <is>
          <t>84A⁹</t>
        </is>
      </c>
      <c r="B2249" t="inlineStr"/>
      <c r="C2249" t="inlineStr">
        <is>
          <t>112</t>
        </is>
      </c>
      <c r="D2249" t="inlineStr">
        <is>
          <t>2</t>
        </is>
      </c>
      <c r="E2249" t="inlineStr">
        <is>
          <t>112</t>
        </is>
      </c>
      <c r="F2249" t="inlineStr">
        <is>
          <t>0</t>
        </is>
      </c>
      <c r="G2249" t="inlineStr">
        <is>
          <t>1</t>
        </is>
      </c>
      <c r="H2249" t="inlineStr">
        <is>
          <t>28¹, 84¹</t>
        </is>
      </c>
      <c r="I2249" t="n">
        <v>2</v>
      </c>
      <c r="J2249" t="inlineStr">
        <is>
          <t>4⁴, 8², 12⁸, 24⁴</t>
        </is>
      </c>
      <c r="K2249">
        <f>HYPERLINK("CSG1.html#group12A1", "12A¹"), =HYPERLINK("CSG1.html#group28A1", "28A¹"), =HYPERLINK("CSG2.html#group21B2", "21B²")</f>
        <v/>
      </c>
      <c r="L2249">
        <f>HYPERLINK("CSG17.html#group84A17", "84A¹⁷"), =HYPERLINK("CSG17.html#group84B17", "84B¹⁷"), =HYPERLINK("CSG17.html#group84C17", "84C¹⁷"), =HYPERLINK("CSG18.html#group168A18", "168A¹⁸"), =HYPERLINK("CSG18.html#group168B18", "168B¹⁸"), =HYPERLINK("CSG18.html#group168C18", "168C¹⁸"), =HYPERLINK("CSG18.html#group168D18", "168D¹⁸")</f>
        <v/>
      </c>
      <c r="M2249">
        <f>HYPERLINK("CSG0.html#group3B0", "3B⁰"), =HYPERLINK("CSG2.html#group21B2", "21B²"), =HYPERLINK("CSG0.html#group4A0", "4A⁰"), =HYPERLINK("CSG1.html#group12A1", "12A¹"), =HYPERLINK("CSG1.html#group28A1", "28A¹"), =HYPERLINK("CSG0.html#group1A0", "1A⁰"), =HYPERLINK("CSG0.html#group7A0", "7A⁰")</f>
        <v/>
      </c>
      <c r="N2249">
        <f>HYPERLINK("CSG17.html#group84A17", "84A¹⁷"), =HYPERLINK("CSG17.html#group84B17", "84B¹⁷"), =HYPERLINK("CSG18.html#group168A18", "168A¹⁸"), =HYPERLINK("CSG18.html#group168C18", "168C¹⁸"), =HYPERLINK("CSG17.html#group84C17", "84C¹⁷"), =HYPERLINK("CSG18.html#group168D18", "168D¹⁸"), =HYPERLINK("CSG18.html#group168B18", "168B¹⁸")</f>
        <v/>
      </c>
    </row>
    <row r="2250">
      <c r="A2250" t="inlineStr">
        <is>
          <t>84B⁹</t>
        </is>
      </c>
      <c r="B2250" t="inlineStr"/>
      <c r="C2250" t="inlineStr">
        <is>
          <t>126</t>
        </is>
      </c>
      <c r="D2250" t="inlineStr">
        <is>
          <t>2</t>
        </is>
      </c>
      <c r="E2250" t="inlineStr">
        <is>
          <t>21</t>
        </is>
      </c>
      <c r="F2250" t="inlineStr">
        <is>
          <t>6</t>
        </is>
      </c>
      <c r="G2250" t="inlineStr">
        <is>
          <t>0</t>
        </is>
      </c>
      <c r="H2250" t="inlineStr">
        <is>
          <t>42¹, 84¹</t>
        </is>
      </c>
      <c r="I2250" t="n">
        <v>2</v>
      </c>
      <c r="J2250" t="inlineStr">
        <is>
          <t>2³, 6⁶</t>
        </is>
      </c>
      <c r="K2250">
        <f>HYPERLINK("CSG3.html#group28B3", "28B³"), =HYPERLINK("CSG3.html#group42C3", "42C³")</f>
        <v/>
      </c>
      <c r="L2250">
        <f>HYPERLINK("CSG17.html#group84D17", "84D¹⁷"), =HYPERLINK("CSG18.html#group84D18", "84D¹⁸"), =HYPERLINK("CSG18.html#group84F18", "84F¹⁸"), =HYPERLINK("CSG19.html#group84E19", "84E¹⁹"), =HYPERLINK("CSG19.html#group84G19", "84G¹⁹"), =HYPERLINK("CSG20.html#group84A20", "84A²⁰"), =HYPERLINK("CSG20.html#group84B20", "84B²⁰")</f>
        <v/>
      </c>
      <c r="M2250">
        <f>HYPERLINK("CSG1.html#group14B1", "14B¹"), =HYPERLINK("CSG0.html#group21A0", "21A⁰"), =HYPERLINK("CSG0.html#group2B0", "2B⁰"), =HYPERLINK("CSG3.html#group28B3", "28B³"), =HYPERLINK("CSG0.html#group3A0", "3A⁰"), =HYPERLINK("CSG0.html#group1A0", "1A⁰"), =HYPERLINK("CSG3.html#group42C3", "42C³"), =HYPERLINK("CSG0.html#group6D0", "6D⁰"), =HYPERLINK("CSG0.html#group7A0", "7A⁰")</f>
        <v/>
      </c>
      <c r="N2250">
        <f>HYPERLINK("CSG19.html#group84E19", "84E¹⁹"), =HYPERLINK("CSG17.html#group84D17", "84D¹⁷"), =HYPERLINK("CSG18.html#group84F18", "84F¹⁸"), =HYPERLINK("CSG19.html#group84G19", "84G¹⁹"), =HYPERLINK("CSG20.html#group84A20", "84A²⁰"), =HYPERLINK("CSG18.html#group84D18", "84D¹⁸"), =HYPERLINK("CSG20.html#group84B20", "84B²⁰")</f>
        <v/>
      </c>
    </row>
    <row r="2251">
      <c r="A2251" t="inlineStr">
        <is>
          <t>84C⁹</t>
        </is>
      </c>
      <c r="B2251" t="inlineStr"/>
      <c r="C2251" t="inlineStr">
        <is>
          <t>126</t>
        </is>
      </c>
      <c r="D2251" t="inlineStr">
        <is>
          <t>2</t>
        </is>
      </c>
      <c r="E2251" t="inlineStr">
        <is>
          <t>63</t>
        </is>
      </c>
      <c r="F2251" t="inlineStr">
        <is>
          <t>6</t>
        </is>
      </c>
      <c r="G2251" t="inlineStr">
        <is>
          <t>0</t>
        </is>
      </c>
      <c r="H2251" t="inlineStr">
        <is>
          <t>42¹, 84¹</t>
        </is>
      </c>
      <c r="I2251" t="n">
        <v>2</v>
      </c>
      <c r="J2251" t="inlineStr">
        <is>
          <t>2³, 4³, 6⁶, 12⁶</t>
        </is>
      </c>
      <c r="K2251">
        <f>HYPERLINK("CSG1.html#group12C1", "12C¹"), =HYPERLINK("CSG3.html#group42C3", "42C³")</f>
        <v/>
      </c>
      <c r="L2251">
        <f>HYPERLINK("CSG17.html#group84H17", "84H¹⁷"), =HYPERLINK("CSG17.html#group84M17", "84M¹⁷"), =HYPERLINK("CSG17.html#group84N17", "84N¹⁷"), =HYPERLINK("CSG18.html#group84C18", "84C¹⁸"), =HYPERLINK("CSG18.html#group84E18", "84E¹⁸"), =HYPERLINK("CSG18.html#group84G18", "84G¹⁸"), =HYPERLINK("CSG18.html#group84H18", "84H¹⁸"), =HYPERLINK("CSG19.html#group84E19", "84E¹⁹"), =HYPERLINK("CSG19.html#group84F19", "84F¹⁹"), =HYPERLINK("CSG19.html#group84H19", "84H¹⁹"), =HYPERLINK("CSG19.html#group84I19", "84I¹⁹"), =HYPERLINK("CSG20.html#group84D20", "84D²⁰"), =HYPERLINK("CSG20.html#group84G20", "84G²⁰"), =HYPERLINK("CSG20.html#group84H20", "84H²⁰")</f>
        <v/>
      </c>
      <c r="M2251">
        <f>HYPERLINK("CSG1.html#group12C1", "12C¹"), =HYPERLINK("CSG1.html#group14B1", "14B¹"), =HYPERLINK("CSG0.html#group21A0", "21A⁰"), =HYPERLINK("CSG0.html#group2B0", "2B⁰"), =HYPERLINK("CSG0.html#group3A0", "3A⁰"), =HYPERLINK("CSG0.html#group1A0", "1A⁰"), =HYPERLINK("CSG3.html#group42C3", "42C³"), =HYPERLINK("CSG0.html#group6D0", "6D⁰"), =HYPERLINK("CSG0.html#group7A0", "7A⁰")</f>
        <v/>
      </c>
      <c r="N2251">
        <f>HYPERLINK("CSG18.html#group84H18", "84H¹⁸"), =HYPERLINK("CSG18.html#group84G18", "84G¹⁸"), =HYPERLINK("CSG20.html#group84D20", "84D²⁰"), =HYPERLINK("CSG20.html#group84H20", "84H²⁰"), =HYPERLINK("CSG18.html#group84E18", "84E¹⁸"), =HYPERLINK("CSG19.html#group84E19", "84E¹⁹"), =HYPERLINK("CSG17.html#group84M17", "84M¹⁷"), =HYPERLINK("CSG19.html#group84F19", "84F¹⁹"), =HYPERLINK("CSG18.html#group84C18", "84C¹⁸"), =HYPERLINK("CSG17.html#group84N17", "84N¹⁷"), =HYPERLINK("CSG19.html#group84I19", "84I¹⁹"), =HYPERLINK("CSG19.html#group84H19", "84H¹⁹"), =HYPERLINK("CSG20.html#group84G20", "84G²⁰"), =HYPERLINK("CSG17.html#group84H17", "84H¹⁷")</f>
        <v/>
      </c>
    </row>
    <row r="2252">
      <c r="A2252" t="inlineStr">
        <is>
          <t>84D⁹</t>
        </is>
      </c>
      <c r="B2252" t="inlineStr"/>
      <c r="C2252" t="inlineStr">
        <is>
          <t>128</t>
        </is>
      </c>
      <c r="D2252" t="inlineStr">
        <is>
          <t>1</t>
        </is>
      </c>
      <c r="E2252" t="inlineStr">
        <is>
          <t>128</t>
        </is>
      </c>
      <c r="F2252" t="inlineStr">
        <is>
          <t>0</t>
        </is>
      </c>
      <c r="G2252" t="inlineStr">
        <is>
          <t>2</t>
        </is>
      </c>
      <c r="H2252" t="inlineStr">
        <is>
          <t>4¹, 12¹, 28¹, 84¹</t>
        </is>
      </c>
      <c r="I2252" t="n">
        <v>4</v>
      </c>
      <c r="J2252" t="inlineStr">
        <is>
          <t>2⁸, 4⁴, 12⁴, 24²</t>
        </is>
      </c>
      <c r="K2252">
        <f>HYPERLINK("CSG1.html#group12A1", "12A¹"), =HYPERLINK("CSG1.html#group21B1", "21B¹"), =HYPERLINK("CSG2.html#group28A2", "28A²")</f>
        <v/>
      </c>
      <c r="L2252">
        <f>HYPERLINK("CSG17.html#group84O17", "84O¹⁷"), =HYPERLINK("CSG17.html#group84P17", "84P¹⁷"), =HYPERLINK("CSG17.html#group84Q17", "84Q¹⁷"), =HYPERLINK("CSG19.html#group168A19", "168A¹⁹"), =HYPERLINK("CSG19.html#group168B19", "168B¹⁹")</f>
        <v/>
      </c>
      <c r="M2252">
        <f>HYPERLINK("CSG0.html#group3B0", "3B⁰"), =HYPERLINK("CSG1.html#group21B1", "21B¹"), =HYPERLINK("CSG0.html#group4A0", "4A⁰"), =HYPERLINK("CSG0.html#group7B0", "7B⁰"), =HYPERLINK("CSG1.html#group12A1", "12A¹"), =HYPERLINK("CSG0.html#group1A0", "1A⁰"), =HYPERLINK("CSG2.html#group28A2", "28A²")</f>
        <v/>
      </c>
      <c r="N2252">
        <f>HYPERLINK("CSG19.html#group168B19", "168B¹⁹"), =HYPERLINK("CSG17.html#group84O17", "84O¹⁷"), =HYPERLINK("CSG17.html#group84Q17", "84Q¹⁷"), =HYPERLINK("CSG19.html#group168A19", "168A¹⁹"), =HYPERLINK("CSG17.html#group84P17", "84P¹⁷")</f>
        <v/>
      </c>
    </row>
    <row r="2253">
      <c r="A2253" t="inlineStr">
        <is>
          <t>84E⁹</t>
        </is>
      </c>
      <c r="B2253" t="inlineStr"/>
      <c r="C2253" t="inlineStr">
        <is>
          <t>168</t>
        </is>
      </c>
      <c r="D2253" t="inlineStr">
        <is>
          <t>2</t>
        </is>
      </c>
      <c r="E2253" t="inlineStr">
        <is>
          <t>84</t>
        </is>
      </c>
      <c r="F2253" t="inlineStr">
        <is>
          <t>20</t>
        </is>
      </c>
      <c r="G2253" t="inlineStr">
        <is>
          <t>0</t>
        </is>
      </c>
      <c r="H2253" t="inlineStr">
        <is>
          <t>84²</t>
        </is>
      </c>
      <c r="I2253" t="n">
        <v>2</v>
      </c>
      <c r="J2253" t="inlineStr">
        <is>
          <t>4², 8², 12⁴, 24⁴</t>
        </is>
      </c>
      <c r="K2253">
        <f>HYPERLINK("CSG1.html#group21D1", "21D¹"), =HYPERLINK("CSG3.html#group84A3", "84A³")</f>
        <v/>
      </c>
      <c r="L2253">
        <f>HYPERLINK("CSG19.html#group84L19", "84L¹⁹"), =HYPERLINK("CSG21.html#group84O21", "84O²¹"), =HYPERLINK("CSG21.html#group84P21", "84P²¹"), =HYPERLINK("CSG23.html#group84C23", "84C²³"), =HYPERLINK("CSG23.html#group168K23", "168K²³"), =HYPERLINK("CSG23.html#group168L23", "168L²³"), =HYPERLINK("CSG23.html#group168I23", "168I²³"), =HYPERLINK("CSG23.html#group168J23", "168J²³"), =HYPERLINK("CSG23.html#group168M23", "168M²³"), =HYPERLINK("CSG23.html#group168N23", "168N²³"), =HYPERLINK("CSG23.html#group168O23", "168O²³"), =HYPERLINK("CSG23.html#group168P23", "168P²³")</f>
        <v/>
      </c>
      <c r="M2253">
        <f>HYPERLINK("CSG3.html#group84A3", "84A³"), =HYPERLINK("CSG0.html#group12A0", "12A⁰"), =HYPERLINK("CSG0.html#group4A0", "4A⁰"), =HYPERLINK("CSG1.html#group21D1", "21D¹"), =HYPERLINK("CSG0.html#group21A0", "21A⁰"), =HYPERLINK("CSG0.html#group3A0", "3A⁰"), =HYPERLINK("CSG1.html#group28A1", "28A¹"), =HYPERLINK("CSG0.html#group1A0", "1A⁰"), =HYPERLINK("CSG0.html#group7A0", "7A⁰")</f>
        <v/>
      </c>
      <c r="N2253">
        <f>HYPERLINK("CSG23.html#group168L23", "168L²³"), =HYPERLINK("CSG23.html#group168O23", "168O²³"), =HYPERLINK("CSG21.html#group84P21", "84P²¹"), =HYPERLINK("CSG23.html#group168I23", "168I²³"), =HYPERLINK("CSG21.html#group84O21", "84O²¹"), =HYPERLINK("CSG23.html#group168N23", "168N²³"), =HYPERLINK("CSG19.html#group84L19", "84L¹⁹"), =HYPERLINK("CSG23.html#group84C23", "84C²³"), =HYPERLINK("CSG23.html#group168P23", "168P²³"), =HYPERLINK("CSG23.html#group168M23", "168M²³"), =HYPERLINK("CSG23.html#group168J23", "168J²³"), =HYPERLINK("CSG23.html#group168K23", "168K²³")</f>
        <v/>
      </c>
    </row>
    <row r="2254">
      <c r="A2254" t="inlineStr">
        <is>
          <t>87A⁹</t>
        </is>
      </c>
      <c r="B2254" t="inlineStr">
        <is>
          <t>Γ₀(87)</t>
        </is>
      </c>
      <c r="C2254" t="inlineStr">
        <is>
          <t>120</t>
        </is>
      </c>
      <c r="D2254" t="inlineStr">
        <is>
          <t>1</t>
        </is>
      </c>
      <c r="E2254" t="inlineStr">
        <is>
          <t>120</t>
        </is>
      </c>
      <c r="F2254" t="inlineStr">
        <is>
          <t>0</t>
        </is>
      </c>
      <c r="G2254" t="inlineStr">
        <is>
          <t>0</t>
        </is>
      </c>
      <c r="H2254" t="inlineStr">
        <is>
          <t>1¹, 3¹, 29¹, 87¹</t>
        </is>
      </c>
      <c r="I2254" t="n">
        <v>4</v>
      </c>
      <c r="J2254" t="inlineStr">
        <is>
          <t>1⁴, 2², 28², 56¹</t>
        </is>
      </c>
      <c r="K2254">
        <f>HYPERLINK("CSG0.html#group3B0", "3B⁰"), =HYPERLINK("CSG2.html#group29A2", "29A²")</f>
        <v/>
      </c>
      <c r="L2254">
        <f>HYPERLINK("CSG17.html#group87A17", "87A¹⁷"), =HYPERLINK("CSG19.html#group174A19", "174A¹⁹"), =HYPERLINK("CSG19.html#group174B19", "174B¹⁹")</f>
        <v/>
      </c>
      <c r="M2254">
        <f>HYPERLINK("CSG0.html#group3B0", "3B⁰"), =HYPERLINK("CSG0.html#group1A0", "1A⁰"), =HYPERLINK("CSG2.html#group29A2", "29A²")</f>
        <v/>
      </c>
      <c r="N2254">
        <f>HYPERLINK("CSG17.html#group87A17", "87A¹⁷"), =HYPERLINK("CSG19.html#group174A19", "174A¹⁹"), =HYPERLINK("CSG19.html#group174B19", "174B¹⁹")</f>
        <v/>
      </c>
    </row>
    <row r="2255">
      <c r="A2255" t="inlineStr">
        <is>
          <t>88A⁹</t>
        </is>
      </c>
      <c r="B2255" t="inlineStr"/>
      <c r="C2255" t="inlineStr">
        <is>
          <t>132</t>
        </is>
      </c>
      <c r="D2255" t="inlineStr">
        <is>
          <t>2</t>
        </is>
      </c>
      <c r="E2255" t="inlineStr">
        <is>
          <t>66</t>
        </is>
      </c>
      <c r="F2255" t="inlineStr">
        <is>
          <t>6</t>
        </is>
      </c>
      <c r="G2255" t="inlineStr">
        <is>
          <t>0</t>
        </is>
      </c>
      <c r="H2255" t="inlineStr">
        <is>
          <t>22², 88¹</t>
        </is>
      </c>
      <c r="I2255" t="n">
        <v>3</v>
      </c>
      <c r="J2255" t="inlineStr">
        <is>
          <t>2², 4², 10⁴, 20⁴</t>
        </is>
      </c>
      <c r="K2255">
        <f>HYPERLINK("CSG0.html#group8D0", "8D⁰"), =HYPERLINK("CSG4.html#group44C4", "44C⁴")</f>
        <v/>
      </c>
      <c r="L2255">
        <f>HYPERLINK("CSG18.html#group88A18", "88A¹⁸"), =HYPERLINK("CSG19.html#group176B19", "176B¹⁹"), =HYPERLINK("CSG20.html#group88A20", "88A²⁰"), =HYPERLINK("CSG20.html#group176C20", "176C²⁰"), =HYPERLINK("CSG21.html#group88B21", "88B²¹")</f>
        <v/>
      </c>
      <c r="M2255">
        <f>HYPERLINK("CSG0.html#group11A0", "11A⁰"), =HYPERLINK("CSG0.html#group1A0", "1A⁰"), =HYPERLINK("CSG0.html#group2B0", "2B⁰"), =HYPERLINK("CSG2.html#group22B2", "22B²"), =HYPERLINK("CSG4.html#group44C4", "44C⁴"), =HYPERLINK("CSG0.html#group8D0", "8D⁰"), =HYPERLINK("CSG0.html#group4C0", "4C⁰")</f>
        <v/>
      </c>
      <c r="N2255">
        <f>HYPERLINK("CSG19.html#group176B19", "176B¹⁹"), =HYPERLINK("CSG20.html#group88A20", "88A²⁰"), =HYPERLINK("CSG18.html#group88A18", "88A¹⁸"), =HYPERLINK("CSG20.html#group176C20", "176C²⁰"), =HYPERLINK("CSG21.html#group88B21", "88B²¹")</f>
        <v/>
      </c>
    </row>
    <row r="2256">
      <c r="A2256" t="inlineStr">
        <is>
          <t>88B⁹</t>
        </is>
      </c>
      <c r="B2256" t="inlineStr">
        <is>
          <t>Γ₀(88)</t>
        </is>
      </c>
      <c r="C2256" t="inlineStr">
        <is>
          <t>144</t>
        </is>
      </c>
      <c r="D2256" t="inlineStr">
        <is>
          <t>1</t>
        </is>
      </c>
      <c r="E2256" t="inlineStr">
        <is>
          <t>72</t>
        </is>
      </c>
      <c r="F2256" t="inlineStr">
        <is>
          <t>0</t>
        </is>
      </c>
      <c r="G2256" t="inlineStr">
        <is>
          <t>0</t>
        </is>
      </c>
      <c r="H2256" t="inlineStr">
        <is>
          <t>1², 2¹, 8¹, 11², 22¹, 88¹</t>
        </is>
      </c>
      <c r="I2256" t="n">
        <v>8</v>
      </c>
      <c r="J2256" t="inlineStr">
        <is>
          <t>1⁸, 2², 10⁴, 20¹</t>
        </is>
      </c>
      <c r="K2256">
        <f>HYPERLINK("CSG0.html#group8C0", "8C⁰"), =HYPERLINK("CSG4.html#group44D4", "44D⁴")</f>
        <v/>
      </c>
      <c r="L2256">
        <f>HYPERLINK("CSG17.html#group88A17", "88A¹⁷"), =HYPERLINK("CSG19.html#group88C19", "88C¹⁹"), =HYPERLINK("CSG19.html#group88D19", "88D¹⁹"), =HYPERLINK("CSG19.html#group88E19", "88E¹⁹"), =HYPERLINK("CSG19.html#group88F19", "88F¹⁹"), =HYPERLINK("CSG19.html#group176D19", "176D¹⁹"), =HYPERLINK("CSG19.html#group176E19", "176E¹⁹"), =HYPERLINK("CSG19.html#group176F19", "176F¹⁹"), =HYPERLINK("CSG19.html#group176G19", "176G¹⁹"), =HYPERLINK("CSG21.html#group176B21", "176B²¹"), =HYPERLINK("CSG21.html#group176C21", "176C²¹")</f>
        <v/>
      </c>
      <c r="M2256">
        <f>HYPERLINK("CSG0.html#group8C0", "8C⁰"), =HYPERLINK("CSG0.html#group2B0", "2B⁰"), =HYPERLINK("CSG0.html#group4B0", "4B⁰"), =HYPERLINK("CSG2.html#group22C2", "22C²"), =HYPERLINK("CSG0.html#group1A0", "1A⁰"), =HYPERLINK("CSG4.html#group44D4", "44D⁴"), =HYPERLINK("CSG1.html#group11A1", "11A¹")</f>
        <v/>
      </c>
      <c r="N2256">
        <f>HYPERLINK("CSG21.html#group176C21", "176C²¹"), =HYPERLINK("CSG19.html#group176G19", "176G¹⁹"), =HYPERLINK("CSG17.html#group88A17", "88A¹⁷"), =HYPERLINK("CSG19.html#group88D19", "88D¹⁹"), =HYPERLINK("CSG19.html#group88C19", "88C¹⁹"), =HYPERLINK("CSG19.html#group176E19", "176E¹⁹"), =HYPERLINK("CSG19.html#group176D19", "176D¹⁹"), =HYPERLINK("CSG19.html#group176F19", "176F¹⁹"), =HYPERLINK("CSG19.html#group88E19", "88E¹⁹"), =HYPERLINK("CSG21.html#group176B21", "176B²¹"), =HYPERLINK("CSG19.html#group88F19", "88F¹⁹")</f>
        <v/>
      </c>
    </row>
    <row r="2257">
      <c r="A2257" t="inlineStr">
        <is>
          <t>90A⁹</t>
        </is>
      </c>
      <c r="B2257" t="inlineStr"/>
      <c r="C2257" t="inlineStr">
        <is>
          <t>108</t>
        </is>
      </c>
      <c r="D2257" t="inlineStr">
        <is>
          <t>1</t>
        </is>
      </c>
      <c r="E2257" t="inlineStr">
        <is>
          <t>54</t>
        </is>
      </c>
      <c r="F2257" t="inlineStr">
        <is>
          <t>0</t>
        </is>
      </c>
      <c r="G2257" t="inlineStr">
        <is>
          <t>0</t>
        </is>
      </c>
      <c r="H2257" t="inlineStr">
        <is>
          <t>18¹, 90¹</t>
        </is>
      </c>
      <c r="I2257" t="n">
        <v>2</v>
      </c>
      <c r="J2257" t="inlineStr">
        <is>
          <t>1², 2², 4¹, 6², 8¹, 24¹</t>
        </is>
      </c>
      <c r="K2257">
        <f>HYPERLINK("CSG2.html#group18A2", "18A²"), =HYPERLINK("CSG2.html#group45A2", "45A²"), =HYPERLINK("CSG3.html#group30B3", "30B³")</f>
        <v/>
      </c>
      <c r="L2257">
        <f>HYPERLINK("CSG17.html#group90B17", "90B¹⁷"), =HYPERLINK("CSG17.html#group90D17", "90D¹⁷"), =HYPERLINK("CSG17.html#group90E17", "90E¹⁷"), =HYPERLINK("CSG17.html#group90H17", "90H¹⁷"), =HYPERLINK("CSG17.html#group90K17", "90K¹⁷")</f>
        <v/>
      </c>
      <c r="M2257">
        <f>HYPERLINK("CSG0.html#group2A0", "2A⁰"), =HYPERLINK("CSG2.html#group45A2", "45A²"), =HYPERLINK("CSG0.html#group15B0", "15B⁰"), =HYPERLINK("CSG0.html#group9A0", "9A⁰"), =HYPERLINK("CSG0.html#group5B0", "5B⁰"), =HYPERLINK("CSG1.html#group10A1", "10A¹"), =HYPERLINK("CSG1.html#group6A1", "6A¹"), =HYPERLINK("CSG2.html#group18A2", "18A²"), =HYPERLINK("CSG0.html#group3A0", "3A⁰"), =HYPERLINK("CSG0.html#group1A0", "1A⁰"), =HYPERLINK("CSG3.html#group30B3", "30B³")</f>
        <v/>
      </c>
      <c r="N2257">
        <f>HYPERLINK("CSG17.html#group90E17", "90E¹⁷"), =HYPERLINK("CSG17.html#group90B17", "90B¹⁷"), =HYPERLINK("CSG17.html#group90K17", "90K¹⁷"), =HYPERLINK("CSG17.html#group90D17", "90D¹⁷"), =HYPERLINK("CSG17.html#group90H17", "90H¹⁷")</f>
        <v/>
      </c>
    </row>
    <row r="2258">
      <c r="A2258" t="inlineStr">
        <is>
          <t>90B⁹</t>
        </is>
      </c>
      <c r="B2258" t="inlineStr"/>
      <c r="C2258" t="inlineStr">
        <is>
          <t>120</t>
        </is>
      </c>
      <c r="D2258" t="inlineStr">
        <is>
          <t>1</t>
        </is>
      </c>
      <c r="E2258" t="inlineStr">
        <is>
          <t>20</t>
        </is>
      </c>
      <c r="F2258" t="inlineStr">
        <is>
          <t>0</t>
        </is>
      </c>
      <c r="G2258" t="inlineStr">
        <is>
          <t>0</t>
        </is>
      </c>
      <c r="H2258" t="inlineStr">
        <is>
          <t>10³, 90¹</t>
        </is>
      </c>
      <c r="I2258" t="n">
        <v>4</v>
      </c>
      <c r="J2258" t="inlineStr">
        <is>
          <t>1², 2¹, 4², 8¹</t>
        </is>
      </c>
      <c r="K2258">
        <f>HYPERLINK("CSG1.html#group18C1", "18C¹"), =HYPERLINK("CSG2.html#group30D2", "30D²"), =HYPERLINK("CSG4.html#group45A4", "45A⁴")</f>
        <v/>
      </c>
      <c r="L2258">
        <f>HYPERLINK("CSG19.html#group180A19", "180A¹⁹")</f>
        <v/>
      </c>
      <c r="M2258">
        <f>HYPERLINK("CSG0.html#group3B0", "3B⁰"), =HYPERLINK("CSG0.html#group2A0", "2A⁰"), =HYPERLINK("CSG0.html#group5A0", "5A⁰"), =HYPERLINK("CSG0.html#group10A0", "10A⁰"), =HYPERLINK("CSG1.html#group18C1", "18C¹"), =HYPERLINK("CSG2.html#group30D2", "30D²"), =HYPERLINK("CSG0.html#group6C0", "6C⁰"), =HYPERLINK("CSG0.html#group9B0", "9B⁰"), =HYPERLINK("CSG1.html#group15B1", "15B¹"), =HYPERLINK("CSG4.html#group45A4", "45A⁴"), =HYPERLINK("CSG0.html#group1A0", "1A⁰")</f>
        <v/>
      </c>
      <c r="N2258">
        <f>HYPERLINK("CSG19.html#group180A19", "180A¹⁹")</f>
        <v/>
      </c>
    </row>
    <row r="2259">
      <c r="A2259" t="inlineStr">
        <is>
          <t>90C⁹</t>
        </is>
      </c>
      <c r="B2259" t="inlineStr"/>
      <c r="C2259" t="inlineStr">
        <is>
          <t>120</t>
        </is>
      </c>
      <c r="D2259" t="inlineStr">
        <is>
          <t>2</t>
        </is>
      </c>
      <c r="E2259" t="inlineStr">
        <is>
          <t>40</t>
        </is>
      </c>
      <c r="F2259" t="inlineStr">
        <is>
          <t>0</t>
        </is>
      </c>
      <c r="G2259" t="inlineStr">
        <is>
          <t>3</t>
        </is>
      </c>
      <c r="H2259" t="inlineStr">
        <is>
          <t>30¹, 90¹</t>
        </is>
      </c>
      <c r="I2259" t="n">
        <v>2</v>
      </c>
      <c r="J2259" t="inlineStr">
        <is>
          <t>4⁴, 8⁸</t>
        </is>
      </c>
      <c r="K2259">
        <f>HYPERLINK("CSG2.html#group30D2", "30D²")</f>
        <v/>
      </c>
      <c r="L2259">
        <f>HYPERLINK("CSG18.html#group180B18", "180B¹⁸")</f>
        <v/>
      </c>
      <c r="M2259">
        <f>HYPERLINK("CSG0.html#group3B0", "3B⁰"), =HYPERLINK("CSG0.html#group2A0", "2A⁰"), =HYPERLINK("CSG0.html#group5A0", "5A⁰"), =HYPERLINK("CSG0.html#group10A0", "10A⁰"), =HYPERLINK("CSG2.html#group30D2", "30D²"), =HYPERLINK("CSG0.html#group6C0", "6C⁰"), =HYPERLINK("CSG1.html#group15B1", "15B¹"), =HYPERLINK("CSG0.html#group1A0", "1A⁰")</f>
        <v/>
      </c>
      <c r="N2259">
        <f>HYPERLINK("CSG18.html#group180B18", "180B¹⁸")</f>
        <v/>
      </c>
    </row>
    <row r="2260">
      <c r="A2260" t="inlineStr">
        <is>
          <t>90D⁹</t>
        </is>
      </c>
      <c r="B2260" t="inlineStr"/>
      <c r="C2260" t="inlineStr">
        <is>
          <t>144</t>
        </is>
      </c>
      <c r="D2260" t="inlineStr">
        <is>
          <t>1</t>
        </is>
      </c>
      <c r="E2260" t="inlineStr">
        <is>
          <t>24</t>
        </is>
      </c>
      <c r="F2260" t="inlineStr">
        <is>
          <t>0</t>
        </is>
      </c>
      <c r="G2260" t="inlineStr">
        <is>
          <t>0</t>
        </is>
      </c>
      <c r="H2260" t="inlineStr">
        <is>
          <t>2³, 10³, 18¹, 90¹</t>
        </is>
      </c>
      <c r="I2260" t="n">
        <v>8</v>
      </c>
      <c r="J2260" t="inlineStr">
        <is>
          <t>1⁴, 2², 4², 8¹</t>
        </is>
      </c>
      <c r="K2260">
        <f>HYPERLINK("CSG3.html#group30F3", "30F³"), =HYPERLINK("CSG3.html#group45D3", "45D³")</f>
        <v/>
      </c>
      <c r="L2260">
        <f>HYPERLINK("CSG17.html#group90R17", "90R¹⁷"), =HYPERLINK("CSG21.html#group180H21", "180H²¹")</f>
        <v/>
      </c>
      <c r="M2260">
        <f>HYPERLINK("CSG0.html#group3B0", "3B⁰"), =HYPERLINK("CSG1.html#group15C1", "15C¹"), =HYPERLINK("CSG3.html#group30F3", "30F³"), =HYPERLINK("CSG0.html#group5B0", "5B⁰"), =HYPERLINK("CSG0.html#group9B0", "9B⁰"), =HYPERLINK("CSG3.html#group45D3", "45D³"), =HYPERLINK("CSG0.html#group1A0", "1A⁰"), =HYPERLINK("CSG0.html#group10B0", "10B⁰")</f>
        <v/>
      </c>
      <c r="N2260">
        <f>HYPERLINK("CSG21.html#group180H21", "180H²¹"), =HYPERLINK("CSG17.html#group90R17", "90R¹⁷")</f>
        <v/>
      </c>
    </row>
    <row r="2261">
      <c r="A2261" t="inlineStr">
        <is>
          <t>90E⁹</t>
        </is>
      </c>
      <c r="B2261" t="inlineStr"/>
      <c r="C2261" t="inlineStr">
        <is>
          <t>144</t>
        </is>
      </c>
      <c r="D2261" t="inlineStr">
        <is>
          <t>1</t>
        </is>
      </c>
      <c r="E2261" t="inlineStr">
        <is>
          <t>24</t>
        </is>
      </c>
      <c r="F2261" t="inlineStr">
        <is>
          <t>0</t>
        </is>
      </c>
      <c r="G2261" t="inlineStr">
        <is>
          <t>0</t>
        </is>
      </c>
      <c r="H2261" t="inlineStr">
        <is>
          <t>2³, 10³, 18¹, 90¹</t>
        </is>
      </c>
      <c r="I2261" t="n">
        <v>8</v>
      </c>
      <c r="J2261" t="inlineStr">
        <is>
          <t>1⁴, 2², 4², 8¹</t>
        </is>
      </c>
      <c r="K2261">
        <f>HYPERLINK("CSG1.html#group18C1", "18C¹"), =HYPERLINK("CSG3.html#group30G3", "30G³"), =HYPERLINK("CSG3.html#group45D3", "45D³")</f>
        <v/>
      </c>
      <c r="L2261">
        <f>HYPERLINK("CSG17.html#group90R17", "90R¹⁷"), =HYPERLINK("CSG21.html#group180C21", "180C²¹"), =HYPERLINK("CSG21.html#group180D21", "180D²¹")</f>
        <v/>
      </c>
      <c r="M2261">
        <f>HYPERLINK("CSG0.html#group3B0", "3B⁰"), =HYPERLINK("CSG1.html#group15C1", "15C¹"), =HYPERLINK("CSG0.html#group2A0", "2A⁰"), =HYPERLINK("CSG1.html#group18C1", "18C¹"), =HYPERLINK("CSG0.html#group6C0", "6C⁰"), =HYPERLINK("CSG0.html#group5B0", "5B⁰"), =HYPERLINK("CSG0.html#group9B0", "9B⁰"), =HYPERLINK("CSG3.html#group45D3", "45D³"), =HYPERLINK("CSG1.html#group10A1", "10A¹"), =HYPERLINK("CSG3.html#group30G3", "30G³"), =HYPERLINK("CSG0.html#group1A0", "1A⁰")</f>
        <v/>
      </c>
      <c r="N2261">
        <f>HYPERLINK("CSG21.html#group180D21", "180D²¹"), =HYPERLINK("CSG17.html#group90R17", "90R¹⁷"), =HYPERLINK("CSG21.html#group180C21", "180C²¹")</f>
        <v/>
      </c>
    </row>
    <row r="2262">
      <c r="A2262" t="inlineStr">
        <is>
          <t>90F⁹</t>
        </is>
      </c>
      <c r="B2262" t="inlineStr"/>
      <c r="C2262" t="inlineStr">
        <is>
          <t>144</t>
        </is>
      </c>
      <c r="D2262" t="inlineStr">
        <is>
          <t>1</t>
        </is>
      </c>
      <c r="E2262" t="inlineStr">
        <is>
          <t>48</t>
        </is>
      </c>
      <c r="F2262" t="inlineStr">
        <is>
          <t>0</t>
        </is>
      </c>
      <c r="G2262" t="inlineStr">
        <is>
          <t>0</t>
        </is>
      </c>
      <c r="H2262" t="inlineStr">
        <is>
          <t>2³, 10³, 18¹, 90¹</t>
        </is>
      </c>
      <c r="I2262" t="n">
        <v>8</v>
      </c>
      <c r="J2262" t="inlineStr">
        <is>
          <t>2⁸, 8⁴</t>
        </is>
      </c>
      <c r="K2262">
        <f>HYPERLINK("CSG0.html#group18C0", "18C⁰"), =HYPERLINK("CSG3.html#group30G3", "30G³")</f>
        <v/>
      </c>
      <c r="L2262">
        <f>HYPERLINK("CSG17.html#group90S17", "90S¹⁷"), =HYPERLINK("CSG21.html#group180E21", "180E²¹"), =HYPERLINK("CSG21.html#group180F21", "180F²¹")</f>
        <v/>
      </c>
      <c r="M2262">
        <f>HYPERLINK("CSG0.html#group18C0", "18C⁰"), =HYPERLINK("CSG0.html#group3B0", "3B⁰"), =HYPERLINK("CSG0.html#group2A0", "2A⁰"), =HYPERLINK("CSG1.html#group15C1", "15C¹"), =HYPERLINK("CSG0.html#group6C0", "6C⁰"), =HYPERLINK("CSG0.html#group5B0", "5B⁰"), =HYPERLINK("CSG1.html#group10A1", "10A¹"), =HYPERLINK("CSG3.html#group30G3", "30G³"), =HYPERLINK("CSG0.html#group1A0", "1A⁰")</f>
        <v/>
      </c>
      <c r="N2262">
        <f>HYPERLINK("CSG17.html#group90S17", "90S¹⁷"), =HYPERLINK("CSG21.html#group180E21", "180E²¹"), =HYPERLINK("CSG21.html#group180F21", "180F²¹")</f>
        <v/>
      </c>
    </row>
    <row r="2263">
      <c r="A2263" t="inlineStr">
        <is>
          <t>90G⁹</t>
        </is>
      </c>
      <c r="B2263" t="inlineStr"/>
      <c r="C2263" t="inlineStr">
        <is>
          <t>216</t>
        </is>
      </c>
      <c r="D2263" t="inlineStr">
        <is>
          <t>2</t>
        </is>
      </c>
      <c r="E2263" t="inlineStr">
        <is>
          <t>54</t>
        </is>
      </c>
      <c r="F2263" t="inlineStr">
        <is>
          <t>32</t>
        </is>
      </c>
      <c r="G2263" t="inlineStr">
        <is>
          <t>0</t>
        </is>
      </c>
      <c r="H2263" t="inlineStr">
        <is>
          <t>18², 90²</t>
        </is>
      </c>
      <c r="I2263" t="n">
        <v>4</v>
      </c>
      <c r="J2263" t="inlineStr">
        <is>
          <t>2⁶, 6⁴, 8³, 24²</t>
        </is>
      </c>
      <c r="K2263">
        <f>HYPERLINK("CSG1.html#group30D1", "30D¹"), =HYPERLINK("CSG4.html#group45C4", "45C⁴"), =HYPERLINK("CSG4.html#group90A4", "90A⁴"), =HYPERLINK("CSG5.html#group90A5", "90A⁵")</f>
        <v/>
      </c>
      <c r="L2263">
        <f>HYPERLINK("CSG21.html#group90N21", "90N²¹")</f>
        <v/>
      </c>
      <c r="M2263">
        <f>HYPERLINK("CSG0.html#group30A0", "30A⁰"), =HYPERLINK("CSG2.html#group45A2", "45A²"), =HYPERLINK("CSG4.html#group90A4", "90A⁴"), =HYPERLINK("CSG0.html#group6B0", "6B⁰"), =HYPERLINK("CSG0.html#group5B0", "5B⁰"), =HYPERLINK("CSG5.html#group90A5", "90A⁵"), =HYPERLINK("CSG0.html#group1A0", "1A⁰"), =HYPERLINK("CSG0.html#group18A0", "18A⁰"), =HYPERLINK("CSG1.html#group30D1", "30D¹"), =HYPERLINK("CSG0.html#group10B0", "10B⁰"), =HYPERLINK("CSG0.html#group15B0", "15B⁰"), =HYPERLINK("CSG0.html#group9A0", "9A⁰"), =HYPERLINK("CSG4.html#group45C4", "45C⁴"), =HYPERLINK("CSG0.html#group15C0", "15C⁰"), =HYPERLINK("CSG0.html#group3A0", "3A⁰"), =HYPERLINK("CSG1.html#group30C1", "30C¹")</f>
        <v/>
      </c>
      <c r="N2263">
        <f>HYPERLINK("CSG21.html#group90N21", "90N²¹")</f>
        <v/>
      </c>
    </row>
    <row r="2264">
      <c r="A2264" t="inlineStr">
        <is>
          <t>93A⁹</t>
        </is>
      </c>
      <c r="B2264" t="inlineStr">
        <is>
          <t>Γ₀(93)</t>
        </is>
      </c>
      <c r="C2264" t="inlineStr">
        <is>
          <t>128</t>
        </is>
      </c>
      <c r="D2264" t="inlineStr">
        <is>
          <t>1</t>
        </is>
      </c>
      <c r="E2264" t="inlineStr">
        <is>
          <t>128</t>
        </is>
      </c>
      <c r="F2264" t="inlineStr">
        <is>
          <t>0</t>
        </is>
      </c>
      <c r="G2264" t="inlineStr">
        <is>
          <t>2</t>
        </is>
      </c>
      <c r="H2264" t="inlineStr">
        <is>
          <t>1¹, 3¹, 31¹, 93¹</t>
        </is>
      </c>
      <c r="I2264" t="n">
        <v>4</v>
      </c>
      <c r="J2264" t="inlineStr">
        <is>
          <t>1⁴, 2², 30², 60¹</t>
        </is>
      </c>
      <c r="K2264">
        <f>HYPERLINK("CSG0.html#group3B0", "3B⁰"), =HYPERLINK("CSG2.html#group31A2", "31A²")</f>
        <v/>
      </c>
      <c r="L2264">
        <f>HYPERLINK("CSG17.html#group93A17", "93A¹⁷"), =HYPERLINK("CSG19.html#group186A19", "186A¹⁹"), =HYPERLINK("CSG19.html#group186B19", "186B¹⁹")</f>
        <v/>
      </c>
      <c r="M2264">
        <f>HYPERLINK("CSG0.html#group3B0", "3B⁰"), =HYPERLINK("CSG2.html#group31A2", "31A²"), =HYPERLINK("CSG0.html#group1A0", "1A⁰")</f>
        <v/>
      </c>
      <c r="N2264">
        <f>HYPERLINK("CSG19.html#group186B19", "186B¹⁹"), =HYPERLINK("CSG17.html#group93A17", "93A¹⁷"), =HYPERLINK("CSG19.html#group186A19", "186A¹⁹")</f>
        <v/>
      </c>
    </row>
    <row r="2265">
      <c r="A2265" t="inlineStr">
        <is>
          <t>95A⁹</t>
        </is>
      </c>
      <c r="B2265" t="inlineStr">
        <is>
          <t>Γ₀(95)</t>
        </is>
      </c>
      <c r="C2265" t="inlineStr">
        <is>
          <t>120</t>
        </is>
      </c>
      <c r="D2265" t="inlineStr">
        <is>
          <t>1</t>
        </is>
      </c>
      <c r="E2265" t="inlineStr">
        <is>
          <t>120</t>
        </is>
      </c>
      <c r="F2265" t="inlineStr">
        <is>
          <t>0</t>
        </is>
      </c>
      <c r="G2265" t="inlineStr">
        <is>
          <t>0</t>
        </is>
      </c>
      <c r="H2265" t="inlineStr">
        <is>
          <t>1¹, 5¹, 19¹, 95¹</t>
        </is>
      </c>
      <c r="I2265" t="n">
        <v>4</v>
      </c>
      <c r="J2265" t="inlineStr">
        <is>
          <t>1⁴, 4², 18², 72¹</t>
        </is>
      </c>
      <c r="K2265">
        <f>HYPERLINK("CSG0.html#group5B0", "5B⁰"), =HYPERLINK("CSG1.html#group19A1", "19A¹")</f>
        <v/>
      </c>
      <c r="L2265">
        <f>HYPERLINK("CSG17.html#group95A17", "95A¹⁷"), =HYPERLINK("CSG19.html#group190A19", "190A¹⁹"), =HYPERLINK("CSG19.html#group190B19", "190B¹⁹")</f>
        <v/>
      </c>
      <c r="M2265">
        <f>HYPERLINK("CSG0.html#group5B0", "5B⁰"), =HYPERLINK("CSG1.html#group19A1", "19A¹"), =HYPERLINK("CSG0.html#group1A0", "1A⁰")</f>
        <v/>
      </c>
      <c r="N2265">
        <f>HYPERLINK("CSG19.html#group190A19", "190A¹⁹"), =HYPERLINK("CSG19.html#group190B19", "190B¹⁹"), =HYPERLINK("CSG17.html#group95A17", "95A¹⁷")</f>
        <v/>
      </c>
    </row>
    <row r="2266">
      <c r="A2266" t="inlineStr">
        <is>
          <t>96A⁹</t>
        </is>
      </c>
      <c r="B2266" t="inlineStr"/>
      <c r="C2266" t="inlineStr">
        <is>
          <t>144</t>
        </is>
      </c>
      <c r="D2266" t="inlineStr">
        <is>
          <t>1</t>
        </is>
      </c>
      <c r="E2266" t="inlineStr">
        <is>
          <t>12</t>
        </is>
      </c>
      <c r="F2266" t="inlineStr">
        <is>
          <t>0</t>
        </is>
      </c>
      <c r="G2266" t="inlineStr">
        <is>
          <t>0</t>
        </is>
      </c>
      <c r="H2266" t="inlineStr">
        <is>
          <t>3⁴, 6², 24¹, 96¹</t>
        </is>
      </c>
      <c r="I2266" t="n">
        <v>8</v>
      </c>
      <c r="J2266" t="inlineStr">
        <is>
          <t>1⁴, 2², 4¹</t>
        </is>
      </c>
      <c r="K2266">
        <f>HYPERLINK("CSG1.html#group32A1", "32A¹"), =HYPERLINK("CSG4.html#group48B4", "48B⁴")</f>
        <v/>
      </c>
      <c r="L2266">
        <f>HYPERLINK("CSG17.html#group96A17", "96A¹⁷"), =HYPERLINK("CSG17.html#group96J17", "96J¹⁷"), =HYPERLINK("CSG17.html#group96M17", "96M¹⁷"), =HYPERLINK("CSG19.html#group96A19", "96A¹⁹"), =HYPERLINK("CSG19.html#group96C19", "96C¹⁹"), =HYPERLINK("CSG19.html#group96Q19", "96Q¹⁹"), =HYPERLINK("CSG19.html#group96S19", "96S¹⁹"), =HYPERLINK("CSG19.html#group192B19", "192B¹⁹"), =HYPERLINK("CSG19.html#group192A19", "192A¹⁹"), =HYPERLINK("CSG19.html#group192C19", "192C¹⁹"), =HYPERLINK("CSG19.html#group192D19", "192D¹⁹"), =HYPERLINK("CSG21.html#group192A21", "192A²¹"), =HYPERLINK("CSG21.html#group192B21", "192B²¹"), =HYPERLINK("CSG21.html#group192C21", "192C²¹"), =HYPERLINK("CSG21.html#group192D21", "192D²¹")</f>
        <v/>
      </c>
      <c r="M2266">
        <f>HYPERLINK("CSG2.html#group24B2", "24B²"), =HYPERLINK("CSG0.html#group3A0", "3A⁰"), =HYPERLINK("CSG1.html#group32A1", "32A¹"), =HYPERLINK("CSG0.html#group16C0", "16C⁰"), =HYPERLINK("CSG0.html#group8C0", "8C⁰"), =HYPERLINK("CSG1.html#group12B1", "12B¹"), =HYPERLINK("CSG0.html#group2B0", "2B⁰"), =HYPERLINK("CSG0.html#group4B0", "4B⁰"), =HYPERLINK("CSG0.html#group1A0", "1A⁰"), =HYPERLINK("CSG0.html#group6D0", "6D⁰"), =HYPERLINK("CSG4.html#group48B4", "48B⁴")</f>
        <v/>
      </c>
      <c r="N2266">
        <f>HYPERLINK("CSG19.html#group96C19", "96C¹⁹"), =HYPERLINK("CSG19.html#group192A19", "192A¹⁹"), =HYPERLINK("CSG21.html#group192C21", "192C²¹"), =HYPERLINK("CSG19.html#group96Q19", "96Q¹⁹"), =HYPERLINK("CSG19.html#group192D19", "192D¹⁹"), =HYPERLINK("CSG19.html#group192B19", "192B¹⁹"), =HYPERLINK("CSG19.html#group192C19", "192C¹⁹"), =HYPERLINK("CSG21.html#group192D21", "192D²¹"), =HYPERLINK("CSG17.html#group96M17", "96M¹⁷"), =HYPERLINK("CSG21.html#group192B21", "192B²¹"), =HYPERLINK("CSG19.html#group96A19", "96A¹⁹"), =HYPERLINK("CSG21.html#group192A21", "192A²¹"), =HYPERLINK("CSG17.html#group96J17", "96J¹⁷"), =HYPERLINK("CSG19.html#group96S19", "96S¹⁹"), =HYPERLINK("CSG17.html#group96A17", "96A¹⁷")</f>
        <v/>
      </c>
    </row>
    <row r="2267">
      <c r="A2267" t="inlineStr">
        <is>
          <t>96B⁹</t>
        </is>
      </c>
      <c r="B2267" t="inlineStr"/>
      <c r="C2267" t="inlineStr">
        <is>
          <t>144</t>
        </is>
      </c>
      <c r="D2267" t="inlineStr">
        <is>
          <t>1</t>
        </is>
      </c>
      <c r="E2267" t="inlineStr">
        <is>
          <t>12</t>
        </is>
      </c>
      <c r="F2267" t="inlineStr">
        <is>
          <t>12</t>
        </is>
      </c>
      <c r="G2267" t="inlineStr">
        <is>
          <t>0</t>
        </is>
      </c>
      <c r="H2267" t="inlineStr">
        <is>
          <t>48¹, 96¹</t>
        </is>
      </c>
      <c r="I2267" t="n">
        <v>2</v>
      </c>
      <c r="J2267" t="inlineStr">
        <is>
          <t>2⁶</t>
        </is>
      </c>
      <c r="K2267">
        <f>HYPERLINK("CSG0.html#group48A0", "48A⁰"), =HYPERLINK("CSG3.html#group32D3", "32D³")</f>
        <v/>
      </c>
      <c r="L2267">
        <f>HYPERLINK("CSG17.html#group96D17", "96D¹⁷"), =HYPERLINK("CSG17.html#group96AB17", "96AB¹⁷"), =HYPERLINK("CSG19.html#group96U19", "96U¹⁹"), =HYPERLINK("CSG19.html#group96V19", "96V¹⁹"), =HYPERLINK("CSG19.html#group96AY19", "96AY¹⁹"), =HYPERLINK("CSG21.html#group96Z21", "96Z²¹"), =HYPERLINK("CSG21.html#group96AA21", "96AA²¹"), =HYPERLINK("CSG21.html#group96AT21", "96AT²¹"), =HYPERLINK("CSG23.html#group96A23", "96A²³"), =HYPERLINK("CSG23.html#group96G23", "96G²³"), =HYPERLINK("CSG23.html#group96H23", "96H²³")</f>
        <v/>
      </c>
      <c r="M2267">
        <f>HYPERLINK("CSG0.html#group12C0", "12C⁰"), =HYPERLINK("CSG0.html#group4C0", "4C⁰"), =HYPERLINK("CSG0.html#group8B0", "8B⁰"), =HYPERLINK("CSG0.html#group48A0", "48A⁰"), =HYPERLINK("CSG0.html#group2B0", "2B⁰"), =HYPERLINK("CSG0.html#group1A0", "1A⁰"), =HYPERLINK("CSG0.html#group16B0", "16B⁰"), =HYPERLINK("CSG0.html#group24A0", "24A⁰"), =HYPERLINK("CSG3.html#group32D3", "32D³"), =HYPERLINK("CSG0.html#group3A0", "3A⁰"), =HYPERLINK("CSG0.html#group6D0", "6D⁰")</f>
        <v/>
      </c>
      <c r="N2267">
        <f>HYPERLINK("CSG19.html#group96U19", "96U¹⁹"), =HYPERLINK("CSG21.html#group96AA21", "96AA²¹"), =HYPERLINK("CSG19.html#group96AY19", "96AY¹⁹"), =HYPERLINK("CSG21.html#group96AT21", "96AT²¹"), =HYPERLINK("CSG23.html#group96H23", "96H²³"), =HYPERLINK("CSG21.html#group96Z21", "96Z²¹"), =HYPERLINK("CSG23.html#group96G23", "96G²³"), =HYPERLINK("CSG19.html#group96V19", "96V¹⁹"), =HYPERLINK("CSG17.html#group96D17", "96D¹⁷"), =HYPERLINK("CSG23.html#group96A23", "96A²³"), =HYPERLINK("CSG17.html#group96AB17", "96AB¹⁷")</f>
        <v/>
      </c>
    </row>
    <row r="2268">
      <c r="A2268" t="inlineStr">
        <is>
          <t>96C⁹</t>
        </is>
      </c>
      <c r="B2268" t="inlineStr"/>
      <c r="C2268" t="inlineStr">
        <is>
          <t>144</t>
        </is>
      </c>
      <c r="D2268" t="inlineStr">
        <is>
          <t>1</t>
        </is>
      </c>
      <c r="E2268" t="inlineStr">
        <is>
          <t>24</t>
        </is>
      </c>
      <c r="F2268" t="inlineStr">
        <is>
          <t>12</t>
        </is>
      </c>
      <c r="G2268" t="inlineStr">
        <is>
          <t>0</t>
        </is>
      </c>
      <c r="H2268" t="inlineStr">
        <is>
          <t>48¹, 96¹</t>
        </is>
      </c>
      <c r="I2268" t="n">
        <v>2</v>
      </c>
      <c r="J2268" t="inlineStr">
        <is>
          <t>2⁸, 8¹</t>
        </is>
      </c>
      <c r="K2268">
        <f>HYPERLINK("CSG3.html#group32E3", "32E³"), =HYPERLINK("CSG3.html#group48E3", "48E³")</f>
        <v/>
      </c>
      <c r="L2268">
        <f>HYPERLINK("CSG17.html#group96G17", "96G¹⁷"), =HYPERLINK("CSG19.html#group96AO19", "96AO¹⁹"), =HYPERLINK("CSG19.html#group96AK19", "96AK¹⁹"), =HYPERLINK("CSG20.html#group96G20", "96G²⁰"), =HYPERLINK("CSG20.html#group96I20", "96I²⁰"), =HYPERLINK("CSG20.html#group96R20", "96R²⁰"), =HYPERLINK("CSG20.html#group96V20", "96V²⁰"), =HYPERLINK("CSG21.html#group96AM21", "96AM²¹"), =HYPERLINK("CSG21.html#group96AI21", "96AI²¹"), =HYPERLINK("CSG21.html#group192E21", "192E²¹"), =HYPERLINK("CSG21.html#group192F21", "192F²¹"), =HYPERLINK("CSG21.html#group192I21", "192I²¹"), =HYPERLINK("CSG21.html#group192J21", "192J²¹"), =HYPERLINK("CSG23.html#group96B23", "96B²³"), =HYPERLINK("CSG23.html#group96M23", "96M²³")</f>
        <v/>
      </c>
      <c r="M2268">
        <f>HYPERLINK("CSG1.html#group16D1", "16D¹"), =HYPERLINK("CSG0.html#group12C0", "12C⁰"), =HYPERLINK("CSG3.html#group48E3", "48E³"), =HYPERLINK("CSG0.html#group24A0", "24A⁰"), =HYPERLINK("CSG0.html#group4C0", "4C⁰"), =HYPERLINK("CSG0.html#group8B0", "8B⁰"), =HYPERLINK("CSG3.html#group32E3", "32E³"), =HYPERLINK("CSG0.html#group2B0", "2B⁰"), =HYPERLINK("CSG0.html#group3A0", "3A⁰"), =HYPERLINK("CSG0.html#group1A0", "1A⁰"), =HYPERLINK("CSG0.html#group6D0", "6D⁰")</f>
        <v/>
      </c>
      <c r="N2268">
        <f>HYPERLINK("CSG21.html#group192J21", "192J²¹"), =HYPERLINK("CSG20.html#group96R20", "96R²⁰"), =HYPERLINK("CSG20.html#group96I20", "96I²⁰"), =HYPERLINK("CSG20.html#group96G20", "96G²⁰"), =HYPERLINK("CSG21.html#group192I21", "192I²¹"), =HYPERLINK("CSG21.html#group96AM21", "96AM²¹"), =HYPERLINK("CSG21.html#group96AI21", "96AI²¹"), =HYPERLINK("CSG23.html#group96M23", "96M²³"), =HYPERLINK("CSG21.html#group192F21", "192F²¹"), =HYPERLINK("CSG19.html#group96AK19", "96AK¹⁹"), =HYPERLINK("CSG20.html#group96V20", "96V²⁰"), =HYPERLINK("CSG23.html#group96B23", "96B²³"), =HYPERLINK("CSG17.html#group96G17", "96G¹⁷"), =HYPERLINK("CSG21.html#group192E21", "192E²¹"), =HYPERLINK("CSG19.html#group96AO19", "96AO¹⁹")</f>
        <v/>
      </c>
    </row>
    <row r="2269">
      <c r="A2269" t="inlineStr">
        <is>
          <t>96D⁹</t>
        </is>
      </c>
      <c r="B2269" t="inlineStr"/>
      <c r="C2269" t="inlineStr">
        <is>
          <t>144</t>
        </is>
      </c>
      <c r="D2269" t="inlineStr">
        <is>
          <t>1</t>
        </is>
      </c>
      <c r="E2269" t="inlineStr">
        <is>
          <t>24</t>
        </is>
      </c>
      <c r="F2269" t="inlineStr">
        <is>
          <t>12</t>
        </is>
      </c>
      <c r="G2269" t="inlineStr">
        <is>
          <t>0</t>
        </is>
      </c>
      <c r="H2269" t="inlineStr">
        <is>
          <t>48¹, 96¹</t>
        </is>
      </c>
      <c r="I2269" t="n">
        <v>2</v>
      </c>
      <c r="J2269" t="inlineStr">
        <is>
          <t>2⁸, 8¹</t>
        </is>
      </c>
      <c r="K2269">
        <f>HYPERLINK("CSG3.html#group32F3", "32F³"), =HYPERLINK("CSG3.html#group48E3", "48E³")</f>
        <v/>
      </c>
      <c r="L2269">
        <f>HYPERLINK("CSG17.html#group96G17", "96G¹⁷"), =HYPERLINK("CSG19.html#group96AP19", "96AP¹⁹"), =HYPERLINK("CSG19.html#group96AL19", "96AL¹⁹"), =HYPERLINK("CSG20.html#group96H20", "96H²⁰"), =HYPERLINK("CSG20.html#group96J20", "96J²⁰"), =HYPERLINK("CSG20.html#group96S20", "96S²⁰"), =HYPERLINK("CSG20.html#group96W20", "96W²⁰"), =HYPERLINK("CSG21.html#group96AN21", "96AN²¹"), =HYPERLINK("CSG21.html#group96AJ21", "96AJ²¹"), =HYPERLINK("CSG23.html#group96D23", "96D²³"), =HYPERLINK("CSG23.html#group96M23", "96M²³")</f>
        <v/>
      </c>
      <c r="M2269">
        <f>HYPERLINK("CSG1.html#group16D1", "16D¹"), =HYPERLINK("CSG0.html#group12C0", "12C⁰"), =HYPERLINK("CSG3.html#group48E3", "48E³"), =HYPERLINK("CSG0.html#group24A0", "24A⁰"), =HYPERLINK("CSG0.html#group4C0", "4C⁰"), =HYPERLINK("CSG0.html#group8B0", "8B⁰"), =HYPERLINK("CSG0.html#group2B0", "2B⁰"), =HYPERLINK("CSG3.html#group32F3", "32F³"), =HYPERLINK("CSG0.html#group3A0", "3A⁰"), =HYPERLINK("CSG0.html#group1A0", "1A⁰"), =HYPERLINK("CSG0.html#group6D0", "6D⁰")</f>
        <v/>
      </c>
      <c r="N2269">
        <f>HYPERLINK("CSG20.html#group96H20", "96H²⁰"), =HYPERLINK("CSG19.html#group96AL19", "96AL¹⁹"), =HYPERLINK("CSG23.html#group96M23", "96M²³"), =HYPERLINK("CSG23.html#group96D23", "96D²³"), =HYPERLINK("CSG21.html#group96AN21", "96AN²¹"), =HYPERLINK("CSG20.html#group96S20", "96S²⁰"), =HYPERLINK("CSG19.html#group96AP19", "96AP¹⁹"), =HYPERLINK("CSG20.html#group96W20", "96W²⁰"), =HYPERLINK("CSG17.html#group96G17", "96G¹⁷"), =HYPERLINK("CSG21.html#group96AJ21", "96AJ²¹"), =HYPERLINK("CSG20.html#group96J20", "96J²⁰")</f>
        <v/>
      </c>
    </row>
    <row r="2270">
      <c r="A2270" t="inlineStr">
        <is>
          <t>96E⁹</t>
        </is>
      </c>
      <c r="B2270" t="inlineStr"/>
      <c r="C2270" t="inlineStr">
        <is>
          <t>144</t>
        </is>
      </c>
      <c r="D2270" t="inlineStr">
        <is>
          <t>1</t>
        </is>
      </c>
      <c r="E2270" t="inlineStr">
        <is>
          <t>24</t>
        </is>
      </c>
      <c r="F2270" t="inlineStr">
        <is>
          <t>12</t>
        </is>
      </c>
      <c r="G2270" t="inlineStr">
        <is>
          <t>0</t>
        </is>
      </c>
      <c r="H2270" t="inlineStr">
        <is>
          <t>48¹, 96¹</t>
        </is>
      </c>
      <c r="I2270" t="n">
        <v>2</v>
      </c>
      <c r="J2270" t="inlineStr">
        <is>
          <t>2⁸, 8¹</t>
        </is>
      </c>
      <c r="K2270">
        <f>HYPERLINK("CSG3.html#group32G3", "32G³"), =HYPERLINK("CSG3.html#group48E3", "48E³")</f>
        <v/>
      </c>
      <c r="L2270">
        <f>HYPERLINK("CSG17.html#group96H17", "96H¹⁷"), =HYPERLINK("CSG19.html#group96AQ19", "96AQ¹⁹"), =HYPERLINK("CSG19.html#group96AM19", "96AM¹⁹"), =HYPERLINK("CSG20.html#group96G20", "96G²⁰"), =HYPERLINK("CSG20.html#group96J20", "96J²⁰"), =HYPERLINK("CSG20.html#group96T20", "96T²⁰"), =HYPERLINK("CSG20.html#group96X20", "96X²⁰"), =HYPERLINK("CSG21.html#group96AO21", "96AO²¹"), =HYPERLINK("CSG21.html#group96AK21", "96AK²¹"), =HYPERLINK("CSG21.html#group192H21", "192H²¹"), =HYPERLINK("CSG21.html#group192G21", "192G²¹"), =HYPERLINK("CSG21.html#group192K21", "192K²¹"), =HYPERLINK("CSG21.html#group192L21", "192L²¹"), =HYPERLINK("CSG23.html#group96C23", "96C²³"), =HYPERLINK("CSG23.html#group96N23", "96N²³")</f>
        <v/>
      </c>
      <c r="M2270">
        <f>HYPERLINK("CSG1.html#group16D1", "16D¹"), =HYPERLINK("CSG0.html#group12C0", "12C⁰"), =HYPERLINK("CSG3.html#group48E3", "48E³"), =HYPERLINK("CSG0.html#group24A0", "24A⁰"), =HYPERLINK("CSG0.html#group4C0", "4C⁰"), =HYPERLINK("CSG0.html#group8B0", "8B⁰"), =HYPERLINK("CSG0.html#group2B0", "2B⁰"), =HYPERLINK("CSG3.html#group32G3", "32G³"), =HYPERLINK("CSG0.html#group3A0", "3A⁰"), =HYPERLINK("CSG0.html#group1A0", "1A⁰"), =HYPERLINK("CSG0.html#group6D0", "6D⁰")</f>
        <v/>
      </c>
      <c r="N2270">
        <f>HYPERLINK("CSG23.html#group96N23", "96N²³"), =HYPERLINK("CSG19.html#group96AQ19", "96AQ¹⁹"), =HYPERLINK("CSG21.html#group192K21", "192K²¹"), =HYPERLINK("CSG20.html#group96T20", "96T²⁰"), =HYPERLINK("CSG20.html#group96G20", "96G²⁰"), =HYPERLINK("CSG21.html#group96AK21", "96AK²¹"), =HYPERLINK("CSG17.html#group96H17", "96H¹⁷"), =HYPERLINK("CSG19.html#group96AM19", "96AM¹⁹"), =HYPERLINK("CSG21.html#group192H21", "192H²¹"), =HYPERLINK("CSG21.html#group192G21", "192G²¹"), =HYPERLINK("CSG21.html#group192L21", "192L²¹"), =HYPERLINK("CSG23.html#group96C23", "96C²³"), =HYPERLINK("CSG21.html#group96AO21", "96AO²¹"), =HYPERLINK("CSG20.html#group96J20", "96J²⁰"), =HYPERLINK("CSG20.html#group96X20", "96X²⁰")</f>
        <v/>
      </c>
    </row>
    <row r="2271">
      <c r="A2271" t="inlineStr">
        <is>
          <t>96F⁹</t>
        </is>
      </c>
      <c r="B2271" t="inlineStr"/>
      <c r="C2271" t="inlineStr">
        <is>
          <t>144</t>
        </is>
      </c>
      <c r="D2271" t="inlineStr">
        <is>
          <t>1</t>
        </is>
      </c>
      <c r="E2271" t="inlineStr">
        <is>
          <t>24</t>
        </is>
      </c>
      <c r="F2271" t="inlineStr">
        <is>
          <t>12</t>
        </is>
      </c>
      <c r="G2271" t="inlineStr">
        <is>
          <t>0</t>
        </is>
      </c>
      <c r="H2271" t="inlineStr">
        <is>
          <t>48¹, 96¹</t>
        </is>
      </c>
      <c r="I2271" t="n">
        <v>2</v>
      </c>
      <c r="J2271" t="inlineStr">
        <is>
          <t>2⁸, 8¹</t>
        </is>
      </c>
      <c r="K2271">
        <f>HYPERLINK("CSG3.html#group32H3", "32H³"), =HYPERLINK("CSG3.html#group48E3", "48E³")</f>
        <v/>
      </c>
      <c r="L2271">
        <f>HYPERLINK("CSG17.html#group96H17", "96H¹⁷"), =HYPERLINK("CSG19.html#group96AR19", "96AR¹⁹"), =HYPERLINK("CSG19.html#group96AN19", "96AN¹⁹"), =HYPERLINK("CSG20.html#group96H20", "96H²⁰"), =HYPERLINK("CSG20.html#group96I20", "96I²⁰"), =HYPERLINK("CSG20.html#group96U20", "96U²⁰"), =HYPERLINK("CSG20.html#group96Y20", "96Y²⁰"), =HYPERLINK("CSG21.html#group96AP21", "96AP²¹"), =HYPERLINK("CSG21.html#group96AL21", "96AL²¹"), =HYPERLINK("CSG23.html#group96E23", "96E²³"), =HYPERLINK("CSG23.html#group96N23", "96N²³")</f>
        <v/>
      </c>
      <c r="M2271">
        <f>HYPERLINK("CSG1.html#group16D1", "16D¹"), =HYPERLINK("CSG0.html#group12C0", "12C⁰"), =HYPERLINK("CSG3.html#group48E3", "48E³"), =HYPERLINK("CSG0.html#group24A0", "24A⁰"), =HYPERLINK("CSG0.html#group6D0", "6D⁰"), =HYPERLINK("CSG0.html#group4C0", "4C⁰"), =HYPERLINK("CSG0.html#group8B0", "8B⁰"), =HYPERLINK("CSG0.html#group2B0", "2B⁰"), =HYPERLINK("CSG0.html#group3A0", "3A⁰"), =HYPERLINK("CSG0.html#group1A0", "1A⁰"), =HYPERLINK("CSG3.html#group32H3", "32H³")</f>
        <v/>
      </c>
      <c r="N2271">
        <f>HYPERLINK("CSG21.html#group96AL21", "96AL²¹"), =HYPERLINK("CSG23.html#group96N23", "96N²³"), =HYPERLINK("CSG20.html#group96H20", "96H²⁰"), =HYPERLINK("CSG20.html#group96I20", "96I²⁰"), =HYPERLINK("CSG20.html#group96U20", "96U²⁰"), =HYPERLINK("CSG21.html#group96AP21", "96AP²¹"), =HYPERLINK("CSG17.html#group96H17", "96H¹⁷"), =HYPERLINK("CSG23.html#group96E23", "96E²³"), =HYPERLINK("CSG20.html#group96Y20", "96Y²⁰"), =HYPERLINK("CSG19.html#group96AN19", "96AN¹⁹"), =HYPERLINK("CSG19.html#group96AR19", "96AR¹⁹")</f>
        <v/>
      </c>
    </row>
    <row r="2272">
      <c r="A2272" t="inlineStr">
        <is>
          <t>96G⁹</t>
        </is>
      </c>
      <c r="B2272" t="inlineStr"/>
      <c r="C2272" t="inlineStr">
        <is>
          <t>144</t>
        </is>
      </c>
      <c r="D2272" t="inlineStr">
        <is>
          <t>1</t>
        </is>
      </c>
      <c r="E2272" t="inlineStr">
        <is>
          <t>36</t>
        </is>
      </c>
      <c r="F2272" t="inlineStr">
        <is>
          <t>0</t>
        </is>
      </c>
      <c r="G2272" t="inlineStr">
        <is>
          <t>0</t>
        </is>
      </c>
      <c r="H2272" t="inlineStr">
        <is>
          <t>3⁴, 6², 24¹, 96¹</t>
        </is>
      </c>
      <c r="I2272" t="n">
        <v>8</v>
      </c>
      <c r="J2272" t="inlineStr">
        <is>
          <t>1⁴, 2⁶, 4³, 8¹</t>
        </is>
      </c>
      <c r="K2272">
        <f>HYPERLINK("CSG4.html#group48B4", "48B⁴")</f>
        <v/>
      </c>
      <c r="L2272">
        <f>HYPERLINK("CSG17.html#group96I17", "96I¹⁷"), =HYPERLINK("CSG17.html#group96J17", "96J¹⁷"), =HYPERLINK("CSG17.html#group96K17", "96K¹⁷"), =HYPERLINK("CSG17.html#group96L17", "96L¹⁷"), =HYPERLINK("CSG17.html#group96AC17", "96AC¹⁷"), =HYPERLINK("CSG19.html#group96E19", "96E¹⁹"), =HYPERLINK("CSG19.html#group96O19", "96O¹⁹"), =HYPERLINK("CSG19.html#group96P19", "96P¹⁹"), =HYPERLINK("CSG19.html#group96R19", "96R¹⁹"), =HYPERLINK("CSG19.html#group96S19", "96S¹⁹"), =HYPERLINK("CSG19.html#group96AX19", "96AX¹⁹")</f>
        <v/>
      </c>
      <c r="M2272">
        <f>HYPERLINK("CSG2.html#group24B2", "24B²"), =HYPERLINK("CSG0.html#group3A0", "3A⁰"), =HYPERLINK("CSG0.html#group16C0", "16C⁰"), =HYPERLINK("CSG0.html#group8C0", "8C⁰"), =HYPERLINK("CSG1.html#group12B1", "12B¹"), =HYPERLINK("CSG0.html#group2B0", "2B⁰"), =HYPERLINK("CSG0.html#group4B0", "4B⁰"), =HYPERLINK("CSG0.html#group1A0", "1A⁰"), =HYPERLINK("CSG0.html#group6D0", "6D⁰"), =HYPERLINK("CSG4.html#group48B4", "48B⁴")</f>
        <v/>
      </c>
      <c r="N2272">
        <f>HYPERLINK("CSG17.html#group96I17", "96I¹⁷"), =HYPERLINK("CSG19.html#group96O19", "96O¹⁹"), =HYPERLINK("CSG17.html#group96L17", "96L¹⁷"), =HYPERLINK("CSG19.html#group96AX19", "96AX¹⁹"), =HYPERLINK("CSG19.html#group96E19", "96E¹⁹"), =HYPERLINK("CSG17.html#group96K17", "96K¹⁷"), =HYPERLINK("CSG19.html#group96P19", "96P¹⁹"), =HYPERLINK("CSG17.html#group96AC17", "96AC¹⁷"), =HYPERLINK("CSG17.html#group96J17", "96J¹⁷"), =HYPERLINK("CSG19.html#group96S19", "96S¹⁹"), =HYPERLINK("CSG19.html#group96R19", "96R¹⁹")</f>
        <v/>
      </c>
    </row>
    <row r="2273">
      <c r="A2273" t="inlineStr">
        <is>
          <t>96H⁹</t>
        </is>
      </c>
      <c r="B2273" t="inlineStr"/>
      <c r="C2273" t="inlineStr">
        <is>
          <t>144</t>
        </is>
      </c>
      <c r="D2273" t="inlineStr">
        <is>
          <t>1</t>
        </is>
      </c>
      <c r="E2273" t="inlineStr">
        <is>
          <t>72</t>
        </is>
      </c>
      <c r="F2273" t="inlineStr">
        <is>
          <t>12</t>
        </is>
      </c>
      <c r="G2273" t="inlineStr">
        <is>
          <t>0</t>
        </is>
      </c>
      <c r="H2273" t="inlineStr">
        <is>
          <t>48¹, 96¹</t>
        </is>
      </c>
      <c r="I2273" t="n">
        <v>2</v>
      </c>
      <c r="J2273" t="inlineStr">
        <is>
          <t>2⁸, 4⁸, 8¹, 16¹</t>
        </is>
      </c>
      <c r="K2273">
        <f>HYPERLINK("CSG3.html#group48E3", "48E³")</f>
        <v/>
      </c>
      <c r="L2273">
        <f>HYPERLINK("CSG17.html#group96Z17", "96Z¹⁷"), =HYPERLINK("CSG19.html#group96AE19", "96AE¹⁹"), =HYPERLINK("CSG19.html#group96AO19", "96AO¹⁹"), =HYPERLINK("CSG19.html#group96AL19", "96AL¹⁹"), =HYPERLINK("CSG19.html#group96BA19", "96BA¹⁹"), =HYPERLINK("CSG20.html#group96N20", "96N²⁰"), =HYPERLINK("CSG20.html#group96P20", "96P²⁰"), =HYPERLINK("CSG20.html#group96U20", "96U²⁰"), =HYPERLINK("CSG20.html#group96X20", "96X²⁰"), =HYPERLINK("CSG20.html#group96Z20", "96Z²⁰"), =HYPERLINK("CSG20.html#group96AA20", "96AA²⁰"), =HYPERLINK("CSG20.html#group96AD20", "96AD²⁰"), =HYPERLINK("CSG20.html#group96AE20", "96AE²⁰"), =HYPERLINK("CSG21.html#group96AE21", "96AE²¹"), =HYPERLINK("CSG21.html#group96AN21", "96AN²¹"), =HYPERLINK("CSG21.html#group96AI21", "96AI²¹"), =HYPERLINK("CSG21.html#group96AX21", "96AX²¹"), =HYPERLINK("CSG23.html#group96K23", "96K²³"), =HYPERLINK("CSG23.html#group96U23", "96U²³")</f>
        <v/>
      </c>
      <c r="M2273">
        <f>HYPERLINK("CSG1.html#group16D1", "16D¹"), =HYPERLINK("CSG0.html#group12C0", "12C⁰"), =HYPERLINK("CSG3.html#group48E3", "48E³"), =HYPERLINK("CSG0.html#group24A0", "24A⁰"), =HYPERLINK("CSG0.html#group4C0", "4C⁰"), =HYPERLINK("CSG0.html#group8B0", "8B⁰"), =HYPERLINK("CSG0.html#group2B0", "2B⁰"), =HYPERLINK("CSG0.html#group3A0", "3A⁰"), =HYPERLINK("CSG0.html#group1A0", "1A⁰"), =HYPERLINK("CSG0.html#group6D0", "6D⁰")</f>
        <v/>
      </c>
      <c r="N2273">
        <f>HYPERLINK("CSG19.html#group96AE19", "96AE¹⁹"), =HYPERLINK("CSG20.html#group96N20", "96N²⁰"), =HYPERLINK("CSG21.html#group96AI21", "96AI²¹"), =HYPERLINK("CSG20.html#group96AD20", "96AD²⁰"), =HYPERLINK("CSG21.html#group96AN21", "96AN²¹"), =HYPERLINK("CSG23.html#group96K23", "96K²³"), =HYPERLINK("CSG20.html#group96Z20", "96Z²⁰"), =HYPERLINK("CSG20.html#group96P20", "96P²⁰"), =HYPERLINK("CSG17.html#group96Z17", "96Z¹⁷"), =HYPERLINK("CSG20.html#group96X20", "96X²⁰"), =HYPERLINK("CSG21.html#group96AE21", "96AE²¹"), =HYPERLINK("CSG21.html#group96AX21", "96AX²¹"), =HYPERLINK("CSG19.html#group96BA19", "96BA¹⁹"), =HYPERLINK("CSG20.html#group96U20", "96U²⁰"), =HYPERLINK("CSG19.html#group96AL19", "96AL¹⁹"), =HYPERLINK("CSG20.html#group96AA20", "96AA²⁰"), =HYPERLINK("CSG20.html#group96AE20", "96AE²⁰"), =HYPERLINK("CSG23.html#group96U23", "96U²³"), =HYPERLINK("CSG19.html#group96AO19", "96AO¹⁹")</f>
        <v/>
      </c>
    </row>
    <row r="2274">
      <c r="A2274" t="inlineStr">
        <is>
          <t>96I⁹</t>
        </is>
      </c>
      <c r="B2274" t="inlineStr"/>
      <c r="C2274" t="inlineStr">
        <is>
          <t>144</t>
        </is>
      </c>
      <c r="D2274" t="inlineStr">
        <is>
          <t>1</t>
        </is>
      </c>
      <c r="E2274" t="inlineStr">
        <is>
          <t>72</t>
        </is>
      </c>
      <c r="F2274" t="inlineStr">
        <is>
          <t>12</t>
        </is>
      </c>
      <c r="G2274" t="inlineStr">
        <is>
          <t>0</t>
        </is>
      </c>
      <c r="H2274" t="inlineStr">
        <is>
          <t>48¹, 96¹</t>
        </is>
      </c>
      <c r="I2274" t="n">
        <v>2</v>
      </c>
      <c r="J2274" t="inlineStr">
        <is>
          <t>2⁸, 4⁸, 8¹, 16¹</t>
        </is>
      </c>
      <c r="K2274">
        <f>HYPERLINK("CSG3.html#group48E3", "48E³")</f>
        <v/>
      </c>
      <c r="L2274">
        <f>HYPERLINK("CSG17.html#group96Z17", "96Z¹⁷"), =HYPERLINK("CSG19.html#group96AF19", "96AF¹⁹"), =HYPERLINK("CSG19.html#group96AP19", "96AP¹⁹"), =HYPERLINK("CSG19.html#group96AK19", "96AK¹⁹"), =HYPERLINK("CSG19.html#group96BA19", "96BA¹⁹"), =HYPERLINK("CSG20.html#group96O20", "96O²⁰"), =HYPERLINK("CSG20.html#group96Q20", "96Q²⁰"), =HYPERLINK("CSG20.html#group96T20", "96T²⁰"), =HYPERLINK("CSG20.html#group96Y20", "96Y²⁰"), =HYPERLINK("CSG20.html#group96AB20", "96AB²⁰"), =HYPERLINK("CSG20.html#group96AC20", "96AC²⁰"), =HYPERLINK("CSG20.html#group96AF20", "96AF²⁰"), =HYPERLINK("CSG20.html#group96AG20", "96AG²⁰"), =HYPERLINK("CSG21.html#group96AF21", "96AF²¹"), =HYPERLINK("CSG21.html#group96AM21", "96AM²¹"), =HYPERLINK("CSG21.html#group96AJ21", "96AJ²¹"), =HYPERLINK("CSG21.html#group96AX21", "96AX²¹"), =HYPERLINK("CSG23.html#group96I23", "96I²³"), =HYPERLINK("CSG23.html#group96U23", "96U²³")</f>
        <v/>
      </c>
      <c r="M2274">
        <f>HYPERLINK("CSG1.html#group16D1", "16D¹"), =HYPERLINK("CSG0.html#group12C0", "12C⁰"), =HYPERLINK("CSG3.html#group48E3", "48E³"), =HYPERLINK("CSG0.html#group24A0", "24A⁰"), =HYPERLINK("CSG0.html#group4C0", "4C⁰"), =HYPERLINK("CSG0.html#group8B0", "8B⁰"), =HYPERLINK("CSG0.html#group2B0", "2B⁰"), =HYPERLINK("CSG0.html#group3A0", "3A⁰"), =HYPERLINK("CSG0.html#group1A0", "1A⁰"), =HYPERLINK("CSG0.html#group6D0", "6D⁰")</f>
        <v/>
      </c>
      <c r="N2274">
        <f>HYPERLINK("CSG23.html#group96I23", "96I²³"), =HYPERLINK("CSG20.html#group96Q20", "96Q²⁰"), =HYPERLINK("CSG20.html#group96AG20", "96AG²⁰"), =HYPERLINK("CSG21.html#group96AF21", "96AF²¹"), =HYPERLINK("CSG19.html#group96AP19", "96AP¹⁹"), =HYPERLINK("CSG20.html#group96Y20", "96Y²⁰"), =HYPERLINK("CSG20.html#group96AC20", "96AC²⁰"), =HYPERLINK("CSG21.html#group96AJ21", "96AJ²¹"), =HYPERLINK("CSG21.html#group96AM21", "96AM²¹"), =HYPERLINK("CSG17.html#group96Z17", "96Z¹⁷"), =HYPERLINK("CSG21.html#group96AX21", "96AX²¹"), =HYPERLINK("CSG19.html#group96BA19", "96BA¹⁹"), =HYPERLINK("CSG20.html#group96AB20", "96AB²⁰"), =HYPERLINK("CSG19.html#group96AK19", "96AK¹⁹"), =HYPERLINK("CSG19.html#group96AF19", "96AF¹⁹"), =HYPERLINK("CSG23.html#group96U23", "96U²³"), =HYPERLINK("CSG20.html#group96O20", "96O²⁰"), =HYPERLINK("CSG20.html#group96T20", "96T²⁰"), =HYPERLINK("CSG20.html#group96AF20", "96AF²⁰")</f>
        <v/>
      </c>
    </row>
    <row r="2275">
      <c r="A2275" t="inlineStr">
        <is>
          <t>96J⁹</t>
        </is>
      </c>
      <c r="B2275" t="inlineStr"/>
      <c r="C2275" t="inlineStr">
        <is>
          <t>144</t>
        </is>
      </c>
      <c r="D2275" t="inlineStr">
        <is>
          <t>1</t>
        </is>
      </c>
      <c r="E2275" t="inlineStr">
        <is>
          <t>72</t>
        </is>
      </c>
      <c r="F2275" t="inlineStr">
        <is>
          <t>12</t>
        </is>
      </c>
      <c r="G2275" t="inlineStr">
        <is>
          <t>0</t>
        </is>
      </c>
      <c r="H2275" t="inlineStr">
        <is>
          <t>48¹, 96¹</t>
        </is>
      </c>
      <c r="I2275" t="n">
        <v>2</v>
      </c>
      <c r="J2275" t="inlineStr">
        <is>
          <t>2⁸, 4⁸, 8¹, 16¹</t>
        </is>
      </c>
      <c r="K2275">
        <f>HYPERLINK("CSG3.html#group48E3", "48E³")</f>
        <v/>
      </c>
      <c r="L2275">
        <f>HYPERLINK("CSG17.html#group96AA17", "96AA¹⁷"), =HYPERLINK("CSG19.html#group96AG19", "96AG¹⁹"), =HYPERLINK("CSG19.html#group96AR19", "96AR¹⁹"), =HYPERLINK("CSG19.html#group96AM19", "96AM¹⁹"), =HYPERLINK("CSG19.html#group96BB19", "96BB¹⁹"), =HYPERLINK("CSG20.html#group96O20", "96O²⁰"), =HYPERLINK("CSG20.html#group96P20", "96P²⁰"), =HYPERLINK("CSG20.html#group96R20", "96R²⁰"), =HYPERLINK("CSG20.html#group96W20", "96W²⁰"), =HYPERLINK("CSG20.html#group96AB20", "96AB²⁰"), =HYPERLINK("CSG20.html#group96AC20", "96AC²⁰"), =HYPERLINK("CSG20.html#group96AD20", "96AD²⁰"), =HYPERLINK("CSG20.html#group96AE20", "96AE²⁰"), =HYPERLINK("CSG21.html#group96AG21", "96AG²¹"), =HYPERLINK("CSG21.html#group96AO21", "96AO²¹"), =HYPERLINK("CSG21.html#group96AL21", "96AL²¹"), =HYPERLINK("CSG21.html#group96AY21", "96AY²¹"), =HYPERLINK("CSG23.html#group96J23", "96J²³"), =HYPERLINK("CSG23.html#group96V23", "96V²³")</f>
        <v/>
      </c>
      <c r="M2275">
        <f>HYPERLINK("CSG1.html#group16D1", "16D¹"), =HYPERLINK("CSG0.html#group12C0", "12C⁰"), =HYPERLINK("CSG3.html#group48E3", "48E³"), =HYPERLINK("CSG0.html#group24A0", "24A⁰"), =HYPERLINK("CSG0.html#group4C0", "4C⁰"), =HYPERLINK("CSG0.html#group8B0", "8B⁰"), =HYPERLINK("CSG0.html#group2B0", "2B⁰"), =HYPERLINK("CSG0.html#group3A0", "3A⁰"), =HYPERLINK("CSG0.html#group1A0", "1A⁰"), =HYPERLINK("CSG0.html#group6D0", "6D⁰")</f>
        <v/>
      </c>
      <c r="N2275">
        <f>HYPERLINK("CSG23.html#group96J23", "96J²³"), =HYPERLINK("CSG17.html#group96AA17", "96AA¹⁷"), =HYPERLINK("CSG19.html#group96AM19", "96AM¹⁹"), =HYPERLINK("CSG21.html#group96AG21", "96AG²¹"), =HYPERLINK("CSG20.html#group96AD20", "96AD²⁰"), =HYPERLINK("CSG20.html#group96W20", "96W²⁰"), =HYPERLINK("CSG20.html#group96P20", "96P²⁰"), =HYPERLINK("CSG20.html#group96AC20", "96AC²⁰"), =HYPERLINK("CSG21.html#group96AO21", "96AO²¹"), =HYPERLINK("CSG21.html#group96AL21", "96AL²¹"), =HYPERLINK("CSG19.html#group96BB19", "96BB¹⁹"), =HYPERLINK("CSG20.html#group96R20", "96R²⁰"), =HYPERLINK("CSG19.html#group96AG19", "96AG¹⁹"), =HYPERLINK("CSG21.html#group96AY21", "96AY²¹"), =HYPERLINK("CSG20.html#group96AB20", "96AB²⁰"), =HYPERLINK("CSG20.html#group96AE20", "96AE²⁰"), =HYPERLINK("CSG23.html#group96V23", "96V²³"), =HYPERLINK("CSG20.html#group96O20", "96O²⁰"), =HYPERLINK("CSG19.html#group96AR19", "96AR¹⁹")</f>
        <v/>
      </c>
    </row>
    <row r="2276">
      <c r="A2276" t="inlineStr">
        <is>
          <t>96K⁹</t>
        </is>
      </c>
      <c r="B2276" t="inlineStr"/>
      <c r="C2276" t="inlineStr">
        <is>
          <t>144</t>
        </is>
      </c>
      <c r="D2276" t="inlineStr">
        <is>
          <t>1</t>
        </is>
      </c>
      <c r="E2276" t="inlineStr">
        <is>
          <t>72</t>
        </is>
      </c>
      <c r="F2276" t="inlineStr">
        <is>
          <t>12</t>
        </is>
      </c>
      <c r="G2276" t="inlineStr">
        <is>
          <t>0</t>
        </is>
      </c>
      <c r="H2276" t="inlineStr">
        <is>
          <t>48¹, 96¹</t>
        </is>
      </c>
      <c r="I2276" t="n">
        <v>2</v>
      </c>
      <c r="J2276" t="inlineStr">
        <is>
          <t>2⁸, 4⁸, 8¹, 16¹</t>
        </is>
      </c>
      <c r="K2276">
        <f>HYPERLINK("CSG3.html#group48E3", "48E³")</f>
        <v/>
      </c>
      <c r="L2276">
        <f>HYPERLINK("CSG17.html#group96AA17", "96AA¹⁷"), =HYPERLINK("CSG19.html#group96AH19", "96AH¹⁹"), =HYPERLINK("CSG19.html#group96AQ19", "96AQ¹⁹"), =HYPERLINK("CSG19.html#group96AN19", "96AN¹⁹"), =HYPERLINK("CSG19.html#group96BB19", "96BB¹⁹"), =HYPERLINK("CSG20.html#group96N20", "96N²⁰"), =HYPERLINK("CSG20.html#group96Q20", "96Q²⁰"), =HYPERLINK("CSG20.html#group96S20", "96S²⁰"), =HYPERLINK("CSG20.html#group96V20", "96V²⁰"), =HYPERLINK("CSG20.html#group96Z20", "96Z²⁰"), =HYPERLINK("CSG20.html#group96AA20", "96AA²⁰"), =HYPERLINK("CSG20.html#group96AF20", "96AF²⁰"), =HYPERLINK("CSG20.html#group96AG20", "96AG²⁰"), =HYPERLINK("CSG21.html#group96AH21", "96AH²¹"), =HYPERLINK("CSG21.html#group96AP21", "96AP²¹"), =HYPERLINK("CSG21.html#group96AK21", "96AK²¹"), =HYPERLINK("CSG21.html#group96AY21", "96AY²¹"), =HYPERLINK("CSG23.html#group96L23", "96L²³"), =HYPERLINK("CSG23.html#group96V23", "96V²³")</f>
        <v/>
      </c>
      <c r="M2276">
        <f>HYPERLINK("CSG1.html#group16D1", "16D¹"), =HYPERLINK("CSG0.html#group12C0", "12C⁰"), =HYPERLINK("CSG3.html#group48E3", "48E³"), =HYPERLINK("CSG0.html#group24A0", "24A⁰"), =HYPERLINK("CSG0.html#group4C0", "4C⁰"), =HYPERLINK("CSG0.html#group8B0", "8B⁰"), =HYPERLINK("CSG0.html#group2B0", "2B⁰"), =HYPERLINK("CSG0.html#group3A0", "3A⁰"), =HYPERLINK("CSG0.html#group1A0", "1A⁰"), =HYPERLINK("CSG0.html#group6D0", "6D⁰")</f>
        <v/>
      </c>
      <c r="N2276">
        <f>HYPERLINK("CSG19.html#group96AH19", "96AH¹⁹"), =HYPERLINK("CSG20.html#group96Q20", "96Q²⁰"), =HYPERLINK("CSG21.html#group96AH21", "96AH²¹"), =HYPERLINK("CSG20.html#group96N20", "96N²⁰"), =HYPERLINK("CSG17.html#group96AA17", "96AA¹⁷"), =HYPERLINK("CSG20.html#group96AG20", "96AG²⁰"), =HYPERLINK("CSG20.html#group96Z20", "96Z²⁰"), =HYPERLINK("CSG19.html#group96AN19", "96AN¹⁹"), =HYPERLINK("CSG19.html#group96BB19", "96BB¹⁹"), =HYPERLINK("CSG19.html#group96AQ19", "96AQ¹⁹"), =HYPERLINK("CSG21.html#group96AY21", "96AY²¹"), =HYPERLINK("CSG20.html#group96AA20", "96AA²⁰"), =HYPERLINK("CSG21.html#group96AK21", "96AK²¹"), =HYPERLINK("CSG21.html#group96AP21", "96AP²¹"), =HYPERLINK("CSG20.html#group96S20", "96S²⁰"), =HYPERLINK("CSG23.html#group96V23", "96V²³"), =HYPERLINK("CSG20.html#group96V20", "96V²⁰"), =HYPERLINK("CSG23.html#group96L23", "96L²³"), =HYPERLINK("CSG20.html#group96AF20", "96AF²⁰")</f>
        <v/>
      </c>
    </row>
    <row r="2277">
      <c r="A2277" t="inlineStr">
        <is>
          <t>96L⁹</t>
        </is>
      </c>
      <c r="B2277" t="inlineStr"/>
      <c r="C2277" t="inlineStr">
        <is>
          <t>192</t>
        </is>
      </c>
      <c r="D2277" t="inlineStr">
        <is>
          <t>1</t>
        </is>
      </c>
      <c r="E2277" t="inlineStr">
        <is>
          <t>48</t>
        </is>
      </c>
      <c r="F2277" t="inlineStr">
        <is>
          <t>0</t>
        </is>
      </c>
      <c r="G2277" t="inlineStr">
        <is>
          <t>0</t>
        </is>
      </c>
      <c r="H2277" t="inlineStr">
        <is>
          <t>1⁴, 2², 3⁴, 6², 8¹, 24¹, 32¹, 96¹</t>
        </is>
      </c>
      <c r="I2277" t="n">
        <v>16</v>
      </c>
      <c r="J2277" t="inlineStr">
        <is>
          <t>1⁸, 2⁸, 4⁴, 8¹</t>
        </is>
      </c>
      <c r="K2277">
        <f>HYPERLINK("CSG3.html#group48J3", "48J³")</f>
        <v/>
      </c>
      <c r="L2277">
        <f>HYPERLINK("CSG17.html#group96AH17", "96AH¹⁷"), =HYPERLINK("CSG17.html#group96AJ17", "96AJ¹⁷"), =HYPERLINK("CSG17.html#group96AK17", "96AK¹⁷"), =HYPERLINK("CSG21.html#group96AZ21", "96AZ²¹"), =HYPERLINK("CSG21.html#group96BG21", "96BG²¹"), =HYPERLINK("CSG21.html#group96BI21", "96BI²¹"), =HYPERLINK("CSG21.html#group96BJ21", "96BJ²¹")</f>
        <v/>
      </c>
      <c r="M2277">
        <f>HYPERLINK("CSG0.html#group3B0", "3B⁰"), =HYPERLINK("CSG3.html#group48J3", "48J³"), =HYPERLINK("CSG0.html#group16C0", "16C⁰"), =HYPERLINK("CSG1.html#group24G1", "24G¹"), =HYPERLINK("CSG0.html#group1A0", "1A⁰"), =HYPERLINK("CSG0.html#group8C0", "8C⁰"), =HYPERLINK("CSG0.html#group2B0", "2B⁰"), =HYPERLINK("CSG0.html#group4B0", "4B⁰"), =HYPERLINK("CSG0.html#group6F0", "6F⁰"), =HYPERLINK("CSG0.html#group12E0", "12E⁰")</f>
        <v/>
      </c>
      <c r="N2277">
        <f>HYPERLINK("CSG17.html#group96AK17", "96AK¹⁷"), =HYPERLINK("CSG17.html#group96AH17", "96AH¹⁷"), =HYPERLINK("CSG17.html#group96AJ17", "96AJ¹⁷"), =HYPERLINK("CSG21.html#group96BG21", "96BG²¹"), =HYPERLINK("CSG21.html#group96BJ21", "96BJ²¹"), =HYPERLINK("CSG21.html#group96BI21", "96BI²¹"), =HYPERLINK("CSG21.html#group96AZ21", "96AZ²¹")</f>
        <v/>
      </c>
    </row>
    <row r="2278">
      <c r="A2278" t="inlineStr">
        <is>
          <t>96M⁹</t>
        </is>
      </c>
      <c r="B2278" t="inlineStr">
        <is>
          <t>Γ₀(96)</t>
        </is>
      </c>
      <c r="C2278" t="inlineStr">
        <is>
          <t>192</t>
        </is>
      </c>
      <c r="D2278" t="inlineStr">
        <is>
          <t>1</t>
        </is>
      </c>
      <c r="E2278" t="inlineStr">
        <is>
          <t>48</t>
        </is>
      </c>
      <c r="F2278" t="inlineStr">
        <is>
          <t>0</t>
        </is>
      </c>
      <c r="G2278" t="inlineStr">
        <is>
          <t>0</t>
        </is>
      </c>
      <c r="H2278" t="inlineStr">
        <is>
          <t>1⁴, 2², 3⁴, 6², 8¹, 24¹, 32¹, 96¹</t>
        </is>
      </c>
      <c r="I2278" t="n">
        <v>16</v>
      </c>
      <c r="J2278" t="inlineStr">
        <is>
          <t>1⁸, 2⁸, 4⁴, 8¹</t>
        </is>
      </c>
      <c r="K2278">
        <f>HYPERLINK("CSG1.html#group32A1", "32A¹"), =HYPERLINK("CSG3.html#group48J3", "48J³")</f>
        <v/>
      </c>
      <c r="L2278">
        <f>HYPERLINK("CSG17.html#group96AH17", "96AH¹⁷"), =HYPERLINK("CSG17.html#group96AI17", "96AI¹⁷"), =HYPERLINK("CSG17.html#group96AL17", "96AL¹⁷"), =HYPERLINK("CSG21.html#group96BA21", "96BA²¹"), =HYPERLINK("CSG21.html#group96BH21", "96BH²¹"), =HYPERLINK("CSG21.html#group96BJ21", "96BJ²¹"), =HYPERLINK("CSG21.html#group96BK21", "96BK²¹"), =HYPERLINK("CSG21.html#group192M21", "192M²¹"), =HYPERLINK("CSG21.html#group192N21", "192N²¹"), =HYPERLINK("CSG21.html#group192P21", "192P²¹"), =HYPERLINK("CSG21.html#group192O21", "192O²¹")</f>
        <v/>
      </c>
      <c r="M2278">
        <f>HYPERLINK("CSG0.html#group3B0", "3B⁰"), =HYPERLINK("CSG1.html#group32A1", "32A¹"), =HYPERLINK("CSG3.html#group48J3", "48J³"), =HYPERLINK("CSG0.html#group16C0", "16C⁰"), =HYPERLINK("CSG1.html#group24G1", "24G¹"), =HYPERLINK("CSG0.html#group1A0", "1A⁰"), =HYPERLINK("CSG0.html#group8C0", "8C⁰"), =HYPERLINK("CSG0.html#group2B0", "2B⁰"), =HYPERLINK("CSG0.html#group4B0", "4B⁰"), =HYPERLINK("CSG0.html#group6F0", "6F⁰"), =HYPERLINK("CSG0.html#group12E0", "12E⁰")</f>
        <v/>
      </c>
      <c r="N2278">
        <f>HYPERLINK("CSG21.html#group192P21", "192P²¹"), =HYPERLINK("CSG17.html#group96AI17", "96AI¹⁷"), =HYPERLINK("CSG21.html#group96BK21", "96BK²¹"), =HYPERLINK("CSG21.html#group96BH21", "96BH²¹"), =HYPERLINK("CSG21.html#group96BA21", "96BA²¹"), =HYPERLINK("CSG21.html#group96BJ21", "96BJ²¹"), =HYPERLINK("CSG21.html#group192N21", "192N²¹"), =HYPERLINK("CSG21.html#group192O21", "192O²¹"), =HYPERLINK("CSG21.html#group192M21", "192M²¹"), =HYPERLINK("CSG17.html#group96AL17", "96AL¹⁷"), =HYPERLINK("CSG17.html#group96AH17", "96AH¹⁷")</f>
        <v/>
      </c>
    </row>
    <row r="2279">
      <c r="A2279" t="inlineStr">
        <is>
          <t>99A⁹</t>
        </is>
      </c>
      <c r="B2279" t="inlineStr"/>
      <c r="C2279" t="inlineStr">
        <is>
          <t>108</t>
        </is>
      </c>
      <c r="D2279" t="inlineStr">
        <is>
          <t>1</t>
        </is>
      </c>
      <c r="E2279" t="inlineStr">
        <is>
          <t>108</t>
        </is>
      </c>
      <c r="F2279" t="inlineStr">
        <is>
          <t>0</t>
        </is>
      </c>
      <c r="G2279" t="inlineStr">
        <is>
          <t>0</t>
        </is>
      </c>
      <c r="H2279" t="inlineStr">
        <is>
          <t>9¹, 99¹</t>
        </is>
      </c>
      <c r="I2279" t="n">
        <v>2</v>
      </c>
      <c r="J2279" t="inlineStr">
        <is>
          <t>1², 2², 6², 10¹, 20¹, 60¹</t>
        </is>
      </c>
      <c r="K2279">
        <f>HYPERLINK("CSG0.html#group9A0", "9A⁰"), =HYPERLINK("CSG3.html#group33A3", "33A³")</f>
        <v/>
      </c>
      <c r="L2279">
        <f>HYPERLINK("CSG17.html#group99A17", "99A¹⁷"), =HYPERLINK("CSG17.html#group99B17", "99B¹⁷"), =HYPERLINK("CSG18.html#group198A18", "198A¹⁸"), =HYPERLINK("CSG18.html#group198B18", "198B¹⁸"), =HYPERLINK("CSG18.html#group198D18", "198D¹⁸")</f>
        <v/>
      </c>
      <c r="M2279">
        <f>HYPERLINK("CSG0.html#group3A0", "3A⁰"), =HYPERLINK("CSG3.html#group33A3", "33A³"), =HYPERLINK("CSG0.html#group1A0", "1A⁰"), =HYPERLINK("CSG1.html#group11A1", "11A¹"), =HYPERLINK("CSG0.html#group9A0", "9A⁰")</f>
        <v/>
      </c>
      <c r="N2279">
        <f>HYPERLINK("CSG18.html#group198A18", "198A¹⁸"), =HYPERLINK("CSG17.html#group99A17", "99A¹⁷"), =HYPERLINK("CSG17.html#group99B17", "99B¹⁷"), =HYPERLINK("CSG18.html#group198B18", "198B¹⁸"), =HYPERLINK("CSG18.html#group198D18", "198D¹⁸")</f>
        <v/>
      </c>
    </row>
    <row r="2280">
      <c r="A2280" t="inlineStr">
        <is>
          <t>99B⁹</t>
        </is>
      </c>
      <c r="B2280" t="inlineStr"/>
      <c r="C2280" t="inlineStr">
        <is>
          <t>132</t>
        </is>
      </c>
      <c r="D2280" t="inlineStr">
        <is>
          <t>2</t>
        </is>
      </c>
      <c r="E2280" t="inlineStr">
        <is>
          <t>44</t>
        </is>
      </c>
      <c r="F2280" t="inlineStr">
        <is>
          <t>0</t>
        </is>
      </c>
      <c r="G2280" t="inlineStr">
        <is>
          <t>6</t>
        </is>
      </c>
      <c r="H2280" t="inlineStr">
        <is>
          <t>33¹, 99¹</t>
        </is>
      </c>
      <c r="I2280" t="n">
        <v>2</v>
      </c>
      <c r="J2280" t="inlineStr">
        <is>
          <t>2², 4¹, 10⁴, 20²</t>
        </is>
      </c>
      <c r="K2280">
        <f>HYPERLINK("CSG0.html#group9C0", "9C⁰"), =HYPERLINK("CSG3.html#group33B3", "33B³")</f>
        <v/>
      </c>
      <c r="L2280">
        <f>HYPERLINK("CSG18.html#group198E18", "198E¹⁸")</f>
        <v/>
      </c>
      <c r="M2280">
        <f>HYPERLINK("CSG0.html#group11A0", "11A⁰"), =HYPERLINK("CSG0.html#group3B0", "3B⁰"), =HYPERLINK("CSG0.html#group1A0", "1A⁰"), =HYPERLINK("CSG0.html#group9C0", "9C⁰"), =HYPERLINK("CSG3.html#group33B3", "33B³")</f>
        <v/>
      </c>
      <c r="N2280">
        <f>HYPERLINK("CSG18.html#group198E18", "198E¹⁸")</f>
        <v/>
      </c>
    </row>
    <row r="2281">
      <c r="A2281" t="inlineStr">
        <is>
          <t>99C⁹</t>
        </is>
      </c>
      <c r="B2281" t="inlineStr">
        <is>
          <t>Γ₀(99)</t>
        </is>
      </c>
      <c r="C2281" t="inlineStr">
        <is>
          <t>144</t>
        </is>
      </c>
      <c r="D2281" t="inlineStr">
        <is>
          <t>1</t>
        </is>
      </c>
      <c r="E2281" t="inlineStr">
        <is>
          <t>48</t>
        </is>
      </c>
      <c r="F2281" t="inlineStr">
        <is>
          <t>0</t>
        </is>
      </c>
      <c r="G2281" t="inlineStr">
        <is>
          <t>0</t>
        </is>
      </c>
      <c r="H2281" t="inlineStr">
        <is>
          <t>1³, 9¹, 11³, 99¹</t>
        </is>
      </c>
      <c r="I2281" t="n">
        <v>8</v>
      </c>
      <c r="J2281" t="inlineStr">
        <is>
          <t>1⁴, 2², 10², 20¹</t>
        </is>
      </c>
      <c r="K2281">
        <f>HYPERLINK("CSG0.html#group9B0", "9B⁰"), =HYPERLINK("CSG3.html#group33C3", "33C³")</f>
        <v/>
      </c>
      <c r="L2281">
        <f>HYPERLINK("CSG17.html#group99C17", "99C¹⁷"), =HYPERLINK("CSG21.html#group198B21", "198B²¹"), =HYPERLINK("CSG21.html#group198C21", "198C²¹")</f>
        <v/>
      </c>
      <c r="M2281">
        <f>HYPERLINK("CSG0.html#group3B0", "3B⁰"), =HYPERLINK("CSG0.html#group9B0", "9B⁰"), =HYPERLINK("CSG0.html#group1A0", "1A⁰"), =HYPERLINK("CSG1.html#group11A1", "11A¹"), =HYPERLINK("CSG3.html#group33C3", "33C³")</f>
        <v/>
      </c>
      <c r="N2281">
        <f>HYPERLINK("CSG21.html#group198C21", "198C²¹"), =HYPERLINK("CSG17.html#group99C17", "99C¹⁷"), =HYPERLINK("CSG21.html#group198B21", "198B²¹")</f>
        <v/>
      </c>
    </row>
    <row r="2282">
      <c r="A2282" t="inlineStr">
        <is>
          <t>100A⁹</t>
        </is>
      </c>
      <c r="B2282" t="inlineStr"/>
      <c r="C2282" t="inlineStr">
        <is>
          <t>120</t>
        </is>
      </c>
      <c r="D2282" t="inlineStr">
        <is>
          <t>1</t>
        </is>
      </c>
      <c r="E2282" t="inlineStr">
        <is>
          <t>120</t>
        </is>
      </c>
      <c r="F2282" t="inlineStr">
        <is>
          <t>4</t>
        </is>
      </c>
      <c r="G2282" t="inlineStr">
        <is>
          <t>0</t>
        </is>
      </c>
      <c r="H2282" t="inlineStr">
        <is>
          <t>20¹, 100¹</t>
        </is>
      </c>
      <c r="I2282" t="n">
        <v>2</v>
      </c>
      <c r="J2282" t="inlineStr">
        <is>
          <t>4⁴, 8⁸, 40⁴</t>
        </is>
      </c>
      <c r="K2282">
        <f>HYPERLINK("CSG1.html#group20B1", "20B¹"), =HYPERLINK("CSG2.html#group25A2", "25A²")</f>
        <v/>
      </c>
      <c r="L2282">
        <f>HYPERLINK("CSG17.html#group100A17", "100A¹⁷"), =HYPERLINK("CSG19.html#group100E19", "100E¹⁹"), =HYPERLINK("CSG19.html#group100I19", "100I¹⁹"), =HYPERLINK("CSG19.html#group200E19", "200E¹⁹"), =HYPERLINK("CSG19.html#group200A19", "200A¹⁹")</f>
        <v/>
      </c>
      <c r="M2282">
        <f>HYPERLINK("CSG0.html#group5B0", "5B⁰"), =HYPERLINK("CSG2.html#group25A2", "25A²"), =HYPERLINK("CSG0.html#group1A0", "1A⁰"), =HYPERLINK("CSG0.html#group4A0", "4A⁰"), =HYPERLINK("CSG1.html#group20B1", "20B¹")</f>
        <v/>
      </c>
      <c r="N2282">
        <f>HYPERLINK("CSG19.html#group200A19", "200A¹⁹"), =HYPERLINK("CSG19.html#group100E19", "100E¹⁹"), =HYPERLINK("CSG19.html#group100I19", "100I¹⁹"), =HYPERLINK("CSG17.html#group100A17", "100A¹⁷"), =HYPERLINK("CSG19.html#group200E19", "200E¹⁹")</f>
        <v/>
      </c>
    </row>
    <row r="2283">
      <c r="A2283" t="inlineStr">
        <is>
          <t>100B⁹</t>
        </is>
      </c>
      <c r="B2283" t="inlineStr"/>
      <c r="C2283" t="inlineStr">
        <is>
          <t>120</t>
        </is>
      </c>
      <c r="D2283" t="inlineStr">
        <is>
          <t>1</t>
        </is>
      </c>
      <c r="E2283" t="inlineStr">
        <is>
          <t>120</t>
        </is>
      </c>
      <c r="F2283" t="inlineStr">
        <is>
          <t>4</t>
        </is>
      </c>
      <c r="G2283" t="inlineStr">
        <is>
          <t>0</t>
        </is>
      </c>
      <c r="H2283" t="inlineStr">
        <is>
          <t>20¹, 100¹</t>
        </is>
      </c>
      <c r="I2283" t="n">
        <v>2</v>
      </c>
      <c r="J2283" t="inlineStr">
        <is>
          <t>4⁴, 8⁸, 40⁴</t>
        </is>
      </c>
      <c r="K2283">
        <f>HYPERLINK("CSG1.html#group20B1", "20B¹"), =HYPERLINK("CSG2.html#group25B2", "25B²")</f>
        <v/>
      </c>
      <c r="L2283">
        <f>HYPERLINK("CSG17.html#group100B17", "100B¹⁷"), =HYPERLINK("CSG19.html#group100F19", "100F¹⁹"), =HYPERLINK("CSG19.html#group100J19", "100J¹⁹"), =HYPERLINK("CSG19.html#group200F19", "200F¹⁹"), =HYPERLINK("CSG19.html#group200B19", "200B¹⁹")</f>
        <v/>
      </c>
      <c r="M2283">
        <f>HYPERLINK("CSG0.html#group5B0", "5B⁰"), =HYPERLINK("CSG0.html#group1A0", "1A⁰"), =HYPERLINK("CSG0.html#group4A0", "4A⁰"), =HYPERLINK("CSG1.html#group20B1", "20B¹"), =HYPERLINK("CSG2.html#group25B2", "25B²")</f>
        <v/>
      </c>
      <c r="N2283">
        <f>HYPERLINK("CSG19.html#group100F19", "100F¹⁹"), =HYPERLINK("CSG19.html#group200B19", "200B¹⁹"), =HYPERLINK("CSG17.html#group100B17", "100B¹⁷"), =HYPERLINK("CSG19.html#group200F19", "200F¹⁹"), =HYPERLINK("CSG19.html#group100J19", "100J¹⁹")</f>
        <v/>
      </c>
    </row>
    <row r="2284">
      <c r="A2284" t="inlineStr">
        <is>
          <t>100C⁹</t>
        </is>
      </c>
      <c r="B2284" t="inlineStr"/>
      <c r="C2284" t="inlineStr">
        <is>
          <t>120</t>
        </is>
      </c>
      <c r="D2284" t="inlineStr">
        <is>
          <t>1</t>
        </is>
      </c>
      <c r="E2284" t="inlineStr">
        <is>
          <t>120</t>
        </is>
      </c>
      <c r="F2284" t="inlineStr">
        <is>
          <t>4</t>
        </is>
      </c>
      <c r="G2284" t="inlineStr">
        <is>
          <t>0</t>
        </is>
      </c>
      <c r="H2284" t="inlineStr">
        <is>
          <t>20¹, 100¹</t>
        </is>
      </c>
      <c r="I2284" t="n">
        <v>2</v>
      </c>
      <c r="J2284" t="inlineStr">
        <is>
          <t>4⁴, 8⁸, 40⁴</t>
        </is>
      </c>
      <c r="K2284">
        <f>HYPERLINK("CSG1.html#group20B1", "20B¹"), =HYPERLINK("CSG2.html#group25C2", "25C²")</f>
        <v/>
      </c>
      <c r="L2284">
        <f>HYPERLINK("CSG17.html#group100C17", "100C¹⁷"), =HYPERLINK("CSG19.html#group100G19", "100G¹⁹"), =HYPERLINK("CSG19.html#group100K19", "100K¹⁹"), =HYPERLINK("CSG19.html#group200G19", "200G¹⁹"), =HYPERLINK("CSG19.html#group200C19", "200C¹⁹")</f>
        <v/>
      </c>
      <c r="M2284">
        <f>HYPERLINK("CSG0.html#group5B0", "5B⁰"), =HYPERLINK("CSG0.html#group4A0", "4A⁰"), =HYPERLINK("CSG0.html#group1A0", "1A⁰"), =HYPERLINK("CSG2.html#group25C2", "25C²"), =HYPERLINK("CSG1.html#group20B1", "20B¹")</f>
        <v/>
      </c>
      <c r="N2284">
        <f>HYPERLINK("CSG19.html#group200G19", "200G¹⁹"), =HYPERLINK("CSG17.html#group100C17", "100C¹⁷"), =HYPERLINK("CSG19.html#group100G19", "100G¹⁹"), =HYPERLINK("CSG19.html#group200C19", "200C¹⁹"), =HYPERLINK("CSG19.html#group100K19", "100K¹⁹")</f>
        <v/>
      </c>
    </row>
    <row r="2285">
      <c r="A2285" t="inlineStr">
        <is>
          <t>100D⁹</t>
        </is>
      </c>
      <c r="B2285" t="inlineStr"/>
      <c r="C2285" t="inlineStr">
        <is>
          <t>120</t>
        </is>
      </c>
      <c r="D2285" t="inlineStr">
        <is>
          <t>1</t>
        </is>
      </c>
      <c r="E2285" t="inlineStr">
        <is>
          <t>120</t>
        </is>
      </c>
      <c r="F2285" t="inlineStr">
        <is>
          <t>4</t>
        </is>
      </c>
      <c r="G2285" t="inlineStr">
        <is>
          <t>0</t>
        </is>
      </c>
      <c r="H2285" t="inlineStr">
        <is>
          <t>20¹, 100¹</t>
        </is>
      </c>
      <c r="I2285" t="n">
        <v>2</v>
      </c>
      <c r="J2285" t="inlineStr">
        <is>
          <t>4⁴, 8⁸, 40⁴</t>
        </is>
      </c>
      <c r="K2285">
        <f>HYPERLINK("CSG1.html#group20B1", "20B¹"), =HYPERLINK("CSG2.html#group25D2", "25D²")</f>
        <v/>
      </c>
      <c r="L2285">
        <f>HYPERLINK("CSG17.html#group100D17", "100D¹⁷"), =HYPERLINK("CSG19.html#group100H19", "100H¹⁹"), =HYPERLINK("CSG19.html#group100L19", "100L¹⁹"), =HYPERLINK("CSG19.html#group200H19", "200H¹⁹"), =HYPERLINK("CSG19.html#group200D19", "200D¹⁹")</f>
        <v/>
      </c>
      <c r="M2285">
        <f>HYPERLINK("CSG0.html#group5B0", "5B⁰"), =HYPERLINK("CSG0.html#group1A0", "1A⁰"), =HYPERLINK("CSG0.html#group4A0", "4A⁰"), =HYPERLINK("CSG1.html#group20B1", "20B¹"), =HYPERLINK("CSG2.html#group25D2", "25D²")</f>
        <v/>
      </c>
      <c r="N2285">
        <f>HYPERLINK("CSG19.html#group200H19", "200H¹⁹"), =HYPERLINK("CSG19.html#group200D19", "200D¹⁹"), =HYPERLINK("CSG19.html#group100L19", "100L¹⁹"), =HYPERLINK("CSG19.html#group100H19", "100H¹⁹"), =HYPERLINK("CSG17.html#group100D17", "100D¹⁷")</f>
        <v/>
      </c>
    </row>
    <row r="2286">
      <c r="A2286" t="inlineStr">
        <is>
          <t>100E⁹</t>
        </is>
      </c>
      <c r="B2286" t="inlineStr"/>
      <c r="C2286" t="inlineStr">
        <is>
          <t>120</t>
        </is>
      </c>
      <c r="D2286" t="inlineStr">
        <is>
          <t>2</t>
        </is>
      </c>
      <c r="E2286" t="inlineStr">
        <is>
          <t>30</t>
        </is>
      </c>
      <c r="F2286" t="inlineStr">
        <is>
          <t>4</t>
        </is>
      </c>
      <c r="G2286" t="inlineStr">
        <is>
          <t>0</t>
        </is>
      </c>
      <c r="H2286" t="inlineStr">
        <is>
          <t>20¹, 100¹</t>
        </is>
      </c>
      <c r="I2286" t="n">
        <v>2</v>
      </c>
      <c r="J2286" t="inlineStr">
        <is>
          <t>4², 8⁴, 40²</t>
        </is>
      </c>
      <c r="K2286">
        <f>HYPERLINK("CSG1.html#group20C1", "20C¹"), =HYPERLINK("CSG4.html#group50A4", "50A⁴")</f>
        <v/>
      </c>
      <c r="L2286">
        <f>HYPERLINK("CSG19.html#group100A19", "100A¹⁹")</f>
        <v/>
      </c>
      <c r="M2286">
        <f>HYPERLINK("CSG0.html#group5B0", "5B⁰"), =HYPERLINK("CSG1.html#group20C1", "20C¹"), =HYPERLINK("CSG2.html#group25A2", "25A²"), =HYPERLINK("CSG0.html#group1A0", "1A⁰"), =HYPERLINK("CSG4.html#group50A4", "50A⁴"), =HYPERLINK("CSG0.html#group10B0", "10B⁰")</f>
        <v/>
      </c>
      <c r="N2286">
        <f>HYPERLINK("CSG19.html#group100A19", "100A¹⁹")</f>
        <v/>
      </c>
    </row>
    <row r="2287">
      <c r="A2287" t="inlineStr">
        <is>
          <t>100F⁹</t>
        </is>
      </c>
      <c r="B2287" t="inlineStr"/>
      <c r="C2287" t="inlineStr">
        <is>
          <t>120</t>
        </is>
      </c>
      <c r="D2287" t="inlineStr">
        <is>
          <t>2</t>
        </is>
      </c>
      <c r="E2287" t="inlineStr">
        <is>
          <t>30</t>
        </is>
      </c>
      <c r="F2287" t="inlineStr">
        <is>
          <t>4</t>
        </is>
      </c>
      <c r="G2287" t="inlineStr">
        <is>
          <t>0</t>
        </is>
      </c>
      <c r="H2287" t="inlineStr">
        <is>
          <t>20¹, 100¹</t>
        </is>
      </c>
      <c r="I2287" t="n">
        <v>2</v>
      </c>
      <c r="J2287" t="inlineStr">
        <is>
          <t>4², 8⁴, 40²</t>
        </is>
      </c>
      <c r="K2287">
        <f>HYPERLINK("CSG1.html#group20C1", "20C¹"), =HYPERLINK("CSG4.html#group50B4", "50B⁴")</f>
        <v/>
      </c>
      <c r="L2287">
        <f>HYPERLINK("CSG19.html#group100B19", "100B¹⁹")</f>
        <v/>
      </c>
      <c r="M2287">
        <f>HYPERLINK("CSG0.html#group5B0", "5B⁰"), =HYPERLINK("CSG1.html#group20C1", "20C¹"), =HYPERLINK("CSG4.html#group50B4", "50B⁴"), =HYPERLINK("CSG0.html#group1A0", "1A⁰"), =HYPERLINK("CSG2.html#group25B2", "25B²"), =HYPERLINK("CSG0.html#group10B0", "10B⁰")</f>
        <v/>
      </c>
      <c r="N2287">
        <f>HYPERLINK("CSG19.html#group100B19", "100B¹⁹")</f>
        <v/>
      </c>
    </row>
    <row r="2288">
      <c r="A2288" t="inlineStr">
        <is>
          <t>100G⁹</t>
        </is>
      </c>
      <c r="B2288" t="inlineStr"/>
      <c r="C2288" t="inlineStr">
        <is>
          <t>120</t>
        </is>
      </c>
      <c r="D2288" t="inlineStr">
        <is>
          <t>2</t>
        </is>
      </c>
      <c r="E2288" t="inlineStr">
        <is>
          <t>30</t>
        </is>
      </c>
      <c r="F2288" t="inlineStr">
        <is>
          <t>4</t>
        </is>
      </c>
      <c r="G2288" t="inlineStr">
        <is>
          <t>0</t>
        </is>
      </c>
      <c r="H2288" t="inlineStr">
        <is>
          <t>20¹, 100¹</t>
        </is>
      </c>
      <c r="I2288" t="n">
        <v>2</v>
      </c>
      <c r="J2288" t="inlineStr">
        <is>
          <t>4², 8⁴, 40²</t>
        </is>
      </c>
      <c r="K2288">
        <f>HYPERLINK("CSG1.html#group20C1", "20C¹"), =HYPERLINK("CSG4.html#group50C4", "50C⁴")</f>
        <v/>
      </c>
      <c r="L2288">
        <f>HYPERLINK("CSG19.html#group100C19", "100C¹⁹")</f>
        <v/>
      </c>
      <c r="M2288">
        <f>HYPERLINK("CSG0.html#group5B0", "5B⁰"), =HYPERLINK("CSG1.html#group20C1", "20C¹"), =HYPERLINK("CSG4.html#group50C4", "50C⁴"), =HYPERLINK("CSG0.html#group1A0", "1A⁰"), =HYPERLINK("CSG2.html#group25C2", "25C²"), =HYPERLINK("CSG0.html#group10B0", "10B⁰")</f>
        <v/>
      </c>
      <c r="N2288">
        <f>HYPERLINK("CSG19.html#group100C19", "100C¹⁹")</f>
        <v/>
      </c>
    </row>
    <row r="2289">
      <c r="A2289" t="inlineStr">
        <is>
          <t>100H⁹</t>
        </is>
      </c>
      <c r="B2289" t="inlineStr"/>
      <c r="C2289" t="inlineStr">
        <is>
          <t>120</t>
        </is>
      </c>
      <c r="D2289" t="inlineStr">
        <is>
          <t>2</t>
        </is>
      </c>
      <c r="E2289" t="inlineStr">
        <is>
          <t>30</t>
        </is>
      </c>
      <c r="F2289" t="inlineStr">
        <is>
          <t>4</t>
        </is>
      </c>
      <c r="G2289" t="inlineStr">
        <is>
          <t>0</t>
        </is>
      </c>
      <c r="H2289" t="inlineStr">
        <is>
          <t>20¹, 100¹</t>
        </is>
      </c>
      <c r="I2289" t="n">
        <v>2</v>
      </c>
      <c r="J2289" t="inlineStr">
        <is>
          <t>4², 8⁴, 40²</t>
        </is>
      </c>
      <c r="K2289">
        <f>HYPERLINK("CSG1.html#group20C1", "20C¹"), =HYPERLINK("CSG4.html#group50D4", "50D⁴")</f>
        <v/>
      </c>
      <c r="L2289">
        <f>HYPERLINK("CSG19.html#group100D19", "100D¹⁹")</f>
        <v/>
      </c>
      <c r="M2289">
        <f>HYPERLINK("CSG0.html#group5B0", "5B⁰"), =HYPERLINK("CSG1.html#group20C1", "20C¹"), =HYPERLINK("CSG4.html#group50D4", "50D⁴"), =HYPERLINK("CSG0.html#group1A0", "1A⁰"), =HYPERLINK("CSG2.html#group25D2", "25D²"), =HYPERLINK("CSG0.html#group10B0", "10B⁰")</f>
        <v/>
      </c>
      <c r="N2289">
        <f>HYPERLINK("CSG19.html#group100D19", "100D¹⁹")</f>
        <v/>
      </c>
    </row>
    <row r="2290">
      <c r="A2290" t="inlineStr">
        <is>
          <t>100I⁹</t>
        </is>
      </c>
      <c r="B2290" t="inlineStr"/>
      <c r="C2290" t="inlineStr">
        <is>
          <t>180</t>
        </is>
      </c>
      <c r="D2290" t="inlineStr">
        <is>
          <t>1</t>
        </is>
      </c>
      <c r="E2290" t="inlineStr">
        <is>
          <t>90</t>
        </is>
      </c>
      <c r="F2290" t="inlineStr">
        <is>
          <t>4</t>
        </is>
      </c>
      <c r="G2290" t="inlineStr">
        <is>
          <t>0</t>
        </is>
      </c>
      <c r="H2290" t="inlineStr">
        <is>
          <t>2⁵, 4⁵, 50¹, 100¹</t>
        </is>
      </c>
      <c r="I2290" t="n">
        <v>12</v>
      </c>
      <c r="J2290" t="inlineStr">
        <is>
          <t>1⁶, 4⁶, 20³</t>
        </is>
      </c>
      <c r="K2290">
        <f>HYPERLINK("CSG1.html#group20E1", "20E¹"), =HYPERLINK("CSG2.html#group50B2", "50B²")</f>
        <v/>
      </c>
      <c r="L2290">
        <f>HYPERLINK("CSG17.html#group100E17", "100E¹⁷"), =HYPERLINK("CSG19.html#group100N19", "100N¹⁹"), =HYPERLINK("CSG19.html#group100Q19", "100Q¹⁹"), =HYPERLINK("CSG21.html#group100A21", "100A²¹"), =HYPERLINK("CSG21.html#group100B21", "100B²¹"), =HYPERLINK("CSG21.html#group200B21", "200B²¹"), =HYPERLINK("CSG21.html#group200A21", "200A²¹"), =HYPERLINK("CSG23.html#group200B23", "200B²³"), =HYPERLINK("CSG23.html#group200A23", "200A²³")</f>
        <v/>
      </c>
      <c r="M2290">
        <f>HYPERLINK("CSG1.html#group20E1", "20E¹"), =HYPERLINK("CSG0.html#group4C0", "4C⁰"), =HYPERLINK("CSG0.html#group5B0", "5B⁰"), =HYPERLINK("CSG0.html#group10C0", "10C⁰"), =HYPERLINK("CSG0.html#group25A0", "25A⁰"), =HYPERLINK("CSG0.html#group2B0", "2B⁰"), =HYPERLINK("CSG2.html#group50B2", "50B²"), =HYPERLINK("CSG0.html#group1A0", "1A⁰")</f>
        <v/>
      </c>
      <c r="N2290">
        <f>HYPERLINK("CSG21.html#group100B21", "100B²¹"), =HYPERLINK("CSG23.html#group200A23", "200A²³"), =HYPERLINK("CSG23.html#group200B23", "200B²³"), =HYPERLINK("CSG21.html#group100A21", "100A²¹"), =HYPERLINK("CSG21.html#group200B21", "200B²¹"), =HYPERLINK("CSG17.html#group100E17", "100E¹⁷"), =HYPERLINK("CSG21.html#group200A21", "200A²¹"), =HYPERLINK("CSG19.html#group100Q19", "100Q¹⁹"), =HYPERLINK("CSG19.html#group100N19", "100N¹⁹")</f>
        <v/>
      </c>
    </row>
    <row r="2291">
      <c r="A2291" t="inlineStr">
        <is>
          <t>100J⁹</t>
        </is>
      </c>
      <c r="B2291" t="inlineStr"/>
      <c r="C2291" t="inlineStr">
        <is>
          <t>200</t>
        </is>
      </c>
      <c r="D2291" t="inlineStr">
        <is>
          <t>2</t>
        </is>
      </c>
      <c r="E2291" t="inlineStr">
        <is>
          <t>50</t>
        </is>
      </c>
      <c r="F2291" t="inlineStr">
        <is>
          <t>4</t>
        </is>
      </c>
      <c r="G2291" t="inlineStr">
        <is>
          <t>20</t>
        </is>
      </c>
      <c r="H2291" t="inlineStr">
        <is>
          <t>100²</t>
        </is>
      </c>
      <c r="I2291" t="n">
        <v>2</v>
      </c>
      <c r="J2291" t="inlineStr">
        <is>
          <t>4¹, 8², 40²</t>
        </is>
      </c>
      <c r="K2291">
        <f>HYPERLINK("CSG1.html#group20F1", "20F¹"), =HYPERLINK("CSG4.html#group50E4", "50E⁴")</f>
        <v/>
      </c>
      <c r="L2291">
        <f>HYPERLINK("CSG19.html#group100R19", "100R¹⁹")</f>
        <v/>
      </c>
      <c r="M2291">
        <f>HYPERLINK("CSG4.html#group50E4", "50E⁴"), =HYPERLINK("CSG0.html#group1A0", "1A⁰"), =HYPERLINK("CSG0.html#group10D0", "10D⁰"), =HYPERLINK("CSG2.html#group25E2", "25E²"), =HYPERLINK("CSG0.html#group5C0", "5C⁰"), =HYPERLINK("CSG1.html#group20F1", "20F¹")</f>
        <v/>
      </c>
      <c r="N2291">
        <f>HYPERLINK("CSG19.html#group100R19", "100R¹⁹")</f>
        <v/>
      </c>
    </row>
    <row r="2292">
      <c r="A2292" t="inlineStr">
        <is>
          <t>102A⁹</t>
        </is>
      </c>
      <c r="B2292" t="inlineStr"/>
      <c r="C2292" t="inlineStr">
        <is>
          <t>108</t>
        </is>
      </c>
      <c r="D2292" t="inlineStr">
        <is>
          <t>1</t>
        </is>
      </c>
      <c r="E2292" t="inlineStr">
        <is>
          <t>18</t>
        </is>
      </c>
      <c r="F2292" t="inlineStr">
        <is>
          <t>0</t>
        </is>
      </c>
      <c r="G2292" t="inlineStr">
        <is>
          <t>0</t>
        </is>
      </c>
      <c r="H2292" t="inlineStr">
        <is>
          <t>6¹, 102¹</t>
        </is>
      </c>
      <c r="I2292" t="n">
        <v>2</v>
      </c>
      <c r="J2292" t="inlineStr">
        <is>
          <t>1², 16¹</t>
        </is>
      </c>
      <c r="K2292">
        <f>HYPERLINK("CSG3.html#group34A3", "34A³"), =HYPERLINK("CSG3.html#group51A3", "51A³")</f>
        <v/>
      </c>
      <c r="L2292">
        <f>HYPERLINK("CSG17.html#group102B17", "102B¹⁷"), =HYPERLINK("CSG17.html#group102F17", "102F¹⁷"), =HYPERLINK("CSG17.html#group102E17", "102E¹⁷")</f>
        <v/>
      </c>
      <c r="M2292">
        <f>HYPERLINK("CSG0.html#group1A0", "1A⁰"), =HYPERLINK("CSG1.html#group17A1", "17A¹"), =HYPERLINK("CSG0.html#group3A0", "3A⁰"), =HYPERLINK("CSG3.html#group51A3", "51A³"), =HYPERLINK("CSG3.html#group34A3", "34A³")</f>
        <v/>
      </c>
      <c r="N2292">
        <f>HYPERLINK("CSG17.html#group102E17", "102E¹⁷"), =HYPERLINK("CSG17.html#group102F17", "102F¹⁷"), =HYPERLINK("CSG17.html#group102B17", "102B¹⁷")</f>
        <v/>
      </c>
    </row>
    <row r="2293">
      <c r="A2293" t="inlineStr">
        <is>
          <t>102B⁹</t>
        </is>
      </c>
      <c r="B2293" t="inlineStr"/>
      <c r="C2293" t="inlineStr">
        <is>
          <t>108</t>
        </is>
      </c>
      <c r="D2293" t="inlineStr">
        <is>
          <t>1</t>
        </is>
      </c>
      <c r="E2293" t="inlineStr">
        <is>
          <t>18</t>
        </is>
      </c>
      <c r="F2293" t="inlineStr">
        <is>
          <t>0</t>
        </is>
      </c>
      <c r="G2293" t="inlineStr">
        <is>
          <t>0</t>
        </is>
      </c>
      <c r="H2293" t="inlineStr">
        <is>
          <t>6¹, 102¹</t>
        </is>
      </c>
      <c r="I2293" t="n">
        <v>2</v>
      </c>
      <c r="J2293" t="inlineStr">
        <is>
          <t>1², 16¹</t>
        </is>
      </c>
      <c r="K2293">
        <f>HYPERLINK("CSG1.html#group6A1", "6A¹"), =HYPERLINK("CSG3.html#group34B3", "34B³"), =HYPERLINK("CSG3.html#group51A3", "51A³")</f>
        <v/>
      </c>
      <c r="L2293">
        <f>HYPERLINK("CSG17.html#group102B17", "102B¹⁷"), =HYPERLINK("CSG17.html#group102D17", "102D¹⁷"), =HYPERLINK("CSG17.html#group102G17", "102G¹⁷")</f>
        <v/>
      </c>
      <c r="M2293">
        <f>HYPERLINK("CSG0.html#group2A0", "2A⁰"), =HYPERLINK("CSG3.html#group51A3", "51A³"), =HYPERLINK("CSG1.html#group17A1", "17A¹"), =HYPERLINK("CSG1.html#group6A1", "6A¹"), =HYPERLINK("CSG0.html#group3A0", "3A⁰"), =HYPERLINK("CSG3.html#group34B3", "34B³"), =HYPERLINK("CSG0.html#group1A0", "1A⁰")</f>
        <v/>
      </c>
      <c r="N2293">
        <f>HYPERLINK("CSG17.html#group102G17", "102G¹⁷"), =HYPERLINK("CSG17.html#group102D17", "102D¹⁷"), =HYPERLINK("CSG17.html#group102B17", "102B¹⁷")</f>
        <v/>
      </c>
    </row>
    <row r="2294">
      <c r="A2294" t="inlineStr">
        <is>
          <t>102C⁹</t>
        </is>
      </c>
      <c r="B2294" t="inlineStr"/>
      <c r="C2294" t="inlineStr">
        <is>
          <t>108</t>
        </is>
      </c>
      <c r="D2294" t="inlineStr">
        <is>
          <t>1</t>
        </is>
      </c>
      <c r="E2294" t="inlineStr">
        <is>
          <t>36</t>
        </is>
      </c>
      <c r="F2294" t="inlineStr">
        <is>
          <t>0</t>
        </is>
      </c>
      <c r="G2294" t="inlineStr">
        <is>
          <t>0</t>
        </is>
      </c>
      <c r="H2294" t="inlineStr">
        <is>
          <t>6¹, 102¹</t>
        </is>
      </c>
      <c r="I2294" t="n">
        <v>2</v>
      </c>
      <c r="J2294" t="inlineStr">
        <is>
          <t>2², 32¹</t>
        </is>
      </c>
      <c r="K2294">
        <f>HYPERLINK("CSG0.html#group6A0", "6A⁰"), =HYPERLINK("CSG3.html#group34B3", "34B³")</f>
        <v/>
      </c>
      <c r="L2294">
        <f>HYPERLINK("CSG17.html#group102C17", "102C¹⁷")</f>
        <v/>
      </c>
      <c r="M2294">
        <f>HYPERLINK("CSG0.html#group2A0", "2A⁰"), =HYPERLINK("CSG1.html#group17A1", "17A¹"), =HYPERLINK("CSG0.html#group6A0", "6A⁰"), =HYPERLINK("CSG3.html#group34B3", "34B³"), =HYPERLINK("CSG0.html#group1A0", "1A⁰")</f>
        <v/>
      </c>
      <c r="N2294">
        <f>HYPERLINK("CSG17.html#group102C17", "102C¹⁷")</f>
        <v/>
      </c>
    </row>
    <row r="2295">
      <c r="A2295" t="inlineStr">
        <is>
          <t>104A⁹</t>
        </is>
      </c>
      <c r="B2295" t="inlineStr"/>
      <c r="C2295" t="inlineStr">
        <is>
          <t>168</t>
        </is>
      </c>
      <c r="D2295" t="inlineStr">
        <is>
          <t>2</t>
        </is>
      </c>
      <c r="E2295" t="inlineStr">
        <is>
          <t>42</t>
        </is>
      </c>
      <c r="F2295" t="inlineStr">
        <is>
          <t>4</t>
        </is>
      </c>
      <c r="G2295" t="inlineStr">
        <is>
          <t>0</t>
        </is>
      </c>
      <c r="H2295" t="inlineStr">
        <is>
          <t>1⁴, 8¹, 13⁴, 104¹</t>
        </is>
      </c>
      <c r="I2295" t="n">
        <v>10</v>
      </c>
      <c r="J2295" t="inlineStr">
        <is>
          <t>2⁶, 24³</t>
        </is>
      </c>
      <c r="K2295">
        <f>HYPERLINK("CSG4.html#group52A4", "52A⁴")</f>
        <v/>
      </c>
      <c r="L2295">
        <f>HYPERLINK("CSG19.html#group104A19", "104A¹⁹"), =HYPERLINK("CSG21.html#group104D21", "104D²¹"), =HYPERLINK("CSG23.html#group104S23", "104S²³")</f>
        <v/>
      </c>
      <c r="M2295">
        <f>HYPERLINK("CSG0.html#group13A0", "13A⁰"), =HYPERLINK("CSG0.html#group2B0", "2B⁰"), =HYPERLINK("CSG4.html#group52A4", "52A⁴"), =HYPERLINK("CSG0.html#group1A0", "1A⁰"), =HYPERLINK("CSG2.html#group26A2", "26A²")</f>
        <v/>
      </c>
      <c r="N2295">
        <f>HYPERLINK("CSG21.html#group104D21", "104D²¹"), =HYPERLINK("CSG19.html#group104A19", "104A¹⁹"), =HYPERLINK("CSG23.html#group104S23", "104S²³")</f>
        <v/>
      </c>
    </row>
    <row r="2296">
      <c r="A2296" t="inlineStr">
        <is>
          <t>105A⁹</t>
        </is>
      </c>
      <c r="B2296" t="inlineStr"/>
      <c r="C2296" t="inlineStr">
        <is>
          <t>120</t>
        </is>
      </c>
      <c r="D2296" t="inlineStr">
        <is>
          <t>2</t>
        </is>
      </c>
      <c r="E2296" t="inlineStr">
        <is>
          <t>40</t>
        </is>
      </c>
      <c r="F2296" t="inlineStr">
        <is>
          <t>0</t>
        </is>
      </c>
      <c r="G2296" t="inlineStr">
        <is>
          <t>3</t>
        </is>
      </c>
      <c r="H2296" t="inlineStr">
        <is>
          <t>15¹, 105¹</t>
        </is>
      </c>
      <c r="I2296" t="n">
        <v>2</v>
      </c>
      <c r="J2296" t="inlineStr">
        <is>
          <t>4², 8⁴, 24¹, 48²</t>
        </is>
      </c>
      <c r="K2296">
        <f>HYPERLINK("CSG2.html#group35B2", "35B²")</f>
        <v/>
      </c>
      <c r="L2296">
        <f>HYPERLINK("CSG18.html#group210B18", "210B¹⁸")</f>
        <v/>
      </c>
      <c r="M2296">
        <f>HYPERLINK("CSG0.html#group5A0", "5A⁰"), =HYPERLINK("CSG0.html#group1A0", "1A⁰"), =HYPERLINK("CSG0.html#group7B0", "7B⁰"), =HYPERLINK("CSG2.html#group35B2", "35B²")</f>
        <v/>
      </c>
      <c r="N2296">
        <f>HYPERLINK("CSG18.html#group210B18", "210B¹⁸")</f>
        <v/>
      </c>
    </row>
    <row r="2297">
      <c r="A2297" t="inlineStr">
        <is>
          <t>105B⁹</t>
        </is>
      </c>
      <c r="B2297" t="inlineStr"/>
      <c r="C2297" t="inlineStr">
        <is>
          <t>120</t>
        </is>
      </c>
      <c r="D2297" t="inlineStr">
        <is>
          <t>2</t>
        </is>
      </c>
      <c r="E2297" t="inlineStr">
        <is>
          <t>40</t>
        </is>
      </c>
      <c r="F2297" t="inlineStr">
        <is>
          <t>0</t>
        </is>
      </c>
      <c r="G2297" t="inlineStr">
        <is>
          <t>3</t>
        </is>
      </c>
      <c r="H2297" t="inlineStr">
        <is>
          <t>15¹, 105¹</t>
        </is>
      </c>
      <c r="I2297" t="n">
        <v>2</v>
      </c>
      <c r="J2297" t="inlineStr">
        <is>
          <t>4², 8⁴, 24¹, 48²</t>
        </is>
      </c>
      <c r="K2297">
        <f>HYPERLINK("CSG2.html#group35B2", "35B²")</f>
        <v/>
      </c>
      <c r="L2297">
        <f>HYPERLINK("CSG18.html#group210C18", "210C¹⁸")</f>
        <v/>
      </c>
      <c r="M2297">
        <f>HYPERLINK("CSG0.html#group5A0", "5A⁰"), =HYPERLINK("CSG0.html#group1A0", "1A⁰"), =HYPERLINK("CSG0.html#group7B0", "7B⁰"), =HYPERLINK("CSG2.html#group35B2", "35B²")</f>
        <v/>
      </c>
      <c r="N2297">
        <f>HYPERLINK("CSG18.html#group210C18", "210C¹⁸")</f>
        <v/>
      </c>
    </row>
    <row r="2298">
      <c r="A2298" t="inlineStr">
        <is>
          <t>106A⁹</t>
        </is>
      </c>
      <c r="B2298" t="inlineStr"/>
      <c r="C2298" t="inlineStr">
        <is>
          <t>108</t>
        </is>
      </c>
      <c r="D2298" t="inlineStr">
        <is>
          <t>1</t>
        </is>
      </c>
      <c r="E2298" t="inlineStr">
        <is>
          <t>54</t>
        </is>
      </c>
      <c r="F2298" t="inlineStr">
        <is>
          <t>0</t>
        </is>
      </c>
      <c r="G2298" t="inlineStr">
        <is>
          <t>0</t>
        </is>
      </c>
      <c r="H2298" t="inlineStr">
        <is>
          <t>2¹, 106¹</t>
        </is>
      </c>
      <c r="I2298" t="n">
        <v>2</v>
      </c>
      <c r="J2298" t="inlineStr">
        <is>
          <t>1², 52¹</t>
        </is>
      </c>
      <c r="K2298">
        <f>HYPERLINK("CSG0.html#group2A0", "2A⁰"), =HYPERLINK("CSG4.html#group53A4", "53A⁴")</f>
        <v/>
      </c>
      <c r="L2298">
        <f>HYPERLINK("CSG17.html#group106A17", "106A¹⁷")</f>
        <v/>
      </c>
      <c r="M2298">
        <f>HYPERLINK("CSG0.html#group2A0", "2A⁰"), =HYPERLINK("CSG0.html#group1A0", "1A⁰"), =HYPERLINK("CSG4.html#group53A4", "53A⁴")</f>
        <v/>
      </c>
      <c r="N2298">
        <f>HYPERLINK("CSG17.html#group106A17", "106A¹⁷")</f>
        <v/>
      </c>
    </row>
    <row r="2299">
      <c r="A2299" t="inlineStr">
        <is>
          <t>107A⁹</t>
        </is>
      </c>
      <c r="B2299" t="inlineStr">
        <is>
          <t>Γ₀(107)</t>
        </is>
      </c>
      <c r="C2299" t="inlineStr">
        <is>
          <t>108</t>
        </is>
      </c>
      <c r="D2299" t="inlineStr">
        <is>
          <t>1</t>
        </is>
      </c>
      <c r="E2299" t="inlineStr">
        <is>
          <t>108</t>
        </is>
      </c>
      <c r="F2299" t="inlineStr">
        <is>
          <t>0</t>
        </is>
      </c>
      <c r="G2299" t="inlineStr">
        <is>
          <t>0</t>
        </is>
      </c>
      <c r="H2299" t="inlineStr">
        <is>
          <t>1¹, 107¹</t>
        </is>
      </c>
      <c r="I2299" t="n">
        <v>2</v>
      </c>
      <c r="J2299" t="inlineStr">
        <is>
          <t>1², 106¹</t>
        </is>
      </c>
      <c r="K2299">
        <f>HYPERLINK("CSG0.html#group1A0", "1A⁰")</f>
        <v/>
      </c>
      <c r="L2299">
        <f>HYPERLINK("CSG18.html#group214A18", "214A¹⁸")</f>
        <v/>
      </c>
      <c r="M2299">
        <f>HYPERLINK("CSG0.html#group1A0", "1A⁰")</f>
        <v/>
      </c>
      <c r="N2299">
        <f>HYPERLINK("CSG18.html#group214A18", "214A¹⁸")</f>
        <v/>
      </c>
    </row>
    <row r="2300">
      <c r="A2300" t="inlineStr">
        <is>
          <t>108A⁹</t>
        </is>
      </c>
      <c r="B2300" t="inlineStr"/>
      <c r="C2300" t="inlineStr">
        <is>
          <t>144</t>
        </is>
      </c>
      <c r="D2300" t="inlineStr">
        <is>
          <t>1</t>
        </is>
      </c>
      <c r="E2300" t="inlineStr">
        <is>
          <t>12</t>
        </is>
      </c>
      <c r="F2300" t="inlineStr">
        <is>
          <t>0</t>
        </is>
      </c>
      <c r="G2300" t="inlineStr">
        <is>
          <t>0</t>
        </is>
      </c>
      <c r="H2300" t="inlineStr">
        <is>
          <t>4⁶, 12¹, 108¹</t>
        </is>
      </c>
      <c r="I2300" t="n">
        <v>8</v>
      </c>
      <c r="J2300" t="inlineStr">
        <is>
          <t>1², 2², 6¹</t>
        </is>
      </c>
      <c r="K2300">
        <f>HYPERLINK("CSG3.html#group36A3", "36A³"), =HYPERLINK("CSG3.html#group54A3", "54A³")</f>
        <v/>
      </c>
      <c r="L2300" t="inlineStr"/>
      <c r="M2300">
        <f>HYPERLINK("CSG0.html#group3B0", "3B⁰"), =HYPERLINK("CSG0.html#group2A0", "2A⁰"), =HYPERLINK("CSG1.html#group18C1", "18C¹"), =HYPERLINK("CSG0.html#group6C0", "6C⁰"), =HYPERLINK("CSG0.html#group27A0", "27A⁰"), =HYPERLINK("CSG0.html#group9B0", "9B⁰"), =HYPERLINK("CSG3.html#group54A3", "54A³"), =HYPERLINK("CSG0.html#group1A0", "1A⁰"), =HYPERLINK("CSG3.html#group36A3", "36A³"), =HYPERLINK("CSG0.html#group12B0", "12B⁰")</f>
        <v/>
      </c>
      <c r="N2300" t="inlineStr"/>
    </row>
    <row r="2301">
      <c r="A2301" t="inlineStr">
        <is>
          <t>108B⁹</t>
        </is>
      </c>
      <c r="B2301" t="inlineStr"/>
      <c r="C2301" t="inlineStr">
        <is>
          <t>144</t>
        </is>
      </c>
      <c r="D2301" t="inlineStr">
        <is>
          <t>1</t>
        </is>
      </c>
      <c r="E2301" t="inlineStr">
        <is>
          <t>24</t>
        </is>
      </c>
      <c r="F2301" t="inlineStr">
        <is>
          <t>0</t>
        </is>
      </c>
      <c r="G2301" t="inlineStr">
        <is>
          <t>0</t>
        </is>
      </c>
      <c r="H2301" t="inlineStr">
        <is>
          <t>4⁶, 12¹, 108¹</t>
        </is>
      </c>
      <c r="I2301" t="n">
        <v>8</v>
      </c>
      <c r="J2301" t="inlineStr">
        <is>
          <t>2⁶, 6²</t>
        </is>
      </c>
      <c r="K2301">
        <f>HYPERLINK("CSG3.html#group36A3", "36A³"), =HYPERLINK("CSG3.html#group54B3", "54B³")</f>
        <v/>
      </c>
      <c r="L2301" t="inlineStr"/>
      <c r="M2301">
        <f>HYPERLINK("CSG0.html#group3B0", "3B⁰"), =HYPERLINK("CSG0.html#group2A0", "2A⁰"), =HYPERLINK("CSG3.html#group54B3", "54B³"), =HYPERLINK("CSG1.html#group18C1", "18C¹"), =HYPERLINK("CSG0.html#group6C0", "6C⁰"), =HYPERLINK("CSG0.html#group9B0", "9B⁰"), =HYPERLINK("CSG0.html#group1A0", "1A⁰"), =HYPERLINK("CSG3.html#group36A3", "36A³"), =HYPERLINK("CSG0.html#group12B0", "12B⁰")</f>
        <v/>
      </c>
      <c r="N2301" t="inlineStr"/>
    </row>
    <row r="2302">
      <c r="A2302" t="inlineStr">
        <is>
          <t>108C⁹</t>
        </is>
      </c>
      <c r="B2302" t="inlineStr"/>
      <c r="C2302" t="inlineStr">
        <is>
          <t>144</t>
        </is>
      </c>
      <c r="D2302" t="inlineStr">
        <is>
          <t>1</t>
        </is>
      </c>
      <c r="E2302" t="inlineStr">
        <is>
          <t>48</t>
        </is>
      </c>
      <c r="F2302" t="inlineStr">
        <is>
          <t>0</t>
        </is>
      </c>
      <c r="G2302" t="inlineStr">
        <is>
          <t>0</t>
        </is>
      </c>
      <c r="H2302" t="inlineStr">
        <is>
          <t>4⁶, 12¹, 108¹</t>
        </is>
      </c>
      <c r="I2302" t="n">
        <v>8</v>
      </c>
      <c r="J2302" t="inlineStr">
        <is>
          <t>2⁴, 4⁴, 12²</t>
        </is>
      </c>
      <c r="K2302">
        <f>HYPERLINK("CSG0.html#group27A0", "27A⁰"), =HYPERLINK("CSG3.html#group36B3", "36B³")</f>
        <v/>
      </c>
      <c r="L2302">
        <f>HYPERLINK("CSG17.html#group108D17", "108D¹⁷"), =HYPERLINK("CSG21.html#group216A21", "216A²¹")</f>
        <v/>
      </c>
      <c r="M2302">
        <f>HYPERLINK("CSG0.html#group3B0", "3B⁰"), =HYPERLINK("CSG0.html#group4A0", "4A⁰"), =HYPERLINK("CSG1.html#group12A1", "12A¹"), =HYPERLINK("CSG0.html#group27A0", "27A⁰"), =HYPERLINK("CSG0.html#group9B0", "9B⁰"), =HYPERLINK("CSG3.html#group36B3", "36B³"), =HYPERLINK("CSG0.html#group1A0", "1A⁰")</f>
        <v/>
      </c>
      <c r="N2302">
        <f>HYPERLINK("CSG17.html#group108D17", "108D¹⁷"), =HYPERLINK("CSG21.html#group216A21", "216A²¹")</f>
        <v/>
      </c>
    </row>
    <row r="2303">
      <c r="A2303" t="inlineStr">
        <is>
          <t>113A⁹</t>
        </is>
      </c>
      <c r="B2303" t="inlineStr">
        <is>
          <t>Γ₀(113)</t>
        </is>
      </c>
      <c r="C2303" t="inlineStr">
        <is>
          <t>114</t>
        </is>
      </c>
      <c r="D2303" t="inlineStr">
        <is>
          <t>1</t>
        </is>
      </c>
      <c r="E2303" t="inlineStr">
        <is>
          <t>114</t>
        </is>
      </c>
      <c r="F2303" t="inlineStr">
        <is>
          <t>2</t>
        </is>
      </c>
      <c r="G2303" t="inlineStr">
        <is>
          <t>0</t>
        </is>
      </c>
      <c r="H2303" t="inlineStr">
        <is>
          <t>1¹, 113¹</t>
        </is>
      </c>
      <c r="I2303" t="n">
        <v>2</v>
      </c>
      <c r="J2303" t="inlineStr">
        <is>
          <t>1², 112¹</t>
        </is>
      </c>
      <c r="K2303">
        <f>HYPERLINK("CSG0.html#group1A0", "1A⁰")</f>
        <v/>
      </c>
      <c r="L2303">
        <f>HYPERLINK("CSG17.html#group113A17", "113A¹⁷"), =HYPERLINK("CSG19.html#group226A19", "226A¹⁹"), =HYPERLINK("CSG19.html#group226B19", "226B¹⁹")</f>
        <v/>
      </c>
      <c r="M2303">
        <f>HYPERLINK("CSG0.html#group1A0", "1A⁰")</f>
        <v/>
      </c>
      <c r="N2303">
        <f>HYPERLINK("CSG17.html#group113A17", "113A¹⁷"), =HYPERLINK("CSG19.html#group226A19", "226A¹⁹"), =HYPERLINK("CSG19.html#group226B19", "226B¹⁹")</f>
        <v/>
      </c>
    </row>
    <row r="2304">
      <c r="A2304" t="inlineStr">
        <is>
          <t>116A⁹</t>
        </is>
      </c>
      <c r="B2304" t="inlineStr"/>
      <c r="C2304" t="inlineStr">
        <is>
          <t>120</t>
        </is>
      </c>
      <c r="D2304" t="inlineStr">
        <is>
          <t>1</t>
        </is>
      </c>
      <c r="E2304" t="inlineStr">
        <is>
          <t>120</t>
        </is>
      </c>
      <c r="F2304" t="inlineStr">
        <is>
          <t>4</t>
        </is>
      </c>
      <c r="G2304" t="inlineStr">
        <is>
          <t>0</t>
        </is>
      </c>
      <c r="H2304" t="inlineStr">
        <is>
          <t>4¹, 116¹</t>
        </is>
      </c>
      <c r="I2304" t="n">
        <v>2</v>
      </c>
      <c r="J2304" t="inlineStr">
        <is>
          <t>2⁴, 56²</t>
        </is>
      </c>
      <c r="K2304">
        <f>HYPERLINK("CSG0.html#group4A0", "4A⁰"), =HYPERLINK("CSG2.html#group29A2", "29A²")</f>
        <v/>
      </c>
      <c r="L2304">
        <f>HYPERLINK("CSG17.html#group116A17", "116A¹⁷"), =HYPERLINK("CSG19.html#group116B19", "116B¹⁹"), =HYPERLINK("CSG19.html#group116C19", "116C¹⁹"), =HYPERLINK("CSG19.html#group232A19", "232A¹⁹"), =HYPERLINK("CSG19.html#group232B19", "232B¹⁹")</f>
        <v/>
      </c>
      <c r="M2304">
        <f>HYPERLINK("CSG0.html#group1A0", "1A⁰"), =HYPERLINK("CSG0.html#group4A0", "4A⁰"), =HYPERLINK("CSG2.html#group29A2", "29A²")</f>
        <v/>
      </c>
      <c r="N2304">
        <f>HYPERLINK("CSG19.html#group116C19", "116C¹⁹"), =HYPERLINK("CSG19.html#group116B19", "116B¹⁹"), =HYPERLINK("CSG19.html#group232A19", "232A¹⁹"), =HYPERLINK("CSG17.html#group116A17", "116A¹⁷"), =HYPERLINK("CSG19.html#group232B19", "232B¹⁹")</f>
        <v/>
      </c>
    </row>
    <row r="2305">
      <c r="A2305" t="inlineStr">
        <is>
          <t>116B⁹</t>
        </is>
      </c>
      <c r="B2305" t="inlineStr"/>
      <c r="C2305" t="inlineStr">
        <is>
          <t>120</t>
        </is>
      </c>
      <c r="D2305" t="inlineStr">
        <is>
          <t>2</t>
        </is>
      </c>
      <c r="E2305" t="inlineStr">
        <is>
          <t>30</t>
        </is>
      </c>
      <c r="F2305" t="inlineStr">
        <is>
          <t>4</t>
        </is>
      </c>
      <c r="G2305" t="inlineStr">
        <is>
          <t>0</t>
        </is>
      </c>
      <c r="H2305" t="inlineStr">
        <is>
          <t>4¹, 116¹</t>
        </is>
      </c>
      <c r="I2305" t="n">
        <v>2</v>
      </c>
      <c r="J2305" t="inlineStr">
        <is>
          <t>2², 56¹</t>
        </is>
      </c>
      <c r="K2305">
        <f>HYPERLINK("CSG4.html#group58A4", "58A⁴")</f>
        <v/>
      </c>
      <c r="L2305">
        <f>HYPERLINK("CSG19.html#group116A19", "116A¹⁹")</f>
        <v/>
      </c>
      <c r="M2305">
        <f>HYPERLINK("CSG4.html#group58A4", "58A⁴"), =HYPERLINK("CSG0.html#group1A0", "1A⁰"), =HYPERLINK("CSG2.html#group29A2", "29A²")</f>
        <v/>
      </c>
      <c r="N2305">
        <f>HYPERLINK("CSG19.html#group116A19", "116A¹⁹")</f>
        <v/>
      </c>
    </row>
    <row r="2306">
      <c r="A2306" t="inlineStr">
        <is>
          <t>119A⁹</t>
        </is>
      </c>
      <c r="B2306" t="inlineStr"/>
      <c r="C2306" t="inlineStr">
        <is>
          <t>126</t>
        </is>
      </c>
      <c r="D2306" t="inlineStr">
        <is>
          <t>2</t>
        </is>
      </c>
      <c r="E2306" t="inlineStr">
        <is>
          <t>126</t>
        </is>
      </c>
      <c r="F2306" t="inlineStr">
        <is>
          <t>6</t>
        </is>
      </c>
      <c r="G2306" t="inlineStr">
        <is>
          <t>0</t>
        </is>
      </c>
      <c r="H2306" t="inlineStr">
        <is>
          <t>7¹, 119¹</t>
        </is>
      </c>
      <c r="I2306" t="n">
        <v>2</v>
      </c>
      <c r="J2306" t="inlineStr">
        <is>
          <t>2², 6⁴, 32¹, 96²</t>
        </is>
      </c>
      <c r="K2306">
        <f>HYPERLINK("CSG0.html#group7A0", "7A⁰"), =HYPERLINK("CSG1.html#group17A1", "17A¹")</f>
        <v/>
      </c>
      <c r="L2306">
        <f>HYPERLINK("CSG17.html#group119A17", "119A¹⁷"), =HYPERLINK("CSG19.html#group119A19", "119A¹⁹"), =HYPERLINK("CSG19.html#group119B19", "119B¹⁹"), =HYPERLINK("CSG19.html#group238A19", "238A¹⁹"), =HYPERLINK("CSG19.html#group238B19", "238B¹⁹"), =HYPERLINK("CSG21.html#group238A21", "238A²¹"), =HYPERLINK("CSG21.html#group238B21", "238B²¹")</f>
        <v/>
      </c>
      <c r="M2306">
        <f>HYPERLINK("CSG0.html#group1A0", "1A⁰"), =HYPERLINK("CSG1.html#group17A1", "17A¹"), =HYPERLINK("CSG0.html#group7A0", "7A⁰")</f>
        <v/>
      </c>
      <c r="N2306">
        <f>HYPERLINK("CSG19.html#group119A19", "119A¹⁹"), =HYPERLINK("CSG19.html#group238B19", "238B¹⁹"), =HYPERLINK("CSG21.html#group238B21", "238B²¹"), =HYPERLINK("CSG21.html#group238A21", "238A²¹"), =HYPERLINK("CSG17.html#group119A17", "119A¹⁷"), =HYPERLINK("CSG19.html#group238A19", "238A¹⁹"), =HYPERLINK("CSG19.html#group119B19", "119B¹⁹")</f>
        <v/>
      </c>
    </row>
    <row r="2307">
      <c r="A2307" t="inlineStr">
        <is>
          <t>120A⁹</t>
        </is>
      </c>
      <c r="B2307" t="inlineStr"/>
      <c r="C2307" t="inlineStr">
        <is>
          <t>120</t>
        </is>
      </c>
      <c r="D2307" t="inlineStr">
        <is>
          <t>2</t>
        </is>
      </c>
      <c r="E2307" t="inlineStr">
        <is>
          <t>20</t>
        </is>
      </c>
      <c r="F2307" t="inlineStr">
        <is>
          <t>6</t>
        </is>
      </c>
      <c r="G2307" t="inlineStr">
        <is>
          <t>0</t>
        </is>
      </c>
      <c r="H2307" t="inlineStr">
        <is>
          <t>120¹</t>
        </is>
      </c>
      <c r="I2307" t="n">
        <v>1</v>
      </c>
      <c r="J2307" t="inlineStr">
        <is>
          <t>4², 16²</t>
        </is>
      </c>
      <c r="K2307">
        <f>HYPERLINK("CSG1.html#group24A1", "24A¹"), =HYPERLINK("CSG2.html#group40A2", "40A²"), =HYPERLINK("CSG4.html#group60A4", "60A⁴")</f>
        <v/>
      </c>
      <c r="L2307">
        <f>HYPERLINK("CSG18.html#group120F18", "120F¹⁸"), =HYPERLINK("CSG19.html#group120D19", "120D¹⁹"), =HYPERLINK("CSG19.html#group240A19", "240A¹⁹"), =HYPERLINK("CSG19.html#group240B19", "240B¹⁹"), =HYPERLINK("CSG20.html#group120A20", "120A²⁰")</f>
        <v/>
      </c>
      <c r="M2307">
        <f>HYPERLINK("CSG0.html#group5A0", "5A⁰"), =HYPERLINK("CSG0.html#group12A0", "12A⁰"), =HYPERLINK("CSG1.html#group24A1", "24A¹"), =HYPERLINK("CSG0.html#group4A0", "4A⁰"), =HYPERLINK("CSG4.html#group60A4", "60A⁴"), =HYPERLINK("CSG0.html#group8A0", "8A⁰"), =HYPERLINK("CSG1.html#group20A1", "20A¹"), =HYPERLINK("CSG0.html#group1A0", "1A⁰"), =HYPERLINK("CSG0.html#group3A0", "3A⁰"), =HYPERLINK("CSG2.html#group40A2", "40A²"), =HYPERLINK("CSG1.html#group15A1", "15A¹")</f>
        <v/>
      </c>
      <c r="N2307">
        <f>HYPERLINK("CSG19.html#group120D19", "120D¹⁹"), =HYPERLINK("CSG19.html#group240B19", "240B¹⁹"), =HYPERLINK("CSG20.html#group120A20", "120A²⁰"), =HYPERLINK("CSG18.html#group120F18", "120F¹⁸"), =HYPERLINK("CSG19.html#group240A19", "240A¹⁹")</f>
        <v/>
      </c>
    </row>
    <row r="2308">
      <c r="A2308" t="inlineStr">
        <is>
          <t>120B⁹</t>
        </is>
      </c>
      <c r="B2308" t="inlineStr"/>
      <c r="C2308" t="inlineStr">
        <is>
          <t>120</t>
        </is>
      </c>
      <c r="D2308" t="inlineStr">
        <is>
          <t>2</t>
        </is>
      </c>
      <c r="E2308" t="inlineStr">
        <is>
          <t>60</t>
        </is>
      </c>
      <c r="F2308" t="inlineStr">
        <is>
          <t>6</t>
        </is>
      </c>
      <c r="G2308" t="inlineStr">
        <is>
          <t>0</t>
        </is>
      </c>
      <c r="H2308" t="inlineStr">
        <is>
          <t>120¹</t>
        </is>
      </c>
      <c r="I2308" t="n">
        <v>1</v>
      </c>
      <c r="J2308" t="inlineStr">
        <is>
          <t>4², 8², 16², 32²</t>
        </is>
      </c>
      <c r="K2308">
        <f>HYPERLINK("CSG1.html#group24B1", "24B¹"), =HYPERLINK("CSG4.html#group60A4", "60A⁴")</f>
        <v/>
      </c>
      <c r="L2308">
        <f>HYPERLINK("CSG18.html#group120B18", "120B¹⁸"), =HYPERLINK("CSG18.html#group120C18", "120C¹⁸"), =HYPERLINK("CSG18.html#group120F18", "120F¹⁸"), =HYPERLINK("CSG19.html#group120C19", "120C¹⁹"), =HYPERLINK("CSG19.html#group120D19", "120D¹⁹"), =HYPERLINK("CSG20.html#group120B20", "120B²⁰")</f>
        <v/>
      </c>
      <c r="M2308">
        <f>HYPERLINK("CSG0.html#group5A0", "5A⁰"), =HYPERLINK("CSG0.html#group12A0", "12A⁰"), =HYPERLINK("CSG0.html#group4A0", "4A⁰"), =HYPERLINK("CSG4.html#group60A4", "60A⁴"), =HYPERLINK("CSG1.html#group20A1", "20A¹"), =HYPERLINK("CSG1.html#group24B1", "24B¹"), =HYPERLINK("CSG0.html#group3A0", "3A⁰"), =HYPERLINK("CSG0.html#group1A0", "1A⁰"), =HYPERLINK("CSG1.html#group15A1", "15A¹")</f>
        <v/>
      </c>
      <c r="N2308">
        <f>HYPERLINK("CSG19.html#group120D19", "120D¹⁹"), =HYPERLINK("CSG18.html#group120F18", "120F¹⁸"), =HYPERLINK("CSG18.html#group120B18", "120B¹⁸"), =HYPERLINK("CSG18.html#group120C18", "120C¹⁸"), =HYPERLINK("CSG20.html#group120B20", "120B²⁰"), =HYPERLINK("CSG19.html#group120C19", "120C¹⁹")</f>
        <v/>
      </c>
    </row>
    <row r="2309">
      <c r="A2309" t="inlineStr">
        <is>
          <t>120C⁹</t>
        </is>
      </c>
      <c r="B2309" t="inlineStr"/>
      <c r="C2309" t="inlineStr">
        <is>
          <t>144</t>
        </is>
      </c>
      <c r="D2309" t="inlineStr">
        <is>
          <t>2</t>
        </is>
      </c>
      <c r="E2309" t="inlineStr">
        <is>
          <t>24</t>
        </is>
      </c>
      <c r="F2309" t="inlineStr">
        <is>
          <t>12</t>
        </is>
      </c>
      <c r="G2309" t="inlineStr">
        <is>
          <t>0</t>
        </is>
      </c>
      <c r="H2309" t="inlineStr">
        <is>
          <t>24¹, 120¹</t>
        </is>
      </c>
      <c r="I2309" t="n">
        <v>2</v>
      </c>
      <c r="J2309" t="inlineStr">
        <is>
          <t>4⁴, 16²</t>
        </is>
      </c>
      <c r="K2309">
        <f>HYPERLINK("CSG3.html#group40A3", "40A³"), =HYPERLINK("CSG3.html#group60B3", "60B³")</f>
        <v/>
      </c>
      <c r="L2309">
        <f>HYPERLINK("CSG17.html#group120P17", "120P¹⁷"), =HYPERLINK("CSG19.html#group120P19", "120P¹⁹"), =HYPERLINK("CSG19.html#group120N19", "120N¹⁹"), =HYPERLINK("CSG21.html#group120K21", "120K²¹"), =HYPERLINK("CSG21.html#group120I21", "120I²¹"), =HYPERLINK("CSG23.html#group120A23", "120A²³"), =HYPERLINK("CSG23.html#group120I23", "120I²³")</f>
        <v/>
      </c>
      <c r="M2309">
        <f>HYPERLINK("CSG3.html#group40A3", "40A³"), =HYPERLINK("CSG0.html#group15B0", "15B⁰"), =HYPERLINK("CSG0.html#group12A0", "12A⁰"), =HYPERLINK("CSG0.html#group4A0", "4A⁰"), =HYPERLINK("CSG0.html#group5B0", "5B⁰"), =HYPERLINK("CSG3.html#group60B3", "60B³"), =HYPERLINK("CSG0.html#group3A0", "3A⁰"), =HYPERLINK("CSG0.html#group1A0", "1A⁰"), =HYPERLINK("CSG1.html#group20B1", "20B¹")</f>
        <v/>
      </c>
      <c r="N2309">
        <f>HYPERLINK("CSG23.html#group120I23", "120I²³"), =HYPERLINK("CSG21.html#group120K21", "120K²¹"), =HYPERLINK("CSG17.html#group120P17", "120P¹⁷"), =HYPERLINK("CSG19.html#group120P19", "120P¹⁹"), =HYPERLINK("CSG19.html#group120N19", "120N¹⁹"), =HYPERLINK("CSG21.html#group120I21", "120I²¹"), =HYPERLINK("CSG23.html#group120A23", "120A²³")</f>
        <v/>
      </c>
    </row>
    <row r="2310">
      <c r="A2310" t="inlineStr">
        <is>
          <t>120D⁹</t>
        </is>
      </c>
      <c r="B2310" t="inlineStr"/>
      <c r="C2310" t="inlineStr">
        <is>
          <t>144</t>
        </is>
      </c>
      <c r="D2310" t="inlineStr">
        <is>
          <t>2</t>
        </is>
      </c>
      <c r="E2310" t="inlineStr">
        <is>
          <t>24</t>
        </is>
      </c>
      <c r="F2310" t="inlineStr">
        <is>
          <t>12</t>
        </is>
      </c>
      <c r="G2310" t="inlineStr">
        <is>
          <t>0</t>
        </is>
      </c>
      <c r="H2310" t="inlineStr">
        <is>
          <t>24¹, 120¹</t>
        </is>
      </c>
      <c r="I2310" t="n">
        <v>2</v>
      </c>
      <c r="J2310" t="inlineStr">
        <is>
          <t>4⁴, 16²</t>
        </is>
      </c>
      <c r="K2310">
        <f>HYPERLINK("CSG1.html#group24A1", "24A¹"), =HYPERLINK("CSG3.html#group40B3", "40B³"), =HYPERLINK("CSG3.html#group60B3", "60B³")</f>
        <v/>
      </c>
      <c r="L2310">
        <f>HYPERLINK("CSG17.html#group120P17", "120P¹⁷"), =HYPERLINK("CSG19.html#group120O19", "120O¹⁹"), =HYPERLINK("CSG19.html#group120Q19", "120Q¹⁹"), =HYPERLINK("CSG21.html#group120J21", "120J²¹"), =HYPERLINK("CSG21.html#group120L21", "120L²¹"), =HYPERLINK("CSG21.html#group240A21", "240A²¹"), =HYPERLINK("CSG21.html#group240B21", "240B²¹"), =HYPERLINK("CSG21.html#group240C21", "240C²¹"), =HYPERLINK("CSG21.html#group240D21", "240D²¹"), =HYPERLINK("CSG23.html#group120B23", "120B²³"), =HYPERLINK("CSG23.html#group120I23", "120I²³")</f>
        <v/>
      </c>
      <c r="M2310">
        <f>HYPERLINK("CSG0.html#group15B0", "15B⁰"), =HYPERLINK("CSG0.html#group12A0", "12A⁰"), =HYPERLINK("CSG1.html#group24A1", "24A¹"), =HYPERLINK("CSG0.html#group4A0", "4A⁰"), =HYPERLINK("CSG3.html#group40B3", "40B³"), =HYPERLINK("CSG0.html#group8A0", "8A⁰"), =HYPERLINK("CSG0.html#group5B0", "5B⁰"), =HYPERLINK("CSG3.html#group60B3", "60B³"), =HYPERLINK("CSG0.html#group3A0", "3A⁰"), =HYPERLINK("CSG0.html#group1A0", "1A⁰"), =HYPERLINK("CSG1.html#group20B1", "20B¹")</f>
        <v/>
      </c>
      <c r="N2310">
        <f>HYPERLINK("CSG17.html#group120P17", "120P¹⁷"), =HYPERLINK("CSG21.html#group240D21", "240D²¹"), =HYPERLINK("CSG21.html#group240B21", "240B²¹"), =HYPERLINK("CSG21.html#group240C21", "240C²¹"), =HYPERLINK("CSG23.html#group120I23", "120I²³"), =HYPERLINK("CSG19.html#group120Q19", "120Q¹⁹"), =HYPERLINK("CSG21.html#group240A21", "240A²¹"), =HYPERLINK("CSG21.html#group120J21", "120J²¹"), =HYPERLINK("CSG21.html#group120L21", "120L²¹"), =HYPERLINK("CSG19.html#group120O19", "120O¹⁹"), =HYPERLINK("CSG23.html#group120B23", "120B²³")</f>
        <v/>
      </c>
    </row>
    <row r="2311">
      <c r="A2311" t="inlineStr">
        <is>
          <t>120E⁹</t>
        </is>
      </c>
      <c r="B2311" t="inlineStr"/>
      <c r="C2311" t="inlineStr">
        <is>
          <t>144</t>
        </is>
      </c>
      <c r="D2311" t="inlineStr">
        <is>
          <t>2</t>
        </is>
      </c>
      <c r="E2311" t="inlineStr">
        <is>
          <t>72</t>
        </is>
      </c>
      <c r="F2311" t="inlineStr">
        <is>
          <t>12</t>
        </is>
      </c>
      <c r="G2311" t="inlineStr">
        <is>
          <t>0</t>
        </is>
      </c>
      <c r="H2311" t="inlineStr">
        <is>
          <t>24¹, 120¹</t>
        </is>
      </c>
      <c r="I2311" t="n">
        <v>2</v>
      </c>
      <c r="J2311" t="inlineStr">
        <is>
          <t>4⁴, 8⁴, 16², 32²</t>
        </is>
      </c>
      <c r="K2311">
        <f>HYPERLINK("CSG3.html#group60B3", "60B³")</f>
        <v/>
      </c>
      <c r="L2311">
        <f>HYPERLINK("CSG17.html#group120Q17", "120Q¹⁷"), =HYPERLINK("CSG19.html#group120G19", "120G¹⁹"), =HYPERLINK("CSG19.html#group120H19", "120H¹⁹"), =HYPERLINK("CSG19.html#group120P19", "120P¹⁹"), =HYPERLINK("CSG19.html#group120O19", "120O¹⁹"), =HYPERLINK("CSG19.html#group120R19", "120R¹⁹"), =HYPERLINK("CSG19.html#group120S19", "120S¹⁹"), =HYPERLINK("CSG21.html#group120G21", "120G²¹"), =HYPERLINK("CSG21.html#group120K21", "120K²¹"), =HYPERLINK("CSG21.html#group120J21", "120J²¹"), =HYPERLINK("CSG21.html#group120M21", "120M²¹"), =HYPERLINK("CSG21.html#group120N21", "120N²¹"), =HYPERLINK("CSG23.html#group120E23", "120E²³"), =HYPERLINK("CSG23.html#group120J23", "120J²³")</f>
        <v/>
      </c>
      <c r="M2311">
        <f>HYPERLINK("CSG0.html#group15B0", "15B⁰"), =HYPERLINK("CSG0.html#group12A0", "12A⁰"), =HYPERLINK("CSG0.html#group4A0", "4A⁰"), =HYPERLINK("CSG0.html#group5B0", "5B⁰"), =HYPERLINK("CSG3.html#group60B3", "60B³"), =HYPERLINK("CSG0.html#group3A0", "3A⁰"), =HYPERLINK("CSG0.html#group1A0", "1A⁰"), =HYPERLINK("CSG1.html#group20B1", "20B¹")</f>
        <v/>
      </c>
      <c r="N2311">
        <f>HYPERLINK("CSG21.html#group120M21", "120M²¹"), =HYPERLINK("CSG19.html#group120H19", "120H¹⁹"), =HYPERLINK("CSG23.html#group120J23", "120J²³"), =HYPERLINK("CSG19.html#group120S19", "120S¹⁹"), =HYPERLINK("CSG21.html#group120J21", "120J²¹"), =HYPERLINK("CSG21.html#group120N21", "120N²¹"), =HYPERLINK("CSG23.html#group120E23", "120E²³"), =HYPERLINK("CSG19.html#group120R19", "120R¹⁹"), =HYPERLINK("CSG19.html#group120P19", "120P¹⁹"), =HYPERLINK("CSG19.html#group120G19", "120G¹⁹"), =HYPERLINK("CSG21.html#group120K21", "120K²¹"), =HYPERLINK("CSG19.html#group120O19", "120O¹⁹"), =HYPERLINK("CSG21.html#group120G21", "120G²¹"), =HYPERLINK("CSG17.html#group120Q17", "120Q¹⁷")</f>
        <v/>
      </c>
    </row>
    <row r="2312">
      <c r="A2312" t="inlineStr">
        <is>
          <t>120F⁹</t>
        </is>
      </c>
      <c r="B2312" t="inlineStr"/>
      <c r="C2312" t="inlineStr">
        <is>
          <t>144</t>
        </is>
      </c>
      <c r="D2312" t="inlineStr">
        <is>
          <t>2</t>
        </is>
      </c>
      <c r="E2312" t="inlineStr">
        <is>
          <t>72</t>
        </is>
      </c>
      <c r="F2312" t="inlineStr">
        <is>
          <t>12</t>
        </is>
      </c>
      <c r="G2312" t="inlineStr">
        <is>
          <t>0</t>
        </is>
      </c>
      <c r="H2312" t="inlineStr">
        <is>
          <t>24¹, 120¹</t>
        </is>
      </c>
      <c r="I2312" t="n">
        <v>2</v>
      </c>
      <c r="J2312" t="inlineStr">
        <is>
          <t>4⁴, 8⁴, 16², 32²</t>
        </is>
      </c>
      <c r="K2312">
        <f>HYPERLINK("CSG1.html#group24B1", "24B¹"), =HYPERLINK("CSG3.html#group60B3", "60B³")</f>
        <v/>
      </c>
      <c r="L2312">
        <f>HYPERLINK("CSG17.html#group120Q17", "120Q¹⁷"), =HYPERLINK("CSG19.html#group120I19", "120I¹⁹"), =HYPERLINK("CSG19.html#group120J19", "120J¹⁹"), =HYPERLINK("CSG19.html#group120N19", "120N¹⁹"), =HYPERLINK("CSG19.html#group120Q19", "120Q¹⁹"), =HYPERLINK("CSG19.html#group120R19", "120R¹⁹"), =HYPERLINK("CSG19.html#group120S19", "120S¹⁹"), =HYPERLINK("CSG21.html#group120H21", "120H²¹"), =HYPERLINK("CSG21.html#group120I21", "120I²¹"), =HYPERLINK("CSG21.html#group120L21", "120L²¹"), =HYPERLINK("CSG21.html#group120M21", "120M²¹"), =HYPERLINK("CSG21.html#group120N21", "120N²¹"), =HYPERLINK("CSG23.html#group120F23", "120F²³"), =HYPERLINK("CSG23.html#group120J23", "120J²³")</f>
        <v/>
      </c>
      <c r="M2312">
        <f>HYPERLINK("CSG0.html#group15B0", "15B⁰"), =HYPERLINK("CSG0.html#group12A0", "12A⁰"), =HYPERLINK("CSG0.html#group4A0", "4A⁰"), =HYPERLINK("CSG0.html#group5B0", "5B⁰"), =HYPERLINK("CSG3.html#group60B3", "60B³"), =HYPERLINK("CSG1.html#group24B1", "24B¹"), =HYPERLINK("CSG0.html#group3A0", "3A⁰"), =HYPERLINK("CSG0.html#group1A0", "1A⁰"), =HYPERLINK("CSG1.html#group20B1", "20B¹")</f>
        <v/>
      </c>
      <c r="N2312">
        <f>HYPERLINK("CSG19.html#group120I19", "120I¹⁹"), =HYPERLINK("CSG21.html#group120M21", "120M²¹"), =HYPERLINK("CSG19.html#group120N19", "120N¹⁹"), =HYPERLINK("CSG19.html#group120S19", "120S¹⁹"), =HYPERLINK("CSG21.html#group120H21", "120H²¹"), =HYPERLINK("CSG23.html#group120F23", "120F²³"), =HYPERLINK("CSG23.html#group120J23", "120J²³"), =HYPERLINK("CSG21.html#group120N21", "120N²¹"), =HYPERLINK("CSG19.html#group120Q19", "120Q¹⁹"), =HYPERLINK("CSG19.html#group120J19", "120J¹⁹"), =HYPERLINK("CSG19.html#group120R19", "120R¹⁹"), =HYPERLINK("CSG21.html#group120L21", "120L²¹"), =HYPERLINK("CSG21.html#group120I21", "120I²¹"), =HYPERLINK("CSG17.html#group120Q17", "120Q¹⁷")</f>
        <v/>
      </c>
    </row>
    <row r="2313">
      <c r="A2313" t="inlineStr">
        <is>
          <t>122A⁹</t>
        </is>
      </c>
      <c r="B2313" t="inlineStr"/>
      <c r="C2313" t="inlineStr">
        <is>
          <t>124</t>
        </is>
      </c>
      <c r="D2313" t="inlineStr">
        <is>
          <t>1</t>
        </is>
      </c>
      <c r="E2313" t="inlineStr">
        <is>
          <t>62</t>
        </is>
      </c>
      <c r="F2313" t="inlineStr">
        <is>
          <t>0</t>
        </is>
      </c>
      <c r="G2313" t="inlineStr">
        <is>
          <t>4</t>
        </is>
      </c>
      <c r="H2313" t="inlineStr">
        <is>
          <t>2¹, 122¹</t>
        </is>
      </c>
      <c r="I2313" t="n">
        <v>2</v>
      </c>
      <c r="J2313" t="inlineStr">
        <is>
          <t>1², 60¹</t>
        </is>
      </c>
      <c r="K2313">
        <f>HYPERLINK("CSG0.html#group2A0", "2A⁰"), =HYPERLINK("CSG4.html#group61A4", "61A⁴")</f>
        <v/>
      </c>
      <c r="L2313">
        <f>HYPERLINK("CSG17.html#group122A17", "122A¹⁷")</f>
        <v/>
      </c>
      <c r="M2313">
        <f>HYPERLINK("CSG0.html#group2A0", "2A⁰"), =HYPERLINK("CSG0.html#group1A0", "1A⁰"), =HYPERLINK("CSG4.html#group61A4", "61A⁴")</f>
        <v/>
      </c>
      <c r="N2313">
        <f>HYPERLINK("CSG17.html#group122A17", "122A¹⁷")</f>
        <v/>
      </c>
    </row>
    <row r="2314">
      <c r="A2314" t="inlineStr">
        <is>
          <t>123A⁹</t>
        </is>
      </c>
      <c r="B2314" t="inlineStr"/>
      <c r="C2314" t="inlineStr">
        <is>
          <t>126</t>
        </is>
      </c>
      <c r="D2314" t="inlineStr">
        <is>
          <t>1</t>
        </is>
      </c>
      <c r="E2314" t="inlineStr">
        <is>
          <t>42</t>
        </is>
      </c>
      <c r="F2314" t="inlineStr">
        <is>
          <t>6</t>
        </is>
      </c>
      <c r="G2314" t="inlineStr">
        <is>
          <t>0</t>
        </is>
      </c>
      <c r="H2314" t="inlineStr">
        <is>
          <t>3¹, 123¹</t>
        </is>
      </c>
      <c r="I2314" t="n">
        <v>2</v>
      </c>
      <c r="J2314" t="inlineStr">
        <is>
          <t>1², 40¹</t>
        </is>
      </c>
      <c r="K2314">
        <f>HYPERLINK("CSG0.html#group3A0", "3A⁰"), =HYPERLINK("CSG3.html#group41A3", "41A³")</f>
        <v/>
      </c>
      <c r="L2314">
        <f>HYPERLINK("CSG17.html#group123A17", "123A¹⁷"), =HYPERLINK("CSG19.html#group123A19", "123A¹⁹"), =HYPERLINK("CSG19.html#group123B19", "123B¹⁹"), =HYPERLINK("CSG19.html#group246A19", "246A¹⁹"), =HYPERLINK("CSG19.html#group246B19", "246B¹⁹"), =HYPERLINK("CSG21.html#group246A21", "246A²¹"), =HYPERLINK("CSG21.html#group246B21", "246B²¹")</f>
        <v/>
      </c>
      <c r="M2314">
        <f>HYPERLINK("CSG0.html#group3A0", "3A⁰"), =HYPERLINK("CSG0.html#group1A0", "1A⁰"), =HYPERLINK("CSG3.html#group41A3", "41A³")</f>
        <v/>
      </c>
      <c r="N2314">
        <f>HYPERLINK("CSG19.html#group123B19", "123B¹⁹"), =HYPERLINK("CSG17.html#group123A17", "123A¹⁷"), =HYPERLINK("CSG19.html#group246A19", "246A¹⁹"), =HYPERLINK("CSG19.html#group246B19", "246B¹⁹"), =HYPERLINK("CSG19.html#group123A19", "123A¹⁹"), =HYPERLINK("CSG21.html#group246B21", "246B²¹"), =HYPERLINK("CSG21.html#group246A21", "246A²¹")</f>
        <v/>
      </c>
    </row>
    <row r="2315">
      <c r="A2315" t="inlineStr">
        <is>
          <t>128A⁹</t>
        </is>
      </c>
      <c r="B2315" t="inlineStr">
        <is>
          <t>Γ₀(128)</t>
        </is>
      </c>
      <c r="C2315" t="inlineStr">
        <is>
          <t>192</t>
        </is>
      </c>
      <c r="D2315" t="inlineStr">
        <is>
          <t>1</t>
        </is>
      </c>
      <c r="E2315" t="inlineStr">
        <is>
          <t>24</t>
        </is>
      </c>
      <c r="F2315" t="inlineStr">
        <is>
          <t>0</t>
        </is>
      </c>
      <c r="G2315" t="inlineStr">
        <is>
          <t>0</t>
        </is>
      </c>
      <c r="H2315" t="inlineStr">
        <is>
          <t>1⁸, 2⁴, 8², 32¹, 128¹</t>
        </is>
      </c>
      <c r="I2315" t="n">
        <v>16</v>
      </c>
      <c r="J2315" t="inlineStr">
        <is>
          <t>1⁴, 2², 4², 8¹</t>
        </is>
      </c>
      <c r="K2315">
        <f>HYPERLINK("CSG3.html#group64B3", "64B³")</f>
        <v/>
      </c>
      <c r="L2315">
        <f>HYPERLINK("CSG17.html#group128A17", "128A¹⁷"), =HYPERLINK("CSG21.html#group128B21", "128B²¹"), =HYPERLINK("CSG21.html#group128F21", "128F²¹"), =HYPERLINK("CSG21.html#group256A21", "256A²¹")</f>
        <v/>
      </c>
      <c r="M2315">
        <f>HYPERLINK("CSG3.html#group64B3", "64B³"), =HYPERLINK("CSG0.html#group8C0", "8C⁰"), =HYPERLINK("CSG0.html#group2B0", "2B⁰"), =HYPERLINK("CSG1.html#group32A1", "32A¹"), =HYPERLINK("CSG0.html#group4B0", "4B⁰"), =HYPERLINK("CSG0.html#group1A0", "1A⁰"), =HYPERLINK("CSG0.html#group16C0", "16C⁰")</f>
        <v/>
      </c>
      <c r="N2315">
        <f>HYPERLINK("CSG17.html#group128A17", "128A¹⁷"), =HYPERLINK("CSG21.html#group128F21", "128F²¹"), =HYPERLINK("CSG21.html#group256A21", "256A²¹"), =HYPERLINK("CSG21.html#group128B21", "128B²¹")</f>
        <v/>
      </c>
    </row>
    <row r="2316">
      <c r="A2316" t="inlineStr">
        <is>
          <t>128B⁹</t>
        </is>
      </c>
      <c r="B2316" t="inlineStr"/>
      <c r="C2316" t="inlineStr">
        <is>
          <t>192</t>
        </is>
      </c>
      <c r="D2316" t="inlineStr">
        <is>
          <t>1</t>
        </is>
      </c>
      <c r="E2316" t="inlineStr">
        <is>
          <t>24</t>
        </is>
      </c>
      <c r="F2316" t="inlineStr">
        <is>
          <t>0</t>
        </is>
      </c>
      <c r="G2316" t="inlineStr">
        <is>
          <t>0</t>
        </is>
      </c>
      <c r="H2316" t="inlineStr">
        <is>
          <t>1⁸, 2⁴, 8², 32¹, 128¹</t>
        </is>
      </c>
      <c r="I2316" t="n">
        <v>16</v>
      </c>
      <c r="J2316" t="inlineStr">
        <is>
          <t>1⁴, 2², 4², 8¹</t>
        </is>
      </c>
      <c r="K2316">
        <f>HYPERLINK("CSG3.html#group64B3", "64B³")</f>
        <v/>
      </c>
      <c r="L2316">
        <f>HYPERLINK("CSG17.html#group128A17", "128A¹⁷"), =HYPERLINK("CSG21.html#group128C21", "128C²¹"), =HYPERLINK("CSG21.html#group128F21", "128F²¹"), =HYPERLINK("CSG21.html#group256B21", "256B²¹")</f>
        <v/>
      </c>
      <c r="M2316">
        <f>HYPERLINK("CSG3.html#group64B3", "64B³"), =HYPERLINK("CSG0.html#group8C0", "8C⁰"), =HYPERLINK("CSG0.html#group2B0", "2B⁰"), =HYPERLINK("CSG1.html#group32A1", "32A¹"), =HYPERLINK("CSG0.html#group4B0", "4B⁰"), =HYPERLINK("CSG0.html#group1A0", "1A⁰"), =HYPERLINK("CSG0.html#group16C0", "16C⁰")</f>
        <v/>
      </c>
      <c r="N2316">
        <f>HYPERLINK("CSG17.html#group128A17", "128A¹⁷"), =HYPERLINK("CSG21.html#group128F21", "128F²¹"), =HYPERLINK("CSG21.html#group256B21", "256B²¹"), =HYPERLINK("CSG21.html#group128C21", "128C²¹")</f>
        <v/>
      </c>
    </row>
    <row r="2317">
      <c r="A2317" t="inlineStr">
        <is>
          <t>130A⁹</t>
        </is>
      </c>
      <c r="B2317" t="inlineStr"/>
      <c r="C2317" t="inlineStr">
        <is>
          <t>140</t>
        </is>
      </c>
      <c r="D2317" t="inlineStr">
        <is>
          <t>1</t>
        </is>
      </c>
      <c r="E2317" t="inlineStr">
        <is>
          <t>70</t>
        </is>
      </c>
      <c r="F2317" t="inlineStr">
        <is>
          <t>0</t>
        </is>
      </c>
      <c r="G2317" t="inlineStr">
        <is>
          <t>8</t>
        </is>
      </c>
      <c r="H2317" t="inlineStr">
        <is>
          <t>10¹, 130¹</t>
        </is>
      </c>
      <c r="I2317" t="n">
        <v>2</v>
      </c>
      <c r="J2317" t="inlineStr">
        <is>
          <t>1², 4², 12¹, 48¹</t>
        </is>
      </c>
      <c r="K2317">
        <f>HYPERLINK("CSG0.html#group10A0", "10A⁰"), =HYPERLINK("CSG1.html#group26A1", "26A¹"), =HYPERLINK("CSG4.html#group65A4", "65A⁴")</f>
        <v/>
      </c>
      <c r="L2317">
        <f>HYPERLINK("CSG17.html#group130B17", "130B¹⁷")</f>
        <v/>
      </c>
      <c r="M2317">
        <f>HYPERLINK("CSG0.html#group2A0", "2A⁰"), =HYPERLINK("CSG1.html#group26A1", "26A¹"), =HYPERLINK("CSG0.html#group5A0", "5A⁰"), =HYPERLINK("CSG0.html#group10A0", "10A⁰"), =HYPERLINK("CSG0.html#group13A0", "13A⁰"), =HYPERLINK("CSG0.html#group1A0", "1A⁰"), =HYPERLINK("CSG4.html#group65A4", "65A⁴")</f>
        <v/>
      </c>
      <c r="N2317">
        <f>HYPERLINK("CSG17.html#group130B17", "130B¹⁷")</f>
        <v/>
      </c>
    </row>
    <row r="2318">
      <c r="A2318" t="inlineStr">
        <is>
          <t>148A⁹</t>
        </is>
      </c>
      <c r="B2318" t="inlineStr"/>
      <c r="C2318" t="inlineStr">
        <is>
          <t>152</t>
        </is>
      </c>
      <c r="D2318" t="inlineStr">
        <is>
          <t>2</t>
        </is>
      </c>
      <c r="E2318" t="inlineStr">
        <is>
          <t>38</t>
        </is>
      </c>
      <c r="F2318" t="inlineStr">
        <is>
          <t>4</t>
        </is>
      </c>
      <c r="G2318" t="inlineStr">
        <is>
          <t>8</t>
        </is>
      </c>
      <c r="H2318" t="inlineStr">
        <is>
          <t>4¹, 148¹</t>
        </is>
      </c>
      <c r="I2318" t="n">
        <v>2</v>
      </c>
      <c r="J2318" t="inlineStr">
        <is>
          <t>2², 72¹</t>
        </is>
      </c>
      <c r="K2318">
        <f>HYPERLINK("CSG4.html#group74A4", "74A⁴")</f>
        <v/>
      </c>
      <c r="L2318">
        <f>HYPERLINK("CSG19.html#group148A19", "148A¹⁹")</f>
        <v/>
      </c>
      <c r="M2318">
        <f>HYPERLINK("CSG2.html#group37A2", "37A²"), =HYPERLINK("CSG0.html#group1A0", "1A⁰"), =HYPERLINK("CSG4.html#group74A4", "74A⁴")</f>
        <v/>
      </c>
      <c r="N2318">
        <f>HYPERLINK("CSG19.html#group148A19", "148A¹⁹")</f>
        <v/>
      </c>
    </row>
    <row r="2319">
      <c r="A2319" t="inlineStr">
        <is>
          <t>154A⁹</t>
        </is>
      </c>
      <c r="B2319" t="inlineStr"/>
      <c r="C2319" t="inlineStr">
        <is>
          <t>154</t>
        </is>
      </c>
      <c r="D2319" t="inlineStr">
        <is>
          <t>2</t>
        </is>
      </c>
      <c r="E2319" t="inlineStr">
        <is>
          <t>77</t>
        </is>
      </c>
      <c r="F2319" t="inlineStr">
        <is>
          <t>12</t>
        </is>
      </c>
      <c r="G2319" t="inlineStr">
        <is>
          <t>4</t>
        </is>
      </c>
      <c r="H2319" t="inlineStr">
        <is>
          <t>154¹</t>
        </is>
      </c>
      <c r="I2319" t="n">
        <v>1</v>
      </c>
      <c r="J2319" t="inlineStr">
        <is>
          <t>4¹, 12², 20², 60⁴</t>
        </is>
      </c>
      <c r="K2319">
        <f>HYPERLINK("CSG4.html#group77A4", "77A⁴")</f>
        <v/>
      </c>
      <c r="L2319">
        <f>HYPERLINK("CSG23.html#group154A23", "154A²³")</f>
        <v/>
      </c>
      <c r="M2319">
        <f>HYPERLINK("CSG0.html#group11A0", "11A⁰"), =HYPERLINK("CSG0.html#group1A0", "1A⁰"), =HYPERLINK("CSG0.html#group7A0", "7A⁰"), =HYPERLINK("CSG4.html#group77A4", "77A⁴")</f>
        <v/>
      </c>
      <c r="N2319">
        <f>HYPERLINK("CSG23.html#group154A23", "154A²³")</f>
        <v/>
      </c>
    </row>
    <row r="2320">
      <c r="A2320" t="inlineStr">
        <is>
          <t>154B⁹</t>
        </is>
      </c>
      <c r="B2320" t="inlineStr"/>
      <c r="C2320" t="inlineStr">
        <is>
          <t>154</t>
        </is>
      </c>
      <c r="D2320" t="inlineStr">
        <is>
          <t>2</t>
        </is>
      </c>
      <c r="E2320" t="inlineStr">
        <is>
          <t>77</t>
        </is>
      </c>
      <c r="F2320" t="inlineStr">
        <is>
          <t>12</t>
        </is>
      </c>
      <c r="G2320" t="inlineStr">
        <is>
          <t>4</t>
        </is>
      </c>
      <c r="H2320" t="inlineStr">
        <is>
          <t>154¹</t>
        </is>
      </c>
      <c r="I2320" t="n">
        <v>1</v>
      </c>
      <c r="J2320" t="inlineStr">
        <is>
          <t>4¹, 12², 20², 60⁴</t>
        </is>
      </c>
      <c r="K2320">
        <f>HYPERLINK("CSG4.html#group77B4", "77B⁴")</f>
        <v/>
      </c>
      <c r="L2320">
        <f>HYPERLINK("CSG23.html#group154B23", "154B²³")</f>
        <v/>
      </c>
      <c r="M2320">
        <f>HYPERLINK("CSG4.html#group77B4", "77B⁴"), =HYPERLINK("CSG0.html#group11A0", "11A⁰"), =HYPERLINK("CSG0.html#group1A0", "1A⁰"), =HYPERLINK("CSG0.html#group7A0", "7A⁰")</f>
        <v/>
      </c>
      <c r="N2320">
        <f>HYPERLINK("CSG23.html#group154B23", "154B²³")</f>
        <v/>
      </c>
    </row>
    <row r="2321">
      <c r="A2321" t="inlineStr">
        <is>
          <t>9A¹⁰</t>
        </is>
      </c>
      <c r="B2321" t="inlineStr">
        <is>
          <t>Γ(9)</t>
        </is>
      </c>
      <c r="C2321" t="inlineStr">
        <is>
          <t>324</t>
        </is>
      </c>
      <c r="D2321" t="inlineStr">
        <is>
          <t>1</t>
        </is>
      </c>
      <c r="E2321" t="inlineStr">
        <is>
          <t>1</t>
        </is>
      </c>
      <c r="F2321" t="inlineStr">
        <is>
          <t>0</t>
        </is>
      </c>
      <c r="G2321" t="inlineStr">
        <is>
          <t>0</t>
        </is>
      </c>
      <c r="H2321" t="inlineStr">
        <is>
          <t>9³⁶</t>
        </is>
      </c>
      <c r="I2321" t="n">
        <v>36</v>
      </c>
      <c r="J2321" t="inlineStr">
        <is>
          <t>1¹</t>
        </is>
      </c>
      <c r="K2321">
        <f>HYPERLINK("CSG1.html#group9H1", "9H¹"), =HYPERLINK("CSG3.html#group9A3", "9A³"), =HYPERLINK("CSG4.html#group9A4", "9A⁴"), =HYPERLINK("CSG4.html#group9B4", "9B⁴"), =HYPERLINK("CSG4.html#group9C4", "9C⁴")</f>
        <v/>
      </c>
      <c r="L2321" t="inlineStr"/>
      <c r="M2321">
        <f>HYPERLINK("CSG0.html#group3B0", "3B⁰"), =HYPERLINK("CSG0.html#group9J0", "9J⁰"), =HYPERLINK("CSG1.html#group9D1", "9D¹"), =HYPERLINK("CSG0.html#group9G0", "9G⁰"), =HYPERLINK("CSG1.html#group9H1", "9H¹"), =HYPERLINK("CSG3.html#group9A3", "9A³"), =HYPERLINK("CSG0.html#group9B0", "9B⁰"), =HYPERLINK("CSG1.html#group9E1", "9E¹"), =HYPERLINK("CSG2.html#group9B2", "9B²"), =HYPERLINK("CSG0.html#group9E0", "9E⁰"), =HYPERLINK("CSG0.html#group9C0", "9C⁰"), =HYPERLINK("CSG0.html#group1A0", "1A⁰"), =HYPERLINK("CSG1.html#group9B1", "9B¹"), =HYPERLINK("CSG0.html#group9D0", "9D⁰"), =HYPERLINK("CSG4.html#group9C4", "9C⁴"), =HYPERLINK("CSG4.html#group9B4", "9B⁴"), =HYPERLINK("CSG2.html#group9A2", "9A²"), =HYPERLINK("CSG0.html#group9A0", "9A⁰"), =HYPERLINK("CSG1.html#group9A1", "9A¹"), =HYPERLINK("CSG0.html#group9I0", "9I⁰"), =HYPERLINK("CSG0.html#group3C0", "3C⁰"), =HYPERLINK("CSG1.html#group9G1", "9G¹"), =HYPERLINK("CSG1.html#group9C1", "9C¹"), =HYPERLINK("CSG0.html#group9H0", "9H⁰"), =HYPERLINK("CSG4.html#group9A4", "9A⁴"), =HYPERLINK("CSG0.html#group3A0", "3A⁰"), =HYPERLINK("CSG0.html#group9F0", "9F⁰"), =HYPERLINK("CSG0.html#group3D0", "3D⁰"), =HYPERLINK("CSG1.html#group9F1", "9F¹")</f>
        <v/>
      </c>
      <c r="N2321" t="inlineStr"/>
    </row>
    <row r="2322">
      <c r="A2322" t="inlineStr">
        <is>
          <t>15A¹⁰</t>
        </is>
      </c>
      <c r="B2322" t="inlineStr"/>
      <c r="C2322" t="inlineStr">
        <is>
          <t>180</t>
        </is>
      </c>
      <c r="D2322" t="inlineStr">
        <is>
          <t>1</t>
        </is>
      </c>
      <c r="E2322" t="inlineStr">
        <is>
          <t>1</t>
        </is>
      </c>
      <c r="F2322" t="inlineStr">
        <is>
          <t>0</t>
        </is>
      </c>
      <c r="G2322" t="inlineStr">
        <is>
          <t>0</t>
        </is>
      </c>
      <c r="H2322" t="inlineStr">
        <is>
          <t>15¹²</t>
        </is>
      </c>
      <c r="I2322" t="n">
        <v>12</v>
      </c>
      <c r="J2322" t="inlineStr">
        <is>
          <t>1¹</t>
        </is>
      </c>
      <c r="K2322">
        <f>HYPERLINK("CSG0.html#group5H0", "5H⁰"), =HYPERLINK("CSG2.html#group15B2", "15B²"), =HYPERLINK("CSG3.html#group15B3", "15B³"), =HYPERLINK("CSG4.html#group15B4", "15B⁴"), =HYPERLINK("CSG4.html#group15D4", "15D⁴")</f>
        <v/>
      </c>
      <c r="L2322">
        <f>HYPERLINK("CSG19.html#group15A19", "15A¹⁹")</f>
        <v/>
      </c>
      <c r="M2322">
        <f>HYPERLINK("CSG0.html#group5A0", "5A⁰"), =HYPERLINK("CSG4.html#group15D4", "15D⁴"), =HYPERLINK("CSG4.html#group15B4", "15B⁴"), =HYPERLINK("CSG1.html#group15F1", "15F¹"), =HYPERLINK("CSG0.html#group5B0", "5B⁰"), =HYPERLINK("CSG0.html#group5F0", "5F⁰"), =HYPERLINK("CSG0.html#group5D0", "5D⁰"), =HYPERLINK("CSG0.html#group1A0", "1A⁰"), =HYPERLINK("CSG0.html#group5H0", "5H⁰"), =HYPERLINK("CSG1.html#group15D1", "15D¹"), =HYPERLINK("CSG0.html#group15B0", "15B⁰"), =HYPERLINK("CSG2.html#group15B2", "15B²"), =HYPERLINK("CSG0.html#group5E0", "5E⁰"), =HYPERLINK("CSG3.html#group15B3", "15B³"), =HYPERLINK("CSG0.html#group3A0", "3A⁰"), =HYPERLINK("CSG0.html#group5C0", "5C⁰"), =HYPERLINK("CSG0.html#group5G0", "5G⁰"), =HYPERLINK("CSG1.html#group15A1", "15A¹"), =HYPERLINK("CSG0.html#group15A0", "15A⁰")</f>
        <v/>
      </c>
      <c r="N2322">
        <f>HYPERLINK("CSG19.html#group15A19", "15A¹⁹")</f>
        <v/>
      </c>
    </row>
    <row r="2323">
      <c r="A2323" t="inlineStr">
        <is>
          <t>15B¹⁰</t>
        </is>
      </c>
      <c r="B2323" t="inlineStr"/>
      <c r="C2323" t="inlineStr">
        <is>
          <t>180</t>
        </is>
      </c>
      <c r="D2323" t="inlineStr">
        <is>
          <t>1</t>
        </is>
      </c>
      <c r="E2323" t="inlineStr">
        <is>
          <t>5</t>
        </is>
      </c>
      <c r="F2323" t="inlineStr">
        <is>
          <t>0</t>
        </is>
      </c>
      <c r="G2323" t="inlineStr">
        <is>
          <t>0</t>
        </is>
      </c>
      <c r="H2323" t="inlineStr">
        <is>
          <t>15¹²</t>
        </is>
      </c>
      <c r="I2323" t="n">
        <v>12</v>
      </c>
      <c r="J2323" t="inlineStr">
        <is>
          <t>1¹, 4¹</t>
        </is>
      </c>
      <c r="K2323">
        <f>HYPERLINK("CSG3.html#group15A3", "15A³"), =HYPERLINK("CSG3.html#group15D3", "15D³"), =HYPERLINK("CSG4.html#group15A4", "15A⁴"), =HYPERLINK("CSG4.html#group15C4", "15C⁴")</f>
        <v/>
      </c>
      <c r="L2323">
        <f>HYPERLINK("CSG19.html#group15B19", "15B¹⁹")</f>
        <v/>
      </c>
      <c r="M2323">
        <f>HYPERLINK("CSG0.html#group3B0", "3B⁰"), =HYPERLINK("CSG0.html#group5A0", "5A⁰"), =HYPERLINK("CSG4.html#group15A4", "15A⁴"), =HYPERLINK("CSG3.html#group15D3", "15D³"), =HYPERLINK("CSG1.html#group15F1", "15F¹"), =HYPERLINK("CSG0.html#group1A0", "1A⁰"), =HYPERLINK("CSG4.html#group15C4", "15C⁴"), =HYPERLINK("CSG3.html#group15A3", "15A³"), =HYPERLINK("CSG2.html#group15A2", "15A²"), =HYPERLINK("CSG1.html#group15B1", "15B¹"), =HYPERLINK("CSG0.html#group5E0", "5E⁰"), =HYPERLINK("CSG0.html#group3C0", "3C⁰"), =HYPERLINK("CSG0.html#group3A0", "3A⁰"), =HYPERLINK("CSG0.html#group3D0", "3D⁰"), =HYPERLINK("CSG1.html#group15A1", "15A¹"), =HYPERLINK("CSG0.html#group15A0", "15A⁰")</f>
        <v/>
      </c>
      <c r="N2323">
        <f>HYPERLINK("CSG19.html#group15B19", "15B¹⁹")</f>
        <v/>
      </c>
    </row>
    <row r="2324">
      <c r="A2324" t="inlineStr">
        <is>
          <t>16A¹⁰</t>
        </is>
      </c>
      <c r="B2324" t="inlineStr"/>
      <c r="C2324" t="inlineStr">
        <is>
          <t>192</t>
        </is>
      </c>
      <c r="D2324" t="inlineStr">
        <is>
          <t>1</t>
        </is>
      </c>
      <c r="E2324" t="inlineStr">
        <is>
          <t>48</t>
        </is>
      </c>
      <c r="F2324" t="inlineStr">
        <is>
          <t>4</t>
        </is>
      </c>
      <c r="G2324" t="inlineStr">
        <is>
          <t>0</t>
        </is>
      </c>
      <c r="H2324" t="inlineStr">
        <is>
          <t>16¹²</t>
        </is>
      </c>
      <c r="I2324" t="n">
        <v>12</v>
      </c>
      <c r="J2324" t="inlineStr">
        <is>
          <t>4², 8⁵</t>
        </is>
      </c>
      <c r="K2324">
        <f>HYPERLINK("CSG3.html#group16P3", "16P³"), =HYPERLINK("CSG4.html#group16B4", "16B⁴"), =HYPERLINK("CSG5.html#group16I5", "16I⁵")</f>
        <v/>
      </c>
      <c r="L2324">
        <f>HYPERLINK("CSG19.html#group16A19", "16A¹⁹"), =HYPERLINK("CSG21.html#group16D21", "16D²¹"), =HYPERLINK("CSG21.html#group16F21", "16F²¹"), =HYPERLINK("CSG22.html#group32A22", "32A²²"), =HYPERLINK("CSG22.html#group32B22", "32B²²"), =HYPERLINK("CSG24.html#group32A24", "32A²⁴"), =HYPERLINK("CSG24.html#group32B24", "32B²⁴")</f>
        <v/>
      </c>
      <c r="M2324">
        <f>HYPERLINK("CSG1.html#group16I1", "16I¹"), =HYPERLINK("CSG0.html#group8D0", "8D⁰"), =HYPERLINK("CSG0.html#group4C0", "4C⁰"), =HYPERLINK("CSG0.html#group8B0", "8B⁰"), =HYPERLINK("CSG3.html#group16P3", "16P³"), =HYPERLINK("CSG0.html#group8A0", "8A⁰"), =HYPERLINK("CSG0.html#group2B0", "2B⁰"), =HYPERLINK("CSG0.html#group1A0", "1A⁰"), =HYPERLINK("CSG0.html#group8K0", "8K⁰"), =HYPERLINK("CSG1.html#group8D1", "8D¹"), =HYPERLINK("CSG1.html#group8H1", "8H¹"), =HYPERLINK("CSG2.html#group16E2", "16E²"), =HYPERLINK("CSG0.html#group8H0", "8H⁰"), =HYPERLINK("CSG0.html#group16E0", "16E⁰"), =HYPERLINK("CSG4.html#group16B4", "16B⁴"), =HYPERLINK("CSG1.html#group16D1", "16D¹"), =HYPERLINK("CSG0.html#group4A0", "4A⁰"), =HYPERLINK("CSG5.html#group16I5", "16I⁵"), =HYPERLINK("CSG1.html#group16C1", "16C¹"), =HYPERLINK("CSG0.html#group4F0", "4F⁰")</f>
        <v/>
      </c>
      <c r="N2324">
        <f>HYPERLINK("CSG24.html#group32B24", "32B²⁴"), =HYPERLINK("CSG22.html#group32A22", "32A²²"), =HYPERLINK("CSG21.html#group16F21", "16F²¹"), =HYPERLINK("CSG19.html#group16A19", "16A¹⁹"), =HYPERLINK("CSG22.html#group32B22", "32B²²"), =HYPERLINK("CSG24.html#group32A24", "32A²⁴"), =HYPERLINK("CSG21.html#group16D21", "16D²¹")</f>
        <v/>
      </c>
    </row>
    <row r="2325">
      <c r="A2325" t="inlineStr">
        <is>
          <t>16B¹⁰</t>
        </is>
      </c>
      <c r="B2325" t="inlineStr"/>
      <c r="C2325" t="inlineStr">
        <is>
          <t>192</t>
        </is>
      </c>
      <c r="D2325" t="inlineStr">
        <is>
          <t>1</t>
        </is>
      </c>
      <c r="E2325" t="inlineStr">
        <is>
          <t>48</t>
        </is>
      </c>
      <c r="F2325" t="inlineStr">
        <is>
          <t>4</t>
        </is>
      </c>
      <c r="G2325" t="inlineStr">
        <is>
          <t>0</t>
        </is>
      </c>
      <c r="H2325" t="inlineStr">
        <is>
          <t>16¹²</t>
        </is>
      </c>
      <c r="I2325" t="n">
        <v>12</v>
      </c>
      <c r="J2325" t="inlineStr">
        <is>
          <t>4², 8⁵</t>
        </is>
      </c>
      <c r="K2325">
        <f>HYPERLINK("CSG3.html#group16Q3", "16Q³"), =HYPERLINK("CSG4.html#group16B4", "16B⁴"), =HYPERLINK("CSG5.html#group16J5", "16J⁵")</f>
        <v/>
      </c>
      <c r="L2325">
        <f>HYPERLINK("CSG19.html#group16A19", "16A¹⁹"), =HYPERLINK("CSG21.html#group16D21", "16D²¹"), =HYPERLINK("CSG21.html#group16F21", "16F²¹"), =HYPERLINK("CSG24.html#group32C24", "32C²⁴"), =HYPERLINK("CSG24.html#group32D24", "32D²⁴")</f>
        <v/>
      </c>
      <c r="M2325">
        <f>HYPERLINK("CSG0.html#group16A0", "16A⁰"), =HYPERLINK("CSG1.html#group16I1", "16I¹"), =HYPERLINK("CSG0.html#group8D0", "8D⁰"), =HYPERLINK("CSG0.html#group4C0", "4C⁰"), =HYPERLINK("CSG0.html#group8B0", "8B⁰"), =HYPERLINK("CSG0.html#group8A0", "8A⁰"), =HYPERLINK("CSG3.html#group16G3", "16G³"), =HYPERLINK("CSG0.html#group2B0", "2B⁰"), =HYPERLINK("CSG0.html#group8K0", "8K⁰"), =HYPERLINK("CSG0.html#group1A0", "1A⁰"), =HYPERLINK("CSG1.html#group8H1", "8H¹"), =HYPERLINK("CSG1.html#group8D1", "8D¹"), =HYPERLINK("CSG2.html#group16E2", "16E²"), =HYPERLINK("CSG0.html#group8H0", "8H⁰"), =HYPERLINK("CSG1.html#group16L1", "16L¹"), =HYPERLINK("CSG0.html#group16E0", "16E⁰"), =HYPERLINK("CSG4.html#group16B4", "16B⁴"), =HYPERLINK("CSG1.html#group16D1", "16D¹"), =HYPERLINK("CSG0.html#group4A0", "4A⁰"), =HYPERLINK("CSG1.html#group16C1", "16C¹"), =HYPERLINK("CSG0.html#group4F0", "4F⁰"), =HYPERLINK("CSG3.html#group16Q3", "16Q³"), =HYPERLINK("CSG5.html#group16J5", "16J⁵"), =HYPERLINK("CSG1.html#group16K1", "16K¹")</f>
        <v/>
      </c>
      <c r="N2325">
        <f>HYPERLINK("CSG21.html#group16F21", "16F²¹"), =HYPERLINK("CSG19.html#group16A19", "16A¹⁹"), =HYPERLINK("CSG24.html#group32D24", "32D²⁴"), =HYPERLINK("CSG24.html#group32C24", "32C²⁴"), =HYPERLINK("CSG21.html#group16D21", "16D²¹")</f>
        <v/>
      </c>
    </row>
    <row r="2326">
      <c r="A2326" t="inlineStr">
        <is>
          <t>16C¹⁰</t>
        </is>
      </c>
      <c r="B2326" t="inlineStr"/>
      <c r="C2326" t="inlineStr">
        <is>
          <t>192</t>
        </is>
      </c>
      <c r="D2326" t="inlineStr">
        <is>
          <t>1</t>
        </is>
      </c>
      <c r="E2326" t="inlineStr">
        <is>
          <t>48</t>
        </is>
      </c>
      <c r="F2326" t="inlineStr">
        <is>
          <t>4</t>
        </is>
      </c>
      <c r="G2326" t="inlineStr">
        <is>
          <t>0</t>
        </is>
      </c>
      <c r="H2326" t="inlineStr">
        <is>
          <t>16¹²</t>
        </is>
      </c>
      <c r="I2326" t="n">
        <v>12</v>
      </c>
      <c r="J2326" t="inlineStr">
        <is>
          <t>4², 8⁵</t>
        </is>
      </c>
      <c r="K2326">
        <f>HYPERLINK("CSG2.html#group8C2", "8C²"), =HYPERLINK("CSG2.html#group16H2", "16H²"), =HYPERLINK("CSG5.html#group16I5", "16I⁵"), =HYPERLINK("CSG5.html#group16J5", "16J⁵")</f>
        <v/>
      </c>
      <c r="L2326">
        <f>HYPERLINK("CSG19.html#group16A19", "16A¹⁹"), =HYPERLINK("CSG21.html#group16B21", "16B²¹"), =HYPERLINK("CSG21.html#group16F21", "16F²¹")</f>
        <v/>
      </c>
      <c r="M2326">
        <f>HYPERLINK("CSG0.html#group16A0", "16A⁰"), =HYPERLINK("CSG0.html#group8D0", "8D⁰"), =HYPERLINK("CSG0.html#group4C0", "4C⁰"), =HYPERLINK("CSG2.html#group8C2", "8C²"), =HYPERLINK("CSG0.html#group8A0", "8A⁰"), =HYPERLINK("CSG0.html#group8B0", "8B⁰"), =HYPERLINK("CSG3.html#group16G3", "16G³"), =HYPERLINK("CSG0.html#group2B0", "2B⁰"), =HYPERLINK("CSG0.html#group8L0", "8L⁰"), =HYPERLINK("CSG0.html#group8K0", "8K⁰"), =HYPERLINK("CSG0.html#group1A0", "1A⁰"), =HYPERLINK("CSG1.html#group8D1", "8D¹"), =HYPERLINK("CSG1.html#group8H1", "8H¹"), =HYPERLINK("CSG0.html#group8H0", "8H⁰"), =HYPERLINK("CSG0.html#group8F0", "8F⁰"), =HYPERLINK("CSG2.html#group16H2", "16H²"), =HYPERLINK("CSG5.html#group16I5", "16I⁵"), =HYPERLINK("CSG0.html#group4A0", "4A⁰"), =HYPERLINK("CSG1.html#group8I1", "8I¹"), =HYPERLINK("CSG0.html#group4F0", "4F⁰"), =HYPERLINK("CSG0.html#group8M0", "8M⁰"), =HYPERLINK("CSG0.html#group8P0", "8P⁰"), =HYPERLINK("CSG5.html#group16J5", "16J⁵")</f>
        <v/>
      </c>
      <c r="N2326">
        <f>HYPERLINK("CSG21.html#group16B21", "16B²¹"), =HYPERLINK("CSG21.html#group16F21", "16F²¹"), =HYPERLINK("CSG19.html#group16A19", "16A¹⁹")</f>
        <v/>
      </c>
    </row>
    <row r="2327">
      <c r="A2327" t="inlineStr">
        <is>
          <t>18A¹⁰</t>
        </is>
      </c>
      <c r="B2327" t="inlineStr"/>
      <c r="C2327" t="inlineStr">
        <is>
          <t>162</t>
        </is>
      </c>
      <c r="D2327" t="inlineStr">
        <is>
          <t>1</t>
        </is>
      </c>
      <c r="E2327" t="inlineStr">
        <is>
          <t>27</t>
        </is>
      </c>
      <c r="F2327" t="inlineStr">
        <is>
          <t>0</t>
        </is>
      </c>
      <c r="G2327" t="inlineStr">
        <is>
          <t>0</t>
        </is>
      </c>
      <c r="H2327" t="inlineStr">
        <is>
          <t>18⁹</t>
        </is>
      </c>
      <c r="I2327" t="n">
        <v>9</v>
      </c>
      <c r="J2327" t="inlineStr">
        <is>
          <t>3¹, 6⁴</t>
        </is>
      </c>
      <c r="K2327">
        <f>HYPERLINK("CSG0.html#group2C0", "2C⁰"), =HYPERLINK("CSG2.html#group18J2", "18J²"), =HYPERLINK("CSG4.html#group18K4", "18K⁴")</f>
        <v/>
      </c>
      <c r="L2327">
        <f>HYPERLINK("CSG22.html#group36B22", "36B²²")</f>
        <v/>
      </c>
      <c r="M2327">
        <f>HYPERLINK("CSG0.html#group2A0", "2A⁰"), =HYPERLINK("CSG4.html#group18K4", "18K⁴"), =HYPERLINK("CSG2.html#group18J2", "18J²"), =HYPERLINK("CSG0.html#group2B0", "2B⁰"), =HYPERLINK("CSG0.html#group9F0", "9F⁰"), =HYPERLINK("CSG0.html#group1A0", "1A⁰"), =HYPERLINK("CSG0.html#group2C0", "2C⁰")</f>
        <v/>
      </c>
      <c r="N2327">
        <f>HYPERLINK("CSG22.html#group36B22", "36B²²")</f>
        <v/>
      </c>
    </row>
    <row r="2328">
      <c r="A2328" t="inlineStr">
        <is>
          <t>18B¹⁰</t>
        </is>
      </c>
      <c r="B2328" t="inlineStr"/>
      <c r="C2328" t="inlineStr">
        <is>
          <t>162</t>
        </is>
      </c>
      <c r="D2328" t="inlineStr">
        <is>
          <t>1</t>
        </is>
      </c>
      <c r="E2328" t="inlineStr">
        <is>
          <t>27</t>
        </is>
      </c>
      <c r="F2328" t="inlineStr">
        <is>
          <t>0</t>
        </is>
      </c>
      <c r="G2328" t="inlineStr">
        <is>
          <t>0</t>
        </is>
      </c>
      <c r="H2328" t="inlineStr">
        <is>
          <t>18⁹</t>
        </is>
      </c>
      <c r="I2328" t="n">
        <v>9</v>
      </c>
      <c r="J2328" t="inlineStr">
        <is>
          <t>3¹, 6⁴</t>
        </is>
      </c>
      <c r="K2328">
        <f>HYPERLINK("CSG1.html#group9G1", "9G¹"), =HYPERLINK("CSG2.html#group18J2", "18J²"), =HYPERLINK("CSG4.html#group18B4", "18B⁴")</f>
        <v/>
      </c>
      <c r="L2328">
        <f>HYPERLINK("CSG19.html#group18B19", "18B¹⁹")</f>
        <v/>
      </c>
      <c r="M2328">
        <f>HYPERLINK("CSG0.html#group2A0", "2A⁰"), =HYPERLINK("CSG4.html#group18B4", "18B⁴"), =HYPERLINK("CSG0.html#group9A0", "9A⁰"), =HYPERLINK("CSG0.html#group9G0", "9G⁰"), =HYPERLINK("CSG1.html#group9G1", "9G¹"), =HYPERLINK("CSG2.html#group18J2", "18J²"), =HYPERLINK("CSG1.html#group6A1", "6A¹"), =HYPERLINK("CSG2.html#group18A2", "18A²"), =HYPERLINK("CSG0.html#group3A0", "3A⁰"), =HYPERLINK("CSG0.html#group9F0", "9F⁰"), =HYPERLINK("CSG0.html#group1A0", "1A⁰")</f>
        <v/>
      </c>
      <c r="N2328">
        <f>HYPERLINK("CSG19.html#group18B19", "18B¹⁹")</f>
        <v/>
      </c>
    </row>
    <row r="2329">
      <c r="A2329" t="inlineStr">
        <is>
          <t>18C¹⁰</t>
        </is>
      </c>
      <c r="B2329" t="inlineStr"/>
      <c r="C2329" t="inlineStr">
        <is>
          <t>162</t>
        </is>
      </c>
      <c r="D2329" t="inlineStr">
        <is>
          <t>1</t>
        </is>
      </c>
      <c r="E2329" t="inlineStr">
        <is>
          <t>27</t>
        </is>
      </c>
      <c r="F2329" t="inlineStr">
        <is>
          <t>0</t>
        </is>
      </c>
      <c r="G2329" t="inlineStr">
        <is>
          <t>0</t>
        </is>
      </c>
      <c r="H2329" t="inlineStr">
        <is>
          <t>18⁹</t>
        </is>
      </c>
      <c r="I2329" t="n">
        <v>9</v>
      </c>
      <c r="J2329" t="inlineStr">
        <is>
          <t>3¹, 6⁴</t>
        </is>
      </c>
      <c r="K2329">
        <f>HYPERLINK("CSG3.html#group18J3", "18J³"), =HYPERLINK("CSG4.html#group18A4", "18A⁴"), =HYPERLINK("CSG4.html#group18B4", "18B⁴")</f>
        <v/>
      </c>
      <c r="L2329">
        <f>HYPERLINK("CSG19.html#group18C19", "18C¹⁹"), =HYPERLINK("CSG19.html#group18E19", "18E¹⁹"), =HYPERLINK("CSG22.html#group36E22", "36E²²"), =HYPERLINK("CSG22.html#group36F22", "36F²²"), =HYPERLINK("CSG22.html#group36J22", "36J²²")</f>
        <v/>
      </c>
      <c r="M2329">
        <f>HYPERLINK("CSG0.html#group2A0", "2A⁰"), =HYPERLINK("CSG4.html#group18B4", "18B⁴"), =HYPERLINK("CSG0.html#group6A0", "6A⁰"), =HYPERLINK("CSG4.html#group18A4", "18A⁴"), =HYPERLINK("CSG3.html#group18J3", "18J³"), =HYPERLINK("CSG0.html#group9A0", "9A⁰"), =HYPERLINK("CSG1.html#group6C1", "6C¹"), =HYPERLINK("CSG0.html#group9G0", "9G⁰"), =HYPERLINK("CSG1.html#group6A1", "6A¹"), =HYPERLINK("CSG2.html#group18A2", "18A²"), =HYPERLINK("CSG0.html#group2B0", "2B⁰"), =HYPERLINK("CSG1.html#group18E1", "18E¹"), =HYPERLINK("CSG0.html#group3A0", "3A⁰"), =HYPERLINK("CSG0.html#group1A0", "1A⁰"), =HYPERLINK("CSG0.html#group2C0", "2C⁰"), =HYPERLINK("CSG0.html#group6D0", "6D⁰")</f>
        <v/>
      </c>
      <c r="N2329">
        <f>HYPERLINK("CSG19.html#group18E19", "18E¹⁹"), =HYPERLINK("CSG19.html#group18C19", "18C¹⁹"), =HYPERLINK("CSG22.html#group36J22", "36J²²"), =HYPERLINK("CSG22.html#group36E22", "36E²²"), =HYPERLINK("CSG22.html#group36F22", "36F²²")</f>
        <v/>
      </c>
    </row>
    <row r="2330">
      <c r="A2330" t="inlineStr">
        <is>
          <t>18D¹⁰</t>
        </is>
      </c>
      <c r="B2330" t="inlineStr"/>
      <c r="C2330" t="inlineStr">
        <is>
          <t>216</t>
        </is>
      </c>
      <c r="D2330" t="inlineStr">
        <is>
          <t>1</t>
        </is>
      </c>
      <c r="E2330" t="inlineStr">
        <is>
          <t>4</t>
        </is>
      </c>
      <c r="F2330" t="inlineStr">
        <is>
          <t>0</t>
        </is>
      </c>
      <c r="G2330" t="inlineStr">
        <is>
          <t>0</t>
        </is>
      </c>
      <c r="H2330" t="inlineStr">
        <is>
          <t>6⁹, 18⁹</t>
        </is>
      </c>
      <c r="I2330" t="n">
        <v>18</v>
      </c>
      <c r="J2330" t="inlineStr">
        <is>
          <t>1², 2¹</t>
        </is>
      </c>
      <c r="K2330">
        <f>HYPERLINK("CSG1.html#group9H1", "9H¹"), =HYPERLINK("CSG2.html#group18N2", "18N²"), =HYPERLINK("CSG3.html#group18F3", "18F³"), =HYPERLINK("CSG3.html#group18G3", "18G³"), =HYPERLINK("CSG4.html#group18E4", "18E⁴"), =HYPERLINK("CSG4.html#group18I4", "18I⁴")</f>
        <v/>
      </c>
      <c r="L2330" t="inlineStr"/>
      <c r="M2330">
        <f>HYPERLINK("CSG0.html#group2A0", "2A⁰"), =HYPERLINK("CSG1.html#group9H1", "9H¹"), =HYPERLINK("CSG0.html#group9E0", "9E⁰"), =HYPERLINK("CSG0.html#group9C0", "9C⁰"), =HYPERLINK("CSG0.html#group1A0", "1A⁰"), =HYPERLINK("CSG3.html#group18F3", "18F³"), =HYPERLINK("CSG1.html#group6B1", "6B¹"), =HYPERLINK("CSG1.html#group18C1", "18C¹"), =HYPERLINK("CSG2.html#group18N2", "18N²"), =HYPERLINK("CSG0.html#group9I0", "9I⁰"), =HYPERLINK("CSG0.html#group3C0", "3C⁰"), =HYPERLINK("CSG1.html#group6A1", "6A¹"), =HYPERLINK("CSG4.html#group18E4", "18E⁴"), =HYPERLINK("CSG4.html#group18I4", "18I⁴"), =HYPERLINK("CSG0.html#group3A0", "3A⁰"), =HYPERLINK("CSG1.html#group9D1", "9D¹"), =HYPERLINK("CSG2.html#group18F2", "18F²"), =HYPERLINK("CSG0.html#group3B0", "3B⁰"), =HYPERLINK("CSG0.html#group9J0", "9J⁰"), =HYPERLINK("CSG0.html#group6B0", "6B⁰"), =HYPERLINK("CSG0.html#group18B0", "18B⁰"), =HYPERLINK("CSG0.html#group6C0", "6C⁰"), =HYPERLINK("CSG0.html#group9B0", "9B⁰"), =HYPERLINK("CSG2.html#group18B2", "18B²"), =HYPERLINK("CSG1.html#group6D1", "6D¹"), =HYPERLINK("CSG3.html#group18G3", "18G³"), =HYPERLINK("CSG0.html#group6E0", "6E⁰"), =HYPERLINK("CSG1.html#group9A1", "9A¹"), =HYPERLINK("CSG1.html#group9C1", "9C¹"), =HYPERLINK("CSG1.html#group18F1", "18F¹"), =HYPERLINK("CSG0.html#group9H0", "9H⁰"), =HYPERLINK("CSG0.html#group3D0", "3D⁰")</f>
        <v/>
      </c>
      <c r="N2330" t="inlineStr"/>
    </row>
    <row r="2331">
      <c r="A2331" t="inlineStr">
        <is>
          <t>18E¹⁰</t>
        </is>
      </c>
      <c r="B2331" t="inlineStr"/>
      <c r="C2331" t="inlineStr">
        <is>
          <t>216</t>
        </is>
      </c>
      <c r="D2331" t="inlineStr">
        <is>
          <t>1</t>
        </is>
      </c>
      <c r="E2331" t="inlineStr">
        <is>
          <t>4</t>
        </is>
      </c>
      <c r="F2331" t="inlineStr">
        <is>
          <t>0</t>
        </is>
      </c>
      <c r="G2331" t="inlineStr">
        <is>
          <t>0</t>
        </is>
      </c>
      <c r="H2331" t="inlineStr">
        <is>
          <t>6⁹, 18⁹</t>
        </is>
      </c>
      <c r="I2331" t="n">
        <v>18</v>
      </c>
      <c r="J2331" t="inlineStr">
        <is>
          <t>1², 2¹</t>
        </is>
      </c>
      <c r="K2331">
        <f>HYPERLINK("CSG1.html#group6F1", "6F¹"), =HYPERLINK("CSG1.html#group18J1", "18J¹"), =HYPERLINK("CSG1.html#group18K1", "18K¹"), =HYPERLINK("CSG4.html#group18C4", "18C⁴"), =HYPERLINK("CSG4.html#group18D4", "18D⁴"), =HYPERLINK("CSG4.html#group18E4", "18E⁴"), =HYPERLINK("CSG4.html#group18F4", "18F⁴"), =HYPERLINK("CSG4.html#group18G4", "18G⁴"), =HYPERLINK("CSG4.html#group18H4", "18H⁴"), =HYPERLINK("CSG4.html#group18M4", "18M⁴")</f>
        <v/>
      </c>
      <c r="L2331">
        <f>HYPERLINK("CSG22.html#group36K22", "36K²²")</f>
        <v/>
      </c>
      <c r="M2331">
        <f>HYPERLINK("CSG0.html#group2A0", "2A⁰"), =HYPERLINK("CSG1.html#group18D1", "18D¹"), =HYPERLINK("CSG1.html#group6C1", "6C¹"), =HYPERLINK("CSG2.html#group18E2", "18E²"), =HYPERLINK("CSG0.html#group6G0", "6G⁰"), =HYPERLINK("CSG2.html#group18D2", "18D²"), =HYPERLINK("CSG4.html#group18F4", "18F⁴"), =HYPERLINK("CSG0.html#group2B0", "2B⁰"), =HYPERLINK("CSG0.html#group9C0", "9C⁰"), =HYPERLINK("CSG0.html#group1A0", "1A⁰"), =HYPERLINK("CSG4.html#group18G4", "18G⁴"), =HYPERLINK("CSG0.html#group18C0", "18C⁰"), =HYPERLINK("CSG1.html#group6B1", "6B¹"), =HYPERLINK("CSG2.html#group18C2", "18C²"), =HYPERLINK("CSG1.html#group18C1", "18C¹"), =HYPERLINK("CSG0.html#group3C0", "3C⁰"), =HYPERLINK("CSG0.html#group6K0", "6K⁰"), =HYPERLINK("CSG1.html#group6A1", "6A¹"), =HYPERLINK("CSG4.html#group18E4", "18E⁴"), =HYPERLINK("CSG0.html#group6H0", "6H⁰"), =HYPERLINK("CSG0.html#group3A0", "3A⁰"), =HYPERLINK("CSG0.html#group6F0", "6F⁰"), =HYPERLINK("CSG1.html#group6E1", "6E¹"), =HYPERLINK("CSG0.html#group3B0", "3B⁰"), =HYPERLINK("CSG0.html#group6B0", "6B⁰"), =HYPERLINK("CSG1.html#group18K1", "18K¹"), =HYPERLINK("CSG0.html#group18B0", "18B⁰"), =HYPERLINK("CSG1.html#group6F1", "6F¹"), =HYPERLINK("CSG0.html#group6C0", "6C⁰"), =HYPERLINK("CSG0.html#group6I0", "6I⁰"), =HYPERLINK("CSG0.html#group9B0", "9B⁰"), =HYPERLINK("CSG1.html#group18J1", "18J¹"), =HYPERLINK("CSG4.html#group18H4", "18H⁴"), =HYPERLINK("CSG2.html#group18B2", "18B²"), =HYPERLINK("CSG0.html#group18E0", "18E⁰"), =HYPERLINK("CSG0.html#group6A0", "6A⁰"), =HYPERLINK("CSG1.html#group6D1", "6D¹"), =HYPERLINK("CSG0.html#group6E0", "6E⁰"), =HYPERLINK("CSG0.html#group6L0", "6L⁰"), =HYPERLINK("CSG1.html#group9A1", "9A¹"), =HYPERLINK("CSG0.html#group6J0", "6J⁰"), =HYPERLINK("CSG1.html#group9C1", "9C¹"), =HYPERLINK("CSG4.html#group18D4", "18D⁴"), =HYPERLINK("CSG4.html#group18M4", "18M⁴"), =HYPERLINK("CSG0.html#group3D0", "3D⁰"), =HYPERLINK("CSG0.html#group2C0", "2C⁰"), =HYPERLINK("CSG0.html#group6D0", "6D⁰"), =HYPERLINK("CSG4.html#group18C4", "18C⁴")</f>
        <v/>
      </c>
      <c r="N2331">
        <f>HYPERLINK("CSG22.html#group36K22", "36K²²")</f>
        <v/>
      </c>
    </row>
    <row r="2332">
      <c r="A2332" t="inlineStr">
        <is>
          <t>18F¹⁰</t>
        </is>
      </c>
      <c r="B2332" t="inlineStr"/>
      <c r="C2332" t="inlineStr">
        <is>
          <t>216</t>
        </is>
      </c>
      <c r="D2332" t="inlineStr">
        <is>
          <t>1</t>
        </is>
      </c>
      <c r="E2332" t="inlineStr">
        <is>
          <t>8</t>
        </is>
      </c>
      <c r="F2332" t="inlineStr">
        <is>
          <t>0</t>
        </is>
      </c>
      <c r="G2332" t="inlineStr">
        <is>
          <t>0</t>
        </is>
      </c>
      <c r="H2332" t="inlineStr">
        <is>
          <t>6⁹, 18⁹</t>
        </is>
      </c>
      <c r="I2332" t="n">
        <v>18</v>
      </c>
      <c r="J2332" t="inlineStr">
        <is>
          <t>1⁴, 2²</t>
        </is>
      </c>
      <c r="K2332">
        <f>HYPERLINK("CSG2.html#group18O2", "18O²"), =HYPERLINK("CSG3.html#group18H3", "18H³"), =HYPERLINK("CSG3.html#group18I3", "18I³"), =HYPERLINK("CSG4.html#group18E4", "18E⁴"), =HYPERLINK("CSG4.html#group18J4", "18J⁴")</f>
        <v/>
      </c>
      <c r="L2332" t="inlineStr"/>
      <c r="M2332">
        <f>HYPERLINK("CSG0.html#group3B0", "3B⁰"), =HYPERLINK("CSG0.html#group2A0", "2A⁰"), =HYPERLINK("CSG0.html#group6B0", "6B⁰"), =HYPERLINK("CSG0.html#group18B0", "18B⁰"), =HYPERLINK("CSG0.html#group6C0", "6C⁰"), =HYPERLINK("CSG0.html#group9B0", "9B⁰"), =HYPERLINK("CSG2.html#group18O2", "18O²"), =HYPERLINK("CSG0.html#group9C0", "9C⁰"), =HYPERLINK("CSG0.html#group1A0", "1A⁰"), =HYPERLINK("CSG2.html#group18B2", "18B²"), =HYPERLINK("CSG4.html#group18J4", "18J⁴"), =HYPERLINK("CSG1.html#group6D1", "6D¹"), =HYPERLINK("CSG0.html#group6E0", "6E⁰"), =HYPERLINK("CSG1.html#group6B1", "6B¹"), =HYPERLINK("CSG3.html#group18H3", "18H³"), =HYPERLINK("CSG1.html#group18C1", "18C¹"), =HYPERLINK("CSG1.html#group9A1", "9A¹"), =HYPERLINK("CSG0.html#group3C0", "3C⁰"), =HYPERLINK("CSG1.html#group9C1", "9C¹"), =HYPERLINK("CSG1.html#group6A1", "6A¹"), =HYPERLINK("CSG1.html#group18G1", "18G¹"), =HYPERLINK("CSG4.html#group18E4", "18E⁴"), =HYPERLINK("CSG0.html#group3A0", "3A⁰"), =HYPERLINK("CSG3.html#group18I3", "18I³"), =HYPERLINK("CSG0.html#group3D0", "3D⁰")</f>
        <v/>
      </c>
      <c r="N2332" t="inlineStr"/>
    </row>
    <row r="2333">
      <c r="A2333" t="inlineStr">
        <is>
          <t>18G¹⁰</t>
        </is>
      </c>
      <c r="B2333" t="inlineStr"/>
      <c r="C2333" t="inlineStr">
        <is>
          <t>216</t>
        </is>
      </c>
      <c r="D2333" t="inlineStr">
        <is>
          <t>1</t>
        </is>
      </c>
      <c r="E2333" t="inlineStr">
        <is>
          <t>12</t>
        </is>
      </c>
      <c r="F2333" t="inlineStr">
        <is>
          <t>0</t>
        </is>
      </c>
      <c r="G2333" t="inlineStr">
        <is>
          <t>0</t>
        </is>
      </c>
      <c r="H2333" t="inlineStr">
        <is>
          <t>6⁹, 18⁹</t>
        </is>
      </c>
      <c r="I2333" t="n">
        <v>18</v>
      </c>
      <c r="J2333" t="inlineStr">
        <is>
          <t>1², 2², 6¹</t>
        </is>
      </c>
      <c r="K2333">
        <f>HYPERLINK("CSG2.html#group18N2", "18N²"), =HYPERLINK("CSG2.html#group18O2", "18O²"), =HYPERLINK("CSG4.html#group18C4", "18C⁴"), =HYPERLINK("CSG4.html#group18P4", "18P⁴")</f>
        <v/>
      </c>
      <c r="L2333">
        <f>HYPERLINK("CSG22.html#group36N22", "36N²²")</f>
        <v/>
      </c>
      <c r="M2333">
        <f>HYPERLINK("CSG0.html#group3B0", "3B⁰"), =HYPERLINK("CSG0.html#group2A0", "2A⁰"), =HYPERLINK("CSG0.html#group9J0", "9J⁰"), =HYPERLINK("CSG0.html#group18B0", "18B⁰"), =HYPERLINK("CSG0.html#group6I0", "6I⁰"), =HYPERLINK("CSG0.html#group6C0", "6C⁰"), =HYPERLINK("CSG2.html#group18D2", "18D²"), =HYPERLINK("CSG0.html#group2B0", "2B⁰"), =HYPERLINK("CSG0.html#group9C0", "9C⁰"), =HYPERLINK("CSG2.html#group18O2", "18O²"), =HYPERLINK("CSG0.html#group1A0", "1A⁰"), =HYPERLINK("CSG4.html#group18P4", "18P⁴"), =HYPERLINK("CSG2.html#group18C2", "18C²"), =HYPERLINK("CSG2.html#group18N2", "18N²"), =HYPERLINK("CSG0.html#group6F0", "6F⁰"), =HYPERLINK("CSG0.html#group2C0", "2C⁰"), =HYPERLINK("CSG4.html#group18C4", "18C⁴")</f>
        <v/>
      </c>
      <c r="N2333">
        <f>HYPERLINK("CSG22.html#group36N22", "36N²²")</f>
        <v/>
      </c>
    </row>
    <row r="2334">
      <c r="A2334" t="inlineStr">
        <is>
          <t>18H¹⁰</t>
        </is>
      </c>
      <c r="B2334" t="inlineStr"/>
      <c r="C2334" t="inlineStr">
        <is>
          <t>216</t>
        </is>
      </c>
      <c r="D2334" t="inlineStr">
        <is>
          <t>1</t>
        </is>
      </c>
      <c r="E2334" t="inlineStr">
        <is>
          <t>12</t>
        </is>
      </c>
      <c r="F2334" t="inlineStr">
        <is>
          <t>0</t>
        </is>
      </c>
      <c r="G2334" t="inlineStr">
        <is>
          <t>0</t>
        </is>
      </c>
      <c r="H2334" t="inlineStr">
        <is>
          <t>6⁹, 18⁹</t>
        </is>
      </c>
      <c r="I2334" t="n">
        <v>18</v>
      </c>
      <c r="J2334" t="inlineStr">
        <is>
          <t>1², 2², 6¹</t>
        </is>
      </c>
      <c r="K2334">
        <f>HYPERLINK("CSG4.html#group18D4", "18D⁴"), =HYPERLINK("CSG4.html#group18I4", "18I⁴"), =HYPERLINK("CSG4.html#group18J4", "18J⁴"), =HYPERLINK("CSG4.html#group18Q4", "18Q⁴")</f>
        <v/>
      </c>
      <c r="L2334">
        <f>HYPERLINK("CSG22.html#group36O22", "36O²²")</f>
        <v/>
      </c>
      <c r="M2334">
        <f>HYPERLINK("CSG0.html#group3B0", "3B⁰"), =HYPERLINK("CSG0.html#group2A0", "2A⁰"), =HYPERLINK("CSG0.html#group6I0", "6I⁰"), =HYPERLINK("CSG0.html#group6C0", "6C⁰"), =HYPERLINK("CSG2.html#group18E2", "18E²"), =HYPERLINK("CSG0.html#group2B0", "2B⁰"), =HYPERLINK("CSG0.html#group1A0", "1A⁰"), =HYPERLINK("CSG2.html#group18B2", "18B²"), =HYPERLINK("CSG4.html#group18J4", "18J⁴"), =HYPERLINK("CSG1.html#group9A1", "9A¹"), =HYPERLINK("CSG4.html#group18Q4", "18Q⁴"), =HYPERLINK("CSG4.html#group18D4", "18D⁴"), =HYPERLINK("CSG4.html#group18I4", "18I⁴"), =HYPERLINK("CSG1.html#group9D1", "9D¹"), =HYPERLINK("CSG0.html#group6F0", "6F⁰"), =HYPERLINK("CSG0.html#group2C0", "2C⁰"), =HYPERLINK("CSG1.html#group18D1", "18D¹")</f>
        <v/>
      </c>
      <c r="N2334">
        <f>HYPERLINK("CSG22.html#group36O22", "36O²²")</f>
        <v/>
      </c>
    </row>
    <row r="2335">
      <c r="A2335" t="inlineStr">
        <is>
          <t>18I¹⁰</t>
        </is>
      </c>
      <c r="B2335" t="inlineStr"/>
      <c r="C2335" t="inlineStr">
        <is>
          <t>216</t>
        </is>
      </c>
      <c r="D2335" t="inlineStr">
        <is>
          <t>1</t>
        </is>
      </c>
      <c r="E2335" t="inlineStr">
        <is>
          <t>24</t>
        </is>
      </c>
      <c r="F2335" t="inlineStr">
        <is>
          <t>0</t>
        </is>
      </c>
      <c r="G2335" t="inlineStr">
        <is>
          <t>0</t>
        </is>
      </c>
      <c r="H2335" t="inlineStr">
        <is>
          <t>6⁹, 18⁹</t>
        </is>
      </c>
      <c r="I2335" t="n">
        <v>18</v>
      </c>
      <c r="J2335" t="inlineStr">
        <is>
          <t>2⁶, 6²</t>
        </is>
      </c>
      <c r="K2335">
        <f>HYPERLINK("CSG3.html#group18G3", "18G³"), =HYPERLINK("CSG3.html#group18I3", "18I³"), =HYPERLINK("CSG4.html#group18G4", "18G⁴")</f>
        <v/>
      </c>
      <c r="L2335" t="inlineStr"/>
      <c r="M2335">
        <f>HYPERLINK("CSG0.html#group3B0", "3B⁰"), =HYPERLINK("CSG0.html#group2A0", "2A⁰"), =HYPERLINK("CSG0.html#group6A0", "6A⁰"), =HYPERLINK("CSG3.html#group18G3", "18G³"), =HYPERLINK("CSG1.html#group18D1", "18D¹"), =HYPERLINK("CSG1.html#group18C1", "18C¹"), =HYPERLINK("CSG2.html#group18C2", "18C²"), =HYPERLINK("CSG0.html#group6C0", "6C⁰"), =HYPERLINK("CSG0.html#group6J0", "6J⁰"), =HYPERLINK("CSG0.html#group9I0", "9I⁰"), =HYPERLINK("CSG0.html#group9B0", "9B⁰"), =HYPERLINK("CSG3.html#group18I3", "18I³"), =HYPERLINK("CSG0.html#group1A0", "1A⁰"), =HYPERLINK("CSG4.html#group18G4", "18G⁴")</f>
        <v/>
      </c>
      <c r="N2335" t="inlineStr"/>
    </row>
    <row r="2336">
      <c r="A2336" t="inlineStr">
        <is>
          <t>18J¹⁰</t>
        </is>
      </c>
      <c r="B2336" t="inlineStr"/>
      <c r="C2336" t="inlineStr">
        <is>
          <t>216</t>
        </is>
      </c>
      <c r="D2336" t="inlineStr">
        <is>
          <t>1</t>
        </is>
      </c>
      <c r="E2336" t="inlineStr">
        <is>
          <t>24</t>
        </is>
      </c>
      <c r="F2336" t="inlineStr">
        <is>
          <t>0</t>
        </is>
      </c>
      <c r="G2336" t="inlineStr">
        <is>
          <t>0</t>
        </is>
      </c>
      <c r="H2336" t="inlineStr">
        <is>
          <t>6⁹, 18⁹</t>
        </is>
      </c>
      <c r="I2336" t="n">
        <v>18</v>
      </c>
      <c r="J2336" t="inlineStr">
        <is>
          <t>2⁶, 6²</t>
        </is>
      </c>
      <c r="K2336">
        <f>HYPERLINK("CSG4.html#group18F4", "18F⁴"), =HYPERLINK("CSG4.html#group18I4", "18I⁴"), =HYPERLINK("CSG4.html#group18J4", "18J⁴")</f>
        <v/>
      </c>
      <c r="L2336" t="inlineStr"/>
      <c r="M2336">
        <f>HYPERLINK("CSG0.html#group3B0", "3B⁰"), =HYPERLINK("CSG0.html#group2A0", "2A⁰"), =HYPERLINK("CSG2.html#group18B2", "18B²"), =HYPERLINK("CSG0.html#group18C0", "18C⁰"), =HYPERLINK("CSG4.html#group18J4", "18J⁴"), =HYPERLINK("CSG0.html#group6A0", "6A⁰"), =HYPERLINK("CSG1.html#group9A1", "9A¹"), =HYPERLINK("CSG0.html#group6C0", "6C⁰"), =HYPERLINK("CSG0.html#group6J0", "6J⁰"), =HYPERLINK("CSG4.html#group18F4", "18F⁴"), =HYPERLINK("CSG4.html#group18I4", "18I⁴"), =HYPERLINK("CSG1.html#group9D1", "9D¹"), =HYPERLINK("CSG0.html#group1A0", "1A⁰"), =HYPERLINK("CSG2.html#group18C2", "18C²")</f>
        <v/>
      </c>
      <c r="N2336" t="inlineStr"/>
    </row>
    <row r="2337">
      <c r="A2337" t="inlineStr">
        <is>
          <t>18K¹⁰</t>
        </is>
      </c>
      <c r="B2337" t="inlineStr"/>
      <c r="C2337" t="inlineStr">
        <is>
          <t>216</t>
        </is>
      </c>
      <c r="D2337" t="inlineStr">
        <is>
          <t>1</t>
        </is>
      </c>
      <c r="E2337" t="inlineStr">
        <is>
          <t>24</t>
        </is>
      </c>
      <c r="F2337" t="inlineStr">
        <is>
          <t>0</t>
        </is>
      </c>
      <c r="G2337" t="inlineStr">
        <is>
          <t>0</t>
        </is>
      </c>
      <c r="H2337" t="inlineStr">
        <is>
          <t>6⁹, 18⁹</t>
        </is>
      </c>
      <c r="I2337" t="n">
        <v>18</v>
      </c>
      <c r="J2337" t="inlineStr">
        <is>
          <t>2¹²</t>
        </is>
      </c>
      <c r="K2337">
        <f>HYPERLINK("CSG3.html#group18F3", "18F³"), =HYPERLINK("CSG3.html#group18H3", "18H³"), =HYPERLINK("CSG4.html#group18H4", "18H⁴")</f>
        <v/>
      </c>
      <c r="L2337" t="inlineStr"/>
      <c r="M2337">
        <f>HYPERLINK("CSG0.html#group3B0", "3B⁰"), =HYPERLINK("CSG0.html#group2A0", "2A⁰"), =HYPERLINK("CSG2.html#group18F2", "18F²"), =HYPERLINK("CSG0.html#group6B0", "6B⁰"), =HYPERLINK("CSG0.html#group6C0", "6C⁰"), =HYPERLINK("CSG0.html#group9E0", "9E⁰"), =HYPERLINK("CSG0.html#group1A0", "1A⁰"), =HYPERLINK("CSG4.html#group18H4", "18H⁴"), =HYPERLINK("CSG0.html#group18C0", "18C⁰"), =HYPERLINK("CSG3.html#group18F3", "18F³"), =HYPERLINK("CSG1.html#group6D1", "6D¹"), =HYPERLINK("CSG0.html#group6E0", "6E⁰"), =HYPERLINK("CSG1.html#group6B1", "6B¹"), =HYPERLINK("CSG2.html#group18C2", "18C²"), =HYPERLINK("CSG3.html#group18H3", "18H³"), =HYPERLINK("CSG0.html#group3C0", "3C⁰"), =HYPERLINK("CSG1.html#group6A1", "6A¹"), =HYPERLINK("CSG1.html#group18G1", "18G¹"), =HYPERLINK("CSG1.html#group18F1", "18F¹"), =HYPERLINK("CSG0.html#group9H0", "9H⁰"), =HYPERLINK("CSG0.html#group3A0", "3A⁰"), =HYPERLINK("CSG0.html#group3D0", "3D⁰"), =HYPERLINK("CSG1.html#group18D1", "18D¹")</f>
        <v/>
      </c>
      <c r="N2337" t="inlineStr"/>
    </row>
    <row r="2338">
      <c r="A2338" t="inlineStr">
        <is>
          <t>18L¹⁰</t>
        </is>
      </c>
      <c r="B2338" t="inlineStr"/>
      <c r="C2338" t="inlineStr">
        <is>
          <t>243</t>
        </is>
      </c>
      <c r="D2338" t="inlineStr">
        <is>
          <t>1</t>
        </is>
      </c>
      <c r="E2338" t="inlineStr">
        <is>
          <t>81</t>
        </is>
      </c>
      <c r="F2338" t="inlineStr">
        <is>
          <t>9</t>
        </is>
      </c>
      <c r="G2338" t="inlineStr">
        <is>
          <t>0</t>
        </is>
      </c>
      <c r="H2338" t="inlineStr">
        <is>
          <t>9⁹, 18⁹</t>
        </is>
      </c>
      <c r="I2338" t="n">
        <v>18</v>
      </c>
      <c r="J2338" t="inlineStr">
        <is>
          <t>3³, 6¹²</t>
        </is>
      </c>
      <c r="K2338">
        <f>HYPERLINK("CSG1.html#group9G1", "9G¹"), =HYPERLINK("CSG3.html#group18J3", "18J³"), =HYPERLINK("CSG4.html#group18K4", "18K⁴")</f>
        <v/>
      </c>
      <c r="L2338">
        <f>HYPERLINK("CSG22.html#group18A22", "18A²²")</f>
        <v/>
      </c>
      <c r="M2338">
        <f>HYPERLINK("CSG3.html#group18J3", "18J³"), =HYPERLINK("CSG0.html#group9A0", "9A⁰"), =HYPERLINK("CSG4.html#group18K4", "18K⁴"), =HYPERLINK("CSG0.html#group9G0", "9G⁰"), =HYPERLINK("CSG1.html#group9G1", "9G¹"), =HYPERLINK("CSG0.html#group2B0", "2B⁰"), =HYPERLINK("CSG1.html#group18E1", "18E¹"), =HYPERLINK("CSG0.html#group3A0", "3A⁰"), =HYPERLINK("CSG0.html#group9F0", "9F⁰"), =HYPERLINK("CSG0.html#group1A0", "1A⁰"), =HYPERLINK("CSG0.html#group6D0", "6D⁰")</f>
        <v/>
      </c>
      <c r="N2338">
        <f>HYPERLINK("CSG22.html#group18A22", "18A²²")</f>
        <v/>
      </c>
    </row>
    <row r="2339">
      <c r="A2339" t="inlineStr">
        <is>
          <t>18M¹⁰</t>
        </is>
      </c>
      <c r="B2339" t="inlineStr"/>
      <c r="C2339" t="inlineStr">
        <is>
          <t>324</t>
        </is>
      </c>
      <c r="D2339" t="inlineStr">
        <is>
          <t>1</t>
        </is>
      </c>
      <c r="E2339" t="inlineStr">
        <is>
          <t>12</t>
        </is>
      </c>
      <c r="F2339" t="inlineStr">
        <is>
          <t>0</t>
        </is>
      </c>
      <c r="G2339" t="inlineStr">
        <is>
          <t>0</t>
        </is>
      </c>
      <c r="H2339" t="inlineStr">
        <is>
          <t>3⁹, 6⁹, 9⁹, 18⁹</t>
        </is>
      </c>
      <c r="I2339" t="n">
        <v>36</v>
      </c>
      <c r="J2339" t="inlineStr">
        <is>
          <t>1⁶, 2³</t>
        </is>
      </c>
      <c r="K2339">
        <f>HYPERLINK("CSG1.html#group9H1", "9H¹"), =HYPERLINK("CSG2.html#group18P2", "18P²"), =HYPERLINK("CSG2.html#group18Q2", "18Q²"), =HYPERLINK("CSG4.html#group18M4", "18M⁴"), =HYPERLINK("CSG4.html#group18P4", "18P⁴"), =HYPERLINK("CSG4.html#group18Q4", "18Q⁴")</f>
        <v/>
      </c>
      <c r="L2339" t="inlineStr"/>
      <c r="M2339">
        <f>HYPERLINK("CSG0.html#group3B0", "3B⁰"), =HYPERLINK("CSG0.html#group9J0", "9J⁰"), =HYPERLINK("CSG1.html#group18I1", "18I¹"), =HYPERLINK("CSG2.html#group18E2", "18E²"), =HYPERLINK("CSG1.html#group9H1", "9H¹"), =HYPERLINK("CSG0.html#group9B0", "9B⁰"), =HYPERLINK("CSG2.html#group18D2", "18D²"), =HYPERLINK("CSG0.html#group6G0", "6G⁰"), =HYPERLINK("CSG0.html#group2B0", "2B⁰"), =HYPERLINK("CSG0.html#group9C0", "9C⁰"), =HYPERLINK("CSG0.html#group9E0", "9E⁰"), =HYPERLINK("CSG0.html#group1A0", "1A⁰"), =HYPERLINK("CSG0.html#group3D0", "3D⁰"), =HYPERLINK("CSG4.html#group18P4", "18P⁴"), =HYPERLINK("CSG0.html#group18E0", "18E⁰"), =HYPERLINK("CSG2.html#group18Q2", "18Q²"), =HYPERLINK("CSG1.html#group9A1", "9A¹"), =HYPERLINK("CSG4.html#group18Q4", "18Q⁴"), =HYPERLINK("CSG2.html#group18P2", "18P²"), =HYPERLINK("CSG0.html#group9I0", "9I⁰"), =HYPERLINK("CSG1.html#group9C1", "9C¹"), =HYPERLINK("CSG0.html#group3C0", "3C⁰"), =HYPERLINK("CSG0.html#group9H0", "9H⁰"), =HYPERLINK("CSG4.html#group18M4", "18M⁴"), =HYPERLINK("CSG0.html#group3A0", "3A⁰"), =HYPERLINK("CSG1.html#group9D1", "9D¹"), =HYPERLINK("CSG0.html#group6F0", "6F⁰"), =HYPERLINK("CSG0.html#group6K0", "6K⁰"), =HYPERLINK("CSG0.html#group6D0", "6D⁰")</f>
        <v/>
      </c>
      <c r="N2339" t="inlineStr"/>
    </row>
    <row r="2340">
      <c r="A2340" t="inlineStr">
        <is>
          <t>20A¹⁰</t>
        </is>
      </c>
      <c r="B2340" t="inlineStr"/>
      <c r="C2340" t="inlineStr">
        <is>
          <t>180</t>
        </is>
      </c>
      <c r="D2340" t="inlineStr">
        <is>
          <t>1</t>
        </is>
      </c>
      <c r="E2340" t="inlineStr">
        <is>
          <t>15</t>
        </is>
      </c>
      <c r="F2340" t="inlineStr">
        <is>
          <t>0</t>
        </is>
      </c>
      <c r="G2340" t="inlineStr">
        <is>
          <t>0</t>
        </is>
      </c>
      <c r="H2340" t="inlineStr">
        <is>
          <t>10⁶, 20⁶</t>
        </is>
      </c>
      <c r="I2340" t="n">
        <v>12</v>
      </c>
      <c r="J2340" t="inlineStr">
        <is>
          <t>1³, 4³</t>
        </is>
      </c>
      <c r="K2340">
        <f>HYPERLINK("CSG4.html#group10A4", "10A⁴"), =HYPERLINK("CSG4.html#group20A4", "20A⁴"), =HYPERLINK("CSG4.html#group20D4", "20D⁴"), =HYPERLINK("CSG4.html#group20E4", "20E⁴")</f>
        <v/>
      </c>
      <c r="L2340">
        <f>HYPERLINK("CSG19.html#group20D19", "20D¹⁹"), =HYPERLINK("CSG22.html#group20A22", "20A²²"), =HYPERLINK("CSG22.html#group20C22", "20C²²"), =HYPERLINK("CSG22.html#group40A22", "40A²²"), =HYPERLINK("CSG22.html#group40C22", "40C²²"), =HYPERLINK("CSG22.html#group40E22", "40E²²"), =HYPERLINK("CSG22.html#group40L22", "40L²²")</f>
        <v/>
      </c>
      <c r="M2340">
        <f>HYPERLINK("CSG2.html#group20A2", "20A²"), =HYPERLINK("CSG4.html#group20D4", "20D⁴"), =HYPERLINK("CSG0.html#group2A0", "2A⁰"), =HYPERLINK("CSG0.html#group5A0", "5A⁰"), =HYPERLINK("CSG4.html#group10A4", "10A⁴"), =HYPERLINK("CSG2.html#group10A2", "10A²"), =HYPERLINK("CSG4.html#group20E4", "20E⁴"), =HYPERLINK("CSG1.html#group10B1", "10B¹"), =HYPERLINK("CSG2.html#group20B2", "20B²"), =HYPERLINK("CSG0.html#group4C0", "4C⁰"), =HYPERLINK("CSG0.html#group2B0", "2B⁰"), =HYPERLINK("CSG0.html#group4E0", "4E⁰"), =HYPERLINK("CSG2.html#group10B2", "10B²"), =HYPERLINK("CSG0.html#group4B0", "4B⁰"), =HYPERLINK("CSG0.html#group1A0", "1A⁰"), =HYPERLINK("CSG0.html#group10A0", "10A⁰"), =HYPERLINK("CSG1.html#group10I1", "10I¹"), =HYPERLINK("CSG0.html#group10E0", "10E⁰"), =HYPERLINK("CSG4.html#group20A4", "20A⁴"), =HYPERLINK("CSG0.html#group5E0", "5E⁰"), =HYPERLINK("CSG0.html#group2C0", "2C⁰")</f>
        <v/>
      </c>
      <c r="N2340">
        <f>HYPERLINK("CSG22.html#group20A22", "20A²²"), =HYPERLINK("CSG22.html#group40C22", "40C²²"), =HYPERLINK("CSG22.html#group40L22", "40L²²"), =HYPERLINK("CSG19.html#group20D19", "20D¹⁹"), =HYPERLINK("CSG22.html#group40E22", "40E²²"), =HYPERLINK("CSG22.html#group20C22", "20C²²"), =HYPERLINK("CSG22.html#group40A22", "40A²²")</f>
        <v/>
      </c>
    </row>
    <row r="2341">
      <c r="A2341" t="inlineStr">
        <is>
          <t>20B¹⁰</t>
        </is>
      </c>
      <c r="B2341" t="inlineStr"/>
      <c r="C2341" t="inlineStr">
        <is>
          <t>180</t>
        </is>
      </c>
      <c r="D2341" t="inlineStr">
        <is>
          <t>1</t>
        </is>
      </c>
      <c r="E2341" t="inlineStr">
        <is>
          <t>30</t>
        </is>
      </c>
      <c r="F2341" t="inlineStr">
        <is>
          <t>6</t>
        </is>
      </c>
      <c r="G2341" t="inlineStr">
        <is>
          <t>0</t>
        </is>
      </c>
      <c r="H2341" t="inlineStr">
        <is>
          <t>20⁹</t>
        </is>
      </c>
      <c r="I2341" t="n">
        <v>9</v>
      </c>
      <c r="J2341" t="inlineStr">
        <is>
          <t>1², 2², 4², 8²</t>
        </is>
      </c>
      <c r="K2341">
        <f>HYPERLINK("CSG3.html#group20D3", "20D³"), =HYPERLINK("CSG4.html#group20C4", "20C⁴"), =HYPERLINK("CSG4.html#group20E4", "20E⁴")</f>
        <v/>
      </c>
      <c r="L2341">
        <f>HYPERLINK("CSG20.html#group20B20", "20B²⁰"), =HYPERLINK("CSG21.html#group20C21", "20C²¹"), =HYPERLINK("CSG22.html#group20A22", "20A²²"), =HYPERLINK("CSG22.html#group40B22", "40B²²"), =HYPERLINK("CSG22.html#group40F22", "40F²²"), =HYPERLINK("CSG22.html#group40M22", "40M²²"), =HYPERLINK("CSG23.html#group40G23", "40G²³"), =HYPERLINK("CSG24.html#group40A24", "40A²⁴")</f>
        <v/>
      </c>
      <c r="M2341">
        <f>HYPERLINK("CSG0.html#group5A0", "5A⁰"), =HYPERLINK("CSG1.html#group10I1", "10I¹"), =HYPERLINK("CSG4.html#group20E4", "20E⁴"), =HYPERLINK("CSG0.html#group4A0", "4A⁰"), =HYPERLINK("CSG1.html#group10B1", "10B¹"), =HYPERLINK("CSG2.html#group20B2", "20B²"), =HYPERLINK("CSG0.html#group4C0", "4C⁰"), =HYPERLINK("CSG0.html#group5E0", "5E⁰"), =HYPERLINK("CSG1.html#group20A1", "20A¹"), =HYPERLINK("CSG4.html#group20C4", "20C⁴"), =HYPERLINK("CSG0.html#group2B0", "2B⁰"), =HYPERLINK("CSG0.html#group4F0", "4F⁰"), =HYPERLINK("CSG0.html#group1A0", "1A⁰"), =HYPERLINK("CSG3.html#group20D3", "20D³")</f>
        <v/>
      </c>
      <c r="N2341">
        <f>HYPERLINK("CSG22.html#group20A22", "20A²²"), =HYPERLINK("CSG22.html#group40F22", "40F²²"), =HYPERLINK("CSG23.html#group40G23", "40G²³"), =HYPERLINK("CSG24.html#group40A24", "40A²⁴"), =HYPERLINK("CSG21.html#group20C21", "20C²¹"), =HYPERLINK("CSG22.html#group40M22", "40M²²"), =HYPERLINK("CSG20.html#group20B20", "20B²⁰"), =HYPERLINK("CSG22.html#group40B22", "40B²²")</f>
        <v/>
      </c>
    </row>
    <row r="2342">
      <c r="A2342" t="inlineStr">
        <is>
          <t>20C¹⁰</t>
        </is>
      </c>
      <c r="B2342" t="inlineStr"/>
      <c r="C2342" t="inlineStr">
        <is>
          <t>180</t>
        </is>
      </c>
      <c r="D2342" t="inlineStr">
        <is>
          <t>1</t>
        </is>
      </c>
      <c r="E2342" t="inlineStr">
        <is>
          <t>45</t>
        </is>
      </c>
      <c r="F2342" t="inlineStr">
        <is>
          <t>0</t>
        </is>
      </c>
      <c r="G2342" t="inlineStr">
        <is>
          <t>0</t>
        </is>
      </c>
      <c r="H2342" t="inlineStr">
        <is>
          <t>10⁶, 20⁶</t>
        </is>
      </c>
      <c r="I2342" t="n">
        <v>12</v>
      </c>
      <c r="J2342" t="inlineStr">
        <is>
          <t>1³, 2³, 4⁹</t>
        </is>
      </c>
      <c r="K2342">
        <f>HYPERLINK("CSG3.html#group10C3", "10C³"), =HYPERLINK("CSG4.html#group20D4", "20D⁴"), =HYPERLINK("CSG5.html#group20C5", "20C⁵")</f>
        <v/>
      </c>
      <c r="L2342">
        <f>HYPERLINK("CSG19.html#group20B19", "20B¹⁹"), =HYPERLINK("CSG19.html#group20D19", "20D¹⁹"), =HYPERLINK("CSG22.html#group40H22", "40H²²"), =HYPERLINK("CSG22.html#group40I22", "40I²²")</f>
        <v/>
      </c>
      <c r="M2342">
        <f>HYPERLINK("CSG2.html#group20A2", "20A²"), =HYPERLINK("CSG4.html#group20D4", "20D⁴"), =HYPERLINK("CSG3.html#group10C3", "10C³"), =HYPERLINK("CSG0.html#group5A0", "5A⁰"), =HYPERLINK("CSG1.html#group10I1", "10I¹"), =HYPERLINK("CSG1.html#group10B1", "10B¹"), =HYPERLINK("CSG5.html#group20C5", "20C⁵"), =HYPERLINK("CSG0.html#group5E0", "5E⁰"), =HYPERLINK("CSG0.html#group2B0", "2B⁰"), =HYPERLINK("CSG0.html#group4B0", "4B⁰"), =HYPERLINK("CSG1.html#group10E1", "10E¹"), =HYPERLINK("CSG0.html#group1A0", "1A⁰")</f>
        <v/>
      </c>
      <c r="N2342">
        <f>HYPERLINK("CSG19.html#group20B19", "20B¹⁹"), =HYPERLINK("CSG22.html#group40I22", "40I²²"), =HYPERLINK("CSG22.html#group40H22", "40H²²"), =HYPERLINK("CSG19.html#group20D19", "20D¹⁹")</f>
        <v/>
      </c>
    </row>
    <row r="2343">
      <c r="A2343" t="inlineStr">
        <is>
          <t>20D¹⁰</t>
        </is>
      </c>
      <c r="B2343" t="inlineStr"/>
      <c r="C2343" t="inlineStr">
        <is>
          <t>180</t>
        </is>
      </c>
      <c r="D2343" t="inlineStr">
        <is>
          <t>1</t>
        </is>
      </c>
      <c r="E2343" t="inlineStr">
        <is>
          <t>45</t>
        </is>
      </c>
      <c r="F2343" t="inlineStr">
        <is>
          <t>0</t>
        </is>
      </c>
      <c r="G2343" t="inlineStr">
        <is>
          <t>0</t>
        </is>
      </c>
      <c r="H2343" t="inlineStr">
        <is>
          <t>10⁶, 20⁶</t>
        </is>
      </c>
      <c r="I2343" t="n">
        <v>12</v>
      </c>
      <c r="J2343" t="inlineStr">
        <is>
          <t>1³, 2³, 4⁹</t>
        </is>
      </c>
      <c r="K2343">
        <f>HYPERLINK("CSG3.html#group20P3", "20P³"), =HYPERLINK("CSG4.html#group10A4", "10A⁴"), =HYPERLINK("CSG5.html#group20C5", "20C⁵")</f>
        <v/>
      </c>
      <c r="L2343">
        <f>HYPERLINK("CSG19.html#group20C19", "20C¹⁹"), =HYPERLINK("CSG19.html#group20D19", "20D¹⁹"), =HYPERLINK("CSG22.html#group20B22", "20B²²"), =HYPERLINK("CSG22.html#group20C22", "20C²²")</f>
        <v/>
      </c>
      <c r="M2343">
        <f>HYPERLINK("CSG0.html#group2A0", "2A⁰"), =HYPERLINK("CSG0.html#group5A0", "5A⁰"), =HYPERLINK("CSG4.html#group10A4", "10A⁴"), =HYPERLINK("CSG2.html#group10A2", "10A²"), =HYPERLINK("CSG1.html#group10B1", "10B¹"), =HYPERLINK("CSG0.html#group2B0", "2B⁰"), =HYPERLINK("CSG2.html#group10B2", "10B²"), =HYPERLINK("CSG0.html#group1A0", "1A⁰"), =HYPERLINK("CSG0.html#group10A0", "10A⁰"), =HYPERLINK("CSG1.html#group10I1", "10I¹"), =HYPERLINK("CSG0.html#group10E0", "10E⁰"), =HYPERLINK("CSG5.html#group20C5", "20C⁵"), =HYPERLINK("CSG0.html#group5E0", "5E⁰"), =HYPERLINK("CSG3.html#group20P3", "20P³"), =HYPERLINK("CSG0.html#group2C0", "2C⁰")</f>
        <v/>
      </c>
      <c r="N2343">
        <f>HYPERLINK("CSG22.html#group20B22", "20B²²"), =HYPERLINK("CSG19.html#group20C19", "20C¹⁹"), =HYPERLINK("CSG22.html#group20C22", "20C²²"), =HYPERLINK("CSG19.html#group20D19", "20D¹⁹")</f>
        <v/>
      </c>
    </row>
    <row r="2344">
      <c r="A2344" t="inlineStr">
        <is>
          <t>20E¹⁰</t>
        </is>
      </c>
      <c r="B2344" t="inlineStr"/>
      <c r="C2344" t="inlineStr">
        <is>
          <t>180</t>
        </is>
      </c>
      <c r="D2344" t="inlineStr">
        <is>
          <t>1</t>
        </is>
      </c>
      <c r="E2344" t="inlineStr">
        <is>
          <t>45</t>
        </is>
      </c>
      <c r="F2344" t="inlineStr">
        <is>
          <t>0</t>
        </is>
      </c>
      <c r="G2344" t="inlineStr">
        <is>
          <t>0</t>
        </is>
      </c>
      <c r="H2344" t="inlineStr">
        <is>
          <t>10⁶, 20⁶</t>
        </is>
      </c>
      <c r="I2344" t="n">
        <v>12</v>
      </c>
      <c r="J2344" t="inlineStr">
        <is>
          <t>1³, 2³, 4⁹</t>
        </is>
      </c>
      <c r="K2344">
        <f>HYPERLINK("CSG2.html#group10F2", "10F²"), =HYPERLINK("CSG2.html#group20C2", "20C²"), =HYPERLINK("CSG4.html#group20B4", "20B⁴"), =HYPERLINK("CSG5.html#group20C5", "20C⁵")</f>
        <v/>
      </c>
      <c r="L2344">
        <f>HYPERLINK("CSG19.html#group20A19", "20A¹⁹"), =HYPERLINK("CSG19.html#group20B19", "20B¹⁹"), =HYPERLINK("CSG19.html#group20C19", "20C¹⁹")</f>
        <v/>
      </c>
      <c r="M2344">
        <f>HYPERLINK("CSG0.html#group5A0", "5A⁰"), =HYPERLINK("CSG1.html#group10I1", "10I¹"), =HYPERLINK("CSG2.html#group10F2", "10F²"), =HYPERLINK("CSG1.html#group10B1", "10B¹"), =HYPERLINK("CSG5.html#group20C5", "20C⁵"), =HYPERLINK("CSG0.html#group5B0", "5B⁰"), =HYPERLINK("CSG0.html#group10C0", "10C⁰"), =HYPERLINK("CSG0.html#group5E0", "5E⁰"), =HYPERLINK("CSG4.html#group20B4", "20B⁴"), =HYPERLINK("CSG0.html#group2B0", "2B⁰"), =HYPERLINK("CSG0.html#group1A0", "1A⁰"), =HYPERLINK("CSG0.html#group5G0", "5G⁰"), =HYPERLINK("CSG0.html#group5C0", "5C⁰"), =HYPERLINK("CSG2.html#group20C2", "20C²"), =HYPERLINK("CSG1.html#group10F1", "10F¹")</f>
        <v/>
      </c>
      <c r="N2344">
        <f>HYPERLINK("CSG19.html#group20A19", "20A¹⁹"), =HYPERLINK("CSG19.html#group20B19", "20B¹⁹"), =HYPERLINK("CSG19.html#group20C19", "20C¹⁹")</f>
        <v/>
      </c>
    </row>
    <row r="2345">
      <c r="A2345" t="inlineStr">
        <is>
          <t>20F¹⁰</t>
        </is>
      </c>
      <c r="B2345" t="inlineStr"/>
      <c r="C2345" t="inlineStr">
        <is>
          <t>180</t>
        </is>
      </c>
      <c r="D2345" t="inlineStr">
        <is>
          <t>1</t>
        </is>
      </c>
      <c r="E2345" t="inlineStr">
        <is>
          <t>90</t>
        </is>
      </c>
      <c r="F2345" t="inlineStr">
        <is>
          <t>6</t>
        </is>
      </c>
      <c r="G2345" t="inlineStr">
        <is>
          <t>0</t>
        </is>
      </c>
      <c r="H2345" t="inlineStr">
        <is>
          <t>20⁹</t>
        </is>
      </c>
      <c r="I2345" t="n">
        <v>9</v>
      </c>
      <c r="J2345" t="inlineStr">
        <is>
          <t>1², 2⁴, 4⁸, 8⁶</t>
        </is>
      </c>
      <c r="K2345">
        <f>HYPERLINK("CSG4.html#group20E4", "20E⁴")</f>
        <v/>
      </c>
      <c r="L2345">
        <f>HYPERLINK("CSG20.html#group20A20", "20A²⁰"), =HYPERLINK("CSG20.html#group20B20", "20B²⁰"), =HYPERLINK("CSG21.html#group20B21", "20B²¹"), =HYPERLINK("CSG21.html#group20C21", "20C²¹"), =HYPERLINK("CSG22.html#group20C22", "20C²²"), =HYPERLINK("CSG22.html#group40J22", "40J²²"), =HYPERLINK("CSG23.html#group40H23", "40H²³"), =HYPERLINK("CSG23.html#group40I23", "40I²³"), =HYPERLINK("CSG23.html#group40J23", "40J²³"), =HYPERLINK("CSG24.html#group40B24", "40B²⁴"), =HYPERLINK("CSG24.html#group40C24", "40C²⁴"), =HYPERLINK("CSG24.html#group40D24", "40D²⁴")</f>
        <v/>
      </c>
      <c r="M2345">
        <f>HYPERLINK("CSG0.html#group5A0", "5A⁰"), =HYPERLINK("CSG1.html#group10I1", "10I¹"), =HYPERLINK("CSG4.html#group20E4", "20E⁴"), =HYPERLINK("CSG1.html#group10B1", "10B¹"), =HYPERLINK("CSG2.html#group20B2", "20B²"), =HYPERLINK("CSG0.html#group4C0", "4C⁰"), =HYPERLINK("CSG0.html#group5E0", "5E⁰"), =HYPERLINK("CSG0.html#group2B0", "2B⁰"), =HYPERLINK("CSG0.html#group1A0", "1A⁰")</f>
        <v/>
      </c>
      <c r="N2345">
        <f>HYPERLINK("CSG21.html#group20B21", "20B²¹"), =HYPERLINK("CSG23.html#group40I23", "40I²³"), =HYPERLINK("CSG24.html#group40B24", "40B²⁴"), =HYPERLINK("CSG21.html#group20C21", "20C²¹"), =HYPERLINK("CSG22.html#group20C22", "20C²²"), =HYPERLINK("CSG22.html#group40J22", "40J²²"), =HYPERLINK("CSG23.html#group40J23", "40J²³"), =HYPERLINK("CSG24.html#group40C24", "40C²⁴"), =HYPERLINK("CSG23.html#group40H23", "40H²³"), =HYPERLINK("CSG20.html#group20A20", "20A²⁰"), =HYPERLINK("CSG20.html#group20B20", "20B²⁰"), =HYPERLINK("CSG24.html#group40D24", "40D²⁴")</f>
        <v/>
      </c>
    </row>
    <row r="2346">
      <c r="A2346" t="inlineStr">
        <is>
          <t>21A¹⁰</t>
        </is>
      </c>
      <c r="B2346" t="inlineStr"/>
      <c r="C2346" t="inlineStr">
        <is>
          <t>168</t>
        </is>
      </c>
      <c r="D2346" t="inlineStr">
        <is>
          <t>1</t>
        </is>
      </c>
      <c r="E2346" t="inlineStr">
        <is>
          <t>56</t>
        </is>
      </c>
      <c r="F2346" t="inlineStr">
        <is>
          <t>0</t>
        </is>
      </c>
      <c r="G2346" t="inlineStr">
        <is>
          <t>3</t>
        </is>
      </c>
      <c r="H2346" t="inlineStr">
        <is>
          <t>21⁸</t>
        </is>
      </c>
      <c r="I2346" t="n">
        <v>8</v>
      </c>
      <c r="J2346" t="inlineStr">
        <is>
          <t>2¹, 6¹, 12⁴</t>
        </is>
      </c>
      <c r="K2346">
        <f>HYPERLINK("CSG1.html#group7B1", "7B¹"), =HYPERLINK("CSG1.html#group21A1", "21A¹"), =HYPERLINK("CSG1.html#group21C1", "21C¹")</f>
        <v/>
      </c>
      <c r="L2346">
        <f>HYPERLINK("CSG23.html#group42B23", "42B²³")</f>
        <v/>
      </c>
      <c r="M2346">
        <f>HYPERLINK("CSG0.html#group7B0", "7B⁰"), =HYPERLINK("CSG0.html#group7C0", "7C⁰"), =HYPERLINK("CSG1.html#group21C1", "21C¹"), =HYPERLINK("CSG0.html#group7F0", "7F⁰"), =HYPERLINK("CSG0.html#group1A0", "1A⁰"), =HYPERLINK("CSG1.html#group7B1", "7B¹"), =HYPERLINK("CSG0.html#group7A0", "7A⁰"), =HYPERLINK("CSG1.html#group21A1", "21A¹")</f>
        <v/>
      </c>
      <c r="N2346">
        <f>HYPERLINK("CSG23.html#group42B23", "42B²³")</f>
        <v/>
      </c>
    </row>
    <row r="2347">
      <c r="A2347" t="inlineStr">
        <is>
          <t>21B¹⁰</t>
        </is>
      </c>
      <c r="B2347" t="inlineStr"/>
      <c r="C2347" t="inlineStr">
        <is>
          <t>168</t>
        </is>
      </c>
      <c r="D2347" t="inlineStr">
        <is>
          <t>2</t>
        </is>
      </c>
      <c r="E2347" t="inlineStr">
        <is>
          <t>56</t>
        </is>
      </c>
      <c r="F2347" t="inlineStr">
        <is>
          <t>0</t>
        </is>
      </c>
      <c r="G2347" t="inlineStr">
        <is>
          <t>3</t>
        </is>
      </c>
      <c r="H2347" t="inlineStr">
        <is>
          <t>21⁸</t>
        </is>
      </c>
      <c r="I2347" t="n">
        <v>8</v>
      </c>
      <c r="J2347" t="inlineStr">
        <is>
          <t>4⁴, 12⁸</t>
        </is>
      </c>
      <c r="K2347">
        <f>HYPERLINK("CSG1.html#group21C1", "21C¹"), =HYPERLINK("CSG3.html#group21B3", "21B³")</f>
        <v/>
      </c>
      <c r="L2347">
        <f>HYPERLINK("CSG23.html#group42G23", "42G²³")</f>
        <v/>
      </c>
      <c r="M2347">
        <f>HYPERLINK("CSG3.html#group21B3", "21B³"), =HYPERLINK("CSG0.html#group3B0", "3B⁰"), =HYPERLINK("CSG2.html#group21B2", "21B²"), =HYPERLINK("CSG0.html#group1A0", "1A⁰"), =HYPERLINK("CSG0.html#group7C0", "7C⁰"), =HYPERLINK("CSG0.html#group7A0", "7A⁰"), =HYPERLINK("CSG1.html#group21C1", "21C¹")</f>
        <v/>
      </c>
      <c r="N2347">
        <f>HYPERLINK("CSG23.html#group42G23", "42G²³")</f>
        <v/>
      </c>
    </row>
    <row r="2348">
      <c r="A2348" t="inlineStr">
        <is>
          <t>22A¹⁰</t>
        </is>
      </c>
      <c r="B2348" t="inlineStr"/>
      <c r="C2348" t="inlineStr">
        <is>
          <t>198</t>
        </is>
      </c>
      <c r="D2348" t="inlineStr">
        <is>
          <t>1</t>
        </is>
      </c>
      <c r="E2348" t="inlineStr">
        <is>
          <t>198</t>
        </is>
      </c>
      <c r="F2348" t="inlineStr">
        <is>
          <t>6</t>
        </is>
      </c>
      <c r="G2348" t="inlineStr">
        <is>
          <t>0</t>
        </is>
      </c>
      <c r="H2348" t="inlineStr">
        <is>
          <t>11⁶, 22⁶</t>
        </is>
      </c>
      <c r="I2348" t="n">
        <v>12</v>
      </c>
      <c r="J2348" t="inlineStr">
        <is>
          <t>1³, 5³, 10¹⁸</t>
        </is>
      </c>
      <c r="K2348">
        <f>HYPERLINK("CSG2.html#group11A2", "11A²"), =HYPERLINK("CSG2.html#group22B2", "22B²")</f>
        <v/>
      </c>
      <c r="L2348">
        <f>HYPERLINK("CSG22.html#group22A22", "22A²²"), =HYPERLINK("CSG22.html#group22B22", "22B²²"), =HYPERLINK("CSG22.html#group44C22", "44C²²")</f>
        <v/>
      </c>
      <c r="M2348">
        <f>HYPERLINK("CSG0.html#group11A0", "11A⁰"), =HYPERLINK("CSG0.html#group2B0", "2B⁰"), =HYPERLINK("CSG2.html#group22B2", "22B²"), =HYPERLINK("CSG0.html#group1A0", "1A⁰"), =HYPERLINK("CSG2.html#group11A2", "11A²")</f>
        <v/>
      </c>
      <c r="N2348">
        <f>HYPERLINK("CSG22.html#group22A22", "22A²²"), =HYPERLINK("CSG22.html#group44C22", "44C²²"), =HYPERLINK("CSG22.html#group22B22", "22B²²")</f>
        <v/>
      </c>
    </row>
    <row r="2349">
      <c r="A2349" t="inlineStr">
        <is>
          <t>22B¹⁰</t>
        </is>
      </c>
      <c r="B2349" t="inlineStr"/>
      <c r="C2349" t="inlineStr">
        <is>
          <t>220</t>
        </is>
      </c>
      <c r="D2349" t="inlineStr">
        <is>
          <t>2</t>
        </is>
      </c>
      <c r="E2349" t="inlineStr">
        <is>
          <t>55</t>
        </is>
      </c>
      <c r="F2349" t="inlineStr">
        <is>
          <t>12</t>
        </is>
      </c>
      <c r="G2349" t="inlineStr">
        <is>
          <t>4</t>
        </is>
      </c>
      <c r="H2349" t="inlineStr">
        <is>
          <t>22¹⁰</t>
        </is>
      </c>
      <c r="I2349" t="n">
        <v>10</v>
      </c>
      <c r="J2349" t="inlineStr">
        <is>
          <t>10¹¹</t>
        </is>
      </c>
      <c r="K2349">
        <f>HYPERLINK("CSG3.html#group11A3", "11A³"), =HYPERLINK("CSG4.html#group22B4", "22B⁴"), =HYPERLINK("CSG5.html#group22C5", "22C⁵")</f>
        <v/>
      </c>
      <c r="L2349" t="inlineStr"/>
      <c r="M2349">
        <f>HYPERLINK("CSG0.html#group11A0", "11A⁰"), =HYPERLINK("CSG1.html#group11C1", "11C¹"), =HYPERLINK("CSG5.html#group22C5", "22C⁵"), =HYPERLINK("CSG0.html#group1A0", "1A⁰"), =HYPERLINK("CSG3.html#group11A3", "11A³"), =HYPERLINK("CSG4.html#group22B4", "22B⁴")</f>
        <v/>
      </c>
      <c r="N2349" t="inlineStr"/>
    </row>
    <row r="2350">
      <c r="A2350" t="inlineStr">
        <is>
          <t>24A¹⁰</t>
        </is>
      </c>
      <c r="B2350" t="inlineStr"/>
      <c r="C2350" t="inlineStr">
        <is>
          <t>144</t>
        </is>
      </c>
      <c r="D2350" t="inlineStr">
        <is>
          <t>1</t>
        </is>
      </c>
      <c r="E2350" t="inlineStr">
        <is>
          <t>1</t>
        </is>
      </c>
      <c r="F2350" t="inlineStr">
        <is>
          <t>0</t>
        </is>
      </c>
      <c r="G2350" t="inlineStr">
        <is>
          <t>0</t>
        </is>
      </c>
      <c r="H2350" t="inlineStr">
        <is>
          <t>24⁶</t>
        </is>
      </c>
      <c r="I2350" t="n">
        <v>6</v>
      </c>
      <c r="J2350" t="inlineStr">
        <is>
          <t>1¹</t>
        </is>
      </c>
      <c r="K2350">
        <f>HYPERLINK("CSG2.html#group8A2", "8A²"), =HYPERLINK("CSG2.html#group24E2", "24E²"), =HYPERLINK("CSG4.html#group12A4", "12A⁴"), =HYPERLINK("CSG4.html#group24A4", "24A⁴"), =HYPERLINK("CSG4.html#group24H4", "24H⁴")</f>
        <v/>
      </c>
      <c r="L2350">
        <f>HYPERLINK("CSG19.html#group24C19", "24C¹⁹"), =HYPERLINK("CSG19.html#group24D19", "24D¹⁹"), =HYPERLINK("CSG19.html#group24I19", "24I¹⁹"), =HYPERLINK("CSG22.html#group48A22", "48A²²"), =HYPERLINK("CSG22.html#group48B22", "48B²²")</f>
        <v/>
      </c>
      <c r="M2350">
        <f>HYPERLINK("CSG0.html#group2A0", "2A⁰"), =HYPERLINK("CSG0.html#group12C0", "12C⁰"), =HYPERLINK("CSG2.html#group24E2", "24E²"), =HYPERLINK("CSG1.html#group6C1", "6C¹"), =HYPERLINK("CSG1.html#group12E1", "12E¹"), =HYPERLINK("CSG2.html#group12B2", "12B²"), =HYPERLINK("CSG4.html#group24A4", "24A⁴"), =HYPERLINK("CSG0.html#group4C0", "4C⁰"), =HYPERLINK("CSG0.html#group4G0", "4G⁰"), =HYPERLINK("CSG0.html#group2B0", "2B⁰"), =HYPERLINK("CSG0.html#group4E0", "4E⁰"), =HYPERLINK("CSG0.html#group8A0", "8A⁰"), =HYPERLINK("CSG0.html#group8E0", "8E⁰"), =HYPERLINK("CSG0.html#group4B0", "4B⁰"), =HYPERLINK("CSG0.html#group1A0", "1A⁰"), =HYPERLINK("CSG1.html#group8D1", "8D¹"), =HYPERLINK("CSG4.html#group12A4", "12A⁴"), =HYPERLINK("CSG2.html#group8A2", "8A²"), =HYPERLINK("CSG4.html#group24H4", "24H⁴"), =HYPERLINK("CSG0.html#group12A0", "12A⁰"), =HYPERLINK("CSG0.html#group6A0", "6A⁰"), =HYPERLINK("CSG1.html#group24A1", "24A¹"), =HYPERLINK("CSG0.html#group4A0", "4A⁰"), =HYPERLINK("CSG0.html#group4D0", "4D⁰"), =HYPERLINK("CSG2.html#group12A2", "12A²"), =HYPERLINK("CSG1.html#group12J1", "12J¹"), =HYPERLINK("CSG1.html#group6A1", "6A¹"), =HYPERLINK("CSG1.html#group12B1", "12B¹"), =HYPERLINK("CSG0.html#group4F0", "4F⁰"), =HYPERLINK("CSG0.html#group3A0", "3A⁰"), =HYPERLINK("CSG0.html#group2C0", "2C⁰"), =HYPERLINK("CSG0.html#group6D0", "6D⁰")</f>
        <v/>
      </c>
      <c r="N2350">
        <f>HYPERLINK("CSG19.html#group24I19", "24I¹⁹"), =HYPERLINK("CSG22.html#group48A22", "48A²²"), =HYPERLINK("CSG22.html#group48B22", "48B²²"), =HYPERLINK("CSG19.html#group24D19", "24D¹⁹"), =HYPERLINK("CSG19.html#group24C19", "24C¹⁹")</f>
        <v/>
      </c>
    </row>
    <row r="2351">
      <c r="A2351" t="inlineStr">
        <is>
          <t>24B¹⁰</t>
        </is>
      </c>
      <c r="B2351" t="inlineStr"/>
      <c r="C2351" t="inlineStr">
        <is>
          <t>144</t>
        </is>
      </c>
      <c r="D2351" t="inlineStr">
        <is>
          <t>1</t>
        </is>
      </c>
      <c r="E2351" t="inlineStr">
        <is>
          <t>3</t>
        </is>
      </c>
      <c r="F2351" t="inlineStr">
        <is>
          <t>0</t>
        </is>
      </c>
      <c r="G2351" t="inlineStr">
        <is>
          <t>0</t>
        </is>
      </c>
      <c r="H2351" t="inlineStr">
        <is>
          <t>24⁶</t>
        </is>
      </c>
      <c r="I2351" t="n">
        <v>6</v>
      </c>
      <c r="J2351" t="inlineStr">
        <is>
          <t>1¹, 2¹</t>
        </is>
      </c>
      <c r="K2351">
        <f>HYPERLINK("CSG4.html#group12A4", "12A⁴"), =HYPERLINK("CSG4.html#group24B4", "24B⁴"), =HYPERLINK("CSG4.html#group24O4", "24O⁴")</f>
        <v/>
      </c>
      <c r="L2351">
        <f>HYPERLINK("CSG19.html#group24B19", "24B¹⁹"), =HYPERLINK("CSG19.html#group24C19", "24C¹⁹"), =HYPERLINK("CSG19.html#group24G19", "24G¹⁹"), =HYPERLINK("CSG19.html#group24H19", "24H¹⁹"), =HYPERLINK("CSG19.html#group24S19", "24S¹⁹")</f>
        <v/>
      </c>
      <c r="M2351">
        <f>HYPERLINK("CSG4.html#group24O4", "24O⁴"), =HYPERLINK("CSG0.html#group2A0", "2A⁰"), =HYPERLINK("CSG0.html#group12C0", "12C⁰"), =HYPERLINK("CSG1.html#group6C1", "6C¹"), =HYPERLINK("CSG1.html#group12E1", "12E¹"), =HYPERLINK("CSG2.html#group12B2", "12B²"), =HYPERLINK("CSG0.html#group4C0", "4C⁰"), =HYPERLINK("CSG0.html#group4G0", "4G⁰"), =HYPERLINK("CSG0.html#group2B0", "2B⁰"), =HYPERLINK("CSG0.html#group4E0", "4E⁰"), =HYPERLINK("CSG1.html#group24B1", "24B¹"), =HYPERLINK("CSG0.html#group4B0", "4B⁰"), =HYPERLINK("CSG0.html#group1A0", "1A⁰"), =HYPERLINK("CSG4.html#group12A4", "12A⁴"), =HYPERLINK("CSG0.html#group12A0", "12A⁰"), =HYPERLINK("CSG0.html#group6A0", "6A⁰"), =HYPERLINK("CSG0.html#group4A0", "4A⁰"), =HYPERLINK("CSG0.html#group4D0", "4D⁰"), =HYPERLINK("CSG4.html#group24B4", "24B⁴"), =HYPERLINK("CSG2.html#group12A2", "12A²"), =HYPERLINK("CSG1.html#group12J1", "12J¹"), =HYPERLINK("CSG1.html#group6A1", "6A¹"), =HYPERLINK("CSG1.html#group12B1", "12B¹"), =HYPERLINK("CSG0.html#group4F0", "4F⁰"), =HYPERLINK("CSG0.html#group3A0", "3A⁰"), =HYPERLINK("CSG0.html#group2C0", "2C⁰"), =HYPERLINK("CSG0.html#group6D0", "6D⁰")</f>
        <v/>
      </c>
      <c r="N2351">
        <f>HYPERLINK("CSG19.html#group24H19", "24H¹⁹"), =HYPERLINK("CSG19.html#group24S19", "24S¹⁹"), =HYPERLINK("CSG19.html#group24G19", "24G¹⁹"), =HYPERLINK("CSG19.html#group24B19", "24B¹⁹"), =HYPERLINK("CSG19.html#group24C19", "24C¹⁹")</f>
        <v/>
      </c>
    </row>
    <row r="2352">
      <c r="A2352" t="inlineStr">
        <is>
          <t>24C¹⁰</t>
        </is>
      </c>
      <c r="B2352" t="inlineStr"/>
      <c r="C2352" t="inlineStr">
        <is>
          <t>144</t>
        </is>
      </c>
      <c r="D2352" t="inlineStr">
        <is>
          <t>1</t>
        </is>
      </c>
      <c r="E2352" t="inlineStr">
        <is>
          <t>12</t>
        </is>
      </c>
      <c r="F2352" t="inlineStr">
        <is>
          <t>0</t>
        </is>
      </c>
      <c r="G2352" t="inlineStr">
        <is>
          <t>0</t>
        </is>
      </c>
      <c r="H2352" t="inlineStr">
        <is>
          <t>24⁶</t>
        </is>
      </c>
      <c r="I2352" t="n">
        <v>6</v>
      </c>
      <c r="J2352" t="inlineStr">
        <is>
          <t>2², 4²</t>
        </is>
      </c>
      <c r="K2352">
        <f>HYPERLINK("CSG2.html#group8B2", "8B²"), =HYPERLINK("CSG3.html#group24J3", "24J³"), =HYPERLINK("CSG4.html#group24H4", "24H⁴"), =HYPERLINK("CSG5.html#group24B5", "24B⁵")</f>
        <v/>
      </c>
      <c r="L2352">
        <f>HYPERLINK("CSG19.html#group24D19", "24D¹⁹"), =HYPERLINK("CSG19.html#group24P19", "24P¹⁹"), =HYPERLINK("CSG19.html#group24Q19", "24Q¹⁹"), =HYPERLINK("CSG20.html#group48A20", "48A²⁰"), =HYPERLINK("CSG20.html#group48B20", "48B²⁰"), =HYPERLINK("CSG21.html#group48AQ21", "48AQ²¹"), =HYPERLINK("CSG21.html#group48BL21", "48BL²¹"), =HYPERLINK("CSG22.html#group48C22", "48C²²"), =HYPERLINK("CSG22.html#group48D22", "48D²²")</f>
        <v/>
      </c>
      <c r="M2352">
        <f>HYPERLINK("CSG3.html#group24A3", "24A³"), =HYPERLINK("CSG0.html#group12C0", "12C⁰"), =HYPERLINK("CSG1.html#group8A1", "8A¹"), =HYPERLINK("CSG0.html#group8D0", "8D⁰"), =HYPERLINK("CSG0.html#group4C0", "4C⁰"), =HYPERLINK("CSG2.html#group8B2", "8B²"), =HYPERLINK("CSG0.html#group8A0", "8A⁰"), =HYPERLINK("CSG0.html#group2B0", "2B⁰"), =HYPERLINK("CSG0.html#group1A0", "1A⁰"), =HYPERLINK("CSG1.html#group8D1", "8D¹"), =HYPERLINK("CSG0.html#group8K0", "8K⁰"), =HYPERLINK("CSG3.html#group24J3", "24J³"), =HYPERLINK("CSG4.html#group24H4", "24H⁴"), =HYPERLINK("CSG0.html#group12A0", "12A⁰"), =HYPERLINK("CSG1.html#group8C1", "8C¹"), =HYPERLINK("CSG1.html#group24A1", "24A¹"), =HYPERLINK("CSG0.html#group4A0", "4A⁰"), =HYPERLINK("CSG1.html#group24C1", "24C¹"), =HYPERLINK("CSG1.html#group12J1", "12J¹"), =HYPERLINK("CSG0.html#group4F0", "4F⁰"), =HYPERLINK("CSG0.html#group3A0", "3A⁰"), =HYPERLINK("CSG0.html#group6D0", "6D⁰"), =HYPERLINK("CSG5.html#group24B5", "24B⁵")</f>
        <v/>
      </c>
      <c r="N2352">
        <f>HYPERLINK("CSG19.html#group24P19", "24P¹⁹"), =HYPERLINK("CSG21.html#group48AQ21", "48AQ²¹"), =HYPERLINK("CSG22.html#group48C22", "48C²²"), =HYPERLINK("CSG20.html#group48A20", "48A²⁰"), =HYPERLINK("CSG19.html#group24Q19", "24Q¹⁹"), =HYPERLINK("CSG20.html#group48B20", "48B²⁰"), =HYPERLINK("CSG22.html#group48D22", "48D²²"), =HYPERLINK("CSG21.html#group48BL21", "48BL²¹"), =HYPERLINK("CSG19.html#group24D19", "24D¹⁹")</f>
        <v/>
      </c>
    </row>
    <row r="2353">
      <c r="A2353" t="inlineStr">
        <is>
          <t>24D¹⁰</t>
        </is>
      </c>
      <c r="B2353" t="inlineStr"/>
      <c r="C2353" t="inlineStr">
        <is>
          <t>144</t>
        </is>
      </c>
      <c r="D2353" t="inlineStr">
        <is>
          <t>1</t>
        </is>
      </c>
      <c r="E2353" t="inlineStr">
        <is>
          <t>24</t>
        </is>
      </c>
      <c r="F2353" t="inlineStr">
        <is>
          <t>0</t>
        </is>
      </c>
      <c r="G2353" t="inlineStr">
        <is>
          <t>0</t>
        </is>
      </c>
      <c r="H2353" t="inlineStr">
        <is>
          <t>24⁶</t>
        </is>
      </c>
      <c r="I2353" t="n">
        <v>6</v>
      </c>
      <c r="J2353" t="inlineStr">
        <is>
          <t>4⁶</t>
        </is>
      </c>
      <c r="K2353">
        <f>HYPERLINK("CSG2.html#group24J2", "24J²"), =HYPERLINK("CSG4.html#group12B4", "12B⁴")</f>
        <v/>
      </c>
      <c r="L2353">
        <f>HYPERLINK("CSG19.html#group24K19", "24K¹⁹")</f>
        <v/>
      </c>
      <c r="M2353">
        <f>HYPERLINK("CSG0.html#group2A0", "2A⁰"), =HYPERLINK("CSG1.html#group12H1", "12H¹"), =HYPERLINK("CSG1.html#group12C1", "12C¹"), =HYPERLINK("CSG0.html#group6A0", "6A⁰"), =HYPERLINK("CSG1.html#group6C1", "6C¹"), =HYPERLINK("CSG2.html#group12E2", "12E²"), =HYPERLINK("CSG4.html#group12B4", "12B⁴"), =HYPERLINK("CSG0.html#group2B0", "2B⁰"), =HYPERLINK("CSG0.html#group12D0", "12D⁰"), =HYPERLINK("CSG1.html#group6A1", "6A¹"), =HYPERLINK("CSG0.html#group3A0", "3A⁰"), =HYPERLINK("CSG0.html#group1A0", "1A⁰"), =HYPERLINK("CSG0.html#group2C0", "2C⁰"), =HYPERLINK("CSG2.html#group24J2", "24J²"), =HYPERLINK("CSG0.html#group6D0", "6D⁰")</f>
        <v/>
      </c>
      <c r="N2353">
        <f>HYPERLINK("CSG19.html#group24K19", "24K¹⁹")</f>
        <v/>
      </c>
    </row>
    <row r="2354">
      <c r="A2354" t="inlineStr">
        <is>
          <t>24E¹⁰</t>
        </is>
      </c>
      <c r="B2354" t="inlineStr"/>
      <c r="C2354" t="inlineStr">
        <is>
          <t>144</t>
        </is>
      </c>
      <c r="D2354" t="inlineStr">
        <is>
          <t>1</t>
        </is>
      </c>
      <c r="E2354" t="inlineStr">
        <is>
          <t>36</t>
        </is>
      </c>
      <c r="F2354" t="inlineStr">
        <is>
          <t>0</t>
        </is>
      </c>
      <c r="G2354" t="inlineStr">
        <is>
          <t>0</t>
        </is>
      </c>
      <c r="H2354" t="inlineStr">
        <is>
          <t>24⁶</t>
        </is>
      </c>
      <c r="I2354" t="n">
        <v>6</v>
      </c>
      <c r="J2354" t="inlineStr">
        <is>
          <t>2², 4⁴, 8²</t>
        </is>
      </c>
      <c r="K2354">
        <f>HYPERLINK("CSG3.html#group24R3", "24R³"), =HYPERLINK("CSG4.html#group24O4", "24O⁴"), =HYPERLINK("CSG5.html#group24B5", "24B⁵")</f>
        <v/>
      </c>
      <c r="L2354">
        <f>HYPERLINK("CSG19.html#group24G19", "24G¹⁹"), =HYPERLINK("CSG19.html#group24L19", "24L¹⁹"), =HYPERLINK("CSG19.html#group24M19", "24M¹⁹"), =HYPERLINK("CSG19.html#group24P19", "24P¹⁹"), =HYPERLINK("CSG19.html#group24Q19", "24Q¹⁹"), =HYPERLINK("CSG21.html#group48BM21", "48BM²¹"), =HYPERLINK("CSG21.html#group48BN21", "48BN²¹"), =HYPERLINK("CSG21.html#group48BV21", "48BV²¹")</f>
        <v/>
      </c>
      <c r="M2354">
        <f>HYPERLINK("CSG4.html#group24O4", "24O⁴"), =HYPERLINK("CSG3.html#group24A3", "24A³"), =HYPERLINK("CSG0.html#group12C0", "12C⁰"), =HYPERLINK("CSG1.html#group8A1", "8A¹"), =HYPERLINK("CSG0.html#group8D0", "8D⁰"), =HYPERLINK("CSG0.html#group4C0", "4C⁰"), =HYPERLINK("CSG0.html#group2B0", "2B⁰"), =HYPERLINK("CSG1.html#group24B1", "24B¹"), =HYPERLINK("CSG0.html#group1A0", "1A⁰"), =HYPERLINK("CSG0.html#group12A0", "12A⁰"), =HYPERLINK("CSG1.html#group8C1", "8C¹"), =HYPERLINK("CSG0.html#group4A0", "4A⁰"), =HYPERLINK("CSG1.html#group24C1", "24C¹"), =HYPERLINK("CSG3.html#group24R3", "24R³"), =HYPERLINK("CSG1.html#group12J1", "12J¹"), =HYPERLINK("CSG0.html#group4F0", "4F⁰"), =HYPERLINK("CSG0.html#group3A0", "3A⁰"), =HYPERLINK("CSG0.html#group6D0", "6D⁰"), =HYPERLINK("CSG5.html#group24B5", "24B⁵")</f>
        <v/>
      </c>
      <c r="N2354">
        <f>HYPERLINK("CSG19.html#group24P19", "24P¹⁹"), =HYPERLINK("CSG21.html#group48BN21", "48BN²¹"), =HYPERLINK("CSG19.html#group24M19", "24M¹⁹"), =HYPERLINK("CSG19.html#group24Q19", "24Q¹⁹"), =HYPERLINK("CSG19.html#group24G19", "24G¹⁹"), =HYPERLINK("CSG21.html#group48BV21", "48BV²¹"), =HYPERLINK("CSG21.html#group48BM21", "48BM²¹"), =HYPERLINK("CSG19.html#group24L19", "24L¹⁹")</f>
        <v/>
      </c>
    </row>
    <row r="2355">
      <c r="A2355" t="inlineStr">
        <is>
          <t>25A¹⁰</t>
        </is>
      </c>
      <c r="B2355" t="inlineStr"/>
      <c r="C2355" t="inlineStr">
        <is>
          <t>150</t>
        </is>
      </c>
      <c r="D2355" t="inlineStr">
        <is>
          <t>1</t>
        </is>
      </c>
      <c r="E2355" t="inlineStr">
        <is>
          <t>150</t>
        </is>
      </c>
      <c r="F2355" t="inlineStr">
        <is>
          <t>2</t>
        </is>
      </c>
      <c r="G2355" t="inlineStr">
        <is>
          <t>0</t>
        </is>
      </c>
      <c r="H2355" t="inlineStr">
        <is>
          <t>25⁶</t>
        </is>
      </c>
      <c r="I2355" t="n">
        <v>6</v>
      </c>
      <c r="J2355" t="inlineStr">
        <is>
          <t>2¹, 4⁷, 20⁶</t>
        </is>
      </c>
      <c r="K2355">
        <f>HYPERLINK("CSG0.html#group5G0", "5G⁰"), =HYPERLINK("CSG2.html#group25E2", "25E²")</f>
        <v/>
      </c>
      <c r="L2355">
        <f>HYPERLINK("CSG20.html#group25A20", "25A²⁰"), =HYPERLINK("CSG22.html#group50B22", "50B²²"), =HYPERLINK("CSG23.html#group50B23", "50B²³")</f>
        <v/>
      </c>
      <c r="M2355">
        <f>HYPERLINK("CSG0.html#group5B0", "5B⁰"), =HYPERLINK("CSG0.html#group5E0", "5E⁰"), =HYPERLINK("CSG0.html#group5A0", "5A⁰"), =HYPERLINK("CSG0.html#group1A0", "1A⁰"), =HYPERLINK("CSG0.html#group5G0", "5G⁰"), =HYPERLINK("CSG0.html#group5C0", "5C⁰"), =HYPERLINK("CSG2.html#group25E2", "25E²")</f>
        <v/>
      </c>
      <c r="N2355">
        <f>HYPERLINK("CSG20.html#group25A20", "25A²⁰"), =HYPERLINK("CSG23.html#group50B23", "50B²³"), =HYPERLINK("CSG22.html#group50B22", "50B²²")</f>
        <v/>
      </c>
    </row>
    <row r="2356">
      <c r="A2356" t="inlineStr">
        <is>
          <t>26A¹⁰</t>
        </is>
      </c>
      <c r="B2356" t="inlineStr"/>
      <c r="C2356" t="inlineStr">
        <is>
          <t>182</t>
        </is>
      </c>
      <c r="D2356" t="inlineStr">
        <is>
          <t>1</t>
        </is>
      </c>
      <c r="E2356" t="inlineStr">
        <is>
          <t>91</t>
        </is>
      </c>
      <c r="F2356" t="inlineStr">
        <is>
          <t>0</t>
        </is>
      </c>
      <c r="G2356" t="inlineStr">
        <is>
          <t>8</t>
        </is>
      </c>
      <c r="H2356" t="inlineStr">
        <is>
          <t>26⁷</t>
        </is>
      </c>
      <c r="I2356" t="n">
        <v>7</v>
      </c>
      <c r="J2356" t="inlineStr">
        <is>
          <t>3¹, 4¹, 12⁷</t>
        </is>
      </c>
      <c r="K2356">
        <f>HYPERLINK("CSG0.html#group2A0", "2A⁰"), =HYPERLINK("CSG3.html#group13B3", "13B³")</f>
        <v/>
      </c>
      <c r="L2356" t="inlineStr"/>
      <c r="M2356">
        <f>HYPERLINK("CSG0.html#group2A0", "2A⁰"), =HYPERLINK("CSG0.html#group1A0", "1A⁰"), =HYPERLINK("CSG3.html#group13B3", "13B³")</f>
        <v/>
      </c>
      <c r="N2356" t="inlineStr"/>
    </row>
    <row r="2357">
      <c r="A2357" t="inlineStr">
        <is>
          <t>26B¹⁰</t>
        </is>
      </c>
      <c r="B2357" t="inlineStr"/>
      <c r="C2357" t="inlineStr">
        <is>
          <t>182</t>
        </is>
      </c>
      <c r="D2357" t="inlineStr">
        <is>
          <t>1</t>
        </is>
      </c>
      <c r="E2357" t="inlineStr">
        <is>
          <t>91</t>
        </is>
      </c>
      <c r="F2357" t="inlineStr">
        <is>
          <t>8</t>
        </is>
      </c>
      <c r="G2357" t="inlineStr">
        <is>
          <t>2</t>
        </is>
      </c>
      <c r="H2357" t="inlineStr">
        <is>
          <t>26⁷</t>
        </is>
      </c>
      <c r="I2357" t="n">
        <v>7</v>
      </c>
      <c r="J2357" t="inlineStr">
        <is>
          <t>2¹, 6², 12¹⁴</t>
        </is>
      </c>
      <c r="K2357">
        <f>HYPERLINK("CSG3.html#group13C3", "13C³")</f>
        <v/>
      </c>
      <c r="L2357">
        <f>HYPERLINK("CSG20.html#group26A20", "26A²⁰"), =HYPERLINK("CSG22.html#group26A22", "26A²²"), =HYPERLINK("CSG23.html#group26C23", "26C²³")</f>
        <v/>
      </c>
      <c r="M2357">
        <f>HYPERLINK("CSG3.html#group13C3", "13C³"), =HYPERLINK("CSG0.html#group1A0", "1A⁰")</f>
        <v/>
      </c>
      <c r="N2357">
        <f>HYPERLINK("CSG20.html#group26A20", "26A²⁰"), =HYPERLINK("CSG23.html#group26C23", "26C²³"), =HYPERLINK("CSG22.html#group26A22", "26A²²")</f>
        <v/>
      </c>
    </row>
    <row r="2358">
      <c r="A2358" t="inlineStr">
        <is>
          <t>26C¹⁰</t>
        </is>
      </c>
      <c r="B2358" t="inlineStr"/>
      <c r="C2358" t="inlineStr">
        <is>
          <t>182</t>
        </is>
      </c>
      <c r="D2358" t="inlineStr">
        <is>
          <t>1</t>
        </is>
      </c>
      <c r="E2358" t="inlineStr">
        <is>
          <t>91</t>
        </is>
      </c>
      <c r="F2358" t="inlineStr">
        <is>
          <t>8</t>
        </is>
      </c>
      <c r="G2358" t="inlineStr">
        <is>
          <t>2</t>
        </is>
      </c>
      <c r="H2358" t="inlineStr">
        <is>
          <t>26⁷</t>
        </is>
      </c>
      <c r="I2358" t="n">
        <v>7</v>
      </c>
      <c r="J2358" t="inlineStr">
        <is>
          <t>2¹, 6², 12¹⁴</t>
        </is>
      </c>
      <c r="K2358">
        <f>HYPERLINK("CSG3.html#group13C3", "13C³")</f>
        <v/>
      </c>
      <c r="L2358">
        <f>HYPERLINK("CSG20.html#group26B20", "26B²⁰"), =HYPERLINK("CSG22.html#group26A22", "26A²²"), =HYPERLINK("CSG23.html#group26B23", "26B²³")</f>
        <v/>
      </c>
      <c r="M2358">
        <f>HYPERLINK("CSG3.html#group13C3", "13C³"), =HYPERLINK("CSG0.html#group1A0", "1A⁰")</f>
        <v/>
      </c>
      <c r="N2358">
        <f>HYPERLINK("CSG22.html#group26A22", "26A²²"), =HYPERLINK("CSG20.html#group26B20", "26B²⁰"), =HYPERLINK("CSG23.html#group26B23", "26B²³")</f>
        <v/>
      </c>
    </row>
    <row r="2359">
      <c r="A2359" t="inlineStr">
        <is>
          <t>26D¹⁰</t>
        </is>
      </c>
      <c r="B2359" t="inlineStr">
        <is>
          <t>Γ₁(26)</t>
        </is>
      </c>
      <c r="C2359" t="inlineStr">
        <is>
          <t>252</t>
        </is>
      </c>
      <c r="D2359" t="inlineStr">
        <is>
          <t>1</t>
        </is>
      </c>
      <c r="E2359" t="inlineStr">
        <is>
          <t>42</t>
        </is>
      </c>
      <c r="F2359" t="inlineStr">
        <is>
          <t>0</t>
        </is>
      </c>
      <c r="G2359" t="inlineStr">
        <is>
          <t>0</t>
        </is>
      </c>
      <c r="H2359" t="inlineStr">
        <is>
          <t>1⁶, 2⁶, 13⁶, 26⁶</t>
        </is>
      </c>
      <c r="I2359" t="n">
        <v>24</v>
      </c>
      <c r="J2359" t="inlineStr">
        <is>
          <t>1⁶, 12³</t>
        </is>
      </c>
      <c r="K2359">
        <f>HYPERLINK("CSG2.html#group13A2", "13A²"), =HYPERLINK("CSG4.html#group26A4", "26A⁴"), =HYPERLINK("CSG4.html#group26C4", "26C⁴")</f>
        <v/>
      </c>
      <c r="L2359" t="inlineStr"/>
      <c r="M2359">
        <f>HYPERLINK("CSG2.html#group13A2", "13A²"), =HYPERLINK("CSG0.html#group13A0", "13A⁰"), =HYPERLINK("CSG4.html#group26C4", "26C⁴"), =HYPERLINK("CSG0.html#group13C0", "13C⁰"), =HYPERLINK("CSG0.html#group2B0", "2B⁰"), =HYPERLINK("CSG0.html#group13B0", "13B⁰"), =HYPERLINK("CSG0.html#group1A0", "1A⁰"), =HYPERLINK("CSG2.html#group26A2", "26A²"), =HYPERLINK("CSG4.html#group26A4", "26A⁴")</f>
        <v/>
      </c>
      <c r="N2359" t="inlineStr"/>
    </row>
    <row r="2360">
      <c r="A2360" t="inlineStr">
        <is>
          <t>26E¹⁰</t>
        </is>
      </c>
      <c r="B2360" t="inlineStr"/>
      <c r="C2360" t="inlineStr">
        <is>
          <t>252</t>
        </is>
      </c>
      <c r="D2360" t="inlineStr">
        <is>
          <t>1</t>
        </is>
      </c>
      <c r="E2360" t="inlineStr">
        <is>
          <t>42</t>
        </is>
      </c>
      <c r="F2360" t="inlineStr">
        <is>
          <t>12</t>
        </is>
      </c>
      <c r="G2360" t="inlineStr">
        <is>
          <t>0</t>
        </is>
      </c>
      <c r="H2360" t="inlineStr">
        <is>
          <t>2⁹, 26⁹</t>
        </is>
      </c>
      <c r="I2360" t="n">
        <v>18</v>
      </c>
      <c r="J2360" t="inlineStr">
        <is>
          <t>1⁶, 12³</t>
        </is>
      </c>
      <c r="K2360">
        <f>HYPERLINK("CSG2.html#group26B2", "26B²"), =HYPERLINK("CSG4.html#group26B4", "26B⁴"), =HYPERLINK("CSG4.html#group26C4", "26C⁴")</f>
        <v/>
      </c>
      <c r="L2360" t="inlineStr"/>
      <c r="M2360">
        <f>HYPERLINK("CSG0.html#group13A0", "13A⁰"), =HYPERLINK("CSG4.html#group26C4", "26C⁴"), =HYPERLINK("CSG4.html#group26B4", "26B⁴"), =HYPERLINK("CSG0.html#group13C0", "13C⁰"), =HYPERLINK("CSG0.html#group2B0", "2B⁰"), =HYPERLINK("CSG2.html#group26B2", "26B²"), =HYPERLINK("CSG0.html#group26A0", "26A⁰"), =HYPERLINK("CSG0.html#group1A0", "1A⁰"), =HYPERLINK("CSG2.html#group26A2", "26A²")</f>
        <v/>
      </c>
      <c r="N2360" t="inlineStr"/>
    </row>
    <row r="2361">
      <c r="A2361" t="inlineStr">
        <is>
          <t>27A¹⁰</t>
        </is>
      </c>
      <c r="B2361" t="inlineStr"/>
      <c r="C2361" t="inlineStr">
        <is>
          <t>162</t>
        </is>
      </c>
      <c r="D2361" t="inlineStr">
        <is>
          <t>2</t>
        </is>
      </c>
      <c r="E2361" t="inlineStr">
        <is>
          <t>81</t>
        </is>
      </c>
      <c r="F2361" t="inlineStr">
        <is>
          <t>6</t>
        </is>
      </c>
      <c r="G2361" t="inlineStr">
        <is>
          <t>0</t>
        </is>
      </c>
      <c r="H2361" t="inlineStr">
        <is>
          <t>27⁶</t>
        </is>
      </c>
      <c r="I2361" t="n">
        <v>6</v>
      </c>
      <c r="J2361" t="inlineStr">
        <is>
          <t>6⁹, 18⁶</t>
        </is>
      </c>
      <c r="K2361">
        <f>HYPERLINK("CSG1.html#group9F1", "9F¹"), =HYPERLINK("CSG3.html#group27B3", "27B³")</f>
        <v/>
      </c>
      <c r="L2361">
        <f>HYPERLINK("CSG22.html#group27B22", "27B²²"), =HYPERLINK("CSG22.html#group54J22", "54J²²")</f>
        <v/>
      </c>
      <c r="M2361">
        <f>HYPERLINK("CSG0.html#group9D0", "9D⁰"), =HYPERLINK("CSG0.html#group9G0", "9G⁰"), =HYPERLINK("CSG0.html#group9A0", "9A⁰"), =HYPERLINK("CSG3.html#group27B3", "27B³"), =HYPERLINK("CSG0.html#group3C0", "3C⁰"), =HYPERLINK("CSG0.html#group3A0", "3A⁰"), =HYPERLINK("CSG0.html#group1A0", "1A⁰"), =HYPERLINK("CSG1.html#group9B1", "9B¹"), =HYPERLINK("CSG1.html#group9F1", "9F¹")</f>
        <v/>
      </c>
      <c r="N2361">
        <f>HYPERLINK("CSG22.html#group27B22", "27B²²"), =HYPERLINK("CSG22.html#group54J22", "54J²²")</f>
        <v/>
      </c>
    </row>
    <row r="2362">
      <c r="A2362" t="inlineStr">
        <is>
          <t>27B¹⁰</t>
        </is>
      </c>
      <c r="B2362" t="inlineStr"/>
      <c r="C2362" t="inlineStr">
        <is>
          <t>324</t>
        </is>
      </c>
      <c r="D2362" t="inlineStr">
        <is>
          <t>1</t>
        </is>
      </c>
      <c r="E2362" t="inlineStr">
        <is>
          <t>4</t>
        </is>
      </c>
      <c r="F2362" t="inlineStr">
        <is>
          <t>0</t>
        </is>
      </c>
      <c r="G2362" t="inlineStr">
        <is>
          <t>0</t>
        </is>
      </c>
      <c r="H2362" t="inlineStr">
        <is>
          <t>3²⁷, 27⁹</t>
        </is>
      </c>
      <c r="I2362" t="n">
        <v>36</v>
      </c>
      <c r="J2362" t="inlineStr">
        <is>
          <t>1², 2¹</t>
        </is>
      </c>
      <c r="K2362">
        <f>HYPERLINK("CSG1.html#group9H1", "9H¹"), =HYPERLINK("CSG1.html#group27C1", "27C¹"), =HYPERLINK("CSG3.html#group27C3", "27C³"), =HYPERLINK("CSG4.html#group27A4", "27A⁴"), =HYPERLINK("CSG4.html#group27B4", "27B⁴"), =HYPERLINK("CSG4.html#group27C4", "27C⁴")</f>
        <v/>
      </c>
      <c r="L2362" t="inlineStr"/>
      <c r="M2362">
        <f>HYPERLINK("CSG4.html#group27B4", "27B⁴"), =HYPERLINK("CSG0.html#group3B0", "3B⁰"), =HYPERLINK("CSG0.html#group9J0", "9J⁰"), =HYPERLINK("CSG2.html#group27A2", "27A²"), =HYPERLINK("CSG4.html#group27C4", "27C⁴"), =HYPERLINK("CSG1.html#group27C1", "27C¹"), =HYPERLINK("CSG1.html#group9H1", "9H¹"), =HYPERLINK("CSG0.html#group9B0", "9B⁰"), =HYPERLINK("CSG0.html#group9C0", "9C⁰"), =HYPERLINK("CSG0.html#group9E0", "9E⁰"), =HYPERLINK("CSG0.html#group1A0", "1A⁰"), =HYPERLINK("CSG4.html#group27A4", "27A⁴"), =HYPERLINK("CSG3.html#group27C3", "27C³"), =HYPERLINK("CSG1.html#group27A1", "27A¹"), =HYPERLINK("CSG1.html#group9A1", "9A¹"), =HYPERLINK("CSG0.html#group9I0", "9I⁰"), =HYPERLINK("CSG0.html#group27A0", "27A⁰"), =HYPERLINK("CSG1.html#group9C1", "9C¹"), =HYPERLINK("CSG0.html#group3C0", "3C⁰"), =HYPERLINK("CSG0.html#group9H0", "9H⁰"), =HYPERLINK("CSG0.html#group3A0", "3A⁰"), =HYPERLINK("CSG1.html#group9D1", "9D¹"), =HYPERLINK("CSG0.html#group3D0", "3D⁰")</f>
        <v/>
      </c>
      <c r="N2362" t="inlineStr"/>
    </row>
    <row r="2363">
      <c r="A2363" t="inlineStr">
        <is>
          <t>28A¹⁰</t>
        </is>
      </c>
      <c r="B2363" t="inlineStr"/>
      <c r="C2363" t="inlineStr">
        <is>
          <t>168</t>
        </is>
      </c>
      <c r="D2363" t="inlineStr">
        <is>
          <t>2</t>
        </is>
      </c>
      <c r="E2363" t="inlineStr">
        <is>
          <t>42</t>
        </is>
      </c>
      <c r="F2363" t="inlineStr">
        <is>
          <t>8</t>
        </is>
      </c>
      <c r="G2363" t="inlineStr">
        <is>
          <t>0</t>
        </is>
      </c>
      <c r="H2363" t="inlineStr">
        <is>
          <t>28⁶</t>
        </is>
      </c>
      <c r="I2363" t="n">
        <v>6</v>
      </c>
      <c r="J2363" t="inlineStr">
        <is>
          <t>2², 4², 6⁴, 12⁴</t>
        </is>
      </c>
      <c r="K2363">
        <f>HYPERLINK("CSG2.html#group28E2", "28E²"), =HYPERLINK("CSG4.html#group28C4", "28C⁴"), =HYPERLINK("CSG5.html#group28C5", "28C⁵"), =HYPERLINK("CSG5.html#group28D5", "28D⁵")</f>
        <v/>
      </c>
      <c r="L2363">
        <f>HYPERLINK("CSG21.html#group56J21", "56J²¹"), =HYPERLINK("CSG22.html#group56C22", "56C²²"), =HYPERLINK("CSG23.html#group28C23", "28C²³"), =HYPERLINK("CSG24.html#group56J24", "56J²⁴")</f>
        <v/>
      </c>
      <c r="M2363">
        <f>HYPERLINK("CSG2.html#group28E2", "28E²"), =HYPERLINK("CSG0.html#group14A0", "14A⁰"), =HYPERLINK("CSG4.html#group28C4", "28C⁴"), =HYPERLINK("CSG1.html#group14B1", "14B¹"), =HYPERLINK("CSG2.html#group14C2", "14C²"), =HYPERLINK("CSG0.html#group4C0", "4C⁰"), =HYPERLINK("CSG5.html#group28C5", "28C⁵"), =HYPERLINK("CSG0.html#group2B0", "2B⁰"), =HYPERLINK("CSG0.html#group1A0", "1A⁰"), =HYPERLINK("CSG2.html#group28C2", "28C²"), =HYPERLINK("CSG0.html#group4A0", "4A⁰"), =HYPERLINK("CSG5.html#group28D5", "28D⁵"), =HYPERLINK("CSG0.html#group4F0", "4F⁰"), =HYPERLINK("CSG1.html#group28A1", "28A¹"), =HYPERLINK("CSG2.html#group28B2", "28B²"), =HYPERLINK("CSG0.html#group7A0", "7A⁰")</f>
        <v/>
      </c>
      <c r="N2363">
        <f>HYPERLINK("CSG22.html#group56C22", "56C²²"), =HYPERLINK("CSG21.html#group56J21", "56J²¹"), =HYPERLINK("CSG23.html#group28C23", "28C²³"), =HYPERLINK("CSG24.html#group56J24", "56J²⁴")</f>
        <v/>
      </c>
    </row>
    <row r="2364">
      <c r="A2364" t="inlineStr">
        <is>
          <t>28B¹⁰</t>
        </is>
      </c>
      <c r="B2364" t="inlineStr"/>
      <c r="C2364" t="inlineStr">
        <is>
          <t>168</t>
        </is>
      </c>
      <c r="D2364" t="inlineStr">
        <is>
          <t>2</t>
        </is>
      </c>
      <c r="E2364" t="inlineStr">
        <is>
          <t>84</t>
        </is>
      </c>
      <c r="F2364" t="inlineStr">
        <is>
          <t>8</t>
        </is>
      </c>
      <c r="G2364" t="inlineStr">
        <is>
          <t>0</t>
        </is>
      </c>
      <c r="H2364" t="inlineStr">
        <is>
          <t>28⁶</t>
        </is>
      </c>
      <c r="I2364" t="n">
        <v>6</v>
      </c>
      <c r="J2364" t="inlineStr">
        <is>
          <t>12¹⁴</t>
        </is>
      </c>
      <c r="K2364">
        <f>HYPERLINK("CSG2.html#group14B2", "14B²"), =HYPERLINK("CSG2.html#group28E2", "28E²"), =HYPERLINK("CSG4.html#group28B4", "28B⁴")</f>
        <v/>
      </c>
      <c r="L2364">
        <f>HYPERLINK("CSG19.html#group28C19", "28C¹⁹"), =HYPERLINK("CSG23.html#group28A23", "28A²³"), =HYPERLINK("CSG23.html#group28D23", "28D²³"), =HYPERLINK("CSG24.html#group56K24", "56K²⁴"), =HYPERLINK("CSG24.html#group56L24", "56L²⁴"), =HYPERLINK("CSG24.html#group56M24", "56M²⁴"), =HYPERLINK("CSG24.html#group56N24", "56N²⁴")</f>
        <v/>
      </c>
      <c r="M2364">
        <f>HYPERLINK("CSG2.html#group28E2", "28E²"), =HYPERLINK("CSG0.html#group14A0", "14A⁰"), =HYPERLINK("CSG2.html#group14B2", "14B²"), =HYPERLINK("CSG0.html#group7D0", "7D⁰"), =HYPERLINK("CSG0.html#group4A0", "4A⁰"), =HYPERLINK("CSG4.html#group28B4", "28B⁴"), =HYPERLINK("CSG1.html#group28A1", "28A¹"), =HYPERLINK("CSG0.html#group1A0", "1A⁰"), =HYPERLINK("CSG0.html#group7A0", "7A⁰")</f>
        <v/>
      </c>
      <c r="N2364">
        <f>HYPERLINK("CSG24.html#group56M24", "56M²⁴"), =HYPERLINK("CSG24.html#group56K24", "56K²⁴"), =HYPERLINK("CSG19.html#group28C19", "28C¹⁹"), =HYPERLINK("CSG24.html#group56N24", "56N²⁴"), =HYPERLINK("CSG23.html#group28D23", "28D²³"), =HYPERLINK("CSG23.html#group28A23", "28A²³"), =HYPERLINK("CSG24.html#group56L24", "56L²⁴")</f>
        <v/>
      </c>
    </row>
    <row r="2365">
      <c r="A2365" t="inlineStr">
        <is>
          <t>28C¹⁰</t>
        </is>
      </c>
      <c r="B2365" t="inlineStr"/>
      <c r="C2365" t="inlineStr">
        <is>
          <t>288</t>
        </is>
      </c>
      <c r="D2365" t="inlineStr">
        <is>
          <t>1</t>
        </is>
      </c>
      <c r="E2365" t="inlineStr">
        <is>
          <t>24</t>
        </is>
      </c>
      <c r="F2365" t="inlineStr">
        <is>
          <t>0</t>
        </is>
      </c>
      <c r="G2365" t="inlineStr">
        <is>
          <t>0</t>
        </is>
      </c>
      <c r="H2365" t="inlineStr">
        <is>
          <t>2¹², 4³, 14¹², 28³</t>
        </is>
      </c>
      <c r="I2365" t="n">
        <v>30</v>
      </c>
      <c r="J2365" t="inlineStr">
        <is>
          <t>1⁶, 6³</t>
        </is>
      </c>
      <c r="K2365">
        <f>HYPERLINK("CSG4.html#group14B4", "14B⁴"), =HYPERLINK("CSG4.html#group28D4", "28D⁴")</f>
        <v/>
      </c>
      <c r="L2365" t="inlineStr"/>
      <c r="M2365">
        <f>HYPERLINK("CSG0.html#group2A0", "2A⁰"), =HYPERLINK("CSG0.html#group7B0", "7B⁰"), =HYPERLINK("CSG1.html#group14H1", "14H¹"), =HYPERLINK("CSG2.html#group14D2", "14D²"), =HYPERLINK("CSG0.html#group14B0", "14B⁰"), =HYPERLINK("CSG4.html#group14B4", "14B⁴"), =HYPERLINK("CSG1.html#group14C1", "14C¹"), =HYPERLINK("CSG0.html#group2B0", "2B⁰"), =HYPERLINK("CSG0.html#group7E0", "7E⁰"), =HYPERLINK("CSG2.html#group14E2", "14E²"), =HYPERLINK("CSG0.html#group14C0", "14C⁰"), =HYPERLINK("CSG0.html#group1A0", "1A⁰"), =HYPERLINK("CSG0.html#group2C0", "2C⁰"), =HYPERLINK("CSG4.html#group28D4", "28D⁴")</f>
        <v/>
      </c>
      <c r="N2365" t="inlineStr"/>
    </row>
    <row r="2366">
      <c r="A2366" t="inlineStr">
        <is>
          <t>28D¹⁰</t>
        </is>
      </c>
      <c r="B2366" t="inlineStr">
        <is>
          <t>Γ₁(28)</t>
        </is>
      </c>
      <c r="C2366" t="inlineStr">
        <is>
          <t>288</t>
        </is>
      </c>
      <c r="D2366" t="inlineStr">
        <is>
          <t>1</t>
        </is>
      </c>
      <c r="E2366" t="inlineStr">
        <is>
          <t>48</t>
        </is>
      </c>
      <c r="F2366" t="inlineStr">
        <is>
          <t>0</t>
        </is>
      </c>
      <c r="G2366" t="inlineStr">
        <is>
          <t>0</t>
        </is>
      </c>
      <c r="H2366" t="inlineStr">
        <is>
          <t>1⁶, 2³, 4⁶, 7⁶, 14³, 28⁶</t>
        </is>
      </c>
      <c r="I2366" t="n">
        <v>30</v>
      </c>
      <c r="J2366" t="inlineStr">
        <is>
          <t>1⁸, 2², 6⁴, 12¹</t>
        </is>
      </c>
      <c r="K2366">
        <f>HYPERLINK("CSG4.html#group28E4", "28E⁴"), =HYPERLINK("CSG4.html#group28F4", "28F⁴")</f>
        <v/>
      </c>
      <c r="L2366" t="inlineStr"/>
      <c r="M2366">
        <f>HYPERLINK("CSG4.html#group28E4", "28E⁴"), =HYPERLINK("CSG4.html#group28F4", "28F⁴"), =HYPERLINK("CSG0.html#group7B0", "7B⁰"), =HYPERLINK("CSG2.html#group28D2", "28D²"), =HYPERLINK("CSG1.html#group14C1", "14C¹"), =HYPERLINK("CSG1.html#group14H1", "14H¹"), =HYPERLINK("CSG0.html#group2B0", "2B⁰"), =HYPERLINK("CSG0.html#group7E0", "7E⁰"), =HYPERLINK("CSG0.html#group4B0", "4B⁰"), =HYPERLINK("CSG0.html#group1A0", "1A⁰")</f>
        <v/>
      </c>
      <c r="N2366" t="inlineStr"/>
    </row>
    <row r="2367">
      <c r="A2367" t="inlineStr">
        <is>
          <t>30A¹⁰</t>
        </is>
      </c>
      <c r="B2367" t="inlineStr"/>
      <c r="C2367" t="inlineStr">
        <is>
          <t>180</t>
        </is>
      </c>
      <c r="D2367" t="inlineStr">
        <is>
          <t>1</t>
        </is>
      </c>
      <c r="E2367" t="inlineStr">
        <is>
          <t>15</t>
        </is>
      </c>
      <c r="F2367" t="inlineStr">
        <is>
          <t>12</t>
        </is>
      </c>
      <c r="G2367" t="inlineStr">
        <is>
          <t>0</t>
        </is>
      </c>
      <c r="H2367" t="inlineStr">
        <is>
          <t>30⁶</t>
        </is>
      </c>
      <c r="I2367" t="n">
        <v>6</v>
      </c>
      <c r="J2367" t="inlineStr">
        <is>
          <t>1¹, 2¹, 4¹, 8¹</t>
        </is>
      </c>
      <c r="K2367">
        <f>HYPERLINK("CSG4.html#group15C4", "15C⁴"), =HYPERLINK("CSG4.html#group30A4", "30A⁴"), =HYPERLINK("CSG4.html#group30E4", "30E⁴")</f>
        <v/>
      </c>
      <c r="L2367">
        <f>HYPERLINK("CSG21.html#group30A21", "30A²¹"), =HYPERLINK("CSG23.html#group30B23", "30B²³")</f>
        <v/>
      </c>
      <c r="M2367">
        <f>HYPERLINK("CSG0.html#group5A0", "5A⁰"), =HYPERLINK("CSG0.html#group6B0", "6B⁰"), =HYPERLINK("CSG1.html#group15F1", "15F¹"), =HYPERLINK("CSG4.html#group30A4", "30A⁴"), =HYPERLINK("CSG0.html#group1A0", "1A⁰"), =HYPERLINK("CSG4.html#group15C4", "15C⁴"), =HYPERLINK("CSG2.html#group30A2", "30A²"), =HYPERLINK("CSG4.html#group30E4", "30E⁴"), =HYPERLINK("CSG2.html#group15A2", "15A²"), =HYPERLINK("CSG0.html#group6E0", "6E⁰"), =HYPERLINK("CSG0.html#group5E0", "5E⁰"), =HYPERLINK("CSG0.html#group3C0", "3C⁰"), =HYPERLINK("CSG0.html#group3A0", "3A⁰"), =HYPERLINK("CSG1.html#group15A1", "15A¹"), =HYPERLINK("CSG0.html#group15A0", "15A⁰")</f>
        <v/>
      </c>
      <c r="N2367">
        <f>HYPERLINK("CSG21.html#group30A21", "30A²¹"), =HYPERLINK("CSG23.html#group30B23", "30B²³")</f>
        <v/>
      </c>
    </row>
    <row r="2368">
      <c r="A2368" t="inlineStr">
        <is>
          <t>30B¹⁰</t>
        </is>
      </c>
      <c r="B2368" t="inlineStr"/>
      <c r="C2368" t="inlineStr">
        <is>
          <t>180</t>
        </is>
      </c>
      <c r="D2368" t="inlineStr">
        <is>
          <t>1</t>
        </is>
      </c>
      <c r="E2368" t="inlineStr">
        <is>
          <t>15</t>
        </is>
      </c>
      <c r="F2368" t="inlineStr">
        <is>
          <t>12</t>
        </is>
      </c>
      <c r="G2368" t="inlineStr">
        <is>
          <t>0</t>
        </is>
      </c>
      <c r="H2368" t="inlineStr">
        <is>
          <t>30⁶</t>
        </is>
      </c>
      <c r="I2368" t="n">
        <v>6</v>
      </c>
      <c r="J2368" t="inlineStr">
        <is>
          <t>1¹, 2¹, 4³</t>
        </is>
      </c>
      <c r="K2368">
        <f>HYPERLINK("CSG0.html#group30A0", "30A⁰"), =HYPERLINK("CSG2.html#group10C2", "10C²"), =HYPERLINK("CSG2.html#group30F2", "30F²"), =HYPERLINK("CSG4.html#group15D4", "15D⁴"), =HYPERLINK("CSG4.html#group30F4", "30F⁴")</f>
        <v/>
      </c>
      <c r="L2368">
        <f>HYPERLINK("CSG21.html#group30B21", "30B²¹"), =HYPERLINK("CSG23.html#group30C23", "30C²³")</f>
        <v/>
      </c>
      <c r="M2368">
        <f>HYPERLINK("CSG0.html#group30A0", "30A⁰"), =HYPERLINK("CSG0.html#group5A0", "5A⁰"), =HYPERLINK("CSG4.html#group15D4", "15D⁴"), =HYPERLINK("CSG0.html#group10D0", "10D⁰"), =HYPERLINK("CSG0.html#group5B0", "5B⁰"), =HYPERLINK("CSG1.html#group15F1", "15F¹"), =HYPERLINK("CSG1.html#group10E1", "10E¹"), =HYPERLINK("CSG0.html#group1A0", "1A⁰"), =HYPERLINK("CSG2.html#group30F2", "30F²"), =HYPERLINK("CSG0.html#group10B0", "10B⁰"), =HYPERLINK("CSG1.html#group15D1", "15D¹"), =HYPERLINK("CSG4.html#group30F4", "30F⁴"), =HYPERLINK("CSG0.html#group15B0", "15B⁰"), =HYPERLINK("CSG2.html#group10C2", "10C²"), =HYPERLINK("CSG0.html#group5E0", "5E⁰"), =HYPERLINK("CSG0.html#group3A0", "3A⁰"), =HYPERLINK("CSG0.html#group5C0", "5C⁰"), =HYPERLINK("CSG0.html#group5G0", "5G⁰"), =HYPERLINK("CSG1.html#group15A1", "15A¹"), =HYPERLINK("CSG0.html#group15A0", "15A⁰")</f>
        <v/>
      </c>
      <c r="N2368">
        <f>HYPERLINK("CSG23.html#group30C23", "30C²³"), =HYPERLINK("CSG21.html#group30B21", "30B²¹")</f>
        <v/>
      </c>
    </row>
    <row r="2369">
      <c r="A2369" t="inlineStr">
        <is>
          <t>30C¹⁰</t>
        </is>
      </c>
      <c r="B2369" t="inlineStr"/>
      <c r="C2369" t="inlineStr">
        <is>
          <t>180</t>
        </is>
      </c>
      <c r="D2369" t="inlineStr">
        <is>
          <t>1</t>
        </is>
      </c>
      <c r="E2369" t="inlineStr">
        <is>
          <t>30</t>
        </is>
      </c>
      <c r="F2369" t="inlineStr">
        <is>
          <t>12</t>
        </is>
      </c>
      <c r="G2369" t="inlineStr">
        <is>
          <t>0</t>
        </is>
      </c>
      <c r="H2369" t="inlineStr">
        <is>
          <t>30⁶</t>
        </is>
      </c>
      <c r="I2369" t="n">
        <v>6</v>
      </c>
      <c r="J2369" t="inlineStr">
        <is>
          <t>2³, 4⁶</t>
        </is>
      </c>
      <c r="K2369">
        <f>HYPERLINK("CSG2.html#group10E2", "10E²"), =HYPERLINK("CSG2.html#group30F2", "30F²"), =HYPERLINK("CSG5.html#group30K5", "30K⁵")</f>
        <v/>
      </c>
      <c r="L2369">
        <f>HYPERLINK("CSG21.html#group30D21", "30D²¹"), =HYPERLINK("CSG21.html#group60U21", "60U²¹"), =HYPERLINK("CSG23.html#group30H23", "30H²³"), =HYPERLINK("CSG23.html#group60F23", "60F²³"), =HYPERLINK("CSG23.html#group60K23", "60K²³"), =HYPERLINK("CSG23.html#group60M23", "60M²³")</f>
        <v/>
      </c>
      <c r="M2369">
        <f>HYPERLINK("CSG5.html#group30K5", "30K⁵"), =HYPERLINK("CSG1.html#group15D1", "15D¹"), =HYPERLINK("CSG2.html#group10E2", "10E²"), =HYPERLINK("CSG0.html#group10D0", "10D⁰"), =HYPERLINK("CSG0.html#group5C0", "5C⁰"), =HYPERLINK("CSG0.html#group1A0", "1A⁰"), =HYPERLINK("CSG0.html#group2B0", "2B⁰"), =HYPERLINK("CSG0.html#group3A0", "3A⁰"), =HYPERLINK("CSG2.html#group30F2", "30F²"), =HYPERLINK("CSG0.html#group6D0", "6D⁰"), =HYPERLINK("CSG1.html#group10F1", "10F¹")</f>
        <v/>
      </c>
      <c r="N2369">
        <f>HYPERLINK("CSG23.html#group30H23", "30H²³"), =HYPERLINK("CSG23.html#group60M23", "60M²³"), =HYPERLINK("CSG21.html#group30D21", "30D²¹"), =HYPERLINK("CSG23.html#group60F23", "60F²³"), =HYPERLINK("CSG23.html#group60K23", "60K²³"), =HYPERLINK("CSG21.html#group60U21", "60U²¹")</f>
        <v/>
      </c>
    </row>
    <row r="2370">
      <c r="A2370" t="inlineStr">
        <is>
          <t>30D¹⁰</t>
        </is>
      </c>
      <c r="B2370" t="inlineStr"/>
      <c r="C2370" t="inlineStr">
        <is>
          <t>180</t>
        </is>
      </c>
      <c r="D2370" t="inlineStr">
        <is>
          <t>1</t>
        </is>
      </c>
      <c r="E2370" t="inlineStr">
        <is>
          <t>45</t>
        </is>
      </c>
      <c r="F2370" t="inlineStr">
        <is>
          <t>12</t>
        </is>
      </c>
      <c r="G2370" t="inlineStr">
        <is>
          <t>0</t>
        </is>
      </c>
      <c r="H2370" t="inlineStr">
        <is>
          <t>30⁶</t>
        </is>
      </c>
      <c r="I2370" t="n">
        <v>6</v>
      </c>
      <c r="J2370" t="inlineStr">
        <is>
          <t>2³, 4⁹, 8⁶</t>
        </is>
      </c>
      <c r="K2370">
        <f>HYPERLINK("CSG3.html#group15H3", "15H³"), =HYPERLINK("CSG4.html#group30F4", "30F⁴"), =HYPERLINK("CSG5.html#group30L5", "30L⁵")</f>
        <v/>
      </c>
      <c r="L2370">
        <f>HYPERLINK("CSG21.html#group30B21", "30B²¹"), =HYPERLINK("CSG21.html#group30F21", "30F²¹"), =HYPERLINK("CSG23.html#group30C23", "30C²³"), =HYPERLINK("CSG23.html#group30D23", "30D²³")</f>
        <v/>
      </c>
      <c r="M2370">
        <f>HYPERLINK("CSG0.html#group5A0", "5A⁰"), =HYPERLINK("CSG4.html#group30F4", "30F⁴"), =HYPERLINK("CSG5.html#group30L5", "30L⁵"), =HYPERLINK("CSG1.html#group15A1", "15A¹"), =HYPERLINK("CSG1.html#group15F1", "15F¹"), =HYPERLINK("CSG0.html#group5E0", "5E⁰"), =HYPERLINK("CSG0.html#group3A0", "3A⁰"), =HYPERLINK("CSG1.html#group10E1", "10E¹"), =HYPERLINK("CSG0.html#group1A0", "1A⁰"), =HYPERLINK("CSG3.html#group15H3", "15H³"), =HYPERLINK("CSG0.html#group15A0", "15A⁰")</f>
        <v/>
      </c>
      <c r="N2370">
        <f>HYPERLINK("CSG21.html#group30F21", "30F²¹"), =HYPERLINK("CSG23.html#group30C23", "30C²³"), =HYPERLINK("CSG21.html#group30B21", "30B²¹"), =HYPERLINK("CSG23.html#group30D23", "30D²³")</f>
        <v/>
      </c>
    </row>
    <row r="2371">
      <c r="A2371" t="inlineStr">
        <is>
          <t>30E¹⁰</t>
        </is>
      </c>
      <c r="B2371" t="inlineStr"/>
      <c r="C2371" t="inlineStr">
        <is>
          <t>180</t>
        </is>
      </c>
      <c r="D2371" t="inlineStr">
        <is>
          <t>1</t>
        </is>
      </c>
      <c r="E2371" t="inlineStr">
        <is>
          <t>45</t>
        </is>
      </c>
      <c r="F2371" t="inlineStr">
        <is>
          <t>12</t>
        </is>
      </c>
      <c r="G2371" t="inlineStr">
        <is>
          <t>0</t>
        </is>
      </c>
      <c r="H2371" t="inlineStr">
        <is>
          <t>30⁶</t>
        </is>
      </c>
      <c r="I2371" t="n">
        <v>6</v>
      </c>
      <c r="J2371" t="inlineStr">
        <is>
          <t>2³, 4⁹, 8⁶</t>
        </is>
      </c>
      <c r="K2371">
        <f>HYPERLINK("CSG3.html#group15H3", "15H³"), =HYPERLINK("CSG4.html#group30F4", "30F⁴"), =HYPERLINK("CSG5.html#group30L5", "30L⁵")</f>
        <v/>
      </c>
      <c r="L2371">
        <f>HYPERLINK("CSG21.html#group30B21", "30B²¹"), =HYPERLINK("CSG21.html#group30F21", "30F²¹"), =HYPERLINK("CSG23.html#group30C23", "30C²³"), =HYPERLINK("CSG23.html#group30E23", "30E²³")</f>
        <v/>
      </c>
      <c r="M2371">
        <f>HYPERLINK("CSG0.html#group5A0", "5A⁰"), =HYPERLINK("CSG4.html#group30F4", "30F⁴"), =HYPERLINK("CSG5.html#group30L5", "30L⁵"), =HYPERLINK("CSG1.html#group15A1", "15A¹"), =HYPERLINK("CSG1.html#group15F1", "15F¹"), =HYPERLINK("CSG0.html#group5E0", "5E⁰"), =HYPERLINK("CSG0.html#group3A0", "3A⁰"), =HYPERLINK("CSG1.html#group10E1", "10E¹"), =HYPERLINK("CSG0.html#group1A0", "1A⁰"), =HYPERLINK("CSG3.html#group15H3", "15H³"), =HYPERLINK("CSG0.html#group15A0", "15A⁰")</f>
        <v/>
      </c>
      <c r="N2371">
        <f>HYPERLINK("CSG21.html#group30F21", "30F²¹"), =HYPERLINK("CSG23.html#group30C23", "30C²³"), =HYPERLINK("CSG21.html#group30B21", "30B²¹"), =HYPERLINK("CSG23.html#group30E23", "30E²³")</f>
        <v/>
      </c>
    </row>
    <row r="2372">
      <c r="A2372" t="inlineStr">
        <is>
          <t>30F¹⁰</t>
        </is>
      </c>
      <c r="B2372" t="inlineStr"/>
      <c r="C2372" t="inlineStr">
        <is>
          <t>180</t>
        </is>
      </c>
      <c r="D2372" t="inlineStr">
        <is>
          <t>1</t>
        </is>
      </c>
      <c r="E2372" t="inlineStr">
        <is>
          <t>60</t>
        </is>
      </c>
      <c r="F2372" t="inlineStr">
        <is>
          <t>0</t>
        </is>
      </c>
      <c r="G2372" t="inlineStr">
        <is>
          <t>0</t>
        </is>
      </c>
      <c r="H2372" t="inlineStr">
        <is>
          <t>5³, 10³, 15³, 30³</t>
        </is>
      </c>
      <c r="I2372" t="n">
        <v>12</v>
      </c>
      <c r="J2372" t="inlineStr">
        <is>
          <t>1⁶, 2³, 4⁶, 8³</t>
        </is>
      </c>
      <c r="K2372">
        <f>HYPERLINK("CSG1.html#group10I1", "10I¹"), =HYPERLINK("CSG3.html#group15A3", "15A³"), =HYPERLINK("CSG4.html#group30D4", "30D⁴")</f>
        <v/>
      </c>
      <c r="L2372">
        <f>HYPERLINK("CSG19.html#group30B19", "30B¹⁹"), =HYPERLINK("CSG22.html#group30A22", "30A²²"), =HYPERLINK("CSG22.html#group30C22", "30C²²"), =HYPERLINK("CSG22.html#group60A22", "60A²²"), =HYPERLINK("CSG22.html#group60D22", "60D²²")</f>
        <v/>
      </c>
      <c r="M2372">
        <f>HYPERLINK("CSG0.html#group3B0", "3B⁰"), =HYPERLINK("CSG3.html#group15A3", "15A³"), =HYPERLINK("CSG0.html#group5A0", "5A⁰"), =HYPERLINK("CSG1.html#group10I1", "10I¹"), =HYPERLINK("CSG4.html#group30D4", "30D⁴"), =HYPERLINK("CSG1.html#group10B1", "10B¹"), =HYPERLINK("CSG1.html#group15B1", "15B¹"), =HYPERLINK("CSG0.html#group5E0", "5E⁰"), =HYPERLINK("CSG0.html#group1A0", "1A⁰"), =HYPERLINK("CSG0.html#group2B0", "2B⁰"), =HYPERLINK("CSG0.html#group6F0", "6F⁰")</f>
        <v/>
      </c>
      <c r="N2372">
        <f>HYPERLINK("CSG19.html#group30B19", "30B¹⁹"), =HYPERLINK("CSG22.html#group30A22", "30A²²"), =HYPERLINK("CSG22.html#group60D22", "60D²²"), =HYPERLINK("CSG22.html#group30C22", "30C²²"), =HYPERLINK("CSG22.html#group60A22", "60A²²")</f>
        <v/>
      </c>
    </row>
    <row r="2373">
      <c r="A2373" t="inlineStr">
        <is>
          <t>30G¹⁰</t>
        </is>
      </c>
      <c r="B2373" t="inlineStr"/>
      <c r="C2373" t="inlineStr">
        <is>
          <t>180</t>
        </is>
      </c>
      <c r="D2373" t="inlineStr">
        <is>
          <t>1</t>
        </is>
      </c>
      <c r="E2373" t="inlineStr">
        <is>
          <t>60</t>
        </is>
      </c>
      <c r="F2373" t="inlineStr">
        <is>
          <t>12</t>
        </is>
      </c>
      <c r="G2373" t="inlineStr">
        <is>
          <t>0</t>
        </is>
      </c>
      <c r="H2373" t="inlineStr">
        <is>
          <t>30⁶</t>
        </is>
      </c>
      <c r="I2373" t="n">
        <v>6</v>
      </c>
      <c r="J2373" t="inlineStr">
        <is>
          <t>4¹⁵</t>
        </is>
      </c>
      <c r="K2373">
        <f>HYPERLINK("CSG1.html#group10J1", "10J¹"), =HYPERLINK("CSG2.html#group30F2", "30F²")</f>
        <v/>
      </c>
      <c r="L2373">
        <f>HYPERLINK("CSG21.html#group30E21", "30E²¹"), =HYPERLINK("CSG23.html#group30I23", "30I²³")</f>
        <v/>
      </c>
      <c r="M2373">
        <f>HYPERLINK("CSG1.html#group10J1", "10J¹"), =HYPERLINK("CSG1.html#group15D1", "15D¹"), =HYPERLINK("CSG0.html#group1A0", "1A⁰"), =HYPERLINK("CSG0.html#group3A0", "3A⁰"), =HYPERLINK("CSG2.html#group30F2", "30F²"), =HYPERLINK("CSG0.html#group10D0", "10D⁰"), =HYPERLINK("CSG0.html#group5C0", "5C⁰")</f>
        <v/>
      </c>
      <c r="N2373">
        <f>HYPERLINK("CSG23.html#group30I23", "30I²³"), =HYPERLINK("CSG21.html#group30E21", "30E²¹")</f>
        <v/>
      </c>
    </row>
    <row r="2374">
      <c r="A2374" t="inlineStr">
        <is>
          <t>30H¹⁰</t>
        </is>
      </c>
      <c r="B2374" t="inlineStr"/>
      <c r="C2374" t="inlineStr">
        <is>
          <t>180</t>
        </is>
      </c>
      <c r="D2374" t="inlineStr">
        <is>
          <t>1</t>
        </is>
      </c>
      <c r="E2374" t="inlineStr">
        <is>
          <t>90</t>
        </is>
      </c>
      <c r="F2374" t="inlineStr">
        <is>
          <t>8</t>
        </is>
      </c>
      <c r="G2374" t="inlineStr">
        <is>
          <t>0</t>
        </is>
      </c>
      <c r="H2374" t="inlineStr">
        <is>
          <t>15⁴, 30⁴</t>
        </is>
      </c>
      <c r="I2374" t="n">
        <v>8</v>
      </c>
      <c r="J2374" t="inlineStr">
        <is>
          <t>2³, 4⁹, 8⁶</t>
        </is>
      </c>
      <c r="K2374">
        <f>HYPERLINK("CSG2.html#group15D2", "15D²"), =HYPERLINK("CSG5.html#group30K5", "30K⁵")</f>
        <v/>
      </c>
      <c r="L2374">
        <f>HYPERLINK("CSG21.html#group30C21", "30C²¹"), =HYPERLINK("CSG21.html#group30D21", "30D²¹"), =HYPERLINK("CSG21.html#group60V21", "60V²¹"), =HYPERLINK("CSG23.html#group30F23", "30F²³"), =HYPERLINK("CSG23.html#group30K23", "30K²³"), =HYPERLINK("CSG23.html#group60G23", "60G²³"), =HYPERLINK("CSG23.html#group60L23", "60L²³")</f>
        <v/>
      </c>
      <c r="M2374">
        <f>HYPERLINK("CSG5.html#group30K5", "30K⁵"), =HYPERLINK("CSG1.html#group15D1", "15D¹"), =HYPERLINK("CSG2.html#group15D2", "15D²"), =HYPERLINK("CSG0.html#group1A0", "1A⁰"), =HYPERLINK("CSG0.html#group2B0", "2B⁰"), =HYPERLINK("CSG0.html#group3A0", "3A⁰"), =HYPERLINK("CSG0.html#group5C0", "5C⁰"), =HYPERLINK("CSG0.html#group6D0", "6D⁰"), =HYPERLINK("CSG1.html#group10F1", "10F¹")</f>
        <v/>
      </c>
      <c r="N2374">
        <f>HYPERLINK("CSG23.html#group60G23", "60G²³"), =HYPERLINK("CSG21.html#group60V21", "60V²¹"), =HYPERLINK("CSG23.html#group30F23", "30F²³"), =HYPERLINK("CSG21.html#group30D21", "30D²¹"), =HYPERLINK("CSG23.html#group60L23", "60L²³"), =HYPERLINK("CSG23.html#group30K23", "30K²³"), =HYPERLINK("CSG21.html#group30C21", "30C²¹")</f>
        <v/>
      </c>
    </row>
    <row r="2375">
      <c r="A2375" t="inlineStr">
        <is>
          <t>30I¹⁰</t>
        </is>
      </c>
      <c r="B2375" t="inlineStr"/>
      <c r="C2375" t="inlineStr">
        <is>
          <t>180</t>
        </is>
      </c>
      <c r="D2375" t="inlineStr">
        <is>
          <t>2</t>
        </is>
      </c>
      <c r="E2375" t="inlineStr">
        <is>
          <t>45</t>
        </is>
      </c>
      <c r="F2375" t="inlineStr">
        <is>
          <t>12</t>
        </is>
      </c>
      <c r="G2375" t="inlineStr">
        <is>
          <t>0</t>
        </is>
      </c>
      <c r="H2375" t="inlineStr">
        <is>
          <t>30⁶</t>
        </is>
      </c>
      <c r="I2375" t="n">
        <v>6</v>
      </c>
      <c r="J2375" t="inlineStr">
        <is>
          <t>2³, 4³, 8⁹</t>
        </is>
      </c>
      <c r="K2375">
        <f>HYPERLINK("CSG3.html#group15H3", "15H³"), =HYPERLINK("CSG4.html#group30E4", "30E⁴"), =HYPERLINK("CSG5.html#group30L5", "30L⁵")</f>
        <v/>
      </c>
      <c r="L2375">
        <f>HYPERLINK("CSG21.html#group30A21", "30A²¹"), =HYPERLINK("CSG21.html#group30F21", "30F²¹"), =HYPERLINK("CSG23.html#group30B23", "30B²³"), =HYPERLINK("CSG23.html#group30J23", "30J²³")</f>
        <v/>
      </c>
      <c r="M2375">
        <f>HYPERLINK("CSG0.html#group5A0", "5A⁰"), =HYPERLINK("CSG2.html#group30A2", "30A²"), =HYPERLINK("CSG5.html#group30L5", "30L⁵"), =HYPERLINK("CSG4.html#group30E4", "30E⁴"), =HYPERLINK("CSG0.html#group6B0", "6B⁰"), =HYPERLINK("CSG1.html#group15A1", "15A¹"), =HYPERLINK("CSG1.html#group15F1", "15F¹"), =HYPERLINK("CSG0.html#group5E0", "5E⁰"), =HYPERLINK("CSG0.html#group3A0", "3A⁰"), =HYPERLINK("CSG0.html#group1A0", "1A⁰"), =HYPERLINK("CSG3.html#group15H3", "15H³"), =HYPERLINK("CSG0.html#group15A0", "15A⁰")</f>
        <v/>
      </c>
      <c r="N2375">
        <f>HYPERLINK("CSG21.html#group30A21", "30A²¹"), =HYPERLINK("CSG21.html#group30F21", "30F²¹"), =HYPERLINK("CSG23.html#group30J23", "30J²³"), =HYPERLINK("CSG23.html#group30B23", "30B²³")</f>
        <v/>
      </c>
    </row>
    <row r="2376">
      <c r="A2376" t="inlineStr">
        <is>
          <t>32A¹⁰</t>
        </is>
      </c>
      <c r="B2376" t="inlineStr"/>
      <c r="C2376" t="inlineStr">
        <is>
          <t>192</t>
        </is>
      </c>
      <c r="D2376" t="inlineStr">
        <is>
          <t>1</t>
        </is>
      </c>
      <c r="E2376" t="inlineStr">
        <is>
          <t>48</t>
        </is>
      </c>
      <c r="F2376" t="inlineStr">
        <is>
          <t>4</t>
        </is>
      </c>
      <c r="G2376" t="inlineStr">
        <is>
          <t>0</t>
        </is>
      </c>
      <c r="H2376" t="inlineStr">
        <is>
          <t>8⁸, 32⁴</t>
        </is>
      </c>
      <c r="I2376" t="n">
        <v>12</v>
      </c>
      <c r="J2376" t="inlineStr">
        <is>
          <t>2², 4³, 8⁴</t>
        </is>
      </c>
      <c r="K2376">
        <f>HYPERLINK("CSG2.html#group16L2", "16L²"), =HYPERLINK("CSG5.html#group32H5", "32H⁵"), =HYPERLINK("CSG5.html#group32I5", "32I⁵")</f>
        <v/>
      </c>
      <c r="L2376">
        <f>HYPERLINK("CSG19.html#group32E19", "32E¹⁹"), =HYPERLINK("CSG21.html#group32C21", "32C²¹"), =HYPERLINK("CSG21.html#group32P21", "32P²¹")</f>
        <v/>
      </c>
      <c r="M2376">
        <f>HYPERLINK("CSG1.html#group16I1", "16I¹"), =HYPERLINK("CSG0.html#group8D0", "8D⁰"), =HYPERLINK("CSG0.html#group4C0", "4C⁰"), =HYPERLINK("CSG5.html#group32H5", "32H⁵"), =HYPERLINK("CSG0.html#group8B0", "8B⁰"), =HYPERLINK("CSG0.html#group8L0", "8L⁰"), =HYPERLINK("CSG0.html#group2B0", "2B⁰"), =HYPERLINK("CSG3.html#group32I3", "32I³"), =HYPERLINK("CSG1.html#group16H1", "16H¹"), =HYPERLINK("CSG2.html#group16L2", "16L²"), =HYPERLINK("CSG0.html#group1A0", "1A⁰"), =HYPERLINK("CSG0.html#group8H0", "8H⁰"), =HYPERLINK("CSG0.html#group16E0", "16E⁰"), =HYPERLINK("CSG0.html#group4A0", "4A⁰"), =HYPERLINK("CSG1.html#group16C1", "16C¹"), =HYPERLINK("CSG0.html#group4F0", "4F⁰"), =HYPERLINK("CSG0.html#group8P0", "8P⁰"), =HYPERLINK("CSG5.html#group32I5", "32I⁵")</f>
        <v/>
      </c>
      <c r="N2376">
        <f>HYPERLINK("CSG21.html#group32P21", "32P²¹"), =HYPERLINK("CSG19.html#group32E19", "32E¹⁹"), =HYPERLINK("CSG21.html#group32C21", "32C²¹")</f>
        <v/>
      </c>
    </row>
    <row r="2377">
      <c r="A2377" t="inlineStr">
        <is>
          <t>32B¹⁰</t>
        </is>
      </c>
      <c r="B2377" t="inlineStr"/>
      <c r="C2377" t="inlineStr">
        <is>
          <t>192</t>
        </is>
      </c>
      <c r="D2377" t="inlineStr">
        <is>
          <t>1</t>
        </is>
      </c>
      <c r="E2377" t="inlineStr">
        <is>
          <t>48</t>
        </is>
      </c>
      <c r="F2377" t="inlineStr">
        <is>
          <t>4</t>
        </is>
      </c>
      <c r="G2377" t="inlineStr">
        <is>
          <t>0</t>
        </is>
      </c>
      <c r="H2377" t="inlineStr">
        <is>
          <t>8⁸, 32⁴</t>
        </is>
      </c>
      <c r="I2377" t="n">
        <v>12</v>
      </c>
      <c r="J2377" t="inlineStr">
        <is>
          <t>2², 4³, 8⁴</t>
        </is>
      </c>
      <c r="K2377">
        <f>HYPERLINK("CSG3.html#group32P3", "32P³"), =HYPERLINK("CSG4.html#group16B4", "16B⁴"), =HYPERLINK("CSG5.html#group32I5", "32I⁵")</f>
        <v/>
      </c>
      <c r="L2377">
        <f>HYPERLINK("CSG19.html#group32E19", "32E¹⁹"), =HYPERLINK("CSG21.html#group32D21", "32D²¹"), =HYPERLINK("CSG21.html#group32P21", "32P²¹"), =HYPERLINK("CSG22.html#group64A22", "64A²²"), =HYPERLINK("CSG22.html#group64B22", "64B²²"), =HYPERLINK("CSG24.html#group32A24", "32A²⁴"), =HYPERLINK("CSG24.html#group32C24", "32C²⁴")</f>
        <v/>
      </c>
      <c r="M2377">
        <f>HYPERLINK("CSG5.html#group32I5", "32I⁵"), =HYPERLINK("CSG1.html#group16I1", "16I¹"), =HYPERLINK("CSG0.html#group8D0", "8D⁰"), =HYPERLINK("CSG0.html#group4C0", "4C⁰"), =HYPERLINK("CSG0.html#group8B0", "8B⁰"), =HYPERLINK("CSG0.html#group8A0", "8A⁰"), =HYPERLINK("CSG0.html#group2B0", "2B⁰"), =HYPERLINK("CSG0.html#group1A0", "1A⁰"), =HYPERLINK("CSG0.html#group8K0", "8K⁰"), =HYPERLINK("CSG1.html#group8D1", "8D¹"), =HYPERLINK("CSG1.html#group8H1", "8H¹"), =HYPERLINK("CSG2.html#group16E2", "16E²"), =HYPERLINK("CSG0.html#group8H0", "8H⁰"), =HYPERLINK("CSG0.html#group16E0", "16E⁰"), =HYPERLINK("CSG4.html#group16B4", "16B⁴"), =HYPERLINK("CSG1.html#group16D1", "16D¹"), =HYPERLINK("CSG0.html#group4A0", "4A⁰"), =HYPERLINK("CSG1.html#group16C1", "16C¹"), =HYPERLINK("CSG0.html#group4F0", "4F⁰"), =HYPERLINK("CSG3.html#group32P3", "32P³")</f>
        <v/>
      </c>
      <c r="N2377">
        <f>HYPERLINK("CSG22.html#group64A22", "64A²²"), =HYPERLINK("CSG24.html#group32A24", "32A²⁴"), =HYPERLINK("CSG22.html#group64B22", "64B²²"), =HYPERLINK("CSG21.html#group32D21", "32D²¹"), =HYPERLINK("CSG24.html#group32C24", "32C²⁴"), =HYPERLINK("CSG21.html#group32P21", "32P²¹"), =HYPERLINK("CSG19.html#group32E19", "32E¹⁹")</f>
        <v/>
      </c>
    </row>
    <row r="2378">
      <c r="A2378" t="inlineStr">
        <is>
          <t>32C¹⁰</t>
        </is>
      </c>
      <c r="B2378" t="inlineStr"/>
      <c r="C2378" t="inlineStr">
        <is>
          <t>192</t>
        </is>
      </c>
      <c r="D2378" t="inlineStr">
        <is>
          <t>1</t>
        </is>
      </c>
      <c r="E2378" t="inlineStr">
        <is>
          <t>48</t>
        </is>
      </c>
      <c r="F2378" t="inlineStr">
        <is>
          <t>4</t>
        </is>
      </c>
      <c r="G2378" t="inlineStr">
        <is>
          <t>0</t>
        </is>
      </c>
      <c r="H2378" t="inlineStr">
        <is>
          <t>8⁸, 32⁴</t>
        </is>
      </c>
      <c r="I2378" t="n">
        <v>12</v>
      </c>
      <c r="J2378" t="inlineStr">
        <is>
          <t>2², 4³, 8⁴</t>
        </is>
      </c>
      <c r="K2378">
        <f>HYPERLINK("CSG3.html#group32Q3", "32Q³"), =HYPERLINK("CSG4.html#group16B4", "16B⁴"), =HYPERLINK("CSG5.html#group32H5", "32H⁵")</f>
        <v/>
      </c>
      <c r="L2378">
        <f>HYPERLINK("CSG19.html#group32E19", "32E¹⁹"), =HYPERLINK("CSG21.html#group32D21", "32D²¹"), =HYPERLINK("CSG21.html#group32P21", "32P²¹"), =HYPERLINK("CSG24.html#group32B24", "32B²⁴"), =HYPERLINK("CSG24.html#group32D24", "32D²⁴")</f>
        <v/>
      </c>
      <c r="M2378">
        <f>HYPERLINK("CSG1.html#group16I1", "16I¹"), =HYPERLINK("CSG0.html#group8D0", "8D⁰"), =HYPERLINK("CSG0.html#group4C0", "4C⁰"), =HYPERLINK("CSG5.html#group32H5", "32H⁵"), =HYPERLINK("CSG0.html#group8B0", "8B⁰"), =HYPERLINK("CSG0.html#group8A0", "8A⁰"), =HYPERLINK("CSG1.html#group32D1", "32D¹"), =HYPERLINK("CSG3.html#group32I3", "32I³"), =HYPERLINK("CSG0.html#group2B0", "2B⁰"), =HYPERLINK("CSG0.html#group1A0", "1A⁰"), =HYPERLINK("CSG0.html#group8K0", "8K⁰"), =HYPERLINK("CSG3.html#group32Q3", "32Q³"), =HYPERLINK("CSG1.html#group8D1", "8D¹"), =HYPERLINK("CSG1.html#group8H1", "8H¹"), =HYPERLINK("CSG2.html#group16E2", "16E²"), =HYPERLINK("CSG0.html#group8H0", "8H⁰"), =HYPERLINK("CSG0.html#group16E0", "16E⁰"), =HYPERLINK("CSG4.html#group16B4", "16B⁴"), =HYPERLINK("CSG1.html#group16D1", "16D¹"), =HYPERLINK("CSG1.html#group32C1", "32C¹"), =HYPERLINK("CSG0.html#group4A0", "4A⁰"), =HYPERLINK("CSG1.html#group16C1", "16C¹"), =HYPERLINK("CSG0.html#group4F0", "4F⁰")</f>
        <v/>
      </c>
      <c r="N2378">
        <f>HYPERLINK("CSG24.html#group32B24", "32B²⁴"), =HYPERLINK("CSG24.html#group32D24", "32D²⁴"), =HYPERLINK("CSG21.html#group32D21", "32D²¹"), =HYPERLINK("CSG21.html#group32P21", "32P²¹"), =HYPERLINK("CSG19.html#group32E19", "32E¹⁹")</f>
        <v/>
      </c>
    </row>
    <row r="2379">
      <c r="A2379" t="inlineStr">
        <is>
          <t>33A¹⁰</t>
        </is>
      </c>
      <c r="B2379" t="inlineStr"/>
      <c r="C2379" t="inlineStr">
        <is>
          <t>132</t>
        </is>
      </c>
      <c r="D2379" t="inlineStr">
        <is>
          <t>2</t>
        </is>
      </c>
      <c r="E2379" t="inlineStr">
        <is>
          <t>11</t>
        </is>
      </c>
      <c r="F2379" t="inlineStr">
        <is>
          <t>0</t>
        </is>
      </c>
      <c r="G2379" t="inlineStr">
        <is>
          <t>0</t>
        </is>
      </c>
      <c r="H2379" t="inlineStr">
        <is>
          <t>33⁴</t>
        </is>
      </c>
      <c r="I2379" t="n">
        <v>4</v>
      </c>
      <c r="J2379" t="inlineStr">
        <is>
          <t>2¹, 10²</t>
        </is>
      </c>
      <c r="K2379">
        <f>HYPERLINK("CSG0.html#group3D0", "3D⁰"), =HYPERLINK("CSG3.html#group33B3", "33B³"), =HYPERLINK("CSG4.html#group33A4", "33A⁴")</f>
        <v/>
      </c>
      <c r="L2379">
        <f>HYPERLINK("CSG21.html#group66A21", "66A²¹")</f>
        <v/>
      </c>
      <c r="M2379">
        <f>HYPERLINK("CSG0.html#group11A0", "11A⁰"), =HYPERLINK("CSG0.html#group3B0", "3B⁰"), =HYPERLINK("CSG3.html#group33B3", "33B³"), =HYPERLINK("CSG4.html#group33A4", "33A⁴"), =HYPERLINK("CSG1.html#group33A1", "33A¹"), =HYPERLINK("CSG0.html#group3C0", "3C⁰"), =HYPERLINK("CSG0.html#group3A0", "3A⁰"), =HYPERLINK("CSG0.html#group1A0", "1A⁰"), =HYPERLINK("CSG0.html#group3D0", "3D⁰")</f>
        <v/>
      </c>
      <c r="N2379">
        <f>HYPERLINK("CSG21.html#group66A21", "66A²¹")</f>
        <v/>
      </c>
    </row>
    <row r="2380">
      <c r="A2380" t="inlineStr">
        <is>
          <t>33B¹⁰</t>
        </is>
      </c>
      <c r="B2380" t="inlineStr"/>
      <c r="C2380" t="inlineStr">
        <is>
          <t>165</t>
        </is>
      </c>
      <c r="D2380" t="inlineStr">
        <is>
          <t>1</t>
        </is>
      </c>
      <c r="E2380" t="inlineStr">
        <is>
          <t>55</t>
        </is>
      </c>
      <c r="F2380" t="inlineStr">
        <is>
          <t>9</t>
        </is>
      </c>
      <c r="G2380" t="inlineStr">
        <is>
          <t>0</t>
        </is>
      </c>
      <c r="H2380" t="inlineStr">
        <is>
          <t>33⁵</t>
        </is>
      </c>
      <c r="I2380" t="n">
        <v>5</v>
      </c>
      <c r="J2380" t="inlineStr">
        <is>
          <t>5¹, 10⁵</t>
        </is>
      </c>
      <c r="K2380">
        <f>HYPERLINK("CSG1.html#group11B1", "11B¹"), =HYPERLINK("CSG1.html#group33A1", "33A¹")</f>
        <v/>
      </c>
      <c r="L2380">
        <f>HYPERLINK("CSG22.html#group33B22", "33B²²"), =HYPERLINK("CSG23.html#group66A23", "66A²³")</f>
        <v/>
      </c>
      <c r="M2380">
        <f>HYPERLINK("CSG0.html#group11A0", "11A⁰"), =HYPERLINK("CSG1.html#group11B1", "11B¹"), =HYPERLINK("CSG0.html#group3A0", "3A⁰"), =HYPERLINK("CSG0.html#group1A0", "1A⁰"), =HYPERLINK("CSG1.html#group33A1", "33A¹")</f>
        <v/>
      </c>
      <c r="N2380">
        <f>HYPERLINK("CSG22.html#group33B22", "33B²²"), =HYPERLINK("CSG23.html#group66A23", "66A²³")</f>
        <v/>
      </c>
    </row>
    <row r="2381">
      <c r="A2381" t="inlineStr">
        <is>
          <t>33C¹⁰</t>
        </is>
      </c>
      <c r="B2381" t="inlineStr"/>
      <c r="C2381" t="inlineStr">
        <is>
          <t>198</t>
        </is>
      </c>
      <c r="D2381" t="inlineStr">
        <is>
          <t>1</t>
        </is>
      </c>
      <c r="E2381" t="inlineStr">
        <is>
          <t>66</t>
        </is>
      </c>
      <c r="F2381" t="inlineStr">
        <is>
          <t>18</t>
        </is>
      </c>
      <c r="G2381" t="inlineStr">
        <is>
          <t>0</t>
        </is>
      </c>
      <c r="H2381" t="inlineStr">
        <is>
          <t>33⁶</t>
        </is>
      </c>
      <c r="I2381" t="n">
        <v>6</v>
      </c>
      <c r="J2381" t="inlineStr">
        <is>
          <t>1¹, 5¹, 10⁶</t>
        </is>
      </c>
      <c r="K2381">
        <f>HYPERLINK("CSG1.html#group33A1", "33A¹"), =HYPERLINK("CSG2.html#group11A2", "11A²")</f>
        <v/>
      </c>
      <c r="L2381">
        <f>HYPERLINK("CSG22.html#group33C22", "33C²²"), =HYPERLINK("CSG22.html#group66E22", "66E²²")</f>
        <v/>
      </c>
      <c r="M2381">
        <f>HYPERLINK("CSG0.html#group11A0", "11A⁰"), =HYPERLINK("CSG1.html#group33A1", "33A¹"), =HYPERLINK("CSG0.html#group3A0", "3A⁰"), =HYPERLINK("CSG0.html#group1A0", "1A⁰"), =HYPERLINK("CSG2.html#group11A2", "11A²")</f>
        <v/>
      </c>
      <c r="N2381">
        <f>HYPERLINK("CSG22.html#group66E22", "66E²²"), =HYPERLINK("CSG22.html#group33C22", "33C²²")</f>
        <v/>
      </c>
    </row>
    <row r="2382">
      <c r="A2382" t="inlineStr">
        <is>
          <t>35A¹⁰</t>
        </is>
      </c>
      <c r="B2382" t="inlineStr"/>
      <c r="C2382" t="inlineStr">
        <is>
          <t>140</t>
        </is>
      </c>
      <c r="D2382" t="inlineStr">
        <is>
          <t>2</t>
        </is>
      </c>
      <c r="E2382" t="inlineStr">
        <is>
          <t>70</t>
        </is>
      </c>
      <c r="F2382" t="inlineStr">
        <is>
          <t>0</t>
        </is>
      </c>
      <c r="G2382" t="inlineStr">
        <is>
          <t>2</t>
        </is>
      </c>
      <c r="H2382" t="inlineStr">
        <is>
          <t>35⁴</t>
        </is>
      </c>
      <c r="I2382" t="n">
        <v>4</v>
      </c>
      <c r="J2382" t="inlineStr">
        <is>
          <t>4¹, 8², 12², 24⁴</t>
        </is>
      </c>
      <c r="K2382">
        <f>HYPERLINK("CSG0.html#group5F0", "5F⁰"), =HYPERLINK("CSG2.html#group35A2", "35A²"), =HYPERLINK("CSG4.html#group35B4", "35B⁴")</f>
        <v/>
      </c>
      <c r="L2382">
        <f>HYPERLINK("CSG19.html#group35B19", "35B¹⁹"), =HYPERLINK("CSG21.html#group70D21", "70D²¹"), =HYPERLINK("CSG21.html#group70E21", "70E²¹")</f>
        <v/>
      </c>
      <c r="M2382">
        <f>HYPERLINK("CSG0.html#group5A0", "5A⁰"), =HYPERLINK("CSG4.html#group35B4", "35B⁴"), =HYPERLINK("CSG0.html#group5C0", "5C⁰"), =HYPERLINK("CSG0.html#group5F0", "5F⁰"), =HYPERLINK("CSG0.html#group1A0", "1A⁰"), =HYPERLINK("CSG2.html#group35A2", "35A²"), =HYPERLINK("CSG0.html#group7A0", "7A⁰")</f>
        <v/>
      </c>
      <c r="N2382">
        <f>HYPERLINK("CSG21.html#group70E21", "70E²¹"), =HYPERLINK("CSG21.html#group70D21", "70D²¹"), =HYPERLINK("CSG19.html#group35B19", "35B¹⁹")</f>
        <v/>
      </c>
    </row>
    <row r="2383">
      <c r="A2383" t="inlineStr">
        <is>
          <t>36A¹⁰</t>
        </is>
      </c>
      <c r="B2383" t="inlineStr"/>
      <c r="C2383" t="inlineStr">
        <is>
          <t>144</t>
        </is>
      </c>
      <c r="D2383" t="inlineStr">
        <is>
          <t>1</t>
        </is>
      </c>
      <c r="E2383" t="inlineStr">
        <is>
          <t>4</t>
        </is>
      </c>
      <c r="F2383" t="inlineStr">
        <is>
          <t>0</t>
        </is>
      </c>
      <c r="G2383" t="inlineStr">
        <is>
          <t>0</t>
        </is>
      </c>
      <c r="H2383" t="inlineStr">
        <is>
          <t>12³, 36³</t>
        </is>
      </c>
      <c r="I2383" t="n">
        <v>6</v>
      </c>
      <c r="J2383" t="inlineStr">
        <is>
          <t>1², 2¹</t>
        </is>
      </c>
      <c r="K2383">
        <f>HYPERLINK("CSG0.html#group36A0", "36A⁰"), =HYPERLINK("CSG2.html#group12F2", "12F²"), =HYPERLINK("CSG4.html#group18C4", "18C⁴"), =HYPERLINK("CSG4.html#group36B4", "36B⁴")</f>
        <v/>
      </c>
      <c r="L2383">
        <f>HYPERLINK("CSG19.html#group36C19", "36C¹⁹")</f>
        <v/>
      </c>
      <c r="M2383">
        <f>HYPERLINK("CSG0.html#group3B0", "3B⁰"), =HYPERLINK("CSG0.html#group2A0", "2A⁰"), =HYPERLINK("CSG4.html#group18C4", "18C⁴"), =HYPERLINK("CSG0.html#group6I0", "6I⁰"), =HYPERLINK("CSG0.html#group18B0", "18B⁰"), =HYPERLINK("CSG0.html#group6C0", "6C⁰"), =HYPERLINK("CSG2.html#group18D2", "18D²"), =HYPERLINK("CSG0.html#group2B0", "2B⁰"), =HYPERLINK("CSG0.html#group12B0", "12B⁰"), =HYPERLINK("CSG0.html#group9C0", "9C⁰"), =HYPERLINK("CSG0.html#group1A0", "1A⁰"), =HYPERLINK("CSG2.html#group12F2", "12F²"), =HYPERLINK("CSG4.html#group36B4", "36B⁴"), =HYPERLINK("CSG0.html#group6F0", "6F⁰"), =HYPERLINK("CSG0.html#group2C0", "2C⁰"), =HYPERLINK("CSG0.html#group36A0", "36A⁰"), =HYPERLINK("CSG2.html#group18C2", "18C²")</f>
        <v/>
      </c>
      <c r="N2383">
        <f>HYPERLINK("CSG19.html#group36C19", "36C¹⁹")</f>
        <v/>
      </c>
    </row>
    <row r="2384">
      <c r="A2384" t="inlineStr">
        <is>
          <t>36B¹⁰</t>
        </is>
      </c>
      <c r="B2384" t="inlineStr"/>
      <c r="C2384" t="inlineStr">
        <is>
          <t>144</t>
        </is>
      </c>
      <c r="D2384" t="inlineStr">
        <is>
          <t>1</t>
        </is>
      </c>
      <c r="E2384" t="inlineStr">
        <is>
          <t>4</t>
        </is>
      </c>
      <c r="F2384" t="inlineStr">
        <is>
          <t>0</t>
        </is>
      </c>
      <c r="G2384" t="inlineStr">
        <is>
          <t>0</t>
        </is>
      </c>
      <c r="H2384" t="inlineStr">
        <is>
          <t>12³, 36³</t>
        </is>
      </c>
      <c r="I2384" t="n">
        <v>6</v>
      </c>
      <c r="J2384" t="inlineStr">
        <is>
          <t>1², 2¹</t>
        </is>
      </c>
      <c r="K2384">
        <f>HYPERLINK("CSG2.html#group12F2", "12F²"), =HYPERLINK("CSG2.html#group36A2", "36A²"), =HYPERLINK("CSG4.html#group18D4", "18D⁴"), =HYPERLINK("CSG4.html#group36A4", "36A⁴")</f>
        <v/>
      </c>
      <c r="L2384">
        <f>HYPERLINK("CSG19.html#group36D19", "36D¹⁹")</f>
        <v/>
      </c>
      <c r="M2384">
        <f>HYPERLINK("CSG0.html#group3B0", "3B⁰"), =HYPERLINK("CSG0.html#group2A0", "2A⁰"), =HYPERLINK("CSG0.html#group6I0", "6I⁰"), =HYPERLINK("CSG1.html#group18D1", "18D¹"), =HYPERLINK("CSG0.html#group6C0", "6C⁰"), =HYPERLINK("CSG2.html#group18E2", "18E²"), =HYPERLINK("CSG0.html#group2B0", "2B⁰"), =HYPERLINK("CSG0.html#group1A0", "1A⁰"), =HYPERLINK("CSG2.html#group12F2", "12F²"), =HYPERLINK("CSG2.html#group18B2", "18B²"), =HYPERLINK("CSG1.html#group9A1", "9A¹"), =HYPERLINK("CSG4.html#group36A4", "36A⁴"), =HYPERLINK("CSG4.html#group18D4", "18D⁴"), =HYPERLINK("CSG2.html#group36A2", "36A²"), =HYPERLINK("CSG0.html#group6F0", "6F⁰"), =HYPERLINK("CSG0.html#group2C0", "2C⁰"), =HYPERLINK("CSG0.html#group12B0", "12B⁰")</f>
        <v/>
      </c>
      <c r="N2384">
        <f>HYPERLINK("CSG19.html#group36D19", "36D¹⁹")</f>
        <v/>
      </c>
    </row>
    <row r="2385">
      <c r="A2385" t="inlineStr">
        <is>
          <t>36C¹⁰</t>
        </is>
      </c>
      <c r="B2385" t="inlineStr"/>
      <c r="C2385" t="inlineStr">
        <is>
          <t>144</t>
        </is>
      </c>
      <c r="D2385" t="inlineStr">
        <is>
          <t>1</t>
        </is>
      </c>
      <c r="E2385" t="inlineStr">
        <is>
          <t>4</t>
        </is>
      </c>
      <c r="F2385" t="inlineStr">
        <is>
          <t>0</t>
        </is>
      </c>
      <c r="G2385" t="inlineStr">
        <is>
          <t>0</t>
        </is>
      </c>
      <c r="H2385" t="inlineStr">
        <is>
          <t>12³, 36³</t>
        </is>
      </c>
      <c r="I2385" t="n">
        <v>6</v>
      </c>
      <c r="J2385" t="inlineStr">
        <is>
          <t>1², 2¹</t>
        </is>
      </c>
      <c r="K2385">
        <f>HYPERLINK("CSG0.html#group36A0", "36A⁰"), =HYPERLINK("CSG3.html#group12A3", "12A³"), =HYPERLINK("CSG3.html#group36A3", "36A³"), =HYPERLINK("CSG4.html#group18E4", "18E⁴"), =HYPERLINK("CSG4.html#group36A4", "36A⁴")</f>
        <v/>
      </c>
      <c r="L2385" t="inlineStr"/>
      <c r="M2385">
        <f>HYPERLINK("CSG0.html#group3B0", "3B⁰"), =HYPERLINK("CSG0.html#group2A0", "2A⁰"), =HYPERLINK("CSG1.html#group12D1", "12D¹"), =HYPERLINK("CSG0.html#group6B0", "6B⁰"), =HYPERLINK("CSG3.html#group12A3", "12A³"), =HYPERLINK("CSG0.html#group18B0", "18B⁰"), =HYPERLINK("CSG0.html#group6C0", "6C⁰"), =HYPERLINK("CSG0.html#group9B0", "9B⁰"), =HYPERLINK("CSG0.html#group9C0", "9C⁰"), =HYPERLINK("CSG0.html#group1A0", "1A⁰"), =HYPERLINK("CSG3.html#group36A3", "36A³"), =HYPERLINK("CSG2.html#group18B2", "18B²"), =HYPERLINK("CSG1.html#group6D1", "6D¹"), =HYPERLINK("CSG0.html#group6E0", "6E⁰"), =HYPERLINK("CSG1.html#group6B1", "6B¹"), =HYPERLINK("CSG1.html#group18C1", "18C¹"), =HYPERLINK("CSG1.html#group9A1", "9A¹"), =HYPERLINK("CSG4.html#group36A4", "36A⁴"), =HYPERLINK("CSG0.html#group3C0", "3C⁰"), =HYPERLINK("CSG1.html#group9C1", "9C¹"), =HYPERLINK("CSG1.html#group6A1", "6A¹"), =HYPERLINK("CSG4.html#group18E4", "18E⁴"), =HYPERLINK("CSG0.html#group3A0", "3A⁰"), =HYPERLINK("CSG0.html#group3D0", "3D⁰"), =HYPERLINK("CSG0.html#group36A0", "36A⁰"), =HYPERLINK("CSG0.html#group12B0", "12B⁰")</f>
        <v/>
      </c>
      <c r="N2385" t="inlineStr"/>
    </row>
    <row r="2386">
      <c r="A2386" t="inlineStr">
        <is>
          <t>36D¹⁰</t>
        </is>
      </c>
      <c r="B2386" t="inlineStr"/>
      <c r="C2386" t="inlineStr">
        <is>
          <t>144</t>
        </is>
      </c>
      <c r="D2386" t="inlineStr">
        <is>
          <t>1</t>
        </is>
      </c>
      <c r="E2386" t="inlineStr">
        <is>
          <t>8</t>
        </is>
      </c>
      <c r="F2386" t="inlineStr">
        <is>
          <t>0</t>
        </is>
      </c>
      <c r="G2386" t="inlineStr">
        <is>
          <t>0</t>
        </is>
      </c>
      <c r="H2386" t="inlineStr">
        <is>
          <t>12³, 36³</t>
        </is>
      </c>
      <c r="I2386" t="n">
        <v>6</v>
      </c>
      <c r="J2386" t="inlineStr">
        <is>
          <t>2⁴</t>
        </is>
      </c>
      <c r="K2386">
        <f>HYPERLINK("CSG1.html#group12O1", "12O¹"), =HYPERLINK("CSG1.html#group36B1", "36B¹"), =HYPERLINK("CSG4.html#group18F4", "18F⁴"), =HYPERLINK("CSG4.html#group36A4", "36A⁴"), =HYPERLINK("CSG4.html#group36B4", "36B⁴")</f>
        <v/>
      </c>
      <c r="L2386" t="inlineStr"/>
      <c r="M2386">
        <f>HYPERLINK("CSG0.html#group3B0", "3B⁰"), =HYPERLINK("CSG0.html#group2A0", "2A⁰"), =HYPERLINK("CSG0.html#group6C0", "6C⁰"), =HYPERLINK("CSG4.html#group18F4", "18F⁴"), =HYPERLINK("CSG0.html#group1A0", "1A⁰"), =HYPERLINK("CSG0.html#group18C0", "18C⁰"), =HYPERLINK("CSG2.html#group18B2", "18B²"), =HYPERLINK("CSG0.html#group6A0", "6A⁰"), =HYPERLINK("CSG2.html#group18C2", "18C²"), =HYPERLINK("CSG1.html#group9A1", "9A¹"), =HYPERLINK("CSG1.html#group36B1", "36B¹"), =HYPERLINK("CSG4.html#group36A4", "36A⁴"), =HYPERLINK("CSG0.html#group6J0", "6J⁰"), =HYPERLINK("CSG4.html#group36B4", "36B⁴"), =HYPERLINK("CSG1.html#group12O1", "12O¹"), =HYPERLINK("CSG0.html#group12B0", "12B⁰")</f>
        <v/>
      </c>
      <c r="N2386" t="inlineStr"/>
    </row>
    <row r="2387">
      <c r="A2387" t="inlineStr">
        <is>
          <t>36E¹⁰</t>
        </is>
      </c>
      <c r="B2387" t="inlineStr"/>
      <c r="C2387" t="inlineStr">
        <is>
          <t>144</t>
        </is>
      </c>
      <c r="D2387" t="inlineStr">
        <is>
          <t>1</t>
        </is>
      </c>
      <c r="E2387" t="inlineStr">
        <is>
          <t>8</t>
        </is>
      </c>
      <c r="F2387" t="inlineStr">
        <is>
          <t>0</t>
        </is>
      </c>
      <c r="G2387" t="inlineStr">
        <is>
          <t>0</t>
        </is>
      </c>
      <c r="H2387" t="inlineStr">
        <is>
          <t>12³, 36³</t>
        </is>
      </c>
      <c r="I2387" t="n">
        <v>6</v>
      </c>
      <c r="J2387" t="inlineStr">
        <is>
          <t>2⁴</t>
        </is>
      </c>
      <c r="K2387">
        <f>HYPERLINK("CSG1.html#group12O1", "12O¹"), =HYPERLINK("CSG2.html#group36A2", "36A²"), =HYPERLINK("CSG3.html#group36A3", "36A³"), =HYPERLINK("CSG4.html#group18G4", "18G⁴"), =HYPERLINK("CSG4.html#group36B4", "36B⁴")</f>
        <v/>
      </c>
      <c r="L2387" t="inlineStr"/>
      <c r="M2387">
        <f>HYPERLINK("CSG0.html#group3B0", "3B⁰"), =HYPERLINK("CSG0.html#group2A0", "2A⁰"), =HYPERLINK("CSG1.html#group18D1", "18D¹"), =HYPERLINK("CSG0.html#group6C0", "6C⁰"), =HYPERLINK("CSG0.html#group9B0", "9B⁰"), =HYPERLINK("CSG0.html#group12B0", "12B⁰"), =HYPERLINK("CSG0.html#group1A0", "1A⁰"), =HYPERLINK("CSG4.html#group18G4", "18G⁴"), =HYPERLINK("CSG3.html#group36A3", "36A³"), =HYPERLINK("CSG0.html#group6A0", "6A⁰"), =HYPERLINK("CSG1.html#group18C1", "18C¹"), =HYPERLINK("CSG0.html#group6J0", "6J⁰"), =HYPERLINK("CSG4.html#group36B4", "36B⁴"), =HYPERLINK("CSG2.html#group36A2", "36A²"), =HYPERLINK("CSG1.html#group12O1", "12O¹"), =HYPERLINK("CSG2.html#group18C2", "18C²")</f>
        <v/>
      </c>
      <c r="N2387" t="inlineStr"/>
    </row>
    <row r="2388">
      <c r="A2388" t="inlineStr">
        <is>
          <t>36F¹⁰</t>
        </is>
      </c>
      <c r="B2388" t="inlineStr"/>
      <c r="C2388" t="inlineStr">
        <is>
          <t>144</t>
        </is>
      </c>
      <c r="D2388" t="inlineStr">
        <is>
          <t>1</t>
        </is>
      </c>
      <c r="E2388" t="inlineStr">
        <is>
          <t>8</t>
        </is>
      </c>
      <c r="F2388" t="inlineStr">
        <is>
          <t>0</t>
        </is>
      </c>
      <c r="G2388" t="inlineStr">
        <is>
          <t>0</t>
        </is>
      </c>
      <c r="H2388" t="inlineStr">
        <is>
          <t>12³, 36³</t>
        </is>
      </c>
      <c r="I2388" t="n">
        <v>6</v>
      </c>
      <c r="J2388" t="inlineStr">
        <is>
          <t>2⁴</t>
        </is>
      </c>
      <c r="K2388">
        <f>HYPERLINK("CSG1.html#group36B1", "36B¹"), =HYPERLINK("CSG2.html#group36A2", "36A²"), =HYPERLINK("CSG3.html#group12A3", "12A³"), =HYPERLINK("CSG4.html#group18H4", "18H⁴"), =HYPERLINK("CSG4.html#group36B4", "36B⁴")</f>
        <v/>
      </c>
      <c r="L2388" t="inlineStr"/>
      <c r="M2388">
        <f>HYPERLINK("CSG0.html#group3B0", "3B⁰"), =HYPERLINK("CSG0.html#group2A0", "2A⁰"), =HYPERLINK("CSG1.html#group12D1", "12D¹"), =HYPERLINK("CSG0.html#group6B0", "6B⁰"), =HYPERLINK("CSG3.html#group12A3", "12A³"), =HYPERLINK("CSG1.html#group18D1", "18D¹"), =HYPERLINK("CSG0.html#group6C0", "6C⁰"), =HYPERLINK("CSG0.html#group1A0", "1A⁰"), =HYPERLINK("CSG4.html#group18H4", "18H⁴"), =HYPERLINK("CSG0.html#group18C0", "18C⁰"), =HYPERLINK("CSG1.html#group6D1", "6D¹"), =HYPERLINK("CSG0.html#group6E0", "6E⁰"), =HYPERLINK("CSG1.html#group6B1", "6B¹"), =HYPERLINK("CSG2.html#group18C2", "18C²"), =HYPERLINK("CSG1.html#group36B1", "36B¹"), =HYPERLINK("CSG0.html#group3C0", "3C⁰"), =HYPERLINK("CSG1.html#group6A1", "6A¹"), =HYPERLINK("CSG4.html#group36B4", "36B⁴"), =HYPERLINK("CSG2.html#group36A2", "36A²"), =HYPERLINK("CSG0.html#group3A0", "3A⁰"), =HYPERLINK("CSG0.html#group3D0", "3D⁰"), =HYPERLINK("CSG0.html#group12B0", "12B⁰")</f>
        <v/>
      </c>
      <c r="N2388" t="inlineStr"/>
    </row>
    <row r="2389">
      <c r="A2389" t="inlineStr">
        <is>
          <t>36G¹⁰</t>
        </is>
      </c>
      <c r="B2389" t="inlineStr"/>
      <c r="C2389" t="inlineStr">
        <is>
          <t>144</t>
        </is>
      </c>
      <c r="D2389" t="inlineStr">
        <is>
          <t>1</t>
        </is>
      </c>
      <c r="E2389" t="inlineStr">
        <is>
          <t>12</t>
        </is>
      </c>
      <c r="F2389" t="inlineStr">
        <is>
          <t>0</t>
        </is>
      </c>
      <c r="G2389" t="inlineStr">
        <is>
          <t>0</t>
        </is>
      </c>
      <c r="H2389" t="inlineStr">
        <is>
          <t>12³, 36³</t>
        </is>
      </c>
      <c r="I2389" t="n">
        <v>6</v>
      </c>
      <c r="J2389" t="inlineStr">
        <is>
          <t>1², 2², 6¹</t>
        </is>
      </c>
      <c r="K2389">
        <f>HYPERLINK("CSG4.html#group18I4", "18I⁴"), =HYPERLINK("CSG4.html#group36A4", "36A⁴")</f>
        <v/>
      </c>
      <c r="L2389" t="inlineStr"/>
      <c r="M2389">
        <f>HYPERLINK("CSG0.html#group3B0", "3B⁰"), =HYPERLINK("CSG0.html#group2A0", "2A⁰"), =HYPERLINK("CSG2.html#group18B2", "18B²"), =HYPERLINK("CSG1.html#group9A1", "9A¹"), =HYPERLINK("CSG0.html#group6C0", "6C⁰"), =HYPERLINK("CSG4.html#group36A4", "36A⁴"), =HYPERLINK("CSG4.html#group18I4", "18I⁴"), =HYPERLINK("CSG1.html#group9D1", "9D¹"), =HYPERLINK("CSG0.html#group1A0", "1A⁰"), =HYPERLINK("CSG0.html#group12B0", "12B⁰")</f>
        <v/>
      </c>
      <c r="N2389" t="inlineStr"/>
    </row>
    <row r="2390">
      <c r="A2390" t="inlineStr">
        <is>
          <t>36H¹⁰</t>
        </is>
      </c>
      <c r="B2390" t="inlineStr"/>
      <c r="C2390" t="inlineStr">
        <is>
          <t>144</t>
        </is>
      </c>
      <c r="D2390" t="inlineStr">
        <is>
          <t>1</t>
        </is>
      </c>
      <c r="E2390" t="inlineStr">
        <is>
          <t>16</t>
        </is>
      </c>
      <c r="F2390" t="inlineStr">
        <is>
          <t>0</t>
        </is>
      </c>
      <c r="G2390" t="inlineStr">
        <is>
          <t>0</t>
        </is>
      </c>
      <c r="H2390" t="inlineStr">
        <is>
          <t>12³, 36³</t>
        </is>
      </c>
      <c r="I2390" t="n">
        <v>6</v>
      </c>
      <c r="J2390" t="inlineStr">
        <is>
          <t>2⁴, 4²</t>
        </is>
      </c>
      <c r="K2390">
        <f>HYPERLINK("CSG1.html#group9C1", "9C¹"), =HYPERLINK("CSG3.html#group12B3", "12B³"), =HYPERLINK("CSG3.html#group36B3", "36B³"), =HYPERLINK("CSG3.html#group36C3", "36C³"), =HYPERLINK("CSG4.html#group36C4", "36C⁴")</f>
        <v/>
      </c>
      <c r="L2390">
        <f>HYPERLINK("CSG19.html#group36E19", "36E¹⁹"), =HYPERLINK("CSG22.html#group72C22", "72C²²")</f>
        <v/>
      </c>
      <c r="M2390">
        <f>HYPERLINK("CSG1.html#group12G1", "12G¹"), =HYPERLINK("CSG0.html#group3B0", "3B⁰"), =HYPERLINK("CSG3.html#group12B3", "12B³"), =HYPERLINK("CSG0.html#group9B0", "9B⁰"), =HYPERLINK("CSG0.html#group9C0", "9C⁰"), =HYPERLINK("CSG0.html#group1A0", "1A⁰"), =HYPERLINK("CSG3.html#group36C3", "36C³"), =HYPERLINK("CSG0.html#group12A0", "12A⁰"), =HYPERLINK("CSG0.html#group4A0", "4A⁰"), =HYPERLINK("CSG1.html#group12A1", "12A¹"), =HYPERLINK("CSG1.html#group9A1", "9A¹"), =HYPERLINK("CSG0.html#group3C0", "3C⁰"), =HYPERLINK("CSG1.html#group9C1", "9C¹"), =HYPERLINK("CSG4.html#group36C4", "36C⁴"), =HYPERLINK("CSG0.html#group3A0", "3A⁰"), =HYPERLINK("CSG3.html#group36B3", "36B³"), =HYPERLINK("CSG0.html#group3D0", "3D⁰")</f>
        <v/>
      </c>
      <c r="N2390">
        <f>HYPERLINK("CSG22.html#group72C22", "72C²²"), =HYPERLINK("CSG19.html#group36E19", "36E¹⁹")</f>
        <v/>
      </c>
    </row>
    <row r="2391">
      <c r="A2391" t="inlineStr">
        <is>
          <t>36I¹⁰</t>
        </is>
      </c>
      <c r="B2391" t="inlineStr"/>
      <c r="C2391" t="inlineStr">
        <is>
          <t>144</t>
        </is>
      </c>
      <c r="D2391" t="inlineStr">
        <is>
          <t>1</t>
        </is>
      </c>
      <c r="E2391" t="inlineStr">
        <is>
          <t>24</t>
        </is>
      </c>
      <c r="F2391" t="inlineStr">
        <is>
          <t>0</t>
        </is>
      </c>
      <c r="G2391" t="inlineStr">
        <is>
          <t>0</t>
        </is>
      </c>
      <c r="H2391" t="inlineStr">
        <is>
          <t>12³, 36³</t>
        </is>
      </c>
      <c r="I2391" t="n">
        <v>6</v>
      </c>
      <c r="J2391" t="inlineStr">
        <is>
          <t>1⁴, 2⁴, 6²</t>
        </is>
      </c>
      <c r="K2391">
        <f>HYPERLINK("CSG4.html#group18J4", "18J⁴"), =HYPERLINK("CSG4.html#group36A4", "36A⁴")</f>
        <v/>
      </c>
      <c r="L2391" t="inlineStr"/>
      <c r="M2391">
        <f>HYPERLINK("CSG0.html#group3B0", "3B⁰"), =HYPERLINK("CSG0.html#group2A0", "2A⁰"), =HYPERLINK("CSG2.html#group18B2", "18B²"), =HYPERLINK("CSG4.html#group18J4", "18J⁴"), =HYPERLINK("CSG1.html#group9A1", "9A¹"), =HYPERLINK("CSG0.html#group6C0", "6C⁰"), =HYPERLINK("CSG4.html#group36A4", "36A⁴"), =HYPERLINK("CSG0.html#group1A0", "1A⁰"), =HYPERLINK("CSG0.html#group12B0", "12B⁰")</f>
        <v/>
      </c>
      <c r="N2391" t="inlineStr"/>
    </row>
    <row r="2392">
      <c r="A2392" t="inlineStr">
        <is>
          <t>36J¹⁰</t>
        </is>
      </c>
      <c r="B2392" t="inlineStr"/>
      <c r="C2392" t="inlineStr">
        <is>
          <t>144</t>
        </is>
      </c>
      <c r="D2392" t="inlineStr">
        <is>
          <t>1</t>
        </is>
      </c>
      <c r="E2392" t="inlineStr">
        <is>
          <t>24</t>
        </is>
      </c>
      <c r="F2392" t="inlineStr">
        <is>
          <t>0</t>
        </is>
      </c>
      <c r="G2392" t="inlineStr">
        <is>
          <t>0</t>
        </is>
      </c>
      <c r="H2392" t="inlineStr">
        <is>
          <t>12³, 36³</t>
        </is>
      </c>
      <c r="I2392" t="n">
        <v>6</v>
      </c>
      <c r="J2392" t="inlineStr">
        <is>
          <t>1⁴, 2⁶, 4²</t>
        </is>
      </c>
      <c r="K2392">
        <f>HYPERLINK("CSG2.html#group12G2", "12G²"), =HYPERLINK("CSG3.html#group36C3", "36C³"), =HYPERLINK("CSG5.html#group36A5", "36A⁵")</f>
        <v/>
      </c>
      <c r="L2392">
        <f>HYPERLINK("CSG19.html#group36A19", "36A¹⁹"), =HYPERLINK("CSG20.html#group72A20", "72A²⁰"), =HYPERLINK("CSG21.html#group72E21", "72E²¹"), =HYPERLINK("CSG21.html#group72G21", "72G²¹"), =HYPERLINK("CSG22.html#group72A22", "72A²²")</f>
        <v/>
      </c>
      <c r="M2392">
        <f>HYPERLINK("CSG0.html#group3B0", "3B⁰"), =HYPERLINK("CSG1.html#group12F1", "12F¹"), =HYPERLINK("CSG0.html#group4A0", "4A⁰"), =HYPERLINK("CSG1.html#group12A1", "12A¹"), =HYPERLINK("CSG0.html#group4C0", "4C⁰"), =HYPERLINK("CSG0.html#group9C0", "9C⁰"), =HYPERLINK("CSG0.html#group6F0", "6F⁰"), =HYPERLINK("CSG2.html#group18D2", "18D²"), =HYPERLINK("CSG2.html#group12G2", "12G²"), =HYPERLINK("CSG0.html#group2B0", "2B⁰"), =HYPERLINK("CSG0.html#group4F0", "4F⁰"), =HYPERLINK("CSG5.html#group36A5", "36A⁵"), =HYPERLINK("CSG0.html#group1A0", "1A⁰"), =HYPERLINK("CSG3.html#group36C3", "36C³")</f>
        <v/>
      </c>
      <c r="N2392">
        <f>HYPERLINK("CSG19.html#group36A19", "36A¹⁹"), =HYPERLINK("CSG21.html#group72E21", "72E²¹"), =HYPERLINK("CSG22.html#group72A22", "72A²²"), =HYPERLINK("CSG21.html#group72G21", "72G²¹"), =HYPERLINK("CSG20.html#group72A20", "72A²⁰")</f>
        <v/>
      </c>
    </row>
    <row r="2393">
      <c r="A2393" t="inlineStr">
        <is>
          <t>36K¹⁰</t>
        </is>
      </c>
      <c r="B2393" t="inlineStr"/>
      <c r="C2393" t="inlineStr">
        <is>
          <t>144</t>
        </is>
      </c>
      <c r="D2393" t="inlineStr">
        <is>
          <t>1</t>
        </is>
      </c>
      <c r="E2393" t="inlineStr">
        <is>
          <t>24</t>
        </is>
      </c>
      <c r="F2393" t="inlineStr">
        <is>
          <t>0</t>
        </is>
      </c>
      <c r="G2393" t="inlineStr">
        <is>
          <t>0</t>
        </is>
      </c>
      <c r="H2393" t="inlineStr">
        <is>
          <t>12³, 36³</t>
        </is>
      </c>
      <c r="I2393" t="n">
        <v>6</v>
      </c>
      <c r="J2393" t="inlineStr">
        <is>
          <t>1⁴, 2⁶, 4²</t>
        </is>
      </c>
      <c r="K2393">
        <f>HYPERLINK("CSG2.html#group12G2", "12G²"), =HYPERLINK("CSG4.html#group36C4", "36C⁴"), =HYPERLINK("CSG5.html#group36B5", "36B⁵")</f>
        <v/>
      </c>
      <c r="L2393">
        <f>HYPERLINK("CSG19.html#group36B19", "36B¹⁹"), =HYPERLINK("CSG20.html#group72B20", "72B²⁰"), =HYPERLINK("CSG21.html#group72F21", "72F²¹"), =HYPERLINK("CSG21.html#group72H21", "72H²¹"), =HYPERLINK("CSG22.html#group72B22", "72B²²")</f>
        <v/>
      </c>
      <c r="M2393">
        <f>HYPERLINK("CSG0.html#group3B0", "3B⁰"), =HYPERLINK("CSG0.html#group4A0", "4A⁰"), =HYPERLINK("CSG1.html#group12F1", "12F¹"), =HYPERLINK("CSG1.html#group12A1", "12A¹"), =HYPERLINK("CSG1.html#group9A1", "9A¹"), =HYPERLINK("CSG0.html#group4C0", "4C⁰"), =HYPERLINK("CSG0.html#group6F0", "6F⁰"), =HYPERLINK("CSG2.html#group18E2", "18E²"), =HYPERLINK("CSG4.html#group36C4", "36C⁴"), =HYPERLINK("CSG2.html#group12G2", "12G²"), =HYPERLINK("CSG5.html#group36B5", "36B⁵"), =HYPERLINK("CSG0.html#group2B0", "2B⁰"), =HYPERLINK("CSG0.html#group4F0", "4F⁰"), =HYPERLINK("CSG0.html#group1A0", "1A⁰")</f>
        <v/>
      </c>
      <c r="N2393">
        <f>HYPERLINK("CSG21.html#group72F21", "72F²¹"), =HYPERLINK("CSG22.html#group72B22", "72B²²"), =HYPERLINK("CSG19.html#group36B19", "36B¹⁹"), =HYPERLINK("CSG21.html#group72H21", "72H²¹"), =HYPERLINK("CSG20.html#group72B20", "72B²⁰")</f>
        <v/>
      </c>
    </row>
    <row r="2394">
      <c r="A2394" t="inlineStr">
        <is>
          <t>36L¹⁰</t>
        </is>
      </c>
      <c r="B2394" t="inlineStr"/>
      <c r="C2394" t="inlineStr">
        <is>
          <t>144</t>
        </is>
      </c>
      <c r="D2394" t="inlineStr">
        <is>
          <t>1</t>
        </is>
      </c>
      <c r="E2394" t="inlineStr">
        <is>
          <t>48</t>
        </is>
      </c>
      <c r="F2394" t="inlineStr">
        <is>
          <t>0</t>
        </is>
      </c>
      <c r="G2394" t="inlineStr">
        <is>
          <t>0</t>
        </is>
      </c>
      <c r="H2394" t="inlineStr">
        <is>
          <t>12³, 36³</t>
        </is>
      </c>
      <c r="I2394" t="n">
        <v>6</v>
      </c>
      <c r="J2394" t="inlineStr">
        <is>
          <t>2⁴, 4⁴, 12²</t>
        </is>
      </c>
      <c r="K2394">
        <f>HYPERLINK("CSG1.html#group9D1", "9D¹"), =HYPERLINK("CSG4.html#group36C4", "36C⁴")</f>
        <v/>
      </c>
      <c r="L2394">
        <f>HYPERLINK("CSG19.html#group36I19", "36I¹⁹"), =HYPERLINK("CSG22.html#group72D22", "72D²²")</f>
        <v/>
      </c>
      <c r="M2394">
        <f>HYPERLINK("CSG0.html#group3B0", "3B⁰"), =HYPERLINK("CSG0.html#group4A0", "4A⁰"), =HYPERLINK("CSG1.html#group12A1", "12A¹"), =HYPERLINK("CSG1.html#group9A1", "9A¹"), =HYPERLINK("CSG4.html#group36C4", "36C⁴"), =HYPERLINK("CSG1.html#group9D1", "9D¹"), =HYPERLINK("CSG0.html#group1A0", "1A⁰")</f>
        <v/>
      </c>
      <c r="N2394">
        <f>HYPERLINK("CSG22.html#group72D22", "72D²²"), =HYPERLINK("CSG19.html#group36I19", "36I¹⁹")</f>
        <v/>
      </c>
    </row>
    <row r="2395">
      <c r="A2395" t="inlineStr">
        <is>
          <t>36M¹⁰</t>
        </is>
      </c>
      <c r="B2395" t="inlineStr"/>
      <c r="C2395" t="inlineStr">
        <is>
          <t>162</t>
        </is>
      </c>
      <c r="D2395" t="inlineStr">
        <is>
          <t>1</t>
        </is>
      </c>
      <c r="E2395" t="inlineStr">
        <is>
          <t>81</t>
        </is>
      </c>
      <c r="F2395" t="inlineStr">
        <is>
          <t>0</t>
        </is>
      </c>
      <c r="G2395" t="inlineStr">
        <is>
          <t>0</t>
        </is>
      </c>
      <c r="H2395" t="inlineStr">
        <is>
          <t>9⁶, 36³</t>
        </is>
      </c>
      <c r="I2395" t="n">
        <v>9</v>
      </c>
      <c r="J2395" t="inlineStr">
        <is>
          <t>3³, 6¹²</t>
        </is>
      </c>
      <c r="K2395">
        <f>HYPERLINK("CSG0.html#group4B0", "4B⁰"), =HYPERLINK("CSG4.html#group18K4", "18K⁴")</f>
        <v/>
      </c>
      <c r="L2395">
        <f>HYPERLINK("CSG22.html#group36B22", "36B²²"), =HYPERLINK("CSG22.html#group72F22", "72F²²")</f>
        <v/>
      </c>
      <c r="M2395">
        <f>HYPERLINK("CSG0.html#group1A0", "1A⁰"), =HYPERLINK("CSG0.html#group2B0", "2B⁰"), =HYPERLINK("CSG0.html#group4B0", "4B⁰"), =HYPERLINK("CSG0.html#group9F0", "9F⁰"), =HYPERLINK("CSG4.html#group18K4", "18K⁴")</f>
        <v/>
      </c>
      <c r="N2395">
        <f>HYPERLINK("CSG22.html#group36B22", "36B²²"), =HYPERLINK("CSG22.html#group72F22", "72F²²")</f>
        <v/>
      </c>
    </row>
    <row r="2396">
      <c r="A2396" t="inlineStr">
        <is>
          <t>36N¹⁰</t>
        </is>
      </c>
      <c r="B2396" t="inlineStr"/>
      <c r="C2396" t="inlineStr">
        <is>
          <t>162</t>
        </is>
      </c>
      <c r="D2396" t="inlineStr">
        <is>
          <t>1</t>
        </is>
      </c>
      <c r="E2396" t="inlineStr">
        <is>
          <t>81</t>
        </is>
      </c>
      <c r="F2396" t="inlineStr">
        <is>
          <t>0</t>
        </is>
      </c>
      <c r="G2396" t="inlineStr">
        <is>
          <t>0</t>
        </is>
      </c>
      <c r="H2396" t="inlineStr">
        <is>
          <t>9⁶, 36³</t>
        </is>
      </c>
      <c r="I2396" t="n">
        <v>9</v>
      </c>
      <c r="J2396" t="inlineStr">
        <is>
          <t>3³, 6¹²</t>
        </is>
      </c>
      <c r="K2396">
        <f>HYPERLINK("CSG3.html#group18J3", "18J³"), =HYPERLINK("CSG4.html#group36D4", "36D⁴")</f>
        <v/>
      </c>
      <c r="L2396">
        <f>HYPERLINK("CSG19.html#group36O19", "36O¹⁹"), =HYPERLINK("CSG19.html#group36Q19", "36Q¹⁹"), =HYPERLINK("CSG22.html#group36D22", "36D²²"), =HYPERLINK("CSG22.html#group36F22", "36F²²"), =HYPERLINK("CSG22.html#group36I22", "36I²²"), =HYPERLINK("CSG22.html#group72G22", "72G²²"), =HYPERLINK("CSG22.html#group72H22", "72H²²"), =HYPERLINK("CSG22.html#group72K22", "72K²²")</f>
        <v/>
      </c>
      <c r="M2396">
        <f>HYPERLINK("CSG0.html#group3A0", "3A⁰"), =HYPERLINK("CSG3.html#group18J3", "18J³"), =HYPERLINK("CSG0.html#group9A0", "9A⁰"), =HYPERLINK("CSG0.html#group9G0", "9G⁰"), =HYPERLINK("CSG4.html#group36D4", "36D⁴"), =HYPERLINK("CSG1.html#group12B1", "12B¹"), =HYPERLINK("CSG0.html#group2B0", "2B⁰"), =HYPERLINK("CSG1.html#group18E1", "18E¹"), =HYPERLINK("CSG0.html#group4B0", "4B⁰"), =HYPERLINK("CSG0.html#group1A0", "1A⁰"), =HYPERLINK("CSG0.html#group6D0", "6D⁰")</f>
        <v/>
      </c>
      <c r="N2396">
        <f>HYPERLINK("CSG19.html#group36O19", "36O¹⁹"), =HYPERLINK("CSG19.html#group36Q19", "36Q¹⁹"), =HYPERLINK("CSG22.html#group72K22", "72K²²"), =HYPERLINK("CSG22.html#group36I22", "36I²²"), =HYPERLINK("CSG22.html#group36F22", "36F²²"), =HYPERLINK("CSG22.html#group72H22", "72H²²"), =HYPERLINK("CSG22.html#group72G22", "72G²²"), =HYPERLINK("CSG22.html#group36D22", "36D²²")</f>
        <v/>
      </c>
    </row>
    <row r="2397">
      <c r="A2397" t="inlineStr">
        <is>
          <t>36O¹⁰</t>
        </is>
      </c>
      <c r="B2397" t="inlineStr"/>
      <c r="C2397" t="inlineStr">
        <is>
          <t>162</t>
        </is>
      </c>
      <c r="D2397" t="inlineStr">
        <is>
          <t>1</t>
        </is>
      </c>
      <c r="E2397" t="inlineStr">
        <is>
          <t>81</t>
        </is>
      </c>
      <c r="F2397" t="inlineStr">
        <is>
          <t>6</t>
        </is>
      </c>
      <c r="G2397" t="inlineStr">
        <is>
          <t>0</t>
        </is>
      </c>
      <c r="H2397" t="inlineStr">
        <is>
          <t>18³, 36³</t>
        </is>
      </c>
      <c r="I2397" t="n">
        <v>6</v>
      </c>
      <c r="J2397" t="inlineStr">
        <is>
          <t>3³, 6¹²</t>
        </is>
      </c>
      <c r="K2397">
        <f>HYPERLINK("CSG0.html#group4C0", "4C⁰"), =HYPERLINK("CSG4.html#group18K4", "18K⁴")</f>
        <v/>
      </c>
      <c r="L2397">
        <f>HYPERLINK("CSG22.html#group36B22", "36B²²"), =HYPERLINK("CSG22.html#group36G22", "36G²²"), =HYPERLINK("CSG22.html#group72E22", "72E²²"), =HYPERLINK("CSG22.html#group72I22", "72I²²")</f>
        <v/>
      </c>
      <c r="M2397">
        <f>HYPERLINK("CSG0.html#group1A0", "1A⁰"), =HYPERLINK("CSG0.html#group2B0", "2B⁰"), =HYPERLINK("CSG0.html#group9F0", "9F⁰"), =HYPERLINK("CSG4.html#group18K4", "18K⁴"), =HYPERLINK("CSG0.html#group4C0", "4C⁰")</f>
        <v/>
      </c>
      <c r="N2397">
        <f>HYPERLINK("CSG22.html#group36B22", "36B²²"), =HYPERLINK("CSG22.html#group36G22", "36G²²"), =HYPERLINK("CSG22.html#group72E22", "72E²²"), =HYPERLINK("CSG22.html#group72I22", "72I²²")</f>
        <v/>
      </c>
    </row>
    <row r="2398">
      <c r="A2398" t="inlineStr">
        <is>
          <t>36P¹⁰</t>
        </is>
      </c>
      <c r="B2398" t="inlineStr"/>
      <c r="C2398" t="inlineStr">
        <is>
          <t>162</t>
        </is>
      </c>
      <c r="D2398" t="inlineStr">
        <is>
          <t>2</t>
        </is>
      </c>
      <c r="E2398" t="inlineStr">
        <is>
          <t>81</t>
        </is>
      </c>
      <c r="F2398" t="inlineStr">
        <is>
          <t>6</t>
        </is>
      </c>
      <c r="G2398" t="inlineStr">
        <is>
          <t>0</t>
        </is>
      </c>
      <c r="H2398" t="inlineStr">
        <is>
          <t>18³, 36³</t>
        </is>
      </c>
      <c r="I2398" t="n">
        <v>6</v>
      </c>
      <c r="J2398" t="inlineStr">
        <is>
          <t>6²⁷</t>
        </is>
      </c>
      <c r="K2398">
        <f>HYPERLINK("CSG3.html#group18J3", "18J³"), =HYPERLINK("CSG3.html#group36E3", "36E³"), =HYPERLINK("CSG4.html#group36E4", "36E⁴")</f>
        <v/>
      </c>
      <c r="L2398">
        <f>HYPERLINK("CSG19.html#group36R19", "36R¹⁹"), =HYPERLINK("CSG19.html#group36S19", "36S¹⁹"), =HYPERLINK("CSG19.html#group36T19", "36T¹⁹"), =HYPERLINK("CSG22.html#group36C22", "36C²²"), =HYPERLINK("CSG22.html#group36H22", "36H²²"), =HYPERLINK("CSG22.html#group36I22", "36I²²"), =HYPERLINK("CSG22.html#group36J22", "36J²²")</f>
        <v/>
      </c>
      <c r="M2398">
        <f>HYPERLINK("CSG3.html#group36E3", "36E³"), =HYPERLINK("CSG1.html#group12C1", "12C¹"), =HYPERLINK("CSG3.html#group18J3", "18J³"), =HYPERLINK("CSG0.html#group9A0", "9A⁰"), =HYPERLINK("CSG0.html#group9G0", "9G⁰"), =HYPERLINK("CSG4.html#group36E4", "36E⁴"), =HYPERLINK("CSG0.html#group2B0", "2B⁰"), =HYPERLINK("CSG1.html#group18E1", "18E¹"), =HYPERLINK("CSG0.html#group3A0", "3A⁰"), =HYPERLINK("CSG0.html#group1A0", "1A⁰"), =HYPERLINK("CSG0.html#group6D0", "6D⁰")</f>
        <v/>
      </c>
      <c r="N2398">
        <f>HYPERLINK("CSG22.html#group36H22", "36H²²"), =HYPERLINK("CSG19.html#group36T19", "36T¹⁹"), =HYPERLINK("CSG19.html#group36S19", "36S¹⁹"), =HYPERLINK("CSG22.html#group36J22", "36J²²"), =HYPERLINK("CSG22.html#group36C22", "36C²²"), =HYPERLINK("CSG19.html#group36R19", "36R¹⁹"), =HYPERLINK("CSG22.html#group36I22", "36I²²")</f>
        <v/>
      </c>
    </row>
    <row r="2399">
      <c r="A2399" t="inlineStr">
        <is>
          <t>36Q¹⁰</t>
        </is>
      </c>
      <c r="B2399" t="inlineStr"/>
      <c r="C2399" t="inlineStr">
        <is>
          <t>216</t>
        </is>
      </c>
      <c r="D2399" t="inlineStr">
        <is>
          <t>1</t>
        </is>
      </c>
      <c r="E2399" t="inlineStr">
        <is>
          <t>12</t>
        </is>
      </c>
      <c r="F2399" t="inlineStr">
        <is>
          <t>0</t>
        </is>
      </c>
      <c r="G2399" t="inlineStr">
        <is>
          <t>0</t>
        </is>
      </c>
      <c r="H2399" t="inlineStr">
        <is>
          <t>3⁶, 9⁶, 12³, 36³</t>
        </is>
      </c>
      <c r="I2399" t="n">
        <v>18</v>
      </c>
      <c r="J2399" t="inlineStr">
        <is>
          <t>1⁶, 2³</t>
        </is>
      </c>
      <c r="K2399">
        <f>HYPERLINK("CSG1.html#group12S1", "12S¹"), =HYPERLINK("CSG1.html#group36C1", "36C¹"), =HYPERLINK("CSG4.html#group18M4", "18M⁴"), =HYPERLINK("CSG4.html#group36F4", "36F⁴"), =HYPERLINK("CSG4.html#group36G4", "36G⁴")</f>
        <v/>
      </c>
      <c r="L2399">
        <f>HYPERLINK("CSG22.html#group36L22", "36L²²"), =HYPERLINK("CSG22.html#group72L22", "72L²²")</f>
        <v/>
      </c>
      <c r="M2399">
        <f>HYPERLINK("CSG0.html#group3B0", "3B⁰"), =HYPERLINK("CSG1.html#group12K1", "12K¹"), =HYPERLINK("CSG2.html#group18E2", "18E²"), =HYPERLINK("CSG4.html#group36G4", "36G⁴"), =HYPERLINK("CSG2.html#group18D2", "18D²"), =HYPERLINK("CSG4.html#group36F4", "36F⁴"), =HYPERLINK("CSG1.html#group12S1", "12S¹"), =HYPERLINK("CSG0.html#group2B0", "2B⁰"), =HYPERLINK("CSG0.html#group6G0", "6G⁰"), =HYPERLINK("CSG0.html#group9C0", "9C⁰"), =HYPERLINK("CSG0.html#group4B0", "4B⁰"), =HYPERLINK("CSG0.html#group9B0", "9B⁰"), =HYPERLINK("CSG0.html#group1A0", "1A⁰"), =HYPERLINK("CSG0.html#group3D0", "3D⁰"), =HYPERLINK("CSG0.html#group12G0", "12G⁰"), =HYPERLINK("CSG0.html#group18E0", "18E⁰"), =HYPERLINK("CSG0.html#group6D0", "6D⁰"), =HYPERLINK("CSG1.html#group9A1", "9A¹"), =HYPERLINK("CSG0.html#group3C0", "3C⁰"), =HYPERLINK("CSG0.html#group6K0", "6K⁰"), =HYPERLINK("CSG1.html#group12B1", "12B¹"), =HYPERLINK("CSG0.html#group12D0", "12D⁰"), =HYPERLINK("CSG1.html#group36C1", "36C¹"), =HYPERLINK("CSG4.html#group18M4", "18M⁴"), =HYPERLINK("CSG0.html#group3A0", "3A⁰"), =HYPERLINK("CSG1.html#group9C1", "9C¹"), =HYPERLINK("CSG0.html#group6F0", "6F⁰"), =HYPERLINK("CSG0.html#group12E0", "12E⁰")</f>
        <v/>
      </c>
      <c r="N2399">
        <f>HYPERLINK("CSG22.html#group36L22", "36L²²"), =HYPERLINK("CSG22.html#group72L22", "72L²²")</f>
        <v/>
      </c>
    </row>
    <row r="2400">
      <c r="A2400" t="inlineStr">
        <is>
          <t>36R¹⁰</t>
        </is>
      </c>
      <c r="B2400" t="inlineStr"/>
      <c r="C2400" t="inlineStr">
        <is>
          <t>216</t>
        </is>
      </c>
      <c r="D2400" t="inlineStr">
        <is>
          <t>1</t>
        </is>
      </c>
      <c r="E2400" t="inlineStr">
        <is>
          <t>36</t>
        </is>
      </c>
      <c r="F2400" t="inlineStr">
        <is>
          <t>0</t>
        </is>
      </c>
      <c r="G2400" t="inlineStr">
        <is>
          <t>0</t>
        </is>
      </c>
      <c r="H2400" t="inlineStr">
        <is>
          <t>3⁶, 9⁶, 12³, 36³</t>
        </is>
      </c>
      <c r="I2400" t="n">
        <v>18</v>
      </c>
      <c r="J2400" t="inlineStr">
        <is>
          <t>1⁶, 2⁶, 6³</t>
        </is>
      </c>
      <c r="K2400">
        <f>HYPERLINK("CSG4.html#group18P4", "18P⁴"), =HYPERLINK("CSG4.html#group36F4", "36F⁴")</f>
        <v/>
      </c>
      <c r="L2400">
        <f>HYPERLINK("CSG22.html#group36P22", "36P²²"), =HYPERLINK("CSG22.html#group72M22", "72M²²")</f>
        <v/>
      </c>
      <c r="M2400">
        <f>HYPERLINK("CSG0.html#group3B0", "3B⁰"), =HYPERLINK("CSG4.html#group18P4", "18P⁴"), =HYPERLINK("CSG0.html#group9J0", "9J⁰"), =HYPERLINK("CSG2.html#group18D2", "18D²"), =HYPERLINK("CSG4.html#group36F4", "36F⁴"), =HYPERLINK("CSG0.html#group2B0", "2B⁰"), =HYPERLINK("CSG0.html#group1A0", "1A⁰"), =HYPERLINK("CSG0.html#group9C0", "9C⁰"), =HYPERLINK("CSG0.html#group4B0", "4B⁰"), =HYPERLINK("CSG0.html#group6F0", "6F⁰"), =HYPERLINK("CSG0.html#group12E0", "12E⁰")</f>
        <v/>
      </c>
      <c r="N2400">
        <f>HYPERLINK("CSG22.html#group72M22", "72M²²"), =HYPERLINK("CSG22.html#group36P22", "36P²²")</f>
        <v/>
      </c>
    </row>
    <row r="2401">
      <c r="A2401" t="inlineStr">
        <is>
          <t>36S¹⁰</t>
        </is>
      </c>
      <c r="B2401" t="inlineStr"/>
      <c r="C2401" t="inlineStr">
        <is>
          <t>216</t>
        </is>
      </c>
      <c r="D2401" t="inlineStr">
        <is>
          <t>1</t>
        </is>
      </c>
      <c r="E2401" t="inlineStr">
        <is>
          <t>36</t>
        </is>
      </c>
      <c r="F2401" t="inlineStr">
        <is>
          <t>0</t>
        </is>
      </c>
      <c r="G2401" t="inlineStr">
        <is>
          <t>0</t>
        </is>
      </c>
      <c r="H2401" t="inlineStr">
        <is>
          <t>3⁶, 9⁶, 12³, 36³</t>
        </is>
      </c>
      <c r="I2401" t="n">
        <v>18</v>
      </c>
      <c r="J2401" t="inlineStr">
        <is>
          <t>1⁶, 2⁶, 6³</t>
        </is>
      </c>
      <c r="K2401">
        <f>HYPERLINK("CSG4.html#group18Q4", "18Q⁴"), =HYPERLINK("CSG4.html#group36G4", "36G⁴")</f>
        <v/>
      </c>
      <c r="L2401">
        <f>HYPERLINK("CSG22.html#group36Q22", "36Q²²"), =HYPERLINK("CSG22.html#group72N22", "72N²²")</f>
        <v/>
      </c>
      <c r="M2401">
        <f>HYPERLINK("CSG0.html#group3B0", "3B⁰"), =HYPERLINK("CSG1.html#group9A1", "9A¹"), =HYPERLINK("CSG2.html#group18E2", "18E²"), =HYPERLINK("CSG4.html#group18Q4", "18Q⁴"), =HYPERLINK("CSG4.html#group36G4", "36G⁴"), =HYPERLINK("CSG0.html#group1A0", "1A⁰"), =HYPERLINK("CSG0.html#group2B0", "2B⁰"), =HYPERLINK("CSG0.html#group4B0", "4B⁰"), =HYPERLINK("CSG1.html#group9D1", "9D¹"), =HYPERLINK("CSG0.html#group6F0", "6F⁰"), =HYPERLINK("CSG0.html#group12E0", "12E⁰")</f>
        <v/>
      </c>
      <c r="N2401">
        <f>HYPERLINK("CSG22.html#group72N22", "72N²²"), =HYPERLINK("CSG22.html#group36Q22", "36Q²²")</f>
        <v/>
      </c>
    </row>
    <row r="2402">
      <c r="A2402" t="inlineStr">
        <is>
          <t>36T¹⁰</t>
        </is>
      </c>
      <c r="B2402" t="inlineStr"/>
      <c r="C2402" t="inlineStr">
        <is>
          <t>216</t>
        </is>
      </c>
      <c r="D2402" t="inlineStr">
        <is>
          <t>1</t>
        </is>
      </c>
      <c r="E2402" t="inlineStr">
        <is>
          <t>108</t>
        </is>
      </c>
      <c r="F2402" t="inlineStr">
        <is>
          <t>24</t>
        </is>
      </c>
      <c r="G2402" t="inlineStr">
        <is>
          <t>0</t>
        </is>
      </c>
      <c r="H2402" t="inlineStr">
        <is>
          <t>36⁶</t>
        </is>
      </c>
      <c r="I2402" t="n">
        <v>6</v>
      </c>
      <c r="J2402" t="inlineStr">
        <is>
          <t>6², 12⁸</t>
        </is>
      </c>
      <c r="K2402">
        <f>HYPERLINK("CSG1.html#group18H1", "18H¹"), =HYPERLINK("CSG2.html#group36D2", "36D²"), =HYPERLINK("CSG5.html#group36J5", "36J⁵")</f>
        <v/>
      </c>
      <c r="L2402" t="inlineStr"/>
      <c r="M2402">
        <f>HYPERLINK("CSG1.html#group36A1", "36A¹"), =HYPERLINK("CSG5.html#group36J5", "36J⁵"), =HYPERLINK("CSG2.html#group36D2", "36D²"), =HYPERLINK("CSG0.html#group6B0", "6B⁰"), =HYPERLINK("CSG0.html#group12A0", "12A⁰"), =HYPERLINK("CSG1.html#group18H1", "18H¹"), =HYPERLINK("CSG0.html#group4A0", "4A⁰"), =HYPERLINK("CSG0.html#group9A0", "9A⁰"), =HYPERLINK("CSG0.html#group9G0", "9G⁰"), =HYPERLINK("CSG0.html#group12F0", "12F⁰"), =HYPERLINK("CSG0.html#group3A0", "3A⁰"), =HYPERLINK("CSG0.html#group1A0", "1A⁰"), =HYPERLINK("CSG0.html#group18A0", "18A⁰")</f>
        <v/>
      </c>
      <c r="N2402" t="inlineStr"/>
    </row>
    <row r="2403">
      <c r="A2403" t="inlineStr">
        <is>
          <t>37A¹⁰</t>
        </is>
      </c>
      <c r="B2403" t="inlineStr"/>
      <c r="C2403" t="inlineStr">
        <is>
          <t>228</t>
        </is>
      </c>
      <c r="D2403" t="inlineStr">
        <is>
          <t>1</t>
        </is>
      </c>
      <c r="E2403" t="inlineStr">
        <is>
          <t>38</t>
        </is>
      </c>
      <c r="F2403" t="inlineStr">
        <is>
          <t>0</t>
        </is>
      </c>
      <c r="G2403" t="inlineStr">
        <is>
          <t>12</t>
        </is>
      </c>
      <c r="H2403" t="inlineStr">
        <is>
          <t>1⁶, 37⁶</t>
        </is>
      </c>
      <c r="I2403" t="n">
        <v>12</v>
      </c>
      <c r="J2403" t="inlineStr">
        <is>
          <t>1², 36¹</t>
        </is>
      </c>
      <c r="K2403">
        <f>HYPERLINK("CSG4.html#group37A4", "37A⁴"), =HYPERLINK("CSG4.html#group37B4", "37B⁴")</f>
        <v/>
      </c>
      <c r="L2403" t="inlineStr"/>
      <c r="M2403">
        <f>HYPERLINK("CSG2.html#group37A2", "37A²"), =HYPERLINK("CSG4.html#group37B4", "37B⁴"), =HYPERLINK("CSG4.html#group37A4", "37A⁴"), =HYPERLINK("CSG0.html#group1A0", "1A⁰")</f>
        <v/>
      </c>
      <c r="N2403" t="inlineStr"/>
    </row>
    <row r="2404">
      <c r="A2404" t="inlineStr">
        <is>
          <t>38A¹⁰</t>
        </is>
      </c>
      <c r="B2404" t="inlineStr"/>
      <c r="C2404" t="inlineStr">
        <is>
          <t>180</t>
        </is>
      </c>
      <c r="D2404" t="inlineStr">
        <is>
          <t>1</t>
        </is>
      </c>
      <c r="E2404" t="inlineStr">
        <is>
          <t>60</t>
        </is>
      </c>
      <c r="F2404" t="inlineStr">
        <is>
          <t>0</t>
        </is>
      </c>
      <c r="G2404" t="inlineStr">
        <is>
          <t>0</t>
        </is>
      </c>
      <c r="H2404" t="inlineStr">
        <is>
          <t>1³, 2³, 19³, 38³</t>
        </is>
      </c>
      <c r="I2404" t="n">
        <v>12</v>
      </c>
      <c r="J2404" t="inlineStr">
        <is>
          <t>1⁶, 18³</t>
        </is>
      </c>
      <c r="K2404">
        <f>HYPERLINK("CSG1.html#group19B1", "19B¹"), =HYPERLINK("CSG4.html#group38A4", "38A⁴")</f>
        <v/>
      </c>
      <c r="L2404">
        <f>HYPERLINK("CSG22.html#group38C22", "38C²²"), =HYPERLINK("CSG22.html#group76A22", "76A²²")</f>
        <v/>
      </c>
      <c r="M2404">
        <f>HYPERLINK("CSG1.html#group19A1", "19A¹"), =HYPERLINK("CSG0.html#group2B0", "2B⁰"), =HYPERLINK("CSG1.html#group19B1", "19B¹"), =HYPERLINK("CSG0.html#group1A0", "1A⁰"), =HYPERLINK("CSG4.html#group38A4", "38A⁴")</f>
        <v/>
      </c>
      <c r="N2404">
        <f>HYPERLINK("CSG22.html#group38C22", "38C²²"), =HYPERLINK("CSG22.html#group76A22", "76A²²")</f>
        <v/>
      </c>
    </row>
    <row r="2405">
      <c r="A2405" t="inlineStr">
        <is>
          <t>39A¹⁰</t>
        </is>
      </c>
      <c r="B2405" t="inlineStr"/>
      <c r="C2405" t="inlineStr">
        <is>
          <t>168</t>
        </is>
      </c>
      <c r="D2405" t="inlineStr">
        <is>
          <t>2</t>
        </is>
      </c>
      <c r="E2405" t="inlineStr">
        <is>
          <t>56</t>
        </is>
      </c>
      <c r="F2405" t="inlineStr">
        <is>
          <t>0</t>
        </is>
      </c>
      <c r="G2405" t="inlineStr">
        <is>
          <t>3</t>
        </is>
      </c>
      <c r="H2405" t="inlineStr">
        <is>
          <t>3⁴, 39⁴</t>
        </is>
      </c>
      <c r="I2405" t="n">
        <v>8</v>
      </c>
      <c r="J2405" t="inlineStr">
        <is>
          <t>2⁸, 24⁴</t>
        </is>
      </c>
      <c r="K2405">
        <f>HYPERLINK("CSG1.html#group39A1", "39A¹"), =HYPERLINK("CSG3.html#group39A3", "39A³")</f>
        <v/>
      </c>
      <c r="L2405">
        <f>HYPERLINK("CSG19.html#group39B19", "39B¹⁹"), =HYPERLINK("CSG23.html#group78G23", "78G²³"), =HYPERLINK("CSG23.html#group78H23", "78H²³")</f>
        <v/>
      </c>
      <c r="M2405">
        <f>HYPERLINK("CSG0.html#group13A0", "13A⁰"), =HYPERLINK("CSG0.html#group3B0", "3B⁰"), =HYPERLINK("CSG3.html#group39A3", "39A³"), =HYPERLINK("CSG1.html#group39A1", "39A¹"), =HYPERLINK("CSG0.html#group1A0", "1A⁰")</f>
        <v/>
      </c>
      <c r="N2405">
        <f>HYPERLINK("CSG23.html#group78G23", "78G²³"), =HYPERLINK("CSG23.html#group78H23", "78H²³"), =HYPERLINK("CSG19.html#group39B19", "39B¹⁹")</f>
        <v/>
      </c>
    </row>
    <row r="2406">
      <c r="A2406" t="inlineStr">
        <is>
          <t>39B¹⁰</t>
        </is>
      </c>
      <c r="B2406" t="inlineStr"/>
      <c r="C2406" t="inlineStr">
        <is>
          <t>252</t>
        </is>
      </c>
      <c r="D2406" t="inlineStr">
        <is>
          <t>1</t>
        </is>
      </c>
      <c r="E2406" t="inlineStr">
        <is>
          <t>42</t>
        </is>
      </c>
      <c r="F2406" t="inlineStr">
        <is>
          <t>24</t>
        </is>
      </c>
      <c r="G2406" t="inlineStr">
        <is>
          <t>0</t>
        </is>
      </c>
      <c r="H2406" t="inlineStr">
        <is>
          <t>3⁶, 39⁶</t>
        </is>
      </c>
      <c r="I2406" t="n">
        <v>12</v>
      </c>
      <c r="J2406" t="inlineStr">
        <is>
          <t>1², 2², 12¹, 24¹</t>
        </is>
      </c>
      <c r="K2406">
        <f>HYPERLINK("CSG4.html#group39A4", "39A⁴"), =HYPERLINK("CSG4.html#group39C4", "39C⁴")</f>
        <v/>
      </c>
      <c r="L2406" t="inlineStr"/>
      <c r="M2406">
        <f>HYPERLINK("CSG2.html#group39A2", "39A²"), =HYPERLINK("CSG0.html#group13A0", "13A⁰"), =HYPERLINK("CSG4.html#group39C4", "39C⁴"), =HYPERLINK("CSG0.html#group13C0", "13C⁰"), =HYPERLINK("CSG4.html#group39A4", "39A⁴"), =HYPERLINK("CSG1.html#group39A1", "39A¹"), =HYPERLINK("CSG0.html#group3A0", "3A⁰"), =HYPERLINK("CSG0.html#group1A0", "1A⁰")</f>
        <v/>
      </c>
      <c r="N2406" t="inlineStr"/>
    </row>
    <row r="2407">
      <c r="A2407" t="inlineStr">
        <is>
          <t>40A¹⁰</t>
        </is>
      </c>
      <c r="B2407" t="inlineStr"/>
      <c r="C2407" t="inlineStr">
        <is>
          <t>160</t>
        </is>
      </c>
      <c r="D2407" t="inlineStr">
        <is>
          <t>1</t>
        </is>
      </c>
      <c r="E2407" t="inlineStr">
        <is>
          <t>160</t>
        </is>
      </c>
      <c r="F2407" t="inlineStr">
        <is>
          <t>8</t>
        </is>
      </c>
      <c r="G2407" t="inlineStr">
        <is>
          <t>1</t>
        </is>
      </c>
      <c r="H2407" t="inlineStr">
        <is>
          <t>40⁴</t>
        </is>
      </c>
      <c r="I2407" t="n">
        <v>4</v>
      </c>
      <c r="J2407" t="inlineStr">
        <is>
          <t>8⁴, 16⁸</t>
        </is>
      </c>
      <c r="K2407">
        <f>HYPERLINK("CSG0.html#group8F0", "8F⁰"), =HYPERLINK("CSG2.html#group20E2", "20E²")</f>
        <v/>
      </c>
      <c r="L2407">
        <f>HYPERLINK("CSG19.html#group40I19", "40I¹⁹"), =HYPERLINK("CSG21.html#group40D21", "40D²¹"), =HYPERLINK("CSG21.html#group40E21", "40E²¹"), =HYPERLINK("CSG23.html#group40A23", "40A²³"), =HYPERLINK("CSG23.html#group40B23", "40B²³")</f>
        <v/>
      </c>
      <c r="M2407">
        <f>HYPERLINK("CSG0.html#group1A0", "1A⁰"), =HYPERLINK("CSG0.html#group8F0", "8F⁰"), =HYPERLINK("CSG0.html#group4A0", "4A⁰"), =HYPERLINK("CSG0.html#group5C0", "5C⁰"), =HYPERLINK("CSG2.html#group20E2", "20E²")</f>
        <v/>
      </c>
      <c r="N2407">
        <f>HYPERLINK("CSG23.html#group40A23", "40A²³"), =HYPERLINK("CSG21.html#group40D21", "40D²¹"), =HYPERLINK("CSG21.html#group40E21", "40E²¹"), =HYPERLINK("CSG23.html#group40B23", "40B²³"), =HYPERLINK("CSG19.html#group40I19", "40I¹⁹")</f>
        <v/>
      </c>
    </row>
    <row r="2408">
      <c r="A2408" t="inlineStr">
        <is>
          <t>40B¹⁰</t>
        </is>
      </c>
      <c r="B2408" t="inlineStr"/>
      <c r="C2408" t="inlineStr">
        <is>
          <t>160</t>
        </is>
      </c>
      <c r="D2408" t="inlineStr">
        <is>
          <t>2</t>
        </is>
      </c>
      <c r="E2408" t="inlineStr">
        <is>
          <t>80</t>
        </is>
      </c>
      <c r="F2408" t="inlineStr">
        <is>
          <t>4</t>
        </is>
      </c>
      <c r="G2408" t="inlineStr">
        <is>
          <t>4</t>
        </is>
      </c>
      <c r="H2408" t="inlineStr">
        <is>
          <t>40⁴</t>
        </is>
      </c>
      <c r="I2408" t="n">
        <v>4</v>
      </c>
      <c r="J2408" t="inlineStr">
        <is>
          <t>4⁸, 16⁸</t>
        </is>
      </c>
      <c r="K2408">
        <f>HYPERLINK("CSG0.html#group8M0", "8M⁰"), =HYPERLINK("CSG2.html#group40A2", "40A²"), =HYPERLINK("CSG5.html#group40D5", "40D⁵")</f>
        <v/>
      </c>
      <c r="L2408">
        <f>HYPERLINK("CSG21.html#group40C21", "40C²¹"), =HYPERLINK("CSG22.html#group80A22", "80A²²")</f>
        <v/>
      </c>
      <c r="M2408">
        <f>HYPERLINK("CSG0.html#group5A0", "5A⁰"), =HYPERLINK("CSG0.html#group8F0", "8F⁰"), =HYPERLINK("CSG0.html#group4A0", "4A⁰"), =HYPERLINK("CSG0.html#group8A0", "8A⁰"), =HYPERLINK("CSG1.html#group20A1", "20A¹"), =HYPERLINK("CSG0.html#group8M0", "8M⁰"), =HYPERLINK("CSG0.html#group1A0", "1A⁰"), =HYPERLINK("CSG5.html#group40D5", "40D⁵"), =HYPERLINK("CSG2.html#group40A2", "40A²")</f>
        <v/>
      </c>
      <c r="N2408">
        <f>HYPERLINK("CSG22.html#group80A22", "80A²²"), =HYPERLINK("CSG21.html#group40C21", "40C²¹")</f>
        <v/>
      </c>
    </row>
    <row r="2409">
      <c r="A2409" t="inlineStr">
        <is>
          <t>40C¹⁰</t>
        </is>
      </c>
      <c r="B2409" t="inlineStr"/>
      <c r="C2409" t="inlineStr">
        <is>
          <t>180</t>
        </is>
      </c>
      <c r="D2409" t="inlineStr">
        <is>
          <t>1</t>
        </is>
      </c>
      <c r="E2409" t="inlineStr">
        <is>
          <t>15</t>
        </is>
      </c>
      <c r="F2409" t="inlineStr">
        <is>
          <t>12</t>
        </is>
      </c>
      <c r="G2409" t="inlineStr">
        <is>
          <t>0</t>
        </is>
      </c>
      <c r="H2409" t="inlineStr">
        <is>
          <t>20³, 40³</t>
        </is>
      </c>
      <c r="I2409" t="n">
        <v>6</v>
      </c>
      <c r="J2409" t="inlineStr">
        <is>
          <t>1³, 4³</t>
        </is>
      </c>
      <c r="K2409">
        <f>HYPERLINK("CSG4.html#group20E4", "20E⁴"), =HYPERLINK("CSG4.html#group40A4", "40A⁴")</f>
        <v/>
      </c>
      <c r="L2409">
        <f>HYPERLINK("CSG21.html#group40F21", "40F²¹"), =HYPERLINK("CSG22.html#group40B22", "40B²²"), =HYPERLINK("CSG22.html#group40G22", "40G²²"), =HYPERLINK("CSG22.html#group40J22", "40J²²"), =HYPERLINK("CSG22.html#group40N22", "40N²²"), =HYPERLINK("CSG22.html#group80B22", "80B²²"), =HYPERLINK("CSG23.html#group40D23", "40D²³"), =HYPERLINK("CSG24.html#group80A24", "80A²⁴")</f>
        <v/>
      </c>
      <c r="M2409">
        <f>HYPERLINK("CSG0.html#group5A0", "5A⁰"), =HYPERLINK("CSG4.html#group40A4", "40A⁴"), =HYPERLINK("CSG4.html#group20E4", "20E⁴"), =HYPERLINK("CSG1.html#group10I1", "10I¹"), =HYPERLINK("CSG1.html#group10B1", "10B¹"), =HYPERLINK("CSG2.html#group20B2", "20B²"), =HYPERLINK("CSG0.html#group4C0", "4C⁰"), =HYPERLINK("CSG0.html#group8B0", "8B⁰"), =HYPERLINK("CSG0.html#group5E0", "5E⁰"), =HYPERLINK("CSG0.html#group2B0", "2B⁰"), =HYPERLINK("CSG0.html#group1A0", "1A⁰")</f>
        <v/>
      </c>
      <c r="N2409">
        <f>HYPERLINK("CSG22.html#group80B22", "80B²²"), =HYPERLINK("CSG22.html#group40J22", "40J²²"), =HYPERLINK("CSG22.html#group40N22", "40N²²"), =HYPERLINK("CSG24.html#group80A24", "80A²⁴"), =HYPERLINK("CSG22.html#group40G22", "40G²²"), =HYPERLINK("CSG23.html#group40D23", "40D²³"), =HYPERLINK("CSG21.html#group40F21", "40F²¹"), =HYPERLINK("CSG22.html#group40B22", "40B²²")</f>
        <v/>
      </c>
    </row>
    <row r="2410">
      <c r="A2410" t="inlineStr">
        <is>
          <t>40D¹⁰</t>
        </is>
      </c>
      <c r="B2410" t="inlineStr"/>
      <c r="C2410" t="inlineStr">
        <is>
          <t>180</t>
        </is>
      </c>
      <c r="D2410" t="inlineStr">
        <is>
          <t>1</t>
        </is>
      </c>
      <c r="E2410" t="inlineStr">
        <is>
          <t>30</t>
        </is>
      </c>
      <c r="F2410" t="inlineStr">
        <is>
          <t>0</t>
        </is>
      </c>
      <c r="G2410" t="inlineStr">
        <is>
          <t>0</t>
        </is>
      </c>
      <c r="H2410" t="inlineStr">
        <is>
          <t>5⁶, 10³, 40³</t>
        </is>
      </c>
      <c r="I2410" t="n">
        <v>12</v>
      </c>
      <c r="J2410" t="inlineStr">
        <is>
          <t>1⁴, 2¹, 4⁴, 8¹</t>
        </is>
      </c>
      <c r="K2410">
        <f>HYPERLINK("CSG4.html#group20D4", "20D⁴"), =HYPERLINK("CSG4.html#group40B4", "40B⁴")</f>
        <v/>
      </c>
      <c r="L2410">
        <f>HYPERLINK("CSG19.html#group40M19", "40M¹⁹"), =HYPERLINK("CSG22.html#group40A22", "40A²²"), =HYPERLINK("CSG22.html#group40D22", "40D²²"), =HYPERLINK("CSG22.html#group40I22", "40I²²"), =HYPERLINK("CSG22.html#group40K22", "40K²²"), =HYPERLINK("CSG22.html#group80C22", "80C²²"), =HYPERLINK("CSG22.html#group80D22", "80D²²"), =HYPERLINK("CSG22.html#group80F22", "80F²²"), =HYPERLINK("CSG22.html#group80G22", "80G²²")</f>
        <v/>
      </c>
      <c r="M2410">
        <f>HYPERLINK("CSG2.html#group20A2", "20A²"), =HYPERLINK("CSG4.html#group20D4", "20D⁴"), =HYPERLINK("CSG0.html#group5A0", "5A⁰"), =HYPERLINK("CSG1.html#group10I1", "10I¹"), =HYPERLINK("CSG1.html#group10B1", "10B¹"), =HYPERLINK("CSG0.html#group5E0", "5E⁰"), =HYPERLINK("CSG0.html#group2B0", "2B⁰"), =HYPERLINK("CSG0.html#group8C0", "8C⁰"), =HYPERLINK("CSG0.html#group4B0", "4B⁰"), =HYPERLINK("CSG4.html#group40B4", "40B⁴"), =HYPERLINK("CSG0.html#group1A0", "1A⁰")</f>
        <v/>
      </c>
      <c r="N2410">
        <f>HYPERLINK("CSG19.html#group40M19", "40M¹⁹"), =HYPERLINK("CSG22.html#group80C22", "80C²²"), =HYPERLINK("CSG22.html#group40I22", "40I²²"), =HYPERLINK("CSG22.html#group40K22", "40K²²"), =HYPERLINK("CSG22.html#group80D22", "80D²²"), =HYPERLINK("CSG22.html#group40A22", "40A²²"), =HYPERLINK("CSG22.html#group80G22", "80G²²"), =HYPERLINK("CSG22.html#group80F22", "80F²²"), =HYPERLINK("CSG22.html#group40D22", "40D²²")</f>
        <v/>
      </c>
    </row>
    <row r="2411">
      <c r="A2411" t="inlineStr">
        <is>
          <t>40E¹⁰</t>
        </is>
      </c>
      <c r="B2411" t="inlineStr"/>
      <c r="C2411" t="inlineStr">
        <is>
          <t>180</t>
        </is>
      </c>
      <c r="D2411" t="inlineStr">
        <is>
          <t>1</t>
        </is>
      </c>
      <c r="E2411" t="inlineStr">
        <is>
          <t>30</t>
        </is>
      </c>
      <c r="F2411" t="inlineStr">
        <is>
          <t>6</t>
        </is>
      </c>
      <c r="G2411" t="inlineStr">
        <is>
          <t>0</t>
        </is>
      </c>
      <c r="H2411" t="inlineStr">
        <is>
          <t>10⁶, 40³</t>
        </is>
      </c>
      <c r="I2411" t="n">
        <v>9</v>
      </c>
      <c r="J2411" t="inlineStr">
        <is>
          <t>1², 2², 4², 8²</t>
        </is>
      </c>
      <c r="K2411">
        <f>HYPERLINK("CSG4.html#group20E4", "20E⁴"), =HYPERLINK("CSG4.html#group40C4", "40C⁴")</f>
        <v/>
      </c>
      <c r="L2411">
        <f>HYPERLINK("CSG20.html#group40B20", "40B²⁰"), =HYPERLINK("CSG21.html#group40I21", "40I²¹"), =HYPERLINK("CSG22.html#group40A22", "40A²²"), =HYPERLINK("CSG22.html#group40B22", "40B²²"), =HYPERLINK("CSG22.html#group80E22", "80E²²"), =HYPERLINK("CSG22.html#group80H22", "80H²²"), =HYPERLINK("CSG23.html#group40H23", "40H²³"), =HYPERLINK("CSG24.html#group40B24", "40B²⁴")</f>
        <v/>
      </c>
      <c r="M2411">
        <f>HYPERLINK("CSG4.html#group40C4", "40C⁴"), =HYPERLINK("CSG0.html#group5A0", "5A⁰"), =HYPERLINK("CSG1.html#group10I1", "10I¹"), =HYPERLINK("CSG4.html#group20E4", "20E⁴"), =HYPERLINK("CSG0.html#group8D0", "8D⁰"), =HYPERLINK("CSG1.html#group10B1", "10B¹"), =HYPERLINK("CSG2.html#group20B2", "20B²"), =HYPERLINK("CSG0.html#group4C0", "4C⁰"), =HYPERLINK("CSG0.html#group5E0", "5E⁰"), =HYPERLINK("CSG0.html#group2B0", "2B⁰"), =HYPERLINK("CSG0.html#group1A0", "1A⁰")</f>
        <v/>
      </c>
      <c r="N2411">
        <f>HYPERLINK("CSG24.html#group40B24", "40B²⁴"), =HYPERLINK("CSG22.html#group40A22", "40A²²"), =HYPERLINK("CSG20.html#group40B20", "40B²⁰"), =HYPERLINK("CSG23.html#group40H23", "40H²³"), =HYPERLINK("CSG21.html#group40I21", "40I²¹"), =HYPERLINK("CSG22.html#group80H22", "80H²²"), =HYPERLINK("CSG22.html#group80E22", "80E²²"), =HYPERLINK("CSG22.html#group40B22", "40B²²")</f>
        <v/>
      </c>
    </row>
    <row r="2412">
      <c r="A2412" t="inlineStr">
        <is>
          <t>40F¹⁰</t>
        </is>
      </c>
      <c r="B2412" t="inlineStr"/>
      <c r="C2412" t="inlineStr">
        <is>
          <t>180</t>
        </is>
      </c>
      <c r="D2412" t="inlineStr">
        <is>
          <t>1</t>
        </is>
      </c>
      <c r="E2412" t="inlineStr">
        <is>
          <t>90</t>
        </is>
      </c>
      <c r="F2412" t="inlineStr">
        <is>
          <t>0</t>
        </is>
      </c>
      <c r="G2412" t="inlineStr">
        <is>
          <t>0</t>
        </is>
      </c>
      <c r="H2412" t="inlineStr">
        <is>
          <t>5⁶, 10³, 40³</t>
        </is>
      </c>
      <c r="I2412" t="n">
        <v>12</v>
      </c>
      <c r="J2412" t="inlineStr">
        <is>
          <t>1⁴, 2⁵, 4¹³, 8³</t>
        </is>
      </c>
      <c r="K2412">
        <f>HYPERLINK("CSG4.html#group20D4", "20D⁴")</f>
        <v/>
      </c>
      <c r="L2412">
        <f>HYPERLINK("CSG19.html#group40L19", "40L¹⁹"), =HYPERLINK("CSG19.html#group40M19", "40M¹⁹"), =HYPERLINK("CSG22.html#group40C22", "40C²²"), =HYPERLINK("CSG22.html#group40H22", "40H²²"), =HYPERLINK("CSG22.html#group40I22", "40I²²")</f>
        <v/>
      </c>
      <c r="M2412">
        <f>HYPERLINK("CSG2.html#group20A2", "20A²"), =HYPERLINK("CSG4.html#group20D4", "20D⁴"), =HYPERLINK("CSG0.html#group5A0", "5A⁰"), =HYPERLINK("CSG1.html#group10I1", "10I¹"), =HYPERLINK("CSG1.html#group10B1", "10B¹"), =HYPERLINK("CSG0.html#group5E0", "5E⁰"), =HYPERLINK("CSG0.html#group2B0", "2B⁰"), =HYPERLINK("CSG0.html#group4B0", "4B⁰"), =HYPERLINK("CSG0.html#group1A0", "1A⁰")</f>
        <v/>
      </c>
      <c r="N2412">
        <f>HYPERLINK("CSG19.html#group40M19", "40M¹⁹"), =HYPERLINK("CSG22.html#group40C22", "40C²²"), =HYPERLINK("CSG22.html#group40I22", "40I²²"), =HYPERLINK("CSG19.html#group40L19", "40L¹⁹"), =HYPERLINK("CSG22.html#group40H22", "40H²²")</f>
        <v/>
      </c>
    </row>
    <row r="2413">
      <c r="A2413" t="inlineStr">
        <is>
          <t>40G¹⁰</t>
        </is>
      </c>
      <c r="B2413" t="inlineStr"/>
      <c r="C2413" t="inlineStr">
        <is>
          <t>180</t>
        </is>
      </c>
      <c r="D2413" t="inlineStr">
        <is>
          <t>1</t>
        </is>
      </c>
      <c r="E2413" t="inlineStr">
        <is>
          <t>90</t>
        </is>
      </c>
      <c r="F2413" t="inlineStr">
        <is>
          <t>6</t>
        </is>
      </c>
      <c r="G2413" t="inlineStr">
        <is>
          <t>0</t>
        </is>
      </c>
      <c r="H2413" t="inlineStr">
        <is>
          <t>10⁶, 40³</t>
        </is>
      </c>
      <c r="I2413" t="n">
        <v>9</v>
      </c>
      <c r="J2413" t="inlineStr">
        <is>
          <t>1², 2⁴, 4⁸, 8⁶</t>
        </is>
      </c>
      <c r="K2413">
        <f>HYPERLINK("CSG4.html#group20E4", "20E⁴")</f>
        <v/>
      </c>
      <c r="L2413">
        <f>HYPERLINK("CSG20.html#group40A20", "40A²⁰"), =HYPERLINK("CSG20.html#group40B20", "40B²⁰"), =HYPERLINK("CSG21.html#group40H21", "40H²¹"), =HYPERLINK("CSG21.html#group40I21", "40I²¹"), =HYPERLINK("CSG22.html#group40C22", "40C²²"), =HYPERLINK("CSG22.html#group40J22", "40J²²"), =HYPERLINK("CSG23.html#group40G23", "40G²³"), =HYPERLINK("CSG23.html#group40I23", "40I²³"), =HYPERLINK("CSG23.html#group40J23", "40J²³"), =HYPERLINK("CSG24.html#group40A24", "40A²⁴"), =HYPERLINK("CSG24.html#group40C24", "40C²⁴"), =HYPERLINK("CSG24.html#group40D24", "40D²⁴")</f>
        <v/>
      </c>
      <c r="M2413">
        <f>HYPERLINK("CSG0.html#group5A0", "5A⁰"), =HYPERLINK("CSG1.html#group10I1", "10I¹"), =HYPERLINK("CSG4.html#group20E4", "20E⁴"), =HYPERLINK("CSG1.html#group10B1", "10B¹"), =HYPERLINK("CSG2.html#group20B2", "20B²"), =HYPERLINK("CSG0.html#group4C0", "4C⁰"), =HYPERLINK("CSG0.html#group5E0", "5E⁰"), =HYPERLINK("CSG0.html#group2B0", "2B⁰"), =HYPERLINK("CSG0.html#group1A0", "1A⁰")</f>
        <v/>
      </c>
      <c r="N2413">
        <f>HYPERLINK("CSG23.html#group40I23", "40I²³"), =HYPERLINK("CSG22.html#group40C22", "40C²²"), =HYPERLINK("CSG20.html#group40A20", "40A²⁰"), =HYPERLINK("CSG23.html#group40G23", "40G²³"), =HYPERLINK("CSG24.html#group40A24", "40A²⁴"), =HYPERLINK("CSG22.html#group40J22", "40J²²"), =HYPERLINK("CSG23.html#group40J23", "40J²³"), =HYPERLINK("CSG24.html#group40C24", "40C²⁴"), =HYPERLINK("CSG20.html#group40B20", "40B²⁰"), =HYPERLINK("CSG21.html#group40I21", "40I²¹"), =HYPERLINK("CSG21.html#group40H21", "40H²¹"), =HYPERLINK("CSG24.html#group40D24", "40D²⁴")</f>
        <v/>
      </c>
    </row>
    <row r="2414">
      <c r="A2414" t="inlineStr">
        <is>
          <t>42A¹⁰</t>
        </is>
      </c>
      <c r="B2414" t="inlineStr"/>
      <c r="C2414" t="inlineStr">
        <is>
          <t>126</t>
        </is>
      </c>
      <c r="D2414" t="inlineStr">
        <is>
          <t>1</t>
        </is>
      </c>
      <c r="E2414" t="inlineStr">
        <is>
          <t>21</t>
        </is>
      </c>
      <c r="F2414" t="inlineStr">
        <is>
          <t>0</t>
        </is>
      </c>
      <c r="G2414" t="inlineStr">
        <is>
          <t>0</t>
        </is>
      </c>
      <c r="H2414" t="inlineStr">
        <is>
          <t>42³</t>
        </is>
      </c>
      <c r="I2414" t="n">
        <v>3</v>
      </c>
      <c r="J2414" t="inlineStr">
        <is>
          <t>3¹, 6³</t>
        </is>
      </c>
      <c r="K2414">
        <f>HYPERLINK("CSG1.html#group21E1", "21E¹"), =HYPERLINK("CSG3.html#group14A3", "14A³"), =HYPERLINK("CSG4.html#group42A4", "42A⁴")</f>
        <v/>
      </c>
      <c r="L2414">
        <f>HYPERLINK("CSG19.html#group42B19", "42B¹⁹"), =HYPERLINK("CSG19.html#group42D19", "42D¹⁹"), =HYPERLINK("CSG19.html#group42E19", "42E¹⁹"), =HYPERLINK("CSG19.html#group42F19", "42F¹⁹"), =HYPERLINK("CSG19.html#group42M19", "42M¹⁹")</f>
        <v/>
      </c>
      <c r="M2414">
        <f>HYPERLINK("CSG0.html#group2A0", "2A⁰"), =HYPERLINK("CSG0.html#group7D0", "7D⁰"), =HYPERLINK("CSG1.html#group21E1", "21E¹"), =HYPERLINK("CSG3.html#group14A3", "14A³"), =HYPERLINK("CSG1.html#group14A1", "14A¹"), =HYPERLINK("CSG0.html#group21A0", "21A⁰"), =HYPERLINK("CSG1.html#group6A1", "6A¹"), =HYPERLINK("CSG4.html#group42A4", "42A⁴"), =HYPERLINK("CSG0.html#group3A0", "3A⁰"), =HYPERLINK("CSG0.html#group1A0", "1A⁰"), =HYPERLINK("CSG0.html#group7A0", "7A⁰")</f>
        <v/>
      </c>
      <c r="N2414">
        <f>HYPERLINK("CSG19.html#group42F19", "42F¹⁹"), =HYPERLINK("CSG19.html#group42B19", "42B¹⁹"), =HYPERLINK("CSG19.html#group42D19", "42D¹⁹"), =HYPERLINK("CSG19.html#group42M19", "42M¹⁹"), =HYPERLINK("CSG19.html#group42E19", "42E¹⁹")</f>
        <v/>
      </c>
    </row>
    <row r="2415">
      <c r="A2415" t="inlineStr">
        <is>
          <t>42B¹⁰</t>
        </is>
      </c>
      <c r="B2415" t="inlineStr"/>
      <c r="C2415" t="inlineStr">
        <is>
          <t>126</t>
        </is>
      </c>
      <c r="D2415" t="inlineStr">
        <is>
          <t>1</t>
        </is>
      </c>
      <c r="E2415" t="inlineStr">
        <is>
          <t>42</t>
        </is>
      </c>
      <c r="F2415" t="inlineStr">
        <is>
          <t>0</t>
        </is>
      </c>
      <c r="G2415" t="inlineStr">
        <is>
          <t>0</t>
        </is>
      </c>
      <c r="H2415" t="inlineStr">
        <is>
          <t>42³</t>
        </is>
      </c>
      <c r="I2415" t="n">
        <v>3</v>
      </c>
      <c r="J2415" t="inlineStr">
        <is>
          <t>6¹, 12³</t>
        </is>
      </c>
      <c r="K2415">
        <f>HYPERLINK("CSG3.html#group14A3", "14A³"), =HYPERLINK("CSG3.html#group42A3", "42A³")</f>
        <v/>
      </c>
      <c r="L2415">
        <f>HYPERLINK("CSG19.html#group42C19", "42C¹⁹"), =HYPERLINK("CSG19.html#group42H19", "42H¹⁹")</f>
        <v/>
      </c>
      <c r="M2415">
        <f>HYPERLINK("CSG0.html#group2A0", "2A⁰"), =HYPERLINK("CSG0.html#group6A0", "6A⁰"), =HYPERLINK("CSG0.html#group7D0", "7D⁰"), =HYPERLINK("CSG3.html#group14A3", "14A³"), =HYPERLINK("CSG3.html#group42A3", "42A³"), =HYPERLINK("CSG1.html#group14A1", "14A¹"), =HYPERLINK("CSG0.html#group1A0", "1A⁰"), =HYPERLINK("CSG0.html#group7A0", "7A⁰")</f>
        <v/>
      </c>
      <c r="N2415">
        <f>HYPERLINK("CSG19.html#group42C19", "42C¹⁹"), =HYPERLINK("CSG19.html#group42H19", "42H¹⁹")</f>
        <v/>
      </c>
    </row>
    <row r="2416">
      <c r="A2416" t="inlineStr">
        <is>
          <t>42C¹⁰</t>
        </is>
      </c>
      <c r="B2416" t="inlineStr"/>
      <c r="C2416" t="inlineStr">
        <is>
          <t>126</t>
        </is>
      </c>
      <c r="D2416" t="inlineStr">
        <is>
          <t>2</t>
        </is>
      </c>
      <c r="E2416" t="inlineStr">
        <is>
          <t>7</t>
        </is>
      </c>
      <c r="F2416" t="inlineStr">
        <is>
          <t>0</t>
        </is>
      </c>
      <c r="G2416" t="inlineStr">
        <is>
          <t>0</t>
        </is>
      </c>
      <c r="H2416" t="inlineStr">
        <is>
          <t>42³</t>
        </is>
      </c>
      <c r="I2416" t="n">
        <v>3</v>
      </c>
      <c r="J2416" t="inlineStr">
        <is>
          <t>2¹, 6²</t>
        </is>
      </c>
      <c r="K2416">
        <f>HYPERLINK("CSG1.html#group6C1", "6C¹"), =HYPERLINK("CSG3.html#group14B3", "14B³"), =HYPERLINK("CSG3.html#group42A3", "42A³"), =HYPERLINK("CSG3.html#group42C3", "42C³"), =HYPERLINK("CSG4.html#group42A4", "42A⁴")</f>
        <v/>
      </c>
      <c r="L2416">
        <f>HYPERLINK("CSG19.html#group42G19", "42G¹⁹"), =HYPERLINK("CSG19.html#group42K19", "42K¹⁹"), =HYPERLINK("CSG19.html#group42L19", "42L¹⁹"), =HYPERLINK("CSG20.html#group84B20", "84B²⁰"), =HYPERLINK("CSG20.html#group84C20", "84C²⁰"), =HYPERLINK("CSG20.html#group84F20", "84F²⁰"), =HYPERLINK("CSG20.html#group84H20", "84H²⁰")</f>
        <v/>
      </c>
      <c r="M2416">
        <f>HYPERLINK("CSG0.html#group2A0", "2A⁰"), =HYPERLINK("CSG3.html#group14B3", "14B³"), =HYPERLINK("CSG1.html#group14B1", "14B¹"), =HYPERLINK("CSG1.html#group6C1", "6C¹"), =HYPERLINK("CSG1.html#group14A1", "14A¹"), =HYPERLINK("CSG0.html#group21A0", "21A⁰"), =HYPERLINK("CSG0.html#group2B0", "2B⁰"), =HYPERLINK("CSG4.html#group42A4", "42A⁴"), =HYPERLINK("CSG0.html#group1A0", "1A⁰"), =HYPERLINK("CSG0.html#group6A0", "6A⁰"), =HYPERLINK("CSG3.html#group42A3", "42A³"), =HYPERLINK("CSG1.html#group6A1", "6A¹"), =HYPERLINK("CSG0.html#group3A0", "3A⁰"), =HYPERLINK("CSG0.html#group2C0", "2C⁰"), =HYPERLINK("CSG0.html#group6D0", "6D⁰"), =HYPERLINK("CSG0.html#group7A0", "7A⁰"), =HYPERLINK("CSG3.html#group42C3", "42C³")</f>
        <v/>
      </c>
      <c r="N2416">
        <f>HYPERLINK("CSG19.html#group42L19", "42L¹⁹"), =HYPERLINK("CSG20.html#group84H20", "84H²⁰"), =HYPERLINK("CSG20.html#group84C20", "84C²⁰"), =HYPERLINK("CSG19.html#group42G19", "42G¹⁹"), =HYPERLINK("CSG19.html#group42K19", "42K¹⁹"), =HYPERLINK("CSG20.html#group84B20", "84B²⁰"), =HYPERLINK("CSG20.html#group84F20", "84F²⁰")</f>
        <v/>
      </c>
    </row>
    <row r="2417">
      <c r="A2417" t="inlineStr">
        <is>
          <t>42D¹⁰</t>
        </is>
      </c>
      <c r="B2417" t="inlineStr"/>
      <c r="C2417" t="inlineStr">
        <is>
          <t>144</t>
        </is>
      </c>
      <c r="D2417" t="inlineStr">
        <is>
          <t>1</t>
        </is>
      </c>
      <c r="E2417" t="inlineStr">
        <is>
          <t>8</t>
        </is>
      </c>
      <c r="F2417" t="inlineStr">
        <is>
          <t>0</t>
        </is>
      </c>
      <c r="G2417" t="inlineStr">
        <is>
          <t>0</t>
        </is>
      </c>
      <c r="H2417" t="inlineStr">
        <is>
          <t>6³, 42³</t>
        </is>
      </c>
      <c r="I2417" t="n">
        <v>6</v>
      </c>
      <c r="J2417" t="inlineStr">
        <is>
          <t>1², 6¹</t>
        </is>
      </c>
      <c r="K2417">
        <f>HYPERLINK("CSG2.html#group14D2", "14D²"), =HYPERLINK("CSG2.html#group42C2", "42C²"), =HYPERLINK("CSG4.html#group21A4", "21A⁴"), =HYPERLINK("CSG4.html#group42B4", "42B⁴")</f>
        <v/>
      </c>
      <c r="L2417">
        <f>HYPERLINK("CSG19.html#group42O19", "42O¹⁹"), =HYPERLINK("CSG22.html#group84B22", "84B²²"), =HYPERLINK("CSG22.html#group84E22", "84E²²")</f>
        <v/>
      </c>
      <c r="M2417">
        <f>HYPERLINK("CSG0.html#group2A0", "2A⁰"), =HYPERLINK("CSG2.html#group21A2", "21A²"), =HYPERLINK("CSG4.html#group42B4", "42B⁴"), =HYPERLINK("CSG0.html#group7B0", "7B⁰"), =HYPERLINK("CSG2.html#group14D2", "14D²"), =HYPERLINK("CSG2.html#group42C2", "42C²"), =HYPERLINK("CSG0.html#group14B0", "14B⁰"), =HYPERLINK("CSG4.html#group21A4", "21A⁴"), =HYPERLINK("CSG1.html#group6A1", "6A¹"), =HYPERLINK("CSG0.html#group7E0", "7E⁰"), =HYPERLINK("CSG0.html#group3A0", "3A⁰"), =HYPERLINK("CSG0.html#group1A0", "1A⁰"), =HYPERLINK("CSG1.html#group21A1", "21A¹")</f>
        <v/>
      </c>
      <c r="N2417">
        <f>HYPERLINK("CSG22.html#group84B22", "84B²²"), =HYPERLINK("CSG19.html#group42O19", "42O¹⁹"), =HYPERLINK("CSG22.html#group84E22", "84E²²")</f>
        <v/>
      </c>
    </row>
    <row r="2418">
      <c r="A2418" t="inlineStr">
        <is>
          <t>42E¹⁰</t>
        </is>
      </c>
      <c r="B2418" t="inlineStr"/>
      <c r="C2418" t="inlineStr">
        <is>
          <t>144</t>
        </is>
      </c>
      <c r="D2418" t="inlineStr">
        <is>
          <t>1</t>
        </is>
      </c>
      <c r="E2418" t="inlineStr">
        <is>
          <t>8</t>
        </is>
      </c>
      <c r="F2418" t="inlineStr">
        <is>
          <t>0</t>
        </is>
      </c>
      <c r="G2418" t="inlineStr">
        <is>
          <t>0</t>
        </is>
      </c>
      <c r="H2418" t="inlineStr">
        <is>
          <t>6³, 42³</t>
        </is>
      </c>
      <c r="I2418" t="n">
        <v>6</v>
      </c>
      <c r="J2418" t="inlineStr">
        <is>
          <t>1², 6¹</t>
        </is>
      </c>
      <c r="K2418">
        <f>HYPERLINK("CSG1.html#group6C1", "6C¹"), =HYPERLINK("CSG2.html#group14E2", "14E²"), =HYPERLINK("CSG2.html#group42B2", "42B²"), =HYPERLINK("CSG4.html#group42B4", "42B⁴"), =HYPERLINK("CSG5.html#group42A5", "42A⁵")</f>
        <v/>
      </c>
      <c r="L2418">
        <f>HYPERLINK("CSG19.html#group42P19", "42P¹⁹"), =HYPERLINK("CSG20.html#group84I20", "84I²⁰"), =HYPERLINK("CSG20.html#group84K20", "84K²⁰"), =HYPERLINK("CSG21.html#group84A21", "84A²¹"), =HYPERLINK("CSG21.html#group84F21", "84F²¹"), =HYPERLINK("CSG22.html#group84A22", "84A²²"), =HYPERLINK("CSG22.html#group84F22", "84F²²")</f>
        <v/>
      </c>
      <c r="M2418">
        <f>HYPERLINK("CSG0.html#group2A0", "2A⁰"), =HYPERLINK("CSG1.html#group6C1", "6C¹"), =HYPERLINK("CSG0.html#group2B0", "2B⁰"), =HYPERLINK("CSG2.html#group14E2", "14E²"), =HYPERLINK("CSG0.html#group1A0", "1A⁰"), =HYPERLINK("CSG2.html#group42B2", "42B²"), =HYPERLINK("CSG0.html#group6A0", "6A⁰"), =HYPERLINK("CSG4.html#group42B4", "42B⁴"), =HYPERLINK("CSG2.html#group21A2", "21A²"), =HYPERLINK("CSG5.html#group42A5", "42A⁵"), =HYPERLINK("CSG0.html#group7B0", "7B⁰"), =HYPERLINK("CSG0.html#group14B0", "14B⁰"), =HYPERLINK("CSG1.html#group14C1", "14C¹"), =HYPERLINK("CSG1.html#group6A1", "6A¹"), =HYPERLINK("CSG0.html#group3A0", "3A⁰"), =HYPERLINK("CSG0.html#group2C0", "2C⁰"), =HYPERLINK("CSG0.html#group6D0", "6D⁰")</f>
        <v/>
      </c>
      <c r="N2418">
        <f>HYPERLINK("CSG20.html#group84I20", "84I²⁰"), =HYPERLINK("CSG19.html#group42P19", "42P¹⁹"), =HYPERLINK("CSG21.html#group84F21", "84F²¹"), =HYPERLINK("CSG21.html#group84A21", "84A²¹"), =HYPERLINK("CSG22.html#group84A22", "84A²²"), =HYPERLINK("CSG22.html#group84F22", "84F²²"), =HYPERLINK("CSG20.html#group84K20", "84K²⁰")</f>
        <v/>
      </c>
    </row>
    <row r="2419">
      <c r="A2419" t="inlineStr">
        <is>
          <t>42F¹⁰</t>
        </is>
      </c>
      <c r="B2419" t="inlineStr"/>
      <c r="C2419" t="inlineStr">
        <is>
          <t>144</t>
        </is>
      </c>
      <c r="D2419" t="inlineStr">
        <is>
          <t>1</t>
        </is>
      </c>
      <c r="E2419" t="inlineStr">
        <is>
          <t>16</t>
        </is>
      </c>
      <c r="F2419" t="inlineStr">
        <is>
          <t>0</t>
        </is>
      </c>
      <c r="G2419" t="inlineStr">
        <is>
          <t>0</t>
        </is>
      </c>
      <c r="H2419" t="inlineStr">
        <is>
          <t>6³, 42³</t>
        </is>
      </c>
      <c r="I2419" t="n">
        <v>6</v>
      </c>
      <c r="J2419" t="inlineStr">
        <is>
          <t>2², 12¹</t>
        </is>
      </c>
      <c r="K2419">
        <f>HYPERLINK("CSG2.html#group14D2", "14D²"), =HYPERLINK("CSG2.html#group42B2", "42B²"), =HYPERLINK("CSG3.html#group42B3", "42B³")</f>
        <v/>
      </c>
      <c r="L2419">
        <f>HYPERLINK("CSG22.html#group84C22", "84C²²")</f>
        <v/>
      </c>
      <c r="M2419">
        <f>HYPERLINK("CSG2.html#group42B2", "42B²"), =HYPERLINK("CSG0.html#group2A0", "2A⁰"), =HYPERLINK("CSG0.html#group6A0", "6A⁰"), =HYPERLINK("CSG0.html#group7B0", "7B⁰"), =HYPERLINK("CSG2.html#group14D2", "14D²"), =HYPERLINK("CSG0.html#group14B0", "14B⁰"), =HYPERLINK("CSG0.html#group7E0", "7E⁰"), =HYPERLINK("CSG0.html#group1A0", "1A⁰"), =HYPERLINK("CSG3.html#group42B3", "42B³")</f>
        <v/>
      </c>
      <c r="N2419">
        <f>HYPERLINK("CSG22.html#group84C22", "84C²²")</f>
        <v/>
      </c>
    </row>
    <row r="2420">
      <c r="A2420" t="inlineStr">
        <is>
          <t>42G¹⁰</t>
        </is>
      </c>
      <c r="B2420" t="inlineStr"/>
      <c r="C2420" t="inlineStr">
        <is>
          <t>144</t>
        </is>
      </c>
      <c r="D2420" t="inlineStr">
        <is>
          <t>1</t>
        </is>
      </c>
      <c r="E2420" t="inlineStr">
        <is>
          <t>16</t>
        </is>
      </c>
      <c r="F2420" t="inlineStr">
        <is>
          <t>0</t>
        </is>
      </c>
      <c r="G2420" t="inlineStr">
        <is>
          <t>0</t>
        </is>
      </c>
      <c r="H2420" t="inlineStr">
        <is>
          <t>6³, 42³</t>
        </is>
      </c>
      <c r="I2420" t="n">
        <v>6</v>
      </c>
      <c r="J2420" t="inlineStr">
        <is>
          <t>1⁴, 6²</t>
        </is>
      </c>
      <c r="K2420">
        <f>HYPERLINK("CSG0.html#group14C0", "14C⁰"), =HYPERLINK("CSG3.html#group42B3", "42B³"), =HYPERLINK("CSG4.html#group42B4", "42B⁴")</f>
        <v/>
      </c>
      <c r="L2420">
        <f>HYPERLINK("CSG19.html#group42Q19", "42Q¹⁹"), =HYPERLINK("CSG22.html#group84D22", "84D²²"), =HYPERLINK("CSG22.html#group84H22", "84H²²")</f>
        <v/>
      </c>
      <c r="M2420">
        <f>HYPERLINK("CSG0.html#group2A0", "2A⁰"), =HYPERLINK("CSG0.html#group3A0", "3A⁰"), =HYPERLINK("CSG2.html#group21A2", "21A²"), =HYPERLINK("CSG4.html#group42B4", "42B⁴"), =HYPERLINK("CSG0.html#group7B0", "7B⁰"), =HYPERLINK("CSG0.html#group14B0", "14B⁰"), =HYPERLINK("CSG1.html#group6A1", "6A¹"), =HYPERLINK("CSG0.html#group14C0", "14C⁰"), =HYPERLINK("CSG0.html#group1A0", "1A⁰"), =HYPERLINK("CSG3.html#group42B3", "42B³")</f>
        <v/>
      </c>
      <c r="N2420">
        <f>HYPERLINK("CSG22.html#group84D22", "84D²²"), =HYPERLINK("CSG19.html#group42Q19", "42Q¹⁹"), =HYPERLINK("CSG22.html#group84H22", "84H²²")</f>
        <v/>
      </c>
    </row>
    <row r="2421">
      <c r="A2421" t="inlineStr">
        <is>
          <t>42H¹⁰</t>
        </is>
      </c>
      <c r="B2421" t="inlineStr"/>
      <c r="C2421" t="inlineStr">
        <is>
          <t>144</t>
        </is>
      </c>
      <c r="D2421" t="inlineStr">
        <is>
          <t>1</t>
        </is>
      </c>
      <c r="E2421" t="inlineStr">
        <is>
          <t>24</t>
        </is>
      </c>
      <c r="F2421" t="inlineStr">
        <is>
          <t>0</t>
        </is>
      </c>
      <c r="G2421" t="inlineStr">
        <is>
          <t>0</t>
        </is>
      </c>
      <c r="H2421" t="inlineStr">
        <is>
          <t>6³, 42³</t>
        </is>
      </c>
      <c r="I2421" t="n">
        <v>6</v>
      </c>
      <c r="J2421" t="inlineStr">
        <is>
          <t>1², 2², 6¹, 12¹</t>
        </is>
      </c>
      <c r="K2421">
        <f>HYPERLINK("CSG4.html#group21A4", "21A⁴"), =HYPERLINK("CSG4.html#group42C4", "42C⁴")</f>
        <v/>
      </c>
      <c r="L2421">
        <f>HYPERLINK("CSG19.html#group42N19", "42N¹⁹"), =HYPERLINK("CSG19.html#group42O19", "42O¹⁹")</f>
        <v/>
      </c>
      <c r="M2421">
        <f>HYPERLINK("CSG0.html#group6B0", "6B⁰"), =HYPERLINK("CSG2.html#group21A2", "21A²"), =HYPERLINK("CSG0.html#group7B0", "7B⁰"), =HYPERLINK("CSG4.html#group21A4", "21A⁴"), =HYPERLINK("CSG0.html#group7E0", "7E⁰"), =HYPERLINK("CSG4.html#group42C4", "42C⁴"), =HYPERLINK("CSG0.html#group3A0", "3A⁰"), =HYPERLINK("CSG0.html#group1A0", "1A⁰"), =HYPERLINK("CSG1.html#group21A1", "21A¹")</f>
        <v/>
      </c>
      <c r="N2421">
        <f>HYPERLINK("CSG19.html#group42O19", "42O¹⁹"), =HYPERLINK("CSG19.html#group42N19", "42N¹⁹")</f>
        <v/>
      </c>
    </row>
    <row r="2422">
      <c r="A2422" t="inlineStr">
        <is>
          <t>42I¹⁰</t>
        </is>
      </c>
      <c r="B2422" t="inlineStr"/>
      <c r="C2422" t="inlineStr">
        <is>
          <t>144</t>
        </is>
      </c>
      <c r="D2422" t="inlineStr">
        <is>
          <t>1</t>
        </is>
      </c>
      <c r="E2422" t="inlineStr">
        <is>
          <t>72</t>
        </is>
      </c>
      <c r="F2422" t="inlineStr">
        <is>
          <t>0</t>
        </is>
      </c>
      <c r="G2422" t="inlineStr">
        <is>
          <t>0</t>
        </is>
      </c>
      <c r="H2422" t="inlineStr">
        <is>
          <t>6³, 42³</t>
        </is>
      </c>
      <c r="I2422" t="n">
        <v>6</v>
      </c>
      <c r="J2422" t="inlineStr">
        <is>
          <t>1⁶, 2⁶, 6³, 12³</t>
        </is>
      </c>
      <c r="K2422">
        <f>HYPERLINK("CSG0.html#group6H0", "6H⁰"), =HYPERLINK("CSG4.html#group42C4", "42C⁴"), =HYPERLINK("CSG5.html#group42A5", "42A⁵")</f>
        <v/>
      </c>
      <c r="L2422">
        <f>HYPERLINK("CSG19.html#group42P19", "42P¹⁹"), =HYPERLINK("CSG19.html#group42R19", "42R¹⁹"), =HYPERLINK("CSG21.html#group84C21", "84C²¹"), =HYPERLINK("CSG21.html#group84E21", "84E²¹"), =HYPERLINK("CSG21.html#group84H21", "84H²¹")</f>
        <v/>
      </c>
      <c r="M2422">
        <f>HYPERLINK("CSG0.html#group6B0", "6B⁰"), =HYPERLINK("CSG2.html#group21A2", "21A²"), =HYPERLINK("CSG5.html#group42A5", "42A⁵"), =HYPERLINK("CSG0.html#group7B0", "7B⁰"), =HYPERLINK("CSG0.html#group6H0", "6H⁰"), =HYPERLINK("CSG1.html#group14C1", "14C¹"), =HYPERLINK("CSG0.html#group2B0", "2B⁰"), =HYPERLINK("CSG4.html#group42C4", "42C⁴"), =HYPERLINK("CSG0.html#group3A0", "3A⁰"), =HYPERLINK("CSG0.html#group1A0", "1A⁰"), =HYPERLINK("CSG0.html#group6D0", "6D⁰")</f>
        <v/>
      </c>
      <c r="N2422">
        <f>HYPERLINK("CSG21.html#group84C21", "84C²¹"), =HYPERLINK("CSG19.html#group42P19", "42P¹⁹"), =HYPERLINK("CSG19.html#group42R19", "42R¹⁹"), =HYPERLINK("CSG21.html#group84E21", "84E²¹"), =HYPERLINK("CSG21.html#group84H21", "84H²¹")</f>
        <v/>
      </c>
    </row>
    <row r="2423">
      <c r="A2423" t="inlineStr">
        <is>
          <t>42J¹⁰</t>
        </is>
      </c>
      <c r="B2423" t="inlineStr"/>
      <c r="C2423" t="inlineStr">
        <is>
          <t>144</t>
        </is>
      </c>
      <c r="D2423" t="inlineStr">
        <is>
          <t>2</t>
        </is>
      </c>
      <c r="E2423" t="inlineStr">
        <is>
          <t>8</t>
        </is>
      </c>
      <c r="F2423" t="inlineStr">
        <is>
          <t>0</t>
        </is>
      </c>
      <c r="G2423" t="inlineStr">
        <is>
          <t>0</t>
        </is>
      </c>
      <c r="H2423" t="inlineStr">
        <is>
          <t>6³, 42³</t>
        </is>
      </c>
      <c r="I2423" t="n">
        <v>6</v>
      </c>
      <c r="J2423" t="inlineStr">
        <is>
          <t>2², 12¹</t>
        </is>
      </c>
      <c r="K2423">
        <f>HYPERLINK("CSG2.html#group14E2", "14E²"), =HYPERLINK("CSG2.html#group42C2", "42C²"), =HYPERLINK("CSG3.html#group42B3", "42B³"), =HYPERLINK("CSG5.html#group42B5", "42B⁵")</f>
        <v/>
      </c>
      <c r="L2423">
        <f>HYPERLINK("CSG20.html#group84M20", "84M²⁰"), =HYPERLINK("CSG21.html#group84G21", "84G²¹"), =HYPERLINK("CSG22.html#group84K22", "84K²²")</f>
        <v/>
      </c>
      <c r="M2423">
        <f>HYPERLINK("CSG0.html#group2A0", "2A⁰"), =HYPERLINK("CSG5.html#group42B5", "42B⁵"), =HYPERLINK("CSG0.html#group7B0", "7B⁰"), =HYPERLINK("CSG0.html#group14B0", "14B⁰"), =HYPERLINK("CSG2.html#group42C2", "42C²"), =HYPERLINK("CSG1.html#group14C1", "14C¹"), =HYPERLINK("CSG0.html#group2B0", "2B⁰"), =HYPERLINK("CSG2.html#group14E2", "14E²"), =HYPERLINK("CSG0.html#group1A0", "1A⁰"), =HYPERLINK("CSG0.html#group2C0", "2C⁰"), =HYPERLINK("CSG3.html#group42B3", "42B³"), =HYPERLINK("CSG1.html#group21A1", "21A¹")</f>
        <v/>
      </c>
      <c r="N2423">
        <f>HYPERLINK("CSG20.html#group84M20", "84M²⁰"), =HYPERLINK("CSG22.html#group84K22", "84K²²"), =HYPERLINK("CSG21.html#group84G21", "84G²¹")</f>
        <v/>
      </c>
    </row>
    <row r="2424">
      <c r="A2424" t="inlineStr">
        <is>
          <t>42K¹⁰</t>
        </is>
      </c>
      <c r="B2424" t="inlineStr"/>
      <c r="C2424" t="inlineStr">
        <is>
          <t>189</t>
        </is>
      </c>
      <c r="D2424" t="inlineStr">
        <is>
          <t>1</t>
        </is>
      </c>
      <c r="E2424" t="inlineStr">
        <is>
          <t>63</t>
        </is>
      </c>
      <c r="F2424" t="inlineStr">
        <is>
          <t>15</t>
        </is>
      </c>
      <c r="G2424" t="inlineStr">
        <is>
          <t>0</t>
        </is>
      </c>
      <c r="H2424" t="inlineStr">
        <is>
          <t>21³, 42³</t>
        </is>
      </c>
      <c r="I2424" t="n">
        <v>6</v>
      </c>
      <c r="J2424" t="inlineStr">
        <is>
          <t>3³, 6⁹</t>
        </is>
      </c>
      <c r="K2424">
        <f>HYPERLINK("CSG1.html#group21E1", "21E¹"), =HYPERLINK("CSG2.html#group14F2", "14F²"), =HYPERLINK("CSG3.html#group42C3", "42C³")</f>
        <v/>
      </c>
      <c r="L2424">
        <f>HYPERLINK("CSG22.html#group42A22", "42A²²"), =HYPERLINK("CSG22.html#group42B22", "42B²²"), =HYPERLINK("CSG22.html#group42C22", "42C²²"), =HYPERLINK("CSG22.html#group84M22", "84M²²"), =HYPERLINK("CSG22.html#group84N22", "84N²²"), =HYPERLINK("CSG23.html#group42K23", "42K²³"), =HYPERLINK("CSG23.html#group42L23", "42L²³"), =HYPERLINK("CSG23.html#group84F23", "84F²³"), =HYPERLINK("CSG24.html#group42C24", "42C²⁴"), =HYPERLINK("CSG24.html#group42D24", "42D²⁴"), =HYPERLINK("CSG24.html#group84E24", "84E²⁴")</f>
        <v/>
      </c>
      <c r="M2424">
        <f>HYPERLINK("CSG0.html#group7D0", "7D⁰"), =HYPERLINK("CSG1.html#group14B1", "14B¹"), =HYPERLINK("CSG1.html#group21E1", "21E¹"), =HYPERLINK("CSG0.html#group21A0", "21A⁰"), =HYPERLINK("CSG2.html#group14F2", "14F²"), =HYPERLINK("CSG0.html#group2B0", "2B⁰"), =HYPERLINK("CSG0.html#group3A0", "3A⁰"), =HYPERLINK("CSG0.html#group1A0", "1A⁰"), =HYPERLINK("CSG3.html#group42C3", "42C³"), =HYPERLINK("CSG0.html#group6D0", "6D⁰"), =HYPERLINK("CSG0.html#group7A0", "7A⁰")</f>
        <v/>
      </c>
      <c r="N2424">
        <f>HYPERLINK("CSG22.html#group84M22", "84M²²"), =HYPERLINK("CSG22.html#group42A22", "42A²²"), =HYPERLINK("CSG22.html#group42C22", "42C²²"), =HYPERLINK("CSG23.html#group42K23", "42K²³"), =HYPERLINK("CSG24.html#group84E24", "84E²⁴"), =HYPERLINK("CSG23.html#group84F23", "84F²³"), =HYPERLINK("CSG24.html#group42D24", "42D²⁴"), =HYPERLINK("CSG22.html#group84N22", "84N²²"), =HYPERLINK("CSG23.html#group42L23", "42L²³"), =HYPERLINK("CSG24.html#group42C24", "42C²⁴"), =HYPERLINK("CSG22.html#group42B22", "42B²²")</f>
        <v/>
      </c>
    </row>
    <row r="2425">
      <c r="A2425" t="inlineStr">
        <is>
          <t>44A¹⁰</t>
        </is>
      </c>
      <c r="B2425" t="inlineStr"/>
      <c r="C2425" t="inlineStr">
        <is>
          <t>132</t>
        </is>
      </c>
      <c r="D2425" t="inlineStr">
        <is>
          <t>2</t>
        </is>
      </c>
      <c r="E2425" t="inlineStr">
        <is>
          <t>33</t>
        </is>
      </c>
      <c r="F2425" t="inlineStr">
        <is>
          <t>0</t>
        </is>
      </c>
      <c r="G2425" t="inlineStr">
        <is>
          <t>0</t>
        </is>
      </c>
      <c r="H2425" t="inlineStr">
        <is>
          <t>22², 44²</t>
        </is>
      </c>
      <c r="I2425" t="n">
        <v>4</v>
      </c>
      <c r="J2425" t="inlineStr">
        <is>
          <t>2³, 10⁶</t>
        </is>
      </c>
      <c r="K2425">
        <f>HYPERLINK("CSG0.html#group4E0", "4E⁰"), =HYPERLINK("CSG4.html#group44C4", "44C⁴"), =HYPERLINK("CSG5.html#group22A5", "22A⁵"), =HYPERLINK("CSG5.html#group44A5", "44A⁵")</f>
        <v/>
      </c>
      <c r="L2425">
        <f>HYPERLINK("CSG20.html#group44A20", "44A²⁰"), =HYPERLINK("CSG20.html#group88A20", "88A²⁰"), =HYPERLINK("CSG20.html#group88C20", "88C²⁰"), =HYPERLINK("CSG21.html#group88A21", "88A²¹")</f>
        <v/>
      </c>
      <c r="M2425">
        <f>HYPERLINK("CSG0.html#group11A0", "11A⁰"), =HYPERLINK("CSG0.html#group2A0", "2A⁰"), =HYPERLINK("CSG1.html#group22A1", "22A¹"), =HYPERLINK("CSG0.html#group4B0", "4B⁰"), =HYPERLINK("CSG4.html#group44C4", "44C⁴"), =HYPERLINK("CSG5.html#group22A5", "22A⁵"), =HYPERLINK("CSG0.html#group4C0", "4C⁰"), =HYPERLINK("CSG0.html#group2B0", "2B⁰"), =HYPERLINK("CSG0.html#group4E0", "4E⁰"), =HYPERLINK("CSG2.html#group22B2", "22B²"), =HYPERLINK("CSG5.html#group44A5", "44A⁵"), =HYPERLINK("CSG0.html#group1A0", "1A⁰"), =HYPERLINK("CSG0.html#group2C0", "2C⁰")</f>
        <v/>
      </c>
      <c r="N2425">
        <f>HYPERLINK("CSG20.html#group88A20", "88A²⁰"), =HYPERLINK("CSG20.html#group88C20", "88C²⁰"), =HYPERLINK("CSG21.html#group88A21", "88A²¹"), =HYPERLINK("CSG20.html#group44A20", "44A²⁰")</f>
        <v/>
      </c>
    </row>
    <row r="2426">
      <c r="A2426" t="inlineStr">
        <is>
          <t>44B¹⁰</t>
        </is>
      </c>
      <c r="B2426" t="inlineStr"/>
      <c r="C2426" t="inlineStr">
        <is>
          <t>144</t>
        </is>
      </c>
      <c r="D2426" t="inlineStr">
        <is>
          <t>1</t>
        </is>
      </c>
      <c r="E2426" t="inlineStr">
        <is>
          <t>12</t>
        </is>
      </c>
      <c r="F2426" t="inlineStr">
        <is>
          <t>0</t>
        </is>
      </c>
      <c r="G2426" t="inlineStr">
        <is>
          <t>0</t>
        </is>
      </c>
      <c r="H2426" t="inlineStr">
        <is>
          <t>4³, 44³</t>
        </is>
      </c>
      <c r="I2426" t="n">
        <v>6</v>
      </c>
      <c r="J2426" t="inlineStr">
        <is>
          <t>1², 10¹</t>
        </is>
      </c>
      <c r="K2426">
        <f>HYPERLINK("CSG4.html#group22A4", "22A⁴"), =HYPERLINK("CSG4.html#group44A4", "44A⁴")</f>
        <v/>
      </c>
      <c r="L2426">
        <f>HYPERLINK("CSG19.html#group44B19", "44B¹⁹")</f>
        <v/>
      </c>
      <c r="M2426">
        <f>HYPERLINK("CSG0.html#group2A0", "2A⁰"), =HYPERLINK("CSG4.html#group44A4", "44A⁴"), =HYPERLINK("CSG1.html#group11A1", "11A¹"), =HYPERLINK("CSG2.html#group22A2", "22A²"), =HYPERLINK("CSG0.html#group2C0", "2C⁰"), =HYPERLINK("CSG0.html#group2B0", "2B⁰"), =HYPERLINK("CSG2.html#group22C2", "22C²"), =HYPERLINK("CSG0.html#group1A0", "1A⁰"), =HYPERLINK("CSG4.html#group22A4", "22A⁴")</f>
        <v/>
      </c>
      <c r="N2426">
        <f>HYPERLINK("CSG19.html#group44B19", "44B¹⁹")</f>
        <v/>
      </c>
    </row>
    <row r="2427">
      <c r="A2427" t="inlineStr">
        <is>
          <t>44C¹⁰</t>
        </is>
      </c>
      <c r="B2427" t="inlineStr"/>
      <c r="C2427" t="inlineStr">
        <is>
          <t>144</t>
        </is>
      </c>
      <c r="D2427" t="inlineStr">
        <is>
          <t>1</t>
        </is>
      </c>
      <c r="E2427" t="inlineStr">
        <is>
          <t>72</t>
        </is>
      </c>
      <c r="F2427" t="inlineStr">
        <is>
          <t>0</t>
        </is>
      </c>
      <c r="G2427" t="inlineStr">
        <is>
          <t>0</t>
        </is>
      </c>
      <c r="H2427" t="inlineStr">
        <is>
          <t>4³, 44³</t>
        </is>
      </c>
      <c r="I2427" t="n">
        <v>6</v>
      </c>
      <c r="J2427" t="inlineStr">
        <is>
          <t>1⁴, 2⁴, 10², 20²</t>
        </is>
      </c>
      <c r="K2427">
        <f>HYPERLINK("CSG0.html#group4F0", "4F⁰"), =HYPERLINK("CSG4.html#group44B4", "44B⁴"), =HYPERLINK("CSG5.html#group44B5", "44B⁵")</f>
        <v/>
      </c>
      <c r="L2427">
        <f>HYPERLINK("CSG19.html#group44A19", "44A¹⁹"), =HYPERLINK("CSG20.html#group88E20", "88E²⁰"), =HYPERLINK("CSG21.html#group88E21", "88E²¹"), =HYPERLINK("CSG21.html#group88F21", "88F²¹"), =HYPERLINK("CSG22.html#group88A22", "88A²²")</f>
        <v/>
      </c>
      <c r="M2427">
        <f>HYPERLINK("CSG1.html#group11A1", "11A¹"), =HYPERLINK("CSG0.html#group4A0", "4A⁰"), =HYPERLINK("CSG4.html#group44B4", "44B⁴"), =HYPERLINK("CSG0.html#group4C0", "4C⁰"), =HYPERLINK("CSG5.html#group44B5", "44B⁵"), =HYPERLINK("CSG0.html#group2B0", "2B⁰"), =HYPERLINK("CSG0.html#group4F0", "4F⁰"), =HYPERLINK("CSG2.html#group22C2", "22C²"), =HYPERLINK("CSG0.html#group1A0", "1A⁰")</f>
        <v/>
      </c>
      <c r="N2427">
        <f>HYPERLINK("CSG20.html#group88E20", "88E²⁰"), =HYPERLINK("CSG21.html#group88F21", "88F²¹"), =HYPERLINK("CSG19.html#group44A19", "44A¹⁹"), =HYPERLINK("CSG21.html#group88E21", "88E²¹"), =HYPERLINK("CSG22.html#group88A22", "88A²²")</f>
        <v/>
      </c>
    </row>
    <row r="2428">
      <c r="A2428" t="inlineStr">
        <is>
          <t>45A¹⁰</t>
        </is>
      </c>
      <c r="B2428" t="inlineStr"/>
      <c r="C2428" t="inlineStr">
        <is>
          <t>162</t>
        </is>
      </c>
      <c r="D2428" t="inlineStr">
        <is>
          <t>1</t>
        </is>
      </c>
      <c r="E2428" t="inlineStr">
        <is>
          <t>162</t>
        </is>
      </c>
      <c r="F2428" t="inlineStr">
        <is>
          <t>6</t>
        </is>
      </c>
      <c r="G2428" t="inlineStr">
        <is>
          <t>0</t>
        </is>
      </c>
      <c r="H2428" t="inlineStr">
        <is>
          <t>9³, 45³</t>
        </is>
      </c>
      <c r="I2428" t="n">
        <v>6</v>
      </c>
      <c r="J2428" t="inlineStr">
        <is>
          <t>3², 6⁸, 12¹, 24⁴</t>
        </is>
      </c>
      <c r="K2428">
        <f>HYPERLINK("CSG0.html#group5B0", "5B⁰"), =HYPERLINK("CSG0.html#group9F0", "9F⁰")</f>
        <v/>
      </c>
      <c r="L2428">
        <f>HYPERLINK("CSG22.html#group45A22", "45A²²"), =HYPERLINK("CSG22.html#group90F22", "90F²²")</f>
        <v/>
      </c>
      <c r="M2428">
        <f>HYPERLINK("CSG0.html#group5B0", "5B⁰"), =HYPERLINK("CSG0.html#group9F0", "9F⁰"), =HYPERLINK("CSG0.html#group1A0", "1A⁰")</f>
        <v/>
      </c>
      <c r="N2428">
        <f>HYPERLINK("CSG22.html#group45A22", "45A²²"), =HYPERLINK("CSG22.html#group90F22", "90F²²")</f>
        <v/>
      </c>
    </row>
    <row r="2429">
      <c r="A2429" t="inlineStr">
        <is>
          <t>45B¹⁰</t>
        </is>
      </c>
      <c r="B2429" t="inlineStr"/>
      <c r="C2429" t="inlineStr">
        <is>
          <t>180</t>
        </is>
      </c>
      <c r="D2429" t="inlineStr">
        <is>
          <t>1</t>
        </is>
      </c>
      <c r="E2429" t="inlineStr">
        <is>
          <t>20</t>
        </is>
      </c>
      <c r="F2429" t="inlineStr">
        <is>
          <t>0</t>
        </is>
      </c>
      <c r="G2429" t="inlineStr">
        <is>
          <t>0</t>
        </is>
      </c>
      <c r="H2429" t="inlineStr">
        <is>
          <t>5⁹, 45³</t>
        </is>
      </c>
      <c r="I2429" t="n">
        <v>12</v>
      </c>
      <c r="J2429" t="inlineStr">
        <is>
          <t>1², 2¹, 4², 8¹</t>
        </is>
      </c>
      <c r="K2429">
        <f>HYPERLINK("CSG3.html#group15A3", "15A³"), =HYPERLINK("CSG3.html#group45C3", "45C³"), =HYPERLINK("CSG4.html#group45A4", "45A⁴")</f>
        <v/>
      </c>
      <c r="L2429">
        <f>HYPERLINK("CSG19.html#group45H19", "45H¹⁹")</f>
        <v/>
      </c>
      <c r="M2429">
        <f>HYPERLINK("CSG0.html#group3B0", "3B⁰"), =HYPERLINK("CSG3.html#group15A3", "15A³"), =HYPERLINK("CSG3.html#group45C3", "45C³"), =HYPERLINK("CSG0.html#group5A0", "5A⁰"), =HYPERLINK("CSG0.html#group9B0", "9B⁰"), =HYPERLINK("CSG1.html#group15B1", "15B¹"), =HYPERLINK("CSG0.html#group5E0", "5E⁰"), =HYPERLINK("CSG4.html#group45A4", "45A⁴"), =HYPERLINK("CSG0.html#group1A0", "1A⁰")</f>
        <v/>
      </c>
      <c r="N2429">
        <f>HYPERLINK("CSG19.html#group45H19", "45H¹⁹")</f>
        <v/>
      </c>
    </row>
    <row r="2430">
      <c r="A2430" t="inlineStr">
        <is>
          <t>45C¹⁰</t>
        </is>
      </c>
      <c r="B2430" t="inlineStr"/>
      <c r="C2430" t="inlineStr">
        <is>
          <t>180</t>
        </is>
      </c>
      <c r="D2430" t="inlineStr">
        <is>
          <t>2</t>
        </is>
      </c>
      <c r="E2430" t="inlineStr">
        <is>
          <t>20</t>
        </is>
      </c>
      <c r="F2430" t="inlineStr">
        <is>
          <t>0</t>
        </is>
      </c>
      <c r="G2430" t="inlineStr">
        <is>
          <t>9</t>
        </is>
      </c>
      <c r="H2430" t="inlineStr">
        <is>
          <t>15³, 45³</t>
        </is>
      </c>
      <c r="I2430" t="n">
        <v>6</v>
      </c>
      <c r="J2430" t="inlineStr">
        <is>
          <t>2², 4¹, 8⁴</t>
        </is>
      </c>
      <c r="K2430">
        <f>HYPERLINK("CSG3.html#group15D3", "15D³"), =HYPERLINK("CSG3.html#group45B3", "45B³"), =HYPERLINK("CSG3.html#group45C3", "45C³"), =HYPERLINK("CSG4.html#group45B4", "45B⁴")</f>
        <v/>
      </c>
      <c r="L2430">
        <f>HYPERLINK("CSG22.html#group90K22", "90K²²")</f>
        <v/>
      </c>
      <c r="M2430">
        <f>HYPERLINK("CSG0.html#group3B0", "3B⁰"), =HYPERLINK("CSG3.html#group45C3", "45C³"), =HYPERLINK("CSG3.html#group45B3", "45B³"), =HYPERLINK("CSG0.html#group5A0", "5A⁰"), =HYPERLINK("CSG3.html#group15D3", "15D³"), =HYPERLINK("CSG4.html#group45B4", "45B⁴"), =HYPERLINK("CSG1.html#group15B1", "15B¹"), =HYPERLINK("CSG0.html#group9C0", "9C⁰"), =HYPERLINK("CSG0.html#group1A0", "1A⁰"), =HYPERLINK("CSG0.html#group15A0", "15A⁰")</f>
        <v/>
      </c>
      <c r="N2430">
        <f>HYPERLINK("CSG22.html#group90K22", "90K²²")</f>
        <v/>
      </c>
    </row>
    <row r="2431">
      <c r="A2431" t="inlineStr">
        <is>
          <t>45D¹⁰</t>
        </is>
      </c>
      <c r="B2431" t="inlineStr"/>
      <c r="C2431" t="inlineStr">
        <is>
          <t>180</t>
        </is>
      </c>
      <c r="D2431" t="inlineStr">
        <is>
          <t>2</t>
        </is>
      </c>
      <c r="E2431" t="inlineStr">
        <is>
          <t>90</t>
        </is>
      </c>
      <c r="F2431" t="inlineStr">
        <is>
          <t>16</t>
        </is>
      </c>
      <c r="G2431" t="inlineStr">
        <is>
          <t>0</t>
        </is>
      </c>
      <c r="H2431" t="inlineStr">
        <is>
          <t>45⁴</t>
        </is>
      </c>
      <c r="I2431" t="n">
        <v>4</v>
      </c>
      <c r="J2431" t="inlineStr">
        <is>
          <t>4³, 8⁶, 12², 24⁴</t>
        </is>
      </c>
      <c r="K2431">
        <f>HYPERLINK("CSG2.html#group15D2", "15D²"), =HYPERLINK("CSG5.html#group45E5", "45E⁵")</f>
        <v/>
      </c>
      <c r="L2431">
        <f>HYPERLINK("CSG21.html#group45B21", "45B²¹"), =HYPERLINK("CSG21.html#group90M21", "90M²¹"), =HYPERLINK("CSG23.html#group90F23", "90F²³")</f>
        <v/>
      </c>
      <c r="M2431">
        <f>HYPERLINK("CSG1.html#group15D1", "15D¹"), =HYPERLINK("CSG5.html#group45E5", "45E⁵"), =HYPERLINK("CSG0.html#group9A0", "9A⁰"), =HYPERLINK("CSG0.html#group5C0", "5C⁰"), =HYPERLINK("CSG2.html#group15D2", "15D²"), =HYPERLINK("CSG0.html#group3A0", "3A⁰"), =HYPERLINK("CSG0.html#group1A0", "1A⁰")</f>
        <v/>
      </c>
      <c r="N2431">
        <f>HYPERLINK("CSG21.html#group90M21", "90M²¹"), =HYPERLINK("CSG23.html#group90F23", "90F²³"), =HYPERLINK("CSG21.html#group45B21", "45B²¹")</f>
        <v/>
      </c>
    </row>
    <row r="2432">
      <c r="A2432" t="inlineStr">
        <is>
          <t>46A¹⁰</t>
        </is>
      </c>
      <c r="B2432" t="inlineStr"/>
      <c r="C2432" t="inlineStr">
        <is>
          <t>144</t>
        </is>
      </c>
      <c r="D2432" t="inlineStr">
        <is>
          <t>1</t>
        </is>
      </c>
      <c r="E2432" t="inlineStr">
        <is>
          <t>24</t>
        </is>
      </c>
      <c r="F2432" t="inlineStr">
        <is>
          <t>0</t>
        </is>
      </c>
      <c r="G2432" t="inlineStr">
        <is>
          <t>0</t>
        </is>
      </c>
      <c r="H2432" t="inlineStr">
        <is>
          <t>2³, 46³</t>
        </is>
      </c>
      <c r="I2432" t="n">
        <v>6</v>
      </c>
      <c r="J2432" t="inlineStr">
        <is>
          <t>1², 22¹</t>
        </is>
      </c>
      <c r="K2432">
        <f>HYPERLINK("CSG0.html#group2C0", "2C⁰"), =HYPERLINK("CSG4.html#group46A4", "46A⁴"), =HYPERLINK("CSG5.html#group46A5", "46A⁵")</f>
        <v/>
      </c>
      <c r="L2432">
        <f>HYPERLINK("CSG20.html#group92A20", "92A²⁰"), =HYPERLINK("CSG21.html#group92A21", "92A²¹"), =HYPERLINK("CSG22.html#group92A22", "92A²²")</f>
        <v/>
      </c>
      <c r="M2432">
        <f>HYPERLINK("CSG0.html#group2A0", "2A⁰"), =HYPERLINK("CSG5.html#group46A5", "46A⁵"), =HYPERLINK("CSG2.html#group23A2", "23A²"), =HYPERLINK("CSG0.html#group2B0", "2B⁰"), =HYPERLINK("CSG0.html#group1A0", "1A⁰"), =HYPERLINK("CSG0.html#group2C0", "2C⁰"), =HYPERLINK("CSG4.html#group46A4", "46A⁴")</f>
        <v/>
      </c>
      <c r="N2432">
        <f>HYPERLINK("CSG21.html#group92A21", "92A²¹"), =HYPERLINK("CSG20.html#group92A20", "92A²⁰"), =HYPERLINK("CSG22.html#group92A22", "92A²²")</f>
        <v/>
      </c>
    </row>
    <row r="2433">
      <c r="A2433" t="inlineStr">
        <is>
          <t>48A¹⁰</t>
        </is>
      </c>
      <c r="B2433" t="inlineStr"/>
      <c r="C2433" t="inlineStr">
        <is>
          <t>144</t>
        </is>
      </c>
      <c r="D2433" t="inlineStr">
        <is>
          <t>1</t>
        </is>
      </c>
      <c r="E2433" t="inlineStr">
        <is>
          <t>3</t>
        </is>
      </c>
      <c r="F2433" t="inlineStr">
        <is>
          <t>0</t>
        </is>
      </c>
      <c r="G2433" t="inlineStr">
        <is>
          <t>0</t>
        </is>
      </c>
      <c r="H2433" t="inlineStr">
        <is>
          <t>12⁴, 48²</t>
        </is>
      </c>
      <c r="I2433" t="n">
        <v>6</v>
      </c>
      <c r="J2433" t="inlineStr">
        <is>
          <t>1³</t>
        </is>
      </c>
      <c r="K2433">
        <f>HYPERLINK("CSG2.html#group16C2", "16C²"), =HYPERLINK("CSG4.html#group24D4", "24D⁴"), =HYPERLINK("CSG4.html#group48E4", "48E⁴")</f>
        <v/>
      </c>
      <c r="L2433">
        <f>HYPERLINK("CSG19.html#group48B19", "48B¹⁹"), =HYPERLINK("CSG19.html#group48C19", "48C¹⁹"), =HYPERLINK("CSG19.html#group48F19", "48F¹⁹"), =HYPERLINK("CSG19.html#group48I19", "48I¹⁹"), =HYPERLINK("CSG19.html#group48O19", "48O¹⁹"), =HYPERLINK("CSG22.html#group96A22", "96A²²"), =HYPERLINK("CSG22.html#group96C22", "96C²²")</f>
        <v/>
      </c>
      <c r="M2433">
        <f>HYPERLINK("CSG0.html#group2A0", "2A⁰"), =HYPERLINK("CSG0.html#group12C0", "12C⁰"), =HYPERLINK("CSG2.html#group16C2", "16C²"), =HYPERLINK("CSG0.html#group8D0", "8D⁰"), =HYPERLINK("CSG1.html#group6C1", "6C¹"), =HYPERLINK("CSG0.html#group4C0", "4C⁰"), =HYPERLINK("CSG2.html#group12B2", "12B²"), =HYPERLINK("CSG0.html#group2B0", "2B⁰"), =HYPERLINK("CSG0.html#group4E0", "4E⁰"), =HYPERLINK("CSG0.html#group8C0", "8C⁰"), =HYPERLINK("CSG0.html#group4B0", "4B⁰"), =HYPERLINK("CSG0.html#group1A0", "1A⁰"), =HYPERLINK("CSG4.html#group24D4", "24D⁴"), =HYPERLINK("CSG2.html#group24B2", "24B²"), =HYPERLINK("CSG4.html#group48E4", "48E⁴"), =HYPERLINK("CSG0.html#group6A0", "6A⁰"), =HYPERLINK("CSG0.html#group8G0", "8G⁰"), =HYPERLINK("CSG1.html#group16C1", "16C¹"), =HYPERLINK("CSG1.html#group24C1", "24C¹"), =HYPERLINK("CSG1.html#group12B1", "12B¹"), =HYPERLINK("CSG1.html#group6A1", "6A¹"), =HYPERLINK("CSG0.html#group3A0", "3A⁰"), =HYPERLINK("CSG0.html#group2C0", "2C⁰"), =HYPERLINK("CSG0.html#group6D0", "6D⁰")</f>
        <v/>
      </c>
      <c r="N2433">
        <f>HYPERLINK("CSG19.html#group48O19", "48O¹⁹"), =HYPERLINK("CSG19.html#group48I19", "48I¹⁹"), =HYPERLINK("CSG19.html#group48C19", "48C¹⁹"), =HYPERLINK("CSG22.html#group96A22", "96A²²"), =HYPERLINK("CSG19.html#group48F19", "48F¹⁹"), =HYPERLINK("CSG19.html#group48B19", "48B¹⁹"), =HYPERLINK("CSG22.html#group96C22", "96C²²")</f>
        <v/>
      </c>
    </row>
    <row r="2434">
      <c r="A2434" t="inlineStr">
        <is>
          <t>48B¹⁰</t>
        </is>
      </c>
      <c r="B2434" t="inlineStr"/>
      <c r="C2434" t="inlineStr">
        <is>
          <t>144</t>
        </is>
      </c>
      <c r="D2434" t="inlineStr">
        <is>
          <t>1</t>
        </is>
      </c>
      <c r="E2434" t="inlineStr">
        <is>
          <t>9</t>
        </is>
      </c>
      <c r="F2434" t="inlineStr">
        <is>
          <t>0</t>
        </is>
      </c>
      <c r="G2434" t="inlineStr">
        <is>
          <t>0</t>
        </is>
      </c>
      <c r="H2434" t="inlineStr">
        <is>
          <t>12⁴, 48²</t>
        </is>
      </c>
      <c r="I2434" t="n">
        <v>6</v>
      </c>
      <c r="J2434" t="inlineStr">
        <is>
          <t>1³, 2³</t>
        </is>
      </c>
      <c r="K2434">
        <f>HYPERLINK("CSG4.html#group24D4", "24D⁴"), =HYPERLINK("CSG4.html#group48H4", "48H⁴")</f>
        <v/>
      </c>
      <c r="L2434">
        <f>HYPERLINK("CSG19.html#group48E19", "48E¹⁹"), =HYPERLINK("CSG19.html#group48F19", "48F¹⁹"), =HYPERLINK("CSG19.html#group48G19", "48G¹⁹"), =HYPERLINK("CSG19.html#group48H19", "48H¹⁹"), =HYPERLINK("CSG19.html#group48M19", "48M¹⁹"), =HYPERLINK("CSG19.html#group48N19", "48N¹⁹"), =HYPERLINK("CSG19.html#group48AW19", "48AW¹⁹"), =HYPERLINK("CSG19.html#group48AX19", "48AX¹⁹")</f>
        <v/>
      </c>
      <c r="M2434">
        <f>HYPERLINK("CSG0.html#group2A0", "2A⁰"), =HYPERLINK("CSG0.html#group12C0", "12C⁰"), =HYPERLINK("CSG4.html#group48H4", "48H⁴"), =HYPERLINK("CSG0.html#group8D0", "8D⁰"), =HYPERLINK("CSG0.html#group4C0", "4C⁰"), =HYPERLINK("CSG1.html#group6C1", "6C¹"), =HYPERLINK("CSG2.html#group12B2", "12B²"), =HYPERLINK("CSG0.html#group2B0", "2B⁰"), =HYPERLINK("CSG0.html#group4E0", "4E⁰"), =HYPERLINK("CSG0.html#group8C0", "8C⁰"), =HYPERLINK("CSG0.html#group4B0", "4B⁰"), =HYPERLINK("CSG0.html#group1A0", "1A⁰"), =HYPERLINK("CSG4.html#group24D4", "24D⁴"), =HYPERLINK("CSG2.html#group24B2", "24B²"), =HYPERLINK("CSG0.html#group6A0", "6A⁰"), =HYPERLINK("CSG0.html#group8G0", "8G⁰"), =HYPERLINK("CSG1.html#group24C1", "24C¹"), =HYPERLINK("CSG1.html#group12B1", "12B¹"), =HYPERLINK("CSG1.html#group6A1", "6A¹"), =HYPERLINK("CSG0.html#group3A0", "3A⁰"), =HYPERLINK("CSG0.html#group2C0", "2C⁰"), =HYPERLINK("CSG0.html#group6D0", "6D⁰")</f>
        <v/>
      </c>
      <c r="N2434">
        <f>HYPERLINK("CSG19.html#group48M19", "48M¹⁹"), =HYPERLINK("CSG19.html#group48G19", "48G¹⁹"), =HYPERLINK("CSG19.html#group48AW19", "48AW¹⁹"), =HYPERLINK("CSG19.html#group48AX19", "48AX¹⁹"), =HYPERLINK("CSG19.html#group48F19", "48F¹⁹"), =HYPERLINK("CSG19.html#group48E19", "48E¹⁹"), =HYPERLINK("CSG19.html#group48N19", "48N¹⁹"), =HYPERLINK("CSG19.html#group48H19", "48H¹⁹")</f>
        <v/>
      </c>
    </row>
    <row r="2435">
      <c r="A2435" t="inlineStr">
        <is>
          <t>48C¹⁰</t>
        </is>
      </c>
      <c r="B2435" t="inlineStr"/>
      <c r="C2435" t="inlineStr">
        <is>
          <t>144</t>
        </is>
      </c>
      <c r="D2435" t="inlineStr">
        <is>
          <t>1</t>
        </is>
      </c>
      <c r="E2435" t="inlineStr">
        <is>
          <t>12</t>
        </is>
      </c>
      <c r="F2435" t="inlineStr">
        <is>
          <t>0</t>
        </is>
      </c>
      <c r="G2435" t="inlineStr">
        <is>
          <t>0</t>
        </is>
      </c>
      <c r="H2435" t="inlineStr">
        <is>
          <t>12⁴, 48²</t>
        </is>
      </c>
      <c r="I2435" t="n">
        <v>6</v>
      </c>
      <c r="J2435" t="inlineStr">
        <is>
          <t>1², 2¹, 4²</t>
        </is>
      </c>
      <c r="K2435">
        <f>HYPERLINK("CSG2.html#group16D2", "16D²"), =HYPERLINK("CSG3.html#group48D3", "48D³"), =HYPERLINK("CSG4.html#group48E4", "48E⁴"), =HYPERLINK("CSG5.html#group24B5", "24B⁵")</f>
        <v/>
      </c>
      <c r="L2435">
        <f>HYPERLINK("CSG19.html#group48B19", "48B¹⁹"), =HYPERLINK("CSG19.html#group48Y19", "48Y¹⁹"), =HYPERLINK("CSG19.html#group48Z19", "48Z¹⁹"), =HYPERLINK("CSG20.html#group96A20", "96A²⁰"), =HYPERLINK("CSG20.html#group96B20", "96B²⁰"), =HYPERLINK("CSG21.html#group48AQ21", "48AQ²¹"), =HYPERLINK("CSG21.html#group48BM21", "48BM²¹"), =HYPERLINK("CSG22.html#group96B22", "96B²²"), =HYPERLINK("CSG22.html#group96D22", "96D²²")</f>
        <v/>
      </c>
      <c r="M2435">
        <f>HYPERLINK("CSG2.html#group16D2", "16D²"), =HYPERLINK("CSG3.html#group24A3", "24A³"), =HYPERLINK("CSG1.html#group8A1", "8A¹"), =HYPERLINK("CSG0.html#group12C0", "12C⁰"), =HYPERLINK("CSG0.html#group8D0", "8D⁰"), =HYPERLINK("CSG0.html#group4C0", "4C⁰"), =HYPERLINK("CSG0.html#group2B0", "2B⁰"), =HYPERLINK("CSG0.html#group1A0", "1A⁰"), =HYPERLINK("CSG0.html#group16E0", "16E⁰"), =HYPERLINK("CSG0.html#group12A0", "12A⁰"), =HYPERLINK("CSG4.html#group48E4", "48E⁴"), =HYPERLINK("CSG1.html#group8C1", "8C¹"), =HYPERLINK("CSG0.html#group4A0", "4A⁰"), =HYPERLINK("CSG1.html#group16C1", "16C¹"), =HYPERLINK("CSG1.html#group24C1", "24C¹"), =HYPERLINK("CSG1.html#group12J1", "12J¹"), =HYPERLINK("CSG3.html#group48D3", "48D³"), =HYPERLINK("CSG0.html#group4F0", "4F⁰"), =HYPERLINK("CSG0.html#group3A0", "3A⁰"), =HYPERLINK("CSG0.html#group6D0", "6D⁰"), =HYPERLINK("CSG5.html#group24B5", "24B⁵")</f>
        <v/>
      </c>
      <c r="N2435">
        <f>HYPERLINK("CSG20.html#group96B20", "96B²⁰"), =HYPERLINK("CSG20.html#group96A20", "96A²⁰"), =HYPERLINK("CSG19.html#group48Z19", "48Z¹⁹"), =HYPERLINK("CSG19.html#group48B19", "48B¹⁹"), =HYPERLINK("CSG21.html#group48AQ21", "48AQ²¹"), =HYPERLINK("CSG19.html#group48Y19", "48Y¹⁹"), =HYPERLINK("CSG21.html#group48BM21", "48BM²¹"), =HYPERLINK("CSG22.html#group96D22", "96D²²"), =HYPERLINK("CSG22.html#group96B22", "96B²²")</f>
        <v/>
      </c>
    </row>
    <row r="2436">
      <c r="A2436" t="inlineStr">
        <is>
          <t>48D¹⁰</t>
        </is>
      </c>
      <c r="B2436" t="inlineStr"/>
      <c r="C2436" t="inlineStr">
        <is>
          <t>144</t>
        </is>
      </c>
      <c r="D2436" t="inlineStr">
        <is>
          <t>1</t>
        </is>
      </c>
      <c r="E2436" t="inlineStr">
        <is>
          <t>36</t>
        </is>
      </c>
      <c r="F2436" t="inlineStr">
        <is>
          <t>0</t>
        </is>
      </c>
      <c r="G2436" t="inlineStr">
        <is>
          <t>0</t>
        </is>
      </c>
      <c r="H2436" t="inlineStr">
        <is>
          <t>12⁴, 48²</t>
        </is>
      </c>
      <c r="I2436" t="n">
        <v>6</v>
      </c>
      <c r="J2436" t="inlineStr">
        <is>
          <t>1², 2³, 4³, 8²</t>
        </is>
      </c>
      <c r="K2436">
        <f>HYPERLINK("CSG3.html#group48G3", "48G³"), =HYPERLINK("CSG4.html#group48H4", "48H⁴"), =HYPERLINK("CSG5.html#group24B5", "24B⁵")</f>
        <v/>
      </c>
      <c r="L2436">
        <f>HYPERLINK("CSG19.html#group48G19", "48G¹⁹"), =HYPERLINK("CSG19.html#group48U19", "48U¹⁹"), =HYPERLINK("CSG19.html#group48V19", "48V¹⁹"), =HYPERLINK("CSG19.html#group48Y19", "48Y¹⁹"), =HYPERLINK("CSG19.html#group48Z19", "48Z¹⁹"), =HYPERLINK("CSG21.html#group48BL21", "48BL²¹"), =HYPERLINK("CSG21.html#group48BN21", "48BN²¹"), =HYPERLINK("CSG21.html#group48BV21", "48BV²¹")</f>
        <v/>
      </c>
      <c r="M2436">
        <f>HYPERLINK("CSG3.html#group24A3", "24A³"), =HYPERLINK("CSG0.html#group12C0", "12C⁰"), =HYPERLINK("CSG3.html#group48G3", "48G³"), =HYPERLINK("CSG1.html#group8A1", "8A¹"), =HYPERLINK("CSG4.html#group48H4", "48H⁴"), =HYPERLINK("CSG0.html#group8D0", "8D⁰"), =HYPERLINK("CSG0.html#group4C0", "4C⁰"), =HYPERLINK("CSG0.html#group2B0", "2B⁰"), =HYPERLINK("CSG0.html#group1A0", "1A⁰"), =HYPERLINK("CSG0.html#group12A0", "12A⁰"), =HYPERLINK("CSG1.html#group8C1", "8C¹"), =HYPERLINK("CSG0.html#group4A0", "4A⁰"), =HYPERLINK("CSG1.html#group24C1", "24C¹"), =HYPERLINK("CSG1.html#group12J1", "12J¹"), =HYPERLINK("CSG0.html#group4F0", "4F⁰"), =HYPERLINK("CSG0.html#group3A0", "3A⁰"), =HYPERLINK("CSG0.html#group6D0", "6D⁰"), =HYPERLINK("CSG5.html#group24B5", "24B⁵")</f>
        <v/>
      </c>
      <c r="N2436">
        <f>HYPERLINK("CSG19.html#group48G19", "48G¹⁹"), =HYPERLINK("CSG19.html#group48V19", "48V¹⁹"), =HYPERLINK("CSG19.html#group48Z19", "48Z¹⁹"), =HYPERLINK("CSG19.html#group48Y19", "48Y¹⁹"), =HYPERLINK("CSG21.html#group48BN21", "48BN²¹"), =HYPERLINK("CSG21.html#group48BV21", "48BV²¹"), =HYPERLINK("CSG19.html#group48U19", "48U¹⁹"), =HYPERLINK("CSG21.html#group48BL21", "48BL²¹")</f>
        <v/>
      </c>
    </row>
    <row r="2437">
      <c r="A2437" t="inlineStr">
        <is>
          <t>48E¹⁰</t>
        </is>
      </c>
      <c r="B2437" t="inlineStr"/>
      <c r="C2437" t="inlineStr">
        <is>
          <t>144</t>
        </is>
      </c>
      <c r="D2437" t="inlineStr">
        <is>
          <t>1</t>
        </is>
      </c>
      <c r="E2437" t="inlineStr">
        <is>
          <t>72</t>
        </is>
      </c>
      <c r="F2437" t="inlineStr">
        <is>
          <t>0</t>
        </is>
      </c>
      <c r="G2437" t="inlineStr">
        <is>
          <t>0</t>
        </is>
      </c>
      <c r="H2437" t="inlineStr">
        <is>
          <t>12⁴, 48²</t>
        </is>
      </c>
      <c r="I2437" t="n">
        <v>6</v>
      </c>
      <c r="J2437" t="inlineStr">
        <is>
          <t>4¹⁴, 8²</t>
        </is>
      </c>
      <c r="K2437">
        <f>HYPERLINK("CSG4.html#group24I4", "24I⁴")</f>
        <v/>
      </c>
      <c r="L2437">
        <f>HYPERLINK("CSG19.html#group48K19", "48K¹⁹"), =HYPERLINK("CSG19.html#group48AA19", "48AA¹⁹")</f>
        <v/>
      </c>
      <c r="M2437">
        <f>HYPERLINK("CSG4.html#group24I4", "24I⁴"), =HYPERLINK("CSG0.html#group6B0", "6B⁰"), =HYPERLINK("CSG0.html#group3A0", "3A⁰"), =HYPERLINK("CSG1.html#group12C1", "12C¹"), =HYPERLINK("CSG2.html#group12D2", "12D²"), =HYPERLINK("CSG2.html#group24D2", "24D²"), =HYPERLINK("CSG1.html#group12B1", "12B¹"), =HYPERLINK("CSG0.html#group2B0", "2B⁰"), =HYPERLINK("CSG0.html#group6H0", "6H⁰"), =HYPERLINK("CSG0.html#group4B0", "4B⁰"), =HYPERLINK("CSG0.html#group1A0", "1A⁰"), =HYPERLINK("CSG0.html#group6D0", "6D⁰")</f>
        <v/>
      </c>
      <c r="N2437">
        <f>HYPERLINK("CSG19.html#group48K19", "48K¹⁹"), =HYPERLINK("CSG19.html#group48AA19", "48AA¹⁹")</f>
        <v/>
      </c>
    </row>
    <row r="2438">
      <c r="A2438" t="inlineStr">
        <is>
          <t>48F¹⁰</t>
        </is>
      </c>
      <c r="B2438" t="inlineStr"/>
      <c r="C2438" t="inlineStr">
        <is>
          <t>144</t>
        </is>
      </c>
      <c r="D2438" t="inlineStr">
        <is>
          <t>2</t>
        </is>
      </c>
      <c r="E2438" t="inlineStr">
        <is>
          <t>24</t>
        </is>
      </c>
      <c r="F2438" t="inlineStr">
        <is>
          <t>6</t>
        </is>
      </c>
      <c r="G2438" t="inlineStr">
        <is>
          <t>0</t>
        </is>
      </c>
      <c r="H2438" t="inlineStr">
        <is>
          <t>48³</t>
        </is>
      </c>
      <c r="I2438" t="n">
        <v>3</v>
      </c>
      <c r="J2438" t="inlineStr">
        <is>
          <t>8⁶</t>
        </is>
      </c>
      <c r="K2438">
        <f>HYPERLINK("CSG3.html#group16G3", "16G³"), =HYPERLINK("CSG3.html#group48A3", "48A³"), =HYPERLINK("CSG4.html#group24H4", "24H⁴")</f>
        <v/>
      </c>
      <c r="L2438">
        <f>HYPERLINK("CSG19.html#group48T19", "48T¹⁹"), =HYPERLINK("CSG20.html#group48H20", "48H²⁰"), =HYPERLINK("CSG20.html#group48I20", "48I²⁰"), =HYPERLINK("CSG21.html#group48BX21", "48BX²¹"), =HYPERLINK("CSG21.html#group48BY21", "48BY²¹"), =HYPERLINK("CSG22.html#group48A22", "48A²²"), =HYPERLINK("CSG22.html#group48C22", "48C²²")</f>
        <v/>
      </c>
      <c r="M2438">
        <f>HYPERLINK("CSG0.html#group16A0", "16A⁰"), =HYPERLINK("CSG0.html#group12C0", "12C⁰"), =HYPERLINK("CSG0.html#group4C0", "4C⁰"), =HYPERLINK("CSG0.html#group8A0", "8A⁰"), =HYPERLINK("CSG3.html#group16G3", "16G³"), =HYPERLINK("CSG0.html#group2B0", "2B⁰"), =HYPERLINK("CSG0.html#group1A0", "1A⁰"), =HYPERLINK("CSG1.html#group8D1", "8D¹"), =HYPERLINK("CSG4.html#group24H4", "24H⁴"), =HYPERLINK("CSG3.html#group48A3", "48A³"), =HYPERLINK("CSG0.html#group12A0", "12A⁰"), =HYPERLINK("CSG1.html#group24A1", "24A¹"), =HYPERLINK("CSG0.html#group4A0", "4A⁰"), =HYPERLINK("CSG1.html#group12J1", "12J¹"), =HYPERLINK("CSG0.html#group4F0", "4F⁰"), =HYPERLINK("CSG0.html#group3A0", "3A⁰"), =HYPERLINK("CSG0.html#group6D0", "6D⁰")</f>
        <v/>
      </c>
      <c r="N2438">
        <f>HYPERLINK("CSG20.html#group48I20", "48I²⁰"), =HYPERLINK("CSG21.html#group48BX21", "48BX²¹"), =HYPERLINK("CSG22.html#group48A22", "48A²²"), =HYPERLINK("CSG21.html#group48BY21", "48BY²¹"), =HYPERLINK("CSG19.html#group48T19", "48T¹⁹"), =HYPERLINK("CSG20.html#group48H20", "48H²⁰"), =HYPERLINK("CSG22.html#group48C22", "48C²²")</f>
        <v/>
      </c>
    </row>
    <row r="2439">
      <c r="A2439" t="inlineStr">
        <is>
          <t>48G¹⁰</t>
        </is>
      </c>
      <c r="B2439" t="inlineStr"/>
      <c r="C2439" t="inlineStr">
        <is>
          <t>144</t>
        </is>
      </c>
      <c r="D2439" t="inlineStr">
        <is>
          <t>2</t>
        </is>
      </c>
      <c r="E2439" t="inlineStr">
        <is>
          <t>72</t>
        </is>
      </c>
      <c r="F2439" t="inlineStr">
        <is>
          <t>6</t>
        </is>
      </c>
      <c r="G2439" t="inlineStr">
        <is>
          <t>0</t>
        </is>
      </c>
      <c r="H2439" t="inlineStr">
        <is>
          <t>48³</t>
        </is>
      </c>
      <c r="I2439" t="n">
        <v>3</v>
      </c>
      <c r="J2439" t="inlineStr">
        <is>
          <t>8⁶, 16⁶</t>
        </is>
      </c>
      <c r="K2439">
        <f>HYPERLINK("CSG3.html#group48B3", "48B³"), =HYPERLINK("CSG4.html#group24H4", "24H⁴")</f>
        <v/>
      </c>
      <c r="L2439">
        <f>HYPERLINK("CSG19.html#group48AV19", "48AV¹⁹"), =HYPERLINK("CSG20.html#group48C20", "48C²⁰"), =HYPERLINK("CSG20.html#group48D20", "48D²⁰"), =HYPERLINK("CSG20.html#group48G20", "48G²⁰"), =HYPERLINK("CSG20.html#group48H20", "48H²⁰"), =HYPERLINK("CSG20.html#group48I20", "48I²⁰"), =HYPERLINK("CSG21.html#group48BO21", "48BO²¹"), =HYPERLINK("CSG21.html#group48BP21", "48BP²¹"), =HYPERLINK("CSG21.html#group48BW21", "48BW²¹"), =HYPERLINK("CSG21.html#group48BX21", "48BX²¹"), =HYPERLINK("CSG21.html#group48BY21", "48BY²¹"), =HYPERLINK("CSG22.html#group48B22", "48B²²"), =HYPERLINK("CSG22.html#group48D22", "48D²²")</f>
        <v/>
      </c>
      <c r="M2439">
        <f>HYPERLINK("CSG4.html#group24H4", "24H⁴"), =HYPERLINK("CSG0.html#group12A0", "12A⁰"), =HYPERLINK("CSG1.html#group24A1", "24A¹"), =HYPERLINK("CSG0.html#group12C0", "12C⁰"), =HYPERLINK("CSG0.html#group4A0", "4A⁰"), =HYPERLINK("CSG0.html#group4C0", "4C⁰"), =HYPERLINK("CSG0.html#group8A0", "8A⁰"), =HYPERLINK("CSG1.html#group12J1", "12J¹"), =HYPERLINK("CSG0.html#group2B0", "2B⁰"), =HYPERLINK("CSG0.html#group4F0", "4F⁰"), =HYPERLINK("CSG0.html#group3A0", "3A⁰"), =HYPERLINK("CSG0.html#group1A0", "1A⁰"), =HYPERLINK("CSG1.html#group8D1", "8D¹"), =HYPERLINK("CSG0.html#group6D0", "6D⁰"), =HYPERLINK("CSG3.html#group48B3", "48B³")</f>
        <v/>
      </c>
      <c r="N2439">
        <f>HYPERLINK("CSG20.html#group48I20", "48I²⁰"), =HYPERLINK("CSG21.html#group48BX21", "48BX²¹"), =HYPERLINK("CSG21.html#group48BP21", "48BP²¹"), =HYPERLINK("CSG20.html#group48H20", "48H²⁰"), =HYPERLINK("CSG20.html#group48G20", "48G²⁰"), =HYPERLINK("CSG21.html#group48BO21", "48BO²¹"), =HYPERLINK("CSG22.html#group48D22", "48D²²"), =HYPERLINK("CSG22.html#group48B22", "48B²²"), =HYPERLINK("CSG21.html#group48BY21", "48BY²¹"), =HYPERLINK("CSG20.html#group48D20", "48D²⁰"), =HYPERLINK("CSG21.html#group48BW21", "48BW²¹"), =HYPERLINK("CSG20.html#group48C20", "48C²⁰"), =HYPERLINK("CSG19.html#group48AV19", "48AV¹⁹")</f>
        <v/>
      </c>
    </row>
    <row r="2440">
      <c r="A2440" t="inlineStr">
        <is>
          <t>48H¹⁰</t>
        </is>
      </c>
      <c r="B2440" t="inlineStr"/>
      <c r="C2440" t="inlineStr">
        <is>
          <t>192</t>
        </is>
      </c>
      <c r="D2440" t="inlineStr">
        <is>
          <t>1</t>
        </is>
      </c>
      <c r="E2440" t="inlineStr">
        <is>
          <t>96</t>
        </is>
      </c>
      <c r="F2440" t="inlineStr">
        <is>
          <t>0</t>
        </is>
      </c>
      <c r="G2440" t="inlineStr">
        <is>
          <t>0</t>
        </is>
      </c>
      <c r="H2440" t="inlineStr">
        <is>
          <t>4⁴, 8², 12⁴, 16¹, 24², 48¹</t>
        </is>
      </c>
      <c r="I2440" t="n">
        <v>14</v>
      </c>
      <c r="J2440" t="inlineStr">
        <is>
          <t>4⁸, 8¹², 16⁴</t>
        </is>
      </c>
      <c r="K2440">
        <f>HYPERLINK("CSG1.html#group16K1", "16K¹"), =HYPERLINK("CSG4.html#group24R4", "24R⁴")</f>
        <v/>
      </c>
      <c r="L2440">
        <f>HYPERLINK("CSG19.html#group48BP19", "48BP¹⁹"), =HYPERLINK("CSG23.html#group48C23", "48C²³"), =HYPERLINK("CSG23.html#group48D23", "48D²³")</f>
        <v/>
      </c>
      <c r="M2440">
        <f>HYPERLINK("CSG0.html#group3B0", "3B⁰"), =HYPERLINK("CSG1.html#group12F1", "12F¹"), =HYPERLINK("CSG0.html#group4C0", "4C⁰"), =HYPERLINK("CSG0.html#group2B0", "2B⁰"), =HYPERLINK("CSG0.html#group8K0", "8K⁰"), =HYPERLINK("CSG0.html#group1A0", "1A⁰"), =HYPERLINK("CSG0.html#group4A0", "4A⁰"), =HYPERLINK("CSG1.html#group12A1", "12A¹"), =HYPERLINK("CSG4.html#group24R4", "24R⁴"), =HYPERLINK("CSG2.html#group12G2", "12G²"), =HYPERLINK("CSG0.html#group4F0", "4F⁰"), =HYPERLINK("CSG0.html#group6F0", "6F⁰"), =HYPERLINK("CSG1.html#group16K1", "16K¹")</f>
        <v/>
      </c>
      <c r="N2440">
        <f>HYPERLINK("CSG23.html#group48D23", "48D²³"), =HYPERLINK("CSG19.html#group48BP19", "48BP¹⁹"), =HYPERLINK("CSG23.html#group48C23", "48C²³")</f>
        <v/>
      </c>
    </row>
    <row r="2441">
      <c r="A2441" t="inlineStr">
        <is>
          <t>48I¹⁰</t>
        </is>
      </c>
      <c r="B2441" t="inlineStr"/>
      <c r="C2441" t="inlineStr">
        <is>
          <t>192</t>
        </is>
      </c>
      <c r="D2441" t="inlineStr">
        <is>
          <t>1</t>
        </is>
      </c>
      <c r="E2441" t="inlineStr">
        <is>
          <t>96</t>
        </is>
      </c>
      <c r="F2441" t="inlineStr">
        <is>
          <t>0</t>
        </is>
      </c>
      <c r="G2441" t="inlineStr">
        <is>
          <t>0</t>
        </is>
      </c>
      <c r="H2441" t="inlineStr">
        <is>
          <t>4⁴, 8², 12⁴, 16¹, 24², 48¹</t>
        </is>
      </c>
      <c r="I2441" t="n">
        <v>14</v>
      </c>
      <c r="J2441" t="inlineStr">
        <is>
          <t>4⁸, 8¹², 16⁴</t>
        </is>
      </c>
      <c r="K2441">
        <f>HYPERLINK("CSG1.html#group16L1", "16L¹"), =HYPERLINK("CSG4.html#group24R4", "24R⁴")</f>
        <v/>
      </c>
      <c r="L2441">
        <f>HYPERLINK("CSG19.html#group48BP19", "48BP¹⁹"), =HYPERLINK("CSG23.html#group48C23", "48C²³"), =HYPERLINK("CSG23.html#group48D23", "48D²³")</f>
        <v/>
      </c>
      <c r="M2441">
        <f>HYPERLINK("CSG0.html#group3B0", "3B⁰"), =HYPERLINK("CSG1.html#group12F1", "12F¹"), =HYPERLINK("CSG0.html#group4C0", "4C⁰"), =HYPERLINK("CSG0.html#group2B0", "2B⁰"), =HYPERLINK("CSG0.html#group8K0", "8K⁰"), =HYPERLINK("CSG0.html#group1A0", "1A⁰"), =HYPERLINK("CSG1.html#group16L1", "16L¹"), =HYPERLINK("CSG0.html#group4A0", "4A⁰"), =HYPERLINK("CSG1.html#group12A1", "12A¹"), =HYPERLINK("CSG4.html#group24R4", "24R⁴"), =HYPERLINK("CSG2.html#group12G2", "12G²"), =HYPERLINK("CSG0.html#group4F0", "4F⁰"), =HYPERLINK("CSG0.html#group6F0", "6F⁰")</f>
        <v/>
      </c>
      <c r="N2441">
        <f>HYPERLINK("CSG23.html#group48D23", "48D²³"), =HYPERLINK("CSG19.html#group48BP19", "48BP¹⁹"), =HYPERLINK("CSG23.html#group48C23", "48C²³")</f>
        <v/>
      </c>
    </row>
    <row r="2442">
      <c r="A2442" t="inlineStr">
        <is>
          <t>50A¹⁰</t>
        </is>
      </c>
      <c r="B2442" t="inlineStr"/>
      <c r="C2442" t="inlineStr">
        <is>
          <t>150</t>
        </is>
      </c>
      <c r="D2442" t="inlineStr">
        <is>
          <t>1</t>
        </is>
      </c>
      <c r="E2442" t="inlineStr">
        <is>
          <t>75</t>
        </is>
      </c>
      <c r="F2442" t="inlineStr">
        <is>
          <t>0</t>
        </is>
      </c>
      <c r="G2442" t="inlineStr">
        <is>
          <t>0</t>
        </is>
      </c>
      <c r="H2442" t="inlineStr">
        <is>
          <t>10⁵, 50²</t>
        </is>
      </c>
      <c r="I2442" t="n">
        <v>7</v>
      </c>
      <c r="J2442" t="inlineStr">
        <is>
          <t>2¹, 4², 5¹, 20³</t>
        </is>
      </c>
      <c r="K2442">
        <f>HYPERLINK("CSG2.html#group10A2", "10A²"), =HYPERLINK("CSG2.html#group25F2", "25F²")</f>
        <v/>
      </c>
      <c r="L2442">
        <f>HYPERLINK("CSG19.html#group50A19", "50A¹⁹"), =HYPERLINK("CSG19.html#group50C19", "50C¹⁹"), =HYPERLINK("CSG19.html#group50D19", "50D¹⁹")</f>
        <v/>
      </c>
      <c r="M2442">
        <f>HYPERLINK("CSG2.html#group25F2", "25F²"), =HYPERLINK("CSG0.html#group2A0", "2A⁰"), =HYPERLINK("CSG0.html#group5A0", "5A⁰"), =HYPERLINK("CSG2.html#group10A2", "10A²"), =HYPERLINK("CSG0.html#group10A0", "10A⁰"), =HYPERLINK("CSG0.html#group5E0", "5E⁰"), =HYPERLINK("CSG0.html#group1A0", "1A⁰")</f>
        <v/>
      </c>
      <c r="N2442">
        <f>HYPERLINK("CSG19.html#group50A19", "50A¹⁹"), =HYPERLINK("CSG19.html#group50C19", "50C¹⁹"), =HYPERLINK("CSG19.html#group50D19", "50D¹⁹")</f>
        <v/>
      </c>
    </row>
    <row r="2443">
      <c r="A2443" t="inlineStr">
        <is>
          <t>52A¹⁰</t>
        </is>
      </c>
      <c r="B2443" t="inlineStr"/>
      <c r="C2443" t="inlineStr">
        <is>
          <t>252</t>
        </is>
      </c>
      <c r="D2443" t="inlineStr">
        <is>
          <t>1</t>
        </is>
      </c>
      <c r="E2443" t="inlineStr">
        <is>
          <t>42</t>
        </is>
      </c>
      <c r="F2443" t="inlineStr">
        <is>
          <t>12</t>
        </is>
      </c>
      <c r="G2443" t="inlineStr">
        <is>
          <t>0</t>
        </is>
      </c>
      <c r="H2443" t="inlineStr">
        <is>
          <t>1⁶, 4³, 13⁶, 52³</t>
        </is>
      </c>
      <c r="I2443" t="n">
        <v>18</v>
      </c>
      <c r="J2443" t="inlineStr">
        <is>
          <t>1⁶, 12³</t>
        </is>
      </c>
      <c r="K2443">
        <f>HYPERLINK("CSG4.html#group26C4", "26C⁴"), =HYPERLINK("CSG4.html#group52A4", "52A⁴")</f>
        <v/>
      </c>
      <c r="L2443" t="inlineStr"/>
      <c r="M2443">
        <f>HYPERLINK("CSG0.html#group13A0", "13A⁰"), =HYPERLINK("CSG4.html#group26C4", "26C⁴"), =HYPERLINK("CSG0.html#group13C0", "13C⁰"), =HYPERLINK("CSG0.html#group2B0", "2B⁰"), =HYPERLINK("CSG4.html#group52A4", "52A⁴"), =HYPERLINK("CSG0.html#group1A0", "1A⁰"), =HYPERLINK("CSG2.html#group26A2", "26A²")</f>
        <v/>
      </c>
      <c r="N2443" t="inlineStr"/>
    </row>
    <row r="2444">
      <c r="A2444" t="inlineStr">
        <is>
          <t>54A¹⁰</t>
        </is>
      </c>
      <c r="B2444" t="inlineStr"/>
      <c r="C2444" t="inlineStr">
        <is>
          <t>216</t>
        </is>
      </c>
      <c r="D2444" t="inlineStr">
        <is>
          <t>1</t>
        </is>
      </c>
      <c r="E2444" t="inlineStr">
        <is>
          <t>12</t>
        </is>
      </c>
      <c r="F2444" t="inlineStr">
        <is>
          <t>0</t>
        </is>
      </c>
      <c r="G2444" t="inlineStr">
        <is>
          <t>0</t>
        </is>
      </c>
      <c r="H2444" t="inlineStr">
        <is>
          <t>2⁹, 6⁶, 54³</t>
        </is>
      </c>
      <c r="I2444" t="n">
        <v>18</v>
      </c>
      <c r="J2444" t="inlineStr">
        <is>
          <t>1², 2², 6¹</t>
        </is>
      </c>
      <c r="K2444">
        <f>HYPERLINK("CSG1.html#group18J1", "18J¹"), =HYPERLINK("CSG4.html#group54A4", "54A⁴"), =HYPERLINK("CSG4.html#group54C4", "54C⁴"), =HYPERLINK("CSG4.html#group54E4", "54E⁴")</f>
        <v/>
      </c>
      <c r="L2444">
        <f>HYPERLINK("CSG22.html#group108E22", "108E²²")</f>
        <v/>
      </c>
      <c r="M2444">
        <f>HYPERLINK("CSG0.html#group3B0", "3B⁰"), =HYPERLINK("CSG0.html#group2A0", "2A⁰"), =HYPERLINK("CSG0.html#group6I0", "6I⁰"), =HYPERLINK("CSG0.html#group6C0", "6C⁰"), =HYPERLINK("CSG0.html#group9B0", "9B⁰"), =HYPERLINK("CSG0.html#group2B0", "2B⁰"), =HYPERLINK("CSG1.html#group18J1", "18J¹"), =HYPERLINK("CSG0.html#group1A0", "1A⁰"), =HYPERLINK("CSG0.html#group18C0", "18C⁰"), =HYPERLINK("CSG0.html#group18E0", "18E⁰"), =HYPERLINK("CSG1.html#group27A1", "27A¹"), =HYPERLINK("CSG1.html#group18C1", "18C¹"), =HYPERLINK("CSG4.html#group54C4", "54C⁴"), =HYPERLINK("CSG4.html#group54A4", "54A⁴"), =HYPERLINK("CSG0.html#group6F0", "6F⁰"), =HYPERLINK("CSG0.html#group2C0", "2C⁰"), =HYPERLINK("CSG4.html#group54E4", "54E⁴")</f>
        <v/>
      </c>
      <c r="N2444">
        <f>HYPERLINK("CSG22.html#group108E22", "108E²²")</f>
        <v/>
      </c>
    </row>
    <row r="2445">
      <c r="A2445" t="inlineStr">
        <is>
          <t>54B¹⁰</t>
        </is>
      </c>
      <c r="B2445" t="inlineStr"/>
      <c r="C2445" t="inlineStr">
        <is>
          <t>216</t>
        </is>
      </c>
      <c r="D2445" t="inlineStr">
        <is>
          <t>1</t>
        </is>
      </c>
      <c r="E2445" t="inlineStr">
        <is>
          <t>12</t>
        </is>
      </c>
      <c r="F2445" t="inlineStr">
        <is>
          <t>0</t>
        </is>
      </c>
      <c r="G2445" t="inlineStr">
        <is>
          <t>0</t>
        </is>
      </c>
      <c r="H2445" t="inlineStr">
        <is>
          <t>2⁹, 6⁶, 54³</t>
        </is>
      </c>
      <c r="I2445" t="n">
        <v>18</v>
      </c>
      <c r="J2445" t="inlineStr">
        <is>
          <t>1², 2², 6¹</t>
        </is>
      </c>
      <c r="K2445">
        <f>HYPERLINK("CSG1.html#group27C1", "27C¹"), =HYPERLINK("CSG3.html#group18G3", "18G³"), =HYPERLINK("CSG3.html#group54A3", "54A³"), =HYPERLINK("CSG4.html#group54A4", "54A⁴")</f>
        <v/>
      </c>
      <c r="L2445" t="inlineStr"/>
      <c r="M2445">
        <f>HYPERLINK("CSG0.html#group3B0", "3B⁰"), =HYPERLINK("CSG0.html#group2A0", "2A⁰"), =HYPERLINK("CSG1.html#group27A1", "27A¹"), =HYPERLINK("CSG1.html#group27C1", "27C¹"), =HYPERLINK("CSG3.html#group18G3", "18G³"), =HYPERLINK("CSG1.html#group18C1", "18C¹"), =HYPERLINK("CSG0.html#group6C0", "6C⁰"), =HYPERLINK("CSG0.html#group9I0", "9I⁰"), =HYPERLINK("CSG0.html#group9B0", "9B⁰"), =HYPERLINK("CSG3.html#group54A3", "54A³"), =HYPERLINK("CSG0.html#group27A0", "27A⁰"), =HYPERLINK("CSG4.html#group54A4", "54A⁴"), =HYPERLINK("CSG0.html#group1A0", "1A⁰")</f>
        <v/>
      </c>
      <c r="N2445" t="inlineStr"/>
    </row>
    <row r="2446">
      <c r="A2446" t="inlineStr">
        <is>
          <t>54C¹⁰</t>
        </is>
      </c>
      <c r="B2446" t="inlineStr"/>
      <c r="C2446" t="inlineStr">
        <is>
          <t>216</t>
        </is>
      </c>
      <c r="D2446" t="inlineStr">
        <is>
          <t>1</t>
        </is>
      </c>
      <c r="E2446" t="inlineStr">
        <is>
          <t>12</t>
        </is>
      </c>
      <c r="F2446" t="inlineStr">
        <is>
          <t>0</t>
        </is>
      </c>
      <c r="G2446" t="inlineStr">
        <is>
          <t>18</t>
        </is>
      </c>
      <c r="H2446" t="inlineStr">
        <is>
          <t>18³, 54³</t>
        </is>
      </c>
      <c r="I2446" t="n">
        <v>6</v>
      </c>
      <c r="J2446" t="inlineStr">
        <is>
          <t>1², 2², 6¹</t>
        </is>
      </c>
      <c r="K2446">
        <f>HYPERLINK("CSG2.html#group18N2", "18N²"), =HYPERLINK("CSG2.html#group54A2", "54A²"), =HYPERLINK("CSG4.html#group27D4", "27D⁴"), =HYPERLINK("CSG4.html#group54B4", "54B⁴")</f>
        <v/>
      </c>
      <c r="L2446">
        <f>HYPERLINK("CSG22.html#group108B22", "108B²²")</f>
        <v/>
      </c>
      <c r="M2446">
        <f>HYPERLINK("CSG0.html#group3B0", "3B⁰"), =HYPERLINK("CSG0.html#group2A0", "2A⁰"), =HYPERLINK("CSG0.html#group9J0", "9J⁰"), =HYPERLINK("CSG4.html#group27D4", "27D⁴"), =HYPERLINK("CSG2.html#group27B2", "27B²"), =HYPERLINK("CSG0.html#group18B0", "18B⁰"), =HYPERLINK("CSG2.html#group18N2", "18N²"), =HYPERLINK("CSG4.html#group54B4", "54B⁴"), =HYPERLINK("CSG0.html#group6C0", "6C⁰"), =HYPERLINK("CSG1.html#group27B1", "27B¹"), =HYPERLINK("CSG2.html#group54A2", "54A²"), =HYPERLINK("CSG0.html#group9C0", "9C⁰"), =HYPERLINK("CSG0.html#group1A0", "1A⁰")</f>
        <v/>
      </c>
      <c r="N2446">
        <f>HYPERLINK("CSG22.html#group108B22", "108B²²")</f>
        <v/>
      </c>
    </row>
    <row r="2447">
      <c r="A2447" t="inlineStr">
        <is>
          <t>54D¹⁰</t>
        </is>
      </c>
      <c r="B2447" t="inlineStr"/>
      <c r="C2447" t="inlineStr">
        <is>
          <t>216</t>
        </is>
      </c>
      <c r="D2447" t="inlineStr">
        <is>
          <t>1</t>
        </is>
      </c>
      <c r="E2447" t="inlineStr">
        <is>
          <t>24</t>
        </is>
      </c>
      <c r="F2447" t="inlineStr">
        <is>
          <t>0</t>
        </is>
      </c>
      <c r="G2447" t="inlineStr">
        <is>
          <t>0</t>
        </is>
      </c>
      <c r="H2447" t="inlineStr">
        <is>
          <t>2⁹, 6⁶, 54³</t>
        </is>
      </c>
      <c r="I2447" t="n">
        <v>18</v>
      </c>
      <c r="J2447" t="inlineStr">
        <is>
          <t>2⁶, 6²</t>
        </is>
      </c>
      <c r="K2447">
        <f>HYPERLINK("CSG3.html#group18G3", "18G³"), =HYPERLINK("CSG3.html#group54B3", "54B³"), =HYPERLINK("CSG4.html#group54C4", "54C⁴")</f>
        <v/>
      </c>
      <c r="L2447" t="inlineStr"/>
      <c r="M2447">
        <f>HYPERLINK("CSG0.html#group3B0", "3B⁰"), =HYPERLINK("CSG0.html#group2A0", "2A⁰"), =HYPERLINK("CSG3.html#group18G3", "18G³"), =HYPERLINK("CSG3.html#group54B3", "54B³"), =HYPERLINK("CSG1.html#group18C1", "18C¹"), =HYPERLINK("CSG0.html#group6C0", "6C⁰"), =HYPERLINK("CSG0.html#group9B0", "9B⁰"), =HYPERLINK("CSG0.html#group9I0", "9I⁰"), =HYPERLINK("CSG4.html#group54C4", "54C⁴"), =HYPERLINK("CSG0.html#group1A0", "1A⁰")</f>
        <v/>
      </c>
      <c r="N2447" t="inlineStr"/>
    </row>
    <row r="2448">
      <c r="A2448" t="inlineStr">
        <is>
          <t>54E¹⁰</t>
        </is>
      </c>
      <c r="B2448" t="inlineStr"/>
      <c r="C2448" t="inlineStr">
        <is>
          <t>216</t>
        </is>
      </c>
      <c r="D2448" t="inlineStr">
        <is>
          <t>1</t>
        </is>
      </c>
      <c r="E2448" t="inlineStr">
        <is>
          <t>24</t>
        </is>
      </c>
      <c r="F2448" t="inlineStr">
        <is>
          <t>0</t>
        </is>
      </c>
      <c r="G2448" t="inlineStr">
        <is>
          <t>0</t>
        </is>
      </c>
      <c r="H2448" t="inlineStr">
        <is>
          <t>2⁹, 6⁶, 54³</t>
        </is>
      </c>
      <c r="I2448" t="n">
        <v>18</v>
      </c>
      <c r="J2448" t="inlineStr">
        <is>
          <t>1⁴, 2⁴, 6²</t>
        </is>
      </c>
      <c r="K2448">
        <f>HYPERLINK("CSG3.html#group18I3", "18I³"), =HYPERLINK("CSG3.html#group54B3", "54B³"), =HYPERLINK("CSG4.html#group54A4", "54A⁴")</f>
        <v/>
      </c>
      <c r="L2448" t="inlineStr"/>
      <c r="M2448">
        <f>HYPERLINK("CSG0.html#group3B0", "3B⁰"), =HYPERLINK("CSG0.html#group2A0", "2A⁰"), =HYPERLINK("CSG1.html#group27A1", "27A¹"), =HYPERLINK("CSG3.html#group54B3", "54B³"), =HYPERLINK("CSG1.html#group18C1", "18C¹"), =HYPERLINK("CSG0.html#group6C0", "6C⁰"), =HYPERLINK("CSG0.html#group9B0", "9B⁰"), =HYPERLINK("CSG4.html#group54A4", "54A⁴"), =HYPERLINK("CSG3.html#group18I3", "18I³"), =HYPERLINK("CSG0.html#group1A0", "1A⁰")</f>
        <v/>
      </c>
      <c r="N2448" t="inlineStr"/>
    </row>
    <row r="2449">
      <c r="A2449" t="inlineStr">
        <is>
          <t>54F¹⁰</t>
        </is>
      </c>
      <c r="B2449" t="inlineStr"/>
      <c r="C2449" t="inlineStr">
        <is>
          <t>216</t>
        </is>
      </c>
      <c r="D2449" t="inlineStr">
        <is>
          <t>1</t>
        </is>
      </c>
      <c r="E2449" t="inlineStr">
        <is>
          <t>24</t>
        </is>
      </c>
      <c r="F2449" t="inlineStr">
        <is>
          <t>0</t>
        </is>
      </c>
      <c r="G2449" t="inlineStr">
        <is>
          <t>18</t>
        </is>
      </c>
      <c r="H2449" t="inlineStr">
        <is>
          <t>18³, 54³</t>
        </is>
      </c>
      <c r="I2449" t="n">
        <v>6</v>
      </c>
      <c r="J2449" t="inlineStr">
        <is>
          <t>2⁶, 6²</t>
        </is>
      </c>
      <c r="K2449">
        <f>HYPERLINK("CSG1.html#group18K1", "18K¹"), =HYPERLINK("CSG2.html#group54A2", "54A²"), =HYPERLINK("CSG3.html#group54C3", "54C³"), =HYPERLINK("CSG4.html#group54D4", "54D⁴")</f>
        <v/>
      </c>
      <c r="L2449">
        <f>HYPERLINK("CSG22.html#group108C22", "108C²²")</f>
        <v/>
      </c>
      <c r="M2449">
        <f>HYPERLINK("CSG0.html#group3B0", "3B⁰"), =HYPERLINK("CSG0.html#group2A0", "2A⁰"), =HYPERLINK("CSG0.html#group18C0", "18C⁰"), =HYPERLINK("CSG0.html#group6A0", "6A⁰"), =HYPERLINK("CSG1.html#group18K1", "18K¹"), =HYPERLINK("CSG0.html#group18B0", "18B⁰"), =HYPERLINK("CSG0.html#group6C0", "6C⁰"), =HYPERLINK("CSG0.html#group6J0", "6J⁰"), =HYPERLINK("CSG4.html#group54D4", "54D⁴"), =HYPERLINK("CSG1.html#group27B1", "27B¹"), =HYPERLINK("CSG2.html#group54A2", "54A²"), =HYPERLINK("CSG0.html#group9C0", "9C⁰"), =HYPERLINK("CSG0.html#group1A0", "1A⁰"), =HYPERLINK("CSG3.html#group54C3", "54C³"), =HYPERLINK("CSG1.html#group18D1", "18D¹")</f>
        <v/>
      </c>
      <c r="N2449">
        <f>HYPERLINK("CSG22.html#group108C22", "108C²²")</f>
        <v/>
      </c>
    </row>
    <row r="2450">
      <c r="A2450" t="inlineStr">
        <is>
          <t>54G¹⁰</t>
        </is>
      </c>
      <c r="B2450" t="inlineStr"/>
      <c r="C2450" t="inlineStr">
        <is>
          <t>216</t>
        </is>
      </c>
      <c r="D2450" t="inlineStr">
        <is>
          <t>1</t>
        </is>
      </c>
      <c r="E2450" t="inlineStr">
        <is>
          <t>24</t>
        </is>
      </c>
      <c r="F2450" t="inlineStr">
        <is>
          <t>0</t>
        </is>
      </c>
      <c r="G2450" t="inlineStr">
        <is>
          <t>18</t>
        </is>
      </c>
      <c r="H2450" t="inlineStr">
        <is>
          <t>18³, 54³</t>
        </is>
      </c>
      <c r="I2450" t="n">
        <v>6</v>
      </c>
      <c r="J2450" t="inlineStr">
        <is>
          <t>1⁴, 2⁴, 6²</t>
        </is>
      </c>
      <c r="K2450">
        <f>HYPERLINK("CSG2.html#group18O2", "18O²"), =HYPERLINK("CSG2.html#group54A2", "54A²"), =HYPERLINK("CSG3.html#group54C3", "54C³")</f>
        <v/>
      </c>
      <c r="L2450">
        <f>HYPERLINK("CSG22.html#group108D22", "108D²²")</f>
        <v/>
      </c>
      <c r="M2450">
        <f>HYPERLINK("CSG0.html#group3B0", "3B⁰"), =HYPERLINK("CSG0.html#group2A0", "2A⁰"), =HYPERLINK("CSG0.html#group18B0", "18B⁰"), =HYPERLINK("CSG0.html#group6C0", "6C⁰"), =HYPERLINK("CSG0.html#group9C0", "9C⁰"), =HYPERLINK("CSG1.html#group27B1", "27B¹"), =HYPERLINK("CSG2.html#group54A2", "54A²"), =HYPERLINK("CSG2.html#group18O2", "18O²"), =HYPERLINK("CSG0.html#group1A0", "1A⁰"), =HYPERLINK("CSG3.html#group54C3", "54C³")</f>
        <v/>
      </c>
      <c r="N2450">
        <f>HYPERLINK("CSG22.html#group108D22", "108D²²")</f>
        <v/>
      </c>
    </row>
    <row r="2451">
      <c r="A2451" t="inlineStr">
        <is>
          <t>54H¹⁰</t>
        </is>
      </c>
      <c r="B2451" t="inlineStr"/>
      <c r="C2451" t="inlineStr">
        <is>
          <t>216</t>
        </is>
      </c>
      <c r="D2451" t="inlineStr">
        <is>
          <t>2</t>
        </is>
      </c>
      <c r="E2451" t="inlineStr">
        <is>
          <t>24</t>
        </is>
      </c>
      <c r="F2451" t="inlineStr">
        <is>
          <t>0</t>
        </is>
      </c>
      <c r="G2451" t="inlineStr">
        <is>
          <t>0</t>
        </is>
      </c>
      <c r="H2451" t="inlineStr">
        <is>
          <t>2⁹, 6⁶, 54³</t>
        </is>
      </c>
      <c r="I2451" t="n">
        <v>18</v>
      </c>
      <c r="J2451" t="inlineStr">
        <is>
          <t>2¹², 6⁴</t>
        </is>
      </c>
      <c r="K2451">
        <f>HYPERLINK("CSG3.html#group18I3", "18I³"), =HYPERLINK("CSG3.html#group54A3", "54A³"), =HYPERLINK("CSG3.html#group54B3", "54B³"), =HYPERLINK("CSG4.html#group54C4", "54C⁴")</f>
        <v/>
      </c>
      <c r="L2451" t="inlineStr"/>
      <c r="M2451">
        <f>HYPERLINK("CSG0.html#group3B0", "3B⁰"), =HYPERLINK("CSG0.html#group2A0", "2A⁰"), =HYPERLINK("CSG3.html#group54B3", "54B³"), =HYPERLINK("CSG1.html#group18C1", "18C¹"), =HYPERLINK("CSG0.html#group6C0", "6C⁰"), =HYPERLINK("CSG0.html#group9B0", "9B⁰"), =HYPERLINK("CSG0.html#group27A0", "27A⁰"), =HYPERLINK("CSG3.html#group54A3", "54A³"), =HYPERLINK("CSG4.html#group54C4", "54C⁴"), =HYPERLINK("CSG3.html#group18I3", "18I³"), =HYPERLINK("CSG0.html#group1A0", "1A⁰")</f>
        <v/>
      </c>
      <c r="N2451" t="inlineStr"/>
    </row>
    <row r="2452">
      <c r="A2452" t="inlineStr">
        <is>
          <t>54I¹⁰</t>
        </is>
      </c>
      <c r="B2452" t="inlineStr"/>
      <c r="C2452" t="inlineStr">
        <is>
          <t>324</t>
        </is>
      </c>
      <c r="D2452" t="inlineStr">
        <is>
          <t>1</t>
        </is>
      </c>
      <c r="E2452" t="inlineStr">
        <is>
          <t>36</t>
        </is>
      </c>
      <c r="F2452" t="inlineStr">
        <is>
          <t>0</t>
        </is>
      </c>
      <c r="G2452" t="inlineStr">
        <is>
          <t>0</t>
        </is>
      </c>
      <c r="H2452" t="inlineStr">
        <is>
          <t>1⁹, 2⁹, 3⁶, 6⁶, 27³, 54³</t>
        </is>
      </c>
      <c r="I2452" t="n">
        <v>36</v>
      </c>
      <c r="J2452" t="inlineStr">
        <is>
          <t>1⁶, 2⁶, 6³</t>
        </is>
      </c>
      <c r="K2452">
        <f>HYPERLINK("CSG1.html#group27C1", "27C¹"), =HYPERLINK("CSG2.html#group18Q2", "18Q²"), =HYPERLINK("CSG2.html#group54B2", "54B²"), =HYPERLINK("CSG4.html#group54E4", "54E⁴")</f>
        <v/>
      </c>
      <c r="L2452" t="inlineStr"/>
      <c r="M2452">
        <f>HYPERLINK("CSG0.html#group3B0", "3B⁰"), =HYPERLINK("CSG2.html#group54B2", "54B²"), =HYPERLINK("CSG2.html#group18Q2", "18Q²"), =HYPERLINK("CSG1.html#group27C1", "27C¹"), =HYPERLINK("CSG1.html#group27A1", "27A¹"), =HYPERLINK("CSG0.html#group18E0", "18E⁰"), =HYPERLINK("CSG0.html#group9B0", "9B⁰"), =HYPERLINK("CSG0.html#group9I0", "9I⁰"), =HYPERLINK("CSG0.html#group1A0", "1A⁰"), =HYPERLINK("CSG0.html#group2B0", "2B⁰"), =HYPERLINK("CSG0.html#group27A0", "27A⁰"), =HYPERLINK("CSG0.html#group6F0", "6F⁰"), =HYPERLINK("CSG4.html#group54E4", "54E⁴")</f>
        <v/>
      </c>
      <c r="N2452" t="inlineStr"/>
    </row>
    <row r="2453">
      <c r="A2453" t="inlineStr">
        <is>
          <t>55A¹⁰</t>
        </is>
      </c>
      <c r="B2453" t="inlineStr"/>
      <c r="C2453" t="inlineStr">
        <is>
          <t>132</t>
        </is>
      </c>
      <c r="D2453" t="inlineStr">
        <is>
          <t>2</t>
        </is>
      </c>
      <c r="E2453" t="inlineStr">
        <is>
          <t>66</t>
        </is>
      </c>
      <c r="F2453" t="inlineStr">
        <is>
          <t>0</t>
        </is>
      </c>
      <c r="G2453" t="inlineStr">
        <is>
          <t>0</t>
        </is>
      </c>
      <c r="H2453" t="inlineStr">
        <is>
          <t>11², 55²</t>
        </is>
      </c>
      <c r="I2453" t="n">
        <v>4</v>
      </c>
      <c r="J2453" t="inlineStr">
        <is>
          <t>2², 8¹, 10⁴, 40²</t>
        </is>
      </c>
      <c r="K2453">
        <f>HYPERLINK("CSG0.html#group5D0", "5D⁰"), =HYPERLINK("CSG4.html#group55A4", "55A⁴")</f>
        <v/>
      </c>
      <c r="L2453">
        <f>HYPERLINK("CSG21.html#group110A21", "110A²¹")</f>
        <v/>
      </c>
      <c r="M2453">
        <f>HYPERLINK("CSG0.html#group5B0", "5B⁰"), =HYPERLINK("CSG0.html#group11A0", "11A⁰"), =HYPERLINK("CSG0.html#group5D0", "5D⁰"), =HYPERLINK("CSG4.html#group55A4", "55A⁴"), =HYPERLINK("CSG0.html#group1A0", "1A⁰")</f>
        <v/>
      </c>
      <c r="N2453">
        <f>HYPERLINK("CSG21.html#group110A21", "110A²¹")</f>
        <v/>
      </c>
    </row>
    <row r="2454">
      <c r="A2454" t="inlineStr">
        <is>
          <t>56A¹⁰</t>
        </is>
      </c>
      <c r="B2454" t="inlineStr"/>
      <c r="C2454" t="inlineStr">
        <is>
          <t>168</t>
        </is>
      </c>
      <c r="D2454" t="inlineStr">
        <is>
          <t>2</t>
        </is>
      </c>
      <c r="E2454" t="inlineStr">
        <is>
          <t>42</t>
        </is>
      </c>
      <c r="F2454" t="inlineStr">
        <is>
          <t>8</t>
        </is>
      </c>
      <c r="G2454" t="inlineStr">
        <is>
          <t>0</t>
        </is>
      </c>
      <c r="H2454" t="inlineStr">
        <is>
          <t>14⁴, 56²</t>
        </is>
      </c>
      <c r="I2454" t="n">
        <v>6</v>
      </c>
      <c r="J2454" t="inlineStr">
        <is>
          <t>2², 4², 6⁴, 12⁴</t>
        </is>
      </c>
      <c r="K2454">
        <f>HYPERLINK("CSG4.html#group28C4", "28C⁴"), =HYPERLINK("CSG5.html#group56B5", "56B⁵"), =HYPERLINK("CSG5.html#group56C5", "56C⁵")</f>
        <v/>
      </c>
      <c r="L2454">
        <f>HYPERLINK("CSG21.html#group56J21", "56J²¹"), =HYPERLINK("CSG22.html#group112A22", "112A²²"), =HYPERLINK("CSG23.html#group56A23", "56A²³"), =HYPERLINK("CSG24.html#group112H24", "112H²⁴")</f>
        <v/>
      </c>
      <c r="M2454">
        <f>HYPERLINK("CSG2.html#group28C2", "28C²"), =HYPERLINK("CSG5.html#group56B5", "56B⁵"), =HYPERLINK("CSG0.html#group14A0", "14A⁰"), =HYPERLINK("CSG5.html#group56C5", "56C⁵"), =HYPERLINK("CSG4.html#group28C4", "28C⁴"), =HYPERLINK("CSG1.html#group14B1", "14B¹"), =HYPERLINK("CSG0.html#group8D0", "8D⁰"), =HYPERLINK("CSG2.html#group14C2", "14C²"), =HYPERLINK("CSG0.html#group4C0", "4C⁰"), =HYPERLINK("CSG0.html#group2B0", "2B⁰"), =HYPERLINK("CSG0.html#group1A0", "1A⁰"), =HYPERLINK("CSG2.html#group28B2", "28B²"), =HYPERLINK("CSG0.html#group7A0", "7A⁰")</f>
        <v/>
      </c>
      <c r="N2454">
        <f>HYPERLINK("CSG21.html#group56J21", "56J²¹"), =HYPERLINK("CSG23.html#group56A23", "56A²³"), =HYPERLINK("CSG24.html#group112H24", "112H²⁴"), =HYPERLINK("CSG22.html#group112A22", "112A²²")</f>
        <v/>
      </c>
    </row>
    <row r="2455">
      <c r="A2455" t="inlineStr">
        <is>
          <t>56B¹⁰</t>
        </is>
      </c>
      <c r="B2455" t="inlineStr"/>
      <c r="C2455" t="inlineStr">
        <is>
          <t>168</t>
        </is>
      </c>
      <c r="D2455" t="inlineStr">
        <is>
          <t>2</t>
        </is>
      </c>
      <c r="E2455" t="inlineStr">
        <is>
          <t>42</t>
        </is>
      </c>
      <c r="F2455" t="inlineStr">
        <is>
          <t>12</t>
        </is>
      </c>
      <c r="G2455" t="inlineStr">
        <is>
          <t>0</t>
        </is>
      </c>
      <c r="H2455" t="inlineStr">
        <is>
          <t>28², 56²</t>
        </is>
      </c>
      <c r="I2455" t="n">
        <v>4</v>
      </c>
      <c r="J2455" t="inlineStr">
        <is>
          <t>2², 4², 6⁴, 12⁴</t>
        </is>
      </c>
      <c r="K2455">
        <f>HYPERLINK("CSG4.html#group56B4", "56B⁴"), =HYPERLINK("CSG5.html#group28C5", "28C⁵"), =HYPERLINK("CSG5.html#group56B5", "56B⁵")</f>
        <v/>
      </c>
      <c r="L2455">
        <f>HYPERLINK("CSG21.html#group56J21", "56J²¹"), =HYPERLINK("CSG21.html#group112A21", "112A²¹"), =HYPERLINK("CSG22.html#group56F22", "56F²²"), =HYPERLINK("CSG22.html#group56G22", "56G²²"), =HYPERLINK("CSG23.html#group56D23", "56D²³"), =HYPERLINK("CSG23.html#group112D23", "112D²³"), =HYPERLINK("CSG24.html#group112M24", "112M²⁴"), =HYPERLINK("CSG24.html#group112N24", "112N²⁴")</f>
        <v/>
      </c>
      <c r="M2455">
        <f>HYPERLINK("CSG2.html#group28C2", "28C²"), =HYPERLINK("CSG5.html#group56B5", "56B⁵"), =HYPERLINK("CSG1.html#group14B1", "14B¹"), =HYPERLINK("CSG0.html#group4C0", "4C⁰"), =HYPERLINK("CSG0.html#group8B0", "8B⁰"), =HYPERLINK("CSG5.html#group28C5", "28C⁵"), =HYPERLINK("CSG0.html#group2B0", "2B⁰"), =HYPERLINK("CSG0.html#group1A0", "1A⁰"), =HYPERLINK("CSG0.html#group7A0", "7A⁰"), =HYPERLINK("CSG4.html#group56B4", "56B⁴")</f>
        <v/>
      </c>
      <c r="N2455">
        <f>HYPERLINK("CSG23.html#group112D23", "112D²³"), =HYPERLINK("CSG21.html#group56J21", "56J²¹"), =HYPERLINK("CSG21.html#group112A21", "112A²¹"), =HYPERLINK("CSG22.html#group56G22", "56G²²"), =HYPERLINK("CSG23.html#group56D23", "56D²³"), =HYPERLINK("CSG24.html#group112N24", "112N²⁴"), =HYPERLINK("CSG24.html#group112M24", "112M²⁴"), =HYPERLINK("CSG22.html#group56F22", "56F²²")</f>
        <v/>
      </c>
    </row>
    <row r="2456">
      <c r="A2456" t="inlineStr">
        <is>
          <t>56C¹⁰</t>
        </is>
      </c>
      <c r="B2456" t="inlineStr"/>
      <c r="C2456" t="inlineStr">
        <is>
          <t>168</t>
        </is>
      </c>
      <c r="D2456" t="inlineStr">
        <is>
          <t>2</t>
        </is>
      </c>
      <c r="E2456" t="inlineStr">
        <is>
          <t>42</t>
        </is>
      </c>
      <c r="F2456" t="inlineStr">
        <is>
          <t>12</t>
        </is>
      </c>
      <c r="G2456" t="inlineStr">
        <is>
          <t>0</t>
        </is>
      </c>
      <c r="H2456" t="inlineStr">
        <is>
          <t>28², 56²</t>
        </is>
      </c>
      <c r="I2456" t="n">
        <v>4</v>
      </c>
      <c r="J2456" t="inlineStr">
        <is>
          <t>2², 4², 6⁴, 12⁴</t>
        </is>
      </c>
      <c r="K2456">
        <f>HYPERLINK("CSG0.html#group8H0", "8H⁰"), =HYPERLINK("CSG4.html#group56B4", "56B⁴"), =HYPERLINK("CSG5.html#group28D5", "28D⁵"), =HYPERLINK("CSG5.html#group56C5", "56C⁵")</f>
        <v/>
      </c>
      <c r="L2456">
        <f>HYPERLINK("CSG21.html#group56J21", "56J²¹"), =HYPERLINK("CSG21.html#group112B21", "112B²¹"), =HYPERLINK("CSG22.html#group56D22", "56D²²"), =HYPERLINK("CSG22.html#group56E22", "56E²²"), =HYPERLINK("CSG23.html#group56D23", "56D²³"), =HYPERLINK("CSG23.html#group56I23", "56I²³"), =HYPERLINK("CSG23.html#group56J23", "56J²³"), =HYPERLINK("CSG23.html#group56M23", "56M²³"), =HYPERLINK("CSG23.html#group56N23", "56N²³"), =HYPERLINK("CSG23.html#group112E23", "112E²³"), =HYPERLINK("CSG23.html#group112H23", "112H²³"), =HYPERLINK("CSG23.html#group112I23", "112I²³"), =HYPERLINK("CSG23.html#group112J23", "112J²³"), =HYPERLINK("CSG23.html#group112K23", "112K²³"), =HYPERLINK("CSG24.html#group112K24", "112K²⁴"), =HYPERLINK("CSG24.html#group112L24", "112L²⁴")</f>
        <v/>
      </c>
      <c r="M2456">
        <f>HYPERLINK("CSG5.html#group56C5", "56C⁵"), =HYPERLINK("CSG1.html#group14B1", "14B¹"), =HYPERLINK("CSG0.html#group8D0", "8D⁰"), =HYPERLINK("CSG0.html#group4C0", "4C⁰"), =HYPERLINK("CSG0.html#group8B0", "8B⁰"), =HYPERLINK("CSG0.html#group2B0", "2B⁰"), =HYPERLINK("CSG0.html#group1A0", "1A⁰"), =HYPERLINK("CSG0.html#group8H0", "8H⁰"), =HYPERLINK("CSG2.html#group28C2", "28C²"), =HYPERLINK("CSG0.html#group4A0", "4A⁰"), =HYPERLINK("CSG5.html#group28D5", "28D⁵"), =HYPERLINK("CSG0.html#group4F0", "4F⁰"), =HYPERLINK("CSG1.html#group28A1", "28A¹"), =HYPERLINK("CSG0.html#group7A0", "7A⁰"), =HYPERLINK("CSG4.html#group56B4", "56B⁴")</f>
        <v/>
      </c>
      <c r="N2456">
        <f>HYPERLINK("CSG21.html#group56J21", "56J²¹"), =HYPERLINK("CSG21.html#group112B21", "112B²¹"), =HYPERLINK("CSG24.html#group112L24", "112L²⁴"), =HYPERLINK("CSG23.html#group56J23", "56J²³"), =HYPERLINK("CSG23.html#group112K23", "112K²³"), =HYPERLINK("CSG23.html#group56D23", "56D²³"), =HYPERLINK("CSG23.html#group112I23", "112I²³"), =HYPERLINK("CSG23.html#group56I23", "56I²³"), =HYPERLINK("CSG23.html#group112E23", "112E²³"), =HYPERLINK("CSG23.html#group56N23", "56N²³"), =HYPERLINK("CSG23.html#group112H23", "112H²³"), =HYPERLINK("CSG22.html#group56E22", "56E²²"), =HYPERLINK("CSG23.html#group56M23", "56M²³"), =HYPERLINK("CSG23.html#group112J23", "112J²³"), =HYPERLINK("CSG22.html#group56D22", "56D²²"), =HYPERLINK("CSG24.html#group112K24", "112K²⁴")</f>
        <v/>
      </c>
    </row>
    <row r="2457">
      <c r="A2457" t="inlineStr">
        <is>
          <t>56D¹⁰</t>
        </is>
      </c>
      <c r="B2457" t="inlineStr"/>
      <c r="C2457" t="inlineStr">
        <is>
          <t>168</t>
        </is>
      </c>
      <c r="D2457" t="inlineStr">
        <is>
          <t>2</t>
        </is>
      </c>
      <c r="E2457" t="inlineStr">
        <is>
          <t>84</t>
        </is>
      </c>
      <c r="F2457" t="inlineStr">
        <is>
          <t>12</t>
        </is>
      </c>
      <c r="G2457" t="inlineStr">
        <is>
          <t>0</t>
        </is>
      </c>
      <c r="H2457" t="inlineStr">
        <is>
          <t>28², 56²</t>
        </is>
      </c>
      <c r="I2457" t="n">
        <v>4</v>
      </c>
      <c r="J2457" t="inlineStr">
        <is>
          <t>2⁴, 4², 6⁸, 8¹, 12⁴, 24²</t>
        </is>
      </c>
      <c r="K2457">
        <f>HYPERLINK("CSG4.html#group56B4", "56B⁴")</f>
        <v/>
      </c>
      <c r="L2457">
        <f>HYPERLINK("CSG21.html#group56K21", "56K²¹"), =HYPERLINK("CSG21.html#group112C21", "112C²¹"), =HYPERLINK("CSG22.html#group56D22", "56D²²"), =HYPERLINK("CSG22.html#group56F22", "56F²²"), =HYPERLINK("CSG22.html#group56G22", "56G²²"), =HYPERLINK("CSG23.html#group56H23", "56H²³"), =HYPERLINK("CSG23.html#group112M23", "112M²³"), =HYPERLINK("CSG24.html#group112Q24", "112Q²⁴"), =HYPERLINK("CSG24.html#group112R24", "112R²⁴"), =HYPERLINK("CSG24.html#group112O24", "112O²⁴"), =HYPERLINK("CSG24.html#group112P24", "112P²⁴")</f>
        <v/>
      </c>
      <c r="M2457">
        <f>HYPERLINK("CSG2.html#group28C2", "28C²"), =HYPERLINK("CSG1.html#group14B1", "14B¹"), =HYPERLINK("CSG0.html#group4C0", "4C⁰"), =HYPERLINK("CSG0.html#group8B0", "8B⁰"), =HYPERLINK("CSG0.html#group2B0", "2B⁰"), =HYPERLINK("CSG0.html#group1A0", "1A⁰"), =HYPERLINK("CSG0.html#group7A0", "7A⁰"), =HYPERLINK("CSG4.html#group56B4", "56B⁴")</f>
        <v/>
      </c>
      <c r="N2457">
        <f>HYPERLINK("CSG21.html#group112C21", "112C²¹"), =HYPERLINK("CSG23.html#group56H23", "56H²³"), =HYPERLINK("CSG24.html#group112Q24", "112Q²⁴"), =HYPERLINK("CSG24.html#group112P24", "112P²⁴"), =HYPERLINK("CSG24.html#group112R24", "112R²⁴"), =HYPERLINK("CSG23.html#group112M23", "112M²³"), =HYPERLINK("CSG22.html#group56D22", "56D²²"), =HYPERLINK("CSG22.html#group56G22", "56G²²"), =HYPERLINK("CSG21.html#group56K21", "56K²¹"), =HYPERLINK("CSG24.html#group112O24", "112O²⁴"), =HYPERLINK("CSG22.html#group56F22", "56F²²")</f>
        <v/>
      </c>
    </row>
    <row r="2458">
      <c r="A2458" t="inlineStr">
        <is>
          <t>56E¹⁰</t>
        </is>
      </c>
      <c r="B2458" t="inlineStr"/>
      <c r="C2458" t="inlineStr">
        <is>
          <t>168</t>
        </is>
      </c>
      <c r="D2458" t="inlineStr">
        <is>
          <t>2</t>
        </is>
      </c>
      <c r="E2458" t="inlineStr">
        <is>
          <t>84</t>
        </is>
      </c>
      <c r="F2458" t="inlineStr">
        <is>
          <t>12</t>
        </is>
      </c>
      <c r="G2458" t="inlineStr">
        <is>
          <t>0</t>
        </is>
      </c>
      <c r="H2458" t="inlineStr">
        <is>
          <t>28², 56²</t>
        </is>
      </c>
      <c r="I2458" t="n">
        <v>4</v>
      </c>
      <c r="J2458" t="inlineStr">
        <is>
          <t>2⁴, 4², 6⁸, 8¹, 12⁴, 24²</t>
        </is>
      </c>
      <c r="K2458">
        <f>HYPERLINK("CSG0.html#group8L0", "8L⁰"), =HYPERLINK("CSG4.html#group56B4", "56B⁴")</f>
        <v/>
      </c>
      <c r="L2458">
        <f>HYPERLINK("CSG21.html#group56K21", "56K²¹"), =HYPERLINK("CSG21.html#group112D21", "112D²¹"), =HYPERLINK("CSG22.html#group56E22", "56E²²"), =HYPERLINK("CSG22.html#group56F22", "56F²²"), =HYPERLINK("CSG22.html#group56G22", "56G²²"), =HYPERLINK("CSG23.html#group56H23", "56H²³"), =HYPERLINK("CSG23.html#group112N23", "112N²³"), =HYPERLINK("CSG24.html#group112S24", "112S²⁴"), =HYPERLINK("CSG24.html#group112T24", "112T²⁴"), =HYPERLINK("CSG24.html#group112U24", "112U²⁴"), =HYPERLINK("CSG24.html#group112V24", "112V²⁴")</f>
        <v/>
      </c>
      <c r="M2458">
        <f>HYPERLINK("CSG2.html#group28C2", "28C²"), =HYPERLINK("CSG1.html#group14B1", "14B¹"), =HYPERLINK("CSG0.html#group4C0", "4C⁰"), =HYPERLINK("CSG0.html#group8B0", "8B⁰"), =HYPERLINK("CSG0.html#group8L0", "8L⁰"), =HYPERLINK("CSG0.html#group2B0", "2B⁰"), =HYPERLINK("CSG0.html#group1A0", "1A⁰"), =HYPERLINK("CSG0.html#group7A0", "7A⁰"), =HYPERLINK("CSG4.html#group56B4", "56B⁴")</f>
        <v/>
      </c>
      <c r="N2458">
        <f>HYPERLINK("CSG23.html#group56H23", "56H²³"), =HYPERLINK("CSG22.html#group56E22", "56E²²"), =HYPERLINK("CSG24.html#group112S24", "112S²⁴"), =HYPERLINK("CSG23.html#group112N23", "112N²³"), =HYPERLINK("CSG21.html#group112D21", "112D²¹"), =HYPERLINK("CSG24.html#group112U24", "112U²⁴"), =HYPERLINK("CSG24.html#group112T24", "112T²⁴"), =HYPERLINK("CSG22.html#group56G22", "56G²²"), =HYPERLINK("CSG24.html#group112V24", "112V²⁴"), =HYPERLINK("CSG21.html#group56K21", "56K²¹"), =HYPERLINK("CSG22.html#group56F22", "56F²²")</f>
        <v/>
      </c>
    </row>
    <row r="2459">
      <c r="A2459" t="inlineStr">
        <is>
          <t>56F¹⁰</t>
        </is>
      </c>
      <c r="B2459" t="inlineStr"/>
      <c r="C2459" t="inlineStr">
        <is>
          <t>288</t>
        </is>
      </c>
      <c r="D2459" t="inlineStr">
        <is>
          <t>1</t>
        </is>
      </c>
      <c r="E2459" t="inlineStr">
        <is>
          <t>24</t>
        </is>
      </c>
      <c r="F2459" t="inlineStr">
        <is>
          <t>0</t>
        </is>
      </c>
      <c r="G2459" t="inlineStr">
        <is>
          <t>0</t>
        </is>
      </c>
      <c r="H2459" t="inlineStr">
        <is>
          <t>1¹², 7¹², 8³, 56³</t>
        </is>
      </c>
      <c r="I2459" t="n">
        <v>30</v>
      </c>
      <c r="J2459" t="inlineStr">
        <is>
          <t>1⁶, 6³</t>
        </is>
      </c>
      <c r="K2459">
        <f>HYPERLINK("CSG4.html#group28F4", "28F⁴"), =HYPERLINK("CSG4.html#group56C4", "56C⁴")</f>
        <v/>
      </c>
      <c r="L2459" t="inlineStr"/>
      <c r="M2459">
        <f>HYPERLINK("CSG4.html#group56C4", "56C⁴"), =HYPERLINK("CSG4.html#group28F4", "28F⁴"), =HYPERLINK("CSG0.html#group7B0", "7B⁰"), =HYPERLINK("CSG2.html#group28D2", "28D²"), =HYPERLINK("CSG1.html#group14C1", "14C¹"), =HYPERLINK("CSG1.html#group14H1", "14H¹"), =HYPERLINK("CSG0.html#group2B0", "2B⁰"), =HYPERLINK("CSG0.html#group7E0", "7E⁰"), =HYPERLINK("CSG0.html#group4B0", "4B⁰"), =HYPERLINK("CSG0.html#group1A0", "1A⁰")</f>
        <v/>
      </c>
      <c r="N2459" t="inlineStr"/>
    </row>
    <row r="2460">
      <c r="A2460" t="inlineStr">
        <is>
          <t>57A¹⁰</t>
        </is>
      </c>
      <c r="B2460" t="inlineStr"/>
      <c r="C2460" t="inlineStr">
        <is>
          <t>171</t>
        </is>
      </c>
      <c r="D2460" t="inlineStr">
        <is>
          <t>2</t>
        </is>
      </c>
      <c r="E2460" t="inlineStr">
        <is>
          <t>57</t>
        </is>
      </c>
      <c r="F2460" t="inlineStr">
        <is>
          <t>15</t>
        </is>
      </c>
      <c r="G2460" t="inlineStr">
        <is>
          <t>0</t>
        </is>
      </c>
      <c r="H2460" t="inlineStr">
        <is>
          <t>57³</t>
        </is>
      </c>
      <c r="I2460" t="n">
        <v>3</v>
      </c>
      <c r="J2460" t="inlineStr">
        <is>
          <t>6¹, 18⁶</t>
        </is>
      </c>
      <c r="K2460">
        <f>HYPERLINK("CSG0.html#group3A0", "3A⁰"), =HYPERLINK("CSG2.html#group19A2", "19A²")</f>
        <v/>
      </c>
      <c r="L2460">
        <f>HYPERLINK("CSG23.html#group114A23", "114A²³"), =HYPERLINK("CSG24.html#group57A24", "57A²⁴")</f>
        <v/>
      </c>
      <c r="M2460">
        <f>HYPERLINK("CSG0.html#group3A0", "3A⁰"), =HYPERLINK("CSG0.html#group1A0", "1A⁰"), =HYPERLINK("CSG2.html#group19A2", "19A²")</f>
        <v/>
      </c>
      <c r="N2460">
        <f>HYPERLINK("CSG23.html#group114A23", "114A²³"), =HYPERLINK("CSG24.html#group57A24", "57A²⁴")</f>
        <v/>
      </c>
    </row>
    <row r="2461">
      <c r="A2461" t="inlineStr">
        <is>
          <t>57B¹⁰</t>
        </is>
      </c>
      <c r="B2461" t="inlineStr"/>
      <c r="C2461" t="inlineStr">
        <is>
          <t>180</t>
        </is>
      </c>
      <c r="D2461" t="inlineStr">
        <is>
          <t>2</t>
        </is>
      </c>
      <c r="E2461" t="inlineStr">
        <is>
          <t>20</t>
        </is>
      </c>
      <c r="F2461" t="inlineStr">
        <is>
          <t>0</t>
        </is>
      </c>
      <c r="G2461" t="inlineStr">
        <is>
          <t>9</t>
        </is>
      </c>
      <c r="H2461" t="inlineStr">
        <is>
          <t>3³, 57³</t>
        </is>
      </c>
      <c r="I2461" t="n">
        <v>6</v>
      </c>
      <c r="J2461" t="inlineStr">
        <is>
          <t>2², 36¹</t>
        </is>
      </c>
      <c r="K2461">
        <f>HYPERLINK("CSG1.html#group19B1", "19B¹")</f>
        <v/>
      </c>
      <c r="L2461">
        <f>HYPERLINK("CSG22.html#group114B22", "114B²²")</f>
        <v/>
      </c>
      <c r="M2461">
        <f>HYPERLINK("CSG1.html#group19A1", "19A¹"), =HYPERLINK("CSG0.html#group1A0", "1A⁰"), =HYPERLINK("CSG1.html#group19B1", "19B¹")</f>
        <v/>
      </c>
      <c r="N2461">
        <f>HYPERLINK("CSG22.html#group114B22", "114B²²")</f>
        <v/>
      </c>
    </row>
    <row r="2462">
      <c r="A2462" t="inlineStr">
        <is>
          <t>60A¹⁰</t>
        </is>
      </c>
      <c r="B2462" t="inlineStr"/>
      <c r="C2462" t="inlineStr">
        <is>
          <t>120</t>
        </is>
      </c>
      <c r="D2462" t="inlineStr">
        <is>
          <t>1</t>
        </is>
      </c>
      <c r="E2462" t="inlineStr">
        <is>
          <t>20</t>
        </is>
      </c>
      <c r="F2462" t="inlineStr">
        <is>
          <t>0</t>
        </is>
      </c>
      <c r="G2462" t="inlineStr">
        <is>
          <t>0</t>
        </is>
      </c>
      <c r="H2462" t="inlineStr">
        <is>
          <t>60²</t>
        </is>
      </c>
      <c r="I2462" t="n">
        <v>2</v>
      </c>
      <c r="J2462" t="inlineStr">
        <is>
          <t>2², 8²</t>
        </is>
      </c>
      <c r="K2462">
        <f>HYPERLINK("CSG2.html#group12A2", "12A²"), =HYPERLINK("CSG2.html#group20D2", "20D²"), =HYPERLINK("CSG3.html#group30A3", "30A³"), =HYPERLINK("CSG4.html#group60A4", "60A⁴")</f>
        <v/>
      </c>
      <c r="L2462">
        <f>HYPERLINK("CSG19.html#group60G19", "60G¹⁹"), =HYPERLINK("CSG20.html#group120A20", "120A²⁰"), =HYPERLINK("CSG20.html#group120B20", "120B²⁰")</f>
        <v/>
      </c>
      <c r="M2462">
        <f>HYPERLINK("CSG0.html#group2A0", "2A⁰"), =HYPERLINK("CSG3.html#group30A3", "30A³"), =HYPERLINK("CSG0.html#group5A0", "5A⁰"), =HYPERLINK("CSG1.html#group20A1", "20A¹"), =HYPERLINK("CSG0.html#group1A0", "1A⁰"), =HYPERLINK("CSG0.html#group12A0", "12A⁰"), =HYPERLINK("CSG2.html#group20D2", "20D²"), =HYPERLINK("CSG0.html#group10A0", "10A⁰"), =HYPERLINK("CSG0.html#group4A0", "4A⁰"), =HYPERLINK("CSG0.html#group4D0", "4D⁰"), =HYPERLINK("CSG4.html#group60A4", "60A⁴"), =HYPERLINK("CSG2.html#group12A2", "12A²"), =HYPERLINK("CSG1.html#group6A1", "6A¹"), =HYPERLINK("CSG0.html#group3A0", "3A⁰"), =HYPERLINK("CSG1.html#group15A1", "15A¹")</f>
        <v/>
      </c>
      <c r="N2462">
        <f>HYPERLINK("CSG19.html#group60G19", "60G¹⁹"), =HYPERLINK("CSG20.html#group120A20", "120A²⁰"), =HYPERLINK("CSG20.html#group120B20", "120B²⁰")</f>
        <v/>
      </c>
    </row>
    <row r="2463">
      <c r="A2463" t="inlineStr">
        <is>
          <t>60B¹⁰</t>
        </is>
      </c>
      <c r="B2463" t="inlineStr"/>
      <c r="C2463" t="inlineStr">
        <is>
          <t>180</t>
        </is>
      </c>
      <c r="D2463" t="inlineStr">
        <is>
          <t>1</t>
        </is>
      </c>
      <c r="E2463" t="inlineStr">
        <is>
          <t>20</t>
        </is>
      </c>
      <c r="F2463" t="inlineStr">
        <is>
          <t>18</t>
        </is>
      </c>
      <c r="G2463" t="inlineStr">
        <is>
          <t>0</t>
        </is>
      </c>
      <c r="H2463" t="inlineStr">
        <is>
          <t>60³</t>
        </is>
      </c>
      <c r="I2463" t="n">
        <v>3</v>
      </c>
      <c r="J2463" t="inlineStr">
        <is>
          <t>2², 8²</t>
        </is>
      </c>
      <c r="K2463">
        <f>HYPERLINK("CSG1.html#group15F1", "15F¹"), =HYPERLINK("CSG3.html#group20D3", "20D³"), =HYPERLINK("CSG3.html#group60A3", "60A³"), =HYPERLINK("CSG4.html#group60A4", "60A⁴")</f>
        <v/>
      </c>
      <c r="L2463">
        <f>HYPERLINK("CSG22.html#group60B22", "60B²²"), =HYPERLINK("CSG22.html#group60C22", "60C²²"), =HYPERLINK("CSG23.html#group60J23", "60J²³"), =HYPERLINK("CSG24.html#group60A24", "60A²⁴")</f>
        <v/>
      </c>
      <c r="M2463">
        <f>HYPERLINK("CSG0.html#group5A0", "5A⁰"), =HYPERLINK("CSG0.html#group12A0", "12A⁰"), =HYPERLINK("CSG0.html#group4A0", "4A⁰"), =HYPERLINK("CSG4.html#group60A4", "60A⁴"), =HYPERLINK("CSG1.html#group15F1", "15F¹"), =HYPERLINK("CSG3.html#group20D3", "20D³"), =HYPERLINK("CSG0.html#group5E0", "5E⁰"), =HYPERLINK("CSG1.html#group20A1", "20A¹"), =HYPERLINK("CSG0.html#group15A0", "15A⁰"), =HYPERLINK("CSG0.html#group3A0", "3A⁰"), =HYPERLINK("CSG0.html#group1A0", "1A⁰"), =HYPERLINK("CSG1.html#group15A1", "15A¹"), =HYPERLINK("CSG3.html#group60A3", "60A³")</f>
        <v/>
      </c>
      <c r="N2463">
        <f>HYPERLINK("CSG22.html#group60B22", "60B²²"), =HYPERLINK("CSG22.html#group60C22", "60C²²"), =HYPERLINK("CSG23.html#group60J23", "60J²³"), =HYPERLINK("CSG24.html#group60A24", "60A²⁴")</f>
        <v/>
      </c>
    </row>
    <row r="2464">
      <c r="A2464" t="inlineStr">
        <is>
          <t>60C¹⁰</t>
        </is>
      </c>
      <c r="B2464" t="inlineStr"/>
      <c r="C2464" t="inlineStr">
        <is>
          <t>180</t>
        </is>
      </c>
      <c r="D2464" t="inlineStr">
        <is>
          <t>1</t>
        </is>
      </c>
      <c r="E2464" t="inlineStr">
        <is>
          <t>30</t>
        </is>
      </c>
      <c r="F2464" t="inlineStr">
        <is>
          <t>12</t>
        </is>
      </c>
      <c r="G2464" t="inlineStr">
        <is>
          <t>0</t>
        </is>
      </c>
      <c r="H2464" t="inlineStr">
        <is>
          <t>15⁴, 60²</t>
        </is>
      </c>
      <c r="I2464" t="n">
        <v>6</v>
      </c>
      <c r="J2464" t="inlineStr">
        <is>
          <t>2³, 4⁶</t>
        </is>
      </c>
      <c r="K2464">
        <f>HYPERLINK("CSG2.html#group20F2", "20F²"), =HYPERLINK("CSG5.html#group30K5", "30K⁵")</f>
        <v/>
      </c>
      <c r="L2464">
        <f>HYPERLINK("CSG21.html#group60U21", "60U²¹"), =HYPERLINK("CSG21.html#group60V21", "60V²¹"), =HYPERLINK("CSG23.html#group60E23", "60E²³"), =HYPERLINK("CSG23.html#group60H23", "60H²³"), =HYPERLINK("CSG23.html#group120O23", "120O²³"), =HYPERLINK("CSG23.html#group120P23", "120P²³")</f>
        <v/>
      </c>
      <c r="M2464">
        <f>HYPERLINK("CSG5.html#group30K5", "30K⁵"), =HYPERLINK("CSG1.html#group15D1", "15D¹"), =HYPERLINK("CSG0.html#group1A0", "1A⁰"), =HYPERLINK("CSG0.html#group2B0", "2B⁰"), =HYPERLINK("CSG2.html#group20F2", "20F²"), =HYPERLINK("CSG0.html#group3A0", "3A⁰"), =HYPERLINK("CSG0.html#group5C0", "5C⁰"), =HYPERLINK("CSG0.html#group6D0", "6D⁰"), =HYPERLINK("CSG1.html#group10F1", "10F¹")</f>
        <v/>
      </c>
      <c r="N2464">
        <f>HYPERLINK("CSG23.html#group60E23", "60E²³"), =HYPERLINK("CSG21.html#group60V21", "60V²¹"), =HYPERLINK("CSG23.html#group60H23", "60H²³"), =HYPERLINK("CSG23.html#group120O23", "120O²³"), =HYPERLINK("CSG23.html#group120P23", "120P²³"), =HYPERLINK("CSG21.html#group60U21", "60U²¹")</f>
        <v/>
      </c>
    </row>
    <row r="2465">
      <c r="A2465" t="inlineStr">
        <is>
          <t>63A¹⁰</t>
        </is>
      </c>
      <c r="B2465" t="inlineStr"/>
      <c r="C2465" t="inlineStr">
        <is>
          <t>168</t>
        </is>
      </c>
      <c r="D2465" t="inlineStr">
        <is>
          <t>2</t>
        </is>
      </c>
      <c r="E2465" t="inlineStr">
        <is>
          <t>56</t>
        </is>
      </c>
      <c r="F2465" t="inlineStr">
        <is>
          <t>0</t>
        </is>
      </c>
      <c r="G2465" t="inlineStr">
        <is>
          <t>3</t>
        </is>
      </c>
      <c r="H2465" t="inlineStr">
        <is>
          <t>7⁶, 63²</t>
        </is>
      </c>
      <c r="I2465" t="n">
        <v>8</v>
      </c>
      <c r="J2465" t="inlineStr">
        <is>
          <t>4⁴, 12⁸</t>
        </is>
      </c>
      <c r="K2465">
        <f>HYPERLINK("CSG3.html#group21B3", "21B³")</f>
        <v/>
      </c>
      <c r="L2465">
        <f>HYPERLINK("CSG23.html#group126K23", "126K²³")</f>
        <v/>
      </c>
      <c r="M2465">
        <f>HYPERLINK("CSG3.html#group21B3", "21B³"), =HYPERLINK("CSG0.html#group3B0", "3B⁰"), =HYPERLINK("CSG2.html#group21B2", "21B²"), =HYPERLINK("CSG0.html#group1A0", "1A⁰"), =HYPERLINK("CSG0.html#group7C0", "7C⁰"), =HYPERLINK("CSG0.html#group7A0", "7A⁰")</f>
        <v/>
      </c>
      <c r="N2465">
        <f>HYPERLINK("CSG23.html#group126K23", "126K²³")</f>
        <v/>
      </c>
    </row>
    <row r="2466">
      <c r="A2466" t="inlineStr">
        <is>
          <t>63B¹⁰</t>
        </is>
      </c>
      <c r="B2466" t="inlineStr"/>
      <c r="C2466" t="inlineStr">
        <is>
          <t>189</t>
        </is>
      </c>
      <c r="D2466" t="inlineStr">
        <is>
          <t>2</t>
        </is>
      </c>
      <c r="E2466" t="inlineStr">
        <is>
          <t>189</t>
        </is>
      </c>
      <c r="F2466" t="inlineStr">
        <is>
          <t>21</t>
        </is>
      </c>
      <c r="G2466" t="inlineStr">
        <is>
          <t>0</t>
        </is>
      </c>
      <c r="H2466" t="inlineStr">
        <is>
          <t>63³</t>
        </is>
      </c>
      <c r="I2466" t="n">
        <v>3</v>
      </c>
      <c r="J2466" t="inlineStr">
        <is>
          <t>6¹, 12⁴, 18², 36⁸</t>
        </is>
      </c>
      <c r="K2466">
        <f>HYPERLINK("CSG0.html#group9G0", "9G⁰"), =HYPERLINK("CSG2.html#group63A2", "63A²")</f>
        <v/>
      </c>
      <c r="L2466">
        <f>HYPERLINK("CSG22.html#group126A22", "126A²²"), =HYPERLINK("CSG23.html#group63A23", "63A²³"), =HYPERLINK("CSG24.html#group63E24", "63E²⁴"), =HYPERLINK("CSG24.html#group63D24", "63D²⁴"), =HYPERLINK("CSG24.html#group126C24", "126C²⁴")</f>
        <v/>
      </c>
      <c r="M2466">
        <f>HYPERLINK("CSG0.html#group9A0", "9A⁰"), =HYPERLINK("CSG0.html#group9G0", "9G⁰"), =HYPERLINK("CSG0.html#group21A0", "21A⁰"), =HYPERLINK("CSG0.html#group7A0", "7A⁰"), =HYPERLINK("CSG0.html#group3A0", "3A⁰"), =HYPERLINK("CSG0.html#group1A0", "1A⁰"), =HYPERLINK("CSG2.html#group63A2", "63A²")</f>
        <v/>
      </c>
      <c r="N2466">
        <f>HYPERLINK("CSG22.html#group126A22", "126A²²"), =HYPERLINK("CSG23.html#group63A23", "63A²³"), =HYPERLINK("CSG24.html#group63D24", "63D²⁴"), =HYPERLINK("CSG24.html#group126C24", "126C²⁴"), =HYPERLINK("CSG24.html#group63E24", "63E²⁴")</f>
        <v/>
      </c>
    </row>
    <row r="2467">
      <c r="A2467" t="inlineStr">
        <is>
          <t>66A¹⁰</t>
        </is>
      </c>
      <c r="B2467" t="inlineStr"/>
      <c r="C2467" t="inlineStr">
        <is>
          <t>132</t>
        </is>
      </c>
      <c r="D2467" t="inlineStr">
        <is>
          <t>2</t>
        </is>
      </c>
      <c r="E2467" t="inlineStr">
        <is>
          <t>132</t>
        </is>
      </c>
      <c r="F2467" t="inlineStr">
        <is>
          <t>0</t>
        </is>
      </c>
      <c r="G2467" t="inlineStr">
        <is>
          <t>0</t>
        </is>
      </c>
      <c r="H2467" t="inlineStr">
        <is>
          <t>11¹, 22¹, 33¹, 66¹</t>
        </is>
      </c>
      <c r="I2467" t="n">
        <v>4</v>
      </c>
      <c r="J2467" t="inlineStr">
        <is>
          <t>2⁶, 4³, 10¹², 20⁶</t>
        </is>
      </c>
      <c r="K2467">
        <f>HYPERLINK("CSG0.html#group6F0", "6F⁰"), =HYPERLINK("CSG2.html#group22B2", "22B²"), =HYPERLINK("CSG3.html#group33B3", "33B³")</f>
        <v/>
      </c>
      <c r="L2467">
        <f>HYPERLINK("CSG20.html#group66A20", "66A²⁰"), =HYPERLINK("CSG20.html#group132B20", "132B²⁰"), =HYPERLINK("CSG21.html#group132A21", "132A²¹")</f>
        <v/>
      </c>
      <c r="M2467">
        <f>HYPERLINK("CSG0.html#group11A0", "11A⁰"), =HYPERLINK("CSG0.html#group3B0", "3B⁰"), =HYPERLINK("CSG3.html#group33B3", "33B³"), =HYPERLINK("CSG0.html#group1A0", "1A⁰"), =HYPERLINK("CSG0.html#group2B0", "2B⁰"), =HYPERLINK("CSG2.html#group22B2", "22B²"), =HYPERLINK("CSG0.html#group6F0", "6F⁰")</f>
        <v/>
      </c>
      <c r="N2467">
        <f>HYPERLINK("CSG20.html#group66A20", "66A²⁰"), =HYPERLINK("CSG20.html#group132B20", "132B²⁰"), =HYPERLINK("CSG21.html#group132A21", "132A²¹")</f>
        <v/>
      </c>
    </row>
    <row r="2468">
      <c r="A2468" t="inlineStr">
        <is>
          <t>70A¹⁰</t>
        </is>
      </c>
      <c r="B2468" t="inlineStr"/>
      <c r="C2468" t="inlineStr">
        <is>
          <t>140</t>
        </is>
      </c>
      <c r="D2468" t="inlineStr">
        <is>
          <t>2</t>
        </is>
      </c>
      <c r="E2468" t="inlineStr">
        <is>
          <t>70</t>
        </is>
      </c>
      <c r="F2468" t="inlineStr">
        <is>
          <t>4</t>
        </is>
      </c>
      <c r="G2468" t="inlineStr">
        <is>
          <t>2</t>
        </is>
      </c>
      <c r="H2468" t="inlineStr">
        <is>
          <t>70²</t>
        </is>
      </c>
      <c r="I2468" t="n">
        <v>2</v>
      </c>
      <c r="J2468" t="inlineStr">
        <is>
          <t>4¹, 8², 12², 24⁴</t>
        </is>
      </c>
      <c r="K2468">
        <f>HYPERLINK("CSG4.html#group35B4", "35B⁴")</f>
        <v/>
      </c>
      <c r="L2468">
        <f>HYPERLINK("CSG19.html#group70D19", "70D¹⁹"), =HYPERLINK("CSG21.html#group70B21", "70B²¹"), =HYPERLINK("CSG21.html#group70D21", "70D²¹")</f>
        <v/>
      </c>
      <c r="M2468">
        <f>HYPERLINK("CSG0.html#group5C0", "5C⁰"), =HYPERLINK("CSG0.html#group1A0", "1A⁰"), =HYPERLINK("CSG4.html#group35B4", "35B⁴"), =HYPERLINK("CSG0.html#group7A0", "7A⁰")</f>
        <v/>
      </c>
      <c r="N2468">
        <f>HYPERLINK("CSG21.html#group70B21", "70B²¹"), =HYPERLINK("CSG19.html#group70D19", "70D¹⁹"), =HYPERLINK("CSG21.html#group70D21", "70D²¹")</f>
        <v/>
      </c>
    </row>
    <row r="2469">
      <c r="A2469" t="inlineStr">
        <is>
          <t>72A¹⁰</t>
        </is>
      </c>
      <c r="B2469" t="inlineStr"/>
      <c r="C2469" t="inlineStr">
        <is>
          <t>144</t>
        </is>
      </c>
      <c r="D2469" t="inlineStr">
        <is>
          <t>1</t>
        </is>
      </c>
      <c r="E2469" t="inlineStr">
        <is>
          <t>12</t>
        </is>
      </c>
      <c r="F2469" t="inlineStr">
        <is>
          <t>0</t>
        </is>
      </c>
      <c r="G2469" t="inlineStr">
        <is>
          <t>0</t>
        </is>
      </c>
      <c r="H2469" t="inlineStr">
        <is>
          <t>6², 18², 24¹, 72¹</t>
        </is>
      </c>
      <c r="I2469" t="n">
        <v>6</v>
      </c>
      <c r="J2469" t="inlineStr">
        <is>
          <t>1⁶, 2³</t>
        </is>
      </c>
      <c r="K2469">
        <f>HYPERLINK("CSG2.html#group24F2", "24F²"), =HYPERLINK("CSG4.html#group36F4", "36F⁴")</f>
        <v/>
      </c>
      <c r="L2469">
        <f>HYPERLINK("CSG19.html#group72A19", "72A¹⁹"), =HYPERLINK("CSG19.html#group72E19", "72E¹⁹")</f>
        <v/>
      </c>
      <c r="M2469">
        <f>HYPERLINK("CSG0.html#group3B0", "3B⁰"), =HYPERLINK("CSG0.html#group4B0", "4B⁰"), =HYPERLINK("CSG2.html#group18D2", "18D²"), =HYPERLINK("CSG4.html#group36F4", "36F⁴"), =HYPERLINK("CSG0.html#group2B0", "2B⁰"), =HYPERLINK("CSG0.html#group1A0", "1A⁰"), =HYPERLINK("CSG0.html#group9C0", "9C⁰"), =HYPERLINK("CSG2.html#group24F2", "24F²"), =HYPERLINK("CSG0.html#group6F0", "6F⁰"), =HYPERLINK("CSG0.html#group12E0", "12E⁰")</f>
        <v/>
      </c>
      <c r="N2469">
        <f>HYPERLINK("CSG19.html#group72A19", "72A¹⁹"), =HYPERLINK("CSG19.html#group72E19", "72E¹⁹")</f>
        <v/>
      </c>
    </row>
    <row r="2470">
      <c r="A2470" t="inlineStr">
        <is>
          <t>72B¹⁰</t>
        </is>
      </c>
      <c r="B2470" t="inlineStr"/>
      <c r="C2470" t="inlineStr">
        <is>
          <t>144</t>
        </is>
      </c>
      <c r="D2470" t="inlineStr">
        <is>
          <t>1</t>
        </is>
      </c>
      <c r="E2470" t="inlineStr">
        <is>
          <t>12</t>
        </is>
      </c>
      <c r="F2470" t="inlineStr">
        <is>
          <t>0</t>
        </is>
      </c>
      <c r="G2470" t="inlineStr">
        <is>
          <t>0</t>
        </is>
      </c>
      <c r="H2470" t="inlineStr">
        <is>
          <t>6², 18², 24¹, 72¹</t>
        </is>
      </c>
      <c r="I2470" t="n">
        <v>6</v>
      </c>
      <c r="J2470" t="inlineStr">
        <is>
          <t>1⁶, 2³</t>
        </is>
      </c>
      <c r="K2470">
        <f>HYPERLINK("CSG2.html#group24F2", "24F²"), =HYPERLINK("CSG4.html#group36G4", "36G⁴")</f>
        <v/>
      </c>
      <c r="L2470">
        <f>HYPERLINK("CSG19.html#group72B19", "72B¹⁹"), =HYPERLINK("CSG19.html#group72F19", "72F¹⁹")</f>
        <v/>
      </c>
      <c r="M2470">
        <f>HYPERLINK("CSG0.html#group3B0", "3B⁰"), =HYPERLINK("CSG0.html#group4B0", "4B⁰"), =HYPERLINK("CSG1.html#group9A1", "9A¹"), =HYPERLINK("CSG2.html#group18E2", "18E²"), =HYPERLINK("CSG4.html#group36G4", "36G⁴"), =HYPERLINK("CSG0.html#group1A0", "1A⁰"), =HYPERLINK("CSG0.html#group2B0", "2B⁰"), =HYPERLINK("CSG2.html#group24F2", "24F²"), =HYPERLINK("CSG0.html#group6F0", "6F⁰"), =HYPERLINK("CSG0.html#group12E0", "12E⁰")</f>
        <v/>
      </c>
      <c r="N2470">
        <f>HYPERLINK("CSG19.html#group72B19", "72B¹⁹"), =HYPERLINK("CSG19.html#group72F19", "72F¹⁹")</f>
        <v/>
      </c>
    </row>
    <row r="2471">
      <c r="A2471" t="inlineStr">
        <is>
          <t>72C¹⁰</t>
        </is>
      </c>
      <c r="B2471" t="inlineStr"/>
      <c r="C2471" t="inlineStr">
        <is>
          <t>144</t>
        </is>
      </c>
      <c r="D2471" t="inlineStr">
        <is>
          <t>1</t>
        </is>
      </c>
      <c r="E2471" t="inlineStr">
        <is>
          <t>24</t>
        </is>
      </c>
      <c r="F2471" t="inlineStr">
        <is>
          <t>0</t>
        </is>
      </c>
      <c r="G2471" t="inlineStr">
        <is>
          <t>0</t>
        </is>
      </c>
      <c r="H2471" t="inlineStr">
        <is>
          <t>6², 18², 24¹, 72¹</t>
        </is>
      </c>
      <c r="I2471" t="n">
        <v>6</v>
      </c>
      <c r="J2471" t="inlineStr">
        <is>
          <t>1⁴, 2⁶, 4²</t>
        </is>
      </c>
      <c r="K2471">
        <f>HYPERLINK("CSG2.html#group24I2", "24I²"), =HYPERLINK("CSG5.html#group36A5", "36A⁵")</f>
        <v/>
      </c>
      <c r="L2471">
        <f>HYPERLINK("CSG19.html#group72C19", "72C¹⁹"), =HYPERLINK("CSG20.html#group144A20", "144A²⁰"), =HYPERLINK("CSG21.html#group72E21", "72E²¹"), =HYPERLINK("CSG21.html#group72G21", "72G²¹"), =HYPERLINK("CSG22.html#group144A22", "144A²²")</f>
        <v/>
      </c>
      <c r="M2471">
        <f>HYPERLINK("CSG0.html#group3B0", "3B⁰"), =HYPERLINK("CSG2.html#group24I2", "24I²"), =HYPERLINK("CSG0.html#group8D0", "8D⁰"), =HYPERLINK("CSG1.html#group12F1", "12F¹"), =HYPERLINK("CSG0.html#group4C0", "4C⁰"), =HYPERLINK("CSG0.html#group9C0", "9C⁰"), =HYPERLINK("CSG0.html#group6F0", "6F⁰"), =HYPERLINK("CSG2.html#group18D2", "18D²"), =HYPERLINK("CSG0.html#group2B0", "2B⁰"), =HYPERLINK("CSG5.html#group36A5", "36A⁵"), =HYPERLINK("CSG0.html#group1A0", "1A⁰")</f>
        <v/>
      </c>
      <c r="N2471">
        <f>HYPERLINK("CSG21.html#group72E21", "72E²¹"), =HYPERLINK("CSG19.html#group72C19", "72C¹⁹"), =HYPERLINK("CSG21.html#group72G21", "72G²¹"), =HYPERLINK("CSG22.html#group144A22", "144A²²"), =HYPERLINK("CSG20.html#group144A20", "144A²⁰")</f>
        <v/>
      </c>
    </row>
    <row r="2472">
      <c r="A2472" t="inlineStr">
        <is>
          <t>72D¹⁰</t>
        </is>
      </c>
      <c r="B2472" t="inlineStr"/>
      <c r="C2472" t="inlineStr">
        <is>
          <t>144</t>
        </is>
      </c>
      <c r="D2472" t="inlineStr">
        <is>
          <t>1</t>
        </is>
      </c>
      <c r="E2472" t="inlineStr">
        <is>
          <t>24</t>
        </is>
      </c>
      <c r="F2472" t="inlineStr">
        <is>
          <t>0</t>
        </is>
      </c>
      <c r="G2472" t="inlineStr">
        <is>
          <t>0</t>
        </is>
      </c>
      <c r="H2472" t="inlineStr">
        <is>
          <t>6², 18², 24¹, 72¹</t>
        </is>
      </c>
      <c r="I2472" t="n">
        <v>6</v>
      </c>
      <c r="J2472" t="inlineStr">
        <is>
          <t>1⁴, 2⁶, 4²</t>
        </is>
      </c>
      <c r="K2472">
        <f>HYPERLINK("CSG2.html#group24I2", "24I²"), =HYPERLINK("CSG5.html#group36B5", "36B⁵")</f>
        <v/>
      </c>
      <c r="L2472">
        <f>HYPERLINK("CSG19.html#group72D19", "72D¹⁹"), =HYPERLINK("CSG20.html#group144B20", "144B²⁰"), =HYPERLINK("CSG21.html#group72F21", "72F²¹"), =HYPERLINK("CSG21.html#group72H21", "72H²¹"), =HYPERLINK("CSG22.html#group144B22", "144B²²")</f>
        <v/>
      </c>
      <c r="M2472">
        <f>HYPERLINK("CSG0.html#group3B0", "3B⁰"), =HYPERLINK("CSG2.html#group24I2", "24I²"), =HYPERLINK("CSG0.html#group8D0", "8D⁰"), =HYPERLINK("CSG1.html#group12F1", "12F¹"), =HYPERLINK("CSG0.html#group4C0", "4C⁰"), =HYPERLINK("CSG2.html#group18E2", "18E²"), =HYPERLINK("CSG1.html#group9A1", "9A¹"), =HYPERLINK("CSG0.html#group6F0", "6F⁰"), =HYPERLINK("CSG5.html#group36B5", "36B⁵"), =HYPERLINK("CSG0.html#group2B0", "2B⁰"), =HYPERLINK("CSG0.html#group1A0", "1A⁰")</f>
        <v/>
      </c>
      <c r="N2472">
        <f>HYPERLINK("CSG21.html#group72F21", "72F²¹"), =HYPERLINK("CSG22.html#group144B22", "144B²²"), =HYPERLINK("CSG19.html#group72D19", "72D¹⁹"), =HYPERLINK("CSG21.html#group72H21", "72H²¹"), =HYPERLINK("CSG20.html#group144B20", "144B²⁰")</f>
        <v/>
      </c>
    </row>
    <row r="2473">
      <c r="A2473" t="inlineStr">
        <is>
          <t>72E¹⁰</t>
        </is>
      </c>
      <c r="B2473" t="inlineStr"/>
      <c r="C2473" t="inlineStr">
        <is>
          <t>144</t>
        </is>
      </c>
      <c r="D2473" t="inlineStr">
        <is>
          <t>1</t>
        </is>
      </c>
      <c r="E2473" t="inlineStr">
        <is>
          <t>36</t>
        </is>
      </c>
      <c r="F2473" t="inlineStr">
        <is>
          <t>8</t>
        </is>
      </c>
      <c r="G2473" t="inlineStr">
        <is>
          <t>0</t>
        </is>
      </c>
      <c r="H2473" t="inlineStr">
        <is>
          <t>72²</t>
        </is>
      </c>
      <c r="I2473" t="n">
        <v>2</v>
      </c>
      <c r="J2473" t="inlineStr">
        <is>
          <t>4², 8², 24²</t>
        </is>
      </c>
      <c r="K2473">
        <f>HYPERLINK("CSG2.html#group24G2", "24G²"), =HYPERLINK("CSG4.html#group36L4", "36L⁴"), =HYPERLINK("CSG4.html#group72D4", "72D⁴")</f>
        <v/>
      </c>
      <c r="L2473">
        <f>HYPERLINK("CSG21.html#group72Q21", "72Q²¹"), =HYPERLINK("CSG22.html#group144C22", "144C²²"), =HYPERLINK("CSG23.html#group72A23", "72A²³")</f>
        <v/>
      </c>
      <c r="M2473">
        <f>HYPERLINK("CSG1.html#group36A1", "36A¹"), =HYPERLINK("CSG0.html#group12A0", "12A⁰"), =HYPERLINK("CSG0.html#group6B0", "6B⁰"), =HYPERLINK("CSG0.html#group4A0", "4A⁰"), =HYPERLINK("CSG0.html#group9A0", "9A⁰"), =HYPERLINK("CSG0.html#group12F0", "12F⁰"), =HYPERLINK("CSG1.html#group24B1", "24B¹"), =HYPERLINK("CSG4.html#group72D4", "72D⁴"), =HYPERLINK("CSG0.html#group3A0", "3A⁰"), =HYPERLINK("CSG0.html#group1A0", "1A⁰"), =HYPERLINK("CSG2.html#group24G2", "24G²"), =HYPERLINK("CSG1.html#group18A1", "18A¹"), =HYPERLINK("CSG4.html#group36L4", "36L⁴")</f>
        <v/>
      </c>
      <c r="N2473">
        <f>HYPERLINK("CSG23.html#group72A23", "72A²³"), =HYPERLINK("CSG21.html#group72Q21", "72Q²¹"), =HYPERLINK("CSG22.html#group144C22", "144C²²")</f>
        <v/>
      </c>
    </row>
    <row r="2474">
      <c r="A2474" t="inlineStr">
        <is>
          <t>72F¹⁰</t>
        </is>
      </c>
      <c r="B2474" t="inlineStr"/>
      <c r="C2474" t="inlineStr">
        <is>
          <t>144</t>
        </is>
      </c>
      <c r="D2474" t="inlineStr">
        <is>
          <t>1</t>
        </is>
      </c>
      <c r="E2474" t="inlineStr">
        <is>
          <t>36</t>
        </is>
      </c>
      <c r="F2474" t="inlineStr">
        <is>
          <t>8</t>
        </is>
      </c>
      <c r="G2474" t="inlineStr">
        <is>
          <t>0</t>
        </is>
      </c>
      <c r="H2474" t="inlineStr">
        <is>
          <t>72²</t>
        </is>
      </c>
      <c r="I2474" t="n">
        <v>2</v>
      </c>
      <c r="J2474" t="inlineStr">
        <is>
          <t>4², 8², 24²</t>
        </is>
      </c>
      <c r="K2474">
        <f>HYPERLINK("CSG2.html#group24H2", "24H²"), =HYPERLINK("CSG4.html#group36L4", "36L⁴"), =HYPERLINK("CSG4.html#group72C4", "72C⁴")</f>
        <v/>
      </c>
      <c r="L2474">
        <f>HYPERLINK("CSG21.html#group72P21", "72P²¹"), =HYPERLINK("CSG22.html#group144F22", "144F²²"), =HYPERLINK("CSG23.html#group72A23", "72A²³")</f>
        <v/>
      </c>
      <c r="M2474">
        <f>HYPERLINK("CSG1.html#group36A1", "36A¹"), =HYPERLINK("CSG0.html#group12A0", "12A⁰"), =HYPERLINK("CSG0.html#group6B0", "6B⁰"), =HYPERLINK("CSG0.html#group4A0", "4A⁰"), =HYPERLINK("CSG0.html#group9A0", "9A⁰"), =HYPERLINK("CSG0.html#group12F0", "12F⁰"), =HYPERLINK("CSG4.html#group72C4", "72C⁴"), =HYPERLINK("CSG1.html#group24B1", "24B¹"), =HYPERLINK("CSG0.html#group3A0", "3A⁰"), =HYPERLINK("CSG0.html#group1A0", "1A⁰"), =HYPERLINK("CSG1.html#group18A1", "18A¹"), =HYPERLINK("CSG2.html#group24H2", "24H²"), =HYPERLINK("CSG4.html#group36L4", "36L⁴")</f>
        <v/>
      </c>
      <c r="N2474">
        <f>HYPERLINK("CSG23.html#group72A23", "72A²³"), =HYPERLINK("CSG21.html#group72P21", "72P²¹"), =HYPERLINK("CSG22.html#group144F22", "144F²²")</f>
        <v/>
      </c>
    </row>
    <row r="2475">
      <c r="A2475" t="inlineStr">
        <is>
          <t>72G¹⁰</t>
        </is>
      </c>
      <c r="B2475" t="inlineStr"/>
      <c r="C2475" t="inlineStr">
        <is>
          <t>144</t>
        </is>
      </c>
      <c r="D2475" t="inlineStr">
        <is>
          <t>1</t>
        </is>
      </c>
      <c r="E2475" t="inlineStr">
        <is>
          <t>72</t>
        </is>
      </c>
      <c r="F2475" t="inlineStr">
        <is>
          <t>8</t>
        </is>
      </c>
      <c r="G2475" t="inlineStr">
        <is>
          <t>0</t>
        </is>
      </c>
      <c r="H2475" t="inlineStr">
        <is>
          <t>72²</t>
        </is>
      </c>
      <c r="I2475" t="n">
        <v>2</v>
      </c>
      <c r="J2475" t="inlineStr">
        <is>
          <t>8⁶, 24⁴</t>
        </is>
      </c>
      <c r="K2475">
        <f>HYPERLINK("CSG2.html#group24G2", "24G²"), =HYPERLINK("CSG4.html#group36N4", "36N⁴")</f>
        <v/>
      </c>
      <c r="L2475">
        <f>HYPERLINK("CSG21.html#group72T21", "72T²¹"), =HYPERLINK("CSG22.html#group144D22", "144D²²"), =HYPERLINK("CSG22.html#group144E22", "144E²²"), =HYPERLINK("CSG23.html#group72D23", "72D²³")</f>
        <v/>
      </c>
      <c r="M2475">
        <f>HYPERLINK("CSG4.html#group36N4", "36N⁴"), =HYPERLINK("CSG0.html#group12A0", "12A⁰"), =HYPERLINK("CSG0.html#group6B0", "6B⁰"), =HYPERLINK("CSG0.html#group4A0", "4A⁰"), =HYPERLINK("CSG0.html#group12F0", "12F⁰"), =HYPERLINK("CSG1.html#group18B1", "18B¹"), =HYPERLINK("CSG1.html#group24B1", "24B¹"), =HYPERLINK("CSG0.html#group3A0", "3A⁰"), =HYPERLINK("CSG0.html#group1A0", "1A⁰"), =HYPERLINK("CSG2.html#group24G2", "24G²")</f>
        <v/>
      </c>
      <c r="N2475">
        <f>HYPERLINK("CSG22.html#group144D22", "144D²²"), =HYPERLINK("CSG21.html#group72T21", "72T²¹"), =HYPERLINK("CSG22.html#group144E22", "144E²²"), =HYPERLINK("CSG23.html#group72D23", "72D²³")</f>
        <v/>
      </c>
    </row>
    <row r="2476">
      <c r="A2476" t="inlineStr">
        <is>
          <t>72H¹⁰</t>
        </is>
      </c>
      <c r="B2476" t="inlineStr"/>
      <c r="C2476" t="inlineStr">
        <is>
          <t>144</t>
        </is>
      </c>
      <c r="D2476" t="inlineStr">
        <is>
          <t>1</t>
        </is>
      </c>
      <c r="E2476" t="inlineStr">
        <is>
          <t>72</t>
        </is>
      </c>
      <c r="F2476" t="inlineStr">
        <is>
          <t>8</t>
        </is>
      </c>
      <c r="G2476" t="inlineStr">
        <is>
          <t>0</t>
        </is>
      </c>
      <c r="H2476" t="inlineStr">
        <is>
          <t>72²</t>
        </is>
      </c>
      <c r="I2476" t="n">
        <v>2</v>
      </c>
      <c r="J2476" t="inlineStr">
        <is>
          <t>8⁶, 24⁴</t>
        </is>
      </c>
      <c r="K2476">
        <f>HYPERLINK("CSG2.html#group24H2", "24H²"), =HYPERLINK("CSG4.html#group36N4", "36N⁴")</f>
        <v/>
      </c>
      <c r="L2476">
        <f>HYPERLINK("CSG21.html#group72U21", "72U²¹"), =HYPERLINK("CSG22.html#group144G22", "144G²²"), =HYPERLINK("CSG22.html#group144H22", "144H²²"), =HYPERLINK("CSG23.html#group72D23", "72D²³")</f>
        <v/>
      </c>
      <c r="M2476">
        <f>HYPERLINK("CSG4.html#group36N4", "36N⁴"), =HYPERLINK("CSG0.html#group12A0", "12A⁰"), =HYPERLINK("CSG0.html#group6B0", "6B⁰"), =HYPERLINK("CSG0.html#group4A0", "4A⁰"), =HYPERLINK("CSG0.html#group12F0", "12F⁰"), =HYPERLINK("CSG1.html#group18B1", "18B¹"), =HYPERLINK("CSG1.html#group24B1", "24B¹"), =HYPERLINK("CSG0.html#group3A0", "3A⁰"), =HYPERLINK("CSG0.html#group1A0", "1A⁰"), =HYPERLINK("CSG2.html#group24H2", "24H²")</f>
        <v/>
      </c>
      <c r="N2476">
        <f>HYPERLINK("CSG23.html#group72D23", "72D²³"), =HYPERLINK("CSG22.html#group144G22", "144G²²"), =HYPERLINK("CSG21.html#group72U21", "72U²¹"), =HYPERLINK("CSG22.html#group144H22", "144H²²")</f>
        <v/>
      </c>
    </row>
    <row r="2477">
      <c r="A2477" t="inlineStr">
        <is>
          <t>72I¹⁰</t>
        </is>
      </c>
      <c r="B2477" t="inlineStr"/>
      <c r="C2477" t="inlineStr">
        <is>
          <t>144</t>
        </is>
      </c>
      <c r="D2477" t="inlineStr">
        <is>
          <t>2</t>
        </is>
      </c>
      <c r="E2477" t="inlineStr">
        <is>
          <t>36</t>
        </is>
      </c>
      <c r="F2477" t="inlineStr">
        <is>
          <t>8</t>
        </is>
      </c>
      <c r="G2477" t="inlineStr">
        <is>
          <t>0</t>
        </is>
      </c>
      <c r="H2477" t="inlineStr">
        <is>
          <t>72²</t>
        </is>
      </c>
      <c r="I2477" t="n">
        <v>2</v>
      </c>
      <c r="J2477" t="inlineStr">
        <is>
          <t>4², 8², 24²</t>
        </is>
      </c>
      <c r="K2477">
        <f>HYPERLINK("CSG2.html#group24K2", "24K²"), =HYPERLINK("CSG4.html#group36L4", "36L⁴"), =HYPERLINK("CSG4.html#group72A4", "72A⁴"), =HYPERLINK("CSG4.html#group72B4", "72B⁴")</f>
        <v/>
      </c>
      <c r="L2477">
        <f>HYPERLINK("CSG21.html#group72P21", "72P²¹"), =HYPERLINK("CSG21.html#group72Q21", "72Q²¹"), =HYPERLINK("CSG22.html#group144J22", "144J²²"), =HYPERLINK("CSG22.html#group144I22", "144I²²"), =HYPERLINK("CSG23.html#group72B23", "72B²³")</f>
        <v/>
      </c>
      <c r="M2477">
        <f>HYPERLINK("CSG0.html#group6B0", "6B⁰"), =HYPERLINK("CSG4.html#group72B4", "72B⁴"), =HYPERLINK("CSG0.html#group12F0", "12F⁰"), =HYPERLINK("CSG0.html#group8A0", "8A⁰"), =HYPERLINK("CSG1.html#group24B1", "24B¹"), =HYPERLINK("CSG0.html#group1A0", "1A⁰"), =HYPERLINK("CSG4.html#group72A4", "72A⁴"), =HYPERLINK("CSG1.html#group36A1", "36A¹"), =HYPERLINK("CSG0.html#group12A0", "12A⁰"), =HYPERLINK("CSG2.html#group24K2", "24K²"), =HYPERLINK("CSG1.html#group24A1", "24A¹"), =HYPERLINK("CSG0.html#group4A0", "4A⁰"), =HYPERLINK("CSG0.html#group9A0", "9A⁰"), =HYPERLINK("CSG0.html#group3A0", "3A⁰"), =HYPERLINK("CSG1.html#group18A1", "18A¹"), =HYPERLINK("CSG4.html#group36L4", "36L⁴")</f>
        <v/>
      </c>
      <c r="N2477">
        <f>HYPERLINK("CSG21.html#group72Q21", "72Q²¹"), =HYPERLINK("CSG22.html#group144I22", "144I²²"), =HYPERLINK("CSG23.html#group72B23", "72B²³"), =HYPERLINK("CSG22.html#group144J22", "144J²²"), =HYPERLINK("CSG21.html#group72P21", "72P²¹")</f>
        <v/>
      </c>
    </row>
    <row r="2478">
      <c r="A2478" t="inlineStr">
        <is>
          <t>72J¹⁰</t>
        </is>
      </c>
      <c r="B2478" t="inlineStr"/>
      <c r="C2478" t="inlineStr">
        <is>
          <t>144</t>
        </is>
      </c>
      <c r="D2478" t="inlineStr">
        <is>
          <t>2</t>
        </is>
      </c>
      <c r="E2478" t="inlineStr">
        <is>
          <t>72</t>
        </is>
      </c>
      <c r="F2478" t="inlineStr">
        <is>
          <t>4</t>
        </is>
      </c>
      <c r="G2478" t="inlineStr">
        <is>
          <t>0</t>
        </is>
      </c>
      <c r="H2478" t="inlineStr">
        <is>
          <t>24³, 72¹</t>
        </is>
      </c>
      <c r="I2478" t="n">
        <v>4</v>
      </c>
      <c r="J2478" t="inlineStr">
        <is>
          <t>4², 8², 12², 24⁴</t>
        </is>
      </c>
      <c r="K2478">
        <f>HYPERLINK("CSG3.html#group24D3", "24D³"), =HYPERLINK("CSG4.html#group36M4", "36M⁴")</f>
        <v/>
      </c>
      <c r="L2478">
        <f>HYPERLINK("CSG19.html#group72T19", "72T¹⁹"), =HYPERLINK("CSG21.html#group72M21", "72M²¹"), =HYPERLINK("CSG21.html#group72O21", "72O²¹")</f>
        <v/>
      </c>
      <c r="M2478">
        <f>HYPERLINK("CSG1.html#group12G1", "12G¹"), =HYPERLINK("CSG0.html#group12A0", "12A⁰"), =HYPERLINK("CSG3.html#group24D3", "24D³"), =HYPERLINK("CSG0.html#group4A0", "4A⁰"), =HYPERLINK("CSG4.html#group36M4", "36M⁴"), =HYPERLINK("CSG0.html#group3C0", "3C⁰"), =HYPERLINK("CSG1.html#group24B1", "24B¹"), =HYPERLINK("CSG0.html#group9E0", "9E⁰"), =HYPERLINK("CSG0.html#group3A0", "3A⁰"), =HYPERLINK("CSG0.html#group1A0", "1A⁰")</f>
        <v/>
      </c>
      <c r="N2478">
        <f>HYPERLINK("CSG19.html#group72T19", "72T¹⁹"), =HYPERLINK("CSG21.html#group72O21", "72O²¹"), =HYPERLINK("CSG21.html#group72M21", "72M²¹")</f>
        <v/>
      </c>
    </row>
    <row r="2479">
      <c r="A2479" t="inlineStr">
        <is>
          <t>72K¹⁰</t>
        </is>
      </c>
      <c r="B2479" t="inlineStr"/>
      <c r="C2479" t="inlineStr">
        <is>
          <t>144</t>
        </is>
      </c>
      <c r="D2479" t="inlineStr">
        <is>
          <t>2</t>
        </is>
      </c>
      <c r="E2479" t="inlineStr">
        <is>
          <t>72</t>
        </is>
      </c>
      <c r="F2479" t="inlineStr">
        <is>
          <t>4</t>
        </is>
      </c>
      <c r="G2479" t="inlineStr">
        <is>
          <t>0</t>
        </is>
      </c>
      <c r="H2479" t="inlineStr">
        <is>
          <t>24³, 72¹</t>
        </is>
      </c>
      <c r="I2479" t="n">
        <v>4</v>
      </c>
      <c r="J2479" t="inlineStr">
        <is>
          <t>4², 8², 12², 24⁴</t>
        </is>
      </c>
      <c r="K2479">
        <f>HYPERLINK("CSG3.html#group24E3", "24E³"), =HYPERLINK("CSG4.html#group36M4", "36M⁴")</f>
        <v/>
      </c>
      <c r="L2479">
        <f>HYPERLINK("CSG19.html#group72T19", "72T¹⁹"), =HYPERLINK("CSG21.html#group72N21", "72N²¹"), =HYPERLINK("CSG21.html#group72O21", "72O²¹"), =HYPERLINK("CSG22.html#group144L22", "144L²²"), =HYPERLINK("CSG22.html#group144K22", "144K²²")</f>
        <v/>
      </c>
      <c r="M2479">
        <f>HYPERLINK("CSG1.html#group12G1", "12G¹"), =HYPERLINK("CSG3.html#group24E3", "24E³"), =HYPERLINK("CSG0.html#group12A0", "12A⁰"), =HYPERLINK("CSG1.html#group24A1", "24A¹"), =HYPERLINK("CSG0.html#group4A0", "4A⁰"), =HYPERLINK("CSG0.html#group8A0", "8A⁰"), =HYPERLINK("CSG4.html#group36M4", "36M⁴"), =HYPERLINK("CSG0.html#group3C0", "3C⁰"), =HYPERLINK("CSG1.html#group24B1", "24B¹"), =HYPERLINK("CSG0.html#group9E0", "9E⁰"), =HYPERLINK("CSG0.html#group3A0", "3A⁰"), =HYPERLINK("CSG0.html#group1A0", "1A⁰")</f>
        <v/>
      </c>
      <c r="N2479">
        <f>HYPERLINK("CSG22.html#group144K22", "144K²²"), =HYPERLINK("CSG21.html#group72O21", "72O²¹"), =HYPERLINK("CSG19.html#group72T19", "72T¹⁹"), =HYPERLINK("CSG22.html#group144L22", "144L²²"), =HYPERLINK("CSG21.html#group72N21", "72N²¹")</f>
        <v/>
      </c>
    </row>
    <row r="2480">
      <c r="A2480" t="inlineStr">
        <is>
          <t>72L¹⁰</t>
        </is>
      </c>
      <c r="B2480" t="inlineStr"/>
      <c r="C2480" t="inlineStr">
        <is>
          <t>144</t>
        </is>
      </c>
      <c r="D2480" t="inlineStr">
        <is>
          <t>2</t>
        </is>
      </c>
      <c r="E2480" t="inlineStr">
        <is>
          <t>72</t>
        </is>
      </c>
      <c r="F2480" t="inlineStr">
        <is>
          <t>8</t>
        </is>
      </c>
      <c r="G2480" t="inlineStr">
        <is>
          <t>0</t>
        </is>
      </c>
      <c r="H2480" t="inlineStr">
        <is>
          <t>72²</t>
        </is>
      </c>
      <c r="I2480" t="n">
        <v>2</v>
      </c>
      <c r="J2480" t="inlineStr">
        <is>
          <t>8⁶, 24⁴</t>
        </is>
      </c>
      <c r="K2480">
        <f>HYPERLINK("CSG2.html#group24K2", "24K²"), =HYPERLINK("CSG4.html#group36N4", "36N⁴")</f>
        <v/>
      </c>
      <c r="L2480">
        <f>HYPERLINK("CSG21.html#group72T21", "72T²¹"), =HYPERLINK("CSG21.html#group72U21", "72U²¹"), =HYPERLINK("CSG22.html#group144N22", "144N²²"), =HYPERLINK("CSG22.html#group144M22", "144M²²"), =HYPERLINK("CSG23.html#group72C23", "72C²³")</f>
        <v/>
      </c>
      <c r="M2480">
        <f>HYPERLINK("CSG4.html#group36N4", "36N⁴"), =HYPERLINK("CSG0.html#group12A0", "12A⁰"), =HYPERLINK("CSG2.html#group24K2", "24K²"), =HYPERLINK("CSG0.html#group6B0", "6B⁰"), =HYPERLINK("CSG1.html#group24A1", "24A¹"), =HYPERLINK("CSG0.html#group4A0", "4A⁰"), =HYPERLINK("CSG0.html#group12F0", "12F⁰"), =HYPERLINK("CSG1.html#group18B1", "18B¹"), =HYPERLINK("CSG0.html#group8A0", "8A⁰"), =HYPERLINK("CSG1.html#group24B1", "24B¹"), =HYPERLINK("CSG0.html#group3A0", "3A⁰"), =HYPERLINK("CSG0.html#group1A0", "1A⁰")</f>
        <v/>
      </c>
      <c r="N2480">
        <f>HYPERLINK("CSG22.html#group144N22", "144N²²"), =HYPERLINK("CSG22.html#group144M22", "144M²²"), =HYPERLINK("CSG21.html#group72T21", "72T²¹"), =HYPERLINK("CSG23.html#group72C23", "72C²³"), =HYPERLINK("CSG21.html#group72U21", "72U²¹")</f>
        <v/>
      </c>
    </row>
    <row r="2481">
      <c r="A2481" t="inlineStr">
        <is>
          <t>74A¹⁰</t>
        </is>
      </c>
      <c r="B2481" t="inlineStr"/>
      <c r="C2481" t="inlineStr">
        <is>
          <t>228</t>
        </is>
      </c>
      <c r="D2481" t="inlineStr">
        <is>
          <t>1</t>
        </is>
      </c>
      <c r="E2481" t="inlineStr">
        <is>
          <t>38</t>
        </is>
      </c>
      <c r="F2481" t="inlineStr">
        <is>
          <t>12</t>
        </is>
      </c>
      <c r="G2481" t="inlineStr">
        <is>
          <t>12</t>
        </is>
      </c>
      <c r="H2481" t="inlineStr">
        <is>
          <t>2³, 74³</t>
        </is>
      </c>
      <c r="I2481" t="n">
        <v>6</v>
      </c>
      <c r="J2481" t="inlineStr">
        <is>
          <t>1², 36¹</t>
        </is>
      </c>
      <c r="K2481">
        <f>HYPERLINK("CSG4.html#group37B4", "37B⁴"), =HYPERLINK("CSG4.html#group74A4", "74A⁴")</f>
        <v/>
      </c>
      <c r="L2481" t="inlineStr"/>
      <c r="M2481">
        <f>HYPERLINK("CSG2.html#group37A2", "37A²"), =HYPERLINK("CSG4.html#group37B4", "37B⁴"), =HYPERLINK("CSG0.html#group1A0", "1A⁰"), =HYPERLINK("CSG4.html#group74A4", "74A⁴")</f>
        <v/>
      </c>
      <c r="N2481" t="inlineStr"/>
    </row>
    <row r="2482">
      <c r="A2482" t="inlineStr">
        <is>
          <t>75A¹⁰</t>
        </is>
      </c>
      <c r="B2482" t="inlineStr"/>
      <c r="C2482" t="inlineStr">
        <is>
          <t>180</t>
        </is>
      </c>
      <c r="D2482" t="inlineStr">
        <is>
          <t>1</t>
        </is>
      </c>
      <c r="E2482" t="inlineStr">
        <is>
          <t>6</t>
        </is>
      </c>
      <c r="F2482" t="inlineStr">
        <is>
          <t>0</t>
        </is>
      </c>
      <c r="G2482" t="inlineStr">
        <is>
          <t>0</t>
        </is>
      </c>
      <c r="H2482" t="inlineStr">
        <is>
          <t>3¹⁰, 75²</t>
        </is>
      </c>
      <c r="I2482" t="n">
        <v>12</v>
      </c>
      <c r="J2482" t="inlineStr">
        <is>
          <t>1², 4¹</t>
        </is>
      </c>
      <c r="K2482">
        <f>HYPERLINK("CSG0.html#group25B0", "25B⁰"), =HYPERLINK("CSG2.html#group15B2", "15B²"), =HYPERLINK("CSG4.html#group75A4", "75A⁴")</f>
        <v/>
      </c>
      <c r="L2482">
        <f>HYPERLINK("CSG19.html#group75C19", "75C¹⁹")</f>
        <v/>
      </c>
      <c r="M2482">
        <f>HYPERLINK("CSG0.html#group15B0", "15B⁰"), =HYPERLINK("CSG2.html#group15B2", "15B²"), =HYPERLINK("CSG0.html#group5B0", "5B⁰"), =HYPERLINK("CSG0.html#group5D0", "5D⁰"), =HYPERLINK("CSG0.html#group25A0", "25A⁰"), =HYPERLINK("CSG4.html#group75A4", "75A⁴"), =HYPERLINK("CSG0.html#group3A0", "3A⁰"), =HYPERLINK("CSG0.html#group1A0", "1A⁰"), =HYPERLINK("CSG0.html#group25B0", "25B⁰")</f>
        <v/>
      </c>
      <c r="N2482">
        <f>HYPERLINK("CSG19.html#group75C19", "75C¹⁹")</f>
        <v/>
      </c>
    </row>
    <row r="2483">
      <c r="A2483" t="inlineStr">
        <is>
          <t>76A¹⁰</t>
        </is>
      </c>
      <c r="B2483" t="inlineStr"/>
      <c r="C2483" t="inlineStr">
        <is>
          <t>240</t>
        </is>
      </c>
      <c r="D2483" t="inlineStr">
        <is>
          <t>1</t>
        </is>
      </c>
      <c r="E2483" t="inlineStr">
        <is>
          <t>20</t>
        </is>
      </c>
      <c r="F2483" t="inlineStr">
        <is>
          <t>0</t>
        </is>
      </c>
      <c r="G2483" t="inlineStr">
        <is>
          <t>24</t>
        </is>
      </c>
      <c r="H2483" t="inlineStr">
        <is>
          <t>4³, 76³</t>
        </is>
      </c>
      <c r="I2483" t="n">
        <v>6</v>
      </c>
      <c r="J2483" t="inlineStr">
        <is>
          <t>1², 18¹</t>
        </is>
      </c>
      <c r="K2483">
        <f>HYPERLINK("CSG4.html#group38B4", "38B⁴"), =HYPERLINK("CSG4.html#group76A4", "76A⁴")</f>
        <v/>
      </c>
      <c r="L2483" t="inlineStr"/>
      <c r="M2483">
        <f>HYPERLINK("CSG1.html#group19A1", "19A¹"), =HYPERLINK("CSG4.html#group38B4", "38B⁴"), =HYPERLINK("CSG0.html#group2A0", "2A⁰"), =HYPERLINK("CSG4.html#group76A4", "76A⁴"), =HYPERLINK("CSG1.html#group19B1", "19B¹"), =HYPERLINK("CSG2.html#group38A2", "38A²"), =HYPERLINK("CSG0.html#group1A0", "1A⁰")</f>
        <v/>
      </c>
      <c r="N2483" t="inlineStr"/>
    </row>
    <row r="2484">
      <c r="A2484" t="inlineStr">
        <is>
          <t>77A¹⁰</t>
        </is>
      </c>
      <c r="B2484" t="inlineStr"/>
      <c r="C2484" t="inlineStr">
        <is>
          <t>154</t>
        </is>
      </c>
      <c r="D2484" t="inlineStr">
        <is>
          <t>2</t>
        </is>
      </c>
      <c r="E2484" t="inlineStr">
        <is>
          <t>77</t>
        </is>
      </c>
      <c r="F2484" t="inlineStr">
        <is>
          <t>6</t>
        </is>
      </c>
      <c r="G2484" t="inlineStr">
        <is>
          <t>4</t>
        </is>
      </c>
      <c r="H2484" t="inlineStr">
        <is>
          <t>77²</t>
        </is>
      </c>
      <c r="I2484" t="n">
        <v>2</v>
      </c>
      <c r="J2484" t="inlineStr">
        <is>
          <t>4¹, 12², 20², 60⁴</t>
        </is>
      </c>
      <c r="K2484">
        <f>HYPERLINK("CSG0.html#group7C0", "7C⁰"), =HYPERLINK("CSG4.html#group77A4", "77A⁴")</f>
        <v/>
      </c>
      <c r="L2484">
        <f>HYPERLINK("CSG23.html#group154A23", "154A²³")</f>
        <v/>
      </c>
      <c r="M2484">
        <f>HYPERLINK("CSG0.html#group11A0", "11A⁰"), =HYPERLINK("CSG0.html#group1A0", "1A⁰"), =HYPERLINK("CSG0.html#group7C0", "7C⁰"), =HYPERLINK("CSG0.html#group7A0", "7A⁰"), =HYPERLINK("CSG4.html#group77A4", "77A⁴")</f>
        <v/>
      </c>
      <c r="N2484">
        <f>HYPERLINK("CSG23.html#group154A23", "154A²³")</f>
        <v/>
      </c>
    </row>
    <row r="2485">
      <c r="A2485" t="inlineStr">
        <is>
          <t>77B¹⁰</t>
        </is>
      </c>
      <c r="B2485" t="inlineStr"/>
      <c r="C2485" t="inlineStr">
        <is>
          <t>154</t>
        </is>
      </c>
      <c r="D2485" t="inlineStr">
        <is>
          <t>2</t>
        </is>
      </c>
      <c r="E2485" t="inlineStr">
        <is>
          <t>77</t>
        </is>
      </c>
      <c r="F2485" t="inlineStr">
        <is>
          <t>6</t>
        </is>
      </c>
      <c r="G2485" t="inlineStr">
        <is>
          <t>4</t>
        </is>
      </c>
      <c r="H2485" t="inlineStr">
        <is>
          <t>77²</t>
        </is>
      </c>
      <c r="I2485" t="n">
        <v>2</v>
      </c>
      <c r="J2485" t="inlineStr">
        <is>
          <t>4¹, 12², 20², 60⁴</t>
        </is>
      </c>
      <c r="K2485">
        <f>HYPERLINK("CSG0.html#group7C0", "7C⁰"), =HYPERLINK("CSG4.html#group77B4", "77B⁴")</f>
        <v/>
      </c>
      <c r="L2485">
        <f>HYPERLINK("CSG23.html#group154B23", "154B²³")</f>
        <v/>
      </c>
      <c r="M2485">
        <f>HYPERLINK("CSG0.html#group11A0", "11A⁰"), =HYPERLINK("CSG4.html#group77B4", "77B⁴"), =HYPERLINK("CSG0.html#group1A0", "1A⁰"), =HYPERLINK("CSG0.html#group7C0", "7C⁰"), =HYPERLINK("CSG0.html#group7A0", "7A⁰")</f>
        <v/>
      </c>
      <c r="N2485">
        <f>HYPERLINK("CSG23.html#group154B23", "154B²³")</f>
        <v/>
      </c>
    </row>
    <row r="2486">
      <c r="A2486" t="inlineStr">
        <is>
          <t>78A¹⁰</t>
        </is>
      </c>
      <c r="B2486" t="inlineStr"/>
      <c r="C2486" t="inlineStr">
        <is>
          <t>252</t>
        </is>
      </c>
      <c r="D2486" t="inlineStr">
        <is>
          <t>1</t>
        </is>
      </c>
      <c r="E2486" t="inlineStr">
        <is>
          <t>14</t>
        </is>
      </c>
      <c r="F2486" t="inlineStr">
        <is>
          <t>36</t>
        </is>
      </c>
      <c r="G2486" t="inlineStr">
        <is>
          <t>0</t>
        </is>
      </c>
      <c r="H2486" t="inlineStr">
        <is>
          <t>6³, 78³</t>
        </is>
      </c>
      <c r="I2486" t="n">
        <v>6</v>
      </c>
      <c r="J2486" t="inlineStr">
        <is>
          <t>1², 12¹</t>
        </is>
      </c>
      <c r="K2486">
        <f>HYPERLINK("CSG2.html#group26B2", "26B²"), =HYPERLINK("CSG2.html#group78A2", "78A²"), =HYPERLINK("CSG4.html#group39C4", "39C⁴"), =HYPERLINK("CSG4.html#group78A4", "78A⁴")</f>
        <v/>
      </c>
      <c r="L2486" t="inlineStr"/>
      <c r="M2486">
        <f>HYPERLINK("CSG2.html#group39A2", "39A²"), =HYPERLINK("CSG4.html#group78A4", "78A⁴"), =HYPERLINK("CSG2.html#group78A2", "78A²"), =HYPERLINK("CSG0.html#group13A0", "13A⁰"), =HYPERLINK("CSG4.html#group39C4", "39C⁴"), =HYPERLINK("CSG0.html#group13C0", "13C⁰"), =HYPERLINK("CSG0.html#group26A0", "26A⁰"), =HYPERLINK("CSG2.html#group26B2", "26B²"), =HYPERLINK("CSG1.html#group39A1", "39A¹"), =HYPERLINK("CSG0.html#group3A0", "3A⁰"), =HYPERLINK("CSG0.html#group1A0", "1A⁰")</f>
        <v/>
      </c>
      <c r="N2486" t="inlineStr"/>
    </row>
    <row r="2487">
      <c r="A2487" t="inlineStr">
        <is>
          <t>80A¹⁰</t>
        </is>
      </c>
      <c r="B2487" t="inlineStr"/>
      <c r="C2487" t="inlineStr">
        <is>
          <t>120</t>
        </is>
      </c>
      <c r="D2487" t="inlineStr">
        <is>
          <t>1</t>
        </is>
      </c>
      <c r="E2487" t="inlineStr">
        <is>
          <t>15</t>
        </is>
      </c>
      <c r="F2487" t="inlineStr">
        <is>
          <t>0</t>
        </is>
      </c>
      <c r="G2487" t="inlineStr">
        <is>
          <t>0</t>
        </is>
      </c>
      <c r="H2487" t="inlineStr">
        <is>
          <t>40¹, 80¹</t>
        </is>
      </c>
      <c r="I2487" t="n">
        <v>2</v>
      </c>
      <c r="J2487" t="inlineStr">
        <is>
          <t>1³, 4³</t>
        </is>
      </c>
      <c r="K2487">
        <f>HYPERLINK("CSG2.html#group16A2", "16A²"), =HYPERLINK("CSG4.html#group40A4", "40A⁴")</f>
        <v/>
      </c>
      <c r="L2487">
        <f>HYPERLINK("CSG19.html#group80B19", "80B¹⁹"), =HYPERLINK("CSG19.html#group80C19", "80C¹⁹"), =HYPERLINK("CSG19.html#group80H19", "80H¹⁹")</f>
        <v/>
      </c>
      <c r="M2487">
        <f>HYPERLINK("CSG0.html#group5A0", "5A⁰"), =HYPERLINK("CSG4.html#group40A4", "40A⁴"), =HYPERLINK("CSG1.html#group10B1", "10B¹"), =HYPERLINK("CSG2.html#group20B2", "20B²"), =HYPERLINK("CSG0.html#group4C0", "4C⁰"), =HYPERLINK("CSG0.html#group8B0", "8B⁰"), =HYPERLINK("CSG0.html#group2B0", "2B⁰"), =HYPERLINK("CSG0.html#group1A0", "1A⁰"), =HYPERLINK("CSG2.html#group16A2", "16A²")</f>
        <v/>
      </c>
      <c r="N2487">
        <f>HYPERLINK("CSG19.html#group80H19", "80H¹⁹"), =HYPERLINK("CSG19.html#group80C19", "80C¹⁹"), =HYPERLINK("CSG19.html#group80B19", "80B¹⁹")</f>
        <v/>
      </c>
    </row>
    <row r="2488">
      <c r="A2488" t="inlineStr">
        <is>
          <t>80B¹⁰</t>
        </is>
      </c>
      <c r="B2488" t="inlineStr"/>
      <c r="C2488" t="inlineStr">
        <is>
          <t>120</t>
        </is>
      </c>
      <c r="D2488" t="inlineStr">
        <is>
          <t>1</t>
        </is>
      </c>
      <c r="E2488" t="inlineStr">
        <is>
          <t>60</t>
        </is>
      </c>
      <c r="F2488" t="inlineStr">
        <is>
          <t>0</t>
        </is>
      </c>
      <c r="G2488" t="inlineStr">
        <is>
          <t>0</t>
        </is>
      </c>
      <c r="H2488" t="inlineStr">
        <is>
          <t>40¹, 80¹</t>
        </is>
      </c>
      <c r="I2488" t="n">
        <v>2</v>
      </c>
      <c r="J2488" t="inlineStr">
        <is>
          <t>1⁴, 2², 4⁵, 8², 16¹</t>
        </is>
      </c>
      <c r="K2488">
        <f>HYPERLINK("CSG2.html#group16B2", "16B²"), =HYPERLINK("CSG5.html#group40A5", "40A⁵")</f>
        <v/>
      </c>
      <c r="L2488">
        <f>HYPERLINK("CSG19.html#group80F19", "80F¹⁹"), =HYPERLINK("CSG19.html#group80G19", "80G¹⁹"), =HYPERLINK("CSG20.html#group160B20", "160B²⁰"), =HYPERLINK("CSG20.html#group160A20", "160A²⁰")</f>
        <v/>
      </c>
      <c r="M2488">
        <f>HYPERLINK("CSG0.html#group5A0", "5A⁰"), =HYPERLINK("CSG2.html#group16B2", "16B²"), =HYPERLINK("CSG1.html#group8A1", "8A¹"), =HYPERLINK("CSG1.html#group10B1", "10B¹"), =HYPERLINK("CSG2.html#group20B2", "20B²"), =HYPERLINK("CSG0.html#group4C0", "4C⁰"), =HYPERLINK("CSG0.html#group2B0", "2B⁰"), =HYPERLINK("CSG5.html#group40A5", "40A⁵"), =HYPERLINK("CSG0.html#group1A0", "1A⁰")</f>
        <v/>
      </c>
      <c r="N2488">
        <f>HYPERLINK("CSG19.html#group80G19", "80G¹⁹"), =HYPERLINK("CSG20.html#group160A20", "160A²⁰"), =HYPERLINK("CSG19.html#group80F19", "80F¹⁹"), =HYPERLINK("CSG20.html#group160B20", "160B²⁰")</f>
        <v/>
      </c>
    </row>
    <row r="2489">
      <c r="A2489" t="inlineStr">
        <is>
          <t>81A¹⁰</t>
        </is>
      </c>
      <c r="B2489" t="inlineStr"/>
      <c r="C2489" t="inlineStr">
        <is>
          <t>324</t>
        </is>
      </c>
      <c r="D2489" t="inlineStr">
        <is>
          <t>1</t>
        </is>
      </c>
      <c r="E2489" t="inlineStr">
        <is>
          <t>12</t>
        </is>
      </c>
      <c r="F2489" t="inlineStr">
        <is>
          <t>0</t>
        </is>
      </c>
      <c r="G2489" t="inlineStr">
        <is>
          <t>0</t>
        </is>
      </c>
      <c r="H2489" t="inlineStr">
        <is>
          <t>1²⁷, 9⁶, 81³</t>
        </is>
      </c>
      <c r="I2489" t="n">
        <v>36</v>
      </c>
      <c r="J2489" t="inlineStr">
        <is>
          <t>1², 2², 6¹</t>
        </is>
      </c>
      <c r="K2489">
        <f>HYPERLINK("CSG1.html#group27C1", "27C¹"), =HYPERLINK("CSG4.html#group81A4", "81A⁴")</f>
        <v/>
      </c>
      <c r="L2489" t="inlineStr"/>
      <c r="M2489">
        <f>HYPERLINK("CSG0.html#group3B0", "3B⁰"), =HYPERLINK("CSG1.html#group27A1", "27A¹"), =HYPERLINK("CSG1.html#group27C1", "27C¹"), =HYPERLINK("CSG0.html#group9B0", "9B⁰"), =HYPERLINK("CSG4.html#group81A4", "81A⁴"), =HYPERLINK("CSG0.html#group9I0", "9I⁰"), =HYPERLINK("CSG0.html#group27A0", "27A⁰"), =HYPERLINK("CSG0.html#group1A0", "1A⁰")</f>
        <v/>
      </c>
      <c r="N2489" t="inlineStr"/>
    </row>
    <row r="2490">
      <c r="A2490" t="inlineStr">
        <is>
          <t>84A¹⁰</t>
        </is>
      </c>
      <c r="B2490" t="inlineStr"/>
      <c r="C2490" t="inlineStr">
        <is>
          <t>126</t>
        </is>
      </c>
      <c r="D2490" t="inlineStr">
        <is>
          <t>2</t>
        </is>
      </c>
      <c r="E2490" t="inlineStr">
        <is>
          <t>21</t>
        </is>
      </c>
      <c r="F2490" t="inlineStr">
        <is>
          <t>0</t>
        </is>
      </c>
      <c r="G2490" t="inlineStr">
        <is>
          <t>0</t>
        </is>
      </c>
      <c r="H2490" t="inlineStr">
        <is>
          <t>21², 84¹</t>
        </is>
      </c>
      <c r="I2490" t="n">
        <v>3</v>
      </c>
      <c r="J2490" t="inlineStr">
        <is>
          <t>2³, 6⁶</t>
        </is>
      </c>
      <c r="K2490">
        <f>HYPERLINK("CSG1.html#group12B1", "12B¹"), =HYPERLINK("CSG3.html#group28A3", "28A³"), =HYPERLINK("CSG3.html#group42C3", "42C³")</f>
        <v/>
      </c>
      <c r="L2490">
        <f>HYPERLINK("CSG19.html#group84A19", "84A¹⁹"), =HYPERLINK("CSG19.html#group84C19", "84C¹⁹"), =HYPERLINK("CSG19.html#group84D19", "84D¹⁹"), =HYPERLINK("CSG20.html#group84A20", "84A²⁰"), =HYPERLINK("CSG20.html#group84C20", "84C²⁰"), =HYPERLINK("CSG20.html#group84E20", "84E²⁰"), =HYPERLINK("CSG20.html#group84G20", "84G²⁰"), =HYPERLINK("CSG20.html#group168A20", "168A²⁰"), =HYPERLINK("CSG20.html#group168B20", "168B²⁰"), =HYPERLINK("CSG20.html#group168C20", "168C²⁰"), =HYPERLINK("CSG20.html#group168D20", "168D²⁰")</f>
        <v/>
      </c>
      <c r="M2490">
        <f>HYPERLINK("CSG0.html#group3A0", "3A⁰"), =HYPERLINK("CSG1.html#group14B1", "14B¹"), =HYPERLINK("CSG0.html#group21A0", "21A⁰"), =HYPERLINK("CSG3.html#group28A3", "28A³"), =HYPERLINK("CSG1.html#group12B1", "12B¹"), =HYPERLINK("CSG0.html#group2B0", "2B⁰"), =HYPERLINK("CSG0.html#group4B0", "4B⁰"), =HYPERLINK("CSG0.html#group1A0", "1A⁰"), =HYPERLINK("CSG3.html#group42C3", "42C³"), =HYPERLINK("CSG0.html#group6D0", "6D⁰"), =HYPERLINK("CSG0.html#group7A0", "7A⁰")</f>
        <v/>
      </c>
      <c r="N2490">
        <f>HYPERLINK("CSG20.html#group168B20", "168B²⁰"), =HYPERLINK("CSG19.html#group84A19", "84A¹⁹"), =HYPERLINK("CSG20.html#group84A20", "84A²⁰"), =HYPERLINK("CSG20.html#group84C20", "84C²⁰"), =HYPERLINK("CSG19.html#group84C19", "84C¹⁹"), =HYPERLINK("CSG20.html#group168C20", "168C²⁰"), =HYPERLINK("CSG20.html#group168A20", "168A²⁰"), =HYPERLINK("CSG20.html#group168D20", "168D²⁰"), =HYPERLINK("CSG20.html#group84E20", "84E²⁰"), =HYPERLINK("CSG19.html#group84D19", "84D¹⁹"), =HYPERLINK("CSG20.html#group84G20", "84G²⁰")</f>
        <v/>
      </c>
    </row>
    <row r="2491">
      <c r="A2491" t="inlineStr">
        <is>
          <t>84B¹⁰</t>
        </is>
      </c>
      <c r="B2491" t="inlineStr"/>
      <c r="C2491" t="inlineStr">
        <is>
          <t>144</t>
        </is>
      </c>
      <c r="D2491" t="inlineStr">
        <is>
          <t>1</t>
        </is>
      </c>
      <c r="E2491" t="inlineStr">
        <is>
          <t>24</t>
        </is>
      </c>
      <c r="F2491" t="inlineStr">
        <is>
          <t>0</t>
        </is>
      </c>
      <c r="G2491" t="inlineStr">
        <is>
          <t>0</t>
        </is>
      </c>
      <c r="H2491" t="inlineStr">
        <is>
          <t>3², 12¹, 21², 84¹</t>
        </is>
      </c>
      <c r="I2491" t="n">
        <v>6</v>
      </c>
      <c r="J2491" t="inlineStr">
        <is>
          <t>1⁶, 6³</t>
        </is>
      </c>
      <c r="K2491">
        <f>HYPERLINK("CSG1.html#group12B1", "12B¹"), =HYPERLINK("CSG2.html#group28D2", "28D²"), =HYPERLINK("CSG5.html#group42A5", "42A⁵")</f>
        <v/>
      </c>
      <c r="L2491">
        <f>HYPERLINK("CSG19.html#group84K19", "84K¹⁹"), =HYPERLINK("CSG20.html#group84J20", "84J²⁰"), =HYPERLINK("CSG20.html#group84L20", "84L²⁰"), =HYPERLINK("CSG20.html#group168E20", "168E²⁰"), =HYPERLINK("CSG20.html#group168F20", "168F²⁰"), =HYPERLINK("CSG21.html#group84A21", "84A²¹"), =HYPERLINK("CSG21.html#group84E21", "84E²¹"), =HYPERLINK("CSG21.html#group168B21", "168B²¹"), =HYPERLINK("CSG21.html#group168C21", "168C²¹"), =HYPERLINK("CSG22.html#group168A22", "168A²²"), =HYPERLINK("CSG22.html#group168C22", "168C²²")</f>
        <v/>
      </c>
      <c r="M2491">
        <f>HYPERLINK("CSG2.html#group21A2", "21A²"), =HYPERLINK("CSG0.html#group4B0", "4B⁰"), =HYPERLINK("CSG5.html#group42A5", "42A⁵"), =HYPERLINK("CSG0.html#group7B0", "7B⁰"), =HYPERLINK("CSG2.html#group28D2", "28D²"), =HYPERLINK("CSG1.html#group14C1", "14C¹"), =HYPERLINK("CSG1.html#group12B1", "12B¹"), =HYPERLINK("CSG0.html#group2B0", "2B⁰"), =HYPERLINK("CSG0.html#group3A0", "3A⁰"), =HYPERLINK("CSG0.html#group1A0", "1A⁰"), =HYPERLINK("CSG0.html#group6D0", "6D⁰")</f>
        <v/>
      </c>
      <c r="N2491">
        <f>HYPERLINK("CSG20.html#group84J20", "84J²⁰"), =HYPERLINK("CSG21.html#group84A21", "84A²¹"), =HYPERLINK("CSG21.html#group84E21", "84E²¹"), =HYPERLINK("CSG19.html#group84K19", "84K¹⁹"), =HYPERLINK("CSG20.html#group168E20", "168E²⁰"), =HYPERLINK("CSG20.html#group168F20", "168F²⁰"), =HYPERLINK("CSG20.html#group84L20", "84L²⁰"), =HYPERLINK("CSG22.html#group168A22", "168A²²"), =HYPERLINK("CSG22.html#group168C22", "168C²²"), =HYPERLINK("CSG21.html#group168B21", "168B²¹"), =HYPERLINK("CSG21.html#group168C21", "168C²¹")</f>
        <v/>
      </c>
    </row>
    <row r="2492">
      <c r="A2492" t="inlineStr">
        <is>
          <t>84C¹⁰</t>
        </is>
      </c>
      <c r="B2492" t="inlineStr"/>
      <c r="C2492" t="inlineStr">
        <is>
          <t>144</t>
        </is>
      </c>
      <c r="D2492" t="inlineStr">
        <is>
          <t>1</t>
        </is>
      </c>
      <c r="E2492" t="inlineStr">
        <is>
          <t>72</t>
        </is>
      </c>
      <c r="F2492" t="inlineStr">
        <is>
          <t>0</t>
        </is>
      </c>
      <c r="G2492" t="inlineStr">
        <is>
          <t>0</t>
        </is>
      </c>
      <c r="H2492" t="inlineStr">
        <is>
          <t>3², 12¹, 21², 84¹</t>
        </is>
      </c>
      <c r="I2492" t="n">
        <v>6</v>
      </c>
      <c r="J2492" t="inlineStr">
        <is>
          <t>1⁶, 2⁶, 6³, 12³</t>
        </is>
      </c>
      <c r="K2492">
        <f>HYPERLINK("CSG0.html#group12D0", "12D⁰"), =HYPERLINK("CSG5.html#group42A5", "42A⁵")</f>
        <v/>
      </c>
      <c r="L2492">
        <f>HYPERLINK("CSG19.html#group84J19", "84J¹⁹"), =HYPERLINK("CSG19.html#group84K19", "84K¹⁹"), =HYPERLINK("CSG21.html#group84C21", "84C²¹"), =HYPERLINK("CSG21.html#group84F21", "84F²¹"), =HYPERLINK("CSG21.html#group84H21", "84H²¹")</f>
        <v/>
      </c>
      <c r="M2492">
        <f>HYPERLINK("CSG2.html#group21A2", "21A²"), =HYPERLINK("CSG5.html#group42A5", "42A⁵"), =HYPERLINK("CSG0.html#group7B0", "7B⁰"), =HYPERLINK("CSG1.html#group14C1", "14C¹"), =HYPERLINK("CSG0.html#group2B0", "2B⁰"), =HYPERLINK("CSG0.html#group12D0", "12D⁰"), =HYPERLINK("CSG0.html#group3A0", "3A⁰"), =HYPERLINK("CSG0.html#group1A0", "1A⁰"), =HYPERLINK("CSG0.html#group6D0", "6D⁰")</f>
        <v/>
      </c>
      <c r="N2492">
        <f>HYPERLINK("CSG19.html#group84K19", "84K¹⁹"), =HYPERLINK("CSG21.html#group84C21", "84C²¹"), =HYPERLINK("CSG21.html#group84F21", "84F²¹"), =HYPERLINK("CSG19.html#group84J19", "84J¹⁹"), =HYPERLINK("CSG21.html#group84H21", "84H²¹")</f>
        <v/>
      </c>
    </row>
    <row r="2493">
      <c r="A2493" t="inlineStr">
        <is>
          <t>84D¹⁰</t>
        </is>
      </c>
      <c r="B2493" t="inlineStr"/>
      <c r="C2493" t="inlineStr">
        <is>
          <t>144</t>
        </is>
      </c>
      <c r="D2493" t="inlineStr">
        <is>
          <t>2</t>
        </is>
      </c>
      <c r="E2493" t="inlineStr">
        <is>
          <t>24</t>
        </is>
      </c>
      <c r="F2493" t="inlineStr">
        <is>
          <t>0</t>
        </is>
      </c>
      <c r="G2493" t="inlineStr">
        <is>
          <t>0</t>
        </is>
      </c>
      <c r="H2493" t="inlineStr">
        <is>
          <t>3², 12¹, 21², 84¹</t>
        </is>
      </c>
      <c r="I2493" t="n">
        <v>6</v>
      </c>
      <c r="J2493" t="inlineStr">
        <is>
          <t>2⁶, 12³</t>
        </is>
      </c>
      <c r="K2493">
        <f>HYPERLINK("CSG2.html#group28D2", "28D²"), =HYPERLINK("CSG5.html#group42B5", "42B⁵")</f>
        <v/>
      </c>
      <c r="L2493">
        <f>HYPERLINK("CSG20.html#group84N20", "84N²⁰"), =HYPERLINK("CSG20.html#group168G20", "168G²⁰"), =HYPERLINK("CSG21.html#group84G21", "84G²¹"), =HYPERLINK("CSG21.html#group168D21", "168D²¹"), =HYPERLINK("CSG22.html#group168E22", "168E²²")</f>
        <v/>
      </c>
      <c r="M2493">
        <f>HYPERLINK("CSG5.html#group42B5", "42B⁵"), =HYPERLINK("CSG0.html#group7B0", "7B⁰"), =HYPERLINK("CSG2.html#group28D2", "28D²"), =HYPERLINK("CSG1.html#group14C1", "14C¹"), =HYPERLINK("CSG0.html#group2B0", "2B⁰"), =HYPERLINK("CSG0.html#group4B0", "4B⁰"), =HYPERLINK("CSG0.html#group1A0", "1A⁰"), =HYPERLINK("CSG1.html#group21A1", "21A¹")</f>
        <v/>
      </c>
      <c r="N2493">
        <f>HYPERLINK("CSG21.html#group168D21", "168D²¹"), =HYPERLINK("CSG20.html#group168G20", "168G²⁰"), =HYPERLINK("CSG20.html#group84N20", "84N²⁰"), =HYPERLINK("CSG22.html#group168E22", "168E²²"), =HYPERLINK("CSG21.html#group84G21", "84G²¹")</f>
        <v/>
      </c>
    </row>
    <row r="2494">
      <c r="A2494" t="inlineStr">
        <is>
          <t>84E¹⁰</t>
        </is>
      </c>
      <c r="B2494" t="inlineStr"/>
      <c r="C2494" t="inlineStr">
        <is>
          <t>168</t>
        </is>
      </c>
      <c r="D2494" t="inlineStr">
        <is>
          <t>2</t>
        </is>
      </c>
      <c r="E2494" t="inlineStr">
        <is>
          <t>56</t>
        </is>
      </c>
      <c r="F2494" t="inlineStr">
        <is>
          <t>12</t>
        </is>
      </c>
      <c r="G2494" t="inlineStr">
        <is>
          <t>3</t>
        </is>
      </c>
      <c r="H2494" t="inlineStr">
        <is>
          <t>84²</t>
        </is>
      </c>
      <c r="I2494" t="n">
        <v>2</v>
      </c>
      <c r="J2494" t="inlineStr">
        <is>
          <t>8², 24⁴</t>
        </is>
      </c>
      <c r="K2494">
        <f>HYPERLINK("CSG1.html#group21C1", "21C¹"), =HYPERLINK("CSG3.html#group28D3", "28D³")</f>
        <v/>
      </c>
      <c r="L2494">
        <f>HYPERLINK("CSG23.html#group168H23", "168H²³"), =HYPERLINK("CSG23.html#group168G23", "168G²³")</f>
        <v/>
      </c>
      <c r="M2494">
        <f>HYPERLINK("CSG3.html#group28D3", "28D³"), =HYPERLINK("CSG1.html#group28A1", "28A¹"), =HYPERLINK("CSG0.html#group1A0", "1A⁰"), =HYPERLINK("CSG0.html#group4A0", "4A⁰"), =HYPERLINK("CSG0.html#group7C0", "7C⁰"), =HYPERLINK("CSG0.html#group7A0", "7A⁰"), =HYPERLINK("CSG1.html#group21C1", "21C¹")</f>
        <v/>
      </c>
      <c r="N2494">
        <f>HYPERLINK("CSG23.html#group168G23", "168G²³"), =HYPERLINK("CSG23.html#group168H23", "168H²³")</f>
        <v/>
      </c>
    </row>
    <row r="2495">
      <c r="A2495" t="inlineStr">
        <is>
          <t>84F¹⁰</t>
        </is>
      </c>
      <c r="B2495" t="inlineStr"/>
      <c r="C2495" t="inlineStr">
        <is>
          <t>168</t>
        </is>
      </c>
      <c r="D2495" t="inlineStr">
        <is>
          <t>2</t>
        </is>
      </c>
      <c r="E2495" t="inlineStr">
        <is>
          <t>84</t>
        </is>
      </c>
      <c r="F2495" t="inlineStr">
        <is>
          <t>16</t>
        </is>
      </c>
      <c r="G2495" t="inlineStr">
        <is>
          <t>0</t>
        </is>
      </c>
      <c r="H2495" t="inlineStr">
        <is>
          <t>84²</t>
        </is>
      </c>
      <c r="I2495" t="n">
        <v>2</v>
      </c>
      <c r="J2495" t="inlineStr">
        <is>
          <t>4², 8², 12⁴, 24⁴</t>
        </is>
      </c>
      <c r="K2495">
        <f>HYPERLINK("CSG2.html#group42A2", "42A²"), =HYPERLINK("CSG3.html#group84A3", "84A³")</f>
        <v/>
      </c>
      <c r="L2495">
        <f>HYPERLINK("CSG21.html#group84O21", "84O²¹"), =HYPERLINK("CSG21.html#group84P21", "84P²¹"), =HYPERLINK("CSG23.html#group84D23", "84D²³"), =HYPERLINK("CSG23.html#group84E23", "84E²³"), =HYPERLINK("CSG24.html#group168E24", "168E²⁴"), =HYPERLINK("CSG24.html#group168F24", "168F²⁴"), =HYPERLINK("CSG24.html#group168C24", "168C²⁴"), =HYPERLINK("CSG24.html#group168D24", "168D²⁴"), =HYPERLINK("CSG24.html#group168I24", "168I²⁴"), =HYPERLINK("CSG24.html#group168J24", "168J²⁴"), =HYPERLINK("CSG24.html#group168G24", "168G²⁴"), =HYPERLINK("CSG24.html#group168H24", "168H²⁴")</f>
        <v/>
      </c>
      <c r="M2495">
        <f>HYPERLINK("CSG3.html#group84A3", "84A³"), =HYPERLINK("CSG0.html#group12A0", "12A⁰"), =HYPERLINK("CSG2.html#group42A2", "42A²"), =HYPERLINK("CSG0.html#group4A0", "4A⁰"), =HYPERLINK("CSG0.html#group21A0", "21A⁰"), =HYPERLINK("CSG0.html#group3A0", "3A⁰"), =HYPERLINK("CSG1.html#group28A1", "28A¹"), =HYPERLINK("CSG0.html#group1A0", "1A⁰"), =HYPERLINK("CSG0.html#group7A0", "7A⁰")</f>
        <v/>
      </c>
      <c r="N2495">
        <f>HYPERLINK("CSG24.html#group168F24", "168F²⁴"), =HYPERLINK("CSG21.html#group84P21", "84P²¹"), =HYPERLINK("CSG24.html#group168I24", "168I²⁴"), =HYPERLINK("CSG24.html#group168E24", "168E²⁴"), =HYPERLINK("CSG24.html#group168H24", "168H²⁴"), =HYPERLINK("CSG21.html#group84O21", "84O²¹"), =HYPERLINK("CSG23.html#group84E23", "84E²³"), =HYPERLINK("CSG23.html#group84D23", "84D²³"), =HYPERLINK("CSG24.html#group168C24", "168C²⁴"), =HYPERLINK("CSG24.html#group168J24", "168J²⁴"), =HYPERLINK("CSG24.html#group168D24", "168D²⁴"), =HYPERLINK("CSG24.html#group168G24", "168G²⁴")</f>
        <v/>
      </c>
    </row>
    <row r="2496">
      <c r="A2496" t="inlineStr">
        <is>
          <t>86A¹⁰</t>
        </is>
      </c>
      <c r="B2496" t="inlineStr">
        <is>
          <t>Γ₀(86)</t>
        </is>
      </c>
      <c r="C2496" t="inlineStr">
        <is>
          <t>132</t>
        </is>
      </c>
      <c r="D2496" t="inlineStr">
        <is>
          <t>1</t>
        </is>
      </c>
      <c r="E2496" t="inlineStr">
        <is>
          <t>132</t>
        </is>
      </c>
      <c r="F2496" t="inlineStr">
        <is>
          <t>0</t>
        </is>
      </c>
      <c r="G2496" t="inlineStr">
        <is>
          <t>0</t>
        </is>
      </c>
      <c r="H2496" t="inlineStr">
        <is>
          <t>1¹, 2¹, 43¹, 86¹</t>
        </is>
      </c>
      <c r="I2496" t="n">
        <v>4</v>
      </c>
      <c r="J2496" t="inlineStr">
        <is>
          <t>1⁶, 42³</t>
        </is>
      </c>
      <c r="K2496">
        <f>HYPERLINK("CSG0.html#group2B0", "2B⁰"), =HYPERLINK("CSG3.html#group43A3", "43A³")</f>
        <v/>
      </c>
      <c r="L2496">
        <f>HYPERLINK("CSG20.html#group86B20", "86B²⁰"), =HYPERLINK("CSG20.html#group172A20", "172A²⁰"), =HYPERLINK("CSG21.html#group172A21", "172A²¹")</f>
        <v/>
      </c>
      <c r="M2496">
        <f>HYPERLINK("CSG0.html#group1A0", "1A⁰"), =HYPERLINK("CSG3.html#group43A3", "43A³"), =HYPERLINK("CSG0.html#group2B0", "2B⁰")</f>
        <v/>
      </c>
      <c r="N2496">
        <f>HYPERLINK("CSG20.html#group86B20", "86B²⁰"), =HYPERLINK("CSG21.html#group172A21", "172A²¹"), =HYPERLINK("CSG20.html#group172A20", "172A²⁰")</f>
        <v/>
      </c>
    </row>
    <row r="2497">
      <c r="A2497" t="inlineStr">
        <is>
          <t>88A¹⁰</t>
        </is>
      </c>
      <c r="B2497" t="inlineStr"/>
      <c r="C2497" t="inlineStr">
        <is>
          <t>132</t>
        </is>
      </c>
      <c r="D2497" t="inlineStr">
        <is>
          <t>2</t>
        </is>
      </c>
      <c r="E2497" t="inlineStr">
        <is>
          <t>66</t>
        </is>
      </c>
      <c r="F2497" t="inlineStr">
        <is>
          <t>0</t>
        </is>
      </c>
      <c r="G2497" t="inlineStr">
        <is>
          <t>0</t>
        </is>
      </c>
      <c r="H2497" t="inlineStr">
        <is>
          <t>11², 22¹, 88¹</t>
        </is>
      </c>
      <c r="I2497" t="n">
        <v>4</v>
      </c>
      <c r="J2497" t="inlineStr">
        <is>
          <t>2⁴, 4¹, 10⁸, 20²</t>
        </is>
      </c>
      <c r="K2497">
        <f>HYPERLINK("CSG0.html#group8C0", "8C⁰"), =HYPERLINK("CSG5.html#group44A5", "44A⁵")</f>
        <v/>
      </c>
      <c r="L2497">
        <f>HYPERLINK("CSG20.html#group88A20", "88A²⁰"), =HYPERLINK("CSG20.html#group88B20", "88B²⁰"), =HYPERLINK("CSG20.html#group176A20", "176A²⁰"), =HYPERLINK("CSG20.html#group176B20", "176B²⁰"), =HYPERLINK("CSG21.html#group176A21", "176A²¹")</f>
        <v/>
      </c>
      <c r="M2497">
        <f>HYPERLINK("CSG0.html#group11A0", "11A⁰"), =HYPERLINK("CSG0.html#group8C0", "8C⁰"), =HYPERLINK("CSG0.html#group2B0", "2B⁰"), =HYPERLINK("CSG2.html#group22B2", "22B²"), =HYPERLINK("CSG5.html#group44A5", "44A⁵"), =HYPERLINK("CSG0.html#group4B0", "4B⁰"), =HYPERLINK("CSG0.html#group1A0", "1A⁰")</f>
        <v/>
      </c>
      <c r="N2497">
        <f>HYPERLINK("CSG20.html#group176B20", "176B²⁰"), =HYPERLINK("CSG21.html#group176A21", "176A²¹"), =HYPERLINK("CSG20.html#group176A20", "176A²⁰"), =HYPERLINK("CSG20.html#group88A20", "88A²⁰"), =HYPERLINK("CSG20.html#group88B20", "88B²⁰")</f>
        <v/>
      </c>
    </row>
    <row r="2498">
      <c r="A2498" t="inlineStr">
        <is>
          <t>88B¹⁰</t>
        </is>
      </c>
      <c r="B2498" t="inlineStr"/>
      <c r="C2498" t="inlineStr">
        <is>
          <t>144</t>
        </is>
      </c>
      <c r="D2498" t="inlineStr">
        <is>
          <t>1</t>
        </is>
      </c>
      <c r="E2498" t="inlineStr">
        <is>
          <t>36</t>
        </is>
      </c>
      <c r="F2498" t="inlineStr">
        <is>
          <t>0</t>
        </is>
      </c>
      <c r="G2498" t="inlineStr">
        <is>
          <t>0</t>
        </is>
      </c>
      <c r="H2498" t="inlineStr">
        <is>
          <t>2², 8¹, 22², 88¹</t>
        </is>
      </c>
      <c r="I2498" t="n">
        <v>6</v>
      </c>
      <c r="J2498" t="inlineStr">
        <is>
          <t>1⁶, 10³</t>
        </is>
      </c>
      <c r="K2498">
        <f>HYPERLINK("CSG4.html#group44D4", "44D⁴")</f>
        <v/>
      </c>
      <c r="L2498">
        <f>HYPERLINK("CSG19.html#group88B19", "88B¹⁹"), =HYPERLINK("CSG19.html#group88D19", "88D¹⁹")</f>
        <v/>
      </c>
      <c r="M2498">
        <f>HYPERLINK("CSG0.html#group2B0", "2B⁰"), =HYPERLINK("CSG0.html#group4B0", "4B⁰"), =HYPERLINK("CSG2.html#group22C2", "22C²"), =HYPERLINK("CSG0.html#group1A0", "1A⁰"), =HYPERLINK("CSG4.html#group44D4", "44D⁴"), =HYPERLINK("CSG1.html#group11A1", "11A¹")</f>
        <v/>
      </c>
      <c r="N2498">
        <f>HYPERLINK("CSG19.html#group88B19", "88B¹⁹"), =HYPERLINK("CSG19.html#group88D19", "88D¹⁹")</f>
        <v/>
      </c>
    </row>
    <row r="2499">
      <c r="A2499" t="inlineStr">
        <is>
          <t>88C¹⁰</t>
        </is>
      </c>
      <c r="B2499" t="inlineStr"/>
      <c r="C2499" t="inlineStr">
        <is>
          <t>144</t>
        </is>
      </c>
      <c r="D2499" t="inlineStr">
        <is>
          <t>1</t>
        </is>
      </c>
      <c r="E2499" t="inlineStr">
        <is>
          <t>72</t>
        </is>
      </c>
      <c r="F2499" t="inlineStr">
        <is>
          <t>0</t>
        </is>
      </c>
      <c r="G2499" t="inlineStr">
        <is>
          <t>0</t>
        </is>
      </c>
      <c r="H2499" t="inlineStr">
        <is>
          <t>2², 8¹, 22², 88¹</t>
        </is>
      </c>
      <c r="I2499" t="n">
        <v>6</v>
      </c>
      <c r="J2499" t="inlineStr">
        <is>
          <t>1⁴, 2⁴, 10², 20²</t>
        </is>
      </c>
      <c r="K2499">
        <f>HYPERLINK("CSG0.html#group8D0", "8D⁰"), =HYPERLINK("CSG5.html#group44B5", "44B⁵")</f>
        <v/>
      </c>
      <c r="L2499">
        <f>HYPERLINK("CSG19.html#group88C19", "88C¹⁹"), =HYPERLINK("CSG20.html#group176D20", "176D²⁰"), =HYPERLINK("CSG21.html#group88E21", "88E²¹"), =HYPERLINK("CSG21.html#group88F21", "88F²¹"), =HYPERLINK("CSG22.html#group176C22", "176C²²")</f>
        <v/>
      </c>
      <c r="M2499">
        <f>HYPERLINK("CSG0.html#group8D0", "8D⁰"), =HYPERLINK("CSG1.html#group11A1", "11A¹"), =HYPERLINK("CSG0.html#group4C0", "4C⁰"), =HYPERLINK("CSG5.html#group44B5", "44B⁵"), =HYPERLINK("CSG0.html#group2B0", "2B⁰"), =HYPERLINK("CSG2.html#group22C2", "22C²"), =HYPERLINK("CSG0.html#group1A0", "1A⁰")</f>
        <v/>
      </c>
      <c r="N2499">
        <f>HYPERLINK("CSG22.html#group176C22", "176C²²"), =HYPERLINK("CSG21.html#group88F21", "88F²¹"), =HYPERLINK("CSG21.html#group88E21", "88E²¹"), =HYPERLINK("CSG20.html#group176D20", "176D²⁰"), =HYPERLINK("CSG19.html#group88C19", "88C¹⁹")</f>
        <v/>
      </c>
    </row>
    <row r="2500">
      <c r="A2500" t="inlineStr">
        <is>
          <t>90A¹⁰</t>
        </is>
      </c>
      <c r="B2500" t="inlineStr"/>
      <c r="C2500" t="inlineStr">
        <is>
          <t>120</t>
        </is>
      </c>
      <c r="D2500" t="inlineStr">
        <is>
          <t>1</t>
        </is>
      </c>
      <c r="E2500" t="inlineStr">
        <is>
          <t>20</t>
        </is>
      </c>
      <c r="F2500" t="inlineStr">
        <is>
          <t>0</t>
        </is>
      </c>
      <c r="G2500" t="inlineStr">
        <is>
          <t>0</t>
        </is>
      </c>
      <c r="H2500" t="inlineStr">
        <is>
          <t>30¹, 90¹</t>
        </is>
      </c>
      <c r="I2500" t="n">
        <v>2</v>
      </c>
      <c r="J2500" t="inlineStr">
        <is>
          <t>1², 2¹, 4², 8¹</t>
        </is>
      </c>
      <c r="K2500">
        <f>HYPERLINK("CSG2.html#group18B2", "18B²"), =HYPERLINK("CSG2.html#group30D2", "30D²"), =HYPERLINK("CSG5.html#group45A5", "45A⁵")</f>
        <v/>
      </c>
      <c r="L2500">
        <f>HYPERLINK("CSG20.html#group180A20", "180A²⁰")</f>
        <v/>
      </c>
      <c r="M2500">
        <f>HYPERLINK("CSG0.html#group3B0", "3B⁰"), =HYPERLINK("CSG0.html#group2A0", "2A⁰"), =HYPERLINK("CSG2.html#group18B2", "18B²"), =HYPERLINK("CSG0.html#group5A0", "5A⁰"), =HYPERLINK("CSG0.html#group10A0", "10A⁰"), =HYPERLINK("CSG5.html#group45A5", "45A⁵"), =HYPERLINK("CSG2.html#group30D2", "30D²"), =HYPERLINK("CSG1.html#group9A1", "9A¹"), =HYPERLINK("CSG0.html#group6C0", "6C⁰"), =HYPERLINK("CSG1.html#group15B1", "15B¹"), =HYPERLINK("CSG0.html#group1A0", "1A⁰")</f>
        <v/>
      </c>
      <c r="N2500">
        <f>HYPERLINK("CSG20.html#group180A20", "180A²⁰")</f>
        <v/>
      </c>
    </row>
    <row r="2501">
      <c r="A2501" t="inlineStr">
        <is>
          <t>90B¹⁰</t>
        </is>
      </c>
      <c r="B2501" t="inlineStr"/>
      <c r="C2501" t="inlineStr">
        <is>
          <t>120</t>
        </is>
      </c>
      <c r="D2501" t="inlineStr">
        <is>
          <t>1</t>
        </is>
      </c>
      <c r="E2501" t="inlineStr">
        <is>
          <t>40</t>
        </is>
      </c>
      <c r="F2501" t="inlineStr">
        <is>
          <t>0</t>
        </is>
      </c>
      <c r="G2501" t="inlineStr">
        <is>
          <t>0</t>
        </is>
      </c>
      <c r="H2501" t="inlineStr">
        <is>
          <t>30¹, 90¹</t>
        </is>
      </c>
      <c r="I2501" t="n">
        <v>2</v>
      </c>
      <c r="J2501" t="inlineStr">
        <is>
          <t>2⁴, 8⁴</t>
        </is>
      </c>
      <c r="K2501">
        <f>HYPERLINK("CSG2.html#group18C2", "18C²"), =HYPERLINK("CSG2.html#group30D2", "30D²")</f>
        <v/>
      </c>
      <c r="L2501">
        <f>HYPERLINK("CSG20.html#group180B20", "180B²⁰")</f>
        <v/>
      </c>
      <c r="M2501">
        <f>HYPERLINK("CSG0.html#group3B0", "3B⁰"), =HYPERLINK("CSG0.html#group2A0", "2A⁰"), =HYPERLINK("CSG0.html#group5A0", "5A⁰"), =HYPERLINK("CSG0.html#group10A0", "10A⁰"), =HYPERLINK("CSG2.html#group30D2", "30D²"), =HYPERLINK("CSG0.html#group6C0", "6C⁰"), =HYPERLINK("CSG1.html#group15B1", "15B¹"), =HYPERLINK("CSG0.html#group1A0", "1A⁰"), =HYPERLINK("CSG2.html#group18C2", "18C²")</f>
        <v/>
      </c>
      <c r="N2501">
        <f>HYPERLINK("CSG20.html#group180B20", "180B²⁰")</f>
        <v/>
      </c>
    </row>
    <row r="2502">
      <c r="A2502" t="inlineStr">
        <is>
          <t>90C¹⁰</t>
        </is>
      </c>
      <c r="B2502" t="inlineStr"/>
      <c r="C2502" t="inlineStr">
        <is>
          <t>120</t>
        </is>
      </c>
      <c r="D2502" t="inlineStr">
        <is>
          <t>2</t>
        </is>
      </c>
      <c r="E2502" t="inlineStr">
        <is>
          <t>20</t>
        </is>
      </c>
      <c r="F2502" t="inlineStr">
        <is>
          <t>0</t>
        </is>
      </c>
      <c r="G2502" t="inlineStr">
        <is>
          <t>0</t>
        </is>
      </c>
      <c r="H2502" t="inlineStr">
        <is>
          <t>30¹, 90¹</t>
        </is>
      </c>
      <c r="I2502" t="n">
        <v>2</v>
      </c>
      <c r="J2502" t="inlineStr">
        <is>
          <t>2², 4¹, 8⁴</t>
        </is>
      </c>
      <c r="K2502">
        <f>HYPERLINK("CSG2.html#group30D2", "30D²"), =HYPERLINK("CSG5.html#group45B5", "45B⁵")</f>
        <v/>
      </c>
      <c r="L2502">
        <f>HYPERLINK("CSG20.html#group180D20", "180D²⁰")</f>
        <v/>
      </c>
      <c r="M2502">
        <f>HYPERLINK("CSG0.html#group3B0", "3B⁰"), =HYPERLINK("CSG0.html#group2A0", "2A⁰"), =HYPERLINK("CSG0.html#group5A0", "5A⁰"), =HYPERLINK("CSG0.html#group10A0", "10A⁰"), =HYPERLINK("CSG2.html#group30D2", "30D²"), =HYPERLINK("CSG0.html#group6C0", "6C⁰"), =HYPERLINK("CSG1.html#group15B1", "15B¹"), =HYPERLINK("CSG5.html#group45B5", "45B⁵"), =HYPERLINK("CSG0.html#group1A0", "1A⁰")</f>
        <v/>
      </c>
      <c r="N2502">
        <f>HYPERLINK("CSG20.html#group180D20", "180D²⁰")</f>
        <v/>
      </c>
    </row>
    <row r="2503">
      <c r="A2503" t="inlineStr">
        <is>
          <t>90D¹⁰</t>
        </is>
      </c>
      <c r="B2503" t="inlineStr"/>
      <c r="C2503" t="inlineStr">
        <is>
          <t>135</t>
        </is>
      </c>
      <c r="D2503" t="inlineStr">
        <is>
          <t>1</t>
        </is>
      </c>
      <c r="E2503" t="inlineStr">
        <is>
          <t>135</t>
        </is>
      </c>
      <c r="F2503" t="inlineStr">
        <is>
          <t>5</t>
        </is>
      </c>
      <c r="G2503" t="inlineStr">
        <is>
          <t>0</t>
        </is>
      </c>
      <c r="H2503" t="inlineStr">
        <is>
          <t>45¹, 90¹</t>
        </is>
      </c>
      <c r="I2503" t="n">
        <v>2</v>
      </c>
      <c r="J2503" t="inlineStr">
        <is>
          <t>1³, 2³, 4³, 6³, 8³, 24³</t>
        </is>
      </c>
      <c r="K2503">
        <f>HYPERLINK("CSG1.html#group18E1", "18E¹"), =HYPERLINK("CSG3.html#group30D3", "30D³"), =HYPERLINK("CSG3.html#group45A3", "45A³")</f>
        <v/>
      </c>
      <c r="L2503">
        <f>HYPERLINK("CSG20.html#group90A20", "90A²⁰"), =HYPERLINK("CSG20.html#group90D20", "90D²⁰"), =HYPERLINK("CSG20.html#group180F20", "180F²⁰"), =HYPERLINK("CSG20.html#group180G20", "180G²⁰"), =HYPERLINK("CSG21.html#group90A21", "90A²¹"), =HYPERLINK("CSG21.html#group90B21", "90B²¹"), =HYPERLINK("CSG21.html#group180A21", "180A²¹"), =HYPERLINK("CSG21.html#group180B21", "180B²¹"), =HYPERLINK("CSG22.html#group90B22", "90B²²"), =HYPERLINK("CSG22.html#group180A22", "180A²²"), =HYPERLINK("CSG22.html#group180B22", "180B²²")</f>
        <v/>
      </c>
      <c r="M2503">
        <f>HYPERLINK("CSG3.html#group30D3", "30D³"), =HYPERLINK("CSG0.html#group5A0", "5A⁰"), =HYPERLINK("CSG1.html#group10B1", "10B¹"), =HYPERLINK("CSG0.html#group6D0", "6D⁰"), =HYPERLINK("CSG0.html#group9A0", "9A⁰"), =HYPERLINK("CSG0.html#group2B0", "2B⁰"), =HYPERLINK("CSG1.html#group18E1", "18E¹"), =HYPERLINK("CSG0.html#group3A0", "3A⁰"), =HYPERLINK("CSG0.html#group1A0", "1A⁰"), =HYPERLINK("CSG1.html#group15A1", "15A¹"), =HYPERLINK("CSG3.html#group45A3", "45A³")</f>
        <v/>
      </c>
      <c r="N2503">
        <f>HYPERLINK("CSG22.html#group90B22", "90B²²"), =HYPERLINK("CSG21.html#group180A21", "180A²¹"), =HYPERLINK("CSG20.html#group90A20", "90A²⁰"), =HYPERLINK("CSG22.html#group180B22", "180B²²"), =HYPERLINK("CSG21.html#group90A21", "90A²¹"), =HYPERLINK("CSG21.html#group90B21", "90B²¹"), =HYPERLINK("CSG20.html#group90D20", "90D²⁰"), =HYPERLINK("CSG21.html#group180B21", "180B²¹"), =HYPERLINK("CSG22.html#group180A22", "180A²²"), =HYPERLINK("CSG20.html#group180F20", "180F²⁰"), =HYPERLINK("CSG20.html#group180G20", "180G²⁰")</f>
        <v/>
      </c>
    </row>
    <row r="2504">
      <c r="A2504" t="inlineStr">
        <is>
          <t>90E¹⁰</t>
        </is>
      </c>
      <c r="B2504" t="inlineStr"/>
      <c r="C2504" t="inlineStr">
        <is>
          <t>162</t>
        </is>
      </c>
      <c r="D2504" t="inlineStr">
        <is>
          <t>1</t>
        </is>
      </c>
      <c r="E2504" t="inlineStr">
        <is>
          <t>162</t>
        </is>
      </c>
      <c r="F2504" t="inlineStr">
        <is>
          <t>10</t>
        </is>
      </c>
      <c r="G2504" t="inlineStr">
        <is>
          <t>0</t>
        </is>
      </c>
      <c r="H2504" t="inlineStr">
        <is>
          <t>9¹, 18¹, 45¹, 90¹</t>
        </is>
      </c>
      <c r="I2504" t="n">
        <v>4</v>
      </c>
      <c r="J2504" t="inlineStr">
        <is>
          <t>1⁶, 2⁶, 4³, 6⁶, 8³, 24³</t>
        </is>
      </c>
      <c r="K2504">
        <f>HYPERLINK("CSG1.html#group18E1", "18E¹"), =HYPERLINK("CSG2.html#group30E2", "30E²"), =HYPERLINK("CSG2.html#group45A2", "45A²")</f>
        <v/>
      </c>
      <c r="L2504">
        <f>HYPERLINK("CSG20.html#group90F20", "90F²⁰"), =HYPERLINK("CSG20.html#group90G20", "90G²⁰"), =HYPERLINK("CSG20.html#group180H20", "180H²⁰"), =HYPERLINK("CSG21.html#group90I21", "90I²¹"), =HYPERLINK("CSG21.html#group90K21", "90K²¹"), =HYPERLINK("CSG21.html#group180I21", "180I²¹"), =HYPERLINK("CSG21.html#group180J21", "180J²¹"), =HYPERLINK("CSG22.html#group90E22", "90E²²"), =HYPERLINK("CSG22.html#group90G22", "90G²²"), =HYPERLINK("CSG22.html#group180C22", "180C²²"), =HYPERLINK("CSG22.html#group180D22", "180D²²"), =HYPERLINK("CSG23.html#group90A23", "90A²³"), =HYPERLINK("CSG23.html#group90B23", "90B²³"), =HYPERLINK("CSG23.html#group180M23", "180M²³"), =HYPERLINK("CSG23.html#group180N23", "180N²³"), =HYPERLINK("CSG24.html#group90A24", "90A²⁴"), =HYPERLINK("CSG24.html#group90C24", "90C²⁴"), =HYPERLINK("CSG24.html#group180A24", "180A²⁴"), =HYPERLINK("CSG24.html#group180B24", "180B²⁴")</f>
        <v/>
      </c>
      <c r="M2504">
        <f>HYPERLINK("CSG2.html#group45A2", "45A²"), =HYPERLINK("CSG0.html#group15B0", "15B⁰"), =HYPERLINK("CSG2.html#group30E2", "30E²"), =HYPERLINK("CSG0.html#group9A0", "9A⁰"), =HYPERLINK("CSG0.html#group5B0", "5B⁰"), =HYPERLINK("CSG0.html#group10C0", "10C⁰"), =HYPERLINK("CSG0.html#group2B0", "2B⁰"), =HYPERLINK("CSG1.html#group18E1", "18E¹"), =HYPERLINK("CSG0.html#group3A0", "3A⁰"), =HYPERLINK("CSG0.html#group1A0", "1A⁰"), =HYPERLINK("CSG0.html#group6D0", "6D⁰")</f>
        <v/>
      </c>
      <c r="N2504">
        <f>HYPERLINK("CSG24.html#group180B24", "180B²⁴"), =HYPERLINK("CSG20.html#group90G20", "90G²⁰"), =HYPERLINK("CSG20.html#group90F20", "90F²⁰"), =HYPERLINK("CSG21.html#group90K21", "90K²¹"), =HYPERLINK("CSG21.html#group90I21", "90I²¹"), =HYPERLINK("CSG22.html#group180D22", "180D²²"), =HYPERLINK("CSG24.html#group90C24", "90C²⁴"), =HYPERLINK("CSG21.html#group180J21", "180J²¹"), =HYPERLINK("CSG24.html#group180A24", "180A²⁴"), =HYPERLINK("CSG23.html#group90A23", "90A²³"), =HYPERLINK("CSG20.html#group180H20", "180H²⁰"), =HYPERLINK("CSG23.html#group180N23", "180N²³"), =HYPERLINK("CSG22.html#group90E22", "90E²²"), =HYPERLINK("CSG24.html#group90A24", "90A²⁴"), =HYPERLINK("CSG21.html#group180I21", "180I²¹"), =HYPERLINK("CSG23.html#group90B23", "90B²³"), =HYPERLINK("CSG23.html#group180M23", "180M²³"), =HYPERLINK("CSG22.html#group90G22", "90G²²"), =HYPERLINK("CSG22.html#group180C22", "180C²²")</f>
        <v/>
      </c>
    </row>
    <row r="2505">
      <c r="A2505" t="inlineStr">
        <is>
          <t>90F¹⁰</t>
        </is>
      </c>
      <c r="B2505" t="inlineStr"/>
      <c r="C2505" t="inlineStr">
        <is>
          <t>180</t>
        </is>
      </c>
      <c r="D2505" t="inlineStr">
        <is>
          <t>1</t>
        </is>
      </c>
      <c r="E2505" t="inlineStr">
        <is>
          <t>90</t>
        </is>
      </c>
      <c r="F2505" t="inlineStr">
        <is>
          <t>20</t>
        </is>
      </c>
      <c r="G2505" t="inlineStr">
        <is>
          <t>0</t>
        </is>
      </c>
      <c r="H2505" t="inlineStr">
        <is>
          <t>90²</t>
        </is>
      </c>
      <c r="I2505" t="n">
        <v>2</v>
      </c>
      <c r="J2505" t="inlineStr">
        <is>
          <t>2¹, 4³, 8², 12¹, 24²</t>
        </is>
      </c>
      <c r="K2505">
        <f>HYPERLINK("CSG2.html#group30F2", "30F²"), =HYPERLINK("CSG5.html#group45E5", "45E⁵")</f>
        <v/>
      </c>
      <c r="L2505">
        <f>HYPERLINK("CSG21.html#group90M21", "90M²¹"), =HYPERLINK("CSG23.html#group90D23", "90D²³")</f>
        <v/>
      </c>
      <c r="M2505">
        <f>HYPERLINK("CSG1.html#group15D1", "15D¹"), =HYPERLINK("CSG2.html#group30F2", "30F²"), =HYPERLINK("CSG0.html#group10D0", "10D⁰"), =HYPERLINK("CSG5.html#group45E5", "45E⁵"), =HYPERLINK("CSG0.html#group5C0", "5C⁰"), =HYPERLINK("CSG0.html#group9A0", "9A⁰"), =HYPERLINK("CSG0.html#group3A0", "3A⁰"), =HYPERLINK("CSG0.html#group1A0", "1A⁰")</f>
        <v/>
      </c>
      <c r="N2505">
        <f>HYPERLINK("CSG21.html#group90M21", "90M²¹"), =HYPERLINK("CSG23.html#group90D23", "90D²³")</f>
        <v/>
      </c>
    </row>
    <row r="2506">
      <c r="A2506" t="inlineStr">
        <is>
          <t>92A¹⁰</t>
        </is>
      </c>
      <c r="B2506" t="inlineStr">
        <is>
          <t>Γ₀(92)</t>
        </is>
      </c>
      <c r="C2506" t="inlineStr">
        <is>
          <t>144</t>
        </is>
      </c>
      <c r="D2506" t="inlineStr">
        <is>
          <t>1</t>
        </is>
      </c>
      <c r="E2506" t="inlineStr">
        <is>
          <t>72</t>
        </is>
      </c>
      <c r="F2506" t="inlineStr">
        <is>
          <t>0</t>
        </is>
      </c>
      <c r="G2506" t="inlineStr">
        <is>
          <t>0</t>
        </is>
      </c>
      <c r="H2506" t="inlineStr">
        <is>
          <t>1², 4¹, 23², 92¹</t>
        </is>
      </c>
      <c r="I2506" t="n">
        <v>6</v>
      </c>
      <c r="J2506" t="inlineStr">
        <is>
          <t>1⁶, 22³</t>
        </is>
      </c>
      <c r="K2506">
        <f>HYPERLINK("CSG0.html#group4B0", "4B⁰"), =HYPERLINK("CSG5.html#group46A5", "46A⁵")</f>
        <v/>
      </c>
      <c r="L2506">
        <f>HYPERLINK("CSG20.html#group92B20", "92B²⁰"), =HYPERLINK("CSG20.html#group184A20", "184A²⁰"), =HYPERLINK("CSG21.html#group92A21", "92A²¹"), =HYPERLINK("CSG21.html#group184A21", "184A²¹"), =HYPERLINK("CSG22.html#group184A22", "184A²²")</f>
        <v/>
      </c>
      <c r="M2506">
        <f>HYPERLINK("CSG0.html#group2B0", "2B⁰"), =HYPERLINK("CSG2.html#group23A2", "23A²"), =HYPERLINK("CSG0.html#group4B0", "4B⁰"), =HYPERLINK("CSG0.html#group1A0", "1A⁰"), =HYPERLINK("CSG5.html#group46A5", "46A⁵")</f>
        <v/>
      </c>
      <c r="N2506">
        <f>HYPERLINK("CSG21.html#group92A21", "92A²¹"), =HYPERLINK("CSG21.html#group184A21", "184A²¹"), =HYPERLINK("CSG22.html#group184A22", "184A²²"), =HYPERLINK("CSG20.html#group92B20", "92B²⁰"), =HYPERLINK("CSG20.html#group184A20", "184A²⁰")</f>
        <v/>
      </c>
    </row>
    <row r="2507">
      <c r="A2507" t="inlineStr">
        <is>
          <t>96A¹⁰</t>
        </is>
      </c>
      <c r="B2507" t="inlineStr"/>
      <c r="C2507" t="inlineStr">
        <is>
          <t>144</t>
        </is>
      </c>
      <c r="D2507" t="inlineStr">
        <is>
          <t>1</t>
        </is>
      </c>
      <c r="E2507" t="inlineStr">
        <is>
          <t>6</t>
        </is>
      </c>
      <c r="F2507" t="inlineStr">
        <is>
          <t>0</t>
        </is>
      </c>
      <c r="G2507" t="inlineStr">
        <is>
          <t>0</t>
        </is>
      </c>
      <c r="H2507" t="inlineStr">
        <is>
          <t>6⁴, 24¹, 96¹</t>
        </is>
      </c>
      <c r="I2507" t="n">
        <v>6</v>
      </c>
      <c r="J2507" t="inlineStr">
        <is>
          <t>1⁴, 2¹</t>
        </is>
      </c>
      <c r="K2507">
        <f>HYPERLINK("CSG2.html#group32A2", "32A²"), =HYPERLINK("CSG4.html#group48B4", "48B⁴")</f>
        <v/>
      </c>
      <c r="L2507">
        <f>HYPERLINK("CSG19.html#group96B19", "96B¹⁹"), =HYPERLINK("CSG19.html#group96C19", "96C¹⁹"), =HYPERLINK("CSG19.html#group96F19", "96F¹⁹"), =HYPERLINK("CSG19.html#group96I19", "96I¹⁹"), =HYPERLINK("CSG19.html#group96R19", "96R¹⁹"), =HYPERLINK("CSG22.html#group192A22", "192A²²"), =HYPERLINK("CSG22.html#group192B22", "192B²²")</f>
        <v/>
      </c>
      <c r="M2507">
        <f>HYPERLINK("CSG0.html#group8C0", "8C⁰"), =HYPERLINK("CSG0.html#group2B0", "2B⁰"), =HYPERLINK("CSG0.html#group4B0", "4B⁰"), =HYPERLINK("CSG0.html#group1A0", "1A⁰"), =HYPERLINK("CSG4.html#group48B4", "48B⁴"), =HYPERLINK("CSG2.html#group24B2", "24B²"), =HYPERLINK("CSG0.html#group16C0", "16C⁰"), =HYPERLINK("CSG2.html#group32A2", "32A²"), =HYPERLINK("CSG1.html#group12B1", "12B¹"), =HYPERLINK("CSG0.html#group3A0", "3A⁰"), =HYPERLINK("CSG0.html#group6D0", "6D⁰")</f>
        <v/>
      </c>
      <c r="N2507">
        <f>HYPERLINK("CSG19.html#group96C19", "96C¹⁹"), =HYPERLINK("CSG19.html#group96I19", "96I¹⁹"), =HYPERLINK("CSG19.html#group96B19", "96B¹⁹"), =HYPERLINK("CSG19.html#group96F19", "96F¹⁹"), =HYPERLINK("CSG22.html#group192A22", "192A²²"), =HYPERLINK("CSG22.html#group192B22", "192B²²"), =HYPERLINK("CSG19.html#group96R19", "96R¹⁹")</f>
        <v/>
      </c>
    </row>
    <row r="2508">
      <c r="A2508" t="inlineStr">
        <is>
          <t>96B¹⁰</t>
        </is>
      </c>
      <c r="B2508" t="inlineStr"/>
      <c r="C2508" t="inlineStr">
        <is>
          <t>144</t>
        </is>
      </c>
      <c r="D2508" t="inlineStr">
        <is>
          <t>1</t>
        </is>
      </c>
      <c r="E2508" t="inlineStr">
        <is>
          <t>18</t>
        </is>
      </c>
      <c r="F2508" t="inlineStr">
        <is>
          <t>0</t>
        </is>
      </c>
      <c r="G2508" t="inlineStr">
        <is>
          <t>0</t>
        </is>
      </c>
      <c r="H2508" t="inlineStr">
        <is>
          <t>6⁴, 24¹, 96¹</t>
        </is>
      </c>
      <c r="I2508" t="n">
        <v>6</v>
      </c>
      <c r="J2508" t="inlineStr">
        <is>
          <t>1⁴, 2⁵, 4¹</t>
        </is>
      </c>
      <c r="K2508">
        <f>HYPERLINK("CSG4.html#group48B4", "48B⁴")</f>
        <v/>
      </c>
      <c r="L2508">
        <f>HYPERLINK("CSG19.html#group96D19", "96D¹⁹"), =HYPERLINK("CSG19.html#group96F19", "96F¹⁹"), =HYPERLINK("CSG19.html#group96G19", "96G¹⁹"), =HYPERLINK("CSG19.html#group96H19", "96H¹⁹"), =HYPERLINK("CSG19.html#group96P19", "96P¹⁹"), =HYPERLINK("CSG19.html#group96Q19", "96Q¹⁹"), =HYPERLINK("CSG19.html#group96AW19", "96AW¹⁹"), =HYPERLINK("CSG19.html#group96AX19", "96AX¹⁹")</f>
        <v/>
      </c>
      <c r="M2508">
        <f>HYPERLINK("CSG2.html#group24B2", "24B²"), =HYPERLINK("CSG0.html#group3A0", "3A⁰"), =HYPERLINK("CSG0.html#group16C0", "16C⁰"), =HYPERLINK("CSG0.html#group8C0", "8C⁰"), =HYPERLINK("CSG1.html#group12B1", "12B¹"), =HYPERLINK("CSG0.html#group2B0", "2B⁰"), =HYPERLINK("CSG0.html#group4B0", "4B⁰"), =HYPERLINK("CSG0.html#group1A0", "1A⁰"), =HYPERLINK("CSG0.html#group6D0", "6D⁰"), =HYPERLINK("CSG4.html#group48B4", "48B⁴")</f>
        <v/>
      </c>
      <c r="N2508">
        <f>HYPERLINK("CSG19.html#group96Q19", "96Q¹⁹"), =HYPERLINK("CSG19.html#group96G19", "96G¹⁹"), =HYPERLINK("CSG19.html#group96AX19", "96AX¹⁹"), =HYPERLINK("CSG19.html#group96P19", "96P¹⁹"), =HYPERLINK("CSG19.html#group96D19", "96D¹⁹"), =HYPERLINK("CSG19.html#group96AW19", "96AW¹⁹"), =HYPERLINK("CSG19.html#group96F19", "96F¹⁹"), =HYPERLINK("CSG19.html#group96H19", "96H¹⁹")</f>
        <v/>
      </c>
    </row>
    <row r="2509">
      <c r="A2509" t="inlineStr">
        <is>
          <t>96C¹⁰</t>
        </is>
      </c>
      <c r="B2509" t="inlineStr"/>
      <c r="C2509" t="inlineStr">
        <is>
          <t>144</t>
        </is>
      </c>
      <c r="D2509" t="inlineStr">
        <is>
          <t>2</t>
        </is>
      </c>
      <c r="E2509" t="inlineStr">
        <is>
          <t>24</t>
        </is>
      </c>
      <c r="F2509" t="inlineStr">
        <is>
          <t>6</t>
        </is>
      </c>
      <c r="G2509" t="inlineStr">
        <is>
          <t>0</t>
        </is>
      </c>
      <c r="H2509" t="inlineStr">
        <is>
          <t>24², 96¹</t>
        </is>
      </c>
      <c r="I2509" t="n">
        <v>3</v>
      </c>
      <c r="J2509" t="inlineStr">
        <is>
          <t>2², 4³, 8⁴</t>
        </is>
      </c>
      <c r="K2509">
        <f>HYPERLINK("CSG3.html#group32I3", "32I³"), =HYPERLINK("CSG4.html#group48E4", "48E⁴")</f>
        <v/>
      </c>
      <c r="L2509">
        <f>HYPERLINK("CSG19.html#group96L19", "96L¹⁹"), =HYPERLINK("CSG20.html#group96L20", "96L²⁰"), =HYPERLINK("CSG20.html#group96M20", "96M²⁰"), =HYPERLINK("CSG21.html#group96AW21", "96AW²¹"), =HYPERLINK("CSG21.html#group96AV21", "96AV²¹"), =HYPERLINK("CSG22.html#group96A22", "96A²²"), =HYPERLINK("CSG22.html#group96B22", "96B²²")</f>
        <v/>
      </c>
      <c r="M2509">
        <f>HYPERLINK("CSG0.html#group12C0", "12C⁰"), =HYPERLINK("CSG0.html#group8D0", "8D⁰"), =HYPERLINK("CSG0.html#group4C0", "4C⁰"), =HYPERLINK("CSG3.html#group32I3", "32I³"), =HYPERLINK("CSG0.html#group2B0", "2B⁰"), =HYPERLINK("CSG0.html#group1A0", "1A⁰"), =HYPERLINK("CSG4.html#group48E4", "48E⁴"), =HYPERLINK("CSG1.html#group16C1", "16C¹"), =HYPERLINK("CSG1.html#group24C1", "24C¹"), =HYPERLINK("CSG0.html#group3A0", "3A⁰"), =HYPERLINK("CSG0.html#group6D0", "6D⁰")</f>
        <v/>
      </c>
      <c r="N2509">
        <f>HYPERLINK("CSG21.html#group96AV21", "96AV²¹"), =HYPERLINK("CSG20.html#group96M20", "96M²⁰"), =HYPERLINK("CSG19.html#group96L19", "96L¹⁹"), =HYPERLINK("CSG22.html#group96A22", "96A²²"), =HYPERLINK("CSG20.html#group96L20", "96L²⁰"), =HYPERLINK("CSG21.html#group96AW21", "96AW²¹"), =HYPERLINK("CSG22.html#group96B22", "96B²²")</f>
        <v/>
      </c>
    </row>
    <row r="2510">
      <c r="A2510" t="inlineStr">
        <is>
          <t>96D¹⁰</t>
        </is>
      </c>
      <c r="B2510" t="inlineStr"/>
      <c r="C2510" t="inlineStr">
        <is>
          <t>144</t>
        </is>
      </c>
      <c r="D2510" t="inlineStr">
        <is>
          <t>2</t>
        </is>
      </c>
      <c r="E2510" t="inlineStr">
        <is>
          <t>72</t>
        </is>
      </c>
      <c r="F2510" t="inlineStr">
        <is>
          <t>6</t>
        </is>
      </c>
      <c r="G2510" t="inlineStr">
        <is>
          <t>0</t>
        </is>
      </c>
      <c r="H2510" t="inlineStr">
        <is>
          <t>24², 96¹</t>
        </is>
      </c>
      <c r="I2510" t="n">
        <v>3</v>
      </c>
      <c r="J2510" t="inlineStr">
        <is>
          <t>2², 4⁵, 8⁷, 16⁴</t>
        </is>
      </c>
      <c r="K2510">
        <f>HYPERLINK("CSG4.html#group48E4", "48E⁴")</f>
        <v/>
      </c>
      <c r="L2510">
        <f>HYPERLINK("CSG19.html#group96AC19", "96AC¹⁹"), =HYPERLINK("CSG20.html#group96C20", "96C²⁰"), =HYPERLINK("CSG20.html#group96D20", "96D²⁰"), =HYPERLINK("CSG20.html#group96K20", "96K²⁰"), =HYPERLINK("CSG20.html#group96L20", "96L²⁰"), =HYPERLINK("CSG20.html#group96M20", "96M²⁰"), =HYPERLINK("CSG21.html#group96AC21", "96AC²¹"), =HYPERLINK("CSG21.html#group96AD21", "96AD²¹"), =HYPERLINK("CSG21.html#group96AU21", "96AU²¹"), =HYPERLINK("CSG21.html#group96AW21", "96AW²¹"), =HYPERLINK("CSG21.html#group96AV21", "96AV²¹"), =HYPERLINK("CSG22.html#group96C22", "96C²²"), =HYPERLINK("CSG22.html#group96D22", "96D²²")</f>
        <v/>
      </c>
      <c r="M2510">
        <f>HYPERLINK("CSG4.html#group48E4", "48E⁴"), =HYPERLINK("CSG0.html#group12C0", "12C⁰"), =HYPERLINK("CSG0.html#group8D0", "8D⁰"), =HYPERLINK("CSG1.html#group16C1", "16C¹"), =HYPERLINK("CSG0.html#group4C0", "4C⁰"), =HYPERLINK("CSG1.html#group24C1", "24C¹"), =HYPERLINK("CSG0.html#group2B0", "2B⁰"), =HYPERLINK("CSG0.html#group3A0", "3A⁰"), =HYPERLINK("CSG0.html#group1A0", "1A⁰"), =HYPERLINK("CSG0.html#group6D0", "6D⁰")</f>
        <v/>
      </c>
      <c r="N2510">
        <f>HYPERLINK("CSG21.html#group96AV21", "96AV²¹"), =HYPERLINK("CSG21.html#group96AC21", "96AC²¹"), =HYPERLINK("CSG20.html#group96L20", "96L²⁰"), =HYPERLINK("CSG19.html#group96AC19", "96AC¹⁹"), =HYPERLINK("CSG22.html#group96C22", "96C²²"), =HYPERLINK("CSG21.html#group96AW21", "96AW²¹"), =HYPERLINK("CSG20.html#group96K20", "96K²⁰"), =HYPERLINK("CSG20.html#group96M20", "96M²⁰"), =HYPERLINK("CSG20.html#group96C20", "96C²⁰"), =HYPERLINK("CSG21.html#group96AD21", "96AD²¹"), =HYPERLINK("CSG21.html#group96AU21", "96AU²¹"), =HYPERLINK("CSG22.html#group96D22", "96D²²"), =HYPERLINK("CSG20.html#group96D20", "96D²⁰")</f>
        <v/>
      </c>
    </row>
    <row r="2511">
      <c r="A2511" t="inlineStr">
        <is>
          <t>96E¹⁰</t>
        </is>
      </c>
      <c r="B2511" t="inlineStr"/>
      <c r="C2511" t="inlineStr">
        <is>
          <t>192</t>
        </is>
      </c>
      <c r="D2511" t="inlineStr">
        <is>
          <t>1</t>
        </is>
      </c>
      <c r="E2511" t="inlineStr">
        <is>
          <t>96</t>
        </is>
      </c>
      <c r="F2511" t="inlineStr">
        <is>
          <t>0</t>
        </is>
      </c>
      <c r="G2511" t="inlineStr">
        <is>
          <t>0</t>
        </is>
      </c>
      <c r="H2511" t="inlineStr">
        <is>
          <t>2⁴, 4², 6⁴, 12², 32¹, 96¹</t>
        </is>
      </c>
      <c r="I2511" t="n">
        <v>14</v>
      </c>
      <c r="J2511" t="inlineStr">
        <is>
          <t>2⁴, 4⁸, 8¹¹, 16⁴</t>
        </is>
      </c>
      <c r="K2511">
        <f>HYPERLINK("CSG1.html#group32C1", "32C¹"), =HYPERLINK("CSG4.html#group48J4", "48J⁴")</f>
        <v/>
      </c>
      <c r="L2511">
        <f>HYPERLINK("CSG19.html#group96BD19", "96BD¹⁹"), =HYPERLINK("CSG23.html#group96AJ23", "96AJ²³"), =HYPERLINK("CSG23.html#group96AL23", "96AL²³")</f>
        <v/>
      </c>
      <c r="M2511">
        <f>HYPERLINK("CSG0.html#group3B0", "3B⁰"), =HYPERLINK("CSG0.html#group16E0", "16E⁰"), =HYPERLINK("CSG1.html#group32C1", "32C¹"), =HYPERLINK("CSG2.html#group24I2", "24I²"), =HYPERLINK("CSG0.html#group8D0", "8D⁰"), =HYPERLINK("CSG1.html#group12F1", "12F¹"), =HYPERLINK("CSG4.html#group48J4", "48J⁴"), =HYPERLINK("CSG0.html#group4C0", "4C⁰"), =HYPERLINK("CSG0.html#group1A0", "1A⁰"), =HYPERLINK("CSG0.html#group2B0", "2B⁰"), =HYPERLINK("CSG0.html#group6F0", "6F⁰")</f>
        <v/>
      </c>
      <c r="N2511">
        <f>HYPERLINK("CSG19.html#group96BD19", "96BD¹⁹"), =HYPERLINK("CSG23.html#group96AL23", "96AL²³"), =HYPERLINK("CSG23.html#group96AJ23", "96AJ²³")</f>
        <v/>
      </c>
    </row>
    <row r="2512">
      <c r="A2512" t="inlineStr">
        <is>
          <t>96F¹⁰</t>
        </is>
      </c>
      <c r="B2512" t="inlineStr"/>
      <c r="C2512" t="inlineStr">
        <is>
          <t>192</t>
        </is>
      </c>
      <c r="D2512" t="inlineStr">
        <is>
          <t>1</t>
        </is>
      </c>
      <c r="E2512" t="inlineStr">
        <is>
          <t>96</t>
        </is>
      </c>
      <c r="F2512" t="inlineStr">
        <is>
          <t>0</t>
        </is>
      </c>
      <c r="G2512" t="inlineStr">
        <is>
          <t>0</t>
        </is>
      </c>
      <c r="H2512" t="inlineStr">
        <is>
          <t>2⁴, 4², 6⁴, 12², 32¹, 96¹</t>
        </is>
      </c>
      <c r="I2512" t="n">
        <v>14</v>
      </c>
      <c r="J2512" t="inlineStr">
        <is>
          <t>2⁴, 4⁸, 8¹¹, 16⁴</t>
        </is>
      </c>
      <c r="K2512">
        <f>HYPERLINK("CSG1.html#group32D1", "32D¹"), =HYPERLINK("CSG4.html#group48J4", "48J⁴")</f>
        <v/>
      </c>
      <c r="L2512">
        <f>HYPERLINK("CSG19.html#group96BD19", "96BD¹⁹"), =HYPERLINK("CSG23.html#group96AJ23", "96AJ²³"), =HYPERLINK("CSG23.html#group96AL23", "96AL²³")</f>
        <v/>
      </c>
      <c r="M2512">
        <f>HYPERLINK("CSG0.html#group3B0", "3B⁰"), =HYPERLINK("CSG0.html#group8D0", "8D⁰"), =HYPERLINK("CSG1.html#group12F1", "12F¹"), =HYPERLINK("CSG0.html#group4C0", "4C⁰"), =HYPERLINK("CSG1.html#group32D1", "32D¹"), =HYPERLINK("CSG0.html#group2B0", "2B⁰"), =HYPERLINK("CSG0.html#group1A0", "1A⁰"), =HYPERLINK("CSG0.html#group16E0", "16E⁰"), =HYPERLINK("CSG2.html#group24I2", "24I²"), =HYPERLINK("CSG4.html#group48J4", "48J⁴"), =HYPERLINK("CSG0.html#group6F0", "6F⁰")</f>
        <v/>
      </c>
      <c r="N2512">
        <f>HYPERLINK("CSG19.html#group96BD19", "96BD¹⁹"), =HYPERLINK("CSG23.html#group96AL23", "96AL²³"), =HYPERLINK("CSG23.html#group96AJ23", "96AJ²³")</f>
        <v/>
      </c>
    </row>
    <row r="2513">
      <c r="A2513" t="inlineStr">
        <is>
          <t>99A¹⁰</t>
        </is>
      </c>
      <c r="B2513" t="inlineStr"/>
      <c r="C2513" t="inlineStr">
        <is>
          <t>132</t>
        </is>
      </c>
      <c r="D2513" t="inlineStr">
        <is>
          <t>2</t>
        </is>
      </c>
      <c r="E2513" t="inlineStr">
        <is>
          <t>44</t>
        </is>
      </c>
      <c r="F2513" t="inlineStr">
        <is>
          <t>0</t>
        </is>
      </c>
      <c r="G2513" t="inlineStr">
        <is>
          <t>0</t>
        </is>
      </c>
      <c r="H2513" t="inlineStr">
        <is>
          <t>11³, 99¹</t>
        </is>
      </c>
      <c r="I2513" t="n">
        <v>4</v>
      </c>
      <c r="J2513" t="inlineStr">
        <is>
          <t>2², 4¹, 10⁴, 20²</t>
        </is>
      </c>
      <c r="K2513">
        <f>HYPERLINK("CSG0.html#group9B0", "9B⁰"), =HYPERLINK("CSG3.html#group33B3", "33B³")</f>
        <v/>
      </c>
      <c r="L2513">
        <f>HYPERLINK("CSG21.html#group198A21", "198A²¹")</f>
        <v/>
      </c>
      <c r="M2513">
        <f>HYPERLINK("CSG0.html#group11A0", "11A⁰"), =HYPERLINK("CSG0.html#group3B0", "3B⁰"), =HYPERLINK("CSG0.html#group9B0", "9B⁰"), =HYPERLINK("CSG0.html#group1A0", "1A⁰"), =HYPERLINK("CSG3.html#group33B3", "33B³")</f>
        <v/>
      </c>
      <c r="N2513">
        <f>HYPERLINK("CSG21.html#group198A21", "198A²¹")</f>
        <v/>
      </c>
    </row>
    <row r="2514">
      <c r="A2514" t="inlineStr">
        <is>
          <t>100A¹⁰</t>
        </is>
      </c>
      <c r="B2514" t="inlineStr"/>
      <c r="C2514" t="inlineStr">
        <is>
          <t>180</t>
        </is>
      </c>
      <c r="D2514" t="inlineStr">
        <is>
          <t>1</t>
        </is>
      </c>
      <c r="E2514" t="inlineStr">
        <is>
          <t>90</t>
        </is>
      </c>
      <c r="F2514" t="inlineStr">
        <is>
          <t>0</t>
        </is>
      </c>
      <c r="G2514" t="inlineStr">
        <is>
          <t>0</t>
        </is>
      </c>
      <c r="H2514" t="inlineStr">
        <is>
          <t>2⁵, 4⁵, 50¹, 100¹</t>
        </is>
      </c>
      <c r="I2514" t="n">
        <v>12</v>
      </c>
      <c r="J2514" t="inlineStr">
        <is>
          <t>1⁶, 4⁶, 20³</t>
        </is>
      </c>
      <c r="K2514">
        <f>HYPERLINK("CSG2.html#group20C2", "20C²"), =HYPERLINK("CSG2.html#group50B2", "50B²")</f>
        <v/>
      </c>
      <c r="L2514">
        <f>HYPERLINK("CSG19.html#group100N19", "100N¹⁹"), =HYPERLINK("CSG19.html#group100O19", "100O¹⁹"), =HYPERLINK("CSG19.html#group100P19", "100P¹⁹")</f>
        <v/>
      </c>
      <c r="M2514">
        <f>HYPERLINK("CSG0.html#group25A0", "25A⁰"), =HYPERLINK("CSG0.html#group10C0", "10C⁰"), =HYPERLINK("CSG0.html#group5B0", "5B⁰"), =HYPERLINK("CSG0.html#group2B0", "2B⁰"), =HYPERLINK("CSG2.html#group50B2", "50B²"), =HYPERLINK("CSG0.html#group1A0", "1A⁰"), =HYPERLINK("CSG2.html#group20C2", "20C²")</f>
        <v/>
      </c>
      <c r="N2514">
        <f>HYPERLINK("CSG19.html#group100P19", "100P¹⁹"), =HYPERLINK("CSG19.html#group100O19", "100O¹⁹"), =HYPERLINK("CSG19.html#group100N19", "100N¹⁹")</f>
        <v/>
      </c>
    </row>
    <row r="2515">
      <c r="A2515" t="inlineStr">
        <is>
          <t>105A¹⁰</t>
        </is>
      </c>
      <c r="B2515" t="inlineStr"/>
      <c r="C2515" t="inlineStr">
        <is>
          <t>120</t>
        </is>
      </c>
      <c r="D2515" t="inlineStr">
        <is>
          <t>1</t>
        </is>
      </c>
      <c r="E2515" t="inlineStr">
        <is>
          <t>40</t>
        </is>
      </c>
      <c r="F2515" t="inlineStr">
        <is>
          <t>0</t>
        </is>
      </c>
      <c r="G2515" t="inlineStr">
        <is>
          <t>0</t>
        </is>
      </c>
      <c r="H2515" t="inlineStr">
        <is>
          <t>15¹, 105¹</t>
        </is>
      </c>
      <c r="I2515" t="n">
        <v>2</v>
      </c>
      <c r="J2515" t="inlineStr">
        <is>
          <t>1², 4², 6¹, 24¹</t>
        </is>
      </c>
      <c r="K2515">
        <f>HYPERLINK("CSG1.html#group15A1", "15A¹"), =HYPERLINK("CSG2.html#group21A2", "21A²"), =HYPERLINK("CSG2.html#group35B2", "35B²")</f>
        <v/>
      </c>
      <c r="L2515">
        <f>HYPERLINK("CSG19.html#group105B19", "105B¹⁹"), =HYPERLINK("CSG20.html#group210A20", "210A²⁰"), =HYPERLINK("CSG20.html#group210B20", "210B²⁰")</f>
        <v/>
      </c>
      <c r="M2515">
        <f>HYPERLINK("CSG0.html#group5A0", "5A⁰"), =HYPERLINK("CSG2.html#group21A2", "21A²"), =HYPERLINK("CSG0.html#group7B0", "7B⁰"), =HYPERLINK("CSG2.html#group35B2", "35B²"), =HYPERLINK("CSG0.html#group3A0", "3A⁰"), =HYPERLINK("CSG0.html#group1A0", "1A⁰"), =HYPERLINK("CSG1.html#group15A1", "15A¹")</f>
        <v/>
      </c>
      <c r="N2515">
        <f>HYPERLINK("CSG19.html#group105B19", "105B¹⁹"), =HYPERLINK("CSG20.html#group210B20", "210B²⁰"), =HYPERLINK("CSG20.html#group210A20", "210A²⁰")</f>
        <v/>
      </c>
    </row>
    <row r="2516">
      <c r="A2516" t="inlineStr">
        <is>
          <t>108A¹⁰</t>
        </is>
      </c>
      <c r="B2516" t="inlineStr"/>
      <c r="C2516" t="inlineStr">
        <is>
          <t>144</t>
        </is>
      </c>
      <c r="D2516" t="inlineStr">
        <is>
          <t>1</t>
        </is>
      </c>
      <c r="E2516" t="inlineStr">
        <is>
          <t>12</t>
        </is>
      </c>
      <c r="F2516" t="inlineStr">
        <is>
          <t>0</t>
        </is>
      </c>
      <c r="G2516" t="inlineStr">
        <is>
          <t>0</t>
        </is>
      </c>
      <c r="H2516" t="inlineStr">
        <is>
          <t>4³, 12², 108¹</t>
        </is>
      </c>
      <c r="I2516" t="n">
        <v>6</v>
      </c>
      <c r="J2516" t="inlineStr">
        <is>
          <t>1², 2², 6¹</t>
        </is>
      </c>
      <c r="K2516">
        <f>HYPERLINK("CSG3.html#group36A3", "36A³"), =HYPERLINK("CSG4.html#group54A4", "54A⁴")</f>
        <v/>
      </c>
      <c r="L2516" t="inlineStr"/>
      <c r="M2516">
        <f>HYPERLINK("CSG0.html#group3B0", "3B⁰"), =HYPERLINK("CSG0.html#group2A0", "2A⁰"), =HYPERLINK("CSG1.html#group27A1", "27A¹"), =HYPERLINK("CSG1.html#group18C1", "18C¹"), =HYPERLINK("CSG0.html#group6C0", "6C⁰"), =HYPERLINK("CSG0.html#group9B0", "9B⁰"), =HYPERLINK("CSG4.html#group54A4", "54A⁴"), =HYPERLINK("CSG0.html#group1A0", "1A⁰"), =HYPERLINK("CSG3.html#group36A3", "36A³"), =HYPERLINK("CSG0.html#group12B0", "12B⁰")</f>
        <v/>
      </c>
      <c r="N2516" t="inlineStr"/>
    </row>
    <row r="2517">
      <c r="A2517" t="inlineStr">
        <is>
          <t>108B¹⁰</t>
        </is>
      </c>
      <c r="B2517" t="inlineStr"/>
      <c r="C2517" t="inlineStr">
        <is>
          <t>144</t>
        </is>
      </c>
      <c r="D2517" t="inlineStr">
        <is>
          <t>1</t>
        </is>
      </c>
      <c r="E2517" t="inlineStr">
        <is>
          <t>24</t>
        </is>
      </c>
      <c r="F2517" t="inlineStr">
        <is>
          <t>0</t>
        </is>
      </c>
      <c r="G2517" t="inlineStr">
        <is>
          <t>0</t>
        </is>
      </c>
      <c r="H2517" t="inlineStr">
        <is>
          <t>4³, 12², 108¹</t>
        </is>
      </c>
      <c r="I2517" t="n">
        <v>6</v>
      </c>
      <c r="J2517" t="inlineStr">
        <is>
          <t>2⁶, 6²</t>
        </is>
      </c>
      <c r="K2517">
        <f>HYPERLINK("CSG3.html#group36A3", "36A³"), =HYPERLINK("CSG4.html#group54C4", "54C⁴")</f>
        <v/>
      </c>
      <c r="L2517" t="inlineStr"/>
      <c r="M2517">
        <f>HYPERLINK("CSG0.html#group3B0", "3B⁰"), =HYPERLINK("CSG0.html#group2A0", "2A⁰"), =HYPERLINK("CSG1.html#group18C1", "18C¹"), =HYPERLINK("CSG0.html#group6C0", "6C⁰"), =HYPERLINK("CSG0.html#group9B0", "9B⁰"), =HYPERLINK("CSG4.html#group54C4", "54C⁴"), =HYPERLINK("CSG0.html#group1A0", "1A⁰"), =HYPERLINK("CSG3.html#group36A3", "36A³"), =HYPERLINK("CSG0.html#group12B0", "12B⁰")</f>
        <v/>
      </c>
      <c r="N2517" t="inlineStr"/>
    </row>
    <row r="2518">
      <c r="A2518" t="inlineStr">
        <is>
          <t>108C¹⁰</t>
        </is>
      </c>
      <c r="B2518" t="inlineStr"/>
      <c r="C2518" t="inlineStr">
        <is>
          <t>144</t>
        </is>
      </c>
      <c r="D2518" t="inlineStr">
        <is>
          <t>1</t>
        </is>
      </c>
      <c r="E2518" t="inlineStr">
        <is>
          <t>24</t>
        </is>
      </c>
      <c r="F2518" t="inlineStr">
        <is>
          <t>0</t>
        </is>
      </c>
      <c r="G2518" t="inlineStr">
        <is>
          <t>6</t>
        </is>
      </c>
      <c r="H2518" t="inlineStr">
        <is>
          <t>36¹, 108¹</t>
        </is>
      </c>
      <c r="I2518" t="n">
        <v>2</v>
      </c>
      <c r="J2518" t="inlineStr">
        <is>
          <t>2⁶, 6²</t>
        </is>
      </c>
      <c r="K2518">
        <f>HYPERLINK("CSG0.html#group36A0", "36A⁰"), =HYPERLINK("CSG5.html#group54C5", "54C⁵")</f>
        <v/>
      </c>
      <c r="L2518" t="inlineStr"/>
      <c r="M2518">
        <f>HYPERLINK("CSG0.html#group3B0", "3B⁰"), =HYPERLINK("CSG0.html#group2A0", "2A⁰"), =HYPERLINK("CSG0.html#group18B0", "18B⁰"), =HYPERLINK("CSG0.html#group6C0", "6C⁰"), =HYPERLINK("CSG5.html#group54C5", "54C⁵"), =HYPERLINK("CSG0.html#group9C0", "9C⁰"), =HYPERLINK("CSG0.html#group1A0", "1A⁰"), =HYPERLINK("CSG0.html#group36A0", "36A⁰"), =HYPERLINK("CSG0.html#group12B0", "12B⁰")</f>
        <v/>
      </c>
      <c r="N2518" t="inlineStr"/>
    </row>
    <row r="2519">
      <c r="A2519" t="inlineStr">
        <is>
          <t>108D¹⁰</t>
        </is>
      </c>
      <c r="B2519" t="inlineStr"/>
      <c r="C2519" t="inlineStr">
        <is>
          <t>144</t>
        </is>
      </c>
      <c r="D2519" t="inlineStr">
        <is>
          <t>1</t>
        </is>
      </c>
      <c r="E2519" t="inlineStr">
        <is>
          <t>48</t>
        </is>
      </c>
      <c r="F2519" t="inlineStr">
        <is>
          <t>0</t>
        </is>
      </c>
      <c r="G2519" t="inlineStr">
        <is>
          <t>0</t>
        </is>
      </c>
      <c r="H2519" t="inlineStr">
        <is>
          <t>4³, 12², 108¹</t>
        </is>
      </c>
      <c r="I2519" t="n">
        <v>6</v>
      </c>
      <c r="J2519" t="inlineStr">
        <is>
          <t>2⁴, 4⁴, 12²</t>
        </is>
      </c>
      <c r="K2519">
        <f>HYPERLINK("CSG1.html#group27A1", "27A¹"), =HYPERLINK("CSG3.html#group36B3", "36B³")</f>
        <v/>
      </c>
      <c r="L2519">
        <f>HYPERLINK("CSG19.html#group108A19", "108A¹⁹"), =HYPERLINK("CSG22.html#group216A22", "216A²²")</f>
        <v/>
      </c>
      <c r="M2519">
        <f>HYPERLINK("CSG0.html#group3B0", "3B⁰"), =HYPERLINK("CSG0.html#group9B0", "9B⁰"), =HYPERLINK("CSG1.html#group27A1", "27A¹"), =HYPERLINK("CSG3.html#group36B3", "36B³"), =HYPERLINK("CSG0.html#group1A0", "1A⁰"), =HYPERLINK("CSG0.html#group4A0", "4A⁰"), =HYPERLINK("CSG1.html#group12A1", "12A¹")</f>
        <v/>
      </c>
      <c r="N2519">
        <f>HYPERLINK("CSG19.html#group108A19", "108A¹⁹"), =HYPERLINK("CSG22.html#group216A22", "216A²²")</f>
        <v/>
      </c>
    </row>
    <row r="2520">
      <c r="A2520" t="inlineStr">
        <is>
          <t>108E¹⁰</t>
        </is>
      </c>
      <c r="B2520" t="inlineStr"/>
      <c r="C2520" t="inlineStr">
        <is>
          <t>144</t>
        </is>
      </c>
      <c r="D2520" t="inlineStr">
        <is>
          <t>1</t>
        </is>
      </c>
      <c r="E2520" t="inlineStr">
        <is>
          <t>48</t>
        </is>
      </c>
      <c r="F2520" t="inlineStr">
        <is>
          <t>0</t>
        </is>
      </c>
      <c r="G2520" t="inlineStr">
        <is>
          <t>6</t>
        </is>
      </c>
      <c r="H2520" t="inlineStr">
        <is>
          <t>36¹, 108¹</t>
        </is>
      </c>
      <c r="I2520" t="n">
        <v>2</v>
      </c>
      <c r="J2520" t="inlineStr">
        <is>
          <t>2⁴, 4⁴, 12²</t>
        </is>
      </c>
      <c r="K2520">
        <f>HYPERLINK("CSG1.html#group27B1", "27B¹"), =HYPERLINK("CSG3.html#group36C3", "36C³")</f>
        <v/>
      </c>
      <c r="L2520">
        <f>HYPERLINK("CSG19.html#group108B19", "108B¹⁹"), =HYPERLINK("CSG20.html#group216A20", "216A²⁰")</f>
        <v/>
      </c>
      <c r="M2520">
        <f>HYPERLINK("CSG0.html#group3B0", "3B⁰"), =HYPERLINK("CSG0.html#group4A0", "4A⁰"), =HYPERLINK("CSG1.html#group12A1", "12A¹"), =HYPERLINK("CSG1.html#group27B1", "27B¹"), =HYPERLINK("CSG0.html#group9C0", "9C⁰"), =HYPERLINK("CSG0.html#group1A0", "1A⁰"), =HYPERLINK("CSG3.html#group36C3", "36C³")</f>
        <v/>
      </c>
      <c r="N2520">
        <f>HYPERLINK("CSG20.html#group216A20", "216A²⁰"), =HYPERLINK("CSG19.html#group108B19", "108B¹⁹")</f>
        <v/>
      </c>
    </row>
    <row r="2521">
      <c r="A2521" t="inlineStr">
        <is>
          <t>108F¹⁰</t>
        </is>
      </c>
      <c r="B2521" t="inlineStr">
        <is>
          <t>Γ₀(108)</t>
        </is>
      </c>
      <c r="C2521" t="inlineStr">
        <is>
          <t>216</t>
        </is>
      </c>
      <c r="D2521" t="inlineStr">
        <is>
          <t>1</t>
        </is>
      </c>
      <c r="E2521" t="inlineStr">
        <is>
          <t>36</t>
        </is>
      </c>
      <c r="F2521" t="inlineStr">
        <is>
          <t>0</t>
        </is>
      </c>
      <c r="G2521" t="inlineStr">
        <is>
          <t>0</t>
        </is>
      </c>
      <c r="H2521" t="inlineStr">
        <is>
          <t>1⁶, 3⁴, 4³, 12², 27², 108¹</t>
        </is>
      </c>
      <c r="I2521" t="n">
        <v>18</v>
      </c>
      <c r="J2521" t="inlineStr">
        <is>
          <t>1⁶, 2⁶, 6³</t>
        </is>
      </c>
      <c r="K2521">
        <f>HYPERLINK("CSG1.html#group36C1", "36C¹"), =HYPERLINK("CSG4.html#group54E4", "54E⁴")</f>
        <v/>
      </c>
      <c r="L2521">
        <f>HYPERLINK("CSG22.html#group108F22", "108F²²"), =HYPERLINK("CSG22.html#group216C22", "216C²²")</f>
        <v/>
      </c>
      <c r="M2521">
        <f>HYPERLINK("CSG0.html#group3B0", "3B⁰"), =HYPERLINK("CSG1.html#group27A1", "27A¹"), =HYPERLINK("CSG0.html#group18E0", "18E⁰"), =HYPERLINK("CSG0.html#group9B0", "9B⁰"), =HYPERLINK("CSG0.html#group1A0", "1A⁰"), =HYPERLINK("CSG0.html#group2B0", "2B⁰"), =HYPERLINK("CSG1.html#group36C1", "36C¹"), =HYPERLINK("CSG0.html#group4B0", "4B⁰"), =HYPERLINK("CSG0.html#group6F0", "6F⁰"), =HYPERLINK("CSG0.html#group12E0", "12E⁰"), =HYPERLINK("CSG4.html#group54E4", "54E⁴")</f>
        <v/>
      </c>
      <c r="N2521">
        <f>HYPERLINK("CSG22.html#group108F22", "108F²²"), =HYPERLINK("CSG22.html#group216C22", "216C²²")</f>
        <v/>
      </c>
    </row>
    <row r="2522">
      <c r="A2522" t="inlineStr">
        <is>
          <t>110A¹⁰</t>
        </is>
      </c>
      <c r="B2522" t="inlineStr"/>
      <c r="C2522" t="inlineStr">
        <is>
          <t>120</t>
        </is>
      </c>
      <c r="D2522" t="inlineStr">
        <is>
          <t>1</t>
        </is>
      </c>
      <c r="E2522" t="inlineStr">
        <is>
          <t>60</t>
        </is>
      </c>
      <c r="F2522" t="inlineStr">
        <is>
          <t>0</t>
        </is>
      </c>
      <c r="G2522" t="inlineStr">
        <is>
          <t>0</t>
        </is>
      </c>
      <c r="H2522" t="inlineStr">
        <is>
          <t>10¹, 110¹</t>
        </is>
      </c>
      <c r="I2522" t="n">
        <v>2</v>
      </c>
      <c r="J2522" t="inlineStr">
        <is>
          <t>1², 4², 10¹, 40¹</t>
        </is>
      </c>
      <c r="K2522">
        <f>HYPERLINK("CSG0.html#group10A0", "10A⁰"), =HYPERLINK("CSG2.html#group22A2", "22A²"), =HYPERLINK("CSG5.html#group55A5", "55A⁵")</f>
        <v/>
      </c>
      <c r="L2522">
        <f>HYPERLINK("CSG20.html#group220A20", "220A²⁰")</f>
        <v/>
      </c>
      <c r="M2522">
        <f>HYPERLINK("CSG0.html#group2A0", "2A⁰"), =HYPERLINK("CSG0.html#group5A0", "5A⁰"), =HYPERLINK("CSG0.html#group10A0", "10A⁰"), =HYPERLINK("CSG1.html#group11A1", "11A¹"), =HYPERLINK("CSG2.html#group22A2", "22A²"), =HYPERLINK("CSG5.html#group55A5", "55A⁵"), =HYPERLINK("CSG0.html#group1A0", "1A⁰")</f>
        <v/>
      </c>
      <c r="N2522">
        <f>HYPERLINK("CSG20.html#group220A20", "220A²⁰")</f>
        <v/>
      </c>
    </row>
    <row r="2523">
      <c r="A2523" t="inlineStr">
        <is>
          <t>112A¹⁰</t>
        </is>
      </c>
      <c r="B2523" t="inlineStr"/>
      <c r="C2523" t="inlineStr">
        <is>
          <t>168</t>
        </is>
      </c>
      <c r="D2523" t="inlineStr">
        <is>
          <t>2</t>
        </is>
      </c>
      <c r="E2523" t="inlineStr">
        <is>
          <t>21</t>
        </is>
      </c>
      <c r="F2523" t="inlineStr">
        <is>
          <t>16</t>
        </is>
      </c>
      <c r="G2523" t="inlineStr">
        <is>
          <t>0</t>
        </is>
      </c>
      <c r="H2523" t="inlineStr">
        <is>
          <t>56¹, 112¹</t>
        </is>
      </c>
      <c r="I2523" t="n">
        <v>2</v>
      </c>
      <c r="J2523" t="inlineStr">
        <is>
          <t>2³, 6⁶</t>
        </is>
      </c>
      <c r="K2523">
        <f>HYPERLINK("CSG4.html#group56B4", "56B⁴")</f>
        <v/>
      </c>
      <c r="L2523">
        <f>HYPERLINK("CSG19.html#group112A19", "112A¹⁹"), =HYPERLINK("CSG23.html#group112E23", "112E²³"), =HYPERLINK("CSG23.html#group112D23", "112D²³"), =HYPERLINK("CSG23.html#group112N23", "112N²³"), =HYPERLINK("CSG23.html#group112M23", "112M²³")</f>
        <v/>
      </c>
      <c r="M2523">
        <f>HYPERLINK("CSG2.html#group28C2", "28C²"), =HYPERLINK("CSG1.html#group14B1", "14B¹"), =HYPERLINK("CSG0.html#group4C0", "4C⁰"), =HYPERLINK("CSG0.html#group8B0", "8B⁰"), =HYPERLINK("CSG0.html#group2B0", "2B⁰"), =HYPERLINK("CSG0.html#group1A0", "1A⁰"), =HYPERLINK("CSG0.html#group7A0", "7A⁰"), =HYPERLINK("CSG4.html#group56B4", "56B⁴")</f>
        <v/>
      </c>
      <c r="N2523">
        <f>HYPERLINK("CSG23.html#group112D23", "112D²³"), =HYPERLINK("CSG19.html#group112A19", "112A¹⁹"), =HYPERLINK("CSG23.html#group112E23", "112E²³"), =HYPERLINK("CSG23.html#group112N23", "112N²³"), =HYPERLINK("CSG23.html#group112M23", "112M²³")</f>
        <v/>
      </c>
    </row>
    <row r="2524">
      <c r="A2524" t="inlineStr">
        <is>
          <t>114A¹⁰</t>
        </is>
      </c>
      <c r="B2524" t="inlineStr"/>
      <c r="C2524" t="inlineStr">
        <is>
          <t>120</t>
        </is>
      </c>
      <c r="D2524" t="inlineStr">
        <is>
          <t>1</t>
        </is>
      </c>
      <c r="E2524" t="inlineStr">
        <is>
          <t>20</t>
        </is>
      </c>
      <c r="F2524" t="inlineStr">
        <is>
          <t>0</t>
        </is>
      </c>
      <c r="G2524" t="inlineStr">
        <is>
          <t>0</t>
        </is>
      </c>
      <c r="H2524" t="inlineStr">
        <is>
          <t>6¹, 114¹</t>
        </is>
      </c>
      <c r="I2524" t="n">
        <v>2</v>
      </c>
      <c r="J2524" t="inlineStr">
        <is>
          <t>1², 18¹</t>
        </is>
      </c>
      <c r="K2524">
        <f>HYPERLINK("CSG1.html#group6A1", "6A¹"), =HYPERLINK("CSG2.html#group38A2", "38A²"), =HYPERLINK("CSG5.html#group57A5", "57A⁵")</f>
        <v/>
      </c>
      <c r="L2524">
        <f>HYPERLINK("CSG19.html#group114B19", "114B¹⁹"), =HYPERLINK("CSG20.html#group228A20", "228A²⁰"), =HYPERLINK("CSG20.html#group228B20", "228B²⁰")</f>
        <v/>
      </c>
      <c r="M2524">
        <f>HYPERLINK("CSG1.html#group19A1", "19A¹"), =HYPERLINK("CSG0.html#group2A0", "2A⁰"), =HYPERLINK("CSG2.html#group38A2", "38A²"), =HYPERLINK("CSG5.html#group57A5", "57A⁵"), =HYPERLINK("CSG1.html#group6A1", "6A¹"), =HYPERLINK("CSG0.html#group3A0", "3A⁰"), =HYPERLINK("CSG0.html#group1A0", "1A⁰")</f>
        <v/>
      </c>
      <c r="N2524">
        <f>HYPERLINK("CSG20.html#group228A20", "228A²⁰"), =HYPERLINK("CSG20.html#group228B20", "228B²⁰"), =HYPERLINK("CSG19.html#group114B19", "114B¹⁹")</f>
        <v/>
      </c>
    </row>
    <row r="2525">
      <c r="A2525" t="inlineStr">
        <is>
          <t>114B¹⁰</t>
        </is>
      </c>
      <c r="B2525" t="inlineStr"/>
      <c r="C2525" t="inlineStr">
        <is>
          <t>120</t>
        </is>
      </c>
      <c r="D2525" t="inlineStr">
        <is>
          <t>1</t>
        </is>
      </c>
      <c r="E2525" t="inlineStr">
        <is>
          <t>60</t>
        </is>
      </c>
      <c r="F2525" t="inlineStr">
        <is>
          <t>0</t>
        </is>
      </c>
      <c r="G2525" t="inlineStr">
        <is>
          <t>0</t>
        </is>
      </c>
      <c r="H2525" t="inlineStr">
        <is>
          <t>6¹, 114¹</t>
        </is>
      </c>
      <c r="I2525" t="n">
        <v>2</v>
      </c>
      <c r="J2525" t="inlineStr">
        <is>
          <t>1², 2², 18¹, 36¹</t>
        </is>
      </c>
      <c r="K2525">
        <f>HYPERLINK("CSG0.html#group6B0", "6B⁰"), =HYPERLINK("CSG5.html#group57A5", "57A⁵")</f>
        <v/>
      </c>
      <c r="L2525">
        <f>HYPERLINK("CSG19.html#group114A19", "114A¹⁹"), =HYPERLINK("CSG19.html#group114B19", "114B¹⁹")</f>
        <v/>
      </c>
      <c r="M2525">
        <f>HYPERLINK("CSG1.html#group19A1", "19A¹"), =HYPERLINK("CSG5.html#group57A5", "57A⁵"), =HYPERLINK("CSG0.html#group6B0", "6B⁰"), =HYPERLINK("CSG0.html#group3A0", "3A⁰"), =HYPERLINK("CSG0.html#group1A0", "1A⁰")</f>
        <v/>
      </c>
      <c r="N2525">
        <f>HYPERLINK("CSG19.html#group114A19", "114A¹⁹"), =HYPERLINK("CSG19.html#group114B19", "114B¹⁹")</f>
        <v/>
      </c>
    </row>
    <row r="2526">
      <c r="A2526" t="inlineStr">
        <is>
          <t>114C¹⁰</t>
        </is>
      </c>
      <c r="B2526" t="inlineStr"/>
      <c r="C2526" t="inlineStr">
        <is>
          <t>120</t>
        </is>
      </c>
      <c r="D2526" t="inlineStr">
        <is>
          <t>2</t>
        </is>
      </c>
      <c r="E2526" t="inlineStr">
        <is>
          <t>20</t>
        </is>
      </c>
      <c r="F2526" t="inlineStr">
        <is>
          <t>0</t>
        </is>
      </c>
      <c r="G2526" t="inlineStr">
        <is>
          <t>0</t>
        </is>
      </c>
      <c r="H2526" t="inlineStr">
        <is>
          <t>6¹, 114¹</t>
        </is>
      </c>
      <c r="I2526" t="n">
        <v>2</v>
      </c>
      <c r="J2526" t="inlineStr">
        <is>
          <t>2², 36¹</t>
        </is>
      </c>
      <c r="K2526">
        <f>HYPERLINK("CSG2.html#group38A2", "38A²"), =HYPERLINK("CSG5.html#group57B5", "57B⁵")</f>
        <v/>
      </c>
      <c r="L2526">
        <f>HYPERLINK("CSG20.html#group228D20", "228D²⁰")</f>
        <v/>
      </c>
      <c r="M2526">
        <f>HYPERLINK("CSG1.html#group19A1", "19A¹"), =HYPERLINK("CSG0.html#group2A0", "2A⁰"), =HYPERLINK("CSG2.html#group38A2", "38A²"), =HYPERLINK("CSG5.html#group57B5", "57B⁵"), =HYPERLINK("CSG0.html#group1A0", "1A⁰")</f>
        <v/>
      </c>
      <c r="N2526">
        <f>HYPERLINK("CSG20.html#group228D20", "228D²⁰")</f>
        <v/>
      </c>
    </row>
    <row r="2527">
      <c r="A2527" t="inlineStr">
        <is>
          <t>115A¹⁰</t>
        </is>
      </c>
      <c r="B2527" t="inlineStr"/>
      <c r="C2527" t="inlineStr">
        <is>
          <t>120</t>
        </is>
      </c>
      <c r="D2527" t="inlineStr">
        <is>
          <t>1</t>
        </is>
      </c>
      <c r="E2527" t="inlineStr">
        <is>
          <t>120</t>
        </is>
      </c>
      <c r="F2527" t="inlineStr">
        <is>
          <t>0</t>
        </is>
      </c>
      <c r="G2527" t="inlineStr">
        <is>
          <t>0</t>
        </is>
      </c>
      <c r="H2527" t="inlineStr">
        <is>
          <t>5¹, 115¹</t>
        </is>
      </c>
      <c r="I2527" t="n">
        <v>2</v>
      </c>
      <c r="J2527" t="inlineStr">
        <is>
          <t>1², 4², 22¹, 88¹</t>
        </is>
      </c>
      <c r="K2527">
        <f>HYPERLINK("CSG0.html#group5A0", "5A⁰"), =HYPERLINK("CSG2.html#group23A2", "23A²")</f>
        <v/>
      </c>
      <c r="L2527">
        <f>HYPERLINK("CSG20.html#group230A20", "230A²⁰")</f>
        <v/>
      </c>
      <c r="M2527">
        <f>HYPERLINK("CSG0.html#group1A0", "1A⁰"), =HYPERLINK("CSG0.html#group5A0", "5A⁰"), =HYPERLINK("CSG2.html#group23A2", "23A²")</f>
        <v/>
      </c>
      <c r="N2527">
        <f>HYPERLINK("CSG20.html#group230A20", "230A²⁰")</f>
        <v/>
      </c>
    </row>
    <row r="2528">
      <c r="A2528" t="inlineStr">
        <is>
          <t>117A¹⁰</t>
        </is>
      </c>
      <c r="B2528" t="inlineStr"/>
      <c r="C2528" t="inlineStr">
        <is>
          <t>168</t>
        </is>
      </c>
      <c r="D2528" t="inlineStr">
        <is>
          <t>2</t>
        </is>
      </c>
      <c r="E2528" t="inlineStr">
        <is>
          <t>56</t>
        </is>
      </c>
      <c r="F2528" t="inlineStr">
        <is>
          <t>0</t>
        </is>
      </c>
      <c r="G2528" t="inlineStr">
        <is>
          <t>3</t>
        </is>
      </c>
      <c r="H2528" t="inlineStr">
        <is>
          <t>1³, 9¹, 13³, 117¹</t>
        </is>
      </c>
      <c r="I2528" t="n">
        <v>8</v>
      </c>
      <c r="J2528" t="inlineStr">
        <is>
          <t>2⁸, 24⁴</t>
        </is>
      </c>
      <c r="K2528">
        <f>HYPERLINK("CSG3.html#group39A3", "39A³")</f>
        <v/>
      </c>
      <c r="L2528">
        <f>HYPERLINK("CSG19.html#group117B19", "117B¹⁹"), =HYPERLINK("CSG23.html#group234E23", "234E²³"), =HYPERLINK("CSG23.html#group234D23", "234D²³")</f>
        <v/>
      </c>
      <c r="M2528">
        <f>HYPERLINK("CSG0.html#group13A0", "13A⁰"), =HYPERLINK("CSG0.html#group3B0", "3B⁰"), =HYPERLINK("CSG0.html#group1A0", "1A⁰"), =HYPERLINK("CSG3.html#group39A3", "39A³")</f>
        <v/>
      </c>
      <c r="N2528">
        <f>HYPERLINK("CSG19.html#group117B19", "117B¹⁹"), =HYPERLINK("CSG23.html#group234E23", "234E²³"), =HYPERLINK("CSG23.html#group234D23", "234D²³")</f>
        <v/>
      </c>
    </row>
    <row r="2529">
      <c r="A2529" t="inlineStr">
        <is>
          <t>118A¹⁰</t>
        </is>
      </c>
      <c r="B2529" t="inlineStr"/>
      <c r="C2529" t="inlineStr">
        <is>
          <t>120</t>
        </is>
      </c>
      <c r="D2529" t="inlineStr">
        <is>
          <t>1</t>
        </is>
      </c>
      <c r="E2529" t="inlineStr">
        <is>
          <t>60</t>
        </is>
      </c>
      <c r="F2529" t="inlineStr">
        <is>
          <t>0</t>
        </is>
      </c>
      <c r="G2529" t="inlineStr">
        <is>
          <t>0</t>
        </is>
      </c>
      <c r="H2529" t="inlineStr">
        <is>
          <t>2¹, 118¹</t>
        </is>
      </c>
      <c r="I2529" t="n">
        <v>2</v>
      </c>
      <c r="J2529" t="inlineStr">
        <is>
          <t>1², 58¹</t>
        </is>
      </c>
      <c r="K2529">
        <f>HYPERLINK("CSG0.html#group2A0", "2A⁰"), =HYPERLINK("CSG5.html#group59A5", "59A⁵")</f>
        <v/>
      </c>
      <c r="L2529">
        <f>HYPERLINK("CSG20.html#group236A20", "236A²⁰")</f>
        <v/>
      </c>
      <c r="M2529">
        <f>HYPERLINK("CSG0.html#group2A0", "2A⁰"), =HYPERLINK("CSG0.html#group1A0", "1A⁰"), =HYPERLINK("CSG5.html#group59A5", "59A⁵")</f>
        <v/>
      </c>
      <c r="N2529">
        <f>HYPERLINK("CSG20.html#group236A20", "236A²⁰")</f>
        <v/>
      </c>
    </row>
    <row r="2530">
      <c r="A2530" t="inlineStr">
        <is>
          <t>124A¹⁰</t>
        </is>
      </c>
      <c r="B2530" t="inlineStr"/>
      <c r="C2530" t="inlineStr">
        <is>
          <t>128</t>
        </is>
      </c>
      <c r="D2530" t="inlineStr">
        <is>
          <t>1</t>
        </is>
      </c>
      <c r="E2530" t="inlineStr">
        <is>
          <t>128</t>
        </is>
      </c>
      <c r="F2530" t="inlineStr">
        <is>
          <t>0</t>
        </is>
      </c>
      <c r="G2530" t="inlineStr">
        <is>
          <t>2</t>
        </is>
      </c>
      <c r="H2530" t="inlineStr">
        <is>
          <t>4¹, 124¹</t>
        </is>
      </c>
      <c r="I2530" t="n">
        <v>2</v>
      </c>
      <c r="J2530" t="inlineStr">
        <is>
          <t>2⁴, 60²</t>
        </is>
      </c>
      <c r="K2530">
        <f>HYPERLINK("CSG0.html#group4A0", "4A⁰"), =HYPERLINK("CSG2.html#group31A2", "31A²")</f>
        <v/>
      </c>
      <c r="L2530">
        <f>HYPERLINK("CSG19.html#group124A19", "124A¹⁹"), =HYPERLINK("CSG20.html#group248A20", "248A²⁰")</f>
        <v/>
      </c>
      <c r="M2530">
        <f>HYPERLINK("CSG2.html#group31A2", "31A²"), =HYPERLINK("CSG0.html#group4A0", "4A⁰"), =HYPERLINK("CSG0.html#group1A0", "1A⁰")</f>
        <v/>
      </c>
      <c r="N2530">
        <f>HYPERLINK("CSG20.html#group248A20", "248A²⁰"), =HYPERLINK("CSG19.html#group124A19", "124A¹⁹")</f>
        <v/>
      </c>
    </row>
    <row r="2531">
      <c r="A2531" t="inlineStr">
        <is>
          <t>125A¹⁰</t>
        </is>
      </c>
      <c r="B2531" t="inlineStr"/>
      <c r="C2531" t="inlineStr">
        <is>
          <t>150</t>
        </is>
      </c>
      <c r="D2531" t="inlineStr">
        <is>
          <t>1</t>
        </is>
      </c>
      <c r="E2531" t="inlineStr">
        <is>
          <t>150</t>
        </is>
      </c>
      <c r="F2531" t="inlineStr">
        <is>
          <t>2</t>
        </is>
      </c>
      <c r="G2531" t="inlineStr">
        <is>
          <t>0</t>
        </is>
      </c>
      <c r="H2531" t="inlineStr">
        <is>
          <t>5⁵, 125¹</t>
        </is>
      </c>
      <c r="I2531" t="n">
        <v>6</v>
      </c>
      <c r="J2531" t="inlineStr">
        <is>
          <t>2², 4⁴, 20⁴, 100²</t>
        </is>
      </c>
      <c r="K2531">
        <f>HYPERLINK("CSG0.html#group25A0", "25A⁰")</f>
        <v/>
      </c>
      <c r="L2531">
        <f>HYPERLINK("CSG20.html#group125A20", "125A²⁰"), =HYPERLINK("CSG22.html#group250A22", "250A²²"), =HYPERLINK("CSG23.html#group250A23", "250A²³")</f>
        <v/>
      </c>
      <c r="M2531">
        <f>HYPERLINK("CSG0.html#group25A0", "25A⁰"), =HYPERLINK("CSG0.html#group5B0", "5B⁰"), =HYPERLINK("CSG0.html#group1A0", "1A⁰")</f>
        <v/>
      </c>
      <c r="N2531">
        <f>HYPERLINK("CSG22.html#group250A22", "250A²²"), =HYPERLINK("CSG20.html#group125A20", "125A²⁰"), =HYPERLINK("CSG23.html#group250A23", "250A²³")</f>
        <v/>
      </c>
    </row>
    <row r="2532">
      <c r="A2532" t="inlineStr">
        <is>
          <t>125B¹⁰</t>
        </is>
      </c>
      <c r="B2532" t="inlineStr"/>
      <c r="C2532" t="inlineStr">
        <is>
          <t>150</t>
        </is>
      </c>
      <c r="D2532" t="inlineStr">
        <is>
          <t>1</t>
        </is>
      </c>
      <c r="E2532" t="inlineStr">
        <is>
          <t>150</t>
        </is>
      </c>
      <c r="F2532" t="inlineStr">
        <is>
          <t>2</t>
        </is>
      </c>
      <c r="G2532" t="inlineStr">
        <is>
          <t>0</t>
        </is>
      </c>
      <c r="H2532" t="inlineStr">
        <is>
          <t>5⁵, 125¹</t>
        </is>
      </c>
      <c r="I2532" t="n">
        <v>6</v>
      </c>
      <c r="J2532" t="inlineStr">
        <is>
          <t>2², 4⁴, 20⁴, 100²</t>
        </is>
      </c>
      <c r="K2532">
        <f>HYPERLINK("CSG0.html#group25A0", "25A⁰")</f>
        <v/>
      </c>
      <c r="L2532">
        <f>HYPERLINK("CSG20.html#group125B20", "125B²⁰"), =HYPERLINK("CSG22.html#group250B22", "250B²²"), =HYPERLINK("CSG23.html#group250B23", "250B²³")</f>
        <v/>
      </c>
      <c r="M2532">
        <f>HYPERLINK("CSG0.html#group25A0", "25A⁰"), =HYPERLINK("CSG0.html#group5B0", "5B⁰"), =HYPERLINK("CSG0.html#group1A0", "1A⁰")</f>
        <v/>
      </c>
      <c r="N2532">
        <f>HYPERLINK("CSG22.html#group250B22", "250B²²"), =HYPERLINK("CSG20.html#group125B20", "125B²⁰"), =HYPERLINK("CSG23.html#group250B23", "250B²³")</f>
        <v/>
      </c>
    </row>
    <row r="2533">
      <c r="A2533" t="inlineStr">
        <is>
          <t>127A¹⁰</t>
        </is>
      </c>
      <c r="B2533" t="inlineStr">
        <is>
          <t>Γ₀(127)</t>
        </is>
      </c>
      <c r="C2533" t="inlineStr">
        <is>
          <t>128</t>
        </is>
      </c>
      <c r="D2533" t="inlineStr">
        <is>
          <t>1</t>
        </is>
      </c>
      <c r="E2533" t="inlineStr">
        <is>
          <t>128</t>
        </is>
      </c>
      <c r="F2533" t="inlineStr">
        <is>
          <t>0</t>
        </is>
      </c>
      <c r="G2533" t="inlineStr">
        <is>
          <t>2</t>
        </is>
      </c>
      <c r="H2533" t="inlineStr">
        <is>
          <t>1¹, 127¹</t>
        </is>
      </c>
      <c r="I2533" t="n">
        <v>2</v>
      </c>
      <c r="J2533" t="inlineStr">
        <is>
          <t>1², 126¹</t>
        </is>
      </c>
      <c r="K2533">
        <f>HYPERLINK("CSG0.html#group1A0", "1A⁰")</f>
        <v/>
      </c>
      <c r="L2533">
        <f>HYPERLINK("CSG20.html#group254A20", "254A²⁰")</f>
        <v/>
      </c>
      <c r="M2533">
        <f>HYPERLINK("CSG0.html#group1A0", "1A⁰")</f>
        <v/>
      </c>
      <c r="N2533">
        <f>HYPERLINK("CSG20.html#group254A20", "254A²⁰")</f>
        <v/>
      </c>
    </row>
    <row r="2534">
      <c r="A2534" t="inlineStr">
        <is>
          <t>129A¹⁰</t>
        </is>
      </c>
      <c r="B2534" t="inlineStr"/>
      <c r="C2534" t="inlineStr">
        <is>
          <t>132</t>
        </is>
      </c>
      <c r="D2534" t="inlineStr">
        <is>
          <t>2</t>
        </is>
      </c>
      <c r="E2534" t="inlineStr">
        <is>
          <t>44</t>
        </is>
      </c>
      <c r="F2534" t="inlineStr">
        <is>
          <t>0</t>
        </is>
      </c>
      <c r="G2534" t="inlineStr">
        <is>
          <t>3</t>
        </is>
      </c>
      <c r="H2534" t="inlineStr">
        <is>
          <t>3¹, 129¹</t>
        </is>
      </c>
      <c r="I2534" t="n">
        <v>2</v>
      </c>
      <c r="J2534" t="inlineStr">
        <is>
          <t>2², 84¹</t>
        </is>
      </c>
      <c r="K2534">
        <f>HYPERLINK("CSG3.html#group43A3", "43A³")</f>
        <v/>
      </c>
      <c r="L2534">
        <f>HYPERLINK("CSG20.html#group258B20", "258B²⁰")</f>
        <v/>
      </c>
      <c r="M2534">
        <f>HYPERLINK("CSG0.html#group1A0", "1A⁰"), =HYPERLINK("CSG3.html#group43A3", "43A³")</f>
        <v/>
      </c>
      <c r="N2534">
        <f>HYPERLINK("CSG20.html#group258B20", "258B²⁰")</f>
        <v/>
      </c>
    </row>
    <row r="2535">
      <c r="A2535" t="inlineStr">
        <is>
          <t>134A¹⁰</t>
        </is>
      </c>
      <c r="B2535" t="inlineStr"/>
      <c r="C2535" t="inlineStr">
        <is>
          <t>136</t>
        </is>
      </c>
      <c r="D2535" t="inlineStr">
        <is>
          <t>1</t>
        </is>
      </c>
      <c r="E2535" t="inlineStr">
        <is>
          <t>68</t>
        </is>
      </c>
      <c r="F2535" t="inlineStr">
        <is>
          <t>0</t>
        </is>
      </c>
      <c r="G2535" t="inlineStr">
        <is>
          <t>4</t>
        </is>
      </c>
      <c r="H2535" t="inlineStr">
        <is>
          <t>2¹, 134¹</t>
        </is>
      </c>
      <c r="I2535" t="n">
        <v>2</v>
      </c>
      <c r="J2535" t="inlineStr">
        <is>
          <t>1², 66¹</t>
        </is>
      </c>
      <c r="K2535">
        <f>HYPERLINK("CSG0.html#group2A0", "2A⁰"), =HYPERLINK("CSG5.html#group67A5", "67A⁵")</f>
        <v/>
      </c>
      <c r="L2535">
        <f>HYPERLINK("CSG20.html#group268A20", "268A²⁰")</f>
        <v/>
      </c>
      <c r="M2535">
        <f>HYPERLINK("CSG0.html#group2A0", "2A⁰"), =HYPERLINK("CSG0.html#group1A0", "1A⁰"), =HYPERLINK("CSG5.html#group67A5", "67A⁵")</f>
        <v/>
      </c>
      <c r="N2535">
        <f>HYPERLINK("CSG20.html#group268A20", "268A²⁰")</f>
        <v/>
      </c>
    </row>
    <row r="2536">
      <c r="A2536" t="inlineStr">
        <is>
          <t>140A¹⁰</t>
        </is>
      </c>
      <c r="B2536" t="inlineStr"/>
      <c r="C2536" t="inlineStr">
        <is>
          <t>140</t>
        </is>
      </c>
      <c r="D2536" t="inlineStr">
        <is>
          <t>2</t>
        </is>
      </c>
      <c r="E2536" t="inlineStr">
        <is>
          <t>140</t>
        </is>
      </c>
      <c r="F2536" t="inlineStr">
        <is>
          <t>6</t>
        </is>
      </c>
      <c r="G2536" t="inlineStr">
        <is>
          <t>2</t>
        </is>
      </c>
      <c r="H2536" t="inlineStr">
        <is>
          <t>140¹</t>
        </is>
      </c>
      <c r="I2536" t="n">
        <v>1</v>
      </c>
      <c r="J2536" t="inlineStr">
        <is>
          <t>4², 12⁴, 16², 48⁴</t>
        </is>
      </c>
      <c r="K2536">
        <f>HYPERLINK("CSG1.html#group20A1", "20A¹"), =HYPERLINK("CSG1.html#group28A1", "28A¹"), =HYPERLINK("CSG2.html#group35A2", "35A²")</f>
        <v/>
      </c>
      <c r="L2536">
        <f>HYPERLINK("CSG20.html#group140B20", "140B²⁰"), =HYPERLINK("CSG21.html#group140A21", "140A²¹"), =HYPERLINK("CSG21.html#group280A21", "280A²¹"), =HYPERLINK("CSG21.html#group280B21", "280B²¹"), =HYPERLINK("CSG21.html#group280C21", "280C²¹"), =HYPERLINK("CSG21.html#group280D21", "280D²¹"), =HYPERLINK("CSG22.html#group140A22", "140A²²")</f>
        <v/>
      </c>
      <c r="M2536">
        <f>HYPERLINK("CSG0.html#group5A0", "5A⁰"), =HYPERLINK("CSG0.html#group4A0", "4A⁰"), =HYPERLINK("CSG1.html#group20A1", "20A¹"), =HYPERLINK("CSG1.html#group28A1", "28A¹"), =HYPERLINK("CSG0.html#group1A0", "1A⁰"), =HYPERLINK("CSG2.html#group35A2", "35A²"), =HYPERLINK("CSG0.html#group7A0", "7A⁰")</f>
        <v/>
      </c>
      <c r="N2536">
        <f>HYPERLINK("CSG21.html#group280A21", "280A²¹"), =HYPERLINK("CSG20.html#group140B20", "140B²⁰"), =HYPERLINK("CSG21.html#group280B21", "280B²¹"), =HYPERLINK("CSG21.html#group280C21", "280C²¹"), =HYPERLINK("CSG21.html#group280D21", "280D²¹"), =HYPERLINK("CSG21.html#group140A21", "140A²¹"), =HYPERLINK("CSG22.html#group140A22", "140A²²")</f>
        <v/>
      </c>
    </row>
    <row r="2537">
      <c r="A2537" t="inlineStr">
        <is>
          <t>143A¹⁰</t>
        </is>
      </c>
      <c r="B2537" t="inlineStr"/>
      <c r="C2537" t="inlineStr">
        <is>
          <t>154</t>
        </is>
      </c>
      <c r="D2537" t="inlineStr">
        <is>
          <t>2</t>
        </is>
      </c>
      <c r="E2537" t="inlineStr">
        <is>
          <t>154</t>
        </is>
      </c>
      <c r="F2537" t="inlineStr">
        <is>
          <t>6</t>
        </is>
      </c>
      <c r="G2537" t="inlineStr">
        <is>
          <t>4</t>
        </is>
      </c>
      <c r="H2537" t="inlineStr">
        <is>
          <t>11¹, 143¹</t>
        </is>
      </c>
      <c r="I2537" t="n">
        <v>2</v>
      </c>
      <c r="J2537" t="inlineStr">
        <is>
          <t>2², 10⁴, 24¹, 120²</t>
        </is>
      </c>
      <c r="K2537">
        <f>HYPERLINK("CSG0.html#group11A0", "11A⁰"), =HYPERLINK("CSG0.html#group13A0", "13A⁰")</f>
        <v/>
      </c>
      <c r="L2537">
        <f>HYPERLINK("CSG20.html#group286A20", "286A²⁰"), =HYPERLINK("CSG22.html#group143A22", "143A²²"), =HYPERLINK("CSG23.html#group286A23", "286A²³")</f>
        <v/>
      </c>
      <c r="M2537">
        <f>HYPERLINK("CSG0.html#group11A0", "11A⁰"), =HYPERLINK("CSG0.html#group13A0", "13A⁰"), =HYPERLINK("CSG0.html#group1A0", "1A⁰")</f>
        <v/>
      </c>
      <c r="N2537">
        <f>HYPERLINK("CSG22.html#group143A22", "143A²²"), =HYPERLINK("CSG20.html#group286A20", "286A²⁰"), =HYPERLINK("CSG23.html#group286A23", "286A²³")</f>
        <v/>
      </c>
    </row>
    <row r="2538">
      <c r="A2538" t="inlineStr">
        <is>
          <t>144A¹⁰</t>
        </is>
      </c>
      <c r="B2538" t="inlineStr"/>
      <c r="C2538" t="inlineStr">
        <is>
          <t>144</t>
        </is>
      </c>
      <c r="D2538" t="inlineStr">
        <is>
          <t>2</t>
        </is>
      </c>
      <c r="E2538" t="inlineStr">
        <is>
          <t>72</t>
        </is>
      </c>
      <c r="F2538" t="inlineStr">
        <is>
          <t>10</t>
        </is>
      </c>
      <c r="G2538" t="inlineStr">
        <is>
          <t>0</t>
        </is>
      </c>
      <c r="H2538" t="inlineStr">
        <is>
          <t>144¹</t>
        </is>
      </c>
      <c r="I2538" t="n">
        <v>1</v>
      </c>
      <c r="J2538" t="inlineStr">
        <is>
          <t>8², 16², 48²</t>
        </is>
      </c>
      <c r="K2538">
        <f>HYPERLINK("CSG3.html#group48A3", "48A³"), =HYPERLINK("CSG4.html#group72A4", "72A⁴")</f>
        <v/>
      </c>
      <c r="L2538">
        <f>HYPERLINK("CSG20.html#group144E20", "144E²⁰"), =HYPERLINK("CSG20.html#group144F20", "144F²⁰"), =HYPERLINK("CSG21.html#group144N21", "144N²¹"), =HYPERLINK("CSG22.html#group144J22", "144J²²"), =HYPERLINK("CSG23.html#group144T23", "144T²³"), =HYPERLINK("CSG23.html#group144S23", "144S²³"), =HYPERLINK("CSG24.html#group144A24", "144A²⁴")</f>
        <v/>
      </c>
      <c r="M2538">
        <f>HYPERLINK("CSG1.html#group36A1", "36A¹"), =HYPERLINK("CSG0.html#group12A0", "12A⁰"), =HYPERLINK("CSG3.html#group48A3", "48A³"), =HYPERLINK("CSG1.html#group24A1", "24A¹"), =HYPERLINK("CSG0.html#group16A0", "16A⁰"), =HYPERLINK("CSG0.html#group4A0", "4A⁰"), =HYPERLINK("CSG0.html#group9A0", "9A⁰"), =HYPERLINK("CSG0.html#group8A0", "8A⁰"), =HYPERLINK("CSG0.html#group3A0", "3A⁰"), =HYPERLINK("CSG0.html#group1A0", "1A⁰"), =HYPERLINK("CSG4.html#group72A4", "72A⁴")</f>
        <v/>
      </c>
      <c r="N2538">
        <f>HYPERLINK("CSG23.html#group144T23", "144T²³"), =HYPERLINK("CSG23.html#group144S23", "144S²³"), =HYPERLINK("CSG21.html#group144N21", "144N²¹"), =HYPERLINK("CSG22.html#group144J22", "144J²²"), =HYPERLINK("CSG20.html#group144E20", "144E²⁰"), =HYPERLINK("CSG20.html#group144F20", "144F²⁰"), =HYPERLINK("CSG24.html#group144A24", "144A²⁴")</f>
        <v/>
      </c>
    </row>
    <row r="2539">
      <c r="A2539" t="inlineStr">
        <is>
          <t>144B¹⁰</t>
        </is>
      </c>
      <c r="B2539" t="inlineStr"/>
      <c r="C2539" t="inlineStr">
        <is>
          <t>144</t>
        </is>
      </c>
      <c r="D2539" t="inlineStr">
        <is>
          <t>2</t>
        </is>
      </c>
      <c r="E2539" t="inlineStr">
        <is>
          <t>72</t>
        </is>
      </c>
      <c r="F2539" t="inlineStr">
        <is>
          <t>10</t>
        </is>
      </c>
      <c r="G2539" t="inlineStr">
        <is>
          <t>0</t>
        </is>
      </c>
      <c r="H2539" t="inlineStr">
        <is>
          <t>144¹</t>
        </is>
      </c>
      <c r="I2539" t="n">
        <v>1</v>
      </c>
      <c r="J2539" t="inlineStr">
        <is>
          <t>8², 16², 48²</t>
        </is>
      </c>
      <c r="K2539">
        <f>HYPERLINK("CSG3.html#group48B3", "48B³"), =HYPERLINK("CSG4.html#group72A4", "72A⁴")</f>
        <v/>
      </c>
      <c r="L2539">
        <f>HYPERLINK("CSG20.html#group144C20", "144C²⁰"), =HYPERLINK("CSG20.html#group144D20", "144D²⁰"), =HYPERLINK("CSG21.html#group144N21", "144N²¹"), =HYPERLINK("CSG22.html#group144J22", "144J²²"), =HYPERLINK("CSG23.html#group144R23", "144R²³"), =HYPERLINK("CSG23.html#group144Q23", "144Q²³"), =HYPERLINK("CSG24.html#group144B24", "144B²⁴")</f>
        <v/>
      </c>
      <c r="M2539">
        <f>HYPERLINK("CSG1.html#group36A1", "36A¹"), =HYPERLINK("CSG0.html#group12A0", "12A⁰"), =HYPERLINK("CSG1.html#group24A1", "24A¹"), =HYPERLINK("CSG0.html#group4A0", "4A⁰"), =HYPERLINK("CSG0.html#group9A0", "9A⁰"), =HYPERLINK("CSG0.html#group8A0", "8A⁰"), =HYPERLINK("CSG0.html#group3A0", "3A⁰"), =HYPERLINK("CSG0.html#group1A0", "1A⁰"), =HYPERLINK("CSG3.html#group48B3", "48B³"), =HYPERLINK("CSG4.html#group72A4", "72A⁴")</f>
        <v/>
      </c>
      <c r="N2539">
        <f>HYPERLINK("CSG20.html#group144D20", "144D²⁰"), =HYPERLINK("CSG23.html#group144R23", "144R²³"), =HYPERLINK("CSG24.html#group144B24", "144B²⁴"), =HYPERLINK("CSG21.html#group144N21", "144N²¹"), =HYPERLINK("CSG20.html#group144C20", "144C²⁰"), =HYPERLINK("CSG22.html#group144J22", "144J²²"), =HYPERLINK("CSG23.html#group144Q23", "144Q²³")</f>
        <v/>
      </c>
    </row>
    <row r="2540">
      <c r="A2540" t="inlineStr">
        <is>
          <t>144C¹⁰</t>
        </is>
      </c>
      <c r="B2540" t="inlineStr"/>
      <c r="C2540" t="inlineStr">
        <is>
          <t>144</t>
        </is>
      </c>
      <c r="D2540" t="inlineStr">
        <is>
          <t>2</t>
        </is>
      </c>
      <c r="E2540" t="inlineStr">
        <is>
          <t>72</t>
        </is>
      </c>
      <c r="F2540" t="inlineStr">
        <is>
          <t>10</t>
        </is>
      </c>
      <c r="G2540" t="inlineStr">
        <is>
          <t>0</t>
        </is>
      </c>
      <c r="H2540" t="inlineStr">
        <is>
          <t>144¹</t>
        </is>
      </c>
      <c r="I2540" t="n">
        <v>1</v>
      </c>
      <c r="J2540" t="inlineStr">
        <is>
          <t>16⁶, 48⁴</t>
        </is>
      </c>
      <c r="K2540">
        <f>HYPERLINK("CSG3.html#group48B3", "48B³"), =HYPERLINK("CSG4.html#group72A4", "72A⁴")</f>
        <v/>
      </c>
      <c r="L2540">
        <f>HYPERLINK("CSG20.html#group144E20", "144E²⁰"), =HYPERLINK("CSG20.html#group144D20", "144D²⁰"), =HYPERLINK("CSG21.html#group144M21", "144M²¹"), =HYPERLINK("CSG22.html#group144I22", "144I²²"), =HYPERLINK("CSG23.html#group144S23", "144S²³"), =HYPERLINK("CSG23.html#group144Q23", "144Q²³"), =HYPERLINK("CSG24.html#group144C24", "144C²⁴")</f>
        <v/>
      </c>
      <c r="M2540">
        <f>HYPERLINK("CSG1.html#group36A1", "36A¹"), =HYPERLINK("CSG0.html#group12A0", "12A⁰"), =HYPERLINK("CSG1.html#group24A1", "24A¹"), =HYPERLINK("CSG0.html#group4A0", "4A⁰"), =HYPERLINK("CSG0.html#group9A0", "9A⁰"), =HYPERLINK("CSG0.html#group8A0", "8A⁰"), =HYPERLINK("CSG0.html#group3A0", "3A⁰"), =HYPERLINK("CSG0.html#group1A0", "1A⁰"), =HYPERLINK("CSG3.html#group48B3", "48B³"), =HYPERLINK("CSG4.html#group72A4", "72A⁴")</f>
        <v/>
      </c>
      <c r="N2540">
        <f>HYPERLINK("CSG20.html#group144D20", "144D²⁰"), =HYPERLINK("CSG21.html#group144M21", "144M²¹"), =HYPERLINK("CSG23.html#group144S23", "144S²³"), =HYPERLINK("CSG22.html#group144I22", "144I²²"), =HYPERLINK("CSG20.html#group144E20", "144E²⁰"), =HYPERLINK("CSG24.html#group144C24", "144C²⁴"), =HYPERLINK("CSG23.html#group144Q23", "144Q²³")</f>
        <v/>
      </c>
    </row>
    <row r="2541">
      <c r="A2541" t="inlineStr">
        <is>
          <t>144D¹⁰</t>
        </is>
      </c>
      <c r="B2541" t="inlineStr"/>
      <c r="C2541" t="inlineStr">
        <is>
          <t>144</t>
        </is>
      </c>
      <c r="D2541" t="inlineStr">
        <is>
          <t>2</t>
        </is>
      </c>
      <c r="E2541" t="inlineStr">
        <is>
          <t>72</t>
        </is>
      </c>
      <c r="F2541" t="inlineStr">
        <is>
          <t>10</t>
        </is>
      </c>
      <c r="G2541" t="inlineStr">
        <is>
          <t>0</t>
        </is>
      </c>
      <c r="H2541" t="inlineStr">
        <is>
          <t>144¹</t>
        </is>
      </c>
      <c r="I2541" t="n">
        <v>1</v>
      </c>
      <c r="J2541" t="inlineStr">
        <is>
          <t>16⁶, 48⁴</t>
        </is>
      </c>
      <c r="K2541">
        <f>HYPERLINK("CSG3.html#group48B3", "48B³"), =HYPERLINK("CSG4.html#group72A4", "72A⁴")</f>
        <v/>
      </c>
      <c r="L2541">
        <f>HYPERLINK("CSG20.html#group144F20", "144F²⁰"), =HYPERLINK("CSG20.html#group144C20", "144C²⁰"), =HYPERLINK("CSG21.html#group144M21", "144M²¹"), =HYPERLINK("CSG22.html#group144I22", "144I²²"), =HYPERLINK("CSG23.html#group144T23", "144T²³"), =HYPERLINK("CSG23.html#group144R23", "144R²³"), =HYPERLINK("CSG24.html#group144C24", "144C²⁴")</f>
        <v/>
      </c>
      <c r="M2541">
        <f>HYPERLINK("CSG1.html#group36A1", "36A¹"), =HYPERLINK("CSG0.html#group12A0", "12A⁰"), =HYPERLINK("CSG1.html#group24A1", "24A¹"), =HYPERLINK("CSG0.html#group4A0", "4A⁰"), =HYPERLINK("CSG0.html#group9A0", "9A⁰"), =HYPERLINK("CSG0.html#group8A0", "8A⁰"), =HYPERLINK("CSG0.html#group3A0", "3A⁰"), =HYPERLINK("CSG0.html#group1A0", "1A⁰"), =HYPERLINK("CSG3.html#group48B3", "48B³"), =HYPERLINK("CSG4.html#group72A4", "72A⁴")</f>
        <v/>
      </c>
      <c r="N2541">
        <f>HYPERLINK("CSG21.html#group144M21", "144M²¹"), =HYPERLINK("CSG24.html#group144C24", "144C²⁴"), =HYPERLINK("CSG23.html#group144T23", "144T²³"), =HYPERLINK("CSG22.html#group144I22", "144I²²"), =HYPERLINK("CSG20.html#group144C20", "144C²⁰"), =HYPERLINK("CSG20.html#group144F20", "144F²⁰"), =HYPERLINK("CSG23.html#group144R23", "144R²³")</f>
        <v/>
      </c>
    </row>
    <row r="2542">
      <c r="A2542" t="inlineStr">
        <is>
          <t>144E¹⁰</t>
        </is>
      </c>
      <c r="B2542" t="inlineStr"/>
      <c r="C2542" t="inlineStr">
        <is>
          <t>216</t>
        </is>
      </c>
      <c r="D2542" t="inlineStr">
        <is>
          <t>2</t>
        </is>
      </c>
      <c r="E2542" t="inlineStr">
        <is>
          <t>27</t>
        </is>
      </c>
      <c r="F2542" t="inlineStr">
        <is>
          <t>32</t>
        </is>
      </c>
      <c r="G2542" t="inlineStr">
        <is>
          <t>0</t>
        </is>
      </c>
      <c r="H2542" t="inlineStr">
        <is>
          <t>72¹, 144¹</t>
        </is>
      </c>
      <c r="I2542" t="n">
        <v>2</v>
      </c>
      <c r="J2542" t="inlineStr">
        <is>
          <t>2⁹, 6⁶</t>
        </is>
      </c>
      <c r="K2542">
        <f>HYPERLINK("CSG2.html#group48A2", "48A²"), =HYPERLINK("CSG4.html#group72E4", "72E⁴")</f>
        <v/>
      </c>
      <c r="L2542">
        <f>HYPERLINK("CSG19.html#group144J19", "144J¹⁹"), =HYPERLINK("CSG23.html#group144W23", "144W²³"), =HYPERLINK("CSG23.html#group144Y23", "144Y²³")</f>
        <v/>
      </c>
      <c r="M2542">
        <f>HYPERLINK("CSG0.html#group12C0", "12C⁰"), =HYPERLINK("CSG0.html#group24A0", "24A⁰"), =HYPERLINK("CSG4.html#group72E4", "72E⁴"), =HYPERLINK("CSG0.html#group9A0", "9A⁰"), =HYPERLINK("CSG0.html#group4C0", "4C⁰"), =HYPERLINK("CSG2.html#group36B2", "36B²"), =HYPERLINK("CSG0.html#group8B0", "8B⁰"), =HYPERLINK("CSG2.html#group48A2", "48A²"), =HYPERLINK("CSG0.html#group2B0", "2B⁰"), =HYPERLINK("CSG1.html#group18E1", "18E¹"), =HYPERLINK("CSG0.html#group3A0", "3A⁰"), =HYPERLINK("CSG0.html#group1A0", "1A⁰"), =HYPERLINK("CSG0.html#group6D0", "6D⁰")</f>
        <v/>
      </c>
      <c r="N2542">
        <f>HYPERLINK("CSG23.html#group144Y23", "144Y²³"), =HYPERLINK("CSG23.html#group144W23", "144W²³"), =HYPERLINK("CSG19.html#group144J19", "144J¹⁹")</f>
        <v/>
      </c>
    </row>
    <row r="2543">
      <c r="A2543" t="inlineStr">
        <is>
          <t>147A¹⁰</t>
        </is>
      </c>
      <c r="B2543" t="inlineStr"/>
      <c r="C2543" t="inlineStr">
        <is>
          <t>168</t>
        </is>
      </c>
      <c r="D2543" t="inlineStr">
        <is>
          <t>2</t>
        </is>
      </c>
      <c r="E2543" t="inlineStr">
        <is>
          <t>56</t>
        </is>
      </c>
      <c r="F2543" t="inlineStr">
        <is>
          <t>0</t>
        </is>
      </c>
      <c r="G2543" t="inlineStr">
        <is>
          <t>3</t>
        </is>
      </c>
      <c r="H2543" t="inlineStr">
        <is>
          <t>3⁷, 147¹</t>
        </is>
      </c>
      <c r="I2543" t="n">
        <v>8</v>
      </c>
      <c r="J2543" t="inlineStr">
        <is>
          <t>2², 12², 84¹</t>
        </is>
      </c>
      <c r="K2543">
        <f>HYPERLINK("CSG1.html#group21A1", "21A¹"), =HYPERLINK("CSG1.html#group49A1", "49A¹")</f>
        <v/>
      </c>
      <c r="L2543">
        <f>HYPERLINK("CSG23.html#group294B23", "294B²³")</f>
        <v/>
      </c>
      <c r="M2543">
        <f>HYPERLINK("CSG1.html#group49A1", "49A¹"), =HYPERLINK("CSG0.html#group1A0", "1A⁰"), =HYPERLINK("CSG0.html#group7B0", "7B⁰"), =HYPERLINK("CSG1.html#group21A1", "21A¹")</f>
        <v/>
      </c>
      <c r="N2543">
        <f>HYPERLINK("CSG23.html#group294B23", "294B²³")</f>
        <v/>
      </c>
    </row>
    <row r="2544">
      <c r="A2544" t="inlineStr">
        <is>
          <t>150A¹⁰</t>
        </is>
      </c>
      <c r="B2544" t="inlineStr"/>
      <c r="C2544" t="inlineStr">
        <is>
          <t>180</t>
        </is>
      </c>
      <c r="D2544" t="inlineStr">
        <is>
          <t>1</t>
        </is>
      </c>
      <c r="E2544" t="inlineStr">
        <is>
          <t>30</t>
        </is>
      </c>
      <c r="F2544" t="inlineStr">
        <is>
          <t>12</t>
        </is>
      </c>
      <c r="G2544" t="inlineStr">
        <is>
          <t>0</t>
        </is>
      </c>
      <c r="H2544" t="inlineStr">
        <is>
          <t>6⁵, 150¹</t>
        </is>
      </c>
      <c r="I2544" t="n">
        <v>6</v>
      </c>
      <c r="J2544" t="inlineStr">
        <is>
          <t>1², 4², 20¹</t>
        </is>
      </c>
      <c r="K2544">
        <f>HYPERLINK("CSG0.html#group30A0", "30A⁰"), =HYPERLINK("CSG2.html#group50A2", "50A²"), =HYPERLINK("CSG4.html#group75A4", "75A⁴")</f>
        <v/>
      </c>
      <c r="L2544">
        <f>HYPERLINK("CSG21.html#group150A21", "150A²¹"), =HYPERLINK("CSG23.html#group150C23", "150C²³")</f>
        <v/>
      </c>
      <c r="M2544">
        <f>HYPERLINK("CSG0.html#group30A0", "30A⁰"), =HYPERLINK("CSG0.html#group15B0", "15B⁰"), =HYPERLINK("CSG2.html#group50A2", "50A²"), =HYPERLINK("CSG0.html#group5B0", "5B⁰"), =HYPERLINK("CSG0.html#group25A0", "25A⁰"), =HYPERLINK("CSG4.html#group75A4", "75A⁴"), =HYPERLINK("CSG0.html#group3A0", "3A⁰"), =HYPERLINK("CSG0.html#group1A0", "1A⁰"), =HYPERLINK("CSG0.html#group10B0", "10B⁰")</f>
        <v/>
      </c>
      <c r="N2544">
        <f>HYPERLINK("CSG23.html#group150C23", "150C²³"), =HYPERLINK("CSG21.html#group150A21", "150A²¹")</f>
        <v/>
      </c>
    </row>
    <row r="2545">
      <c r="A2545" t="inlineStr">
        <is>
          <t>156A¹⁰</t>
        </is>
      </c>
      <c r="B2545" t="inlineStr"/>
      <c r="C2545" t="inlineStr">
        <is>
          <t>168</t>
        </is>
      </c>
      <c r="D2545" t="inlineStr">
        <is>
          <t>2</t>
        </is>
      </c>
      <c r="E2545" t="inlineStr">
        <is>
          <t>56</t>
        </is>
      </c>
      <c r="F2545" t="inlineStr">
        <is>
          <t>12</t>
        </is>
      </c>
      <c r="G2545" t="inlineStr">
        <is>
          <t>3</t>
        </is>
      </c>
      <c r="H2545" t="inlineStr">
        <is>
          <t>12¹, 156¹</t>
        </is>
      </c>
      <c r="I2545" t="n">
        <v>2</v>
      </c>
      <c r="J2545" t="inlineStr">
        <is>
          <t>4⁴, 48²</t>
        </is>
      </c>
      <c r="K2545">
        <f>HYPERLINK("CSG1.html#group39A1", "39A¹"), =HYPERLINK("CSG3.html#group52A3", "52A³")</f>
        <v/>
      </c>
      <c r="L2545">
        <f>HYPERLINK("CSG19.html#group156F19", "156F¹⁹"), =HYPERLINK("CSG23.html#group312C23", "312C²³"), =HYPERLINK("CSG23.html#group312D23", "312D²³"), =HYPERLINK("CSG23.html#group312A23", "312A²³"), =HYPERLINK("CSG23.html#group312B23", "312B²³")</f>
        <v/>
      </c>
      <c r="M2545">
        <f>HYPERLINK("CSG0.html#group13A0", "13A⁰"), =HYPERLINK("CSG1.html#group39A1", "39A¹"), =HYPERLINK("CSG3.html#group52A3", "52A³"), =HYPERLINK("CSG0.html#group1A0", "1A⁰"), =HYPERLINK("CSG0.html#group4A0", "4A⁰")</f>
        <v/>
      </c>
      <c r="N2545">
        <f>HYPERLINK("CSG23.html#group312A23", "312A²³"), =HYPERLINK("CSG23.html#group312D23", "312D²³"), =HYPERLINK("CSG23.html#group312C23", "312C²³"), =HYPERLINK("CSG23.html#group312B23", "312B²³"), =HYPERLINK("CSG19.html#group156F19", "156F¹⁹")</f>
        <v/>
      </c>
    </row>
    <row r="2546">
      <c r="A2546" t="inlineStr">
        <is>
          <t>165A¹⁰</t>
        </is>
      </c>
      <c r="B2546" t="inlineStr"/>
      <c r="C2546" t="inlineStr">
        <is>
          <t>165</t>
        </is>
      </c>
      <c r="D2546" t="inlineStr">
        <is>
          <t>2</t>
        </is>
      </c>
      <c r="E2546" t="inlineStr">
        <is>
          <t>55</t>
        </is>
      </c>
      <c r="F2546" t="inlineStr">
        <is>
          <t>9</t>
        </is>
      </c>
      <c r="G2546" t="inlineStr">
        <is>
          <t>6</t>
        </is>
      </c>
      <c r="H2546" t="inlineStr">
        <is>
          <t>165¹</t>
        </is>
      </c>
      <c r="I2546" t="n">
        <v>1</v>
      </c>
      <c r="J2546" t="inlineStr">
        <is>
          <t>4¹, 16¹, 20², 80²</t>
        </is>
      </c>
      <c r="K2546">
        <f>HYPERLINK("CSG0.html#group15A0", "15A⁰"), =HYPERLINK("CSG3.html#group55A3", "55A³")</f>
        <v/>
      </c>
      <c r="L2546">
        <f>HYPERLINK("CSG24.html#group330A24", "330A²⁴")</f>
        <v/>
      </c>
      <c r="M2546">
        <f>HYPERLINK("CSG0.html#group11A0", "11A⁰"), =HYPERLINK("CSG3.html#group55A3", "55A³"), =HYPERLINK("CSG0.html#group5A0", "5A⁰"), =HYPERLINK("CSG0.html#group1A0", "1A⁰"), =HYPERLINK("CSG0.html#group15A0", "15A⁰")</f>
        <v/>
      </c>
      <c r="N2546">
        <f>HYPERLINK("CSG24.html#group330A24", "330A²⁴")</f>
        <v/>
      </c>
    </row>
    <row r="2547">
      <c r="A2547" t="inlineStr">
        <is>
          <t>165B¹⁰</t>
        </is>
      </c>
      <c r="B2547" t="inlineStr"/>
      <c r="C2547" t="inlineStr">
        <is>
          <t>165</t>
        </is>
      </c>
      <c r="D2547" t="inlineStr">
        <is>
          <t>2</t>
        </is>
      </c>
      <c r="E2547" t="inlineStr">
        <is>
          <t>55</t>
        </is>
      </c>
      <c r="F2547" t="inlineStr">
        <is>
          <t>9</t>
        </is>
      </c>
      <c r="G2547" t="inlineStr">
        <is>
          <t>6</t>
        </is>
      </c>
      <c r="H2547" t="inlineStr">
        <is>
          <t>165¹</t>
        </is>
      </c>
      <c r="I2547" t="n">
        <v>1</v>
      </c>
      <c r="J2547" t="inlineStr">
        <is>
          <t>4¹, 16¹, 20², 80²</t>
        </is>
      </c>
      <c r="K2547">
        <f>HYPERLINK("CSG0.html#group15A0", "15A⁰"), =HYPERLINK("CSG3.html#group55A3", "55A³")</f>
        <v/>
      </c>
      <c r="L2547">
        <f>HYPERLINK("CSG24.html#group330B24", "330B²⁴")</f>
        <v/>
      </c>
      <c r="M2547">
        <f>HYPERLINK("CSG0.html#group11A0", "11A⁰"), =HYPERLINK("CSG3.html#group55A3", "55A³"), =HYPERLINK("CSG0.html#group5A0", "5A⁰"), =HYPERLINK("CSG0.html#group1A0", "1A⁰"), =HYPERLINK("CSG0.html#group15A0", "15A⁰")</f>
        <v/>
      </c>
      <c r="N2547">
        <f>HYPERLINK("CSG24.html#group330B24", "330B²⁴")</f>
        <v/>
      </c>
    </row>
    <row r="2548">
      <c r="A2548" t="inlineStr">
        <is>
          <t>168A¹⁰</t>
        </is>
      </c>
      <c r="B2548" t="inlineStr"/>
      <c r="C2548" t="inlineStr">
        <is>
          <t>168</t>
        </is>
      </c>
      <c r="D2548" t="inlineStr">
        <is>
          <t>2</t>
        </is>
      </c>
      <c r="E2548" t="inlineStr">
        <is>
          <t>28</t>
        </is>
      </c>
      <c r="F2548" t="inlineStr">
        <is>
          <t>18</t>
        </is>
      </c>
      <c r="G2548" t="inlineStr">
        <is>
          <t>0</t>
        </is>
      </c>
      <c r="H2548" t="inlineStr">
        <is>
          <t>168¹</t>
        </is>
      </c>
      <c r="I2548" t="n">
        <v>1</v>
      </c>
      <c r="J2548" t="inlineStr">
        <is>
          <t>8², 24⁴</t>
        </is>
      </c>
      <c r="K2548">
        <f>HYPERLINK("CSG3.html#group56A3", "56A³"), =HYPERLINK("CSG3.html#group84A3", "84A³")</f>
        <v/>
      </c>
      <c r="L2548">
        <f>HYPERLINK("CSG22.html#group168G22", "168G²²"), =HYPERLINK("CSG22.html#group168K22", "168K²²"), =HYPERLINK("CSG23.html#group168I23", "168I²³"), =HYPERLINK("CSG24.html#group168C24", "168C²⁴")</f>
        <v/>
      </c>
      <c r="M2548">
        <f>HYPERLINK("CSG3.html#group84A3", "84A³"), =HYPERLINK("CSG0.html#group12A0", "12A⁰"), =HYPERLINK("CSG0.html#group4A0", "4A⁰"), =HYPERLINK("CSG0.html#group21A0", "21A⁰"), =HYPERLINK("CSG0.html#group3A0", "3A⁰"), =HYPERLINK("CSG1.html#group28A1", "28A¹"), =HYPERLINK("CSG0.html#group1A0", "1A⁰"), =HYPERLINK("CSG0.html#group7A0", "7A⁰"), =HYPERLINK("CSG3.html#group56A3", "56A³")</f>
        <v/>
      </c>
      <c r="N2548">
        <f>HYPERLINK("CSG24.html#group168C24", "168C²⁴"), =HYPERLINK("CSG23.html#group168I23", "168I²³"), =HYPERLINK("CSG22.html#group168G22", "168G²²"), =HYPERLINK("CSG22.html#group168K22", "168K²²")</f>
        <v/>
      </c>
    </row>
    <row r="2549">
      <c r="A2549" t="inlineStr">
        <is>
          <t>168B¹⁰</t>
        </is>
      </c>
      <c r="B2549" t="inlineStr"/>
      <c r="C2549" t="inlineStr">
        <is>
          <t>168</t>
        </is>
      </c>
      <c r="D2549" t="inlineStr">
        <is>
          <t>2</t>
        </is>
      </c>
      <c r="E2549" t="inlineStr">
        <is>
          <t>28</t>
        </is>
      </c>
      <c r="F2549" t="inlineStr">
        <is>
          <t>18</t>
        </is>
      </c>
      <c r="G2549" t="inlineStr">
        <is>
          <t>0</t>
        </is>
      </c>
      <c r="H2549" t="inlineStr">
        <is>
          <t>168¹</t>
        </is>
      </c>
      <c r="I2549" t="n">
        <v>1</v>
      </c>
      <c r="J2549" t="inlineStr">
        <is>
          <t>8², 24⁴</t>
        </is>
      </c>
      <c r="K2549">
        <f>HYPERLINK("CSG3.html#group56B3", "56B³"), =HYPERLINK("CSG3.html#group84A3", "84A³")</f>
        <v/>
      </c>
      <c r="L2549">
        <f>HYPERLINK("CSG22.html#group168H22", "168H²²"), =HYPERLINK("CSG22.html#group168L22", "168L²²"), =HYPERLINK("CSG23.html#group168J23", "168J²³"), =HYPERLINK("CSG24.html#group168D24", "168D²⁴")</f>
        <v/>
      </c>
      <c r="M2549">
        <f>HYPERLINK("CSG3.html#group84A3", "84A³"), =HYPERLINK("CSG3.html#group56B3", "56B³"), =HYPERLINK("CSG0.html#group12A0", "12A⁰"), =HYPERLINK("CSG0.html#group4A0", "4A⁰"), =HYPERLINK("CSG0.html#group21A0", "21A⁰"), =HYPERLINK("CSG0.html#group3A0", "3A⁰"), =HYPERLINK("CSG1.html#group28A1", "28A¹"), =HYPERLINK("CSG0.html#group1A0", "1A⁰"), =HYPERLINK("CSG0.html#group7A0", "7A⁰")</f>
        <v/>
      </c>
      <c r="N2549">
        <f>HYPERLINK("CSG22.html#group168H22", "168H²²"), =HYPERLINK("CSG23.html#group168J23", "168J²³"), =HYPERLINK("CSG22.html#group168L22", "168L²²"), =HYPERLINK("CSG24.html#group168D24", "168D²⁴")</f>
        <v/>
      </c>
    </row>
    <row r="2550">
      <c r="A2550" t="inlineStr">
        <is>
          <t>168C¹⁰</t>
        </is>
      </c>
      <c r="B2550" t="inlineStr"/>
      <c r="C2550" t="inlineStr">
        <is>
          <t>168</t>
        </is>
      </c>
      <c r="D2550" t="inlineStr">
        <is>
          <t>2</t>
        </is>
      </c>
      <c r="E2550" t="inlineStr">
        <is>
          <t>28</t>
        </is>
      </c>
      <c r="F2550" t="inlineStr">
        <is>
          <t>18</t>
        </is>
      </c>
      <c r="G2550" t="inlineStr">
        <is>
          <t>0</t>
        </is>
      </c>
      <c r="H2550" t="inlineStr">
        <is>
          <t>168¹</t>
        </is>
      </c>
      <c r="I2550" t="n">
        <v>1</v>
      </c>
      <c r="J2550" t="inlineStr">
        <is>
          <t>8², 24⁴</t>
        </is>
      </c>
      <c r="K2550">
        <f>HYPERLINK("CSG1.html#group24A1", "24A¹"), =HYPERLINK("CSG3.html#group56C3", "56C³"), =HYPERLINK("CSG3.html#group84A3", "84A³")</f>
        <v/>
      </c>
      <c r="L2550">
        <f>HYPERLINK("CSG22.html#group168G22", "168G²²"), =HYPERLINK("CSG22.html#group168Q22", "168Q²²"), =HYPERLINK("CSG23.html#group168K23", "168K²³"), =HYPERLINK("CSG24.html#group168E24", "168E²⁴"), =HYPERLINK("CSG24.html#group336A24", "336A²⁴"), =HYPERLINK("CSG24.html#group336C24", "336C²⁴"), =HYPERLINK("CSG24.html#group336E24", "336E²⁴"), =HYPERLINK("CSG24.html#group336G24", "336G²⁴")</f>
        <v/>
      </c>
      <c r="M2550">
        <f>HYPERLINK("CSG3.html#group84A3", "84A³"), =HYPERLINK("CSG0.html#group12A0", "12A⁰"), =HYPERLINK("CSG1.html#group24A1", "24A¹"), =HYPERLINK("CSG0.html#group4A0", "4A⁰"), =HYPERLINK("CSG0.html#group8A0", "8A⁰"), =HYPERLINK("CSG0.html#group21A0", "21A⁰"), =HYPERLINK("CSG3.html#group56C3", "56C³"), =HYPERLINK("CSG0.html#group3A0", "3A⁰"), =HYPERLINK("CSG1.html#group28A1", "28A¹"), =HYPERLINK("CSG0.html#group1A0", "1A⁰"), =HYPERLINK("CSG0.html#group7A0", "7A⁰")</f>
        <v/>
      </c>
      <c r="N2550">
        <f>HYPERLINK("CSG24.html#group336C24", "336C²⁴"), =HYPERLINK("CSG24.html#group336A24", "336A²⁴"), =HYPERLINK("CSG24.html#group168E24", "168E²⁴"), =HYPERLINK("CSG24.html#group336E24", "336E²⁴"), =HYPERLINK("CSG22.html#group168G22", "168G²²"), =HYPERLINK("CSG22.html#group168Q22", "168Q²²"), =HYPERLINK("CSG24.html#group336G24", "336G²⁴"), =HYPERLINK("CSG23.html#group168K23", "168K²³")</f>
        <v/>
      </c>
    </row>
    <row r="2551">
      <c r="A2551" t="inlineStr">
        <is>
          <t>168D¹⁰</t>
        </is>
      </c>
      <c r="B2551" t="inlineStr"/>
      <c r="C2551" t="inlineStr">
        <is>
          <t>168</t>
        </is>
      </c>
      <c r="D2551" t="inlineStr">
        <is>
          <t>2</t>
        </is>
      </c>
      <c r="E2551" t="inlineStr">
        <is>
          <t>28</t>
        </is>
      </c>
      <c r="F2551" t="inlineStr">
        <is>
          <t>18</t>
        </is>
      </c>
      <c r="G2551" t="inlineStr">
        <is>
          <t>0</t>
        </is>
      </c>
      <c r="H2551" t="inlineStr">
        <is>
          <t>168¹</t>
        </is>
      </c>
      <c r="I2551" t="n">
        <v>1</v>
      </c>
      <c r="J2551" t="inlineStr">
        <is>
          <t>8², 24⁴</t>
        </is>
      </c>
      <c r="K2551">
        <f>HYPERLINK("CSG1.html#group24A1", "24A¹"), =HYPERLINK("CSG3.html#group56D3", "56D³"), =HYPERLINK("CSG3.html#group84A3", "84A³")</f>
        <v/>
      </c>
      <c r="L2551">
        <f>HYPERLINK("CSG22.html#group168H22", "168H²²"), =HYPERLINK("CSG22.html#group168R22", "168R²²"), =HYPERLINK("CSG23.html#group168L23", "168L²³"), =HYPERLINK("CSG24.html#group168F24", "168F²⁴"), =HYPERLINK("CSG24.html#group336B24", "336B²⁴"), =HYPERLINK("CSG24.html#group336D24", "336D²⁴"), =HYPERLINK("CSG24.html#group336F24", "336F²⁴"), =HYPERLINK("CSG24.html#group336H24", "336H²⁴")</f>
        <v/>
      </c>
      <c r="M2551">
        <f>HYPERLINK("CSG3.html#group84A3", "84A³"), =HYPERLINK("CSG3.html#group56D3", "56D³"), =HYPERLINK("CSG1.html#group24A1", "24A¹"), =HYPERLINK("CSG0.html#group12A0", "12A⁰"), =HYPERLINK("CSG0.html#group4A0", "4A⁰"), =HYPERLINK("CSG0.html#group8A0", "8A⁰"), =HYPERLINK("CSG0.html#group21A0", "21A⁰"), =HYPERLINK("CSG0.html#group3A0", "3A⁰"), =HYPERLINK("CSG1.html#group28A1", "28A¹"), =HYPERLINK("CSG0.html#group1A0", "1A⁰"), =HYPERLINK("CSG0.html#group7A0", "7A⁰")</f>
        <v/>
      </c>
      <c r="N2551">
        <f>HYPERLINK("CSG23.html#group168L23", "168L²³"), =HYPERLINK("CSG24.html#group168F24", "168F²⁴"), =HYPERLINK("CSG24.html#group336F24", "336F²⁴"), =HYPERLINK("CSG24.html#group336B24", "336B²⁴"), =HYPERLINK("CSG24.html#group336D24", "336D²⁴"), =HYPERLINK("CSG22.html#group168R22", "168R²²"), =HYPERLINK("CSG22.html#group168H22", "168H²²"), =HYPERLINK("CSG24.html#group336H24", "336H²⁴")</f>
        <v/>
      </c>
    </row>
    <row r="2552">
      <c r="A2552" t="inlineStr">
        <is>
          <t>168E¹⁰</t>
        </is>
      </c>
      <c r="B2552" t="inlineStr"/>
      <c r="C2552" t="inlineStr">
        <is>
          <t>168</t>
        </is>
      </c>
      <c r="D2552" t="inlineStr">
        <is>
          <t>2</t>
        </is>
      </c>
      <c r="E2552" t="inlineStr">
        <is>
          <t>84</t>
        </is>
      </c>
      <c r="F2552" t="inlineStr">
        <is>
          <t>18</t>
        </is>
      </c>
      <c r="G2552" t="inlineStr">
        <is>
          <t>0</t>
        </is>
      </c>
      <c r="H2552" t="inlineStr">
        <is>
          <t>168¹</t>
        </is>
      </c>
      <c r="I2552" t="n">
        <v>1</v>
      </c>
      <c r="J2552" t="inlineStr">
        <is>
          <t>8², 16², 24⁴, 48⁴</t>
        </is>
      </c>
      <c r="K2552">
        <f>HYPERLINK("CSG3.html#group84A3", "84A³")</f>
        <v/>
      </c>
      <c r="L2552">
        <f>HYPERLINK("CSG22.html#group168I22", "168I²²"), =HYPERLINK("CSG22.html#group168K22", "168K²²"), =HYPERLINK("CSG22.html#group168M22", "168M²²"), =HYPERLINK("CSG22.html#group168N22", "168N²²"), =HYPERLINK("CSG23.html#group168K23", "168K²³"), =HYPERLINK("CSG23.html#group168M23", "168M²³"), =HYPERLINK("CSG23.html#group168N23", "168N²³"), =HYPERLINK("CSG24.html#group168F24", "168F²⁴"), =HYPERLINK("CSG24.html#group168G24", "168G²⁴"), =HYPERLINK("CSG24.html#group168H24", "168H²⁴")</f>
        <v/>
      </c>
      <c r="M2552">
        <f>HYPERLINK("CSG3.html#group84A3", "84A³"), =HYPERLINK("CSG0.html#group12A0", "12A⁰"), =HYPERLINK("CSG0.html#group4A0", "4A⁰"), =HYPERLINK("CSG0.html#group21A0", "21A⁰"), =HYPERLINK("CSG0.html#group3A0", "3A⁰"), =HYPERLINK("CSG1.html#group28A1", "28A¹"), =HYPERLINK("CSG0.html#group1A0", "1A⁰"), =HYPERLINK("CSG0.html#group7A0", "7A⁰")</f>
        <v/>
      </c>
      <c r="N2552">
        <f>HYPERLINK("CSG22.html#group168M22", "168M²²"), =HYPERLINK("CSG24.html#group168F24", "168F²⁴"), =HYPERLINK("CSG22.html#group168N22", "168N²²"), =HYPERLINK("CSG22.html#group168K22", "168K²²"), =HYPERLINK("CSG24.html#group168G24", "168G²⁴"), =HYPERLINK("CSG24.html#group168H24", "168H²⁴"), =HYPERLINK("CSG22.html#group168I22", "168I²²"), =HYPERLINK("CSG23.html#group168N23", "168N²³"), =HYPERLINK("CSG23.html#group168M23", "168M²³"), =HYPERLINK("CSG23.html#group168K23", "168K²³")</f>
        <v/>
      </c>
    </row>
    <row r="2553">
      <c r="A2553" t="inlineStr">
        <is>
          <t>168F¹⁰</t>
        </is>
      </c>
      <c r="B2553" t="inlineStr"/>
      <c r="C2553" t="inlineStr">
        <is>
          <t>168</t>
        </is>
      </c>
      <c r="D2553" t="inlineStr">
        <is>
          <t>2</t>
        </is>
      </c>
      <c r="E2553" t="inlineStr">
        <is>
          <t>84</t>
        </is>
      </c>
      <c r="F2553" t="inlineStr">
        <is>
          <t>18</t>
        </is>
      </c>
      <c r="G2553" t="inlineStr">
        <is>
          <t>0</t>
        </is>
      </c>
      <c r="H2553" t="inlineStr">
        <is>
          <t>168¹</t>
        </is>
      </c>
      <c r="I2553" t="n">
        <v>1</v>
      </c>
      <c r="J2553" t="inlineStr">
        <is>
          <t>8², 16², 24⁴, 48⁴</t>
        </is>
      </c>
      <c r="K2553">
        <f>HYPERLINK("CSG3.html#group84A3", "84A³")</f>
        <v/>
      </c>
      <c r="L2553">
        <f>HYPERLINK("CSG22.html#group168J22", "168J²²"), =HYPERLINK("CSG22.html#group168L22", "168L²²"), =HYPERLINK("CSG22.html#group168M22", "168M²²"), =HYPERLINK("CSG22.html#group168N22", "168N²²"), =HYPERLINK("CSG23.html#group168L23", "168L²³"), =HYPERLINK("CSG23.html#group168O23", "168O²³"), =HYPERLINK("CSG23.html#group168P23", "168P²³"), =HYPERLINK("CSG24.html#group168E24", "168E²⁴"), =HYPERLINK("CSG24.html#group168I24", "168I²⁴"), =HYPERLINK("CSG24.html#group168J24", "168J²⁴")</f>
        <v/>
      </c>
      <c r="M2553">
        <f>HYPERLINK("CSG3.html#group84A3", "84A³"), =HYPERLINK("CSG0.html#group12A0", "12A⁰"), =HYPERLINK("CSG0.html#group4A0", "4A⁰"), =HYPERLINK("CSG0.html#group21A0", "21A⁰"), =HYPERLINK("CSG0.html#group3A0", "3A⁰"), =HYPERLINK("CSG1.html#group28A1", "28A¹"), =HYPERLINK("CSG0.html#group1A0", "1A⁰"), =HYPERLINK("CSG0.html#group7A0", "7A⁰")</f>
        <v/>
      </c>
      <c r="N2553">
        <f>HYPERLINK("CSG22.html#group168M22", "168M²²"), =HYPERLINK("CSG23.html#group168L23", "168L²³"), =HYPERLINK("CSG23.html#group168O23", "168O²³"), =HYPERLINK("CSG22.html#group168N22", "168N²²"), =HYPERLINK("CSG22.html#group168L22", "168L²²"), =HYPERLINK("CSG24.html#group168I24", "168I²⁴"), =HYPERLINK("CSG22.html#group168J22", "168J²²"), =HYPERLINK("CSG24.html#group168E24", "168E²⁴"), =HYPERLINK("CSG24.html#group168J24", "168J²⁴"), =HYPERLINK("CSG23.html#group168P23", "168P²³")</f>
        <v/>
      </c>
    </row>
    <row r="2554">
      <c r="A2554" t="inlineStr">
        <is>
          <t>168G¹⁰</t>
        </is>
      </c>
      <c r="B2554" t="inlineStr"/>
      <c r="C2554" t="inlineStr">
        <is>
          <t>168</t>
        </is>
      </c>
      <c r="D2554" t="inlineStr">
        <is>
          <t>2</t>
        </is>
      </c>
      <c r="E2554" t="inlineStr">
        <is>
          <t>84</t>
        </is>
      </c>
      <c r="F2554" t="inlineStr">
        <is>
          <t>18</t>
        </is>
      </c>
      <c r="G2554" t="inlineStr">
        <is>
          <t>0</t>
        </is>
      </c>
      <c r="H2554" t="inlineStr">
        <is>
          <t>168¹</t>
        </is>
      </c>
      <c r="I2554" t="n">
        <v>1</v>
      </c>
      <c r="J2554" t="inlineStr">
        <is>
          <t>8², 16², 24⁴, 48⁴</t>
        </is>
      </c>
      <c r="K2554">
        <f>HYPERLINK("CSG1.html#group24B1", "24B¹"), =HYPERLINK("CSG3.html#group84A3", "84A³")</f>
        <v/>
      </c>
      <c r="L2554">
        <f>HYPERLINK("CSG22.html#group168I22", "168I²²"), =HYPERLINK("CSG22.html#group168O22", "168O²²"), =HYPERLINK("CSG22.html#group168P22", "168P²²"), =HYPERLINK("CSG22.html#group168Q22", "168Q²²"), =HYPERLINK("CSG23.html#group168I23", "168I²³"), =HYPERLINK("CSG23.html#group168O23", "168O²³"), =HYPERLINK("CSG23.html#group168P23", "168P²³"), =HYPERLINK("CSG24.html#group168D24", "168D²⁴"), =HYPERLINK("CSG24.html#group168G24", "168G²⁴"), =HYPERLINK("CSG24.html#group168H24", "168H²⁴")</f>
        <v/>
      </c>
      <c r="M2554">
        <f>HYPERLINK("CSG3.html#group84A3", "84A³"), =HYPERLINK("CSG0.html#group12A0", "12A⁰"), =HYPERLINK("CSG0.html#group4A0", "4A⁰"), =HYPERLINK("CSG0.html#group21A0", "21A⁰"), =HYPERLINK("CSG1.html#group24B1", "24B¹"), =HYPERLINK("CSG0.html#group3A0", "3A⁰"), =HYPERLINK("CSG1.html#group28A1", "28A¹"), =HYPERLINK("CSG0.html#group1A0", "1A⁰"), =HYPERLINK("CSG0.html#group7A0", "7A⁰")</f>
        <v/>
      </c>
      <c r="N2554">
        <f>HYPERLINK("CSG23.html#group168O23", "168O²³"), =HYPERLINK("CSG24.html#group168H24", "168H²⁴"), =HYPERLINK("CSG22.html#group168P22", "168P²²"), =HYPERLINK("CSG23.html#group168I23", "168I²³"), =HYPERLINK("CSG22.html#group168I22", "168I²²"), =HYPERLINK("CSG22.html#group168O22", "168O²²"), =HYPERLINK("CSG24.html#group168D24", "168D²⁴"), =HYPERLINK("CSG22.html#group168Q22", "168Q²²"), =HYPERLINK("CSG23.html#group168P23", "168P²³"), =HYPERLINK("CSG24.html#group168G24", "168G²⁴")</f>
        <v/>
      </c>
    </row>
    <row r="2555">
      <c r="A2555" t="inlineStr">
        <is>
          <t>168H¹⁰</t>
        </is>
      </c>
      <c r="B2555" t="inlineStr"/>
      <c r="C2555" t="inlineStr">
        <is>
          <t>168</t>
        </is>
      </c>
      <c r="D2555" t="inlineStr">
        <is>
          <t>2</t>
        </is>
      </c>
      <c r="E2555" t="inlineStr">
        <is>
          <t>84</t>
        </is>
      </c>
      <c r="F2555" t="inlineStr">
        <is>
          <t>18</t>
        </is>
      </c>
      <c r="G2555" t="inlineStr">
        <is>
          <t>0</t>
        </is>
      </c>
      <c r="H2555" t="inlineStr">
        <is>
          <t>168¹</t>
        </is>
      </c>
      <c r="I2555" t="n">
        <v>1</v>
      </c>
      <c r="J2555" t="inlineStr">
        <is>
          <t>8², 16², 24⁴, 48⁴</t>
        </is>
      </c>
      <c r="K2555">
        <f>HYPERLINK("CSG1.html#group24B1", "24B¹"), =HYPERLINK("CSG3.html#group84A3", "84A³")</f>
        <v/>
      </c>
      <c r="L2555">
        <f>HYPERLINK("CSG22.html#group168J22", "168J²²"), =HYPERLINK("CSG22.html#group168O22", "168O²²"), =HYPERLINK("CSG22.html#group168P22", "168P²²"), =HYPERLINK("CSG22.html#group168R22", "168R²²"), =HYPERLINK("CSG23.html#group168J23", "168J²³"), =HYPERLINK("CSG23.html#group168M23", "168M²³"), =HYPERLINK("CSG23.html#group168N23", "168N²³"), =HYPERLINK("CSG24.html#group168C24", "168C²⁴"), =HYPERLINK("CSG24.html#group168I24", "168I²⁴"), =HYPERLINK("CSG24.html#group168J24", "168J²⁴")</f>
        <v/>
      </c>
      <c r="M2555">
        <f>HYPERLINK("CSG3.html#group84A3", "84A³"), =HYPERLINK("CSG0.html#group12A0", "12A⁰"), =HYPERLINK("CSG0.html#group4A0", "4A⁰"), =HYPERLINK("CSG0.html#group21A0", "21A⁰"), =HYPERLINK("CSG1.html#group24B1", "24B¹"), =HYPERLINK("CSG0.html#group3A0", "3A⁰"), =HYPERLINK("CSG1.html#group28A1", "28A¹"), =HYPERLINK("CSG0.html#group1A0", "1A⁰"), =HYPERLINK("CSG0.html#group7A0", "7A⁰")</f>
        <v/>
      </c>
      <c r="N2555">
        <f>HYPERLINK("CSG24.html#group168I24", "168I²⁴"), =HYPERLINK("CSG22.html#group168J22", "168J²²"), =HYPERLINK("CSG22.html#group168P22", "168P²²"), =HYPERLINK("CSG22.html#group168O22", "168O²²"), =HYPERLINK("CSG24.html#group168C24", "168C²⁴"), =HYPERLINK("CSG24.html#group168J24", "168J²⁴"), =HYPERLINK("CSG23.html#group168N23", "168N²³"), =HYPERLINK("CSG22.html#group168R22", "168R²²"), =HYPERLINK("CSG23.html#group168J23", "168J²³"), =HYPERLINK("CSG23.html#group168M23", "168M²³")</f>
        <v/>
      </c>
    </row>
    <row r="2556">
      <c r="A2556" t="inlineStr">
        <is>
          <t>12A¹¹</t>
        </is>
      </c>
      <c r="B2556" t="inlineStr"/>
      <c r="C2556" t="inlineStr">
        <is>
          <t>288</t>
        </is>
      </c>
      <c r="D2556" t="inlineStr">
        <is>
          <t>1</t>
        </is>
      </c>
      <c r="E2556" t="inlineStr">
        <is>
          <t>36</t>
        </is>
      </c>
      <c r="F2556" t="inlineStr">
        <is>
          <t>8</t>
        </is>
      </c>
      <c r="G2556" t="inlineStr">
        <is>
          <t>0</t>
        </is>
      </c>
      <c r="H2556" t="inlineStr">
        <is>
          <t>12²⁴</t>
        </is>
      </c>
      <c r="I2556" t="n">
        <v>24</v>
      </c>
      <c r="J2556" t="inlineStr">
        <is>
          <t>2², 4⁸</t>
        </is>
      </c>
      <c r="K2556">
        <f>HYPERLINK("CSG3.html#group12M3", "12M³"), =HYPERLINK("CSG3.html#group12P3", "12P³"), =HYPERLINK("CSG5.html#group12C5", "12C⁵"), =HYPERLINK("CSG5.html#group12D5", "12D⁵")</f>
        <v/>
      </c>
      <c r="L2556" t="inlineStr"/>
      <c r="M2556">
        <f>HYPERLINK("CSG1.html#group12T1", "12T¹"), =HYPERLINK("CSG2.html#group12I2", "12I²"), =HYPERLINK("CSG1.html#group12D1", "12D¹"), =HYPERLINK("CSG0.html#group12C0", "12C⁰"), =HYPERLINK("CSG0.html#group4C0", "4C⁰"), =HYPERLINK("CSG0.html#group6G0", "6G⁰"), =HYPERLINK("CSG0.html#group2B0", "2B⁰"), =HYPERLINK("CSG1.html#group12M1", "12M¹"), =HYPERLINK("CSG1.html#group12N1", "12N¹"), =HYPERLINK("CSG0.html#group1A0", "1A⁰"), =HYPERLINK("CSG2.html#group12H2", "12H²"), =HYPERLINK("CSG5.html#group12C5", "12C⁵"), =HYPERLINK("CSG3.html#group12M3", "12M³"), =HYPERLINK("CSG1.html#group12Q1", "12Q¹"), =HYPERLINK("CSG0.html#group3C0", "3C⁰"), =HYPERLINK("CSG0.html#group6H0", "6H⁰"), =HYPERLINK("CSG0.html#group3A0", "3A⁰"), =HYPERLINK("CSG3.html#group12H3", "12H³"), =HYPERLINK("CSG1.html#group12G1", "12G¹"), =HYPERLINK("CSG1.html#group12U1", "12U¹"), =HYPERLINK("CSG0.html#group6B0", "6B⁰"), =HYPERLINK("CSG0.html#group12F0", "12F⁰"), =HYPERLINK("CSG5.html#group12D5", "12D⁵"), =HYPERLINK("CSG1.html#group12L1", "12L¹"), =HYPERLINK("CSG3.html#group12J3", "12J³"), =HYPERLINK("CSG0.html#group12G0", "12G⁰"), =HYPERLINK("CSG0.html#group12A0", "12A⁰"), =HYPERLINK("CSG1.html#group12C1", "12C¹"), =HYPERLINK("CSG0.html#group6E0", "6E⁰"), =HYPERLINK("CSG3.html#group12I3", "12I³"), =HYPERLINK("CSG0.html#group4A0", "4A⁰"), =HYPERLINK("CSG3.html#group12P3", "12P³"), =HYPERLINK("CSG0.html#group6L0", "6L⁰"), =HYPERLINK("CSG1.html#group12J1", "12J¹"), =HYPERLINK("CSG0.html#group12D0", "12D⁰"), =HYPERLINK("CSG0.html#group4F0", "4F⁰"), =HYPERLINK("CSG0.html#group12H0", "12H⁰"), =HYPERLINK("CSG0.html#group6D0", "6D⁰")</f>
        <v/>
      </c>
      <c r="N2556" t="inlineStr"/>
    </row>
    <row r="2557">
      <c r="A2557" t="inlineStr">
        <is>
          <t>13A¹¹</t>
        </is>
      </c>
      <c r="B2557" t="inlineStr"/>
      <c r="C2557" t="inlineStr">
        <is>
          <t>273</t>
        </is>
      </c>
      <c r="D2557" t="inlineStr">
        <is>
          <t>1</t>
        </is>
      </c>
      <c r="E2557" t="inlineStr">
        <is>
          <t>91</t>
        </is>
      </c>
      <c r="F2557" t="inlineStr">
        <is>
          <t>9</t>
        </is>
      </c>
      <c r="G2557" t="inlineStr">
        <is>
          <t>0</t>
        </is>
      </c>
      <c r="H2557" t="inlineStr">
        <is>
          <t>13²¹</t>
        </is>
      </c>
      <c r="I2557" t="n">
        <v>21</v>
      </c>
      <c r="J2557" t="inlineStr">
        <is>
          <t>3¹, 4¹, 12⁷</t>
        </is>
      </c>
      <c r="K2557">
        <f>HYPERLINK("CSG3.html#group13B3", "13B³"), =HYPERLINK("CSG3.html#group13C3", "13C³")</f>
        <v/>
      </c>
      <c r="L2557">
        <f>HYPERLINK("CSG24.html#group13A24", "13A²⁴")</f>
        <v/>
      </c>
      <c r="M2557">
        <f>HYPERLINK("CSG3.html#group13C3", "13C³"), =HYPERLINK("CSG0.html#group1A0", "1A⁰"), =HYPERLINK("CSG3.html#group13B3", "13B³")</f>
        <v/>
      </c>
      <c r="N2557">
        <f>HYPERLINK("CSG24.html#group13A24", "13A²⁴")</f>
        <v/>
      </c>
    </row>
    <row r="2558">
      <c r="A2558" t="inlineStr">
        <is>
          <t>14A¹¹</t>
        </is>
      </c>
      <c r="B2558" t="inlineStr"/>
      <c r="C2558" t="inlineStr">
        <is>
          <t>252</t>
        </is>
      </c>
      <c r="D2558" t="inlineStr">
        <is>
          <t>2</t>
        </is>
      </c>
      <c r="E2558" t="inlineStr">
        <is>
          <t>63</t>
        </is>
      </c>
      <c r="F2558" t="inlineStr">
        <is>
          <t>8</t>
        </is>
      </c>
      <c r="G2558" t="inlineStr">
        <is>
          <t>0</t>
        </is>
      </c>
      <c r="H2558" t="inlineStr">
        <is>
          <t>14¹⁸</t>
        </is>
      </c>
      <c r="I2558" t="n">
        <v>18</v>
      </c>
      <c r="J2558" t="inlineStr">
        <is>
          <t>6²¹</t>
        </is>
      </c>
      <c r="K2558">
        <f>HYPERLINK("CSG3.html#group14F3", "14F³"), =HYPERLINK("CSG4.html#group14A4", "14A⁴"), =HYPERLINK("CSG5.html#group14G5", "14G⁵"), =HYPERLINK("CSG6.html#group14A6", "14A⁶")</f>
        <v/>
      </c>
      <c r="L2558">
        <f>HYPERLINK("CSG23.html#group14A23", "14A²³")</f>
        <v/>
      </c>
      <c r="M2558">
        <f>HYPERLINK("CSG0.html#group14A0", "14A⁰"), =HYPERLINK("CSG4.html#group14A4", "14A⁴"), =HYPERLINK("CSG2.html#group14B2", "14B²"), =HYPERLINK("CSG0.html#group7D0", "7D⁰"), =HYPERLINK("CSG1.html#group14B1", "14B¹"), =HYPERLINK("CSG2.html#group14C2", "14C²"), =HYPERLINK("CSG0.html#group2B0", "2B⁰"), =HYPERLINK("CSG0.html#group7G0", "7G⁰"), =HYPERLINK("CSG0.html#group1A0", "1A⁰"), =HYPERLINK("CSG6.html#group14A6", "14A⁶"), =HYPERLINK("CSG5.html#group14G5", "14G⁵"), =HYPERLINK("CSG2.html#group14A2", "14A²"), =HYPERLINK("CSG1.html#group14F1", "14F¹"), =HYPERLINK("CSG0.html#group7C0", "7C⁰"), =HYPERLINK("CSG3.html#group14F3", "14F³"), =HYPERLINK("CSG2.html#group14F2", "14F²"), =HYPERLINK("CSG1.html#group14E1", "14E¹"), =HYPERLINK("CSG0.html#group7A0", "7A⁰")</f>
        <v/>
      </c>
      <c r="N2558">
        <f>HYPERLINK("CSG23.html#group14A23", "14A²³")</f>
        <v/>
      </c>
    </row>
    <row r="2559">
      <c r="A2559" t="inlineStr">
        <is>
          <t>15A¹¹</t>
        </is>
      </c>
      <c r="B2559" t="inlineStr"/>
      <c r="C2559" t="inlineStr">
        <is>
          <t>240</t>
        </is>
      </c>
      <c r="D2559" t="inlineStr">
        <is>
          <t>1</t>
        </is>
      </c>
      <c r="E2559" t="inlineStr">
        <is>
          <t>60</t>
        </is>
      </c>
      <c r="F2559" t="inlineStr">
        <is>
          <t>8</t>
        </is>
      </c>
      <c r="G2559" t="inlineStr">
        <is>
          <t>0</t>
        </is>
      </c>
      <c r="H2559" t="inlineStr">
        <is>
          <t>15¹⁶</t>
        </is>
      </c>
      <c r="I2559" t="n">
        <v>16</v>
      </c>
      <c r="J2559" t="inlineStr">
        <is>
          <t>4³, 8⁶</t>
        </is>
      </c>
      <c r="K2559">
        <f>HYPERLINK("CSG5.html#group15A5", "15A⁵")</f>
        <v/>
      </c>
      <c r="L2559" t="inlineStr"/>
      <c r="M2559">
        <f>HYPERLINK("CSG1.html#group15D1", "15D¹"), =HYPERLINK("CSG2.html#group15D2", "15D²"), =HYPERLINK("CSG5.html#group15A5", "15A⁵"), =HYPERLINK("CSG0.html#group3C0", "3C⁰"), =HYPERLINK("CSG0.html#group1A0", "1A⁰"), =HYPERLINK("CSG3.html#group15C3", "15C³"), =HYPERLINK("CSG0.html#group3A0", "3A⁰"), =HYPERLINK("CSG0.html#group5C0", "5C⁰")</f>
        <v/>
      </c>
      <c r="N2559" t="inlineStr"/>
    </row>
    <row r="2560">
      <c r="A2560" t="inlineStr">
        <is>
          <t>16A¹¹</t>
        </is>
      </c>
      <c r="B2560" t="inlineStr"/>
      <c r="C2560" t="inlineStr">
        <is>
          <t>192</t>
        </is>
      </c>
      <c r="D2560" t="inlineStr">
        <is>
          <t>1</t>
        </is>
      </c>
      <c r="E2560" t="inlineStr">
        <is>
          <t>6</t>
        </is>
      </c>
      <c r="F2560" t="inlineStr">
        <is>
          <t>0</t>
        </is>
      </c>
      <c r="G2560" t="inlineStr">
        <is>
          <t>0</t>
        </is>
      </c>
      <c r="H2560" t="inlineStr">
        <is>
          <t>16¹²</t>
        </is>
      </c>
      <c r="I2560" t="n">
        <v>12</v>
      </c>
      <c r="J2560" t="inlineStr">
        <is>
          <t>1², 2²</t>
        </is>
      </c>
      <c r="K2560">
        <f>HYPERLINK("CSG3.html#group8B3", "8B³"), =HYPERLINK("CSG5.html#group16I5", "16I⁵"), =HYPERLINK("CSG5.html#group16J5", "16J⁵"), =HYPERLINK("CSG6.html#group16A6", "16A⁶"), =HYPERLINK("CSG6.html#group16B6", "16B⁶")</f>
        <v/>
      </c>
      <c r="L2560">
        <f>HYPERLINK("CSG21.html#group16B21", "16B²¹"), =HYPERLINK("CSG21.html#group16D21", "16D²¹"), =HYPERLINK("CSG21.html#group16E21", "16E²¹")</f>
        <v/>
      </c>
      <c r="M2560">
        <f>HYPERLINK("CSG0.html#group2A0", "2A⁰"), =HYPERLINK("CSG3.html#group8B3", "8B³"), =HYPERLINK("CSG6.html#group16B6", "16B⁶"), =HYPERLINK("CSG0.html#group4C0", "4C⁰"), =HYPERLINK("CSG0.html#group8A0", "8A⁰"),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=HYPERLINK("CSG0.html#group8K0", "8K⁰"), =HYPERLINK("CSG1.html#group8H1", "8H¹"), =HYPERLINK("CSG0.html#group8G0", "8G⁰"), =HYPERLINK("CSG0.html#group4D0", "4D⁰"), =HYPERLINK("CSG0.html#group8N0", "8N⁰"), =HYPERLINK("CSG1.html#group8A1", "8A¹"), =HYPERLINK("CSG0.html#group16A0", "16A⁰"), =HYPERLINK("CSG0.html#group8D0", "8D⁰"), =HYPERLINK("CSG0.html#group2C0", "2C⁰"), =HYPERLINK("CSG2.html#group8B2", "8B²"), =HYPERLINK("CSG0.html#group8B0", "8B⁰"), =HYPERLINK("CSG0.html#group8E0", "8E⁰"), =HYPERLINK("CSG3.html#group16G3", "16G³"), =HYPERLINK("CSG1.html#group8B1", "8B¹"), =HYPERLINK("CSG6.html#group16A6", "16A⁶"), =HYPERLINK("CSG1.html#group8D1", "8D¹"), =HYPERLINK("CSG0.html#group8H0", "8H⁰"), =HYPERLINK("CSG2.html#group8A2", "8A²"), =HYPERLINK("CSG1.html#group8C1", "8C¹"), =HYPERLINK("CSG0.html#group4A0", "4A⁰"), =HYPERLINK("CSG5.html#group16I5", "16I⁵"), =HYPERLINK("CSG0.html#group16F0", "16F⁰"), =HYPERLINK("CSG0.html#group4F0", "4F⁰"), =HYPERLINK("CSG0.html#group8J0", "8J⁰"), =HYPERLINK("CSG5.html#group16J5", "16J⁵")</f>
        <v/>
      </c>
      <c r="N2560">
        <f>HYPERLINK("CSG21.html#group16B21", "16B²¹"), =HYPERLINK("CSG21.html#group16E21", "16E²¹"), =HYPERLINK("CSG21.html#group16D21", "16D²¹")</f>
        <v/>
      </c>
    </row>
    <row r="2561">
      <c r="A2561" t="inlineStr">
        <is>
          <t>16B¹¹</t>
        </is>
      </c>
      <c r="B2561" t="inlineStr"/>
      <c r="C2561" t="inlineStr">
        <is>
          <t>192</t>
        </is>
      </c>
      <c r="D2561" t="inlineStr">
        <is>
          <t>1</t>
        </is>
      </c>
      <c r="E2561" t="inlineStr">
        <is>
          <t>24</t>
        </is>
      </c>
      <c r="F2561" t="inlineStr">
        <is>
          <t>0</t>
        </is>
      </c>
      <c r="G2561" t="inlineStr">
        <is>
          <t>0</t>
        </is>
      </c>
      <c r="H2561" t="inlineStr">
        <is>
          <t>16¹²</t>
        </is>
      </c>
      <c r="I2561" t="n">
        <v>12</v>
      </c>
      <c r="J2561" t="inlineStr">
        <is>
          <t>4², 8²</t>
        </is>
      </c>
      <c r="K2561">
        <f>HYPERLINK("CSG3.html#group16P3", "16P³"), =HYPERLINK("CSG5.html#group16E5", "16E⁵"), =HYPERLINK("CSG5.html#group16J5", "16J⁵")</f>
        <v/>
      </c>
      <c r="L2561">
        <f>HYPERLINK("CSG21.html#group16E21", "16E²¹"), =HYPERLINK("CSG21.html#group16F21", "16F²¹"), =HYPERLINK("CSG23.html#group32G23", "32G²³")</f>
        <v/>
      </c>
      <c r="M2561">
        <f>HYPERLINK("CSG0.html#group16A0", "16A⁰"), =HYPERLINK("CSG3.html#group16C3", "16C³"), =HYPERLINK("CSG0.html#group8D0", "8D⁰"), =HYPERLINK("CSG0.html#group4C0", "4C⁰"), =HYPERLINK("CSG0.html#group8B0", "8B⁰"), =HYPERLINK("CSG3.html#group16P3", "16P³"), =HYPERLINK("CSG0.html#group8A0", "8A⁰"), =HYPERLINK("CSG1.html#group16B1", "16B¹"), =HYPERLINK("CSG0.html#group2B0", "2B⁰"), =HYPERLINK("CSG3.html#group16G3", "16G³"), =HYPERLINK("CSG0.html#group1A0", "1A⁰"), =HYPERLINK("CSG1.html#group8D1", "8D¹"), =HYPERLINK("CSG0.html#group8K0", "8K⁰"), =HYPERLINK("CSG1.html#group8H1", "8H¹"), =HYPERLINK("CSG2.html#group16A2", "16A²"), =HYPERLINK("CSG0.html#group8H0", "8H⁰"), =HYPERLINK("CSG5.html#group16E5", "16E⁵"), =HYPERLINK("CSG0.html#group4A0", "4A⁰"), =HYPERLINK("CSG0.html#group4F0", "4F⁰"), =HYPERLINK("CSG1.html#group16H1", "16H¹"), =HYPERLINK("CSG5.html#group16J5", "16J⁵")</f>
        <v/>
      </c>
      <c r="N2561">
        <f>HYPERLINK("CSG21.html#group16F21", "16F²¹"), =HYPERLINK("CSG21.html#group16E21", "16E²¹"), =HYPERLINK("CSG23.html#group32G23", "32G²³")</f>
        <v/>
      </c>
    </row>
    <row r="2562">
      <c r="A2562" t="inlineStr">
        <is>
          <t>16C¹¹</t>
        </is>
      </c>
      <c r="B2562" t="inlineStr"/>
      <c r="C2562" t="inlineStr">
        <is>
          <t>192</t>
        </is>
      </c>
      <c r="D2562" t="inlineStr">
        <is>
          <t>1</t>
        </is>
      </c>
      <c r="E2562" t="inlineStr">
        <is>
          <t>24</t>
        </is>
      </c>
      <c r="F2562" t="inlineStr">
        <is>
          <t>0</t>
        </is>
      </c>
      <c r="G2562" t="inlineStr">
        <is>
          <t>0</t>
        </is>
      </c>
      <c r="H2562" t="inlineStr">
        <is>
          <t>16¹²</t>
        </is>
      </c>
      <c r="I2562" t="n">
        <v>12</v>
      </c>
      <c r="J2562" t="inlineStr">
        <is>
          <t>4², 8²</t>
        </is>
      </c>
      <c r="K2562">
        <f>HYPERLINK("CSG3.html#group16Q3", "16Q³"), =HYPERLINK("CSG5.html#group16E5", "16E⁵"), =HYPERLINK("CSG5.html#group16I5", "16I⁵")</f>
        <v/>
      </c>
      <c r="L2562">
        <f>HYPERLINK("CSG21.html#group16E21", "16E²¹"), =HYPERLINK("CSG21.html#group16F21", "16F²¹")</f>
        <v/>
      </c>
      <c r="M2562">
        <f>HYPERLINK("CSG3.html#group16C3", "16C³"), =HYPERLINK("CSG0.html#group8D0", "8D⁰"), =HYPERLINK("CSG0.html#group4C0", "4C⁰"), =HYPERLINK("CSG0.html#group8B0", "8B⁰"), =HYPERLINK("CSG0.html#group8A0", "8A⁰"), =HYPERLINK("CSG1.html#group16B1", "16B¹"), =HYPERLINK("CSG0.html#group2B0", "2B⁰"), =HYPERLINK("CSG0.html#group8K0", "8K⁰"), =HYPERLINK("CSG0.html#group1A0", "1A⁰"), =HYPERLINK("CSG1.html#group8H1", "8H¹"), =HYPERLINK("CSG1.html#group8D1", "8D¹"), =HYPERLINK("CSG2.html#group16A2", "16A²"), =HYPERLINK("CSG0.html#group8H0", "8H⁰"), =HYPERLINK("CSG1.html#group16L1", "16L¹"), =HYPERLINK("CSG0.html#group4A0", "4A⁰"), =HYPERLINK("CSG5.html#group16I5", "16I⁵"), =HYPERLINK("CSG0.html#group4F0", "4F⁰"), =HYPERLINK("CSG3.html#group16Q3", "16Q³"), =HYPERLINK("CSG1.html#group16H1", "16H¹"), =HYPERLINK("CSG5.html#group16E5", "16E⁵"), =HYPERLINK("CSG1.html#group16K1", "16K¹")</f>
        <v/>
      </c>
      <c r="N2562">
        <f>HYPERLINK("CSG21.html#group16F21", "16F²¹"), =HYPERLINK("CSG21.html#group16E21", "16E²¹")</f>
        <v/>
      </c>
    </row>
    <row r="2563">
      <c r="A2563" t="inlineStr">
        <is>
          <t>16D¹¹</t>
        </is>
      </c>
      <c r="B2563" t="inlineStr"/>
      <c r="C2563" t="inlineStr">
        <is>
          <t>192</t>
        </is>
      </c>
      <c r="D2563" t="inlineStr">
        <is>
          <t>1</t>
        </is>
      </c>
      <c r="E2563" t="inlineStr">
        <is>
          <t>48</t>
        </is>
      </c>
      <c r="F2563" t="inlineStr">
        <is>
          <t>0</t>
        </is>
      </c>
      <c r="G2563" t="inlineStr">
        <is>
          <t>0</t>
        </is>
      </c>
      <c r="H2563" t="inlineStr">
        <is>
          <t>16¹²</t>
        </is>
      </c>
      <c r="I2563" t="n">
        <v>12</v>
      </c>
      <c r="J2563" t="inlineStr">
        <is>
          <t>4², 8⁵</t>
        </is>
      </c>
      <c r="K2563">
        <f>HYPERLINK("CSG4.html#group16A4", "16A⁴"), =HYPERLINK("CSG5.html#group16H5", "16H⁵"), =HYPERLINK("CSG6.html#group16B6", "16B⁶")</f>
        <v/>
      </c>
      <c r="L2563">
        <f>HYPERLINK("CSG21.html#group16D21", "16D²¹"), =HYPERLINK("CSG23.html#group32F23", "32F²³")</f>
        <v/>
      </c>
      <c r="M2563">
        <f>HYPERLINK("CSG2.html#group16D2", "16D²"), =HYPERLINK("CSG4.html#group16A4", "16A⁴"), =HYPERLINK("CSG6.html#group16B6", "16B⁶"), =HYPERLINK("CSG1.html#group8A1", "8A¹"), =HYPERLINK("CSG0.html#group16A0", "16A⁰"), =HYPERLINK("CSG5.html#group16H5", "16H⁵"), =HYPERLINK("CSG0.html#group8D0", "8D⁰"), =HYPERLINK("CSG0.html#group4C0", "4C⁰"), =HYPERLINK("CSG2.html#group8B2", "8B²"), =HYPERLINK("CSG0.html#group8A0", "8A⁰"), =HYPERLINK("CSG3.html#group16G3", "16G³"), =HYPERLINK("CSG0.html#group2B0", "2B⁰"), =HYPERLINK("CSG0.html#group1A0", "1A⁰"), =HYPERLINK("CSG0.html#group8K0", "8K⁰"), =HYPERLINK("CSG1.html#group8D1", "8D¹"), =HYPERLINK("CSG0.html#group16E0", "16E⁰"), =HYPERLINK("CSG1.html#group16L1", "16L¹"), =HYPERLINK("CSG1.html#group8C1", "8C¹"), =HYPERLINK("CSG2.html#group16B2", "16B²"), =HYPERLINK("CSG0.html#group4A0", "4A⁰"), =HYPERLINK("CSG1.html#group16C1", "16C¹"), =HYPERLINK("CSG0.html#group4F0", "4F⁰"), =HYPERLINK("CSG1.html#group16K1", "16K¹"), =HYPERLINK("CSG3.html#group16E3", "16E³")</f>
        <v/>
      </c>
      <c r="N2563">
        <f>HYPERLINK("CSG21.html#group16D21", "16D²¹"), =HYPERLINK("CSG23.html#group32F23", "32F²³")</f>
        <v/>
      </c>
    </row>
    <row r="2564">
      <c r="A2564" t="inlineStr">
        <is>
          <t>16E¹¹</t>
        </is>
      </c>
      <c r="B2564" t="inlineStr"/>
      <c r="C2564" t="inlineStr">
        <is>
          <t>256</t>
        </is>
      </c>
      <c r="D2564" t="inlineStr">
        <is>
          <t>2</t>
        </is>
      </c>
      <c r="E2564" t="inlineStr">
        <is>
          <t>128</t>
        </is>
      </c>
      <c r="F2564" t="inlineStr">
        <is>
          <t>8</t>
        </is>
      </c>
      <c r="G2564" t="inlineStr">
        <is>
          <t>4</t>
        </is>
      </c>
      <c r="H2564" t="inlineStr">
        <is>
          <t>16¹⁶</t>
        </is>
      </c>
      <c r="I2564" t="n">
        <v>16</v>
      </c>
      <c r="J2564" t="inlineStr">
        <is>
          <t>8³²</t>
        </is>
      </c>
      <c r="K2564">
        <f>HYPERLINK("CSG2.html#group16H2", "16H²"), =HYPERLINK("CSG5.html#group16L5", "16L⁵")</f>
        <v/>
      </c>
      <c r="L2564" t="inlineStr"/>
      <c r="M2564">
        <f>HYPERLINK("CSG0.html#group8F0", "8F⁰"), =HYPERLINK("CSG0.html#group16A0", "16A⁰"), =HYPERLINK("CSG2.html#group16H2", "16H²"), =HYPERLINK("CSG0.html#group4A0", "4A⁰"), =HYPERLINK("CSG5.html#group16L5", "16L⁵"), =HYPERLINK("CSG0.html#group8A0", "8A⁰"), =HYPERLINK("CSG2.html#group16G2", "16G²"), =HYPERLINK("CSG0.html#group8M0", "8M⁰"), =HYPERLINK("CSG0.html#group1A0", "1A⁰")</f>
        <v/>
      </c>
      <c r="N2564" t="inlineStr"/>
    </row>
    <row r="2565">
      <c r="A2565" t="inlineStr">
        <is>
          <t>18A¹¹</t>
        </is>
      </c>
      <c r="B2565" t="inlineStr"/>
      <c r="C2565" t="inlineStr">
        <is>
          <t>216</t>
        </is>
      </c>
      <c r="D2565" t="inlineStr">
        <is>
          <t>1</t>
        </is>
      </c>
      <c r="E2565" t="inlineStr">
        <is>
          <t>36</t>
        </is>
      </c>
      <c r="F2565" t="inlineStr">
        <is>
          <t>0</t>
        </is>
      </c>
      <c r="G2565" t="inlineStr">
        <is>
          <t>6</t>
        </is>
      </c>
      <c r="H2565" t="inlineStr">
        <is>
          <t>18¹²</t>
        </is>
      </c>
      <c r="I2565" t="n">
        <v>12</v>
      </c>
      <c r="J2565" t="inlineStr">
        <is>
          <t>3², 6⁵</t>
        </is>
      </c>
      <c r="K2565">
        <f>HYPERLINK("CSG2.html#group18J2", "18J²"), =HYPERLINK("CSG2.html#group18N2", "18N²"), =HYPERLINK("CSG3.html#group9A3", "9A³")</f>
        <v/>
      </c>
      <c r="L2565" t="inlineStr"/>
      <c r="M2565">
        <f>HYPERLINK("CSG0.html#group3B0", "3B⁰"), =HYPERLINK("CSG0.html#group2A0", "2A⁰"), =HYPERLINK("CSG0.html#group9J0", "9J⁰"), =HYPERLINK("CSG0.html#group18B0", "18B⁰"), =HYPERLINK("CSG2.html#group18N2", "18N²"), =HYPERLINK("CSG0.html#group6C0", "6C⁰"), =HYPERLINK("CSG3.html#group9A3", "9A³"), =HYPERLINK("CSG2.html#group18J2", "18J²"), =HYPERLINK("CSG0.html#group9C0", "9C⁰"), =HYPERLINK("CSG0.html#group9F0", "9F⁰"), =HYPERLINK("CSG0.html#group1A0", "1A⁰")</f>
        <v/>
      </c>
      <c r="N2565" t="inlineStr"/>
    </row>
    <row r="2566">
      <c r="A2566" t="inlineStr">
        <is>
          <t>18B¹¹</t>
        </is>
      </c>
      <c r="B2566" t="inlineStr"/>
      <c r="C2566" t="inlineStr">
        <is>
          <t>216</t>
        </is>
      </c>
      <c r="D2566" t="inlineStr">
        <is>
          <t>1</t>
        </is>
      </c>
      <c r="E2566" t="inlineStr">
        <is>
          <t>72</t>
        </is>
      </c>
      <c r="F2566" t="inlineStr">
        <is>
          <t>0</t>
        </is>
      </c>
      <c r="G2566" t="inlineStr">
        <is>
          <t>6</t>
        </is>
      </c>
      <c r="H2566" t="inlineStr">
        <is>
          <t>18¹²</t>
        </is>
      </c>
      <c r="I2566" t="n">
        <v>12</v>
      </c>
      <c r="J2566" t="inlineStr">
        <is>
          <t>6¹²</t>
        </is>
      </c>
      <c r="K2566">
        <f>HYPERLINK("CSG2.html#group18N2", "18N²")</f>
        <v/>
      </c>
      <c r="L2566" t="inlineStr"/>
      <c r="M2566">
        <f>HYPERLINK("CSG0.html#group3B0", "3B⁰"), =HYPERLINK("CSG0.html#group2A0", "2A⁰"), =HYPERLINK("CSG0.html#group9J0", "9J⁰"), =HYPERLINK("CSG0.html#group18B0", "18B⁰"), =HYPERLINK("CSG2.html#group18N2", "18N²"), =HYPERLINK("CSG0.html#group6C0", "6C⁰"), =HYPERLINK("CSG0.html#group9C0", "9C⁰"), =HYPERLINK("CSG0.html#group1A0", "1A⁰")</f>
        <v/>
      </c>
      <c r="N2566" t="inlineStr"/>
    </row>
    <row r="2567">
      <c r="A2567" t="inlineStr">
        <is>
          <t>20A¹¹</t>
        </is>
      </c>
      <c r="B2567" t="inlineStr"/>
      <c r="C2567" t="inlineStr">
        <is>
          <t>240</t>
        </is>
      </c>
      <c r="D2567" t="inlineStr">
        <is>
          <t>1</t>
        </is>
      </c>
      <c r="E2567" t="inlineStr">
        <is>
          <t>20</t>
        </is>
      </c>
      <c r="F2567" t="inlineStr">
        <is>
          <t>0</t>
        </is>
      </c>
      <c r="G2567" t="inlineStr">
        <is>
          <t>12</t>
        </is>
      </c>
      <c r="H2567" t="inlineStr">
        <is>
          <t>20¹²</t>
        </is>
      </c>
      <c r="I2567" t="n">
        <v>12</v>
      </c>
      <c r="J2567" t="inlineStr">
        <is>
          <t>4⁵</t>
        </is>
      </c>
      <c r="K2567">
        <f>HYPERLINK("CSG3.html#group10D3", "10D³"), =HYPERLINK("CSG3.html#group20N3", "20N³"), =HYPERLINK("CSG5.html#group20H5", "20H⁵")</f>
        <v/>
      </c>
      <c r="L2567" t="inlineStr"/>
      <c r="M2567">
        <f>HYPERLINK("CSG1.html#group10H1", "10H¹"), =HYPERLINK("CSG0.html#group2A0", "2A⁰"), =HYPERLINK("CSG5.html#group20H5", "20H⁵"), =HYPERLINK("CSG1.html#group10J1", "10J¹"), =HYPERLINK("CSG0.html#group5A0", "5A⁰"), =HYPERLINK("CSG0.html#group10A0", "10A⁰"), =HYPERLINK("CSG3.html#group10D3", "10D³"), =HYPERLINK("CSG0.html#group10E0", "10E⁰"), =HYPERLINK("CSG0.html#group10D0", "10D⁰"), =HYPERLINK("CSG0.html#group5C0", "5C⁰"), =HYPERLINK("CSG0.html#group5F0", "5F⁰"), =HYPERLINK("CSG3.html#group20N3", "20N³"), =HYPERLINK("CSG1.html#group10C1", "10C¹"), =HYPERLINK("CSG0.html#group1A0", "1A⁰"), =HYPERLINK("CSG1.html#group20F1", "20F¹")</f>
        <v/>
      </c>
      <c r="N2567" t="inlineStr"/>
    </row>
    <row r="2568">
      <c r="A2568" t="inlineStr">
        <is>
          <t>20B¹¹</t>
        </is>
      </c>
      <c r="B2568" t="inlineStr"/>
      <c r="C2568" t="inlineStr">
        <is>
          <t>240</t>
        </is>
      </c>
      <c r="D2568" t="inlineStr">
        <is>
          <t>1</t>
        </is>
      </c>
      <c r="E2568" t="inlineStr">
        <is>
          <t>30</t>
        </is>
      </c>
      <c r="F2568" t="inlineStr">
        <is>
          <t>0</t>
        </is>
      </c>
      <c r="G2568" t="inlineStr">
        <is>
          <t>0</t>
        </is>
      </c>
      <c r="H2568" t="inlineStr">
        <is>
          <t>10¹⁶, 20⁴</t>
        </is>
      </c>
      <c r="I2568" t="n">
        <v>20</v>
      </c>
      <c r="J2568" t="inlineStr">
        <is>
          <t>2³, 4⁶</t>
        </is>
      </c>
      <c r="K2568">
        <f>HYPERLINK("CSG5.html#group10B5", "10B⁵"), =HYPERLINK("CSG5.html#group20G5", "20G⁵")</f>
        <v/>
      </c>
      <c r="L2568" t="inlineStr"/>
      <c r="M2568">
        <f>HYPERLINK("CSG1.html#group10H1", "10H¹"), =HYPERLINK("CSG0.html#group2A0", "2A⁰"), =HYPERLINK("CSG0.html#group5A0", "5A⁰"), =HYPERLINK("CSG0.html#group10D0", "10D⁰"), =HYPERLINK("CSG1.html#group10B1", "10B¹"), =HYPERLINK("CSG0.html#group5F0", "5F⁰"), =HYPERLINK("CSG3.html#group10A3", "10A³"), =HYPERLINK("CSG0.html#group2B0", "2B⁰"), =HYPERLINK("CSG2.html#group10B2", "10B²"), =HYPERLINK("CSG0.html#group1A0", "1A⁰"), =HYPERLINK("CSG2.html#group10D2", "10D²"), =HYPERLINK("CSG1.html#group10F1", "10F¹"), =HYPERLINK("CSG5.html#group10B5", "10B⁵"), =HYPERLINK("CSG0.html#group10A0", "10A⁰"), =HYPERLINK("CSG2.html#group10E2", "10E²"), =HYPERLINK("CSG5.html#group20G5", "20G⁵"), =HYPERLINK("CSG1.html#group10C1", "10C¹"), =HYPERLINK("CSG0.html#group5C0", "5C⁰"), =HYPERLINK("CSG0.html#group2C0", "2C⁰")</f>
        <v/>
      </c>
      <c r="N2568" t="inlineStr"/>
    </row>
    <row r="2569">
      <c r="A2569" t="inlineStr">
        <is>
          <t>20C¹¹</t>
        </is>
      </c>
      <c r="B2569" t="inlineStr"/>
      <c r="C2569" t="inlineStr">
        <is>
          <t>240</t>
        </is>
      </c>
      <c r="D2569" t="inlineStr">
        <is>
          <t>1</t>
        </is>
      </c>
      <c r="E2569" t="inlineStr">
        <is>
          <t>60</t>
        </is>
      </c>
      <c r="F2569" t="inlineStr">
        <is>
          <t>0</t>
        </is>
      </c>
      <c r="G2569" t="inlineStr">
        <is>
          <t>0</t>
        </is>
      </c>
      <c r="H2569" t="inlineStr">
        <is>
          <t>5⁸, 10⁴, 20⁸</t>
        </is>
      </c>
      <c r="I2569" t="n">
        <v>20</v>
      </c>
      <c r="J2569" t="inlineStr">
        <is>
          <t>2⁴, 4⁹, 8²</t>
        </is>
      </c>
      <c r="K2569">
        <f>HYPERLINK("CSG5.html#group20E5", "20E⁵")</f>
        <v/>
      </c>
      <c r="L2569" t="inlineStr"/>
      <c r="M2569">
        <f>HYPERLINK("CSG2.html#group20A2", "20A²"), =HYPERLINK("CSG0.html#group5A0", "5A⁰"), =HYPERLINK("CSG5.html#group20E5", "20E⁵"), =HYPERLINK("CSG3.html#group20E3", "20E³"), =HYPERLINK("CSG1.html#group10B1", "10B¹"), =HYPERLINK("CSG2.html#group10D2", "10D²"), =HYPERLINK("CSG0.html#group5F0", "5F⁰"), =HYPERLINK("CSG0.html#group1A0", "1A⁰"), =HYPERLINK("CSG0.html#group2B0", "2B⁰"), =HYPERLINK("CSG2.html#group20F2", "20F²"), =HYPERLINK("CSG0.html#group4B0", "4B⁰"), =HYPERLINK("CSG0.html#group5C0", "5C⁰"), =HYPERLINK("CSG1.html#group10F1", "10F¹")</f>
        <v/>
      </c>
      <c r="N2569" t="inlineStr"/>
    </row>
    <row r="2570">
      <c r="A2570" t="inlineStr">
        <is>
          <t>20D¹¹</t>
        </is>
      </c>
      <c r="B2570" t="inlineStr"/>
      <c r="C2570" t="inlineStr">
        <is>
          <t>240</t>
        </is>
      </c>
      <c r="D2570" t="inlineStr">
        <is>
          <t>1</t>
        </is>
      </c>
      <c r="E2570" t="inlineStr">
        <is>
          <t>60</t>
        </is>
      </c>
      <c r="F2570" t="inlineStr">
        <is>
          <t>8</t>
        </is>
      </c>
      <c r="G2570" t="inlineStr">
        <is>
          <t>0</t>
        </is>
      </c>
      <c r="H2570" t="inlineStr">
        <is>
          <t>10⁸, 20⁸</t>
        </is>
      </c>
      <c r="I2570" t="n">
        <v>16</v>
      </c>
      <c r="J2570" t="inlineStr">
        <is>
          <t>2⁴, 4⁹, 8²</t>
        </is>
      </c>
      <c r="K2570">
        <f>HYPERLINK("CSG5.html#group20F5", "20F⁵")</f>
        <v/>
      </c>
      <c r="L2570" t="inlineStr"/>
      <c r="M2570">
        <f>HYPERLINK("CSG2.html#group10E2", "10E²"), =HYPERLINK("CSG5.html#group20F5", "20F⁵"), =HYPERLINK("CSG0.html#group10D0", "10D⁰"), =HYPERLINK("CSG0.html#group4C0", "4C⁰"), =HYPERLINK("CSG0.html#group5C0", "5C⁰"), =HYPERLINK("CSG0.html#group2B0", "2B⁰"), =HYPERLINK("CSG2.html#group20F2", "20F²"), =HYPERLINK("CSG0.html#group1A0", "1A⁰"), =HYPERLINK("CSG3.html#group20F3", "20F³"), =HYPERLINK("CSG1.html#group10F1", "10F¹")</f>
        <v/>
      </c>
      <c r="N2570" t="inlineStr"/>
    </row>
    <row r="2571">
      <c r="A2571" t="inlineStr">
        <is>
          <t>20E¹¹</t>
        </is>
      </c>
      <c r="B2571" t="inlineStr"/>
      <c r="C2571" t="inlineStr">
        <is>
          <t>288</t>
        </is>
      </c>
      <c r="D2571" t="inlineStr">
        <is>
          <t>2</t>
        </is>
      </c>
      <c r="E2571" t="inlineStr">
        <is>
          <t>36</t>
        </is>
      </c>
      <c r="F2571" t="inlineStr">
        <is>
          <t>8</t>
        </is>
      </c>
      <c r="G2571" t="inlineStr">
        <is>
          <t>0</t>
        </is>
      </c>
      <c r="H2571" t="inlineStr">
        <is>
          <t>4¹², 20¹²</t>
        </is>
      </c>
      <c r="I2571" t="n">
        <v>24</v>
      </c>
      <c r="J2571" t="inlineStr">
        <is>
          <t>2¹², 8⁶</t>
        </is>
      </c>
      <c r="K2571">
        <f>HYPERLINK("CSG3.html#group20Q3", "20Q³"), =HYPERLINK("CSG3.html#group20T3", "20T³"), =HYPERLINK("CSG5.html#group20J5", "20J⁵"), =HYPERLINK("CSG5.html#group20K5", "20K⁵")</f>
        <v/>
      </c>
      <c r="L2571" t="inlineStr"/>
      <c r="M2571">
        <f>HYPERLINK("CSG1.html#group20E1", "20E¹"), =HYPERLINK("CSG1.html#group20C1", "20C¹"), =HYPERLINK("CSG3.html#group20M3", "20M³"), =HYPERLINK("CSG0.html#group10G0", "10G⁰"), =HYPERLINK("CSG5.html#group20J5", "20J⁵"), =HYPERLINK("CSG0.html#group4C0", "4C⁰"), =HYPERLINK("CSG0.html#group5B0", "5B⁰"), =HYPERLINK("CSG0.html#group2B0", "2B⁰"), =HYPERLINK("CSG3.html#group20K3", "20K³"), =HYPERLINK("CSG0.html#group1A0", "1A⁰"), =HYPERLINK("CSG1.html#group20J1", "20J¹"), =HYPERLINK("CSG1.html#group20B1", "20B¹"), =HYPERLINK("CSG3.html#group20T3", "20T³"), =HYPERLINK("CSG0.html#group10B0", "10B⁰"), =HYPERLINK("CSG0.html#group20A0", "20A⁰"), =HYPERLINK("CSG5.html#group20K5", "20K⁵"), =HYPERLINK("CSG1.html#group20I1", "20I¹"), =HYPERLINK("CSG0.html#group4A0", "4A⁰"), =HYPERLINK("CSG1.html#group20G1", "20G¹"), =HYPERLINK("CSG0.html#group10C0", "10C⁰"), =HYPERLINK("CSG0.html#group4F0", "4F⁰"), =HYPERLINK("CSG3.html#group20L3", "20L³"), =HYPERLINK("CSG3.html#group20Q3", "20Q³")</f>
        <v/>
      </c>
      <c r="N2571" t="inlineStr"/>
    </row>
    <row r="2572">
      <c r="A2572" t="inlineStr">
        <is>
          <t>21A¹¹</t>
        </is>
      </c>
      <c r="B2572" t="inlineStr"/>
      <c r="C2572" t="inlineStr">
        <is>
          <t>168</t>
        </is>
      </c>
      <c r="D2572" t="inlineStr">
        <is>
          <t>1</t>
        </is>
      </c>
      <c r="E2572" t="inlineStr">
        <is>
          <t>28</t>
        </is>
      </c>
      <c r="F2572" t="inlineStr">
        <is>
          <t>0</t>
        </is>
      </c>
      <c r="G2572" t="inlineStr">
        <is>
          <t>0</t>
        </is>
      </c>
      <c r="H2572" t="inlineStr">
        <is>
          <t>21⁸</t>
        </is>
      </c>
      <c r="I2572" t="n">
        <v>8</v>
      </c>
      <c r="J2572" t="inlineStr">
        <is>
          <t>1¹, 3¹, 6⁴</t>
        </is>
      </c>
      <c r="K2572">
        <f>HYPERLINK("CSG1.html#group7B1", "7B¹"), =HYPERLINK("CSG2.html#group21A2", "21A²"), =HYPERLINK("CSG2.html#group21C2", "21C²"), =HYPERLINK("CSG3.html#group21C3", "21C³")</f>
        <v/>
      </c>
      <c r="L2572">
        <f>HYPERLINK("CSG21.html#group21B21", "21B²¹")</f>
        <v/>
      </c>
      <c r="M2572">
        <f>HYPERLINK("CSG2.html#group21A2", "21A²"), =HYPERLINK("CSG0.html#group7B0", "7B⁰"), =HYPERLINK("CSG0.html#group7C0", "7C⁰"), =HYPERLINK("CSG2.html#group21C2", "21C²"), =HYPERLINK("CSG0.html#group21A0", "21A⁰"), =HYPERLINK("CSG0.html#group7F0", "7F⁰"), =HYPERLINK("CSG0.html#group3A0", "3A⁰"), =HYPERLINK("CSG0.html#group1A0", "1A⁰"), =HYPERLINK("CSG3.html#group21C3", "21C³"), =HYPERLINK("CSG1.html#group7B1", "7B¹"), =HYPERLINK("CSG0.html#group7A0", "7A⁰")</f>
        <v/>
      </c>
      <c r="N2572">
        <f>HYPERLINK("CSG21.html#group21B21", "21B²¹")</f>
        <v/>
      </c>
    </row>
    <row r="2573">
      <c r="A2573" t="inlineStr">
        <is>
          <t>21B¹¹</t>
        </is>
      </c>
      <c r="B2573" t="inlineStr"/>
      <c r="C2573" t="inlineStr">
        <is>
          <t>168</t>
        </is>
      </c>
      <c r="D2573" t="inlineStr">
        <is>
          <t>2</t>
        </is>
      </c>
      <c r="E2573" t="inlineStr">
        <is>
          <t>7</t>
        </is>
      </c>
      <c r="F2573" t="inlineStr">
        <is>
          <t>0</t>
        </is>
      </c>
      <c r="G2573" t="inlineStr">
        <is>
          <t>0</t>
        </is>
      </c>
      <c r="H2573" t="inlineStr">
        <is>
          <t>21⁸</t>
        </is>
      </c>
      <c r="I2573" t="n">
        <v>8</v>
      </c>
      <c r="J2573" t="inlineStr">
        <is>
          <t>2¹, 6²</t>
        </is>
      </c>
      <c r="K2573">
        <f>HYPERLINK("CSG3.html#group21B3", "21B³"), =HYPERLINK("CSG4.html#group21B4", "21B⁴"), =HYPERLINK("CSG5.html#group21B5", "21B⁵"), =HYPERLINK("CSG6.html#group21A6", "21A⁶")</f>
        <v/>
      </c>
      <c r="L2573" t="inlineStr"/>
      <c r="M2573">
        <f>HYPERLINK("CSG3.html#group21B3", "21B³"), =HYPERLINK("CSG0.html#group3B0", "3B⁰"), =HYPERLINK("CSG2.html#group21D2", "21D²"), =HYPERLINK("CSG5.html#group21B5", "21B⁵"), =HYPERLINK("CSG1.html#group21D1", "21D¹"), =HYPERLINK("CSG2.html#group21C2", "21C²"), =HYPERLINK("CSG0.html#group21A0", "21A⁰"), =HYPERLINK("CSG0.html#group1A0", "1A⁰"), =HYPERLINK("CSG6.html#group21A6", "21A⁶"), =HYPERLINK("CSG2.html#group21B2", "21B²"), =HYPERLINK("CSG0.html#group7C0", "7C⁰"), =HYPERLINK("CSG0.html#group3C0", "3C⁰"), =HYPERLINK("CSG4.html#group21B4", "21B⁴"), =HYPERLINK("CSG0.html#group3A0", "3A⁰"), =HYPERLINK("CSG0.html#group3D0", "3D⁰"), =HYPERLINK("CSG0.html#group7A0", "7A⁰")</f>
        <v/>
      </c>
      <c r="N2573" t="inlineStr"/>
    </row>
    <row r="2574">
      <c r="A2574" t="inlineStr">
        <is>
          <t>21C¹¹</t>
        </is>
      </c>
      <c r="B2574" t="inlineStr"/>
      <c r="C2574" t="inlineStr">
        <is>
          <t>224</t>
        </is>
      </c>
      <c r="D2574" t="inlineStr">
        <is>
          <t>1</t>
        </is>
      </c>
      <c r="E2574" t="inlineStr">
        <is>
          <t>112</t>
        </is>
      </c>
      <c r="F2574" t="inlineStr">
        <is>
          <t>0</t>
        </is>
      </c>
      <c r="G2574" t="inlineStr">
        <is>
          <t>2</t>
        </is>
      </c>
      <c r="H2574" t="inlineStr">
        <is>
          <t>7⁸, 21⁸</t>
        </is>
      </c>
      <c r="I2574" t="n">
        <v>16</v>
      </c>
      <c r="J2574" t="inlineStr">
        <is>
          <t>1², 2¹, 3², 6⁹, 12⁴</t>
        </is>
      </c>
      <c r="K2574">
        <f>HYPERLINK("CSG1.html#group7B1", "7B¹"), =HYPERLINK("CSG1.html#group21B1", "21B¹"), =HYPERLINK("CSG3.html#group21B3", "21B³"), =HYPERLINK("CSG6.html#group21B6", "21B⁶")</f>
        <v/>
      </c>
      <c r="L2574">
        <f>HYPERLINK("CSG21.html#group21C21", "21C²¹")</f>
        <v/>
      </c>
      <c r="M2574">
        <f>HYPERLINK("CSG3.html#group21B3", "21B³"), =HYPERLINK("CSG0.html#group3B0", "3B⁰"), =HYPERLINK("CSG2.html#group21B2", "21B²"), =HYPERLINK("CSG1.html#group21B1", "21B¹"), =HYPERLINK("CSG0.html#group7B0", "7B⁰"), =HYPERLINK("CSG0.html#group7C0", "7C⁰"), =HYPERLINK("CSG0.html#group7F0", "7F⁰"), =HYPERLINK("CSG0.html#group1A0", "1A⁰"), =HYPERLINK("CSG6.html#group21B6", "21B⁶"), =HYPERLINK("CSG1.html#group7B1", "7B¹"), =HYPERLINK("CSG0.html#group7A0", "7A⁰")</f>
        <v/>
      </c>
      <c r="N2574">
        <f>HYPERLINK("CSG21.html#group21C21", "21C²¹")</f>
        <v/>
      </c>
    </row>
    <row r="2575">
      <c r="A2575" t="inlineStr">
        <is>
          <t>21D¹¹</t>
        </is>
      </c>
      <c r="B2575" t="inlineStr"/>
      <c r="C2575" t="inlineStr">
        <is>
          <t>252</t>
        </is>
      </c>
      <c r="D2575" t="inlineStr">
        <is>
          <t>2</t>
        </is>
      </c>
      <c r="E2575" t="inlineStr">
        <is>
          <t>63</t>
        </is>
      </c>
      <c r="F2575" t="inlineStr">
        <is>
          <t>20</t>
        </is>
      </c>
      <c r="G2575" t="inlineStr">
        <is>
          <t>0</t>
        </is>
      </c>
      <c r="H2575" t="inlineStr">
        <is>
          <t>21¹²</t>
        </is>
      </c>
      <c r="I2575" t="n">
        <v>12</v>
      </c>
      <c r="J2575" t="inlineStr">
        <is>
          <t>6⁷, 12⁷</t>
        </is>
      </c>
      <c r="K2575">
        <f>HYPERLINK("CSG4.html#group21D4", "21D⁴"), =HYPERLINK("CSG4.html#group21E4", "21E⁴"), =HYPERLINK("CSG5.html#group21D5", "21D⁵")</f>
        <v/>
      </c>
      <c r="L2575" t="inlineStr"/>
      <c r="M2575">
        <f>HYPERLINK("CSG5.html#group21D5", "21D⁵"), =HYPERLINK("CSG4.html#group21D4", "21D⁴"), =HYPERLINK("CSG0.html#group7D0", "7D⁰"), =HYPERLINK("CSG1.html#group21E1", "21E¹"), =HYPERLINK("CSG1.html#group21D1", "21D¹"), =HYPERLINK("CSG0.html#group7C0", "7C⁰"), =HYPERLINK("CSG1.html#group21C1", "21C¹"), =HYPERLINK("CSG2.html#group21C2", "21C²"), =HYPERLINK("CSG0.html#group21A0", "21A⁰"), =HYPERLINK("CSG0.html#group7G0", "7G⁰"), =HYPERLINK("CSG0.html#group3A0", "3A⁰"), =HYPERLINK("CSG0.html#group1A0", "1A⁰"), =HYPERLINK("CSG4.html#group21E4", "21E⁴"), =HYPERLINK("CSG0.html#group7A0", "7A⁰")</f>
        <v/>
      </c>
      <c r="N2575" t="inlineStr"/>
    </row>
    <row r="2576">
      <c r="A2576" t="inlineStr">
        <is>
          <t>24A¹¹</t>
        </is>
      </c>
      <c r="B2576" t="inlineStr"/>
      <c r="C2576" t="inlineStr">
        <is>
          <t>192</t>
        </is>
      </c>
      <c r="D2576" t="inlineStr">
        <is>
          <t>1</t>
        </is>
      </c>
      <c r="E2576" t="inlineStr">
        <is>
          <t>4</t>
        </is>
      </c>
      <c r="F2576" t="inlineStr">
        <is>
          <t>0</t>
        </is>
      </c>
      <c r="G2576" t="inlineStr">
        <is>
          <t>0</t>
        </is>
      </c>
      <c r="H2576" t="inlineStr">
        <is>
          <t>8⁶, 24⁶</t>
        </is>
      </c>
      <c r="I2576" t="n">
        <v>12</v>
      </c>
      <c r="J2576" t="inlineStr">
        <is>
          <t>1², 2¹</t>
        </is>
      </c>
      <c r="K2576">
        <f>HYPERLINK("CSG3.html#group12K3", "12K³"), =HYPERLINK("CSG3.html#group24F3", "24F³")</f>
        <v/>
      </c>
      <c r="L2576">
        <f>HYPERLINK("CSG21.html#group24B21", "24B²¹"), =HYPERLINK("CSG21.html#group24E21", "24E²¹"), =HYPERLINK("CSG21.html#group24D21", "24D²¹")</f>
        <v/>
      </c>
      <c r="M2576">
        <f>HYPERLINK("CSG0.html#group2A0", "2A⁰"), =HYPERLINK("CSG0.html#group3B0", "3B⁰"), =HYPERLINK("CSG1.html#group12I1", "12I¹"), =HYPERLINK("CSG1.html#group12F1", "12F¹"), =HYPERLINK("CSG0.html#group6I0", "6I⁰"), =HYPERLINK("CSG0.html#group4C0", "4C⁰"), =HYPERLINK("CSG0.html#group6C0", "6C⁰"), =HYPERLINK("CSG0.html#group4G0", "4G⁰"), =HYPERLINK("CSG0.html#group2B0", "2B⁰"), =HYPERLINK("CSG0.html#group4E0", "4E⁰"), =HYPERLINK("CSG1.html#group12P1", "12P¹"), =HYPERLINK("CSG0.html#group4B0", "4B⁰"), =HYPERLINK("CSG0.html#group1A0", "1A⁰"), =HYPERLINK("CSG3.html#group24F3", "24F³"), =HYPERLINK("CSG0.html#group4A0", "4A⁰"), =HYPERLINK("CSG0.html#group4D0", "4D⁰"), =HYPERLINK("CSG1.html#group12A1", "12A¹"), =HYPERLINK("CSG2.html#group12G2", "12G²"), =HYPERLINK("CSG3.html#group12K3", "12K³"), =HYPERLINK("CSG0.html#group4F0", "4F⁰"), =HYPERLINK("CSG0.html#group6F0", "6F⁰"), =HYPERLINK("CSG0.html#group2C0", "2C⁰"), =HYPERLINK("CSG0.html#group12E0", "12E⁰")</f>
        <v/>
      </c>
      <c r="N2576">
        <f>HYPERLINK("CSG21.html#group24B21", "24B²¹"), =HYPERLINK("CSG21.html#group24E21", "24E²¹"), =HYPERLINK("CSG21.html#group24D21", "24D²¹")</f>
        <v/>
      </c>
    </row>
    <row r="2577">
      <c r="A2577" t="inlineStr">
        <is>
          <t>24B¹¹</t>
        </is>
      </c>
      <c r="B2577" t="inlineStr"/>
      <c r="C2577" t="inlineStr">
        <is>
          <t>192</t>
        </is>
      </c>
      <c r="D2577" t="inlineStr">
        <is>
          <t>1</t>
        </is>
      </c>
      <c r="E2577" t="inlineStr">
        <is>
          <t>4</t>
        </is>
      </c>
      <c r="F2577" t="inlineStr">
        <is>
          <t>0</t>
        </is>
      </c>
      <c r="G2577" t="inlineStr">
        <is>
          <t>0</t>
        </is>
      </c>
      <c r="H2577" t="inlineStr">
        <is>
          <t>8⁶, 24⁶</t>
        </is>
      </c>
      <c r="I2577" t="n">
        <v>12</v>
      </c>
      <c r="J2577" t="inlineStr">
        <is>
          <t>1², 2¹</t>
        </is>
      </c>
      <c r="K2577">
        <f>HYPERLINK("CSG2.html#group8A2", "8A²"), =HYPERLINK("CSG3.html#group12K3", "12K³"), =HYPERLINK("CSG3.html#group24G3", "24G³"), =HYPERLINK("CSG6.html#group24B6", "24B⁶")</f>
        <v/>
      </c>
      <c r="L2577">
        <f>HYPERLINK("CSG21.html#group24B21", "24B²¹"), =HYPERLINK("CSG21.html#group24C21", "24C²¹"), =HYPERLINK("CSG21.html#group24G21", "24G²¹")</f>
        <v/>
      </c>
      <c r="M2577">
        <f>HYPERLINK("CSG0.html#group2A0", "2A⁰"), =HYPERLINK("CSG2.html#group24A2", "24A²"), =HYPERLINK("CSG0.html#group4C0", "4C⁰"), =HYPERLINK("CSG0.html#group8A0", "8A⁰"), =HYPERLINK("CSG0.html#group4G0", "4G⁰"), =HYPERLINK("CSG0.html#group2B0", "2B⁰"), =HYPERLINK("CSG0.html#group4E0", "4E⁰"), =HYPERLINK("CSG0.html#group4B0", "4B⁰"), =HYPERLINK("CSG0.html#group1A0", "1A⁰"), =HYPERLINK("CSG0.html#group4D0", "4D⁰"), =HYPERLINK("CSG1.html#group12A1", "12A¹"), =HYPERLINK("CSG6.html#group24B6", "24B⁶"), =HYPERLINK("CSG0.html#group6F0", "6F⁰"), =HYPERLINK("CSG0.html#group3B0", "3B⁰"), =HYPERLINK("CSG1.html#group12I1", "12I¹"), =HYPERLINK("CSG1.html#group12F1", "12F¹"), =HYPERLINK("CSG0.html#group6I0", "6I⁰"), =HYPERLINK("CSG0.html#group6C0", "6C⁰"), =HYPERLINK("CSG0.html#group8E0", "8E⁰"), =HYPERLINK("CSG3.html#group24G3", "24G³"), =HYPERLINK("CSG1.html#group12P1", "12P¹"), =HYPERLINK("CSG1.html#group8D1", "8D¹"), =HYPERLINK("CSG2.html#group8A2", "8A²"), =HYPERLINK("CSG0.html#group4A0", "4A⁰"), =HYPERLINK("CSG2.html#group12G2", "12G²"), =HYPERLINK("CSG3.html#group12K3", "12K³"), =HYPERLINK("CSG0.html#group4F0", "4F⁰"), =HYPERLINK("CSG0.html#group2C0", "2C⁰"), =HYPERLINK("CSG0.html#group12E0", "12E⁰")</f>
        <v/>
      </c>
      <c r="N2577">
        <f>HYPERLINK("CSG21.html#group24B21", "24B²¹"), =HYPERLINK("CSG21.html#group24C21", "24C²¹"), =HYPERLINK("CSG21.html#group24G21", "24G²¹")</f>
        <v/>
      </c>
    </row>
    <row r="2578">
      <c r="A2578" t="inlineStr">
        <is>
          <t>24C¹¹</t>
        </is>
      </c>
      <c r="B2578" t="inlineStr"/>
      <c r="C2578" t="inlineStr">
        <is>
          <t>192</t>
        </is>
      </c>
      <c r="D2578" t="inlineStr">
        <is>
          <t>1</t>
        </is>
      </c>
      <c r="E2578" t="inlineStr">
        <is>
          <t>32</t>
        </is>
      </c>
      <c r="F2578" t="inlineStr">
        <is>
          <t>0</t>
        </is>
      </c>
      <c r="G2578" t="inlineStr">
        <is>
          <t>6</t>
        </is>
      </c>
      <c r="H2578" t="inlineStr">
        <is>
          <t>24⁸</t>
        </is>
      </c>
      <c r="I2578" t="n">
        <v>8</v>
      </c>
      <c r="J2578" t="inlineStr">
        <is>
          <t>8⁴</t>
        </is>
      </c>
      <c r="K2578">
        <f>HYPERLINK("CSG1.html#group8J1", "8J¹"), =HYPERLINK("CSG2.html#group24E2", "24E²"), =HYPERLINK("CSG6.html#group24A6", "24A⁶")</f>
        <v/>
      </c>
      <c r="L2578" t="inlineStr"/>
      <c r="M2578">
        <f>HYPERLINK("CSG0.html#group2A0", "2A⁰"), =HYPERLINK("CSG0.html#group8F0", "8F⁰"), =HYPERLINK("CSG0.html#group6A0", "6A⁰"), =HYPERLINK("CSG2.html#group24E2", "24E²"), =HYPERLINK("CSG0.html#group4A0", "4A⁰"), =HYPERLINK("CSG6.html#group24A6", "24A⁶"), =HYPERLINK("CSG0.html#group4D0", "4D⁰"), =HYPERLINK("CSG1.html#group12E1", "12E¹"), =HYPERLINK("CSG0.html#group8A0", "8A⁰"), =HYPERLINK("CSG0.html#group8E0", "8E⁰"), =HYPERLINK("CSG1.html#group8E1", "8E¹"), =HYPERLINK("CSG0.html#group8M0", "8M⁰"), =HYPERLINK("CSG1.html#group8J1", "8J¹"), =HYPERLINK("CSG0.html#group1A0", "1A⁰")</f>
        <v/>
      </c>
      <c r="N2578" t="inlineStr"/>
    </row>
    <row r="2579">
      <c r="A2579" t="inlineStr">
        <is>
          <t>24D¹¹</t>
        </is>
      </c>
      <c r="B2579" t="inlineStr"/>
      <c r="C2579" t="inlineStr">
        <is>
          <t>192</t>
        </is>
      </c>
      <c r="D2579" t="inlineStr">
        <is>
          <t>1</t>
        </is>
      </c>
      <c r="E2579" t="inlineStr">
        <is>
          <t>32</t>
        </is>
      </c>
      <c r="F2579" t="inlineStr">
        <is>
          <t>0</t>
        </is>
      </c>
      <c r="G2579" t="inlineStr">
        <is>
          <t>6</t>
        </is>
      </c>
      <c r="H2579" t="inlineStr">
        <is>
          <t>24⁸</t>
        </is>
      </c>
      <c r="I2579" t="n">
        <v>8</v>
      </c>
      <c r="J2579" t="inlineStr">
        <is>
          <t>4⁸</t>
        </is>
      </c>
      <c r="K2579">
        <f>HYPERLINK("CSG2.html#group24E2", "24E²"), =HYPERLINK("CSG3.html#group24G3", "24G³"), =HYPERLINK("CSG4.html#group12D4", "12D⁴")</f>
        <v/>
      </c>
      <c r="L2579">
        <f>HYPERLINK("CSG21.html#group24H21", "24H²¹")</f>
        <v/>
      </c>
      <c r="M2579">
        <f>HYPERLINK("CSG0.html#group2A0", "2A⁰"), =HYPERLINK("CSG0.html#group3B0", "3B⁰"), =HYPERLINK("CSG1.html#group12I1", "12I¹"), =HYPERLINK("CSG1.html#group12H1", "12H¹"), =HYPERLINK("CSG2.html#group24A2", "24A²"), =HYPERLINK("CSG2.html#group24E2", "24E²"), =HYPERLINK("CSG0.html#group6C0", "6C⁰"), =HYPERLINK("CSG1.html#group12E1", "12E¹"), =HYPERLINK("CSG0.html#group8A0", "8A⁰"), =HYPERLINK("CSG0.html#group8E0", "8E⁰"), =HYPERLINK("CSG3.html#group24G3", "24G³"), =HYPERLINK("CSG0.html#group1A0", "1A⁰"), =HYPERLINK("CSG4.html#group12D4", "12D⁴"), =HYPERLINK("CSG0.html#group6A0", "6A⁰"), =HYPERLINK("CSG0.html#group4A0", "4A⁰"), =HYPERLINK("CSG0.html#group4D0", "4D⁰"), =HYPERLINK("CSG1.html#group12A1", "12A¹"), =HYPERLINK("CSG0.html#group6J0", "6J⁰")</f>
        <v/>
      </c>
      <c r="N2579">
        <f>HYPERLINK("CSG21.html#group24H21", "24H²¹")</f>
        <v/>
      </c>
    </row>
    <row r="2580">
      <c r="A2580" t="inlineStr">
        <is>
          <t>24E¹¹</t>
        </is>
      </c>
      <c r="B2580" t="inlineStr"/>
      <c r="C2580" t="inlineStr">
        <is>
          <t>192</t>
        </is>
      </c>
      <c r="D2580" t="inlineStr">
        <is>
          <t>1</t>
        </is>
      </c>
      <c r="E2580" t="inlineStr">
        <is>
          <t>32</t>
        </is>
      </c>
      <c r="F2580" t="inlineStr">
        <is>
          <t>0</t>
        </is>
      </c>
      <c r="G2580" t="inlineStr">
        <is>
          <t>6</t>
        </is>
      </c>
      <c r="H2580" t="inlineStr">
        <is>
          <t>24⁸</t>
        </is>
      </c>
      <c r="I2580" t="n">
        <v>8</v>
      </c>
      <c r="J2580" t="inlineStr">
        <is>
          <t>4⁸</t>
        </is>
      </c>
      <c r="K2580">
        <f>HYPERLINK("CSG2.html#group24J2", "24J²"), =HYPERLINK("CSG3.html#group24F3", "24F³"), =HYPERLINK("CSG4.html#group12D4", "12D⁴")</f>
        <v/>
      </c>
      <c r="L2580">
        <f>HYPERLINK("CSG21.html#group24H21", "24H²¹")</f>
        <v/>
      </c>
      <c r="M2580">
        <f>HYPERLINK("CSG0.html#group2A0", "2A⁰"), =HYPERLINK("CSG0.html#group3B0", "3B⁰"), =HYPERLINK("CSG1.html#group12H1", "12H¹"), =HYPERLINK("CSG1.html#group12I1", "12I¹"), =HYPERLINK("CSG0.html#group6C0", "6C⁰"), =HYPERLINK("CSG1.html#group12E1", "12E¹"), =HYPERLINK("CSG0.html#group1A0", "1A⁰"), =HYPERLINK("CSG3.html#group24F3", "24F³"), =HYPERLINK("CSG4.html#group12D4", "12D⁴"), =HYPERLINK("CSG0.html#group6A0", "6A⁰"), =HYPERLINK("CSG0.html#group4A0", "4A⁰"), =HYPERLINK("CSG0.html#group4D0", "4D⁰"), =HYPERLINK("CSG1.html#group12A1", "12A¹"), =HYPERLINK("CSG0.html#group6J0", "6J⁰"), =HYPERLINK("CSG2.html#group24J2", "24J²")</f>
        <v/>
      </c>
      <c r="N2580">
        <f>HYPERLINK("CSG21.html#group24H21", "24H²¹")</f>
        <v/>
      </c>
    </row>
    <row r="2581">
      <c r="A2581" t="inlineStr">
        <is>
          <t>24F¹¹</t>
        </is>
      </c>
      <c r="B2581" t="inlineStr"/>
      <c r="C2581" t="inlineStr">
        <is>
          <t>192</t>
        </is>
      </c>
      <c r="D2581" t="inlineStr">
        <is>
          <t>1</t>
        </is>
      </c>
      <c r="E2581" t="inlineStr">
        <is>
          <t>48</t>
        </is>
      </c>
      <c r="F2581" t="inlineStr">
        <is>
          <t>0</t>
        </is>
      </c>
      <c r="G2581" t="inlineStr">
        <is>
          <t>0</t>
        </is>
      </c>
      <c r="H2581" t="inlineStr">
        <is>
          <t>8⁶, 24⁶</t>
        </is>
      </c>
      <c r="I2581" t="n">
        <v>12</v>
      </c>
      <c r="J2581" t="inlineStr">
        <is>
          <t>2⁴, 4⁶, 8²</t>
        </is>
      </c>
      <c r="K2581">
        <f>HYPERLINK("CSG1.html#group8H1", "8H¹"), =HYPERLINK("CSG4.html#group24R4", "24R⁴"), =HYPERLINK("CSG5.html#group24J5", "24J⁵"), =HYPERLINK("CSG6.html#group24B6", "24B⁶")</f>
        <v/>
      </c>
      <c r="L2581">
        <f>HYPERLINK("CSG21.html#group24G21", "24G²¹"), =HYPERLINK("CSG21.html#group24J21", "24J²¹"), =HYPERLINK("CSG23.html#group48B23", "48B²³"), =HYPERLINK("CSG23.html#group48C23", "48C²³")</f>
        <v/>
      </c>
      <c r="M2581">
        <f>HYPERLINK("CSG0.html#group3B0", "3B⁰"), =HYPERLINK("CSG3.html#group24B3", "24B³"), =HYPERLINK("CSG2.html#group24A2", "24A²"), =HYPERLINK("CSG1.html#group12F1", "12F¹"), =HYPERLINK("CSG0.html#group8D0", "8D⁰"), =HYPERLINK("CSG0.html#group4C0", "4C⁰"), =HYPERLINK("CSG0.html#group8A0", "8A⁰"), =HYPERLINK("CSG0.html#group8B0", "8B⁰"), =HYPERLINK("CSG0.html#group2B0", "2B⁰"), =HYPERLINK("CSG0.html#group1A0", "1A⁰"), =HYPERLINK("CSG1.html#group8D1", "8D¹"), =HYPERLINK("CSG1.html#group8H1", "8H¹"), =HYPERLINK("CSG0.html#group8K0", "8K⁰"), =HYPERLINK("CSG0.html#group8H0", "8H⁰"), =HYPERLINK("CSG2.html#group24I2", "24I²"), =HYPERLINK("CSG0.html#group4A0", "4A⁰"), =HYPERLINK("CSG1.html#group12A1", "12A¹"), =HYPERLINK("CSG4.html#group24R4", "24R⁴"), =HYPERLINK("CSG2.html#group12G2", "12G²"), =HYPERLINK("CSG6.html#group24B6", "24B⁶"), =HYPERLINK("CSG5.html#group24J5", "24J⁵"), =HYPERLINK("CSG0.html#group4F0", "4F⁰"), =HYPERLINK("CSG0.html#group6F0", "6F⁰")</f>
        <v/>
      </c>
      <c r="N2581">
        <f>HYPERLINK("CSG21.html#group24J21", "24J²¹"), =HYPERLINK("CSG23.html#group48C23", "48C²³"), =HYPERLINK("CSG23.html#group48B23", "48B²³"), =HYPERLINK("CSG21.html#group24G21", "24G²¹")</f>
        <v/>
      </c>
    </row>
    <row r="2582">
      <c r="A2582" t="inlineStr">
        <is>
          <t>24G¹¹</t>
        </is>
      </c>
      <c r="B2582" t="inlineStr"/>
      <c r="C2582" t="inlineStr">
        <is>
          <t>192</t>
        </is>
      </c>
      <c r="D2582" t="inlineStr">
        <is>
          <t>1</t>
        </is>
      </c>
      <c r="E2582" t="inlineStr">
        <is>
          <t>48</t>
        </is>
      </c>
      <c r="F2582" t="inlineStr">
        <is>
          <t>0</t>
        </is>
      </c>
      <c r="G2582" t="inlineStr">
        <is>
          <t>0</t>
        </is>
      </c>
      <c r="H2582" t="inlineStr">
        <is>
          <t>8⁶, 24⁶</t>
        </is>
      </c>
      <c r="I2582" t="n">
        <v>12</v>
      </c>
      <c r="J2582" t="inlineStr">
        <is>
          <t>2⁴, 4⁶, 8²</t>
        </is>
      </c>
      <c r="K2582">
        <f>HYPERLINK("CSG2.html#group8B2", "8B²"), =HYPERLINK("CSG4.html#group24R4", "24R⁴"), =HYPERLINK("CSG5.html#group24K5", "24K⁵"), =HYPERLINK("CSG6.html#group24B6", "24B⁶")</f>
        <v/>
      </c>
      <c r="L2582">
        <f>HYPERLINK("CSG21.html#group24G21", "24G²¹"), =HYPERLINK("CSG21.html#group24I21", "24I²¹"), =HYPERLINK("CSG23.html#group48A23", "48A²³"), =HYPERLINK("CSG23.html#group48D23", "48D²³")</f>
        <v/>
      </c>
      <c r="M2582">
        <f>HYPERLINK("CSG0.html#group3B0", "3B⁰"), =HYPERLINK("CSG5.html#group24K5", "24K⁵"), =HYPERLINK("CSG1.html#group8A1", "8A¹"), =HYPERLINK("CSG2.html#group24A2", "24A²"), =HYPERLINK("CSG1.html#group12F1", "12F¹"), =HYPERLINK("CSG0.html#group8D0", "8D⁰"), =HYPERLINK("CSG0.html#group4C0", "4C⁰"), =HYPERLINK("CSG2.html#group8B2", "8B²"), =HYPERLINK("CSG0.html#group8A0", "8A⁰"), =HYPERLINK("CSG0.html#group2B0", "2B⁰"), =HYPERLINK("CSG0.html#group1A0", "1A⁰"), =HYPERLINK("CSG1.html#group8D1", "8D¹"), =HYPERLINK("CSG0.html#group8K0", "8K⁰"), =HYPERLINK("CSG3.html#group24C3", "24C³"), =HYPERLINK("CSG1.html#group8C1", "8C¹"), =HYPERLINK("CSG2.html#group24I2", "24I²"), =HYPERLINK("CSG0.html#group4A0", "4A⁰"), =HYPERLINK("CSG1.html#group12A1", "12A¹"), =HYPERLINK("CSG4.html#group24R4", "24R⁴"), =HYPERLINK("CSG2.html#group12G2", "12G²"), =HYPERLINK("CSG6.html#group24B6", "24B⁶"), =HYPERLINK("CSG0.html#group4F0", "4F⁰"), =HYPERLINK("CSG0.html#group6F0", "6F⁰")</f>
        <v/>
      </c>
      <c r="N2582">
        <f>HYPERLINK("CSG23.html#group48A23", "48A²³"), =HYPERLINK("CSG23.html#group48D23", "48D²³"), =HYPERLINK("CSG21.html#group24G21", "24G²¹"), =HYPERLINK("CSG21.html#group24I21", "24I²¹")</f>
        <v/>
      </c>
    </row>
    <row r="2583">
      <c r="A2583" t="inlineStr">
        <is>
          <t>24H¹¹</t>
        </is>
      </c>
      <c r="B2583" t="inlineStr"/>
      <c r="C2583" t="inlineStr">
        <is>
          <t>192</t>
        </is>
      </c>
      <c r="D2583" t="inlineStr">
        <is>
          <t>1</t>
        </is>
      </c>
      <c r="E2583" t="inlineStr">
        <is>
          <t>48</t>
        </is>
      </c>
      <c r="F2583" t="inlineStr">
        <is>
          <t>0</t>
        </is>
      </c>
      <c r="G2583" t="inlineStr">
        <is>
          <t>0</t>
        </is>
      </c>
      <c r="H2583" t="inlineStr">
        <is>
          <t>8⁶, 24⁶</t>
        </is>
      </c>
      <c r="I2583" t="n">
        <v>12</v>
      </c>
      <c r="J2583" t="inlineStr">
        <is>
          <t>1⁴, 2⁴, 4⁵, 8²</t>
        </is>
      </c>
      <c r="K2583">
        <f>HYPERLINK("CSG5.html#group24K5", "24K⁵")</f>
        <v/>
      </c>
      <c r="L2583">
        <f>HYPERLINK("CSG21.html#group24F21", "24F²¹"), =HYPERLINK("CSG21.html#group24I21", "24I²¹")</f>
        <v/>
      </c>
      <c r="M2583">
        <f>HYPERLINK("CSG0.html#group3B0", "3B⁰"), =HYPERLINK("CSG5.html#group24K5", "24K⁵"), =HYPERLINK("CSG1.html#group8A1", "8A¹"), =HYPERLINK("CSG0.html#group8D0", "8D⁰"), =HYPERLINK("CSG1.html#group12F1", "12F¹"), =HYPERLINK("CSG0.html#group4C0", "4C⁰"), =HYPERLINK("CSG0.html#group2B0", "2B⁰"), =HYPERLINK("CSG0.html#group1A0", "1A⁰"), =HYPERLINK("CSG3.html#group24C3", "24C³"), =HYPERLINK("CSG1.html#group8C1", "8C¹"), =HYPERLINK("CSG2.html#group24I2", "24I²"), =HYPERLINK("CSG0.html#group4A0", "4A⁰"), =HYPERLINK("CSG1.html#group12A1", "12A¹"), =HYPERLINK("CSG2.html#group12G2", "12G²"), =HYPERLINK("CSG0.html#group4F0", "4F⁰"), =HYPERLINK("CSG0.html#group6F0", "6F⁰")</f>
        <v/>
      </c>
      <c r="N2583">
        <f>HYPERLINK("CSG21.html#group24F21", "24F²¹"), =HYPERLINK("CSG21.html#group24I21", "24I²¹")</f>
        <v/>
      </c>
    </row>
    <row r="2584">
      <c r="A2584" t="inlineStr">
        <is>
          <t>24I¹¹</t>
        </is>
      </c>
      <c r="B2584" t="inlineStr"/>
      <c r="C2584" t="inlineStr">
        <is>
          <t>192</t>
        </is>
      </c>
      <c r="D2584" t="inlineStr">
        <is>
          <t>1</t>
        </is>
      </c>
      <c r="E2584" t="inlineStr">
        <is>
          <t>48</t>
        </is>
      </c>
      <c r="F2584" t="inlineStr">
        <is>
          <t>0</t>
        </is>
      </c>
      <c r="G2584" t="inlineStr">
        <is>
          <t>0</t>
        </is>
      </c>
      <c r="H2584" t="inlineStr">
        <is>
          <t>8⁶, 24⁶</t>
        </is>
      </c>
      <c r="I2584" t="n">
        <v>12</v>
      </c>
      <c r="J2584" t="inlineStr">
        <is>
          <t>1⁴, 2⁴, 4⁵, 8²</t>
        </is>
      </c>
      <c r="K2584">
        <f>HYPERLINK("CSG1.html#group8I1", "8I¹"), =HYPERLINK("CSG4.html#group24C4", "24C⁴"), =HYPERLINK("CSG5.html#group24J5", "24J⁵")</f>
        <v/>
      </c>
      <c r="L2584">
        <f>HYPERLINK("CSG21.html#group24A21", "24A²¹"), =HYPERLINK("CSG21.html#group24J21", "24J²¹")</f>
        <v/>
      </c>
      <c r="M2584">
        <f>HYPERLINK("CSG4.html#group24C4", "24C⁴"), =HYPERLINK("CSG0.html#group3B0", "3B⁰"), =HYPERLINK("CSG3.html#group24B3", "24B³"), =HYPERLINK("CSG0.html#group8D0", "8D⁰"), =HYPERLINK("CSG1.html#group12F1", "12F¹"), =HYPERLINK("CSG0.html#group4C0", "4C⁰"), =HYPERLINK("CSG0.html#group8B0", "8B⁰"), =HYPERLINK("CSG0.html#group2B0", "2B⁰"), =HYPERLINK("CSG0.html#group1A0", "1A⁰"), =HYPERLINK("CSG0.html#group8H0", "8H⁰"), =HYPERLINK("CSG0.html#group8F0", "8F⁰"), =HYPERLINK("CSG2.html#group24I2", "24I²"), =HYPERLINK("CSG0.html#group4A0", "4A⁰"), =HYPERLINK("CSG1.html#group8I1", "8I¹"), =HYPERLINK("CSG1.html#group12A1", "12A¹"), =HYPERLINK("CSG2.html#group12G2", "12G²"), =HYPERLINK("CSG5.html#group24J5", "24J⁵"), =HYPERLINK("CSG0.html#group4F0", "4F⁰"), =HYPERLINK("CSG0.html#group6F0", "6F⁰")</f>
        <v/>
      </c>
      <c r="N2584">
        <f>HYPERLINK("CSG21.html#group24A21", "24A²¹"), =HYPERLINK("CSG21.html#group24J21", "24J²¹")</f>
        <v/>
      </c>
    </row>
    <row r="2585">
      <c r="A2585" t="inlineStr">
        <is>
          <t>24J¹¹</t>
        </is>
      </c>
      <c r="B2585" t="inlineStr"/>
      <c r="C2585" t="inlineStr">
        <is>
          <t>192</t>
        </is>
      </c>
      <c r="D2585" t="inlineStr">
        <is>
          <t>1</t>
        </is>
      </c>
      <c r="E2585" t="inlineStr">
        <is>
          <t>96</t>
        </is>
      </c>
      <c r="F2585" t="inlineStr">
        <is>
          <t>0</t>
        </is>
      </c>
      <c r="G2585" t="inlineStr">
        <is>
          <t>6</t>
        </is>
      </c>
      <c r="H2585" t="inlineStr">
        <is>
          <t>24⁸</t>
        </is>
      </c>
      <c r="I2585" t="n">
        <v>8</v>
      </c>
      <c r="J2585" t="inlineStr">
        <is>
          <t>8¹²</t>
        </is>
      </c>
      <c r="K2585">
        <f>HYPERLINK("CSG2.html#group24E2", "24E²"), =HYPERLINK("CSG6.html#group24C6", "24C⁶")</f>
        <v/>
      </c>
      <c r="L2585" t="inlineStr"/>
      <c r="M2585">
        <f>HYPERLINK("CSG0.html#group2A0", "2A⁰"), =HYPERLINK("CSG0.html#group6A0", "6A⁰"), =HYPERLINK("CSG2.html#group24E2", "24E²"), =HYPERLINK("CSG0.html#group4A0", "4A⁰"), =HYPERLINK("CSG0.html#group4D0", "4D⁰"), =HYPERLINK("CSG1.html#group12E1", "12E¹"), =HYPERLINK("CSG0.html#group8A0", "8A⁰"), =HYPERLINK("CSG0.html#group8E0", "8E⁰"), =HYPERLINK("CSG6.html#group24C6", "24C⁶"), =HYPERLINK("CSG0.html#group1A0", "1A⁰")</f>
        <v/>
      </c>
      <c r="N2585" t="inlineStr"/>
    </row>
    <row r="2586">
      <c r="A2586" t="inlineStr">
        <is>
          <t>24K¹¹</t>
        </is>
      </c>
      <c r="B2586" t="inlineStr"/>
      <c r="C2586" t="inlineStr">
        <is>
          <t>192</t>
        </is>
      </c>
      <c r="D2586" t="inlineStr">
        <is>
          <t>2</t>
        </is>
      </c>
      <c r="E2586" t="inlineStr">
        <is>
          <t>24</t>
        </is>
      </c>
      <c r="F2586" t="inlineStr">
        <is>
          <t>8</t>
        </is>
      </c>
      <c r="G2586" t="inlineStr">
        <is>
          <t>0</t>
        </is>
      </c>
      <c r="H2586" t="inlineStr">
        <is>
          <t>24⁸</t>
        </is>
      </c>
      <c r="I2586" t="n">
        <v>8</v>
      </c>
      <c r="J2586" t="inlineStr">
        <is>
          <t>8⁶</t>
        </is>
      </c>
      <c r="K2586">
        <f>HYPERLINK("CSG3.html#group12M3", "12M³"), =HYPERLINK("CSG5.html#group24L5", "24L⁵"), =HYPERLINK("CSG5.html#group24P5", "24P⁵")</f>
        <v/>
      </c>
      <c r="L2586" t="inlineStr"/>
      <c r="M2586">
        <f>HYPERLINK("CSG1.html#group12G1", "12G¹"), =HYPERLINK("CSG1.html#group12D1", "12D¹"), =HYPERLINK("CSG0.html#group6B0", "6B⁰"), =HYPERLINK("CSG3.html#group24D3", "24D³"), =HYPERLINK("CSG0.html#group12F0", "12F⁰"), =HYPERLINK("CSG0.html#group8A0", "8A⁰"), =HYPERLINK("CSG1.html#group24B1", "24B¹"), =HYPERLINK("CSG0.html#group1A0", "1A⁰"), =HYPERLINK("CSG3.html#group24E3", "24E³"), =HYPERLINK("CSG0.html#group12A0", "12A⁰"), =HYPERLINK("CSG2.html#group24K2", "24K²"), =HYPERLINK("CSG1.html#group24A1", "24A¹"), =HYPERLINK("CSG0.html#group6E0", "6E⁰"), =HYPERLINK("CSG0.html#group4A0", "4A⁰"), =HYPERLINK("CSG3.html#group12M3", "12M³"), =HYPERLINK("CSG1.html#group12Q1", "12Q¹"), =HYPERLINK("CSG0.html#group3C0", "3C⁰"), =HYPERLINK("CSG0.html#group3A0", "3A⁰"), =HYPERLINK("CSG2.html#group24G2", "24G²"), =HYPERLINK("CSG2.html#group24H2", "24H²"), =HYPERLINK("CSG5.html#group24P5", "24P⁵"), =HYPERLINK("CSG5.html#group24L5", "24L⁵")</f>
        <v/>
      </c>
      <c r="N2586" t="inlineStr"/>
    </row>
    <row r="2587">
      <c r="A2587" t="inlineStr">
        <is>
          <t>24L¹¹</t>
        </is>
      </c>
      <c r="B2587" t="inlineStr"/>
      <c r="C2587" t="inlineStr">
        <is>
          <t>192</t>
        </is>
      </c>
      <c r="D2587" t="inlineStr">
        <is>
          <t>2</t>
        </is>
      </c>
      <c r="E2587" t="inlineStr">
        <is>
          <t>48</t>
        </is>
      </c>
      <c r="F2587" t="inlineStr">
        <is>
          <t>8</t>
        </is>
      </c>
      <c r="G2587" t="inlineStr">
        <is>
          <t>0</t>
        </is>
      </c>
      <c r="H2587" t="inlineStr">
        <is>
          <t>24⁸</t>
        </is>
      </c>
      <c r="I2587" t="n">
        <v>8</v>
      </c>
      <c r="J2587" t="inlineStr">
        <is>
          <t>4⁸, 8⁸</t>
        </is>
      </c>
      <c r="K2587">
        <f>HYPERLINK("CSG3.html#group24D3", "24D³"), =HYPERLINK("CSG4.html#group24T4", "24T⁴"), =HYPERLINK("CSG5.html#group24O5", "24O⁵")</f>
        <v/>
      </c>
      <c r="L2587">
        <f>HYPERLINK("CSG21.html#group24M21", "24M²¹")</f>
        <v/>
      </c>
      <c r="M2587">
        <f>HYPERLINK("CSG1.html#group24F1", "24F¹"), =HYPERLINK("CSG1.html#group12G1", "12G¹"), =HYPERLINK("CSG0.html#group12A0", "12A⁰"), =HYPERLINK("CSG3.html#group24D3", "24D³"), =HYPERLINK("CSG0.html#group8F0", "8F⁰"), =HYPERLINK("CSG0.html#group4A0", "4A⁰"), =HYPERLINK("CSG5.html#group24O5", "24O⁵"), =HYPERLINK("CSG0.html#group3C0", "3C⁰"), =HYPERLINK("CSG1.html#group24B1", "24B¹"), =HYPERLINK("CSG0.html#group3A0", "3A⁰"), =HYPERLINK("CSG0.html#group1A0", "1A⁰"), =HYPERLINK("CSG4.html#group24T4", "24T⁴")</f>
        <v/>
      </c>
      <c r="N2587">
        <f>HYPERLINK("CSG21.html#group24M21", "24M²¹")</f>
        <v/>
      </c>
    </row>
    <row r="2588">
      <c r="A2588" t="inlineStr">
        <is>
          <t>24M¹¹</t>
        </is>
      </c>
      <c r="B2588" t="inlineStr"/>
      <c r="C2588" t="inlineStr">
        <is>
          <t>192</t>
        </is>
      </c>
      <c r="D2588" t="inlineStr">
        <is>
          <t>2</t>
        </is>
      </c>
      <c r="E2588" t="inlineStr">
        <is>
          <t>48</t>
        </is>
      </c>
      <c r="F2588" t="inlineStr">
        <is>
          <t>8</t>
        </is>
      </c>
      <c r="G2588" t="inlineStr">
        <is>
          <t>0</t>
        </is>
      </c>
      <c r="H2588" t="inlineStr">
        <is>
          <t>24⁸</t>
        </is>
      </c>
      <c r="I2588" t="n">
        <v>8</v>
      </c>
      <c r="J2588" t="inlineStr">
        <is>
          <t>4⁸, 8⁸</t>
        </is>
      </c>
      <c r="K2588">
        <f>HYPERLINK("CSG3.html#group24E3", "24E³"), =HYPERLINK("CSG4.html#group24S4", "24S⁴"), =HYPERLINK("CSG4.html#group24T4", "24T⁴"), =HYPERLINK("CSG5.html#group24O5", "24O⁵")</f>
        <v/>
      </c>
      <c r="L2588">
        <f>HYPERLINK("CSG21.html#group24M21", "24M²¹")</f>
        <v/>
      </c>
      <c r="M2588">
        <f>HYPERLINK("CSG1.html#group12G1", "12G¹"), =HYPERLINK("CSG4.html#group24S4", "24S⁴"), =HYPERLINK("CSG5.html#group24O5", "24O⁵"), =HYPERLINK("CSG0.html#group8A0", "8A⁰"), =HYPERLINK("CSG0.html#group8M0", "8M⁰"), =HYPERLINK("CSG1.html#group24B1", "24B¹"), =HYPERLINK("CSG0.html#group1A0", "1A⁰"), =HYPERLINK("CSG1.html#group24F1", "24F¹"), =HYPERLINK("CSG3.html#group24E3", "24E³"), =HYPERLINK("CSG0.html#group12A0", "12A⁰"), =HYPERLINK("CSG1.html#group24A1", "24A¹"), =HYPERLINK("CSG0.html#group8F0", "8F⁰"), =HYPERLINK("CSG0.html#group4A0", "4A⁰"), =HYPERLINK("CSG0.html#group3C0", "3C⁰"), =HYPERLINK("CSG0.html#group3A0", "3A⁰"), =HYPERLINK("CSG4.html#group24T4", "24T⁴")</f>
        <v/>
      </c>
      <c r="N2588">
        <f>HYPERLINK("CSG21.html#group24M21", "24M²¹")</f>
        <v/>
      </c>
    </row>
    <row r="2589">
      <c r="A2589" t="inlineStr">
        <is>
          <t>24N¹¹</t>
        </is>
      </c>
      <c r="B2589" t="inlineStr"/>
      <c r="C2589" t="inlineStr">
        <is>
          <t>288</t>
        </is>
      </c>
      <c r="D2589" t="inlineStr">
        <is>
          <t>1</t>
        </is>
      </c>
      <c r="E2589" t="inlineStr">
        <is>
          <t>36</t>
        </is>
      </c>
      <c r="F2589" t="inlineStr">
        <is>
          <t>8</t>
        </is>
      </c>
      <c r="G2589" t="inlineStr">
        <is>
          <t>0</t>
        </is>
      </c>
      <c r="H2589" t="inlineStr">
        <is>
          <t>6¹⁶, 24⁸</t>
        </is>
      </c>
      <c r="I2589" t="n">
        <v>24</v>
      </c>
      <c r="J2589" t="inlineStr">
        <is>
          <t>2², 4⁸</t>
        </is>
      </c>
      <c r="K2589">
        <f>HYPERLINK("CSG3.html#group12P3", "12P³"), =HYPERLINK("CSG5.html#group24T5", "24T⁵"), =HYPERLINK("CSG5.html#group24U5", "24U⁵")</f>
        <v/>
      </c>
      <c r="L2589" t="inlineStr"/>
      <c r="M2589">
        <f>HYPERLINK("CSG1.html#group12T1", "12T¹"), =HYPERLINK("CSG2.html#group24O2", "24O²"), =HYPERLINK("CSG1.html#group24E1", "24E¹"), =HYPERLINK("CSG1.html#group24I1", "24I¹"), =HYPERLINK("CSG0.html#group6B0", "6B⁰"), =HYPERLINK("CSG0.html#group12C0", "12C⁰"), =HYPERLINK("CSG2.html#group24N2", "24N²"), =HYPERLINK("CSG0.html#group8D0", "8D⁰"), =HYPERLINK("CSG0.html#group4C0", "4C⁰"), =HYPERLINK("CSG0.html#group6G0", "6G⁰"), =HYPERLINK("CSG3.html#group24M3", "24M³"), =HYPERLINK("CSG0.html#group2B0", "2B⁰"), =HYPERLINK("CSG1.html#group12N1", "12N¹"), =HYPERLINK("CSG0.html#group12H0", "12H⁰"), =HYPERLINK("CSG0.html#group1A0", "1A⁰"), =HYPERLINK("CSG1.html#group12L1", "12L¹"), =HYPERLINK("CSG3.html#group24O3", "24O³"), =HYPERLINK("CSG0.html#group12G0", "12G⁰"), =HYPERLINK("CSG1.html#group12C1", "12C¹"), =HYPERLINK("CSG0.html#group6E0", "6E⁰"), =HYPERLINK("CSG0.html#group6L0", "6L⁰"), =HYPERLINK("CSG5.html#group24T5", "24T⁵"), =HYPERLINK("CSG3.html#group12P3", "12P³"), =HYPERLINK("CSG3.html#group24N3", "24N³"), =HYPERLINK("CSG5.html#group24U5", "24U⁵"), =HYPERLINK("CSG1.html#group24C1", "24C¹"), =HYPERLINK("CSG0.html#group3C0", "3C⁰"), =HYPERLINK("CSG0.html#group12D0", "12D⁰"), =HYPERLINK("CSG0.html#group6H0", "6H⁰"), =HYPERLINK("CSG0.html#group3A0", "3A⁰"), =HYPERLINK("CSG0.html#group6D0", "6D⁰")</f>
        <v/>
      </c>
      <c r="N2589" t="inlineStr"/>
    </row>
    <row r="2590">
      <c r="A2590" t="inlineStr">
        <is>
          <t>26A¹¹</t>
        </is>
      </c>
      <c r="B2590" t="inlineStr"/>
      <c r="C2590" t="inlineStr">
        <is>
          <t>156</t>
        </is>
      </c>
      <c r="D2590" t="inlineStr">
        <is>
          <t>1</t>
        </is>
      </c>
      <c r="E2590" t="inlineStr">
        <is>
          <t>78</t>
        </is>
      </c>
      <c r="F2590" t="inlineStr">
        <is>
          <t>0</t>
        </is>
      </c>
      <c r="G2590" t="inlineStr">
        <is>
          <t>0</t>
        </is>
      </c>
      <c r="H2590" t="inlineStr">
        <is>
          <t>26⁶</t>
        </is>
      </c>
      <c r="I2590" t="n">
        <v>6</v>
      </c>
      <c r="J2590" t="inlineStr">
        <is>
          <t>6¹, 12⁶</t>
        </is>
      </c>
      <c r="K2590">
        <f>HYPERLINK("CSG0.html#group2A0", "2A⁰"), =HYPERLINK("CSG3.html#group13A3", "13A³")</f>
        <v/>
      </c>
      <c r="L2590">
        <f>HYPERLINK("CSG21.html#group26A21", "26A²¹")</f>
        <v/>
      </c>
      <c r="M2590">
        <f>HYPERLINK("CSG0.html#group2A0", "2A⁰"), =HYPERLINK("CSG3.html#group13A3", "13A³"), =HYPERLINK("CSG0.html#group1A0", "1A⁰")</f>
        <v/>
      </c>
      <c r="N2590">
        <f>HYPERLINK("CSG21.html#group26A21", "26A²¹")</f>
        <v/>
      </c>
    </row>
    <row r="2591">
      <c r="A2591" t="inlineStr">
        <is>
          <t>27A¹¹</t>
        </is>
      </c>
      <c r="B2591" t="inlineStr"/>
      <c r="C2591" t="inlineStr">
        <is>
          <t>162</t>
        </is>
      </c>
      <c r="D2591" t="inlineStr">
        <is>
          <t>2</t>
        </is>
      </c>
      <c r="E2591" t="inlineStr">
        <is>
          <t>81</t>
        </is>
      </c>
      <c r="F2591" t="inlineStr">
        <is>
          <t>2</t>
        </is>
      </c>
      <c r="G2591" t="inlineStr">
        <is>
          <t>0</t>
        </is>
      </c>
      <c r="H2591" t="inlineStr">
        <is>
          <t>27⁶</t>
        </is>
      </c>
      <c r="I2591" t="n">
        <v>6</v>
      </c>
      <c r="J2591" t="inlineStr">
        <is>
          <t>6⁹, 18⁶</t>
        </is>
      </c>
      <c r="K2591">
        <f>HYPERLINK("CSG2.html#group9B2", "9B²"), =HYPERLINK("CSG3.html#group27B3", "27B³")</f>
        <v/>
      </c>
      <c r="L2591">
        <f>HYPERLINK("CSG22.html#group27B22", "27B²²"), =HYPERLINK("CSG24.html#group54A24", "54A²⁴")</f>
        <v/>
      </c>
      <c r="M2591">
        <f>HYPERLINK("CSG0.html#group9G0", "9G⁰"), =HYPERLINK("CSG0.html#group9A0", "9A⁰"), =HYPERLINK("CSG3.html#group27B3", "27B³"), =HYPERLINK("CSG0.html#group3C0", "3C⁰"), =HYPERLINK("CSG2.html#group9B2", "9B²"), =HYPERLINK("CSG0.html#group9E0", "9E⁰"), =HYPERLINK("CSG0.html#group3A0", "3A⁰"), =HYPERLINK("CSG0.html#group1A0", "1A⁰"), =HYPERLINK("CSG1.html#group9B1", "9B¹")</f>
        <v/>
      </c>
      <c r="N2591">
        <f>HYPERLINK("CSG22.html#group27B22", "27B²²"), =HYPERLINK("CSG24.html#group54A24", "54A²⁴")</f>
        <v/>
      </c>
    </row>
    <row r="2592">
      <c r="A2592" t="inlineStr">
        <is>
          <t>28A¹¹</t>
        </is>
      </c>
      <c r="B2592" t="inlineStr"/>
      <c r="C2592" t="inlineStr">
        <is>
          <t>168</t>
        </is>
      </c>
      <c r="D2592" t="inlineStr">
        <is>
          <t>1</t>
        </is>
      </c>
      <c r="E2592" t="inlineStr">
        <is>
          <t>84</t>
        </is>
      </c>
      <c r="F2592" t="inlineStr">
        <is>
          <t>0</t>
        </is>
      </c>
      <c r="G2592" t="inlineStr">
        <is>
          <t>0</t>
        </is>
      </c>
      <c r="H2592" t="inlineStr">
        <is>
          <t>14⁴, 28⁴</t>
        </is>
      </c>
      <c r="I2592" t="n">
        <v>8</v>
      </c>
      <c r="J2592" t="inlineStr">
        <is>
          <t>1³, 3³, 6¹²</t>
        </is>
      </c>
      <c r="K2592">
        <f>HYPERLINK("CSG3.html#group14D3", "14D³"), =HYPERLINK("CSG3.html#group28B3", "28B³")</f>
        <v/>
      </c>
      <c r="L2592">
        <f>HYPERLINK("CSG21.html#group28B21", "28B²¹"), =HYPERLINK("CSG21.html#group28C21", "28C²¹"), =HYPERLINK("CSG21.html#group28E21", "28E²¹")</f>
        <v/>
      </c>
      <c r="M2592">
        <f>HYPERLINK("CSG1.html#group14B1", "14B¹"), =HYPERLINK("CSG0.html#group7F0", "7F⁰"), =HYPERLINK("CSG0.html#group2B0", "2B⁰"), =HYPERLINK("CSG3.html#group28B3", "28B³"), =HYPERLINK("CSG0.html#group1A0", "1A⁰"), =HYPERLINK("CSG0.html#group7A0", "7A⁰"), =HYPERLINK("CSG3.html#group14D3", "14D³")</f>
        <v/>
      </c>
      <c r="N2592">
        <f>HYPERLINK("CSG21.html#group28E21", "28E²¹"), =HYPERLINK("CSG21.html#group28C21", "28C²¹"), =HYPERLINK("CSG21.html#group28B21", "28B²¹")</f>
        <v/>
      </c>
    </row>
    <row r="2593">
      <c r="A2593" t="inlineStr">
        <is>
          <t>28B¹¹</t>
        </is>
      </c>
      <c r="B2593" t="inlineStr"/>
      <c r="C2593" t="inlineStr">
        <is>
          <t>168</t>
        </is>
      </c>
      <c r="D2593" t="inlineStr">
        <is>
          <t>1</t>
        </is>
      </c>
      <c r="E2593" t="inlineStr">
        <is>
          <t>84</t>
        </is>
      </c>
      <c r="F2593" t="inlineStr">
        <is>
          <t>4</t>
        </is>
      </c>
      <c r="G2593" t="inlineStr">
        <is>
          <t>0</t>
        </is>
      </c>
      <c r="H2593" t="inlineStr">
        <is>
          <t>28⁶</t>
        </is>
      </c>
      <c r="I2593" t="n">
        <v>6</v>
      </c>
      <c r="J2593" t="inlineStr">
        <is>
          <t>6², 12⁶</t>
        </is>
      </c>
      <c r="K2593">
        <f>HYPERLINK("CSG1.html#group7A1", "7A¹"), =HYPERLINK("CSG4.html#group28B4", "28B⁴")</f>
        <v/>
      </c>
      <c r="L2593">
        <f>HYPERLINK("CSG21.html#group28F21", "28F²¹"), =HYPERLINK("CSG23.html#group28A23", "28A²³"), =HYPERLINK("CSG23.html#group28B23", "28B²³")</f>
        <v/>
      </c>
      <c r="M2593">
        <f>HYPERLINK("CSG4.html#group28B4", "28B⁴"), =HYPERLINK("CSG0.html#group7D0", "7D⁰"), =HYPERLINK("CSG1.html#group28A1", "28A¹"), =HYPERLINK("CSG0.html#group1A0", "1A⁰"), =HYPERLINK("CSG0.html#group4A0", "4A⁰"), =HYPERLINK("CSG0.html#group7A0", "7A⁰"), =HYPERLINK("CSG1.html#group7A1", "7A¹")</f>
        <v/>
      </c>
      <c r="N2593">
        <f>HYPERLINK("CSG23.html#group28A23", "28A²³"), =HYPERLINK("CSG23.html#group28B23", "28B²³"), =HYPERLINK("CSG21.html#group28F21", "28F²¹")</f>
        <v/>
      </c>
    </row>
    <row r="2594">
      <c r="A2594" t="inlineStr">
        <is>
          <t>28C¹¹</t>
        </is>
      </c>
      <c r="B2594" t="inlineStr"/>
      <c r="C2594" t="inlineStr">
        <is>
          <t>168</t>
        </is>
      </c>
      <c r="D2594" t="inlineStr">
        <is>
          <t>2</t>
        </is>
      </c>
      <c r="E2594" t="inlineStr">
        <is>
          <t>21</t>
        </is>
      </c>
      <c r="F2594" t="inlineStr">
        <is>
          <t>0</t>
        </is>
      </c>
      <c r="G2594" t="inlineStr">
        <is>
          <t>0</t>
        </is>
      </c>
      <c r="H2594" t="inlineStr">
        <is>
          <t>14⁴, 28⁴</t>
        </is>
      </c>
      <c r="I2594" t="n">
        <v>8</v>
      </c>
      <c r="J2594" t="inlineStr">
        <is>
          <t>2³, 6⁶</t>
        </is>
      </c>
      <c r="K2594">
        <f>HYPERLINK("CSG4.html#group28C4", "28C⁴"), =HYPERLINK("CSG5.html#group14D5", "14D⁵"), =HYPERLINK("CSG5.html#group28A5", "28A⁵"), =HYPERLINK("CSG5.html#group28B5", "28B⁵"), =HYPERLINK("CSG6.html#group28A6", "28A⁶"), =HYPERLINK("CSG6.html#group28B6", "28B⁶"), =HYPERLINK("CSG6.html#group28C6", "28C⁶")</f>
        <v/>
      </c>
      <c r="L2594">
        <f>HYPERLINK("CSG23.html#group28C23", "28C²³"), =HYPERLINK("CSG23.html#group56A23", "56A²³"), =HYPERLINK("CSG23.html#group56F23", "56F²³")</f>
        <v/>
      </c>
      <c r="M2594">
        <f>HYPERLINK("CSG0.html#group2A0", "2A⁰"), =HYPERLINK("CSG0.html#group14A0", "14A⁰"), =HYPERLINK("CSG6.html#group28B6", "28B⁶"), =HYPERLINK("CSG4.html#group28C4", "28C⁴"), =HYPERLINK("CSG3.html#group14B3", "14B³"), =HYPERLINK("CSG1.html#group14B1", "14B¹"), =HYPERLINK("CSG5.html#group14D5", "14D⁵"), =HYPERLINK("CSG1.html#group14A1", "14A¹"), =HYPERLINK("CSG0.html#group4C0", "4C⁰"), =HYPERLINK("CSG2.html#group14C2", "14C²"), =HYPERLINK("CSG3.html#group28A3", "28A³"), =HYPERLINK("CSG0.html#group2B0", "2B⁰"), =HYPERLINK("CSG0.html#group4E0", "4E⁰"), =HYPERLINK("CSG5.html#group28A5", "28A⁵"), =HYPERLINK("CSG5.html#group28B5", "28B⁵"), =HYPERLINK("CSG0.html#group1A0", "1A⁰"), =HYPERLINK("CSG1.html#group14D1", "14D¹"), =HYPERLINK("CSG0.html#group4B0", "4B⁰"), =HYPERLINK("CSG2.html#group28C2", "28C²"), =HYPERLINK("CSG2.html#group14A2", "14A²"), =HYPERLINK("CSG0.html#group7C0", "7C⁰"), =HYPERLINK("CSG6.html#group28A6", "28A⁶"), =HYPERLINK("CSG6.html#group28C6", "28C⁶"), =HYPERLINK("CSG3.html#group28B3", "28B³"), =HYPERLINK("CSG0.html#group2C0", "2C⁰"), =HYPERLINK("CSG2.html#group28B2", "28B²"), =HYPERLINK("CSG0.html#group7A0", "7A⁰")</f>
        <v/>
      </c>
      <c r="N2594">
        <f>HYPERLINK("CSG23.html#group56A23", "56A²³"), =HYPERLINK("CSG23.html#group28C23", "28C²³"), =HYPERLINK("CSG23.html#group56F23", "56F²³")</f>
        <v/>
      </c>
    </row>
    <row r="2595">
      <c r="A2595" t="inlineStr">
        <is>
          <t>28D¹¹</t>
        </is>
      </c>
      <c r="B2595" t="inlineStr"/>
      <c r="C2595" t="inlineStr">
        <is>
          <t>168</t>
        </is>
      </c>
      <c r="D2595" t="inlineStr">
        <is>
          <t>2</t>
        </is>
      </c>
      <c r="E2595" t="inlineStr">
        <is>
          <t>42</t>
        </is>
      </c>
      <c r="F2595" t="inlineStr">
        <is>
          <t>4</t>
        </is>
      </c>
      <c r="G2595" t="inlineStr">
        <is>
          <t>0</t>
        </is>
      </c>
      <c r="H2595" t="inlineStr">
        <is>
          <t>28⁶</t>
        </is>
      </c>
      <c r="I2595" t="n">
        <v>6</v>
      </c>
      <c r="J2595" t="inlineStr">
        <is>
          <t>2², 4², 6⁴, 12⁴</t>
        </is>
      </c>
      <c r="K2595">
        <f>HYPERLINK("CSG3.html#group28D3", "28D³"), =HYPERLINK("CSG5.html#group28B5", "28B⁵"), =HYPERLINK("CSG5.html#group28C5", "28C⁵"), =HYPERLINK("CSG5.html#group28D5", "28D⁵")</f>
        <v/>
      </c>
      <c r="L2595">
        <f>HYPERLINK("CSG23.html#group28C23", "28C²³"), =HYPERLINK("CSG23.html#group56D23", "56D²³"), =HYPERLINK("CSG23.html#group56G23", "56G²³")</f>
        <v/>
      </c>
      <c r="M2595">
        <f>HYPERLINK("CSG3.html#group28D3", "28D³"), =HYPERLINK("CSG1.html#group14B1", "14B¹"), =HYPERLINK("CSG0.html#group4C0", "4C⁰"), =HYPERLINK("CSG5.html#group28C5", "28C⁵"), =HYPERLINK("CSG0.html#group2B0", "2B⁰"), =HYPERLINK("CSG5.html#group28B5", "28B⁵"), =HYPERLINK("CSG0.html#group1A0", "1A⁰"), =HYPERLINK("CSG2.html#group28C2", "28C²"), =HYPERLINK("CSG2.html#group14A2", "14A²"), =HYPERLINK("CSG0.html#group4A0", "4A⁰"), =HYPERLINK("CSG0.html#group7C0", "7C⁰"), =HYPERLINK("CSG5.html#group28D5", "28D⁵"), =HYPERLINK("CSG0.html#group4F0", "4F⁰"), =HYPERLINK("CSG3.html#group28B3", "28B³"), =HYPERLINK("CSG1.html#group28A1", "28A¹"), =HYPERLINK("CSG0.html#group7A0", "7A⁰")</f>
        <v/>
      </c>
      <c r="N2595">
        <f>HYPERLINK("CSG23.html#group56D23", "56D²³"), =HYPERLINK("CSG23.html#group28C23", "28C²³"), =HYPERLINK("CSG23.html#group56G23", "56G²³")</f>
        <v/>
      </c>
    </row>
    <row r="2596">
      <c r="A2596" t="inlineStr">
        <is>
          <t>28E¹¹</t>
        </is>
      </c>
      <c r="B2596" t="inlineStr"/>
      <c r="C2596" t="inlineStr">
        <is>
          <t>192</t>
        </is>
      </c>
      <c r="D2596" t="inlineStr">
        <is>
          <t>1</t>
        </is>
      </c>
      <c r="E2596" t="inlineStr">
        <is>
          <t>8</t>
        </is>
      </c>
      <c r="F2596" t="inlineStr">
        <is>
          <t>0</t>
        </is>
      </c>
      <c r="G2596" t="inlineStr">
        <is>
          <t>0</t>
        </is>
      </c>
      <c r="H2596" t="inlineStr">
        <is>
          <t>4⁶, 28⁶</t>
        </is>
      </c>
      <c r="I2596" t="n">
        <v>12</v>
      </c>
      <c r="J2596" t="inlineStr">
        <is>
          <t>1², 6¹</t>
        </is>
      </c>
      <c r="K2596">
        <f>HYPERLINK("CSG0.html#group4G0", "4G⁰"), =HYPERLINK("CSG3.html#group28E3", "28E³"), =HYPERLINK("CSG5.html#group28E5", "28E⁵"), =HYPERLINK("CSG6.html#group28G6", "28G⁶")</f>
        <v/>
      </c>
      <c r="L2596">
        <f>HYPERLINK("CSG21.html#group28M21", "28M²¹"), =HYPERLINK("CSG23.html#group56O23", "56O²³"), =HYPERLINK("CSG23.html#group56P23", "56P²³")</f>
        <v/>
      </c>
      <c r="M2596">
        <f>HYPERLINK("CSG0.html#group2A0", "2A⁰"), =HYPERLINK("CSG0.html#group4C0", "4C⁰"), =HYPERLINK("CSG2.html#group28D2", "28D²"), =HYPERLINK("CSG0.html#group4G0", "4G⁰"), =HYPERLINK("CSG0.html#group2B0", "2B⁰"), =HYPERLINK("CSG0.html#group4E0", "4E⁰"), =HYPERLINK("CSG3.html#group28E3", "28E³"), =HYPERLINK("CSG6.html#group28G6", "28G⁶"), =HYPERLINK("CSG0.html#group4B0", "4B⁰"), =HYPERLINK("CSG2.html#group14E2", "14E²"), =HYPERLINK("CSG0.html#group1A0", "1A⁰"), =HYPERLINK("CSG2.html#group28A2", "28A²"), =HYPERLINK("CSG5.html#group28E5", "28E⁵"), =HYPERLINK("CSG0.html#group4A0", "4A⁰"), =HYPERLINK("CSG0.html#group4D0", "4D⁰"), =HYPERLINK("CSG0.html#group7B0", "7B⁰"), =HYPERLINK("CSG1.html#group14C1", "14C¹"), =HYPERLINK("CSG0.html#group14B0", "14B⁰"), =HYPERLINK("CSG0.html#group4F0", "4F⁰"), =HYPERLINK("CSG3.html#group28C3", "28C³"), =HYPERLINK("CSG0.html#group2C0", "2C⁰")</f>
        <v/>
      </c>
      <c r="N2596">
        <f>HYPERLINK("CSG21.html#group28M21", "28M²¹"), =HYPERLINK("CSG23.html#group56P23", "56P²³"), =HYPERLINK("CSG23.html#group56O23", "56O²³")</f>
        <v/>
      </c>
    </row>
    <row r="2597">
      <c r="A2597" t="inlineStr">
        <is>
          <t>28F¹¹</t>
        </is>
      </c>
      <c r="B2597" t="inlineStr"/>
      <c r="C2597" t="inlineStr">
        <is>
          <t>192</t>
        </is>
      </c>
      <c r="D2597" t="inlineStr">
        <is>
          <t>1</t>
        </is>
      </c>
      <c r="E2597" t="inlineStr">
        <is>
          <t>24</t>
        </is>
      </c>
      <c r="F2597" t="inlineStr">
        <is>
          <t>0</t>
        </is>
      </c>
      <c r="G2597" t="inlineStr">
        <is>
          <t>0</t>
        </is>
      </c>
      <c r="H2597" t="inlineStr">
        <is>
          <t>4⁶, 28⁶</t>
        </is>
      </c>
      <c r="I2597" t="n">
        <v>12</v>
      </c>
      <c r="J2597" t="inlineStr">
        <is>
          <t>1⁶, 6³</t>
        </is>
      </c>
      <c r="K2597">
        <f>HYPERLINK("CSG4.html#group28D4", "28D⁴"), =HYPERLINK("CSG5.html#group28E5", "28E⁵"), =HYPERLINK("CSG6.html#group28E6", "28E⁶")</f>
        <v/>
      </c>
      <c r="L2597">
        <f>HYPERLINK("CSG21.html#group28M21", "28M²¹"), =HYPERLINK("CSG23.html#group56W23", "56W²³")</f>
        <v/>
      </c>
      <c r="M2597">
        <f>HYPERLINK("CSG0.html#group2A0", "2A⁰"), =HYPERLINK("CSG0.html#group28A0", "28A⁰"), =HYPERLINK("CSG2.html#group28D2", "28D²"), =HYPERLINK("CSG0.html#group4C0", "4C⁰"), =HYPERLINK("CSG0.html#group2B0", "2B⁰"), =HYPERLINK("CSG6.html#group28E6", "28E⁶"), =HYPERLINK("CSG0.html#group4E0", "4E⁰"), =HYPERLINK("CSG2.html#group14E2", "14E²"), =HYPERLINK("CSG0.html#group4B0", "4B⁰"), =HYPERLINK("CSG0.html#group1A0", "1A⁰"), =HYPERLINK("CSG4.html#group28D4", "28D⁴"), =HYPERLINK("CSG5.html#group28E5", "28E⁵"), =HYPERLINK("CSG0.html#group7B0", "7B⁰"), =HYPERLINK("CSG1.html#group14C1", "14C¹"), =HYPERLINK("CSG0.html#group14B0", "14B⁰"), =HYPERLINK("CSG3.html#group28C3", "28C³"), =HYPERLINK("CSG0.html#group2C0", "2C⁰")</f>
        <v/>
      </c>
      <c r="N2597">
        <f>HYPERLINK("CSG21.html#group28M21", "28M²¹"), =HYPERLINK("CSG23.html#group56W23", "56W²³")</f>
        <v/>
      </c>
    </row>
    <row r="2598">
      <c r="A2598" t="inlineStr">
        <is>
          <t>28G¹¹</t>
        </is>
      </c>
      <c r="B2598" t="inlineStr"/>
      <c r="C2598" t="inlineStr">
        <is>
          <t>192</t>
        </is>
      </c>
      <c r="D2598" t="inlineStr">
        <is>
          <t>1</t>
        </is>
      </c>
      <c r="E2598" t="inlineStr">
        <is>
          <t>32</t>
        </is>
      </c>
      <c r="F2598" t="inlineStr">
        <is>
          <t>0</t>
        </is>
      </c>
      <c r="G2598" t="inlineStr">
        <is>
          <t>0</t>
        </is>
      </c>
      <c r="H2598" t="inlineStr">
        <is>
          <t>4⁶, 28⁶</t>
        </is>
      </c>
      <c r="I2598" t="n">
        <v>12</v>
      </c>
      <c r="J2598" t="inlineStr">
        <is>
          <t>2⁴, 12²</t>
        </is>
      </c>
      <c r="K2598">
        <f>HYPERLINK("CSG2.html#group14D2", "14D²"), =HYPERLINK("CSG3.html#group28E3", "28E³"), =HYPERLINK("CSG6.html#group28F6", "28F⁶")</f>
        <v/>
      </c>
      <c r="L2598">
        <f>HYPERLINK("CSG21.html#group28N21", "28N²¹")</f>
        <v/>
      </c>
      <c r="M2598">
        <f>HYPERLINK("CSG0.html#group2A0", "2A⁰"), =HYPERLINK("CSG6.html#group28F6", "28F⁶"), =HYPERLINK("CSG0.html#group4A0", "4A⁰"), =HYPERLINK("CSG0.html#group7B0", "7B⁰"), =HYPERLINK("CSG0.html#group4D0", "4D⁰"), =HYPERLINK("CSG2.html#group14D2", "14D²"), =HYPERLINK("CSG0.html#group14B0", "14B⁰"), =HYPERLINK("CSG0.html#group7E0", "7E⁰"), =HYPERLINK("CSG3.html#group28E3", "28E³"), =HYPERLINK("CSG0.html#group1A0", "1A⁰"), =HYPERLINK("CSG2.html#group28A2", "28A²")</f>
        <v/>
      </c>
      <c r="N2598">
        <f>HYPERLINK("CSG21.html#group28N21", "28N²¹")</f>
        <v/>
      </c>
    </row>
    <row r="2599">
      <c r="A2599" t="inlineStr">
        <is>
          <t>28H¹¹</t>
        </is>
      </c>
      <c r="B2599" t="inlineStr"/>
      <c r="C2599" t="inlineStr">
        <is>
          <t>224</t>
        </is>
      </c>
      <c r="D2599" t="inlineStr">
        <is>
          <t>1</t>
        </is>
      </c>
      <c r="E2599" t="inlineStr">
        <is>
          <t>112</t>
        </is>
      </c>
      <c r="F2599" t="inlineStr">
        <is>
          <t>16</t>
        </is>
      </c>
      <c r="G2599" t="inlineStr">
        <is>
          <t>2</t>
        </is>
      </c>
      <c r="H2599" t="inlineStr">
        <is>
          <t>28⁸</t>
        </is>
      </c>
      <c r="I2599" t="n">
        <v>8</v>
      </c>
      <c r="J2599" t="inlineStr">
        <is>
          <t>2², 6², 12⁸</t>
        </is>
      </c>
      <c r="K2599">
        <f>HYPERLINK("CSG1.html#group14G1", "14G¹"), =HYPERLINK("CSG2.html#group28E2", "28E²"), =HYPERLINK("CSG6.html#group28H6", "28H⁶")</f>
        <v/>
      </c>
      <c r="L2599" t="inlineStr"/>
      <c r="M2599">
        <f>HYPERLINK("CSG2.html#group28E2", "28E²"), =HYPERLINK("CSG0.html#group14A0", "14A⁰"), =HYPERLINK("CSG6.html#group28H6", "28H⁶"), =HYPERLINK("CSG0.html#group4A0", "4A⁰"), =HYPERLINK("CSG0.html#group7F0", "7F⁰"), =HYPERLINK("CSG1.html#group14G1", "14G¹"), =HYPERLINK("CSG1.html#group28A1", "28A¹"), =HYPERLINK("CSG0.html#group1A0", "1A⁰"), =HYPERLINK("CSG0.html#group7A0", "7A⁰")</f>
        <v/>
      </c>
      <c r="N2599" t="inlineStr"/>
    </row>
    <row r="2600">
      <c r="A2600" t="inlineStr">
        <is>
          <t>28I¹¹</t>
        </is>
      </c>
      <c r="B2600" t="inlineStr"/>
      <c r="C2600" t="inlineStr">
        <is>
          <t>252</t>
        </is>
      </c>
      <c r="D2600" t="inlineStr">
        <is>
          <t>2</t>
        </is>
      </c>
      <c r="E2600" t="inlineStr">
        <is>
          <t>63</t>
        </is>
      </c>
      <c r="F2600" t="inlineStr">
        <is>
          <t>8</t>
        </is>
      </c>
      <c r="G2600" t="inlineStr">
        <is>
          <t>0</t>
        </is>
      </c>
      <c r="H2600" t="inlineStr">
        <is>
          <t>7¹², 28⁶</t>
        </is>
      </c>
      <c r="I2600" t="n">
        <v>18</v>
      </c>
      <c r="J2600" t="inlineStr">
        <is>
          <t>6²¹</t>
        </is>
      </c>
      <c r="K2600">
        <f>HYPERLINK("CSG4.html#group14A4", "14A⁴"), =HYPERLINK("CSG5.html#group28H5", "28H⁵"), =HYPERLINK("CSG6.html#group28J6", "28J⁶")</f>
        <v/>
      </c>
      <c r="L2600">
        <f>HYPERLINK("CSG23.html#group28E23", "28E²³")</f>
        <v/>
      </c>
      <c r="M2600">
        <f>HYPERLINK("CSG6.html#group28J6", "28J⁶"), =HYPERLINK("CSG4.html#group14A4", "14A⁴"), =HYPERLINK("CSG2.html#group14A2", "14A²"), =HYPERLINK("CSG0.html#group7D0", "7D⁰"), =HYPERLINK("CSG1.html#group14B1", "14B¹"), =HYPERLINK("CSG5.html#group28H5", "28H⁵"), =HYPERLINK("CSG0.html#group7C0", "7C⁰"), =HYPERLINK("CSG2.html#group14F2", "14F²"), =HYPERLINK("CSG0.html#group2B0", "2B⁰"), =HYPERLINK("CSG0.html#group7G0", "7G⁰"), =HYPERLINK("CSG0.html#group1A0", "1A⁰"), =HYPERLINK("CSG2.html#group28B2", "28B²"), =HYPERLINK("CSG0.html#group7A0", "7A⁰")</f>
        <v/>
      </c>
      <c r="N2600">
        <f>HYPERLINK("CSG23.html#group28E23", "28E²³")</f>
        <v/>
      </c>
    </row>
    <row r="2601">
      <c r="A2601" t="inlineStr">
        <is>
          <t>29A¹¹</t>
        </is>
      </c>
      <c r="B2601" t="inlineStr"/>
      <c r="C2601" t="inlineStr">
        <is>
          <t>203</t>
        </is>
      </c>
      <c r="D2601" t="inlineStr">
        <is>
          <t>1</t>
        </is>
      </c>
      <c r="E2601" t="inlineStr">
        <is>
          <t>203</t>
        </is>
      </c>
      <c r="F2601" t="inlineStr">
        <is>
          <t>7</t>
        </is>
      </c>
      <c r="G2601" t="inlineStr">
        <is>
          <t>5</t>
        </is>
      </c>
      <c r="H2601" t="inlineStr">
        <is>
          <t>29⁷</t>
        </is>
      </c>
      <c r="I2601" t="n">
        <v>7</v>
      </c>
      <c r="J2601" t="inlineStr">
        <is>
          <t>14¹, 28¹⁴</t>
        </is>
      </c>
      <c r="K2601">
        <f>HYPERLINK("CSG0.html#group1A0", "1A⁰")</f>
        <v/>
      </c>
      <c r="L2601" t="inlineStr"/>
      <c r="M2601">
        <f>HYPERLINK("CSG0.html#group1A0", "1A⁰")</f>
        <v/>
      </c>
      <c r="N2601" t="inlineStr"/>
    </row>
    <row r="2602">
      <c r="A2602" t="inlineStr">
        <is>
          <t>29B¹¹</t>
        </is>
      </c>
      <c r="B2602" t="inlineStr"/>
      <c r="C2602" t="inlineStr">
        <is>
          <t>203</t>
        </is>
      </c>
      <c r="D2602" t="inlineStr">
        <is>
          <t>1</t>
        </is>
      </c>
      <c r="E2602" t="inlineStr">
        <is>
          <t>203</t>
        </is>
      </c>
      <c r="F2602" t="inlineStr">
        <is>
          <t>7</t>
        </is>
      </c>
      <c r="G2602" t="inlineStr">
        <is>
          <t>5</t>
        </is>
      </c>
      <c r="H2602" t="inlineStr">
        <is>
          <t>29⁷</t>
        </is>
      </c>
      <c r="I2602" t="n">
        <v>7</v>
      </c>
      <c r="J2602" t="inlineStr">
        <is>
          <t>14¹, 28¹⁴</t>
        </is>
      </c>
      <c r="K2602">
        <f>HYPERLINK("CSG0.html#group1A0", "1A⁰")</f>
        <v/>
      </c>
      <c r="L2602" t="inlineStr"/>
      <c r="M2602">
        <f>HYPERLINK("CSG0.html#group1A0", "1A⁰")</f>
        <v/>
      </c>
      <c r="N2602" t="inlineStr"/>
    </row>
    <row r="2603">
      <c r="A2603" t="inlineStr">
        <is>
          <t>30A¹¹</t>
        </is>
      </c>
      <c r="B2603" t="inlineStr"/>
      <c r="C2603" t="inlineStr">
        <is>
          <t>180</t>
        </is>
      </c>
      <c r="D2603" t="inlineStr">
        <is>
          <t>1</t>
        </is>
      </c>
      <c r="E2603" t="inlineStr">
        <is>
          <t>45</t>
        </is>
      </c>
      <c r="F2603" t="inlineStr">
        <is>
          <t>8</t>
        </is>
      </c>
      <c r="G2603" t="inlineStr">
        <is>
          <t>0</t>
        </is>
      </c>
      <c r="H2603" t="inlineStr">
        <is>
          <t>30⁶</t>
        </is>
      </c>
      <c r="I2603" t="n">
        <v>6</v>
      </c>
      <c r="J2603" t="inlineStr">
        <is>
          <t>1¹, 2², 4⁴, 8³</t>
        </is>
      </c>
      <c r="K2603">
        <f>HYPERLINK("CSG4.html#group15C4", "15C⁴"), =HYPERLINK("CSG4.html#group30F4", "30F⁴"), =HYPERLINK("CSG5.html#group30L5", "30L⁵")</f>
        <v/>
      </c>
      <c r="L2603">
        <f>HYPERLINK("CSG21.html#group30A21", "30A²¹"), =HYPERLINK("CSG23.html#group30C23", "30C²³"), =HYPERLINK("CSG23.html#group30D23", "30D²³"), =HYPERLINK("CSG23.html#group30E23", "30E²³")</f>
        <v/>
      </c>
      <c r="M2603">
        <f>HYPERLINK("CSG4.html#group15C4", "15C⁴"), =HYPERLINK("CSG0.html#group5A0", "5A⁰"), =HYPERLINK("CSG4.html#group30F4", "30F⁴"), =HYPERLINK("CSG5.html#group30L5", "30L⁵"), =HYPERLINK("CSG2.html#group15A2", "15A²"), =HYPERLINK("CSG1.html#group15F1", "15F¹"), =HYPERLINK("CSG0.html#group5E0", "5E⁰"), =HYPERLINK("CSG0.html#group3C0", "3C⁰"), =HYPERLINK("CSG0.html#group3A0", "3A⁰"), =HYPERLINK("CSG1.html#group10E1", "10E¹"), =HYPERLINK("CSG0.html#group1A0", "1A⁰"), =HYPERLINK("CSG1.html#group15A1", "15A¹"), =HYPERLINK("CSG0.html#group15A0", "15A⁰")</f>
        <v/>
      </c>
      <c r="N2603">
        <f>HYPERLINK("CSG21.html#group30A21", "30A²¹"), =HYPERLINK("CSG23.html#group30C23", "30C²³"), =HYPERLINK("CSG23.html#group30D23", "30D²³"), =HYPERLINK("CSG23.html#group30E23", "30E²³")</f>
        <v/>
      </c>
    </row>
    <row r="2604">
      <c r="A2604" t="inlineStr">
        <is>
          <t>30B¹¹</t>
        </is>
      </c>
      <c r="B2604" t="inlineStr"/>
      <c r="C2604" t="inlineStr">
        <is>
          <t>180</t>
        </is>
      </c>
      <c r="D2604" t="inlineStr">
        <is>
          <t>1</t>
        </is>
      </c>
      <c r="E2604" t="inlineStr">
        <is>
          <t>45</t>
        </is>
      </c>
      <c r="F2604" t="inlineStr">
        <is>
          <t>8</t>
        </is>
      </c>
      <c r="G2604" t="inlineStr">
        <is>
          <t>0</t>
        </is>
      </c>
      <c r="H2604" t="inlineStr">
        <is>
          <t>30⁶</t>
        </is>
      </c>
      <c r="I2604" t="n">
        <v>6</v>
      </c>
      <c r="J2604" t="inlineStr">
        <is>
          <t>1¹, 2², 4⁴, 8³</t>
        </is>
      </c>
      <c r="K2604">
        <f>HYPERLINK("CSG1.html#group30C1", "30C¹"), =HYPERLINK("CSG3.html#group30H3", "30H³"), =HYPERLINK("CSG4.html#group15D4", "15D⁴"), =HYPERLINK("CSG4.html#group30E4", "30E⁴"), =HYPERLINK("CSG5.html#group30L5", "30L⁵")</f>
        <v/>
      </c>
      <c r="L2604">
        <f>HYPERLINK("CSG21.html#group30B21", "30B²¹"), =HYPERLINK("CSG23.html#group30B23", "30B²³"), =HYPERLINK("CSG23.html#group30J23", "30J²³")</f>
        <v/>
      </c>
      <c r="M2604">
        <f>HYPERLINK("CSG0.html#group5A0", "5A⁰"), =HYPERLINK("CSG4.html#group15D4", "15D⁴"), =HYPERLINK("CSG0.html#group6B0", "6B⁰"), =HYPERLINK("CSG1.html#group15F1", "15F¹"), =HYPERLINK("CSG0.html#group5B0", "5B⁰"), =HYPERLINK("CSG3.html#group30H3", "30H³"), =HYPERLINK("CSG0.html#group1A0", "1A⁰"), =HYPERLINK("CSG1.html#group15D1", "15D¹"), =HYPERLINK("CSG0.html#group15B0", "15B⁰"), =HYPERLINK("CSG2.html#group30A2", "30A²"), =HYPERLINK("CSG4.html#group30E4", "30E⁴"), =HYPERLINK("CSG5.html#group30L5", "30L⁵"), =HYPERLINK("CSG0.html#group5E0", "5E⁰"), =HYPERLINK("CSG0.html#group3A0", "3A⁰"), =HYPERLINK("CSG0.html#group5C0", "5C⁰"), =HYPERLINK("CSG0.html#group5G0", "5G⁰"), =HYPERLINK("CSG1.html#group15A1", "15A¹"), =HYPERLINK("CSG1.html#group30C1", "30C¹"), =HYPERLINK("CSG0.html#group15A0", "15A⁰")</f>
        <v/>
      </c>
      <c r="N2604">
        <f>HYPERLINK("CSG23.html#group30J23", "30J²³"), =HYPERLINK("CSG21.html#group30B21", "30B²¹"), =HYPERLINK("CSG23.html#group30B23", "30B²³")</f>
        <v/>
      </c>
    </row>
    <row r="2605">
      <c r="A2605" t="inlineStr">
        <is>
          <t>30C¹¹</t>
        </is>
      </c>
      <c r="B2605" t="inlineStr"/>
      <c r="C2605" t="inlineStr">
        <is>
          <t>180</t>
        </is>
      </c>
      <c r="D2605" t="inlineStr">
        <is>
          <t>1</t>
        </is>
      </c>
      <c r="E2605" t="inlineStr">
        <is>
          <t>90</t>
        </is>
      </c>
      <c r="F2605" t="inlineStr">
        <is>
          <t>4</t>
        </is>
      </c>
      <c r="G2605" t="inlineStr">
        <is>
          <t>0</t>
        </is>
      </c>
      <c r="H2605" t="inlineStr">
        <is>
          <t>15⁴, 30⁴</t>
        </is>
      </c>
      <c r="I2605" t="n">
        <v>8</v>
      </c>
      <c r="J2605" t="inlineStr">
        <is>
          <t>2³, 4⁹, 8⁶</t>
        </is>
      </c>
      <c r="K2605">
        <f>HYPERLINK("CSG0.html#group6G0", "6G⁰"), =HYPERLINK("CSG3.html#group15C3", "15C³"), =HYPERLINK("CSG5.html#group30K5", "30K⁵")</f>
        <v/>
      </c>
      <c r="L2605">
        <f>HYPERLINK("CSG21.html#group30C21", "30C²¹"), =HYPERLINK("CSG23.html#group30A23", "30A²³"), =HYPERLINK("CSG23.html#group30F23", "30F²³"), =HYPERLINK("CSG23.html#group30G23", "30G²³"), =HYPERLINK("CSG23.html#group30H23", "30H²³"), =HYPERLINK("CSG23.html#group60D23", "60D²³"), =HYPERLINK("CSG23.html#group60E23", "60E²³")</f>
        <v/>
      </c>
      <c r="M2605">
        <f>HYPERLINK("CSG5.html#group30K5", "30K⁵"), =HYPERLINK("CSG1.html#group15D1", "15D¹"), =HYPERLINK("CSG0.html#group6G0", "6G⁰"), =HYPERLINK("CSG0.html#group3C0", "3C⁰"), =HYPERLINK("CSG0.html#group1A0", "1A⁰"), =HYPERLINK("CSG0.html#group2B0", "2B⁰"), =HYPERLINK("CSG3.html#group15C3", "15C³"), =HYPERLINK("CSG0.html#group3A0", "3A⁰"), =HYPERLINK("CSG0.html#group5C0", "5C⁰"), =HYPERLINK("CSG0.html#group6D0", "6D⁰"), =HYPERLINK("CSG1.html#group10F1", "10F¹")</f>
        <v/>
      </c>
      <c r="N2605">
        <f>HYPERLINK("CSG23.html#group30H23", "30H²³"), =HYPERLINK("CSG23.html#group60E23", "60E²³"), =HYPERLINK("CSG23.html#group60D23", "60D²³"), =HYPERLINK("CSG23.html#group30F23", "30F²³"), =HYPERLINK("CSG23.html#group30A23", "30A²³"), =HYPERLINK("CSG23.html#group30G23", "30G²³"), =HYPERLINK("CSG21.html#group30C21", "30C²¹")</f>
        <v/>
      </c>
    </row>
    <row r="2606">
      <c r="A2606" t="inlineStr">
        <is>
          <t>30D¹¹</t>
        </is>
      </c>
      <c r="B2606" t="inlineStr"/>
      <c r="C2606" t="inlineStr">
        <is>
          <t>180</t>
        </is>
      </c>
      <c r="D2606" t="inlineStr">
        <is>
          <t>1</t>
        </is>
      </c>
      <c r="E2606" t="inlineStr">
        <is>
          <t>90</t>
        </is>
      </c>
      <c r="F2606" t="inlineStr">
        <is>
          <t>8</t>
        </is>
      </c>
      <c r="G2606" t="inlineStr">
        <is>
          <t>0</t>
        </is>
      </c>
      <c r="H2606" t="inlineStr">
        <is>
          <t>30⁶</t>
        </is>
      </c>
      <c r="I2606" t="n">
        <v>6</v>
      </c>
      <c r="J2606" t="inlineStr">
        <is>
          <t>2³, 4⁹, 8⁶</t>
        </is>
      </c>
      <c r="K2606">
        <f>HYPERLINK("CSG0.html#group6H0", "6H⁰"), =HYPERLINK("CSG3.html#group30H3", "30H³"), =HYPERLINK("CSG5.html#group30K5", "30K⁵")</f>
        <v/>
      </c>
      <c r="L2606">
        <f>HYPERLINK("CSG21.html#group30D21", "30D²¹"), =HYPERLINK("CSG23.html#group30G23", "30G²³"), =HYPERLINK("CSG23.html#group30K23", "30K²³"), =HYPERLINK("CSG23.html#group60H23", "60H²³"), =HYPERLINK("CSG23.html#group60I23", "60I²³")</f>
        <v/>
      </c>
      <c r="M2606">
        <f>HYPERLINK("CSG5.html#group30K5", "30K⁵"), =HYPERLINK("CSG1.html#group15D1", "15D¹"), =HYPERLINK("CSG0.html#group6B0", "6B⁰"), =HYPERLINK("CSG0.html#group3A0", "3A⁰"), =HYPERLINK("CSG0.html#group5C0", "5C⁰"), =HYPERLINK("CSG0.html#group2B0", "2B⁰"), =HYPERLINK("CSG0.html#group6H0", "6H⁰"), =HYPERLINK("CSG3.html#group30H3", "30H³"), =HYPERLINK("CSG0.html#group1A0", "1A⁰"), =HYPERLINK("CSG0.html#group6D0", "6D⁰"), =HYPERLINK("CSG1.html#group10F1", "10F¹")</f>
        <v/>
      </c>
      <c r="N2606">
        <f>HYPERLINK("CSG23.html#group60H23", "60H²³"), =HYPERLINK("CSG21.html#group30D21", "30D²¹"), =HYPERLINK("CSG23.html#group30G23", "30G²³"), =HYPERLINK("CSG23.html#group30K23", "30K²³"), =HYPERLINK("CSG23.html#group60I23", "60I²³")</f>
        <v/>
      </c>
    </row>
    <row r="2607">
      <c r="A2607" t="inlineStr">
        <is>
          <t>30E¹¹</t>
        </is>
      </c>
      <c r="B2607" t="inlineStr"/>
      <c r="C2607" t="inlineStr">
        <is>
          <t>180</t>
        </is>
      </c>
      <c r="D2607" t="inlineStr">
        <is>
          <t>2</t>
        </is>
      </c>
      <c r="E2607" t="inlineStr">
        <is>
          <t>45</t>
        </is>
      </c>
      <c r="F2607" t="inlineStr">
        <is>
          <t>8</t>
        </is>
      </c>
      <c r="G2607" t="inlineStr">
        <is>
          <t>0</t>
        </is>
      </c>
      <c r="H2607" t="inlineStr">
        <is>
          <t>30⁶</t>
        </is>
      </c>
      <c r="I2607" t="n">
        <v>6</v>
      </c>
      <c r="J2607" t="inlineStr">
        <is>
          <t>2¹, 4⁴, 8⁹</t>
        </is>
      </c>
      <c r="K2607">
        <f>HYPERLINK("CSG3.html#group15H3", "15H³"), =HYPERLINK("CSG5.html#group30L5", "30L⁵")</f>
        <v/>
      </c>
      <c r="L2607">
        <f>HYPERLINK("CSG21.html#group30F21", "30F²¹"), =HYPERLINK("CSG23.html#group30D23", "30D²³"), =HYPERLINK("CSG23.html#group30E23", "30E²³"), =HYPERLINK("CSG23.html#group30J23", "30J²³")</f>
        <v/>
      </c>
      <c r="M2607">
        <f>HYPERLINK("CSG0.html#group5A0", "5A⁰"), =HYPERLINK("CSG5.html#group30L5", "30L⁵"), =HYPERLINK("CSG1.html#group15A1", "15A¹"), =HYPERLINK("CSG1.html#group15F1", "15F¹"), =HYPERLINK("CSG0.html#group5E0", "5E⁰"), =HYPERLINK("CSG0.html#group3A0", "3A⁰"), =HYPERLINK("CSG0.html#group1A0", "1A⁰"), =HYPERLINK("CSG3.html#group15H3", "15H³"), =HYPERLINK("CSG0.html#group15A0", "15A⁰")</f>
        <v/>
      </c>
      <c r="N2607">
        <f>HYPERLINK("CSG21.html#group30F21", "30F²¹"), =HYPERLINK("CSG23.html#group30J23", "30J²³"), =HYPERLINK("CSG23.html#group30D23", "30D²³"), =HYPERLINK("CSG23.html#group30E23", "30E²³")</f>
        <v/>
      </c>
    </row>
    <row r="2608">
      <c r="A2608" t="inlineStr">
        <is>
          <t>30F¹¹</t>
        </is>
      </c>
      <c r="B2608" t="inlineStr"/>
      <c r="C2608" t="inlineStr">
        <is>
          <t>180</t>
        </is>
      </c>
      <c r="D2608" t="inlineStr">
        <is>
          <t>2</t>
        </is>
      </c>
      <c r="E2608" t="inlineStr">
        <is>
          <t>180</t>
        </is>
      </c>
      <c r="F2608" t="inlineStr">
        <is>
          <t>4</t>
        </is>
      </c>
      <c r="G2608" t="inlineStr">
        <is>
          <t>0</t>
        </is>
      </c>
      <c r="H2608" t="inlineStr">
        <is>
          <t>15⁴, 30⁴</t>
        </is>
      </c>
      <c r="I2608" t="n">
        <v>8</v>
      </c>
      <c r="J2608" t="inlineStr">
        <is>
          <t>8⁴⁵</t>
        </is>
      </c>
      <c r="K2608">
        <f>HYPERLINK("CSG2.html#group15E2", "15E²"), =HYPERLINK("CSG3.html#group30E3", "30E³")</f>
        <v/>
      </c>
      <c r="L2608">
        <f>HYPERLINK("CSG22.html#group30G22", "30G²²"), =HYPERLINK("CSG24.html#group30A24", "30A²⁴"), =HYPERLINK("CSG24.html#group60B24", "60B²⁴")</f>
        <v/>
      </c>
      <c r="M2608">
        <f>HYPERLINK("CSG2.html#group15E2", "15E²"), =HYPERLINK("CSG0.html#group5A0", "5A⁰"), =HYPERLINK("CSG0.html#group2B0", "2B⁰"), =HYPERLINK("CSG3.html#group30E3", "30E³"), =HYPERLINK("CSG0.html#group1A0", "1A⁰"), =HYPERLINK("CSG1.html#group10B1", "10B¹"), =HYPERLINK("CSG0.html#group15A0", "15A⁰")</f>
        <v/>
      </c>
      <c r="N2608">
        <f>HYPERLINK("CSG22.html#group30G22", "30G²²"), =HYPERLINK("CSG24.html#group30A24", "30A²⁴"), =HYPERLINK("CSG24.html#group60B24", "60B²⁴")</f>
        <v/>
      </c>
    </row>
    <row r="2609">
      <c r="A2609" t="inlineStr">
        <is>
          <t>30G¹¹</t>
        </is>
      </c>
      <c r="B2609" t="inlineStr"/>
      <c r="C2609" t="inlineStr">
        <is>
          <t>216</t>
        </is>
      </c>
      <c r="D2609" t="inlineStr">
        <is>
          <t>1</t>
        </is>
      </c>
      <c r="E2609" t="inlineStr">
        <is>
          <t>18</t>
        </is>
      </c>
      <c r="F2609" t="inlineStr">
        <is>
          <t>0</t>
        </is>
      </c>
      <c r="G2609" t="inlineStr">
        <is>
          <t>0</t>
        </is>
      </c>
      <c r="H2609" t="inlineStr">
        <is>
          <t>3⁴, 6⁴, 15⁴, 30⁴</t>
        </is>
      </c>
      <c r="I2609" t="n">
        <v>16</v>
      </c>
      <c r="J2609" t="inlineStr">
        <is>
          <t>1⁶, 4³</t>
        </is>
      </c>
      <c r="K2609">
        <f>HYPERLINK("CSG0.html#group6K0", "6K⁰"), =HYPERLINK("CSG3.html#group15E3", "15E³"), =HYPERLINK("CSG3.html#group30K3", "30K³"), =HYPERLINK("CSG5.html#group30O5", "30O⁵")</f>
        <v/>
      </c>
      <c r="L2609">
        <f>HYPERLINK("CSG21.html#group30G21", "30G²¹")</f>
        <v/>
      </c>
      <c r="M2609">
        <f>HYPERLINK("CSG0.html#group3B0", "3B⁰"), =HYPERLINK("CSG0.html#group5B0", "5B⁰"), =HYPERLINK("CSG0.html#group6G0", "6G⁰"), =HYPERLINK("CSG0.html#group2B0", "2B⁰"), =HYPERLINK("CSG5.html#group30O5", "30O⁵"), =HYPERLINK("CSG0.html#group1A0", "1A⁰"), =HYPERLINK("CSG1.html#group15C1", "15C¹"), =HYPERLINK("CSG0.html#group15B0", "15B⁰"), =HYPERLINK("CSG2.html#group30E2", "30E²"), =HYPERLINK("CSG3.html#group15E3", "15E³"), =HYPERLINK("CSG0.html#group6F0", "6F⁰"), =HYPERLINK("CSG0.html#group10C0", "10C⁰"), =HYPERLINK("CSG0.html#group3C0", "3C⁰"), =HYPERLINK("CSG0.html#group6K0", "6K⁰"), =HYPERLINK("CSG3.html#group30K3", "30K³"), =HYPERLINK("CSG0.html#group3A0", "3A⁰"), =HYPERLINK("CSG0.html#group3D0", "3D⁰"), =HYPERLINK("CSG0.html#group6D0", "6D⁰"), =HYPERLINK("CSG1.html#group15E1", "15E¹")</f>
        <v/>
      </c>
      <c r="N2609">
        <f>HYPERLINK("CSG21.html#group30G21", "30G²¹")</f>
        <v/>
      </c>
    </row>
    <row r="2610">
      <c r="A2610" t="inlineStr">
        <is>
          <t>30H¹¹</t>
        </is>
      </c>
      <c r="B2610" t="inlineStr"/>
      <c r="C2610" t="inlineStr">
        <is>
          <t>216</t>
        </is>
      </c>
      <c r="D2610" t="inlineStr">
        <is>
          <t>1</t>
        </is>
      </c>
      <c r="E2610" t="inlineStr">
        <is>
          <t>54</t>
        </is>
      </c>
      <c r="F2610" t="inlineStr">
        <is>
          <t>0</t>
        </is>
      </c>
      <c r="G2610" t="inlineStr">
        <is>
          <t>0</t>
        </is>
      </c>
      <c r="H2610" t="inlineStr">
        <is>
          <t>3⁴, 6⁴, 15⁴, 30⁴</t>
        </is>
      </c>
      <c r="I2610" t="n">
        <v>16</v>
      </c>
      <c r="J2610" t="inlineStr">
        <is>
          <t>1⁶, 2⁶, 4³, 8³</t>
        </is>
      </c>
      <c r="K2610">
        <f>HYPERLINK("CSG3.html#group15F3", "15F³"), =HYPERLINK("CSG4.html#group30I4", "30I⁴"), =HYPERLINK("CSG5.html#group30O5", "30O⁵"), =HYPERLINK("CSG6.html#group30C6", "30C⁶")</f>
        <v/>
      </c>
      <c r="L2610">
        <f>HYPERLINK("CSG21.html#group30G21", "30G²¹")</f>
        <v/>
      </c>
      <c r="M2610">
        <f>HYPERLINK("CSG6.html#group30C6", "30C⁶"), =HYPERLINK("CSG0.html#group5B0", "5B⁰"), =HYPERLINK("CSG0.html#group5D0", "5D⁰"), =HYPERLINK("CSG0.html#group6G0", "6G⁰"), =HYPERLINK("CSG3.html#group15F3", "15F³"), =HYPERLINK("CSG0.html#group2B0", "2B⁰"), =HYPERLINK("CSG5.html#group30O5", "30O⁵"), =HYPERLINK("CSG0.html#group1A0", "1A⁰"), =HYPERLINK("CSG0.html#group10F0", "10F⁰"), =HYPERLINK("CSG0.html#group15B0", "15B⁰"), =HYPERLINK("CSG2.html#group30E2", "30E²"), =HYPERLINK("CSG1.html#group15E1", "15E¹"), =HYPERLINK("CSG4.html#group30I4", "30I⁴"), =HYPERLINK("CSG2.html#group15B2", "15B²"), =HYPERLINK("CSG0.html#group10C0", "10C⁰"), =HYPERLINK("CSG0.html#group3C0", "3C⁰"), =HYPERLINK("CSG0.html#group3A0", "3A⁰"), =HYPERLINK("CSG0.html#group6D0", "6D⁰"), =HYPERLINK("CSG0.html#group15C0", "15C⁰")</f>
        <v/>
      </c>
      <c r="N2610">
        <f>HYPERLINK("CSG21.html#group30G21", "30G²¹")</f>
        <v/>
      </c>
    </row>
    <row r="2611">
      <c r="A2611" t="inlineStr">
        <is>
          <t>30I¹¹</t>
        </is>
      </c>
      <c r="B2611" t="inlineStr"/>
      <c r="C2611" t="inlineStr">
        <is>
          <t>216</t>
        </is>
      </c>
      <c r="D2611" t="inlineStr">
        <is>
          <t>1</t>
        </is>
      </c>
      <c r="E2611" t="inlineStr">
        <is>
          <t>54</t>
        </is>
      </c>
      <c r="F2611" t="inlineStr">
        <is>
          <t>8</t>
        </is>
      </c>
      <c r="G2611" t="inlineStr">
        <is>
          <t>0</t>
        </is>
      </c>
      <c r="H2611" t="inlineStr">
        <is>
          <t>6⁶, 30⁶</t>
        </is>
      </c>
      <c r="I2611" t="n">
        <v>12</v>
      </c>
      <c r="J2611" t="inlineStr">
        <is>
          <t>1⁶, 2⁶, 4³, 8³</t>
        </is>
      </c>
      <c r="K2611">
        <f>HYPERLINK("CSG0.html#group6L0", "6L⁰"), =HYPERLINK("CSG3.html#group30I3", "30I³"), =HYPERLINK("CSG5.html#group30O5", "30O⁵"), =HYPERLINK("CSG5.html#group30P5", "30P⁵")</f>
        <v/>
      </c>
      <c r="L2611">
        <f>HYPERLINK("CSG21.html#group30H21", "30H²¹")</f>
        <v/>
      </c>
      <c r="M2611">
        <f>HYPERLINK("CSG0.html#group6B0", "6B⁰"), =HYPERLINK("CSG3.html#group30I3", "30I³"), =HYPERLINK("CSG0.html#group5B0", "5B⁰"), =HYPERLINK("CSG0.html#group6G0", "6G⁰"), =HYPERLINK("CSG0.html#group2B0", "2B⁰"), =HYPERLINK("CSG5.html#group30O5", "30O⁵"), =HYPERLINK("CSG0.html#group1A0", "1A⁰"), =HYPERLINK("CSG5.html#group30P5", "30P⁵"), =HYPERLINK("CSG0.html#group15B0", "15B⁰"), =HYPERLINK("CSG2.html#group30E2", "30E²"), =HYPERLINK("CSG0.html#group6E0", "6E⁰"), =HYPERLINK("CSG0.html#group6L0", "6L⁰"), =HYPERLINK("CSG1.html#group15E1", "15E¹"), =HYPERLINK("CSG0.html#group10C0", "10C⁰"), =HYPERLINK("CSG0.html#group3C0", "3C⁰"), =HYPERLINK("CSG0.html#group6H0", "6H⁰"), =HYPERLINK("CSG0.html#group3A0", "3A⁰"), =HYPERLINK("CSG0.html#group6D0", "6D⁰"), =HYPERLINK("CSG1.html#group30C1", "30C¹")</f>
        <v/>
      </c>
      <c r="N2611">
        <f>HYPERLINK("CSG21.html#group30H21", "30H²¹")</f>
        <v/>
      </c>
    </row>
    <row r="2612">
      <c r="A2612" t="inlineStr">
        <is>
          <t>30J¹¹</t>
        </is>
      </c>
      <c r="B2612" t="inlineStr"/>
      <c r="C2612" t="inlineStr">
        <is>
          <t>216</t>
        </is>
      </c>
      <c r="D2612" t="inlineStr">
        <is>
          <t>1</t>
        </is>
      </c>
      <c r="E2612" t="inlineStr">
        <is>
          <t>54</t>
        </is>
      </c>
      <c r="F2612" t="inlineStr">
        <is>
          <t>8</t>
        </is>
      </c>
      <c r="G2612" t="inlineStr">
        <is>
          <t>0</t>
        </is>
      </c>
      <c r="H2612" t="inlineStr">
        <is>
          <t>6⁶, 30⁶</t>
        </is>
      </c>
      <c r="I2612" t="n">
        <v>12</v>
      </c>
      <c r="J2612" t="inlineStr">
        <is>
          <t>1⁶, 2⁶, 4³, 8³</t>
        </is>
      </c>
      <c r="K2612">
        <f>HYPERLINK("CSG3.html#group30J3", "30J³"), =HYPERLINK("CSG4.html#group30H4", "30H⁴"), =HYPERLINK("CSG5.html#group30O5", "30O⁵"), =HYPERLINK("CSG6.html#group30D6", "30D⁶")</f>
        <v/>
      </c>
      <c r="L2612">
        <f>HYPERLINK("CSG21.html#group30H21", "30H²¹")</f>
        <v/>
      </c>
      <c r="M2612">
        <f>HYPERLINK("CSG0.html#group30A0", "30A⁰"), =HYPERLINK("CSG0.html#group10G0", "10G⁰"), =HYPERLINK("CSG3.html#group30J3", "30J³"), =HYPERLINK("CSG0.html#group5B0", "5B⁰"), =HYPERLINK("CSG0.html#group6G0", "6G⁰"), =HYPERLINK("CSG0.html#group2B0", "2B⁰"), =HYPERLINK("CSG5.html#group30O5", "30O⁵"), =HYPERLINK("CSG0.html#group1A0", "1A⁰"), =HYPERLINK("CSG0.html#group10B0", "10B⁰"), =HYPERLINK("CSG0.html#group15B0", "15B⁰"), =HYPERLINK("CSG6.html#group30D6", "30D⁶"), =HYPERLINK("CSG2.html#group30E2", "30E²"), =HYPERLINK("CSG0.html#group10C0", "10C⁰"), =HYPERLINK("CSG0.html#group3C0", "3C⁰"), =HYPERLINK("CSG4.html#group30H4", "30H⁴"), =HYPERLINK("CSG0.html#group3A0", "3A⁰"), =HYPERLINK("CSG0.html#group6D0", "6D⁰"), =HYPERLINK("CSG1.html#group15E1", "15E¹"), =HYPERLINK("CSG2.html#group30C2", "30C²")</f>
        <v/>
      </c>
      <c r="N2612">
        <f>HYPERLINK("CSG21.html#group30H21", "30H²¹")</f>
        <v/>
      </c>
    </row>
    <row r="2613">
      <c r="A2613" t="inlineStr">
        <is>
          <t>30K¹¹</t>
        </is>
      </c>
      <c r="B2613" t="inlineStr"/>
      <c r="C2613" t="inlineStr">
        <is>
          <t>216</t>
        </is>
      </c>
      <c r="D2613" t="inlineStr">
        <is>
          <t>2</t>
        </is>
      </c>
      <c r="E2613" t="inlineStr">
        <is>
          <t>54</t>
        </is>
      </c>
      <c r="F2613" t="inlineStr">
        <is>
          <t>8</t>
        </is>
      </c>
      <c r="G2613" t="inlineStr">
        <is>
          <t>0</t>
        </is>
      </c>
      <c r="H2613" t="inlineStr">
        <is>
          <t>6⁶, 30⁶</t>
        </is>
      </c>
      <c r="I2613" t="n">
        <v>12</v>
      </c>
      <c r="J2613" t="inlineStr">
        <is>
          <t>2¹⁸, 8⁹</t>
        </is>
      </c>
      <c r="K2613">
        <f>HYPERLINK("CSG3.html#group30L3", "30L³"), =HYPERLINK("CSG4.html#group30I4", "30I⁴"), =HYPERLINK("CSG5.html#group30P5", "30P⁵"), =HYPERLINK("CSG6.html#group30D6", "30D⁶")</f>
        <v/>
      </c>
      <c r="L2613">
        <f>HYPERLINK("CSG21.html#group30H21", "30H²¹")</f>
        <v/>
      </c>
      <c r="M2613">
        <f>HYPERLINK("CSG3.html#group30L3", "30L³"), =HYPERLINK("CSG0.html#group6B0", "6B⁰"), =HYPERLINK("CSG0.html#group5B0", "5B⁰"), =HYPERLINK("CSG0.html#group2B0", "2B⁰"), =HYPERLINK("CSG0.html#group1A0", "1A⁰"), =HYPERLINK("CSG5.html#group30P5", "30P⁵"), =HYPERLINK("CSG0.html#group15B0", "15B⁰"), =HYPERLINK("CSG6.html#group30D6", "30D⁶"), =HYPERLINK("CSG2.html#group30E2", "30E²"), =HYPERLINK("CSG4.html#group30I4", "30I⁴"), =HYPERLINK("CSG0.html#group10C0", "10C⁰"), =HYPERLINK("CSG0.html#group15C0", "15C⁰"), =HYPERLINK("CSG0.html#group6H0", "6H⁰"), =HYPERLINK("CSG0.html#group3A0", "3A⁰"), =HYPERLINK("CSG0.html#group6D0", "6D⁰"), =HYPERLINK("CSG1.html#group30C1", "30C¹"), =HYPERLINK("CSG2.html#group30C2", "30C²")</f>
        <v/>
      </c>
      <c r="N2613">
        <f>HYPERLINK("CSG21.html#group30H21", "30H²¹")</f>
        <v/>
      </c>
    </row>
    <row r="2614">
      <c r="A2614" t="inlineStr">
        <is>
          <t>32A¹¹</t>
        </is>
      </c>
      <c r="B2614" t="inlineStr"/>
      <c r="C2614" t="inlineStr">
        <is>
          <t>192</t>
        </is>
      </c>
      <c r="D2614" t="inlineStr">
        <is>
          <t>1</t>
        </is>
      </c>
      <c r="E2614" t="inlineStr">
        <is>
          <t>6</t>
        </is>
      </c>
      <c r="F2614" t="inlineStr">
        <is>
          <t>0</t>
        </is>
      </c>
      <c r="G2614" t="inlineStr">
        <is>
          <t>0</t>
        </is>
      </c>
      <c r="H2614" t="inlineStr">
        <is>
          <t>8⁸, 32⁴</t>
        </is>
      </c>
      <c r="I2614" t="n">
        <v>12</v>
      </c>
      <c r="J2614" t="inlineStr">
        <is>
          <t>1², 2²</t>
        </is>
      </c>
      <c r="K2614">
        <f>HYPERLINK("CSG3.html#group16I3", "16I³"), =HYPERLINK("CSG5.html#group32H5", "32H⁵"), =HYPERLINK("CSG5.html#group32I5", "32I⁵"), =HYPERLINK("CSG6.html#group32A6", "32A⁶"), =HYPERLINK("CSG6.html#group32B6", "32B⁶")</f>
        <v/>
      </c>
      <c r="L2614">
        <f>HYPERLINK("CSG21.html#group32C21", "32C²¹"), =HYPERLINK("CSG21.html#group32D21", "32D²¹"), =HYPERLINK("CSG21.html#group32E21", "32E²¹")</f>
        <v/>
      </c>
      <c r="M2614">
        <f>HYPERLINK("CSG0.html#group2A0", "2A⁰"), =HYPERLINK("CSG0.html#group16G0", "16G⁰"), =HYPERLINK("CSG1.html#group16I1", "16I¹"), =HYPERLINK("CSG0.html#group4C0", "4C⁰"), =HYPERLINK("CSG0.html#group4G0", "4G⁰"), =HYPERLINK("CSG0.html#group2B0", "2B⁰"), =HYPERLINK("CSG0.html#group8C0", "8C⁰"), =HYPERLINK("CSG0.html#group4E0", "4E⁰"), =HYPERLINK("CSG0.html#group4B0", "4B⁰"), =HYPERLINK("CSG1.html#group8F1", "8F¹"), =HYPERLINK("CSG0.html#group1A0", "1A⁰"), =HYPERLINK("CSG0.html#group16E0", "16E⁰"), =HYPERLINK("CSG0.html#group8G0", "8G⁰"), =HYPERLINK("CSG0.html#group4D0", "4D⁰"), =HYPERLINK("CSG5.html#group32I5", "32I⁵"), =HYPERLINK("CSG2.html#group16D2", "16D²"), =HYPERLINK("CSG1.html#group8A1", "8A¹"), =HYPERLINK("CSG2.html#group16C2", "16C²"), =HYPERLINK("CSG0.html#group8D0", "8D⁰"), =HYPERLINK("CSG5.html#group32H5", "32H⁵"), =HYPERLINK("CSG0.html#group8B0", "8B⁰"), =HYPERLINK("CSG3.html#group32I3", "32I³"), =HYPERLINK("CSG1.html#group8B1", "8B¹"), =HYPERLINK("CSG6.html#group32A6", "32A⁶"), =HYPERLINK("CSG3.html#group16I3", "16I³"), =HYPERLINK("CSG0.html#group8H0", "8H⁰"), =HYPERLINK("CSG1.html#group8C1", "8C¹"), =HYPERLINK("CSG0.html#group4A0", "4A⁰"), =HYPERLINK("CSG1.html#group16C1", "16C¹"), =HYPERLINK("CSG0.html#group16D0", "16D⁰"), =HYPERLINK("CSG6.html#group32B6", "32B⁶"), =HYPERLINK("CSG0.html#group4F0", "4F⁰"), =HYPERLINK("CSG0.html#group2C0", "2C⁰")</f>
        <v/>
      </c>
      <c r="N2614">
        <f>HYPERLINK("CSG21.html#group32D21", "32D²¹"), =HYPERLINK("CSG21.html#group32E21", "32E²¹"), =HYPERLINK("CSG21.html#group32C21", "32C²¹")</f>
        <v/>
      </c>
    </row>
    <row r="2615">
      <c r="A2615" t="inlineStr">
        <is>
          <t>32B¹¹</t>
        </is>
      </c>
      <c r="B2615" t="inlineStr"/>
      <c r="C2615" t="inlineStr">
        <is>
          <t>192</t>
        </is>
      </c>
      <c r="D2615" t="inlineStr">
        <is>
          <t>1</t>
        </is>
      </c>
      <c r="E2615" t="inlineStr">
        <is>
          <t>12</t>
        </is>
      </c>
      <c r="F2615" t="inlineStr">
        <is>
          <t>0</t>
        </is>
      </c>
      <c r="G2615" t="inlineStr">
        <is>
          <t>0</t>
        </is>
      </c>
      <c r="H2615" t="inlineStr">
        <is>
          <t>8⁸, 32⁴</t>
        </is>
      </c>
      <c r="I2615" t="n">
        <v>12</v>
      </c>
      <c r="J2615" t="inlineStr">
        <is>
          <t>1⁴, 2², 4¹</t>
        </is>
      </c>
      <c r="K2615">
        <f>HYPERLINK("CSG3.html#group16J3", "16J³"), =HYPERLINK("CSG6.html#group32A6", "32A⁶")</f>
        <v/>
      </c>
      <c r="L2615">
        <f>HYPERLINK("CSG21.html#group32C21", "32C²¹"), =HYPERLINK("CSG21.html#group32H21", "32H²¹"), =HYPERLINK("CSG21.html#group32G21", "32G²¹")</f>
        <v/>
      </c>
      <c r="M2615">
        <f>HYPERLINK("CSG0.html#group2A0", "2A⁰"), =HYPERLINK("CSG2.html#group16C2", "16C²"), =HYPERLINK("CSG0.html#group8D0", "8D⁰"), =HYPERLINK("CSG1.html#group16E1", "16E¹"), =HYPERLINK("CSG0.html#group4C0", "4C⁰"), =HYPERLINK("CSG1.html#group16A1", "16A¹"), =HYPERLINK("CSG0.html#group8C0", "8C⁰"), =HYPERLINK("CSG0.html#group4E0", "4E⁰"), =HYPERLINK("CSG0.html#group2B0", "2B⁰"), =HYPERLINK("CSG6.html#group32A6", "32A⁶"), =HYPERLINK("CSG3.html#group16J3", "16J³"), =HYPERLINK("CSG0.html#group8I0", "8I⁰"), =HYPERLINK("CSG0.html#group4B0", "4B⁰"), =HYPERLINK("CSG0.html#group1A0", "1A⁰"), =HYPERLINK("CSG3.html#group32I3", "32I³"), =HYPERLINK("CSG0.html#group8G0", "8G⁰"), =HYPERLINK("CSG0.html#group16C0", "16C⁰"), =HYPERLINK("CSG1.html#group16C1", "16C¹"), =HYPERLINK("CSG0.html#group8J0", "8J⁰"), =HYPERLINK("CSG0.html#group2C0", "2C⁰"), =HYPERLINK("CSG0.html#group8O0", "8O⁰")</f>
        <v/>
      </c>
      <c r="N2615">
        <f>HYPERLINK("CSG21.html#group32G21", "32G²¹"), =HYPERLINK("CSG21.html#group32H21", "32H²¹"), =HYPERLINK("CSG21.html#group32C21", "32C²¹")</f>
        <v/>
      </c>
    </row>
    <row r="2616">
      <c r="A2616" t="inlineStr">
        <is>
          <t>32C¹¹</t>
        </is>
      </c>
      <c r="B2616" t="inlineStr"/>
      <c r="C2616" t="inlineStr">
        <is>
          <t>192</t>
        </is>
      </c>
      <c r="D2616" t="inlineStr">
        <is>
          <t>1</t>
        </is>
      </c>
      <c r="E2616" t="inlineStr">
        <is>
          <t>24</t>
        </is>
      </c>
      <c r="F2616" t="inlineStr">
        <is>
          <t>0</t>
        </is>
      </c>
      <c r="G2616" t="inlineStr">
        <is>
          <t>0</t>
        </is>
      </c>
      <c r="H2616" t="inlineStr">
        <is>
          <t>8⁸, 32⁴</t>
        </is>
      </c>
      <c r="I2616" t="n">
        <v>12</v>
      </c>
      <c r="J2616" t="inlineStr">
        <is>
          <t>1², 2¹, 4¹, 8²</t>
        </is>
      </c>
      <c r="K2616">
        <f>HYPERLINK("CSG3.html#group32P3", "32P³"), =HYPERLINK("CSG5.html#group16F5", "16F⁵"), =HYPERLINK("CSG5.html#group32H5", "32H⁵")</f>
        <v/>
      </c>
      <c r="L2616">
        <f>HYPERLINK("CSG21.html#group32E21", "32E²¹"), =HYPERLINK("CSG21.html#group32P21", "32P²¹"), =HYPERLINK("CSG23.html#group64B23", "64B²³")</f>
        <v/>
      </c>
      <c r="M2616">
        <f>HYPERLINK("CSG5.html#group16F5", "16F⁵"), =HYPERLINK("CSG1.html#group16I1", "16I¹"), =HYPERLINK("CSG3.html#group16C3", "16C³"), =HYPERLINK("CSG0.html#group8D0", "8D⁰"), =HYPERLINK("CSG0.html#group4C0", "4C⁰"), =HYPERLINK("CSG5.html#group32H5", "32H⁵"), =HYPERLINK("CSG0.html#group8B0", "8B⁰"), =HYPERLINK("CSG1.html#group16B1", "16B¹"), =HYPERLINK("CSG3.html#group32I3", "32I³"), =HYPERLINK("CSG0.html#group2B0", "2B⁰"), =HYPERLINK("CSG0.html#group1A0", "1A⁰"), =HYPERLINK("CSG2.html#group16A2", "16A²"), =HYPERLINK("CSG0.html#group8H0", "8H⁰"), =HYPERLINK("CSG0.html#group16E0", "16E⁰"), =HYPERLINK("CSG0.html#group8F0", "8F⁰"), =HYPERLINK("CSG0.html#group4A0", "4A⁰"), =HYPERLINK("CSG1.html#group8I1", "8I¹"), =HYPERLINK("CSG1.html#group16C1", "16C¹"), =HYPERLINK("CSG0.html#group4F0", "4F⁰"), =HYPERLINK("CSG3.html#group32P3", "32P³")</f>
        <v/>
      </c>
      <c r="N2616">
        <f>HYPERLINK("CSG23.html#group64B23", "64B²³"), =HYPERLINK("CSG21.html#group32E21", "32E²¹"), =HYPERLINK("CSG21.html#group32P21", "32P²¹")</f>
        <v/>
      </c>
    </row>
    <row r="2617">
      <c r="A2617" t="inlineStr">
        <is>
          <t>32D¹¹</t>
        </is>
      </c>
      <c r="B2617" t="inlineStr"/>
      <c r="C2617" t="inlineStr">
        <is>
          <t>192</t>
        </is>
      </c>
      <c r="D2617" t="inlineStr">
        <is>
          <t>1</t>
        </is>
      </c>
      <c r="E2617" t="inlineStr">
        <is>
          <t>24</t>
        </is>
      </c>
      <c r="F2617" t="inlineStr">
        <is>
          <t>0</t>
        </is>
      </c>
      <c r="G2617" t="inlineStr">
        <is>
          <t>0</t>
        </is>
      </c>
      <c r="H2617" t="inlineStr">
        <is>
          <t>8⁸, 32⁴</t>
        </is>
      </c>
      <c r="I2617" t="n">
        <v>12</v>
      </c>
      <c r="J2617" t="inlineStr">
        <is>
          <t>2⁴, 8²</t>
        </is>
      </c>
      <c r="K2617">
        <f>HYPERLINK("CSG3.html#group32Q3", "32Q³"), =HYPERLINK("CSG5.html#group16F5", "16F⁵"), =HYPERLINK("CSG5.html#group32I5", "32I⁵")</f>
        <v/>
      </c>
      <c r="L2617">
        <f>HYPERLINK("CSG21.html#group32E21", "32E²¹"), =HYPERLINK("CSG21.html#group32P21", "32P²¹")</f>
        <v/>
      </c>
      <c r="M2617">
        <f>HYPERLINK("CSG5.html#group16F5", "16F⁵"), =HYPERLINK("CSG1.html#group16I1", "16I¹"), =HYPERLINK("CSG3.html#group16C3", "16C³"), =HYPERLINK("CSG0.html#group8D0", "8D⁰"), =HYPERLINK("CSG0.html#group4C0", "4C⁰"), =HYPERLINK("CSG0.html#group8B0", "8B⁰"), =HYPERLINK("CSG1.html#group16B1", "16B¹"), =HYPERLINK("CSG1.html#group32D1", "32D¹"), =HYPERLINK("CSG0.html#group2B0", "2B⁰"), =HYPERLINK("CSG0.html#group1A0", "1A⁰"), =HYPERLINK("CSG3.html#group32Q3", "32Q³"), =HYPERLINK("CSG2.html#group16A2", "16A²"), =HYPERLINK("CSG0.html#group8H0", "8H⁰"), =HYPERLINK("CSG0.html#group16E0", "16E⁰"), =HYPERLINK("CSG0.html#group8F0", "8F⁰"), =HYPERLINK("CSG1.html#group32C1", "32C¹"), =HYPERLINK("CSG0.html#group4A0", "4A⁰"), =HYPERLINK("CSG1.html#group8I1", "8I¹"), =HYPERLINK("CSG1.html#group16C1", "16C¹"), =HYPERLINK("CSG0.html#group4F0", "4F⁰"), =HYPERLINK("CSG5.html#group32I5", "32I⁵")</f>
        <v/>
      </c>
      <c r="N2617">
        <f>HYPERLINK("CSG21.html#group32E21", "32E²¹"), =HYPERLINK("CSG21.html#group32P21", "32P²¹")</f>
        <v/>
      </c>
    </row>
    <row r="2618">
      <c r="A2618" t="inlineStr">
        <is>
          <t>32E¹¹</t>
        </is>
      </c>
      <c r="B2618" t="inlineStr"/>
      <c r="C2618" t="inlineStr">
        <is>
          <t>192</t>
        </is>
      </c>
      <c r="D2618" t="inlineStr">
        <is>
          <t>1</t>
        </is>
      </c>
      <c r="E2618" t="inlineStr">
        <is>
          <t>24</t>
        </is>
      </c>
      <c r="F2618" t="inlineStr">
        <is>
          <t>8</t>
        </is>
      </c>
      <c r="G2618" t="inlineStr">
        <is>
          <t>0</t>
        </is>
      </c>
      <c r="H2618" t="inlineStr">
        <is>
          <t>16⁴, 32⁴</t>
        </is>
      </c>
      <c r="I2618" t="n">
        <v>8</v>
      </c>
      <c r="J2618" t="inlineStr">
        <is>
          <t>2², 4⁵</t>
        </is>
      </c>
      <c r="K2618">
        <f>HYPERLINK("CSG3.html#group16K3", "16K³"), =HYPERLINK("CSG5.html#group32F5", "32F⁵"), =HYPERLINK("CSG5.html#group32G5", "32G⁵")</f>
        <v/>
      </c>
      <c r="L2618">
        <f>HYPERLINK("CSG21.html#group32M21", "32M²¹"), =HYPERLINK("CSG23.html#group32A23", "32A²³"), =HYPERLINK("CSG23.html#group32B23", "32B²³")</f>
        <v/>
      </c>
      <c r="M2618">
        <f>HYPERLINK("CSG5.html#group32F5", "32F⁵"), =HYPERLINK("CSG0.html#group8D0", "8D⁰"), =HYPERLINK("CSG0.html#group4C0", "4C⁰"), =HYPERLINK("CSG0.html#group8B0", "8B⁰"), =HYPERLINK("CSG0.html#group8A0", "8A⁰"), =HYPERLINK("CSG1.html#group16B1", "16B¹"), =HYPERLINK("CSG0.html#group2B0", "2B⁰"), =HYPERLINK("CSG5.html#group32G5", "32G⁵"), =HYPERLINK("CSG0.html#group1A0", "1A⁰"), =HYPERLINK("CSG0.html#group8K0", "8K⁰"), =HYPERLINK("CSG1.html#group8D1", "8D¹"), =HYPERLINK("CSG1.html#group8H1", "8H¹"), =HYPERLINK("CSG0.html#group8H0", "8H⁰"), =HYPERLINK("CSG0.html#group16B0", "16B⁰"), =HYPERLINK("CSG3.html#group16K3", "16K³"), =HYPERLINK("CSG0.html#group4A0", "4A⁰"), =HYPERLINK("CSG3.html#group32D3", "32D³"), =HYPERLINK("CSG1.html#group32B1", "32B¹"), =HYPERLINK("CSG0.html#group4F0", "4F⁰"), =HYPERLINK("CSG1.html#group16F1", "16F¹"), =HYPERLINK("CSG1.html#group16H1", "16H¹")</f>
        <v/>
      </c>
      <c r="N2618">
        <f>HYPERLINK("CSG21.html#group32M21", "32M²¹"), =HYPERLINK("CSG23.html#group32B23", "32B²³"), =HYPERLINK("CSG23.html#group32A23", "32A²³")</f>
        <v/>
      </c>
    </row>
    <row r="2619">
      <c r="A2619" t="inlineStr">
        <is>
          <t>32F¹¹</t>
        </is>
      </c>
      <c r="B2619" t="inlineStr"/>
      <c r="C2619" t="inlineStr">
        <is>
          <t>192</t>
        </is>
      </c>
      <c r="D2619" t="inlineStr">
        <is>
          <t>1</t>
        </is>
      </c>
      <c r="E2619" t="inlineStr">
        <is>
          <t>24</t>
        </is>
      </c>
      <c r="F2619" t="inlineStr">
        <is>
          <t>8</t>
        </is>
      </c>
      <c r="G2619" t="inlineStr">
        <is>
          <t>0</t>
        </is>
      </c>
      <c r="H2619" t="inlineStr">
        <is>
          <t>16⁴, 32⁴</t>
        </is>
      </c>
      <c r="I2619" t="n">
        <v>8</v>
      </c>
      <c r="J2619" t="inlineStr">
        <is>
          <t>2², 4⁵</t>
        </is>
      </c>
      <c r="K2619">
        <f>HYPERLINK("CSG3.html#group16L3", "16L³"), =HYPERLINK("CSG5.html#group32E5", "32E⁵"), =HYPERLINK("CSG5.html#group32G5", "32G⁵")</f>
        <v/>
      </c>
      <c r="L2619">
        <f>HYPERLINK("CSG21.html#group32M21", "32M²¹"), =HYPERLINK("CSG23.html#group32C23", "32C²³"), =HYPERLINK("CSG23.html#group32D23", "32D²³")</f>
        <v/>
      </c>
      <c r="M2619">
        <f>HYPERLINK("CSG5.html#group32E5", "32E⁵"), =HYPERLINK("CSG1.html#group16I1", "16I¹"), =HYPERLINK("CSG0.html#group8D0", "8D⁰"), =HYPERLINK("CSG0.html#group4C0", "4C⁰"), =HYPERLINK("CSG0.html#group8B0", "8B⁰"), =HYPERLINK("CSG1.html#group16B1", "16B¹"), =HYPERLINK("CSG0.html#group2B0", "2B⁰"), =HYPERLINK("CSG5.html#group32G5", "32G⁵"), =HYPERLINK("CSG0.html#group1A0", "1A⁰"), =HYPERLINK("CSG0.html#group8H0", "8H⁰"), =HYPERLINK("CSG0.html#group16B0", "16B⁰"), =HYPERLINK("CSG0.html#group16E0", "16E⁰"), =HYPERLINK("CSG0.html#group8F0", "8F⁰"), =HYPERLINK("CSG3.html#group16L3", "16L³"), =HYPERLINK("CSG0.html#group4A0", "4A⁰"), =HYPERLINK("CSG1.html#group8I1", "8I¹"), =HYPERLINK("CSG1.html#group16C1", "16C¹"), =HYPERLINK("CSG3.html#group32D3", "32D³"), =HYPERLINK("CSG1.html#group32B1", "32B¹"), =HYPERLINK("CSG0.html#group4F0", "4F⁰"), =HYPERLINK("CSG1.html#group16F1", "16F¹")</f>
        <v/>
      </c>
      <c r="N2619">
        <f>HYPERLINK("CSG21.html#group32M21", "32M²¹"), =HYPERLINK("CSG23.html#group32C23", "32C²³"), =HYPERLINK("CSG23.html#group32D23", "32D²³")</f>
        <v/>
      </c>
    </row>
    <row r="2620">
      <c r="A2620" t="inlineStr">
        <is>
          <t>32G¹¹</t>
        </is>
      </c>
      <c r="B2620" t="inlineStr"/>
      <c r="C2620" t="inlineStr">
        <is>
          <t>192</t>
        </is>
      </c>
      <c r="D2620" t="inlineStr">
        <is>
          <t>1</t>
        </is>
      </c>
      <c r="E2620" t="inlineStr">
        <is>
          <t>24</t>
        </is>
      </c>
      <c r="F2620" t="inlineStr">
        <is>
          <t>8</t>
        </is>
      </c>
      <c r="G2620" t="inlineStr">
        <is>
          <t>0</t>
        </is>
      </c>
      <c r="H2620" t="inlineStr">
        <is>
          <t>16⁴, 32⁴</t>
        </is>
      </c>
      <c r="I2620" t="n">
        <v>8</v>
      </c>
      <c r="J2620" t="inlineStr">
        <is>
          <t>2², 4⁵</t>
        </is>
      </c>
      <c r="K2620">
        <f>HYPERLINK("CSG3.html#group16M3", "16M³"), =HYPERLINK("CSG5.html#group32E5", "32E⁵"), =HYPERLINK("CSG5.html#group32F5", "32F⁵")</f>
        <v/>
      </c>
      <c r="L2620">
        <f>HYPERLINK("CSG21.html#group32M21", "32M²¹"), =HYPERLINK("CSG23.html#group32H23", "32H²³")</f>
        <v/>
      </c>
      <c r="M2620">
        <f>HYPERLINK("CSG5.html#group32F5", "32F⁵"), =HYPERLINK("CSG5.html#group32E5", "32E⁵"), =HYPERLINK("CSG0.html#group8D0", "8D⁰"), =HYPERLINK("CSG3.html#group16M3", "16M³"), =HYPERLINK("CSG0.html#group4C0", "4C⁰"), =HYPERLINK("CSG0.html#group8B0", "8B⁰"), =HYPERLINK("CSG1.html#group16B1", "16B¹"), =HYPERLINK("CSG0.html#group8L0", "8L⁰"), =HYPERLINK("CSG0.html#group2B0", "2B⁰"), =HYPERLINK("CSG1.html#group16J1", "16J¹"), =HYPERLINK("CSG0.html#group1A0", "1A⁰"), =HYPERLINK("CSG2.html#group16E2", "16E²"), =HYPERLINK("CSG0.html#group8H0", "8H⁰"), =HYPERLINK("CSG0.html#group16B0", "16B⁰"), =HYPERLINK("CSG1.html#group16D1", "16D¹"), =HYPERLINK("CSG2.html#group16F2", "16F²"), =HYPERLINK("CSG0.html#group4A0", "4A⁰"), =HYPERLINK("CSG0.html#group4F0", "4F⁰"), =HYPERLINK("CSG1.html#group16F1", "16F¹"), =HYPERLINK("CSG0.html#group8P0", "8P⁰")</f>
        <v/>
      </c>
      <c r="N2620">
        <f>HYPERLINK("CSG23.html#group32H23", "32H²³"), =HYPERLINK("CSG21.html#group32M21", "32M²¹")</f>
        <v/>
      </c>
    </row>
    <row r="2621">
      <c r="A2621" t="inlineStr">
        <is>
          <t>32H¹¹</t>
        </is>
      </c>
      <c r="B2621" t="inlineStr"/>
      <c r="C2621" t="inlineStr">
        <is>
          <t>192</t>
        </is>
      </c>
      <c r="D2621" t="inlineStr">
        <is>
          <t>1</t>
        </is>
      </c>
      <c r="E2621" t="inlineStr">
        <is>
          <t>48</t>
        </is>
      </c>
      <c r="F2621" t="inlineStr">
        <is>
          <t>0</t>
        </is>
      </c>
      <c r="G2621" t="inlineStr">
        <is>
          <t>0</t>
        </is>
      </c>
      <c r="H2621" t="inlineStr">
        <is>
          <t>8⁸, 32⁴</t>
        </is>
      </c>
      <c r="I2621" t="n">
        <v>12</v>
      </c>
      <c r="J2621" t="inlineStr">
        <is>
          <t>2², 4³, 8⁴</t>
        </is>
      </c>
      <c r="K2621">
        <f>HYPERLINK("CSG4.html#group32C4", "32C⁴"), =HYPERLINK("CSG5.html#group16H5", "16H⁵"), =HYPERLINK("CSG6.html#group32B6", "32B⁶")</f>
        <v/>
      </c>
      <c r="L2621">
        <f>HYPERLINK("CSG21.html#group32D21", "32D²¹"), =HYPERLINK("CSG23.html#group64A23", "64A²³")</f>
        <v/>
      </c>
      <c r="M2621">
        <f>HYPERLINK("CSG2.html#group16D2", "16D²"), =HYPERLINK("CSG1.html#group8A1", "8A¹"), =HYPERLINK("CSG4.html#group32C4", "32C⁴"), =HYPERLINK("CSG5.html#group16H5", "16H⁵"), =HYPERLINK("CSG0.html#group8D0", "8D⁰"), =HYPERLINK("CSG0.html#group4C0", "4C⁰"), =HYPERLINK("CSG2.html#group8B2", "8B²"), =HYPERLINK("CSG0.html#group8A0", "8A⁰"), =HYPERLINK("CSG1.html#group32D1", "32D¹"), =HYPERLINK("CSG0.html#group2B0", "2B⁰"), =HYPERLINK("CSG3.html#group32I3", "32I³"), =HYPERLINK("CSG0.html#group1A0", "1A⁰"), =HYPERLINK("CSG0.html#group8K0", "8K⁰"), =HYPERLINK("CSG1.html#group8D1", "8D¹"), =HYPERLINK("CSG0.html#group16E0", "16E⁰"), =HYPERLINK("CSG1.html#group8C1", "8C¹"), =HYPERLINK("CSG2.html#group16B2", "16B²"), =HYPERLINK("CSG1.html#group32C1", "32C¹"), =HYPERLINK("CSG0.html#group4A0", "4A⁰"), =HYPERLINK("CSG1.html#group16C1", "16C¹"), =HYPERLINK("CSG6.html#group32B6", "32B⁶"), =HYPERLINK("CSG0.html#group4F0", "4F⁰"), =HYPERLINK("CSG3.html#group16E3", "16E³")</f>
        <v/>
      </c>
      <c r="N2621">
        <f>HYPERLINK("CSG21.html#group32D21", "32D²¹"), =HYPERLINK("CSG23.html#group64A23", "64A²³")</f>
        <v/>
      </c>
    </row>
    <row r="2622">
      <c r="A2622" t="inlineStr">
        <is>
          <t>32I¹¹</t>
        </is>
      </c>
      <c r="B2622" t="inlineStr"/>
      <c r="C2622" t="inlineStr">
        <is>
          <t>192</t>
        </is>
      </c>
      <c r="D2622" t="inlineStr">
        <is>
          <t>2</t>
        </is>
      </c>
      <c r="E2622" t="inlineStr">
        <is>
          <t>24</t>
        </is>
      </c>
      <c r="F2622" t="inlineStr">
        <is>
          <t>8</t>
        </is>
      </c>
      <c r="G2622" t="inlineStr">
        <is>
          <t>0</t>
        </is>
      </c>
      <c r="H2622" t="inlineStr">
        <is>
          <t>16⁴, 32⁴</t>
        </is>
      </c>
      <c r="I2622" t="n">
        <v>8</v>
      </c>
      <c r="J2622" t="inlineStr">
        <is>
          <t>2⁸, 4⁴, 8²</t>
        </is>
      </c>
      <c r="K2622">
        <f>HYPERLINK("CSG3.html#group16R3", "16R³"), =HYPERLINK("CSG5.html#group32J5", "32J⁵"), =HYPERLINK("CSG5.html#group32L5", "32L⁵")</f>
        <v/>
      </c>
      <c r="L2622">
        <f>HYPERLINK("CSG21.html#group32Y21", "32Y²¹")</f>
        <v/>
      </c>
      <c r="M2622">
        <f>HYPERLINK("CSG0.html#group16B0", "16B⁰"), =HYPERLINK("CSG5.html#group32L5", "32L⁵"), =HYPERLINK("CSG3.html#group32F3", "32F³"), =HYPERLINK("CSG1.html#group16D1", "16D¹"), =HYPERLINK("CSG5.html#group32J5", "32J⁵"), =HYPERLINK("CSG0.html#group4C0", "4C⁰"), =HYPERLINK("CSG0.html#group8B0", "8B⁰"), =HYPERLINK("CSG3.html#group32D3", "32D³"), =HYPERLINK("CSG1.html#group32B1", "32B¹"), =HYPERLINK("CSG0.html#group8L0", "8L⁰"), =HYPERLINK("CSG0.html#group2B0", "2B⁰"), =HYPERLINK("CSG3.html#group16R3", "16R³"), =HYPERLINK("CSG1.html#group16J1", "16J¹"), =HYPERLINK("CSG3.html#group32E3", "32E³"), =HYPERLINK("CSG0.html#group1A0", "1A⁰")</f>
        <v/>
      </c>
      <c r="N2622">
        <f>HYPERLINK("CSG21.html#group32Y21", "32Y²¹")</f>
        <v/>
      </c>
    </row>
    <row r="2623">
      <c r="A2623" t="inlineStr">
        <is>
          <t>32J¹¹</t>
        </is>
      </c>
      <c r="B2623" t="inlineStr"/>
      <c r="C2623" t="inlineStr">
        <is>
          <t>192</t>
        </is>
      </c>
      <c r="D2623" t="inlineStr">
        <is>
          <t>2</t>
        </is>
      </c>
      <c r="E2623" t="inlineStr">
        <is>
          <t>24</t>
        </is>
      </c>
      <c r="F2623" t="inlineStr">
        <is>
          <t>8</t>
        </is>
      </c>
      <c r="G2623" t="inlineStr">
        <is>
          <t>0</t>
        </is>
      </c>
      <c r="H2623" t="inlineStr">
        <is>
          <t>16⁴, 32⁴</t>
        </is>
      </c>
      <c r="I2623" t="n">
        <v>8</v>
      </c>
      <c r="J2623" t="inlineStr">
        <is>
          <t>2⁸, 4⁴, 8²</t>
        </is>
      </c>
      <c r="K2623">
        <f>HYPERLINK("CSG3.html#group16S3", "16S³"), =HYPERLINK("CSG5.html#group32K5", "32K⁵"), =HYPERLINK("CSG5.html#group32L5", "32L⁵")</f>
        <v/>
      </c>
      <c r="L2623">
        <f>HYPERLINK("CSG21.html#group32Y21", "32Y²¹")</f>
        <v/>
      </c>
      <c r="M2623">
        <f>HYPERLINK("CSG0.html#group16B0", "16B⁰"), =HYPERLINK("CSG5.html#group32L5", "32L⁵"), =HYPERLINK("CSG1.html#group16D1", "16D¹"), =HYPERLINK("CSG5.html#group32K5", "32K⁵"), =HYPERLINK("CSG0.html#group4C0", "4C⁰"), =HYPERLINK("CSG0.html#group8B0", "8B⁰"), =HYPERLINK("CSG3.html#group16S3", "16S³"), =HYPERLINK("CSG0.html#group8L0", "8L⁰"), =HYPERLINK("CSG0.html#group2B0", "2B⁰"), =HYPERLINK("CSG3.html#group32D3", "32D³"), =HYPERLINK("CSG3.html#group32G3", "32G³"), =HYPERLINK("CSG1.html#group32B1", "32B¹"), =HYPERLINK("CSG1.html#group16J1", "16J¹"), =HYPERLINK("CSG0.html#group1A0", "1A⁰"), =HYPERLINK("CSG3.html#group32H3", "32H³")</f>
        <v/>
      </c>
      <c r="N2623">
        <f>HYPERLINK("CSG21.html#group32Y21", "32Y²¹")</f>
        <v/>
      </c>
    </row>
    <row r="2624">
      <c r="A2624" t="inlineStr">
        <is>
          <t>32K¹¹</t>
        </is>
      </c>
      <c r="B2624" t="inlineStr"/>
      <c r="C2624" t="inlineStr">
        <is>
          <t>192</t>
        </is>
      </c>
      <c r="D2624" t="inlineStr">
        <is>
          <t>2</t>
        </is>
      </c>
      <c r="E2624" t="inlineStr">
        <is>
          <t>24</t>
        </is>
      </c>
      <c r="F2624" t="inlineStr">
        <is>
          <t>8</t>
        </is>
      </c>
      <c r="G2624" t="inlineStr">
        <is>
          <t>0</t>
        </is>
      </c>
      <c r="H2624" t="inlineStr">
        <is>
          <t>16⁴, 32⁴</t>
        </is>
      </c>
      <c r="I2624" t="n">
        <v>8</v>
      </c>
      <c r="J2624" t="inlineStr">
        <is>
          <t>2⁸, 4⁴, 8²</t>
        </is>
      </c>
      <c r="K2624">
        <f>HYPERLINK("CSG3.html#group16M3", "16M³"), =HYPERLINK("CSG5.html#group32J5", "32J⁵"), =HYPERLINK("CSG5.html#group32K5", "32K⁵"), =HYPERLINK("CSG6.html#group32C6", "32C⁶"), =HYPERLINK("CSG6.html#group32D6", "32D⁶"), =HYPERLINK("CSG6.html#group32E6", "32E⁶"), =HYPERLINK("CSG6.html#group32F6", "32F⁶")</f>
        <v/>
      </c>
      <c r="L2624">
        <f>HYPERLINK("CSG21.html#group32Y21", "32Y²¹"), =HYPERLINK("CSG23.html#group32E23", "32E²³"), =HYPERLINK("CSG23.html#group32H23", "32H²³")</f>
        <v/>
      </c>
      <c r="M2624">
        <f>HYPERLINK("CSG6.html#group32F6", "32F⁶"), =HYPERLINK("CSG5.html#group32J5", "32J⁵"), =HYPERLINK("CSG5.html#group32K5", "32K⁵"), =HYPERLINK("CSG0.html#group8D0", "8D⁰"), =HYPERLINK("CSG3.html#group16M3", "16M³"), =HYPERLINK("CSG6.html#group32D6", "32D⁶"), =HYPERLINK("CSG0.html#group4C0", "4C⁰"), =HYPERLINK("CSG0.html#group8B0", "8B⁰"), =HYPERLINK("CSG1.html#group16B1", "16B¹"), =HYPERLINK("CSG0.html#group8L0", "8L⁰"), =HYPERLINK("CSG0.html#group2B0", "2B⁰"), =HYPERLINK("CSG3.html#group32G3", "32G³"), =HYPERLINK("CSG3.html#group32F3", "32F³"), =HYPERLINK("CSG1.html#group16J1", "16J¹"), =HYPERLINK("CSG0.html#group1A0", "1A⁰"), =HYPERLINK("CSG2.html#group16E2", "16E²"), =HYPERLINK("CSG0.html#group8H0", "8H⁰"), =HYPERLINK("CSG0.html#group16B0", "16B⁰"), =HYPERLINK("CSG1.html#group16D1", "16D¹"), =HYPERLINK("CSG6.html#group32E6", "32E⁶"), =HYPERLINK("CSG6.html#group32C6", "32C⁶"), =HYPERLINK("CSG2.html#group16F2", "16F²"), =HYPERLINK("CSG0.html#group4A0", "4A⁰"), =HYPERLINK("CSG3.html#group32E3", "32E³"), =HYPERLINK("CSG0.html#group4F0", "4F⁰"), =HYPERLINK("CSG1.html#group16F1", "16F¹"), =HYPERLINK("CSG0.html#group8P0", "8P⁰"), =HYPERLINK("CSG3.html#group32H3", "32H³")</f>
        <v/>
      </c>
      <c r="N2624">
        <f>HYPERLINK("CSG23.html#group32H23", "32H²³"), =HYPERLINK("CSG21.html#group32Y21", "32Y²¹"), =HYPERLINK("CSG23.html#group32E23", "32E²³")</f>
        <v/>
      </c>
    </row>
    <row r="2625">
      <c r="A2625" t="inlineStr">
        <is>
          <t>33A¹¹</t>
        </is>
      </c>
      <c r="B2625" t="inlineStr"/>
      <c r="C2625" t="inlineStr">
        <is>
          <t>180</t>
        </is>
      </c>
      <c r="D2625" t="inlineStr">
        <is>
          <t>1</t>
        </is>
      </c>
      <c r="E2625" t="inlineStr">
        <is>
          <t>12</t>
        </is>
      </c>
      <c r="F2625" t="inlineStr">
        <is>
          <t>0</t>
        </is>
      </c>
      <c r="G2625" t="inlineStr">
        <is>
          <t>0</t>
        </is>
      </c>
      <c r="H2625" t="inlineStr">
        <is>
          <t>3⁵, 33⁵</t>
        </is>
      </c>
      <c r="I2625" t="n">
        <v>10</v>
      </c>
      <c r="J2625" t="inlineStr">
        <is>
          <t>1², 10¹</t>
        </is>
      </c>
      <c r="K2625">
        <f>HYPERLINK("CSG1.html#group11D1", "11D¹"), =HYPERLINK("CSG3.html#group33A3", "33A³")</f>
        <v/>
      </c>
      <c r="L2625">
        <f>HYPERLINK("CSG21.html#group33B21", "33B²¹")</f>
        <v/>
      </c>
      <c r="M2625">
        <f>HYPERLINK("CSG0.html#group3A0", "3A⁰"), =HYPERLINK("CSG3.html#group33A3", "33A³"), =HYPERLINK("CSG0.html#group1A0", "1A⁰"), =HYPERLINK("CSG1.html#group11A1", "11A¹"), =HYPERLINK("CSG1.html#group11D1", "11D¹")</f>
        <v/>
      </c>
      <c r="N2625">
        <f>HYPERLINK("CSG21.html#group33B21", "33B²¹")</f>
        <v/>
      </c>
    </row>
    <row r="2626">
      <c r="A2626" t="inlineStr">
        <is>
          <t>33B¹¹</t>
        </is>
      </c>
      <c r="B2626" t="inlineStr"/>
      <c r="C2626" t="inlineStr">
        <is>
          <t>240</t>
        </is>
      </c>
      <c r="D2626" t="inlineStr">
        <is>
          <t>1</t>
        </is>
      </c>
      <c r="E2626" t="inlineStr">
        <is>
          <t>48</t>
        </is>
      </c>
      <c r="F2626" t="inlineStr">
        <is>
          <t>0</t>
        </is>
      </c>
      <c r="G2626" t="inlineStr">
        <is>
          <t>0</t>
        </is>
      </c>
      <c r="H2626" t="inlineStr">
        <is>
          <t>1⁵, 3⁵, 11⁵, 33⁵</t>
        </is>
      </c>
      <c r="I2626" t="n">
        <v>20</v>
      </c>
      <c r="J2626" t="inlineStr">
        <is>
          <t>1⁴, 2², 10², 20¹</t>
        </is>
      </c>
      <c r="K2626">
        <f>HYPERLINK("CSG1.html#group11D1", "11D¹"), =HYPERLINK("CSG3.html#group33C3", "33C³")</f>
        <v/>
      </c>
      <c r="L2626">
        <f>HYPERLINK("CSG21.html#group33C21", "33C²¹")</f>
        <v/>
      </c>
      <c r="M2626">
        <f>HYPERLINK("CSG0.html#group3B0", "3B⁰"), =HYPERLINK("CSG0.html#group1A0", "1A⁰"), =HYPERLINK("CSG1.html#group11A1", "11A¹"), =HYPERLINK("CSG1.html#group11D1", "11D¹"), =HYPERLINK("CSG3.html#group33C3", "33C³")</f>
        <v/>
      </c>
      <c r="N2626">
        <f>HYPERLINK("CSG21.html#group33C21", "33C²¹")</f>
        <v/>
      </c>
    </row>
    <row r="2627">
      <c r="A2627" t="inlineStr">
        <is>
          <t>34A¹¹</t>
        </is>
      </c>
      <c r="B2627" t="inlineStr"/>
      <c r="C2627" t="inlineStr">
        <is>
          <t>204</t>
        </is>
      </c>
      <c r="D2627" t="inlineStr">
        <is>
          <t>1</t>
        </is>
      </c>
      <c r="E2627" t="inlineStr">
        <is>
          <t>102</t>
        </is>
      </c>
      <c r="F2627" t="inlineStr">
        <is>
          <t>8</t>
        </is>
      </c>
      <c r="G2627" t="inlineStr">
        <is>
          <t>6</t>
        </is>
      </c>
      <c r="H2627" t="inlineStr">
        <is>
          <t>34⁶</t>
        </is>
      </c>
      <c r="I2627" t="n">
        <v>6</v>
      </c>
      <c r="J2627" t="inlineStr">
        <is>
          <t>4¹, 8¹, 16¹²</t>
        </is>
      </c>
      <c r="K2627">
        <f>HYPERLINK("CSG4.html#group17A4", "17A⁴")</f>
        <v/>
      </c>
      <c r="L2627" t="inlineStr"/>
      <c r="M2627">
        <f>HYPERLINK("CSG0.html#group1A0", "1A⁰"), =HYPERLINK("CSG4.html#group17A4", "17A⁴")</f>
        <v/>
      </c>
      <c r="N2627" t="inlineStr"/>
    </row>
    <row r="2628">
      <c r="A2628" t="inlineStr">
        <is>
          <t>34B¹¹</t>
        </is>
      </c>
      <c r="B2628" t="inlineStr"/>
      <c r="C2628" t="inlineStr">
        <is>
          <t>204</t>
        </is>
      </c>
      <c r="D2628" t="inlineStr">
        <is>
          <t>1</t>
        </is>
      </c>
      <c r="E2628" t="inlineStr">
        <is>
          <t>102</t>
        </is>
      </c>
      <c r="F2628" t="inlineStr">
        <is>
          <t>8</t>
        </is>
      </c>
      <c r="G2628" t="inlineStr">
        <is>
          <t>6</t>
        </is>
      </c>
      <c r="H2628" t="inlineStr">
        <is>
          <t>34⁶</t>
        </is>
      </c>
      <c r="I2628" t="n">
        <v>6</v>
      </c>
      <c r="J2628" t="inlineStr">
        <is>
          <t>4¹, 8¹, 16¹²</t>
        </is>
      </c>
      <c r="K2628">
        <f>HYPERLINK("CSG4.html#group17B4", "17B⁴")</f>
        <v/>
      </c>
      <c r="L2628" t="inlineStr"/>
      <c r="M2628">
        <f>HYPERLINK("CSG0.html#group1A0", "1A⁰"), =HYPERLINK("CSG4.html#group17B4", "17B⁴")</f>
        <v/>
      </c>
      <c r="N2628" t="inlineStr"/>
    </row>
    <row r="2629">
      <c r="A2629" t="inlineStr">
        <is>
          <t>35A¹¹</t>
        </is>
      </c>
      <c r="B2629" t="inlineStr"/>
      <c r="C2629" t="inlineStr">
        <is>
          <t>168</t>
        </is>
      </c>
      <c r="D2629" t="inlineStr">
        <is>
          <t>2</t>
        </is>
      </c>
      <c r="E2629" t="inlineStr">
        <is>
          <t>42</t>
        </is>
      </c>
      <c r="F2629" t="inlineStr">
        <is>
          <t>0</t>
        </is>
      </c>
      <c r="G2629" t="inlineStr">
        <is>
          <t>0</t>
        </is>
      </c>
      <c r="H2629" t="inlineStr">
        <is>
          <t>7⁴, 35⁴</t>
        </is>
      </c>
      <c r="I2629" t="n">
        <v>8</v>
      </c>
      <c r="J2629" t="inlineStr">
        <is>
          <t>2², 6⁴, 8¹, 24²</t>
        </is>
      </c>
      <c r="K2629">
        <f>HYPERLINK("CSG4.html#group35C4", "35C⁴"), =HYPERLINK("CSG5.html#group35B5", "35B⁵"), =HYPERLINK("CSG6.html#group35A6", "35A⁶")</f>
        <v/>
      </c>
      <c r="L2629" t="inlineStr"/>
      <c r="M2629">
        <f>HYPERLINK("CSG2.html#group35C2", "35C²"), =HYPERLINK("CSG4.html#group35C4", "35C⁴"), =HYPERLINK("CSG0.html#group7C0", "7C⁰"), =HYPERLINK("CSG0.html#group5B0", "5B⁰"), =HYPERLINK("CSG0.html#group5D0", "5D⁰"), =HYPERLINK("CSG5.html#group35B5", "35B⁵"), =HYPERLINK("CSG0.html#group1A0", "1A⁰"), =HYPERLINK("CSG6.html#group35A6", "35A⁶"), =HYPERLINK("CSG0.html#group7A0", "7A⁰")</f>
        <v/>
      </c>
      <c r="N2629" t="inlineStr"/>
    </row>
    <row r="2630">
      <c r="A2630" t="inlineStr">
        <is>
          <t>36A¹¹</t>
        </is>
      </c>
      <c r="B2630" t="inlineStr"/>
      <c r="C2630" t="inlineStr">
        <is>
          <t>144</t>
        </is>
      </c>
      <c r="D2630" t="inlineStr">
        <is>
          <t>1</t>
        </is>
      </c>
      <c r="E2630" t="inlineStr">
        <is>
          <t>3</t>
        </is>
      </c>
      <c r="F2630" t="inlineStr">
        <is>
          <t>0</t>
        </is>
      </c>
      <c r="G2630" t="inlineStr">
        <is>
          <t>0</t>
        </is>
      </c>
      <c r="H2630" t="inlineStr">
        <is>
          <t>36⁴</t>
        </is>
      </c>
      <c r="I2630" t="n">
        <v>4</v>
      </c>
      <c r="J2630" t="inlineStr">
        <is>
          <t>1¹, 2¹</t>
        </is>
      </c>
      <c r="K2630">
        <f>HYPERLINK("CSG3.html#group12A3", "12A³"), =HYPERLINK("CSG3.html#group36F3", "36F³"), =HYPERLINK("CSG5.html#group18A5", "18A⁵"), =HYPERLINK("CSG5.html#group36C5", "36C⁵")</f>
        <v/>
      </c>
      <c r="L2630" t="inlineStr"/>
      <c r="M2630">
        <f>HYPERLINK("CSG0.html#group2A0", "2A⁰"), =HYPERLINK("CSG1.html#group12D1", "12D¹"), =HYPERLINK("CSG5.html#group18A5", "18A⁵"), =HYPERLINK("CSG3.html#group18A3", "18A³"), =HYPERLINK("CSG0.html#group1A0", "1A⁰"), =HYPERLINK("CSG0.html#group18A0", "18A⁰"), =HYPERLINK("CSG1.html#group9B1", "9B¹"), =HYPERLINK("CSG2.html#group9A2", "9A²"), =HYPERLINK("CSG1.html#group6B1", "6B¹"), =HYPERLINK("CSG3.html#group36F3", "36F³"), =HYPERLINK("CSG0.html#group3C0", "3C⁰"), =HYPERLINK("CSG1.html#group6A1", "6A¹"), =HYPERLINK("CSG0.html#group3A0", "3A⁰"), =HYPERLINK("CSG0.html#group3B0", "3B⁰"), =HYPERLINK("CSG0.html#group6B0", "6B⁰"), =HYPERLINK("CSG3.html#group12A3", "12A³"), =HYPERLINK("CSG0.html#group6C0", "6C⁰"), =HYPERLINK("CSG2.html#group18A2", "18A²"), =HYPERLINK("CSG5.html#group36C5", "36C⁵"), =HYPERLINK("CSG0.html#group9D0", "9D⁰"), =HYPERLINK("CSG0.html#group18D0", "18D⁰"), =HYPERLINK("CSG1.html#group6D1", "6D¹"), =HYPERLINK("CSG0.html#group6E0", "6E⁰"), =HYPERLINK("CSG0.html#group9A0", "9A⁰"), =HYPERLINK("CSG3.html#group18C3", "18C³"), =HYPERLINK("CSG2.html#group18G2", "18G²"), =HYPERLINK("CSG0.html#group3D0", "3D⁰"), =HYPERLINK("CSG1.html#group18A1", "18A¹"), =HYPERLINK("CSG0.html#group12B0", "12B⁰")</f>
        <v/>
      </c>
      <c r="N2630" t="inlineStr"/>
    </row>
    <row r="2631">
      <c r="A2631" t="inlineStr">
        <is>
          <t>36B¹¹</t>
        </is>
      </c>
      <c r="B2631" t="inlineStr"/>
      <c r="C2631" t="inlineStr">
        <is>
          <t>144</t>
        </is>
      </c>
      <c r="D2631" t="inlineStr">
        <is>
          <t>1</t>
        </is>
      </c>
      <c r="E2631" t="inlineStr">
        <is>
          <t>6</t>
        </is>
      </c>
      <c r="F2631" t="inlineStr">
        <is>
          <t>0</t>
        </is>
      </c>
      <c r="G2631" t="inlineStr">
        <is>
          <t>0</t>
        </is>
      </c>
      <c r="H2631" t="inlineStr">
        <is>
          <t>36⁴</t>
        </is>
      </c>
      <c r="I2631" t="n">
        <v>4</v>
      </c>
      <c r="J2631" t="inlineStr">
        <is>
          <t>2³</t>
        </is>
      </c>
      <c r="K2631">
        <f>HYPERLINK("CSG3.html#group12A3", "12A³"), =HYPERLINK("CSG5.html#group18B5", "18B⁵"), =HYPERLINK("CSG5.html#group36D5", "36D⁵")</f>
        <v/>
      </c>
      <c r="L2631" t="inlineStr"/>
      <c r="M2631">
        <f>HYPERLINK("CSG0.html#group3B0", "3B⁰"), =HYPERLINK("CSG0.html#group2A0", "2A⁰"), =HYPERLINK("CSG1.html#group12D1", "12D¹"), =HYPERLINK("CSG0.html#group6B0", "6B⁰"), =HYPERLINK("CSG3.html#group12A3", "12A³"), =HYPERLINK("CSG0.html#group6C0", "6C⁰"), =HYPERLINK("CSG1.html#group18B1", "18B¹"), =HYPERLINK("CSG0.html#group1A0", "1A⁰"), =HYPERLINK("CSG1.html#group6D1", "6D¹"), =HYPERLINK("CSG2.html#group18H2", "18H²"), =HYPERLINK("CSG0.html#group6E0", "6E⁰"), =HYPERLINK("CSG5.html#group36D5", "36D⁵"), =HYPERLINK("CSG1.html#group6B1", "6B¹"), =HYPERLINK("CSG3.html#group18B3", "18B³"), =HYPERLINK("CSG5.html#group18B5", "18B⁵"), =HYPERLINK("CSG0.html#group3C0", "3C⁰"), =HYPERLINK("CSG1.html#group6A1", "6A¹"), =HYPERLINK("CSG0.html#group3A0", "3A⁰"), =HYPERLINK("CSG0.html#group3D0", "3D⁰"), =HYPERLINK("CSG0.html#group12B0", "12B⁰")</f>
        <v/>
      </c>
      <c r="N2631" t="inlineStr"/>
    </row>
    <row r="2632">
      <c r="A2632" t="inlineStr">
        <is>
          <t>36C¹¹</t>
        </is>
      </c>
      <c r="B2632" t="inlineStr"/>
      <c r="C2632" t="inlineStr">
        <is>
          <t>144</t>
        </is>
      </c>
      <c r="D2632" t="inlineStr">
        <is>
          <t>1</t>
        </is>
      </c>
      <c r="E2632" t="inlineStr">
        <is>
          <t>12</t>
        </is>
      </c>
      <c r="F2632" t="inlineStr">
        <is>
          <t>0</t>
        </is>
      </c>
      <c r="G2632" t="inlineStr">
        <is>
          <t>0</t>
        </is>
      </c>
      <c r="H2632" t="inlineStr">
        <is>
          <t>36⁴</t>
        </is>
      </c>
      <c r="I2632" t="n">
        <v>4</v>
      </c>
      <c r="J2632" t="inlineStr">
        <is>
          <t>2², 4²</t>
        </is>
      </c>
      <c r="K2632">
        <f>HYPERLINK("CSG2.html#group9A2", "9A²"), =HYPERLINK("CSG3.html#group12B3", "12B³"), =HYPERLINK("CSG3.html#group36H3", "36H³"), =HYPERLINK("CSG5.html#group36E5", "36E⁵")</f>
        <v/>
      </c>
      <c r="L2632">
        <f>HYPERLINK("CSG21.html#group36A21", "36A²¹"), =HYPERLINK("CSG23.html#group72F23", "72F²³")</f>
        <v/>
      </c>
      <c r="M2632">
        <f>HYPERLINK("CSG1.html#group12G1", "12G¹"), =HYPERLINK("CSG0.html#group3B0", "3B⁰"), =HYPERLINK("CSG3.html#group12B3", "12B³"), =HYPERLINK("CSG3.html#group36H3", "36H³"), =HYPERLINK("CSG0.html#group1A0", "1A⁰"), =HYPERLINK("CSG1.html#group9B1", "9B¹"), =HYPERLINK("CSG1.html#group36A1", "36A¹"), =HYPERLINK("CSG0.html#group12A0", "12A⁰"), =HYPERLINK("CSG0.html#group9D0", "9D⁰"), =HYPERLINK("CSG2.html#group9A2", "9A²"), =HYPERLINK("CSG0.html#group4A0", "4A⁰"), =HYPERLINK("CSG5.html#group36E5", "36E⁵"), =HYPERLINK("CSG0.html#group9A0", "9A⁰"), =HYPERLINK("CSG1.html#group12A1", "12A¹"), =HYPERLINK("CSG0.html#group3C0", "3C⁰"), =HYPERLINK("CSG0.html#group3A0", "3A⁰"), =HYPERLINK("CSG0.html#group3D0", "3D⁰")</f>
        <v/>
      </c>
      <c r="N2632">
        <f>HYPERLINK("CSG21.html#group36A21", "36A²¹"), =HYPERLINK("CSG23.html#group72F23", "72F²³")</f>
        <v/>
      </c>
    </row>
    <row r="2633">
      <c r="A2633" t="inlineStr">
        <is>
          <t>36D¹¹</t>
        </is>
      </c>
      <c r="B2633" t="inlineStr"/>
      <c r="C2633" t="inlineStr">
        <is>
          <t>144</t>
        </is>
      </c>
      <c r="D2633" t="inlineStr">
        <is>
          <t>1</t>
        </is>
      </c>
      <c r="E2633" t="inlineStr">
        <is>
          <t>12</t>
        </is>
      </c>
      <c r="F2633" t="inlineStr">
        <is>
          <t>0</t>
        </is>
      </c>
      <c r="G2633" t="inlineStr">
        <is>
          <t>0</t>
        </is>
      </c>
      <c r="H2633" t="inlineStr">
        <is>
          <t>36⁴</t>
        </is>
      </c>
      <c r="I2633" t="n">
        <v>4</v>
      </c>
      <c r="J2633" t="inlineStr">
        <is>
          <t>2², 4²</t>
        </is>
      </c>
      <c r="K2633">
        <f>HYPERLINK("CSG3.html#group12C3", "12C³"), =HYPERLINK("CSG3.html#group18A3", "18A³"), =HYPERLINK("CSG3.html#group36H3", "36H³"), =HYPERLINK("CSG4.html#group36L4", "36L⁴"), =HYPERLINK("CSG6.html#group36A6", "36A⁶")</f>
        <v/>
      </c>
      <c r="L2633">
        <f>HYPERLINK("CSG21.html#group36A21", "36A²¹"), =HYPERLINK("CSG23.html#group72A23", "72A²³"), =HYPERLINK("CSG23.html#group72B23", "72B²³")</f>
        <v/>
      </c>
      <c r="M2633">
        <f>HYPERLINK("CSG1.html#group12G1", "12G¹"), =HYPERLINK("CSG0.html#group2A0", "2A⁰"), =HYPERLINK("CSG0.html#group6B0", "6B⁰"), =HYPERLINK("CSG3.html#group36H3", "36H³"), =HYPERLINK("CSG3.html#group12C3", "12C³"), =HYPERLINK("CSG3.html#group18A3", "18A³"), =HYPERLINK("CSG0.html#group12F0", "12F⁰"), =HYPERLINK("CSG2.html#group18A2", "18A²"), =HYPERLINK("CSG6.html#group36A6", "36A⁶"), =HYPERLINK("CSG0.html#group1A0", "1A⁰"), =HYPERLINK("CSG1.html#group36A1", "36A¹"), =HYPERLINK("CSG0.html#group12A0", "12A⁰"), =HYPERLINK("CSG0.html#group9D0", "9D⁰"), =HYPERLINK("CSG1.html#group6B1", "6B¹"), =HYPERLINK("CSG0.html#group4A0", "4A⁰"), =HYPERLINK("CSG0.html#group4D0", "4D⁰"), =HYPERLINK("CSG0.html#group9A0", "9A⁰"), =HYPERLINK("CSG2.html#group12A2", "12A²"), =HYPERLINK("CSG0.html#group3C0", "3C⁰"), =HYPERLINK("CSG1.html#group6A1", "6A¹"), =HYPERLINK("CSG0.html#group3A0", "3A⁰"), =HYPERLINK("CSG1.html#group18A1", "18A¹"), =HYPERLINK("CSG4.html#group36L4", "36L⁴")</f>
        <v/>
      </c>
      <c r="N2633">
        <f>HYPERLINK("CSG23.html#group72B23", "72B²³"), =HYPERLINK("CSG21.html#group36A21", "36A²¹"), =HYPERLINK("CSG23.html#group72A23", "72A²³")</f>
        <v/>
      </c>
    </row>
    <row r="2634">
      <c r="A2634" t="inlineStr">
        <is>
          <t>36E¹¹</t>
        </is>
      </c>
      <c r="B2634" t="inlineStr"/>
      <c r="C2634" t="inlineStr">
        <is>
          <t>144</t>
        </is>
      </c>
      <c r="D2634" t="inlineStr">
        <is>
          <t>1</t>
        </is>
      </c>
      <c r="E2634" t="inlineStr">
        <is>
          <t>24</t>
        </is>
      </c>
      <c r="F2634" t="inlineStr">
        <is>
          <t>0</t>
        </is>
      </c>
      <c r="G2634" t="inlineStr">
        <is>
          <t>0</t>
        </is>
      </c>
      <c r="H2634" t="inlineStr">
        <is>
          <t>36⁴</t>
        </is>
      </c>
      <c r="I2634" t="n">
        <v>4</v>
      </c>
      <c r="J2634" t="inlineStr">
        <is>
          <t>4⁶</t>
        </is>
      </c>
      <c r="K2634">
        <f>HYPERLINK("CSG3.html#group12C3", "12C³"), =HYPERLINK("CSG3.html#group18B3", "18B³"), =HYPERLINK("CSG4.html#group36N4", "36N⁴")</f>
        <v/>
      </c>
      <c r="L2634">
        <f>HYPERLINK("CSG21.html#group36B21", "36B²¹"), =HYPERLINK("CSG23.html#group72C23", "72C²³"), =HYPERLINK("CSG23.html#group72D23", "72D²³")</f>
        <v/>
      </c>
      <c r="M2634">
        <f>HYPERLINK("CSG1.html#group12G1", "12G¹"), =HYPERLINK("CSG0.html#group2A0", "2A⁰"), =HYPERLINK("CSG0.html#group6B0", "6B⁰"), =HYPERLINK("CSG3.html#group12C3", "12C³"), =HYPERLINK("CSG0.html#group12F0", "12F⁰"), =HYPERLINK("CSG1.html#group18B1", "18B¹"), =HYPERLINK("CSG0.html#group1A0", "1A⁰"), =HYPERLINK("CSG4.html#group36N4", "36N⁴"), =HYPERLINK("CSG0.html#group12A0", "12A⁰"), =HYPERLINK("CSG1.html#group6B1", "6B¹"), =HYPERLINK("CSG0.html#group4A0", "4A⁰"), =HYPERLINK("CSG3.html#group18B3", "18B³"), =HYPERLINK("CSG0.html#group4D0", "4D⁰"), =HYPERLINK("CSG2.html#group12A2", "12A²"), =HYPERLINK("CSG0.html#group3C0", "3C⁰"), =HYPERLINK("CSG1.html#group6A1", "6A¹"), =HYPERLINK("CSG0.html#group3A0", "3A⁰")</f>
        <v/>
      </c>
      <c r="N2634">
        <f>HYPERLINK("CSG23.html#group72D23", "72D²³"), =HYPERLINK("CSG23.html#group72C23", "72C²³"), =HYPERLINK("CSG21.html#group36B21", "36B²¹")</f>
        <v/>
      </c>
    </row>
    <row r="2635">
      <c r="A2635" t="inlineStr">
        <is>
          <t>36F¹¹</t>
        </is>
      </c>
      <c r="B2635" t="inlineStr"/>
      <c r="C2635" t="inlineStr">
        <is>
          <t>144</t>
        </is>
      </c>
      <c r="D2635" t="inlineStr">
        <is>
          <t>2</t>
        </is>
      </c>
      <c r="E2635" t="inlineStr">
        <is>
          <t>36</t>
        </is>
      </c>
      <c r="F2635" t="inlineStr">
        <is>
          <t>0</t>
        </is>
      </c>
      <c r="G2635" t="inlineStr">
        <is>
          <t>0</t>
        </is>
      </c>
      <c r="H2635" t="inlineStr">
        <is>
          <t>36⁴</t>
        </is>
      </c>
      <c r="I2635" t="n">
        <v>4</v>
      </c>
      <c r="J2635" t="inlineStr">
        <is>
          <t>4⁶, 12⁴</t>
        </is>
      </c>
      <c r="K2635">
        <f>HYPERLINK("CSG2.html#group36D2", "36D²"), =HYPERLINK("CSG3.html#group12C3", "12C³"), =HYPERLINK("CSG3.html#group18C3", "18C³"), =HYPERLINK("CSG5.html#group36E5", "36E⁵"), =HYPERLINK("CSG6.html#group36A6", "36A⁶")</f>
        <v/>
      </c>
      <c r="L2635">
        <f>HYPERLINK("CSG21.html#group36A21", "36A²¹"), =HYPERLINK("CSG23.html#group72G23", "72G²³"), =HYPERLINK("CSG23.html#group72H23", "72H²³")</f>
        <v/>
      </c>
      <c r="M2635">
        <f>HYPERLINK("CSG1.html#group12G1", "12G¹"), =HYPERLINK("CSG0.html#group2A0", "2A⁰"), =HYPERLINK("CSG2.html#group36D2", "36D²"), =HYPERLINK("CSG0.html#group6B0", "6B⁰"), =HYPERLINK("CSG3.html#group12C3", "12C³"), =HYPERLINK("CSG0.html#group12F0", "12F⁰"), =HYPERLINK("CSG2.html#group18A2", "18A²"), =HYPERLINK("CSG6.html#group36A6", "36A⁶"), =HYPERLINK("CSG0.html#group1A0", "1A⁰"), =HYPERLINK("CSG0.html#group18A0", "18A⁰"), =HYPERLINK("CSG1.html#group9B1", "9B¹"), =HYPERLINK("CSG1.html#group36A1", "36A¹"), =HYPERLINK("CSG0.html#group12A0", "12A⁰"), =HYPERLINK("CSG1.html#group6B1", "6B¹"), =HYPERLINK("CSG0.html#group4A0", "4A⁰"), =HYPERLINK("CSG0.html#group4D0", "4D⁰"), =HYPERLINK("CSG5.html#group36E5", "36E⁵"), =HYPERLINK("CSG0.html#group9A0", "9A⁰"), =HYPERLINK("CSG3.html#group18C3", "18C³"), =HYPERLINK("CSG2.html#group12A2", "12A²"), =HYPERLINK("CSG0.html#group3C0", "3C⁰"), =HYPERLINK("CSG1.html#group6A1", "6A¹"), =HYPERLINK("CSG0.html#group3A0", "3A⁰")</f>
        <v/>
      </c>
      <c r="N2635">
        <f>HYPERLINK("CSG23.html#group72H23", "72H²³"), =HYPERLINK("CSG21.html#group36A21", "36A²¹"), =HYPERLINK("CSG23.html#group72G23", "72G²³")</f>
        <v/>
      </c>
    </row>
    <row r="2636">
      <c r="A2636" t="inlineStr">
        <is>
          <t>36G¹¹</t>
        </is>
      </c>
      <c r="B2636" t="inlineStr"/>
      <c r="C2636" t="inlineStr">
        <is>
          <t>162</t>
        </is>
      </c>
      <c r="D2636" t="inlineStr">
        <is>
          <t>1</t>
        </is>
      </c>
      <c r="E2636" t="inlineStr">
        <is>
          <t>81</t>
        </is>
      </c>
      <c r="F2636" t="inlineStr">
        <is>
          <t>2</t>
        </is>
      </c>
      <c r="G2636" t="inlineStr">
        <is>
          <t>0</t>
        </is>
      </c>
      <c r="H2636" t="inlineStr">
        <is>
          <t>18³, 36³</t>
        </is>
      </c>
      <c r="I2636" t="n">
        <v>6</v>
      </c>
      <c r="J2636" t="inlineStr">
        <is>
          <t>3³, 6¹²</t>
        </is>
      </c>
      <c r="K2636">
        <f>HYPERLINK("CSG3.html#group18J3", "18J³"), =HYPERLINK("CSG4.html#group36E4", "36E⁴")</f>
        <v/>
      </c>
      <c r="L2636">
        <f>HYPERLINK("CSG21.html#group36C21", "36C²¹"), =HYPERLINK("CSG21.html#group36D21", "36D²¹"), =HYPERLINK("CSG22.html#group36D22", "36D²²"), =HYPERLINK("CSG22.html#group36E22", "36E²²"), =HYPERLINK("CSG22.html#group36H22", "36H²²")</f>
        <v/>
      </c>
      <c r="M2636">
        <f>HYPERLINK("CSG1.html#group12C1", "12C¹"), =HYPERLINK("CSG3.html#group18J3", "18J³"), =HYPERLINK("CSG0.html#group9A0", "9A⁰"), =HYPERLINK("CSG0.html#group9G0", "9G⁰"), =HYPERLINK("CSG4.html#group36E4", "36E⁴"), =HYPERLINK("CSG0.html#group2B0", "2B⁰"), =HYPERLINK("CSG1.html#group18E1", "18E¹"), =HYPERLINK("CSG0.html#group3A0", "3A⁰"), =HYPERLINK("CSG0.html#group1A0", "1A⁰"), =HYPERLINK("CSG0.html#group6D0", "6D⁰")</f>
        <v/>
      </c>
      <c r="N2636">
        <f>HYPERLINK("CSG22.html#group36H22", "36H²²"), =HYPERLINK("CSG22.html#group36D22", "36D²²"), =HYPERLINK("CSG21.html#group36D21", "36D²¹"), =HYPERLINK("CSG22.html#group36E22", "36E²²"), =HYPERLINK("CSG21.html#group36C21", "36C²¹")</f>
        <v/>
      </c>
    </row>
    <row r="2637">
      <c r="A2637" t="inlineStr">
        <is>
          <t>36H¹¹</t>
        </is>
      </c>
      <c r="B2637" t="inlineStr"/>
      <c r="C2637" t="inlineStr">
        <is>
          <t>192</t>
        </is>
      </c>
      <c r="D2637" t="inlineStr">
        <is>
          <t>1</t>
        </is>
      </c>
      <c r="E2637" t="inlineStr">
        <is>
          <t>32</t>
        </is>
      </c>
      <c r="F2637" t="inlineStr">
        <is>
          <t>0</t>
        </is>
      </c>
      <c r="G2637" t="inlineStr">
        <is>
          <t>6</t>
        </is>
      </c>
      <c r="H2637" t="inlineStr">
        <is>
          <t>12⁴, 36⁴</t>
        </is>
      </c>
      <c r="I2637" t="n">
        <v>8</v>
      </c>
      <c r="J2637" t="inlineStr">
        <is>
          <t>4⁸</t>
        </is>
      </c>
      <c r="K2637">
        <f>HYPERLINK("CSG1.html#group12R1", "12R¹"), =HYPERLINK("CSG2.html#group36A2", "36A²"), =HYPERLINK("CSG6.html#group36B6", "36B⁶")</f>
        <v/>
      </c>
      <c r="L2637" t="inlineStr"/>
      <c r="M2637">
        <f>HYPERLINK("CSG0.html#group2A0", "2A⁰"), =HYPERLINK("CSG0.html#group3B0", "3B⁰"), =HYPERLINK("CSG1.html#group12I1", "12I¹"), =HYPERLINK("CSG6.html#group36B6", "36B⁶"), =HYPERLINK("CSG0.html#group4A0", "4A⁰"), =HYPERLINK("CSG0.html#group4D0", "4D⁰"), =HYPERLINK("CSG1.html#group12A1", "12A¹"), =HYPERLINK("CSG0.html#group6C0", "6C⁰"), =HYPERLINK("CSG1.html#group12R1", "12R¹"), =HYPERLINK("CSG2.html#group36A2", "36A²"), =HYPERLINK("CSG0.html#group1A0", "1A⁰"), =HYPERLINK("CSG0.html#group12B0", "12B⁰"), =HYPERLINK("CSG1.html#group18D1", "18D¹")</f>
        <v/>
      </c>
      <c r="N2637" t="inlineStr"/>
    </row>
    <row r="2638">
      <c r="A2638" t="inlineStr">
        <is>
          <t>36I¹¹</t>
        </is>
      </c>
      <c r="B2638" t="inlineStr"/>
      <c r="C2638" t="inlineStr">
        <is>
          <t>216</t>
        </is>
      </c>
      <c r="D2638" t="inlineStr">
        <is>
          <t>1</t>
        </is>
      </c>
      <c r="E2638" t="inlineStr">
        <is>
          <t>18</t>
        </is>
      </c>
      <c r="F2638" t="inlineStr">
        <is>
          <t>0</t>
        </is>
      </c>
      <c r="G2638" t="inlineStr">
        <is>
          <t>0</t>
        </is>
      </c>
      <c r="H2638" t="inlineStr">
        <is>
          <t>6⁶, 12⁶, 18², 36²</t>
        </is>
      </c>
      <c r="I2638" t="n">
        <v>16</v>
      </c>
      <c r="J2638" t="inlineStr">
        <is>
          <t>1⁶, 2⁶</t>
        </is>
      </c>
      <c r="K2638">
        <f>HYPERLINK("CSG2.html#group18P2", "18P²"), =HYPERLINK("CSG3.html#group12D3", "12D³"), =HYPERLINK("CSG5.html#group36I5", "36I⁵"), =HYPERLINK("CSG6.html#group36D6", "36D⁶")</f>
        <v/>
      </c>
      <c r="L2638">
        <f>HYPERLINK("CSG21.html#group36E21", "36E²¹")</f>
        <v/>
      </c>
      <c r="M2638">
        <f>HYPERLINK("CSG5.html#group36I5", "36I⁵"), =HYPERLINK("CSG0.html#group3B0", "3B⁰"), =HYPERLINK("CSG0.html#group12C0", "12C⁰"), =HYPERLINK("CSG1.html#group18I1", "18I¹"), =HYPERLINK("CSG1.html#group12F1", "12F¹"), =HYPERLINK("CSG0.html#group4C0", "4C⁰"), =HYPERLINK("CSG0.html#group6G0", "6G⁰"), =HYPERLINK("CSG0.html#group2B0", "2B⁰"), =HYPERLINK("CSG0.html#group9E0", "9E⁰"), =HYPERLINK("CSG6.html#group36D6", "36D⁶"), =HYPERLINK("CSG0.html#group1A0", "1A⁰"), =HYPERLINK("CSG1.html#group12L1", "12L¹"), =HYPERLINK("CSG0.html#group3D0", "3D⁰"), =HYPERLINK("CSG3.html#group12D3", "12D³"), =HYPERLINK("CSG1.html#group12C1", "12C¹"), =HYPERLINK("CSG0.html#group6F0", "6F⁰"), =HYPERLINK("CSG2.html#group18P2", "18P²"), =HYPERLINK("CSG0.html#group3C0", "3C⁰"), =HYPERLINK("CSG0.html#group6K0", "6K⁰"), =HYPERLINK("CSG0.html#group9H0", "9H⁰"), =HYPERLINK("CSG0.html#group3A0", "3A⁰"), =HYPERLINK("CSG2.html#group12C2", "12C²"), =HYPERLINK("CSG0.html#group6D0", "6D⁰")</f>
        <v/>
      </c>
      <c r="N2638">
        <f>HYPERLINK("CSG21.html#group36E21", "36E²¹")</f>
        <v/>
      </c>
    </row>
    <row r="2639">
      <c r="A2639" t="inlineStr">
        <is>
          <t>36J¹¹</t>
        </is>
      </c>
      <c r="B2639" t="inlineStr"/>
      <c r="C2639" t="inlineStr">
        <is>
          <t>216</t>
        </is>
      </c>
      <c r="D2639" t="inlineStr">
        <is>
          <t>1</t>
        </is>
      </c>
      <c r="E2639" t="inlineStr">
        <is>
          <t>18</t>
        </is>
      </c>
      <c r="F2639" t="inlineStr">
        <is>
          <t>12</t>
        </is>
      </c>
      <c r="G2639" t="inlineStr">
        <is>
          <t>0</t>
        </is>
      </c>
      <c r="H2639" t="inlineStr">
        <is>
          <t>18⁸, 36²</t>
        </is>
      </c>
      <c r="I2639" t="n">
        <v>10</v>
      </c>
      <c r="J2639" t="inlineStr">
        <is>
          <t>2³, 4³</t>
        </is>
      </c>
      <c r="K2639">
        <f>HYPERLINK("CSG1.html#group12U1", "12U¹"), =HYPERLINK("CSG4.html#group18L4", "18L⁴")</f>
        <v/>
      </c>
      <c r="L2639" t="inlineStr"/>
      <c r="M2639">
        <f>HYPERLINK("CSG1.html#group12U1", "12U¹"), =HYPERLINK("CSG0.html#group6B0", "6B⁰"), =HYPERLINK("CSG4.html#group18L4", "18L⁴"), =HYPERLINK("CSG0.html#group6H0", "6H⁰"), =HYPERLINK("CSG0.html#group6G0", "6G⁰"), =HYPERLINK("CSG0.html#group2B0", "2B⁰"), =HYPERLINK("CSG0.html#group1A0", "1A⁰"), =HYPERLINK("CSG0.html#group18A0", "18A⁰"), =HYPERLINK("CSG2.html#group18L2", "18L²"), =HYPERLINK("CSG0.html#group9D0", "9D⁰"), =HYPERLINK("CSG0.html#group18D0", "18D⁰"), =HYPERLINK("CSG0.html#group6E0", "6E⁰"), =HYPERLINK("CSG0.html#group6L0", "6L⁰"), =HYPERLINK("CSG0.html#group9A0", "9A⁰"), =HYPERLINK("CSG0.html#group3C0", "3C⁰"), =HYPERLINK("CSG1.html#group18E1", "18E¹"), =HYPERLINK("CSG0.html#group3A0", "3A⁰"), =HYPERLINK("CSG2.html#group18I2", "18I²"), =HYPERLINK("CSG0.html#group6D0", "6D⁰")</f>
        <v/>
      </c>
      <c r="N2639" t="inlineStr"/>
    </row>
    <row r="2640">
      <c r="A2640" t="inlineStr">
        <is>
          <t>36K¹¹</t>
        </is>
      </c>
      <c r="B2640" t="inlineStr"/>
      <c r="C2640" t="inlineStr">
        <is>
          <t>216</t>
        </is>
      </c>
      <c r="D2640" t="inlineStr">
        <is>
          <t>1</t>
        </is>
      </c>
      <c r="E2640" t="inlineStr">
        <is>
          <t>36</t>
        </is>
      </c>
      <c r="F2640" t="inlineStr">
        <is>
          <t>0</t>
        </is>
      </c>
      <c r="G2640" t="inlineStr">
        <is>
          <t>0</t>
        </is>
      </c>
      <c r="H2640" t="inlineStr">
        <is>
          <t>2³, 4³, 6², 12², 18³, 36³</t>
        </is>
      </c>
      <c r="I2640" t="n">
        <v>16</v>
      </c>
      <c r="J2640" t="inlineStr">
        <is>
          <t>1⁶, 2⁶, 6³</t>
        </is>
      </c>
      <c r="K2640">
        <f>HYPERLINK("CSG2.html#group18Q2", "18Q²"), =HYPERLINK("CSG3.html#group36G3", "36G³")</f>
        <v/>
      </c>
      <c r="L2640">
        <f>HYPERLINK("CSG21.html#group36F21", "36F²¹")</f>
        <v/>
      </c>
      <c r="M2640">
        <f>HYPERLINK("CSG0.html#group3B0", "3B⁰"), =HYPERLINK("CSG0.html#group18E0", "18E⁰"), =HYPERLINK("CSG2.html#group18Q2", "18Q²"), =HYPERLINK("CSG1.html#group12F1", "12F¹"), =HYPERLINK("CSG0.html#group4C0", "4C⁰"), =HYPERLINK("CSG0.html#group6F0", "6F⁰"), =HYPERLINK("CSG0.html#group9B0", "9B⁰"), =HYPERLINK("CSG0.html#group9I0", "9I⁰"), =HYPERLINK("CSG0.html#group2B0", "2B⁰"), =HYPERLINK("CSG0.html#group1A0", "1A⁰"), =HYPERLINK("CSG3.html#group36G3", "36G³")</f>
        <v/>
      </c>
      <c r="N2640">
        <f>HYPERLINK("CSG21.html#group36F21", "36F²¹")</f>
        <v/>
      </c>
    </row>
    <row r="2641">
      <c r="A2641" t="inlineStr">
        <is>
          <t>36L¹¹</t>
        </is>
      </c>
      <c r="B2641" t="inlineStr"/>
      <c r="C2641" t="inlineStr">
        <is>
          <t>216</t>
        </is>
      </c>
      <c r="D2641" t="inlineStr">
        <is>
          <t>1</t>
        </is>
      </c>
      <c r="E2641" t="inlineStr">
        <is>
          <t>54</t>
        </is>
      </c>
      <c r="F2641" t="inlineStr">
        <is>
          <t>0</t>
        </is>
      </c>
      <c r="G2641" t="inlineStr">
        <is>
          <t>0</t>
        </is>
      </c>
      <c r="H2641" t="inlineStr">
        <is>
          <t>6⁶, 12⁶, 18², 36²</t>
        </is>
      </c>
      <c r="I2641" t="n">
        <v>16</v>
      </c>
      <c r="J2641" t="inlineStr">
        <is>
          <t>1³, 2³, 3³, 6⁶</t>
        </is>
      </c>
      <c r="K2641">
        <f>HYPERLINK("CSG3.html#group12E3", "12E³"), =HYPERLINK("CSG3.html#group18K3", "18K³"), =HYPERLINK("CSG4.html#group36Q4", "36Q⁴"), =HYPERLINK("CSG6.html#group36D6", "36D⁶")</f>
        <v/>
      </c>
      <c r="L2641">
        <f>HYPERLINK("CSG21.html#group36E21", "36E²¹")</f>
        <v/>
      </c>
      <c r="M2641">
        <f>HYPERLINK("CSG0.html#group6B0", "6B⁰"), =HYPERLINK("CSG1.html#group12K1", "12K¹"), =HYPERLINK("CSG1.html#group18I1", "18I¹"), =HYPERLINK("CSG2.html#group12D2", "12D²"), =HYPERLINK("CSG0.html#group6G0", "6G⁰"), =HYPERLINK("CSG0.html#group2B0", "2B⁰"), =HYPERLINK("CSG0.html#group9E0", "9E⁰"), =HYPERLINK("CSG0.html#group4B0", "4B⁰"), =HYPERLINK("CSG6.html#group36D6", "36D⁶"), =HYPERLINK("CSG0.html#group1A0", "1A⁰"), =HYPERLINK("CSG1.html#group12N1", "12N¹"), =HYPERLINK("CSG1.html#group12C1", "12C¹"), =HYPERLINK("CSG0.html#group6E0", "6E⁰"), =HYPERLINK("CSG0.html#group6L0", "6L⁰"), =HYPERLINK("CSG4.html#group36Q4", "36Q⁴"), =HYPERLINK("CSG3.html#group12E3", "12E³"), =HYPERLINK("CSG3.html#group18K3", "18K³"), =HYPERLINK("CSG0.html#group3C0", "3C⁰"), =HYPERLINK("CSG1.html#group12B1", "12B¹"), =HYPERLINK("CSG0.html#group12D0", "12D⁰"), =HYPERLINK("CSG0.html#group6H0", "6H⁰"), =HYPERLINK("CSG0.html#group3A0", "3A⁰"), =HYPERLINK("CSG1.html#group18G1", "18G¹"), =HYPERLINK("CSG2.html#group12C2", "12C²"), =HYPERLINK("CSG1.html#group18F1", "18F¹"), =HYPERLINK("CSG0.html#group6D0", "6D⁰")</f>
        <v/>
      </c>
      <c r="N2641">
        <f>HYPERLINK("CSG21.html#group36E21", "36E²¹")</f>
        <v/>
      </c>
    </row>
    <row r="2642">
      <c r="A2642" t="inlineStr">
        <is>
          <t>36M¹¹</t>
        </is>
      </c>
      <c r="B2642" t="inlineStr"/>
      <c r="C2642" t="inlineStr">
        <is>
          <t>216</t>
        </is>
      </c>
      <c r="D2642" t="inlineStr">
        <is>
          <t>1</t>
        </is>
      </c>
      <c r="E2642" t="inlineStr">
        <is>
          <t>54</t>
        </is>
      </c>
      <c r="F2642" t="inlineStr">
        <is>
          <t>0</t>
        </is>
      </c>
      <c r="G2642" t="inlineStr">
        <is>
          <t>0</t>
        </is>
      </c>
      <c r="H2642" t="inlineStr">
        <is>
          <t>6⁶, 12⁶, 18², 36²</t>
        </is>
      </c>
      <c r="I2642" t="n">
        <v>16</v>
      </c>
      <c r="J2642" t="inlineStr">
        <is>
          <t>1³, 2³, 3³, 6⁶</t>
        </is>
      </c>
      <c r="K2642">
        <f>HYPERLINK("CSG3.html#group12F3", "12F³"), =HYPERLINK("CSG3.html#group36I3", "36I³"), =HYPERLINK("CSG4.html#group18N4", "18N⁴"), =HYPERLINK("CSG6.html#group36D6", "36D⁶")</f>
        <v/>
      </c>
      <c r="L2642">
        <f>HYPERLINK("CSG21.html#group36E21", "36E²¹")</f>
        <v/>
      </c>
      <c r="M2642">
        <f>HYPERLINK("CSG1.html#group6E1", "6E¹"), =HYPERLINK("CSG2.html#group18F2", "18F²"), =HYPERLINK("CSG0.html#group2A0", "2A⁰"), =HYPERLINK("CSG0.html#group6B0", "6B⁰"), =HYPERLINK("CSG1.html#group18I1", "18I¹"), =HYPERLINK("CSG3.html#group12F3", "12F³"), =HYPERLINK("CSG1.html#group6C1", "6C¹"), =HYPERLINK("CSG0.html#group6G0", "6G⁰"), =HYPERLINK("CSG2.html#group12E2", "12E²"), =HYPERLINK("CSG0.html#group2B0", "2B⁰"), =HYPERLINK("CSG0.html#group9E0", "9E⁰"), =HYPERLINK("CSG1.html#group12N1", "12N¹"), =HYPERLINK("CSG6.html#group36D6", "36D⁶"), =HYPERLINK("CSG0.html#group1A0", "1A⁰"), =HYPERLINK("CSG0.html#group12G0", "12G⁰"), =HYPERLINK("CSG0.html#group6A0", "6A⁰"), =HYPERLINK("CSG4.html#group18N4", "18N⁴"), =HYPERLINK("CSG1.html#group6B1", "6B¹"), =HYPERLINK("CSG1.html#group12C1", "12C¹"), =HYPERLINK("CSG0.html#group3C0", "3C⁰"), =HYPERLINK("CSG1.html#group6A1", "6A¹"), =HYPERLINK("CSG0.html#group12D0", "12D⁰"), =HYPERLINK("CSG3.html#group36I3", "36I³"), =HYPERLINK("CSG0.html#group6H0", "6H⁰"), =HYPERLINK("CSG0.html#group3A0", "3A⁰"), =HYPERLINK("CSG2.html#group12C2", "12C²"), =HYPERLINK("CSG0.html#group2C0", "2C⁰"), =HYPERLINK("CSG0.html#group6D0", "6D⁰")</f>
        <v/>
      </c>
      <c r="N2642">
        <f>HYPERLINK("CSG21.html#group36E21", "36E²¹")</f>
        <v/>
      </c>
    </row>
    <row r="2643">
      <c r="A2643" t="inlineStr">
        <is>
          <t>36N¹¹</t>
        </is>
      </c>
      <c r="B2643" t="inlineStr"/>
      <c r="C2643" t="inlineStr">
        <is>
          <t>216</t>
        </is>
      </c>
      <c r="D2643" t="inlineStr">
        <is>
          <t>1</t>
        </is>
      </c>
      <c r="E2643" t="inlineStr">
        <is>
          <t>54</t>
        </is>
      </c>
      <c r="F2643" t="inlineStr">
        <is>
          <t>0</t>
        </is>
      </c>
      <c r="G2643" t="inlineStr">
        <is>
          <t>0</t>
        </is>
      </c>
      <c r="H2643" t="inlineStr">
        <is>
          <t>6⁶, 12⁶, 18², 36²</t>
        </is>
      </c>
      <c r="I2643" t="n">
        <v>16</v>
      </c>
      <c r="J2643" t="inlineStr">
        <is>
          <t>1³, 2³, 3³, 6⁶</t>
        </is>
      </c>
      <c r="K2643">
        <f>HYPERLINK("CSG3.html#group12G3", "12G³"), =HYPERLINK("CSG4.html#group18N4", "18N⁴"), =HYPERLINK("CSG4.html#group36Q4", "36Q⁴"), =HYPERLINK("CSG5.html#group36I5", "36I⁵")</f>
        <v/>
      </c>
      <c r="L2643">
        <f>HYPERLINK("CSG21.html#group36E21", "36E²¹")</f>
        <v/>
      </c>
      <c r="M2643">
        <f>HYPERLINK("CSG5.html#group36I5", "36I⁵"), =HYPERLINK("CSG0.html#group2A0", "2A⁰"), =HYPERLINK("CSG1.html#group12K1", "12K¹"), =HYPERLINK("CSG0.html#group12C0", "12C⁰"), =HYPERLINK("CSG2.html#group12D2", "12D²"), =HYPERLINK("CSG1.html#group6C1", "6C¹"), =HYPERLINK("CSG0.html#group4C0", "4C⁰"), =HYPERLINK("CSG2.html#group12B2", "12B²"), =HYPERLINK("CSG0.html#group6G0", "6G⁰"), =HYPERLINK("CSG2.html#group12E2", "12E²"), =HYPERLINK("CSG0.html#group2B0", "2B⁰"), =HYPERLINK("CSG0.html#group4E0", "4E⁰"), =HYPERLINK("CSG0.html#group9E0", "9E⁰"), =HYPERLINK("CSG0.html#group4B0", "4B⁰"), =HYPERLINK("CSG3.html#group12G3", "12G³"), =HYPERLINK("CSG0.html#group1A0", "1A⁰"), =HYPERLINK("CSG4.html#group18N4", "18N⁴"), =HYPERLINK("CSG1.html#group6B1", "6B¹"), =HYPERLINK("CSG0.html#group3C0", "3C⁰"), =HYPERLINK("CSG1.html#group6A1", "6A¹"), =HYPERLINK("CSG1.html#group12B1", "12B¹"), =HYPERLINK("CSG0.html#group6H0", "6H⁰"), =HYPERLINK("CSG0.html#group3A0", "3A⁰"), =HYPERLINK("CSG1.html#group6E1", "6E¹"), =HYPERLINK("CSG2.html#group18F2", "18F²"), =HYPERLINK("CSG0.html#group6B0", "6B⁰"), =HYPERLINK("CSG1.html#group18I1", "18I¹"), =HYPERLINK("CSG1.html#group12L1", "12L¹"), =HYPERLINK("CSG0.html#group6A0", "6A⁰"), =HYPERLINK("CSG1.html#group12C1", "12C¹"), =HYPERLINK("CSG4.html#group36Q4", "36Q⁴"), =HYPERLINK("CSG0.html#group12D0", "12D⁰"), =HYPERLINK("CSG0.html#group12H0", "12H⁰"), =HYPERLINK("CSG0.html#group2C0", "2C⁰"), =HYPERLINK("CSG0.html#group6D0", "6D⁰")</f>
        <v/>
      </c>
      <c r="N2643">
        <f>HYPERLINK("CSG21.html#group36E21", "36E²¹")</f>
        <v/>
      </c>
    </row>
    <row r="2644">
      <c r="A2644" t="inlineStr">
        <is>
          <t>38A¹¹</t>
        </is>
      </c>
      <c r="B2644" t="inlineStr"/>
      <c r="C2644" t="inlineStr">
        <is>
          <t>171</t>
        </is>
      </c>
      <c r="D2644" t="inlineStr">
        <is>
          <t>2</t>
        </is>
      </c>
      <c r="E2644" t="inlineStr">
        <is>
          <t>171</t>
        </is>
      </c>
      <c r="F2644" t="inlineStr">
        <is>
          <t>5</t>
        </is>
      </c>
      <c r="G2644" t="inlineStr">
        <is>
          <t>0</t>
        </is>
      </c>
      <c r="H2644" t="inlineStr">
        <is>
          <t>19³, 38³</t>
        </is>
      </c>
      <c r="I2644" t="n">
        <v>6</v>
      </c>
      <c r="J2644" t="inlineStr">
        <is>
          <t>6³, 18¹⁸</t>
        </is>
      </c>
      <c r="K2644">
        <f>HYPERLINK("CSG0.html#group2B0", "2B⁰"), =HYPERLINK("CSG2.html#group19A2", "19A²")</f>
        <v/>
      </c>
      <c r="L2644">
        <f>HYPERLINK("CSG24.html#group76A24", "76A²⁴")</f>
        <v/>
      </c>
      <c r="M2644">
        <f>HYPERLINK("CSG2.html#group19A2", "19A²"), =HYPERLINK("CSG0.html#group1A0", "1A⁰"), =HYPERLINK("CSG0.html#group2B0", "2B⁰")</f>
        <v/>
      </c>
      <c r="N2644">
        <f>HYPERLINK("CSG24.html#group76A24", "76A²⁴")</f>
        <v/>
      </c>
    </row>
    <row r="2645">
      <c r="A2645" t="inlineStr">
        <is>
          <t>39A¹¹</t>
        </is>
      </c>
      <c r="B2645" t="inlineStr"/>
      <c r="C2645" t="inlineStr">
        <is>
          <t>168</t>
        </is>
      </c>
      <c r="D2645" t="inlineStr">
        <is>
          <t>1</t>
        </is>
      </c>
      <c r="E2645" t="inlineStr">
        <is>
          <t>14</t>
        </is>
      </c>
      <c r="F2645" t="inlineStr">
        <is>
          <t>0</t>
        </is>
      </c>
      <c r="G2645" t="inlineStr">
        <is>
          <t>0</t>
        </is>
      </c>
      <c r="H2645" t="inlineStr">
        <is>
          <t>3⁴, 39⁴</t>
        </is>
      </c>
      <c r="I2645" t="n">
        <v>8</v>
      </c>
      <c r="J2645" t="inlineStr">
        <is>
          <t>1², 12¹</t>
        </is>
      </c>
      <c r="K2645">
        <f>HYPERLINK("CSG0.html#group3D0", "3D⁰"), =HYPERLINK("CSG3.html#group39A3", "39A³"), =HYPERLINK("CSG5.html#group39A5", "39A⁵")</f>
        <v/>
      </c>
      <c r="L2645">
        <f>HYPERLINK("CSG21.html#group39B21", "39B²¹")</f>
        <v/>
      </c>
      <c r="M2645">
        <f>HYPERLINK("CSG2.html#group39A2", "39A²"), =HYPERLINK("CSG0.html#group3B0", "3B⁰"), =HYPERLINK("CSG3.html#group39A3", "39A³"), =HYPERLINK("CSG5.html#group39A5", "39A⁵"), =HYPERLINK("CSG0.html#group13A0", "13A⁰"), =HYPERLINK("CSG0.html#group3C0", "3C⁰"), =HYPERLINK("CSG0.html#group1A0", "1A⁰"), =HYPERLINK("CSG0.html#group3A0", "3A⁰"), =HYPERLINK("CSG0.html#group3D0", "3D⁰")</f>
        <v/>
      </c>
      <c r="N2645">
        <f>HYPERLINK("CSG21.html#group39B21", "39B²¹")</f>
        <v/>
      </c>
    </row>
    <row r="2646">
      <c r="A2646" t="inlineStr">
        <is>
          <t>39B¹¹</t>
        </is>
      </c>
      <c r="B2646" t="inlineStr"/>
      <c r="C2646" t="inlineStr">
        <is>
          <t>168</t>
        </is>
      </c>
      <c r="D2646" t="inlineStr">
        <is>
          <t>1</t>
        </is>
      </c>
      <c r="E2646" t="inlineStr">
        <is>
          <t>42</t>
        </is>
      </c>
      <c r="F2646" t="inlineStr">
        <is>
          <t>0</t>
        </is>
      </c>
      <c r="G2646" t="inlineStr">
        <is>
          <t>0</t>
        </is>
      </c>
      <c r="H2646" t="inlineStr">
        <is>
          <t>3⁴, 39⁴</t>
        </is>
      </c>
      <c r="I2646" t="n">
        <v>8</v>
      </c>
      <c r="J2646" t="inlineStr">
        <is>
          <t>1², 2², 12¹, 24¹</t>
        </is>
      </c>
      <c r="K2646">
        <f>HYPERLINK("CSG4.html#group39A4", "39A⁴"), =HYPERLINK("CSG5.html#group39A5", "39A⁵"), =HYPERLINK("CSG6.html#group39A6", "39A⁶")</f>
        <v/>
      </c>
      <c r="L2646">
        <f>HYPERLINK("CSG21.html#group39B21", "39B²¹")</f>
        <v/>
      </c>
      <c r="M2646">
        <f>HYPERLINK("CSG2.html#group39A2", "39A²"), =HYPERLINK("CSG5.html#group39A5", "39A⁵"), =HYPERLINK("CSG0.html#group13A0", "13A⁰"), =HYPERLINK("CSG0.html#group3C0", "3C⁰"), =HYPERLINK("CSG0.html#group13B0", "13B⁰"), =HYPERLINK("CSG6.html#group39A6", "39A⁶"), =HYPERLINK("CSG4.html#group39A4", "39A⁴"), =HYPERLINK("CSG0.html#group3A0", "3A⁰"), =HYPERLINK("CSG0.html#group1A0", "1A⁰")</f>
        <v/>
      </c>
      <c r="N2646">
        <f>HYPERLINK("CSG21.html#group39B21", "39B²¹")</f>
        <v/>
      </c>
    </row>
    <row r="2647">
      <c r="A2647" t="inlineStr">
        <is>
          <t>40A¹¹</t>
        </is>
      </c>
      <c r="B2647" t="inlineStr"/>
      <c r="C2647" t="inlineStr">
        <is>
          <t>160</t>
        </is>
      </c>
      <c r="D2647" t="inlineStr">
        <is>
          <t>1</t>
        </is>
      </c>
      <c r="E2647" t="inlineStr">
        <is>
          <t>40</t>
        </is>
      </c>
      <c r="F2647" t="inlineStr">
        <is>
          <t>0</t>
        </is>
      </c>
      <c r="G2647" t="inlineStr">
        <is>
          <t>4</t>
        </is>
      </c>
      <c r="H2647" t="inlineStr">
        <is>
          <t>40⁴</t>
        </is>
      </c>
      <c r="I2647" t="n">
        <v>4</v>
      </c>
      <c r="J2647" t="inlineStr">
        <is>
          <t>4², 8⁴</t>
        </is>
      </c>
      <c r="K2647">
        <f>HYPERLINK("CSG5.html#group20A5", "20A⁵"), =HYPERLINK("CSG5.html#group40E5", "40E⁵")</f>
        <v/>
      </c>
      <c r="L2647">
        <f>HYPERLINK("CSG21.html#group40B21", "40B²¹"), =HYPERLINK("CSG23.html#group80C23", "80C²³")</f>
        <v/>
      </c>
      <c r="M2647">
        <f>HYPERLINK("CSG0.html#group2A0", "2A⁰"), =HYPERLINK("CSG5.html#group40E5", "40E⁵"), =HYPERLINK("CSG0.html#group4A0", "4A⁰"), =HYPERLINK("CSG0.html#group4D0", "4D⁰"), =HYPERLINK("CSG1.html#group10C1", "10C¹"), =HYPERLINK("CSG0.html#group1A0", "1A⁰"), =HYPERLINK("CSG5.html#group20A5", "20A⁵"), =HYPERLINK("CSG0.html#group5C0", "5C⁰"), =HYPERLINK("CSG2.html#group20E2", "20E²")</f>
        <v/>
      </c>
      <c r="N2647">
        <f>HYPERLINK("CSG21.html#group40B21", "40B²¹"), =HYPERLINK("CSG23.html#group80C23", "80C²³")</f>
        <v/>
      </c>
    </row>
    <row r="2648">
      <c r="A2648" t="inlineStr">
        <is>
          <t>40B¹¹</t>
        </is>
      </c>
      <c r="B2648" t="inlineStr"/>
      <c r="C2648" t="inlineStr">
        <is>
          <t>160</t>
        </is>
      </c>
      <c r="D2648" t="inlineStr">
        <is>
          <t>1</t>
        </is>
      </c>
      <c r="E2648" t="inlineStr">
        <is>
          <t>40</t>
        </is>
      </c>
      <c r="F2648" t="inlineStr">
        <is>
          <t>0</t>
        </is>
      </c>
      <c r="G2648" t="inlineStr">
        <is>
          <t>4</t>
        </is>
      </c>
      <c r="H2648" t="inlineStr">
        <is>
          <t>40⁴</t>
        </is>
      </c>
      <c r="I2648" t="n">
        <v>4</v>
      </c>
      <c r="J2648" t="inlineStr">
        <is>
          <t>4², 8⁴</t>
        </is>
      </c>
      <c r="K2648">
        <f>HYPERLINK("CSG0.html#group8E0", "8E⁰"), =HYPERLINK("CSG5.html#group20A5", "20A⁵"), =HYPERLINK("CSG5.html#group40F5", "40F⁵")</f>
        <v/>
      </c>
      <c r="L2648">
        <f>HYPERLINK("CSG21.html#group40B21", "40B²¹"), =HYPERLINK("CSG23.html#group80A23", "80A²³"), =HYPERLINK("CSG23.html#group80B23", "80B²³")</f>
        <v/>
      </c>
      <c r="M2648">
        <f>HYPERLINK("CSG5.html#group40F5", "40F⁵"), =HYPERLINK("CSG0.html#group2A0", "2A⁰"), =HYPERLINK("CSG0.html#group4A0", "4A⁰"), =HYPERLINK("CSG0.html#group4D0", "4D⁰"), =HYPERLINK("CSG0.html#group5C0", "5C⁰"), =HYPERLINK("CSG0.html#group8A0", "8A⁰"), =HYPERLINK("CSG0.html#group8E0", "8E⁰"), =HYPERLINK("CSG1.html#group10C1", "10C¹"), =HYPERLINK("CSG5.html#group20A5", "20A⁵"), =HYPERLINK("CSG0.html#group1A0", "1A⁰"), =HYPERLINK("CSG2.html#group20E2", "20E²")</f>
        <v/>
      </c>
      <c r="N2648">
        <f>HYPERLINK("CSG21.html#group40B21", "40B²¹"), =HYPERLINK("CSG23.html#group80B23", "80B²³"), =HYPERLINK("CSG23.html#group80A23", "80A²³")</f>
        <v/>
      </c>
    </row>
    <row r="2649">
      <c r="A2649" t="inlineStr">
        <is>
          <t>40C¹¹</t>
        </is>
      </c>
      <c r="B2649" t="inlineStr"/>
      <c r="C2649" t="inlineStr">
        <is>
          <t>160</t>
        </is>
      </c>
      <c r="D2649" t="inlineStr">
        <is>
          <t>1</t>
        </is>
      </c>
      <c r="E2649" t="inlineStr">
        <is>
          <t>80</t>
        </is>
      </c>
      <c r="F2649" t="inlineStr">
        <is>
          <t>0</t>
        </is>
      </c>
      <c r="G2649" t="inlineStr">
        <is>
          <t>4</t>
        </is>
      </c>
      <c r="H2649" t="inlineStr">
        <is>
          <t>40⁴</t>
        </is>
      </c>
      <c r="I2649" t="n">
        <v>4</v>
      </c>
      <c r="J2649" t="inlineStr">
        <is>
          <t>4⁴, 16⁴</t>
        </is>
      </c>
      <c r="K2649">
        <f>HYPERLINK("CSG1.html#group8E1", "8E¹"), =HYPERLINK("CSG2.html#group20D2", "20D²"), =HYPERLINK("CSG5.html#group40D5", "40D⁵")</f>
        <v/>
      </c>
      <c r="L2649">
        <f>HYPERLINK("CSG21.html#group40C21", "40C²¹")</f>
        <v/>
      </c>
      <c r="M2649">
        <f>HYPERLINK("CSG0.html#group2A0", "2A⁰"), =HYPERLINK("CSG0.html#group5A0", "5A⁰"), =HYPERLINK("CSG0.html#group8F0", "8F⁰"), =HYPERLINK("CSG2.html#group20D2", "20D²"), =HYPERLINK("CSG0.html#group10A0", "10A⁰"), =HYPERLINK("CSG0.html#group4A0", "4A⁰"), =HYPERLINK("CSG0.html#group4D0", "4D⁰"), =HYPERLINK("CSG1.html#group20A1", "20A¹"), =HYPERLINK("CSG1.html#group8E1", "8E¹"), =HYPERLINK("CSG0.html#group1A0", "1A⁰"), =HYPERLINK("CSG5.html#group40D5", "40D⁵")</f>
        <v/>
      </c>
      <c r="N2649">
        <f>HYPERLINK("CSG21.html#group40C21", "40C²¹")</f>
        <v/>
      </c>
    </row>
    <row r="2650">
      <c r="A2650" t="inlineStr">
        <is>
          <t>40D¹¹</t>
        </is>
      </c>
      <c r="B2650" t="inlineStr"/>
      <c r="C2650" t="inlineStr">
        <is>
          <t>160</t>
        </is>
      </c>
      <c r="D2650" t="inlineStr">
        <is>
          <t>2</t>
        </is>
      </c>
      <c r="E2650" t="inlineStr">
        <is>
          <t>40</t>
        </is>
      </c>
      <c r="F2650" t="inlineStr">
        <is>
          <t>0</t>
        </is>
      </c>
      <c r="G2650" t="inlineStr">
        <is>
          <t>4</t>
        </is>
      </c>
      <c r="H2650" t="inlineStr">
        <is>
          <t>40⁴</t>
        </is>
      </c>
      <c r="I2650" t="n">
        <v>4</v>
      </c>
      <c r="J2650" t="inlineStr">
        <is>
          <t>8², 16⁴</t>
        </is>
      </c>
      <c r="K2650">
        <f>HYPERLINK("CSG2.html#group40A2", "40A²"), =HYPERLINK("CSG5.html#group20B5", "20B⁵"), =HYPERLINK("CSG5.html#group40E5", "40E⁵"), =HYPERLINK("CSG5.html#group40F5", "40F⁵")</f>
        <v/>
      </c>
      <c r="L2650">
        <f>HYPERLINK("CSG21.html#group40B21", "40B²¹"), =HYPERLINK("CSG23.html#group80E23", "80E²³")</f>
        <v/>
      </c>
      <c r="M2650">
        <f>HYPERLINK("CSG5.html#group40F5", "40F⁵"), =HYPERLINK("CSG5.html#group40E5", "40E⁵"), =HYPERLINK("CSG0.html#group5A0", "5A⁰"), =HYPERLINK("CSG0.html#group4A0", "4A⁰"), =HYPERLINK("CSG0.html#group5C0", "5C⁰"), =HYPERLINK("CSG0.html#group8A0", "8A⁰"), =HYPERLINK("CSG5.html#group20B5", "20B⁵"), =HYPERLINK("CSG0.html#group1A0", "1A⁰"), =HYPERLINK("CSG1.html#group20A1", "20A¹"), =HYPERLINK("CSG0.html#group5F0", "5F⁰"), =HYPERLINK("CSG2.html#group40A2", "40A²"), =HYPERLINK("CSG2.html#group20E2", "20E²")</f>
        <v/>
      </c>
      <c r="N2650">
        <f>HYPERLINK("CSG21.html#group40B21", "40B²¹"), =HYPERLINK("CSG23.html#group80E23", "80E²³")</f>
        <v/>
      </c>
    </row>
    <row r="2651">
      <c r="A2651" t="inlineStr">
        <is>
          <t>40E¹¹</t>
        </is>
      </c>
      <c r="B2651" t="inlineStr"/>
      <c r="C2651" t="inlineStr">
        <is>
          <t>180</t>
        </is>
      </c>
      <c r="D2651" t="inlineStr">
        <is>
          <t>1</t>
        </is>
      </c>
      <c r="E2651" t="inlineStr">
        <is>
          <t>45</t>
        </is>
      </c>
      <c r="F2651" t="inlineStr">
        <is>
          <t>8</t>
        </is>
      </c>
      <c r="G2651" t="inlineStr">
        <is>
          <t>0</t>
        </is>
      </c>
      <c r="H2651" t="inlineStr">
        <is>
          <t>20³, 40³</t>
        </is>
      </c>
      <c r="I2651" t="n">
        <v>6</v>
      </c>
      <c r="J2651" t="inlineStr">
        <is>
          <t>1³, 2³, 4⁹</t>
        </is>
      </c>
      <c r="K2651">
        <f>HYPERLINK("CSG4.html#group20E4", "20E⁴")</f>
        <v/>
      </c>
      <c r="L2651">
        <f>HYPERLINK("CSG21.html#group40F21", "40F²¹"), =HYPERLINK("CSG23.html#group40C23", "40C²³"), =HYPERLINK("CSG23.html#group40E23", "40E²³"), =HYPERLINK("CSG23.html#group40F23", "40F²³"), =HYPERLINK("CSG23.html#group40G23", "40G²³"), =HYPERLINK("CSG23.html#group40H23", "40H²³"), =HYPERLINK("CSG23.html#group40I23", "40I²³"), =HYPERLINK("CSG23.html#group40J23", "40J²³")</f>
        <v/>
      </c>
      <c r="M2651">
        <f>HYPERLINK("CSG0.html#group5A0", "5A⁰"), =HYPERLINK("CSG1.html#group10I1", "10I¹"), =HYPERLINK("CSG4.html#group20E4", "20E⁴"), =HYPERLINK("CSG1.html#group10B1", "10B¹"), =HYPERLINK("CSG2.html#group20B2", "20B²"), =HYPERLINK("CSG0.html#group4C0", "4C⁰"), =HYPERLINK("CSG0.html#group5E0", "5E⁰"), =HYPERLINK("CSG0.html#group2B0", "2B⁰"), =HYPERLINK("CSG0.html#group1A0", "1A⁰")</f>
        <v/>
      </c>
      <c r="N2651">
        <f>HYPERLINK("CSG23.html#group40I23", "40I²³"), =HYPERLINK("CSG23.html#group40G23", "40G²³"), =HYPERLINK("CSG23.html#group40J23", "40J²³"), =HYPERLINK("CSG23.html#group40H23", "40H²³"), =HYPERLINK("CSG23.html#group40C23", "40C²³"), =HYPERLINK("CSG23.html#group40E23", "40E²³"), =HYPERLINK("CSG23.html#group40F23", "40F²³"), =HYPERLINK("CSG21.html#group40F21", "40F²¹")</f>
        <v/>
      </c>
    </row>
    <row r="2652">
      <c r="A2652" t="inlineStr">
        <is>
          <t>40F¹¹</t>
        </is>
      </c>
      <c r="B2652" t="inlineStr"/>
      <c r="C2652" t="inlineStr">
        <is>
          <t>192</t>
        </is>
      </c>
      <c r="D2652" t="inlineStr">
        <is>
          <t>2</t>
        </is>
      </c>
      <c r="E2652" t="inlineStr">
        <is>
          <t>24</t>
        </is>
      </c>
      <c r="F2652" t="inlineStr">
        <is>
          <t>8</t>
        </is>
      </c>
      <c r="G2652" t="inlineStr">
        <is>
          <t>0</t>
        </is>
      </c>
      <c r="H2652" t="inlineStr">
        <is>
          <t>8⁴, 40⁴</t>
        </is>
      </c>
      <c r="I2652" t="n">
        <v>8</v>
      </c>
      <c r="J2652" t="inlineStr">
        <is>
          <t>4⁸, 16⁴</t>
        </is>
      </c>
      <c r="K2652">
        <f>HYPERLINK("CSG3.html#group20Q3", "20Q³"), =HYPERLINK("CSG5.html#group40G5", "40G⁵"), =HYPERLINK("CSG5.html#group40J5", "40J⁵")</f>
        <v/>
      </c>
      <c r="L2652" t="inlineStr"/>
      <c r="M2652">
        <f>HYPERLINK("CSG1.html#group20C1", "20C¹"), =HYPERLINK("CSG3.html#group40A3", "40A³"), =HYPERLINK("CSG5.html#group40G5", "40G⁵"), =HYPERLINK("CSG0.html#group4A0", "4A⁰"), =HYPERLINK("CSG5.html#group40J5", "40J⁵"), =HYPERLINK("CSG3.html#group40B3", "40B³"), =HYPERLINK("CSG1.html#group20G1", "20G¹"), =HYPERLINK("CSG0.html#group5B0", "5B⁰"), =HYPERLINK("CSG0.html#group8A0", "8A⁰"), =HYPERLINK("CSG0.html#group1A0", "1A⁰"), =HYPERLINK("CSG3.html#group20Q3", "20Q³"), =HYPERLINK("CSG1.html#group20B1", "20B¹"), =HYPERLINK("CSG0.html#group10B0", "10B⁰")</f>
        <v/>
      </c>
      <c r="N2652" t="inlineStr"/>
    </row>
    <row r="2653">
      <c r="A2653" t="inlineStr">
        <is>
          <t>40G¹¹</t>
        </is>
      </c>
      <c r="B2653" t="inlineStr"/>
      <c r="C2653" t="inlineStr">
        <is>
          <t>192</t>
        </is>
      </c>
      <c r="D2653" t="inlineStr">
        <is>
          <t>2</t>
        </is>
      </c>
      <c r="E2653" t="inlineStr">
        <is>
          <t>24</t>
        </is>
      </c>
      <c r="F2653" t="inlineStr">
        <is>
          <t>8</t>
        </is>
      </c>
      <c r="G2653" t="inlineStr">
        <is>
          <t>0</t>
        </is>
      </c>
      <c r="H2653" t="inlineStr">
        <is>
          <t>8⁴, 40⁴</t>
        </is>
      </c>
      <c r="I2653" t="n">
        <v>8</v>
      </c>
      <c r="J2653" t="inlineStr">
        <is>
          <t>4⁸, 16⁴</t>
        </is>
      </c>
      <c r="K2653">
        <f>HYPERLINK("CSG3.html#group20Q3", "20Q³"), =HYPERLINK("CSG5.html#group40H5", "40H⁵"), =HYPERLINK("CSG5.html#group40J5", "40J⁵")</f>
        <v/>
      </c>
      <c r="L2653" t="inlineStr"/>
      <c r="M2653">
        <f>HYPERLINK("CSG1.html#group20C1", "20C¹"), =HYPERLINK("CSG3.html#group40A3", "40A³"), =HYPERLINK("CSG5.html#group40H5", "40H⁵"), =HYPERLINK("CSG0.html#group4A0", "4A⁰"), =HYPERLINK("CSG5.html#group40J5", "40J⁵"), =HYPERLINK("CSG3.html#group40B3", "40B³"), =HYPERLINK("CSG1.html#group20G1", "20G¹"), =HYPERLINK("CSG0.html#group5B0", "5B⁰"), =HYPERLINK("CSG0.html#group8A0", "8A⁰"), =HYPERLINK("CSG0.html#group1A0", "1A⁰"), =HYPERLINK("CSG3.html#group20Q3", "20Q³"), =HYPERLINK("CSG1.html#group20B1", "20B¹"), =HYPERLINK("CSG0.html#group10B0", "10B⁰")</f>
        <v/>
      </c>
      <c r="N2653" t="inlineStr"/>
    </row>
    <row r="2654">
      <c r="A2654" t="inlineStr">
        <is>
          <t>40H¹¹</t>
        </is>
      </c>
      <c r="B2654" t="inlineStr"/>
      <c r="C2654" t="inlineStr">
        <is>
          <t>192</t>
        </is>
      </c>
      <c r="D2654" t="inlineStr">
        <is>
          <t>2</t>
        </is>
      </c>
      <c r="E2654" t="inlineStr">
        <is>
          <t>96</t>
        </is>
      </c>
      <c r="F2654" t="inlineStr">
        <is>
          <t>8</t>
        </is>
      </c>
      <c r="G2654" t="inlineStr">
        <is>
          <t>0</t>
        </is>
      </c>
      <c r="H2654" t="inlineStr">
        <is>
          <t>8⁴, 40⁴</t>
        </is>
      </c>
      <c r="I2654" t="n">
        <v>8</v>
      </c>
      <c r="J2654" t="inlineStr">
        <is>
          <t>4¹⁶, 16⁸</t>
        </is>
      </c>
      <c r="K2654">
        <f>HYPERLINK("CSG3.html#group40A3", "40A³"), =HYPERLINK("CSG5.html#group40I5", "40I⁵")</f>
        <v/>
      </c>
      <c r="L2654">
        <f>HYPERLINK("CSG21.html#group40M21", "40M²¹")</f>
        <v/>
      </c>
      <c r="M2654">
        <f>HYPERLINK("CSG0.html#group5B0", "5B⁰"), =HYPERLINK("CSG5.html#group40I5", "40I⁵"), =HYPERLINK("CSG3.html#group40A3", "40A³"), =HYPERLINK("CSG0.html#group8F0", "8F⁰"), =HYPERLINK("CSG0.html#group1A0", "1A⁰"), =HYPERLINK("CSG0.html#group4A0", "4A⁰"), =HYPERLINK("CSG1.html#group20B1", "20B¹")</f>
        <v/>
      </c>
      <c r="N2654">
        <f>HYPERLINK("CSG21.html#group40M21", "40M²¹")</f>
        <v/>
      </c>
    </row>
    <row r="2655">
      <c r="A2655" t="inlineStr">
        <is>
          <t>40I¹¹</t>
        </is>
      </c>
      <c r="B2655" t="inlineStr"/>
      <c r="C2655" t="inlineStr">
        <is>
          <t>192</t>
        </is>
      </c>
      <c r="D2655" t="inlineStr">
        <is>
          <t>2</t>
        </is>
      </c>
      <c r="E2655" t="inlineStr">
        <is>
          <t>96</t>
        </is>
      </c>
      <c r="F2655" t="inlineStr">
        <is>
          <t>8</t>
        </is>
      </c>
      <c r="G2655" t="inlineStr">
        <is>
          <t>0</t>
        </is>
      </c>
      <c r="H2655" t="inlineStr">
        <is>
          <t>8⁴, 40⁴</t>
        </is>
      </c>
      <c r="I2655" t="n">
        <v>8</v>
      </c>
      <c r="J2655" t="inlineStr">
        <is>
          <t>4¹⁶, 16⁸</t>
        </is>
      </c>
      <c r="K2655">
        <f>HYPERLINK("CSG0.html#group8M0", "8M⁰"), =HYPERLINK("CSG3.html#group40B3", "40B³"), =HYPERLINK("CSG5.html#group40I5", "40I⁵")</f>
        <v/>
      </c>
      <c r="L2655">
        <f>HYPERLINK("CSG21.html#group40M21", "40M²¹")</f>
        <v/>
      </c>
      <c r="M2655">
        <f>HYPERLINK("CSG5.html#group40I5", "40I⁵"), =HYPERLINK("CSG0.html#group8F0", "8F⁰"), =HYPERLINK("CSG0.html#group4A0", "4A⁰"), =HYPERLINK("CSG3.html#group40B3", "40B³"), =HYPERLINK("CSG0.html#group8A0", "8A⁰"), =HYPERLINK("CSG0.html#group5B0", "5B⁰"), =HYPERLINK("CSG0.html#group8M0", "8M⁰"), =HYPERLINK("CSG0.html#group1A0", "1A⁰"), =HYPERLINK("CSG1.html#group20B1", "20B¹")</f>
        <v/>
      </c>
      <c r="N2655">
        <f>HYPERLINK("CSG21.html#group40M21", "40M²¹")</f>
        <v/>
      </c>
    </row>
    <row r="2656">
      <c r="A2656" t="inlineStr">
        <is>
          <t>40J¹¹</t>
        </is>
      </c>
      <c r="B2656" t="inlineStr"/>
      <c r="C2656" t="inlineStr">
        <is>
          <t>240</t>
        </is>
      </c>
      <c r="D2656" t="inlineStr">
        <is>
          <t>1</t>
        </is>
      </c>
      <c r="E2656" t="inlineStr">
        <is>
          <t>30</t>
        </is>
      </c>
      <c r="F2656" t="inlineStr">
        <is>
          <t>0</t>
        </is>
      </c>
      <c r="G2656" t="inlineStr">
        <is>
          <t>0</t>
        </is>
      </c>
      <c r="H2656" t="inlineStr">
        <is>
          <t>5¹⁶, 40⁴</t>
        </is>
      </c>
      <c r="I2656" t="n">
        <v>20</v>
      </c>
      <c r="J2656" t="inlineStr">
        <is>
          <t>2³, 4⁶</t>
        </is>
      </c>
      <c r="K2656">
        <f>HYPERLINK("CSG5.html#group20E5", "20E⁵"), =HYPERLINK("CSG5.html#group40K5", "40K⁵")</f>
        <v/>
      </c>
      <c r="L2656" t="inlineStr"/>
      <c r="M2656">
        <f>HYPERLINK("CSG2.html#group20A2", "20A²"), =HYPERLINK("CSG0.html#group5A0", "5A⁰"), =HYPERLINK("CSG5.html#group20E5", "20E⁵"), =HYPERLINK("CSG3.html#group20E3", "20E³"), =HYPERLINK("CSG1.html#group10B1", "10B¹"), =HYPERLINK("CSG0.html#group5F0", "5F⁰"), =HYPERLINK("CSG0.html#group2B0", "2B⁰"), =HYPERLINK("CSG2.html#group20F2", "20F²"), =HYPERLINK("CSG0.html#group4B0", "4B⁰"), =HYPERLINK("CSG0.html#group1A0", "1A⁰"), =HYPERLINK("CSG2.html#group10D2", "10D²"), =HYPERLINK("CSG1.html#group10F1", "10F¹"), =HYPERLINK("CSG0.html#group5C0", "5C⁰"), =HYPERLINK("CSG5.html#group40K5", "40K⁵")</f>
        <v/>
      </c>
      <c r="N2656" t="inlineStr"/>
    </row>
    <row r="2657">
      <c r="A2657" t="inlineStr">
        <is>
          <t>40K¹¹</t>
        </is>
      </c>
      <c r="B2657" t="inlineStr"/>
      <c r="C2657" t="inlineStr">
        <is>
          <t>288</t>
        </is>
      </c>
      <c r="D2657" t="inlineStr">
        <is>
          <t>2</t>
        </is>
      </c>
      <c r="E2657" t="inlineStr">
        <is>
          <t>36</t>
        </is>
      </c>
      <c r="F2657" t="inlineStr">
        <is>
          <t>8</t>
        </is>
      </c>
      <c r="G2657" t="inlineStr">
        <is>
          <t>0</t>
        </is>
      </c>
      <c r="H2657" t="inlineStr">
        <is>
          <t>2⁸, 8⁴, 10⁸, 40⁴</t>
        </is>
      </c>
      <c r="I2657" t="n">
        <v>24</v>
      </c>
      <c r="J2657" t="inlineStr">
        <is>
          <t>2¹², 8⁶</t>
        </is>
      </c>
      <c r="K2657">
        <f>HYPERLINK("CSG3.html#group20T3", "20T³"), =HYPERLINK("CSG5.html#group40N5", "40N⁵"), =HYPERLINK("CSG5.html#group40O5", "40O⁵")</f>
        <v/>
      </c>
      <c r="L2657" t="inlineStr"/>
      <c r="M2657">
        <f>HYPERLINK("CSG1.html#group20E1", "20E¹"), =HYPERLINK("CSG1.html#group40A1", "40A¹"), =HYPERLINK("CSG0.html#group10G0", "10G⁰"), =HYPERLINK("CSG3.html#group40H3", "40H³"), =HYPERLINK("CSG0.html#group8D0", "8D⁰"), =HYPERLINK("CSG5.html#group40O5", "40O⁵"), =HYPERLINK("CSG0.html#group4C0", "4C⁰"), =HYPERLINK("CSG0.html#group5B0", "5B⁰"), =HYPERLINK("CSG0.html#group2B0", "2B⁰"), =HYPERLINK("CSG0.html#group1A0", "1A⁰"), =HYPERLINK("CSG3.html#group20T3", "20T³"), =HYPERLINK("CSG0.html#group10B0", "10B⁰"), =HYPERLINK("CSG0.html#group20A0", "20A⁰"), =HYPERLINK("CSG1.html#group20I1", "20I¹"), =HYPERLINK("CSG3.html#group40I3", "40I³"), =HYPERLINK("CSG0.html#group10C0", "10C⁰"), =HYPERLINK("CSG5.html#group40N5", "40N⁵"), =HYPERLINK("CSG3.html#group40G3", "40G³")</f>
        <v/>
      </c>
      <c r="N2657" t="inlineStr"/>
    </row>
    <row r="2658">
      <c r="A2658" t="inlineStr">
        <is>
          <t>41A¹¹</t>
        </is>
      </c>
      <c r="B2658" t="inlineStr"/>
      <c r="C2658" t="inlineStr">
        <is>
          <t>168</t>
        </is>
      </c>
      <c r="D2658" t="inlineStr">
        <is>
          <t>1</t>
        </is>
      </c>
      <c r="E2658" t="inlineStr">
        <is>
          <t>42</t>
        </is>
      </c>
      <c r="F2658" t="inlineStr">
        <is>
          <t>0</t>
        </is>
      </c>
      <c r="G2658" t="inlineStr">
        <is>
          <t>0</t>
        </is>
      </c>
      <c r="H2658" t="inlineStr">
        <is>
          <t>1⁴, 41⁴</t>
        </is>
      </c>
      <c r="I2658" t="n">
        <v>8</v>
      </c>
      <c r="J2658" t="inlineStr">
        <is>
          <t>1², 40¹</t>
        </is>
      </c>
      <c r="K2658">
        <f>HYPERLINK("CSG5.html#group41A5", "41A⁵")</f>
        <v/>
      </c>
      <c r="L2658" t="inlineStr"/>
      <c r="M2658">
        <f>HYPERLINK("CSG0.html#group1A0", "1A⁰"), =HYPERLINK("CSG5.html#group41A5", "41A⁵"), =HYPERLINK("CSG3.html#group41A3", "41A³")</f>
        <v/>
      </c>
      <c r="N2658" t="inlineStr"/>
    </row>
    <row r="2659">
      <c r="A2659" t="inlineStr">
        <is>
          <t>41B¹¹</t>
        </is>
      </c>
      <c r="B2659" t="inlineStr"/>
      <c r="C2659" t="inlineStr">
        <is>
          <t>210</t>
        </is>
      </c>
      <c r="D2659" t="inlineStr">
        <is>
          <t>1</t>
        </is>
      </c>
      <c r="E2659" t="inlineStr">
        <is>
          <t>42</t>
        </is>
      </c>
      <c r="F2659" t="inlineStr">
        <is>
          <t>10</t>
        </is>
      </c>
      <c r="G2659" t="inlineStr">
        <is>
          <t>0</t>
        </is>
      </c>
      <c r="H2659" t="inlineStr">
        <is>
          <t>1⁵, 41⁵</t>
        </is>
      </c>
      <c r="I2659" t="n">
        <v>10</v>
      </c>
      <c r="J2659" t="inlineStr">
        <is>
          <t>1², 40¹</t>
        </is>
      </c>
      <c r="K2659">
        <f>HYPERLINK("CSG3.html#group41A3", "41A³")</f>
        <v/>
      </c>
      <c r="L2659">
        <f>HYPERLINK("CSG21.html#group41A21", "41A²¹")</f>
        <v/>
      </c>
      <c r="M2659">
        <f>HYPERLINK("CSG0.html#group1A0", "1A⁰"), =HYPERLINK("CSG3.html#group41A3", "41A³")</f>
        <v/>
      </c>
      <c r="N2659">
        <f>HYPERLINK("CSG21.html#group41A21", "41A²¹")</f>
        <v/>
      </c>
    </row>
    <row r="2660">
      <c r="A2660" t="inlineStr">
        <is>
          <t>42A¹¹</t>
        </is>
      </c>
      <c r="B2660" t="inlineStr"/>
      <c r="C2660" t="inlineStr">
        <is>
          <t>168</t>
        </is>
      </c>
      <c r="D2660" t="inlineStr">
        <is>
          <t>1</t>
        </is>
      </c>
      <c r="E2660" t="inlineStr">
        <is>
          <t>84</t>
        </is>
      </c>
      <c r="F2660" t="inlineStr">
        <is>
          <t>8</t>
        </is>
      </c>
      <c r="G2660" t="inlineStr">
        <is>
          <t>0</t>
        </is>
      </c>
      <c r="H2660" t="inlineStr">
        <is>
          <t>42⁴</t>
        </is>
      </c>
      <c r="I2660" t="n">
        <v>4</v>
      </c>
      <c r="J2660" t="inlineStr">
        <is>
          <t>1¹, 2¹, 3¹, 6⁵, 12⁴</t>
        </is>
      </c>
      <c r="K2660">
        <f>HYPERLINK("CSG2.html#group42A2", "42A²"), =HYPERLINK("CSG3.html#group21C3", "21C³")</f>
        <v/>
      </c>
      <c r="L2660">
        <f>HYPERLINK("CSG21.html#group42B21", "42B²¹"), =HYPERLINK("CSG21.html#group42E21", "42E²¹")</f>
        <v/>
      </c>
      <c r="M2660">
        <f>HYPERLINK("CSG0.html#group7F0", "7F⁰"), =HYPERLINK("CSG0.html#group21A0", "21A⁰"), =HYPERLINK("CSG2.html#group42A2", "42A²"), =HYPERLINK("CSG0.html#group3A0", "3A⁰"), =HYPERLINK("CSG0.html#group1A0", "1A⁰"), =HYPERLINK("CSG3.html#group21C3", "21C³"), =HYPERLINK("CSG0.html#group7A0", "7A⁰")</f>
        <v/>
      </c>
      <c r="N2660">
        <f>HYPERLINK("CSG21.html#group42B21", "42B²¹"), =HYPERLINK("CSG21.html#group42E21", "42E²¹")</f>
        <v/>
      </c>
    </row>
    <row r="2661">
      <c r="A2661" t="inlineStr">
        <is>
          <t>42B¹¹</t>
        </is>
      </c>
      <c r="B2661" t="inlineStr"/>
      <c r="C2661" t="inlineStr">
        <is>
          <t>168</t>
        </is>
      </c>
      <c r="D2661" t="inlineStr">
        <is>
          <t>2</t>
        </is>
      </c>
      <c r="E2661" t="inlineStr">
        <is>
          <t>21</t>
        </is>
      </c>
      <c r="F2661" t="inlineStr">
        <is>
          <t>8</t>
        </is>
      </c>
      <c r="G2661" t="inlineStr">
        <is>
          <t>0</t>
        </is>
      </c>
      <c r="H2661" t="inlineStr">
        <is>
          <t>42⁴</t>
        </is>
      </c>
      <c r="I2661" t="n">
        <v>4</v>
      </c>
      <c r="J2661" t="inlineStr">
        <is>
          <t>2¹, 4¹, 6², 12²</t>
        </is>
      </c>
      <c r="K2661">
        <f>HYPERLINK("CSG4.html#group42F4", "42F⁴"), =HYPERLINK("CSG4.html#group42G4", "42G⁴"), =HYPERLINK("CSG4.html#group42H4", "42H⁴"), =HYPERLINK("CSG5.html#group21B5", "21B⁵"), =HYPERLINK("CSG5.html#group42F5", "42F⁵"), =HYPERLINK("CSG6.html#group42A6", "42A⁶")</f>
        <v/>
      </c>
      <c r="L2661" t="inlineStr"/>
      <c r="M2661">
        <f>HYPERLINK("CSG2.html#group21D2", "21D²"), =HYPERLINK("CSG5.html#group42F5", "42F⁵"), =HYPERLINK("CSG4.html#group42F4", "42F⁴"), =HYPERLINK("CSG0.html#group6B0", "6B⁰"), =HYPERLINK("CSG4.html#group42H4", "42H⁴"), =HYPERLINK("CSG5.html#group21B5", "21B⁵"), =HYPERLINK("CSG1.html#group21D1", "21D¹"), =HYPERLINK("CSG2.html#group21C2", "21C²"), =HYPERLINK("CSG0.html#group21A0", "21A⁰"), =HYPERLINK("CSG0.html#group1A0", "1A⁰"), =HYPERLINK("CSG2.html#group42A2", "42A²"), =HYPERLINK("CSG6.html#group42A6", "42A⁶"), =HYPERLINK("CSG0.html#group6E0", "6E⁰"), =HYPERLINK("CSG4.html#group42G4", "42G⁴"), =HYPERLINK("CSG0.html#group7C0", "7C⁰"), =HYPERLINK("CSG0.html#group3C0", "3C⁰"), =HYPERLINK("CSG1.html#group42B1", "42B¹"), =HYPERLINK("CSG0.html#group3A0", "3A⁰"), =HYPERLINK("CSG0.html#group7A0", "7A⁰")</f>
        <v/>
      </c>
      <c r="N2661" t="inlineStr"/>
    </row>
    <row r="2662">
      <c r="A2662" t="inlineStr">
        <is>
          <t>42C¹¹</t>
        </is>
      </c>
      <c r="B2662" t="inlineStr"/>
      <c r="C2662" t="inlineStr">
        <is>
          <t>168</t>
        </is>
      </c>
      <c r="D2662" t="inlineStr">
        <is>
          <t>2</t>
        </is>
      </c>
      <c r="E2662" t="inlineStr">
        <is>
          <t>84</t>
        </is>
      </c>
      <c r="F2662" t="inlineStr">
        <is>
          <t>0</t>
        </is>
      </c>
      <c r="G2662" t="inlineStr">
        <is>
          <t>0</t>
        </is>
      </c>
      <c r="H2662" t="inlineStr">
        <is>
          <t>7², 14², 21², 42²</t>
        </is>
      </c>
      <c r="I2662" t="n">
        <v>8</v>
      </c>
      <c r="J2662" t="inlineStr">
        <is>
          <t>2⁶, 4³, 6¹², 12⁶</t>
        </is>
      </c>
      <c r="K2662">
        <f>HYPERLINK("CSG2.html#group14A2", "14A²"), =HYPERLINK("CSG3.html#group21B3", "21B³"), =HYPERLINK("CSG6.html#group42C6", "42C⁶")</f>
        <v/>
      </c>
      <c r="L2662">
        <f>HYPERLINK("CSG23.html#group42F23", "42F²³"), =HYPERLINK("CSG23.html#group84B23", "84B²³")</f>
        <v/>
      </c>
      <c r="M2662">
        <f>HYPERLINK("CSG3.html#group21B3", "21B³"), =HYPERLINK("CSG0.html#group3B0", "3B⁰"), =HYPERLINK("CSG2.html#group14A2", "14A²"), =HYPERLINK("CSG2.html#group21B2", "21B²"), =HYPERLINK("CSG1.html#group14B1", "14B¹"), =HYPERLINK("CSG6.html#group42C6", "42C⁶"), =HYPERLINK("CSG0.html#group7C0", "7C⁰"), =HYPERLINK("CSG0.html#group6F0", "6F⁰"), =HYPERLINK("CSG0.html#group2B0", "2B⁰"), =HYPERLINK("CSG0.html#group1A0", "1A⁰"), =HYPERLINK("CSG0.html#group7A0", "7A⁰")</f>
        <v/>
      </c>
      <c r="N2662">
        <f>HYPERLINK("CSG23.html#group84B23", "84B²³"), =HYPERLINK("CSG23.html#group42F23", "42F²³")</f>
        <v/>
      </c>
    </row>
    <row r="2663">
      <c r="A2663" t="inlineStr">
        <is>
          <t>42D¹¹</t>
        </is>
      </c>
      <c r="B2663" t="inlineStr"/>
      <c r="C2663" t="inlineStr">
        <is>
          <t>168</t>
        </is>
      </c>
      <c r="D2663" t="inlineStr">
        <is>
          <t>2</t>
        </is>
      </c>
      <c r="E2663" t="inlineStr">
        <is>
          <t>168</t>
        </is>
      </c>
      <c r="F2663" t="inlineStr">
        <is>
          <t>0</t>
        </is>
      </c>
      <c r="G2663" t="inlineStr">
        <is>
          <t>3</t>
        </is>
      </c>
      <c r="H2663" t="inlineStr">
        <is>
          <t>14³, 42³</t>
        </is>
      </c>
      <c r="I2663" t="n">
        <v>6</v>
      </c>
      <c r="J2663" t="inlineStr">
        <is>
          <t>6²⁸, 12¹⁴</t>
        </is>
      </c>
      <c r="K2663">
        <f>HYPERLINK("CSG1.html#group14F1", "14F¹"), =HYPERLINK("CSG4.html#group42D4", "42D⁴")</f>
        <v/>
      </c>
      <c r="L2663">
        <f>HYPERLINK("CSG21.html#group42D21", "42D²¹")</f>
        <v/>
      </c>
      <c r="M2663">
        <f>HYPERLINK("CSG0.html#group3B0", "3B⁰"), =HYPERLINK("CSG0.html#group14A0", "14A⁰"), =HYPERLINK("CSG1.html#group14F1", "14F¹"), =HYPERLINK("CSG2.html#group21B2", "21B²"), =HYPERLINK("CSG0.html#group1A0", "1A⁰"), =HYPERLINK("CSG4.html#group42D4", "42D⁴"), =HYPERLINK("CSG0.html#group7A0", "7A⁰")</f>
        <v/>
      </c>
      <c r="N2663">
        <f>HYPERLINK("CSG21.html#group42D21", "42D²¹")</f>
        <v/>
      </c>
    </row>
    <row r="2664">
      <c r="A2664" t="inlineStr">
        <is>
          <t>42E¹¹</t>
        </is>
      </c>
      <c r="B2664" t="inlineStr"/>
      <c r="C2664" t="inlineStr">
        <is>
          <t>192</t>
        </is>
      </c>
      <c r="D2664" t="inlineStr">
        <is>
          <t>1</t>
        </is>
      </c>
      <c r="E2664" t="inlineStr">
        <is>
          <t>32</t>
        </is>
      </c>
      <c r="F2664" t="inlineStr">
        <is>
          <t>0</t>
        </is>
      </c>
      <c r="G2664" t="inlineStr">
        <is>
          <t>0</t>
        </is>
      </c>
      <c r="H2664" t="inlineStr">
        <is>
          <t>2³, 6³, 14³, 42³</t>
        </is>
      </c>
      <c r="I2664" t="n">
        <v>12</v>
      </c>
      <c r="J2664" t="inlineStr">
        <is>
          <t>1⁴, 2², 6², 12¹</t>
        </is>
      </c>
      <c r="K2664">
        <f>HYPERLINK("CSG3.html#group21D3", "21D³"), =HYPERLINK("CSG3.html#group42D3", "42D³")</f>
        <v/>
      </c>
      <c r="L2664">
        <f>HYPERLINK("CSG21.html#group42G21", "42G²¹")</f>
        <v/>
      </c>
      <c r="M2664">
        <f>HYPERLINK("CSG0.html#group3B0", "3B⁰"), =HYPERLINK("CSG0.html#group1A0", "1A⁰"), =HYPERLINK("CSG3.html#group42D3", "42D³"), =HYPERLINK("CSG0.html#group7E0", "7E⁰"), =HYPERLINK("CSG1.html#group21B1", "21B¹"), =HYPERLINK("CSG3.html#group21D3", "21D³"), =HYPERLINK("CSG0.html#group7B0", "7B⁰")</f>
        <v/>
      </c>
      <c r="N2664">
        <f>HYPERLINK("CSG21.html#group42G21", "42G²¹")</f>
        <v/>
      </c>
    </row>
    <row r="2665">
      <c r="A2665" t="inlineStr">
        <is>
          <t>42F¹¹</t>
        </is>
      </c>
      <c r="B2665" t="inlineStr"/>
      <c r="C2665" t="inlineStr">
        <is>
          <t>192</t>
        </is>
      </c>
      <c r="D2665" t="inlineStr">
        <is>
          <t>1</t>
        </is>
      </c>
      <c r="E2665" t="inlineStr">
        <is>
          <t>32</t>
        </is>
      </c>
      <c r="F2665" t="inlineStr">
        <is>
          <t>0</t>
        </is>
      </c>
      <c r="G2665" t="inlineStr">
        <is>
          <t>0</t>
        </is>
      </c>
      <c r="H2665" t="inlineStr">
        <is>
          <t>2³, 6³, 14³, 42³</t>
        </is>
      </c>
      <c r="I2665" t="n">
        <v>12</v>
      </c>
      <c r="J2665" t="inlineStr">
        <is>
          <t>1⁴, 2², 6², 12¹</t>
        </is>
      </c>
      <c r="K2665">
        <f>HYPERLINK("CSG2.html#group14D2", "14D²"), =HYPERLINK("CSG3.html#group21D3", "21D³"), =HYPERLINK("CSG3.html#group42E3", "42E³")</f>
        <v/>
      </c>
      <c r="L2665">
        <f>HYPERLINK("CSG21.html#group42G21", "42G²¹")</f>
        <v/>
      </c>
      <c r="M2665">
        <f>HYPERLINK("CSG0.html#group3B0", "3B⁰"), =HYPERLINK("CSG0.html#group2A0", "2A⁰"), =HYPERLINK("CSG1.html#group21B1", "21B¹"), =HYPERLINK("CSG3.html#group21D3", "21D³"), =HYPERLINK("CSG0.html#group7B0", "7B⁰"), =HYPERLINK("CSG3.html#group42E3", "42E³"), =HYPERLINK("CSG0.html#group6C0", "6C⁰"), =HYPERLINK("CSG2.html#group14D2", "14D²"), =HYPERLINK("CSG0.html#group14B0", "14B⁰"), =HYPERLINK("CSG0.html#group7E0", "7E⁰"), =HYPERLINK("CSG0.html#group1A0", "1A⁰")</f>
        <v/>
      </c>
      <c r="N2665">
        <f>HYPERLINK("CSG21.html#group42G21", "42G²¹")</f>
        <v/>
      </c>
    </row>
    <row r="2666">
      <c r="A2666" t="inlineStr">
        <is>
          <t>42G¹¹</t>
        </is>
      </c>
      <c r="B2666" t="inlineStr"/>
      <c r="C2666" t="inlineStr">
        <is>
          <t>192</t>
        </is>
      </c>
      <c r="D2666" t="inlineStr">
        <is>
          <t>1</t>
        </is>
      </c>
      <c r="E2666" t="inlineStr">
        <is>
          <t>32</t>
        </is>
      </c>
      <c r="F2666" t="inlineStr">
        <is>
          <t>0</t>
        </is>
      </c>
      <c r="G2666" t="inlineStr">
        <is>
          <t>0</t>
        </is>
      </c>
      <c r="H2666" t="inlineStr">
        <is>
          <t>2³, 6³, 14³, 42³</t>
        </is>
      </c>
      <c r="I2666" t="n">
        <v>12</v>
      </c>
      <c r="J2666" t="inlineStr">
        <is>
          <t>1⁴, 2², 6², 12¹</t>
        </is>
      </c>
      <c r="K2666">
        <f>HYPERLINK("CSG0.html#group6I0", "6I⁰"), =HYPERLINK("CSG2.html#group14E2", "14E²"), =HYPERLINK("CSG3.html#group42E3", "42E³"), =HYPERLINK("CSG5.html#group42G5", "42G⁵")</f>
        <v/>
      </c>
      <c r="L2666">
        <f>HYPERLINK("CSG21.html#group42H21", "42H²¹"), =HYPERLINK("CSG23.html#group84I23", "84I²³"), =HYPERLINK("CSG23.html#group84J23", "84J²³")</f>
        <v/>
      </c>
      <c r="M2666">
        <f>HYPERLINK("CSG0.html#group3B0", "3B⁰"), =HYPERLINK("CSG0.html#group2A0", "2A⁰"), =HYPERLINK("CSG0.html#group6I0", "6I⁰"), =HYPERLINK("CSG0.html#group6C0", "6C⁰"), =HYPERLINK("CSG0.html#group2B0", "2B⁰"), =HYPERLINK("CSG2.html#group14E2", "14E²"), =HYPERLINK("CSG5.html#group42G5", "42G⁵"), =HYPERLINK("CSG0.html#group1A0", "1A⁰"), =HYPERLINK("CSG1.html#group21B1", "21B¹"), =HYPERLINK("CSG0.html#group7B0", "7B⁰"), =HYPERLINK("CSG3.html#group42E3", "42E³"), =HYPERLINK("CSG1.html#group14C1", "14C¹"), =HYPERLINK("CSG0.html#group14B0", "14B⁰"), =HYPERLINK("CSG0.html#group6F0", "6F⁰"), =HYPERLINK("CSG0.html#group2C0", "2C⁰")</f>
        <v/>
      </c>
      <c r="N2666">
        <f>HYPERLINK("CSG23.html#group84J23", "84J²³"), =HYPERLINK("CSG21.html#group42H21", "42H²¹"), =HYPERLINK("CSG23.html#group84I23", "84I²³")</f>
        <v/>
      </c>
    </row>
    <row r="2667">
      <c r="A2667" t="inlineStr">
        <is>
          <t>42H¹¹</t>
        </is>
      </c>
      <c r="B2667" t="inlineStr"/>
      <c r="C2667" t="inlineStr">
        <is>
          <t>192</t>
        </is>
      </c>
      <c r="D2667" t="inlineStr">
        <is>
          <t>1</t>
        </is>
      </c>
      <c r="E2667" t="inlineStr">
        <is>
          <t>64</t>
        </is>
      </c>
      <c r="F2667" t="inlineStr">
        <is>
          <t>0</t>
        </is>
      </c>
      <c r="G2667" t="inlineStr">
        <is>
          <t>6</t>
        </is>
      </c>
      <c r="H2667" t="inlineStr">
        <is>
          <t>6⁴, 42⁴</t>
        </is>
      </c>
      <c r="I2667" t="n">
        <v>8</v>
      </c>
      <c r="J2667" t="inlineStr">
        <is>
          <t>2⁸, 12⁴</t>
        </is>
      </c>
      <c r="K2667">
        <f>HYPERLINK("CSG0.html#group6J0", "6J⁰"), =HYPERLINK("CSG2.html#group42B2", "42B²"), =HYPERLINK("CSG3.html#group42E3", "42E³")</f>
        <v/>
      </c>
      <c r="L2667">
        <f>HYPERLINK("CSG21.html#group42I21", "42I²¹")</f>
        <v/>
      </c>
      <c r="M2667">
        <f>HYPERLINK("CSG2.html#group42B2", "42B²"), =HYPERLINK("CSG0.html#group3B0", "3B⁰"), =HYPERLINK("CSG0.html#group2A0", "2A⁰"), =HYPERLINK("CSG0.html#group6A0", "6A⁰"), =HYPERLINK("CSG1.html#group21B1", "21B¹"), =HYPERLINK("CSG0.html#group7B0", "7B⁰"), =HYPERLINK("CSG3.html#group42E3", "42E³"), =HYPERLINK("CSG0.html#group6C0", "6C⁰"), =HYPERLINK("CSG0.html#group14B0", "14B⁰"), =HYPERLINK("CSG0.html#group6J0", "6J⁰"), =HYPERLINK("CSG0.html#group1A0", "1A⁰")</f>
        <v/>
      </c>
      <c r="N2667">
        <f>HYPERLINK("CSG21.html#group42I21", "42I²¹")</f>
        <v/>
      </c>
    </row>
    <row r="2668">
      <c r="A2668" t="inlineStr">
        <is>
          <t>42I¹¹</t>
        </is>
      </c>
      <c r="B2668" t="inlineStr"/>
      <c r="C2668" t="inlineStr">
        <is>
          <t>192</t>
        </is>
      </c>
      <c r="D2668" t="inlineStr">
        <is>
          <t>1</t>
        </is>
      </c>
      <c r="E2668" t="inlineStr">
        <is>
          <t>96</t>
        </is>
      </c>
      <c r="F2668" t="inlineStr">
        <is>
          <t>0</t>
        </is>
      </c>
      <c r="G2668" t="inlineStr">
        <is>
          <t>0</t>
        </is>
      </c>
      <c r="H2668" t="inlineStr">
        <is>
          <t>2³, 6³, 14³, 42³</t>
        </is>
      </c>
      <c r="I2668" t="n">
        <v>12</v>
      </c>
      <c r="J2668" t="inlineStr">
        <is>
          <t>1¹², 2⁶, 6⁶, 12³</t>
        </is>
      </c>
      <c r="K2668">
        <f>HYPERLINK("CSG3.html#group42D3", "42D³"), =HYPERLINK("CSG5.html#group42G5", "42G⁵")</f>
        <v/>
      </c>
      <c r="L2668">
        <f>HYPERLINK("CSG21.html#group42H21", "42H²¹")</f>
        <v/>
      </c>
      <c r="M2668">
        <f>HYPERLINK("CSG0.html#group3B0", "3B⁰"), =HYPERLINK("CSG1.html#group21B1", "21B¹"), =HYPERLINK("CSG0.html#group7B0", "7B⁰"), =HYPERLINK("CSG1.html#group14C1", "14C¹"), =HYPERLINK("CSG0.html#group1A0", "1A⁰"), =HYPERLINK("CSG3.html#group42D3", "42D³"), =HYPERLINK("CSG0.html#group2B0", "2B⁰"), =HYPERLINK("CSG5.html#group42G5", "42G⁵"), =HYPERLINK("CSG0.html#group6F0", "6F⁰")</f>
        <v/>
      </c>
      <c r="N2668">
        <f>HYPERLINK("CSG21.html#group42H21", "42H²¹")</f>
        <v/>
      </c>
    </row>
    <row r="2669">
      <c r="A2669" t="inlineStr">
        <is>
          <t>42J¹¹</t>
        </is>
      </c>
      <c r="B2669" t="inlineStr"/>
      <c r="C2669" t="inlineStr">
        <is>
          <t>192</t>
        </is>
      </c>
      <c r="D2669" t="inlineStr">
        <is>
          <t>2</t>
        </is>
      </c>
      <c r="E2669" t="inlineStr">
        <is>
          <t>32</t>
        </is>
      </c>
      <c r="F2669" t="inlineStr">
        <is>
          <t>0</t>
        </is>
      </c>
      <c r="G2669" t="inlineStr">
        <is>
          <t>6</t>
        </is>
      </c>
      <c r="H2669" t="inlineStr">
        <is>
          <t>6⁴, 42⁴</t>
        </is>
      </c>
      <c r="I2669" t="n">
        <v>8</v>
      </c>
      <c r="J2669" t="inlineStr">
        <is>
          <t>2⁸, 12⁴</t>
        </is>
      </c>
      <c r="K2669">
        <f>HYPERLINK("CSG3.html#group42D3", "42D³"), =HYPERLINK("CSG4.html#group21C4", "21C⁴")</f>
        <v/>
      </c>
      <c r="L2669">
        <f>HYPERLINK("CSG21.html#group42J21", "42J²¹")</f>
        <v/>
      </c>
      <c r="M2669">
        <f>HYPERLINK("CSG0.html#group3B0", "3B⁰"), =HYPERLINK("CSG1.html#group21B1", "21B¹"), =HYPERLINK("CSG0.html#group7B0", "7B⁰"), =HYPERLINK("CSG1.html#group21A1", "21A¹"), =HYPERLINK("CSG3.html#group42D3", "42D³"), =HYPERLINK("CSG0.html#group1A0", "1A⁰"), =HYPERLINK("CSG4.html#group21C4", "21C⁴")</f>
        <v/>
      </c>
      <c r="N2669">
        <f>HYPERLINK("CSG21.html#group42J21", "42J²¹")</f>
        <v/>
      </c>
    </row>
    <row r="2670">
      <c r="A2670" t="inlineStr">
        <is>
          <t>42K¹¹</t>
        </is>
      </c>
      <c r="B2670" t="inlineStr"/>
      <c r="C2670" t="inlineStr">
        <is>
          <t>192</t>
        </is>
      </c>
      <c r="D2670" t="inlineStr">
        <is>
          <t>2</t>
        </is>
      </c>
      <c r="E2670" t="inlineStr">
        <is>
          <t>32</t>
        </is>
      </c>
      <c r="F2670" t="inlineStr">
        <is>
          <t>0</t>
        </is>
      </c>
      <c r="G2670" t="inlineStr">
        <is>
          <t>6</t>
        </is>
      </c>
      <c r="H2670" t="inlineStr">
        <is>
          <t>6⁴, 42⁴</t>
        </is>
      </c>
      <c r="I2670" t="n">
        <v>8</v>
      </c>
      <c r="J2670" t="inlineStr">
        <is>
          <t>2⁸, 12⁴</t>
        </is>
      </c>
      <c r="K2670">
        <f>HYPERLINK("CSG2.html#group42C2", "42C²"), =HYPERLINK("CSG3.html#group42E3", "42E³"), =HYPERLINK("CSG4.html#group21C4", "21C⁴")</f>
        <v/>
      </c>
      <c r="L2670">
        <f>HYPERLINK("CSG21.html#group42J21", "42J²¹")</f>
        <v/>
      </c>
      <c r="M2670">
        <f>HYPERLINK("CSG0.html#group2A0", "2A⁰"), =HYPERLINK("CSG0.html#group3B0", "3B⁰"), =HYPERLINK("CSG1.html#group21B1", "21B¹"), =HYPERLINK("CSG0.html#group7B0", "7B⁰"), =HYPERLINK("CSG3.html#group42E3", "42E³"), =HYPERLINK("CSG1.html#group21A1", "21A¹"), =HYPERLINK("CSG0.html#group14B0", "14B⁰"), =HYPERLINK("CSG2.html#group42C2", "42C²"), =HYPERLINK("CSG0.html#group6C0", "6C⁰"), =HYPERLINK("CSG0.html#group1A0", "1A⁰"), =HYPERLINK("CSG4.html#group21C4", "21C⁴")</f>
        <v/>
      </c>
      <c r="N2670">
        <f>HYPERLINK("CSG21.html#group42J21", "42J²¹")</f>
        <v/>
      </c>
    </row>
    <row r="2671">
      <c r="A2671" t="inlineStr">
        <is>
          <t>42L¹¹</t>
        </is>
      </c>
      <c r="B2671" t="inlineStr"/>
      <c r="C2671" t="inlineStr">
        <is>
          <t>252</t>
        </is>
      </c>
      <c r="D2671" t="inlineStr">
        <is>
          <t>1</t>
        </is>
      </c>
      <c r="E2671" t="inlineStr">
        <is>
          <t>63</t>
        </is>
      </c>
      <c r="F2671" t="inlineStr">
        <is>
          <t>32</t>
        </is>
      </c>
      <c r="G2671" t="inlineStr">
        <is>
          <t>0</t>
        </is>
      </c>
      <c r="H2671" t="inlineStr">
        <is>
          <t>42⁶</t>
        </is>
      </c>
      <c r="I2671" t="n">
        <v>6</v>
      </c>
      <c r="J2671" t="inlineStr">
        <is>
          <t>3¹, 6⁴, 12³</t>
        </is>
      </c>
      <c r="K2671">
        <f>HYPERLINK("CSG4.html#group21D4", "21D⁴"), =HYPERLINK("CSG4.html#group42I4", "42I⁴"), =HYPERLINK("CSG5.html#group42H5", "42H⁵")</f>
        <v/>
      </c>
      <c r="L2671" t="inlineStr"/>
      <c r="M2671">
        <f>HYPERLINK("CSG1.html#group14E1", "14E¹"), =HYPERLINK("CSG4.html#group21D4", "21D⁴"), =HYPERLINK("CSG4.html#group42I4", "42I⁴"), =HYPERLINK("CSG0.html#group6B0", "6B⁰"), =HYPERLINK("CSG0.html#group7D0", "7D⁰"), =HYPERLINK("CSG1.html#group21E1", "21E¹"), =HYPERLINK("CSG5.html#group42H5", "42H⁵"), =HYPERLINK("CSG0.html#group21A0", "21A⁰"), =HYPERLINK("CSG1.html#group42B1", "42B¹"), =HYPERLINK("CSG0.html#group3A0", "3A⁰"), =HYPERLINK("CSG0.html#group1A0", "1A⁰"), =HYPERLINK("CSG0.html#group7A0", "7A⁰")</f>
        <v/>
      </c>
      <c r="N2671" t="inlineStr"/>
    </row>
    <row r="2672">
      <c r="A2672" t="inlineStr">
        <is>
          <t>45A¹¹</t>
        </is>
      </c>
      <c r="B2672" t="inlineStr"/>
      <c r="C2672" t="inlineStr">
        <is>
          <t>180</t>
        </is>
      </c>
      <c r="D2672" t="inlineStr">
        <is>
          <t>1</t>
        </is>
      </c>
      <c r="E2672" t="inlineStr">
        <is>
          <t>30</t>
        </is>
      </c>
      <c r="F2672" t="inlineStr">
        <is>
          <t>12</t>
        </is>
      </c>
      <c r="G2672" t="inlineStr">
        <is>
          <t>0</t>
        </is>
      </c>
      <c r="H2672" t="inlineStr">
        <is>
          <t>45⁴</t>
        </is>
      </c>
      <c r="I2672" t="n">
        <v>4</v>
      </c>
      <c r="J2672" t="inlineStr">
        <is>
          <t>2¹, 4³, 8²</t>
        </is>
      </c>
      <c r="K2672">
        <f>HYPERLINK("CSG0.html#group9D0", "9D⁰"), =HYPERLINK("CSG3.html#group15C3", "15C³"), =HYPERLINK("CSG5.html#group45E5", "45E⁵")</f>
        <v/>
      </c>
      <c r="L2672">
        <f>HYPERLINK("CSG21.html#group45B21", "45B²¹"), =HYPERLINK("CSG23.html#group90C23", "90C²³"), =HYPERLINK("CSG23.html#group90D23", "90D²³")</f>
        <v/>
      </c>
      <c r="M2672">
        <f>HYPERLINK("CSG1.html#group15D1", "15D¹"), =HYPERLINK("CSG0.html#group9D0", "9D⁰"), =HYPERLINK("CSG5.html#group45E5", "45E⁵"), =HYPERLINK("CSG0.html#group9A0", "9A⁰"), =HYPERLINK("CSG0.html#group5C0", "5C⁰"), =HYPERLINK("CSG0.html#group3C0", "3C⁰"), =HYPERLINK("CSG3.html#group15C3", "15C³"), =HYPERLINK("CSG0.html#group3A0", "3A⁰"), =HYPERLINK("CSG0.html#group1A0", "1A⁰")</f>
        <v/>
      </c>
      <c r="N2672">
        <f>HYPERLINK("CSG23.html#group90C23", "90C²³"), =HYPERLINK("CSG23.html#group90D23", "90D²³"), =HYPERLINK("CSG21.html#group45B21", "45B²¹")</f>
        <v/>
      </c>
    </row>
    <row r="2673">
      <c r="A2673" t="inlineStr">
        <is>
          <t>45B¹¹</t>
        </is>
      </c>
      <c r="B2673" t="inlineStr"/>
      <c r="C2673" t="inlineStr">
        <is>
          <t>180</t>
        </is>
      </c>
      <c r="D2673" t="inlineStr">
        <is>
          <t>1</t>
        </is>
      </c>
      <c r="E2673" t="inlineStr">
        <is>
          <t>60</t>
        </is>
      </c>
      <c r="F2673" t="inlineStr">
        <is>
          <t>0</t>
        </is>
      </c>
      <c r="G2673" t="inlineStr">
        <is>
          <t>6</t>
        </is>
      </c>
      <c r="H2673" t="inlineStr">
        <is>
          <t>15³, 45³</t>
        </is>
      </c>
      <c r="I2673" t="n">
        <v>6</v>
      </c>
      <c r="J2673" t="inlineStr">
        <is>
          <t>1², 2², 4², 6¹, 8², 24¹</t>
        </is>
      </c>
      <c r="K2673">
        <f>HYPERLINK("CSG0.html#group9J0", "9J⁰"), =HYPERLINK("CSG3.html#group45B3", "45B³")</f>
        <v/>
      </c>
      <c r="L2673">
        <f>HYPERLINK("CSG24.html#group90D24", "90D²⁴")</f>
        <v/>
      </c>
      <c r="M2673">
        <f>HYPERLINK("CSG0.html#group3B0", "3B⁰"), =HYPERLINK("CSG0.html#group9J0", "9J⁰"), =HYPERLINK("CSG3.html#group45B3", "45B³"), =HYPERLINK("CSG0.html#group5A0", "5A⁰"), =HYPERLINK("CSG1.html#group15B1", "15B¹"), =HYPERLINK("CSG0.html#group9C0", "9C⁰"), =HYPERLINK("CSG0.html#group1A0", "1A⁰")</f>
        <v/>
      </c>
      <c r="N2673">
        <f>HYPERLINK("CSG24.html#group90D24", "90D²⁴")</f>
        <v/>
      </c>
    </row>
    <row r="2674">
      <c r="A2674" t="inlineStr">
        <is>
          <t>45C¹¹</t>
        </is>
      </c>
      <c r="B2674" t="inlineStr"/>
      <c r="C2674" t="inlineStr">
        <is>
          <t>180</t>
        </is>
      </c>
      <c r="D2674" t="inlineStr">
        <is>
          <t>1</t>
        </is>
      </c>
      <c r="E2674" t="inlineStr">
        <is>
          <t>60</t>
        </is>
      </c>
      <c r="F2674" t="inlineStr">
        <is>
          <t>0</t>
        </is>
      </c>
      <c r="G2674" t="inlineStr">
        <is>
          <t>6</t>
        </is>
      </c>
      <c r="H2674" t="inlineStr">
        <is>
          <t>15³, 45³</t>
        </is>
      </c>
      <c r="I2674" t="n">
        <v>6</v>
      </c>
      <c r="J2674" t="inlineStr">
        <is>
          <t>2², 4⁶, 8⁴, 12¹, 24²</t>
        </is>
      </c>
      <c r="K2674">
        <f>HYPERLINK("CSG3.html#group45B3", "45B³")</f>
        <v/>
      </c>
      <c r="L2674">
        <f>HYPERLINK("CSG24.html#group90E24", "90E²⁴")</f>
        <v/>
      </c>
      <c r="M2674">
        <f>HYPERLINK("CSG1.html#group15B1", "15B¹"), =HYPERLINK("CSG0.html#group3B0", "3B⁰"), =HYPERLINK("CSG0.html#group5A0", "5A⁰"), =HYPERLINK("CSG3.html#group45B3", "45B³"), =HYPERLINK("CSG0.html#group9C0", "9C⁰"), =HYPERLINK("CSG0.html#group1A0", "1A⁰")</f>
        <v/>
      </c>
      <c r="N2674">
        <f>HYPERLINK("CSG24.html#group90E24", "90E²⁴")</f>
        <v/>
      </c>
    </row>
    <row r="2675">
      <c r="A2675" t="inlineStr">
        <is>
          <t>45D¹¹</t>
        </is>
      </c>
      <c r="B2675" t="inlineStr"/>
      <c r="C2675" t="inlineStr">
        <is>
          <t>180</t>
        </is>
      </c>
      <c r="D2675" t="inlineStr">
        <is>
          <t>1</t>
        </is>
      </c>
      <c r="E2675" t="inlineStr">
        <is>
          <t>60</t>
        </is>
      </c>
      <c r="F2675" t="inlineStr">
        <is>
          <t>0</t>
        </is>
      </c>
      <c r="G2675" t="inlineStr">
        <is>
          <t>6</t>
        </is>
      </c>
      <c r="H2675" t="inlineStr">
        <is>
          <t>15³, 45³</t>
        </is>
      </c>
      <c r="I2675" t="n">
        <v>6</v>
      </c>
      <c r="J2675" t="inlineStr">
        <is>
          <t>2², 4⁶, 8⁴, 12¹, 24²</t>
        </is>
      </c>
      <c r="K2675">
        <f>HYPERLINK("CSG3.html#group45B3", "45B³")</f>
        <v/>
      </c>
      <c r="L2675">
        <f>HYPERLINK("CSG24.html#group90F24", "90F²⁴")</f>
        <v/>
      </c>
      <c r="M2675">
        <f>HYPERLINK("CSG1.html#group15B1", "15B¹"), =HYPERLINK("CSG0.html#group3B0", "3B⁰"), =HYPERLINK("CSG0.html#group5A0", "5A⁰"), =HYPERLINK("CSG3.html#group45B3", "45B³"), =HYPERLINK("CSG0.html#group9C0", "9C⁰"), =HYPERLINK("CSG0.html#group1A0", "1A⁰")</f>
        <v/>
      </c>
      <c r="N2675">
        <f>HYPERLINK("CSG24.html#group90F24", "90F²⁴")</f>
        <v/>
      </c>
    </row>
    <row r="2676">
      <c r="A2676" t="inlineStr">
        <is>
          <t>45E¹¹</t>
        </is>
      </c>
      <c r="B2676" t="inlineStr"/>
      <c r="C2676" t="inlineStr">
        <is>
          <t>180</t>
        </is>
      </c>
      <c r="D2676" t="inlineStr">
        <is>
          <t>1</t>
        </is>
      </c>
      <c r="E2676" t="inlineStr">
        <is>
          <t>180</t>
        </is>
      </c>
      <c r="F2676" t="inlineStr">
        <is>
          <t>4</t>
        </is>
      </c>
      <c r="G2676" t="inlineStr">
        <is>
          <t>0</t>
        </is>
      </c>
      <c r="H2676" t="inlineStr">
        <is>
          <t>15⁶, 45²</t>
        </is>
      </c>
      <c r="I2676" t="n">
        <v>8</v>
      </c>
      <c r="J2676" t="inlineStr">
        <is>
          <t>2¹, 4³, 6¹, 8², 12⁴, 24⁴</t>
        </is>
      </c>
      <c r="K2676">
        <f>HYPERLINK("CSG0.html#group9E0", "9E⁰"), =HYPERLINK("CSG3.html#group15C3", "15C³")</f>
        <v/>
      </c>
      <c r="L2676">
        <f>HYPERLINK("CSG21.html#group45C21", "45C²¹"), =HYPERLINK("CSG23.html#group45A23", "45A²³"), =HYPERLINK("CSG23.html#group45C23", "45C²³")</f>
        <v/>
      </c>
      <c r="M2676">
        <f>HYPERLINK("CSG0.html#group3C0", "3C⁰"), =HYPERLINK("CSG1.html#group15D1", "15D¹"), =HYPERLINK("CSG3.html#group15C3", "15C³"), =HYPERLINK("CSG0.html#group9E0", "9E⁰"), =HYPERLINK("CSG0.html#group3A0", "3A⁰"), =HYPERLINK("CSG0.html#group1A0", "1A⁰"), =HYPERLINK("CSG0.html#group5C0", "5C⁰")</f>
        <v/>
      </c>
      <c r="N2676">
        <f>HYPERLINK("CSG23.html#group45C23", "45C²³"), =HYPERLINK("CSG23.html#group45A23", "45A²³"), =HYPERLINK("CSG21.html#group45C21", "45C²¹")</f>
        <v/>
      </c>
    </row>
    <row r="2677">
      <c r="A2677" t="inlineStr">
        <is>
          <t>45F¹¹</t>
        </is>
      </c>
      <c r="B2677" t="inlineStr"/>
      <c r="C2677" t="inlineStr">
        <is>
          <t>216</t>
        </is>
      </c>
      <c r="D2677" t="inlineStr">
        <is>
          <t>1</t>
        </is>
      </c>
      <c r="E2677" t="inlineStr">
        <is>
          <t>36</t>
        </is>
      </c>
      <c r="F2677" t="inlineStr">
        <is>
          <t>0</t>
        </is>
      </c>
      <c r="G2677" t="inlineStr">
        <is>
          <t>0</t>
        </is>
      </c>
      <c r="H2677" t="inlineStr">
        <is>
          <t>3⁶, 9², 15⁶, 45²</t>
        </is>
      </c>
      <c r="I2677" t="n">
        <v>16</v>
      </c>
      <c r="J2677" t="inlineStr">
        <is>
          <t>1⁴, 2⁴, 4², 8²</t>
        </is>
      </c>
      <c r="K2677">
        <f>HYPERLINK("CSG0.html#group9H0", "9H⁰"), =HYPERLINK("CSG3.html#group15E3", "15E³"), =HYPERLINK("CSG5.html#group45G5", "45G⁵")</f>
        <v/>
      </c>
      <c r="L2677">
        <f>HYPERLINK("CSG21.html#group45E21", "45E²¹")</f>
        <v/>
      </c>
      <c r="M2677">
        <f>HYPERLINK("CSG1.html#group15C1", "15C¹"), =HYPERLINK("CSG0.html#group3B0", "3B⁰"), =HYPERLINK("CSG0.html#group15B0", "15B⁰"), =HYPERLINK("CSG3.html#group15E3", "15E³"), =HYPERLINK("CSG0.html#group3D0", "3D⁰"), =HYPERLINK("CSG5.html#group45G5", "45G⁵"), =HYPERLINK("CSG0.html#group5B0", "5B⁰"), =HYPERLINK("CSG0.html#group3C0", "3C⁰"), =HYPERLINK("CSG0.html#group9H0", "9H⁰"), =HYPERLINK("CSG0.html#group9E0", "9E⁰"), =HYPERLINK("CSG0.html#group3A0", "3A⁰"), =HYPERLINK("CSG0.html#group1A0", "1A⁰"), =HYPERLINK("CSG1.html#group15E1", "15E¹")</f>
        <v/>
      </c>
      <c r="N2677">
        <f>HYPERLINK("CSG21.html#group45E21", "45E²¹")</f>
        <v/>
      </c>
    </row>
    <row r="2678">
      <c r="A2678" t="inlineStr">
        <is>
          <t>45G¹¹</t>
        </is>
      </c>
      <c r="B2678" t="inlineStr"/>
      <c r="C2678" t="inlineStr">
        <is>
          <t>216</t>
        </is>
      </c>
      <c r="D2678" t="inlineStr">
        <is>
          <t>1</t>
        </is>
      </c>
      <c r="E2678" t="inlineStr">
        <is>
          <t>72</t>
        </is>
      </c>
      <c r="F2678" t="inlineStr">
        <is>
          <t>0</t>
        </is>
      </c>
      <c r="G2678" t="inlineStr">
        <is>
          <t>0</t>
        </is>
      </c>
      <c r="H2678" t="inlineStr">
        <is>
          <t>1³, 3², 5³, 9³, 15², 45³</t>
        </is>
      </c>
      <c r="I2678" t="n">
        <v>16</v>
      </c>
      <c r="J2678" t="inlineStr">
        <is>
          <t>1⁴, 2⁴, 4², 6², 8², 24¹</t>
        </is>
      </c>
      <c r="K2678">
        <f>HYPERLINK("CSG0.html#group9I0", "9I⁰"), =HYPERLINK("CSG3.html#group45D3", "45D³")</f>
        <v/>
      </c>
      <c r="L2678">
        <f>HYPERLINK("CSG21.html#group45F21", "45F²¹")</f>
        <v/>
      </c>
      <c r="M2678">
        <f>HYPERLINK("CSG0.html#group3B0", "3B⁰"), =HYPERLINK("CSG1.html#group15C1", "15C¹"), =HYPERLINK("CSG0.html#group5B0", "5B⁰"), =HYPERLINK("CSG0.html#group9I0", "9I⁰"), =HYPERLINK("CSG3.html#group45D3", "45D³"), =HYPERLINK("CSG0.html#group9B0", "9B⁰"), =HYPERLINK("CSG0.html#group1A0", "1A⁰")</f>
        <v/>
      </c>
      <c r="N2678">
        <f>HYPERLINK("CSG21.html#group45F21", "45F²¹")</f>
        <v/>
      </c>
    </row>
    <row r="2679">
      <c r="A2679" t="inlineStr">
        <is>
          <t>45H¹¹</t>
        </is>
      </c>
      <c r="B2679" t="inlineStr"/>
      <c r="C2679" t="inlineStr">
        <is>
          <t>216</t>
        </is>
      </c>
      <c r="D2679" t="inlineStr">
        <is>
          <t>1</t>
        </is>
      </c>
      <c r="E2679" t="inlineStr">
        <is>
          <t>108</t>
        </is>
      </c>
      <c r="F2679" t="inlineStr">
        <is>
          <t>0</t>
        </is>
      </c>
      <c r="G2679" t="inlineStr">
        <is>
          <t>0</t>
        </is>
      </c>
      <c r="H2679" t="inlineStr">
        <is>
          <t>3⁶, 9², 15⁶, 45²</t>
        </is>
      </c>
      <c r="I2679" t="n">
        <v>16</v>
      </c>
      <c r="J2679" t="inlineStr">
        <is>
          <t>1², 2², 3², 4¹, 6⁴, 8¹, 12¹, 24²</t>
        </is>
      </c>
      <c r="K2679">
        <f>HYPERLINK("CSG3.html#group15F3", "15F³"), =HYPERLINK("CSG5.html#group45G5", "45G⁵")</f>
        <v/>
      </c>
      <c r="L2679">
        <f>HYPERLINK("CSG21.html#group45E21", "45E²¹")</f>
        <v/>
      </c>
      <c r="M2679">
        <f>HYPERLINK("CSG0.html#group15B0", "15B⁰"), =HYPERLINK("CSG1.html#group15E1", "15E¹"), =HYPERLINK("CSG5.html#group45G5", "45G⁵"), =HYPERLINK("CSG2.html#group15B2", "15B²"), =HYPERLINK("CSG0.html#group5B0", "5B⁰"), =HYPERLINK("CSG0.html#group5D0", "5D⁰"), =HYPERLINK("CSG0.html#group3C0", "3C⁰"), =HYPERLINK("CSG3.html#group15F3", "15F³"), =HYPERLINK("CSG0.html#group9E0", "9E⁰"), =HYPERLINK("CSG0.html#group3A0", "3A⁰"), =HYPERLINK("CSG0.html#group1A0", "1A⁰"), =HYPERLINK("CSG0.html#group15C0", "15C⁰")</f>
        <v/>
      </c>
      <c r="N2679">
        <f>HYPERLINK("CSG21.html#group45E21", "45E²¹")</f>
        <v/>
      </c>
    </row>
    <row r="2680">
      <c r="A2680" t="inlineStr">
        <is>
          <t>48A¹¹</t>
        </is>
      </c>
      <c r="B2680" t="inlineStr"/>
      <c r="C2680" t="inlineStr">
        <is>
          <t>144</t>
        </is>
      </c>
      <c r="D2680" t="inlineStr">
        <is>
          <t>1</t>
        </is>
      </c>
      <c r="E2680" t="inlineStr">
        <is>
          <t>3</t>
        </is>
      </c>
      <c r="F2680" t="inlineStr">
        <is>
          <t>0</t>
        </is>
      </c>
      <c r="G2680" t="inlineStr">
        <is>
          <t>0</t>
        </is>
      </c>
      <c r="H2680" t="inlineStr">
        <is>
          <t>24², 48²</t>
        </is>
      </c>
      <c r="I2680" t="n">
        <v>4</v>
      </c>
      <c r="J2680" t="inlineStr">
        <is>
          <t>1³</t>
        </is>
      </c>
      <c r="K2680">
        <f>HYPERLINK("CSG3.html#group16A3", "16A³"), =HYPERLINK("CSG3.html#group48C3", "48C³"), =HYPERLINK("CSG5.html#group24A5", "24A⁵")</f>
        <v/>
      </c>
      <c r="L2680">
        <f>HYPERLINK("CSG21.html#group48F21", "48F²¹"), =HYPERLINK("CSG21.html#group48I21", "48I²¹"), =HYPERLINK("CSG21.html#group48P21", "48P²¹"), =HYPERLINK("CSG21.html#group48R21", "48R²¹"), =HYPERLINK("CSG21.html#group48AI21", "48AI²¹"), =HYPERLINK("CSG23.html#group96F23", "96F²³"), =HYPERLINK("CSG23.html#group96O23", "96O²³")</f>
        <v/>
      </c>
      <c r="M2680">
        <f>HYPERLINK("CSG0.html#group2A0", "2A⁰"), =HYPERLINK("CSG3.html#group24A3", "24A³"), =HYPERLINK("CSG1.html#group8A1", "8A¹"), =HYPERLINK("CSG0.html#group12C0", "12C⁰"), =HYPERLINK("CSG0.html#group4C0", "4C⁰"), =HYPERLINK("CSG5.html#group24A5", "24A⁵"), =HYPERLINK("CSG3.html#group16A3", "16A³"), =HYPERLINK("CSG0.html#group8B0", "8B⁰"), =HYPERLINK("CSG1.html#group16B1", "16B¹"), =HYPERLINK("CSG1.html#group6C1", "6C¹"), =HYPERLINK("CSG0.html#group2B0", "2B⁰"), =HYPERLINK("CSG1.html#group8B1", "8B¹"), =HYPERLINK("CSG0.html#group4E0", "4E⁰"), =HYPERLINK("CSG2.html#group12B2", "12B²"), =HYPERLINK("CSG0.html#group4B0", "4B⁰"), =HYPERLINK("CSG0.html#group1A0", "1A⁰"), =HYPERLINK("CSG3.html#group48C3", "48C³"), =HYPERLINK("CSG0.html#group6A0", "6A⁰"), =HYPERLINK("CSG0.html#group24A0", "24A⁰"), =HYPERLINK("CSG1.html#group12B1", "12B¹"), =HYPERLINK("CSG1.html#group6A1", "6A¹"), =HYPERLINK("CSG0.html#group3A0", "3A⁰"), =HYPERLINK("CSG0.html#group2C0", "2C⁰"), =HYPERLINK("CSG0.html#group6D0", "6D⁰")</f>
        <v/>
      </c>
      <c r="N2680">
        <f>HYPERLINK("CSG21.html#group48AI21", "48AI²¹"), =HYPERLINK("CSG21.html#group48R21", "48R²¹"), =HYPERLINK("CSG21.html#group48P21", "48P²¹"), =HYPERLINK("CSG23.html#group96O23", "96O²³"), =HYPERLINK("CSG21.html#group48I21", "48I²¹"), =HYPERLINK("CSG21.html#group48F21", "48F²¹"), =HYPERLINK("CSG23.html#group96F23", "96F²³")</f>
        <v/>
      </c>
    </row>
    <row r="2681">
      <c r="A2681" t="inlineStr">
        <is>
          <t>48B¹¹</t>
        </is>
      </c>
      <c r="B2681" t="inlineStr"/>
      <c r="C2681" t="inlineStr">
        <is>
          <t>144</t>
        </is>
      </c>
      <c r="D2681" t="inlineStr">
        <is>
          <t>1</t>
        </is>
      </c>
      <c r="E2681" t="inlineStr">
        <is>
          <t>3</t>
        </is>
      </c>
      <c r="F2681" t="inlineStr">
        <is>
          <t>0</t>
        </is>
      </c>
      <c r="G2681" t="inlineStr">
        <is>
          <t>0</t>
        </is>
      </c>
      <c r="H2681" t="inlineStr">
        <is>
          <t>24², 48²</t>
        </is>
      </c>
      <c r="I2681" t="n">
        <v>4</v>
      </c>
      <c r="J2681" t="inlineStr">
        <is>
          <t>1³</t>
        </is>
      </c>
      <c r="K2681">
        <f>HYPERLINK("CSG0.html#group48A0", "48A⁰"), =HYPERLINK("CSG3.html#group16B3", "16B³"), =HYPERLINK("CSG5.html#group24A5", "24A⁵"), =HYPERLINK("CSG6.html#group48A6", "48A⁶")</f>
        <v/>
      </c>
      <c r="L2681">
        <f>HYPERLINK("CSG21.html#group48F21", "48F²¹"), =HYPERLINK("CSG21.html#group48J21", "48J²¹"), =HYPERLINK("CSG21.html#group48N21", "48N²¹"), =HYPERLINK("CSG21.html#group48S21", "48S²¹"), =HYPERLINK("CSG21.html#group48AK21", "48AK²¹"), =HYPERLINK("CSG23.html#group96G23", "96G²³"), =HYPERLINK("CSG23.html#group96P23", "96P²³")</f>
        <v/>
      </c>
      <c r="M2681">
        <f>HYPERLINK("CSG0.html#group2A0", "2A⁰"), =HYPERLINK("CSG3.html#group24A3", "24A³"), =HYPERLINK("CSG1.html#group8A1", "8A¹"), =HYPERLINK("CSG0.html#group12C0", "12C⁰"), =HYPERLINK("CSG0.html#group4C0", "4C⁰"), =HYPERLINK("CSG5.html#group24A5", "24A⁵"), =HYPERLINK("CSG3.html#group16B3", "16B³"), =HYPERLINK("CSG0.html#group8B0", "8B⁰"), =HYPERLINK("CSG1.html#group6C1", "6C¹"), =HYPERLINK("CSG0.html#group48A0", "48A⁰"), =HYPERLINK("CSG0.html#group2B0", "2B⁰"), =HYPERLINK("CSG1.html#group8B1", "8B¹"), =HYPERLINK("CSG0.html#group4E0", "4E⁰"), =HYPERLINK("CSG2.html#group12B2", "12B²"), =HYPERLINK("CSG0.html#group4B0", "4B⁰"), =HYPERLINK("CSG0.html#group1A0", "1A⁰"), =HYPERLINK("CSG2.html#group16A2", "16A²"), =HYPERLINK("CSG0.html#group16B0", "16B⁰"), =HYPERLINK("CSG0.html#group6A0", "6A⁰"), =HYPERLINK("CSG0.html#group24A0", "24A⁰"), =HYPERLINK("CSG1.html#group12B1", "12B¹"), =HYPERLINK("CSG1.html#group6A1", "6A¹"), =HYPERLINK("CSG6.html#group48A6", "48A⁶"), =HYPERLINK("CSG0.html#group3A0", "3A⁰"), =HYPERLINK("CSG0.html#group2C0", "2C⁰"), =HYPERLINK("CSG0.html#group6D0", "6D⁰")</f>
        <v/>
      </c>
      <c r="N2681">
        <f>HYPERLINK("CSG21.html#group48N21", "48N²¹"), =HYPERLINK("CSG23.html#group96P23", "96P²³"), =HYPERLINK("CSG21.html#group48J21", "48J²¹"), =HYPERLINK("CSG23.html#group96G23", "96G²³"), =HYPERLINK("CSG21.html#group48AK21", "48AK²¹"), =HYPERLINK("CSG21.html#group48F21", "48F²¹"), =HYPERLINK("CSG21.html#group48S21", "48S²¹")</f>
        <v/>
      </c>
    </row>
    <row r="2682">
      <c r="A2682" t="inlineStr">
        <is>
          <t>48C¹¹</t>
        </is>
      </c>
      <c r="B2682" t="inlineStr"/>
      <c r="C2682" t="inlineStr">
        <is>
          <t>144</t>
        </is>
      </c>
      <c r="D2682" t="inlineStr">
        <is>
          <t>1</t>
        </is>
      </c>
      <c r="E2682" t="inlineStr">
        <is>
          <t>6</t>
        </is>
      </c>
      <c r="F2682" t="inlineStr">
        <is>
          <t>0</t>
        </is>
      </c>
      <c r="G2682" t="inlineStr">
        <is>
          <t>0</t>
        </is>
      </c>
      <c r="H2682" t="inlineStr">
        <is>
          <t>24², 48²</t>
        </is>
      </c>
      <c r="I2682" t="n">
        <v>4</v>
      </c>
      <c r="J2682" t="inlineStr">
        <is>
          <t>1², 2²</t>
        </is>
      </c>
      <c r="K2682">
        <f>HYPERLINK("CSG2.html#group24L2", "24L²"), =HYPERLINK("CSG3.html#group16C3", "16C³"), =HYPERLINK("CSG3.html#group48C3", "48C³"), =HYPERLINK("CSG6.html#group48A6", "48A⁶")</f>
        <v/>
      </c>
      <c r="L2682">
        <f>HYPERLINK("CSG21.html#group48F21", "48F²¹"), =HYPERLINK("CSG21.html#group48T21", "48T²¹"), =HYPERLINK("CSG21.html#group48U21", "48U²¹"), =HYPERLINK("CSG21.html#group48V21", "48V²¹"), =HYPERLINK("CSG21.html#group48AE21", "48AE²¹"), =HYPERLINK("CSG21.html#group48AF21", "48AF²¹"), =HYPERLINK("CSG21.html#group48AR21", "48AR²¹"), =HYPERLINK("CSG21.html#group48AS21", "48AS²¹"), =HYPERLINK("CSG21.html#group48AX21", "48AX²¹")</f>
        <v/>
      </c>
      <c r="M2682">
        <f>HYPERLINK("CSG0.html#group12C0", "12C⁰"), =HYPERLINK("CSG3.html#group16C3", "16C³"), =HYPERLINK("CSG0.html#group8D0", "8D⁰"), =HYPERLINK("CSG0.html#group4C0", "4C⁰"), =HYPERLINK("CSG0.html#group8B0", "8B⁰"), =HYPERLINK("CSG1.html#group16B1", "16B¹"), =HYPERLINK("CSG0.html#group2B0", "2B⁰"), =HYPERLINK("CSG2.html#group24L2", "24L²"), =HYPERLINK("CSG0.html#group1A0", "1A⁰"), =HYPERLINK("CSG2.html#group16A2", "16A²"), =HYPERLINK("CSG0.html#group8H0", "8H⁰"), =HYPERLINK("CSG3.html#group48C3", "48C³"),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=HYPERLINK("CSG6.html#group48A6", "48A⁶"), =HYPERLINK("CSG0.html#group3A0", "3A⁰"), =HYPERLINK("CSG0.html#group6D0", "6D⁰")</f>
        <v/>
      </c>
      <c r="N2682">
        <f>HYPERLINK("CSG21.html#group48U21", "48U²¹"), =HYPERLINK("CSG21.html#group48AF21", "48AF²¹"), =HYPERLINK("CSG21.html#group48AE21", "48AE²¹"), =HYPERLINK("CSG21.html#group48AX21", "48AX²¹"), =HYPERLINK("CSG21.html#group48AS21", "48AS²¹"), =HYPERLINK("CSG21.html#group48AR21", "48AR²¹"), =HYPERLINK("CSG21.html#group48T21", "48T²¹"), =HYPERLINK("CSG21.html#group48F21", "48F²¹"), =HYPERLINK("CSG21.html#group48V21", "48V²¹")</f>
        <v/>
      </c>
    </row>
    <row r="2683">
      <c r="A2683" t="inlineStr">
        <is>
          <t>48D¹¹</t>
        </is>
      </c>
      <c r="B2683" t="inlineStr"/>
      <c r="C2683" t="inlineStr">
        <is>
          <t>144</t>
        </is>
      </c>
      <c r="D2683" t="inlineStr">
        <is>
          <t>1</t>
        </is>
      </c>
      <c r="E2683" t="inlineStr">
        <is>
          <t>6</t>
        </is>
      </c>
      <c r="F2683" t="inlineStr">
        <is>
          <t>0</t>
        </is>
      </c>
      <c r="G2683" t="inlineStr">
        <is>
          <t>0</t>
        </is>
      </c>
      <c r="H2683" t="inlineStr">
        <is>
          <t>24², 48²</t>
        </is>
      </c>
      <c r="I2683" t="n">
        <v>4</v>
      </c>
      <c r="J2683" t="inlineStr">
        <is>
          <t>1⁴, 2¹</t>
        </is>
      </c>
      <c r="K2683">
        <f>HYPERLINK("CSG3.html#group16D3", "16D³"), =HYPERLINK("CSG3.html#group48E3", "48E³"), =HYPERLINK("CSG5.html#group24A5", "24A⁵"), =HYPERLINK("CSG6.html#group48B6", "48B⁶")</f>
        <v/>
      </c>
      <c r="L2683">
        <f>HYPERLINK("CSG21.html#group48E21", "48E²¹"), =HYPERLINK("CSG21.html#group48I21", "48I²¹"), =HYPERLINK("CSG21.html#group48J21", "48J²¹"), =HYPERLINK("CSG21.html#group48AJ21", "48AJ²¹"), =HYPERLINK("CSG21.html#group48AM21", "48AM²¹"), =HYPERLINK("CSG21.html#group48AN21", "48AN²¹"), =HYPERLINK("CSG21.html#group48AP21", "48AP²¹"), =HYPERLINK("CSG23.html#group96B23", "96B²³"), =HYPERLINK("CSG23.html#group96C23", "96C²³"), =HYPERLINK("CSG23.html#group96E23", "96E²³"), =HYPERLINK("CSG23.html#group96D23", "96D²³"), =HYPERLINK("CSG23.html#group96I23", "96I²³"), =HYPERLINK("CSG23.html#group96J23", "96J²³"), =HYPERLINK("CSG23.html#group96K23", "96K²³"), =HYPERLINK("CSG23.html#group96L23", "96L²³")</f>
        <v/>
      </c>
      <c r="M2683">
        <f>HYPERLINK("CSG0.html#group2A0", "2A⁰"), =HYPERLINK("CSG3.html#group24A3", "24A³"), =HYPERLINK("CSG3.html#group16D3", "16D³"), =HYPERLINK("CSG1.html#group8A1", "8A¹"), =HYPERLINK("CSG0.html#group12C0", "12C⁰"), =HYPERLINK("CSG0.html#group4C0", "4C⁰"), =HYPERLINK("CSG5.html#group24A5", "24A⁵"), =HYPERLINK("CSG0.html#group8B0", "8B⁰"), =HYPERLINK("CSG1.html#group6C1", "6C¹"), =HYPERLINK("CSG2.html#group12B2", "12B²"), =HYPERLINK("CSG0.html#group2B0", "2B⁰"), =HYPERLINK("CSG1.html#group8B1", "8B¹"), =HYPERLINK("CSG0.html#group4E0", "4E⁰"), =HYPERLINK("CSG0.html#group4B0", "4B⁰"), =HYPERLINK("CSG0.html#group1A0", "1A⁰"), =HYPERLINK("CSG1.html#group16D1", "16D¹"), =HYPERLINK("CSG2.html#group16B2", "16B²"), =HYPERLINK("CSG0.html#group6A0", "6A⁰"), =HYPERLINK("CSG6.html#group48B6", "48B⁶"), =HYPERLINK("CSG3.html#group48E3", "48E³"), =HYPERLINK("CSG0.html#group24A0", "24A⁰"), =HYPERLINK("CSG1.html#group12B1", "12B¹"), =HYPERLINK("CSG1.html#group6A1", "6A¹"), =HYPERLINK("CSG0.html#group3A0", "3A⁰"), =HYPERLINK("CSG0.html#group2C0", "2C⁰"), =HYPERLINK("CSG0.html#group6D0", "6D⁰")</f>
        <v/>
      </c>
      <c r="N2683">
        <f>HYPERLINK("CSG23.html#group96I23", "96I²³"), =HYPERLINK("CSG23.html#group96J23", "96J²³"), =HYPERLINK("CSG21.html#group48I21", "48I²¹"), =HYPERLINK("CSG21.html#group48AJ21", "48AJ²¹"), =HYPERLINK("CSG21.html#group48E21", "48E²¹"), =HYPERLINK("CSG21.html#group48AM21", "48AM²¹"), =HYPERLINK("CSG21.html#group48AN21", "48AN²¹"), =HYPERLINK("CSG23.html#group96E23", "96E²³"), =HYPERLINK("CSG23.html#group96C23", "96C²³"), =HYPERLINK("CSG21.html#group48J21", "48J²¹"), =HYPERLINK("CSG23.html#group96D23", "96D²³"), =HYPERLINK("CSG23.html#group96B23", "96B²³"), =HYPERLINK("CSG23.html#group96K23", "96K²³"), =HYPERLINK("CSG21.html#group48AP21", "48AP²¹"), =HYPERLINK("CSG23.html#group96L23", "96L²³")</f>
        <v/>
      </c>
    </row>
    <row r="2684">
      <c r="A2684" t="inlineStr">
        <is>
          <t>48E¹¹</t>
        </is>
      </c>
      <c r="B2684" t="inlineStr"/>
      <c r="C2684" t="inlineStr">
        <is>
          <t>144</t>
        </is>
      </c>
      <c r="D2684" t="inlineStr">
        <is>
          <t>1</t>
        </is>
      </c>
      <c r="E2684" t="inlineStr">
        <is>
          <t>9</t>
        </is>
      </c>
      <c r="F2684" t="inlineStr">
        <is>
          <t>0</t>
        </is>
      </c>
      <c r="G2684" t="inlineStr">
        <is>
          <t>0</t>
        </is>
      </c>
      <c r="H2684" t="inlineStr">
        <is>
          <t>24², 48²</t>
        </is>
      </c>
      <c r="I2684" t="n">
        <v>4</v>
      </c>
      <c r="J2684" t="inlineStr">
        <is>
          <t>1³, 2³</t>
        </is>
      </c>
      <c r="K2684">
        <f>HYPERLINK("CSG3.html#group24I3", "24I³"), =HYPERLINK("CSG4.html#group48C4", "48C⁴")</f>
        <v/>
      </c>
      <c r="L2684">
        <f>HYPERLINK("CSG21.html#group48C21", "48C²¹"), =HYPERLINK("CSG21.html#group48M21", "48M²¹"), =HYPERLINK("CSG21.html#group48O21", "48O²¹"), =HYPERLINK("CSG21.html#group48AC21", "48AC²¹"), =HYPERLINK("CSG21.html#group48AD21", "48AD²¹"), =HYPERLINK("CSG21.html#group48BD21", "48BD²¹"), =HYPERLINK("CSG21.html#group48BC21", "48BC²¹")</f>
        <v/>
      </c>
      <c r="M2684">
        <f>HYPERLINK("CSG0.html#group12C0", "12C⁰"), =HYPERLINK("CSG1.html#group12C1", "12C¹"), =HYPERLINK("CSG0.html#group24A0", "24A⁰"), =HYPERLINK("CSG1.html#group12L1", "12L¹"), =HYPERLINK("CSG0.html#group4C0", "4C⁰"), =HYPERLINK("CSG3.html#group24I3", "24I³"), =HYPERLINK("CSG0.html#group8B0", "8B⁰"), =HYPERLINK("CSG0.html#group6G0", "6G⁰"), =HYPERLINK("CSG0.html#group3C0", "3C⁰"), =HYPERLINK("CSG0.html#group2B0", "2B⁰"), =HYPERLINK("CSG2.html#group24C2", "24C²"), =HYPERLINK("CSG0.html#group3A0", "3A⁰"), =HYPERLINK("CSG0.html#group1A0", "1A⁰"), =HYPERLINK("CSG0.html#group6D0", "6D⁰"), =HYPERLINK("CSG4.html#group48C4", "48C⁴")</f>
        <v/>
      </c>
      <c r="N2684">
        <f>HYPERLINK("CSG21.html#group48M21", "48M²¹"), =HYPERLINK("CSG21.html#group48AC21", "48AC²¹"), =HYPERLINK("CSG21.html#group48AD21", "48AD²¹"), =HYPERLINK("CSG21.html#group48C21", "48C²¹"), =HYPERLINK("CSG21.html#group48O21", "48O²¹"), =HYPERLINK("CSG21.html#group48BC21", "48BC²¹"), =HYPERLINK("CSG21.html#group48BD21", "48BD²¹")</f>
        <v/>
      </c>
    </row>
    <row r="2685">
      <c r="A2685" t="inlineStr">
        <is>
          <t>48F¹¹</t>
        </is>
      </c>
      <c r="B2685" t="inlineStr"/>
      <c r="C2685" t="inlineStr">
        <is>
          <t>144</t>
        </is>
      </c>
      <c r="D2685" t="inlineStr">
        <is>
          <t>1</t>
        </is>
      </c>
      <c r="E2685" t="inlineStr">
        <is>
          <t>9</t>
        </is>
      </c>
      <c r="F2685" t="inlineStr">
        <is>
          <t>0</t>
        </is>
      </c>
      <c r="G2685" t="inlineStr">
        <is>
          <t>0</t>
        </is>
      </c>
      <c r="H2685" t="inlineStr">
        <is>
          <t>24², 48²</t>
        </is>
      </c>
      <c r="I2685" t="n">
        <v>4</v>
      </c>
      <c r="J2685" t="inlineStr">
        <is>
          <t>1³, 2³</t>
        </is>
      </c>
      <c r="K2685">
        <f>HYPERLINK("CSG3.html#group48F3", "48F³"), =HYPERLINK("CSG5.html#group24A5", "24A⁵")</f>
        <v/>
      </c>
      <c r="L2685">
        <f>HYPERLINK("CSG21.html#group48K21", "48K²¹"), =HYPERLINK("CSG21.html#group48N21", "48N²¹"), =HYPERLINK("CSG21.html#group48P21", "48P²¹"), =HYPERLINK("CSG21.html#group48Q21", "48Q²¹"), =HYPERLINK("CSG21.html#group48AH21", "48AH²¹"), =HYPERLINK("CSG21.html#group48AJ21", "48AJ²¹"), =HYPERLINK("CSG21.html#group48BQ21", "48BQ²¹"), =HYPERLINK("CSG21.html#group48BS21", "48BS²¹")</f>
        <v/>
      </c>
      <c r="M2685">
        <f>HYPERLINK("CSG0.html#group2A0", "2A⁰"), =HYPERLINK("CSG3.html#group24A3", "24A³"), =HYPERLINK("CSG0.html#group12C0", "12C⁰"), =HYPERLINK("CSG1.html#group8A1", "8A¹"), =HYPERLINK("CSG1.html#group6C1", "6C¹"), =HYPERLINK("CSG5.html#group24A5", "24A⁵"), =HYPERLINK("CSG0.html#group4C0", "4C⁰"), =HYPERLINK("CSG2.html#group12B2", "12B²"), =HYPERLINK("CSG0.html#group8B0", "8B⁰"), =HYPERLINK("CSG0.html#group2B0", "2B⁰"), =HYPERLINK("CSG1.html#group8B1", "8B¹"), =HYPERLINK("CSG0.html#group4E0", "4E⁰"), =HYPERLINK("CSG0.html#group4B0", "4B⁰"), =HYPERLINK("CSG0.html#group1A0", "1A⁰"), =HYPERLINK("CSG0.html#group6A0", "6A⁰"), =HYPERLINK("CSG0.html#group24A0", "24A⁰"), =HYPERLINK("CSG1.html#group12B1", "12B¹"), =HYPERLINK("CSG1.html#group6A1", "6A¹"), =HYPERLINK("CSG3.html#group48F3", "48F³"), =HYPERLINK("CSG0.html#group3A0", "3A⁰"), =HYPERLINK("CSG0.html#group2C0", "2C⁰"), =HYPERLINK("CSG0.html#group6D0", "6D⁰")</f>
        <v/>
      </c>
      <c r="N2685">
        <f>HYPERLINK("CSG21.html#group48AH21", "48AH²¹"), =HYPERLINK("CSG21.html#group48N21", "48N²¹"), =HYPERLINK("CSG21.html#group48P21", "48P²¹"), =HYPERLINK("CSG21.html#group48AJ21", "48AJ²¹"), =HYPERLINK("CSG21.html#group48K21", "48K²¹"), =HYPERLINK("CSG21.html#group48Q21", "48Q²¹"), =HYPERLINK("CSG21.html#group48BQ21", "48BQ²¹"), =HYPERLINK("CSG21.html#group48BS21", "48BS²¹")</f>
        <v/>
      </c>
    </row>
    <row r="2686">
      <c r="A2686" t="inlineStr">
        <is>
          <t>48G¹¹</t>
        </is>
      </c>
      <c r="B2686" t="inlineStr"/>
      <c r="C2686" t="inlineStr">
        <is>
          <t>144</t>
        </is>
      </c>
      <c r="D2686" t="inlineStr">
        <is>
          <t>1</t>
        </is>
      </c>
      <c r="E2686" t="inlineStr">
        <is>
          <t>9</t>
        </is>
      </c>
      <c r="F2686" t="inlineStr">
        <is>
          <t>0</t>
        </is>
      </c>
      <c r="G2686" t="inlineStr">
        <is>
          <t>0</t>
        </is>
      </c>
      <c r="H2686" t="inlineStr">
        <is>
          <t>24², 48²</t>
        </is>
      </c>
      <c r="I2686" t="n">
        <v>4</v>
      </c>
      <c r="J2686" t="inlineStr">
        <is>
          <t>1³, 2³</t>
        </is>
      </c>
      <c r="K2686">
        <f>HYPERLINK("CSG1.html#group24H1", "24H¹"), =HYPERLINK("CSG4.html#group48C4", "48C⁴"), =HYPERLINK("CSG6.html#group48A6", "48A⁶")</f>
        <v/>
      </c>
      <c r="L2686">
        <f>HYPERLINK("CSG21.html#group48M21", "48M²¹"), =HYPERLINK("CSG21.html#group48S21", "48S²¹"), =HYPERLINK("CSG21.html#group48AA21", "48AA²¹"), =HYPERLINK("CSG21.html#group48AE21", "48AE²¹"), =HYPERLINK("CSG21.html#group48AW21", "48AW²¹"), =HYPERLINK("CSG21.html#group48BF21", "48BF²¹")</f>
        <v/>
      </c>
      <c r="M2686">
        <f>HYPERLINK("CSG0.html#group6B0", "6B⁰"), =HYPERLINK("CSG0.html#group12C0", "12C⁰"), =HYPERLINK("CSG0.html#group6H0", "6H⁰"), =HYPERLINK("CSG0.html#group4C0", "4C⁰"), =HYPERLINK("CSG1.html#group24D1", "24D¹"), =HYPERLINK("CSG0.html#group8B0", "8B⁰"), =HYPERLINK("CSG0.html#group2B0", "2B⁰"), =HYPERLINK("CSG0.html#group12H0", "12H⁰"), =HYPERLINK("CSG0.html#group1A0", "1A⁰"), =HYPERLINK("CSG4.html#group48C4", "48C⁴"), =HYPERLINK("CSG2.html#group16A2", "16A²"), =HYPERLINK("CSG0.html#group24A0", "24A⁰"), =HYPERLINK("CSG0.html#group12D0", "12D⁰"), =HYPERLINK("CSG6.html#group48A6", "48A⁶"), =HYPERLINK("CSG0.html#group3A0", "3A⁰"), =HYPERLINK("CSG1.html#group24H1", "24H¹"), =HYPERLINK("CSG0.html#group6D0", "6D⁰")</f>
        <v/>
      </c>
      <c r="N2686">
        <f>HYPERLINK("CSG21.html#group48M21", "48M²¹"), =HYPERLINK("CSG21.html#group48AA21", "48AA²¹"), =HYPERLINK("CSG21.html#group48AW21", "48AW²¹"), =HYPERLINK("CSG21.html#group48AE21", "48AE²¹"), =HYPERLINK("CSG21.html#group48S21", "48S²¹"), =HYPERLINK("CSG21.html#group48BF21", "48BF²¹")</f>
        <v/>
      </c>
    </row>
    <row r="2687">
      <c r="A2687" t="inlineStr">
        <is>
          <t>48H¹¹</t>
        </is>
      </c>
      <c r="B2687" t="inlineStr"/>
      <c r="C2687" t="inlineStr">
        <is>
          <t>144</t>
        </is>
      </c>
      <c r="D2687" t="inlineStr">
        <is>
          <t>1</t>
        </is>
      </c>
      <c r="E2687" t="inlineStr">
        <is>
          <t>9</t>
        </is>
      </c>
      <c r="F2687" t="inlineStr">
        <is>
          <t>0</t>
        </is>
      </c>
      <c r="G2687" t="inlineStr">
        <is>
          <t>0</t>
        </is>
      </c>
      <c r="H2687" t="inlineStr">
        <is>
          <t>24², 48²</t>
        </is>
      </c>
      <c r="I2687" t="n">
        <v>4</v>
      </c>
      <c r="J2687" t="inlineStr">
        <is>
          <t>1³, 2³</t>
        </is>
      </c>
      <c r="K2687">
        <f>HYPERLINK("CSG2.html#group48A2", "48A²"), =HYPERLINK("CSG3.html#group24I3", "24I³"), =HYPERLINK("CSG6.html#group48A6", "48A⁶")</f>
        <v/>
      </c>
      <c r="L2687">
        <f>HYPERLINK("CSG21.html#group48D21", "48D²¹"), =HYPERLINK("CSG21.html#group48M21", "48M²¹"), =HYPERLINK("CSG21.html#group48S21", "48S²¹"), =HYPERLINK("CSG21.html#group48AB21", "48AB²¹"), =HYPERLINK("CSG21.html#group48AF21", "48AF²¹"), =HYPERLINK("CSG21.html#group48BB21", "48BB²¹"), =HYPERLINK("CSG21.html#group48BG21", "48BG²¹")</f>
        <v/>
      </c>
      <c r="M2687">
        <f>HYPERLINK("CSG0.html#group12C0", "12C⁰"), =HYPERLINK("CSG0.html#group4C0", "4C⁰"), =HYPERLINK("CSG3.html#group24I3", "24I³"), =HYPERLINK("CSG0.html#group8B0", "8B⁰"), =HYPERLINK("CSG0.html#group6G0", "6G⁰"), =HYPERLINK("CSG0.html#group2B0", "2B⁰"), =HYPERLINK("CSG2.html#group24C2", "24C²"), =HYPERLINK("CSG0.html#group1A0", "1A⁰"), =HYPERLINK("CSG1.html#group12L1", "12L¹"), =HYPERLINK("CSG2.html#group16A2", "16A²"), =HYPERLINK("CSG1.html#group12C1", "12C¹"), =HYPERLINK("CSG0.html#group24A0", "24A⁰"), =HYPERLINK("CSG2.html#group48A2", "48A²"), =HYPERLINK("CSG0.html#group3C0", "3C⁰"), =HYPERLINK("CSG6.html#group48A6", "48A⁶"), =HYPERLINK("CSG0.html#group3A0", "3A⁰"), =HYPERLINK("CSG0.html#group6D0", "6D⁰")</f>
        <v/>
      </c>
      <c r="N2687">
        <f>HYPERLINK("CSG21.html#group48M21", "48M²¹"), =HYPERLINK("CSG21.html#group48AF21", "48AF²¹"), =HYPERLINK("CSG21.html#group48BG21", "48BG²¹"), =HYPERLINK("CSG21.html#group48AB21", "48AB²¹"), =HYPERLINK("CSG21.html#group48S21", "48S²¹"), =HYPERLINK("CSG21.html#group48BB21", "48BB²¹"), =HYPERLINK("CSG21.html#group48D21", "48D²¹")</f>
        <v/>
      </c>
    </row>
    <row r="2688">
      <c r="A2688" t="inlineStr">
        <is>
          <t>48I¹¹</t>
        </is>
      </c>
      <c r="B2688" t="inlineStr"/>
      <c r="C2688" t="inlineStr">
        <is>
          <t>144</t>
        </is>
      </c>
      <c r="D2688" t="inlineStr">
        <is>
          <t>1</t>
        </is>
      </c>
      <c r="E2688" t="inlineStr">
        <is>
          <t>9</t>
        </is>
      </c>
      <c r="F2688" t="inlineStr">
        <is>
          <t>0</t>
        </is>
      </c>
      <c r="G2688" t="inlineStr">
        <is>
          <t>0</t>
        </is>
      </c>
      <c r="H2688" t="inlineStr">
        <is>
          <t>24², 48²</t>
        </is>
      </c>
      <c r="I2688" t="n">
        <v>4</v>
      </c>
      <c r="J2688" t="inlineStr">
        <is>
          <t>1³, 2³</t>
        </is>
      </c>
      <c r="K2688">
        <f>HYPERLINK("CSG2.html#group48A2", "48A²"), =HYPERLINK("CSG4.html#group48C4", "48C⁴"), =HYPERLINK("CSG5.html#group24A5", "24A⁵")</f>
        <v/>
      </c>
      <c r="L2688">
        <f>HYPERLINK("CSG21.html#group48O21", "48O²¹"), =HYPERLINK("CSG21.html#group48Q21", "48Q²¹"), =HYPERLINK("CSG21.html#group48R21", "48R²¹"), =HYPERLINK("CSG21.html#group48S21", "48S²¹"), =HYPERLINK("CSG21.html#group48AL21", "48AL²¹"), =HYPERLINK("CSG21.html#group48AM21", "48AM²¹"), =HYPERLINK("CSG21.html#group48BQ21", "48BQ²¹"), =HYPERLINK("CSG21.html#group48BR21", "48BR²¹")</f>
        <v/>
      </c>
      <c r="M2688">
        <f>HYPERLINK("CSG0.html#group2A0", "2A⁰"), =HYPERLINK("CSG3.html#group24A3", "24A³"), =HYPERLINK("CSG0.html#group12C0", "12C⁰"), =HYPERLINK("CSG1.html#group8A1", "8A¹"), =HYPERLINK("CSG0.html#group4C0", "4C⁰"), =HYPERLINK("CSG5.html#group24A5", "24A⁵"), =HYPERLINK("CSG0.html#group8B0", "8B⁰"), =HYPERLINK("CSG1.html#group6C1", "6C¹"), =HYPERLINK("CSG2.html#group12B2", "12B²"), =HYPERLINK("CSG0.html#group2B0", "2B⁰"), =HYPERLINK("CSG1.html#group8B1", "8B¹"), =HYPERLINK("CSG0.html#group4E0", "4E⁰"), =HYPERLINK("CSG0.html#group4B0", "4B⁰"), =HYPERLINK("CSG0.html#group1A0", "1A⁰"), =HYPERLINK("CSG4.html#group48C4", "48C⁴"), =HYPERLINK("CSG0.html#group6A0", "6A⁰"), =HYPERLINK("CSG0.html#group24A0", "24A⁰"), =HYPERLINK("CSG2.html#group48A2", "48A²"), =HYPERLINK("CSG1.html#group12B1", "12B¹"), =HYPERLINK("CSG1.html#group6A1", "6A¹"), =HYPERLINK("CSG0.html#group3A0", "3A⁰"), =HYPERLINK("CSG0.html#group2C0", "2C⁰"), =HYPERLINK("CSG0.html#group6D0", "6D⁰")</f>
        <v/>
      </c>
      <c r="N2688">
        <f>HYPERLINK("CSG21.html#group48BQ21", "48BQ²¹"), =HYPERLINK("CSG21.html#group48O21", "48O²¹"), =HYPERLINK("CSG21.html#group48AM21", "48AM²¹"), =HYPERLINK("CSG21.html#group48Q21", "48Q²¹"), =HYPERLINK("CSG21.html#group48S21", "48S²¹"), =HYPERLINK("CSG21.html#group48R21", "48R²¹"), =HYPERLINK("CSG21.html#group48BR21", "48BR²¹"), =HYPERLINK("CSG21.html#group48AL21", "48AL²¹")</f>
        <v/>
      </c>
    </row>
    <row r="2689">
      <c r="A2689" t="inlineStr">
        <is>
          <t>48J¹¹</t>
        </is>
      </c>
      <c r="B2689" t="inlineStr"/>
      <c r="C2689" t="inlineStr">
        <is>
          <t>144</t>
        </is>
      </c>
      <c r="D2689" t="inlineStr">
        <is>
          <t>1</t>
        </is>
      </c>
      <c r="E2689" t="inlineStr">
        <is>
          <t>12</t>
        </is>
      </c>
      <c r="F2689" t="inlineStr">
        <is>
          <t>0</t>
        </is>
      </c>
      <c r="G2689" t="inlineStr">
        <is>
          <t>0</t>
        </is>
      </c>
      <c r="H2689" t="inlineStr">
        <is>
          <t>24², 48²</t>
        </is>
      </c>
      <c r="I2689" t="n">
        <v>4</v>
      </c>
      <c r="J2689" t="inlineStr">
        <is>
          <t>2⁶</t>
        </is>
      </c>
      <c r="K2689">
        <f>HYPERLINK("CSG3.html#group16E3", "16E³"), =HYPERLINK("CSG5.html#group24B5", "24B⁵"), =HYPERLINK("CSG6.html#group48B6", "48B⁶")</f>
        <v/>
      </c>
      <c r="L2689">
        <f>HYPERLINK("CSG21.html#group48E21", "48E²¹"), =HYPERLINK("CSG21.html#group48AQ21", "48AQ²¹"), =HYPERLINK("CSG21.html#group48AZ21", "48AZ²¹"), =HYPERLINK("CSG21.html#group48AY21", "48AY²¹"), =HYPERLINK("CSG21.html#group48BN21", "48BN²¹"), =HYPERLINK("CSG23.html#group96AC23", "96AC²³"), =HYPERLINK("CSG23.html#group96AD23", "96AD²³")</f>
        <v/>
      </c>
      <c r="M2689">
        <f>HYPERLINK("CSG3.html#group24A3", "24A³"), =HYPERLINK("CSG1.html#group8A1", "8A¹"), =HYPERLINK("CSG0.html#group12C0", "12C⁰"), =HYPERLINK("CSG0.html#group8D0", "8D⁰"), =HYPERLINK("CSG0.html#group4C0", "4C⁰"), =HYPERLINK("CSG0.html#group2B0", "2B⁰"), =HYPERLINK("CSG0.html#group1A0", "1A⁰"), =HYPERLINK("CSG0.html#group12A0", "12A⁰"), =HYPERLINK("CSG2.html#group16B2", "16B²"), =HYPERLINK("CSG1.html#group8C1", "8C¹"), =HYPERLINK("CSG6.html#group48B6", "48B⁶"), =HYPERLINK("CSG0.html#group4A0", "4A⁰"), =HYPERLINK("CSG1.html#group24C1", "24C¹"), =HYPERLINK("CSG1.html#group12J1", "12J¹"), =HYPERLINK("CSG0.html#group4F0", "4F⁰"), =HYPERLINK("CSG0.html#group3A0", "3A⁰"), =HYPERLINK("CSG0.html#group6D0", "6D⁰"), =HYPERLINK("CSG5.html#group24B5", "24B⁵"), =HYPERLINK("CSG3.html#group16E3", "16E³")</f>
        <v/>
      </c>
      <c r="N2689">
        <f>HYPERLINK("CSG23.html#group96AC23", "96AC²³"), =HYPERLINK("CSG21.html#group48AQ21", "48AQ²¹"), =HYPERLINK("CSG21.html#group48AZ21", "48AZ²¹"), =HYPERLINK("CSG23.html#group96AD23", "96AD²³"), =HYPERLINK("CSG21.html#group48AY21", "48AY²¹"), =HYPERLINK("CSG21.html#group48BN21", "48BN²¹"), =HYPERLINK("CSG21.html#group48E21", "48E²¹")</f>
        <v/>
      </c>
    </row>
    <row r="2690">
      <c r="A2690" t="inlineStr">
        <is>
          <t>48K¹¹</t>
        </is>
      </c>
      <c r="B2690" t="inlineStr"/>
      <c r="C2690" t="inlineStr">
        <is>
          <t>144</t>
        </is>
      </c>
      <c r="D2690" t="inlineStr">
        <is>
          <t>1</t>
        </is>
      </c>
      <c r="E2690" t="inlineStr">
        <is>
          <t>12</t>
        </is>
      </c>
      <c r="F2690" t="inlineStr">
        <is>
          <t>0</t>
        </is>
      </c>
      <c r="G2690" t="inlineStr">
        <is>
          <t>0</t>
        </is>
      </c>
      <c r="H2690" t="inlineStr">
        <is>
          <t>24², 48²</t>
        </is>
      </c>
      <c r="I2690" t="n">
        <v>4</v>
      </c>
      <c r="J2690" t="inlineStr">
        <is>
          <t>1⁴, 2², 4¹</t>
        </is>
      </c>
      <c r="K2690">
        <f>HYPERLINK("CSG2.html#group24M2", "24M²"), =HYPERLINK("CSG3.html#group16F3", "16F³"), =HYPERLINK("CSG3.html#group48E3", "48E³"), =HYPERLINK("CSG6.html#group48A6", "48A⁶")</f>
        <v/>
      </c>
      <c r="L2690">
        <f>HYPERLINK("CSG21.html#group48J21", "48J²¹"), =HYPERLINK("CSG21.html#group48V21", "48V²¹"), =HYPERLINK("CSG21.html#group48BF21", "48BF²¹"), =HYPERLINK("CSG21.html#group48BG21", "48BG²¹"), =HYPERLINK("CSG21.html#group48BU21", "48BU²¹"), =HYPERLINK("CSG23.html#group96M23", "96M²³"), =HYPERLINK("CSG23.html#group96N23", "96N²³"), =HYPERLINK("CSG23.html#group96U23", "96U²³"), =HYPERLINK("CSG23.html#group96V23", "96V²³")</f>
        <v/>
      </c>
      <c r="M2690">
        <f>HYPERLINK("CSG1.html#group16D1", "16D¹"), =HYPERLINK("CSG0.html#group12C0", "12C⁰"), =HYPERLINK("CSG3.html#group48E3", "48E³"), =HYPERLINK("CSG0.html#group24A0", "24A⁰"), =HYPERLINK("CSG2.html#group24M2", "24M²"), =HYPERLINK("CSG3.html#group16F3", "16F³"), =HYPERLINK("CSG0.html#group4C0", "4C⁰"), =HYPERLINK("CSG0.html#group8B0", "8B⁰"), =HYPERLINK("CSG0.html#group8L0", "8L⁰"), =HYPERLINK("CSG0.html#group2B0", "2B⁰"), =HYPERLINK("CSG6.html#group48A6", "48A⁶"), =HYPERLINK("CSG0.html#group3A0", "3A⁰"), =HYPERLINK("CSG0.html#group1A0", "1A⁰"), =HYPERLINK("CSG0.html#group6D0", "6D⁰"), =HYPERLINK("CSG2.html#group16A2", "16A²")</f>
        <v/>
      </c>
      <c r="N2690">
        <f>HYPERLINK("CSG21.html#group48BU21", "48BU²¹"), =HYPERLINK("CSG23.html#group96N23", "96N²³"), =HYPERLINK("CSG21.html#group48BG21", "48BG²¹"), =HYPERLINK("CSG21.html#group48BF21", "48BF²¹"), =HYPERLINK("CSG23.html#group96M23", "96M²³"), =HYPERLINK("CSG23.html#group96U23", "96U²³"), =HYPERLINK("CSG21.html#group48J21", "48J²¹"), =HYPERLINK("CSG23.html#group96V23", "96V²³"), =HYPERLINK("CSG21.html#group48V21", "48V²¹")</f>
        <v/>
      </c>
    </row>
    <row r="2691">
      <c r="A2691" t="inlineStr">
        <is>
          <t>48L¹¹</t>
        </is>
      </c>
      <c r="B2691" t="inlineStr"/>
      <c r="C2691" t="inlineStr">
        <is>
          <t>144</t>
        </is>
      </c>
      <c r="D2691" t="inlineStr">
        <is>
          <t>1</t>
        </is>
      </c>
      <c r="E2691" t="inlineStr">
        <is>
          <t>18</t>
        </is>
      </c>
      <c r="F2691" t="inlineStr">
        <is>
          <t>0</t>
        </is>
      </c>
      <c r="G2691" t="inlineStr">
        <is>
          <t>0</t>
        </is>
      </c>
      <c r="H2691" t="inlineStr">
        <is>
          <t>24², 48²</t>
        </is>
      </c>
      <c r="I2691" t="n">
        <v>4</v>
      </c>
      <c r="J2691" t="inlineStr">
        <is>
          <t>1², 2⁴, 4²</t>
        </is>
      </c>
      <c r="K2691">
        <f>HYPERLINK("CSG2.html#group24P2", "24P²"), =HYPERLINK("CSG3.html#group48F3", "48F³"), =HYPERLINK("CSG6.html#group48A6", "48A⁶")</f>
        <v/>
      </c>
      <c r="L2691">
        <f>HYPERLINK("CSG21.html#group48N21", "48N²¹"), =HYPERLINK("CSG21.html#group48AA21", "48AA²¹"), =HYPERLINK("CSG21.html#group48AB21", "48AB²¹"), =HYPERLINK("CSG21.html#group48AE21", "48AE²¹"), =HYPERLINK("CSG21.html#group48AF21", "48AF²¹"), =HYPERLINK("CSG21.html#group48BH21", "48BH²¹"), =HYPERLINK("CSG21.html#group48BI21", "48BI²¹"), =HYPERLINK("CSG21.html#group48BU21", "48BU²¹")</f>
        <v/>
      </c>
      <c r="M2691">
        <f>HYPERLINK("CSG1.html#group24E1", "24E¹"), =HYPERLINK("CSG0.html#group12C0", "12C⁰"), =HYPERLINK("CSG0.html#group24A0", "24A⁰"), =HYPERLINK("CSG0.html#group4C0", "4C⁰"), =HYPERLINK("CSG0.html#group8B0", "8B⁰"), =HYPERLINK("CSG2.html#group24P2", "24P²"), =HYPERLINK("CSG3.html#group48F3", "48F³"), =HYPERLINK("CSG1.html#group12M1", "12M¹"), =HYPERLINK("CSG0.html#group2B0", "2B⁰"), =HYPERLINK("CSG6.html#group48A6", "48A⁶"), =HYPERLINK("CSG0.html#group3A0", "3A⁰"), =HYPERLINK("CSG0.html#group1A0", "1A⁰"), =HYPERLINK("CSG0.html#group6D0", "6D⁰"), =HYPERLINK("CSG2.html#group16A2", "16A²")</f>
        <v/>
      </c>
      <c r="N2691">
        <f>HYPERLINK("CSG21.html#group48AA21", "48AA²¹"), =HYPERLINK("CSG21.html#group48AF21", "48AF²¹"), =HYPERLINK("CSG21.html#group48N21", "48N²¹"), =HYPERLINK("CSG21.html#group48AE21", "48AE²¹"), =HYPERLINK("CSG21.html#group48BI21", "48BI²¹"), =HYPERLINK("CSG21.html#group48BU21", "48BU²¹"), =HYPERLINK("CSG21.html#group48BH21", "48BH²¹"), =HYPERLINK("CSG21.html#group48AB21", "48AB²¹")</f>
        <v/>
      </c>
    </row>
    <row r="2692">
      <c r="A2692" t="inlineStr">
        <is>
          <t>48M¹¹</t>
        </is>
      </c>
      <c r="B2692" t="inlineStr"/>
      <c r="C2692" t="inlineStr">
        <is>
          <t>144</t>
        </is>
      </c>
      <c r="D2692" t="inlineStr">
        <is>
          <t>1</t>
        </is>
      </c>
      <c r="E2692" t="inlineStr">
        <is>
          <t>18</t>
        </is>
      </c>
      <c r="F2692" t="inlineStr">
        <is>
          <t>0</t>
        </is>
      </c>
      <c r="G2692" t="inlineStr">
        <is>
          <t>0</t>
        </is>
      </c>
      <c r="H2692" t="inlineStr">
        <is>
          <t>24², 48²</t>
        </is>
      </c>
      <c r="I2692" t="n">
        <v>4</v>
      </c>
      <c r="J2692" t="inlineStr">
        <is>
          <t>1⁴, 2⁵, 4¹</t>
        </is>
      </c>
      <c r="K2692">
        <f>HYPERLINK("CSG3.html#group48H3", "48H³"), =HYPERLINK("CSG5.html#group24A5", "24A⁵"), =HYPERLINK("CSG6.html#group48C6", "48C⁶")</f>
        <v/>
      </c>
      <c r="L2692">
        <f>HYPERLINK("CSG21.html#group48L21", "48L²¹"), =HYPERLINK("CSG21.html#group48AG21", "48AG²¹"), =HYPERLINK("CSG21.html#group48AH21", "48AH²¹"), =HYPERLINK("CSG21.html#group48AI21", "48AI²¹"), =HYPERLINK("CSG21.html#group48AK21", "48AK²¹"), =HYPERLINK("CSG21.html#group48AL21", "48AL²¹"), =HYPERLINK("CSG21.html#group48AN21", "48AN²¹"), =HYPERLINK("CSG21.html#group48AO21", "48AO²¹"), =HYPERLINK("CSG21.html#group48AP21", "48AP²¹"), =HYPERLINK("CSG21.html#group48BR21", "48BR²¹"), =HYPERLINK("CSG21.html#group48BS21", "48BS²¹")</f>
        <v/>
      </c>
      <c r="M2692">
        <f>HYPERLINK("CSG0.html#group2A0", "2A⁰"), =HYPERLINK("CSG3.html#group24A3", "24A³"), =HYPERLINK("CSG0.html#group12C0", "12C⁰"), =HYPERLINK("CSG0.html#group4C0", "4C⁰"), =HYPERLINK("CSG5.html#group24A5", "24A⁵"), =HYPERLINK("CSG1.html#group6C1", "6C¹"), =HYPERLINK("CSG2.html#group12B2", "12B²"), =HYPERLINK("CSG0.html#group2B0", "2B⁰"), =HYPERLINK("CSG0.html#group4E0", "4E⁰"), =HYPERLINK("CSG0.html#group4B0", "4B⁰"), =HYPERLINK("CSG0.html#group1A0", "1A⁰"), =HYPERLINK("CSG3.html#group48H3", "48H³"), =HYPERLINK("CSG6.html#group48C6", "48C⁶"), =HYPERLINK("CSG0.html#group24A0", "24A⁰"), =HYPERLINK("CSG1.html#group12B1", "12B¹"), =HYPERLINK("CSG1.html#group6A1", "6A¹"), =HYPERLINK("CSG0.html#group3A0", "3A⁰"), =HYPERLINK("CSG1.html#group8A1", "8A¹"), =HYPERLINK("CSG0.html#group8B0", "8B⁰"), =HYPERLINK("CSG1.html#group8B1", "8B¹"), =HYPERLINK("CSG0.html#group6A0", "6A⁰"), =HYPERLINK("CSG0.html#group2C0", "2C⁰"), =HYPERLINK("CSG0.html#group6D0", "6D⁰")</f>
        <v/>
      </c>
      <c r="N2692">
        <f>HYPERLINK("CSG21.html#group48AO21", "48AO²¹"), =HYPERLINK("CSG21.html#group48AH21", "48AH²¹"), =HYPERLINK("CSG21.html#group48BR21", "48BR²¹"), =HYPERLINK("CSG21.html#group48AK21", "48AK²¹"), =HYPERLINK("CSG21.html#group48AI21", "48AI²¹"), =HYPERLINK("CSG21.html#group48AN21", "48AN²¹"), =HYPERLINK("CSG21.html#group48AP21", "48AP²¹"), =HYPERLINK("CSG21.html#group48L21", "48L²¹"), =HYPERLINK("CSG21.html#group48AG21", "48AG²¹"), =HYPERLINK("CSG21.html#group48BS21", "48BS²¹"), =HYPERLINK("CSG21.html#group48AL21", "48AL²¹")</f>
        <v/>
      </c>
    </row>
    <row r="2693">
      <c r="A2693" t="inlineStr">
        <is>
          <t>48N¹¹</t>
        </is>
      </c>
      <c r="B2693" t="inlineStr"/>
      <c r="C2693" t="inlineStr">
        <is>
          <t>144</t>
        </is>
      </c>
      <c r="D2693" t="inlineStr">
        <is>
          <t>1</t>
        </is>
      </c>
      <c r="E2693" t="inlineStr">
        <is>
          <t>36</t>
        </is>
      </c>
      <c r="F2693" t="inlineStr">
        <is>
          <t>0</t>
        </is>
      </c>
      <c r="G2693" t="inlineStr">
        <is>
          <t>0</t>
        </is>
      </c>
      <c r="H2693" t="inlineStr">
        <is>
          <t>24², 48²</t>
        </is>
      </c>
      <c r="I2693" t="n">
        <v>4</v>
      </c>
      <c r="J2693" t="inlineStr">
        <is>
          <t>2⁸, 4³, 8¹</t>
        </is>
      </c>
      <c r="K2693">
        <f>HYPERLINK("CSG5.html#group24D5", "24D⁵"), =HYPERLINK("CSG6.html#group48C6", "48C⁶")</f>
        <v/>
      </c>
      <c r="L2693">
        <f>HYPERLINK("CSG21.html#group48AO21", "48AO²¹"), =HYPERLINK("CSG21.html#group48AT21", "48AT²¹"), =HYPERLINK("CSG21.html#group48BE21", "48BE²¹"), =HYPERLINK("CSG21.html#group48BJ21", "48BJ²¹"), =HYPERLINK("CSG21.html#group48BK21", "48BK²¹"), =HYPERLINK("CSG23.html#group96AA23", "96AA²³"), =HYPERLINK("CSG23.html#group96AB23", "96AB²³")</f>
        <v/>
      </c>
      <c r="M2693">
        <f>HYPERLINK("CSG3.html#group24A3", "24A³"), =HYPERLINK("CSG0.html#group6B0", "6B⁰"), =HYPERLINK("CSG1.html#group8A1", "8A¹"), =HYPERLINK("CSG0.html#group12C0", "12C⁰"), =HYPERLINK("CSG0.html#group4C0", "4C⁰"), =HYPERLINK("CSG0.html#group2B0", "2B⁰"), =HYPERLINK("CSG2.html#group24C2", "24C²"), =HYPERLINK("CSG0.html#group12H0", "12H⁰"), =HYPERLINK("CSG0.html#group1A0", "1A⁰"), =HYPERLINK("CSG5.html#group24D5", "24D⁵"), =HYPERLINK("CSG6.html#group48C6", "48C⁶"), =HYPERLINK("CSG0.html#group12D0", "12D⁰"), =HYPERLINK("CSG0.html#group6H0", "6H⁰"), =HYPERLINK("CSG0.html#group3A0", "3A⁰"), =HYPERLINK("CSG0.html#group6D0", "6D⁰")</f>
        <v/>
      </c>
      <c r="N2693">
        <f>HYPERLINK("CSG21.html#group48AO21", "48AO²¹"), =HYPERLINK("CSG23.html#group96AA23", "96AA²³"), =HYPERLINK("CSG21.html#group48BK21", "48BK²¹"), =HYPERLINK("CSG23.html#group96AB23", "96AB²³"), =HYPERLINK("CSG21.html#group48BJ21", "48BJ²¹"), =HYPERLINK("CSG21.html#group48AT21", "48AT²¹"), =HYPERLINK("CSG21.html#group48BE21", "48BE²¹")</f>
        <v/>
      </c>
    </row>
    <row r="2694">
      <c r="A2694" t="inlineStr">
        <is>
          <t>48O¹¹</t>
        </is>
      </c>
      <c r="B2694" t="inlineStr"/>
      <c r="C2694" t="inlineStr">
        <is>
          <t>144</t>
        </is>
      </c>
      <c r="D2694" t="inlineStr">
        <is>
          <t>1</t>
        </is>
      </c>
      <c r="E2694" t="inlineStr">
        <is>
          <t>36</t>
        </is>
      </c>
      <c r="F2694" t="inlineStr">
        <is>
          <t>0</t>
        </is>
      </c>
      <c r="G2694" t="inlineStr">
        <is>
          <t>0</t>
        </is>
      </c>
      <c r="H2694" t="inlineStr">
        <is>
          <t>24², 48²</t>
        </is>
      </c>
      <c r="I2694" t="n">
        <v>4</v>
      </c>
      <c r="J2694" t="inlineStr">
        <is>
          <t>2⁶, 4⁶</t>
        </is>
      </c>
      <c r="K2694">
        <f>HYPERLINK("CSG5.html#group24B5", "24B⁵"), =HYPERLINK("CSG6.html#group48C6", "48C⁶")</f>
        <v/>
      </c>
      <c r="L2694">
        <f>HYPERLINK("CSG21.html#group48L21", "48L²¹"), =HYPERLINK("CSG21.html#group48AT21", "48AT²¹"), =HYPERLINK("CSG21.html#group48AZ21", "48AZ²¹"), =HYPERLINK("CSG21.html#group48BA21", "48BA²¹"), =HYPERLINK("CSG21.html#group48AY21", "48AY²¹"), =HYPERLINK("CSG21.html#group48BL21", "48BL²¹"), =HYPERLINK("CSG21.html#group48BM21", "48BM²¹"), =HYPERLINK("CSG21.html#group48BV21", "48BV²¹")</f>
        <v/>
      </c>
      <c r="M2694">
        <f>HYPERLINK("CSG3.html#group24A3", "24A³"), =HYPERLINK("CSG1.html#group8A1", "8A¹"), =HYPERLINK("CSG0.html#group12C0", "12C⁰"), =HYPERLINK("CSG0.html#group8D0", "8D⁰"), =HYPERLINK("CSG0.html#group4C0", "4C⁰"), =HYPERLINK("CSG0.html#group2B0", "2B⁰"), =HYPERLINK("CSG0.html#group1A0", "1A⁰"), =HYPERLINK("CSG0.html#group12A0", "12A⁰"), =HYPERLINK("CSG1.html#group8C1", "8C¹"), =HYPERLINK("CSG6.html#group48C6", "48C⁶"), =HYPERLINK("CSG0.html#group4A0", "4A⁰"), =HYPERLINK("CSG1.html#group24C1", "24C¹"), =HYPERLINK("CSG1.html#group12J1", "12J¹"), =HYPERLINK("CSG0.html#group4F0", "4F⁰"), =HYPERLINK("CSG0.html#group3A0", "3A⁰"), =HYPERLINK("CSG0.html#group6D0", "6D⁰"), =HYPERLINK("CSG5.html#group24B5", "24B⁵")</f>
        <v/>
      </c>
      <c r="N2694">
        <f>HYPERLINK("CSG21.html#group48AZ21", "48AZ²¹"), =HYPERLINK("CSG21.html#group48AY21", "48AY²¹"), =HYPERLINK("CSG21.html#group48BA21", "48BA²¹"), =HYPERLINK("CSG21.html#group48L21", "48L²¹"), =HYPERLINK("CSG21.html#group48BL21", "48BL²¹"), =HYPERLINK("CSG21.html#group48BV21", "48BV²¹"), =HYPERLINK("CSG21.html#group48AT21", "48AT²¹"), =HYPERLINK("CSG21.html#group48BM21", "48BM²¹")</f>
        <v/>
      </c>
    </row>
    <row r="2695">
      <c r="A2695" t="inlineStr">
        <is>
          <t>48P¹¹</t>
        </is>
      </c>
      <c r="B2695" t="inlineStr"/>
      <c r="C2695" t="inlineStr">
        <is>
          <t>144</t>
        </is>
      </c>
      <c r="D2695" t="inlineStr">
        <is>
          <t>1</t>
        </is>
      </c>
      <c r="E2695" t="inlineStr">
        <is>
          <t>36</t>
        </is>
      </c>
      <c r="F2695" t="inlineStr">
        <is>
          <t>0</t>
        </is>
      </c>
      <c r="G2695" t="inlineStr">
        <is>
          <t>0</t>
        </is>
      </c>
      <c r="H2695" t="inlineStr">
        <is>
          <t>24², 48²</t>
        </is>
      </c>
      <c r="I2695" t="n">
        <v>4</v>
      </c>
      <c r="J2695" t="inlineStr">
        <is>
          <t>1⁴, 2⁶, 4³, 8¹</t>
        </is>
      </c>
      <c r="K2695">
        <f>HYPERLINK("CSG5.html#group24E5", "24E⁵"), =HYPERLINK("CSG6.html#group48C6", "48C⁶")</f>
        <v/>
      </c>
      <c r="L2695">
        <f>HYPERLINK("CSG21.html#group48X21", "48X²¹"), =HYPERLINK("CSG21.html#group48AO21", "48AO²¹"), =HYPERLINK("CSG21.html#group48BA21", "48BA²¹"), =HYPERLINK("CSG21.html#group48BE21", "48BE²¹"), =HYPERLINK("CSG21.html#group48BT21", "48BT²¹")</f>
        <v/>
      </c>
      <c r="M2695">
        <f>HYPERLINK("CSG3.html#group24A3", "24A³"), =HYPERLINK("CSG0.html#group12C0", "12C⁰"), =HYPERLINK("CSG1.html#group12C1", "12C¹"), =HYPERLINK("CSG1.html#group8A1", "8A¹"), =HYPERLINK("CSG6.html#group48C6", "48C⁶"), =HYPERLINK("CSG1.html#group12L1", "12L¹"), =HYPERLINK("CSG0.html#group4C0", "4C⁰"), =HYPERLINK("CSG1.html#group24D1", "24D¹"), =HYPERLINK("CSG0.html#group6G0", "6G⁰"), =HYPERLINK("CSG0.html#group3C0", "3C⁰"), =HYPERLINK("CSG0.html#group2B0", "2B⁰"), =HYPERLINK("CSG0.html#group3A0", "3A⁰"), =HYPERLINK("CSG5.html#group24E5", "24E⁵"), =HYPERLINK("CSG0.html#group1A0", "1A⁰"), =HYPERLINK("CSG0.html#group6D0", "6D⁰")</f>
        <v/>
      </c>
      <c r="N2695">
        <f>HYPERLINK("CSG21.html#group48AO21", "48AO²¹"), =HYPERLINK("CSG21.html#group48X21", "48X²¹"), =HYPERLINK("CSG21.html#group48BT21", "48BT²¹"), =HYPERLINK("CSG21.html#group48BE21", "48BE²¹"), =HYPERLINK("CSG21.html#group48BA21", "48BA²¹")</f>
        <v/>
      </c>
    </row>
    <row r="2696">
      <c r="A2696" t="inlineStr">
        <is>
          <t>48Q¹¹</t>
        </is>
      </c>
      <c r="B2696" t="inlineStr"/>
      <c r="C2696" t="inlineStr">
        <is>
          <t>144</t>
        </is>
      </c>
      <c r="D2696" t="inlineStr">
        <is>
          <t>1</t>
        </is>
      </c>
      <c r="E2696" t="inlineStr">
        <is>
          <t>36</t>
        </is>
      </c>
      <c r="F2696" t="inlineStr">
        <is>
          <t>0</t>
        </is>
      </c>
      <c r="G2696" t="inlineStr">
        <is>
          <t>0</t>
        </is>
      </c>
      <c r="H2696" t="inlineStr">
        <is>
          <t>24², 48²</t>
        </is>
      </c>
      <c r="I2696" t="n">
        <v>4</v>
      </c>
      <c r="J2696" t="inlineStr">
        <is>
          <t>1⁴, 2⁶, 4³, 8¹</t>
        </is>
      </c>
      <c r="K2696">
        <f>HYPERLINK("CSG2.html#group24Q2", "24Q²"), =HYPERLINK("CSG3.html#group48H3", "48H³"), =HYPERLINK("CSG6.html#group48A6", "48A⁶")</f>
        <v/>
      </c>
      <c r="L2696">
        <f>HYPERLINK("CSG21.html#group48AK21", "48AK²¹"), =HYPERLINK("CSG21.html#group48AW21", "48AW²¹"), =HYPERLINK("CSG21.html#group48AX21", "48AX²¹"), =HYPERLINK("CSG21.html#group48BB21", "48BB²¹"), =HYPERLINK("CSG21.html#group48BF21", "48BF²¹"), =HYPERLINK("CSG21.html#group48BG21", "48BG²¹"), =HYPERLINK("CSG21.html#group48BH21", "48BH²¹"), =HYPERLINK("CSG21.html#group48BI21", "48BI²¹"), =HYPERLINK("CSG21.html#group48BU21", "48BU²¹")</f>
        <v/>
      </c>
      <c r="M2696">
        <f>HYPERLINK("CSG0.html#group12C0", "12C⁰"), =HYPERLINK("CSG0.html#group24A0", "24A⁰"), =HYPERLINK("CSG0.html#group4C0", "4C⁰"), =HYPERLINK("CSG0.html#group8B0", "8B⁰"), =HYPERLINK("CSG2.html#group24Q2", "24Q²"), =HYPERLINK("CSG0.html#group2B0", "2B⁰"), =HYPERLINK("CSG6.html#group48A6", "48A⁶"), =HYPERLINK("CSG0.html#group3A0", "3A⁰"), =HYPERLINK("CSG0.html#group1A0", "1A⁰"), =HYPERLINK("CSG3.html#group48H3", "48H³"), =HYPERLINK("CSG0.html#group6D0", "6D⁰"), =HYPERLINK("CSG2.html#group16A2", "16A²")</f>
        <v/>
      </c>
      <c r="N2696">
        <f>HYPERLINK("CSG21.html#group48AW21", "48AW²¹"), =HYPERLINK("CSG21.html#group48BU21", "48BU²¹"), =HYPERLINK("CSG21.html#group48BG21", "48BG²¹"), =HYPERLINK("CSG21.html#group48BI21", "48BI²¹"), =HYPERLINK("CSG21.html#group48AK21", "48AK²¹"), =HYPERLINK("CSG21.html#group48AX21", "48AX²¹"), =HYPERLINK("CSG21.html#group48BB21", "48BB²¹"), =HYPERLINK("CSG21.html#group48BF21", "48BF²¹"), =HYPERLINK("CSG21.html#group48BH21", "48BH²¹")</f>
        <v/>
      </c>
    </row>
    <row r="2697">
      <c r="A2697" t="inlineStr">
        <is>
          <t>48R¹¹</t>
        </is>
      </c>
      <c r="B2697" t="inlineStr"/>
      <c r="C2697" t="inlineStr">
        <is>
          <t>144</t>
        </is>
      </c>
      <c r="D2697" t="inlineStr">
        <is>
          <t>1</t>
        </is>
      </c>
      <c r="E2697" t="inlineStr">
        <is>
          <t>36</t>
        </is>
      </c>
      <c r="F2697" t="inlineStr">
        <is>
          <t>0</t>
        </is>
      </c>
      <c r="G2697" t="inlineStr">
        <is>
          <t>0</t>
        </is>
      </c>
      <c r="H2697" t="inlineStr">
        <is>
          <t>24², 48²</t>
        </is>
      </c>
      <c r="I2697" t="n">
        <v>4</v>
      </c>
      <c r="J2697" t="inlineStr">
        <is>
          <t>1⁴, 2⁶, 4³, 8¹</t>
        </is>
      </c>
      <c r="K2697">
        <f>HYPERLINK("CSG5.html#group24D5", "24D⁵"), =HYPERLINK("CSG6.html#group48B6", "48B⁶"), =HYPERLINK("CSG6.html#group48C6", "48C⁶")</f>
        <v/>
      </c>
      <c r="L2697">
        <f>HYPERLINK("CSG21.html#group48AP21", "48AP²¹"), =HYPERLINK("CSG21.html#group48AY21", "48AY²¹"), =HYPERLINK("CSG21.html#group48BE21", "48BE²¹"), =HYPERLINK("CSG21.html#group48BJ21", "48BJ²¹"), =HYPERLINK("CSG21.html#group48BK21", "48BK²¹"), =HYPERLINK("CSG23.html#group96Q23", "96Q²³"), =HYPERLINK("CSG23.html#group96R23", "96R²³"), =HYPERLINK("CSG23.html#group96X23", "96X²³"), =HYPERLINK("CSG23.html#group96W23", "96W²³")</f>
        <v/>
      </c>
      <c r="M2697">
        <f>HYPERLINK("CSG3.html#group24A3", "24A³"), =HYPERLINK("CSG0.html#group6B0", "6B⁰"), =HYPERLINK("CSG1.html#group8A1", "8A¹"), =HYPERLINK("CSG0.html#group12C0", "12C⁰"), =HYPERLINK("CSG0.html#group4C0", "4C⁰"), =HYPERLINK("CSG0.html#group2B0", "2B⁰"), =HYPERLINK("CSG2.html#group24C2", "24C²"), =HYPERLINK("CSG0.html#group12H0", "12H⁰"), =HYPERLINK("CSG0.html#group1A0", "1A⁰"), =HYPERLINK("CSG5.html#group24D5", "24D⁵"), =HYPERLINK("CSG2.html#group16B2", "16B²"), =HYPERLINK("CSG6.html#group48B6", "48B⁶"), =HYPERLINK("CSG6.html#group48C6", "48C⁶"), =HYPERLINK("CSG0.html#group12D0", "12D⁰"), =HYPERLINK("CSG0.html#group6H0", "6H⁰"), =HYPERLINK("CSG0.html#group3A0", "3A⁰"), =HYPERLINK("CSG0.html#group6D0", "6D⁰")</f>
        <v/>
      </c>
      <c r="N2697">
        <f>HYPERLINK("CSG23.html#group96X23", "96X²³"), =HYPERLINK("CSG23.html#group96W23", "96W²³"), =HYPERLINK("CSG21.html#group48AY21", "48AY²¹"), =HYPERLINK("CSG21.html#group48BE21", "48BE²¹"), =HYPERLINK("CSG23.html#group96Q23", "96Q²³"), =HYPERLINK("CSG23.html#group96R23", "96R²³"), =HYPERLINK("CSG21.html#group48BK21", "48BK²¹"), =HYPERLINK("CSG21.html#group48AP21", "48AP²¹"), =HYPERLINK("CSG21.html#group48BJ21", "48BJ²¹")</f>
        <v/>
      </c>
    </row>
    <row r="2698">
      <c r="A2698" t="inlineStr">
        <is>
          <t>48S¹¹</t>
        </is>
      </c>
      <c r="B2698" t="inlineStr"/>
      <c r="C2698" t="inlineStr">
        <is>
          <t>144</t>
        </is>
      </c>
      <c r="D2698" t="inlineStr">
        <is>
          <t>1</t>
        </is>
      </c>
      <c r="E2698" t="inlineStr">
        <is>
          <t>36</t>
        </is>
      </c>
      <c r="F2698" t="inlineStr">
        <is>
          <t>0</t>
        </is>
      </c>
      <c r="G2698" t="inlineStr">
        <is>
          <t>0</t>
        </is>
      </c>
      <c r="H2698" t="inlineStr">
        <is>
          <t>24², 48²</t>
        </is>
      </c>
      <c r="I2698" t="n">
        <v>4</v>
      </c>
      <c r="J2698" t="inlineStr">
        <is>
          <t>1⁴, 2⁶, 4³, 8¹</t>
        </is>
      </c>
      <c r="K2698">
        <f>HYPERLINK("CSG5.html#group24E5", "24E⁵"), =HYPERLINK("CSG6.html#group48B6", "48B⁶"), =HYPERLINK("CSG6.html#group48C6", "48C⁶")</f>
        <v/>
      </c>
      <c r="L2698">
        <f>HYPERLINK("CSG21.html#group48X21", "48X²¹"), =HYPERLINK("CSG21.html#group48AP21", "48AP²¹"), =HYPERLINK("CSG21.html#group48AZ21", "48AZ²¹"), =HYPERLINK("CSG21.html#group48BE21", "48BE²¹"), =HYPERLINK("CSG21.html#group48BT21", "48BT²¹"), =HYPERLINK("CSG23.html#group96S23", "96S²³"), =HYPERLINK("CSG23.html#group96T23", "96T²³"), =HYPERLINK("CSG23.html#group96Z23", "96Z²³"), =HYPERLINK("CSG23.html#group96Y23", "96Y²³")</f>
        <v/>
      </c>
      <c r="M2698">
        <f>HYPERLINK("CSG3.html#group24A3", "24A³"), =HYPERLINK("CSG1.html#group8A1", "8A¹"), =HYPERLINK("CSG0.html#group12C0", "12C⁰"), =HYPERLINK("CSG0.html#group4C0", "4C⁰"), =HYPERLINK("CSG1.html#group24D1", "24D¹"), =HYPERLINK("CSG0.html#group6G0", "6G⁰"), =HYPERLINK("CSG0.html#group2B0", "2B⁰"), =HYPERLINK("CSG5.html#group24E5", "24E⁵"), =HYPERLINK("CSG0.html#group1A0", "1A⁰"), =HYPERLINK("CSG1.html#group12L1", "12L¹"), =HYPERLINK("CSG2.html#group16B2", "16B²"), =HYPERLINK("CSG1.html#group12C1", "12C¹"), =HYPERLINK("CSG6.html#group48B6", "48B⁶"), =HYPERLINK("CSG6.html#group48C6", "48C⁶"), =HYPERLINK("CSG0.html#group3C0", "3C⁰"), =HYPERLINK("CSG0.html#group3A0", "3A⁰"), =HYPERLINK("CSG0.html#group6D0", "6D⁰")</f>
        <v/>
      </c>
      <c r="N2698">
        <f>HYPERLINK("CSG21.html#group48AZ21", "48AZ²¹"), =HYPERLINK("CSG23.html#group96Z23", "96Z²³"), =HYPERLINK("CSG21.html#group48BE21", "48BE²¹"), =HYPERLINK("CSG23.html#group96T23", "96T²³"), =HYPERLINK("CSG23.html#group96S23", "96S²³"), =HYPERLINK("CSG21.html#group48X21", "48X²¹"), =HYPERLINK("CSG21.html#group48BT21", "48BT²¹"), =HYPERLINK("CSG21.html#group48AP21", "48AP²¹"), =HYPERLINK("CSG23.html#group96Y23", "96Y²³")</f>
        <v/>
      </c>
    </row>
    <row r="2699">
      <c r="A2699" t="inlineStr">
        <is>
          <t>48T¹¹</t>
        </is>
      </c>
      <c r="B2699" t="inlineStr"/>
      <c r="C2699" t="inlineStr">
        <is>
          <t>144</t>
        </is>
      </c>
      <c r="D2699" t="inlineStr">
        <is>
          <t>1</t>
        </is>
      </c>
      <c r="E2699" t="inlineStr">
        <is>
          <t>36</t>
        </is>
      </c>
      <c r="F2699" t="inlineStr">
        <is>
          <t>0</t>
        </is>
      </c>
      <c r="G2699" t="inlineStr">
        <is>
          <t>0</t>
        </is>
      </c>
      <c r="H2699" t="inlineStr">
        <is>
          <t>24², 48²</t>
        </is>
      </c>
      <c r="I2699" t="n">
        <v>4</v>
      </c>
      <c r="J2699" t="inlineStr">
        <is>
          <t>4¹⁴, 8²</t>
        </is>
      </c>
      <c r="K2699">
        <f>HYPERLINK("CSG5.html#group24G5", "24G⁵"), =HYPERLINK("CSG6.html#group48C6", "48C⁶")</f>
        <v/>
      </c>
      <c r="L2699">
        <f>HYPERLINK("CSG21.html#group48AG21", "48AG²¹"), =HYPERLINK("CSG21.html#group48AT21", "48AT²¹"), =HYPERLINK("CSG21.html#group48BA21", "48BA²¹"), =HYPERLINK("CSG21.html#group48BJ21", "48BJ²¹"), =HYPERLINK("CSG21.html#group48BT21", "48BT²¹")</f>
        <v/>
      </c>
      <c r="M2699">
        <f>HYPERLINK("CSG5.html#group24G5", "24G⁵"), =HYPERLINK("CSG1.html#group24E1", "24E¹"), =HYPERLINK("CSG3.html#group24A3", "24A³"), =HYPERLINK("CSG0.html#group12C0", "12C⁰"), =HYPERLINK("CSG1.html#group8A1", "8A¹"), =HYPERLINK("CSG6.html#group48C6", "48C⁶"), =HYPERLINK("CSG0.html#group4C0", "4C⁰"), =HYPERLINK("CSG1.html#group12M1", "12M¹"), =HYPERLINK("CSG0.html#group2B0", "2B⁰"), =HYPERLINK("CSG0.html#group3A0", "3A⁰"), =HYPERLINK("CSG0.html#group1A0", "1A⁰"), =HYPERLINK("CSG0.html#group6D0", "6D⁰")</f>
        <v/>
      </c>
      <c r="N2699">
        <f>HYPERLINK("CSG21.html#group48AT21", "48AT²¹"), =HYPERLINK("CSG21.html#group48BT21", "48BT²¹"), =HYPERLINK("CSG21.html#group48AG21", "48AG²¹"), =HYPERLINK("CSG21.html#group48BJ21", "48BJ²¹"), =HYPERLINK("CSG21.html#group48BA21", "48BA²¹")</f>
        <v/>
      </c>
    </row>
    <row r="2700">
      <c r="A2700" t="inlineStr">
        <is>
          <t>48U¹¹</t>
        </is>
      </c>
      <c r="B2700" t="inlineStr"/>
      <c r="C2700" t="inlineStr">
        <is>
          <t>144</t>
        </is>
      </c>
      <c r="D2700" t="inlineStr">
        <is>
          <t>1</t>
        </is>
      </c>
      <c r="E2700" t="inlineStr">
        <is>
          <t>36</t>
        </is>
      </c>
      <c r="F2700" t="inlineStr">
        <is>
          <t>0</t>
        </is>
      </c>
      <c r="G2700" t="inlineStr">
        <is>
          <t>0</t>
        </is>
      </c>
      <c r="H2700" t="inlineStr">
        <is>
          <t>24², 48²</t>
        </is>
      </c>
      <c r="I2700" t="n">
        <v>4</v>
      </c>
      <c r="J2700" t="inlineStr">
        <is>
          <t>4¹⁴, 8²</t>
        </is>
      </c>
      <c r="K2700">
        <f>HYPERLINK("CSG5.html#group24G5", "24G⁵"), =HYPERLINK("CSG6.html#group48C6", "48C⁶")</f>
        <v/>
      </c>
      <c r="L2700">
        <f>HYPERLINK("CSG21.html#group48AG21", "48AG²¹"), =HYPERLINK("CSG21.html#group48AT21", "48AT²¹"), =HYPERLINK("CSG21.html#group48BA21", "48BA²¹"), =HYPERLINK("CSG21.html#group48BK21", "48BK²¹"), =HYPERLINK("CSG21.html#group48BT21", "48BT²¹")</f>
        <v/>
      </c>
      <c r="M2700">
        <f>HYPERLINK("CSG5.html#group24G5", "24G⁵"), =HYPERLINK("CSG1.html#group24E1", "24E¹"), =HYPERLINK("CSG3.html#group24A3", "24A³"), =HYPERLINK("CSG0.html#group12C0", "12C⁰"), =HYPERLINK("CSG1.html#group8A1", "8A¹"), =HYPERLINK("CSG6.html#group48C6", "48C⁶"), =HYPERLINK("CSG0.html#group4C0", "4C⁰"), =HYPERLINK("CSG1.html#group12M1", "12M¹"), =HYPERLINK("CSG0.html#group2B0", "2B⁰"), =HYPERLINK("CSG0.html#group3A0", "3A⁰"), =HYPERLINK("CSG0.html#group1A0", "1A⁰"), =HYPERLINK("CSG0.html#group6D0", "6D⁰")</f>
        <v/>
      </c>
      <c r="N2700">
        <f>HYPERLINK("CSG21.html#group48AT21", "48AT²¹"), =HYPERLINK("CSG21.html#group48BK21", "48BK²¹"), =HYPERLINK("CSG21.html#group48BT21", "48BT²¹"), =HYPERLINK("CSG21.html#group48AG21", "48AG²¹"), =HYPERLINK("CSG21.html#group48BA21", "48BA²¹")</f>
        <v/>
      </c>
    </row>
    <row r="2701">
      <c r="A2701" t="inlineStr">
        <is>
          <t>48V¹¹</t>
        </is>
      </c>
      <c r="B2701" t="inlineStr"/>
      <c r="C2701" t="inlineStr">
        <is>
          <t>144</t>
        </is>
      </c>
      <c r="D2701" t="inlineStr">
        <is>
          <t>2</t>
        </is>
      </c>
      <c r="E2701" t="inlineStr">
        <is>
          <t>36</t>
        </is>
      </c>
      <c r="F2701" t="inlineStr">
        <is>
          <t>0</t>
        </is>
      </c>
      <c r="G2701" t="inlineStr">
        <is>
          <t>0</t>
        </is>
      </c>
      <c r="H2701" t="inlineStr">
        <is>
          <t>24², 48²</t>
        </is>
      </c>
      <c r="I2701" t="n">
        <v>4</v>
      </c>
      <c r="J2701" t="inlineStr">
        <is>
          <t>2⁸, 4¹⁰, 8²</t>
        </is>
      </c>
      <c r="K2701">
        <f>HYPERLINK("CSG5.html#group24G5", "24G⁵"), =HYPERLINK("CSG6.html#group48B6", "48B⁶"), =HYPERLINK("CSG6.html#group48C6", "48C⁶")</f>
        <v/>
      </c>
      <c r="L2701">
        <f>HYPERLINK("CSG21.html#group48AN21", "48AN²¹"), =HYPERLINK("CSG21.html#group48AZ21", "48AZ²¹"), =HYPERLINK("CSG21.html#group48AY21", "48AY²¹"), =HYPERLINK("CSG21.html#group48BJ21", "48BJ²¹"), =HYPERLINK("CSG21.html#group48BK21", "48BK²¹"), =HYPERLINK("CSG21.html#group48BT21", "48BT²¹"), =HYPERLINK("CSG23.html#group96AF23", "96AF²³"), =HYPERLINK("CSG23.html#group96AE23", "96AE²³"), =HYPERLINK("CSG23.html#group96AG23", "96AG²³"), =HYPERLINK("CSG23.html#group96AH23", "96AH²³")</f>
        <v/>
      </c>
      <c r="M2701">
        <f>HYPERLINK("CSG5.html#group24G5", "24G⁵"), =HYPERLINK("CSG1.html#group24E1", "24E¹"), =HYPERLINK("CSG3.html#group24A3", "24A³"), =HYPERLINK("CSG0.html#group12C0", "12C⁰"), =HYPERLINK("CSG1.html#group8A1", "8A¹"), =HYPERLINK("CSG6.html#group48B6", "48B⁶"), =HYPERLINK("CSG6.html#group48C6", "48C⁶"), =HYPERLINK("CSG2.html#group16B2", "16B²"), =HYPERLINK("CSG0.html#group4C0", "4C⁰"), =HYPERLINK("CSG1.html#group12M1", "12M¹"), =HYPERLINK("CSG0.html#group2B0", "2B⁰"), =HYPERLINK("CSG0.html#group3A0", "3A⁰"), =HYPERLINK("CSG0.html#group1A0", "1A⁰"), =HYPERLINK("CSG0.html#group6D0", "6D⁰")</f>
        <v/>
      </c>
      <c r="N2701">
        <f>HYPERLINK("CSG21.html#group48AZ21", "48AZ²¹"), =HYPERLINK("CSG23.html#group96AF23", "96AF²³"), =HYPERLINK("CSG21.html#group48AY21", "48AY²¹"), =HYPERLINK("CSG23.html#group96AG23", "96AG²³"), =HYPERLINK("CSG21.html#group48AN21", "48AN²¹"), =HYPERLINK("CSG21.html#group48BK21", "48BK²¹"), =HYPERLINK("CSG21.html#group48BT21", "48BT²¹"), =HYPERLINK("CSG23.html#group96AH23", "96AH²³"), =HYPERLINK("CSG21.html#group48BJ21", "48BJ²¹"), =HYPERLINK("CSG23.html#group96AE23", "96AE²³")</f>
        <v/>
      </c>
    </row>
    <row r="2702">
      <c r="A2702" t="inlineStr">
        <is>
          <t>48W¹¹</t>
        </is>
      </c>
      <c r="B2702" t="inlineStr"/>
      <c r="C2702" t="inlineStr">
        <is>
          <t>192</t>
        </is>
      </c>
      <c r="D2702" t="inlineStr">
        <is>
          <t>1</t>
        </is>
      </c>
      <c r="E2702" t="inlineStr">
        <is>
          <t>12</t>
        </is>
      </c>
      <c r="F2702" t="inlineStr">
        <is>
          <t>0</t>
        </is>
      </c>
      <c r="G2702" t="inlineStr">
        <is>
          <t>0</t>
        </is>
      </c>
      <c r="H2702" t="inlineStr">
        <is>
          <t>4⁴, 12⁴, 16², 48²</t>
        </is>
      </c>
      <c r="I2702" t="n">
        <v>12</v>
      </c>
      <c r="J2702" t="inlineStr">
        <is>
          <t>1⁶, 2³</t>
        </is>
      </c>
      <c r="K2702">
        <f>HYPERLINK("CSG3.html#group24V3", "24V³")</f>
        <v/>
      </c>
      <c r="L2702">
        <f>HYPERLINK("CSG21.html#group48BZ21", "48BZ²¹"), =HYPERLINK("CSG21.html#group48CC21", "48CC²¹"), =HYPERLINK("CSG21.html#group48CB21", "48CB²¹"), =HYPERLINK("CSG21.html#group48CI21", "48CI²¹"), =HYPERLINK("CSG21.html#group48CH21", "48CH²¹")</f>
        <v/>
      </c>
      <c r="M2702">
        <f>HYPERLINK("CSG0.html#group2A0", "2A⁰"), =HYPERLINK("CSG0.html#group3B0", "3B⁰"), =HYPERLINK("CSG3.html#group24V3", "24V³"), =HYPERLINK("CSG0.html#group8D0", "8D⁰"), =HYPERLINK("CSG1.html#group12F1", "12F¹"), =HYPERLINK("CSG0.html#group6I0", "6I⁰"), =HYPERLINK("CSG1.html#group24G1", "24G¹"), =HYPERLINK("CSG0.html#group4C0", "4C⁰"), =HYPERLINK("CSG0.html#group6C0", "6C⁰"), =HYPERLINK("CSG0.html#group8C0", "8C⁰"), =HYPERLINK("CSG0.html#group4E0", "4E⁰"), =HYPERLINK("CSG0.html#group2B0", "2B⁰"), =HYPERLINK("CSG1.html#group12P1", "12P¹"), =HYPERLINK("CSG0.html#group4B0", "4B⁰"), =HYPERLINK("CSG0.html#group1A0", "1A⁰"), =HYPERLINK("CSG2.html#group24I2", "24I²"), =HYPERLINK("CSG0.html#group8G0", "8G⁰"), =HYPERLINK("CSG0.html#group6F0", "6F⁰"), =HYPERLINK("CSG0.html#group2C0", "2C⁰"), =HYPERLINK("CSG0.html#group12E0", "12E⁰")</f>
        <v/>
      </c>
      <c r="N2702">
        <f>HYPERLINK("CSG21.html#group48CH21", "48CH²¹"), =HYPERLINK("CSG21.html#group48CB21", "48CB²¹"), =HYPERLINK("CSG21.html#group48BZ21", "48BZ²¹"), =HYPERLINK("CSG21.html#group48CI21", "48CI²¹"), =HYPERLINK("CSG21.html#group48CC21", "48CC²¹")</f>
        <v/>
      </c>
    </row>
    <row r="2703">
      <c r="A2703" t="inlineStr">
        <is>
          <t>48X¹¹</t>
        </is>
      </c>
      <c r="B2703" t="inlineStr"/>
      <c r="C2703" t="inlineStr">
        <is>
          <t>192</t>
        </is>
      </c>
      <c r="D2703" t="inlineStr">
        <is>
          <t>1</t>
        </is>
      </c>
      <c r="E2703" t="inlineStr">
        <is>
          <t>12</t>
        </is>
      </c>
      <c r="F2703" t="inlineStr">
        <is>
          <t>0</t>
        </is>
      </c>
      <c r="G2703" t="inlineStr">
        <is>
          <t>0</t>
        </is>
      </c>
      <c r="H2703" t="inlineStr">
        <is>
          <t>4⁴, 12⁴, 16², 48²</t>
        </is>
      </c>
      <c r="I2703" t="n">
        <v>12</v>
      </c>
      <c r="J2703" t="inlineStr">
        <is>
          <t>1⁶, 2³</t>
        </is>
      </c>
      <c r="K2703">
        <f>HYPERLINK("CSG2.html#group16C2", "16C²"), =HYPERLINK("CSG3.html#group24V3", "24V³"), =HYPERLINK("CSG6.html#group48D6", "48D⁶")</f>
        <v/>
      </c>
      <c r="L2703">
        <f>HYPERLINK("CSG21.html#group48BZ21", "48BZ²¹"), =HYPERLINK("CSG21.html#group48CA21", "48CA²¹"), =HYPERLINK("CSG21.html#group48CF21", "48CF²¹"), =HYPERLINK("CSG21.html#group48CG21", "48CG²¹"), =HYPERLINK("CSG21.html#group48CK21", "48CK²¹")</f>
        <v/>
      </c>
      <c r="M2703">
        <f>HYPERLINK("CSG0.html#group3B0", "3B⁰"), =HYPERLINK("CSG0.html#group2A0", "2A⁰"), =HYPERLINK("CSG3.html#group24V3", "24V³"), =HYPERLINK("CSG2.html#group16C2", "16C²"), =HYPERLINK("CSG0.html#group8D0", "8D⁰"), =HYPERLINK("CSG1.html#group12F1", "12F¹"), =HYPERLINK("CSG6.html#group48D6", "48D⁶"), =HYPERLINK("CSG0.html#group6I0", "6I⁰"), =HYPERLINK("CSG0.html#group4C0", "4C⁰"), =HYPERLINK("CSG1.html#group24G1", "24G¹"), =HYPERLINK("CSG0.html#group6C0", "6C⁰"), =HYPERLINK("CSG0.html#group2B0", "2B⁰"), =HYPERLINK("CSG0.html#group8C0", "8C⁰"), =HYPERLINK("CSG0.html#group4E0", "4E⁰"), =HYPERLINK("CSG1.html#group12P1", "12P¹"), =HYPERLINK("CSG0.html#group4B0", "4B⁰"), =HYPERLINK("CSG0.html#group1A0", "1A⁰"), =HYPERLINK("CSG2.html#group24I2", "24I²"), =HYPERLINK("CSG0.html#group8G0", "8G⁰"), =HYPERLINK("CSG1.html#group16C1", "16C¹"), =HYPERLINK("CSG0.html#group6F0", "6F⁰"), =HYPERLINK("CSG0.html#group2C0", "2C⁰"), =HYPERLINK("CSG0.html#group12E0", "12E⁰")</f>
        <v/>
      </c>
      <c r="N2703">
        <f>HYPERLINK("CSG21.html#group48CF21", "48CF²¹"), =HYPERLINK("CSG21.html#group48CA21", "48CA²¹"), =HYPERLINK("CSG21.html#group48CK21", "48CK²¹"), =HYPERLINK("CSG21.html#group48BZ21", "48BZ²¹"), =HYPERLINK("CSG21.html#group48CG21", "48CG²¹")</f>
        <v/>
      </c>
    </row>
    <row r="2704">
      <c r="A2704" t="inlineStr">
        <is>
          <t>48Y¹¹</t>
        </is>
      </c>
      <c r="B2704" t="inlineStr"/>
      <c r="C2704" t="inlineStr">
        <is>
          <t>192</t>
        </is>
      </c>
      <c r="D2704" t="inlineStr">
        <is>
          <t>1</t>
        </is>
      </c>
      <c r="E2704" t="inlineStr">
        <is>
          <t>48</t>
        </is>
      </c>
      <c r="F2704" t="inlineStr">
        <is>
          <t>0</t>
        </is>
      </c>
      <c r="G2704" t="inlineStr">
        <is>
          <t>0</t>
        </is>
      </c>
      <c r="H2704" t="inlineStr">
        <is>
          <t>4⁴, 12⁴, 16², 48²</t>
        </is>
      </c>
      <c r="I2704" t="n">
        <v>12</v>
      </c>
      <c r="J2704" t="inlineStr">
        <is>
          <t>2⁴, 4⁶, 8²</t>
        </is>
      </c>
      <c r="K2704">
        <f>HYPERLINK("CSG5.html#group24K5", "24K⁵")</f>
        <v/>
      </c>
      <c r="L2704">
        <f>HYPERLINK("CSG21.html#group48CD21", "48CD²¹"), =HYPERLINK("CSG21.html#group48CN21", "48CN²¹")</f>
        <v/>
      </c>
      <c r="M2704">
        <f>HYPERLINK("CSG0.html#group3B0", "3B⁰"), =HYPERLINK("CSG5.html#group24K5", "24K⁵"), =HYPERLINK("CSG1.html#group8A1", "8A¹"), =HYPERLINK("CSG0.html#group8D0", "8D⁰"), =HYPERLINK("CSG1.html#group12F1", "12F¹"), =HYPERLINK("CSG0.html#group4C0", "4C⁰"), =HYPERLINK("CSG0.html#group2B0", "2B⁰"), =HYPERLINK("CSG0.html#group1A0", "1A⁰"), =HYPERLINK("CSG3.html#group24C3", "24C³"), =HYPERLINK("CSG1.html#group8C1", "8C¹"), =HYPERLINK("CSG2.html#group24I2", "24I²"), =HYPERLINK("CSG0.html#group4A0", "4A⁰"), =HYPERLINK("CSG1.html#group12A1", "12A¹"), =HYPERLINK("CSG2.html#group12G2", "12G²"), =HYPERLINK("CSG0.html#group4F0", "4F⁰"), =HYPERLINK("CSG0.html#group6F0", "6F⁰")</f>
        <v/>
      </c>
      <c r="N2704">
        <f>HYPERLINK("CSG21.html#group48CD21", "48CD²¹"), =HYPERLINK("CSG21.html#group48CN21", "48CN²¹")</f>
        <v/>
      </c>
    </row>
    <row r="2705">
      <c r="A2705" t="inlineStr">
        <is>
          <t>48Z¹¹</t>
        </is>
      </c>
      <c r="B2705" t="inlineStr"/>
      <c r="C2705" t="inlineStr">
        <is>
          <t>192</t>
        </is>
      </c>
      <c r="D2705" t="inlineStr">
        <is>
          <t>1</t>
        </is>
      </c>
      <c r="E2705" t="inlineStr">
        <is>
          <t>48</t>
        </is>
      </c>
      <c r="F2705" t="inlineStr">
        <is>
          <t>0</t>
        </is>
      </c>
      <c r="G2705" t="inlineStr">
        <is>
          <t>0</t>
        </is>
      </c>
      <c r="H2705" t="inlineStr">
        <is>
          <t>4⁴, 12⁴, 16², 48²</t>
        </is>
      </c>
      <c r="I2705" t="n">
        <v>12</v>
      </c>
      <c r="J2705" t="inlineStr">
        <is>
          <t>2⁴, 4⁶, 8²</t>
        </is>
      </c>
      <c r="K2705">
        <f>HYPERLINK("CSG1.html#group16H1", "16H¹"), =HYPERLINK("CSG5.html#group24J5", "24J⁵")</f>
        <v/>
      </c>
      <c r="L2705">
        <f>HYPERLINK("CSG21.html#group48CE21", "48CE²¹"), =HYPERLINK("CSG21.html#group48CO21", "48CO²¹")</f>
        <v/>
      </c>
      <c r="M2705">
        <f>HYPERLINK("CSG0.html#group3B0", "3B⁰"), =HYPERLINK("CSG3.html#group24B3", "24B³"), =HYPERLINK("CSG0.html#group8D0", "8D⁰"), =HYPERLINK("CSG1.html#group12F1", "12F¹"), =HYPERLINK("CSG0.html#group4C0", "4C⁰"), =HYPERLINK("CSG0.html#group8B0", "8B⁰"), =HYPERLINK("CSG0.html#group2B0", "2B⁰"), =HYPERLINK("CSG0.html#group1A0", "1A⁰"), =HYPERLINK("CSG0.html#group8H0", "8H⁰"), =HYPERLINK("CSG2.html#group24I2", "24I²"), =HYPERLINK("CSG0.html#group4A0", "4A⁰"), =HYPERLINK("CSG1.html#group12A1", "12A¹"), =HYPERLINK("CSG0.html#group6F0", "6F⁰"), =HYPERLINK("CSG2.html#group12G2", "12G²"), =HYPERLINK("CSG5.html#group24J5", "24J⁵"), =HYPERLINK("CSG0.html#group4F0", "4F⁰"), =HYPERLINK("CSG1.html#group16H1", "16H¹")</f>
        <v/>
      </c>
      <c r="N2705">
        <f>HYPERLINK("CSG21.html#group48CE21", "48CE²¹"), =HYPERLINK("CSG21.html#group48CO21", "48CO²¹")</f>
        <v/>
      </c>
    </row>
    <row r="2706">
      <c r="A2706" t="inlineStr">
        <is>
          <t>48AA¹¹</t>
        </is>
      </c>
      <c r="B2706" t="inlineStr"/>
      <c r="C2706" t="inlineStr">
        <is>
          <t>192</t>
        </is>
      </c>
      <c r="D2706" t="inlineStr">
        <is>
          <t>1</t>
        </is>
      </c>
      <c r="E2706" t="inlineStr">
        <is>
          <t>48</t>
        </is>
      </c>
      <c r="F2706" t="inlineStr">
        <is>
          <t>0</t>
        </is>
      </c>
      <c r="G2706" t="inlineStr">
        <is>
          <t>0</t>
        </is>
      </c>
      <c r="H2706" t="inlineStr">
        <is>
          <t>4⁴, 12⁴, 16², 48²</t>
        </is>
      </c>
      <c r="I2706" t="n">
        <v>12</v>
      </c>
      <c r="J2706" t="inlineStr">
        <is>
          <t>1⁴, 2⁴, 4⁵, 8²</t>
        </is>
      </c>
      <c r="K2706">
        <f>HYPERLINK("CSG1.html#group16I1", "16I¹"), =HYPERLINK("CSG4.html#group48J4", "48J⁴"), =HYPERLINK("CSG5.html#group24J5", "24J⁵"), =HYPERLINK("CSG6.html#group48D6", "48D⁶")</f>
        <v/>
      </c>
      <c r="L2706">
        <f>HYPERLINK("CSG21.html#group48CF21", "48CF²¹"), =HYPERLINK("CSG21.html#group48CO21", "48CO²¹"), =HYPERLINK("CSG23.html#group96AI23", "96AI²³"), =HYPERLINK("CSG23.html#group96AL23", "96AL²³")</f>
        <v/>
      </c>
      <c r="M2706">
        <f>HYPERLINK("CSG0.html#group3B0", "3B⁰"), =HYPERLINK("CSG1.html#group16I1", "16I¹"), =HYPERLINK("CSG3.html#group24B3", "24B³"), =HYPERLINK("CSG0.html#group8D0", "8D⁰"), =HYPERLINK("CSG1.html#group12F1", "12F¹"), =HYPERLINK("CSG6.html#group48D6", "48D⁶"), =HYPERLINK("CSG0.html#group4C0", "4C⁰"), =HYPERLINK("CSG0.html#group8B0", "8B⁰"), =HYPERLINK("CSG0.html#group2B0", "2B⁰"), =HYPERLINK("CSG0.html#group1A0", "1A⁰"), =HYPERLINK("CSG0.html#group8H0", "8H⁰"), =HYPERLINK("CSG0.html#group16E0", "16E⁰"), =HYPERLINK("CSG2.html#group24I2", "24I²"), =HYPERLINK("CSG0.html#group4A0", "4A⁰"), =HYPERLINK("CSG4.html#group48J4", "48J⁴"), =HYPERLINK("CSG1.html#group16C1", "16C¹"), =HYPERLINK("CSG1.html#group12A1", "12A¹"), =HYPERLINK("CSG2.html#group12G2", "12G²"), =HYPERLINK("CSG5.html#group24J5", "24J⁵"), =HYPERLINK("CSG0.html#group4F0", "4F⁰"), =HYPERLINK("CSG0.html#group6F0", "6F⁰")</f>
        <v/>
      </c>
      <c r="N2706">
        <f>HYPERLINK("CSG21.html#group48CF21", "48CF²¹"), =HYPERLINK("CSG21.html#group48CO21", "48CO²¹"), =HYPERLINK("CSG23.html#group96AL23", "96AL²³"), =HYPERLINK("CSG23.html#group96AI23", "96AI²³")</f>
        <v/>
      </c>
    </row>
    <row r="2707">
      <c r="A2707" t="inlineStr">
        <is>
          <t>48AB¹¹</t>
        </is>
      </c>
      <c r="B2707" t="inlineStr"/>
      <c r="C2707" t="inlineStr">
        <is>
          <t>192</t>
        </is>
      </c>
      <c r="D2707" t="inlineStr">
        <is>
          <t>1</t>
        </is>
      </c>
      <c r="E2707" t="inlineStr">
        <is>
          <t>48</t>
        </is>
      </c>
      <c r="F2707" t="inlineStr">
        <is>
          <t>0</t>
        </is>
      </c>
      <c r="G2707" t="inlineStr">
        <is>
          <t>0</t>
        </is>
      </c>
      <c r="H2707" t="inlineStr">
        <is>
          <t>4⁴, 12⁴, 16², 48²</t>
        </is>
      </c>
      <c r="I2707" t="n">
        <v>12</v>
      </c>
      <c r="J2707" t="inlineStr">
        <is>
          <t>1⁴, 2⁴, 4⁵, 8²</t>
        </is>
      </c>
      <c r="K2707">
        <f>HYPERLINK("CSG2.html#group16D2", "16D²"), =HYPERLINK("CSG4.html#group48J4", "48J⁴"), =HYPERLINK("CSG5.html#group24K5", "24K⁵"), =HYPERLINK("CSG6.html#group48D6", "48D⁶")</f>
        <v/>
      </c>
      <c r="L2707">
        <f>HYPERLINK("CSG21.html#group48CF21", "48CF²¹"), =HYPERLINK("CSG21.html#group48CN21", "48CN²¹"), =HYPERLINK("CSG23.html#group96AJ23", "96AJ²³"), =HYPERLINK("CSG23.html#group96AK23", "96AK²³")</f>
        <v/>
      </c>
      <c r="M2707">
        <f>HYPERLINK("CSG2.html#group16D2", "16D²"), =HYPERLINK("CSG0.html#group3B0", "3B⁰"), =HYPERLINK("CSG5.html#group24K5", "24K⁵"), =HYPERLINK("CSG1.html#group8A1", "8A¹"), =HYPERLINK("CSG0.html#group8D0", "8D⁰"), =HYPERLINK("CSG1.html#group12F1", "12F¹"), =HYPERLINK("CSG6.html#group48D6", "48D⁶"), =HYPERLINK("CSG0.html#group4C0", "4C⁰"), =HYPERLINK("CSG0.html#group2B0", "2B⁰"), =HYPERLINK("CSG0.html#group1A0", "1A⁰"), =HYPERLINK("CSG3.html#group24C3", "24C³"), =HYPERLINK("CSG0.html#group16E0", "16E⁰"), =HYPERLINK("CSG1.html#group8C1", "8C¹"), =HYPERLINK("CSG2.html#group24I2", "24I²"), =HYPERLINK("CSG0.html#group4A0", "4A⁰"), =HYPERLINK("CSG4.html#group48J4", "48J⁴"), =HYPERLINK("CSG1.html#group16C1", "16C¹"), =HYPERLINK("CSG1.html#group12A1", "12A¹"), =HYPERLINK("CSG2.html#group12G2", "12G²"), =HYPERLINK("CSG0.html#group4F0", "4F⁰"), =HYPERLINK("CSG0.html#group6F0", "6F⁰")</f>
        <v/>
      </c>
      <c r="N2707">
        <f>HYPERLINK("CSG21.html#group48CF21", "48CF²¹"), =HYPERLINK("CSG23.html#group96AK23", "96AK²³"), =HYPERLINK("CSG23.html#group96AJ23", "96AJ²³"), =HYPERLINK("CSG21.html#group48CN21", "48CN²¹")</f>
        <v/>
      </c>
    </row>
    <row r="2708">
      <c r="A2708" t="inlineStr">
        <is>
          <t>50A¹¹</t>
        </is>
      </c>
      <c r="B2708" t="inlineStr"/>
      <c r="C2708" t="inlineStr">
        <is>
          <t>150</t>
        </is>
      </c>
      <c r="D2708" t="inlineStr">
        <is>
          <t>1</t>
        </is>
      </c>
      <c r="E2708" t="inlineStr">
        <is>
          <t>150</t>
        </is>
      </c>
      <c r="F2708" t="inlineStr">
        <is>
          <t>2</t>
        </is>
      </c>
      <c r="G2708" t="inlineStr">
        <is>
          <t>0</t>
        </is>
      </c>
      <c r="H2708" t="inlineStr">
        <is>
          <t>25², 50²</t>
        </is>
      </c>
      <c r="I2708" t="n">
        <v>4</v>
      </c>
      <c r="J2708" t="inlineStr">
        <is>
          <t>2³, 4⁶, 20⁶</t>
        </is>
      </c>
      <c r="K2708">
        <f>HYPERLINK("CSG1.html#group10F1", "10F¹"), =HYPERLINK("CSG2.html#group25E2", "25E²")</f>
        <v/>
      </c>
      <c r="L2708">
        <f>HYPERLINK("CSG22.html#group50A22", "50A²²"), =HYPERLINK("CSG22.html#group50C22", "50C²²"), =HYPERLINK("CSG22.html#group100A22", "100A²²"), =HYPERLINK("CSG23.html#group50A23", "50A²³"), =HYPERLINK("CSG23.html#group100A23", "100A²³"), =HYPERLINK("CSG23.html#group100B23", "100B²³"), =HYPERLINK("CSG24.html#group100A24", "100A²⁴")</f>
        <v/>
      </c>
      <c r="M2708">
        <f>HYPERLINK("CSG1.html#group10F1", "10F¹"), =HYPERLINK("CSG0.html#group1A0", "1A⁰"), =HYPERLINK("CSG0.html#group2B0", "2B⁰"), =HYPERLINK("CSG0.html#group5C0", "5C⁰"), =HYPERLINK("CSG2.html#group25E2", "25E²")</f>
        <v/>
      </c>
      <c r="N2708">
        <f>HYPERLINK("CSG23.html#group100A23", "100A²³"), =HYPERLINK("CSG23.html#group100B23", "100B²³"), =HYPERLINK("CSG24.html#group100A24", "100A²⁴"), =HYPERLINK("CSG22.html#group50A22", "50A²²"), =HYPERLINK("CSG22.html#group50C22", "50C²²"), =HYPERLINK("CSG22.html#group100A22", "100A²²"), =HYPERLINK("CSG23.html#group50A23", "50A²³")</f>
        <v/>
      </c>
    </row>
    <row r="2709">
      <c r="A2709" t="inlineStr">
        <is>
          <t>50B¹¹</t>
        </is>
      </c>
      <c r="B2709" t="inlineStr"/>
      <c r="C2709" t="inlineStr">
        <is>
          <t>225</t>
        </is>
      </c>
      <c r="D2709" t="inlineStr">
        <is>
          <t>1</t>
        </is>
      </c>
      <c r="E2709" t="inlineStr">
        <is>
          <t>225</t>
        </is>
      </c>
      <c r="F2709" t="inlineStr">
        <is>
          <t>7</t>
        </is>
      </c>
      <c r="G2709" t="inlineStr">
        <is>
          <t>0</t>
        </is>
      </c>
      <c r="H2709" t="inlineStr">
        <is>
          <t>5⁵, 10⁵, 25², 50²</t>
        </is>
      </c>
      <c r="I2709" t="n">
        <v>14</v>
      </c>
      <c r="J2709" t="inlineStr">
        <is>
          <t>2³, 4⁶, 5³, 20⁹</t>
        </is>
      </c>
      <c r="K2709">
        <f>HYPERLINK("CSG1.html#group10I1", "10I¹"), =HYPERLINK("CSG2.html#group25F2", "25F²")</f>
        <v/>
      </c>
      <c r="L2709">
        <f>HYPERLINK("CSG22.html#group50D22", "50D²²"), =HYPERLINK("CSG24.html#group50A24", "50A²⁴"), =HYPERLINK("CSG24.html#group50B24", "50B²⁴")</f>
        <v/>
      </c>
      <c r="M2709">
        <f>HYPERLINK("CSG2.html#group25F2", "25F²"), =HYPERLINK("CSG0.html#group5A0", "5A⁰"), =HYPERLINK("CSG1.html#group10I1", "10I¹"), =HYPERLINK("CSG1.html#group10B1", "10B¹"), =HYPERLINK("CSG0.html#group5E0", "5E⁰"), =HYPERLINK("CSG0.html#group2B0", "2B⁰"), =HYPERLINK("CSG0.html#group1A0", "1A⁰")</f>
        <v/>
      </c>
      <c r="N2709">
        <f>HYPERLINK("CSG22.html#group50D22", "50D²²"), =HYPERLINK("CSG24.html#group50B24", "50B²⁴"), =HYPERLINK("CSG24.html#group50A24", "50A²⁴")</f>
        <v/>
      </c>
    </row>
    <row r="2710">
      <c r="A2710" t="inlineStr">
        <is>
          <t>52A¹¹</t>
        </is>
      </c>
      <c r="B2710" t="inlineStr"/>
      <c r="C2710" t="inlineStr">
        <is>
          <t>168</t>
        </is>
      </c>
      <c r="D2710" t="inlineStr">
        <is>
          <t>1</t>
        </is>
      </c>
      <c r="E2710" t="inlineStr">
        <is>
          <t>42</t>
        </is>
      </c>
      <c r="F2710" t="inlineStr">
        <is>
          <t>0</t>
        </is>
      </c>
      <c r="G2710" t="inlineStr">
        <is>
          <t>0</t>
        </is>
      </c>
      <c r="H2710" t="inlineStr">
        <is>
          <t>2², 4², 26², 52²</t>
        </is>
      </c>
      <c r="I2710" t="n">
        <v>8</v>
      </c>
      <c r="J2710" t="inlineStr">
        <is>
          <t>1⁶, 12³</t>
        </is>
      </c>
      <c r="K2710">
        <f>HYPERLINK("CSG4.html#group26A4", "26A⁴"), =HYPERLINK("CSG5.html#group52B5", "52B⁵"), =HYPERLINK("CSG6.html#group52A6", "52A⁶")</f>
        <v/>
      </c>
      <c r="L2710">
        <f>HYPERLINK("CSG21.html#group52C21", "52C²¹"), =HYPERLINK("CSG23.html#group52G23", "52G²³"), =HYPERLINK("CSG23.html#group104D23", "104D²³")</f>
        <v/>
      </c>
      <c r="M2710">
        <f>HYPERLINK("CSG6.html#group52A6", "52A⁶"), =HYPERLINK("CSG0.html#group4C0", "4C⁰"), =HYPERLINK("CSG0.html#group13A0", "13A⁰"), =HYPERLINK("CSG5.html#group52B5", "52B⁵"), =HYPERLINK("CSG0.html#group2B0", "2B⁰"), =HYPERLINK("CSG0.html#group13B0", "13B⁰"), =HYPERLINK("CSG0.html#group1A0", "1A⁰"), =HYPERLINK("CSG2.html#group26A2", "26A²"), =HYPERLINK("CSG4.html#group26A4", "26A⁴")</f>
        <v/>
      </c>
      <c r="N2710">
        <f>HYPERLINK("CSG23.html#group52G23", "52G²³"), =HYPERLINK("CSG21.html#group52C21", "52C²¹"), =HYPERLINK("CSG23.html#group104D23", "104D²³")</f>
        <v/>
      </c>
    </row>
    <row r="2711">
      <c r="A2711" t="inlineStr">
        <is>
          <t>52B¹¹</t>
        </is>
      </c>
      <c r="B2711" t="inlineStr"/>
      <c r="C2711" t="inlineStr">
        <is>
          <t>168</t>
        </is>
      </c>
      <c r="D2711" t="inlineStr">
        <is>
          <t>1</t>
        </is>
      </c>
      <c r="E2711" t="inlineStr">
        <is>
          <t>42</t>
        </is>
      </c>
      <c r="F2711" t="inlineStr">
        <is>
          <t>0</t>
        </is>
      </c>
      <c r="G2711" t="inlineStr">
        <is>
          <t>0</t>
        </is>
      </c>
      <c r="H2711" t="inlineStr">
        <is>
          <t>2², 4², 26², 52²</t>
        </is>
      </c>
      <c r="I2711" t="n">
        <v>8</v>
      </c>
      <c r="J2711" t="inlineStr">
        <is>
          <t>1⁶, 12³</t>
        </is>
      </c>
      <c r="K2711">
        <f>HYPERLINK("CSG4.html#group26B4", "26B⁴"), =HYPERLINK("CSG5.html#group52A5", "52A⁵"), =HYPERLINK("CSG6.html#group52A6", "52A⁶")</f>
        <v/>
      </c>
      <c r="L2711">
        <f>HYPERLINK("CSG21.html#group52C21", "52C²¹"), =HYPERLINK("CSG23.html#group52H23", "52H²³"), =HYPERLINK("CSG23.html#group104E23", "104E²³")</f>
        <v/>
      </c>
      <c r="M2711">
        <f>HYPERLINK("CSG6.html#group52A6", "52A⁶"), =HYPERLINK("CSG5.html#group52A5", "52A⁵"), =HYPERLINK("CSG0.html#group13A0", "13A⁰"), =HYPERLINK("CSG4.html#group26B4", "26B⁴"), =HYPERLINK("CSG0.html#group2B0", "2B⁰"), =HYPERLINK("CSG0.html#group26A0", "26A⁰"), =HYPERLINK("CSG0.html#group4B0", "4B⁰"), =HYPERLINK("CSG0.html#group1A0", "1A⁰"), =HYPERLINK("CSG2.html#group26A2", "26A²")</f>
        <v/>
      </c>
      <c r="N2711">
        <f>HYPERLINK("CSG21.html#group52C21", "52C²¹"), =HYPERLINK("CSG23.html#group104E23", "104E²³"), =HYPERLINK("CSG23.html#group52H23", "52H²³")</f>
        <v/>
      </c>
    </row>
    <row r="2712">
      <c r="A2712" t="inlineStr">
        <is>
          <t>52C¹¹</t>
        </is>
      </c>
      <c r="B2712" t="inlineStr"/>
      <c r="C2712" t="inlineStr">
        <is>
          <t>168</t>
        </is>
      </c>
      <c r="D2712" t="inlineStr">
        <is>
          <t>1</t>
        </is>
      </c>
      <c r="E2712" t="inlineStr">
        <is>
          <t>42</t>
        </is>
      </c>
      <c r="F2712" t="inlineStr">
        <is>
          <t>0</t>
        </is>
      </c>
      <c r="G2712" t="inlineStr">
        <is>
          <t>0</t>
        </is>
      </c>
      <c r="H2712" t="inlineStr">
        <is>
          <t>2², 4², 26², 52²</t>
        </is>
      </c>
      <c r="I2712" t="n">
        <v>8</v>
      </c>
      <c r="J2712" t="inlineStr">
        <is>
          <t>1⁶, 12³</t>
        </is>
      </c>
      <c r="K2712">
        <f>HYPERLINK("CSG4.html#group52A4", "52A⁴"), =HYPERLINK("CSG5.html#group26B5", "26B⁵"), =HYPERLINK("CSG6.html#group52A6", "52A⁶")</f>
        <v/>
      </c>
      <c r="L2712">
        <f>HYPERLINK("CSG21.html#group52C21", "52C²¹"), =HYPERLINK("CSG23.html#group52D23", "52D²³"), =HYPERLINK("CSG23.html#group104S23", "104S²³")</f>
        <v/>
      </c>
      <c r="M2712">
        <f>HYPERLINK("CSG5.html#group26B5", "26B⁵"), =HYPERLINK("CSG0.html#group2A0", "2A⁰"), =HYPERLINK("CSG1.html#group26A1", "26A¹"), =HYPERLINK("CSG6.html#group52A6", "52A⁶"), =HYPERLINK("CSG0.html#group13A0", "13A⁰"), =HYPERLINK("CSG0.html#group2B0", "2B⁰"), =HYPERLINK("CSG4.html#group52A4", "52A⁴"), =HYPERLINK("CSG0.html#group1A0", "1A⁰"), =HYPERLINK("CSG0.html#group2C0", "2C⁰"), =HYPERLINK("CSG2.html#group26A2", "26A²")</f>
        <v/>
      </c>
      <c r="N2712">
        <f>HYPERLINK("CSG21.html#group52C21", "52C²¹"), =HYPERLINK("CSG23.html#group52D23", "52D²³"), =HYPERLINK("CSG23.html#group104S23", "104S²³")</f>
        <v/>
      </c>
    </row>
    <row r="2713">
      <c r="A2713" t="inlineStr">
        <is>
          <t>52D¹¹</t>
        </is>
      </c>
      <c r="B2713" t="inlineStr"/>
      <c r="C2713" t="inlineStr">
        <is>
          <t>168</t>
        </is>
      </c>
      <c r="D2713" t="inlineStr">
        <is>
          <t>1</t>
        </is>
      </c>
      <c r="E2713" t="inlineStr">
        <is>
          <t>42</t>
        </is>
      </c>
      <c r="F2713" t="inlineStr">
        <is>
          <t>0</t>
        </is>
      </c>
      <c r="G2713" t="inlineStr">
        <is>
          <t>0</t>
        </is>
      </c>
      <c r="H2713" t="inlineStr">
        <is>
          <t>2², 4², 26², 52²</t>
        </is>
      </c>
      <c r="I2713" t="n">
        <v>8</v>
      </c>
      <c r="J2713" t="inlineStr">
        <is>
          <t>1⁶, 12³</t>
        </is>
      </c>
      <c r="K2713">
        <f>HYPERLINK("CSG0.html#group4E0", "4E⁰"), =HYPERLINK("CSG5.html#group26B5", "26B⁵"), =HYPERLINK("CSG5.html#group52A5", "52A⁵"), =HYPERLINK("CSG5.html#group52B5", "52B⁵")</f>
        <v/>
      </c>
      <c r="L2713">
        <f>HYPERLINK("CSG21.html#group52C21", "52C²¹"), =HYPERLINK("CSG23.html#group52C23", "52C²³"), =HYPERLINK("CSG23.html#group52D23", "52D²³"), =HYPERLINK("CSG23.html#group104B23", "104B²³"), =HYPERLINK("CSG23.html#group104C23", "104C²³"), =HYPERLINK("CSG23.html#group104M23", "104M²³"), =HYPERLINK("CSG23.html#group104N23", "104N²³")</f>
        <v/>
      </c>
      <c r="M2713">
        <f>HYPERLINK("CSG5.html#group26B5", "26B⁵"), =HYPERLINK("CSG0.html#group2A0", "2A⁰"), =HYPERLINK("CSG1.html#group26A1", "26A¹"), =HYPERLINK("CSG0.html#group4C0", "4C⁰"), =HYPERLINK("CSG5.html#group52A5", "52A⁵"), =HYPERLINK("CSG0.html#group13A0", "13A⁰"), =HYPERLINK("CSG5.html#group52B5", "52B⁵"), =HYPERLINK("CSG0.html#group2B0", "2B⁰"), =HYPERLINK("CSG0.html#group4E0", "4E⁰"), =HYPERLINK("CSG0.html#group4B0", "4B⁰"), =HYPERLINK("CSG0.html#group1A0", "1A⁰"), =HYPERLINK("CSG0.html#group2C0", "2C⁰"), =HYPERLINK("CSG2.html#group26A2", "26A²")</f>
        <v/>
      </c>
      <c r="N2713">
        <f>HYPERLINK("CSG21.html#group52C21", "52C²¹"), =HYPERLINK("CSG23.html#group104C23", "104C²³"), =HYPERLINK("CSG23.html#group52C23", "52C²³"), =HYPERLINK("CSG23.html#group104N23", "104N²³"), =HYPERLINK("CSG23.html#group104M23", "104M²³"), =HYPERLINK("CSG23.html#group104B23", "104B²³"), =HYPERLINK("CSG23.html#group52D23", "52D²³")</f>
        <v/>
      </c>
    </row>
    <row r="2714">
      <c r="A2714" t="inlineStr">
        <is>
          <t>52E¹¹</t>
        </is>
      </c>
      <c r="B2714" t="inlineStr"/>
      <c r="C2714" t="inlineStr">
        <is>
          <t>168</t>
        </is>
      </c>
      <c r="D2714" t="inlineStr">
        <is>
          <t>1</t>
        </is>
      </c>
      <c r="E2714" t="inlineStr">
        <is>
          <t>84</t>
        </is>
      </c>
      <c r="F2714" t="inlineStr">
        <is>
          <t>4</t>
        </is>
      </c>
      <c r="G2714" t="inlineStr">
        <is>
          <t>0</t>
        </is>
      </c>
      <c r="H2714" t="inlineStr">
        <is>
          <t>4³, 52³</t>
        </is>
      </c>
      <c r="I2714" t="n">
        <v>6</v>
      </c>
      <c r="J2714" t="inlineStr">
        <is>
          <t>1⁴, 2⁴, 12², 24²</t>
        </is>
      </c>
      <c r="K2714">
        <f>HYPERLINK("CSG5.html#group52B5", "52B⁵")</f>
        <v/>
      </c>
      <c r="L2714">
        <f>HYPERLINK("CSG21.html#group52D21", "52D²¹"), =HYPERLINK("CSG23.html#group52D23", "52D²³"), =HYPERLINK("CSG23.html#group52G23", "52G²³"), =HYPERLINK("CSG23.html#group104G23", "104G²³"), =HYPERLINK("CSG23.html#group104F23", "104F²³")</f>
        <v/>
      </c>
      <c r="M2714">
        <f>HYPERLINK("CSG0.html#group13A0", "13A⁰"), =HYPERLINK("CSG5.html#group52B5", "52B⁵"), =HYPERLINK("CSG0.html#group2B0", "2B⁰"), =HYPERLINK("CSG0.html#group1A0", "1A⁰"), =HYPERLINK("CSG2.html#group26A2", "26A²"), =HYPERLINK("CSG0.html#group4C0", "4C⁰")</f>
        <v/>
      </c>
      <c r="N2714">
        <f>HYPERLINK("CSG23.html#group52G23", "52G²³"), =HYPERLINK("CSG21.html#group52D21", "52D²¹"), =HYPERLINK("CSG23.html#group104G23", "104G²³"), =HYPERLINK("CSG23.html#group52D23", "52D²³"), =HYPERLINK("CSG23.html#group104F23", "104F²³")</f>
        <v/>
      </c>
    </row>
    <row r="2715">
      <c r="A2715" t="inlineStr">
        <is>
          <t>52F¹¹</t>
        </is>
      </c>
      <c r="B2715" t="inlineStr"/>
      <c r="C2715" t="inlineStr">
        <is>
          <t>168</t>
        </is>
      </c>
      <c r="D2715" t="inlineStr">
        <is>
          <t>1</t>
        </is>
      </c>
      <c r="E2715" t="inlineStr">
        <is>
          <t>84</t>
        </is>
      </c>
      <c r="F2715" t="inlineStr">
        <is>
          <t>4</t>
        </is>
      </c>
      <c r="G2715" t="inlineStr">
        <is>
          <t>0</t>
        </is>
      </c>
      <c r="H2715" t="inlineStr">
        <is>
          <t>4³, 52³</t>
        </is>
      </c>
      <c r="I2715" t="n">
        <v>6</v>
      </c>
      <c r="J2715" t="inlineStr">
        <is>
          <t>1⁴, 2⁴, 12², 24²</t>
        </is>
      </c>
      <c r="K2715">
        <f>HYPERLINK("CSG0.html#group4F0", "4F⁰"), =HYPERLINK("CSG3.html#group52A3", "52A³"), =HYPERLINK("CSG5.html#group52B5", "52B⁵")</f>
        <v/>
      </c>
      <c r="L2715">
        <f>HYPERLINK("CSG21.html#group52D21", "52D²¹"), =HYPERLINK("CSG23.html#group52C23", "52C²³"), =HYPERLINK("CSG23.html#group52G23", "52G²³"), =HYPERLINK("CSG23.html#group104H23", "104H²³"), =HYPERLINK("CSG23.html#group104I23", "104I²³"), =HYPERLINK("CSG23.html#group104O23", "104O²³"), =HYPERLINK("CSG23.html#group104P23", "104P²³")</f>
        <v/>
      </c>
      <c r="M2715">
        <f>HYPERLINK("CSG3.html#group52A3", "52A³"), =HYPERLINK("CSG0.html#group4A0", "4A⁰"), =HYPERLINK("CSG0.html#group4C0", "4C⁰"), =HYPERLINK("CSG0.html#group13A0", "13A⁰"), =HYPERLINK("CSG5.html#group52B5", "52B⁵"), =HYPERLINK("CSG0.html#group2B0", "2B⁰"), =HYPERLINK("CSG0.html#group4F0", "4F⁰"), =HYPERLINK("CSG0.html#group1A0", "1A⁰"), =HYPERLINK("CSG2.html#group26A2", "26A²")</f>
        <v/>
      </c>
      <c r="N2715">
        <f>HYPERLINK("CSG23.html#group52G23", "52G²³"), =HYPERLINK("CSG21.html#group52D21", "52D²¹"), =HYPERLINK("CSG23.html#group104H23", "104H²³"), =HYPERLINK("CSG23.html#group52C23", "52C²³"), =HYPERLINK("CSG23.html#group104I23", "104I²³"), =HYPERLINK("CSG23.html#group104O23", "104O²³"), =HYPERLINK("CSG23.html#group104P23", "104P²³")</f>
        <v/>
      </c>
    </row>
    <row r="2716">
      <c r="A2716" t="inlineStr">
        <is>
          <t>52G¹¹</t>
        </is>
      </c>
      <c r="B2716" t="inlineStr"/>
      <c r="C2716" t="inlineStr">
        <is>
          <t>168</t>
        </is>
      </c>
      <c r="D2716" t="inlineStr">
        <is>
          <t>2</t>
        </is>
      </c>
      <c r="E2716" t="inlineStr">
        <is>
          <t>42</t>
        </is>
      </c>
      <c r="F2716" t="inlineStr">
        <is>
          <t>4</t>
        </is>
      </c>
      <c r="G2716" t="inlineStr">
        <is>
          <t>0</t>
        </is>
      </c>
      <c r="H2716" t="inlineStr">
        <is>
          <t>4³, 52³</t>
        </is>
      </c>
      <c r="I2716" t="n">
        <v>6</v>
      </c>
      <c r="J2716" t="inlineStr">
        <is>
          <t>2⁶, 24³</t>
        </is>
      </c>
      <c r="K2716">
        <f>HYPERLINK("CSG1.html#group52A1", "52A¹"), =HYPERLINK("CSG4.html#group26B4", "26B⁴")</f>
        <v/>
      </c>
      <c r="L2716">
        <f>HYPERLINK("CSG21.html#group52F21", "52F²¹"), =HYPERLINK("CSG23.html#group52B23", "52B²³"), =HYPERLINK("CSG23.html#group52H23", "52H²³")</f>
        <v/>
      </c>
      <c r="M2716">
        <f>HYPERLINK("CSG0.html#group13A0", "13A⁰"), =HYPERLINK("CSG4.html#group26B4", "26B⁴"), =HYPERLINK("CSG0.html#group2B0", "2B⁰"), =HYPERLINK("CSG0.html#group26A0", "26A⁰"), =HYPERLINK("CSG1.html#group52A1", "52A¹"), =HYPERLINK("CSG0.html#group1A0", "1A⁰"), =HYPERLINK("CSG2.html#group26A2", "26A²")</f>
        <v/>
      </c>
      <c r="N2716">
        <f>HYPERLINK("CSG23.html#group52H23", "52H²³"), =HYPERLINK("CSG21.html#group52F21", "52F²¹"), =HYPERLINK("CSG23.html#group52B23", "52B²³")</f>
        <v/>
      </c>
    </row>
    <row r="2717">
      <c r="A2717" t="inlineStr">
        <is>
          <t>52H¹¹</t>
        </is>
      </c>
      <c r="B2717" t="inlineStr"/>
      <c r="C2717" t="inlineStr">
        <is>
          <t>224</t>
        </is>
      </c>
      <c r="D2717" t="inlineStr">
        <is>
          <t>2</t>
        </is>
      </c>
      <c r="E2717" t="inlineStr">
        <is>
          <t>56</t>
        </is>
      </c>
      <c r="F2717" t="inlineStr">
        <is>
          <t>8</t>
        </is>
      </c>
      <c r="G2717" t="inlineStr">
        <is>
          <t>8</t>
        </is>
      </c>
      <c r="H2717" t="inlineStr">
        <is>
          <t>4⁴, 52⁴</t>
        </is>
      </c>
      <c r="I2717" t="n">
        <v>8</v>
      </c>
      <c r="J2717" t="inlineStr">
        <is>
          <t>2⁸, 24⁴</t>
        </is>
      </c>
      <c r="K2717">
        <f>HYPERLINK("CSG1.html#group52A1", "52A¹"), =HYPERLINK("CSG5.html#group52C5", "52C⁵")</f>
        <v/>
      </c>
      <c r="L2717" t="inlineStr"/>
      <c r="M2717">
        <f>HYPERLINK("CSG3.html#group52A3", "52A³"), =HYPERLINK("CSG0.html#group4A0", "4A⁰"), =HYPERLINK("CSG0.html#group13A0", "13A⁰"), =HYPERLINK("CSG0.html#group26A0", "26A⁰"), =HYPERLINK("CSG1.html#group52A1", "52A¹"), =HYPERLINK("CSG0.html#group1A0", "1A⁰"), =HYPERLINK("CSG5.html#group52C5", "52C⁵")</f>
        <v/>
      </c>
      <c r="N2717" t="inlineStr"/>
    </row>
    <row r="2718">
      <c r="A2718" t="inlineStr">
        <is>
          <t>54A¹¹</t>
        </is>
      </c>
      <c r="B2718" t="inlineStr"/>
      <c r="C2718" t="inlineStr">
        <is>
          <t>162</t>
        </is>
      </c>
      <c r="D2718" t="inlineStr">
        <is>
          <t>2</t>
        </is>
      </c>
      <c r="E2718" t="inlineStr">
        <is>
          <t>81</t>
        </is>
      </c>
      <c r="F2718" t="inlineStr">
        <is>
          <t>8</t>
        </is>
      </c>
      <c r="G2718" t="inlineStr">
        <is>
          <t>0</t>
        </is>
      </c>
      <c r="H2718" t="inlineStr">
        <is>
          <t>54³</t>
        </is>
      </c>
      <c r="I2718" t="n">
        <v>3</v>
      </c>
      <c r="J2718" t="inlineStr">
        <is>
          <t>6⁹, 18⁶</t>
        </is>
      </c>
      <c r="K2718">
        <f>HYPERLINK("CSG2.html#group18K2", "18K²"), =HYPERLINK("CSG3.html#group27B3", "27B³")</f>
        <v/>
      </c>
      <c r="L2718">
        <f>HYPERLINK("CSG22.html#group54J22", "54J²²"), =HYPERLINK("CSG24.html#group54A24", "54A²⁴")</f>
        <v/>
      </c>
      <c r="M2718">
        <f>HYPERLINK("CSG0.html#group6B0", "6B⁰"), =HYPERLINK("CSG0.html#group9G0", "9G⁰"), =HYPERLINK("CSG0.html#group9A0", "9A⁰"), =HYPERLINK("CSG2.html#group18K2", "18K²"), =HYPERLINK("CSG3.html#group27B3", "27B³"), =HYPERLINK("CSG0.html#group3A0", "3A⁰"), =HYPERLINK("CSG0.html#group1A0", "1A⁰"), =HYPERLINK("CSG0.html#group18A0", "18A⁰"), =HYPERLINK("CSG1.html#group18A1", "18A¹")</f>
        <v/>
      </c>
      <c r="N2718">
        <f>HYPERLINK("CSG22.html#group54J22", "54J²²"), =HYPERLINK("CSG24.html#group54A24", "54A²⁴")</f>
        <v/>
      </c>
    </row>
    <row r="2719">
      <c r="A2719" t="inlineStr">
        <is>
          <t>54B¹¹</t>
        </is>
      </c>
      <c r="B2719" t="inlineStr"/>
      <c r="C2719" t="inlineStr">
        <is>
          <t>162</t>
        </is>
      </c>
      <c r="D2719" t="inlineStr">
        <is>
          <t>2</t>
        </is>
      </c>
      <c r="E2719" t="inlineStr">
        <is>
          <t>162</t>
        </is>
      </c>
      <c r="F2719" t="inlineStr">
        <is>
          <t>8</t>
        </is>
      </c>
      <c r="G2719" t="inlineStr">
        <is>
          <t>0</t>
        </is>
      </c>
      <c r="H2719" t="inlineStr">
        <is>
          <t>54³</t>
        </is>
      </c>
      <c r="I2719" t="n">
        <v>3</v>
      </c>
      <c r="J2719" t="inlineStr">
        <is>
          <t>6¹⁸, 18¹²</t>
        </is>
      </c>
      <c r="K2719">
        <f>HYPERLINK("CSG2.html#group18K2", "18K²")</f>
        <v/>
      </c>
      <c r="L2719">
        <f>HYPERLINK("CSG22.html#group54K22", "54K²²"), =HYPERLINK("CSG24.html#group54B24", "54B²⁴")</f>
        <v/>
      </c>
      <c r="M2719">
        <f>HYPERLINK("CSG0.html#group6B0", "6B⁰"), =HYPERLINK("CSG0.html#group9A0", "9A⁰"), =HYPERLINK("CSG2.html#group18K2", "18K²"), =HYPERLINK("CSG0.html#group9G0", "9G⁰"), =HYPERLINK("CSG0.html#group3A0", "3A⁰"), =HYPERLINK("CSG0.html#group1A0", "1A⁰"), =HYPERLINK("CSG0.html#group18A0", "18A⁰"), =HYPERLINK("CSG1.html#group18A1", "18A¹")</f>
        <v/>
      </c>
      <c r="N2719">
        <f>HYPERLINK("CSG24.html#group54B24", "54B²⁴"), =HYPERLINK("CSG22.html#group54K22", "54K²²")</f>
        <v/>
      </c>
    </row>
    <row r="2720">
      <c r="A2720" t="inlineStr">
        <is>
          <t>54C¹¹</t>
        </is>
      </c>
      <c r="B2720" t="inlineStr"/>
      <c r="C2720" t="inlineStr">
        <is>
          <t>216</t>
        </is>
      </c>
      <c r="D2720" t="inlineStr">
        <is>
          <t>1</t>
        </is>
      </c>
      <c r="E2720" t="inlineStr">
        <is>
          <t>36</t>
        </is>
      </c>
      <c r="F2720" t="inlineStr">
        <is>
          <t>0</t>
        </is>
      </c>
      <c r="G2720" t="inlineStr">
        <is>
          <t>6</t>
        </is>
      </c>
      <c r="H2720" t="inlineStr">
        <is>
          <t>6⁹, 54³</t>
        </is>
      </c>
      <c r="I2720" t="n">
        <v>12</v>
      </c>
      <c r="J2720" t="inlineStr">
        <is>
          <t>3², 6⁵</t>
        </is>
      </c>
      <c r="K2720">
        <f>HYPERLINK("CSG2.html#group18N2", "18N²"), =HYPERLINK("CSG3.html#group27C3", "27C³")</f>
        <v/>
      </c>
      <c r="L2720" t="inlineStr"/>
      <c r="M2720">
        <f>HYPERLINK("CSG0.html#group3B0", "3B⁰"), =HYPERLINK("CSG0.html#group2A0", "2A⁰"), =HYPERLINK("CSG3.html#group27C3", "27C³"), =HYPERLINK("CSG0.html#group9J0", "9J⁰"), =HYPERLINK("CSG0.html#group18B0", "18B⁰"), =HYPERLINK("CSG2.html#group18N2", "18N²"), =HYPERLINK("CSG0.html#group6C0", "6C⁰"), =HYPERLINK("CSG0.html#group9C0", "9C⁰"), =HYPERLINK("CSG0.html#group1A0", "1A⁰")</f>
        <v/>
      </c>
      <c r="N2720" t="inlineStr"/>
    </row>
    <row r="2721">
      <c r="A2721" t="inlineStr">
        <is>
          <t>54D¹¹</t>
        </is>
      </c>
      <c r="B2721" t="inlineStr"/>
      <c r="C2721" t="inlineStr">
        <is>
          <t>216</t>
        </is>
      </c>
      <c r="D2721" t="inlineStr">
        <is>
          <t>1</t>
        </is>
      </c>
      <c r="E2721" t="inlineStr">
        <is>
          <t>72</t>
        </is>
      </c>
      <c r="F2721" t="inlineStr">
        <is>
          <t>0</t>
        </is>
      </c>
      <c r="G2721" t="inlineStr">
        <is>
          <t>6</t>
        </is>
      </c>
      <c r="H2721" t="inlineStr">
        <is>
          <t>6⁹, 54³</t>
        </is>
      </c>
      <c r="I2721" t="n">
        <v>12</v>
      </c>
      <c r="J2721" t="inlineStr">
        <is>
          <t>6¹²</t>
        </is>
      </c>
      <c r="K2721">
        <f>HYPERLINK("CSG2.html#group18N2", "18N²")</f>
        <v/>
      </c>
      <c r="L2721" t="inlineStr"/>
      <c r="M2721">
        <f>HYPERLINK("CSG0.html#group3B0", "3B⁰"), =HYPERLINK("CSG0.html#group2A0", "2A⁰"), =HYPERLINK("CSG0.html#group9J0", "9J⁰"), =HYPERLINK("CSG0.html#group18B0", "18B⁰"), =HYPERLINK("CSG2.html#group18N2", "18N²"), =HYPERLINK("CSG0.html#group6C0", "6C⁰"), =HYPERLINK("CSG0.html#group9C0", "9C⁰"), =HYPERLINK("CSG0.html#group1A0", "1A⁰")</f>
        <v/>
      </c>
      <c r="N2721" t="inlineStr"/>
    </row>
    <row r="2722">
      <c r="A2722" t="inlineStr">
        <is>
          <t>55A¹¹</t>
        </is>
      </c>
      <c r="B2722" t="inlineStr"/>
      <c r="C2722" t="inlineStr">
        <is>
          <t>165</t>
        </is>
      </c>
      <c r="D2722" t="inlineStr">
        <is>
          <t>2</t>
        </is>
      </c>
      <c r="E2722" t="inlineStr">
        <is>
          <t>55</t>
        </is>
      </c>
      <c r="F2722" t="inlineStr">
        <is>
          <t>9</t>
        </is>
      </c>
      <c r="G2722" t="inlineStr">
        <is>
          <t>0</t>
        </is>
      </c>
      <c r="H2722" t="inlineStr">
        <is>
          <t>55³</t>
        </is>
      </c>
      <c r="I2722" t="n">
        <v>3</v>
      </c>
      <c r="J2722" t="inlineStr">
        <is>
          <t>2¹, 8¹, 10², 40²</t>
        </is>
      </c>
      <c r="K2722">
        <f>HYPERLINK("CSG0.html#group5E0", "5E⁰"), =HYPERLINK("CSG3.html#group55A3", "55A³")</f>
        <v/>
      </c>
      <c r="L2722">
        <f>HYPERLINK("CSG24.html#group55B24", "55B²⁴"), =HYPERLINK("CSG24.html#group110A24", "110A²⁴")</f>
        <v/>
      </c>
      <c r="M2722">
        <f>HYPERLINK("CSG0.html#group11A0", "11A⁰"), =HYPERLINK("CSG0.html#group5E0", "5E⁰"), =HYPERLINK("CSG0.html#group5A0", "5A⁰"), =HYPERLINK("CSG3.html#group55A3", "55A³"), =HYPERLINK("CSG0.html#group1A0", "1A⁰")</f>
        <v/>
      </c>
      <c r="N2722">
        <f>HYPERLINK("CSG24.html#group55B24", "55B²⁴"), =HYPERLINK("CSG24.html#group110A24", "110A²⁴")</f>
        <v/>
      </c>
    </row>
    <row r="2723">
      <c r="A2723" t="inlineStr">
        <is>
          <t>56A¹¹</t>
        </is>
      </c>
      <c r="B2723" t="inlineStr"/>
      <c r="C2723" t="inlineStr">
        <is>
          <t>168</t>
        </is>
      </c>
      <c r="D2723" t="inlineStr">
        <is>
          <t>2</t>
        </is>
      </c>
      <c r="E2723" t="inlineStr">
        <is>
          <t>21</t>
        </is>
      </c>
      <c r="F2723" t="inlineStr">
        <is>
          <t>8</t>
        </is>
      </c>
      <c r="G2723" t="inlineStr">
        <is>
          <t>0</t>
        </is>
      </c>
      <c r="H2723" t="inlineStr">
        <is>
          <t>28², 56²</t>
        </is>
      </c>
      <c r="I2723" t="n">
        <v>4</v>
      </c>
      <c r="J2723" t="inlineStr">
        <is>
          <t>2³, 6⁶</t>
        </is>
      </c>
      <c r="K2723">
        <f>HYPERLINK("CSG4.html#group56B4", "56B⁴"), =HYPERLINK("CSG5.html#group28B5", "28B⁵"), =HYPERLINK("CSG6.html#group56A6", "56A⁶")</f>
        <v/>
      </c>
      <c r="L2723">
        <f>HYPERLINK("CSG23.html#group56D23", "56D²³"), =HYPERLINK("CSG23.html#group56H23", "56H²³"), =HYPERLINK("CSG23.html#group112A23", "112A²³")</f>
        <v/>
      </c>
      <c r="M2723">
        <f>HYPERLINK("CSG2.html#group28C2", "28C²"), =HYPERLINK("CSG2.html#group14A2", "14A²"), =HYPERLINK("CSG1.html#group14B1", "14B¹"), =HYPERLINK("CSG0.html#group7C0", "7C⁰"), =HYPERLINK("CSG0.html#group4C0", "4C⁰"), =HYPERLINK("CSG0.html#group8B0", "8B⁰"), =HYPERLINK("CSG0.html#group2B0", "2B⁰"), =HYPERLINK("CSG3.html#group28B3", "28B³"), =HYPERLINK("CSG5.html#group28B5", "28B⁵"), =HYPERLINK("CSG0.html#group1A0", "1A⁰"), =HYPERLINK("CSG6.html#group56A6", "56A⁶"), =HYPERLINK("CSG0.html#group7A0", "7A⁰"), =HYPERLINK("CSG4.html#group56B4", "56B⁴")</f>
        <v/>
      </c>
      <c r="N2723">
        <f>HYPERLINK("CSG23.html#group56D23", "56D²³"), =HYPERLINK("CSG23.html#group112A23", "112A²³"), =HYPERLINK("CSG23.html#group56H23", "56H²³")</f>
        <v/>
      </c>
    </row>
    <row r="2724">
      <c r="A2724" t="inlineStr">
        <is>
          <t>56B¹¹</t>
        </is>
      </c>
      <c r="B2724" t="inlineStr"/>
      <c r="C2724" t="inlineStr">
        <is>
          <t>168</t>
        </is>
      </c>
      <c r="D2724" t="inlineStr">
        <is>
          <t>2</t>
        </is>
      </c>
      <c r="E2724" t="inlineStr">
        <is>
          <t>42</t>
        </is>
      </c>
      <c r="F2724" t="inlineStr">
        <is>
          <t>0</t>
        </is>
      </c>
      <c r="G2724" t="inlineStr">
        <is>
          <t>0</t>
        </is>
      </c>
      <c r="H2724" t="inlineStr">
        <is>
          <t>7⁴, 14², 56²</t>
        </is>
      </c>
      <c r="I2724" t="n">
        <v>8</v>
      </c>
      <c r="J2724" t="inlineStr">
        <is>
          <t>2⁴, 4¹, 6⁸, 12²</t>
        </is>
      </c>
      <c r="K2724">
        <f>HYPERLINK("CSG5.html#group28A5", "28A⁵"), =HYPERLINK("CSG6.html#group56B6", "56B⁶"), =HYPERLINK("CSG6.html#group56C6", "56C⁶")</f>
        <v/>
      </c>
      <c r="L2724">
        <f>HYPERLINK("CSG23.html#group56A23", "56A²³"), =HYPERLINK("CSG23.html#group56E23", "56E²³"), =HYPERLINK("CSG23.html#group112B23", "112B²³"), =HYPERLINK("CSG23.html#group112F23", "112F²³")</f>
        <v/>
      </c>
      <c r="M2724">
        <f>HYPERLINK("CSG6.html#group56C6", "56C⁶"), =HYPERLINK("CSG2.html#group14A2", "14A²"), =HYPERLINK("CSG1.html#group14B1", "14B¹"), =HYPERLINK("CSG0.html#group4B0", "4B⁰"), =HYPERLINK("CSG6.html#group56B6", "56B⁶"), =HYPERLINK("CSG0.html#group7C0", "7C⁰"), =HYPERLINK("CSG3.html#group28A3", "28A³"), =HYPERLINK("CSG0.html#group2B0", "2B⁰"), =HYPERLINK("CSG0.html#group8C0", "8C⁰"), =HYPERLINK("CSG5.html#group28A5", "28A⁵"), =HYPERLINK("CSG0.html#group1A0", "1A⁰"), =HYPERLINK("CSG2.html#group28B2", "28B²"), =HYPERLINK("CSG0.html#group7A0", "7A⁰")</f>
        <v/>
      </c>
      <c r="N2724">
        <f>HYPERLINK("CSG23.html#group112F23", "112F²³"), =HYPERLINK("CSG23.html#group56E23", "56E²³"), =HYPERLINK("CSG23.html#group56A23", "56A²³"), =HYPERLINK("CSG23.html#group112B23", "112B²³")</f>
        <v/>
      </c>
    </row>
    <row r="2725">
      <c r="A2725" t="inlineStr">
        <is>
          <t>56C¹¹</t>
        </is>
      </c>
      <c r="B2725" t="inlineStr"/>
      <c r="C2725" t="inlineStr">
        <is>
          <t>168</t>
        </is>
      </c>
      <c r="D2725" t="inlineStr">
        <is>
          <t>2</t>
        </is>
      </c>
      <c r="E2725" t="inlineStr">
        <is>
          <t>42</t>
        </is>
      </c>
      <c r="F2725" t="inlineStr">
        <is>
          <t>4</t>
        </is>
      </c>
      <c r="G2725" t="inlineStr">
        <is>
          <t>0</t>
        </is>
      </c>
      <c r="H2725" t="inlineStr">
        <is>
          <t>14⁴, 56²</t>
        </is>
      </c>
      <c r="I2725" t="n">
        <v>6</v>
      </c>
      <c r="J2725" t="inlineStr">
        <is>
          <t>2², 4², 6⁴, 12⁴</t>
        </is>
      </c>
      <c r="K2725">
        <f>HYPERLINK("CSG5.html#group28B5", "28B⁵"), =HYPERLINK("CSG5.html#group56B5", "56B⁵"), =HYPERLINK("CSG5.html#group56C5", "56C⁵")</f>
        <v/>
      </c>
      <c r="L2725">
        <f>HYPERLINK("CSG23.html#group56A23", "56A²³"), =HYPERLINK("CSG23.html#group56D23", "56D²³"), =HYPERLINK("CSG23.html#group112G23", "112G²³")</f>
        <v/>
      </c>
      <c r="M2725">
        <f>HYPERLINK("CSG2.html#group28C2", "28C²"), =HYPERLINK("CSG5.html#group56B5", "56B⁵"), =HYPERLINK("CSG5.html#group56C5", "56C⁵"), =HYPERLINK("CSG2.html#group14A2", "14A²"), =HYPERLINK("CSG1.html#group14B1", "14B¹"), =HYPERLINK("CSG0.html#group8D0", "8D⁰"), =HYPERLINK("CSG0.html#group7C0", "7C⁰"), =HYPERLINK("CSG0.html#group4C0", "4C⁰"), =HYPERLINK("CSG0.html#group2B0", "2B⁰"), =HYPERLINK("CSG3.html#group28B3", "28B³"), =HYPERLINK("CSG5.html#group28B5", "28B⁵"), =HYPERLINK("CSG0.html#group1A0", "1A⁰"), =HYPERLINK("CSG0.html#group7A0", "7A⁰")</f>
        <v/>
      </c>
      <c r="N2725">
        <f>HYPERLINK("CSG23.html#group56D23", "56D²³"), =HYPERLINK("CSG23.html#group56A23", "56A²³"), =HYPERLINK("CSG23.html#group112G23", "112G²³")</f>
        <v/>
      </c>
    </row>
    <row r="2726">
      <c r="A2726" t="inlineStr">
        <is>
          <t>56D¹¹</t>
        </is>
      </c>
      <c r="B2726" t="inlineStr"/>
      <c r="C2726" t="inlineStr">
        <is>
          <t>168</t>
        </is>
      </c>
      <c r="D2726" t="inlineStr">
        <is>
          <t>2</t>
        </is>
      </c>
      <c r="E2726" t="inlineStr">
        <is>
          <t>42</t>
        </is>
      </c>
      <c r="F2726" t="inlineStr">
        <is>
          <t>8</t>
        </is>
      </c>
      <c r="G2726" t="inlineStr">
        <is>
          <t>0</t>
        </is>
      </c>
      <c r="H2726" t="inlineStr">
        <is>
          <t>28², 56²</t>
        </is>
      </c>
      <c r="I2726" t="n">
        <v>4</v>
      </c>
      <c r="J2726" t="inlineStr">
        <is>
          <t>2², 4², 6⁴, 12⁴</t>
        </is>
      </c>
      <c r="K2726">
        <f>HYPERLINK("CSG5.html#group28C5", "28C⁵"), =HYPERLINK("CSG5.html#group56A5", "56A⁵"), =HYPERLINK("CSG5.html#group56C5", "56C⁵")</f>
        <v/>
      </c>
      <c r="L2726">
        <f>HYPERLINK("CSG21.html#group56J21", "56J²¹"), =HYPERLINK("CSG24.html#group112J24", "112J²⁴"), =HYPERLINK("CSG24.html#group112I24", "112I²⁴")</f>
        <v/>
      </c>
      <c r="M2726">
        <f>HYPERLINK("CSG2.html#group28C2", "28C²"), =HYPERLINK("CSG5.html#group56C5", "56C⁵"), =HYPERLINK("CSG1.html#group14B1", "14B¹"), =HYPERLINK("CSG0.html#group8D0", "8D⁰"), =HYPERLINK("CSG0.html#group4C0", "4C⁰"), =HYPERLINK("CSG5.html#group28C5", "28C⁵"), =HYPERLINK("CSG0.html#group2B0", "2B⁰"), =HYPERLINK("CSG5.html#group56A5", "56A⁵"), =HYPERLINK("CSG0.html#group1A0", "1A⁰"), =HYPERLINK("CSG0.html#group7A0", "7A⁰")</f>
        <v/>
      </c>
      <c r="N2726">
        <f>HYPERLINK("CSG21.html#group56J21", "56J²¹"), =HYPERLINK("CSG24.html#group112J24", "112J²⁴"), =HYPERLINK("CSG24.html#group112I24", "112I²⁴")</f>
        <v/>
      </c>
    </row>
    <row r="2727">
      <c r="A2727" t="inlineStr">
        <is>
          <t>56E¹¹</t>
        </is>
      </c>
      <c r="B2727" t="inlineStr"/>
      <c r="C2727" t="inlineStr">
        <is>
          <t>168</t>
        </is>
      </c>
      <c r="D2727" t="inlineStr">
        <is>
          <t>2</t>
        </is>
      </c>
      <c r="E2727" t="inlineStr">
        <is>
          <t>42</t>
        </is>
      </c>
      <c r="F2727" t="inlineStr">
        <is>
          <t>8</t>
        </is>
      </c>
      <c r="G2727" t="inlineStr">
        <is>
          <t>0</t>
        </is>
      </c>
      <c r="H2727" t="inlineStr">
        <is>
          <t>28², 56²</t>
        </is>
      </c>
      <c r="I2727" t="n">
        <v>4</v>
      </c>
      <c r="J2727" t="inlineStr">
        <is>
          <t>2², 4², 6⁴, 12⁴</t>
        </is>
      </c>
      <c r="K2727">
        <f>HYPERLINK("CSG5.html#group28D5", "28D⁵"), =HYPERLINK("CSG5.html#group56A5", "56A⁵"), =HYPERLINK("CSG5.html#group56B5", "56B⁵")</f>
        <v/>
      </c>
      <c r="L2727">
        <f>HYPERLINK("CSG21.html#group56J21", "56J²¹"), =HYPERLINK("CSG24.html#group56I24", "56I²⁴"), =HYPERLINK("CSG24.html#group56H24", "56H²⁴")</f>
        <v/>
      </c>
      <c r="M2727">
        <f>HYPERLINK("CSG2.html#group28C2", "28C²"), =HYPERLINK("CSG5.html#group56B5", "56B⁵"), =HYPERLINK("CSG1.html#group14B1", "14B¹"), =HYPERLINK("CSG0.html#group4A0", "4A⁰"), =HYPERLINK("CSG5.html#group28D5", "28D⁵"), =HYPERLINK("CSG0.html#group4C0", "4C⁰"), =HYPERLINK("CSG0.html#group2B0", "2B⁰"), =HYPERLINK("CSG5.html#group56A5", "56A⁵"), =HYPERLINK("CSG0.html#group4F0", "4F⁰"), =HYPERLINK("CSG1.html#group28A1", "28A¹"), =HYPERLINK("CSG0.html#group1A0", "1A⁰"), =HYPERLINK("CSG0.html#group7A0", "7A⁰")</f>
        <v/>
      </c>
      <c r="N2727">
        <f>HYPERLINK("CSG24.html#group56H24", "56H²⁴"), =HYPERLINK("CSG21.html#group56J21", "56J²¹"), =HYPERLINK("CSG24.html#group56I24", "56I²⁴")</f>
        <v/>
      </c>
    </row>
    <row r="2728">
      <c r="A2728" t="inlineStr">
        <is>
          <t>56F¹¹</t>
        </is>
      </c>
      <c r="B2728" t="inlineStr"/>
      <c r="C2728" t="inlineStr">
        <is>
          <t>168</t>
        </is>
      </c>
      <c r="D2728" t="inlineStr">
        <is>
          <t>2</t>
        </is>
      </c>
      <c r="E2728" t="inlineStr">
        <is>
          <t>84</t>
        </is>
      </c>
      <c r="F2728" t="inlineStr">
        <is>
          <t>6</t>
        </is>
      </c>
      <c r="G2728" t="inlineStr">
        <is>
          <t>0</t>
        </is>
      </c>
      <c r="H2728" t="inlineStr">
        <is>
          <t>28⁴, 56¹</t>
        </is>
      </c>
      <c r="I2728" t="n">
        <v>5</v>
      </c>
      <c r="J2728" t="inlineStr">
        <is>
          <t>4², 8², 12⁴, 24⁴</t>
        </is>
      </c>
      <c r="K2728">
        <f>HYPERLINK("CSG5.html#group28D5", "28D⁵")</f>
        <v/>
      </c>
      <c r="L2728">
        <f>HYPERLINK("CSG22.html#group56C22", "56C²²"), =HYPERLINK("CSG23.html#group56G23", "56G²³"), =HYPERLINK("CSG23.html#group56I23", "56I²³"), =HYPERLINK("CSG24.html#group56A24", "56A²⁴"), =HYPERLINK("CSG24.html#group56H24", "56H²⁴")</f>
        <v/>
      </c>
      <c r="M2728">
        <f>HYPERLINK("CSG2.html#group28C2", "28C²"), =HYPERLINK("CSG1.html#group14B1", "14B¹"), =HYPERLINK("CSG0.html#group4A0", "4A⁰"), =HYPERLINK("CSG5.html#group28D5", "28D⁵"), =HYPERLINK("CSG0.html#group4C0", "4C⁰"), =HYPERLINK("CSG0.html#group2B0", "2B⁰"), =HYPERLINK("CSG0.html#group4F0", "4F⁰"), =HYPERLINK("CSG1.html#group28A1", "28A¹"), =HYPERLINK("CSG0.html#group1A0", "1A⁰"), =HYPERLINK("CSG0.html#group7A0", "7A⁰")</f>
        <v/>
      </c>
      <c r="N2728">
        <f>HYPERLINK("CSG23.html#group56I23", "56I²³"), =HYPERLINK("CSG22.html#group56C22", "56C²²"), =HYPERLINK("CSG24.html#group56A24", "56A²⁴"), =HYPERLINK("CSG24.html#group56H24", "56H²⁴"), =HYPERLINK("CSG23.html#group56G23", "56G²³")</f>
        <v/>
      </c>
    </row>
    <row r="2729">
      <c r="A2729" t="inlineStr">
        <is>
          <t>56G¹¹</t>
        </is>
      </c>
      <c r="B2729" t="inlineStr"/>
      <c r="C2729" t="inlineStr">
        <is>
          <t>168</t>
        </is>
      </c>
      <c r="D2729" t="inlineStr">
        <is>
          <t>2</t>
        </is>
      </c>
      <c r="E2729" t="inlineStr">
        <is>
          <t>84</t>
        </is>
      </c>
      <c r="F2729" t="inlineStr">
        <is>
          <t>6</t>
        </is>
      </c>
      <c r="G2729" t="inlineStr">
        <is>
          <t>0</t>
        </is>
      </c>
      <c r="H2729" t="inlineStr">
        <is>
          <t>28⁴, 56¹</t>
        </is>
      </c>
      <c r="I2729" t="n">
        <v>5</v>
      </c>
      <c r="J2729" t="inlineStr">
        <is>
          <t>4², 8², 12⁴, 24⁴</t>
        </is>
      </c>
      <c r="K2729">
        <f>HYPERLINK("CSG0.html#group8K0", "8K⁰"), =HYPERLINK("CSG5.html#group28D5", "28D⁵")</f>
        <v/>
      </c>
      <c r="L2729">
        <f>HYPERLINK("CSG22.html#group56C22", "56C²²"), =HYPERLINK("CSG23.html#group56G23", "56G²³"), =HYPERLINK("CSG23.html#group56J23", "56J²³"), =HYPERLINK("CSG24.html#group56B24", "56B²⁴"), =HYPERLINK("CSG24.html#group56I24", "56I²⁴"), =HYPERLINK("CSG24.html#group112W24", "112W²⁴"), =HYPERLINK("CSG24.html#group112X24", "112X²⁴"), =HYPERLINK("CSG24.html#group112Y24", "112Y²⁴"), =HYPERLINK("CSG24.html#group112Z24", "112Z²⁴")</f>
        <v/>
      </c>
      <c r="M2729">
        <f>HYPERLINK("CSG1.html#group14B1", "14B¹"), =HYPERLINK("CSG0.html#group4C0", "4C⁰"), =HYPERLINK("CSG0.html#group2B0", "2B⁰"), =HYPERLINK("CSG0.html#group1A0", "1A⁰"), =HYPERLINK("CSG0.html#group8K0", "8K⁰"), =HYPERLINK("CSG2.html#group28C2", "28C²"), =HYPERLINK("CSG0.html#group4A0", "4A⁰"), =HYPERLINK("CSG5.html#group28D5", "28D⁵"), =HYPERLINK("CSG0.html#group4F0", "4F⁰"), =HYPERLINK("CSG1.html#group28A1", "28A¹"), =HYPERLINK("CSG0.html#group7A0", "7A⁰")</f>
        <v/>
      </c>
      <c r="N2729">
        <f>HYPERLINK("CSG24.html#group112W24", "112W²⁴"), =HYPERLINK("CSG24.html#group112Y24", "112Y²⁴"), =HYPERLINK("CSG24.html#group112Z24", "112Z²⁴"), =HYPERLINK("CSG22.html#group56C22", "56C²²"), =HYPERLINK("CSG23.html#group56J23", "56J²³"), =HYPERLINK("CSG24.html#group112X24", "112X²⁴"), =HYPERLINK("CSG24.html#group56B24", "56B²⁴"), =HYPERLINK("CSG24.html#group56I24", "56I²⁴"), =HYPERLINK("CSG23.html#group56G23", "56G²³")</f>
        <v/>
      </c>
    </row>
    <row r="2730">
      <c r="A2730" t="inlineStr">
        <is>
          <t>56H¹¹</t>
        </is>
      </c>
      <c r="B2730" t="inlineStr"/>
      <c r="C2730" t="inlineStr">
        <is>
          <t>168</t>
        </is>
      </c>
      <c r="D2730" t="inlineStr">
        <is>
          <t>2</t>
        </is>
      </c>
      <c r="E2730" t="inlineStr">
        <is>
          <t>84</t>
        </is>
      </c>
      <c r="F2730" t="inlineStr">
        <is>
          <t>10</t>
        </is>
      </c>
      <c r="G2730" t="inlineStr">
        <is>
          <t>0</t>
        </is>
      </c>
      <c r="H2730" t="inlineStr">
        <is>
          <t>56³</t>
        </is>
      </c>
      <c r="I2730" t="n">
        <v>3</v>
      </c>
      <c r="J2730" t="inlineStr">
        <is>
          <t>12², 24⁶</t>
        </is>
      </c>
      <c r="K2730">
        <f>HYPERLINK("CSG4.html#group28B4", "28B⁴")</f>
        <v/>
      </c>
      <c r="L2730">
        <f>HYPERLINK("CSG22.html#group56H22", "56H²²"), =HYPERLINK("CSG23.html#group56K23", "56K²³"), =HYPERLINK("CSG23.html#group56L23", "56L²³"), =HYPERLINK("CSG24.html#group56K24", "56K²⁴"), =HYPERLINK("CSG24.html#group56L24", "56L²⁴")</f>
        <v/>
      </c>
      <c r="M2730">
        <f>HYPERLINK("CSG4.html#group28B4", "28B⁴"), =HYPERLINK("CSG0.html#group7D0", "7D⁰"), =HYPERLINK("CSG1.html#group28A1", "28A¹"), =HYPERLINK("CSG0.html#group1A0", "1A⁰"), =HYPERLINK("CSG0.html#group4A0", "4A⁰"), =HYPERLINK("CSG0.html#group7A0", "7A⁰")</f>
        <v/>
      </c>
      <c r="N2730">
        <f>HYPERLINK("CSG23.html#group56L23", "56L²³"), =HYPERLINK("CSG24.html#group56K24", "56K²⁴"), =HYPERLINK("CSG23.html#group56K23", "56K²³"), =HYPERLINK("CSG22.html#group56H22", "56H²²"), =HYPERLINK("CSG24.html#group56L24", "56L²⁴")</f>
        <v/>
      </c>
    </row>
    <row r="2731">
      <c r="A2731" t="inlineStr">
        <is>
          <t>56I¹¹</t>
        </is>
      </c>
      <c r="B2731" t="inlineStr"/>
      <c r="C2731" t="inlineStr">
        <is>
          <t>168</t>
        </is>
      </c>
      <c r="D2731" t="inlineStr">
        <is>
          <t>2</t>
        </is>
      </c>
      <c r="E2731" t="inlineStr">
        <is>
          <t>84</t>
        </is>
      </c>
      <c r="F2731" t="inlineStr">
        <is>
          <t>10</t>
        </is>
      </c>
      <c r="G2731" t="inlineStr">
        <is>
          <t>0</t>
        </is>
      </c>
      <c r="H2731" t="inlineStr">
        <is>
          <t>56³</t>
        </is>
      </c>
      <c r="I2731" t="n">
        <v>3</v>
      </c>
      <c r="J2731" t="inlineStr">
        <is>
          <t>12², 24⁶</t>
        </is>
      </c>
      <c r="K2731">
        <f>HYPERLINK("CSG3.html#group56C3", "56C³"), =HYPERLINK("CSG3.html#group56D3", "56D³"), =HYPERLINK("CSG4.html#group28B4", "28B⁴")</f>
        <v/>
      </c>
      <c r="L2731">
        <f>HYPERLINK("CSG22.html#group56H22", "56H²²"), =HYPERLINK("CSG23.html#group56C23", "56C²³"), =HYPERLINK("CSG23.html#group56B23", "56B²³"), =HYPERLINK("CSG24.html#group56M24", "56M²⁴"), =HYPERLINK("CSG24.html#group56N24", "56N²⁴")</f>
        <v/>
      </c>
      <c r="M2731">
        <f>HYPERLINK("CSG3.html#group56D3", "56D³"), =HYPERLINK("CSG0.html#group7D0", "7D⁰"), =HYPERLINK("CSG0.html#group4A0", "4A⁰"), =HYPERLINK("CSG0.html#group8A0", "8A⁰"), =HYPERLINK("CSG3.html#group56C3", "56C³"), =HYPERLINK("CSG4.html#group28B4", "28B⁴"), =HYPERLINK("CSG1.html#group28A1", "28A¹"), =HYPERLINK("CSG0.html#group1A0", "1A⁰"), =HYPERLINK("CSG0.html#group7A0", "7A⁰")</f>
        <v/>
      </c>
      <c r="N2731">
        <f>HYPERLINK("CSG24.html#group56M24", "56M²⁴"), =HYPERLINK("CSG23.html#group56C23", "56C²³"), =HYPERLINK("CSG22.html#group56H22", "56H²²"), =HYPERLINK("CSG23.html#group56B23", "56B²³"), =HYPERLINK("CSG24.html#group56N24", "56N²⁴")</f>
        <v/>
      </c>
    </row>
    <row r="2732">
      <c r="A2732" t="inlineStr">
        <is>
          <t>56J¹¹</t>
        </is>
      </c>
      <c r="B2732" t="inlineStr"/>
      <c r="C2732" t="inlineStr">
        <is>
          <t>168</t>
        </is>
      </c>
      <c r="D2732" t="inlineStr">
        <is>
          <t>2</t>
        </is>
      </c>
      <c r="E2732" t="inlineStr">
        <is>
          <t>84</t>
        </is>
      </c>
      <c r="F2732" t="inlineStr">
        <is>
          <t>10</t>
        </is>
      </c>
      <c r="G2732" t="inlineStr">
        <is>
          <t>0</t>
        </is>
      </c>
      <c r="H2732" t="inlineStr">
        <is>
          <t>56³</t>
        </is>
      </c>
      <c r="I2732" t="n">
        <v>3</v>
      </c>
      <c r="J2732" t="inlineStr">
        <is>
          <t>24¹⁴</t>
        </is>
      </c>
      <c r="K2732">
        <f>HYPERLINK("CSG3.html#group56A3", "56A³"), =HYPERLINK("CSG4.html#group28B4", "28B⁴")</f>
        <v/>
      </c>
      <c r="L2732">
        <f>HYPERLINK("CSG22.html#group56A22", "56A²²"), =HYPERLINK("CSG23.html#group56B23", "56B²³"), =HYPERLINK("CSG23.html#group56K23", "56K²³"), =HYPERLINK("CSG24.html#group56K24", "56K²⁴"), =HYPERLINK("CSG24.html#group56M24", "56M²⁴")</f>
        <v/>
      </c>
      <c r="M2732">
        <f>HYPERLINK("CSG4.html#group28B4", "28B⁴"), =HYPERLINK("CSG0.html#group7D0", "7D⁰"), =HYPERLINK("CSG1.html#group28A1", "28A¹"), =HYPERLINK("CSG0.html#group1A0", "1A⁰"), =HYPERLINK("CSG0.html#group4A0", "4A⁰"), =HYPERLINK("CSG0.html#group7A0", "7A⁰"), =HYPERLINK("CSG3.html#group56A3", "56A³")</f>
        <v/>
      </c>
      <c r="N2732">
        <f>HYPERLINK("CSG24.html#group56M24", "56M²⁴"), =HYPERLINK("CSG24.html#group56K24", "56K²⁴"), =HYPERLINK("CSG23.html#group56K23", "56K²³"), =HYPERLINK("CSG22.html#group56A22", "56A²²"), =HYPERLINK("CSG23.html#group56B23", "56B²³")</f>
        <v/>
      </c>
    </row>
    <row r="2733">
      <c r="A2733" t="inlineStr">
        <is>
          <t>56K¹¹</t>
        </is>
      </c>
      <c r="B2733" t="inlineStr"/>
      <c r="C2733" t="inlineStr">
        <is>
          <t>168</t>
        </is>
      </c>
      <c r="D2733" t="inlineStr">
        <is>
          <t>2</t>
        </is>
      </c>
      <c r="E2733" t="inlineStr">
        <is>
          <t>84</t>
        </is>
      </c>
      <c r="F2733" t="inlineStr">
        <is>
          <t>10</t>
        </is>
      </c>
      <c r="G2733" t="inlineStr">
        <is>
          <t>0</t>
        </is>
      </c>
      <c r="H2733" t="inlineStr">
        <is>
          <t>56³</t>
        </is>
      </c>
      <c r="I2733" t="n">
        <v>3</v>
      </c>
      <c r="J2733" t="inlineStr">
        <is>
          <t>24¹⁴</t>
        </is>
      </c>
      <c r="K2733">
        <f>HYPERLINK("CSG3.html#group56B3", "56B³"), =HYPERLINK("CSG4.html#group28B4", "28B⁴")</f>
        <v/>
      </c>
      <c r="L2733">
        <f>HYPERLINK("CSG22.html#group56B22", "56B²²"), =HYPERLINK("CSG23.html#group56C23", "56C²³"), =HYPERLINK("CSG23.html#group56L23", "56L²³"), =HYPERLINK("CSG24.html#group56L24", "56L²⁴"), =HYPERLINK("CSG24.html#group56N24", "56N²⁴")</f>
        <v/>
      </c>
      <c r="M2733">
        <f>HYPERLINK("CSG3.html#group56B3", "56B³"), =HYPERLINK("CSG0.html#group7D0", "7D⁰"), =HYPERLINK("CSG0.html#group4A0", "4A⁰"), =HYPERLINK("CSG4.html#group28B4", "28B⁴"), =HYPERLINK("CSG1.html#group28A1", "28A¹"), =HYPERLINK("CSG0.html#group1A0", "1A⁰"), =HYPERLINK("CSG0.html#group7A0", "7A⁰")</f>
        <v/>
      </c>
      <c r="N2733">
        <f>HYPERLINK("CSG23.html#group56L23", "56L²³"), =HYPERLINK("CSG23.html#group56C23", "56C²³"), =HYPERLINK("CSG22.html#group56B22", "56B²²"), =HYPERLINK("CSG24.html#group56N24", "56N²⁴"), =HYPERLINK("CSG24.html#group56L24", "56L²⁴")</f>
        <v/>
      </c>
    </row>
    <row r="2734">
      <c r="A2734" t="inlineStr">
        <is>
          <t>56L¹¹</t>
        </is>
      </c>
      <c r="B2734" t="inlineStr"/>
      <c r="C2734" t="inlineStr">
        <is>
          <t>192</t>
        </is>
      </c>
      <c r="D2734" t="inlineStr">
        <is>
          <t>1</t>
        </is>
      </c>
      <c r="E2734" t="inlineStr">
        <is>
          <t>24</t>
        </is>
      </c>
      <c r="F2734" t="inlineStr">
        <is>
          <t>0</t>
        </is>
      </c>
      <c r="G2734" t="inlineStr">
        <is>
          <t>0</t>
        </is>
      </c>
      <c r="H2734" t="inlineStr">
        <is>
          <t>2⁴, 8², 14⁴, 56²</t>
        </is>
      </c>
      <c r="I2734" t="n">
        <v>12</v>
      </c>
      <c r="J2734" t="inlineStr">
        <is>
          <t>1⁶, 6³</t>
        </is>
      </c>
      <c r="K2734">
        <f>HYPERLINK("CSG4.html#group56C4", "56C⁴"), =HYPERLINK("CSG5.html#group28E5", "28E⁵"), =HYPERLINK("CSG6.html#group56D6", "56D⁶")</f>
        <v/>
      </c>
      <c r="L2734">
        <f>HYPERLINK("CSG21.html#group56L21", "56L²¹"), =HYPERLINK("CSG23.html#group56V23", "56V²³")</f>
        <v/>
      </c>
      <c r="M2734">
        <f>HYPERLINK("CSG0.html#group2A0", "2A⁰"), =HYPERLINK("CSG2.html#group28D2", "28D²"), =HYPERLINK("CSG0.html#group4C0", "4C⁰"), =HYPERLINK("CSG0.html#group2B0", "2B⁰"), =HYPERLINK("CSG0.html#group4E0", "4E⁰"), =HYPERLINK("CSG2.html#group14E2", "14E²"), =HYPERLINK("CSG0.html#group4B0", "4B⁰"), =HYPERLINK("CSG0.html#group1A0", "1A⁰"), =HYPERLINK("CSG5.html#group28E5", "28E⁵"), =HYPERLINK("CSG4.html#group56C4", "56C⁴"), =HYPERLINK("CSG6.html#group56D6", "56D⁶"), =HYPERLINK("CSG0.html#group7B0", "7B⁰"), =HYPERLINK("CSG1.html#group14C1", "14C¹"), =HYPERLINK("CSG0.html#group14B0", "14B⁰"), =HYPERLINK("CSG3.html#group28C3", "28C³"), =HYPERLINK("CSG0.html#group2C0", "2C⁰")</f>
        <v/>
      </c>
      <c r="N2734">
        <f>HYPERLINK("CSG21.html#group56L21", "56L²¹"), =HYPERLINK("CSG23.html#group56V23", "56V²³")</f>
        <v/>
      </c>
    </row>
    <row r="2735">
      <c r="A2735" t="inlineStr">
        <is>
          <t>56M¹¹</t>
        </is>
      </c>
      <c r="B2735" t="inlineStr"/>
      <c r="C2735" t="inlineStr">
        <is>
          <t>192</t>
        </is>
      </c>
      <c r="D2735" t="inlineStr">
        <is>
          <t>1</t>
        </is>
      </c>
      <c r="E2735" t="inlineStr">
        <is>
          <t>24</t>
        </is>
      </c>
      <c r="F2735" t="inlineStr">
        <is>
          <t>0</t>
        </is>
      </c>
      <c r="G2735" t="inlineStr">
        <is>
          <t>0</t>
        </is>
      </c>
      <c r="H2735" t="inlineStr">
        <is>
          <t>2⁴, 8², 14⁴, 56²</t>
        </is>
      </c>
      <c r="I2735" t="n">
        <v>12</v>
      </c>
      <c r="J2735" t="inlineStr">
        <is>
          <t>1⁶, 6³</t>
        </is>
      </c>
      <c r="K2735">
        <f>HYPERLINK("CSG0.html#group8G0", "8G⁰"), =HYPERLINK("CSG5.html#group28E5", "28E⁵"), =HYPERLINK("CSG5.html#group56D5", "56D⁵"), =HYPERLINK("CSG6.html#group56E6", "56E⁶")</f>
        <v/>
      </c>
      <c r="L2735">
        <f>HYPERLINK("CSG21.html#group56L21", "56L²¹"), =HYPERLINK("CSG23.html#group56Q23", "56Q²³"), =HYPERLINK("CSG23.html#group56R23", "56R²³"), =HYPERLINK("CSG23.html#group112O23", "112O²³"), =HYPERLINK("CSG23.html#group112P23", "112P²³")</f>
        <v/>
      </c>
      <c r="M2735">
        <f>HYPERLINK("CSG0.html#group2A0", "2A⁰"), =HYPERLINK("CSG0.html#group8D0", "8D⁰"), =HYPERLINK("CSG2.html#group28D2", "28D²"), =HYPERLINK("CSG0.html#group4C0", "4C⁰"), =HYPERLINK("CSG0.html#group8C0", "8C⁰"), =HYPERLINK("CSG0.html#group2B0", "2B⁰"), =HYPERLINK("CSG0.html#group4E0", "4E⁰"), =HYPERLINK("CSG2.html#group14E2", "14E²"), =HYPERLINK("CSG0.html#group4B0", "4B⁰"), =HYPERLINK("CSG5.html#group56D5", "56D⁵"), =HYPERLINK("CSG0.html#group1A0", "1A⁰"), =HYPERLINK("CSG5.html#group28E5", "28E⁵"), =HYPERLINK("CSG0.html#group8G0", "8G⁰"), =HYPERLINK("CSG0.html#group7B0", "7B⁰"), =HYPERLINK("CSG1.html#group14C1", "14C¹"), =HYPERLINK("CSG0.html#group14B0", "14B⁰"), =HYPERLINK("CSG3.html#group28C3", "28C³"), =HYPERLINK("CSG6.html#group56E6", "56E⁶"), =HYPERLINK("CSG0.html#group2C0", "2C⁰")</f>
        <v/>
      </c>
      <c r="N2735">
        <f>HYPERLINK("CSG21.html#group56L21", "56L²¹"), =HYPERLINK("CSG23.html#group112P23", "112P²³"), =HYPERLINK("CSG23.html#group112O23", "112O²³"), =HYPERLINK("CSG23.html#group56Q23", "56Q²³"), =HYPERLINK("CSG23.html#group56R23", "56R²³")</f>
        <v/>
      </c>
    </row>
    <row r="2736">
      <c r="A2736" t="inlineStr">
        <is>
          <t>56N¹¹</t>
        </is>
      </c>
      <c r="B2736" t="inlineStr"/>
      <c r="C2736" t="inlineStr">
        <is>
          <t>192</t>
        </is>
      </c>
      <c r="D2736" t="inlineStr">
        <is>
          <t>1</t>
        </is>
      </c>
      <c r="E2736" t="inlineStr">
        <is>
          <t>48</t>
        </is>
      </c>
      <c r="F2736" t="inlineStr">
        <is>
          <t>0</t>
        </is>
      </c>
      <c r="G2736" t="inlineStr">
        <is>
          <t>0</t>
        </is>
      </c>
      <c r="H2736" t="inlineStr">
        <is>
          <t>2⁴, 8², 14⁴, 56²</t>
        </is>
      </c>
      <c r="I2736" t="n">
        <v>12</v>
      </c>
      <c r="J2736" t="inlineStr">
        <is>
          <t>1⁸, 2², 6⁴, 12¹</t>
        </is>
      </c>
      <c r="K2736">
        <f>HYPERLINK("CSG4.html#group28E4", "28E⁴"), =HYPERLINK("CSG5.html#group56D5", "56D⁵"), =HYPERLINK("CSG6.html#group56D6", "56D⁶")</f>
        <v/>
      </c>
      <c r="L2736">
        <f>HYPERLINK("CSG21.html#group56L21", "56L²¹"), =HYPERLINK("CSG23.html#group56U23", "56U²³"), =HYPERLINK("CSG23.html#group112U23", "112U²³")</f>
        <v/>
      </c>
      <c r="M2736">
        <f>HYPERLINK("CSG4.html#group28E4", "28E⁴"), =HYPERLINK("CSG6.html#group56D6", "56D⁶"), =HYPERLINK("CSG0.html#group7B0", "7B⁰"), =HYPERLINK("CSG2.html#group28D2", "28D²"), =HYPERLINK("CSG1.html#group14C1", "14C¹"), =HYPERLINK("CSG0.html#group8C0", "8C⁰"), =HYPERLINK("CSG0.html#group2B0", "2B⁰"), =HYPERLINK("CSG0.html#group4B0", "4B⁰"), =HYPERLINK("CSG5.html#group56D5", "56D⁵"), =HYPERLINK("CSG0.html#group1A0", "1A⁰")</f>
        <v/>
      </c>
      <c r="N2736">
        <f>HYPERLINK("CSG21.html#group56L21", "56L²¹"), =HYPERLINK("CSG23.html#group112U23", "112U²³"), =HYPERLINK("CSG23.html#group56U23", "56U²³")</f>
        <v/>
      </c>
    </row>
    <row r="2737">
      <c r="A2737" t="inlineStr">
        <is>
          <t>56O¹¹</t>
        </is>
      </c>
      <c r="B2737" t="inlineStr"/>
      <c r="C2737" t="inlineStr">
        <is>
          <t>192</t>
        </is>
      </c>
      <c r="D2737" t="inlineStr">
        <is>
          <t>1</t>
        </is>
      </c>
      <c r="E2737" t="inlineStr">
        <is>
          <t>96</t>
        </is>
      </c>
      <c r="F2737" t="inlineStr">
        <is>
          <t>0</t>
        </is>
      </c>
      <c r="G2737" t="inlineStr">
        <is>
          <t>0</t>
        </is>
      </c>
      <c r="H2737" t="inlineStr">
        <is>
          <t>1², 2¹, 4¹, 7², 8², 14¹, 28¹, 56²</t>
        </is>
      </c>
      <c r="I2737" t="n">
        <v>12</v>
      </c>
      <c r="J2737" t="inlineStr">
        <is>
          <t>1⁸, 2⁴, 4², 6⁴, 12², 24¹</t>
        </is>
      </c>
      <c r="K2737">
        <f>HYPERLINK("CSG5.html#group56D5", "56D⁵")</f>
        <v/>
      </c>
      <c r="L2737">
        <f>HYPERLINK("CSG21.html#group56M21", "56M²¹"), =HYPERLINK("CSG23.html#group56Q23", "56Q²³"), =HYPERLINK("CSG23.html#group56U23", "56U²³"), =HYPERLINK("CSG23.html#group112R23", "112R²³"), =HYPERLINK("CSG23.html#group112Q23", "112Q²³")</f>
        <v/>
      </c>
      <c r="M2737">
        <f>HYPERLINK("CSG0.html#group7B0", "7B⁰"), =HYPERLINK("CSG2.html#group28D2", "28D²"), =HYPERLINK("CSG1.html#group14C1", "14C¹"), =HYPERLINK("CSG0.html#group8C0", "8C⁰"), =HYPERLINK("CSG0.html#group2B0", "2B⁰"), =HYPERLINK("CSG0.html#group4B0", "4B⁰"), =HYPERLINK("CSG5.html#group56D5", "56D⁵"), =HYPERLINK("CSG0.html#group1A0", "1A⁰")</f>
        <v/>
      </c>
      <c r="N2737">
        <f>HYPERLINK("CSG23.html#group112R23", "112R²³"), =HYPERLINK("CSG21.html#group56M21", "56M²¹"), =HYPERLINK("CSG23.html#group56U23", "56U²³"), =HYPERLINK("CSG23.html#group56Q23", "56Q²³"), =HYPERLINK("CSG23.html#group112Q23", "112Q²³")</f>
        <v/>
      </c>
    </row>
    <row r="2738">
      <c r="A2738" t="inlineStr">
        <is>
          <t>56P¹¹</t>
        </is>
      </c>
      <c r="B2738" t="inlineStr"/>
      <c r="C2738" t="inlineStr">
        <is>
          <t>192</t>
        </is>
      </c>
      <c r="D2738" t="inlineStr">
        <is>
          <t>1</t>
        </is>
      </c>
      <c r="E2738" t="inlineStr">
        <is>
          <t>96</t>
        </is>
      </c>
      <c r="F2738" t="inlineStr">
        <is>
          <t>0</t>
        </is>
      </c>
      <c r="G2738" t="inlineStr">
        <is>
          <t>0</t>
        </is>
      </c>
      <c r="H2738" t="inlineStr">
        <is>
          <t>1², 2¹, 4¹, 7², 8², 14¹, 28¹, 56²</t>
        </is>
      </c>
      <c r="I2738" t="n">
        <v>12</v>
      </c>
      <c r="J2738" t="inlineStr">
        <is>
          <t>1⁸, 2⁴, 4², 6⁴, 12², 24¹</t>
        </is>
      </c>
      <c r="K2738">
        <f>HYPERLINK("CSG0.html#group8I0", "8I⁰"), =HYPERLINK("CSG5.html#group56D5", "56D⁵")</f>
        <v/>
      </c>
      <c r="L2738">
        <f>HYPERLINK("CSG21.html#group56M21", "56M²¹"), =HYPERLINK("CSG23.html#group56R23", "56R²³"), =HYPERLINK("CSG23.html#group56U23", "56U²³"), =HYPERLINK("CSG23.html#group112S23", "112S²³"), =HYPERLINK("CSG23.html#group112T23", "112T²³")</f>
        <v/>
      </c>
      <c r="M2738">
        <f>HYPERLINK("CSG0.html#group7B0", "7B⁰"), =HYPERLINK("CSG2.html#group28D2", "28D²"), =HYPERLINK("CSG1.html#group14C1", "14C¹"), =HYPERLINK("CSG0.html#group8C0", "8C⁰"), =HYPERLINK("CSG0.html#group2B0", "2B⁰"), =HYPERLINK("CSG0.html#group8I0", "8I⁰"), =HYPERLINK("CSG0.html#group4B0", "4B⁰"), =HYPERLINK("CSG5.html#group56D5", "56D⁵"), =HYPERLINK("CSG0.html#group1A0", "1A⁰")</f>
        <v/>
      </c>
      <c r="N2738">
        <f>HYPERLINK("CSG23.html#group112T23", "112T²³"), =HYPERLINK("CSG21.html#group56M21", "56M²¹"), =HYPERLINK("CSG23.html#group112S23", "112S²³"), =HYPERLINK("CSG23.html#group56U23", "56U²³"), =HYPERLINK("CSG23.html#group56R23", "56R²³")</f>
        <v/>
      </c>
    </row>
    <row r="2739">
      <c r="A2739" t="inlineStr">
        <is>
          <t>56Q¹¹</t>
        </is>
      </c>
      <c r="B2739" t="inlineStr"/>
      <c r="C2739" t="inlineStr">
        <is>
          <t>192</t>
        </is>
      </c>
      <c r="D2739" t="inlineStr">
        <is>
          <t>1</t>
        </is>
      </c>
      <c r="E2739" t="inlineStr">
        <is>
          <t>96</t>
        </is>
      </c>
      <c r="F2739" t="inlineStr">
        <is>
          <t>0</t>
        </is>
      </c>
      <c r="G2739" t="inlineStr">
        <is>
          <t>0</t>
        </is>
      </c>
      <c r="H2739" t="inlineStr">
        <is>
          <t>2², 4³, 8¹, 14², 28³, 56¹</t>
        </is>
      </c>
      <c r="I2739" t="n">
        <v>12</v>
      </c>
      <c r="J2739" t="inlineStr">
        <is>
          <t>1¹⁶, 2⁴, 6⁸, 12²</t>
        </is>
      </c>
      <c r="K2739">
        <f>HYPERLINK("CSG5.html#group28E5", "28E⁵")</f>
        <v/>
      </c>
      <c r="L2739">
        <f>HYPERLINK("CSG21.html#group56N21", "56N²¹"), =HYPERLINK("CSG23.html#group56O23", "56O²³"), =HYPERLINK("CSG23.html#group56Q23", "56Q²³"), =HYPERLINK("CSG23.html#group56V23", "56V²³"), =HYPERLINK("CSG23.html#group56W23", "56W²³")</f>
        <v/>
      </c>
      <c r="M2739">
        <f>HYPERLINK("CSG0.html#group2A0", "2A⁰"), =HYPERLINK("CSG5.html#group28E5", "28E⁵"), =HYPERLINK("CSG3.html#group28C3", "28C³"), =HYPERLINK("CSG0.html#group7B0", "7B⁰"), =HYPERLINK("CSG2.html#group28D2", "28D²"), =HYPERLINK("CSG0.html#group4C0", "4C⁰"), =HYPERLINK("CSG1.html#group14C1", "14C¹"), =HYPERLINK("CSG0.html#group14B0", "14B⁰"), =HYPERLINK("CSG0.html#group2B0", "2B⁰"), =HYPERLINK("CSG0.html#group4E0", "4E⁰"), =HYPERLINK("CSG2.html#group14E2", "14E²"), =HYPERLINK("CSG0.html#group4B0", "4B⁰"), =HYPERLINK("CSG0.html#group1A0", "1A⁰"), =HYPERLINK("CSG0.html#group2C0", "2C⁰")</f>
        <v/>
      </c>
      <c r="N2739">
        <f>HYPERLINK("CSG23.html#group56W23", "56W²³"), =HYPERLINK("CSG23.html#group56V23", "56V²³"), =HYPERLINK("CSG23.html#group56Q23", "56Q²³"), =HYPERLINK("CSG21.html#group56N21", "56N²¹"), =HYPERLINK("CSG23.html#group56O23", "56O²³")</f>
        <v/>
      </c>
    </row>
    <row r="2740">
      <c r="A2740" t="inlineStr">
        <is>
          <t>56R¹¹</t>
        </is>
      </c>
      <c r="B2740" t="inlineStr"/>
      <c r="C2740" t="inlineStr">
        <is>
          <t>192</t>
        </is>
      </c>
      <c r="D2740" t="inlineStr">
        <is>
          <t>1</t>
        </is>
      </c>
      <c r="E2740" t="inlineStr">
        <is>
          <t>96</t>
        </is>
      </c>
      <c r="F2740" t="inlineStr">
        <is>
          <t>0</t>
        </is>
      </c>
      <c r="G2740" t="inlineStr">
        <is>
          <t>0</t>
        </is>
      </c>
      <c r="H2740" t="inlineStr">
        <is>
          <t>2², 4³, 8¹, 14², 28³, 56¹</t>
        </is>
      </c>
      <c r="I2740" t="n">
        <v>12</v>
      </c>
      <c r="J2740" t="inlineStr">
        <is>
          <t>1¹⁶, 2⁴, 6⁸, 12²</t>
        </is>
      </c>
      <c r="K2740">
        <f>HYPERLINK("CSG0.html#group8J0", "8J⁰"), =HYPERLINK("CSG5.html#group28E5", "28E⁵")</f>
        <v/>
      </c>
      <c r="L2740">
        <f>HYPERLINK("CSG21.html#group56N21", "56N²¹"), =HYPERLINK("CSG23.html#group56P23", "56P²³"), =HYPERLINK("CSG23.html#group56R23", "56R²³"), =HYPERLINK("CSG23.html#group56V23", "56V²³"), =HYPERLINK("CSG23.html#group56W23", "56W²³")</f>
        <v/>
      </c>
      <c r="M2740">
        <f>HYPERLINK("CSG0.html#group2A0", "2A⁰"), =HYPERLINK("CSG0.html#group4C0", "4C⁰"), =HYPERLINK("CSG2.html#group28D2", "28D²"), =HYPERLINK("CSG0.html#group2B0", "2B⁰"), =HYPERLINK("CSG0.html#group4E0", "4E⁰"), =HYPERLINK("CSG2.html#group14E2", "14E²"), =HYPERLINK("CSG0.html#group4B0", "4B⁰"), =HYPERLINK("CSG0.html#group1A0", "1A⁰"), =HYPERLINK("CSG5.html#group28E5", "28E⁵"), =HYPERLINK("CSG0.html#group7B0", "7B⁰"), =HYPERLINK("CSG1.html#group14C1", "14C¹"), =HYPERLINK("CSG0.html#group14B0", "14B⁰"), =HYPERLINK("CSG3.html#group28C3", "28C³"), =HYPERLINK("CSG0.html#group8J0", "8J⁰"), =HYPERLINK("CSG0.html#group2C0", "2C⁰")</f>
        <v/>
      </c>
      <c r="N2740">
        <f>HYPERLINK("CSG23.html#group56P23", "56P²³"), =HYPERLINK("CSG23.html#group56W23", "56W²³"), =HYPERLINK("CSG23.html#group56V23", "56V²³"), =HYPERLINK("CSG21.html#group56N21", "56N²¹"), =HYPERLINK("CSG23.html#group56R23", "56R²³")</f>
        <v/>
      </c>
    </row>
    <row r="2741">
      <c r="A2741" t="inlineStr">
        <is>
          <t>60A¹¹</t>
        </is>
      </c>
      <c r="B2741" t="inlineStr"/>
      <c r="C2741" t="inlineStr">
        <is>
          <t>144</t>
        </is>
      </c>
      <c r="D2741" t="inlineStr">
        <is>
          <t>1</t>
        </is>
      </c>
      <c r="E2741" t="inlineStr">
        <is>
          <t>6</t>
        </is>
      </c>
      <c r="F2741" t="inlineStr">
        <is>
          <t>0</t>
        </is>
      </c>
      <c r="G2741" t="inlineStr">
        <is>
          <t>0</t>
        </is>
      </c>
      <c r="H2741" t="inlineStr">
        <is>
          <t>12², 60²</t>
        </is>
      </c>
      <c r="I2741" t="n">
        <v>4</v>
      </c>
      <c r="J2741" t="inlineStr">
        <is>
          <t>1², 4¹</t>
        </is>
      </c>
      <c r="K2741">
        <f>HYPERLINK("CSG3.html#group20A3", "20A³"), =HYPERLINK("CSG3.html#group60C3", "60C³"), =HYPERLINK("CSG5.html#group30C5", "30C⁵")</f>
        <v/>
      </c>
      <c r="L2741">
        <f>HYPERLINK("CSG21.html#group60D21", "60D²¹")</f>
        <v/>
      </c>
      <c r="M2741">
        <f>HYPERLINK("CSG0.html#group30A0", "30A⁰"), =HYPERLINK("CSG0.html#group2A0", "2A⁰"), =HYPERLINK("CSG5.html#group30C5", "30C⁵"), =HYPERLINK("CSG1.html#group20C1", "20C¹"), =HYPERLINK("CSG0.html#group5B0", "5B⁰"), =HYPERLINK("CSG0.html#group5D0", "5D⁰"), =HYPERLINK("CSG1.html#group10A1", "10A¹"), =HYPERLINK("CSG1.html#group10D1", "10D¹"), =HYPERLINK("CSG0.html#group1A0", "1A⁰"), =HYPERLINK("CSG3.html#group20A3", "20A³"), =HYPERLINK("CSG3.html#group30B3", "30B³"), =HYPERLINK("CSG0.html#group10B0", "10B⁰"), =HYPERLINK("CSG0.html#group15B0", "15B⁰"), =HYPERLINK("CSG3.html#group60C3", "60C³"), =HYPERLINK("CSG2.html#group15B2", "15B²"), =HYPERLINK("CSG1.html#group6A1", "6A¹"), =HYPERLINK("CSG0.html#group3A0", "3A⁰")</f>
        <v/>
      </c>
      <c r="N2741">
        <f>HYPERLINK("CSG21.html#group60D21", "60D²¹")</f>
        <v/>
      </c>
    </row>
    <row r="2742">
      <c r="A2742" t="inlineStr">
        <is>
          <t>60B¹¹</t>
        </is>
      </c>
      <c r="B2742" t="inlineStr"/>
      <c r="C2742" t="inlineStr">
        <is>
          <t>144</t>
        </is>
      </c>
      <c r="D2742" t="inlineStr">
        <is>
          <t>1</t>
        </is>
      </c>
      <c r="E2742" t="inlineStr">
        <is>
          <t>12</t>
        </is>
      </c>
      <c r="F2742" t="inlineStr">
        <is>
          <t>0</t>
        </is>
      </c>
      <c r="G2742" t="inlineStr">
        <is>
          <t>0</t>
        </is>
      </c>
      <c r="H2742" t="inlineStr">
        <is>
          <t>12², 60²</t>
        </is>
      </c>
      <c r="I2742" t="n">
        <v>4</v>
      </c>
      <c r="J2742" t="inlineStr">
        <is>
          <t>2², 8¹</t>
        </is>
      </c>
      <c r="K2742">
        <f>HYPERLINK("CSG3.html#group20A3", "20A³"), =HYPERLINK("CSG5.html#group30D5", "30D⁵")</f>
        <v/>
      </c>
      <c r="L2742" t="inlineStr"/>
      <c r="M2742">
        <f>HYPERLINK("CSG0.html#group2A0", "2A⁰"), =HYPERLINK("CSG1.html#group20C1", "20C¹"), =HYPERLINK("CSG0.html#group6A0", "6A⁰"), =HYPERLINK("CSG3.html#group30C3", "30C³"), =HYPERLINK("CSG0.html#group5B0", "5B⁰"), =HYPERLINK("CSG0.html#group5D0", "5D⁰"), =HYPERLINK("CSG1.html#group10A1", "10A¹"), =HYPERLINK("CSG1.html#group10D1", "10D¹"), =HYPERLINK("CSG0.html#group1A0", "1A⁰"), =HYPERLINK("CSG5.html#group30D5", "30D⁵"), =HYPERLINK("CSG3.html#group20A3", "20A³"), =HYPERLINK("CSG0.html#group10B0", "10B⁰")</f>
        <v/>
      </c>
      <c r="N2742" t="inlineStr"/>
    </row>
    <row r="2743">
      <c r="A2743" t="inlineStr">
        <is>
          <t>60C¹¹</t>
        </is>
      </c>
      <c r="B2743" t="inlineStr"/>
      <c r="C2743" t="inlineStr">
        <is>
          <t>144</t>
        </is>
      </c>
      <c r="D2743" t="inlineStr">
        <is>
          <t>1</t>
        </is>
      </c>
      <c r="E2743" t="inlineStr">
        <is>
          <t>18</t>
        </is>
      </c>
      <c r="F2743" t="inlineStr">
        <is>
          <t>0</t>
        </is>
      </c>
      <c r="G2743" t="inlineStr">
        <is>
          <t>0</t>
        </is>
      </c>
      <c r="H2743" t="inlineStr">
        <is>
          <t>12², 60²</t>
        </is>
      </c>
      <c r="I2743" t="n">
        <v>4</v>
      </c>
      <c r="J2743" t="inlineStr">
        <is>
          <t>1², 2², 4¹, 8¹</t>
        </is>
      </c>
      <c r="K2743">
        <f>HYPERLINK("CSG3.html#group60D3", "60D³"), =HYPERLINK("CSG5.html#group30C5", "30C⁵")</f>
        <v/>
      </c>
      <c r="L2743">
        <f>HYPERLINK("CSG21.html#group60C21", "60C²¹"), =HYPERLINK("CSG21.html#group60D21", "60D²¹")</f>
        <v/>
      </c>
      <c r="M2743">
        <f>HYPERLINK("CSG0.html#group30A0", "30A⁰"), =HYPERLINK("CSG0.html#group2A0", "2A⁰"), =HYPERLINK("CSG5.html#group30C5", "30C⁵"), =HYPERLINK("CSG0.html#group15B0", "15B⁰"), =HYPERLINK("CSG2.html#group15B2", "15B²"), =HYPERLINK("CSG0.html#group5B0", "5B⁰"), =HYPERLINK("CSG0.html#group5D0", "5D⁰"), =HYPERLINK("CSG1.html#group10A1", "10A¹"), =HYPERLINK("CSG1.html#group6A1", "6A¹"), =HYPERLINK("CSG3.html#group60D3", "60D³"), =HYPERLINK("CSG0.html#group3A0", "3A⁰"), =HYPERLINK("CSG1.html#group10D1", "10D¹"), =HYPERLINK("CSG0.html#group1A0", "1A⁰"), =HYPERLINK("CSG3.html#group30B3", "30B³"), =HYPERLINK("CSG0.html#group10B0", "10B⁰")</f>
        <v/>
      </c>
      <c r="N2743">
        <f>HYPERLINK("CSG21.html#group60D21", "60D²¹"), =HYPERLINK("CSG21.html#group60C21", "60C²¹")</f>
        <v/>
      </c>
    </row>
    <row r="2744">
      <c r="A2744" t="inlineStr">
        <is>
          <t>60D¹¹</t>
        </is>
      </c>
      <c r="B2744" t="inlineStr"/>
      <c r="C2744" t="inlineStr">
        <is>
          <t>144</t>
        </is>
      </c>
      <c r="D2744" t="inlineStr">
        <is>
          <t>1</t>
        </is>
      </c>
      <c r="E2744" t="inlineStr">
        <is>
          <t>24</t>
        </is>
      </c>
      <c r="F2744" t="inlineStr">
        <is>
          <t>0</t>
        </is>
      </c>
      <c r="G2744" t="inlineStr">
        <is>
          <t>0</t>
        </is>
      </c>
      <c r="H2744" t="inlineStr">
        <is>
          <t>12², 60²</t>
        </is>
      </c>
      <c r="I2744" t="n">
        <v>4</v>
      </c>
      <c r="J2744" t="inlineStr">
        <is>
          <t>2⁴, 8²</t>
        </is>
      </c>
      <c r="K2744">
        <f>HYPERLINK("CSG2.html#group15B2", "15B²"), =HYPERLINK("CSG3.html#group20B3", "20B³"), =HYPERLINK("CSG3.html#group60B3", "60B³")</f>
        <v/>
      </c>
      <c r="L2744">
        <f>HYPERLINK("CSG21.html#group60F21", "60F²¹"), =HYPERLINK("CSG21.html#group60L21", "60L²¹"), =HYPERLINK("CSG21.html#group60N21", "60N²¹"), =HYPERLINK("CSG23.html#group120I23", "120I²³"), =HYPERLINK("CSG23.html#group120J23", "120J²³")</f>
        <v/>
      </c>
      <c r="M2744">
        <f>HYPERLINK("CSG0.html#group15B0", "15B⁰"), =HYPERLINK("CSG0.html#group12A0", "12A⁰"), =HYPERLINK("CSG0.html#group4A0", "4A⁰"), =HYPERLINK("CSG2.html#group15B2", "15B²"), =HYPERLINK("CSG0.html#group5B0", "5B⁰"), =HYPERLINK("CSG0.html#group5D0", "5D⁰"), =HYPERLINK("CSG3.html#group60B3", "60B³"), =HYPERLINK("CSG0.html#group3A0", "3A⁰"), =HYPERLINK("CSG0.html#group1A0", "1A⁰"), =HYPERLINK("CSG3.html#group20B3", "20B³"), =HYPERLINK("CSG1.html#group20B1", "20B¹")</f>
        <v/>
      </c>
      <c r="N2744">
        <f>HYPERLINK("CSG21.html#group60F21", "60F²¹"), =HYPERLINK("CSG23.html#group120I23", "120I²³"), =HYPERLINK("CSG21.html#group60L21", "60L²¹"), =HYPERLINK("CSG21.html#group60N21", "60N²¹"), =HYPERLINK("CSG23.html#group120J23", "120J²³")</f>
        <v/>
      </c>
    </row>
    <row r="2745">
      <c r="A2745" t="inlineStr">
        <is>
          <t>60E¹¹</t>
        </is>
      </c>
      <c r="B2745" t="inlineStr"/>
      <c r="C2745" t="inlineStr">
        <is>
          <t>144</t>
        </is>
      </c>
      <c r="D2745" t="inlineStr">
        <is>
          <t>1</t>
        </is>
      </c>
      <c r="E2745" t="inlineStr">
        <is>
          <t>24</t>
        </is>
      </c>
      <c r="F2745" t="inlineStr">
        <is>
          <t>0</t>
        </is>
      </c>
      <c r="G2745" t="inlineStr">
        <is>
          <t>0</t>
        </is>
      </c>
      <c r="H2745" t="inlineStr">
        <is>
          <t>12², 60²</t>
        </is>
      </c>
      <c r="I2745" t="n">
        <v>4</v>
      </c>
      <c r="J2745" t="inlineStr">
        <is>
          <t>2⁴, 8²</t>
        </is>
      </c>
      <c r="K2745">
        <f>HYPERLINK("CSG2.html#group12A2", "12A²"), =HYPERLINK("CSG3.html#group20C3", "20C³"), =HYPERLINK("CSG3.html#group30B3", "30B³"), =HYPERLINK("CSG3.html#group60B3", "60B³")</f>
        <v/>
      </c>
      <c r="L2745">
        <f>HYPERLINK("CSG21.html#group60F21", "60F²¹"), =HYPERLINK("CSG21.html#group60M21", "60M²¹"), =HYPERLINK("CSG21.html#group60O21", "60O²¹"), =HYPERLINK("CSG23.html#group120A23", "120A²³"), =HYPERLINK("CSG23.html#group120B23", "120B²³"), =HYPERLINK("CSG23.html#group120E23", "120E²³"), =HYPERLINK("CSG23.html#group120F23", "120F²³")</f>
        <v/>
      </c>
      <c r="M2745">
        <f>HYPERLINK("CSG0.html#group2A0", "2A⁰"), =HYPERLINK("CSG3.html#group20C3", "20C³"), =HYPERLINK("CSG0.html#group5B0", "5B⁰"), =HYPERLINK("CSG1.html#group10A1", "10A¹"), =HYPERLINK("CSG0.html#group1A0", "1A⁰"), =HYPERLINK("CSG1.html#group20B1", "20B¹"), =HYPERLINK("CSG3.html#group30B3", "30B³"), =HYPERLINK("CSG0.html#group15B0", "15B⁰"), =HYPERLINK("CSG0.html#group12A0", "12A⁰"), =HYPERLINK("CSG0.html#group4A0", "4A⁰"), =HYPERLINK("CSG0.html#group4D0", "4D⁰"), =HYPERLINK("CSG2.html#group12A2", "12A²"), =HYPERLINK("CSG3.html#group60B3", "60B³"), =HYPERLINK("CSG1.html#group6A1", "6A¹"), =HYPERLINK("CSG0.html#group3A0", "3A⁰")</f>
        <v/>
      </c>
      <c r="N2745">
        <f>HYPERLINK("CSG21.html#group60F21", "60F²¹"), =HYPERLINK("CSG21.html#group60O21", "60O²¹"), =HYPERLINK("CSG21.html#group60M21", "60M²¹"), =HYPERLINK("CSG23.html#group120F23", "120F²³"), =HYPERLINK("CSG23.html#group120E23", "120E²³"), =HYPERLINK("CSG23.html#group120B23", "120B²³"), =HYPERLINK("CSG23.html#group120A23", "120A²³")</f>
        <v/>
      </c>
    </row>
    <row r="2746">
      <c r="A2746" t="inlineStr">
        <is>
          <t>60F¹¹</t>
        </is>
      </c>
      <c r="B2746" t="inlineStr"/>
      <c r="C2746" t="inlineStr">
        <is>
          <t>144</t>
        </is>
      </c>
      <c r="D2746" t="inlineStr">
        <is>
          <t>1</t>
        </is>
      </c>
      <c r="E2746" t="inlineStr">
        <is>
          <t>48</t>
        </is>
      </c>
      <c r="F2746" t="inlineStr">
        <is>
          <t>0</t>
        </is>
      </c>
      <c r="G2746" t="inlineStr">
        <is>
          <t>0</t>
        </is>
      </c>
      <c r="H2746" t="inlineStr">
        <is>
          <t>12², 60²</t>
        </is>
      </c>
      <c r="I2746" t="n">
        <v>4</v>
      </c>
      <c r="J2746" t="inlineStr">
        <is>
          <t>4⁴, 16²</t>
        </is>
      </c>
      <c r="K2746">
        <f>HYPERLINK("CSG1.html#group12E1", "12E¹"), =HYPERLINK("CSG3.html#group20C3", "20C³"), =HYPERLINK("CSG3.html#group30C3", "30C³")</f>
        <v/>
      </c>
      <c r="L2746">
        <f>HYPERLINK("CSG21.html#group60H21", "60H²¹"), =HYPERLINK("CSG23.html#group120C23", "120C²³"), =HYPERLINK("CSG23.html#group120D23", "120D²³")</f>
        <v/>
      </c>
      <c r="M2746">
        <f>HYPERLINK("CSG0.html#group2A0", "2A⁰"), =HYPERLINK("CSG0.html#group6A0", "6A⁰"), =HYPERLINK("CSG3.html#group30C3", "30C³"), =HYPERLINK("CSG0.html#group4A0", "4A⁰"), =HYPERLINK("CSG0.html#group4D0", "4D⁰"), =HYPERLINK("CSG3.html#group20C3", "20C³"), =HYPERLINK("CSG1.html#group12E1", "12E¹"), =HYPERLINK("CSG0.html#group5B0", "5B⁰"), =HYPERLINK("CSG1.html#group10A1", "10A¹"), =HYPERLINK("CSG0.html#group1A0", "1A⁰"), =HYPERLINK("CSG1.html#group20B1", "20B¹")</f>
        <v/>
      </c>
      <c r="N2746">
        <f>HYPERLINK("CSG23.html#group120D23", "120D²³"), =HYPERLINK("CSG23.html#group120C23", "120C²³"), =HYPERLINK("CSG21.html#group60H21", "60H²¹")</f>
        <v/>
      </c>
    </row>
    <row r="2747">
      <c r="A2747" t="inlineStr">
        <is>
          <t>60G¹¹</t>
        </is>
      </c>
      <c r="B2747" t="inlineStr"/>
      <c r="C2747" t="inlineStr">
        <is>
          <t>144</t>
        </is>
      </c>
      <c r="D2747" t="inlineStr">
        <is>
          <t>1</t>
        </is>
      </c>
      <c r="E2747" t="inlineStr">
        <is>
          <t>144</t>
        </is>
      </c>
      <c r="F2747" t="inlineStr">
        <is>
          <t>0</t>
        </is>
      </c>
      <c r="G2747" t="inlineStr">
        <is>
          <t>0</t>
        </is>
      </c>
      <c r="H2747" t="inlineStr">
        <is>
          <t>12², 60²</t>
        </is>
      </c>
      <c r="I2747" t="n">
        <v>4</v>
      </c>
      <c r="J2747" t="inlineStr">
        <is>
          <t>4¹², 16⁶</t>
        </is>
      </c>
      <c r="K2747">
        <f>HYPERLINK("CSG1.html#group12H1", "12H¹"), =HYPERLINK("CSG3.html#group30C3", "30C³")</f>
        <v/>
      </c>
      <c r="L2747">
        <f>HYPERLINK("CSG21.html#group60P21", "60P²¹"), =HYPERLINK("CSG23.html#group120G23", "120G²³"), =HYPERLINK("CSG23.html#group120H23", "120H²³")</f>
        <v/>
      </c>
      <c r="M2747">
        <f>HYPERLINK("CSG0.html#group5B0", "5B⁰"), =HYPERLINK("CSG0.html#group2A0", "2A⁰"), =HYPERLINK("CSG1.html#group10A1", "10A¹"), =HYPERLINK("CSG0.html#group1A0", "1A⁰"), =HYPERLINK("CSG1.html#group12H1", "12H¹"), =HYPERLINK("CSG0.html#group6A0", "6A⁰"), =HYPERLINK("CSG3.html#group30C3", "30C³")</f>
        <v/>
      </c>
      <c r="N2747">
        <f>HYPERLINK("CSG23.html#group120H23", "120H²³"), =HYPERLINK("CSG21.html#group60P21", "60P²¹"), =HYPERLINK("CSG23.html#group120G23", "120G²³")</f>
        <v/>
      </c>
    </row>
    <row r="2748">
      <c r="A2748" t="inlineStr">
        <is>
          <t>60H¹¹</t>
        </is>
      </c>
      <c r="B2748" t="inlineStr"/>
      <c r="C2748" t="inlineStr">
        <is>
          <t>160</t>
        </is>
      </c>
      <c r="D2748" t="inlineStr">
        <is>
          <t>1</t>
        </is>
      </c>
      <c r="E2748" t="inlineStr">
        <is>
          <t>40</t>
        </is>
      </c>
      <c r="F2748" t="inlineStr">
        <is>
          <t>0</t>
        </is>
      </c>
      <c r="G2748" t="inlineStr">
        <is>
          <t>4</t>
        </is>
      </c>
      <c r="H2748" t="inlineStr">
        <is>
          <t>20², 60²</t>
        </is>
      </c>
      <c r="I2748" t="n">
        <v>4</v>
      </c>
      <c r="J2748" t="inlineStr">
        <is>
          <t>2², 4⁵, 8²</t>
        </is>
      </c>
      <c r="K2748">
        <f>HYPERLINK("CSG5.html#group30J5", "30J⁵")</f>
        <v/>
      </c>
      <c r="L2748">
        <f>HYPERLINK("CSG21.html#group60S21", "60S²¹")</f>
        <v/>
      </c>
      <c r="M2748">
        <f>HYPERLINK("CSG5.html#group30J5", "30J⁵"), =HYPERLINK("CSG0.html#group2A0", "2A⁰"), =HYPERLINK("CSG0.html#group3B0", "3B⁰"), =HYPERLINK("CSG0.html#group6C0", "6C⁰"), =HYPERLINK("CSG1.html#group10C1", "10C¹"), =HYPERLINK("CSG0.html#group1A0", "1A⁰"), =HYPERLINK("CSG2.html#group15C2", "15C²"), =HYPERLINK("CSG0.html#group5C0", "5C⁰")</f>
        <v/>
      </c>
      <c r="N2748">
        <f>HYPERLINK("CSG21.html#group60S21", "60S²¹")</f>
        <v/>
      </c>
    </row>
    <row r="2749">
      <c r="A2749" t="inlineStr">
        <is>
          <t>60I¹¹</t>
        </is>
      </c>
      <c r="B2749" t="inlineStr"/>
      <c r="C2749" t="inlineStr">
        <is>
          <t>160</t>
        </is>
      </c>
      <c r="D2749" t="inlineStr">
        <is>
          <t>1</t>
        </is>
      </c>
      <c r="E2749" t="inlineStr">
        <is>
          <t>40</t>
        </is>
      </c>
      <c r="F2749" t="inlineStr">
        <is>
          <t>0</t>
        </is>
      </c>
      <c r="G2749" t="inlineStr">
        <is>
          <t>4</t>
        </is>
      </c>
      <c r="H2749" t="inlineStr">
        <is>
          <t>20², 60²</t>
        </is>
      </c>
      <c r="I2749" t="n">
        <v>4</v>
      </c>
      <c r="J2749" t="inlineStr">
        <is>
          <t>2², 4⁵, 8²</t>
        </is>
      </c>
      <c r="K2749">
        <f>HYPERLINK("CSG0.html#group12B0", "12B⁰"), =HYPERLINK("CSG5.html#group30J5", "30J⁵")</f>
        <v/>
      </c>
      <c r="L2749">
        <f>HYPERLINK("CSG21.html#group60S21", "60S²¹")</f>
        <v/>
      </c>
      <c r="M2749">
        <f>HYPERLINK("CSG5.html#group30J5", "30J⁵"), =HYPERLINK("CSG0.html#group2A0", "2A⁰"), =HYPERLINK("CSG0.html#group3B0", "3B⁰"), =HYPERLINK("CSG0.html#group6C0", "6C⁰"), =HYPERLINK("CSG1.html#group10C1", "10C¹"), =HYPERLINK("CSG0.html#group1A0", "1A⁰"), =HYPERLINK("CSG2.html#group15C2", "15C²"), =HYPERLINK("CSG0.html#group5C0", "5C⁰"), =HYPERLINK("CSG0.html#group12B0", "12B⁰")</f>
        <v/>
      </c>
      <c r="N2749">
        <f>HYPERLINK("CSG21.html#group60S21", "60S²¹")</f>
        <v/>
      </c>
    </row>
    <row r="2750">
      <c r="A2750" t="inlineStr">
        <is>
          <t>60J¹¹</t>
        </is>
      </c>
      <c r="B2750" t="inlineStr"/>
      <c r="C2750" t="inlineStr">
        <is>
          <t>160</t>
        </is>
      </c>
      <c r="D2750" t="inlineStr">
        <is>
          <t>1</t>
        </is>
      </c>
      <c r="E2750" t="inlineStr">
        <is>
          <t>80</t>
        </is>
      </c>
      <c r="F2750" t="inlineStr">
        <is>
          <t>0</t>
        </is>
      </c>
      <c r="G2750" t="inlineStr">
        <is>
          <t>4</t>
        </is>
      </c>
      <c r="H2750" t="inlineStr">
        <is>
          <t>20², 60²</t>
        </is>
      </c>
      <c r="I2750" t="n">
        <v>4</v>
      </c>
      <c r="J2750" t="inlineStr">
        <is>
          <t>2⁴, 4², 8⁴, 16²</t>
        </is>
      </c>
      <c r="K2750">
        <f>HYPERLINK("CSG1.html#group12I1", "12I¹"), =HYPERLINK("CSG2.html#group20D2", "20D²"), =HYPERLINK("CSG2.html#group30D2", "30D²"), =HYPERLINK("CSG6.html#group60A6", "60A⁶")</f>
        <v/>
      </c>
      <c r="L2750">
        <f>HYPERLINK("CSG21.html#group60T21", "60T²¹"), =HYPERLINK("CSG23.html#group120K23", "120K²³"), =HYPERLINK("CSG23.html#group120L23", "120L²³")</f>
        <v/>
      </c>
      <c r="M2750">
        <f>HYPERLINK("CSG0.html#group3B0", "3B⁰"), =HYPERLINK("CSG0.html#group2A0", "2A⁰"), =HYPERLINK("CSG0.html#group5A0", "5A⁰"), =HYPERLINK("CSG1.html#group12I1", "12I¹"), =HYPERLINK("CSG2.html#group30D2", "30D²"), =HYPERLINK("CSG0.html#group6C0", "6C⁰"), =HYPERLINK("CSG1.html#group20A1", "20A¹"), =HYPERLINK("CSG6.html#group60A6", "60A⁶"), =HYPERLINK("CSG0.html#group1A0", "1A⁰"), =HYPERLINK("CSG0.html#group10A0", "10A⁰"), =HYPERLINK("CSG2.html#group20D2", "20D²"), =HYPERLINK("CSG0.html#group4A0", "4A⁰"), =HYPERLINK("CSG0.html#group4D0", "4D⁰"), =HYPERLINK("CSG1.html#group12A1", "12A¹"), =HYPERLINK("CSG1.html#group15B1", "15B¹")</f>
        <v/>
      </c>
      <c r="N2750">
        <f>HYPERLINK("CSG23.html#group120K23", "120K²³"), =HYPERLINK("CSG23.html#group120L23", "120L²³"), =HYPERLINK("CSG21.html#group60T21", "60T²¹")</f>
        <v/>
      </c>
    </row>
    <row r="2751">
      <c r="A2751" t="inlineStr">
        <is>
          <t>60K¹¹</t>
        </is>
      </c>
      <c r="B2751" t="inlineStr"/>
      <c r="C2751" t="inlineStr">
        <is>
          <t>160</t>
        </is>
      </c>
      <c r="D2751" t="inlineStr">
        <is>
          <t>2</t>
        </is>
      </c>
      <c r="E2751" t="inlineStr">
        <is>
          <t>40</t>
        </is>
      </c>
      <c r="F2751" t="inlineStr">
        <is>
          <t>0</t>
        </is>
      </c>
      <c r="G2751" t="inlineStr">
        <is>
          <t>4</t>
        </is>
      </c>
      <c r="H2751" t="inlineStr">
        <is>
          <t>20², 60²</t>
        </is>
      </c>
      <c r="I2751" t="n">
        <v>4</v>
      </c>
      <c r="J2751" t="inlineStr">
        <is>
          <t>4², 8⁵, 16²</t>
        </is>
      </c>
      <c r="K2751">
        <f>HYPERLINK("CSG1.html#group20F1", "20F¹"), =HYPERLINK("CSG5.html#group30I5", "30I⁵")</f>
        <v/>
      </c>
      <c r="L2751">
        <f>HYPERLINK("CSG21.html#group60R21", "60R²¹")</f>
        <v/>
      </c>
      <c r="M2751">
        <f>HYPERLINK("CSG0.html#group3B0", "3B⁰"), =HYPERLINK("CSG0.html#group1A0", "1A⁰"), =HYPERLINK("CSG2.html#group15C2", "15C²"), =HYPERLINK("CSG5.html#group30I5", "30I⁵"), =HYPERLINK("CSG0.html#group10D0", "10D⁰"), =HYPERLINK("CSG0.html#group5C0", "5C⁰"), =HYPERLINK("CSG1.html#group20F1", "20F¹")</f>
        <v/>
      </c>
      <c r="N2751">
        <f>HYPERLINK("CSG21.html#group60R21", "60R²¹")</f>
        <v/>
      </c>
    </row>
    <row r="2752">
      <c r="A2752" t="inlineStr">
        <is>
          <t>60L¹¹</t>
        </is>
      </c>
      <c r="B2752" t="inlineStr"/>
      <c r="C2752" t="inlineStr">
        <is>
          <t>180</t>
        </is>
      </c>
      <c r="D2752" t="inlineStr">
        <is>
          <t>1</t>
        </is>
      </c>
      <c r="E2752" t="inlineStr">
        <is>
          <t>30</t>
        </is>
      </c>
      <c r="F2752" t="inlineStr">
        <is>
          <t>12</t>
        </is>
      </c>
      <c r="G2752" t="inlineStr">
        <is>
          <t>0</t>
        </is>
      </c>
      <c r="H2752" t="inlineStr">
        <is>
          <t>30², 60²</t>
        </is>
      </c>
      <c r="I2752" t="n">
        <v>4</v>
      </c>
      <c r="J2752" t="inlineStr">
        <is>
          <t>2³, 4⁶</t>
        </is>
      </c>
      <c r="K2752">
        <f>HYPERLINK("CSG0.html#group12C0", "12C⁰"), =HYPERLINK("CSG3.html#group20F3", "20F³"), =HYPERLINK("CSG5.html#group30K5", "30K⁵")</f>
        <v/>
      </c>
      <c r="L2752">
        <f>HYPERLINK("CSG21.html#group60U21", "60U²¹"), =HYPERLINK("CSG23.html#group60G23", "60G²³"), =HYPERLINK("CSG23.html#group60I23", "60I²³"), =HYPERLINK("CSG23.html#group120M23", "120M²³"), =HYPERLINK("CSG23.html#group120N23", "120N²³")</f>
        <v/>
      </c>
      <c r="M2752">
        <f>HYPERLINK("CSG5.html#group30K5", "30K⁵"), =HYPERLINK("CSG1.html#group15D1", "15D¹"), =HYPERLINK("CSG0.html#group12C0", "12C⁰"), =HYPERLINK("CSG0.html#group4C0", "4C⁰"), =HYPERLINK("CSG0.html#group1A0", "1A⁰"), =HYPERLINK("CSG0.html#group2B0", "2B⁰"), =HYPERLINK("CSG0.html#group3A0", "3A⁰"), =HYPERLINK("CSG0.html#group5C0", "5C⁰"), =HYPERLINK("CSG3.html#group20F3", "20F³"), =HYPERLINK("CSG0.html#group6D0", "6D⁰"), =HYPERLINK("CSG1.html#group10F1", "10F¹")</f>
        <v/>
      </c>
      <c r="N2752">
        <f>HYPERLINK("CSG23.html#group120N23", "120N²³"), =HYPERLINK("CSG23.html#group60G23", "60G²³"), =HYPERLINK("CSG23.html#group60I23", "60I²³"), =HYPERLINK("CSG23.html#group120M23", "120M²³"), =HYPERLINK("CSG21.html#group60U21", "60U²¹")</f>
        <v/>
      </c>
    </row>
    <row r="2753">
      <c r="A2753" t="inlineStr">
        <is>
          <t>60M¹¹</t>
        </is>
      </c>
      <c r="B2753" t="inlineStr"/>
      <c r="C2753" t="inlineStr">
        <is>
          <t>180</t>
        </is>
      </c>
      <c r="D2753" t="inlineStr">
        <is>
          <t>1</t>
        </is>
      </c>
      <c r="E2753" t="inlineStr">
        <is>
          <t>90</t>
        </is>
      </c>
      <c r="F2753" t="inlineStr">
        <is>
          <t>8</t>
        </is>
      </c>
      <c r="G2753" t="inlineStr">
        <is>
          <t>0</t>
        </is>
      </c>
      <c r="H2753" t="inlineStr">
        <is>
          <t>15⁴, 60²</t>
        </is>
      </c>
      <c r="I2753" t="n">
        <v>6</v>
      </c>
      <c r="J2753" t="inlineStr">
        <is>
          <t>2³, 4⁹, 8⁶</t>
        </is>
      </c>
      <c r="K2753">
        <f>HYPERLINK("CSG0.html#group12D0", "12D⁰"), =HYPERLINK("CSG5.html#group30K5", "30K⁵")</f>
        <v/>
      </c>
      <c r="L2753">
        <f>HYPERLINK("CSG21.html#group60V21", "60V²¹"), =HYPERLINK("CSG23.html#group60D23", "60D²³"), =HYPERLINK("CSG23.html#group60F23", "60F²³"), =HYPERLINK("CSG23.html#group60I23", "60I²³"), =HYPERLINK("CSG23.html#group60L23", "60L²³")</f>
        <v/>
      </c>
      <c r="M2753">
        <f>HYPERLINK("CSG5.html#group30K5", "30K⁵"), =HYPERLINK("CSG1.html#group15D1", "15D¹"), =HYPERLINK("CSG0.html#group1A0", "1A⁰"), =HYPERLINK("CSG0.html#group2B0", "2B⁰"), =HYPERLINK("CSG0.html#group12D0", "12D⁰"), =HYPERLINK("CSG0.html#group3A0", "3A⁰"), =HYPERLINK("CSG0.html#group5C0", "5C⁰"), =HYPERLINK("CSG0.html#group6D0", "6D⁰"), =HYPERLINK("CSG1.html#group10F1", "10F¹")</f>
        <v/>
      </c>
      <c r="N2753">
        <f>HYPERLINK("CSG23.html#group60D23", "60D²³"), =HYPERLINK("CSG21.html#group60V21", "60V²¹"), =HYPERLINK("CSG23.html#group60L23", "60L²³"), =HYPERLINK("CSG23.html#group60F23", "60F²³"), =HYPERLINK("CSG23.html#group60I23", "60I²³")</f>
        <v/>
      </c>
    </row>
    <row r="2754">
      <c r="A2754" t="inlineStr">
        <is>
          <t>60N¹¹</t>
        </is>
      </c>
      <c r="B2754" t="inlineStr"/>
      <c r="C2754" t="inlineStr">
        <is>
          <t>216</t>
        </is>
      </c>
      <c r="D2754" t="inlineStr">
        <is>
          <t>1</t>
        </is>
      </c>
      <c r="E2754" t="inlineStr">
        <is>
          <t>54</t>
        </is>
      </c>
      <c r="F2754" t="inlineStr">
        <is>
          <t>8</t>
        </is>
      </c>
      <c r="G2754" t="inlineStr">
        <is>
          <t>0</t>
        </is>
      </c>
      <c r="H2754" t="inlineStr">
        <is>
          <t>3⁴, 12², 15⁴, 60²</t>
        </is>
      </c>
      <c r="I2754" t="n">
        <v>12</v>
      </c>
      <c r="J2754" t="inlineStr">
        <is>
          <t>1⁶, 2⁶, 4³, 8³</t>
        </is>
      </c>
      <c r="K2754">
        <f>HYPERLINK("CSG0.html#group12G0", "12G⁰"), =HYPERLINK("CSG5.html#group30O5", "30O⁵"), =HYPERLINK("CSG5.html#group60B5", "60B⁵")</f>
        <v/>
      </c>
      <c r="L2754">
        <f>HYPERLINK("CSG21.html#group60W21", "60W²¹")</f>
        <v/>
      </c>
      <c r="M2754">
        <f>HYPERLINK("CSG0.html#group5B0", "5B⁰"), =HYPERLINK("CSG0.html#group6G0", "6G⁰"), =HYPERLINK("CSG0.html#group2B0", "2B⁰"), =HYPERLINK("CSG5.html#group30O5", "30O⁵"), =HYPERLINK("CSG0.html#group1A0", "1A⁰"), =HYPERLINK("CSG0.html#group12G0", "12G⁰"), =HYPERLINK("CSG0.html#group15B0", "15B⁰"), =HYPERLINK("CSG2.html#group30E2", "30E²"), =HYPERLINK("CSG1.html#group15E1", "15E¹"), =HYPERLINK("CSG0.html#group10C0", "10C⁰"), =HYPERLINK("CSG0.html#group3C0", "3C⁰"), =HYPERLINK("CSG0.html#group12D0", "12D⁰"), =HYPERLINK("CSG0.html#group3A0", "3A⁰"), =HYPERLINK("CSG0.html#group6D0", "6D⁰"), =HYPERLINK("CSG5.html#group60B5", "60B⁵")</f>
        <v/>
      </c>
      <c r="N2754">
        <f>HYPERLINK("CSG21.html#group60W21", "60W²¹")</f>
        <v/>
      </c>
    </row>
    <row r="2755">
      <c r="A2755" t="inlineStr">
        <is>
          <t>60O¹¹</t>
        </is>
      </c>
      <c r="B2755" t="inlineStr"/>
      <c r="C2755" t="inlineStr">
        <is>
          <t>216</t>
        </is>
      </c>
      <c r="D2755" t="inlineStr">
        <is>
          <t>1</t>
        </is>
      </c>
      <c r="E2755" t="inlineStr">
        <is>
          <t>54</t>
        </is>
      </c>
      <c r="F2755" t="inlineStr">
        <is>
          <t>8</t>
        </is>
      </c>
      <c r="G2755" t="inlineStr">
        <is>
          <t>0</t>
        </is>
      </c>
      <c r="H2755" t="inlineStr">
        <is>
          <t>3⁴, 12², 15⁴, 60²</t>
        </is>
      </c>
      <c r="I2755" t="n">
        <v>12</v>
      </c>
      <c r="J2755" t="inlineStr">
        <is>
          <t>1⁶, 2⁶, 4³, 8³</t>
        </is>
      </c>
      <c r="K2755">
        <f>HYPERLINK("CSG4.html#group60C4", "60C⁴"), =HYPERLINK("CSG5.html#group30O5", "30O⁵"), =HYPERLINK("CSG6.html#group60E6", "60E⁶")</f>
        <v/>
      </c>
      <c r="L2755">
        <f>HYPERLINK("CSG21.html#group60W21", "60W²¹")</f>
        <v/>
      </c>
      <c r="M2755">
        <f>HYPERLINK("CSG6.html#group60E6", "60E⁶"), =HYPERLINK("CSG0.html#group5B0", "5B⁰"), =HYPERLINK("CSG0.html#group6G0", "6G⁰"), =HYPERLINK("CSG4.html#group60C4", "60C⁴"), =HYPERLINK("CSG0.html#group2B0", "2B⁰"), =HYPERLINK("CSG5.html#group30O5", "30O⁵"), =HYPERLINK("CSG0.html#group1A0", "1A⁰"), =HYPERLINK("CSG0.html#group20A0", "20A⁰"), =HYPERLINK("CSG0.html#group15B0", "15B⁰"), =HYPERLINK("CSG2.html#group30E2", "30E²"), =HYPERLINK("CSG0.html#group10C0", "10C⁰"), =HYPERLINK("CSG0.html#group3C0", "3C⁰"), =HYPERLINK("CSG0.html#group3A0", "3A⁰"), =HYPERLINK("CSG0.html#group6D0", "6D⁰"), =HYPERLINK("CSG1.html#group15E1", "15E¹")</f>
        <v/>
      </c>
      <c r="N2755">
        <f>HYPERLINK("CSG21.html#group60W21", "60W²¹")</f>
        <v/>
      </c>
    </row>
    <row r="2756">
      <c r="A2756" t="inlineStr">
        <is>
          <t>60P¹¹</t>
        </is>
      </c>
      <c r="B2756" t="inlineStr"/>
      <c r="C2756" t="inlineStr">
        <is>
          <t>216</t>
        </is>
      </c>
      <c r="D2756" t="inlineStr">
        <is>
          <t>1</t>
        </is>
      </c>
      <c r="E2756" t="inlineStr">
        <is>
          <t>54</t>
        </is>
      </c>
      <c r="F2756" t="inlineStr">
        <is>
          <t>16</t>
        </is>
      </c>
      <c r="G2756" t="inlineStr">
        <is>
          <t>0</t>
        </is>
      </c>
      <c r="H2756" t="inlineStr">
        <is>
          <t>6², 12², 30², 60²</t>
        </is>
      </c>
      <c r="I2756" t="n">
        <v>8</v>
      </c>
      <c r="J2756" t="inlineStr">
        <is>
          <t>1⁶, 2⁶, 4³, 8³</t>
        </is>
      </c>
      <c r="K2756">
        <f>HYPERLINK("CSG4.html#group30H4", "30H⁴"), =HYPERLINK("CSG5.html#group60B5", "60B⁵"), =HYPERLINK("CSG6.html#group60F6", "60F⁶")</f>
        <v/>
      </c>
      <c r="L2756">
        <f>HYPERLINK("CSG21.html#group60X21", "60X²¹")</f>
        <v/>
      </c>
      <c r="M2756">
        <f>HYPERLINK("CSG0.html#group30A0", "30A⁰"), =HYPERLINK("CSG0.html#group15B0", "15B⁰"), =HYPERLINK("CSG6.html#group60F6", "60F⁶"), =HYPERLINK("CSG2.html#group30E2", "30E²"), =HYPERLINK("CSG0.html#group10G0", "10G⁰"), =HYPERLINK("CSG0.html#group5B0", "5B⁰"), =HYPERLINK("CSG0.html#group10C0", "10C⁰"), =HYPERLINK("CSG0.html#group2B0", "2B⁰"), =HYPERLINK("CSG4.html#group30H4", "30H⁴"), =HYPERLINK("CSG0.html#group12D0", "12D⁰"), =HYPERLINK("CSG0.html#group3A0", "3A⁰"), =HYPERLINK("CSG0.html#group1A0", "1A⁰"), =HYPERLINK("CSG0.html#group6D0", "6D⁰"), =HYPERLINK("CSG5.html#group60B5", "60B⁵"), =HYPERLINK("CSG0.html#group10B0", "10B⁰")</f>
        <v/>
      </c>
      <c r="N2756">
        <f>HYPERLINK("CSG21.html#group60X21", "60X²¹")</f>
        <v/>
      </c>
    </row>
    <row r="2757">
      <c r="A2757" t="inlineStr">
        <is>
          <t>60Q¹¹</t>
        </is>
      </c>
      <c r="B2757" t="inlineStr"/>
      <c r="C2757" t="inlineStr">
        <is>
          <t>216</t>
        </is>
      </c>
      <c r="D2757" t="inlineStr">
        <is>
          <t>1</t>
        </is>
      </c>
      <c r="E2757" t="inlineStr">
        <is>
          <t>54</t>
        </is>
      </c>
      <c r="F2757" t="inlineStr">
        <is>
          <t>16</t>
        </is>
      </c>
      <c r="G2757" t="inlineStr">
        <is>
          <t>0</t>
        </is>
      </c>
      <c r="H2757" t="inlineStr">
        <is>
          <t>6², 12², 30², 60²</t>
        </is>
      </c>
      <c r="I2757" t="n">
        <v>8</v>
      </c>
      <c r="J2757" t="inlineStr">
        <is>
          <t>1⁶, 2⁶, 4³, 8³</t>
        </is>
      </c>
      <c r="K2757">
        <f>HYPERLINK("CSG4.html#group30I4", "30I⁴"), =HYPERLINK("CSG5.html#group60A5", "60A⁵"), =HYPERLINK("CSG6.html#group60F6", "60F⁶")</f>
        <v/>
      </c>
      <c r="L2757">
        <f>HYPERLINK("CSG21.html#group60X21", "60X²¹")</f>
        <v/>
      </c>
      <c r="M2757">
        <f>HYPERLINK("CSG1.html#group20E1", "20E¹"), =HYPERLINK("CSG0.html#group15B0", "15B⁰"), =HYPERLINK("CSG6.html#group60F6", "60F⁶"), =HYPERLINK("CSG0.html#group12C0", "12C⁰"), =HYPERLINK("CSG2.html#group30E2", "30E²"), =HYPERLINK("CSG5.html#group60A5", "60A⁵"), =HYPERLINK("CSG4.html#group30I4", "30I⁴"), =HYPERLINK("CSG0.html#group4C0", "4C⁰"), =HYPERLINK("CSG0.html#group5B0", "5B⁰"), =HYPERLINK("CSG0.html#group10C0", "10C⁰"), =HYPERLINK("CSG0.html#group2B0", "2B⁰"), =HYPERLINK("CSG0.html#group3A0", "3A⁰"), =HYPERLINK("CSG0.html#group1A0", "1A⁰"), =HYPERLINK("CSG0.html#group6D0", "6D⁰"), =HYPERLINK("CSG0.html#group15C0", "15C⁰")</f>
        <v/>
      </c>
      <c r="N2757">
        <f>HYPERLINK("CSG21.html#group60X21", "60X²¹")</f>
        <v/>
      </c>
    </row>
    <row r="2758">
      <c r="A2758" t="inlineStr">
        <is>
          <t>60R¹¹</t>
        </is>
      </c>
      <c r="B2758" t="inlineStr"/>
      <c r="C2758" t="inlineStr">
        <is>
          <t>216</t>
        </is>
      </c>
      <c r="D2758" t="inlineStr">
        <is>
          <t>1</t>
        </is>
      </c>
      <c r="E2758" t="inlineStr">
        <is>
          <t>54</t>
        </is>
      </c>
      <c r="F2758" t="inlineStr">
        <is>
          <t>16</t>
        </is>
      </c>
      <c r="G2758" t="inlineStr">
        <is>
          <t>0</t>
        </is>
      </c>
      <c r="H2758" t="inlineStr">
        <is>
          <t>6², 12², 30², 60²</t>
        </is>
      </c>
      <c r="I2758" t="n">
        <v>8</v>
      </c>
      <c r="J2758" t="inlineStr">
        <is>
          <t>1⁶, 2⁶, 4³, 8³</t>
        </is>
      </c>
      <c r="K2758">
        <f>HYPERLINK("CSG4.html#group60C4", "60C⁴"), =HYPERLINK("CSG5.html#group30P5", "30P⁵"), =HYPERLINK("CSG6.html#group60F6", "60F⁶")</f>
        <v/>
      </c>
      <c r="L2758">
        <f>HYPERLINK("CSG21.html#group60X21", "60X²¹")</f>
        <v/>
      </c>
      <c r="M2758">
        <f>HYPERLINK("CSG0.html#group6B0", "6B⁰"), =HYPERLINK("CSG6.html#group60F6", "60F⁶"), =HYPERLINK("CSG0.html#group5B0", "5B⁰"), =HYPERLINK("CSG4.html#group60C4", "60C⁴"), =HYPERLINK("CSG0.html#group2B0", "2B⁰"), =HYPERLINK("CSG0.html#group1A0", "1A⁰"), =HYPERLINK("CSG5.html#group30P5", "30P⁵"), =HYPERLINK("CSG0.html#group20A0", "20A⁰"), =HYPERLINK("CSG0.html#group15B0", "15B⁰"), =HYPERLINK("CSG2.html#group30E2", "30E²"), =HYPERLINK("CSG0.html#group10C0", "10C⁰"), =HYPERLINK("CSG0.html#group6H0", "6H⁰"), =HYPERLINK("CSG0.html#group3A0", "3A⁰"), =HYPERLINK("CSG0.html#group6D0", "6D⁰"), =HYPERLINK("CSG1.html#group30C1", "30C¹")</f>
        <v/>
      </c>
      <c r="N2758">
        <f>HYPERLINK("CSG21.html#group60X21", "60X²¹")</f>
        <v/>
      </c>
    </row>
    <row r="2759">
      <c r="A2759" t="inlineStr">
        <is>
          <t>60S¹¹</t>
        </is>
      </c>
      <c r="B2759" t="inlineStr"/>
      <c r="C2759" t="inlineStr">
        <is>
          <t>216</t>
        </is>
      </c>
      <c r="D2759" t="inlineStr">
        <is>
          <t>1</t>
        </is>
      </c>
      <c r="E2759" t="inlineStr">
        <is>
          <t>54</t>
        </is>
      </c>
      <c r="F2759" t="inlineStr">
        <is>
          <t>16</t>
        </is>
      </c>
      <c r="G2759" t="inlineStr">
        <is>
          <t>0</t>
        </is>
      </c>
      <c r="H2759" t="inlineStr">
        <is>
          <t>6², 12², 30², 60²</t>
        </is>
      </c>
      <c r="I2759" t="n">
        <v>8</v>
      </c>
      <c r="J2759" t="inlineStr">
        <is>
          <t>1⁶, 2⁶, 4³, 8³</t>
        </is>
      </c>
      <c r="K2759">
        <f>HYPERLINK("CSG0.html#group12H0", "12H⁰"), =HYPERLINK("CSG5.html#group30P5", "30P⁵"), =HYPERLINK("CSG5.html#group60A5", "60A⁵"), =HYPERLINK("CSG5.html#group60B5", "60B⁵")</f>
        <v/>
      </c>
      <c r="L2759">
        <f>HYPERLINK("CSG21.html#group60X21", "60X²¹")</f>
        <v/>
      </c>
      <c r="M2759">
        <f>HYPERLINK("CSG1.html#group20E1", "20E¹"), =HYPERLINK("CSG0.html#group6B0", "6B⁰"), =HYPERLINK("CSG0.html#group12C0", "12C⁰"), =HYPERLINK("CSG1.html#group30C1", "30C¹"), =HYPERLINK("CSG0.html#group4C0", "4C⁰"), =HYPERLINK("CSG0.html#group5B0", "5B⁰"), =HYPERLINK("CSG0.html#group2B0", "2B⁰"), =HYPERLINK("CSG0.html#group12H0", "12H⁰"), =HYPERLINK("CSG0.html#group1A0", "1A⁰"), =HYPERLINK("CSG5.html#group30P5", "30P⁵"), =HYPERLINK("CSG0.html#group15B0", "15B⁰"), =HYPERLINK("CSG2.html#group30E2", "30E²"), =HYPERLINK("CSG5.html#group60A5", "60A⁵"), =HYPERLINK("CSG0.html#group10C0", "10C⁰"), =HYPERLINK("CSG0.html#group12D0", "12D⁰"), =HYPERLINK("CSG0.html#group6H0", "6H⁰"), =HYPERLINK("CSG0.html#group3A0", "3A⁰"), =HYPERLINK("CSG0.html#group6D0", "6D⁰"), =HYPERLINK("CSG5.html#group60B5", "60B⁵")</f>
        <v/>
      </c>
      <c r="N2759">
        <f>HYPERLINK("CSG21.html#group60X21", "60X²¹")</f>
        <v/>
      </c>
    </row>
    <row r="2760">
      <c r="A2760" t="inlineStr">
        <is>
          <t>60T¹¹</t>
        </is>
      </c>
      <c r="B2760" t="inlineStr"/>
      <c r="C2760" t="inlineStr">
        <is>
          <t>216</t>
        </is>
      </c>
      <c r="D2760" t="inlineStr">
        <is>
          <t>2</t>
        </is>
      </c>
      <c r="E2760" t="inlineStr">
        <is>
          <t>18</t>
        </is>
      </c>
      <c r="F2760" t="inlineStr">
        <is>
          <t>12</t>
        </is>
      </c>
      <c r="G2760" t="inlineStr">
        <is>
          <t>0</t>
        </is>
      </c>
      <c r="H2760" t="inlineStr">
        <is>
          <t>6⁴, 12¹, 30⁴, 60¹</t>
        </is>
      </c>
      <c r="I2760" t="n">
        <v>10</v>
      </c>
      <c r="J2760" t="inlineStr">
        <is>
          <t>2⁶, 8³</t>
        </is>
      </c>
      <c r="K2760">
        <f>HYPERLINK("CSG1.html#group20J1", "20J¹"), =HYPERLINK("CSG4.html#group30H4", "30H⁴")</f>
        <v/>
      </c>
      <c r="L2760">
        <f>HYPERLINK("CSG23.html#group60S23", "60S²³")</f>
        <v/>
      </c>
      <c r="M2760">
        <f>HYPERLINK("CSG0.html#group30A0", "30A⁰"), =HYPERLINK("CSG0.html#group10G0", "10G⁰"), =HYPERLINK("CSG0.html#group5B0", "5B⁰"), =HYPERLINK("CSG0.html#group2B0", "2B⁰"), =HYPERLINK("CSG0.html#group1A0", "1A⁰"), =HYPERLINK("CSG1.html#group20J1", "20J¹"), =HYPERLINK("CSG0.html#group10B0", "10B⁰"), =HYPERLINK("CSG0.html#group15B0", "15B⁰"), =HYPERLINK("CSG2.html#group30E2", "30E²"), =HYPERLINK("CSG0.html#group10C0", "10C⁰"), =HYPERLINK("CSG4.html#group30H4", "30H⁴"), =HYPERLINK("CSG0.html#group3A0", "3A⁰"), =HYPERLINK("CSG0.html#group6D0", "6D⁰")</f>
        <v/>
      </c>
      <c r="N2760">
        <f>HYPERLINK("CSG23.html#group60S23", "60S²³")</f>
        <v/>
      </c>
    </row>
    <row r="2761">
      <c r="A2761" t="inlineStr">
        <is>
          <t>60U¹¹</t>
        </is>
      </c>
      <c r="B2761" t="inlineStr"/>
      <c r="C2761" t="inlineStr">
        <is>
          <t>216</t>
        </is>
      </c>
      <c r="D2761" t="inlineStr">
        <is>
          <t>2</t>
        </is>
      </c>
      <c r="E2761" t="inlineStr">
        <is>
          <t>54</t>
        </is>
      </c>
      <c r="F2761" t="inlineStr">
        <is>
          <t>8</t>
        </is>
      </c>
      <c r="G2761" t="inlineStr">
        <is>
          <t>0</t>
        </is>
      </c>
      <c r="H2761" t="inlineStr">
        <is>
          <t>3⁴, 12², 15⁴, 60²</t>
        </is>
      </c>
      <c r="I2761" t="n">
        <v>12</v>
      </c>
      <c r="J2761" t="inlineStr">
        <is>
          <t>2¹⁸, 8⁹</t>
        </is>
      </c>
      <c r="K2761">
        <f>HYPERLINK("CSG4.html#group30I4", "30I⁴"), =HYPERLINK("CSG5.html#group60B5", "60B⁵"), =HYPERLINK("CSG6.html#group60E6", "60E⁶")</f>
        <v/>
      </c>
      <c r="L2761">
        <f>HYPERLINK("CSG21.html#group60W21", "60W²¹")</f>
        <v/>
      </c>
      <c r="M2761">
        <f>HYPERLINK("CSG0.html#group15B0", "15B⁰"), =HYPERLINK("CSG6.html#group60E6", "60E⁶"), =HYPERLINK("CSG2.html#group30E2", "30E²"), =HYPERLINK("CSG4.html#group30I4", "30I⁴"), =HYPERLINK("CSG0.html#group5B0", "5B⁰"), =HYPERLINK("CSG0.html#group10C0", "10C⁰"), =HYPERLINK("CSG0.html#group2B0", "2B⁰"), =HYPERLINK("CSG0.html#group12D0", "12D⁰"), =HYPERLINK("CSG0.html#group15C0", "15C⁰"), =HYPERLINK("CSG0.html#group3A0", "3A⁰"), =HYPERLINK("CSG0.html#group1A0", "1A⁰"), =HYPERLINK("CSG0.html#group6D0", "6D⁰"), =HYPERLINK("CSG5.html#group60B5", "60B⁵")</f>
        <v/>
      </c>
      <c r="N2761">
        <f>HYPERLINK("CSG21.html#group60W21", "60W²¹")</f>
        <v/>
      </c>
    </row>
    <row r="2762">
      <c r="A2762" t="inlineStr">
        <is>
          <t>60V¹¹</t>
        </is>
      </c>
      <c r="B2762" t="inlineStr"/>
      <c r="C2762" t="inlineStr">
        <is>
          <t>216</t>
        </is>
      </c>
      <c r="D2762" t="inlineStr">
        <is>
          <t>2</t>
        </is>
      </c>
      <c r="E2762" t="inlineStr">
        <is>
          <t>54</t>
        </is>
      </c>
      <c r="F2762" t="inlineStr">
        <is>
          <t>12</t>
        </is>
      </c>
      <c r="G2762" t="inlineStr">
        <is>
          <t>0</t>
        </is>
      </c>
      <c r="H2762" t="inlineStr">
        <is>
          <t>6⁴, 12¹, 30⁴, 60¹</t>
        </is>
      </c>
      <c r="I2762" t="n">
        <v>10</v>
      </c>
      <c r="J2762" t="inlineStr">
        <is>
          <t>2⁶, 4⁶, 8³, 16³</t>
        </is>
      </c>
      <c r="K2762">
        <f>HYPERLINK("CSG4.html#group30H4", "30H⁴")</f>
        <v/>
      </c>
      <c r="L2762">
        <f>HYPERLINK("CSG23.html#group60O23", "60O²³"), =HYPERLINK("CSG23.html#group60P23", "60P²³"), =HYPERLINK("CSG23.html#group60S23", "60S²³")</f>
        <v/>
      </c>
      <c r="M2762">
        <f>HYPERLINK("CSG0.html#group30A0", "30A⁰"), =HYPERLINK("CSG0.html#group15B0", "15B⁰"), =HYPERLINK("CSG0.html#group10G0", "10G⁰"), =HYPERLINK("CSG2.html#group30E2", "30E²"), =HYPERLINK("CSG0.html#group5B0", "5B⁰"), =HYPERLINK("CSG0.html#group10C0", "10C⁰"), =HYPERLINK("CSG0.html#group2B0", "2B⁰"), =HYPERLINK("CSG4.html#group30H4", "30H⁴"), =HYPERLINK("CSG0.html#group3A0", "3A⁰"), =HYPERLINK("CSG0.html#group1A0", "1A⁰"), =HYPERLINK("CSG0.html#group6D0", "6D⁰"), =HYPERLINK("CSG0.html#group10B0", "10B⁰")</f>
        <v/>
      </c>
      <c r="N2762">
        <f>HYPERLINK("CSG23.html#group60P23", "60P²³"), =HYPERLINK("CSG23.html#group60O23", "60O²³"), =HYPERLINK("CSG23.html#group60S23", "60S²³")</f>
        <v/>
      </c>
    </row>
    <row r="2763">
      <c r="A2763" t="inlineStr">
        <is>
          <t>63A¹¹</t>
        </is>
      </c>
      <c r="B2763" t="inlineStr"/>
      <c r="C2763" t="inlineStr">
        <is>
          <t>144</t>
        </is>
      </c>
      <c r="D2763" t="inlineStr">
        <is>
          <t>1</t>
        </is>
      </c>
      <c r="E2763" t="inlineStr">
        <is>
          <t>24</t>
        </is>
      </c>
      <c r="F2763" t="inlineStr">
        <is>
          <t>0</t>
        </is>
      </c>
      <c r="G2763" t="inlineStr">
        <is>
          <t>0</t>
        </is>
      </c>
      <c r="H2763" t="inlineStr">
        <is>
          <t>9², 63²</t>
        </is>
      </c>
      <c r="I2763" t="n">
        <v>4</v>
      </c>
      <c r="J2763" t="inlineStr">
        <is>
          <t>1², 2², 6¹, 12¹</t>
        </is>
      </c>
      <c r="K2763">
        <f>HYPERLINK("CSG0.html#group9D0", "9D⁰"), =HYPERLINK("CSG3.html#group21A3", "21A³"), =HYPERLINK("CSG6.html#group63A6", "63A⁶")</f>
        <v/>
      </c>
      <c r="L2763">
        <f>HYPERLINK("CSG21.html#group63A21", "63A²¹"), =HYPERLINK("CSG23.html#group126A23", "126A²³"), =HYPERLINK("CSG23.html#group126B23", "126B²³")</f>
        <v/>
      </c>
      <c r="M2763">
        <f>HYPERLINK("CSG0.html#group9D0", "9D⁰"), =HYPERLINK("CSG6.html#group63A6", "63A⁶"), =HYPERLINK("CSG2.html#group21A2", "21A²"), =HYPERLINK("CSG0.html#group7B0", "7B⁰"), =HYPERLINK("CSG0.html#group9A0", "9A⁰"), =HYPERLINK("CSG0.html#group3C0", "3C⁰"), =HYPERLINK("CSG0.html#group3A0", "3A⁰"), =HYPERLINK("CSG0.html#group1A0", "1A⁰"), =HYPERLINK("CSG3.html#group21A3", "21A³")</f>
        <v/>
      </c>
      <c r="N2763">
        <f>HYPERLINK("CSG21.html#group63A21", "63A²¹"), =HYPERLINK("CSG23.html#group126B23", "126B²³"), =HYPERLINK("CSG23.html#group126A23", "126A²³")</f>
        <v/>
      </c>
    </row>
    <row r="2764">
      <c r="A2764" t="inlineStr">
        <is>
          <t>63B¹¹</t>
        </is>
      </c>
      <c r="B2764" t="inlineStr"/>
      <c r="C2764" t="inlineStr">
        <is>
          <t>144</t>
        </is>
      </c>
      <c r="D2764" t="inlineStr">
        <is>
          <t>1</t>
        </is>
      </c>
      <c r="E2764" t="inlineStr">
        <is>
          <t>48</t>
        </is>
      </c>
      <c r="F2764" t="inlineStr">
        <is>
          <t>0</t>
        </is>
      </c>
      <c r="G2764" t="inlineStr">
        <is>
          <t>0</t>
        </is>
      </c>
      <c r="H2764" t="inlineStr">
        <is>
          <t>9², 63²</t>
        </is>
      </c>
      <c r="I2764" t="n">
        <v>4</v>
      </c>
      <c r="J2764" t="inlineStr">
        <is>
          <t>2⁶, 12³</t>
        </is>
      </c>
      <c r="K2764">
        <f>HYPERLINK("CSG3.html#group21A3", "21A³")</f>
        <v/>
      </c>
      <c r="L2764">
        <f>HYPERLINK("CSG21.html#group63B21", "63B²¹"), =HYPERLINK("CSG23.html#group126C23", "126C²³"), =HYPERLINK("CSG23.html#group126D23", "126D²³")</f>
        <v/>
      </c>
      <c r="M2764">
        <f>HYPERLINK("CSG0.html#group3C0", "3C⁰"), =HYPERLINK("CSG2.html#group21A2", "21A²"), =HYPERLINK("CSG0.html#group3A0", "3A⁰"), =HYPERLINK("CSG0.html#group1A0", "1A⁰"), =HYPERLINK("CSG0.html#group7B0", "7B⁰"), =HYPERLINK("CSG3.html#group21A3", "21A³")</f>
        <v/>
      </c>
      <c r="N2764">
        <f>HYPERLINK("CSG21.html#group63B21", "63B²¹"), =HYPERLINK("CSG23.html#group126D23", "126D²³"), =HYPERLINK("CSG23.html#group126C23", "126C²³")</f>
        <v/>
      </c>
    </row>
    <row r="2765">
      <c r="A2765" t="inlineStr">
        <is>
          <t>63C¹¹</t>
        </is>
      </c>
      <c r="B2765" t="inlineStr"/>
      <c r="C2765" t="inlineStr">
        <is>
          <t>144</t>
        </is>
      </c>
      <c r="D2765" t="inlineStr">
        <is>
          <t>2</t>
        </is>
      </c>
      <c r="E2765" t="inlineStr">
        <is>
          <t>72</t>
        </is>
      </c>
      <c r="F2765" t="inlineStr">
        <is>
          <t>0</t>
        </is>
      </c>
      <c r="G2765" t="inlineStr">
        <is>
          <t>0</t>
        </is>
      </c>
      <c r="H2765" t="inlineStr">
        <is>
          <t>9², 63²</t>
        </is>
      </c>
      <c r="I2765" t="n">
        <v>4</v>
      </c>
      <c r="J2765" t="inlineStr">
        <is>
          <t>2⁶, 6⁴, 12³, 36²</t>
        </is>
      </c>
      <c r="K2765">
        <f>HYPERLINK("CSG1.html#group9B1", "9B¹"), =HYPERLINK("CSG3.html#group21A3", "21A³"), =HYPERLINK("CSG6.html#group63A6", "63A⁶")</f>
        <v/>
      </c>
      <c r="L2765">
        <f>HYPERLINK("CSG21.html#group63A21", "63A²¹"), =HYPERLINK("CSG23.html#group126G23", "126G²³"), =HYPERLINK("CSG23.html#group126H23", "126H²³")</f>
        <v/>
      </c>
      <c r="M2765">
        <f>HYPERLINK("CSG6.html#group63A6", "63A⁶"), =HYPERLINK("CSG2.html#group21A2", "21A²"), =HYPERLINK("CSG0.html#group7B0", "7B⁰"), =HYPERLINK("CSG0.html#group9A0", "9A⁰"), =HYPERLINK("CSG0.html#group3C0", "3C⁰"), =HYPERLINK("CSG0.html#group3A0", "3A⁰"), =HYPERLINK("CSG0.html#group1A0", "1A⁰"), =HYPERLINK("CSG1.html#group9B1", "9B¹"), =HYPERLINK("CSG3.html#group21A3", "21A³")</f>
        <v/>
      </c>
      <c r="N2765">
        <f>HYPERLINK("CSG23.html#group126G23", "126G²³"), =HYPERLINK("CSG21.html#group63A21", "63A²¹"), =HYPERLINK("CSG23.html#group126H23", "126H²³")</f>
        <v/>
      </c>
    </row>
    <row r="2766">
      <c r="A2766" t="inlineStr">
        <is>
          <t>63D¹¹</t>
        </is>
      </c>
      <c r="B2766" t="inlineStr"/>
      <c r="C2766" t="inlineStr">
        <is>
          <t>168</t>
        </is>
      </c>
      <c r="D2766" t="inlineStr">
        <is>
          <t>2</t>
        </is>
      </c>
      <c r="E2766" t="inlineStr">
        <is>
          <t>28</t>
        </is>
      </c>
      <c r="F2766" t="inlineStr">
        <is>
          <t>0</t>
        </is>
      </c>
      <c r="G2766" t="inlineStr">
        <is>
          <t>0</t>
        </is>
      </c>
      <c r="H2766" t="inlineStr">
        <is>
          <t>7⁶, 63²</t>
        </is>
      </c>
      <c r="I2766" t="n">
        <v>8</v>
      </c>
      <c r="J2766" t="inlineStr">
        <is>
          <t>2², 4¹, 6⁴, 12²</t>
        </is>
      </c>
      <c r="K2766">
        <f>HYPERLINK("CSG3.html#group21B3", "21B³"), =HYPERLINK("CSG6.html#group63B6", "63B⁶")</f>
        <v/>
      </c>
      <c r="L2766" t="inlineStr"/>
      <c r="M2766">
        <f>HYPERLINK("CSG3.html#group21B3", "21B³"), =HYPERLINK("CSG0.html#group3B0", "3B⁰"), =HYPERLINK("CSG2.html#group21B2", "21B²"), =HYPERLINK("CSG0.html#group7C0", "7C⁰"), =HYPERLINK("CSG6.html#group63B6", "63B⁶"), =HYPERLINK("CSG0.html#group9B0", "9B⁰"), =HYPERLINK("CSG0.html#group1A0", "1A⁰"), =HYPERLINK("CSG0.html#group7A0", "7A⁰")</f>
        <v/>
      </c>
      <c r="N2766" t="inlineStr"/>
    </row>
    <row r="2767">
      <c r="A2767" t="inlineStr">
        <is>
          <t>63E¹¹</t>
        </is>
      </c>
      <c r="B2767" t="inlineStr"/>
      <c r="C2767" t="inlineStr">
        <is>
          <t>168</t>
        </is>
      </c>
      <c r="D2767" t="inlineStr">
        <is>
          <t>2</t>
        </is>
      </c>
      <c r="E2767" t="inlineStr">
        <is>
          <t>28</t>
        </is>
      </c>
      <c r="F2767" t="inlineStr">
        <is>
          <t>0</t>
        </is>
      </c>
      <c r="G2767" t="inlineStr">
        <is>
          <t>6</t>
        </is>
      </c>
      <c r="H2767" t="inlineStr">
        <is>
          <t>21², 63²</t>
        </is>
      </c>
      <c r="I2767" t="n">
        <v>4</v>
      </c>
      <c r="J2767" t="inlineStr">
        <is>
          <t>2², 4¹, 6⁴, 12²</t>
        </is>
      </c>
      <c r="K2767">
        <f>HYPERLINK("CSG3.html#group21B3", "21B³"), =HYPERLINK("CSG6.html#group63C6", "63C⁶")</f>
        <v/>
      </c>
      <c r="L2767">
        <f>HYPERLINK("CSG23.html#group126J23", "126J²³")</f>
        <v/>
      </c>
      <c r="M2767">
        <f>HYPERLINK("CSG3.html#group21B3", "21B³"), =HYPERLINK("CSG0.html#group3B0", "3B⁰"), =HYPERLINK("CSG2.html#group21B2", "21B²"), =HYPERLINK("CSG6.html#group63C6", "63C⁶"), =HYPERLINK("CSG0.html#group7C0", "7C⁰"), =HYPERLINK("CSG0.html#group9C0", "9C⁰"), =HYPERLINK("CSG0.html#group1A0", "1A⁰"), =HYPERLINK("CSG0.html#group7A0", "7A⁰")</f>
        <v/>
      </c>
      <c r="N2767">
        <f>HYPERLINK("CSG23.html#group126J23", "126J²³")</f>
        <v/>
      </c>
    </row>
    <row r="2768">
      <c r="A2768" t="inlineStr">
        <is>
          <t>63F¹¹</t>
        </is>
      </c>
      <c r="B2768" t="inlineStr"/>
      <c r="C2768" t="inlineStr">
        <is>
          <t>192</t>
        </is>
      </c>
      <c r="D2768" t="inlineStr">
        <is>
          <t>2</t>
        </is>
      </c>
      <c r="E2768" t="inlineStr">
        <is>
          <t>32</t>
        </is>
      </c>
      <c r="F2768" t="inlineStr">
        <is>
          <t>0</t>
        </is>
      </c>
      <c r="G2768" t="inlineStr">
        <is>
          <t>6</t>
        </is>
      </c>
      <c r="H2768" t="inlineStr">
        <is>
          <t>3², 9², 21², 63²</t>
        </is>
      </c>
      <c r="I2768" t="n">
        <v>8</v>
      </c>
      <c r="J2768" t="inlineStr">
        <is>
          <t>2⁸, 12⁴</t>
        </is>
      </c>
      <c r="K2768">
        <f>HYPERLINK("CSG1.html#group21F1", "21F¹"), =HYPERLINK("CSG6.html#group63D6", "63D⁶")</f>
        <v/>
      </c>
      <c r="L2768" t="inlineStr"/>
      <c r="M2768">
        <f>HYPERLINK("CSG0.html#group3B0", "3B⁰"), =HYPERLINK("CSG1.html#group21B1", "21B¹"), =HYPERLINK("CSG6.html#group63D6", "63D⁶"), =HYPERLINK("CSG0.html#group1A0", "1A⁰"), =HYPERLINK("CSG0.html#group7B0", "7B⁰"), =HYPERLINK("CSG1.html#group21F1", "21F¹")</f>
        <v/>
      </c>
      <c r="N2768" t="inlineStr"/>
    </row>
    <row r="2769">
      <c r="A2769" t="inlineStr">
        <is>
          <t>64A¹¹</t>
        </is>
      </c>
      <c r="B2769" t="inlineStr"/>
      <c r="C2769" t="inlineStr">
        <is>
          <t>192</t>
        </is>
      </c>
      <c r="D2769" t="inlineStr">
        <is>
          <t>1</t>
        </is>
      </c>
      <c r="E2769" t="inlineStr">
        <is>
          <t>12</t>
        </is>
      </c>
      <c r="F2769" t="inlineStr">
        <is>
          <t>0</t>
        </is>
      </c>
      <c r="G2769" t="inlineStr">
        <is>
          <t>0</t>
        </is>
      </c>
      <c r="H2769" t="inlineStr">
        <is>
          <t>4⁸, 16², 64²</t>
        </is>
      </c>
      <c r="I2769" t="n">
        <v>12</v>
      </c>
      <c r="J2769" t="inlineStr">
        <is>
          <t>1⁴, 2², 4¹</t>
        </is>
      </c>
      <c r="K2769">
        <f>HYPERLINK("CSG3.html#group32K3", "32K³"), =HYPERLINK("CSG6.html#group64A6", "64A⁶")</f>
        <v/>
      </c>
      <c r="L2769">
        <f>HYPERLINK("CSG21.html#group64C21", "64C²¹"), =HYPERLINK("CSG21.html#group64D21", "64D²¹"), =HYPERLINK("CSG21.html#group64E21", "64E²¹")</f>
        <v/>
      </c>
      <c r="M2769">
        <f>HYPERLINK("CSG0.html#group2A0", "2A⁰"), =HYPERLINK("CSG0.html#group8D0", "8D⁰"), =HYPERLINK("CSG1.html#group16E1", "16E¹"), =HYPERLINK("CSG0.html#group4C0", "4C⁰"), =HYPERLINK("CSG1.html#group16A1", "16A¹"), =HYPERLINK("CSG0.html#group8C0", "8C⁰"), =HYPERLINK("CSG0.html#group2B0", "2B⁰"), =HYPERLINK("CSG0.html#group4E0", "4E⁰"), =HYPERLINK("CSG3.html#group32K3", "32K³"), =HYPERLINK("CSG0.html#group4B0", "4B⁰"), =HYPERLINK("CSG0.html#group1A0", "1A⁰"), =HYPERLINK("CSG6.html#group64A6", "64A⁶"), =HYPERLINK("CSG0.html#group8G0", "8G⁰"), =HYPERLINK("CSG0.html#group16C0", "16C⁰"), =HYPERLINK("CSG0.html#group32A0", "32A⁰"), =HYPERLINK("CSG2.html#group32A2", "32A²"), =HYPERLINK("CSG0.html#group2C0", "2C⁰")</f>
        <v/>
      </c>
      <c r="N2769">
        <f>HYPERLINK("CSG21.html#group64C21", "64C²¹"), =HYPERLINK("CSG21.html#group64E21", "64E²¹"), =HYPERLINK("CSG21.html#group64D21", "64D²¹")</f>
        <v/>
      </c>
    </row>
    <row r="2770">
      <c r="A2770" t="inlineStr">
        <is>
          <t>64B¹¹</t>
        </is>
      </c>
      <c r="B2770" t="inlineStr"/>
      <c r="C2770" t="inlineStr">
        <is>
          <t>192</t>
        </is>
      </c>
      <c r="D2770" t="inlineStr">
        <is>
          <t>1</t>
        </is>
      </c>
      <c r="E2770" t="inlineStr">
        <is>
          <t>24</t>
        </is>
      </c>
      <c r="F2770" t="inlineStr">
        <is>
          <t>0</t>
        </is>
      </c>
      <c r="G2770" t="inlineStr">
        <is>
          <t>0</t>
        </is>
      </c>
      <c r="H2770" t="inlineStr">
        <is>
          <t>4⁸, 16², 64²</t>
        </is>
      </c>
      <c r="I2770" t="n">
        <v>12</v>
      </c>
      <c r="J2770" t="inlineStr">
        <is>
          <t>1⁴, 2², 4², 8¹</t>
        </is>
      </c>
      <c r="K2770">
        <f>HYPERLINK("CSG3.html#group32M3", "32M³"), =HYPERLINK("CSG6.html#group64A6", "64A⁶")</f>
        <v/>
      </c>
      <c r="L2770">
        <f>HYPERLINK("CSG21.html#group64C21", "64C²¹"), =HYPERLINK("CSG21.html#group64J21", "64J²¹"), =HYPERLINK("CSG21.html#group64K21", "64K²¹")</f>
        <v/>
      </c>
      <c r="M2770">
        <f>HYPERLINK("CSG1.html#group32A1", "32A¹"), =HYPERLINK("CSG0.html#group16C0", "16C⁰"), =HYPERLINK("CSG0.html#group16D0", "16D⁰"), =HYPERLINK("CSG3.html#group32M3", "32M³"), =HYPERLINK("CSG2.html#group32A2", "32A²"), =HYPERLINK("CSG0.html#group8C0", "8C⁰"), =HYPERLINK("CSG0.html#group2B0", "2B⁰"), =HYPERLINK("CSG0.html#group8I0", "8I⁰"), =HYPERLINK("CSG0.html#group4B0", "4B⁰"), =HYPERLINK("CSG0.html#group1A0", "1A⁰"), =HYPERLINK("CSG6.html#group64A6", "64A⁶"), =HYPERLINK("CSG0.html#group16H0", "16H⁰")</f>
        <v/>
      </c>
      <c r="N2770">
        <f>HYPERLINK("CSG21.html#group64C21", "64C²¹"), =HYPERLINK("CSG21.html#group64K21", "64K²¹"), =HYPERLINK("CSG21.html#group64J21", "64J²¹")</f>
        <v/>
      </c>
    </row>
    <row r="2771">
      <c r="A2771" t="inlineStr">
        <is>
          <t>65A¹¹</t>
        </is>
      </c>
      <c r="B2771" t="inlineStr"/>
      <c r="C2771" t="inlineStr">
        <is>
          <t>168</t>
        </is>
      </c>
      <c r="D2771" t="inlineStr">
        <is>
          <t>1</t>
        </is>
      </c>
      <c r="E2771" t="inlineStr">
        <is>
          <t>84</t>
        </is>
      </c>
      <c r="F2771" t="inlineStr">
        <is>
          <t>0</t>
        </is>
      </c>
      <c r="G2771" t="inlineStr">
        <is>
          <t>0</t>
        </is>
      </c>
      <c r="H2771" t="inlineStr">
        <is>
          <t>1², 5², 13², 65²</t>
        </is>
      </c>
      <c r="I2771" t="n">
        <v>8</v>
      </c>
      <c r="J2771" t="inlineStr">
        <is>
          <t>1⁴, 4², 12², 48¹</t>
        </is>
      </c>
      <c r="K2771">
        <f>HYPERLINK("CSG0.html#group5D0", "5D⁰"), =HYPERLINK("CSG5.html#group65A5", "65A⁵")</f>
        <v/>
      </c>
      <c r="L2771">
        <f>HYPERLINK("CSG21.html#group65A21", "65A²¹")</f>
        <v/>
      </c>
      <c r="M2771">
        <f>HYPERLINK("CSG0.html#group5B0", "5B⁰"), =HYPERLINK("CSG0.html#group13A0", "13A⁰"), =HYPERLINK("CSG0.html#group5D0", "5D⁰"), =HYPERLINK("CSG5.html#group65A5", "65A⁵"), =HYPERLINK("CSG0.html#group1A0", "1A⁰")</f>
        <v/>
      </c>
      <c r="N2771">
        <f>HYPERLINK("CSG21.html#group65A21", "65A²¹")</f>
        <v/>
      </c>
    </row>
    <row r="2772">
      <c r="A2772" t="inlineStr">
        <is>
          <t>65B¹¹</t>
        </is>
      </c>
      <c r="B2772" t="inlineStr"/>
      <c r="C2772" t="inlineStr">
        <is>
          <t>168</t>
        </is>
      </c>
      <c r="D2772" t="inlineStr">
        <is>
          <t>1</t>
        </is>
      </c>
      <c r="E2772" t="inlineStr">
        <is>
          <t>84</t>
        </is>
      </c>
      <c r="F2772" t="inlineStr">
        <is>
          <t>0</t>
        </is>
      </c>
      <c r="G2772" t="inlineStr">
        <is>
          <t>0</t>
        </is>
      </c>
      <c r="H2772" t="inlineStr">
        <is>
          <t>1², 5², 13², 65²</t>
        </is>
      </c>
      <c r="I2772" t="n">
        <v>8</v>
      </c>
      <c r="J2772" t="inlineStr">
        <is>
          <t>1⁴, 4², 12², 48¹</t>
        </is>
      </c>
      <c r="K2772">
        <f>HYPERLINK("CSG0.html#group13B0", "13B⁰"), =HYPERLINK("CSG5.html#group65A5", "65A⁵")</f>
        <v/>
      </c>
      <c r="L2772">
        <f>HYPERLINK("CSG21.html#group65A21", "65A²¹")</f>
        <v/>
      </c>
      <c r="M2772">
        <f>HYPERLINK("CSG0.html#group13A0", "13A⁰"), =HYPERLINK("CSG0.html#group5B0", "5B⁰"), =HYPERLINK("CSG0.html#group13B0", "13B⁰"), =HYPERLINK("CSG5.html#group65A5", "65A⁵"), =HYPERLINK("CSG0.html#group1A0", "1A⁰")</f>
        <v/>
      </c>
      <c r="N2772">
        <f>HYPERLINK("CSG21.html#group65A21", "65A²¹")</f>
        <v/>
      </c>
    </row>
    <row r="2773">
      <c r="A2773" t="inlineStr">
        <is>
          <t>66A¹¹</t>
        </is>
      </c>
      <c r="B2773" t="inlineStr"/>
      <c r="C2773" t="inlineStr">
        <is>
          <t>132</t>
        </is>
      </c>
      <c r="D2773" t="inlineStr">
        <is>
          <t>2</t>
        </is>
      </c>
      <c r="E2773" t="inlineStr">
        <is>
          <t>33</t>
        </is>
      </c>
      <c r="F2773" t="inlineStr">
        <is>
          <t>0</t>
        </is>
      </c>
      <c r="G2773" t="inlineStr">
        <is>
          <t>0</t>
        </is>
      </c>
      <c r="H2773" t="inlineStr">
        <is>
          <t>66²</t>
        </is>
      </c>
      <c r="I2773" t="n">
        <v>2</v>
      </c>
      <c r="J2773" t="inlineStr">
        <is>
          <t>2¹, 4¹, 10², 20²</t>
        </is>
      </c>
      <c r="K2773">
        <f>HYPERLINK("CSG1.html#group6B1", "6B¹"), =HYPERLINK("CSG3.html#group66A3", "66A³"), =HYPERLINK("CSG4.html#group33A4", "33A⁴"), =HYPERLINK("CSG6.html#group66A6", "66A⁶")</f>
        <v/>
      </c>
      <c r="L2773">
        <f>HYPERLINK("CSG21.html#group66A21", "66A²¹")</f>
        <v/>
      </c>
      <c r="M2773">
        <f>HYPERLINK("CSG0.html#group11A0", "11A⁰"), =HYPERLINK("CSG0.html#group2A0", "2A⁰"), =HYPERLINK("CSG0.html#group6B0", "6B⁰"), =HYPERLINK("CSG1.html#group22A1", "22A¹"), =HYPERLINK("CSG1.html#group6B1", "6B¹"), =HYPERLINK("CSG3.html#group66A3", "66A³"), =HYPERLINK("CSG4.html#group33A4", "33A⁴"), =HYPERLINK("CSG1.html#group33A1", "33A¹"), =HYPERLINK("CSG0.html#group3C0", "3C⁰"), =HYPERLINK("CSG1.html#group6A1", "6A¹"), =HYPERLINK("CSG0.html#group3A0", "3A⁰"), =HYPERLINK("CSG0.html#group1A0", "1A⁰"), =HYPERLINK("CSG6.html#group66A6", "66A⁶")</f>
        <v/>
      </c>
      <c r="N2773">
        <f>HYPERLINK("CSG21.html#group66A21", "66A²¹")</f>
        <v/>
      </c>
    </row>
    <row r="2774">
      <c r="A2774" t="inlineStr">
        <is>
          <t>66B¹¹</t>
        </is>
      </c>
      <c r="B2774" t="inlineStr"/>
      <c r="C2774" t="inlineStr">
        <is>
          <t>144</t>
        </is>
      </c>
      <c r="D2774" t="inlineStr">
        <is>
          <t>1</t>
        </is>
      </c>
      <c r="E2774" t="inlineStr">
        <is>
          <t>36</t>
        </is>
      </c>
      <c r="F2774" t="inlineStr">
        <is>
          <t>0</t>
        </is>
      </c>
      <c r="G2774" t="inlineStr">
        <is>
          <t>0</t>
        </is>
      </c>
      <c r="H2774" t="inlineStr">
        <is>
          <t>6², 66²</t>
        </is>
      </c>
      <c r="I2774" t="n">
        <v>4</v>
      </c>
      <c r="J2774" t="inlineStr">
        <is>
          <t>1², 2², 10¹, 20¹</t>
        </is>
      </c>
      <c r="K2774">
        <f>HYPERLINK("CSG0.html#group6E0", "6E⁰"), =HYPERLINK("CSG5.html#group33A5", "33A⁵"), =HYPERLINK("CSG6.html#group66D6", "66D⁶")</f>
        <v/>
      </c>
      <c r="L2774">
        <f>HYPERLINK("CSG21.html#group66C21", "66C²¹"), =HYPERLINK("CSG23.html#group132D23", "132D²³")</f>
        <v/>
      </c>
      <c r="M2774">
        <f>HYPERLINK("CSG0.html#group6B0", "6B⁰"), =HYPERLINK("CSG0.html#group6E0", "6E⁰"), =HYPERLINK("CSG6.html#group66D6", "66D⁶"), =HYPERLINK("CSG1.html#group11A1", "11A¹"), =HYPERLINK("CSG5.html#group33A5", "33A⁵"), =HYPERLINK("CSG0.html#group3C0", "3C⁰"), =HYPERLINK("CSG0.html#group3A0", "3A⁰"), =HYPERLINK("CSG3.html#group33A3", "33A³"), =HYPERLINK("CSG0.html#group1A0", "1A⁰")</f>
        <v/>
      </c>
      <c r="N2774">
        <f>HYPERLINK("CSG23.html#group132D23", "132D²³"), =HYPERLINK("CSG21.html#group66C21", "66C²¹")</f>
        <v/>
      </c>
    </row>
    <row r="2775">
      <c r="A2775" t="inlineStr">
        <is>
          <t>66C¹¹</t>
        </is>
      </c>
      <c r="B2775" t="inlineStr"/>
      <c r="C2775" t="inlineStr">
        <is>
          <t>144</t>
        </is>
      </c>
      <c r="D2775" t="inlineStr">
        <is>
          <t>1</t>
        </is>
      </c>
      <c r="E2775" t="inlineStr">
        <is>
          <t>36</t>
        </is>
      </c>
      <c r="F2775" t="inlineStr">
        <is>
          <t>0</t>
        </is>
      </c>
      <c r="G2775" t="inlineStr">
        <is>
          <t>0</t>
        </is>
      </c>
      <c r="H2775" t="inlineStr">
        <is>
          <t>6², 66²</t>
        </is>
      </c>
      <c r="I2775" t="n">
        <v>4</v>
      </c>
      <c r="J2775" t="inlineStr">
        <is>
          <t>1², 2², 10¹, 20¹</t>
        </is>
      </c>
      <c r="K2775">
        <f>HYPERLINK("CSG1.html#group6B1", "6B¹"), =HYPERLINK("CSG5.html#group33A5", "33A⁵"), =HYPERLINK("CSG6.html#group66B6", "66B⁶"), =HYPERLINK("CSG6.html#group66D6", "66D⁶")</f>
        <v/>
      </c>
      <c r="L2775">
        <f>HYPERLINK("CSG21.html#group66C21", "66C²¹"), =HYPERLINK("CSG23.html#group132A23", "132A²³"), =HYPERLINK("CSG23.html#group132B23", "132B²³")</f>
        <v/>
      </c>
      <c r="M2775">
        <f>HYPERLINK("CSG0.html#group2A0", "2A⁰"), =HYPERLINK("CSG0.html#group6B0", "6B⁰"), =HYPERLINK("CSG1.html#group6B1", "6B¹"), =HYPERLINK("CSG6.html#group66D6", "66D⁶"), =HYPERLINK("CSG1.html#group11A1", "11A¹"), =HYPERLINK("CSG2.html#group22A2", "22A²"), =HYPERLINK("CSG5.html#group33A5", "33A⁵"), =HYPERLINK("CSG0.html#group3C0", "3C⁰"), =HYPERLINK("CSG6.html#group66B6", "66B⁶"), =HYPERLINK("CSG1.html#group6A1", "6A¹"), =HYPERLINK("CSG0.html#group3A0", "3A⁰"), =HYPERLINK("CSG3.html#group33A3", "33A³"), =HYPERLINK("CSG0.html#group1A0", "1A⁰")</f>
        <v/>
      </c>
      <c r="N2775">
        <f>HYPERLINK("CSG23.html#group132B23", "132B²³"), =HYPERLINK("CSG21.html#group66C21", "66C²¹"), =HYPERLINK("CSG23.html#group132A23", "132A²³")</f>
        <v/>
      </c>
    </row>
    <row r="2776">
      <c r="A2776" t="inlineStr">
        <is>
          <t>68A¹¹</t>
        </is>
      </c>
      <c r="B2776" t="inlineStr"/>
      <c r="C2776" t="inlineStr">
        <is>
          <t>144</t>
        </is>
      </c>
      <c r="D2776" t="inlineStr">
        <is>
          <t>1</t>
        </is>
      </c>
      <c r="E2776" t="inlineStr">
        <is>
          <t>72</t>
        </is>
      </c>
      <c r="F2776" t="inlineStr">
        <is>
          <t>0</t>
        </is>
      </c>
      <c r="G2776" t="inlineStr">
        <is>
          <t>0</t>
        </is>
      </c>
      <c r="H2776" t="inlineStr">
        <is>
          <t>4², 68²</t>
        </is>
      </c>
      <c r="I2776" t="n">
        <v>4</v>
      </c>
      <c r="J2776" t="inlineStr">
        <is>
          <t>2⁴, 32²</t>
        </is>
      </c>
      <c r="K2776">
        <f>HYPERLINK("CSG3.html#group34A3", "34A³"), =HYPERLINK("CSG5.html#group68A5", "68A⁵")</f>
        <v/>
      </c>
      <c r="L2776">
        <f>HYPERLINK("CSG21.html#group68B21", "68B²¹"), =HYPERLINK("CSG23.html#group136C23", "136C²³")</f>
        <v/>
      </c>
      <c r="M2776">
        <f>HYPERLINK("CSG5.html#group68A5", "68A⁵"), =HYPERLINK("CSG1.html#group17A1", "17A¹"), =HYPERLINK("CSG0.html#group1A0", "1A⁰"), =HYPERLINK("CSG0.html#group4A0", "4A⁰"), =HYPERLINK("CSG3.html#group34A3", "34A³")</f>
        <v/>
      </c>
      <c r="N2776">
        <f>HYPERLINK("CSG21.html#group68B21", "68B²¹"), =HYPERLINK("CSG23.html#group136C23", "136C²³")</f>
        <v/>
      </c>
    </row>
    <row r="2777">
      <c r="A2777" t="inlineStr">
        <is>
          <t>68B¹¹</t>
        </is>
      </c>
      <c r="B2777" t="inlineStr"/>
      <c r="C2777" t="inlineStr">
        <is>
          <t>144</t>
        </is>
      </c>
      <c r="D2777" t="inlineStr">
        <is>
          <t>1</t>
        </is>
      </c>
      <c r="E2777" t="inlineStr">
        <is>
          <t>72</t>
        </is>
      </c>
      <c r="F2777" t="inlineStr">
        <is>
          <t>0</t>
        </is>
      </c>
      <c r="G2777" t="inlineStr">
        <is>
          <t>0</t>
        </is>
      </c>
      <c r="H2777" t="inlineStr">
        <is>
          <t>4², 68²</t>
        </is>
      </c>
      <c r="I2777" t="n">
        <v>4</v>
      </c>
      <c r="J2777" t="inlineStr">
        <is>
          <t>2⁴, 32²</t>
        </is>
      </c>
      <c r="K2777">
        <f>HYPERLINK("CSG0.html#group4D0", "4D⁰"), =HYPERLINK("CSG3.html#group34B3", "34B³"), =HYPERLINK("CSG5.html#group68A5", "68A⁵")</f>
        <v/>
      </c>
      <c r="L2777">
        <f>HYPERLINK("CSG21.html#group68B21", "68B²¹"), =HYPERLINK("CSG23.html#group136A23", "136A²³"), =HYPERLINK("CSG23.html#group136B23", "136B²³")</f>
        <v/>
      </c>
      <c r="M2777">
        <f>HYPERLINK("CSG0.html#group2A0", "2A⁰"), =HYPERLINK("CSG0.html#group4A0", "4A⁰"), =HYPERLINK("CSG0.html#group4D0", "4D⁰"), =HYPERLINK("CSG5.html#group68A5", "68A⁵"), =HYPERLINK("CSG1.html#group17A1", "17A¹"), =HYPERLINK("CSG3.html#group34B3", "34B³"), =HYPERLINK("CSG0.html#group1A0", "1A⁰")</f>
        <v/>
      </c>
      <c r="N2777">
        <f>HYPERLINK("CSG23.html#group136A23", "136A²³"), =HYPERLINK("CSG23.html#group136B23", "136B²³"), =HYPERLINK("CSG21.html#group68B21", "68B²¹")</f>
        <v/>
      </c>
    </row>
    <row r="2778">
      <c r="A2778" t="inlineStr">
        <is>
          <t>69A¹¹</t>
        </is>
      </c>
      <c r="B2778" t="inlineStr"/>
      <c r="C2778" t="inlineStr">
        <is>
          <t>144</t>
        </is>
      </c>
      <c r="D2778" t="inlineStr">
        <is>
          <t>1</t>
        </is>
      </c>
      <c r="E2778" t="inlineStr">
        <is>
          <t>72</t>
        </is>
      </c>
      <c r="F2778" t="inlineStr">
        <is>
          <t>0</t>
        </is>
      </c>
      <c r="G2778" t="inlineStr">
        <is>
          <t>0</t>
        </is>
      </c>
      <c r="H2778" t="inlineStr">
        <is>
          <t>3², 69²</t>
        </is>
      </c>
      <c r="I2778" t="n">
        <v>4</v>
      </c>
      <c r="J2778" t="inlineStr">
        <is>
          <t>1², 2², 22¹, 44¹</t>
        </is>
      </c>
      <c r="K2778">
        <f>HYPERLINK("CSG0.html#group3C0", "3C⁰"), =HYPERLINK("CSG6.html#group69A6", "69A⁶")</f>
        <v/>
      </c>
      <c r="L2778">
        <f>HYPERLINK("CSG21.html#group69A21", "69A²¹"), =HYPERLINK("CSG23.html#group138A23", "138A²³"), =HYPERLINK("CSG23.html#group138B23", "138B²³")</f>
        <v/>
      </c>
      <c r="M2778">
        <f>HYPERLINK("CSG0.html#group3C0", "3C⁰"), =HYPERLINK("CSG2.html#group23A2", "23A²"), =HYPERLINK("CSG6.html#group69A6", "69A⁶"), =HYPERLINK("CSG0.html#group3A0", "3A⁰"), =HYPERLINK("CSG0.html#group1A0", "1A⁰")</f>
        <v/>
      </c>
      <c r="N2778">
        <f>HYPERLINK("CSG23.html#group138B23", "138B²³"), =HYPERLINK("CSG23.html#group138A23", "138A²³"), =HYPERLINK("CSG21.html#group69A21", "69A²¹")</f>
        <v/>
      </c>
    </row>
    <row r="2779">
      <c r="A2779" t="inlineStr">
        <is>
          <t>70A¹¹</t>
        </is>
      </c>
      <c r="B2779" t="inlineStr"/>
      <c r="C2779" t="inlineStr">
        <is>
          <t>140</t>
        </is>
      </c>
      <c r="D2779" t="inlineStr">
        <is>
          <t>2</t>
        </is>
      </c>
      <c r="E2779" t="inlineStr">
        <is>
          <t>70</t>
        </is>
      </c>
      <c r="F2779" t="inlineStr">
        <is>
          <t>0</t>
        </is>
      </c>
      <c r="G2779" t="inlineStr">
        <is>
          <t>2</t>
        </is>
      </c>
      <c r="H2779" t="inlineStr">
        <is>
          <t>70²</t>
        </is>
      </c>
      <c r="I2779" t="n">
        <v>2</v>
      </c>
      <c r="J2779" t="inlineStr">
        <is>
          <t>4¹, 8², 12², 24⁴</t>
        </is>
      </c>
      <c r="K2779">
        <f>HYPERLINK("CSG1.html#group10C1", "10C¹"), =HYPERLINK("CSG1.html#group14A1", "14A¹"), =HYPERLINK("CSG4.html#group35B4", "35B⁴")</f>
        <v/>
      </c>
      <c r="L2779">
        <f>HYPERLINK("CSG21.html#group70B21", "70B²¹"), =HYPERLINK("CSG21.html#group70C21", "70C²¹"), =HYPERLINK("CSG21.html#group70E21", "70E²¹")</f>
        <v/>
      </c>
      <c r="M2779">
        <f>HYPERLINK("CSG0.html#group2A0", "2A⁰"), =HYPERLINK("CSG4.html#group35B4", "35B⁴"), =HYPERLINK("CSG0.html#group5C0", "5C⁰"), =HYPERLINK("CSG1.html#group14A1", "14A¹"), =HYPERLINK("CSG1.html#group10C1", "10C¹"), =HYPERLINK("CSG0.html#group1A0", "1A⁰"), =HYPERLINK("CSG0.html#group7A0", "7A⁰")</f>
        <v/>
      </c>
      <c r="N2779">
        <f>HYPERLINK("CSG21.html#group70B21", "70B²¹"), =HYPERLINK("CSG21.html#group70E21", "70E²¹"), =HYPERLINK("CSG21.html#group70C21", "70C²¹")</f>
        <v/>
      </c>
    </row>
    <row r="2780">
      <c r="A2780" t="inlineStr">
        <is>
          <t>70B¹¹</t>
        </is>
      </c>
      <c r="B2780" t="inlineStr"/>
      <c r="C2780" t="inlineStr">
        <is>
          <t>160</t>
        </is>
      </c>
      <c r="D2780" t="inlineStr">
        <is>
          <t>1</t>
        </is>
      </c>
      <c r="E2780" t="inlineStr">
        <is>
          <t>80</t>
        </is>
      </c>
      <c r="F2780" t="inlineStr">
        <is>
          <t>0</t>
        </is>
      </c>
      <c r="G2780" t="inlineStr">
        <is>
          <t>4</t>
        </is>
      </c>
      <c r="H2780" t="inlineStr">
        <is>
          <t>10², 70²</t>
        </is>
      </c>
      <c r="I2780" t="n">
        <v>4</v>
      </c>
      <c r="J2780" t="inlineStr">
        <is>
          <t>2², 4⁴, 12¹, 24²</t>
        </is>
      </c>
      <c r="K2780">
        <f>HYPERLINK("CSG0.html#group10D0", "10D⁰"), =HYPERLINK("CSG5.html#group35A5", "35A⁵")</f>
        <v/>
      </c>
      <c r="L2780">
        <f>HYPERLINK("CSG21.html#group70G21", "70G²¹"), =HYPERLINK("CSG23.html#group140D23", "140D²³")</f>
        <v/>
      </c>
      <c r="M2780">
        <f>HYPERLINK("CSG5.html#group35A5", "35A⁵"), =HYPERLINK("CSG0.html#group1A0", "1A⁰"), =HYPERLINK("CSG0.html#group5C0", "5C⁰"), =HYPERLINK("CSG0.html#group7B0", "7B⁰"), =HYPERLINK("CSG0.html#group10D0", "10D⁰")</f>
        <v/>
      </c>
      <c r="N2780">
        <f>HYPERLINK("CSG21.html#group70G21", "70G²¹"), =HYPERLINK("CSG23.html#group140D23", "140D²³")</f>
        <v/>
      </c>
    </row>
    <row r="2781">
      <c r="A2781" t="inlineStr">
        <is>
          <t>70C¹¹</t>
        </is>
      </c>
      <c r="B2781" t="inlineStr"/>
      <c r="C2781" t="inlineStr">
        <is>
          <t>160</t>
        </is>
      </c>
      <c r="D2781" t="inlineStr">
        <is>
          <t>1</t>
        </is>
      </c>
      <c r="E2781" t="inlineStr">
        <is>
          <t>80</t>
        </is>
      </c>
      <c r="F2781" t="inlineStr">
        <is>
          <t>0</t>
        </is>
      </c>
      <c r="G2781" t="inlineStr">
        <is>
          <t>4</t>
        </is>
      </c>
      <c r="H2781" t="inlineStr">
        <is>
          <t>10², 70²</t>
        </is>
      </c>
      <c r="I2781" t="n">
        <v>4</v>
      </c>
      <c r="J2781" t="inlineStr">
        <is>
          <t>2², 4⁴, 12¹, 24²</t>
        </is>
      </c>
      <c r="K2781">
        <f>HYPERLINK("CSG0.html#group14B0", "14B⁰"), =HYPERLINK("CSG1.html#group10C1", "10C¹"), =HYPERLINK("CSG5.html#group35A5", "35A⁵")</f>
        <v/>
      </c>
      <c r="L2781">
        <f>HYPERLINK("CSG21.html#group70G21", "70G²¹"), =HYPERLINK("CSG23.html#group140A23", "140A²³"), =HYPERLINK("CSG23.html#group140B23", "140B²³")</f>
        <v/>
      </c>
      <c r="M2781">
        <f>HYPERLINK("CSG0.html#group2A0", "2A⁰"), =HYPERLINK("CSG5.html#group35A5", "35A⁵"), =HYPERLINK("CSG0.html#group7B0", "7B⁰"), =HYPERLINK("CSG0.html#group5C0", "5C⁰"), =HYPERLINK("CSG0.html#group14B0", "14B⁰"), =HYPERLINK("CSG1.html#group10C1", "10C¹"), =HYPERLINK("CSG0.html#group1A0", "1A⁰")</f>
        <v/>
      </c>
      <c r="N2781">
        <f>HYPERLINK("CSG23.html#group140A23", "140A²³"), =HYPERLINK("CSG21.html#group70G21", "70G²¹"), =HYPERLINK("CSG23.html#group140B23", "140B²³")</f>
        <v/>
      </c>
    </row>
    <row r="2782">
      <c r="A2782" t="inlineStr">
        <is>
          <t>70D¹¹</t>
        </is>
      </c>
      <c r="B2782" t="inlineStr"/>
      <c r="C2782" t="inlineStr">
        <is>
          <t>168</t>
        </is>
      </c>
      <c r="D2782" t="inlineStr">
        <is>
          <t>2</t>
        </is>
      </c>
      <c r="E2782" t="inlineStr">
        <is>
          <t>42</t>
        </is>
      </c>
      <c r="F2782" t="inlineStr">
        <is>
          <t>8</t>
        </is>
      </c>
      <c r="G2782" t="inlineStr">
        <is>
          <t>0</t>
        </is>
      </c>
      <c r="H2782" t="inlineStr">
        <is>
          <t>14², 70²</t>
        </is>
      </c>
      <c r="I2782" t="n">
        <v>4</v>
      </c>
      <c r="J2782" t="inlineStr">
        <is>
          <t>2², 6⁴, 8¹, 24²</t>
        </is>
      </c>
      <c r="K2782">
        <f>HYPERLINK("CSG4.html#group70C4", "70C⁴"), =HYPERLINK("CSG5.html#group35B5", "35B⁵"), =HYPERLINK("CSG6.html#group70A6", "70A⁶")</f>
        <v/>
      </c>
      <c r="L2782" t="inlineStr"/>
      <c r="M2782">
        <f>HYPERLINK("CSG2.html#group35C2", "35C²"), =HYPERLINK("CSG4.html#group70C4", "70C⁴"), =HYPERLINK("CSG0.html#group7C0", "7C⁰"), =HYPERLINK("CSG0.html#group5B0", "5B⁰"), =HYPERLINK("CSG5.html#group35B5", "35B⁵"), =HYPERLINK("CSG0.html#group1A0", "1A⁰"), =HYPERLINK("CSG6.html#group70A6", "70A⁶"), =HYPERLINK("CSG0.html#group7A0", "7A⁰"), =HYPERLINK("CSG0.html#group10B0", "10B⁰")</f>
        <v/>
      </c>
      <c r="N2782" t="inlineStr"/>
    </row>
    <row r="2783">
      <c r="A2783" t="inlineStr">
        <is>
          <t>72A¹¹</t>
        </is>
      </c>
      <c r="B2783" t="inlineStr"/>
      <c r="C2783" t="inlineStr">
        <is>
          <t>144</t>
        </is>
      </c>
      <c r="D2783" t="inlineStr">
        <is>
          <t>1</t>
        </is>
      </c>
      <c r="E2783" t="inlineStr">
        <is>
          <t>12</t>
        </is>
      </c>
      <c r="F2783" t="inlineStr">
        <is>
          <t>0</t>
        </is>
      </c>
      <c r="G2783" t="inlineStr">
        <is>
          <t>0</t>
        </is>
      </c>
      <c r="H2783" t="inlineStr">
        <is>
          <t>12¹, 24¹, 36¹, 72¹</t>
        </is>
      </c>
      <c r="I2783" t="n">
        <v>4</v>
      </c>
      <c r="J2783" t="inlineStr">
        <is>
          <t>1⁶, 2³</t>
        </is>
      </c>
      <c r="K2783">
        <f>HYPERLINK("CSG3.html#group24B3", "24B³"), =HYPERLINK("CSG5.html#group36A5", "36A⁵")</f>
        <v/>
      </c>
      <c r="L2783">
        <f>HYPERLINK("CSG21.html#group72C21", "72C²¹"), =HYPERLINK("CSG21.html#group72E21", "72E²¹"), =HYPERLINK("CSG21.html#group72K21", "72K²¹"), =HYPERLINK("CSG23.html#group144G23", "144G²³"), =HYPERLINK("CSG23.html#group144E23", "144E²³"), =HYPERLINK("CSG23.html#group144K23", "144K²³"), =HYPERLINK("CSG23.html#group144M23", "144M²³")</f>
        <v/>
      </c>
      <c r="M2783">
        <f>HYPERLINK("CSG0.html#group3B0", "3B⁰"), =HYPERLINK("CSG3.html#group24B3", "24B³"), =HYPERLINK("CSG1.html#group12F1", "12F¹"), =HYPERLINK("CSG0.html#group4C0", "4C⁰"), =HYPERLINK("CSG0.html#group8B0", "8B⁰"), =HYPERLINK("CSG0.html#group9C0", "9C⁰"), =HYPERLINK("CSG2.html#group18D2", "18D²"), =HYPERLINK("CSG0.html#group1A0", "1A⁰"), =HYPERLINK("CSG0.html#group2B0", "2B⁰"), =HYPERLINK("CSG5.html#group36A5", "36A⁵"), =HYPERLINK("CSG0.html#group6F0", "6F⁰")</f>
        <v/>
      </c>
      <c r="N2783">
        <f>HYPERLINK("CSG21.html#group72E21", "72E²¹"), =HYPERLINK("CSG23.html#group144G23", "144G²³"), =HYPERLINK("CSG23.html#group144M23", "144M²³"), =HYPERLINK("CSG21.html#group72C21", "72C²¹"), =HYPERLINK("CSG23.html#group144E23", "144E²³"), =HYPERLINK("CSG21.html#group72K21", "72K²¹"), =HYPERLINK("CSG23.html#group144K23", "144K²³")</f>
        <v/>
      </c>
    </row>
    <row r="2784">
      <c r="A2784" t="inlineStr">
        <is>
          <t>72B¹¹</t>
        </is>
      </c>
      <c r="B2784" t="inlineStr"/>
      <c r="C2784" t="inlineStr">
        <is>
          <t>144</t>
        </is>
      </c>
      <c r="D2784" t="inlineStr">
        <is>
          <t>1</t>
        </is>
      </c>
      <c r="E2784" t="inlineStr">
        <is>
          <t>12</t>
        </is>
      </c>
      <c r="F2784" t="inlineStr">
        <is>
          <t>0</t>
        </is>
      </c>
      <c r="G2784" t="inlineStr">
        <is>
          <t>0</t>
        </is>
      </c>
      <c r="H2784" t="inlineStr">
        <is>
          <t>12¹, 24¹, 36¹, 72¹</t>
        </is>
      </c>
      <c r="I2784" t="n">
        <v>4</v>
      </c>
      <c r="J2784" t="inlineStr">
        <is>
          <t>1⁶, 2³</t>
        </is>
      </c>
      <c r="K2784">
        <f>HYPERLINK("CSG3.html#group24B3", "24B³"), =HYPERLINK("CSG5.html#group36B5", "36B⁵")</f>
        <v/>
      </c>
      <c r="L2784">
        <f>HYPERLINK("CSG21.html#group72D21", "72D²¹"), =HYPERLINK("CSG21.html#group72F21", "72F²¹"), =HYPERLINK("CSG21.html#group72L21", "72L²¹"), =HYPERLINK("CSG23.html#group144H23", "144H²³"), =HYPERLINK("CSG23.html#group144F23", "144F²³"), =HYPERLINK("CSG23.html#group144L23", "144L²³"), =HYPERLINK("CSG23.html#group144N23", "144N²³")</f>
        <v/>
      </c>
      <c r="M2784">
        <f>HYPERLINK("CSG0.html#group3B0", "3B⁰"), =HYPERLINK("CSG3.html#group24B3", "24B³"), =HYPERLINK("CSG1.html#group12F1", "12F¹"), =HYPERLINK("CSG0.html#group4C0", "4C⁰"), =HYPERLINK("CSG1.html#group9A1", "9A¹"), =HYPERLINK("CSG0.html#group8B0", "8B⁰"), =HYPERLINK("CSG2.html#group18E2", "18E²"), =HYPERLINK("CSG0.html#group1A0", "1A⁰"), =HYPERLINK("CSG5.html#group36B5", "36B⁵"), =HYPERLINK("CSG0.html#group2B0", "2B⁰"), =HYPERLINK("CSG0.html#group6F0", "6F⁰")</f>
        <v/>
      </c>
      <c r="N2784">
        <f>HYPERLINK("CSG21.html#group72F21", "72F²¹"), =HYPERLINK("CSG23.html#group144N23", "144N²³"), =HYPERLINK("CSG21.html#group72L21", "72L²¹"), =HYPERLINK("CSG23.html#group144H23", "144H²³"), =HYPERLINK("CSG23.html#group144L23", "144L²³"), =HYPERLINK("CSG23.html#group144F23", "144F²³"), =HYPERLINK("CSG21.html#group72D21", "72D²¹")</f>
        <v/>
      </c>
    </row>
    <row r="2785">
      <c r="A2785" t="inlineStr">
        <is>
          <t>72C¹¹</t>
        </is>
      </c>
      <c r="B2785" t="inlineStr"/>
      <c r="C2785" t="inlineStr">
        <is>
          <t>144</t>
        </is>
      </c>
      <c r="D2785" t="inlineStr">
        <is>
          <t>1</t>
        </is>
      </c>
      <c r="E2785" t="inlineStr">
        <is>
          <t>12</t>
        </is>
      </c>
      <c r="F2785" t="inlineStr">
        <is>
          <t>0</t>
        </is>
      </c>
      <c r="G2785" t="inlineStr">
        <is>
          <t>0</t>
        </is>
      </c>
      <c r="H2785" t="inlineStr">
        <is>
          <t>12¹, 24¹, 36¹, 72¹</t>
        </is>
      </c>
      <c r="I2785" t="n">
        <v>4</v>
      </c>
      <c r="J2785" t="inlineStr">
        <is>
          <t>1⁶, 2³</t>
        </is>
      </c>
      <c r="K2785">
        <f>HYPERLINK("CSG3.html#group24C3", "24C³"), =HYPERLINK("CSG5.html#group36A5", "36A⁵")</f>
        <v/>
      </c>
      <c r="L2785">
        <f>HYPERLINK("CSG21.html#group72C21", "72C²¹"), =HYPERLINK("CSG21.html#group72G21", "72G²¹"), =HYPERLINK("CSG21.html#group72I21", "72I²¹"), =HYPERLINK("CSG23.html#group144A23", "144A²³"), =HYPERLINK("CSG23.html#group144C23", "144C²³"), =HYPERLINK("CSG23.html#group144I23", "144I²³"), =HYPERLINK("CSG23.html#group144O23", "144O²³")</f>
        <v/>
      </c>
      <c r="M2785">
        <f>HYPERLINK("CSG3.html#group24C3", "24C³"), =HYPERLINK("CSG0.html#group3B0", "3B⁰"), =HYPERLINK("CSG1.html#group8A1", "8A¹"), =HYPERLINK("CSG1.html#group12F1", "12F¹"), =HYPERLINK("CSG0.html#group4C0", "4C⁰"), =HYPERLINK("CSG0.html#group9C0", "9C⁰"), =HYPERLINK("CSG2.html#group18D2", "18D²"), =HYPERLINK("CSG0.html#group1A0", "1A⁰"), =HYPERLINK("CSG0.html#group2B0", "2B⁰"), =HYPERLINK("CSG5.html#group36A5", "36A⁵"), =HYPERLINK("CSG0.html#group6F0", "6F⁰")</f>
        <v/>
      </c>
      <c r="N2785">
        <f>HYPERLINK("CSG21.html#group72G21", "72G²¹"), =HYPERLINK("CSG23.html#group144C23", "144C²³"), =HYPERLINK("CSG21.html#group72C21", "72C²¹"), =HYPERLINK("CSG23.html#group144A23", "144A²³"), =HYPERLINK("CSG23.html#group144I23", "144I²³"), =HYPERLINK("CSG21.html#group72I21", "72I²¹"), =HYPERLINK("CSG23.html#group144O23", "144O²³")</f>
        <v/>
      </c>
    </row>
    <row r="2786">
      <c r="A2786" t="inlineStr">
        <is>
          <t>72D¹¹</t>
        </is>
      </c>
      <c r="B2786" t="inlineStr"/>
      <c r="C2786" t="inlineStr">
        <is>
          <t>144</t>
        </is>
      </c>
      <c r="D2786" t="inlineStr">
        <is>
          <t>1</t>
        </is>
      </c>
      <c r="E2786" t="inlineStr">
        <is>
          <t>12</t>
        </is>
      </c>
      <c r="F2786" t="inlineStr">
        <is>
          <t>0</t>
        </is>
      </c>
      <c r="G2786" t="inlineStr">
        <is>
          <t>0</t>
        </is>
      </c>
      <c r="H2786" t="inlineStr">
        <is>
          <t>12¹, 24¹, 36¹, 72¹</t>
        </is>
      </c>
      <c r="I2786" t="n">
        <v>4</v>
      </c>
      <c r="J2786" t="inlineStr">
        <is>
          <t>1⁶, 2³</t>
        </is>
      </c>
      <c r="K2786">
        <f>HYPERLINK("CSG3.html#group24C3", "24C³"), =HYPERLINK("CSG5.html#group36B5", "36B⁵")</f>
        <v/>
      </c>
      <c r="L2786">
        <f>HYPERLINK("CSG21.html#group72D21", "72D²¹"), =HYPERLINK("CSG21.html#group72H21", "72H²¹"), =HYPERLINK("CSG21.html#group72J21", "72J²¹"), =HYPERLINK("CSG23.html#group144B23", "144B²³"), =HYPERLINK("CSG23.html#group144D23", "144D²³"), =HYPERLINK("CSG23.html#group144J23", "144J²³"), =HYPERLINK("CSG23.html#group144P23", "144P²³")</f>
        <v/>
      </c>
      <c r="M2786">
        <f>HYPERLINK("CSG3.html#group24C3", "24C³"), =HYPERLINK("CSG0.html#group3B0", "3B⁰"), =HYPERLINK("CSG1.html#group8A1", "8A¹"), =HYPERLINK("CSG1.html#group12F1", "12F¹"), =HYPERLINK("CSG0.html#group4C0", "4C⁰"), =HYPERLINK("CSG1.html#group9A1", "9A¹"), =HYPERLINK("CSG2.html#group18E2", "18E²"), =HYPERLINK("CSG0.html#group1A0", "1A⁰"), =HYPERLINK("CSG5.html#group36B5", "36B⁵"), =HYPERLINK("CSG0.html#group2B0", "2B⁰"), =HYPERLINK("CSG0.html#group6F0", "6F⁰")</f>
        <v/>
      </c>
      <c r="N2786">
        <f>HYPERLINK("CSG21.html#group72J21", "72J²¹"), =HYPERLINK("CSG23.html#group144B23", "144B²³"), =HYPERLINK("CSG23.html#group144D23", "144D²³"), =HYPERLINK("CSG23.html#group144P23", "144P²³"), =HYPERLINK("CSG21.html#group72H21", "72H²¹"), =HYPERLINK("CSG23.html#group144J23", "144J²³"), =HYPERLINK("CSG21.html#group72D21", "72D²¹")</f>
        <v/>
      </c>
    </row>
    <row r="2787">
      <c r="A2787" t="inlineStr">
        <is>
          <t>72E¹¹</t>
        </is>
      </c>
      <c r="B2787" t="inlineStr"/>
      <c r="C2787" t="inlineStr">
        <is>
          <t>144</t>
        </is>
      </c>
      <c r="D2787" t="inlineStr">
        <is>
          <t>2</t>
        </is>
      </c>
      <c r="E2787" t="inlineStr">
        <is>
          <t>36</t>
        </is>
      </c>
      <c r="F2787" t="inlineStr">
        <is>
          <t>4</t>
        </is>
      </c>
      <c r="G2787" t="inlineStr">
        <is>
          <t>0</t>
        </is>
      </c>
      <c r="H2787" t="inlineStr">
        <is>
          <t>72²</t>
        </is>
      </c>
      <c r="I2787" t="n">
        <v>2</v>
      </c>
      <c r="J2787" t="inlineStr">
        <is>
          <t>8⁶, 24⁴</t>
        </is>
      </c>
      <c r="K2787">
        <f>HYPERLINK("CSG3.html#group24D3", "24D³"), =HYPERLINK("CSG4.html#group72B4", "72B⁴"), =HYPERLINK("CSG4.html#group72C4", "72C⁴"), =HYPERLINK("CSG5.html#group36E5", "36E⁵")</f>
        <v/>
      </c>
      <c r="L2787">
        <f>HYPERLINK("CSG21.html#group72P21", "72P²¹"), =HYPERLINK("CSG23.html#group72F23", "72F²³"), =HYPERLINK("CSG23.html#group72G23", "72G²³")</f>
        <v/>
      </c>
      <c r="M2787">
        <f>HYPERLINK("CSG1.html#group36A1", "36A¹"), =HYPERLINK("CSG1.html#group12G1", "12G¹"), =HYPERLINK("CSG0.html#group12A0", "12A⁰"), =HYPERLINK("CSG3.html#group24D3", "24D³"), =HYPERLINK("CSG4.html#group72B4", "72B⁴"), =HYPERLINK("CSG0.html#group4A0", "4A⁰"), =HYPERLINK("CSG5.html#group36E5", "36E⁵"), =HYPERLINK("CSG0.html#group9A0", "9A⁰"), =HYPERLINK("CSG4.html#group72C4", "72C⁴"), =HYPERLINK("CSG0.html#group3C0", "3C⁰"), =HYPERLINK("CSG1.html#group24B1", "24B¹"), =HYPERLINK("CSG0.html#group3A0", "3A⁰"), =HYPERLINK("CSG0.html#group1A0", "1A⁰"), =HYPERLINK("CSG1.html#group9B1", "9B¹")</f>
        <v/>
      </c>
      <c r="N2787">
        <f>HYPERLINK("CSG23.html#group72F23", "72F²³"), =HYPERLINK("CSG21.html#group72P21", "72P²¹"), =HYPERLINK("CSG23.html#group72G23", "72G²³")</f>
        <v/>
      </c>
    </row>
    <row r="2788">
      <c r="A2788" t="inlineStr">
        <is>
          <t>72F¹¹</t>
        </is>
      </c>
      <c r="B2788" t="inlineStr"/>
      <c r="C2788" t="inlineStr">
        <is>
          <t>144</t>
        </is>
      </c>
      <c r="D2788" t="inlineStr">
        <is>
          <t>2</t>
        </is>
      </c>
      <c r="E2788" t="inlineStr">
        <is>
          <t>36</t>
        </is>
      </c>
      <c r="F2788" t="inlineStr">
        <is>
          <t>4</t>
        </is>
      </c>
      <c r="G2788" t="inlineStr">
        <is>
          <t>0</t>
        </is>
      </c>
      <c r="H2788" t="inlineStr">
        <is>
          <t>72²</t>
        </is>
      </c>
      <c r="I2788" t="n">
        <v>2</v>
      </c>
      <c r="J2788" t="inlineStr">
        <is>
          <t>8⁶, 24⁴</t>
        </is>
      </c>
      <c r="K2788">
        <f>HYPERLINK("CSG3.html#group24D3", "24D³"), =HYPERLINK("CSG4.html#group72B4", "72B⁴"), =HYPERLINK("CSG4.html#group72D4", "72D⁴"), =HYPERLINK("CSG5.html#group36E5", "36E⁵")</f>
        <v/>
      </c>
      <c r="L2788">
        <f>HYPERLINK("CSG21.html#group72Q21", "72Q²¹"), =HYPERLINK("CSG23.html#group72F23", "72F²³"), =HYPERLINK("CSG23.html#group72G23", "72G²³")</f>
        <v/>
      </c>
      <c r="M2788">
        <f>HYPERLINK("CSG1.html#group36A1", "36A¹"), =HYPERLINK("CSG1.html#group12G1", "12G¹"), =HYPERLINK("CSG0.html#group12A0", "12A⁰"), =HYPERLINK("CSG3.html#group24D3", "24D³"), =HYPERLINK("CSG4.html#group72B4", "72B⁴"), =HYPERLINK("CSG0.html#group4A0", "4A⁰"), =HYPERLINK("CSG5.html#group36E5", "36E⁵"), =HYPERLINK("CSG0.html#group9A0", "9A⁰"), =HYPERLINK("CSG0.html#group3C0", "3C⁰"), =HYPERLINK("CSG1.html#group24B1", "24B¹"), =HYPERLINK("CSG4.html#group72D4", "72D⁴"), =HYPERLINK("CSG0.html#group3A0", "3A⁰"), =HYPERLINK("CSG0.html#group1A0", "1A⁰"), =HYPERLINK("CSG1.html#group9B1", "9B¹")</f>
        <v/>
      </c>
      <c r="N2788">
        <f>HYPERLINK("CSG21.html#group72Q21", "72Q²¹"), =HYPERLINK("CSG23.html#group72F23", "72F²³"), =HYPERLINK("CSG23.html#group72G23", "72G²³")</f>
        <v/>
      </c>
    </row>
    <row r="2789">
      <c r="A2789" t="inlineStr">
        <is>
          <t>72G¹¹</t>
        </is>
      </c>
      <c r="B2789" t="inlineStr"/>
      <c r="C2789" t="inlineStr">
        <is>
          <t>144</t>
        </is>
      </c>
      <c r="D2789" t="inlineStr">
        <is>
          <t>2</t>
        </is>
      </c>
      <c r="E2789" t="inlineStr">
        <is>
          <t>36</t>
        </is>
      </c>
      <c r="F2789" t="inlineStr">
        <is>
          <t>4</t>
        </is>
      </c>
      <c r="G2789" t="inlineStr">
        <is>
          <t>0</t>
        </is>
      </c>
      <c r="H2789" t="inlineStr">
        <is>
          <t>72²</t>
        </is>
      </c>
      <c r="I2789" t="n">
        <v>2</v>
      </c>
      <c r="J2789" t="inlineStr">
        <is>
          <t>8⁶, 24⁴</t>
        </is>
      </c>
      <c r="K2789">
        <f>HYPERLINK("CSG3.html#group24E3", "24E³"), =HYPERLINK("CSG4.html#group72A4", "72A⁴"), =HYPERLINK("CSG4.html#group72C4", "72C⁴"), =HYPERLINK("CSG5.html#group36E5", "36E⁵")</f>
        <v/>
      </c>
      <c r="L2789">
        <f>HYPERLINK("CSG21.html#group72P21", "72P²¹"), =HYPERLINK("CSG23.html#group72F23", "72F²³"), =HYPERLINK("CSG23.html#group72H23", "72H²³"), =HYPERLINK("CSG23.html#group144T23", "144T²³"), =HYPERLINK("CSG23.html#group144Q23", "144Q²³")</f>
        <v/>
      </c>
      <c r="M2789">
        <f>HYPERLINK("CSG1.html#group12G1", "12G¹"), =HYPERLINK("CSG0.html#group8A0", "8A⁰"), =HYPERLINK("CSG4.html#group72C4", "72C⁴"), =HYPERLINK("CSG1.html#group24B1", "24B¹"), =HYPERLINK("CSG0.html#group1A0", "1A⁰"), =HYPERLINK("CSG1.html#group9B1", "9B¹"), =HYPERLINK("CSG4.html#group72A4", "72A⁴"), =HYPERLINK("CSG1.html#group36A1", "36A¹"), =HYPERLINK("CSG3.html#group24E3", "24E³"), =HYPERLINK("CSG0.html#group12A0", "12A⁰"), =HYPERLINK("CSG1.html#group24A1", "24A¹"), =HYPERLINK("CSG0.html#group4A0", "4A⁰"), =HYPERLINK("CSG5.html#group36E5", "36E⁵"), =HYPERLINK("CSG0.html#group9A0", "9A⁰"), =HYPERLINK("CSG0.html#group3C0", "3C⁰"), =HYPERLINK("CSG0.html#group3A0", "3A⁰")</f>
        <v/>
      </c>
      <c r="N2789">
        <f>HYPERLINK("CSG23.html#group144T23", "144T²³"), =HYPERLINK("CSG23.html#group72H23", "72H²³"), =HYPERLINK("CSG23.html#group72F23", "72F²³"), =HYPERLINK("CSG21.html#group72P21", "72P²¹"), =HYPERLINK("CSG23.html#group144Q23", "144Q²³")</f>
        <v/>
      </c>
    </row>
    <row r="2790">
      <c r="A2790" t="inlineStr">
        <is>
          <t>72H¹¹</t>
        </is>
      </c>
      <c r="B2790" t="inlineStr"/>
      <c r="C2790" t="inlineStr">
        <is>
          <t>144</t>
        </is>
      </c>
      <c r="D2790" t="inlineStr">
        <is>
          <t>2</t>
        </is>
      </c>
      <c r="E2790" t="inlineStr">
        <is>
          <t>36</t>
        </is>
      </c>
      <c r="F2790" t="inlineStr">
        <is>
          <t>4</t>
        </is>
      </c>
      <c r="G2790" t="inlineStr">
        <is>
          <t>0</t>
        </is>
      </c>
      <c r="H2790" t="inlineStr">
        <is>
          <t>72²</t>
        </is>
      </c>
      <c r="I2790" t="n">
        <v>2</v>
      </c>
      <c r="J2790" t="inlineStr">
        <is>
          <t>8⁶, 24⁴</t>
        </is>
      </c>
      <c r="K2790">
        <f>HYPERLINK("CSG3.html#group24E3", "24E³"), =HYPERLINK("CSG4.html#group72A4", "72A⁴"), =HYPERLINK("CSG4.html#group72D4", "72D⁴"), =HYPERLINK("CSG5.html#group36E5", "36E⁵")</f>
        <v/>
      </c>
      <c r="L2790">
        <f>HYPERLINK("CSG21.html#group72Q21", "72Q²¹"), =HYPERLINK("CSG23.html#group72F23", "72F²³"), =HYPERLINK("CSG23.html#group72H23", "72H²³"), =HYPERLINK("CSG23.html#group144S23", "144S²³"), =HYPERLINK("CSG23.html#group144R23", "144R²³")</f>
        <v/>
      </c>
      <c r="M2790">
        <f>HYPERLINK("CSG1.html#group12G1", "12G¹"), =HYPERLINK("CSG0.html#group8A0", "8A⁰"), =HYPERLINK("CSG1.html#group24B1", "24B¹"), =HYPERLINK("CSG4.html#group72D4", "72D⁴"), =HYPERLINK("CSG0.html#group1A0", "1A⁰"), =HYPERLINK("CSG1.html#group9B1", "9B¹"), =HYPERLINK("CSG4.html#group72A4", "72A⁴"), =HYPERLINK("CSG1.html#group36A1", "36A¹"), =HYPERLINK("CSG3.html#group24E3", "24E³"), =HYPERLINK("CSG0.html#group12A0", "12A⁰"), =HYPERLINK("CSG1.html#group24A1", "24A¹"), =HYPERLINK("CSG0.html#group4A0", "4A⁰"), =HYPERLINK("CSG5.html#group36E5", "36E⁵"), =HYPERLINK("CSG0.html#group9A0", "9A⁰"), =HYPERLINK("CSG0.html#group3C0", "3C⁰"), =HYPERLINK("CSG0.html#group3A0", "3A⁰")</f>
        <v/>
      </c>
      <c r="N2790">
        <f>HYPERLINK("CSG23.html#group72H23", "72H²³"), =HYPERLINK("CSG21.html#group72Q21", "72Q²¹"), =HYPERLINK("CSG23.html#group144S23", "144S²³"), =HYPERLINK("CSG23.html#group72F23", "72F²³"), =HYPERLINK("CSG23.html#group144R23", "144R²³")</f>
        <v/>
      </c>
    </row>
    <row r="2791">
      <c r="A2791" t="inlineStr">
        <is>
          <t>72I¹¹</t>
        </is>
      </c>
      <c r="B2791" t="inlineStr"/>
      <c r="C2791" t="inlineStr">
        <is>
          <t>192</t>
        </is>
      </c>
      <c r="D2791" t="inlineStr">
        <is>
          <t>1</t>
        </is>
      </c>
      <c r="E2791" t="inlineStr">
        <is>
          <t>16</t>
        </is>
      </c>
      <c r="F2791" t="inlineStr">
        <is>
          <t>0</t>
        </is>
      </c>
      <c r="G2791" t="inlineStr">
        <is>
          <t>12</t>
        </is>
      </c>
      <c r="H2791" t="inlineStr">
        <is>
          <t>24², 72²</t>
        </is>
      </c>
      <c r="I2791" t="n">
        <v>4</v>
      </c>
      <c r="J2791" t="inlineStr">
        <is>
          <t>2⁴, 4²</t>
        </is>
      </c>
      <c r="K2791">
        <f>HYPERLINK("CSG3.html#group24F3", "24F³"), =HYPERLINK("CSG5.html#group36G5", "36G⁵")</f>
        <v/>
      </c>
      <c r="L2791">
        <f>HYPERLINK("CSG21.html#group72Y21", "72Y²¹")</f>
        <v/>
      </c>
      <c r="M2791">
        <f>HYPERLINK("CSG0.html#group3B0", "3B⁰"), =HYPERLINK("CSG0.html#group2A0", "2A⁰"), =HYPERLINK("CSG1.html#group12I1", "12I¹"), =HYPERLINK("CSG3.html#group36C3", "36C³"), =HYPERLINK("CSG0.html#group18B0", "18B⁰"), =HYPERLINK("CSG0.html#group4A0", "4A⁰"), =HYPERLINK("CSG0.html#group4D0", "4D⁰"), =HYPERLINK("CSG0.html#group6C0", "6C⁰"), =HYPERLINK("CSG1.html#group12A1", "12A¹"), =HYPERLINK("CSG0.html#group9C0", "9C⁰"), =HYPERLINK("CSG0.html#group1A0", "1A⁰"), =HYPERLINK("CSG5.html#group36G5", "36G⁵"), =HYPERLINK("CSG3.html#group24F3", "24F³")</f>
        <v/>
      </c>
      <c r="N2791">
        <f>HYPERLINK("CSG21.html#group72Y21", "72Y²¹")</f>
        <v/>
      </c>
    </row>
    <row r="2792">
      <c r="A2792" t="inlineStr">
        <is>
          <t>72J¹¹</t>
        </is>
      </c>
      <c r="B2792" t="inlineStr"/>
      <c r="C2792" t="inlineStr">
        <is>
          <t>192</t>
        </is>
      </c>
      <c r="D2792" t="inlineStr">
        <is>
          <t>1</t>
        </is>
      </c>
      <c r="E2792" t="inlineStr">
        <is>
          <t>16</t>
        </is>
      </c>
      <c r="F2792" t="inlineStr">
        <is>
          <t>0</t>
        </is>
      </c>
      <c r="G2792" t="inlineStr">
        <is>
          <t>12</t>
        </is>
      </c>
      <c r="H2792" t="inlineStr">
        <is>
          <t>24², 72²</t>
        </is>
      </c>
      <c r="I2792" t="n">
        <v>4</v>
      </c>
      <c r="J2792" t="inlineStr">
        <is>
          <t>2⁴, 4²</t>
        </is>
      </c>
      <c r="K2792">
        <f>HYPERLINK("CSG3.html#group24G3", "24G³"), =HYPERLINK("CSG5.html#group36G5", "36G⁵"), =HYPERLINK("CSG6.html#group72A6", "72A⁶")</f>
        <v/>
      </c>
      <c r="L2792">
        <f>HYPERLINK("CSG21.html#group72Y21", "72Y²¹"), =HYPERLINK("CSG23.html#group144U23", "144U²³"), =HYPERLINK("CSG23.html#group144V23", "144V²³")</f>
        <v/>
      </c>
      <c r="M2792">
        <f>HYPERLINK("CSG0.html#group3B0", "3B⁰"), =HYPERLINK("CSG0.html#group2A0", "2A⁰"), =HYPERLINK("CSG6.html#group72A6", "72A⁶"), =HYPERLINK("CSG1.html#group12I1", "12I¹"), =HYPERLINK("CSG2.html#group24A2", "24A²"), =HYPERLINK("CSG0.html#group18B0", "18B⁰"), =HYPERLINK("CSG0.html#group6C0", "6C⁰"), =HYPERLINK("CSG0.html#group8A0", "8A⁰"), =HYPERLINK("CSG0.html#group8E0", "8E⁰"), =HYPERLINK("CSG0.html#group9C0", "9C⁰"), =HYPERLINK("CSG3.html#group24G3", "24G³"), =HYPERLINK("CSG0.html#group1A0", "1A⁰"), =HYPERLINK("CSG5.html#group36G5", "36G⁵"), =HYPERLINK("CSG3.html#group36C3", "36C³"), =HYPERLINK("CSG0.html#group4A0", "4A⁰"), =HYPERLINK("CSG0.html#group4D0", "4D⁰"), =HYPERLINK("CSG1.html#group12A1", "12A¹")</f>
        <v/>
      </c>
      <c r="N2792">
        <f>HYPERLINK("CSG21.html#group72Y21", "72Y²¹"), =HYPERLINK("CSG23.html#group144V23", "144V²³"), =HYPERLINK("CSG23.html#group144U23", "144U²³")</f>
        <v/>
      </c>
    </row>
    <row r="2793">
      <c r="A2793" t="inlineStr">
        <is>
          <t>72K¹¹</t>
        </is>
      </c>
      <c r="B2793" t="inlineStr"/>
      <c r="C2793" t="inlineStr">
        <is>
          <t>192</t>
        </is>
      </c>
      <c r="D2793" t="inlineStr">
        <is>
          <t>1</t>
        </is>
      </c>
      <c r="E2793" t="inlineStr">
        <is>
          <t>32</t>
        </is>
      </c>
      <c r="F2793" t="inlineStr">
        <is>
          <t>0</t>
        </is>
      </c>
      <c r="G2793" t="inlineStr">
        <is>
          <t>6</t>
        </is>
      </c>
      <c r="H2793" t="inlineStr">
        <is>
          <t>8⁶, 72²</t>
        </is>
      </c>
      <c r="I2793" t="n">
        <v>8</v>
      </c>
      <c r="J2793" t="inlineStr">
        <is>
          <t>4⁸</t>
        </is>
      </c>
      <c r="K2793">
        <f>HYPERLINK("CSG3.html#group24F3", "24F³"), =HYPERLINK("CSG4.html#group36O4", "36O⁴")</f>
        <v/>
      </c>
      <c r="L2793">
        <f>HYPERLINK("CSG21.html#group72Z21", "72Z²¹")</f>
        <v/>
      </c>
      <c r="M2793">
        <f>HYPERLINK("CSG0.html#group18C0", "18C⁰"), =HYPERLINK("CSG0.html#group3B0", "3B⁰"), =HYPERLINK("CSG0.html#group2A0", "2A⁰"), =HYPERLINK("CSG1.html#group12I1", "12I¹"), =HYPERLINK("CSG0.html#group4A0", "4A⁰"), =HYPERLINK("CSG0.html#group4D0", "4D⁰"), =HYPERLINK("CSG1.html#group12A1", "12A¹"), =HYPERLINK("CSG0.html#group6C0", "6C⁰"), =HYPERLINK("CSG4.html#group36O4", "36O⁴"), =HYPERLINK("CSG0.html#group1A0", "1A⁰"), =HYPERLINK("CSG3.html#group24F3", "24F³")</f>
        <v/>
      </c>
      <c r="N2793">
        <f>HYPERLINK("CSG21.html#group72Z21", "72Z²¹")</f>
        <v/>
      </c>
    </row>
    <row r="2794">
      <c r="A2794" t="inlineStr">
        <is>
          <t>72L¹¹</t>
        </is>
      </c>
      <c r="B2794" t="inlineStr"/>
      <c r="C2794" t="inlineStr">
        <is>
          <t>192</t>
        </is>
      </c>
      <c r="D2794" t="inlineStr">
        <is>
          <t>1</t>
        </is>
      </c>
      <c r="E2794" t="inlineStr">
        <is>
          <t>32</t>
        </is>
      </c>
      <c r="F2794" t="inlineStr">
        <is>
          <t>0</t>
        </is>
      </c>
      <c r="G2794" t="inlineStr">
        <is>
          <t>6</t>
        </is>
      </c>
      <c r="H2794" t="inlineStr">
        <is>
          <t>8⁶, 72²</t>
        </is>
      </c>
      <c r="I2794" t="n">
        <v>8</v>
      </c>
      <c r="J2794" t="inlineStr">
        <is>
          <t>4⁸</t>
        </is>
      </c>
      <c r="K2794">
        <f>HYPERLINK("CSG3.html#group24G3", "24G³"), =HYPERLINK("CSG4.html#group36O4", "36O⁴")</f>
        <v/>
      </c>
      <c r="L2794">
        <f>HYPERLINK("CSG21.html#group72Z21", "72Z²¹")</f>
        <v/>
      </c>
      <c r="M2794">
        <f>HYPERLINK("CSG0.html#group18C0", "18C⁰"), =HYPERLINK("CSG0.html#group3B0", "3B⁰"), =HYPERLINK("CSG0.html#group2A0", "2A⁰"), =HYPERLINK("CSG1.html#group12I1", "12I¹"), =HYPERLINK("CSG2.html#group24A2", "24A²"), =HYPERLINK("CSG0.html#group4A0", "4A⁰"), =HYPERLINK("CSG0.html#group4D0", "4D⁰"), =HYPERLINK("CSG1.html#group12A1", "12A¹"), =HYPERLINK("CSG0.html#group6C0", "6C⁰"), =HYPERLINK("CSG0.html#group8A0", "8A⁰"), =HYPERLINK("CSG0.html#group8E0", "8E⁰"), =HYPERLINK("CSG3.html#group24G3", "24G³"), =HYPERLINK("CSG4.html#group36O4", "36O⁴"), =HYPERLINK("CSG0.html#group1A0", "1A⁰")</f>
        <v/>
      </c>
      <c r="N2794">
        <f>HYPERLINK("CSG21.html#group72Z21", "72Z²¹")</f>
        <v/>
      </c>
    </row>
    <row r="2795">
      <c r="A2795" t="inlineStr">
        <is>
          <t>72M¹¹</t>
        </is>
      </c>
      <c r="B2795" t="inlineStr"/>
      <c r="C2795" t="inlineStr">
        <is>
          <t>216</t>
        </is>
      </c>
      <c r="D2795" t="inlineStr">
        <is>
          <t>1</t>
        </is>
      </c>
      <c r="E2795" t="inlineStr">
        <is>
          <t>9</t>
        </is>
      </c>
      <c r="F2795" t="inlineStr">
        <is>
          <t>24</t>
        </is>
      </c>
      <c r="G2795" t="inlineStr">
        <is>
          <t>0</t>
        </is>
      </c>
      <c r="H2795" t="inlineStr">
        <is>
          <t>36², 72²</t>
        </is>
      </c>
      <c r="I2795" t="n">
        <v>4</v>
      </c>
      <c r="J2795" t="inlineStr">
        <is>
          <t>1³, 2³</t>
        </is>
      </c>
      <c r="K2795">
        <f>HYPERLINK("CSG3.html#group24H3", "24H³"), =HYPERLINK("CSG5.html#group36H5", "36H⁵"), =HYPERLINK("CSG5.html#group72A5", "72A⁵")</f>
        <v/>
      </c>
      <c r="L2795">
        <f>HYPERLINK("CSG21.html#group72AA21", "72AA²¹")</f>
        <v/>
      </c>
      <c r="M2795">
        <f>HYPERLINK("CSG0.html#group12C0", "12C⁰"), =HYPERLINK("CSG3.html#group36E3", "36E³"), =HYPERLINK("CSG0.html#group4C0", "4C⁰"), =HYPERLINK("CSG1.html#group24D1", "24D¹"), =HYPERLINK("CSG2.html#group36B2", "36B²"), =HYPERLINK("CSG0.html#group6G0", "6G⁰"), =HYPERLINK("CSG5.html#group72A5", "72A⁵"), =HYPERLINK("CSG0.html#group2B0", "2B⁰"), =HYPERLINK("CSG5.html#group36H5", "36H⁵"), =HYPERLINK("CSG1.html#group12L1", "12L¹"), =HYPERLINK("CSG0.html#group1A0", "1A⁰"), =HYPERLINK("CSG0.html#group9D0", "9D⁰"), =HYPERLINK("CSG1.html#group12C1", "12C¹"), =HYPERLINK("CSG3.html#group24H3", "24H³"), =HYPERLINK("CSG0.html#group9A0", "9A⁰"), =HYPERLINK("CSG0.html#group3C0", "3C⁰"), =HYPERLINK("CSG1.html#group18E1", "18E¹"), =HYPERLINK("CSG0.html#group3A0", "3A⁰"), =HYPERLINK("CSG2.html#group18I2", "18I²"), =HYPERLINK("CSG0.html#group6D0", "6D⁰")</f>
        <v/>
      </c>
      <c r="N2795">
        <f>HYPERLINK("CSG21.html#group72AA21", "72AA²¹")</f>
        <v/>
      </c>
    </row>
    <row r="2796">
      <c r="A2796" t="inlineStr">
        <is>
          <t>72N¹¹</t>
        </is>
      </c>
      <c r="B2796" t="inlineStr"/>
      <c r="C2796" t="inlineStr">
        <is>
          <t>216</t>
        </is>
      </c>
      <c r="D2796" t="inlineStr">
        <is>
          <t>1</t>
        </is>
      </c>
      <c r="E2796" t="inlineStr">
        <is>
          <t>9</t>
        </is>
      </c>
      <c r="F2796" t="inlineStr">
        <is>
          <t>24</t>
        </is>
      </c>
      <c r="G2796" t="inlineStr">
        <is>
          <t>0</t>
        </is>
      </c>
      <c r="H2796" t="inlineStr">
        <is>
          <t>36², 72²</t>
        </is>
      </c>
      <c r="I2796" t="n">
        <v>4</v>
      </c>
      <c r="J2796" t="inlineStr">
        <is>
          <t>1³, 2³</t>
        </is>
      </c>
      <c r="K2796">
        <f>HYPERLINK("CSG3.html#group24I3", "24I³"), =HYPERLINK("CSG4.html#group72E4", "72E⁴"), =HYPERLINK("CSG5.html#group36H5", "36H⁵"), =HYPERLINK("CSG6.html#group72B6", "72B⁶")</f>
        <v/>
      </c>
      <c r="L2796">
        <f>HYPERLINK("CSG21.html#group72AA21", "72AA²¹"), =HYPERLINK("CSG23.html#group144W23", "144W²³"), =HYPERLINK("CSG23.html#group144X23", "144X²³")</f>
        <v/>
      </c>
      <c r="M2796">
        <f>HYPERLINK("CSG0.html#group12C0", "12C⁰"), =HYPERLINK("CSG3.html#group36E3", "36E³"), =HYPERLINK("CSG4.html#group72E4", "72E⁴"), =HYPERLINK("CSG0.html#group4C0", "4C⁰"), =HYPERLINK("CSG2.html#group36B2", "36B²"), =HYPERLINK("CSG3.html#group24I3", "24I³"), =HYPERLINK("CSG0.html#group8B0", "8B⁰"), =HYPERLINK("CSG0.html#group6G0", "6G⁰"), =HYPERLINK("CSG0.html#group2B0", "2B⁰"), =HYPERLINK("CSG5.html#group36H5", "36H⁵"), =HYPERLINK("CSG2.html#group24C2", "24C²"), =HYPERLINK("CSG6.html#group72B6", "72B⁶"), =HYPERLINK("CSG0.html#group1A0", "1A⁰"), =HYPERLINK("CSG1.html#group12L1", "12L¹"), =HYPERLINK("CSG0.html#group9D0", "9D⁰"), =HYPERLINK("CSG1.html#group12C1", "12C¹"), =HYPERLINK("CSG0.html#group24A0", "24A⁰"), =HYPERLINK("CSG0.html#group9A0", "9A⁰"), =HYPERLINK("CSG0.html#group3C0", "3C⁰"), =HYPERLINK("CSG1.html#group18E1", "18E¹"), =HYPERLINK("CSG0.html#group3A0", "3A⁰"), =HYPERLINK("CSG2.html#group18I2", "18I²"), =HYPERLINK("CSG0.html#group6D0", "6D⁰")</f>
        <v/>
      </c>
      <c r="N2796">
        <f>HYPERLINK("CSG21.html#group72AA21", "72AA²¹"), =HYPERLINK("CSG23.html#group144W23", "144W²³"), =HYPERLINK("CSG23.html#group144X23", "144X²³")</f>
        <v/>
      </c>
    </row>
    <row r="2797">
      <c r="A2797" t="inlineStr">
        <is>
          <t>72O¹¹</t>
        </is>
      </c>
      <c r="B2797" t="inlineStr"/>
      <c r="C2797" t="inlineStr">
        <is>
          <t>216</t>
        </is>
      </c>
      <c r="D2797" t="inlineStr">
        <is>
          <t>1</t>
        </is>
      </c>
      <c r="E2797" t="inlineStr">
        <is>
          <t>18</t>
        </is>
      </c>
      <c r="F2797" t="inlineStr">
        <is>
          <t>12</t>
        </is>
      </c>
      <c r="G2797" t="inlineStr">
        <is>
          <t>0</t>
        </is>
      </c>
      <c r="H2797" t="inlineStr">
        <is>
          <t>9⁸, 72²</t>
        </is>
      </c>
      <c r="I2797" t="n">
        <v>10</v>
      </c>
      <c r="J2797" t="inlineStr">
        <is>
          <t>2³, 4³</t>
        </is>
      </c>
      <c r="K2797">
        <f>HYPERLINK("CSG1.html#group24I1", "24I¹"), =HYPERLINK("CSG4.html#group36P4", "36P⁴")</f>
        <v/>
      </c>
      <c r="L2797" t="inlineStr"/>
      <c r="M2797">
        <f>HYPERLINK("CSG0.html#group12G0", "12G⁰"), =HYPERLINK("CSG1.html#group24I1", "24I¹"), =HYPERLINK("CSG0.html#group9D0", "9D⁰"), =HYPERLINK("CSG0.html#group9A0", "9A⁰"), =HYPERLINK("CSG4.html#group36P4", "36P⁴"), =HYPERLINK("CSG0.html#group6G0", "6G⁰"), =HYPERLINK("CSG0.html#group3C0", "3C⁰"), =HYPERLINK("CSG0.html#group2B0", "2B⁰"), =HYPERLINK("CSG0.html#group12D0", "12D⁰"), =HYPERLINK("CSG1.html#group18E1", "18E¹"), =HYPERLINK("CSG0.html#group3A0", "3A⁰"), =HYPERLINK("CSG0.html#group1A0", "1A⁰"), =HYPERLINK("CSG2.html#group18I2", "18I²"), =HYPERLINK("CSG0.html#group6D0", "6D⁰"), =HYPERLINK("CSG2.html#group36C2", "36C²")</f>
        <v/>
      </c>
      <c r="N2797" t="inlineStr"/>
    </row>
    <row r="2798">
      <c r="A2798" t="inlineStr">
        <is>
          <t>72P¹¹</t>
        </is>
      </c>
      <c r="B2798" t="inlineStr"/>
      <c r="C2798" t="inlineStr">
        <is>
          <t>216</t>
        </is>
      </c>
      <c r="D2798" t="inlineStr">
        <is>
          <t>1</t>
        </is>
      </c>
      <c r="E2798" t="inlineStr">
        <is>
          <t>108</t>
        </is>
      </c>
      <c r="F2798" t="inlineStr">
        <is>
          <t>0</t>
        </is>
      </c>
      <c r="G2798" t="inlineStr">
        <is>
          <t>0</t>
        </is>
      </c>
      <c r="H2798" t="inlineStr">
        <is>
          <t>3⁶, 6³, 9², 18¹, 24³, 72¹</t>
        </is>
      </c>
      <c r="I2798" t="n">
        <v>16</v>
      </c>
      <c r="J2798" t="inlineStr">
        <is>
          <t>1⁴, 2⁵, 3⁴, 4¹, 6⁹, 12²</t>
        </is>
      </c>
      <c r="K2798">
        <f>HYPERLINK("CSG3.html#group24K3", "24K³"), =HYPERLINK("CSG4.html#group36Q4", "36Q⁴")</f>
        <v/>
      </c>
      <c r="L2798">
        <f>HYPERLINK("CSG21.html#group72AB21", "72AB²¹")</f>
        <v/>
      </c>
      <c r="M2798">
        <f>HYPERLINK("CSG1.html#group12K1", "12K¹"), =HYPERLINK("CSG0.html#group3A0", "3A⁰"), =HYPERLINK("CSG0.html#group9E0", "9E⁰"), =HYPERLINK("CSG1.html#group18I1", "18I¹"), =HYPERLINK("CSG2.html#group24D2", "24D²"), =HYPERLINK("CSG4.html#group36Q4", "36Q⁴"), =HYPERLINK("CSG0.html#group6G0", "6G⁰"), =HYPERLINK("CSG0.html#group3C0", "3C⁰"), =HYPERLINK("CSG0.html#group2B0", "2B⁰"), =HYPERLINK("CSG3.html#group24K3", "24K³"), =HYPERLINK("CSG1.html#group12B1", "12B¹"), =HYPERLINK("CSG0.html#group12D0", "12D⁰"), =HYPERLINK("CSG0.html#group4B0", "4B⁰"), =HYPERLINK("CSG0.html#group1A0", "1A⁰"), =HYPERLINK("CSG0.html#group6D0", "6D⁰")</f>
        <v/>
      </c>
      <c r="N2798">
        <f>HYPERLINK("CSG21.html#group72AB21", "72AB²¹")</f>
        <v/>
      </c>
    </row>
    <row r="2799">
      <c r="A2799" t="inlineStr">
        <is>
          <t>72Q¹¹</t>
        </is>
      </c>
      <c r="B2799" t="inlineStr"/>
      <c r="C2799" t="inlineStr">
        <is>
          <t>216</t>
        </is>
      </c>
      <c r="D2799" t="inlineStr">
        <is>
          <t>1</t>
        </is>
      </c>
      <c r="E2799" t="inlineStr">
        <is>
          <t>108</t>
        </is>
      </c>
      <c r="F2799" t="inlineStr">
        <is>
          <t>0</t>
        </is>
      </c>
      <c r="G2799" t="inlineStr">
        <is>
          <t>0</t>
        </is>
      </c>
      <c r="H2799" t="inlineStr">
        <is>
          <t>3⁶, 6³, 9², 18¹, 24³, 72¹</t>
        </is>
      </c>
      <c r="I2799" t="n">
        <v>16</v>
      </c>
      <c r="J2799" t="inlineStr">
        <is>
          <t>1⁴, 2⁵, 3⁴, 4¹, 6⁹, 12²</t>
        </is>
      </c>
      <c r="K2799">
        <f>HYPERLINK("CSG3.html#group24L3", "24L³"), =HYPERLINK("CSG4.html#group36Q4", "36Q⁴")</f>
        <v/>
      </c>
      <c r="L2799">
        <f>HYPERLINK("CSG21.html#group72AB21", "72AB²¹")</f>
        <v/>
      </c>
      <c r="M2799">
        <f>HYPERLINK("CSG1.html#group12K1", "12K¹"), =HYPERLINK("CSG1.html#group18I1", "18I¹"), =HYPERLINK("CSG0.html#group6G0", "6G⁰"), =HYPERLINK("CSG0.html#group2B0", "2B⁰"), =HYPERLINK("CSG0.html#group8C0", "8C⁰"), =HYPERLINK("CSG0.html#group9E0", "9E⁰"), =HYPERLINK("CSG0.html#group4B0", "4B⁰"), =HYPERLINK("CSG0.html#group1A0", "1A⁰"), =HYPERLINK("CSG2.html#group24B2", "24B²"), =HYPERLINK("CSG2.html#group24D2", "24D²"), =HYPERLINK("CSG4.html#group36Q4", "36Q⁴"), =HYPERLINK("CSG0.html#group3C0", "3C⁰"), =HYPERLINK("CSG1.html#group12B1", "12B¹"), =HYPERLINK("CSG0.html#group12D0", "12D⁰"), =HYPERLINK("CSG0.html#group3A0", "3A⁰"), =HYPERLINK("CSG3.html#group24L3", "24L³"), =HYPERLINK("CSG0.html#group6D0", "6D⁰")</f>
        <v/>
      </c>
      <c r="N2799">
        <f>HYPERLINK("CSG21.html#group72AB21", "72AB²¹")</f>
        <v/>
      </c>
    </row>
    <row r="2800">
      <c r="A2800" t="inlineStr">
        <is>
          <t>72R¹¹</t>
        </is>
      </c>
      <c r="B2800" t="inlineStr"/>
      <c r="C2800" t="inlineStr">
        <is>
          <t>216</t>
        </is>
      </c>
      <c r="D2800" t="inlineStr">
        <is>
          <t>2</t>
        </is>
      </c>
      <c r="E2800" t="inlineStr">
        <is>
          <t>27</t>
        </is>
      </c>
      <c r="F2800" t="inlineStr">
        <is>
          <t>24</t>
        </is>
      </c>
      <c r="G2800" t="inlineStr">
        <is>
          <t>0</t>
        </is>
      </c>
      <c r="H2800" t="inlineStr">
        <is>
          <t>36², 72²</t>
        </is>
      </c>
      <c r="I2800" t="n">
        <v>4</v>
      </c>
      <c r="J2800" t="inlineStr">
        <is>
          <t>2⁹, 6⁶</t>
        </is>
      </c>
      <c r="K2800">
        <f>HYPERLINK("CSG3.html#group24S3", "24S³"), =HYPERLINK("CSG4.html#group36R4", "36R⁴"), =HYPERLINK("CSG5.html#group72A5", "72A⁵"), =HYPERLINK("CSG6.html#group72B6", "72B⁶")</f>
        <v/>
      </c>
      <c r="L2800">
        <f>HYPERLINK("CSG21.html#group72AA21", "72AA²¹")</f>
        <v/>
      </c>
      <c r="M2800">
        <f>HYPERLINK("CSG0.html#group6B0", "6B⁰"), =HYPERLINK("CSG0.html#group12C0", "12C⁰"), =HYPERLINK("CSG0.html#group3A0", "3A⁰"), =HYPERLINK("CSG2.html#group36B2", "36B²"), =HYPERLINK("CSG0.html#group4C0", "4C⁰"), =HYPERLINK("CSG1.html#group24D1", "24D¹"), =HYPERLINK("CSG4.html#group36R4", "36R⁴"), =HYPERLINK("CSG5.html#group72A5", "72A⁵"), =HYPERLINK("CSG0.html#group2B0", "2B⁰"), =HYPERLINK("CSG2.html#group24C2", "24C²"), =HYPERLINK("CSG6.html#group72B6", "72B⁶"), =HYPERLINK("CSG0.html#group1A0", "1A⁰"), =HYPERLINK("CSG0.html#group18A0", "18A⁰"), =HYPERLINK("CSG2.html#group18L2", "18L²"), =HYPERLINK("CSG3.html#group24S3", "24S³"), =HYPERLINK("CSG0.html#group9A0", "9A⁰"), =HYPERLINK("CSG1.html#group18E1", "18E¹"), =HYPERLINK("CSG0.html#group12D0", "12D⁰"), =HYPERLINK("CSG0.html#group6H0", "6H⁰"), =HYPERLINK("CSG0.html#group12H0", "12H⁰"), =HYPERLINK("CSG0.html#group6D0", "6D⁰"), =HYPERLINK("CSG2.html#group36C2", "36C²")</f>
        <v/>
      </c>
      <c r="N2800">
        <f>HYPERLINK("CSG21.html#group72AA21", "72AA²¹")</f>
        <v/>
      </c>
    </row>
    <row r="2801">
      <c r="A2801" t="inlineStr">
        <is>
          <t>75A¹¹</t>
        </is>
      </c>
      <c r="B2801" t="inlineStr"/>
      <c r="C2801" t="inlineStr">
        <is>
          <t>150</t>
        </is>
      </c>
      <c r="D2801" t="inlineStr">
        <is>
          <t>1</t>
        </is>
      </c>
      <c r="E2801" t="inlineStr">
        <is>
          <t>50</t>
        </is>
      </c>
      <c r="F2801" t="inlineStr">
        <is>
          <t>6</t>
        </is>
      </c>
      <c r="G2801" t="inlineStr">
        <is>
          <t>0</t>
        </is>
      </c>
      <c r="H2801" t="inlineStr">
        <is>
          <t>75²</t>
        </is>
      </c>
      <c r="I2801" t="n">
        <v>2</v>
      </c>
      <c r="J2801" t="inlineStr">
        <is>
          <t>2¹, 4², 20²</t>
        </is>
      </c>
      <c r="K2801">
        <f>HYPERLINK("CSG1.html#group15D1", "15D¹"), =HYPERLINK("CSG2.html#group25E2", "25E²")</f>
        <v/>
      </c>
      <c r="L2801">
        <f>HYPERLINK("CSG22.html#group75A22", "75A²²"), =HYPERLINK("CSG22.html#group150A22", "150A²²"), =HYPERLINK("CSG23.html#group75A23", "75A²³"), =HYPERLINK("CSG23.html#group150A23", "150A²³"), =HYPERLINK("CSG24.html#group75A24", "75A²⁴"), =HYPERLINK("CSG24.html#group150A24", "150A²⁴")</f>
        <v/>
      </c>
      <c r="M2801">
        <f>HYPERLINK("CSG1.html#group15D1", "15D¹"), =HYPERLINK("CSG0.html#group1A0", "1A⁰"), =HYPERLINK("CSG0.html#group3A0", "3A⁰"), =HYPERLINK("CSG0.html#group5C0", "5C⁰"), =HYPERLINK("CSG2.html#group25E2", "25E²")</f>
        <v/>
      </c>
      <c r="N2801">
        <f>HYPERLINK("CSG23.html#group75A23", "75A²³"), =HYPERLINK("CSG24.html#group150A24", "150A²⁴"), =HYPERLINK("CSG22.html#group150A22", "150A²²"), =HYPERLINK("CSG22.html#group75A22", "75A²²"), =HYPERLINK("CSG23.html#group150A23", "150A²³"), =HYPERLINK("CSG24.html#group75A24", "75A²⁴")</f>
        <v/>
      </c>
    </row>
    <row r="2802">
      <c r="A2802" t="inlineStr">
        <is>
          <t>75B¹¹</t>
        </is>
      </c>
      <c r="B2802" t="inlineStr"/>
      <c r="C2802" t="inlineStr">
        <is>
          <t>225</t>
        </is>
      </c>
      <c r="D2802" t="inlineStr">
        <is>
          <t>1</t>
        </is>
      </c>
      <c r="E2802" t="inlineStr">
        <is>
          <t>75</t>
        </is>
      </c>
      <c r="F2802" t="inlineStr">
        <is>
          <t>21</t>
        </is>
      </c>
      <c r="G2802" t="inlineStr">
        <is>
          <t>0</t>
        </is>
      </c>
      <c r="H2802" t="inlineStr">
        <is>
          <t>15⁵, 75²</t>
        </is>
      </c>
      <c r="I2802" t="n">
        <v>7</v>
      </c>
      <c r="J2802" t="inlineStr">
        <is>
          <t>2¹, 4², 5¹, 20³</t>
        </is>
      </c>
      <c r="K2802">
        <f>HYPERLINK("CSG1.html#group15F1", "15F¹"), =HYPERLINK("CSG2.html#group25F2", "25F²")</f>
        <v/>
      </c>
      <c r="L2802">
        <f>HYPERLINK("CSG24.html#group75B24", "75B²⁴")</f>
        <v/>
      </c>
      <c r="M2802">
        <f>HYPERLINK("CSG2.html#group25F2", "25F²"), =HYPERLINK("CSG0.html#group5A0", "5A⁰"), =HYPERLINK("CSG1.html#group15F1", "15F¹"), =HYPERLINK("CSG0.html#group5E0", "5E⁰"), =HYPERLINK("CSG0.html#group3A0", "3A⁰"), =HYPERLINK("CSG0.html#group1A0", "1A⁰"), =HYPERLINK("CSG1.html#group15A1", "15A¹"), =HYPERLINK("CSG0.html#group15A0", "15A⁰")</f>
        <v/>
      </c>
      <c r="N2802">
        <f>HYPERLINK("CSG24.html#group75B24", "75B²⁴")</f>
        <v/>
      </c>
    </row>
    <row r="2803">
      <c r="A2803" t="inlineStr">
        <is>
          <t>76A¹¹</t>
        </is>
      </c>
      <c r="B2803" t="inlineStr"/>
      <c r="C2803" t="inlineStr">
        <is>
          <t>160</t>
        </is>
      </c>
      <c r="D2803" t="inlineStr">
        <is>
          <t>1</t>
        </is>
      </c>
      <c r="E2803" t="inlineStr">
        <is>
          <t>80</t>
        </is>
      </c>
      <c r="F2803" t="inlineStr">
        <is>
          <t>0</t>
        </is>
      </c>
      <c r="G2803" t="inlineStr">
        <is>
          <t>4</t>
        </is>
      </c>
      <c r="H2803" t="inlineStr">
        <is>
          <t>4², 76²</t>
        </is>
      </c>
      <c r="I2803" t="n">
        <v>4</v>
      </c>
      <c r="J2803" t="inlineStr">
        <is>
          <t>2⁴, 36²</t>
        </is>
      </c>
      <c r="K2803">
        <f>HYPERLINK("CSG0.html#group4D0", "4D⁰"), =HYPERLINK("CSG2.html#group38A2", "38A²"), =HYPERLINK("CSG6.html#group76A6", "76A⁶")</f>
        <v/>
      </c>
      <c r="L2803">
        <f>HYPERLINK("CSG21.html#group76A21", "76A²¹"), =HYPERLINK("CSG23.html#group152A23", "152A²³"), =HYPERLINK("CSG23.html#group152B23", "152B²³")</f>
        <v/>
      </c>
      <c r="M2803">
        <f>HYPERLINK("CSG1.html#group19A1", "19A¹"), =HYPERLINK("CSG0.html#group2A0", "2A⁰"), =HYPERLINK("CSG2.html#group38A2", "38A²"), =HYPERLINK("CSG0.html#group4A0", "4A⁰"), =HYPERLINK("CSG0.html#group4D0", "4D⁰"), =HYPERLINK("CSG6.html#group76A6", "76A⁶"), =HYPERLINK("CSG0.html#group1A0", "1A⁰")</f>
        <v/>
      </c>
      <c r="N2803">
        <f>HYPERLINK("CSG21.html#group76A21", "76A²¹"), =HYPERLINK("CSG23.html#group152B23", "152B²³"), =HYPERLINK("CSG23.html#group152A23", "152A²³")</f>
        <v/>
      </c>
    </row>
    <row r="2804">
      <c r="A2804" t="inlineStr">
        <is>
          <t>78A¹¹</t>
        </is>
      </c>
      <c r="B2804" t="inlineStr"/>
      <c r="C2804" t="inlineStr">
        <is>
          <t>168</t>
        </is>
      </c>
      <c r="D2804" t="inlineStr">
        <is>
          <t>1</t>
        </is>
      </c>
      <c r="E2804" t="inlineStr">
        <is>
          <t>42</t>
        </is>
      </c>
      <c r="F2804" t="inlineStr">
        <is>
          <t>8</t>
        </is>
      </c>
      <c r="G2804" t="inlineStr">
        <is>
          <t>0</t>
        </is>
      </c>
      <c r="H2804" t="inlineStr">
        <is>
          <t>6², 78²</t>
        </is>
      </c>
      <c r="I2804" t="n">
        <v>4</v>
      </c>
      <c r="J2804" t="inlineStr">
        <is>
          <t>1², 2², 12¹, 24¹</t>
        </is>
      </c>
      <c r="K2804">
        <f>HYPERLINK("CSG0.html#group6E0", "6E⁰"), =HYPERLINK("CSG5.html#group39A5", "39A⁵"), =HYPERLINK("CSG5.html#group78B5", "78B⁵")</f>
        <v/>
      </c>
      <c r="L2804">
        <f>HYPERLINK("CSG21.html#group78A21", "78A²¹")</f>
        <v/>
      </c>
      <c r="M2804">
        <f>HYPERLINK("CSG2.html#group39A2", "39A²"), =HYPERLINK("CSG0.html#group6B0", "6B⁰"), =HYPERLINK("CSG5.html#group39A5", "39A⁵"), =HYPERLINK("CSG0.html#group6E0", "6E⁰"), =HYPERLINK("CSG5.html#group78B5", "78B⁵"), =HYPERLINK("CSG0.html#group13A0", "13A⁰"), =HYPERLINK("CSG0.html#group3C0", "3C⁰"), =HYPERLINK("CSG0.html#group3A0", "3A⁰"), =HYPERLINK("CSG0.html#group1A0", "1A⁰")</f>
        <v/>
      </c>
      <c r="N2804">
        <f>HYPERLINK("CSG21.html#group78A21", "78A²¹")</f>
        <v/>
      </c>
    </row>
    <row r="2805">
      <c r="A2805" t="inlineStr">
        <is>
          <t>78B¹¹</t>
        </is>
      </c>
      <c r="B2805" t="inlineStr"/>
      <c r="C2805" t="inlineStr">
        <is>
          <t>168</t>
        </is>
      </c>
      <c r="D2805" t="inlineStr">
        <is>
          <t>1</t>
        </is>
      </c>
      <c r="E2805" t="inlineStr">
        <is>
          <t>42</t>
        </is>
      </c>
      <c r="F2805" t="inlineStr">
        <is>
          <t>8</t>
        </is>
      </c>
      <c r="G2805" t="inlineStr">
        <is>
          <t>0</t>
        </is>
      </c>
      <c r="H2805" t="inlineStr">
        <is>
          <t>6², 78²</t>
        </is>
      </c>
      <c r="I2805" t="n">
        <v>4</v>
      </c>
      <c r="J2805" t="inlineStr">
        <is>
          <t>1², 2², 12¹, 24¹</t>
        </is>
      </c>
      <c r="K2805">
        <f>HYPERLINK("CSG4.html#group78A4", "78A⁴"), =HYPERLINK("CSG5.html#group39A5", "39A⁵"), =HYPERLINK("CSG6.html#group78A6", "78A⁶")</f>
        <v/>
      </c>
      <c r="L2805">
        <f>HYPERLINK("CSG21.html#group78A21", "78A²¹")</f>
        <v/>
      </c>
      <c r="M2805">
        <f>HYPERLINK("CSG2.html#group39A2", "39A²"), =HYPERLINK("CSG4.html#group78A4", "78A⁴"), =HYPERLINK("CSG5.html#group39A5", "39A⁵"), =HYPERLINK("CSG0.html#group13A0", "13A⁰"), =HYPERLINK("CSG0.html#group3C0", "3C⁰"), =HYPERLINK("CSG0.html#group26A0", "26A⁰"), =HYPERLINK("CSG6.html#group78A6", "78A⁶"), =HYPERLINK("CSG0.html#group3A0", "3A⁰"), =HYPERLINK("CSG0.html#group1A0", "1A⁰")</f>
        <v/>
      </c>
      <c r="N2805">
        <f>HYPERLINK("CSG21.html#group78A21", "78A²¹")</f>
        <v/>
      </c>
    </row>
    <row r="2806">
      <c r="A2806" t="inlineStr">
        <is>
          <t>78C¹¹</t>
        </is>
      </c>
      <c r="B2806" t="inlineStr">
        <is>
          <t>Γ₀(78)</t>
        </is>
      </c>
      <c r="C2806" t="inlineStr">
        <is>
          <t>168</t>
        </is>
      </c>
      <c r="D2806" t="inlineStr">
        <is>
          <t>1</t>
        </is>
      </c>
      <c r="E2806" t="inlineStr">
        <is>
          <t>168</t>
        </is>
      </c>
      <c r="F2806" t="inlineStr">
        <is>
          <t>0</t>
        </is>
      </c>
      <c r="G2806" t="inlineStr">
        <is>
          <t>0</t>
        </is>
      </c>
      <c r="H2806" t="inlineStr">
        <is>
          <t>1¹, 2¹, 3¹, 6¹, 13¹, 26¹, 39¹, 78¹</t>
        </is>
      </c>
      <c r="I2806" t="n">
        <v>8</v>
      </c>
      <c r="J2806" t="inlineStr">
        <is>
          <t>1¹², 2⁶, 12⁶, 24³</t>
        </is>
      </c>
      <c r="K2806">
        <f>HYPERLINK("CSG0.html#group6F0", "6F⁰"), =HYPERLINK("CSG2.html#group26A2", "26A²"), =HYPERLINK("CSG3.html#group39A3", "39A³")</f>
        <v/>
      </c>
      <c r="L2806">
        <f>HYPERLINK("CSG21.html#group78C21", "78C²¹"), =HYPERLINK("CSG23.html#group78C23", "78C²³"), =HYPERLINK("CSG23.html#group78F23", "78F²³"), =HYPERLINK("CSG23.html#group156C23", "156C²³"), =HYPERLINK("CSG23.html#group156D23", "156D²³")</f>
        <v/>
      </c>
      <c r="M2806">
        <f>HYPERLINK("CSG0.html#group3B0", "3B⁰"), =HYPERLINK("CSG3.html#group39A3", "39A³"), =HYPERLINK("CSG0.html#group13A0", "13A⁰"), =HYPERLINK("CSG0.html#group6F0", "6F⁰"), =HYPERLINK("CSG0.html#group2B0", "2B⁰"), =HYPERLINK("CSG0.html#group1A0", "1A⁰"), =HYPERLINK("CSG2.html#group26A2", "26A²")</f>
        <v/>
      </c>
      <c r="N2806">
        <f>HYPERLINK("CSG23.html#group156D23", "156D²³"), =HYPERLINK("CSG23.html#group156C23", "156C²³"), =HYPERLINK("CSG23.html#group78C23", "78C²³"), =HYPERLINK("CSG21.html#group78C21", "78C²¹"), =HYPERLINK("CSG23.html#group78F23", "78F²³")</f>
        <v/>
      </c>
    </row>
    <row r="2807">
      <c r="A2807" t="inlineStr">
        <is>
          <t>78D¹¹</t>
        </is>
      </c>
      <c r="B2807" t="inlineStr"/>
      <c r="C2807" t="inlineStr">
        <is>
          <t>168</t>
        </is>
      </c>
      <c r="D2807" t="inlineStr">
        <is>
          <t>2</t>
        </is>
      </c>
      <c r="E2807" t="inlineStr">
        <is>
          <t>28</t>
        </is>
      </c>
      <c r="F2807" t="inlineStr">
        <is>
          <t>0</t>
        </is>
      </c>
      <c r="G2807" t="inlineStr">
        <is>
          <t>6</t>
        </is>
      </c>
      <c r="H2807" t="inlineStr">
        <is>
          <t>6², 78²</t>
        </is>
      </c>
      <c r="I2807" t="n">
        <v>4</v>
      </c>
      <c r="J2807" t="inlineStr">
        <is>
          <t>2⁴, 24²</t>
        </is>
      </c>
      <c r="K2807">
        <f>HYPERLINK("CSG1.html#group26B1", "26B¹"), =HYPERLINK("CSG6.html#group78B6", "78B⁶")</f>
        <v/>
      </c>
      <c r="L2807">
        <f>HYPERLINK("CSG23.html#group156G23", "156G²³")</f>
        <v/>
      </c>
      <c r="M2807">
        <f>HYPERLINK("CSG0.html#group2A0", "2A⁰"), =HYPERLINK("CSG1.html#group26B1", "26B¹"), =HYPERLINK("CSG1.html#group26A1", "26A¹"), =HYPERLINK("CSG0.html#group13A0", "13A⁰"), =HYPERLINK("CSG0.html#group26A0", "26A⁰"), =HYPERLINK("CSG0.html#group13B0", "13B⁰"), =HYPERLINK("CSG6.html#group78B6", "78B⁶"), =HYPERLINK("CSG0.html#group1A0", "1A⁰")</f>
        <v/>
      </c>
      <c r="N2807">
        <f>HYPERLINK("CSG23.html#group156G23", "156G²³")</f>
        <v/>
      </c>
    </row>
    <row r="2808">
      <c r="A2808" t="inlineStr">
        <is>
          <t>78E¹¹</t>
        </is>
      </c>
      <c r="B2808" t="inlineStr"/>
      <c r="C2808" t="inlineStr">
        <is>
          <t>168</t>
        </is>
      </c>
      <c r="D2808" t="inlineStr">
        <is>
          <t>2</t>
        </is>
      </c>
      <c r="E2808" t="inlineStr">
        <is>
          <t>42</t>
        </is>
      </c>
      <c r="F2808" t="inlineStr">
        <is>
          <t>8</t>
        </is>
      </c>
      <c r="G2808" t="inlineStr">
        <is>
          <t>0</t>
        </is>
      </c>
      <c r="H2808" t="inlineStr">
        <is>
          <t>6², 78²</t>
        </is>
      </c>
      <c r="I2808" t="n">
        <v>4</v>
      </c>
      <c r="J2808" t="inlineStr">
        <is>
          <t>2⁶, 24³</t>
        </is>
      </c>
      <c r="K2808">
        <f>HYPERLINK("CSG4.html#group39A4", "39A⁴"), =HYPERLINK("CSG5.html#group78B5", "78B⁵"), =HYPERLINK("CSG6.html#group78A6", "78A⁶")</f>
        <v/>
      </c>
      <c r="L2808">
        <f>HYPERLINK("CSG21.html#group78A21", "78A²¹")</f>
        <v/>
      </c>
      <c r="M2808">
        <f>HYPERLINK("CSG2.html#group39A2", "39A²"), =HYPERLINK("CSG0.html#group6B0", "6B⁰"), =HYPERLINK("CSG5.html#group78B5", "78B⁵"), =HYPERLINK("CSG0.html#group13A0", "13A⁰"), =HYPERLINK("CSG4.html#group39A4", "39A⁴"), =HYPERLINK("CSG6.html#group78A6", "78A⁶"), =HYPERLINK("CSG0.html#group3A0", "3A⁰"), =HYPERLINK("CSG0.html#group1A0", "1A⁰")</f>
        <v/>
      </c>
      <c r="N2808">
        <f>HYPERLINK("CSG21.html#group78A21", "78A²¹")</f>
        <v/>
      </c>
    </row>
    <row r="2809">
      <c r="A2809" t="inlineStr">
        <is>
          <t>80A¹¹</t>
        </is>
      </c>
      <c r="B2809" t="inlineStr"/>
      <c r="C2809" t="inlineStr">
        <is>
          <t>144</t>
        </is>
      </c>
      <c r="D2809" t="inlineStr">
        <is>
          <t>1</t>
        </is>
      </c>
      <c r="E2809" t="inlineStr">
        <is>
          <t>18</t>
        </is>
      </c>
      <c r="F2809" t="inlineStr">
        <is>
          <t>0</t>
        </is>
      </c>
      <c r="G2809" t="inlineStr">
        <is>
          <t>0</t>
        </is>
      </c>
      <c r="H2809" t="inlineStr">
        <is>
          <t>8¹, 16¹, 40¹, 80¹</t>
        </is>
      </c>
      <c r="I2809" t="n">
        <v>4</v>
      </c>
      <c r="J2809" t="inlineStr">
        <is>
          <t>1⁶, 4³</t>
        </is>
      </c>
      <c r="K2809">
        <f>HYPERLINK("CSG3.html#group40D3", "40D³")</f>
        <v/>
      </c>
      <c r="L2809">
        <f>HYPERLINK("CSG21.html#group80E21", "80E²¹"), =HYPERLINK("CSG21.html#group80H21", "80H²¹"), =HYPERLINK("CSG21.html#group80G21", "80G²¹"), =HYPERLINK("CSG21.html#group80L21", "80L²¹"), =HYPERLINK("CSG21.html#group80M21", "80M²¹"), =HYPERLINK("CSG21.html#group80X21", "80X²¹"), =HYPERLINK("CSG21.html#group80W21", "80W²¹")</f>
        <v/>
      </c>
      <c r="M2809">
        <f>HYPERLINK("CSG1.html#group20E1", "20E¹"), =HYPERLINK("CSG0.html#group4C0", "4C⁰"), =HYPERLINK("CSG0.html#group8B0", "8B⁰"), =HYPERLINK("CSG0.html#group5B0", "5B⁰"), =HYPERLINK("CSG0.html#group10C0", "10C⁰"), =HYPERLINK("CSG0.html#group1A0", "1A⁰"), =HYPERLINK("CSG0.html#group2B0", "2B⁰"), =HYPERLINK("CSG3.html#group40D3", "40D³")</f>
        <v/>
      </c>
      <c r="N2809">
        <f>HYPERLINK("CSG21.html#group80E21", "80E²¹"), =HYPERLINK("CSG21.html#group80H21", "80H²¹"), =HYPERLINK("CSG21.html#group80M21", "80M²¹"), =HYPERLINK("CSG21.html#group80L21", "80L²¹"), =HYPERLINK("CSG21.html#group80G21", "80G²¹"), =HYPERLINK("CSG21.html#group80X21", "80X²¹"), =HYPERLINK("CSG21.html#group80W21", "80W²¹")</f>
        <v/>
      </c>
    </row>
    <row r="2810">
      <c r="A2810" t="inlineStr">
        <is>
          <t>80B¹¹</t>
        </is>
      </c>
      <c r="B2810" t="inlineStr"/>
      <c r="C2810" t="inlineStr">
        <is>
          <t>144</t>
        </is>
      </c>
      <c r="D2810" t="inlineStr">
        <is>
          <t>1</t>
        </is>
      </c>
      <c r="E2810" t="inlineStr">
        <is>
          <t>18</t>
        </is>
      </c>
      <c r="F2810" t="inlineStr">
        <is>
          <t>0</t>
        </is>
      </c>
      <c r="G2810" t="inlineStr">
        <is>
          <t>0</t>
        </is>
      </c>
      <c r="H2810" t="inlineStr">
        <is>
          <t>8¹, 16¹, 40¹, 80¹</t>
        </is>
      </c>
      <c r="I2810" t="n">
        <v>4</v>
      </c>
      <c r="J2810" t="inlineStr">
        <is>
          <t>1⁶, 4³</t>
        </is>
      </c>
      <c r="K2810">
        <f>HYPERLINK("CSG2.html#group16A2", "16A²"), =HYPERLINK("CSG3.html#group40D3", "40D³")</f>
        <v/>
      </c>
      <c r="L2810">
        <f>HYPERLINK("CSG21.html#group80E21", "80E²¹"), =HYPERLINK("CSG21.html#group80F21", "80F²¹"), =HYPERLINK("CSG21.html#group80I21", "80I²¹"), =HYPERLINK("CSG21.html#group80K21", "80K²¹"), =HYPERLINK("CSG21.html#group80O21", "80O²¹"), =HYPERLINK("CSG21.html#group80V21", "80V²¹"), =HYPERLINK("CSG21.html#group80AB21", "80AB²¹")</f>
        <v/>
      </c>
      <c r="M2810">
        <f>HYPERLINK("CSG1.html#group20E1", "20E¹"), =HYPERLINK("CSG0.html#group4C0", "4C⁰"), =HYPERLINK("CSG0.html#group8B0", "8B⁰"), =HYPERLINK("CSG0.html#group5B0", "5B⁰"), =HYPERLINK("CSG0.html#group10C0", "10C⁰"), =HYPERLINK("CSG0.html#group1A0", "1A⁰"), =HYPERLINK("CSG0.html#group2B0", "2B⁰"), =HYPERLINK("CSG3.html#group40D3", "40D³"), =HYPERLINK("CSG2.html#group16A2", "16A²")</f>
        <v/>
      </c>
      <c r="N2810">
        <f>HYPERLINK("CSG21.html#group80V21", "80V²¹"), =HYPERLINK("CSG21.html#group80K21", "80K²¹"), =HYPERLINK("CSG21.html#group80AB21", "80AB²¹"), =HYPERLINK("CSG21.html#group80F21", "80F²¹"), =HYPERLINK("CSG21.html#group80O21", "80O²¹"), =HYPERLINK("CSG21.html#group80I21", "80I²¹"), =HYPERLINK("CSG21.html#group80E21", "80E²¹")</f>
        <v/>
      </c>
    </row>
    <row r="2811">
      <c r="A2811" t="inlineStr">
        <is>
          <t>80C¹¹</t>
        </is>
      </c>
      <c r="B2811" t="inlineStr"/>
      <c r="C2811" t="inlineStr">
        <is>
          <t>144</t>
        </is>
      </c>
      <c r="D2811" t="inlineStr">
        <is>
          <t>1</t>
        </is>
      </c>
      <c r="E2811" t="inlineStr">
        <is>
          <t>72</t>
        </is>
      </c>
      <c r="F2811" t="inlineStr">
        <is>
          <t>0</t>
        </is>
      </c>
      <c r="G2811" t="inlineStr">
        <is>
          <t>0</t>
        </is>
      </c>
      <c r="H2811" t="inlineStr">
        <is>
          <t>8¹, 16¹, 40¹, 80¹</t>
        </is>
      </c>
      <c r="I2811" t="n">
        <v>4</v>
      </c>
      <c r="J2811" t="inlineStr">
        <is>
          <t>1⁸, 2⁴, 4⁶, 8², 16¹</t>
        </is>
      </c>
      <c r="K2811">
        <f>HYPERLINK("CSG5.html#group40C5", "40C⁵")</f>
        <v/>
      </c>
      <c r="L2811">
        <f>HYPERLINK("CSG21.html#group80P21", "80P²¹"), =HYPERLINK("CSG21.html#group80S21", "80S²¹"), =HYPERLINK("CSG21.html#group80Y21", "80Y²¹"), =HYPERLINK("CSG21.html#group80Z21", "80Z²¹"), =HYPERLINK("CSG21.html#group80AE21", "80AE²¹")</f>
        <v/>
      </c>
      <c r="M2811">
        <f>HYPERLINK("CSG1.html#group20E1", "20E¹"), =HYPERLINK("CSG1.html#group8A1", "8A¹"), =HYPERLINK("CSG0.html#group4C0", "4C⁰"), =HYPERLINK("CSG5.html#group40C5", "40C⁵"), =HYPERLINK("CSG0.html#group5B0", "5B⁰"), =HYPERLINK("CSG0.html#group10C0", "10C⁰"), =HYPERLINK("CSG0.html#group2B0", "2B⁰"), =HYPERLINK("CSG0.html#group1A0", "1A⁰")</f>
        <v/>
      </c>
      <c r="N2811">
        <f>HYPERLINK("CSG21.html#group80Z21", "80Z²¹"), =HYPERLINK("CSG21.html#group80Y21", "80Y²¹"), =HYPERLINK("CSG21.html#group80AE21", "80AE²¹"), =HYPERLINK("CSG21.html#group80P21", "80P²¹"), =HYPERLINK("CSG21.html#group80S21", "80S²¹")</f>
        <v/>
      </c>
    </row>
    <row r="2812">
      <c r="A2812" t="inlineStr">
        <is>
          <t>80D¹¹</t>
        </is>
      </c>
      <c r="B2812" t="inlineStr"/>
      <c r="C2812" t="inlineStr">
        <is>
          <t>144</t>
        </is>
      </c>
      <c r="D2812" t="inlineStr">
        <is>
          <t>1</t>
        </is>
      </c>
      <c r="E2812" t="inlineStr">
        <is>
          <t>72</t>
        </is>
      </c>
      <c r="F2812" t="inlineStr">
        <is>
          <t>0</t>
        </is>
      </c>
      <c r="G2812" t="inlineStr">
        <is>
          <t>0</t>
        </is>
      </c>
      <c r="H2812" t="inlineStr">
        <is>
          <t>8¹, 16¹, 40¹, 80¹</t>
        </is>
      </c>
      <c r="I2812" t="n">
        <v>4</v>
      </c>
      <c r="J2812" t="inlineStr">
        <is>
          <t>1⁸, 2⁴, 4⁶, 8², 16¹</t>
        </is>
      </c>
      <c r="K2812">
        <f>HYPERLINK("CSG2.html#group16B2", "16B²"), =HYPERLINK("CSG5.html#group40C5", "40C⁵")</f>
        <v/>
      </c>
      <c r="L2812">
        <f>HYPERLINK("CSG21.html#group80Q21", "80Q²¹"), =HYPERLINK("CSG21.html#group80T21", "80T²¹"), =HYPERLINK("CSG21.html#group80Y21", "80Y²¹"), =HYPERLINK("CSG21.html#group80Z21", "80Z²¹"), =HYPERLINK("CSG21.html#group80AE21", "80AE²¹"), =HYPERLINK("CSG23.html#group160A23", "160A²³"), =HYPERLINK("CSG23.html#group160B23", "160B²³"), =HYPERLINK("CSG23.html#group160D23", "160D²³"), =HYPERLINK("CSG23.html#group160C23", "160C²³")</f>
        <v/>
      </c>
      <c r="M2812">
        <f>HYPERLINK("CSG1.html#group20E1", "20E¹"), =HYPERLINK("CSG2.html#group16B2", "16B²"), =HYPERLINK("CSG1.html#group8A1", "8A¹"), =HYPERLINK("CSG0.html#group4C0", "4C⁰"), =HYPERLINK("CSG5.html#group40C5", "40C⁵"), =HYPERLINK("CSG0.html#group5B0", "5B⁰"), =HYPERLINK("CSG0.html#group10C0", "10C⁰"), =HYPERLINK("CSG0.html#group2B0", "2B⁰"), =HYPERLINK("CSG0.html#group1A0", "1A⁰")</f>
        <v/>
      </c>
      <c r="N2812">
        <f>HYPERLINK("CSG21.html#group80Z21", "80Z²¹"), =HYPERLINK("CSG21.html#group80Y21", "80Y²¹"), =HYPERLINK("CSG21.html#group80T21", "80T²¹"), =HYPERLINK("CSG21.html#group80AE21", "80AE²¹"), =HYPERLINK("CSG21.html#group80Q21", "80Q²¹"), =HYPERLINK("CSG23.html#group160D23", "160D²³"), =HYPERLINK("CSG23.html#group160C23", "160C²³"), =HYPERLINK("CSG23.html#group160B23", "160B²³"), =HYPERLINK("CSG23.html#group160A23", "160A²³")</f>
        <v/>
      </c>
    </row>
    <row r="2813">
      <c r="A2813" t="inlineStr">
        <is>
          <t>80E¹¹</t>
        </is>
      </c>
      <c r="B2813" t="inlineStr"/>
      <c r="C2813" t="inlineStr">
        <is>
          <t>160</t>
        </is>
      </c>
      <c r="D2813" t="inlineStr">
        <is>
          <t>2</t>
        </is>
      </c>
      <c r="E2813" t="inlineStr">
        <is>
          <t>80</t>
        </is>
      </c>
      <c r="F2813" t="inlineStr">
        <is>
          <t>4</t>
        </is>
      </c>
      <c r="G2813" t="inlineStr">
        <is>
          <t>4</t>
        </is>
      </c>
      <c r="H2813" t="inlineStr">
        <is>
          <t>80²</t>
        </is>
      </c>
      <c r="I2813" t="n">
        <v>2</v>
      </c>
      <c r="J2813" t="inlineStr">
        <is>
          <t>16², 32⁴</t>
        </is>
      </c>
      <c r="K2813">
        <f>HYPERLINK("CSG5.html#group40F5", "40F⁵")</f>
        <v/>
      </c>
      <c r="L2813">
        <f>HYPERLINK("CSG21.html#group80AI21", "80AI²¹"), =HYPERLINK("CSG23.html#group80A23", "80A²³"), =HYPERLINK("CSG23.html#group80E23", "80E²³")</f>
        <v/>
      </c>
      <c r="M2813">
        <f>HYPERLINK("CSG5.html#group40F5", "40F⁵"), =HYPERLINK("CSG0.html#group8A0", "8A⁰"), =HYPERLINK("CSG0.html#group5C0", "5C⁰"), =HYPERLINK("CSG0.html#group1A0", "1A⁰"), =HYPERLINK("CSG0.html#group4A0", "4A⁰"), =HYPERLINK("CSG2.html#group20E2", "20E²")</f>
        <v/>
      </c>
      <c r="N2813">
        <f>HYPERLINK("CSG21.html#group80AI21", "80AI²¹"), =HYPERLINK("CSG23.html#group80A23", "80A²³"), =HYPERLINK("CSG23.html#group80E23", "80E²³")</f>
        <v/>
      </c>
    </row>
    <row r="2814">
      <c r="A2814" t="inlineStr">
        <is>
          <t>80F¹¹</t>
        </is>
      </c>
      <c r="B2814" t="inlineStr"/>
      <c r="C2814" t="inlineStr">
        <is>
          <t>160</t>
        </is>
      </c>
      <c r="D2814" t="inlineStr">
        <is>
          <t>2</t>
        </is>
      </c>
      <c r="E2814" t="inlineStr">
        <is>
          <t>80</t>
        </is>
      </c>
      <c r="F2814" t="inlineStr">
        <is>
          <t>4</t>
        </is>
      </c>
      <c r="G2814" t="inlineStr">
        <is>
          <t>4</t>
        </is>
      </c>
      <c r="H2814" t="inlineStr">
        <is>
          <t>80²</t>
        </is>
      </c>
      <c r="I2814" t="n">
        <v>2</v>
      </c>
      <c r="J2814" t="inlineStr">
        <is>
          <t>16², 32⁴</t>
        </is>
      </c>
      <c r="K2814">
        <f>HYPERLINK("CSG0.html#group16A0", "16A⁰"), =HYPERLINK("CSG5.html#group40F5", "40F⁵")</f>
        <v/>
      </c>
      <c r="L2814">
        <f>HYPERLINK("CSG21.html#group80AI21", "80AI²¹"), =HYPERLINK("CSG23.html#group80B23", "80B²³"), =HYPERLINK("CSG23.html#group80E23", "80E²³")</f>
        <v/>
      </c>
      <c r="M2814">
        <f>HYPERLINK("CSG5.html#group40F5", "40F⁵"), =HYPERLINK("CSG0.html#group8A0", "8A⁰"), =HYPERLINK("CSG0.html#group5C0", "5C⁰"), =HYPERLINK("CSG0.html#group16A0", "16A⁰"), =HYPERLINK("CSG0.html#group1A0", "1A⁰"), =HYPERLINK("CSG0.html#group4A0", "4A⁰"), =HYPERLINK("CSG2.html#group20E2", "20E²")</f>
        <v/>
      </c>
      <c r="N2814">
        <f>HYPERLINK("CSG21.html#group80AI21", "80AI²¹"), =HYPERLINK("CSG23.html#group80B23", "80B²³"), =HYPERLINK("CSG23.html#group80E23", "80E²³")</f>
        <v/>
      </c>
    </row>
    <row r="2815">
      <c r="A2815" t="inlineStr">
        <is>
          <t>82A¹¹</t>
        </is>
      </c>
      <c r="B2815" t="inlineStr"/>
      <c r="C2815" t="inlineStr">
        <is>
          <t>168</t>
        </is>
      </c>
      <c r="D2815" t="inlineStr">
        <is>
          <t>1</t>
        </is>
      </c>
      <c r="E2815" t="inlineStr">
        <is>
          <t>42</t>
        </is>
      </c>
      <c r="F2815" t="inlineStr">
        <is>
          <t>8</t>
        </is>
      </c>
      <c r="G2815" t="inlineStr">
        <is>
          <t>0</t>
        </is>
      </c>
      <c r="H2815" t="inlineStr">
        <is>
          <t>2², 82²</t>
        </is>
      </c>
      <c r="I2815" t="n">
        <v>4</v>
      </c>
      <c r="J2815" t="inlineStr">
        <is>
          <t>1², 40¹</t>
        </is>
      </c>
      <c r="K2815">
        <f>HYPERLINK("CSG5.html#group41A5", "41A⁵")</f>
        <v/>
      </c>
      <c r="L2815" t="inlineStr"/>
      <c r="M2815">
        <f>HYPERLINK("CSG0.html#group1A0", "1A⁰"), =HYPERLINK("CSG5.html#group41A5", "41A⁵"), =HYPERLINK("CSG3.html#group41A3", "41A³")</f>
        <v/>
      </c>
      <c r="N2815" t="inlineStr"/>
    </row>
    <row r="2816">
      <c r="A2816" t="inlineStr">
        <is>
          <t>84A¹¹</t>
        </is>
      </c>
      <c r="B2816" t="inlineStr"/>
      <c r="C2816" t="inlineStr">
        <is>
          <t>144</t>
        </is>
      </c>
      <c r="D2816" t="inlineStr">
        <is>
          <t>1</t>
        </is>
      </c>
      <c r="E2816" t="inlineStr">
        <is>
          <t>24</t>
        </is>
      </c>
      <c r="F2816" t="inlineStr">
        <is>
          <t>0</t>
        </is>
      </c>
      <c r="G2816" t="inlineStr">
        <is>
          <t>0</t>
        </is>
      </c>
      <c r="H2816" t="inlineStr">
        <is>
          <t>6¹, 12¹, 42¹, 84¹</t>
        </is>
      </c>
      <c r="I2816" t="n">
        <v>4</v>
      </c>
      <c r="J2816" t="inlineStr">
        <is>
          <t>1⁶, 6³</t>
        </is>
      </c>
      <c r="K2816">
        <f>HYPERLINK("CSG0.html#group12C0", "12C⁰"), =HYPERLINK("CSG3.html#group28C3", "28C³"), =HYPERLINK("CSG5.html#group42A5", "42A⁵")</f>
        <v/>
      </c>
      <c r="L2816">
        <f>HYPERLINK("CSG21.html#group84A21", "84A²¹"), =HYPERLINK("CSG21.html#group84C21", "84C²¹"), =HYPERLINK("CSG21.html#group84D21", "84D²¹"), =HYPERLINK("CSG22.html#group84I22", "84I²²"), =HYPERLINK("CSG22.html#group84J22", "84J²²"), =HYPERLINK("CSG22.html#group168B22", "168B²²"), =HYPERLINK("CSG22.html#group168D22", "168D²²"), =HYPERLINK("CSG23.html#group168A23", "168A²³"), =HYPERLINK("CSG23.html#group168B23", "168B²³"), =HYPERLINK("CSG23.html#group168C23", "168C²³"), =HYPERLINK("CSG23.html#group168D23", "168D²³")</f>
        <v/>
      </c>
      <c r="M2816">
        <f>HYPERLINK("CSG0.html#group12C0", "12C⁰"), =HYPERLINK("CSG2.html#group21A2", "21A²"), =HYPERLINK("CSG0.html#group3A0", "3A⁰"), =HYPERLINK("CSG5.html#group42A5", "42A⁵"), =HYPERLINK("CSG0.html#group7B0", "7B⁰"), =HYPERLINK("CSG0.html#group4C0", "4C⁰"), =HYPERLINK("CSG1.html#group14C1", "14C¹"), =HYPERLINK("CSG0.html#group2B0", "2B⁰"), =HYPERLINK("CSG3.html#group28C3", "28C³"), =HYPERLINK("CSG0.html#group1A0", "1A⁰"), =HYPERLINK("CSG0.html#group6D0", "6D⁰")</f>
        <v/>
      </c>
      <c r="N2816">
        <f>HYPERLINK("CSG23.html#group168D23", "168D²³"), =HYPERLINK("CSG22.html#group168D22", "168D²²"), =HYPERLINK("CSG21.html#group84C21", "84C²¹"), =HYPERLINK("CSG22.html#group84J22", "84J²²"), =HYPERLINK("CSG23.html#group168C23", "168C²³"), =HYPERLINK("CSG21.html#group84D21", "84D²¹"), =HYPERLINK("CSG21.html#group84A21", "84A²¹"), =HYPERLINK("CSG22.html#group84I22", "84I²²"), =HYPERLINK("CSG23.html#group168A23", "168A²³"), =HYPERLINK("CSG23.html#group168B23", "168B²³"), =HYPERLINK("CSG22.html#group168B22", "168B²²")</f>
        <v/>
      </c>
    </row>
    <row r="2817">
      <c r="A2817" t="inlineStr">
        <is>
          <t>84B¹¹</t>
        </is>
      </c>
      <c r="B2817" t="inlineStr"/>
      <c r="C2817" t="inlineStr">
        <is>
          <t>144</t>
        </is>
      </c>
      <c r="D2817" t="inlineStr">
        <is>
          <t>1</t>
        </is>
      </c>
      <c r="E2817" t="inlineStr">
        <is>
          <t>72</t>
        </is>
      </c>
      <c r="F2817" t="inlineStr">
        <is>
          <t>0</t>
        </is>
      </c>
      <c r="G2817" t="inlineStr">
        <is>
          <t>0</t>
        </is>
      </c>
      <c r="H2817" t="inlineStr">
        <is>
          <t>6¹, 12¹, 42¹, 84¹</t>
        </is>
      </c>
      <c r="I2817" t="n">
        <v>4</v>
      </c>
      <c r="J2817" t="inlineStr">
        <is>
          <t>1⁶, 2⁶, 6³, 12³</t>
        </is>
      </c>
      <c r="K2817">
        <f>HYPERLINK("CSG1.html#group12C1", "12C¹"), =HYPERLINK("CSG5.html#group42A5", "42A⁵")</f>
        <v/>
      </c>
      <c r="L2817">
        <f>HYPERLINK("CSG21.html#group84B21", "84B²¹"), =HYPERLINK("CSG21.html#group84D21", "84D²¹"), =HYPERLINK("CSG21.html#group84E21", "84E²¹"), =HYPERLINK("CSG21.html#group84F21", "84F²¹"), =HYPERLINK("CSG21.html#group84H21", "84H²¹")</f>
        <v/>
      </c>
      <c r="M2817">
        <f>HYPERLINK("CSG1.html#group12C1", "12C¹"), =HYPERLINK("CSG2.html#group21A2", "21A²"), =HYPERLINK("CSG5.html#group42A5", "42A⁵"), =HYPERLINK("CSG0.html#group7B0", "7B⁰"), =HYPERLINK("CSG1.html#group14C1", "14C¹"), =HYPERLINK("CSG0.html#group2B0", "2B⁰"), =HYPERLINK("CSG0.html#group3A0", "3A⁰"), =HYPERLINK("CSG0.html#group1A0", "1A⁰"), =HYPERLINK("CSG0.html#group6D0", "6D⁰")</f>
        <v/>
      </c>
      <c r="N2817">
        <f>HYPERLINK("CSG21.html#group84F21", "84F²¹"), =HYPERLINK("CSG21.html#group84D21", "84D²¹"), =HYPERLINK("CSG21.html#group84E21", "84E²¹"), =HYPERLINK("CSG21.html#group84H21", "84H²¹"), =HYPERLINK("CSG21.html#group84B21", "84B²¹")</f>
        <v/>
      </c>
    </row>
    <row r="2818">
      <c r="A2818" t="inlineStr">
        <is>
          <t>84C¹¹</t>
        </is>
      </c>
      <c r="B2818" t="inlineStr"/>
      <c r="C2818" t="inlineStr">
        <is>
          <t>144</t>
        </is>
      </c>
      <c r="D2818" t="inlineStr">
        <is>
          <t>2</t>
        </is>
      </c>
      <c r="E2818" t="inlineStr">
        <is>
          <t>24</t>
        </is>
      </c>
      <c r="F2818" t="inlineStr">
        <is>
          <t>0</t>
        </is>
      </c>
      <c r="G2818" t="inlineStr">
        <is>
          <t>0</t>
        </is>
      </c>
      <c r="H2818" t="inlineStr">
        <is>
          <t>6¹, 12¹, 42¹, 84¹</t>
        </is>
      </c>
      <c r="I2818" t="n">
        <v>4</v>
      </c>
      <c r="J2818" t="inlineStr">
        <is>
          <t>2⁶, 12³</t>
        </is>
      </c>
      <c r="K2818">
        <f>HYPERLINK("CSG3.html#group28C3", "28C³"), =HYPERLINK("CSG5.html#group42B5", "42B⁵")</f>
        <v/>
      </c>
      <c r="L2818">
        <f>HYPERLINK("CSG21.html#group84G21", "84G²¹"), =HYPERLINK("CSG22.html#group84L22", "84L²²"), =HYPERLINK("CSG22.html#group168F22", "168F²²"), =HYPERLINK("CSG23.html#group168E23", "168E²³"), =HYPERLINK("CSG23.html#group168F23", "168F²³")</f>
        <v/>
      </c>
      <c r="M2818">
        <f>HYPERLINK("CSG5.html#group42B5", "42B⁵"), =HYPERLINK("CSG0.html#group7B0", "7B⁰"), =HYPERLINK("CSG0.html#group4C0", "4C⁰"), =HYPERLINK("CSG1.html#group14C1", "14C¹"), =HYPERLINK("CSG0.html#group2B0", "2B⁰"), =HYPERLINK("CSG3.html#group28C3", "28C³"), =HYPERLINK("CSG0.html#group1A0", "1A⁰"), =HYPERLINK("CSG1.html#group21A1", "21A¹")</f>
        <v/>
      </c>
      <c r="N2818">
        <f>HYPERLINK("CSG23.html#group168F23", "168F²³"), =HYPERLINK("CSG22.html#group84L22", "84L²²"), =HYPERLINK("CSG23.html#group168E23", "168E²³"), =HYPERLINK("CSG22.html#group168F22", "168F²²"), =HYPERLINK("CSG21.html#group84G21", "84G²¹")</f>
        <v/>
      </c>
    </row>
    <row r="2819">
      <c r="A2819" t="inlineStr">
        <is>
          <t>84D¹¹</t>
        </is>
      </c>
      <c r="B2819" t="inlineStr"/>
      <c r="C2819" t="inlineStr">
        <is>
          <t>168</t>
        </is>
      </c>
      <c r="D2819" t="inlineStr">
        <is>
          <t>2</t>
        </is>
      </c>
      <c r="E2819" t="inlineStr">
        <is>
          <t>28</t>
        </is>
      </c>
      <c r="F2819" t="inlineStr">
        <is>
          <t>12</t>
        </is>
      </c>
      <c r="G2819" t="inlineStr">
        <is>
          <t>0</t>
        </is>
      </c>
      <c r="H2819" t="inlineStr">
        <is>
          <t>84²</t>
        </is>
      </c>
      <c r="I2819" t="n">
        <v>2</v>
      </c>
      <c r="J2819" t="inlineStr">
        <is>
          <t>4², 12⁴</t>
        </is>
      </c>
      <c r="K2819">
        <f>HYPERLINK("CSG2.html#group21C2", "21C²"), =HYPERLINK("CSG3.html#group28D3", "28D³"), =HYPERLINK("CSG3.html#group84A3", "84A³")</f>
        <v/>
      </c>
      <c r="L2819">
        <f>HYPERLINK("CSG23.html#group84E23", "84E²³")</f>
        <v/>
      </c>
      <c r="M2819">
        <f>HYPERLINK("CSG3.html#group28D3", "28D³"), =HYPERLINK("CSG3.html#group84A3", "84A³"), =HYPERLINK("CSG0.html#group12A0", "12A⁰"), =HYPERLINK("CSG0.html#group4A0", "4A⁰"), =HYPERLINK("CSG0.html#group7C0", "7C⁰"), =HYPERLINK("CSG2.html#group21C2", "21C²"), =HYPERLINK("CSG0.html#group21A0", "21A⁰"), =HYPERLINK("CSG0.html#group3A0", "3A⁰"), =HYPERLINK("CSG1.html#group28A1", "28A¹"), =HYPERLINK("CSG0.html#group1A0", "1A⁰"), =HYPERLINK("CSG0.html#group7A0", "7A⁰")</f>
        <v/>
      </c>
      <c r="N2819">
        <f>HYPERLINK("CSG23.html#group84E23", "84E²³")</f>
        <v/>
      </c>
    </row>
    <row r="2820">
      <c r="A2820" t="inlineStr">
        <is>
          <t>84E¹¹</t>
        </is>
      </c>
      <c r="B2820" t="inlineStr"/>
      <c r="C2820" t="inlineStr">
        <is>
          <t>168</t>
        </is>
      </c>
      <c r="D2820" t="inlineStr">
        <is>
          <t>2</t>
        </is>
      </c>
      <c r="E2820" t="inlineStr">
        <is>
          <t>42</t>
        </is>
      </c>
      <c r="F2820" t="inlineStr">
        <is>
          <t>12</t>
        </is>
      </c>
      <c r="G2820" t="inlineStr">
        <is>
          <t>0</t>
        </is>
      </c>
      <c r="H2820" t="inlineStr">
        <is>
          <t>84²</t>
        </is>
      </c>
      <c r="I2820" t="n">
        <v>2</v>
      </c>
      <c r="J2820" t="inlineStr">
        <is>
          <t>4¹, 8¹, 12², 24²</t>
        </is>
      </c>
      <c r="K2820">
        <f>HYPERLINK("CSG4.html#group42F4", "42F⁴")</f>
        <v/>
      </c>
      <c r="L2820">
        <f>HYPERLINK("CSG23.html#group84A23", "84A²³")</f>
        <v/>
      </c>
      <c r="M2820">
        <f>HYPERLINK("CSG2.html#group21D2", "21D²"), =HYPERLINK("CSG0.html#group6B0", "6B⁰"), =HYPERLINK("CSG4.html#group42F4", "42F⁴"), =HYPERLINK("CSG0.html#group6E0", "6E⁰"), =HYPERLINK("CSG0.html#group21A0", "21A⁰"), =HYPERLINK("CSG0.html#group3C0", "3C⁰"), =HYPERLINK("CSG1.html#group42B1", "42B¹"), =HYPERLINK("CSG0.html#group3A0", "3A⁰"), =HYPERLINK("CSG0.html#group1A0", "1A⁰"), =HYPERLINK("CSG0.html#group7A0", "7A⁰")</f>
        <v/>
      </c>
      <c r="N2820">
        <f>HYPERLINK("CSG23.html#group84A23", "84A²³")</f>
        <v/>
      </c>
    </row>
    <row r="2821">
      <c r="A2821" t="inlineStr">
        <is>
          <t>84F¹¹</t>
        </is>
      </c>
      <c r="B2821" t="inlineStr"/>
      <c r="C2821" t="inlineStr">
        <is>
          <t>168</t>
        </is>
      </c>
      <c r="D2821" t="inlineStr">
        <is>
          <t>2</t>
        </is>
      </c>
      <c r="E2821" t="inlineStr">
        <is>
          <t>42</t>
        </is>
      </c>
      <c r="F2821" t="inlineStr">
        <is>
          <t>12</t>
        </is>
      </c>
      <c r="G2821" t="inlineStr">
        <is>
          <t>0</t>
        </is>
      </c>
      <c r="H2821" t="inlineStr">
        <is>
          <t>84²</t>
        </is>
      </c>
      <c r="I2821" t="n">
        <v>2</v>
      </c>
      <c r="J2821" t="inlineStr">
        <is>
          <t>4¹, 8¹, 12², 24²</t>
        </is>
      </c>
      <c r="K2821">
        <f>HYPERLINK("CSG1.html#group12D1", "12D¹"), =HYPERLINK("CSG4.html#group42F4", "42F⁴")</f>
        <v/>
      </c>
      <c r="L2821">
        <f>HYPERLINK("CSG23.html#group84A23", "84A²³")</f>
        <v/>
      </c>
      <c r="M2821">
        <f>HYPERLINK("CSG2.html#group21D2", "21D²"), =HYPERLINK("CSG1.html#group12D1", "12D¹"), =HYPERLINK("CSG0.html#group6B0", "6B⁰"), =HYPERLINK("CSG4.html#group42F4", "42F⁴"), =HYPERLINK("CSG0.html#group21A0", "21A⁰"), =HYPERLINK("CSG0.html#group1A0", "1A⁰"), =HYPERLINK("CSG0.html#group6E0", "6E⁰"), =HYPERLINK("CSG0.html#group3C0", "3C⁰"), =HYPERLINK("CSG1.html#group42B1", "42B¹"), =HYPERLINK("CSG0.html#group3A0", "3A⁰"), =HYPERLINK("CSG0.html#group7A0", "7A⁰")</f>
        <v/>
      </c>
      <c r="N2821">
        <f>HYPERLINK("CSG23.html#group84A23", "84A²³")</f>
        <v/>
      </c>
    </row>
    <row r="2822">
      <c r="A2822" t="inlineStr">
        <is>
          <t>84G¹¹</t>
        </is>
      </c>
      <c r="B2822" t="inlineStr"/>
      <c r="C2822" t="inlineStr">
        <is>
          <t>168</t>
        </is>
      </c>
      <c r="D2822" t="inlineStr">
        <is>
          <t>2</t>
        </is>
      </c>
      <c r="E2822" t="inlineStr">
        <is>
          <t>84</t>
        </is>
      </c>
      <c r="F2822" t="inlineStr">
        <is>
          <t>12</t>
        </is>
      </c>
      <c r="G2822" t="inlineStr">
        <is>
          <t>0</t>
        </is>
      </c>
      <c r="H2822" t="inlineStr">
        <is>
          <t>84²</t>
        </is>
      </c>
      <c r="I2822" t="n">
        <v>2</v>
      </c>
      <c r="J2822" t="inlineStr">
        <is>
          <t>4², 8², 12⁴, 24⁴</t>
        </is>
      </c>
      <c r="K2822">
        <f>HYPERLINK("CSG1.html#group12G1", "12G¹"), =HYPERLINK("CSG2.html#group21D2", "21D²"), =HYPERLINK("CSG3.html#group84A3", "84A³")</f>
        <v/>
      </c>
      <c r="L2822">
        <f>HYPERLINK("CSG21.html#group84N21", "84N²¹"), =HYPERLINK("CSG23.html#group84C23", "84C²³"), =HYPERLINK("CSG23.html#group84D23", "84D²³")</f>
        <v/>
      </c>
      <c r="M2822">
        <f>HYPERLINK("CSG1.html#group12G1", "12G¹"), =HYPERLINK("CSG2.html#group21D2", "21D²"), =HYPERLINK("CSG3.html#group84A3", "84A³"), =HYPERLINK("CSG0.html#group12A0", "12A⁰"), =HYPERLINK("CSG0.html#group4A0", "4A⁰"), =HYPERLINK("CSG0.html#group21A0", "21A⁰"), =HYPERLINK("CSG0.html#group3C0", "3C⁰"), =HYPERLINK("CSG0.html#group3A0", "3A⁰"), =HYPERLINK("CSG1.html#group28A1", "28A¹"), =HYPERLINK("CSG0.html#group1A0", "1A⁰"), =HYPERLINK("CSG0.html#group7A0", "7A⁰")</f>
        <v/>
      </c>
      <c r="N2822">
        <f>HYPERLINK("CSG23.html#group84C23", "84C²³"), =HYPERLINK("CSG21.html#group84N21", "84N²¹"), =HYPERLINK("CSG23.html#group84D23", "84D²³")</f>
        <v/>
      </c>
    </row>
    <row r="2823">
      <c r="A2823" t="inlineStr">
        <is>
          <t>84H¹¹</t>
        </is>
      </c>
      <c r="B2823" t="inlineStr"/>
      <c r="C2823" t="inlineStr">
        <is>
          <t>192</t>
        </is>
      </c>
      <c r="D2823" t="inlineStr">
        <is>
          <t>1</t>
        </is>
      </c>
      <c r="E2823" t="inlineStr">
        <is>
          <t>96</t>
        </is>
      </c>
      <c r="F2823" t="inlineStr">
        <is>
          <t>0</t>
        </is>
      </c>
      <c r="G2823" t="inlineStr">
        <is>
          <t>0</t>
        </is>
      </c>
      <c r="H2823" t="inlineStr">
        <is>
          <t>1², 3², 4¹, 7², 12¹, 21², 28¹, 84¹</t>
        </is>
      </c>
      <c r="I2823" t="n">
        <v>12</v>
      </c>
      <c r="J2823" t="inlineStr">
        <is>
          <t>1¹², 2⁶, 6⁶, 12³</t>
        </is>
      </c>
      <c r="K2823">
        <f>HYPERLINK("CSG5.html#group42G5", "42G⁵")</f>
        <v/>
      </c>
      <c r="L2823">
        <f>HYPERLINK("CSG21.html#group84Q21", "84Q²¹")</f>
        <v/>
      </c>
      <c r="M2823">
        <f>HYPERLINK("CSG0.html#group3B0", "3B⁰"), =HYPERLINK("CSG1.html#group21B1", "21B¹"), =HYPERLINK("CSG0.html#group7B0", "7B⁰"), =HYPERLINK("CSG1.html#group14C1", "14C¹"), =HYPERLINK("CSG0.html#group1A0", "1A⁰"), =HYPERLINK("CSG0.html#group2B0", "2B⁰"), =HYPERLINK("CSG5.html#group42G5", "42G⁵"), =HYPERLINK("CSG0.html#group6F0", "6F⁰")</f>
        <v/>
      </c>
      <c r="N2823">
        <f>HYPERLINK("CSG21.html#group84Q21", "84Q²¹")</f>
        <v/>
      </c>
    </row>
    <row r="2824">
      <c r="A2824" t="inlineStr">
        <is>
          <t>84I¹¹</t>
        </is>
      </c>
      <c r="B2824" t="inlineStr">
        <is>
          <t>Γ₀(84)</t>
        </is>
      </c>
      <c r="C2824" t="inlineStr">
        <is>
          <t>192</t>
        </is>
      </c>
      <c r="D2824" t="inlineStr">
        <is>
          <t>1</t>
        </is>
      </c>
      <c r="E2824" t="inlineStr">
        <is>
          <t>96</t>
        </is>
      </c>
      <c r="F2824" t="inlineStr">
        <is>
          <t>0</t>
        </is>
      </c>
      <c r="G2824" t="inlineStr">
        <is>
          <t>0</t>
        </is>
      </c>
      <c r="H2824" t="inlineStr">
        <is>
          <t>1², 3², 4¹, 7², 12¹, 21², 28¹, 84¹</t>
        </is>
      </c>
      <c r="I2824" t="n">
        <v>12</v>
      </c>
      <c r="J2824" t="inlineStr">
        <is>
          <t>1¹², 2⁶, 6⁶, 12³</t>
        </is>
      </c>
      <c r="K2824">
        <f>HYPERLINK("CSG0.html#group12E0", "12E⁰"), =HYPERLINK("CSG2.html#group28D2", "28D²"), =HYPERLINK("CSG5.html#group42G5", "42G⁵")</f>
        <v/>
      </c>
      <c r="L2824">
        <f>HYPERLINK("CSG21.html#group84Q21", "84Q²¹"), =HYPERLINK("CSG23.html#group84K23", "84K²³"), =HYPERLINK("CSG23.html#group84L23", "84L²³"), =HYPERLINK("CSG23.html#group168Q23", "168Q²³"), =HYPERLINK("CSG23.html#group168R23", "168R²³")</f>
        <v/>
      </c>
      <c r="M2824">
        <f>HYPERLINK("CSG0.html#group3B0", "3B⁰"), =HYPERLINK("CSG1.html#group21B1", "21B¹"), =HYPERLINK("CSG0.html#group4B0", "4B⁰"), =HYPERLINK("CSG0.html#group7B0", "7B⁰"), =HYPERLINK("CSG2.html#group28D2", "28D²"), =HYPERLINK("CSG1.html#group14C1", "14C¹"), =HYPERLINK("CSG0.html#group1A0", "1A⁰"), =HYPERLINK("CSG0.html#group2B0", "2B⁰"), =HYPERLINK("CSG5.html#group42G5", "42G⁵"), =HYPERLINK("CSG0.html#group6F0", "6F⁰"), =HYPERLINK("CSG0.html#group12E0", "12E⁰")</f>
        <v/>
      </c>
      <c r="N2824">
        <f>HYPERLINK("CSG23.html#group168Q23", "168Q²³"), =HYPERLINK("CSG23.html#group84K23", "84K²³"), =HYPERLINK("CSG21.html#group84Q21", "84Q²¹"), =HYPERLINK("CSG23.html#group168R23", "168R²³"), =HYPERLINK("CSG23.html#group84L23", "84L²³")</f>
        <v/>
      </c>
    </row>
    <row r="2825">
      <c r="A2825" t="inlineStr">
        <is>
          <t>88A¹¹</t>
        </is>
      </c>
      <c r="B2825" t="inlineStr"/>
      <c r="C2825" t="inlineStr">
        <is>
          <t>132</t>
        </is>
      </c>
      <c r="D2825" t="inlineStr">
        <is>
          <t>2</t>
        </is>
      </c>
      <c r="E2825" t="inlineStr">
        <is>
          <t>33</t>
        </is>
      </c>
      <c r="F2825" t="inlineStr">
        <is>
          <t>0</t>
        </is>
      </c>
      <c r="G2825" t="inlineStr">
        <is>
          <t>0</t>
        </is>
      </c>
      <c r="H2825" t="inlineStr">
        <is>
          <t>44¹, 88¹</t>
        </is>
      </c>
      <c r="I2825" t="n">
        <v>2</v>
      </c>
      <c r="J2825" t="inlineStr">
        <is>
          <t>2³, 10⁶</t>
        </is>
      </c>
      <c r="K2825">
        <f>HYPERLINK("CSG1.html#group8A1", "8A¹"), =HYPERLINK("CSG4.html#group44C4", "44C⁴")</f>
        <v/>
      </c>
      <c r="L2825">
        <f>HYPERLINK("CSG21.html#group88A21", "88A²¹"), =HYPERLINK("CSG21.html#group88B21", "88B²¹"), =HYPERLINK("CSG22.html#group176B22", "176B²²")</f>
        <v/>
      </c>
      <c r="M2825">
        <f>HYPERLINK("CSG0.html#group11A0", "11A⁰"), =HYPERLINK("CSG0.html#group1A0", "1A⁰"), =HYPERLINK("CSG0.html#group2B0", "2B⁰"), =HYPERLINK("CSG1.html#group8A1", "8A¹"), =HYPERLINK("CSG2.html#group22B2", "22B²"), =HYPERLINK("CSG4.html#group44C4", "44C⁴"), =HYPERLINK("CSG0.html#group4C0", "4C⁰")</f>
        <v/>
      </c>
      <c r="N2825">
        <f>HYPERLINK("CSG22.html#group176B22", "176B²²"), =HYPERLINK("CSG21.html#group88A21", "88A²¹"), =HYPERLINK("CSG21.html#group88B21", "88B²¹")</f>
        <v/>
      </c>
    </row>
    <row r="2826">
      <c r="A2826" t="inlineStr">
        <is>
          <t>88B¹¹</t>
        </is>
      </c>
      <c r="B2826" t="inlineStr"/>
      <c r="C2826" t="inlineStr">
        <is>
          <t>144</t>
        </is>
      </c>
      <c r="D2826" t="inlineStr">
        <is>
          <t>1</t>
        </is>
      </c>
      <c r="E2826" t="inlineStr">
        <is>
          <t>36</t>
        </is>
      </c>
      <c r="F2826" t="inlineStr">
        <is>
          <t>0</t>
        </is>
      </c>
      <c r="G2826" t="inlineStr">
        <is>
          <t>0</t>
        </is>
      </c>
      <c r="H2826" t="inlineStr">
        <is>
          <t>4¹, 8¹, 44¹, 88¹</t>
        </is>
      </c>
      <c r="I2826" t="n">
        <v>4</v>
      </c>
      <c r="J2826" t="inlineStr">
        <is>
          <t>1⁶, 10³</t>
        </is>
      </c>
      <c r="K2826">
        <f>HYPERLINK("CSG0.html#group8B0", "8B⁰"), =HYPERLINK("CSG5.html#group44B5", "44B⁵")</f>
        <v/>
      </c>
      <c r="L2826">
        <f>HYPERLINK("CSG21.html#group88D21", "88D²¹"), =HYPERLINK("CSG21.html#group88E21", "88E²¹"), =HYPERLINK("CSG21.html#group88H21", "88H²¹"), =HYPERLINK("CSG23.html#group176C23", "176C²³"), =HYPERLINK("CSG23.html#group176D23", "176D²³"), =HYPERLINK("CSG23.html#group176F23", "176F²³"), =HYPERLINK("CSG23.html#group176G23", "176G²³")</f>
        <v/>
      </c>
      <c r="M2826">
        <f>HYPERLINK("CSG1.html#group11A1", "11A¹"), =HYPERLINK("CSG0.html#group4C0", "4C⁰"), =HYPERLINK("CSG0.html#group8B0", "8B⁰"), =HYPERLINK("CSG5.html#group44B5", "44B⁵"), =HYPERLINK("CSG0.html#group2B0", "2B⁰"), =HYPERLINK("CSG2.html#group22C2", "22C²"), =HYPERLINK("CSG0.html#group1A0", "1A⁰")</f>
        <v/>
      </c>
      <c r="N2826">
        <f>HYPERLINK("CSG23.html#group176G23", "176G²³"), =HYPERLINK("CSG21.html#group88D21", "88D²¹"), =HYPERLINK("CSG23.html#group176C23", "176C²³"), =HYPERLINK("CSG23.html#group176D23", "176D²³"), =HYPERLINK("CSG21.html#group88E21", "88E²¹"), =HYPERLINK("CSG23.html#group176F23", "176F²³"), =HYPERLINK("CSG21.html#group88H21", "88H²¹")</f>
        <v/>
      </c>
    </row>
    <row r="2827">
      <c r="A2827" t="inlineStr">
        <is>
          <t>88C¹¹</t>
        </is>
      </c>
      <c r="B2827" t="inlineStr"/>
      <c r="C2827" t="inlineStr">
        <is>
          <t>144</t>
        </is>
      </c>
      <c r="D2827" t="inlineStr">
        <is>
          <t>1</t>
        </is>
      </c>
      <c r="E2827" t="inlineStr">
        <is>
          <t>36</t>
        </is>
      </c>
      <c r="F2827" t="inlineStr">
        <is>
          <t>0</t>
        </is>
      </c>
      <c r="G2827" t="inlineStr">
        <is>
          <t>0</t>
        </is>
      </c>
      <c r="H2827" t="inlineStr">
        <is>
          <t>4¹, 8¹, 44¹, 88¹</t>
        </is>
      </c>
      <c r="I2827" t="n">
        <v>4</v>
      </c>
      <c r="J2827" t="inlineStr">
        <is>
          <t>1⁶, 10³</t>
        </is>
      </c>
      <c r="K2827">
        <f>HYPERLINK("CSG1.html#group8A1", "8A¹"), =HYPERLINK("CSG5.html#group44B5", "44B⁵")</f>
        <v/>
      </c>
      <c r="L2827">
        <f>HYPERLINK("CSG21.html#group88D21", "88D²¹"), =HYPERLINK("CSG21.html#group88F21", "88F²¹"), =HYPERLINK("CSG21.html#group88G21", "88G²¹"), =HYPERLINK("CSG23.html#group176A23", "176A²³"), =HYPERLINK("CSG23.html#group176B23", "176B²³"), =HYPERLINK("CSG23.html#group176E23", "176E²³"), =HYPERLINK("CSG23.html#group176H23", "176H²³")</f>
        <v/>
      </c>
      <c r="M2827">
        <f>HYPERLINK("CSG5.html#group44B5", "44B⁵"), =HYPERLINK("CSG0.html#group2B0", "2B⁰"), =HYPERLINK("CSG1.html#group8A1", "8A¹"), =HYPERLINK("CSG2.html#group22C2", "22C²"), =HYPERLINK("CSG0.html#group1A0", "1A⁰"), =HYPERLINK("CSG1.html#group11A1", "11A¹"), =HYPERLINK("CSG0.html#group4C0", "4C⁰")</f>
        <v/>
      </c>
      <c r="N2827">
        <f>HYPERLINK("CSG23.html#group176B23", "176B²³"), =HYPERLINK("CSG21.html#group88F21", "88F²¹"), =HYPERLINK("CSG21.html#group88D21", "88D²¹"), =HYPERLINK("CSG23.html#group176E23", "176E²³"), =HYPERLINK("CSG21.html#group88G21", "88G²¹"), =HYPERLINK("CSG23.html#group176H23", "176H²³"), =HYPERLINK("CSG23.html#group176A23", "176A²³")</f>
        <v/>
      </c>
    </row>
    <row r="2828">
      <c r="A2828" t="inlineStr">
        <is>
          <t>88D¹¹</t>
        </is>
      </c>
      <c r="B2828" t="inlineStr"/>
      <c r="C2828" t="inlineStr">
        <is>
          <t>176</t>
        </is>
      </c>
      <c r="D2828" t="inlineStr">
        <is>
          <t>2</t>
        </is>
      </c>
      <c r="E2828" t="inlineStr">
        <is>
          <t>176</t>
        </is>
      </c>
      <c r="F2828" t="inlineStr">
        <is>
          <t>12</t>
        </is>
      </c>
      <c r="G2828" t="inlineStr">
        <is>
          <t>2</t>
        </is>
      </c>
      <c r="H2828" t="inlineStr">
        <is>
          <t>88²</t>
        </is>
      </c>
      <c r="I2828" t="n">
        <v>2</v>
      </c>
      <c r="J2828" t="inlineStr">
        <is>
          <t>8⁴, 40⁸</t>
        </is>
      </c>
      <c r="K2828">
        <f>HYPERLINK("CSG0.html#group8F0", "8F⁰"), =HYPERLINK("CSG2.html#group44A2", "44A²")</f>
        <v/>
      </c>
      <c r="L2828">
        <f>HYPERLINK("CSG24.html#group88A24", "88A²⁴"), =HYPERLINK("CSG24.html#group88B24", "88B²⁴")</f>
        <v/>
      </c>
      <c r="M2828">
        <f>HYPERLINK("CSG0.html#group11A0", "11A⁰"), =HYPERLINK("CSG0.html#group8F0", "8F⁰"), =HYPERLINK("CSG2.html#group44A2", "44A²"), =HYPERLINK("CSG0.html#group1A0", "1A⁰"), =HYPERLINK("CSG0.html#group4A0", "4A⁰")</f>
        <v/>
      </c>
      <c r="N2828">
        <f>HYPERLINK("CSG24.html#group88A24", "88A²⁴"), =HYPERLINK("CSG24.html#group88B24", "88B²⁴")</f>
        <v/>
      </c>
    </row>
    <row r="2829">
      <c r="A2829" t="inlineStr">
        <is>
          <t>90A¹¹</t>
        </is>
      </c>
      <c r="B2829" t="inlineStr"/>
      <c r="C2829" t="inlineStr">
        <is>
          <t>144</t>
        </is>
      </c>
      <c r="D2829" t="inlineStr">
        <is>
          <t>1</t>
        </is>
      </c>
      <c r="E2829" t="inlineStr">
        <is>
          <t>24</t>
        </is>
      </c>
      <c r="F2829" t="inlineStr">
        <is>
          <t>0</t>
        </is>
      </c>
      <c r="G2829" t="inlineStr">
        <is>
          <t>0</t>
        </is>
      </c>
      <c r="H2829" t="inlineStr">
        <is>
          <t>6¹, 18¹, 30¹, 90¹</t>
        </is>
      </c>
      <c r="I2829" t="n">
        <v>4</v>
      </c>
      <c r="J2829" t="inlineStr">
        <is>
          <t>1⁴, 2², 4², 8¹</t>
        </is>
      </c>
      <c r="K2829">
        <f>HYPERLINK("CSG3.html#group30F3", "30F³"), =HYPERLINK("CSG5.html#group45C5", "45C⁵")</f>
        <v/>
      </c>
      <c r="L2829">
        <f>HYPERLINK("CSG21.html#group90E21", "90E²¹"), =HYPERLINK("CSG23.html#group180K23", "180K²³")</f>
        <v/>
      </c>
      <c r="M2829">
        <f>HYPERLINK("CSG5.html#group45C5", "45C⁵"), =HYPERLINK("CSG1.html#group15C1", "15C¹"), =HYPERLINK("CSG0.html#group3B0", "3B⁰"), =HYPERLINK("CSG3.html#group30F3", "30F³"), =HYPERLINK("CSG0.html#group5B0", "5B⁰"), =HYPERLINK("CSG0.html#group9C0", "9C⁰"), =HYPERLINK("CSG0.html#group1A0", "1A⁰"), =HYPERLINK("CSG0.html#group10B0", "10B⁰")</f>
        <v/>
      </c>
      <c r="N2829">
        <f>HYPERLINK("CSG21.html#group90E21", "90E²¹"), =HYPERLINK("CSG23.html#group180K23", "180K²³")</f>
        <v/>
      </c>
    </row>
    <row r="2830">
      <c r="A2830" t="inlineStr">
        <is>
          <t>90B¹¹</t>
        </is>
      </c>
      <c r="B2830" t="inlineStr"/>
      <c r="C2830" t="inlineStr">
        <is>
          <t>144</t>
        </is>
      </c>
      <c r="D2830" t="inlineStr">
        <is>
          <t>1</t>
        </is>
      </c>
      <c r="E2830" t="inlineStr">
        <is>
          <t>24</t>
        </is>
      </c>
      <c r="F2830" t="inlineStr">
        <is>
          <t>0</t>
        </is>
      </c>
      <c r="G2830" t="inlineStr">
        <is>
          <t>0</t>
        </is>
      </c>
      <c r="H2830" t="inlineStr">
        <is>
          <t>6¹, 18¹, 30¹, 90¹</t>
        </is>
      </c>
      <c r="I2830" t="n">
        <v>4</v>
      </c>
      <c r="J2830" t="inlineStr">
        <is>
          <t>1⁴, 2², 4², 8¹</t>
        </is>
      </c>
      <c r="K2830">
        <f>HYPERLINK("CSG3.html#group30F3", "30F³"), =HYPERLINK("CSG5.html#group45D5", "45D⁵")</f>
        <v/>
      </c>
      <c r="L2830">
        <f>HYPERLINK("CSG21.html#group90F21", "90F²¹"), =HYPERLINK("CSG23.html#group180L23", "180L²³")</f>
        <v/>
      </c>
      <c r="M2830">
        <f>HYPERLINK("CSG1.html#group15C1", "15C¹"), =HYPERLINK("CSG0.html#group3B0", "3B⁰"), =HYPERLINK("CSG3.html#group30F3", "30F³"), =HYPERLINK("CSG1.html#group9A1", "9A¹"), =HYPERLINK("CSG0.html#group5B0", "5B⁰"), =HYPERLINK("CSG0.html#group1A0", "1A⁰"), =HYPERLINK("CSG5.html#group45D5", "45D⁵"), =HYPERLINK("CSG0.html#group10B0", "10B⁰")</f>
        <v/>
      </c>
      <c r="N2830">
        <f>HYPERLINK("CSG23.html#group180L23", "180L²³"), =HYPERLINK("CSG21.html#group90F21", "90F²¹")</f>
        <v/>
      </c>
    </row>
    <row r="2831">
      <c r="A2831" t="inlineStr">
        <is>
          <t>90C¹¹</t>
        </is>
      </c>
      <c r="B2831" t="inlineStr"/>
      <c r="C2831" t="inlineStr">
        <is>
          <t>144</t>
        </is>
      </c>
      <c r="D2831" t="inlineStr">
        <is>
          <t>1</t>
        </is>
      </c>
      <c r="E2831" t="inlineStr">
        <is>
          <t>24</t>
        </is>
      </c>
      <c r="F2831" t="inlineStr">
        <is>
          <t>0</t>
        </is>
      </c>
      <c r="G2831" t="inlineStr">
        <is>
          <t>0</t>
        </is>
      </c>
      <c r="H2831" t="inlineStr">
        <is>
          <t>6¹, 18¹, 30¹, 90¹</t>
        </is>
      </c>
      <c r="I2831" t="n">
        <v>4</v>
      </c>
      <c r="J2831" t="inlineStr">
        <is>
          <t>1⁴, 2², 4², 8¹</t>
        </is>
      </c>
      <c r="K2831">
        <f>HYPERLINK("CSG0.html#group18B0", "18B⁰"), =HYPERLINK("CSG3.html#group30G3", "30G³"), =HYPERLINK("CSG5.html#group45C5", "45C⁵")</f>
        <v/>
      </c>
      <c r="L2831">
        <f>HYPERLINK("CSG21.html#group90E21", "90E²¹"), =HYPERLINK("CSG23.html#group180A23", "180A²³"), =HYPERLINK("CSG23.html#group180C23", "180C²³")</f>
        <v/>
      </c>
      <c r="M2831">
        <f>HYPERLINK("CSG5.html#group45C5", "45C⁵"), =HYPERLINK("CSG1.html#group15C1", "15C¹"), =HYPERLINK("CSG0.html#group3B0", "3B⁰"), =HYPERLINK("CSG0.html#group2A0", "2A⁰"), =HYPERLINK("CSG0.html#group18B0", "18B⁰"), =HYPERLINK("CSG0.html#group6C0", "6C⁰"), =HYPERLINK("CSG0.html#group5B0", "5B⁰"), =HYPERLINK("CSG0.html#group9C0", "9C⁰"), =HYPERLINK("CSG1.html#group10A1", "10A¹"), =HYPERLINK("CSG3.html#group30G3", "30G³"), =HYPERLINK("CSG0.html#group1A0", "1A⁰")</f>
        <v/>
      </c>
      <c r="N2831">
        <f>HYPERLINK("CSG21.html#group90E21", "90E²¹"), =HYPERLINK("CSG23.html#group180C23", "180C²³"), =HYPERLINK("CSG23.html#group180A23", "180A²³")</f>
        <v/>
      </c>
    </row>
    <row r="2832">
      <c r="A2832" t="inlineStr">
        <is>
          <t>90D¹¹</t>
        </is>
      </c>
      <c r="B2832" t="inlineStr"/>
      <c r="C2832" t="inlineStr">
        <is>
          <t>144</t>
        </is>
      </c>
      <c r="D2832" t="inlineStr">
        <is>
          <t>1</t>
        </is>
      </c>
      <c r="E2832" t="inlineStr">
        <is>
          <t>24</t>
        </is>
      </c>
      <c r="F2832" t="inlineStr">
        <is>
          <t>0</t>
        </is>
      </c>
      <c r="G2832" t="inlineStr">
        <is>
          <t>0</t>
        </is>
      </c>
      <c r="H2832" t="inlineStr">
        <is>
          <t>6¹, 18¹, 30¹, 90¹</t>
        </is>
      </c>
      <c r="I2832" t="n">
        <v>4</v>
      </c>
      <c r="J2832" t="inlineStr">
        <is>
          <t>1⁴, 2², 4², 8¹</t>
        </is>
      </c>
      <c r="K2832">
        <f>HYPERLINK("CSG2.html#group18B2", "18B²"), =HYPERLINK("CSG3.html#group30G3", "30G³"), =HYPERLINK("CSG5.html#group45D5", "45D⁵")</f>
        <v/>
      </c>
      <c r="L2832">
        <f>HYPERLINK("CSG21.html#group90F21", "90F²¹"), =HYPERLINK("CSG23.html#group180B23", "180B²³"), =HYPERLINK("CSG23.html#group180D23", "180D²³")</f>
        <v/>
      </c>
      <c r="M2832">
        <f>HYPERLINK("CSG0.html#group3B0", "3B⁰"), =HYPERLINK("CSG0.html#group2A0", "2A⁰"), =HYPERLINK("CSG2.html#group18B2", "18B²"), =HYPERLINK("CSG1.html#group15C1", "15C¹"), =HYPERLINK("CSG0.html#group6C0", "6C⁰"), =HYPERLINK("CSG1.html#group9A1", "9A¹"), =HYPERLINK("CSG0.html#group5B0", "5B⁰"), =HYPERLINK("CSG1.html#group10A1", "10A¹"), =HYPERLINK("CSG3.html#group30G3", "30G³"), =HYPERLINK("CSG0.html#group1A0", "1A⁰"), =HYPERLINK("CSG5.html#group45D5", "45D⁵")</f>
        <v/>
      </c>
      <c r="N2832">
        <f>HYPERLINK("CSG23.html#group180B23", "180B²³"), =HYPERLINK("CSG21.html#group90F21", "90F²¹"), =HYPERLINK("CSG23.html#group180D23", "180D²³")</f>
        <v/>
      </c>
    </row>
    <row r="2833">
      <c r="A2833" t="inlineStr">
        <is>
          <t>90E¹¹</t>
        </is>
      </c>
      <c r="B2833" t="inlineStr"/>
      <c r="C2833" t="inlineStr">
        <is>
          <t>144</t>
        </is>
      </c>
      <c r="D2833" t="inlineStr">
        <is>
          <t>1</t>
        </is>
      </c>
      <c r="E2833" t="inlineStr">
        <is>
          <t>48</t>
        </is>
      </c>
      <c r="F2833" t="inlineStr">
        <is>
          <t>0</t>
        </is>
      </c>
      <c r="G2833" t="inlineStr">
        <is>
          <t>0</t>
        </is>
      </c>
      <c r="H2833" t="inlineStr">
        <is>
          <t>6¹, 18¹, 30¹, 90¹</t>
        </is>
      </c>
      <c r="I2833" t="n">
        <v>4</v>
      </c>
      <c r="J2833" t="inlineStr">
        <is>
          <t>2⁸, 8⁴</t>
        </is>
      </c>
      <c r="K2833">
        <f>HYPERLINK("CSG1.html#group18D1", "18D¹"), =HYPERLINK("CSG3.html#group30G3", "30G³")</f>
        <v/>
      </c>
      <c r="L2833">
        <f>HYPERLINK("CSG21.html#group90G21", "90G²¹"), =HYPERLINK("CSG23.html#group180E23", "180E²³"), =HYPERLINK("CSG23.html#group180G23", "180G²³")</f>
        <v/>
      </c>
      <c r="M2833">
        <f>HYPERLINK("CSG1.html#group15C1", "15C¹"), =HYPERLINK("CSG0.html#group3B0", "3B⁰"), =HYPERLINK("CSG0.html#group2A0", "2A⁰"), =HYPERLINK("CSG0.html#group6C0", "6C⁰"), =HYPERLINK("CSG0.html#group5B0", "5B⁰"), =HYPERLINK("CSG1.html#group10A1", "10A¹"), =HYPERLINK("CSG3.html#group30G3", "30G³"), =HYPERLINK("CSG0.html#group1A0", "1A⁰"), =HYPERLINK("CSG1.html#group18D1", "18D¹")</f>
        <v/>
      </c>
      <c r="N2833">
        <f>HYPERLINK("CSG23.html#group180G23", "180G²³"), =HYPERLINK("CSG21.html#group90G21", "90G²¹"), =HYPERLINK("CSG23.html#group180E23", "180E²³")</f>
        <v/>
      </c>
    </row>
    <row r="2834">
      <c r="A2834" t="inlineStr">
        <is>
          <t>90F¹¹</t>
        </is>
      </c>
      <c r="B2834" t="inlineStr"/>
      <c r="C2834" t="inlineStr">
        <is>
          <t>144</t>
        </is>
      </c>
      <c r="D2834" t="inlineStr">
        <is>
          <t>1</t>
        </is>
      </c>
      <c r="E2834" t="inlineStr">
        <is>
          <t>48</t>
        </is>
      </c>
      <c r="F2834" t="inlineStr">
        <is>
          <t>0</t>
        </is>
      </c>
      <c r="G2834" t="inlineStr">
        <is>
          <t>0</t>
        </is>
      </c>
      <c r="H2834" t="inlineStr">
        <is>
          <t>6¹, 18¹, 30¹, 90¹</t>
        </is>
      </c>
      <c r="I2834" t="n">
        <v>4</v>
      </c>
      <c r="J2834" t="inlineStr">
        <is>
          <t>2⁸, 8⁴</t>
        </is>
      </c>
      <c r="K2834">
        <f>HYPERLINK("CSG2.html#group18C2", "18C²"), =HYPERLINK("CSG3.html#group30G3", "30G³")</f>
        <v/>
      </c>
      <c r="L2834">
        <f>HYPERLINK("CSG21.html#group90H21", "90H²¹"), =HYPERLINK("CSG23.html#group180F23", "180F²³"), =HYPERLINK("CSG23.html#group180H23", "180H²³")</f>
        <v/>
      </c>
      <c r="M2834">
        <f>HYPERLINK("CSG1.html#group15C1", "15C¹"), =HYPERLINK("CSG0.html#group3B0", "3B⁰"), =HYPERLINK("CSG0.html#group2A0", "2A⁰"), =HYPERLINK("CSG0.html#group6C0", "6C⁰"), =HYPERLINK("CSG0.html#group5B0", "5B⁰"), =HYPERLINK("CSG1.html#group10A1", "10A¹"), =HYPERLINK("CSG3.html#group30G3", "30G³"), =HYPERLINK("CSG0.html#group1A0", "1A⁰"), =HYPERLINK("CSG2.html#group18C2", "18C²")</f>
        <v/>
      </c>
      <c r="N2834">
        <f>HYPERLINK("CSG23.html#group180H23", "180H²³"), =HYPERLINK("CSG21.html#group90H21", "90H²¹"), =HYPERLINK("CSG23.html#group180F23", "180F²³")</f>
        <v/>
      </c>
    </row>
    <row r="2835">
      <c r="A2835" t="inlineStr">
        <is>
          <t>90G¹¹</t>
        </is>
      </c>
      <c r="B2835" t="inlineStr"/>
      <c r="C2835" t="inlineStr">
        <is>
          <t>180</t>
        </is>
      </c>
      <c r="D2835" t="inlineStr">
        <is>
          <t>2</t>
        </is>
      </c>
      <c r="E2835" t="inlineStr">
        <is>
          <t>90</t>
        </is>
      </c>
      <c r="F2835" t="inlineStr">
        <is>
          <t>16</t>
        </is>
      </c>
      <c r="G2835" t="inlineStr">
        <is>
          <t>0</t>
        </is>
      </c>
      <c r="H2835" t="inlineStr">
        <is>
          <t>90²</t>
        </is>
      </c>
      <c r="I2835" t="n">
        <v>2</v>
      </c>
      <c r="J2835" t="inlineStr">
        <is>
          <t>4³, 8⁶, 12², 24⁴</t>
        </is>
      </c>
      <c r="K2835">
        <f>HYPERLINK("CSG0.html#group18A0", "18A⁰"), =HYPERLINK("CSG3.html#group30H3", "30H³"), =HYPERLINK("CSG5.html#group45E5", "45E⁵")</f>
        <v/>
      </c>
      <c r="L2835">
        <f>HYPERLINK("CSG21.html#group90M21", "90M²¹"), =HYPERLINK("CSG23.html#group90C23", "90C²³"), =HYPERLINK("CSG23.html#group90F23", "90F²³")</f>
        <v/>
      </c>
      <c r="M2835">
        <f>HYPERLINK("CSG1.html#group15D1", "15D¹"), =HYPERLINK("CSG0.html#group6B0", "6B⁰"), =HYPERLINK("CSG0.html#group3A0", "3A⁰"), =HYPERLINK("CSG5.html#group45E5", "45E⁵"), =HYPERLINK("CSG0.html#group9A0", "9A⁰"), =HYPERLINK("CSG0.html#group5C0", "5C⁰"), =HYPERLINK("CSG3.html#group30H3", "30H³"), =HYPERLINK("CSG0.html#group1A0", "1A⁰"), =HYPERLINK("CSG0.html#group18A0", "18A⁰")</f>
        <v/>
      </c>
      <c r="N2835">
        <f>HYPERLINK("CSG21.html#group90M21", "90M²¹"), =HYPERLINK("CSG23.html#group90F23", "90F²³"), =HYPERLINK("CSG23.html#group90C23", "90C²³")</f>
        <v/>
      </c>
    </row>
    <row r="2836">
      <c r="A2836" t="inlineStr">
        <is>
          <t>90H¹¹</t>
        </is>
      </c>
      <c r="B2836" t="inlineStr"/>
      <c r="C2836" t="inlineStr">
        <is>
          <t>216</t>
        </is>
      </c>
      <c r="D2836" t="inlineStr">
        <is>
          <t>1</t>
        </is>
      </c>
      <c r="E2836" t="inlineStr">
        <is>
          <t>18</t>
        </is>
      </c>
      <c r="F2836" t="inlineStr">
        <is>
          <t>24</t>
        </is>
      </c>
      <c r="G2836" t="inlineStr">
        <is>
          <t>0</t>
        </is>
      </c>
      <c r="H2836" t="inlineStr">
        <is>
          <t>18², 90²</t>
        </is>
      </c>
      <c r="I2836" t="n">
        <v>4</v>
      </c>
      <c r="J2836" t="inlineStr">
        <is>
          <t>1², 2², 4¹, 8¹</t>
        </is>
      </c>
      <c r="K2836">
        <f>HYPERLINK("CSG0.html#group18D0", "18D⁰"), =HYPERLINK("CSG3.html#group30I3", "30I³"), =HYPERLINK("CSG5.html#group45F5", "45F⁵"), =HYPERLINK("CSG5.html#group90A5", "90A⁵")</f>
        <v/>
      </c>
      <c r="L2836">
        <f>HYPERLINK("CSG21.html#group90N21", "90N²¹")</f>
        <v/>
      </c>
      <c r="M2836">
        <f>HYPERLINK("CSG2.html#group45A2", "45A²"), =HYPERLINK("CSG0.html#group6B0", "6B⁰"), =HYPERLINK("CSG5.html#group45F5", "45F⁵"), =HYPERLINK("CSG3.html#group30I3", "30I³"), =HYPERLINK("CSG1.html#group30C1", "30C¹"), =HYPERLINK("CSG0.html#group5B0", "5B⁰"), =HYPERLINK("CSG5.html#group90A5", "90A⁵"), =HYPERLINK("CSG0.html#group1A0", "1A⁰"), =HYPERLINK("CSG0.html#group18A0", "18A⁰"), =HYPERLINK("CSG0.html#group15B0", "15B⁰"), =HYPERLINK("CSG0.html#group9D0", "9D⁰"), =HYPERLINK("CSG0.html#group18D0", "18D⁰"), =HYPERLINK("CSG0.html#group6E0", "6E⁰"), =HYPERLINK("CSG0.html#group9A0", "9A⁰"), =HYPERLINK("CSG0.html#group3C0", "3C⁰"), =HYPERLINK("CSG0.html#group3A0", "3A⁰"), =HYPERLINK("CSG1.html#group15E1", "15E¹")</f>
        <v/>
      </c>
      <c r="N2836">
        <f>HYPERLINK("CSG21.html#group90N21", "90N²¹")</f>
        <v/>
      </c>
    </row>
    <row r="2837">
      <c r="A2837" t="inlineStr">
        <is>
          <t>90I¹¹</t>
        </is>
      </c>
      <c r="B2837" t="inlineStr"/>
      <c r="C2837" t="inlineStr">
        <is>
          <t>216</t>
        </is>
      </c>
      <c r="D2837" t="inlineStr">
        <is>
          <t>1</t>
        </is>
      </c>
      <c r="E2837" t="inlineStr">
        <is>
          <t>18</t>
        </is>
      </c>
      <c r="F2837" t="inlineStr">
        <is>
          <t>24</t>
        </is>
      </c>
      <c r="G2837" t="inlineStr">
        <is>
          <t>0</t>
        </is>
      </c>
      <c r="H2837" t="inlineStr">
        <is>
          <t>18², 90²</t>
        </is>
      </c>
      <c r="I2837" t="n">
        <v>4</v>
      </c>
      <c r="J2837" t="inlineStr">
        <is>
          <t>1², 2², 4¹, 8¹</t>
        </is>
      </c>
      <c r="K2837">
        <f>HYPERLINK("CSG3.html#group30J3", "30J³"), =HYPERLINK("CSG4.html#group90A4", "90A⁴"), =HYPERLINK("CSG5.html#group45F5", "45F⁵"), =HYPERLINK("CSG6.html#group90B6", "90B⁶")</f>
        <v/>
      </c>
      <c r="L2837">
        <f>HYPERLINK("CSG21.html#group90N21", "90N²¹")</f>
        <v/>
      </c>
      <c r="M2837">
        <f>HYPERLINK("CSG0.html#group30A0", "30A⁰"), =HYPERLINK("CSG2.html#group45A2", "45A²"), =HYPERLINK("CSG6.html#group90B6", "90B⁶"), =HYPERLINK("CSG4.html#group90A4", "90A⁴"), =HYPERLINK("CSG5.html#group45F5", "45F⁵"), =HYPERLINK("CSG3.html#group30J3", "30J³"), =HYPERLINK("CSG0.html#group5B0", "5B⁰"), =HYPERLINK("CSG0.html#group1A0", "1A⁰"), =HYPERLINK("CSG0.html#group10B0", "10B⁰"), =HYPERLINK("CSG0.html#group15B0", "15B⁰"), =HYPERLINK("CSG0.html#group9D0", "9D⁰"), =HYPERLINK("CSG0.html#group9A0", "9A⁰"), =HYPERLINK("CSG0.html#group3C0", "3C⁰"), =HYPERLINK("CSG0.html#group3A0", "3A⁰"), =HYPERLINK("CSG1.html#group15E1", "15E¹"), =HYPERLINK("CSG2.html#group30C2", "30C²")</f>
        <v/>
      </c>
      <c r="N2837">
        <f>HYPERLINK("CSG21.html#group90N21", "90N²¹")</f>
        <v/>
      </c>
    </row>
    <row r="2838">
      <c r="A2838" t="inlineStr">
        <is>
          <t>90J¹¹</t>
        </is>
      </c>
      <c r="B2838" t="inlineStr">
        <is>
          <t>Γ₀(90)</t>
        </is>
      </c>
      <c r="C2838" t="inlineStr">
        <is>
          <t>216</t>
        </is>
      </c>
      <c r="D2838" t="inlineStr">
        <is>
          <t>1</t>
        </is>
      </c>
      <c r="E2838" t="inlineStr">
        <is>
          <t>72</t>
        </is>
      </c>
      <c r="F2838" t="inlineStr">
        <is>
          <t>0</t>
        </is>
      </c>
      <c r="G2838" t="inlineStr">
        <is>
          <t>0</t>
        </is>
      </c>
      <c r="H2838" t="inlineStr">
        <is>
          <t>1³, 2³, 5³, 9¹, 10³, 18¹, 45¹, 90¹</t>
        </is>
      </c>
      <c r="I2838" t="n">
        <v>16</v>
      </c>
      <c r="J2838" t="inlineStr">
        <is>
          <t>1¹², 2⁶, 4⁶, 8³</t>
        </is>
      </c>
      <c r="K2838">
        <f>HYPERLINK("CSG0.html#group18E0", "18E⁰"), =HYPERLINK("CSG3.html#group30K3", "30K³"), =HYPERLINK("CSG3.html#group45D3", "45D³")</f>
        <v/>
      </c>
      <c r="L2838">
        <f>HYPERLINK("CSG21.html#group90O21", "90O²¹")</f>
        <v/>
      </c>
      <c r="M2838">
        <f>HYPERLINK("CSG0.html#group3B0", "3B⁰"), =HYPERLINK("CSG1.html#group15C1", "15C¹"), =HYPERLINK("CSG0.html#group18E0", "18E⁰"), =HYPERLINK("CSG0.html#group5B0", "5B⁰"), =HYPERLINK("CSG0.html#group9B0", "9B⁰"), =HYPERLINK("CSG3.html#group45D3", "45D³"), =HYPERLINK("CSG0.html#group10C0", "10C⁰"), =HYPERLINK("CSG0.html#group2B0", "2B⁰"), =HYPERLINK("CSG3.html#group30K3", "30K³"), =HYPERLINK("CSG0.html#group6F0", "6F⁰"), =HYPERLINK("CSG0.html#group1A0", "1A⁰")</f>
        <v/>
      </c>
      <c r="N2838">
        <f>HYPERLINK("CSG21.html#group90O21", "90O²¹")</f>
        <v/>
      </c>
    </row>
    <row r="2839">
      <c r="A2839" t="inlineStr">
        <is>
          <t>90K¹¹</t>
        </is>
      </c>
      <c r="B2839" t="inlineStr"/>
      <c r="C2839" t="inlineStr">
        <is>
          <t>216</t>
        </is>
      </c>
      <c r="D2839" t="inlineStr">
        <is>
          <t>2</t>
        </is>
      </c>
      <c r="E2839" t="inlineStr">
        <is>
          <t>54</t>
        </is>
      </c>
      <c r="F2839" t="inlineStr">
        <is>
          <t>24</t>
        </is>
      </c>
      <c r="G2839" t="inlineStr">
        <is>
          <t>0</t>
        </is>
      </c>
      <c r="H2839" t="inlineStr">
        <is>
          <t>18², 90²</t>
        </is>
      </c>
      <c r="I2839" t="n">
        <v>4</v>
      </c>
      <c r="J2839" t="inlineStr">
        <is>
          <t>2⁶, 6⁴, 8³, 24²</t>
        </is>
      </c>
      <c r="K2839">
        <f>HYPERLINK("CSG3.html#group30L3", "30L³"), =HYPERLINK("CSG4.html#group45C4", "45C⁴"), =HYPERLINK("CSG5.html#group90A5", "90A⁵"), =HYPERLINK("CSG6.html#group90B6", "90B⁶")</f>
        <v/>
      </c>
      <c r="L2839">
        <f>HYPERLINK("CSG21.html#group90N21", "90N²¹")</f>
        <v/>
      </c>
      <c r="M2839">
        <f>HYPERLINK("CSG2.html#group45A2", "45A²"), =HYPERLINK("CSG6.html#group90B6", "90B⁶"), =HYPERLINK("CSG3.html#group30L3", "30L³"), =HYPERLINK("CSG0.html#group6B0", "6B⁰"), =HYPERLINK("CSG1.html#group30C1", "30C¹"), =HYPERLINK("CSG0.html#group5B0", "5B⁰"), =HYPERLINK("CSG5.html#group90A5", "90A⁵"), =HYPERLINK("CSG0.html#group1A0", "1A⁰"), =HYPERLINK("CSG0.html#group18A0", "18A⁰"), =HYPERLINK("CSG0.html#group15B0", "15B⁰"), =HYPERLINK("CSG0.html#group9A0", "9A⁰"), =HYPERLINK("CSG4.html#group45C4", "45C⁴"), =HYPERLINK("CSG0.html#group3A0", "3A⁰"), =HYPERLINK("CSG0.html#group15C0", "15C⁰"), =HYPERLINK("CSG2.html#group30C2", "30C²")</f>
        <v/>
      </c>
      <c r="N2839">
        <f>HYPERLINK("CSG21.html#group90N21", "90N²¹")</f>
        <v/>
      </c>
    </row>
    <row r="2840">
      <c r="A2840" t="inlineStr">
        <is>
          <t>92A¹¹</t>
        </is>
      </c>
      <c r="B2840" t="inlineStr"/>
      <c r="C2840" t="inlineStr">
        <is>
          <t>144</t>
        </is>
      </c>
      <c r="D2840" t="inlineStr">
        <is>
          <t>1</t>
        </is>
      </c>
      <c r="E2840" t="inlineStr">
        <is>
          <t>72</t>
        </is>
      </c>
      <c r="F2840" t="inlineStr">
        <is>
          <t>0</t>
        </is>
      </c>
      <c r="G2840" t="inlineStr">
        <is>
          <t>0</t>
        </is>
      </c>
      <c r="H2840" t="inlineStr">
        <is>
          <t>2¹, 4¹, 46¹, 92¹</t>
        </is>
      </c>
      <c r="I2840" t="n">
        <v>4</v>
      </c>
      <c r="J2840" t="inlineStr">
        <is>
          <t>1⁶, 22³</t>
        </is>
      </c>
      <c r="K2840">
        <f>HYPERLINK("CSG0.html#group4C0", "4C⁰"), =HYPERLINK("CSG5.html#group46A5", "46A⁵")</f>
        <v/>
      </c>
      <c r="L2840">
        <f>HYPERLINK("CSG21.html#group92A21", "92A²¹"), =HYPERLINK("CSG22.html#group92B22", "92B²²"), =HYPERLINK("CSG22.html#group184B22", "184B²²"), =HYPERLINK("CSG23.html#group184A23", "184A²³"), =HYPERLINK("CSG23.html#group184B23", "184B²³")</f>
        <v/>
      </c>
      <c r="M2840">
        <f>HYPERLINK("CSG0.html#group4C0", "4C⁰"), =HYPERLINK("CSG2.html#group23A2", "23A²"), =HYPERLINK("CSG0.html#group2B0", "2B⁰"), =HYPERLINK("CSG0.html#group1A0", "1A⁰"), =HYPERLINK("CSG5.html#group46A5", "46A⁵")</f>
        <v/>
      </c>
      <c r="N2840">
        <f>HYPERLINK("CSG21.html#group92A21", "92A²¹"), =HYPERLINK("CSG22.html#group92B22", "92B²²"), =HYPERLINK("CSG23.html#group184B23", "184B²³"), =HYPERLINK("CSG23.html#group184A23", "184A²³"), =HYPERLINK("CSG22.html#group184B22", "184B²²")</f>
        <v/>
      </c>
    </row>
    <row r="2841">
      <c r="A2841" t="inlineStr">
        <is>
          <t>94A¹¹</t>
        </is>
      </c>
      <c r="B2841" t="inlineStr">
        <is>
          <t>Γ₀(94)</t>
        </is>
      </c>
      <c r="C2841" t="inlineStr">
        <is>
          <t>144</t>
        </is>
      </c>
      <c r="D2841" t="inlineStr">
        <is>
          <t>1</t>
        </is>
      </c>
      <c r="E2841" t="inlineStr">
        <is>
          <t>144</t>
        </is>
      </c>
      <c r="F2841" t="inlineStr">
        <is>
          <t>0</t>
        </is>
      </c>
      <c r="G2841" t="inlineStr">
        <is>
          <t>0</t>
        </is>
      </c>
      <c r="H2841" t="inlineStr">
        <is>
          <t>1¹, 2¹, 47¹, 94¹</t>
        </is>
      </c>
      <c r="I2841" t="n">
        <v>4</v>
      </c>
      <c r="J2841" t="inlineStr">
        <is>
          <t>1⁶, 46³</t>
        </is>
      </c>
      <c r="K2841">
        <f>HYPERLINK("CSG0.html#group2B0", "2B⁰"), =HYPERLINK("CSG4.html#group47A4", "47A⁴")</f>
        <v/>
      </c>
      <c r="L2841">
        <f>HYPERLINK("CSG22.html#group94A22", "94A²²"), =HYPERLINK("CSG22.html#group188A22", "188A²²"), =HYPERLINK("CSG23.html#group188A23", "188A²³")</f>
        <v/>
      </c>
      <c r="M2841">
        <f>HYPERLINK("CSG4.html#group47A4", "47A⁴"), =HYPERLINK("CSG0.html#group1A0", "1A⁰"), =HYPERLINK("CSG0.html#group2B0", "2B⁰")</f>
        <v/>
      </c>
      <c r="N2841">
        <f>HYPERLINK("CSG22.html#group94A22", "94A²²"), =HYPERLINK("CSG22.html#group188A22", "188A²²"), =HYPERLINK("CSG23.html#group188A23", "188A²³")</f>
        <v/>
      </c>
    </row>
    <row r="2842">
      <c r="A2842" t="inlineStr">
        <is>
          <t>96A¹¹</t>
        </is>
      </c>
      <c r="B2842" t="inlineStr"/>
      <c r="C2842" t="inlineStr">
        <is>
          <t>144</t>
        </is>
      </c>
      <c r="D2842" t="inlineStr">
        <is>
          <t>1</t>
        </is>
      </c>
      <c r="E2842" t="inlineStr">
        <is>
          <t>6</t>
        </is>
      </c>
      <c r="F2842" t="inlineStr">
        <is>
          <t>0</t>
        </is>
      </c>
      <c r="G2842" t="inlineStr">
        <is>
          <t>0</t>
        </is>
      </c>
      <c r="H2842" t="inlineStr">
        <is>
          <t>12², 24¹, 96¹</t>
        </is>
      </c>
      <c r="I2842" t="n">
        <v>4</v>
      </c>
      <c r="J2842" t="inlineStr">
        <is>
          <t>1⁴, 2¹</t>
        </is>
      </c>
      <c r="K2842">
        <f>HYPERLINK("CSG3.html#group32A3", "32A³"), =HYPERLINK("CSG5.html#group48A5", "48A⁵")</f>
        <v/>
      </c>
      <c r="L2842">
        <f>HYPERLINK("CSG21.html#group96B21", "96B²¹"), =HYPERLINK("CSG21.html#group96C21", "96C²¹"), =HYPERLINK("CSG21.html#group96K21", "96K²¹"), =HYPERLINK("CSG21.html#group96I21", "96I²¹"), =HYPERLINK("CSG21.html#group96U21", "96U²¹"), =HYPERLINK("CSG23.html#group192E23", "192E²³"), =HYPERLINK("CSG23.html#group192K23", "192K²³")</f>
        <v/>
      </c>
      <c r="M2842">
        <f>HYPERLINK("CSG5.html#group48A5", "48A⁵"), =HYPERLINK("CSG2.html#group24B2", "24B²"), =HYPERLINK("CSG0.html#group3A0", "3A⁰"), =HYPERLINK("CSG3.html#group32A3", "32A³"), =HYPERLINK("CSG1.html#group16A1", "16A¹"), =HYPERLINK("CSG0.html#group8C0", "8C⁰"), =HYPERLINK("CSG1.html#group12B1", "12B¹"), =HYPERLINK("CSG0.html#group2B0", "2B⁰"), =HYPERLINK("CSG0.html#group4B0", "4B⁰"), =HYPERLINK("CSG0.html#group1A0", "1A⁰"), =HYPERLINK("CSG0.html#group6D0", "6D⁰")</f>
        <v/>
      </c>
      <c r="N2842">
        <f>HYPERLINK("CSG21.html#group96K21", "96K²¹"), =HYPERLINK("CSG21.html#group96U21", "96U²¹"), =HYPERLINK("CSG23.html#group192K23", "192K²³"), =HYPERLINK("CSG23.html#group192E23", "192E²³"), =HYPERLINK("CSG21.html#group96I21", "96I²¹"), =HYPERLINK("CSG21.html#group96B21", "96B²¹"), =HYPERLINK("CSG21.html#group96C21", "96C²¹")</f>
        <v/>
      </c>
    </row>
    <row r="2843">
      <c r="A2843" t="inlineStr">
        <is>
          <t>96B¹¹</t>
        </is>
      </c>
      <c r="B2843" t="inlineStr"/>
      <c r="C2843" t="inlineStr">
        <is>
          <t>144</t>
        </is>
      </c>
      <c r="D2843" t="inlineStr">
        <is>
          <t>1</t>
        </is>
      </c>
      <c r="E2843" t="inlineStr">
        <is>
          <t>6</t>
        </is>
      </c>
      <c r="F2843" t="inlineStr">
        <is>
          <t>0</t>
        </is>
      </c>
      <c r="G2843" t="inlineStr">
        <is>
          <t>0</t>
        </is>
      </c>
      <c r="H2843" t="inlineStr">
        <is>
          <t>12², 24¹, 96¹</t>
        </is>
      </c>
      <c r="I2843" t="n">
        <v>4</v>
      </c>
      <c r="J2843" t="inlineStr">
        <is>
          <t>1⁴, 2¹</t>
        </is>
      </c>
      <c r="K2843">
        <f>HYPERLINK("CSG3.html#group32B3", "32B³"), =HYPERLINK("CSG5.html#group48A5", "48A⁵")</f>
        <v/>
      </c>
      <c r="L2843">
        <f>HYPERLINK("CSG21.html#group96B21", "96B²¹"), =HYPERLINK("CSG21.html#group96D21", "96D²¹"), =HYPERLINK("CSG21.html#group96L21", "96L²¹"), =HYPERLINK("CSG21.html#group96J21", "96J²¹"), =HYPERLINK("CSG21.html#group96V21", "96V²¹"), =HYPERLINK("CSG23.html#group192F23", "192F²³"), =HYPERLINK("CSG23.html#group192L23", "192L²³")</f>
        <v/>
      </c>
      <c r="M2843">
        <f>HYPERLINK("CSG5.html#group48A5", "48A⁵"), =HYPERLINK("CSG2.html#group24B2", "24B²"), =HYPERLINK("CSG0.html#group3A0", "3A⁰"), =HYPERLINK("CSG1.html#group16A1", "16A¹"), =HYPERLINK("CSG0.html#group8C0", "8C⁰"), =HYPERLINK("CSG1.html#group12B1", "12B¹"), =HYPERLINK("CSG0.html#group2B0", "2B⁰"), =HYPERLINK("CSG0.html#group4B0", "4B⁰"), =HYPERLINK("CSG0.html#group1A0", "1A⁰"), =HYPERLINK("CSG0.html#group6D0", "6D⁰"), =HYPERLINK("CSG3.html#group32B3", "32B³")</f>
        <v/>
      </c>
      <c r="N2843">
        <f>HYPERLINK("CSG21.html#group96V21", "96V²¹"), =HYPERLINK("CSG21.html#group96D21", "96D²¹"), =HYPERLINK("CSG21.html#group96J21", "96J²¹"), =HYPERLINK("CSG21.html#group96L21", "96L²¹"), =HYPERLINK("CSG21.html#group96B21", "96B²¹"), =HYPERLINK("CSG23.html#group192L23", "192L²³"), =HYPERLINK("CSG23.html#group192F23", "192F²³")</f>
        <v/>
      </c>
    </row>
    <row r="2844">
      <c r="A2844" t="inlineStr">
        <is>
          <t>96C¹¹</t>
        </is>
      </c>
      <c r="B2844" t="inlineStr"/>
      <c r="C2844" t="inlineStr">
        <is>
          <t>144</t>
        </is>
      </c>
      <c r="D2844" t="inlineStr">
        <is>
          <t>1</t>
        </is>
      </c>
      <c r="E2844" t="inlineStr">
        <is>
          <t>12</t>
        </is>
      </c>
      <c r="F2844" t="inlineStr">
        <is>
          <t>0</t>
        </is>
      </c>
      <c r="G2844" t="inlineStr">
        <is>
          <t>0</t>
        </is>
      </c>
      <c r="H2844" t="inlineStr">
        <is>
          <t>12², 24¹, 96¹</t>
        </is>
      </c>
      <c r="I2844" t="n">
        <v>4</v>
      </c>
      <c r="J2844" t="inlineStr">
        <is>
          <t>1⁴, 2², 4¹</t>
        </is>
      </c>
      <c r="K2844">
        <f>HYPERLINK("CSG3.html#group32C3", "32C³"), =HYPERLINK("CSG5.html#group48A5", "48A⁵")</f>
        <v/>
      </c>
      <c r="L2844">
        <f>HYPERLINK("CSG21.html#group96A21", "96A²¹"), =HYPERLINK("CSG21.html#group96C21", "96C²¹"), =HYPERLINK("CSG21.html#group96D21", "96D²¹"), =HYPERLINK("CSG21.html#group96T21", "96T²¹"), =HYPERLINK("CSG21.html#group96S21", "96S²¹"), =HYPERLINK("CSG21.html#group96W21", "96W²¹"), =HYPERLINK("CSG21.html#group96X21", "96X²¹"), =HYPERLINK("CSG23.html#group192B23", "192B²³"), =HYPERLINK("CSG23.html#group192A23", "192A²³"), =HYPERLINK("CSG23.html#group192D23", "192D²³"), =HYPERLINK("CSG23.html#group192C23", "192C²³"), =HYPERLINK("CSG23.html#group192G23", "192G²³"), =HYPERLINK("CSG23.html#group192H23", "192H²³"), =HYPERLINK("CSG23.html#group192I23", "192I²³"), =HYPERLINK("CSG23.html#group192J23", "192J²³")</f>
        <v/>
      </c>
      <c r="M2844">
        <f>HYPERLINK("CSG5.html#group48A5", "48A⁵"), =HYPERLINK("CSG2.html#group24B2", "24B²"), =HYPERLINK("CSG0.html#group3A0", "3A⁰"), =HYPERLINK("CSG1.html#group16A1", "16A¹"), =HYPERLINK("CSG0.html#group8C0", "8C⁰"), =HYPERLINK("CSG1.html#group12B1", "12B¹"), =HYPERLINK("CSG0.html#group2B0", "2B⁰"), =HYPERLINK("CSG0.html#group4B0", "4B⁰"), =HYPERLINK("CSG0.html#group1A0", "1A⁰"), =HYPERLINK("CSG3.html#group32C3", "32C³"), =HYPERLINK("CSG0.html#group6D0", "6D⁰")</f>
        <v/>
      </c>
      <c r="N2844">
        <f>HYPERLINK("CSG23.html#group192H23", "192H²³"), =HYPERLINK("CSG21.html#group96T21", "96T²¹"), =HYPERLINK("CSG21.html#group96D21", "96D²¹"), =HYPERLINK("CSG21.html#group96X21", "96X²¹"), =HYPERLINK("CSG23.html#group192D23", "192D²³"), =HYPERLINK("CSG21.html#group96W21", "96W²¹"), =HYPERLINK("CSG23.html#group192G23", "192G²³"), =HYPERLINK("CSG21.html#group96A21", "96A²¹"), =HYPERLINK("CSG23.html#group192A23", "192A²³"), =HYPERLINK("CSG21.html#group96C21", "96C²¹"), =HYPERLINK("CSG21.html#group96S21", "96S²¹"), =HYPERLINK("CSG23.html#group192I23", "192I²³"), =HYPERLINK("CSG23.html#group192J23", "192J²³"), =HYPERLINK("CSG23.html#group192B23", "192B²³"), =HYPERLINK("CSG23.html#group192C23", "192C²³")</f>
        <v/>
      </c>
    </row>
    <row r="2845">
      <c r="A2845" t="inlineStr">
        <is>
          <t>96D¹¹</t>
        </is>
      </c>
      <c r="B2845" t="inlineStr"/>
      <c r="C2845" t="inlineStr">
        <is>
          <t>144</t>
        </is>
      </c>
      <c r="D2845" t="inlineStr">
        <is>
          <t>1</t>
        </is>
      </c>
      <c r="E2845" t="inlineStr">
        <is>
          <t>18</t>
        </is>
      </c>
      <c r="F2845" t="inlineStr">
        <is>
          <t>0</t>
        </is>
      </c>
      <c r="G2845" t="inlineStr">
        <is>
          <t>0</t>
        </is>
      </c>
      <c r="H2845" t="inlineStr">
        <is>
          <t>12², 24¹, 96¹</t>
        </is>
      </c>
      <c r="I2845" t="n">
        <v>4</v>
      </c>
      <c r="J2845" t="inlineStr">
        <is>
          <t>1⁴, 2⁵, 4¹</t>
        </is>
      </c>
      <c r="K2845">
        <f>HYPERLINK("CSG5.html#group48A5", "48A⁵")</f>
        <v/>
      </c>
      <c r="L2845">
        <f>HYPERLINK("CSG21.html#group96F21", "96F²¹"), =HYPERLINK("CSG21.html#group96H21", "96H²¹"), =HYPERLINK("CSG21.html#group96L21", "96L²¹"), =HYPERLINK("CSG21.html#group96I21", "96I²¹"), =HYPERLINK("CSG21.html#group96Q21", "96Q²¹"), =HYPERLINK("CSG21.html#group96W21", "96W²¹"), =HYPERLINK("CSG21.html#group96AQ21", "96AQ²¹"), =HYPERLINK("CSG21.html#group96AR21", "96AR²¹")</f>
        <v/>
      </c>
      <c r="M2845">
        <f>HYPERLINK("CSG5.html#group48A5", "48A⁵"), =HYPERLINK("CSG2.html#group24B2", "24B²"), =HYPERLINK("CSG0.html#group3A0", "3A⁰"), =HYPERLINK("CSG1.html#group16A1", "16A¹"), =HYPERLINK("CSG0.html#group8C0", "8C⁰"), =HYPERLINK("CSG1.html#group12B1", "12B¹"), =HYPERLINK("CSG0.html#group2B0", "2B⁰"), =HYPERLINK("CSG0.html#group4B0", "4B⁰"), =HYPERLINK("CSG0.html#group1A0", "1A⁰"), =HYPERLINK("CSG0.html#group6D0", "6D⁰")</f>
        <v/>
      </c>
      <c r="N2845">
        <f>HYPERLINK("CSG21.html#group96AR21", "96AR²¹"), =HYPERLINK("CSG21.html#group96W21", "96W²¹"), =HYPERLINK("CSG21.html#group96F21", "96F²¹"), =HYPERLINK("CSG21.html#group96AQ21", "96AQ²¹"), =HYPERLINK("CSG21.html#group96L21", "96L²¹"), =HYPERLINK("CSG21.html#group96Q21", "96Q²¹"), =HYPERLINK("CSG21.html#group96I21", "96I²¹"), =HYPERLINK("CSG21.html#group96H21", "96H²¹")</f>
        <v/>
      </c>
    </row>
    <row r="2846">
      <c r="A2846" t="inlineStr">
        <is>
          <t>96E¹¹</t>
        </is>
      </c>
      <c r="B2846" t="inlineStr"/>
      <c r="C2846" t="inlineStr">
        <is>
          <t>144</t>
        </is>
      </c>
      <c r="D2846" t="inlineStr">
        <is>
          <t>1</t>
        </is>
      </c>
      <c r="E2846" t="inlineStr">
        <is>
          <t>18</t>
        </is>
      </c>
      <c r="F2846" t="inlineStr">
        <is>
          <t>0</t>
        </is>
      </c>
      <c r="G2846" t="inlineStr">
        <is>
          <t>0</t>
        </is>
      </c>
      <c r="H2846" t="inlineStr">
        <is>
          <t>12², 24¹, 96¹</t>
        </is>
      </c>
      <c r="I2846" t="n">
        <v>4</v>
      </c>
      <c r="J2846" t="inlineStr">
        <is>
          <t>1⁴, 2⁵, 4¹</t>
        </is>
      </c>
      <c r="K2846">
        <f>HYPERLINK("CSG5.html#group48A5", "48A⁵")</f>
        <v/>
      </c>
      <c r="L2846">
        <f>HYPERLINK("CSG21.html#group96G21", "96G²¹"), =HYPERLINK("CSG21.html#group96H21", "96H²¹"), =HYPERLINK("CSG21.html#group96K21", "96K²¹"), =HYPERLINK("CSG21.html#group96J21", "96J²¹"), =HYPERLINK("CSG21.html#group96R21", "96R²¹"), =HYPERLINK("CSG21.html#group96X21", "96X²¹"), =HYPERLINK("CSG21.html#group96AQ21", "96AQ²¹"), =HYPERLINK("CSG21.html#group96AS21", "96AS²¹")</f>
        <v/>
      </c>
      <c r="M2846">
        <f>HYPERLINK("CSG5.html#group48A5", "48A⁵"), =HYPERLINK("CSG2.html#group24B2", "24B²"), =HYPERLINK("CSG0.html#group3A0", "3A⁰"), =HYPERLINK("CSG1.html#group16A1", "16A¹"), =HYPERLINK("CSG0.html#group8C0", "8C⁰"), =HYPERLINK("CSG1.html#group12B1", "12B¹"), =HYPERLINK("CSG0.html#group2B0", "2B⁰"), =HYPERLINK("CSG0.html#group4B0", "4B⁰"), =HYPERLINK("CSG0.html#group1A0", "1A⁰"), =HYPERLINK("CSG0.html#group6D0", "6D⁰")</f>
        <v/>
      </c>
      <c r="N2846">
        <f>HYPERLINK("CSG21.html#group96K21", "96K²¹"), =HYPERLINK("CSG21.html#group96G21", "96G²¹"), =HYPERLINK("CSG21.html#group96J21", "96J²¹"), =HYPERLINK("CSG21.html#group96X21", "96X²¹"), =HYPERLINK("CSG21.html#group96AQ21", "96AQ²¹"), =HYPERLINK("CSG21.html#group96R21", "96R²¹"), =HYPERLINK("CSG21.html#group96AS21", "96AS²¹"), =HYPERLINK("CSG21.html#group96H21", "96H²¹")</f>
        <v/>
      </c>
    </row>
    <row r="2847">
      <c r="A2847" t="inlineStr">
        <is>
          <t>96F¹¹</t>
        </is>
      </c>
      <c r="B2847" t="inlineStr"/>
      <c r="C2847" t="inlineStr">
        <is>
          <t>144</t>
        </is>
      </c>
      <c r="D2847" t="inlineStr">
        <is>
          <t>1</t>
        </is>
      </c>
      <c r="E2847" t="inlineStr">
        <is>
          <t>36</t>
        </is>
      </c>
      <c r="F2847" t="inlineStr">
        <is>
          <t>0</t>
        </is>
      </c>
      <c r="G2847" t="inlineStr">
        <is>
          <t>0</t>
        </is>
      </c>
      <c r="H2847" t="inlineStr">
        <is>
          <t>12², 24¹, 96¹</t>
        </is>
      </c>
      <c r="I2847" t="n">
        <v>4</v>
      </c>
      <c r="J2847" t="inlineStr">
        <is>
          <t>1⁴, 2⁶, 4³, 8¹</t>
        </is>
      </c>
      <c r="K2847">
        <f>HYPERLINK("CSG5.html#group48A5", "48A⁵")</f>
        <v/>
      </c>
      <c r="L2847">
        <f>HYPERLINK("CSG21.html#group96E21", "96E²¹"), =HYPERLINK("CSG21.html#group96O21", "96O²¹"), =HYPERLINK("CSG21.html#group96P21", "96P²¹"), =HYPERLINK("CSG21.html#group96Q21", "96Q²¹"), =HYPERLINK("CSG21.html#group96R21", "96R²¹"), =HYPERLINK("CSG21.html#group96T21", "96T²¹"), =HYPERLINK("CSG21.html#group96S21", "96S²¹"), =HYPERLINK("CSG21.html#group96U21", "96U²¹"), =HYPERLINK("CSG21.html#group96V21", "96V²¹"), =HYPERLINK("CSG21.html#group96AR21", "96AR²¹"), =HYPERLINK("CSG21.html#group96AS21", "96AS²¹")</f>
        <v/>
      </c>
      <c r="M2847">
        <f>HYPERLINK("CSG5.html#group48A5", "48A⁵"), =HYPERLINK("CSG2.html#group24B2", "24B²"), =HYPERLINK("CSG0.html#group3A0", "3A⁰"), =HYPERLINK("CSG1.html#group16A1", "16A¹"), =HYPERLINK("CSG0.html#group8C0", "8C⁰"), =HYPERLINK("CSG1.html#group12B1", "12B¹"), =HYPERLINK("CSG0.html#group2B0", "2B⁰"), =HYPERLINK("CSG0.html#group4B0", "4B⁰"), =HYPERLINK("CSG0.html#group1A0", "1A⁰"), =HYPERLINK("CSG0.html#group6D0", "6D⁰")</f>
        <v/>
      </c>
      <c r="N2847">
        <f>HYPERLINK("CSG21.html#group96V21", "96V²¹"), =HYPERLINK("CSG21.html#group96T21", "96T²¹"), =HYPERLINK("CSG21.html#group96O21", "96O²¹"), =HYPERLINK("CSG21.html#group96AR21", "96AR²¹"), =HYPERLINK("CSG21.html#group96E21", "96E²¹"), =HYPERLINK("CSG21.html#group96S21", "96S²¹"), =HYPERLINK("CSG21.html#group96U21", "96U²¹"), =HYPERLINK("CSG21.html#group96R21", "96R²¹"), =HYPERLINK("CSG21.html#group96AS21", "96AS²¹"), =HYPERLINK("CSG21.html#group96Q21", "96Q²¹"), =HYPERLINK("CSG21.html#group96P21", "96P²¹")</f>
        <v/>
      </c>
    </row>
    <row r="2848">
      <c r="A2848" t="inlineStr">
        <is>
          <t>96G¹¹</t>
        </is>
      </c>
      <c r="B2848" t="inlineStr"/>
      <c r="C2848" t="inlineStr">
        <is>
          <t>192</t>
        </is>
      </c>
      <c r="D2848" t="inlineStr">
        <is>
          <t>1</t>
        </is>
      </c>
      <c r="E2848" t="inlineStr">
        <is>
          <t>24</t>
        </is>
      </c>
      <c r="F2848" t="inlineStr">
        <is>
          <t>0</t>
        </is>
      </c>
      <c r="G2848" t="inlineStr">
        <is>
          <t>0</t>
        </is>
      </c>
      <c r="H2848" t="inlineStr">
        <is>
          <t>2⁴, 6⁴, 8¹, 24¹, 32¹, 96¹</t>
        </is>
      </c>
      <c r="I2848" t="n">
        <v>12</v>
      </c>
      <c r="J2848" t="inlineStr">
        <is>
          <t>1⁸, 2⁶, 4¹</t>
        </is>
      </c>
      <c r="K2848">
        <f>HYPERLINK("CSG3.html#group48J3", "48J³")</f>
        <v/>
      </c>
      <c r="L2848">
        <f>HYPERLINK("CSG21.html#group96BB21", "96BB²¹"), =HYPERLINK("CSG21.html#group96BE21", "96BE²¹"), =HYPERLINK("CSG21.html#group96BD21", "96BD²¹"), =HYPERLINK("CSG21.html#group96BH21", "96BH²¹"), =HYPERLINK("CSG21.html#group96BI21", "96BI²¹")</f>
        <v/>
      </c>
      <c r="M2848">
        <f>HYPERLINK("CSG0.html#group3B0", "3B⁰"), =HYPERLINK("CSG3.html#group48J3", "48J³"), =HYPERLINK("CSG0.html#group16C0", "16C⁰"), =HYPERLINK("CSG1.html#group24G1", "24G¹"), =HYPERLINK("CSG0.html#group1A0", "1A⁰"), =HYPERLINK("CSG0.html#group8C0", "8C⁰"), =HYPERLINK("CSG0.html#group2B0", "2B⁰"), =HYPERLINK("CSG0.html#group4B0", "4B⁰"), =HYPERLINK("CSG0.html#group6F0", "6F⁰"), =HYPERLINK("CSG0.html#group12E0", "12E⁰")</f>
        <v/>
      </c>
      <c r="N2848">
        <f>HYPERLINK("CSG21.html#group96BE21", "96BE²¹"), =HYPERLINK("CSG21.html#group96BB21", "96BB²¹"), =HYPERLINK("CSG21.html#group96BH21", "96BH²¹"), =HYPERLINK("CSG21.html#group96BI21", "96BI²¹"), =HYPERLINK("CSG21.html#group96BD21", "96BD²¹")</f>
        <v/>
      </c>
    </row>
    <row r="2849">
      <c r="A2849" t="inlineStr">
        <is>
          <t>96H¹¹</t>
        </is>
      </c>
      <c r="B2849" t="inlineStr"/>
      <c r="C2849" t="inlineStr">
        <is>
          <t>192</t>
        </is>
      </c>
      <c r="D2849" t="inlineStr">
        <is>
          <t>1</t>
        </is>
      </c>
      <c r="E2849" t="inlineStr">
        <is>
          <t>24</t>
        </is>
      </c>
      <c r="F2849" t="inlineStr">
        <is>
          <t>0</t>
        </is>
      </c>
      <c r="G2849" t="inlineStr">
        <is>
          <t>0</t>
        </is>
      </c>
      <c r="H2849" t="inlineStr">
        <is>
          <t>2⁴, 6⁴, 8¹, 24¹, 32¹, 96¹</t>
        </is>
      </c>
      <c r="I2849" t="n">
        <v>12</v>
      </c>
      <c r="J2849" t="inlineStr">
        <is>
          <t>1⁸, 2⁶, 4¹</t>
        </is>
      </c>
      <c r="K2849">
        <f>HYPERLINK("CSG2.html#group32A2", "32A²"), =HYPERLINK("CSG3.html#group48J3", "48J³")</f>
        <v/>
      </c>
      <c r="L2849">
        <f>HYPERLINK("CSG21.html#group96BB21", "96BB²¹"), =HYPERLINK("CSG21.html#group96BC21", "96BC²¹"), =HYPERLINK("CSG21.html#group96BF21", "96BF²¹"), =HYPERLINK("CSG21.html#group96BG21", "96BG²¹"), =HYPERLINK("CSG21.html#group96BK21", "96BK²¹")</f>
        <v/>
      </c>
      <c r="M2849">
        <f>HYPERLINK("CSG0.html#group3B0", "3B⁰"), =HYPERLINK("CSG3.html#group48J3", "48J³"), =HYPERLINK("CSG0.html#group16C0", "16C⁰"), =HYPERLINK("CSG1.html#group24G1", "24G¹"), =HYPERLINK("CSG0.html#group1A0", "1A⁰"), =HYPERLINK("CSG2.html#group32A2", "32A²"), =HYPERLINK("CSG0.html#group8C0", "8C⁰"), =HYPERLINK("CSG0.html#group2B0", "2B⁰"), =HYPERLINK("CSG0.html#group4B0", "4B⁰"), =HYPERLINK("CSG0.html#group6F0", "6F⁰"), =HYPERLINK("CSG0.html#group12E0", "12E⁰")</f>
        <v/>
      </c>
      <c r="N2849">
        <f>HYPERLINK("CSG21.html#group96BB21", "96BB²¹"), =HYPERLINK("CSG21.html#group96BK21", "96BK²¹"), =HYPERLINK("CSG21.html#group96BC21", "96BC²¹"), =HYPERLINK("CSG21.html#group96BG21", "96BG²¹"), =HYPERLINK("CSG21.html#group96BF21", "96BF²¹")</f>
        <v/>
      </c>
    </row>
    <row r="2850">
      <c r="A2850" t="inlineStr">
        <is>
          <t>96I¹¹</t>
        </is>
      </c>
      <c r="B2850" t="inlineStr"/>
      <c r="C2850" t="inlineStr">
        <is>
          <t>288</t>
        </is>
      </c>
      <c r="D2850" t="inlineStr">
        <is>
          <t>1</t>
        </is>
      </c>
      <c r="E2850" t="inlineStr">
        <is>
          <t>6</t>
        </is>
      </c>
      <c r="F2850" t="inlineStr">
        <is>
          <t>48</t>
        </is>
      </c>
      <c r="G2850" t="inlineStr">
        <is>
          <t>0</t>
        </is>
      </c>
      <c r="H2850" t="inlineStr">
        <is>
          <t>48², 96²</t>
        </is>
      </c>
      <c r="I2850" t="n">
        <v>4</v>
      </c>
      <c r="J2850" t="inlineStr">
        <is>
          <t>1², 2²</t>
        </is>
      </c>
      <c r="K2850">
        <f>HYPERLINK("CSG3.html#group32L3", "32L³"), =HYPERLINK("CSG3.html#group96A3", "96A³"), =HYPERLINK("CSG5.html#group48E5", "48E⁵")</f>
        <v/>
      </c>
      <c r="L2850" t="inlineStr"/>
      <c r="M2850">
        <f>HYPERLINK("CSG5.html#group48E5", "48E⁵"), =HYPERLINK("CSG0.html#group12C0", "12C⁰"), =HYPERLINK("CSG0.html#group8D0", "8D⁰"), =HYPERLINK("CSG0.html#group4C0", "4C⁰"), =HYPERLINK("CSG0.html#group8B0", "8B⁰"), =HYPERLINK("CSG1.html#group16B1", "16B¹"), =HYPERLINK("CSG0.html#group48A0", "48A⁰"), =HYPERLINK("CSG0.html#group2B0", "2B⁰"), =HYPERLINK("CSG2.html#group24L2", "24L²"), =HYPERLINK("CSG0.html#group1A0", "1A⁰"), =HYPERLINK("CSG0.html#group16B0", "16B⁰"), =HYPERLINK("CSG0.html#group8H0", "8H⁰"), =HYPERLINK("CSG3.html#group48C3", "48C³"), =HYPERLINK("CSG0.html#group12A0", "12A⁰"), =HYPERLINK("CSG0.html#group24A0", "24A⁰"), =HYPERLINK("CSG0.html#group4A0", "4A⁰"), =HYPERLINK("CSG1.html#group24C1", "24C¹"), =HYPERLINK("CSG1.html#group32B1", "32B¹"), =HYPERLINK("CSG1.html#group12J1", "12J¹"), =HYPERLINK("CSG0.html#group4F0", "4F⁰"), =HYPERLINK("CSG1.html#group16F1", "16F¹"), =HYPERLINK("CSG0.html#group3A0", "3A⁰"), =HYPERLINK("CSG3.html#group32L3", "32L³"), =HYPERLINK("CSG3.html#group96A3", "96A³"), =HYPERLINK("CSG0.html#group6D0", "6D⁰")</f>
        <v/>
      </c>
      <c r="N2850" t="inlineStr"/>
    </row>
    <row r="2851">
      <c r="A2851" t="inlineStr">
        <is>
          <t>96J¹¹</t>
        </is>
      </c>
      <c r="B2851" t="inlineStr"/>
      <c r="C2851" t="inlineStr">
        <is>
          <t>288</t>
        </is>
      </c>
      <c r="D2851" t="inlineStr">
        <is>
          <t>1</t>
        </is>
      </c>
      <c r="E2851" t="inlineStr">
        <is>
          <t>12</t>
        </is>
      </c>
      <c r="F2851" t="inlineStr">
        <is>
          <t>48</t>
        </is>
      </c>
      <c r="G2851" t="inlineStr">
        <is>
          <t>0</t>
        </is>
      </c>
      <c r="H2851" t="inlineStr">
        <is>
          <t>48², 96²</t>
        </is>
      </c>
      <c r="I2851" t="n">
        <v>4</v>
      </c>
      <c r="J2851" t="inlineStr">
        <is>
          <t>1⁴, 2², 4¹</t>
        </is>
      </c>
      <c r="K2851">
        <f>HYPERLINK("CSG3.html#group32N3", "32N³"), =HYPERLINK("CSG3.html#group96A3", "96A³"), =HYPERLINK("CSG5.html#group48F5", "48F⁵")</f>
        <v/>
      </c>
      <c r="L2851" t="inlineStr"/>
      <c r="M2851">
        <f>HYPERLINK("CSG5.html#group48F5", "48F⁵"), =HYPERLINK("CSG0.html#group12C0", "12C⁰"), =HYPERLINK("CSG0.html#group4C0", "4C⁰"), =HYPERLINK("CSG0.html#group8B0", "8B⁰"), =HYPERLINK("CSG0.html#group48A0", "48A⁰"), =HYPERLINK("CSG0.html#group8L0", "8L⁰"), =HYPERLINK("CSG0.html#group2B0", "2B⁰"), =HYPERLINK("CSG1.html#group16J1", "16J¹"), =HYPERLINK("CSG0.html#group1A0", "1A⁰"), =HYPERLINK("CSG3.html#group32N3", "32N³"), =HYPERLINK("CSG0.html#group16B0", "16B⁰"), =HYPERLINK("CSG1.html#group16D1", "16D¹"), =HYPERLINK("CSG3.html#group48E3", "48E³"), =HYPERLINK("CSG0.html#group24A0", "24A⁰"), =HYPERLINK("CSG2.html#group24M2", "24M²"), =HYPERLINK("CSG1.html#group32B1", "32B¹"), =HYPERLINK("CSG0.html#group3A0", "3A⁰"), =HYPERLINK("CSG3.html#group96A3", "96A³"), =HYPERLINK("CSG0.html#group6D0", "6D⁰")</f>
        <v/>
      </c>
      <c r="N2851" t="inlineStr"/>
    </row>
    <row r="2852">
      <c r="A2852" t="inlineStr">
        <is>
          <t>96K¹¹</t>
        </is>
      </c>
      <c r="B2852" t="inlineStr"/>
      <c r="C2852" t="inlineStr">
        <is>
          <t>288</t>
        </is>
      </c>
      <c r="D2852" t="inlineStr">
        <is>
          <t>1</t>
        </is>
      </c>
      <c r="E2852" t="inlineStr">
        <is>
          <t>36</t>
        </is>
      </c>
      <c r="F2852" t="inlineStr">
        <is>
          <t>48</t>
        </is>
      </c>
      <c r="G2852" t="inlineStr">
        <is>
          <t>0</t>
        </is>
      </c>
      <c r="H2852" t="inlineStr">
        <is>
          <t>48², 96²</t>
        </is>
      </c>
      <c r="I2852" t="n">
        <v>4</v>
      </c>
      <c r="J2852" t="inlineStr">
        <is>
          <t>2⁶, 4⁶</t>
        </is>
      </c>
      <c r="K2852">
        <f>HYPERLINK("CSG3.html#group48M3", "48M³"), =HYPERLINK("CSG3.html#group96A3", "96A³"), =HYPERLINK("CSG5.html#group96A5", "96A⁵")</f>
        <v/>
      </c>
      <c r="L2852" t="inlineStr"/>
      <c r="M2852">
        <f>HYPERLINK("CSG0.html#group6B0", "6B⁰"), =HYPERLINK("CSG0.html#group12C0", "12C⁰"), =HYPERLINK("CSG0.html#group3A0", "3A⁰"), =HYPERLINK("CSG5.html#group96A5", "96A⁵"), =HYPERLINK("CSG0.html#group4C0", "4C⁰"), =HYPERLINK("CSG1.html#group24D1", "24D¹"), =HYPERLINK("CSG0.html#group8B0", "8B⁰"), =HYPERLINK("CSG0.html#group48A0", "48A⁰"), =HYPERLINK("CSG0.html#group2B0", "2B⁰"), =HYPERLINK("CSG0.html#group1A0", "1A⁰"), =HYPERLINK("CSG0.html#group16B0", "16B⁰"), =HYPERLINK("CSG3.html#group48M3", "48M³"), =HYPERLINK("CSG0.html#group24A0", "24A⁰"), =HYPERLINK("CSG2.html#group48A2", "48A²"), =HYPERLINK("CSG1.html#group32B1", "32B¹"), =HYPERLINK("CSG0.html#group12D0", "12D⁰"), =HYPERLINK("CSG0.html#group6H0", "6H⁰"), =HYPERLINK("CSG0.html#group12H0", "12H⁰"), =HYPERLINK("CSG1.html#group24H1", "24H¹"), =HYPERLINK("CSG3.html#group96A3", "96A³"), =HYPERLINK("CSG0.html#group6D0", "6D⁰")</f>
        <v/>
      </c>
      <c r="N2852" t="inlineStr"/>
    </row>
    <row r="2853">
      <c r="A2853" t="inlineStr">
        <is>
          <t>99A¹¹</t>
        </is>
      </c>
      <c r="B2853" t="inlineStr"/>
      <c r="C2853" t="inlineStr">
        <is>
          <t>132</t>
        </is>
      </c>
      <c r="D2853" t="inlineStr">
        <is>
          <t>2</t>
        </is>
      </c>
      <c r="E2853" t="inlineStr">
        <is>
          <t>44</t>
        </is>
      </c>
      <c r="F2853" t="inlineStr">
        <is>
          <t>0</t>
        </is>
      </c>
      <c r="G2853" t="inlineStr">
        <is>
          <t>0</t>
        </is>
      </c>
      <c r="H2853" t="inlineStr">
        <is>
          <t>33¹, 99¹</t>
        </is>
      </c>
      <c r="I2853" t="n">
        <v>2</v>
      </c>
      <c r="J2853" t="inlineStr">
        <is>
          <t>2², 4¹, 10⁴, 20²</t>
        </is>
      </c>
      <c r="K2853">
        <f>HYPERLINK("CSG1.html#group9A1", "9A¹"), =HYPERLINK("CSG3.html#group33B3", "33B³")</f>
        <v/>
      </c>
      <c r="L2853">
        <f>HYPERLINK("CSG22.html#group198A22", "198A²²")</f>
        <v/>
      </c>
      <c r="M2853">
        <f>HYPERLINK("CSG0.html#group11A0", "11A⁰"), =HYPERLINK("CSG0.html#group3B0", "3B⁰"), =HYPERLINK("CSG0.html#group1A0", "1A⁰"), =HYPERLINK("CSG3.html#group33B3", "33B³"), =HYPERLINK("CSG1.html#group9A1", "9A¹")</f>
        <v/>
      </c>
      <c r="N2853">
        <f>HYPERLINK("CSG22.html#group198A22", "198A²²")</f>
        <v/>
      </c>
    </row>
    <row r="2854">
      <c r="A2854" t="inlineStr">
        <is>
          <t>99B¹¹</t>
        </is>
      </c>
      <c r="B2854" t="inlineStr"/>
      <c r="C2854" t="inlineStr">
        <is>
          <t>144</t>
        </is>
      </c>
      <c r="D2854" t="inlineStr">
        <is>
          <t>1</t>
        </is>
      </c>
      <c r="E2854" t="inlineStr">
        <is>
          <t>48</t>
        </is>
      </c>
      <c r="F2854" t="inlineStr">
        <is>
          <t>0</t>
        </is>
      </c>
      <c r="G2854" t="inlineStr">
        <is>
          <t>0</t>
        </is>
      </c>
      <c r="H2854" t="inlineStr">
        <is>
          <t>3¹, 9¹, 33¹, 99¹</t>
        </is>
      </c>
      <c r="I2854" t="n">
        <v>4</v>
      </c>
      <c r="J2854" t="inlineStr">
        <is>
          <t>1⁴, 2², 10², 20¹</t>
        </is>
      </c>
      <c r="K2854">
        <f>HYPERLINK("CSG0.html#group9C0", "9C⁰"), =HYPERLINK("CSG3.html#group33C3", "33C³")</f>
        <v/>
      </c>
      <c r="L2854">
        <f>HYPERLINK("CSG21.html#group99A21", "99A²¹"), =HYPERLINK("CSG23.html#group198A23", "198A²³"), =HYPERLINK("CSG23.html#group198C23", "198C²³")</f>
        <v/>
      </c>
      <c r="M2854">
        <f>HYPERLINK("CSG0.html#group3B0", "3B⁰"), =HYPERLINK("CSG0.html#group9C0", "9C⁰"), =HYPERLINK("CSG0.html#group1A0", "1A⁰"), =HYPERLINK("CSG1.html#group11A1", "11A¹"), =HYPERLINK("CSG3.html#group33C3", "33C³")</f>
        <v/>
      </c>
      <c r="N2854">
        <f>HYPERLINK("CSG23.html#group198C23", "198C²³"), =HYPERLINK("CSG21.html#group99A21", "99A²¹"), =HYPERLINK("CSG23.html#group198A23", "198A²³")</f>
        <v/>
      </c>
    </row>
    <row r="2855">
      <c r="A2855" t="inlineStr">
        <is>
          <t>99C¹¹</t>
        </is>
      </c>
      <c r="B2855" t="inlineStr"/>
      <c r="C2855" t="inlineStr">
        <is>
          <t>144</t>
        </is>
      </c>
      <c r="D2855" t="inlineStr">
        <is>
          <t>1</t>
        </is>
      </c>
      <c r="E2855" t="inlineStr">
        <is>
          <t>48</t>
        </is>
      </c>
      <c r="F2855" t="inlineStr">
        <is>
          <t>0</t>
        </is>
      </c>
      <c r="G2855" t="inlineStr">
        <is>
          <t>0</t>
        </is>
      </c>
      <c r="H2855" t="inlineStr">
        <is>
          <t>3¹, 9¹, 33¹, 99¹</t>
        </is>
      </c>
      <c r="I2855" t="n">
        <v>4</v>
      </c>
      <c r="J2855" t="inlineStr">
        <is>
          <t>1⁴, 2², 10², 20¹</t>
        </is>
      </c>
      <c r="K2855">
        <f>HYPERLINK("CSG1.html#group9A1", "9A¹"), =HYPERLINK("CSG3.html#group33C3", "33C³")</f>
        <v/>
      </c>
      <c r="L2855">
        <f>HYPERLINK("CSG21.html#group99B21", "99B²¹"), =HYPERLINK("CSG23.html#group198B23", "198B²³"), =HYPERLINK("CSG23.html#group198D23", "198D²³")</f>
        <v/>
      </c>
      <c r="M2855">
        <f>HYPERLINK("CSG0.html#group3B0", "3B⁰"), =HYPERLINK("CSG0.html#group1A0", "1A⁰"), =HYPERLINK("CSG1.html#group11A1", "11A¹"), =HYPERLINK("CSG1.html#group9A1", "9A¹"), =HYPERLINK("CSG3.html#group33C3", "33C³")</f>
        <v/>
      </c>
      <c r="N2855">
        <f>HYPERLINK("CSG21.html#group99B21", "99B²¹"), =HYPERLINK("CSG23.html#group198D23", "198D²³"), =HYPERLINK("CSG23.html#group198B23", "198B²³")</f>
        <v/>
      </c>
    </row>
    <row r="2856">
      <c r="A2856" t="inlineStr">
        <is>
          <t>102A¹¹</t>
        </is>
      </c>
      <c r="B2856" t="inlineStr"/>
      <c r="C2856" t="inlineStr">
        <is>
          <t>144</t>
        </is>
      </c>
      <c r="D2856" t="inlineStr">
        <is>
          <t>1</t>
        </is>
      </c>
      <c r="E2856" t="inlineStr">
        <is>
          <t>72</t>
        </is>
      </c>
      <c r="F2856" t="inlineStr">
        <is>
          <t>0</t>
        </is>
      </c>
      <c r="G2856" t="inlineStr">
        <is>
          <t>0</t>
        </is>
      </c>
      <c r="H2856" t="inlineStr">
        <is>
          <t>2¹, 6¹, 34¹, 102¹</t>
        </is>
      </c>
      <c r="I2856" t="n">
        <v>4</v>
      </c>
      <c r="J2856" t="inlineStr">
        <is>
          <t>1⁴, 2², 16², 32¹</t>
        </is>
      </c>
      <c r="K2856">
        <f>HYPERLINK("CSG3.html#group34A3", "34A³"), =HYPERLINK("CSG5.html#group51A5", "51A⁵")</f>
        <v/>
      </c>
      <c r="L2856">
        <f>HYPERLINK("CSG21.html#group102B21", "102B²¹"), =HYPERLINK("CSG23.html#group204D23", "204D²³")</f>
        <v/>
      </c>
      <c r="M2856">
        <f>HYPERLINK("CSG0.html#group3B0", "3B⁰"), =HYPERLINK("CSG1.html#group17A1", "17A¹"), =HYPERLINK("CSG5.html#group51A5", "51A⁵"), =HYPERLINK("CSG0.html#group1A0", "1A⁰"), =HYPERLINK("CSG3.html#group34A3", "34A³")</f>
        <v/>
      </c>
      <c r="N2856">
        <f>HYPERLINK("CSG23.html#group204D23", "204D²³"), =HYPERLINK("CSG21.html#group102B21", "102B²¹")</f>
        <v/>
      </c>
    </row>
    <row r="2857">
      <c r="A2857" t="inlineStr">
        <is>
          <t>102B¹¹</t>
        </is>
      </c>
      <c r="B2857" t="inlineStr"/>
      <c r="C2857" t="inlineStr">
        <is>
          <t>144</t>
        </is>
      </c>
      <c r="D2857" t="inlineStr">
        <is>
          <t>1</t>
        </is>
      </c>
      <c r="E2857" t="inlineStr">
        <is>
          <t>72</t>
        </is>
      </c>
      <c r="F2857" t="inlineStr">
        <is>
          <t>0</t>
        </is>
      </c>
      <c r="G2857" t="inlineStr">
        <is>
          <t>0</t>
        </is>
      </c>
      <c r="H2857" t="inlineStr">
        <is>
          <t>2¹, 6¹, 34¹, 102¹</t>
        </is>
      </c>
      <c r="I2857" t="n">
        <v>4</v>
      </c>
      <c r="J2857" t="inlineStr">
        <is>
          <t>1⁴, 2², 16², 32¹</t>
        </is>
      </c>
      <c r="K2857">
        <f>HYPERLINK("CSG0.html#group6C0", "6C⁰"), =HYPERLINK("CSG3.html#group34B3", "34B³"), =HYPERLINK("CSG5.html#group51A5", "51A⁵")</f>
        <v/>
      </c>
      <c r="L2857">
        <f>HYPERLINK("CSG21.html#group102B21", "102B²¹"), =HYPERLINK("CSG23.html#group204A23", "204A²³"), =HYPERLINK("CSG23.html#group204B23", "204B²³")</f>
        <v/>
      </c>
      <c r="M2857">
        <f>HYPERLINK("CSG0.html#group2A0", "2A⁰"), =HYPERLINK("CSG0.html#group3B0", "3B⁰"), =HYPERLINK("CSG5.html#group51A5", "51A⁵"), =HYPERLINK("CSG0.html#group6C0", "6C⁰"), =HYPERLINK("CSG1.html#group17A1", "17A¹"), =HYPERLINK("CSG3.html#group34B3", "34B³"), =HYPERLINK("CSG0.html#group1A0", "1A⁰")</f>
        <v/>
      </c>
      <c r="N2857">
        <f>HYPERLINK("CSG23.html#group204B23", "204B²³"), =HYPERLINK("CSG21.html#group102B21", "102B²¹"), =HYPERLINK("CSG23.html#group204A23", "204A²³")</f>
        <v/>
      </c>
    </row>
    <row r="2858">
      <c r="A2858" t="inlineStr">
        <is>
          <t>102C¹¹</t>
        </is>
      </c>
      <c r="B2858" t="inlineStr"/>
      <c r="C2858" t="inlineStr">
        <is>
          <t>162</t>
        </is>
      </c>
      <c r="D2858" t="inlineStr">
        <is>
          <t>1</t>
        </is>
      </c>
      <c r="E2858" t="inlineStr">
        <is>
          <t>54</t>
        </is>
      </c>
      <c r="F2858" t="inlineStr">
        <is>
          <t>6</t>
        </is>
      </c>
      <c r="G2858" t="inlineStr">
        <is>
          <t>0</t>
        </is>
      </c>
      <c r="H2858" t="inlineStr">
        <is>
          <t>3¹, 6¹, 51¹, 102¹</t>
        </is>
      </c>
      <c r="I2858" t="n">
        <v>4</v>
      </c>
      <c r="J2858" t="inlineStr">
        <is>
          <t>1⁶, 16³</t>
        </is>
      </c>
      <c r="K2858">
        <f>HYPERLINK("CSG0.html#group6D0", "6D⁰"), =HYPERLINK("CSG3.html#group34C3", "34C³"), =HYPERLINK("CSG3.html#group51A3", "51A³")</f>
        <v/>
      </c>
      <c r="L2858">
        <f>HYPERLINK("CSG21.html#group102C21", "102C²¹"), =HYPERLINK("CSG23.html#group102A23", "102A²³"), =HYPERLINK("CSG23.html#group102B23", "102B²³"), =HYPERLINK("CSG23.html#group102C23", "102C²³"), =HYPERLINK("CSG23.html#group102D23", "102D²³"), =HYPERLINK("CSG23.html#group204E23", "204E²³"), =HYPERLINK("CSG23.html#group204F23", "204F²³"), =HYPERLINK("CSG23.html#group204G23", "204G²³"), =HYPERLINK("CSG23.html#group204H23", "204H²³")</f>
        <v/>
      </c>
      <c r="M2858">
        <f>HYPERLINK("CSG3.html#group34C3", "34C³"), =HYPERLINK("CSG3.html#group51A3", "51A³"), =HYPERLINK("CSG1.html#group17A1", "17A¹"), =HYPERLINK("CSG0.html#group2B0", "2B⁰"), =HYPERLINK("CSG0.html#group3A0", "3A⁰"), =HYPERLINK("CSG0.html#group1A0", "1A⁰"), =HYPERLINK("CSG0.html#group6D0", "6D⁰")</f>
        <v/>
      </c>
      <c r="N2858">
        <f>HYPERLINK("CSG23.html#group204H23", "204H²³"), =HYPERLINK("CSG23.html#group102D23", "102D²³"), =HYPERLINK("CSG23.html#group102C23", "102C²³"), =HYPERLINK("CSG23.html#group102A23", "102A²³"), =HYPERLINK("CSG23.html#group204E23", "204E²³"), =HYPERLINK("CSG23.html#group204F23", "204F²³"), =HYPERLINK("CSG23.html#group102B23", "102B²³"), =HYPERLINK("CSG23.html#group204G23", "204G²³"), =HYPERLINK("CSG21.html#group102C21", "102C²¹")</f>
        <v/>
      </c>
    </row>
    <row r="2859">
      <c r="A2859" t="inlineStr">
        <is>
          <t>104A¹¹</t>
        </is>
      </c>
      <c r="B2859" t="inlineStr"/>
      <c r="C2859" t="inlineStr">
        <is>
          <t>168</t>
        </is>
      </c>
      <c r="D2859" t="inlineStr">
        <is>
          <t>1</t>
        </is>
      </c>
      <c r="E2859" t="inlineStr">
        <is>
          <t>42</t>
        </is>
      </c>
      <c r="F2859" t="inlineStr">
        <is>
          <t>8</t>
        </is>
      </c>
      <c r="G2859" t="inlineStr">
        <is>
          <t>0</t>
        </is>
      </c>
      <c r="H2859" t="inlineStr">
        <is>
          <t>4¹, 8¹, 52¹, 104¹</t>
        </is>
      </c>
      <c r="I2859" t="n">
        <v>4</v>
      </c>
      <c r="J2859" t="inlineStr">
        <is>
          <t>1⁶, 12³</t>
        </is>
      </c>
      <c r="K2859">
        <f>HYPERLINK("CSG5.html#group52B5", "52B⁵")</f>
        <v/>
      </c>
      <c r="L2859">
        <f>HYPERLINK("CSG21.html#group104A21", "104A²¹"), =HYPERLINK("CSG23.html#group104H23", "104H²³"), =HYPERLINK("CSG23.html#group104F23", "104F²³")</f>
        <v/>
      </c>
      <c r="M2859">
        <f>HYPERLINK("CSG0.html#group13A0", "13A⁰"), =HYPERLINK("CSG5.html#group52B5", "52B⁵"), =HYPERLINK("CSG0.html#group2B0", "2B⁰"), =HYPERLINK("CSG0.html#group1A0", "1A⁰"), =HYPERLINK("CSG2.html#group26A2", "26A²"), =HYPERLINK("CSG0.html#group4C0", "4C⁰")</f>
        <v/>
      </c>
      <c r="N2859">
        <f>HYPERLINK("CSG21.html#group104A21", "104A²¹"), =HYPERLINK("CSG23.html#group104H23", "104H²³"), =HYPERLINK("CSG23.html#group104F23", "104F²³")</f>
        <v/>
      </c>
    </row>
    <row r="2860">
      <c r="A2860" t="inlineStr">
        <is>
          <t>104B¹¹</t>
        </is>
      </c>
      <c r="B2860" t="inlineStr"/>
      <c r="C2860" t="inlineStr">
        <is>
          <t>168</t>
        </is>
      </c>
      <c r="D2860" t="inlineStr">
        <is>
          <t>1</t>
        </is>
      </c>
      <c r="E2860" t="inlineStr">
        <is>
          <t>42</t>
        </is>
      </c>
      <c r="F2860" t="inlineStr">
        <is>
          <t>8</t>
        </is>
      </c>
      <c r="G2860" t="inlineStr">
        <is>
          <t>0</t>
        </is>
      </c>
      <c r="H2860" t="inlineStr">
        <is>
          <t>4¹, 8¹, 52¹, 104¹</t>
        </is>
      </c>
      <c r="I2860" t="n">
        <v>4</v>
      </c>
      <c r="J2860" t="inlineStr">
        <is>
          <t>1⁶, 12³</t>
        </is>
      </c>
      <c r="K2860">
        <f>HYPERLINK("CSG0.html#group8B0", "8B⁰"), =HYPERLINK("CSG5.html#group52B5", "52B⁵")</f>
        <v/>
      </c>
      <c r="L2860">
        <f>HYPERLINK("CSG21.html#group104A21", "104A²¹"), =HYPERLINK("CSG23.html#group104G23", "104G²³"), =HYPERLINK("CSG23.html#group104I23", "104I²³"), =HYPERLINK("CSG23.html#group104Q23", "104Q²³"), =HYPERLINK("CSG23.html#group104R23", "104R²³"), =HYPERLINK("CSG23.html#group208A23", "208A²³"), =HYPERLINK("CSG23.html#group208B23", "208B²³")</f>
        <v/>
      </c>
      <c r="M2860">
        <f>HYPERLINK("CSG0.html#group4C0", "4C⁰"), =HYPERLINK("CSG0.html#group8B0", "8B⁰"), =HYPERLINK("CSG0.html#group13A0", "13A⁰"), =HYPERLINK("CSG5.html#group52B5", "52B⁵"), =HYPERLINK("CSG0.html#group2B0", "2B⁰"), =HYPERLINK("CSG0.html#group1A0", "1A⁰"), =HYPERLINK("CSG2.html#group26A2", "26A²")</f>
        <v/>
      </c>
      <c r="N2860">
        <f>HYPERLINK("CSG23.html#group208A23", "208A²³"), =HYPERLINK("CSG23.html#group104I23", "104I²³"), =HYPERLINK("CSG23.html#group208B23", "208B²³"), =HYPERLINK("CSG21.html#group104A21", "104A²¹"), =HYPERLINK("CSG23.html#group104R23", "104R²³"), =HYPERLINK("CSG23.html#group104G23", "104G²³"), =HYPERLINK("CSG23.html#group104Q23", "104Q²³")</f>
        <v/>
      </c>
    </row>
    <row r="2861">
      <c r="A2861" t="inlineStr">
        <is>
          <t>104C¹¹</t>
        </is>
      </c>
      <c r="B2861" t="inlineStr"/>
      <c r="C2861" t="inlineStr">
        <is>
          <t>168</t>
        </is>
      </c>
      <c r="D2861" t="inlineStr">
        <is>
          <t>1</t>
        </is>
      </c>
      <c r="E2861" t="inlineStr">
        <is>
          <t>84</t>
        </is>
      </c>
      <c r="F2861" t="inlineStr">
        <is>
          <t>0</t>
        </is>
      </c>
      <c r="G2861" t="inlineStr">
        <is>
          <t>0</t>
        </is>
      </c>
      <c r="H2861" t="inlineStr">
        <is>
          <t>1², 2¹, 8¹, 13², 26¹, 104¹</t>
        </is>
      </c>
      <c r="I2861" t="n">
        <v>8</v>
      </c>
      <c r="J2861" t="inlineStr">
        <is>
          <t>1⁸, 2², 12⁴, 24¹</t>
        </is>
      </c>
      <c r="K2861">
        <f>HYPERLINK("CSG5.html#group52A5", "52A⁵")</f>
        <v/>
      </c>
      <c r="L2861">
        <f>HYPERLINK("CSG21.html#group104B21", "104B²¹"), =HYPERLINK("CSG23.html#group104B23", "104B²³"), =HYPERLINK("CSG23.html#group104E23", "104E²³"), =HYPERLINK("CSG23.html#group208I23", "208I²³")</f>
        <v/>
      </c>
      <c r="M2861">
        <f>HYPERLINK("CSG5.html#group52A5", "52A⁵"), =HYPERLINK("CSG0.html#group13A0", "13A⁰"), =HYPERLINK("CSG0.html#group2B0", "2B⁰"), =HYPERLINK("CSG0.html#group4B0", "4B⁰"), =HYPERLINK("CSG0.html#group1A0", "1A⁰"), =HYPERLINK("CSG2.html#group26A2", "26A²")</f>
        <v/>
      </c>
      <c r="N2861">
        <f>HYPERLINK("CSG23.html#group208I23", "208I²³"), =HYPERLINK("CSG23.html#group104E23", "104E²³"), =HYPERLINK("CSG21.html#group104B21", "104B²¹"), =HYPERLINK("CSG23.html#group104B23", "104B²³")</f>
        <v/>
      </c>
    </row>
    <row r="2862">
      <c r="A2862" t="inlineStr">
        <is>
          <t>104D¹¹</t>
        </is>
      </c>
      <c r="B2862" t="inlineStr">
        <is>
          <t>Γ₀(104)</t>
        </is>
      </c>
      <c r="C2862" t="inlineStr">
        <is>
          <t>168</t>
        </is>
      </c>
      <c r="D2862" t="inlineStr">
        <is>
          <t>1</t>
        </is>
      </c>
      <c r="E2862" t="inlineStr">
        <is>
          <t>84</t>
        </is>
      </c>
      <c r="F2862" t="inlineStr">
        <is>
          <t>0</t>
        </is>
      </c>
      <c r="G2862" t="inlineStr">
        <is>
          <t>0</t>
        </is>
      </c>
      <c r="H2862" t="inlineStr">
        <is>
          <t>1², 2¹, 8¹, 13², 26¹, 104¹</t>
        </is>
      </c>
      <c r="I2862" t="n">
        <v>8</v>
      </c>
      <c r="J2862" t="inlineStr">
        <is>
          <t>1⁸, 2², 12⁴, 24¹</t>
        </is>
      </c>
      <c r="K2862">
        <f>HYPERLINK("CSG0.html#group8C0", "8C⁰"), =HYPERLINK("CSG5.html#group52A5", "52A⁵")</f>
        <v/>
      </c>
      <c r="L2862">
        <f>HYPERLINK("CSG21.html#group104B21", "104B²¹"), =HYPERLINK("CSG23.html#group104C23", "104C²³"), =HYPERLINK("CSG23.html#group104E23", "104E²³"), =HYPERLINK("CSG23.html#group104K23", "104K²³"), =HYPERLINK("CSG23.html#group104L23", "104L²³"), =HYPERLINK("CSG23.html#group208C23", "208C²³"), =HYPERLINK("CSG23.html#group208D23", "208D²³"), =HYPERLINK("CSG23.html#group208E23", "208E²³"), =HYPERLINK("CSG23.html#group208F23", "208F²³")</f>
        <v/>
      </c>
      <c r="M2862">
        <f>HYPERLINK("CSG5.html#group52A5", "52A⁵"), =HYPERLINK("CSG0.html#group13A0", "13A⁰"), =HYPERLINK("CSG0.html#group8C0", "8C⁰"), =HYPERLINK("CSG0.html#group2B0", "2B⁰"), =HYPERLINK("CSG0.html#group4B0", "4B⁰"), =HYPERLINK("CSG0.html#group1A0", "1A⁰"), =HYPERLINK("CSG2.html#group26A2", "26A²")</f>
        <v/>
      </c>
      <c r="N2862">
        <f>HYPERLINK("CSG23.html#group104C23", "104C²³"), =HYPERLINK("CSG23.html#group208C23", "208C²³"), =HYPERLINK("CSG23.html#group104E23", "104E²³"), =HYPERLINK("CSG21.html#group104B21", "104B²¹"), =HYPERLINK("CSG23.html#group104K23", "104K²³"), =HYPERLINK("CSG23.html#group208D23", "208D²³"), =HYPERLINK("CSG23.html#group208E23", "208E²³"), =HYPERLINK("CSG23.html#group208F23", "208F²³"), =HYPERLINK("CSG23.html#group104L23", "104L²³")</f>
        <v/>
      </c>
    </row>
    <row r="2863">
      <c r="A2863" t="inlineStr">
        <is>
          <t>104E¹¹</t>
        </is>
      </c>
      <c r="B2863" t="inlineStr"/>
      <c r="C2863" t="inlineStr">
        <is>
          <t>168</t>
        </is>
      </c>
      <c r="D2863" t="inlineStr">
        <is>
          <t>1</t>
        </is>
      </c>
      <c r="E2863" t="inlineStr">
        <is>
          <t>84</t>
        </is>
      </c>
      <c r="F2863" t="inlineStr">
        <is>
          <t>4</t>
        </is>
      </c>
      <c r="G2863" t="inlineStr">
        <is>
          <t>0</t>
        </is>
      </c>
      <c r="H2863" t="inlineStr">
        <is>
          <t>2², 8¹, 26², 104¹</t>
        </is>
      </c>
      <c r="I2863" t="n">
        <v>6</v>
      </c>
      <c r="J2863" t="inlineStr">
        <is>
          <t>1⁴, 2⁴, 12², 24²</t>
        </is>
      </c>
      <c r="K2863">
        <f>HYPERLINK("CSG5.html#group52B5", "52B⁵")</f>
        <v/>
      </c>
      <c r="L2863">
        <f>HYPERLINK("CSG21.html#group104C21", "104C²¹"), =HYPERLINK("CSG23.html#group104B23", "104B²³"), =HYPERLINK("CSG23.html#group104D23", "104D²³"), =HYPERLINK("CSG23.html#group104H23", "104H²³"), =HYPERLINK("CSG23.html#group104G23", "104G²³")</f>
        <v/>
      </c>
      <c r="M2863">
        <f>HYPERLINK("CSG0.html#group13A0", "13A⁰"), =HYPERLINK("CSG5.html#group52B5", "52B⁵"), =HYPERLINK("CSG0.html#group2B0", "2B⁰"), =HYPERLINK("CSG0.html#group1A0", "1A⁰"), =HYPERLINK("CSG2.html#group26A2", "26A²"), =HYPERLINK("CSG0.html#group4C0", "4C⁰")</f>
        <v/>
      </c>
      <c r="N2863">
        <f>HYPERLINK("CSG23.html#group104D23", "104D²³"), =HYPERLINK("CSG23.html#group104H23", "104H²³"), =HYPERLINK("CSG21.html#group104C21", "104C²¹"), =HYPERLINK("CSG23.html#group104G23", "104G²³"), =HYPERLINK("CSG23.html#group104B23", "104B²³")</f>
        <v/>
      </c>
    </row>
    <row r="2864">
      <c r="A2864" t="inlineStr">
        <is>
          <t>104F¹¹</t>
        </is>
      </c>
      <c r="B2864" t="inlineStr"/>
      <c r="C2864" t="inlineStr">
        <is>
          <t>168</t>
        </is>
      </c>
      <c r="D2864" t="inlineStr">
        <is>
          <t>1</t>
        </is>
      </c>
      <c r="E2864" t="inlineStr">
        <is>
          <t>84</t>
        </is>
      </c>
      <c r="F2864" t="inlineStr">
        <is>
          <t>4</t>
        </is>
      </c>
      <c r="G2864" t="inlineStr">
        <is>
          <t>0</t>
        </is>
      </c>
      <c r="H2864" t="inlineStr">
        <is>
          <t>2², 8¹, 26², 104¹</t>
        </is>
      </c>
      <c r="I2864" t="n">
        <v>6</v>
      </c>
      <c r="J2864" t="inlineStr">
        <is>
          <t>1⁴, 2⁴, 12², 24²</t>
        </is>
      </c>
      <c r="K2864">
        <f>HYPERLINK("CSG0.html#group8D0", "8D⁰"), =HYPERLINK("CSG5.html#group52B5", "52B⁵")</f>
        <v/>
      </c>
      <c r="L2864">
        <f>HYPERLINK("CSG21.html#group104C21", "104C²¹"), =HYPERLINK("CSG23.html#group104C23", "104C²³"), =HYPERLINK("CSG23.html#group104D23", "104D²³"), =HYPERLINK("CSG23.html#group104F23", "104F²³"), =HYPERLINK("CSG23.html#group104I23", "104I²³"), =HYPERLINK("CSG23.html#group208G23", "208G²³"), =HYPERLINK("CSG23.html#group208H23", "208H²³")</f>
        <v/>
      </c>
      <c r="M2864">
        <f>HYPERLINK("CSG0.html#group8D0", "8D⁰"), =HYPERLINK("CSG0.html#group4C0", "4C⁰"), =HYPERLINK("CSG0.html#group13A0", "13A⁰"), =HYPERLINK("CSG5.html#group52B5", "52B⁵"), =HYPERLINK("CSG0.html#group2B0", "2B⁰"), =HYPERLINK("CSG0.html#group1A0", "1A⁰"), =HYPERLINK("CSG2.html#group26A2", "26A²")</f>
        <v/>
      </c>
      <c r="N2864">
        <f>HYPERLINK("CSG23.html#group104C23", "104C²³"), =HYPERLINK("CSG23.html#group208G23", "208G²³"), =HYPERLINK("CSG23.html#group104D23", "104D²³"), =HYPERLINK("CSG23.html#group104I23", "104I²³"), =HYPERLINK("CSG21.html#group104C21", "104C²¹"), =HYPERLINK("CSG23.html#group208H23", "208H²³"), =HYPERLINK("CSG23.html#group104F23", "104F²³")</f>
        <v/>
      </c>
    </row>
    <row r="2865">
      <c r="A2865" t="inlineStr">
        <is>
          <t>104G¹¹</t>
        </is>
      </c>
      <c r="B2865" t="inlineStr"/>
      <c r="C2865" t="inlineStr">
        <is>
          <t>168</t>
        </is>
      </c>
      <c r="D2865" t="inlineStr">
        <is>
          <t>2</t>
        </is>
      </c>
      <c r="E2865" t="inlineStr">
        <is>
          <t>42</t>
        </is>
      </c>
      <c r="F2865" t="inlineStr">
        <is>
          <t>4</t>
        </is>
      </c>
      <c r="G2865" t="inlineStr">
        <is>
          <t>0</t>
        </is>
      </c>
      <c r="H2865" t="inlineStr">
        <is>
          <t>2², 8¹, 26², 104¹</t>
        </is>
      </c>
      <c r="I2865" t="n">
        <v>6</v>
      </c>
      <c r="J2865" t="inlineStr">
        <is>
          <t>2⁶, 24³</t>
        </is>
      </c>
      <c r="K2865">
        <f>HYPERLINK("CSG4.html#group52A4", "52A⁴")</f>
        <v/>
      </c>
      <c r="L2865">
        <f>HYPERLINK("CSG21.html#group104D21", "104D²¹"), =HYPERLINK("CSG23.html#group104A23", "104A²³"), =HYPERLINK("CSG23.html#group104S23", "104S²³")</f>
        <v/>
      </c>
      <c r="M2865">
        <f>HYPERLINK("CSG0.html#group13A0", "13A⁰"), =HYPERLINK("CSG0.html#group2B0", "2B⁰"), =HYPERLINK("CSG4.html#group52A4", "52A⁴"), =HYPERLINK("CSG0.html#group1A0", "1A⁰"), =HYPERLINK("CSG2.html#group26A2", "26A²")</f>
        <v/>
      </c>
      <c r="N2865">
        <f>HYPERLINK("CSG23.html#group104A23", "104A²³"), =HYPERLINK("CSG21.html#group104D21", "104D²¹"), =HYPERLINK("CSG23.html#group104S23", "104S²³")</f>
        <v/>
      </c>
    </row>
    <row r="2866">
      <c r="A2866" t="inlineStr">
        <is>
          <t>105A¹¹</t>
        </is>
      </c>
      <c r="B2866" t="inlineStr"/>
      <c r="C2866" t="inlineStr">
        <is>
          <t>140</t>
        </is>
      </c>
      <c r="D2866" t="inlineStr">
        <is>
          <t>2</t>
        </is>
      </c>
      <c r="E2866" t="inlineStr">
        <is>
          <t>140</t>
        </is>
      </c>
      <c r="F2866" t="inlineStr">
        <is>
          <t>0</t>
        </is>
      </c>
      <c r="G2866" t="inlineStr">
        <is>
          <t>2</t>
        </is>
      </c>
      <c r="H2866" t="inlineStr">
        <is>
          <t>35¹, 105¹</t>
        </is>
      </c>
      <c r="I2866" t="n">
        <v>2</v>
      </c>
      <c r="J2866" t="inlineStr">
        <is>
          <t>2², 4¹, 6⁴, 8², 12², 16¹, 24⁴, 48²</t>
        </is>
      </c>
      <c r="K2866">
        <f>HYPERLINK("CSG1.html#group15B1", "15B¹"), =HYPERLINK("CSG2.html#group21B2", "21B²"), =HYPERLINK("CSG2.html#group35A2", "35A²")</f>
        <v/>
      </c>
      <c r="L2866">
        <f>HYPERLINK("CSG21.html#group105A21", "105A²¹"), =HYPERLINK("CSG22.html#group210A22", "210A²²"), =HYPERLINK("CSG22.html#group210B22", "210B²²")</f>
        <v/>
      </c>
      <c r="M2866">
        <f>HYPERLINK("CSG0.html#group3B0", "3B⁰"), =HYPERLINK("CSG0.html#group5A0", "5A⁰"), =HYPERLINK("CSG2.html#group21B2", "21B²"), =HYPERLINK("CSG1.html#group15B1", "15B¹"), =HYPERLINK("CSG0.html#group1A0", "1A⁰"), =HYPERLINK("CSG2.html#group35A2", "35A²"), =HYPERLINK("CSG0.html#group7A0", "7A⁰")</f>
        <v/>
      </c>
      <c r="N2866">
        <f>HYPERLINK("CSG22.html#group210A22", "210A²²"), =HYPERLINK("CSG22.html#group210B22", "210B²²"), =HYPERLINK("CSG21.html#group105A21", "105A²¹")</f>
        <v/>
      </c>
    </row>
    <row r="2867">
      <c r="A2867" t="inlineStr">
        <is>
          <t>105B¹¹</t>
        </is>
      </c>
      <c r="B2867" t="inlineStr"/>
      <c r="C2867" t="inlineStr">
        <is>
          <t>144</t>
        </is>
      </c>
      <c r="D2867" t="inlineStr">
        <is>
          <t>1</t>
        </is>
      </c>
      <c r="E2867" t="inlineStr">
        <is>
          <t>48</t>
        </is>
      </c>
      <c r="F2867" t="inlineStr">
        <is>
          <t>0</t>
        </is>
      </c>
      <c r="G2867" t="inlineStr">
        <is>
          <t>0</t>
        </is>
      </c>
      <c r="H2867" t="inlineStr">
        <is>
          <t>3¹, 15¹, 21¹, 105¹</t>
        </is>
      </c>
      <c r="I2867" t="n">
        <v>4</v>
      </c>
      <c r="J2867" t="inlineStr">
        <is>
          <t>1⁴, 4², 6², 24¹</t>
        </is>
      </c>
      <c r="K2867">
        <f>HYPERLINK("CSG0.html#group15B0", "15B⁰"), =HYPERLINK("CSG2.html#group21A2", "21A²"), =HYPERLINK("CSG3.html#group35A3", "35A³")</f>
        <v/>
      </c>
      <c r="L2867">
        <f>HYPERLINK("CSG21.html#group105B21", "105B²¹"), =HYPERLINK("CSG21.html#group105C21", "105C²¹"), =HYPERLINK("CSG21.html#group105D21", "105D²¹"), =HYPERLINK("CSG23.html#group210A23", "210A²³"), =HYPERLINK("CSG23.html#group210B23", "210B²³"), =HYPERLINK("CSG23.html#group210D23", "210D²³"), =HYPERLINK("CSG23.html#group210E23", "210E²³")</f>
        <v/>
      </c>
      <c r="M2867">
        <f>HYPERLINK("CSG0.html#group15B0", "15B⁰"), =HYPERLINK("CSG2.html#group21A2", "21A²"), =HYPERLINK("CSG0.html#group7B0", "7B⁰"), =HYPERLINK("CSG0.html#group5B0", "5B⁰"), =HYPERLINK("CSG0.html#group3A0", "3A⁰"), =HYPERLINK("CSG0.html#group1A0", "1A⁰"), =HYPERLINK("CSG3.html#group35A3", "35A³")</f>
        <v/>
      </c>
      <c r="N2867">
        <f>HYPERLINK("CSG21.html#group105C21", "105C²¹"), =HYPERLINK("CSG23.html#group210B23", "210B²³"), =HYPERLINK("CSG23.html#group210D23", "210D²³"), =HYPERLINK("CSG23.html#group210A23", "210A²³"), =HYPERLINK("CSG23.html#group210E23", "210E²³"), =HYPERLINK("CSG21.html#group105D21", "105D²¹"), =HYPERLINK("CSG21.html#group105B21", "105B²¹")</f>
        <v/>
      </c>
    </row>
    <row r="2868">
      <c r="A2868" t="inlineStr">
        <is>
          <t>105C¹¹</t>
        </is>
      </c>
      <c r="B2868" t="inlineStr"/>
      <c r="C2868" t="inlineStr">
        <is>
          <t>144</t>
        </is>
      </c>
      <c r="D2868" t="inlineStr">
        <is>
          <t>2</t>
        </is>
      </c>
      <c r="E2868" t="inlineStr">
        <is>
          <t>48</t>
        </is>
      </c>
      <c r="F2868" t="inlineStr">
        <is>
          <t>0</t>
        </is>
      </c>
      <c r="G2868" t="inlineStr">
        <is>
          <t>0</t>
        </is>
      </c>
      <c r="H2868" t="inlineStr">
        <is>
          <t>3¹, 15¹, 21¹, 105¹</t>
        </is>
      </c>
      <c r="I2868" t="n">
        <v>4</v>
      </c>
      <c r="J2868" t="inlineStr">
        <is>
          <t>2⁴, 8², 12², 48¹</t>
        </is>
      </c>
      <c r="K2868">
        <f>HYPERLINK("CSG1.html#group21A1", "21A¹"), =HYPERLINK("CSG3.html#group35A3", "35A³")</f>
        <v/>
      </c>
      <c r="L2868">
        <f>HYPERLINK("CSG21.html#group105E21", "105E²¹"), =HYPERLINK("CSG23.html#group210F23", "210F²³"), =HYPERLINK("CSG23.html#group210G23", "210G²³")</f>
        <v/>
      </c>
      <c r="M2868">
        <f>HYPERLINK("CSG0.html#group5B0", "5B⁰"), =HYPERLINK("CSG0.html#group7B0", "7B⁰"), =HYPERLINK("CSG0.html#group1A0", "1A⁰"), =HYPERLINK("CSG3.html#group35A3", "35A³"), =HYPERLINK("CSG1.html#group21A1", "21A¹")</f>
        <v/>
      </c>
      <c r="N2868">
        <f>HYPERLINK("CSG21.html#group105E21", "105E²¹"), =HYPERLINK("CSG23.html#group210G23", "210G²³"), =HYPERLINK("CSG23.html#group210F23", "210F²³")</f>
        <v/>
      </c>
    </row>
    <row r="2869">
      <c r="A2869" t="inlineStr">
        <is>
          <t>105D¹¹</t>
        </is>
      </c>
      <c r="B2869" t="inlineStr"/>
      <c r="C2869" t="inlineStr">
        <is>
          <t>160</t>
        </is>
      </c>
      <c r="D2869" t="inlineStr">
        <is>
          <t>1</t>
        </is>
      </c>
      <c r="E2869" t="inlineStr">
        <is>
          <t>160</t>
        </is>
      </c>
      <c r="F2869" t="inlineStr">
        <is>
          <t>0</t>
        </is>
      </c>
      <c r="G2869" t="inlineStr">
        <is>
          <t>4</t>
        </is>
      </c>
      <c r="H2869" t="inlineStr">
        <is>
          <t>5¹, 15¹, 35¹, 105¹</t>
        </is>
      </c>
      <c r="I2869" t="n">
        <v>4</v>
      </c>
      <c r="J2869" t="inlineStr">
        <is>
          <t>1⁴, 2², 4⁴, 6², 8², 12¹, 24², 48¹</t>
        </is>
      </c>
      <c r="K2869">
        <f>HYPERLINK("CSG1.html#group15B1", "15B¹"), =HYPERLINK("CSG1.html#group21B1", "21B¹"), =HYPERLINK("CSG2.html#group35B2", "35B²")</f>
        <v/>
      </c>
      <c r="L2869">
        <f>HYPERLINK("CSG21.html#group105F21", "105F²¹"), =HYPERLINK("CSG23.html#group210I23", "210I²³"), =HYPERLINK("CSG23.html#group210J23", "210J²³")</f>
        <v/>
      </c>
      <c r="M2869">
        <f>HYPERLINK("CSG0.html#group3B0", "3B⁰"), =HYPERLINK("CSG0.html#group5A0", "5A⁰"), =HYPERLINK("CSG1.html#group21B1", "21B¹"), =HYPERLINK("CSG0.html#group7B0", "7B⁰"), =HYPERLINK("CSG1.html#group15B1", "15B¹"), =HYPERLINK("CSG2.html#group35B2", "35B²"), =HYPERLINK("CSG0.html#group1A0", "1A⁰")</f>
        <v/>
      </c>
      <c r="N2869">
        <f>HYPERLINK("CSG23.html#group210J23", "210J²³"), =HYPERLINK("CSG21.html#group105F21", "105F²¹"), =HYPERLINK("CSG23.html#group210I23", "210I²³")</f>
        <v/>
      </c>
    </row>
    <row r="2870">
      <c r="A2870" t="inlineStr">
        <is>
          <t>108A¹¹</t>
        </is>
      </c>
      <c r="B2870" t="inlineStr"/>
      <c r="C2870" t="inlineStr">
        <is>
          <t>144</t>
        </is>
      </c>
      <c r="D2870" t="inlineStr">
        <is>
          <t>1</t>
        </is>
      </c>
      <c r="E2870" t="inlineStr">
        <is>
          <t>12</t>
        </is>
      </c>
      <c r="F2870" t="inlineStr">
        <is>
          <t>0</t>
        </is>
      </c>
      <c r="G2870" t="inlineStr">
        <is>
          <t>0</t>
        </is>
      </c>
      <c r="H2870" t="inlineStr">
        <is>
          <t>12³, 108¹</t>
        </is>
      </c>
      <c r="I2870" t="n">
        <v>4</v>
      </c>
      <c r="J2870" t="inlineStr">
        <is>
          <t>1², 2², 6¹</t>
        </is>
      </c>
      <c r="K2870">
        <f>HYPERLINK("CSG3.html#group36A3", "36A³"), =HYPERLINK("CSG5.html#group54A5", "54A⁵")</f>
        <v/>
      </c>
      <c r="L2870" t="inlineStr"/>
      <c r="M2870">
        <f>HYPERLINK("CSG0.html#group3B0", "3B⁰"), =HYPERLINK("CSG0.html#group2A0", "2A⁰"), =HYPERLINK("CSG2.html#group27A2", "27A²"), =HYPERLINK("CSG1.html#group18C1", "18C¹"), =HYPERLINK("CSG0.html#group6C0", "6C⁰"), =HYPERLINK("CSG0.html#group9B0", "9B⁰"), =HYPERLINK("CSG0.html#group1A0", "1A⁰"), =HYPERLINK("CSG5.html#group54A5", "54A⁵"), =HYPERLINK("CSG3.html#group36A3", "36A³"), =HYPERLINK("CSG0.html#group12B0", "12B⁰")</f>
        <v/>
      </c>
      <c r="N2870" t="inlineStr"/>
    </row>
    <row r="2871">
      <c r="A2871" t="inlineStr">
        <is>
          <t>108B¹¹</t>
        </is>
      </c>
      <c r="B2871" t="inlineStr"/>
      <c r="C2871" t="inlineStr">
        <is>
          <t>144</t>
        </is>
      </c>
      <c r="D2871" t="inlineStr">
        <is>
          <t>1</t>
        </is>
      </c>
      <c r="E2871" t="inlineStr">
        <is>
          <t>24</t>
        </is>
      </c>
      <c r="F2871" t="inlineStr">
        <is>
          <t>0</t>
        </is>
      </c>
      <c r="G2871" t="inlineStr">
        <is>
          <t>0</t>
        </is>
      </c>
      <c r="H2871" t="inlineStr">
        <is>
          <t>12³, 108¹</t>
        </is>
      </c>
      <c r="I2871" t="n">
        <v>4</v>
      </c>
      <c r="J2871" t="inlineStr">
        <is>
          <t>2⁶, 6²</t>
        </is>
      </c>
      <c r="K2871">
        <f>HYPERLINK("CSG3.html#group36A3", "36A³"), =HYPERLINK("CSG5.html#group54B5", "54B⁵")</f>
        <v/>
      </c>
      <c r="L2871" t="inlineStr"/>
      <c r="M2871">
        <f>HYPERLINK("CSG0.html#group3B0", "3B⁰"), =HYPERLINK("CSG0.html#group2A0", "2A⁰"), =HYPERLINK("CSG1.html#group18C1", "18C¹"), =HYPERLINK("CSG0.html#group6C0", "6C⁰"), =HYPERLINK("CSG0.html#group9B0", "9B⁰"), =HYPERLINK("CSG0.html#group1A0", "1A⁰"), =HYPERLINK("CSG5.html#group54B5", "54B⁵"), =HYPERLINK("CSG3.html#group36A3", "36A³"), =HYPERLINK("CSG0.html#group12B0", "12B⁰")</f>
        <v/>
      </c>
      <c r="N2871" t="inlineStr"/>
    </row>
    <row r="2872">
      <c r="A2872" t="inlineStr">
        <is>
          <t>108C¹¹</t>
        </is>
      </c>
      <c r="B2872" t="inlineStr"/>
      <c r="C2872" t="inlineStr">
        <is>
          <t>144</t>
        </is>
      </c>
      <c r="D2872" t="inlineStr">
        <is>
          <t>1</t>
        </is>
      </c>
      <c r="E2872" t="inlineStr">
        <is>
          <t>48</t>
        </is>
      </c>
      <c r="F2872" t="inlineStr">
        <is>
          <t>0</t>
        </is>
      </c>
      <c r="G2872" t="inlineStr">
        <is>
          <t>0</t>
        </is>
      </c>
      <c r="H2872" t="inlineStr">
        <is>
          <t>12³, 108¹</t>
        </is>
      </c>
      <c r="I2872" t="n">
        <v>4</v>
      </c>
      <c r="J2872" t="inlineStr">
        <is>
          <t>2⁴, 4⁴, 12²</t>
        </is>
      </c>
      <c r="K2872">
        <f>HYPERLINK("CSG2.html#group27A2", "27A²"), =HYPERLINK("CSG3.html#group36B3", "36B³")</f>
        <v/>
      </c>
      <c r="L2872">
        <f>HYPERLINK("CSG21.html#group108A21", "108A²¹"), =HYPERLINK("CSG23.html#group216A23", "216A²³")</f>
        <v/>
      </c>
      <c r="M2872">
        <f>HYPERLINK("CSG0.html#group3B0", "3B⁰"), =HYPERLINK("CSG0.html#group9B0", "9B⁰"), =HYPERLINK("CSG2.html#group27A2", "27A²"), =HYPERLINK("CSG3.html#group36B3", "36B³"), =HYPERLINK("CSG0.html#group1A0", "1A⁰"), =HYPERLINK("CSG0.html#group4A0", "4A⁰"), =HYPERLINK("CSG1.html#group12A1", "12A¹")</f>
        <v/>
      </c>
      <c r="N2872">
        <f>HYPERLINK("CSG21.html#group108A21", "108A²¹"), =HYPERLINK("CSG23.html#group216A23", "216A²³")</f>
        <v/>
      </c>
    </row>
    <row r="2873">
      <c r="A2873" t="inlineStr">
        <is>
          <t>108D¹¹</t>
        </is>
      </c>
      <c r="B2873" t="inlineStr"/>
      <c r="C2873" t="inlineStr">
        <is>
          <t>144</t>
        </is>
      </c>
      <c r="D2873" t="inlineStr">
        <is>
          <t>1</t>
        </is>
      </c>
      <c r="E2873" t="inlineStr">
        <is>
          <t>48</t>
        </is>
      </c>
      <c r="F2873" t="inlineStr">
        <is>
          <t>0</t>
        </is>
      </c>
      <c r="G2873" t="inlineStr">
        <is>
          <t>3</t>
        </is>
      </c>
      <c r="H2873" t="inlineStr">
        <is>
          <t>36¹, 108¹</t>
        </is>
      </c>
      <c r="I2873" t="n">
        <v>2</v>
      </c>
      <c r="J2873" t="inlineStr">
        <is>
          <t>2⁴, 4⁴, 12²</t>
        </is>
      </c>
      <c r="K2873">
        <f>HYPERLINK("CSG2.html#group27B2", "27B²"), =HYPERLINK("CSG3.html#group36C3", "36C³")</f>
        <v/>
      </c>
      <c r="L2873">
        <f>HYPERLINK("CSG21.html#group108B21", "108B²¹"), =HYPERLINK("CSG22.html#group216B22", "216B²²")</f>
        <v/>
      </c>
      <c r="M2873">
        <f>HYPERLINK("CSG0.html#group3B0", "3B⁰"), =HYPERLINK("CSG2.html#group27B2", "27B²"), =HYPERLINK("CSG0.html#group4A0", "4A⁰"), =HYPERLINK("CSG1.html#group12A1", "12A¹"), =HYPERLINK("CSG0.html#group9C0", "9C⁰"), =HYPERLINK("CSG0.html#group1A0", "1A⁰"), =HYPERLINK("CSG3.html#group36C3", "36C³")</f>
        <v/>
      </c>
      <c r="N2873">
        <f>HYPERLINK("CSG21.html#group108B21", "108B²¹"), =HYPERLINK("CSG22.html#group216B22", "216B²²")</f>
        <v/>
      </c>
    </row>
    <row r="2874">
      <c r="A2874" t="inlineStr">
        <is>
          <t>108E¹¹</t>
        </is>
      </c>
      <c r="B2874" t="inlineStr"/>
      <c r="C2874" t="inlineStr">
        <is>
          <t>216</t>
        </is>
      </c>
      <c r="D2874" t="inlineStr">
        <is>
          <t>1</t>
        </is>
      </c>
      <c r="E2874" t="inlineStr">
        <is>
          <t>36</t>
        </is>
      </c>
      <c r="F2874" t="inlineStr">
        <is>
          <t>0</t>
        </is>
      </c>
      <c r="G2874" t="inlineStr">
        <is>
          <t>0</t>
        </is>
      </c>
      <c r="H2874" t="inlineStr">
        <is>
          <t>2⁶, 4⁶, 6¹, 12¹, 54¹, 108¹</t>
        </is>
      </c>
      <c r="I2874" t="n">
        <v>16</v>
      </c>
      <c r="J2874" t="inlineStr">
        <is>
          <t>1⁶, 2⁶, 6³</t>
        </is>
      </c>
      <c r="K2874">
        <f>HYPERLINK("CSG2.html#group54B2", "54B²"), =HYPERLINK("CSG3.html#group36G3", "36G³")</f>
        <v/>
      </c>
      <c r="L2874">
        <f>HYPERLINK("CSG21.html#group108E21", "108E²¹")</f>
        <v/>
      </c>
      <c r="M2874">
        <f>HYPERLINK("CSG0.html#group3B0", "3B⁰"), =HYPERLINK("CSG2.html#group54B2", "54B²"), =HYPERLINK("CSG0.html#group18E0", "18E⁰"), =HYPERLINK("CSG1.html#group12F1", "12F¹"), =HYPERLINK("CSG0.html#group4C0", "4C⁰"), =HYPERLINK("CSG0.html#group6F0", "6F⁰"), =HYPERLINK("CSG0.html#group9B0", "9B⁰"), =HYPERLINK("CSG0.html#group27A0", "27A⁰"), =HYPERLINK("CSG0.html#group2B0", "2B⁰"), =HYPERLINK("CSG0.html#group1A0", "1A⁰"), =HYPERLINK("CSG3.html#group36G3", "36G³")</f>
        <v/>
      </c>
      <c r="N2874">
        <f>HYPERLINK("CSG21.html#group108E21", "108E²¹")</f>
        <v/>
      </c>
    </row>
    <row r="2875">
      <c r="A2875" t="inlineStr">
        <is>
          <t>110A¹¹</t>
        </is>
      </c>
      <c r="B2875" t="inlineStr"/>
      <c r="C2875" t="inlineStr">
        <is>
          <t>132</t>
        </is>
      </c>
      <c r="D2875" t="inlineStr">
        <is>
          <t>2</t>
        </is>
      </c>
      <c r="E2875" t="inlineStr">
        <is>
          <t>66</t>
        </is>
      </c>
      <c r="F2875" t="inlineStr">
        <is>
          <t>0</t>
        </is>
      </c>
      <c r="G2875" t="inlineStr">
        <is>
          <t>0</t>
        </is>
      </c>
      <c r="H2875" t="inlineStr">
        <is>
          <t>22¹, 110¹</t>
        </is>
      </c>
      <c r="I2875" t="n">
        <v>2</v>
      </c>
      <c r="J2875" t="inlineStr">
        <is>
          <t>2², 8¹, 10⁴, 40²</t>
        </is>
      </c>
      <c r="K2875">
        <f>HYPERLINK("CSG1.html#group10A1", "10A¹"), =HYPERLINK("CSG1.html#group22A1", "22A¹"), =HYPERLINK("CSG4.html#group55A4", "55A⁴")</f>
        <v/>
      </c>
      <c r="L2875">
        <f>HYPERLINK("CSG21.html#group110A21", "110A²¹")</f>
        <v/>
      </c>
      <c r="M2875">
        <f>HYPERLINK("CSG0.html#group11A0", "11A⁰"), =HYPERLINK("CSG0.html#group2A0", "2A⁰"), =HYPERLINK("CSG4.html#group55A4", "55A⁴"), =HYPERLINK("CSG1.html#group22A1", "22A¹"), =HYPERLINK("CSG0.html#group5B0", "5B⁰"), =HYPERLINK("CSG1.html#group10A1", "10A¹"), =HYPERLINK("CSG0.html#group1A0", "1A⁰")</f>
        <v/>
      </c>
      <c r="N2875">
        <f>HYPERLINK("CSG21.html#group110A21", "110A²¹")</f>
        <v/>
      </c>
    </row>
    <row r="2876">
      <c r="A2876" t="inlineStr">
        <is>
          <t>110B¹¹</t>
        </is>
      </c>
      <c r="B2876" t="inlineStr"/>
      <c r="C2876" t="inlineStr">
        <is>
          <t>144</t>
        </is>
      </c>
      <c r="D2876" t="inlineStr">
        <is>
          <t>1</t>
        </is>
      </c>
      <c r="E2876" t="inlineStr">
        <is>
          <t>72</t>
        </is>
      </c>
      <c r="F2876" t="inlineStr">
        <is>
          <t>0</t>
        </is>
      </c>
      <c r="G2876" t="inlineStr">
        <is>
          <t>0</t>
        </is>
      </c>
      <c r="H2876" t="inlineStr">
        <is>
          <t>2¹, 10¹, 22¹, 110¹</t>
        </is>
      </c>
      <c r="I2876" t="n">
        <v>4</v>
      </c>
      <c r="J2876" t="inlineStr">
        <is>
          <t>1⁴, 4², 10², 40¹</t>
        </is>
      </c>
      <c r="K2876">
        <f>HYPERLINK("CSG0.html#group10B0", "10B⁰"), =HYPERLINK("CSG5.html#group55B5", "55B⁵")</f>
        <v/>
      </c>
      <c r="L2876">
        <f>HYPERLINK("CSG21.html#group110C21", "110C²¹"), =HYPERLINK("CSG23.html#group220D23", "220D²³")</f>
        <v/>
      </c>
      <c r="M2876">
        <f>HYPERLINK("CSG0.html#group5B0", "5B⁰"), =HYPERLINK("CSG5.html#group55B5", "55B⁵"), =HYPERLINK("CSG0.html#group1A0", "1A⁰"), =HYPERLINK("CSG1.html#group11A1", "11A¹"), =HYPERLINK("CSG0.html#group10B0", "10B⁰")</f>
        <v/>
      </c>
      <c r="N2876">
        <f>HYPERLINK("CSG21.html#group110C21", "110C²¹"), =HYPERLINK("CSG23.html#group220D23", "220D²³")</f>
        <v/>
      </c>
    </row>
    <row r="2877">
      <c r="A2877" t="inlineStr">
        <is>
          <t>110C¹¹</t>
        </is>
      </c>
      <c r="B2877" t="inlineStr"/>
      <c r="C2877" t="inlineStr">
        <is>
          <t>144</t>
        </is>
      </c>
      <c r="D2877" t="inlineStr">
        <is>
          <t>1</t>
        </is>
      </c>
      <c r="E2877" t="inlineStr">
        <is>
          <t>72</t>
        </is>
      </c>
      <c r="F2877" t="inlineStr">
        <is>
          <t>0</t>
        </is>
      </c>
      <c r="G2877" t="inlineStr">
        <is>
          <t>0</t>
        </is>
      </c>
      <c r="H2877" t="inlineStr">
        <is>
          <t>2¹, 10¹, 22¹, 110¹</t>
        </is>
      </c>
      <c r="I2877" t="n">
        <v>4</v>
      </c>
      <c r="J2877" t="inlineStr">
        <is>
          <t>1⁴, 4², 10², 40¹</t>
        </is>
      </c>
      <c r="K2877">
        <f>HYPERLINK("CSG1.html#group10A1", "10A¹"), =HYPERLINK("CSG2.html#group22A2", "22A²"), =HYPERLINK("CSG5.html#group55B5", "55B⁵")</f>
        <v/>
      </c>
      <c r="L2877">
        <f>HYPERLINK("CSG21.html#group110C21", "110C²¹"), =HYPERLINK("CSG23.html#group220A23", "220A²³"), =HYPERLINK("CSG23.html#group220B23", "220B²³")</f>
        <v/>
      </c>
      <c r="M2877">
        <f>HYPERLINK("CSG0.html#group2A0", "2A⁰"), =HYPERLINK("CSG5.html#group55B5", "55B⁵"), =HYPERLINK("CSG1.html#group11A1", "11A¹"), =HYPERLINK("CSG2.html#group22A2", "22A²"), =HYPERLINK("CSG0.html#group5B0", "5B⁰"), =HYPERLINK("CSG1.html#group10A1", "10A¹"), =HYPERLINK("CSG0.html#group1A0", "1A⁰")</f>
        <v/>
      </c>
      <c r="N2877">
        <f>HYPERLINK("CSG21.html#group110C21", "110C²¹"), =HYPERLINK("CSG23.html#group220B23", "220B²³"), =HYPERLINK("CSG23.html#group220A23", "220A²³")</f>
        <v/>
      </c>
    </row>
    <row r="2878">
      <c r="A2878" t="inlineStr">
        <is>
          <t>111A¹¹</t>
        </is>
      </c>
      <c r="B2878" t="inlineStr">
        <is>
          <t>Γ₀(111)</t>
        </is>
      </c>
      <c r="C2878" t="inlineStr">
        <is>
          <t>152</t>
        </is>
      </c>
      <c r="D2878" t="inlineStr">
        <is>
          <t>1</t>
        </is>
      </c>
      <c r="E2878" t="inlineStr">
        <is>
          <t>152</t>
        </is>
      </c>
      <c r="F2878" t="inlineStr">
        <is>
          <t>0</t>
        </is>
      </c>
      <c r="G2878" t="inlineStr">
        <is>
          <t>2</t>
        </is>
      </c>
      <c r="H2878" t="inlineStr">
        <is>
          <t>1¹, 3¹, 37¹, 111¹</t>
        </is>
      </c>
      <c r="I2878" t="n">
        <v>4</v>
      </c>
      <c r="J2878" t="inlineStr">
        <is>
          <t>1⁴, 2², 36², 72¹</t>
        </is>
      </c>
      <c r="K2878">
        <f>HYPERLINK("CSG0.html#group3B0", "3B⁰"), =HYPERLINK("CSG2.html#group37A2", "37A²")</f>
        <v/>
      </c>
      <c r="L2878">
        <f>HYPERLINK("CSG21.html#group111A21", "111A²¹"), =HYPERLINK("CSG23.html#group222A23", "222A²³"), =HYPERLINK("CSG23.html#group222B23", "222B²³")</f>
        <v/>
      </c>
      <c r="M2878">
        <f>HYPERLINK("CSG2.html#group37A2", "37A²"), =HYPERLINK("CSG0.html#group3B0", "3B⁰"), =HYPERLINK("CSG0.html#group1A0", "1A⁰")</f>
        <v/>
      </c>
      <c r="N2878">
        <f>HYPERLINK("CSG23.html#group222B23", "222B²³"), =HYPERLINK("CSG21.html#group111A21", "111A²¹"), =HYPERLINK("CSG23.html#group222A23", "222A²³")</f>
        <v/>
      </c>
    </row>
    <row r="2879">
      <c r="A2879" t="inlineStr">
        <is>
          <t>112A¹¹</t>
        </is>
      </c>
      <c r="B2879" t="inlineStr"/>
      <c r="C2879" t="inlineStr">
        <is>
          <t>168</t>
        </is>
      </c>
      <c r="D2879" t="inlineStr">
        <is>
          <t>2</t>
        </is>
      </c>
      <c r="E2879" t="inlineStr">
        <is>
          <t>42</t>
        </is>
      </c>
      <c r="F2879" t="inlineStr">
        <is>
          <t>12</t>
        </is>
      </c>
      <c r="G2879" t="inlineStr">
        <is>
          <t>0</t>
        </is>
      </c>
      <c r="H2879" t="inlineStr">
        <is>
          <t>56¹, 112¹</t>
        </is>
      </c>
      <c r="I2879" t="n">
        <v>2</v>
      </c>
      <c r="J2879" t="inlineStr">
        <is>
          <t>2², 4², 6⁴, 12⁴</t>
        </is>
      </c>
      <c r="K2879">
        <f>HYPERLINK("CSG4.html#group56B4", "56B⁴")</f>
        <v/>
      </c>
      <c r="L2879">
        <f>HYPERLINK("CSG21.html#group112A21", "112A²¹"), =HYPERLINK("CSG23.html#group112C23", "112C²³"), =HYPERLINK("CSG23.html#group112E23", "112E²³"), =HYPERLINK("CSG24.html#group112S24", "112S²⁴"), =HYPERLINK("CSG24.html#group112T24", "112T²⁴"), =HYPERLINK("CSG24.html#group112O24", "112O²⁴"), =HYPERLINK("CSG24.html#group112P24", "112P²⁴")</f>
        <v/>
      </c>
      <c r="M2879">
        <f>HYPERLINK("CSG2.html#group28C2", "28C²"), =HYPERLINK("CSG1.html#group14B1", "14B¹"), =HYPERLINK("CSG0.html#group4C0", "4C⁰"), =HYPERLINK("CSG0.html#group8B0", "8B⁰"), =HYPERLINK("CSG0.html#group2B0", "2B⁰"), =HYPERLINK("CSG0.html#group1A0", "1A⁰"), =HYPERLINK("CSG0.html#group7A0", "7A⁰"), =HYPERLINK("CSG4.html#group56B4", "56B⁴")</f>
        <v/>
      </c>
      <c r="N2879">
        <f>HYPERLINK("CSG21.html#group112A21", "112A²¹"), =HYPERLINK("CSG24.html#group112P24", "112P²⁴"), =HYPERLINK("CSG24.html#group112O24", "112O²⁴"), =HYPERLINK("CSG24.html#group112S24", "112S²⁴"), =HYPERLINK("CSG23.html#group112C23", "112C²³"), =HYPERLINK("CSG23.html#group112E23", "112E²³"), =HYPERLINK("CSG24.html#group112T24", "112T²⁴")</f>
        <v/>
      </c>
    </row>
    <row r="2880">
      <c r="A2880" t="inlineStr">
        <is>
          <t>112B¹¹</t>
        </is>
      </c>
      <c r="B2880" t="inlineStr"/>
      <c r="C2880" t="inlineStr">
        <is>
          <t>168</t>
        </is>
      </c>
      <c r="D2880" t="inlineStr">
        <is>
          <t>2</t>
        </is>
      </c>
      <c r="E2880" t="inlineStr">
        <is>
          <t>42</t>
        </is>
      </c>
      <c r="F2880" t="inlineStr">
        <is>
          <t>12</t>
        </is>
      </c>
      <c r="G2880" t="inlineStr">
        <is>
          <t>0</t>
        </is>
      </c>
      <c r="H2880" t="inlineStr">
        <is>
          <t>56¹, 112¹</t>
        </is>
      </c>
      <c r="I2880" t="n">
        <v>2</v>
      </c>
      <c r="J2880" t="inlineStr">
        <is>
          <t>2², 4², 6⁴, 12⁴</t>
        </is>
      </c>
      <c r="K2880">
        <f>HYPERLINK("CSG1.html#group16B1", "16B¹"), =HYPERLINK("CSG4.html#group56B4", "56B⁴")</f>
        <v/>
      </c>
      <c r="L2880">
        <f>HYPERLINK("CSG21.html#group112B21", "112B²¹"), =HYPERLINK("CSG23.html#group112C23", "112C²³"), =HYPERLINK("CSG23.html#group112D23", "112D²³"), =HYPERLINK("CSG24.html#group112Q24", "112Q²⁴"), =HYPERLINK("CSG24.html#group112R24", "112R²⁴"), =HYPERLINK("CSG24.html#group112U24", "112U²⁴"), =HYPERLINK("CSG24.html#group112V24", "112V²⁴")</f>
        <v/>
      </c>
      <c r="M2880">
        <f>HYPERLINK("CSG2.html#group28C2", "28C²"), =HYPERLINK("CSG1.html#group14B1", "14B¹"), =HYPERLINK("CSG0.html#group4C0", "4C⁰"), =HYPERLINK("CSG0.html#group8B0", "8B⁰"), =HYPERLINK("CSG1.html#group16B1", "16B¹"), =HYPERLINK("CSG0.html#group2B0", "2B⁰"), =HYPERLINK("CSG0.html#group1A0", "1A⁰"), =HYPERLINK("CSG0.html#group7A0", "7A⁰"), =HYPERLINK("CSG4.html#group56B4", "56B⁴")</f>
        <v/>
      </c>
      <c r="N2880">
        <f>HYPERLINK("CSG23.html#group112D23", "112D²³"), =HYPERLINK("CSG21.html#group112B21", "112B²¹"), =HYPERLINK("CSG24.html#group112Q24", "112Q²⁴"), =HYPERLINK("CSG23.html#group112C23", "112C²³"), =HYPERLINK("CSG24.html#group112V24", "112V²⁴"), =HYPERLINK("CSG24.html#group112R24", "112R²⁴"), =HYPERLINK("CSG24.html#group112U24", "112U²⁴")</f>
        <v/>
      </c>
    </row>
    <row r="2881">
      <c r="A2881" t="inlineStr">
        <is>
          <t>112C¹¹</t>
        </is>
      </c>
      <c r="B2881" t="inlineStr"/>
      <c r="C2881" t="inlineStr">
        <is>
          <t>168</t>
        </is>
      </c>
      <c r="D2881" t="inlineStr">
        <is>
          <t>2</t>
        </is>
      </c>
      <c r="E2881" t="inlineStr">
        <is>
          <t>84</t>
        </is>
      </c>
      <c r="F2881" t="inlineStr">
        <is>
          <t>6</t>
        </is>
      </c>
      <c r="G2881" t="inlineStr">
        <is>
          <t>0</t>
        </is>
      </c>
      <c r="H2881" t="inlineStr">
        <is>
          <t>14⁴, 112¹</t>
        </is>
      </c>
      <c r="I2881" t="n">
        <v>5</v>
      </c>
      <c r="J2881" t="inlineStr">
        <is>
          <t>2², 4¹, 6⁴, 8², 12², 24⁴</t>
        </is>
      </c>
      <c r="K2881">
        <f>HYPERLINK("CSG5.html#group56C5", "56C⁵")</f>
        <v/>
      </c>
      <c r="L2881">
        <f>HYPERLINK("CSG22.html#group112A22", "112A²²"), =HYPERLINK("CSG23.html#group112G23", "112G²³"), =HYPERLINK("CSG23.html#group112J23", "112J²³"), =HYPERLINK("CSG24.html#group112A24", "112A²⁴"), =HYPERLINK("CSG24.html#group112I24", "112I²⁴")</f>
        <v/>
      </c>
      <c r="M2881">
        <f>HYPERLINK("CSG2.html#group28C2", "28C²"), =HYPERLINK("CSG5.html#group56C5", "56C⁵"), =HYPERLINK("CSG1.html#group14B1", "14B¹"), =HYPERLINK("CSG0.html#group8D0", "8D⁰"), =HYPERLINK("CSG0.html#group4C0", "4C⁰"), =HYPERLINK("CSG0.html#group2B0", "2B⁰"), =HYPERLINK("CSG0.html#group1A0", "1A⁰"), =HYPERLINK("CSG0.html#group7A0", "7A⁰")</f>
        <v/>
      </c>
      <c r="N2881">
        <f>HYPERLINK("CSG23.html#group112J23", "112J²³"), =HYPERLINK("CSG22.html#group112A22", "112A²²"), =HYPERLINK("CSG24.html#group112A24", "112A²⁴"), =HYPERLINK("CSG24.html#group112I24", "112I²⁴"), =HYPERLINK("CSG23.html#group112G23", "112G²³")</f>
        <v/>
      </c>
    </row>
    <row r="2882">
      <c r="A2882" t="inlineStr">
        <is>
          <t>112D¹¹</t>
        </is>
      </c>
      <c r="B2882" t="inlineStr"/>
      <c r="C2882" t="inlineStr">
        <is>
          <t>168</t>
        </is>
      </c>
      <c r="D2882" t="inlineStr">
        <is>
          <t>2</t>
        </is>
      </c>
      <c r="E2882" t="inlineStr">
        <is>
          <t>84</t>
        </is>
      </c>
      <c r="F2882" t="inlineStr">
        <is>
          <t>6</t>
        </is>
      </c>
      <c r="G2882" t="inlineStr">
        <is>
          <t>0</t>
        </is>
      </c>
      <c r="H2882" t="inlineStr">
        <is>
          <t>14⁴, 112¹</t>
        </is>
      </c>
      <c r="I2882" t="n">
        <v>5</v>
      </c>
      <c r="J2882" t="inlineStr">
        <is>
          <t>2², 4¹, 6⁴, 8², 12², 24⁴</t>
        </is>
      </c>
      <c r="K2882">
        <f>HYPERLINK("CSG0.html#group16E0", "16E⁰"), =HYPERLINK("CSG5.html#group56C5", "56C⁵")</f>
        <v/>
      </c>
      <c r="L2882">
        <f>HYPERLINK("CSG22.html#group112A22", "112A²²"), =HYPERLINK("CSG23.html#group112G23", "112G²³"), =HYPERLINK("CSG23.html#group112K23", "112K²³"), =HYPERLINK("CSG24.html#group112B24", "112B²⁴"), =HYPERLINK("CSG24.html#group112J24", "112J²⁴"), =HYPERLINK("CSG24.html#group224C24", "224C²⁴"), =HYPERLINK("CSG24.html#group224D24", "224D²⁴"), =HYPERLINK("CSG24.html#group224E24", "224E²⁴"), =HYPERLINK("CSG24.html#group224F24", "224F²⁴")</f>
        <v/>
      </c>
      <c r="M2882">
        <f>HYPERLINK("CSG2.html#group28C2", "28C²"), =HYPERLINK("CSG0.html#group16E0", "16E⁰"), =HYPERLINK("CSG5.html#group56C5", "56C⁵"), =HYPERLINK("CSG1.html#group14B1", "14B¹"), =HYPERLINK("CSG0.html#group8D0", "8D⁰"), =HYPERLINK("CSG0.html#group4C0", "4C⁰"), =HYPERLINK("CSG0.html#group2B0", "2B⁰"), =HYPERLINK("CSG0.html#group1A0", "1A⁰"), =HYPERLINK("CSG0.html#group7A0", "7A⁰")</f>
        <v/>
      </c>
      <c r="N2882">
        <f>HYPERLINK("CSG24.html#group224C24", "224C²⁴"), =HYPERLINK("CSG22.html#group112A22", "112A²²"), =HYPERLINK("CSG24.html#group224E24", "224E²⁴"), =HYPERLINK("CSG24.html#group112J24", "112J²⁴"), =HYPERLINK("CSG23.html#group112K23", "112K²³"), =HYPERLINK("CSG24.html#group112B24", "112B²⁴"), =HYPERLINK("CSG24.html#group224D24", "224D²⁴"), =HYPERLINK("CSG24.html#group224F24", "224F²⁴"), =HYPERLINK("CSG23.html#group112G23", "112G²³")</f>
        <v/>
      </c>
    </row>
    <row r="2883">
      <c r="A2883" t="inlineStr">
        <is>
          <t>112E¹¹</t>
        </is>
      </c>
      <c r="B2883" t="inlineStr"/>
      <c r="C2883" t="inlineStr">
        <is>
          <t>168</t>
        </is>
      </c>
      <c r="D2883" t="inlineStr">
        <is>
          <t>2</t>
        </is>
      </c>
      <c r="E2883" t="inlineStr">
        <is>
          <t>84</t>
        </is>
      </c>
      <c r="F2883" t="inlineStr">
        <is>
          <t>12</t>
        </is>
      </c>
      <c r="G2883" t="inlineStr">
        <is>
          <t>0</t>
        </is>
      </c>
      <c r="H2883" t="inlineStr">
        <is>
          <t>56¹, 112¹</t>
        </is>
      </c>
      <c r="I2883" t="n">
        <v>2</v>
      </c>
      <c r="J2883" t="inlineStr">
        <is>
          <t>2⁴, 4², 6⁸, 8¹, 12⁴, 24²</t>
        </is>
      </c>
      <c r="K2883">
        <f>HYPERLINK("CSG4.html#group56B4", "56B⁴")</f>
        <v/>
      </c>
      <c r="L2883">
        <f>HYPERLINK("CSG21.html#group112C21", "112C²¹"), =HYPERLINK("CSG23.html#group112L23", "112L²³"), =HYPERLINK("CSG23.html#group112N23", "112N²³"), =HYPERLINK("CSG24.html#group112K24", "112K²⁴"), =HYPERLINK("CSG24.html#group112M24", "112M²⁴"), =HYPERLINK("CSG24.html#group112N24", "112N²⁴"), =HYPERLINK("CSG24.html#group112S24", "112S²⁴"), =HYPERLINK("CSG24.html#group112T24", "112T²⁴"), =HYPERLINK("CSG24.html#group112Q24", "112Q²⁴"), =HYPERLINK("CSG24.html#group112R24", "112R²⁴")</f>
        <v/>
      </c>
      <c r="M2883">
        <f>HYPERLINK("CSG2.html#group28C2", "28C²"), =HYPERLINK("CSG1.html#group14B1", "14B¹"), =HYPERLINK("CSG0.html#group4C0", "4C⁰"), =HYPERLINK("CSG0.html#group8B0", "8B⁰"), =HYPERLINK("CSG0.html#group2B0", "2B⁰"), =HYPERLINK("CSG0.html#group1A0", "1A⁰"), =HYPERLINK("CSG0.html#group7A0", "7A⁰"), =HYPERLINK("CSG4.html#group56B4", "56B⁴")</f>
        <v/>
      </c>
      <c r="N2883">
        <f>HYPERLINK("CSG21.html#group112C21", "112C²¹"), =HYPERLINK("CSG24.html#group112Q24", "112Q²⁴"), =HYPERLINK("CSG24.html#group112S24", "112S²⁴"), =HYPERLINK("CSG23.html#group112N23", "112N²³"), =HYPERLINK("CSG24.html#group112R24", "112R²⁴"), =HYPERLINK("CSG24.html#group112T24", "112T²⁴"), =HYPERLINK("CSG24.html#group112K24", "112K²⁴"), =HYPERLINK("CSG24.html#group112N24", "112N²⁴"), =HYPERLINK("CSG23.html#group112L23", "112L²³"), =HYPERLINK("CSG24.html#group112M24", "112M²⁴")</f>
        <v/>
      </c>
    </row>
    <row r="2884">
      <c r="A2884" t="inlineStr">
        <is>
          <t>112F¹¹</t>
        </is>
      </c>
      <c r="B2884" t="inlineStr"/>
      <c r="C2884" t="inlineStr">
        <is>
          <t>168</t>
        </is>
      </c>
      <c r="D2884" t="inlineStr">
        <is>
          <t>2</t>
        </is>
      </c>
      <c r="E2884" t="inlineStr">
        <is>
          <t>84</t>
        </is>
      </c>
      <c r="F2884" t="inlineStr">
        <is>
          <t>12</t>
        </is>
      </c>
      <c r="G2884" t="inlineStr">
        <is>
          <t>0</t>
        </is>
      </c>
      <c r="H2884" t="inlineStr">
        <is>
          <t>56¹, 112¹</t>
        </is>
      </c>
      <c r="I2884" t="n">
        <v>2</v>
      </c>
      <c r="J2884" t="inlineStr">
        <is>
          <t>2⁴, 4², 6⁸, 8¹, 12⁴, 24²</t>
        </is>
      </c>
      <c r="K2884">
        <f>HYPERLINK("CSG1.html#group16D1", "16D¹"), =HYPERLINK("CSG4.html#group56B4", "56B⁴")</f>
        <v/>
      </c>
      <c r="L2884">
        <f>HYPERLINK("CSG21.html#group112D21", "112D²¹"), =HYPERLINK("CSG23.html#group112L23", "112L²³"), =HYPERLINK("CSG23.html#group112M23", "112M²³"), =HYPERLINK("CSG24.html#group112L24", "112L²⁴"), =HYPERLINK("CSG24.html#group112M24", "112M²⁴"), =HYPERLINK("CSG24.html#group112N24", "112N²⁴"), =HYPERLINK("CSG24.html#group112O24", "112O²⁴"), =HYPERLINK("CSG24.html#group112P24", "112P²⁴"), =HYPERLINK("CSG24.html#group112U24", "112U²⁴"), =HYPERLINK("CSG24.html#group112V24", "112V²⁴")</f>
        <v/>
      </c>
      <c r="M2884">
        <f>HYPERLINK("CSG2.html#group28C2", "28C²"), =HYPERLINK("CSG1.html#group16D1", "16D¹"), =HYPERLINK("CSG1.html#group14B1", "14B¹"), =HYPERLINK("CSG0.html#group4C0", "4C⁰"), =HYPERLINK("CSG0.html#group8B0", "8B⁰"), =HYPERLINK("CSG0.html#group2B0", "2B⁰"), =HYPERLINK("CSG0.html#group1A0", "1A⁰"), =HYPERLINK("CSG0.html#group7A0", "7A⁰"), =HYPERLINK("CSG4.html#group56B4", "56B⁴")</f>
        <v/>
      </c>
      <c r="N2884">
        <f>HYPERLINK("CSG24.html#group112P24", "112P²⁴"), =HYPERLINK("CSG24.html#group112L24", "112L²⁴"), =HYPERLINK("CSG21.html#group112D21", "112D²¹"), =HYPERLINK("CSG24.html#group112U24", "112U²⁴"), =HYPERLINK("CSG23.html#group112M23", "112M²³"), =HYPERLINK("CSG24.html#group112V24", "112V²⁴"), =HYPERLINK("CSG24.html#group112O24", "112O²⁴"), =HYPERLINK("CSG24.html#group112N24", "112N²⁴"), =HYPERLINK("CSG23.html#group112L23", "112L²³"), =HYPERLINK("CSG24.html#group112M24", "112M²⁴")</f>
        <v/>
      </c>
    </row>
    <row r="2885">
      <c r="A2885" t="inlineStr">
        <is>
          <t>112G¹¹</t>
        </is>
      </c>
      <c r="B2885" t="inlineStr"/>
      <c r="C2885" t="inlineStr">
        <is>
          <t>192</t>
        </is>
      </c>
      <c r="D2885" t="inlineStr">
        <is>
          <t>1</t>
        </is>
      </c>
      <c r="E2885" t="inlineStr">
        <is>
          <t>48</t>
        </is>
      </c>
      <c r="F2885" t="inlineStr">
        <is>
          <t>0</t>
        </is>
      </c>
      <c r="G2885" t="inlineStr">
        <is>
          <t>0</t>
        </is>
      </c>
      <c r="H2885" t="inlineStr">
        <is>
          <t>1⁴, 4¹, 7⁴, 16¹, 28¹, 112¹</t>
        </is>
      </c>
      <c r="I2885" t="n">
        <v>12</v>
      </c>
      <c r="J2885" t="inlineStr">
        <is>
          <t>1⁸, 2², 6⁴, 12¹</t>
        </is>
      </c>
      <c r="K2885">
        <f>HYPERLINK("CSG5.html#group56D5", "56D⁵")</f>
        <v/>
      </c>
      <c r="L2885">
        <f>HYPERLINK("CSG21.html#group112E21", "112E²¹"), =HYPERLINK("CSG23.html#group112S23", "112S²³"), =HYPERLINK("CSG23.html#group112Q23", "112Q²³")</f>
        <v/>
      </c>
      <c r="M2885">
        <f>HYPERLINK("CSG0.html#group7B0", "7B⁰"), =HYPERLINK("CSG2.html#group28D2", "28D²"), =HYPERLINK("CSG1.html#group14C1", "14C¹"), =HYPERLINK("CSG0.html#group8C0", "8C⁰"), =HYPERLINK("CSG0.html#group2B0", "2B⁰"), =HYPERLINK("CSG0.html#group4B0", "4B⁰"), =HYPERLINK("CSG5.html#group56D5", "56D⁵"), =HYPERLINK("CSG0.html#group1A0", "1A⁰")</f>
        <v/>
      </c>
      <c r="N2885">
        <f>HYPERLINK("CSG23.html#group112S23", "112S²³"), =HYPERLINK("CSG23.html#group112Q23", "112Q²³"), =HYPERLINK("CSG21.html#group112E21", "112E²¹")</f>
        <v/>
      </c>
    </row>
    <row r="2886">
      <c r="A2886" t="inlineStr">
        <is>
          <t>112H¹¹</t>
        </is>
      </c>
      <c r="B2886" t="inlineStr">
        <is>
          <t>Γ₀(112)</t>
        </is>
      </c>
      <c r="C2886" t="inlineStr">
        <is>
          <t>192</t>
        </is>
      </c>
      <c r="D2886" t="inlineStr">
        <is>
          <t>1</t>
        </is>
      </c>
      <c r="E2886" t="inlineStr">
        <is>
          <t>48</t>
        </is>
      </c>
      <c r="F2886" t="inlineStr">
        <is>
          <t>0</t>
        </is>
      </c>
      <c r="G2886" t="inlineStr">
        <is>
          <t>0</t>
        </is>
      </c>
      <c r="H2886" t="inlineStr">
        <is>
          <t>1⁴, 4¹, 7⁴, 16¹, 28¹, 112¹</t>
        </is>
      </c>
      <c r="I2886" t="n">
        <v>12</v>
      </c>
      <c r="J2886" t="inlineStr">
        <is>
          <t>1⁸, 2², 6⁴, 12¹</t>
        </is>
      </c>
      <c r="K2886">
        <f>HYPERLINK("CSG0.html#group16C0", "16C⁰"), =HYPERLINK("CSG5.html#group56D5", "56D⁵")</f>
        <v/>
      </c>
      <c r="L2886">
        <f>HYPERLINK("CSG21.html#group112E21", "112E²¹"), =HYPERLINK("CSG23.html#group112R23", "112R²³"), =HYPERLINK("CSG23.html#group112T23", "112T²³"), =HYPERLINK("CSG23.html#group224B23", "224B²³"), =HYPERLINK("CSG23.html#group224C23", "224C²³")</f>
        <v/>
      </c>
      <c r="M2886">
        <f>HYPERLINK("CSG0.html#group7B0", "7B⁰"), =HYPERLINK("CSG0.html#group16C0", "16C⁰"), =HYPERLINK("CSG2.html#group28D2", "28D²"), =HYPERLINK("CSG1.html#group14C1", "14C¹"), =HYPERLINK("CSG0.html#group8C0", "8C⁰"), =HYPERLINK("CSG0.html#group2B0", "2B⁰"), =HYPERLINK("CSG0.html#group4B0", "4B⁰"), =HYPERLINK("CSG5.html#group56D5", "56D⁵"), =HYPERLINK("CSG0.html#group1A0", "1A⁰")</f>
        <v/>
      </c>
      <c r="N2886">
        <f>HYPERLINK("CSG23.html#group112T23", "112T²³"), =HYPERLINK("CSG23.html#group112R23", "112R²³"), =HYPERLINK("CSG23.html#group224C23", "224C²³"), =HYPERLINK("CSG23.html#group224B23", "224B²³"), =HYPERLINK("CSG21.html#group112E21", "112E²¹")</f>
        <v/>
      </c>
    </row>
    <row r="2887">
      <c r="A2887" t="inlineStr">
        <is>
          <t>112I¹¹</t>
        </is>
      </c>
      <c r="B2887" t="inlineStr"/>
      <c r="C2887" t="inlineStr">
        <is>
          <t>192</t>
        </is>
      </c>
      <c r="D2887" t="inlineStr">
        <is>
          <t>1</t>
        </is>
      </c>
      <c r="E2887" t="inlineStr">
        <is>
          <t>96</t>
        </is>
      </c>
      <c r="F2887" t="inlineStr">
        <is>
          <t>0</t>
        </is>
      </c>
      <c r="G2887" t="inlineStr">
        <is>
          <t>0</t>
        </is>
      </c>
      <c r="H2887" t="inlineStr">
        <is>
          <t>1², 2³, 7², 14³, 16¹, 112¹</t>
        </is>
      </c>
      <c r="I2887" t="n">
        <v>12</v>
      </c>
      <c r="J2887" t="inlineStr">
        <is>
          <t>1⁸, 2⁴, 4², 6⁴, 12², 24¹</t>
        </is>
      </c>
      <c r="K2887">
        <f>HYPERLINK("CSG5.html#group56D5", "56D⁵")</f>
        <v/>
      </c>
      <c r="L2887">
        <f>HYPERLINK("CSG21.html#group112F21", "112F²¹"), =HYPERLINK("CSG23.html#group112O23", "112O²³"), =HYPERLINK("CSG23.html#group112S23", "112S²³"), =HYPERLINK("CSG23.html#group112R23", "112R²³"), =HYPERLINK("CSG23.html#group112U23", "112U²³")</f>
        <v/>
      </c>
      <c r="M2887">
        <f>HYPERLINK("CSG0.html#group7B0", "7B⁰"), =HYPERLINK("CSG2.html#group28D2", "28D²"), =HYPERLINK("CSG1.html#group14C1", "14C¹"), =HYPERLINK("CSG0.html#group8C0", "8C⁰"), =HYPERLINK("CSG0.html#group2B0", "2B⁰"), =HYPERLINK("CSG0.html#group4B0", "4B⁰"), =HYPERLINK("CSG5.html#group56D5", "56D⁵"), =HYPERLINK("CSG0.html#group1A0", "1A⁰")</f>
        <v/>
      </c>
      <c r="N2887">
        <f>HYPERLINK("CSG23.html#group112R23", "112R²³"), =HYPERLINK("CSG23.html#group112S23", "112S²³"), =HYPERLINK("CSG23.html#group112O23", "112O²³"), =HYPERLINK("CSG23.html#group112U23", "112U²³"), =HYPERLINK("CSG21.html#group112F21", "112F²¹")</f>
        <v/>
      </c>
    </row>
    <row r="2888">
      <c r="A2888" t="inlineStr">
        <is>
          <t>112J¹¹</t>
        </is>
      </c>
      <c r="B2888" t="inlineStr"/>
      <c r="C2888" t="inlineStr">
        <is>
          <t>192</t>
        </is>
      </c>
      <c r="D2888" t="inlineStr">
        <is>
          <t>1</t>
        </is>
      </c>
      <c r="E2888" t="inlineStr">
        <is>
          <t>96</t>
        </is>
      </c>
      <c r="F2888" t="inlineStr">
        <is>
          <t>0</t>
        </is>
      </c>
      <c r="G2888" t="inlineStr">
        <is>
          <t>0</t>
        </is>
      </c>
      <c r="H2888" t="inlineStr">
        <is>
          <t>1², 2³, 7², 14³, 16¹, 112¹</t>
        </is>
      </c>
      <c r="I2888" t="n">
        <v>12</v>
      </c>
      <c r="J2888" t="inlineStr">
        <is>
          <t>1⁸, 2⁴, 4², 6⁴, 12², 24¹</t>
        </is>
      </c>
      <c r="K2888">
        <f>HYPERLINK("CSG0.html#group16D0", "16D⁰"), =HYPERLINK("CSG5.html#group56D5", "56D⁵")</f>
        <v/>
      </c>
      <c r="L2888">
        <f>HYPERLINK("CSG21.html#group112F21", "112F²¹"), =HYPERLINK("CSG23.html#group112P23", "112P²³"), =HYPERLINK("CSG23.html#group112Q23", "112Q²³"), =HYPERLINK("CSG23.html#group112T23", "112T²³"), =HYPERLINK("CSG23.html#group112U23", "112U²³")</f>
        <v/>
      </c>
      <c r="M2888">
        <f>HYPERLINK("CSG0.html#group7B0", "7B⁰"), =HYPERLINK("CSG0.html#group16D0", "16D⁰"), =HYPERLINK("CSG2.html#group28D2", "28D²"), =HYPERLINK("CSG1.html#group14C1", "14C¹"), =HYPERLINK("CSG0.html#group8C0", "8C⁰"), =HYPERLINK("CSG0.html#group2B0", "2B⁰"), =HYPERLINK("CSG0.html#group4B0", "4B⁰"), =HYPERLINK("CSG5.html#group56D5", "56D⁵"), =HYPERLINK("CSG0.html#group1A0", "1A⁰")</f>
        <v/>
      </c>
      <c r="N2888">
        <f>HYPERLINK("CSG23.html#group112T23", "112T²³"), =HYPERLINK("CSG23.html#group112P23", "112P²³"), =HYPERLINK("CSG23.html#group112U23", "112U²³"), =HYPERLINK("CSG23.html#group112Q23", "112Q²³"), =HYPERLINK("CSG21.html#group112F21", "112F²¹")</f>
        <v/>
      </c>
    </row>
    <row r="2889">
      <c r="A2889" t="inlineStr">
        <is>
          <t>114A¹¹</t>
        </is>
      </c>
      <c r="B2889" t="inlineStr"/>
      <c r="C2889" t="inlineStr">
        <is>
          <t>160</t>
        </is>
      </c>
      <c r="D2889" t="inlineStr">
        <is>
          <t>1</t>
        </is>
      </c>
      <c r="E2889" t="inlineStr">
        <is>
          <t>80</t>
        </is>
      </c>
      <c r="F2889" t="inlineStr">
        <is>
          <t>0</t>
        </is>
      </c>
      <c r="G2889" t="inlineStr">
        <is>
          <t>4</t>
        </is>
      </c>
      <c r="H2889" t="inlineStr">
        <is>
          <t>2¹, 6¹, 38¹, 114¹</t>
        </is>
      </c>
      <c r="I2889" t="n">
        <v>4</v>
      </c>
      <c r="J2889" t="inlineStr">
        <is>
          <t>1⁴, 2², 18², 36¹</t>
        </is>
      </c>
      <c r="K2889">
        <f>HYPERLINK("CSG5.html#group57C5", "57C⁵")</f>
        <v/>
      </c>
      <c r="L2889">
        <f>HYPERLINK("CSG21.html#group114A21", "114A²¹")</f>
        <v/>
      </c>
      <c r="M2889">
        <f>HYPERLINK("CSG0.html#group3B0", "3B⁰"), =HYPERLINK("CSG0.html#group1A0", "1A⁰"), =HYPERLINK("CSG1.html#group19A1", "19A¹"), =HYPERLINK("CSG5.html#group57C5", "57C⁵")</f>
        <v/>
      </c>
      <c r="N2889">
        <f>HYPERLINK("CSG21.html#group114A21", "114A²¹")</f>
        <v/>
      </c>
    </row>
    <row r="2890">
      <c r="A2890" t="inlineStr">
        <is>
          <t>114B¹¹</t>
        </is>
      </c>
      <c r="B2890" t="inlineStr"/>
      <c r="C2890" t="inlineStr">
        <is>
          <t>160</t>
        </is>
      </c>
      <c r="D2890" t="inlineStr">
        <is>
          <t>1</t>
        </is>
      </c>
      <c r="E2890" t="inlineStr">
        <is>
          <t>80</t>
        </is>
      </c>
      <c r="F2890" t="inlineStr">
        <is>
          <t>0</t>
        </is>
      </c>
      <c r="G2890" t="inlineStr">
        <is>
          <t>4</t>
        </is>
      </c>
      <c r="H2890" t="inlineStr">
        <is>
          <t>2¹, 6¹, 38¹, 114¹</t>
        </is>
      </c>
      <c r="I2890" t="n">
        <v>4</v>
      </c>
      <c r="J2890" t="inlineStr">
        <is>
          <t>1⁴, 2², 18², 36¹</t>
        </is>
      </c>
      <c r="K2890">
        <f>HYPERLINK("CSG0.html#group6C0", "6C⁰"), =HYPERLINK("CSG2.html#group38A2", "38A²"), =HYPERLINK("CSG5.html#group57C5", "57C⁵")</f>
        <v/>
      </c>
      <c r="L2890">
        <f>HYPERLINK("CSG21.html#group114A21", "114A²¹"), =HYPERLINK("CSG23.html#group228A23", "228A²³"), =HYPERLINK("CSG23.html#group228B23", "228B²³")</f>
        <v/>
      </c>
      <c r="M2890">
        <f>HYPERLINK("CSG0.html#group3B0", "3B⁰"), =HYPERLINK("CSG1.html#group19A1", "19A¹"), =HYPERLINK("CSG0.html#group2A0", "2A⁰"), =HYPERLINK("CSG2.html#group38A2", "38A²"), =HYPERLINK("CSG0.html#group6C0", "6C⁰"), =HYPERLINK("CSG0.html#group1A0", "1A⁰"), =HYPERLINK("CSG5.html#group57C5", "57C⁵")</f>
        <v/>
      </c>
      <c r="N2890">
        <f>HYPERLINK("CSG21.html#group114A21", "114A²¹"), =HYPERLINK("CSG23.html#group228B23", "228B²³"), =HYPERLINK("CSG23.html#group228A23", "228A²³")</f>
        <v/>
      </c>
    </row>
    <row r="2891">
      <c r="A2891" t="inlineStr">
        <is>
          <t>115A¹¹</t>
        </is>
      </c>
      <c r="B2891" t="inlineStr">
        <is>
          <t>Γ₀(115)</t>
        </is>
      </c>
      <c r="C2891" t="inlineStr">
        <is>
          <t>144</t>
        </is>
      </c>
      <c r="D2891" t="inlineStr">
        <is>
          <t>1</t>
        </is>
      </c>
      <c r="E2891" t="inlineStr">
        <is>
          <t>144</t>
        </is>
      </c>
      <c r="F2891" t="inlineStr">
        <is>
          <t>0</t>
        </is>
      </c>
      <c r="G2891" t="inlineStr">
        <is>
          <t>0</t>
        </is>
      </c>
      <c r="H2891" t="inlineStr">
        <is>
          <t>1¹, 5¹, 23¹, 115¹</t>
        </is>
      </c>
      <c r="I2891" t="n">
        <v>4</v>
      </c>
      <c r="J2891" t="inlineStr">
        <is>
          <t>1⁴, 4², 22², 88¹</t>
        </is>
      </c>
      <c r="K2891">
        <f>HYPERLINK("CSG0.html#group5B0", "5B⁰"), =HYPERLINK("CSG2.html#group23A2", "23A²")</f>
        <v/>
      </c>
      <c r="L2891">
        <f>HYPERLINK("CSG21.html#group115A21", "115A²¹"), =HYPERLINK("CSG23.html#group230A23", "230A²³"), =HYPERLINK("CSG23.html#group230B23", "230B²³")</f>
        <v/>
      </c>
      <c r="M2891">
        <f>HYPERLINK("CSG0.html#group5B0", "5B⁰"), =HYPERLINK("CSG0.html#group1A0", "1A⁰"), =HYPERLINK("CSG2.html#group23A2", "23A²")</f>
        <v/>
      </c>
      <c r="N2891">
        <f>HYPERLINK("CSG23.html#group230B23", "230B²³"), =HYPERLINK("CSG23.html#group230A23", "230A²³"), =HYPERLINK("CSG21.html#group115A21", "115A²¹")</f>
        <v/>
      </c>
    </row>
    <row r="2892">
      <c r="A2892" t="inlineStr">
        <is>
          <t>117A¹¹</t>
        </is>
      </c>
      <c r="B2892" t="inlineStr">
        <is>
          <t>Γ₀(117)</t>
        </is>
      </c>
      <c r="C2892" t="inlineStr">
        <is>
          <t>168</t>
        </is>
      </c>
      <c r="D2892" t="inlineStr">
        <is>
          <t>1</t>
        </is>
      </c>
      <c r="E2892" t="inlineStr">
        <is>
          <t>56</t>
        </is>
      </c>
      <c r="F2892" t="inlineStr">
        <is>
          <t>0</t>
        </is>
      </c>
      <c r="G2892" t="inlineStr">
        <is>
          <t>0</t>
        </is>
      </c>
      <c r="H2892" t="inlineStr">
        <is>
          <t>1³, 9¹, 13³, 117¹</t>
        </is>
      </c>
      <c r="I2892" t="n">
        <v>8</v>
      </c>
      <c r="J2892" t="inlineStr">
        <is>
          <t>1⁴, 2², 12², 24¹</t>
        </is>
      </c>
      <c r="K2892">
        <f>HYPERLINK("CSG0.html#group9B0", "9B⁰"), =HYPERLINK("CSG3.html#group39A3", "39A³")</f>
        <v/>
      </c>
      <c r="L2892">
        <f>HYPERLINK("CSG21.html#group117A21", "117A²¹")</f>
        <v/>
      </c>
      <c r="M2892">
        <f>HYPERLINK("CSG0.html#group13A0", "13A⁰"), =HYPERLINK("CSG0.html#group3B0", "3B⁰"), =HYPERLINK("CSG0.html#group9B0", "9B⁰"), =HYPERLINK("CSG3.html#group39A3", "39A³"), =HYPERLINK("CSG0.html#group1A0", "1A⁰")</f>
        <v/>
      </c>
      <c r="N2892">
        <f>HYPERLINK("CSG21.html#group117A21", "117A²¹")</f>
        <v/>
      </c>
    </row>
    <row r="2893">
      <c r="A2893" t="inlineStr">
        <is>
          <t>117B¹¹</t>
        </is>
      </c>
      <c r="B2893" t="inlineStr"/>
      <c r="C2893" t="inlineStr">
        <is>
          <t>168</t>
        </is>
      </c>
      <c r="D2893" t="inlineStr">
        <is>
          <t>1</t>
        </is>
      </c>
      <c r="E2893" t="inlineStr">
        <is>
          <t>56</t>
        </is>
      </c>
      <c r="F2893" t="inlineStr">
        <is>
          <t>0</t>
        </is>
      </c>
      <c r="G2893" t="inlineStr">
        <is>
          <t>6</t>
        </is>
      </c>
      <c r="H2893" t="inlineStr">
        <is>
          <t>3¹, 9¹, 39¹, 117¹</t>
        </is>
      </c>
      <c r="I2893" t="n">
        <v>4</v>
      </c>
      <c r="J2893" t="inlineStr">
        <is>
          <t>1⁴, 2², 12², 24¹</t>
        </is>
      </c>
      <c r="K2893">
        <f>HYPERLINK("CSG0.html#group9C0", "9C⁰"), =HYPERLINK("CSG3.html#group39A3", "39A³")</f>
        <v/>
      </c>
      <c r="L2893">
        <f>HYPERLINK("CSG21.html#group117B21", "117B²¹"), =HYPERLINK("CSG23.html#group234A23", "234A²³"), =HYPERLINK("CSG23.html#group234B23", "234B²³")</f>
        <v/>
      </c>
      <c r="M2893">
        <f>HYPERLINK("CSG0.html#group13A0", "13A⁰"), =HYPERLINK("CSG0.html#group3B0", "3B⁰"), =HYPERLINK("CSG3.html#group39A3", "39A³"), =HYPERLINK("CSG0.html#group9C0", "9C⁰"), =HYPERLINK("CSG0.html#group1A0", "1A⁰")</f>
        <v/>
      </c>
      <c r="N2893">
        <f>HYPERLINK("CSG23.html#group234B23", "234B²³"), =HYPERLINK("CSG21.html#group117B21", "117B²¹"), =HYPERLINK("CSG23.html#group234A23", "234A²³")</f>
        <v/>
      </c>
    </row>
    <row r="2894">
      <c r="A2894" t="inlineStr">
        <is>
          <t>119A¹¹</t>
        </is>
      </c>
      <c r="B2894" t="inlineStr">
        <is>
          <t>Γ₀(119)</t>
        </is>
      </c>
      <c r="C2894" t="inlineStr">
        <is>
          <t>144</t>
        </is>
      </c>
      <c r="D2894" t="inlineStr">
        <is>
          <t>1</t>
        </is>
      </c>
      <c r="E2894" t="inlineStr">
        <is>
          <t>144</t>
        </is>
      </c>
      <c r="F2894" t="inlineStr">
        <is>
          <t>0</t>
        </is>
      </c>
      <c r="G2894" t="inlineStr">
        <is>
          <t>0</t>
        </is>
      </c>
      <c r="H2894" t="inlineStr">
        <is>
          <t>1¹, 7¹, 17¹, 119¹</t>
        </is>
      </c>
      <c r="I2894" t="n">
        <v>4</v>
      </c>
      <c r="J2894" t="inlineStr">
        <is>
          <t>1⁴, 6², 16², 96¹</t>
        </is>
      </c>
      <c r="K2894">
        <f>HYPERLINK("CSG0.html#group7B0", "7B⁰"), =HYPERLINK("CSG1.html#group17A1", "17A¹")</f>
        <v/>
      </c>
      <c r="L2894">
        <f>HYPERLINK("CSG21.html#group119A21", "119A²¹"), =HYPERLINK("CSG23.html#group238A23", "238A²³"), =HYPERLINK("CSG23.html#group238B23", "238B²³")</f>
        <v/>
      </c>
      <c r="M2894">
        <f>HYPERLINK("CSG1.html#group17A1", "17A¹"), =HYPERLINK("CSG0.html#group1A0", "1A⁰"), =HYPERLINK("CSG0.html#group7B0", "7B⁰")</f>
        <v/>
      </c>
      <c r="N2894">
        <f>HYPERLINK("CSG23.html#group238A23", "238A²³"), =HYPERLINK("CSG21.html#group119A21", "119A²¹"), =HYPERLINK("CSG23.html#group238B23", "238B²³")</f>
        <v/>
      </c>
    </row>
    <row r="2895">
      <c r="A2895" t="inlineStr">
        <is>
          <t>120A¹¹</t>
        </is>
      </c>
      <c r="B2895" t="inlineStr"/>
      <c r="C2895" t="inlineStr">
        <is>
          <t>216</t>
        </is>
      </c>
      <c r="D2895" t="inlineStr">
        <is>
          <t>1</t>
        </is>
      </c>
      <c r="E2895" t="inlineStr">
        <is>
          <t>18</t>
        </is>
      </c>
      <c r="F2895" t="inlineStr">
        <is>
          <t>24</t>
        </is>
      </c>
      <c r="G2895" t="inlineStr">
        <is>
          <t>0</t>
        </is>
      </c>
      <c r="H2895" t="inlineStr">
        <is>
          <t>12¹, 24¹, 60¹, 120¹</t>
        </is>
      </c>
      <c r="I2895" t="n">
        <v>4</v>
      </c>
      <c r="J2895" t="inlineStr">
        <is>
          <t>1⁶, 4³</t>
        </is>
      </c>
      <c r="K2895">
        <f>HYPERLINK("CSG3.html#group40C3", "40C³"), =HYPERLINK("CSG5.html#group60A5", "60A⁵")</f>
        <v/>
      </c>
      <c r="L2895">
        <f>HYPERLINK("CSG21.html#group120O21", "120O²¹")</f>
        <v/>
      </c>
      <c r="M2895">
        <f>HYPERLINK("CSG1.html#group20E1", "20E¹"), =HYPERLINK("CSG0.html#group12C0", "12C⁰"), =HYPERLINK("CSG0.html#group4C0", "4C⁰"), =HYPERLINK("CSG0.html#group5B0", "5B⁰"), =HYPERLINK("CSG0.html#group2B0", "2B⁰"), =HYPERLINK("CSG0.html#group1A0", "1A⁰"), =HYPERLINK("CSG3.html#group40C3", "40C³"), =HYPERLINK("CSG0.html#group15B0", "15B⁰"), =HYPERLINK("CSG2.html#group30E2", "30E²"), =HYPERLINK("CSG5.html#group60A5", "60A⁵"), =HYPERLINK("CSG0.html#group10C0", "10C⁰"), =HYPERLINK("CSG0.html#group3A0", "3A⁰"), =HYPERLINK("CSG0.html#group6D0", "6D⁰")</f>
        <v/>
      </c>
      <c r="N2895">
        <f>HYPERLINK("CSG21.html#group120O21", "120O²¹")</f>
        <v/>
      </c>
    </row>
    <row r="2896">
      <c r="A2896" t="inlineStr">
        <is>
          <t>120B¹¹</t>
        </is>
      </c>
      <c r="B2896" t="inlineStr"/>
      <c r="C2896" t="inlineStr">
        <is>
          <t>216</t>
        </is>
      </c>
      <c r="D2896" t="inlineStr">
        <is>
          <t>1</t>
        </is>
      </c>
      <c r="E2896" t="inlineStr">
        <is>
          <t>18</t>
        </is>
      </c>
      <c r="F2896" t="inlineStr">
        <is>
          <t>24</t>
        </is>
      </c>
      <c r="G2896" t="inlineStr">
        <is>
          <t>0</t>
        </is>
      </c>
      <c r="H2896" t="inlineStr">
        <is>
          <t>12¹, 24¹, 60¹, 120¹</t>
        </is>
      </c>
      <c r="I2896" t="n">
        <v>4</v>
      </c>
      <c r="J2896" t="inlineStr">
        <is>
          <t>1⁶, 4³</t>
        </is>
      </c>
      <c r="K2896">
        <f>HYPERLINK("CSG0.html#group24A0", "24A⁰"), =HYPERLINK("CSG3.html#group40D3", "40D³"), =HYPERLINK("CSG5.html#group60A5", "60A⁵")</f>
        <v/>
      </c>
      <c r="L2896">
        <f>HYPERLINK("CSG21.html#group120O21", "120O²¹"), =HYPERLINK("CSG23.html#group240A23", "240A²³"), =HYPERLINK("CSG23.html#group240B23", "240B²³")</f>
        <v/>
      </c>
      <c r="M2896">
        <f>HYPERLINK("CSG1.html#group20E1", "20E¹"), =HYPERLINK("CSG0.html#group12C0", "12C⁰"), =HYPERLINK("CSG0.html#group4C0", "4C⁰"), =HYPERLINK("CSG0.html#group8B0", "8B⁰"), =HYPERLINK("CSG0.html#group5B0", "5B⁰"), =HYPERLINK("CSG0.html#group2B0", "2B⁰"), =HYPERLINK("CSG0.html#group1A0", "1A⁰"), =HYPERLINK("CSG0.html#group15B0", "15B⁰"), =HYPERLINK("CSG2.html#group30E2", "30E²"), =HYPERLINK("CSG0.html#group24A0", "24A⁰"), =HYPERLINK("CSG5.html#group60A5", "60A⁵"), =HYPERLINK("CSG0.html#group10C0", "10C⁰"), =HYPERLINK("CSG0.html#group3A0", "3A⁰"), =HYPERLINK("CSG3.html#group40D3", "40D³"), =HYPERLINK("CSG0.html#group6D0", "6D⁰")</f>
        <v/>
      </c>
      <c r="N2896">
        <f>HYPERLINK("CSG23.html#group240A23", "240A²³"), =HYPERLINK("CSG23.html#group240B23", "240B²³"), =HYPERLINK("CSG21.html#group120O21", "120O²¹")</f>
        <v/>
      </c>
    </row>
    <row r="2897">
      <c r="A2897" t="inlineStr">
        <is>
          <t>120C¹¹</t>
        </is>
      </c>
      <c r="B2897" t="inlineStr"/>
      <c r="C2897" t="inlineStr">
        <is>
          <t>216</t>
        </is>
      </c>
      <c r="D2897" t="inlineStr">
        <is>
          <t>2</t>
        </is>
      </c>
      <c r="E2897" t="inlineStr">
        <is>
          <t>18</t>
        </is>
      </c>
      <c r="F2897" t="inlineStr">
        <is>
          <t>12</t>
        </is>
      </c>
      <c r="G2897" t="inlineStr">
        <is>
          <t>0</t>
        </is>
      </c>
      <c r="H2897" t="inlineStr">
        <is>
          <t>3⁴, 15⁴, 24¹, 120¹</t>
        </is>
      </c>
      <c r="I2897" t="n">
        <v>10</v>
      </c>
      <c r="J2897" t="inlineStr">
        <is>
          <t>2⁶, 8³</t>
        </is>
      </c>
      <c r="K2897">
        <f>HYPERLINK("CSG1.html#group40A1", "40A¹"), =HYPERLINK("CSG4.html#group60C4", "60C⁴")</f>
        <v/>
      </c>
      <c r="L2897">
        <f>HYPERLINK("CSG23.html#group120S23", "120S²³")</f>
        <v/>
      </c>
      <c r="M2897">
        <f>HYPERLINK("CSG0.html#group20A0", "20A⁰"), =HYPERLINK("CSG0.html#group15B0", "15B⁰"), =HYPERLINK("CSG1.html#group40A1", "40A¹"), =HYPERLINK("CSG2.html#group30E2", "30E²"), =HYPERLINK("CSG0.html#group5B0", "5B⁰"), =HYPERLINK("CSG0.html#group10C0", "10C⁰"), =HYPERLINK("CSG4.html#group60C4", "60C⁴"), =HYPERLINK("CSG0.html#group2B0", "2B⁰"), =HYPERLINK("CSG0.html#group3A0", "3A⁰"), =HYPERLINK("CSG0.html#group1A0", "1A⁰"), =HYPERLINK("CSG0.html#group6D0", "6D⁰")</f>
        <v/>
      </c>
      <c r="N2897">
        <f>HYPERLINK("CSG23.html#group120S23", "120S²³")</f>
        <v/>
      </c>
    </row>
    <row r="2898">
      <c r="A2898" t="inlineStr">
        <is>
          <t>120D¹¹</t>
        </is>
      </c>
      <c r="B2898" t="inlineStr"/>
      <c r="C2898" t="inlineStr">
        <is>
          <t>216</t>
        </is>
      </c>
      <c r="D2898" t="inlineStr">
        <is>
          <t>2</t>
        </is>
      </c>
      <c r="E2898" t="inlineStr">
        <is>
          <t>54</t>
        </is>
      </c>
      <c r="F2898" t="inlineStr">
        <is>
          <t>12</t>
        </is>
      </c>
      <c r="G2898" t="inlineStr">
        <is>
          <t>0</t>
        </is>
      </c>
      <c r="H2898" t="inlineStr">
        <is>
          <t>3⁴, 15⁴, 24¹, 120¹</t>
        </is>
      </c>
      <c r="I2898" t="n">
        <v>10</v>
      </c>
      <c r="J2898" t="inlineStr">
        <is>
          <t>2⁶, 4⁶, 8³, 16³</t>
        </is>
      </c>
      <c r="K2898">
        <f>HYPERLINK("CSG4.html#group60C4", "60C⁴")</f>
        <v/>
      </c>
      <c r="L2898">
        <f>HYPERLINK("CSG23.html#group120Q23", "120Q²³"), =HYPERLINK("CSG23.html#group120R23", "120R²³"), =HYPERLINK("CSG23.html#group120S23", "120S²³")</f>
        <v/>
      </c>
      <c r="M2898">
        <f>HYPERLINK("CSG0.html#group20A0", "20A⁰"), =HYPERLINK("CSG0.html#group15B0", "15B⁰"), =HYPERLINK("CSG2.html#group30E2", "30E²"), =HYPERLINK("CSG0.html#group5B0", "5B⁰"), =HYPERLINK("CSG0.html#group10C0", "10C⁰"), =HYPERLINK("CSG4.html#group60C4", "60C⁴"), =HYPERLINK("CSG0.html#group2B0", "2B⁰"), =HYPERLINK("CSG0.html#group3A0", "3A⁰"), =HYPERLINK("CSG0.html#group1A0", "1A⁰"), =HYPERLINK("CSG0.html#group6D0", "6D⁰")</f>
        <v/>
      </c>
      <c r="N2898">
        <f>HYPERLINK("CSG23.html#group120Q23", "120Q²³"), =HYPERLINK("CSG23.html#group120R23", "120R²³"), =HYPERLINK("CSG23.html#group120S23", "120S²³")</f>
        <v/>
      </c>
    </row>
    <row r="2899">
      <c r="A2899" t="inlineStr">
        <is>
          <t>126A¹¹</t>
        </is>
      </c>
      <c r="B2899" t="inlineStr"/>
      <c r="C2899" t="inlineStr">
        <is>
          <t>126</t>
        </is>
      </c>
      <c r="D2899" t="inlineStr">
        <is>
          <t>2</t>
        </is>
      </c>
      <c r="E2899" t="inlineStr">
        <is>
          <t>63</t>
        </is>
      </c>
      <c r="F2899" t="inlineStr">
        <is>
          <t>0</t>
        </is>
      </c>
      <c r="G2899" t="inlineStr">
        <is>
          <t>0</t>
        </is>
      </c>
      <c r="H2899" t="inlineStr">
        <is>
          <t>126¹</t>
        </is>
      </c>
      <c r="I2899" t="n">
        <v>1</v>
      </c>
      <c r="J2899" t="inlineStr">
        <is>
          <t>2¹, 4¹, 6², 12³, 36²</t>
        </is>
      </c>
      <c r="K2899">
        <f>HYPERLINK("CSG2.html#group18A2", "18A²"), =HYPERLINK("CSG2.html#group63A2", "63A²"), =HYPERLINK("CSG4.html#group42A4", "42A⁴")</f>
        <v/>
      </c>
      <c r="L2899">
        <f>HYPERLINK("CSG21.html#group126A21", "126A²¹"), =HYPERLINK("CSG21.html#group126C21", "126C²¹"), =HYPERLINK("CSG21.html#group126D21", "126D²¹"), =HYPERLINK("CSG21.html#group126F21", "126F²¹"), =HYPERLINK("CSG21.html#group126E21", "126E²¹"), =HYPERLINK("CSG21.html#group126G21", "126G²¹"), =HYPERLINK("CSG21.html#group126H21", "126H²¹")</f>
        <v/>
      </c>
      <c r="M2899">
        <f>HYPERLINK("CSG0.html#group2A0", "2A⁰"), =HYPERLINK("CSG0.html#group9A0", "9A⁰"), =HYPERLINK("CSG1.html#group14A1", "14A¹"), =HYPERLINK("CSG0.html#group21A0", "21A⁰"), =HYPERLINK("CSG1.html#group6A1", "6A¹"), =HYPERLINK("CSG4.html#group42A4", "42A⁴"), =HYPERLINK("CSG2.html#group18A2", "18A²"), =HYPERLINK("CSG0.html#group7A0", "7A⁰"), =HYPERLINK("CSG0.html#group3A0", "3A⁰"), =HYPERLINK("CSG0.html#group1A0", "1A⁰"), =HYPERLINK("CSG2.html#group63A2", "63A²")</f>
        <v/>
      </c>
      <c r="N2899">
        <f>HYPERLINK("CSG21.html#group126A21", "126A²¹"), =HYPERLINK("CSG21.html#group126D21", "126D²¹"), =HYPERLINK("CSG21.html#group126G21", "126G²¹"), =HYPERLINK("CSG21.html#group126F21", "126F²¹"), =HYPERLINK("CSG21.html#group126C21", "126C²¹"), =HYPERLINK("CSG21.html#group126E21", "126E²¹"), =HYPERLINK("CSG21.html#group126H21", "126H²¹")</f>
        <v/>
      </c>
    </row>
    <row r="2900">
      <c r="A2900" t="inlineStr">
        <is>
          <t>126B¹¹</t>
        </is>
      </c>
      <c r="B2900" t="inlineStr"/>
      <c r="C2900" t="inlineStr">
        <is>
          <t>192</t>
        </is>
      </c>
      <c r="D2900" t="inlineStr">
        <is>
          <t>1</t>
        </is>
      </c>
      <c r="E2900" t="inlineStr">
        <is>
          <t>32</t>
        </is>
      </c>
      <c r="F2900" t="inlineStr">
        <is>
          <t>0</t>
        </is>
      </c>
      <c r="G2900" t="inlineStr">
        <is>
          <t>12</t>
        </is>
      </c>
      <c r="H2900" t="inlineStr">
        <is>
          <t>6¹, 18¹, 42¹, 126¹</t>
        </is>
      </c>
      <c r="I2900" t="n">
        <v>4</v>
      </c>
      <c r="J2900" t="inlineStr">
        <is>
          <t>1⁴, 2², 6², 12¹</t>
        </is>
      </c>
      <c r="K2900">
        <f>HYPERLINK("CSG3.html#group42D3", "42D³"), =HYPERLINK("CSG5.html#group63B5", "63B⁵")</f>
        <v/>
      </c>
      <c r="L2900">
        <f>HYPERLINK("CSG21.html#group126S21", "126S²¹")</f>
        <v/>
      </c>
      <c r="M2900">
        <f>HYPERLINK("CSG0.html#group3B0", "3B⁰"), =HYPERLINK("CSG1.html#group21B1", "21B¹"), =HYPERLINK("CSG0.html#group7B0", "7B⁰"), =HYPERLINK("CSG3.html#group42D3", "42D³"), =HYPERLINK("CSG5.html#group63B5", "63B⁵"), =HYPERLINK("CSG0.html#group9C0", "9C⁰"), =HYPERLINK("CSG0.html#group1A0", "1A⁰")</f>
        <v/>
      </c>
      <c r="N2900">
        <f>HYPERLINK("CSG21.html#group126S21", "126S²¹")</f>
        <v/>
      </c>
    </row>
    <row r="2901">
      <c r="A2901" t="inlineStr">
        <is>
          <t>126C¹¹</t>
        </is>
      </c>
      <c r="B2901" t="inlineStr"/>
      <c r="C2901" t="inlineStr">
        <is>
          <t>192</t>
        </is>
      </c>
      <c r="D2901" t="inlineStr">
        <is>
          <t>1</t>
        </is>
      </c>
      <c r="E2901" t="inlineStr">
        <is>
          <t>32</t>
        </is>
      </c>
      <c r="F2901" t="inlineStr">
        <is>
          <t>0</t>
        </is>
      </c>
      <c r="G2901" t="inlineStr">
        <is>
          <t>12</t>
        </is>
      </c>
      <c r="H2901" t="inlineStr">
        <is>
          <t>6¹, 18¹, 42¹, 126¹</t>
        </is>
      </c>
      <c r="I2901" t="n">
        <v>4</v>
      </c>
      <c r="J2901" t="inlineStr">
        <is>
          <t>1⁴, 2², 6², 12¹</t>
        </is>
      </c>
      <c r="K2901">
        <f>HYPERLINK("CSG0.html#group18B0", "18B⁰"), =HYPERLINK("CSG3.html#group42E3", "42E³"), =HYPERLINK("CSG5.html#group63B5", "63B⁵")</f>
        <v/>
      </c>
      <c r="L2901">
        <f>HYPERLINK("CSG21.html#group126S21", "126S²¹"), =HYPERLINK("CSG23.html#group252A23", "252A²³"), =HYPERLINK("CSG23.html#group252B23", "252B²³")</f>
        <v/>
      </c>
      <c r="M2901">
        <f>HYPERLINK("CSG0.html#group3B0", "3B⁰"), =HYPERLINK("CSG0.html#group2A0", "2A⁰"), =HYPERLINK("CSG1.html#group21B1", "21B¹"), =HYPERLINK("CSG0.html#group18B0", "18B⁰"), =HYPERLINK("CSG0.html#group7B0", "7B⁰"), =HYPERLINK("CSG3.html#group42E3", "42E³"), =HYPERLINK("CSG0.html#group6C0", "6C⁰"), =HYPERLINK("CSG0.html#group14B0", "14B⁰"), =HYPERLINK("CSG5.html#group63B5", "63B⁵"), =HYPERLINK("CSG0.html#group9C0", "9C⁰"), =HYPERLINK("CSG0.html#group1A0", "1A⁰")</f>
        <v/>
      </c>
      <c r="N2901">
        <f>HYPERLINK("CSG23.html#group252B23", "252B²³"), =HYPERLINK("CSG23.html#group252A23", "252A²³"), =HYPERLINK("CSG21.html#group126S21", "126S²¹")</f>
        <v/>
      </c>
    </row>
    <row r="2902">
      <c r="A2902" t="inlineStr">
        <is>
          <t>126D¹¹</t>
        </is>
      </c>
      <c r="B2902" t="inlineStr"/>
      <c r="C2902" t="inlineStr">
        <is>
          <t>192</t>
        </is>
      </c>
      <c r="D2902" t="inlineStr">
        <is>
          <t>1</t>
        </is>
      </c>
      <c r="E2902" t="inlineStr">
        <is>
          <t>64</t>
        </is>
      </c>
      <c r="F2902" t="inlineStr">
        <is>
          <t>0</t>
        </is>
      </c>
      <c r="G2902" t="inlineStr">
        <is>
          <t>6</t>
        </is>
      </c>
      <c r="H2902" t="inlineStr">
        <is>
          <t>2³, 14³, 18¹, 126¹</t>
        </is>
      </c>
      <c r="I2902" t="n">
        <v>8</v>
      </c>
      <c r="J2902" t="inlineStr">
        <is>
          <t>2⁸, 12⁴</t>
        </is>
      </c>
      <c r="K2902">
        <f>HYPERLINK("CSG0.html#group18C0", "18C⁰"), =HYPERLINK("CSG3.html#group42E3", "42E³")</f>
        <v/>
      </c>
      <c r="L2902">
        <f>HYPERLINK("CSG21.html#group126T21", "126T²¹")</f>
        <v/>
      </c>
      <c r="M2902">
        <f>HYPERLINK("CSG0.html#group18C0", "18C⁰"), =HYPERLINK("CSG0.html#group3B0", "3B⁰"), =HYPERLINK("CSG0.html#group2A0", "2A⁰"), =HYPERLINK("CSG1.html#group21B1", "21B¹"), =HYPERLINK("CSG0.html#group7B0", "7B⁰"), =HYPERLINK("CSG3.html#group42E3", "42E³"), =HYPERLINK("CSG0.html#group6C0", "6C⁰"), =HYPERLINK("CSG0.html#group14B0", "14B⁰"), =HYPERLINK("CSG0.html#group1A0", "1A⁰")</f>
        <v/>
      </c>
      <c r="N2902">
        <f>HYPERLINK("CSG21.html#group126T21", "126T²¹")</f>
        <v/>
      </c>
    </row>
    <row r="2903">
      <c r="A2903" t="inlineStr">
        <is>
          <t>126E¹¹</t>
        </is>
      </c>
      <c r="B2903" t="inlineStr"/>
      <c r="C2903" t="inlineStr">
        <is>
          <t>192</t>
        </is>
      </c>
      <c r="D2903" t="inlineStr">
        <is>
          <t>2</t>
        </is>
      </c>
      <c r="E2903" t="inlineStr">
        <is>
          <t>32</t>
        </is>
      </c>
      <c r="F2903" t="inlineStr">
        <is>
          <t>0</t>
        </is>
      </c>
      <c r="G2903" t="inlineStr">
        <is>
          <t>6</t>
        </is>
      </c>
      <c r="H2903" t="inlineStr">
        <is>
          <t>2³, 14³, 18¹, 126¹</t>
        </is>
      </c>
      <c r="I2903" t="n">
        <v>8</v>
      </c>
      <c r="J2903" t="inlineStr">
        <is>
          <t>2⁸, 12⁴</t>
        </is>
      </c>
      <c r="K2903">
        <f>HYPERLINK("CSG3.html#group42D3", "42D³"), =HYPERLINK("CSG4.html#group63A4", "63A⁴")</f>
        <v/>
      </c>
      <c r="L2903">
        <f>HYPERLINK("CSG21.html#group126U21", "126U²¹")</f>
        <v/>
      </c>
      <c r="M2903">
        <f>HYPERLINK("CSG0.html#group3B0", "3B⁰"), =HYPERLINK("CSG3.html#group42D3", "42D³"), =HYPERLINK("CSG1.html#group21B1", "21B¹"), =HYPERLINK("CSG0.html#group1A0", "1A⁰"), =HYPERLINK("CSG0.html#group7B0", "7B⁰"), =HYPERLINK("CSG4.html#group63A4", "63A⁴")</f>
        <v/>
      </c>
      <c r="N2903">
        <f>HYPERLINK("CSG21.html#group126U21", "126U²¹")</f>
        <v/>
      </c>
    </row>
    <row r="2904">
      <c r="A2904" t="inlineStr">
        <is>
          <t>126F¹¹</t>
        </is>
      </c>
      <c r="B2904" t="inlineStr"/>
      <c r="C2904" t="inlineStr">
        <is>
          <t>192</t>
        </is>
      </c>
      <c r="D2904" t="inlineStr">
        <is>
          <t>2</t>
        </is>
      </c>
      <c r="E2904" t="inlineStr">
        <is>
          <t>32</t>
        </is>
      </c>
      <c r="F2904" t="inlineStr">
        <is>
          <t>0</t>
        </is>
      </c>
      <c r="G2904" t="inlineStr">
        <is>
          <t>6</t>
        </is>
      </c>
      <c r="H2904" t="inlineStr">
        <is>
          <t>2³, 14³, 18¹, 126¹</t>
        </is>
      </c>
      <c r="I2904" t="n">
        <v>8</v>
      </c>
      <c r="J2904" t="inlineStr">
        <is>
          <t>2⁸, 12⁴</t>
        </is>
      </c>
      <c r="K2904">
        <f>HYPERLINK("CSG3.html#group42E3", "42E³"), =HYPERLINK("CSG4.html#group63A4", "63A⁴")</f>
        <v/>
      </c>
      <c r="L2904">
        <f>HYPERLINK("CSG21.html#group126U21", "126U²¹")</f>
        <v/>
      </c>
      <c r="M2904">
        <f>HYPERLINK("CSG0.html#group3B0", "3B⁰"), =HYPERLINK("CSG0.html#group2A0", "2A⁰"), =HYPERLINK("CSG1.html#group21B1", "21B¹"), =HYPERLINK("CSG0.html#group7B0", "7B⁰"), =HYPERLINK("CSG3.html#group42E3", "42E³"), =HYPERLINK("CSG0.html#group6C0", "6C⁰"), =HYPERLINK("CSG0.html#group14B0", "14B⁰"), =HYPERLINK("CSG0.html#group1A0", "1A⁰"), =HYPERLINK("CSG4.html#group63A4", "63A⁴")</f>
        <v/>
      </c>
      <c r="N2904">
        <f>HYPERLINK("CSG21.html#group126U21", "126U²¹")</f>
        <v/>
      </c>
    </row>
    <row r="2905">
      <c r="A2905" t="inlineStr">
        <is>
          <t>128A¹¹</t>
        </is>
      </c>
      <c r="B2905" t="inlineStr"/>
      <c r="C2905" t="inlineStr">
        <is>
          <t>192</t>
        </is>
      </c>
      <c r="D2905" t="inlineStr">
        <is>
          <t>1</t>
        </is>
      </c>
      <c r="E2905" t="inlineStr">
        <is>
          <t>24</t>
        </is>
      </c>
      <c r="F2905" t="inlineStr">
        <is>
          <t>0</t>
        </is>
      </c>
      <c r="G2905" t="inlineStr">
        <is>
          <t>0</t>
        </is>
      </c>
      <c r="H2905" t="inlineStr">
        <is>
          <t>2⁸, 8², 32¹, 128¹</t>
        </is>
      </c>
      <c r="I2905" t="n">
        <v>12</v>
      </c>
      <c r="J2905" t="inlineStr">
        <is>
          <t>1⁴, 2², 4², 8¹</t>
        </is>
      </c>
      <c r="K2905">
        <f>HYPERLINK("CSG3.html#group64A3", "64A³")</f>
        <v/>
      </c>
      <c r="L2905">
        <f>HYPERLINK("CSG21.html#group128A21", "128A²¹"), =HYPERLINK("CSG21.html#group128D21", "128D²¹"), =HYPERLINK("CSG21.html#group128E21", "128E²¹")</f>
        <v/>
      </c>
      <c r="M2905">
        <f>HYPERLINK("CSG0.html#group8C0", "8C⁰"), =HYPERLINK("CSG0.html#group2B0", "2B⁰"), =HYPERLINK("CSG1.html#group32A1", "32A¹"), =HYPERLINK("CSG3.html#group64A3", "64A³"), =HYPERLINK("CSG0.html#group4B0", "4B⁰"), =HYPERLINK("CSG0.html#group1A0", "1A⁰"), =HYPERLINK("CSG0.html#group16C0", "16C⁰")</f>
        <v/>
      </c>
      <c r="N2905">
        <f>HYPERLINK("CSG21.html#group128D21", "128D²¹"), =HYPERLINK("CSG21.html#group128A21", "128A²¹"), =HYPERLINK("CSG21.html#group128E21", "128E²¹")</f>
        <v/>
      </c>
    </row>
    <row r="2906">
      <c r="A2906" t="inlineStr">
        <is>
          <t>129A¹¹</t>
        </is>
      </c>
      <c r="B2906" t="inlineStr"/>
      <c r="C2906" t="inlineStr">
        <is>
          <t>132</t>
        </is>
      </c>
      <c r="D2906" t="inlineStr">
        <is>
          <t>1</t>
        </is>
      </c>
      <c r="E2906" t="inlineStr">
        <is>
          <t>44</t>
        </is>
      </c>
      <c r="F2906" t="inlineStr">
        <is>
          <t>0</t>
        </is>
      </c>
      <c r="G2906" t="inlineStr">
        <is>
          <t>0</t>
        </is>
      </c>
      <c r="H2906" t="inlineStr">
        <is>
          <t>3¹, 129¹</t>
        </is>
      </c>
      <c r="I2906" t="n">
        <v>2</v>
      </c>
      <c r="J2906" t="inlineStr">
        <is>
          <t>1², 42¹</t>
        </is>
      </c>
      <c r="K2906">
        <f>HYPERLINK("CSG0.html#group3A0", "3A⁰"), =HYPERLINK("CSG3.html#group43A3", "43A³")</f>
        <v/>
      </c>
      <c r="L2906">
        <f>HYPERLINK("CSG21.html#group129A21", "129A²¹"), =HYPERLINK("CSG22.html#group258A22", "258A²²"), =HYPERLINK("CSG22.html#group258B22", "258B²²")</f>
        <v/>
      </c>
      <c r="M2906">
        <f>HYPERLINK("CSG0.html#group3A0", "3A⁰"), =HYPERLINK("CSG0.html#group1A0", "1A⁰"), =HYPERLINK("CSG3.html#group43A3", "43A³")</f>
        <v/>
      </c>
      <c r="N2906">
        <f>HYPERLINK("CSG21.html#group129A21", "129A²¹"), =HYPERLINK("CSG22.html#group258A22", "258A²²"), =HYPERLINK("CSG22.html#group258B22", "258B²²")</f>
        <v/>
      </c>
    </row>
    <row r="2907">
      <c r="A2907" t="inlineStr">
        <is>
          <t>130A¹¹</t>
        </is>
      </c>
      <c r="B2907" t="inlineStr"/>
      <c r="C2907" t="inlineStr">
        <is>
          <t>168</t>
        </is>
      </c>
      <c r="D2907" t="inlineStr">
        <is>
          <t>1</t>
        </is>
      </c>
      <c r="E2907" t="inlineStr">
        <is>
          <t>84</t>
        </is>
      </c>
      <c r="F2907" t="inlineStr">
        <is>
          <t>8</t>
        </is>
      </c>
      <c r="G2907" t="inlineStr">
        <is>
          <t>0</t>
        </is>
      </c>
      <c r="H2907" t="inlineStr">
        <is>
          <t>2¹, 10¹, 26¹, 130¹</t>
        </is>
      </c>
      <c r="I2907" t="n">
        <v>4</v>
      </c>
      <c r="J2907" t="inlineStr">
        <is>
          <t>1⁴, 4², 12², 48¹</t>
        </is>
      </c>
      <c r="K2907">
        <f>HYPERLINK("CSG0.html#group10B0", "10B⁰"), =HYPERLINK("CSG5.html#group65A5", "65A⁵")</f>
        <v/>
      </c>
      <c r="L2907">
        <f>HYPERLINK("CSG21.html#group130C21", "130C²¹")</f>
        <v/>
      </c>
      <c r="M2907">
        <f>HYPERLINK("CSG0.html#group5B0", "5B⁰"), =HYPERLINK("CSG0.html#group13A0", "13A⁰"), =HYPERLINK("CSG5.html#group65A5", "65A⁵"), =HYPERLINK("CSG0.html#group1A0", "1A⁰"), =HYPERLINK("CSG0.html#group10B0", "10B⁰")</f>
        <v/>
      </c>
      <c r="N2907">
        <f>HYPERLINK("CSG21.html#group130C21", "130C²¹")</f>
        <v/>
      </c>
    </row>
    <row r="2908">
      <c r="A2908" t="inlineStr">
        <is>
          <t>130B¹¹</t>
        </is>
      </c>
      <c r="B2908" t="inlineStr"/>
      <c r="C2908" t="inlineStr">
        <is>
          <t>168</t>
        </is>
      </c>
      <c r="D2908" t="inlineStr">
        <is>
          <t>1</t>
        </is>
      </c>
      <c r="E2908" t="inlineStr">
        <is>
          <t>84</t>
        </is>
      </c>
      <c r="F2908" t="inlineStr">
        <is>
          <t>8</t>
        </is>
      </c>
      <c r="G2908" t="inlineStr">
        <is>
          <t>0</t>
        </is>
      </c>
      <c r="H2908" t="inlineStr">
        <is>
          <t>2¹, 10¹, 26¹, 130¹</t>
        </is>
      </c>
      <c r="I2908" t="n">
        <v>4</v>
      </c>
      <c r="J2908" t="inlineStr">
        <is>
          <t>1⁴, 4², 12², 48¹</t>
        </is>
      </c>
      <c r="K2908">
        <f>HYPERLINK("CSG0.html#group26A0", "26A⁰"), =HYPERLINK("CSG5.html#group65A5", "65A⁵")</f>
        <v/>
      </c>
      <c r="L2908">
        <f>HYPERLINK("CSG21.html#group130C21", "130C²¹")</f>
        <v/>
      </c>
      <c r="M2908">
        <f>HYPERLINK("CSG0.html#group13A0", "13A⁰"), =HYPERLINK("CSG0.html#group5B0", "5B⁰"), =HYPERLINK("CSG0.html#group26A0", "26A⁰"), =HYPERLINK("CSG5.html#group65A5", "65A⁵"), =HYPERLINK("CSG0.html#group1A0", "1A⁰")</f>
        <v/>
      </c>
      <c r="N2908">
        <f>HYPERLINK("CSG21.html#group130C21", "130C²¹")</f>
        <v/>
      </c>
    </row>
    <row r="2909">
      <c r="A2909" t="inlineStr">
        <is>
          <t>131A¹¹</t>
        </is>
      </c>
      <c r="B2909" t="inlineStr">
        <is>
          <t>Γ₀(131)</t>
        </is>
      </c>
      <c r="C2909" t="inlineStr">
        <is>
          <t>132</t>
        </is>
      </c>
      <c r="D2909" t="inlineStr">
        <is>
          <t>1</t>
        </is>
      </c>
      <c r="E2909" t="inlineStr">
        <is>
          <t>132</t>
        </is>
      </c>
      <c r="F2909" t="inlineStr">
        <is>
          <t>0</t>
        </is>
      </c>
      <c r="G2909" t="inlineStr">
        <is>
          <t>0</t>
        </is>
      </c>
      <c r="H2909" t="inlineStr">
        <is>
          <t>1¹, 131¹</t>
        </is>
      </c>
      <c r="I2909" t="n">
        <v>2</v>
      </c>
      <c r="J2909" t="inlineStr">
        <is>
          <t>1², 130¹</t>
        </is>
      </c>
      <c r="K2909">
        <f>HYPERLINK("CSG0.html#group1A0", "1A⁰")</f>
        <v/>
      </c>
      <c r="L2909">
        <f>HYPERLINK("CSG22.html#group262A22", "262A²²")</f>
        <v/>
      </c>
      <c r="M2909">
        <f>HYPERLINK("CSG0.html#group1A0", "1A⁰")</f>
        <v/>
      </c>
      <c r="N2909">
        <f>HYPERLINK("CSG22.html#group262A22", "262A²²")</f>
        <v/>
      </c>
    </row>
    <row r="2910">
      <c r="A2910" t="inlineStr">
        <is>
          <t>133A¹¹</t>
        </is>
      </c>
      <c r="B2910" t="inlineStr"/>
      <c r="C2910" t="inlineStr">
        <is>
          <t>140</t>
        </is>
      </c>
      <c r="D2910" t="inlineStr">
        <is>
          <t>2</t>
        </is>
      </c>
      <c r="E2910" t="inlineStr">
        <is>
          <t>140</t>
        </is>
      </c>
      <c r="F2910" t="inlineStr">
        <is>
          <t>0</t>
        </is>
      </c>
      <c r="G2910" t="inlineStr">
        <is>
          <t>2</t>
        </is>
      </c>
      <c r="H2910" t="inlineStr">
        <is>
          <t>7¹, 133¹</t>
        </is>
      </c>
      <c r="I2910" t="n">
        <v>2</v>
      </c>
      <c r="J2910" t="inlineStr">
        <is>
          <t>2², 6⁴, 36¹, 108²</t>
        </is>
      </c>
      <c r="K2910">
        <f>HYPERLINK("CSG0.html#group7A0", "7A⁰"), =HYPERLINK("CSG1.html#group19A1", "19A¹")</f>
        <v/>
      </c>
      <c r="L2910">
        <f>HYPERLINK("CSG21.html#group133A21", "133A²¹"), =HYPERLINK("CSG22.html#group266A22", "266A²²"), =HYPERLINK("CSG22.html#group266B22", "266B²²")</f>
        <v/>
      </c>
      <c r="M2910">
        <f>HYPERLINK("CSG1.html#group19A1", "19A¹"), =HYPERLINK("CSG0.html#group1A0", "1A⁰"), =HYPERLINK("CSG0.html#group7A0", "7A⁰")</f>
        <v/>
      </c>
      <c r="N2910">
        <f>HYPERLINK("CSG22.html#group266A22", "266A²²"), =HYPERLINK("CSG21.html#group133A21", "133A²¹"), =HYPERLINK("CSG22.html#group266B22", "266B²²")</f>
        <v/>
      </c>
    </row>
    <row r="2911">
      <c r="A2911" t="inlineStr">
        <is>
          <t>133B¹¹</t>
        </is>
      </c>
      <c r="B2911" t="inlineStr">
        <is>
          <t>Γ₀(133)</t>
        </is>
      </c>
      <c r="C2911" t="inlineStr">
        <is>
          <t>160</t>
        </is>
      </c>
      <c r="D2911" t="inlineStr">
        <is>
          <t>1</t>
        </is>
      </c>
      <c r="E2911" t="inlineStr">
        <is>
          <t>160</t>
        </is>
      </c>
      <c r="F2911" t="inlineStr">
        <is>
          <t>0</t>
        </is>
      </c>
      <c r="G2911" t="inlineStr">
        <is>
          <t>4</t>
        </is>
      </c>
      <c r="H2911" t="inlineStr">
        <is>
          <t>1¹, 7¹, 19¹, 133¹</t>
        </is>
      </c>
      <c r="I2911" t="n">
        <v>4</v>
      </c>
      <c r="J2911" t="inlineStr">
        <is>
          <t>1⁴, 6², 18², 108¹</t>
        </is>
      </c>
      <c r="K2911">
        <f>HYPERLINK("CSG0.html#group7B0", "7B⁰"), =HYPERLINK("CSG1.html#group19A1", "19A¹")</f>
        <v/>
      </c>
      <c r="L2911">
        <f>HYPERLINK("CSG21.html#group133B21", "133B²¹"), =HYPERLINK("CSG23.html#group266A23", "266A²³"), =HYPERLINK("CSG23.html#group266B23", "266B²³")</f>
        <v/>
      </c>
      <c r="M2911">
        <f>HYPERLINK("CSG1.html#group19A1", "19A¹"), =HYPERLINK("CSG0.html#group1A0", "1A⁰"), =HYPERLINK("CSG0.html#group7B0", "7B⁰")</f>
        <v/>
      </c>
      <c r="N2911">
        <f>HYPERLINK("CSG23.html#group266B23", "266B²³"), =HYPERLINK("CSG21.html#group133B21", "133B²¹"), =HYPERLINK("CSG23.html#group266A23", "266A²³")</f>
        <v/>
      </c>
    </row>
    <row r="2912">
      <c r="A2912" t="inlineStr">
        <is>
          <t>135A¹¹</t>
        </is>
      </c>
      <c r="B2912" t="inlineStr"/>
      <c r="C2912" t="inlineStr">
        <is>
          <t>180</t>
        </is>
      </c>
      <c r="D2912" t="inlineStr">
        <is>
          <t>1</t>
        </is>
      </c>
      <c r="E2912" t="inlineStr">
        <is>
          <t>60</t>
        </is>
      </c>
      <c r="F2912" t="inlineStr">
        <is>
          <t>0</t>
        </is>
      </c>
      <c r="G2912" t="inlineStr">
        <is>
          <t>12</t>
        </is>
      </c>
      <c r="H2912" t="inlineStr">
        <is>
          <t>45¹, 135¹</t>
        </is>
      </c>
      <c r="I2912" t="n">
        <v>2</v>
      </c>
      <c r="J2912" t="inlineStr">
        <is>
          <t>1², 2², 4², 6¹, 8², 24¹</t>
        </is>
      </c>
      <c r="K2912">
        <f>HYPERLINK("CSG1.html#group27B1", "27B¹"), =HYPERLINK("CSG3.html#group45B3", "45B³")</f>
        <v/>
      </c>
      <c r="L2912">
        <f>HYPERLINK("CSG22.html#group270A22", "270A²²")</f>
        <v/>
      </c>
      <c r="M2912">
        <f>HYPERLINK("CSG0.html#group3B0", "3B⁰"), =HYPERLINK("CSG0.html#group5A0", "5A⁰"), =HYPERLINK("CSG3.html#group45B3", "45B³"), =HYPERLINK("CSG1.html#group15B1", "15B¹"), =HYPERLINK("CSG1.html#group27B1", "27B¹"), =HYPERLINK("CSG0.html#group9C0", "9C⁰"), =HYPERLINK("CSG0.html#group1A0", "1A⁰")</f>
        <v/>
      </c>
      <c r="N2912">
        <f>HYPERLINK("CSG22.html#group270A22", "270A²²")</f>
        <v/>
      </c>
    </row>
    <row r="2913">
      <c r="A2913" t="inlineStr">
        <is>
          <t>135B¹¹</t>
        </is>
      </c>
      <c r="B2913" t="inlineStr"/>
      <c r="C2913" t="inlineStr">
        <is>
          <t>216</t>
        </is>
      </c>
      <c r="D2913" t="inlineStr">
        <is>
          <t>1</t>
        </is>
      </c>
      <c r="E2913" t="inlineStr">
        <is>
          <t>72</t>
        </is>
      </c>
      <c r="F2913" t="inlineStr">
        <is>
          <t>0</t>
        </is>
      </c>
      <c r="G2913" t="inlineStr">
        <is>
          <t>0</t>
        </is>
      </c>
      <c r="H2913" t="inlineStr">
        <is>
          <t>1⁶, 3¹, 5⁶, 15¹, 27¹, 135¹</t>
        </is>
      </c>
      <c r="I2913" t="n">
        <v>16</v>
      </c>
      <c r="J2913" t="inlineStr">
        <is>
          <t>1⁴, 2⁴, 4², 6², 8², 24¹</t>
        </is>
      </c>
      <c r="K2913">
        <f>HYPERLINK("CSG0.html#group27A0", "27A⁰"), =HYPERLINK("CSG3.html#group45D3", "45D³")</f>
        <v/>
      </c>
      <c r="L2913">
        <f>HYPERLINK("CSG21.html#group135A21", "135A²¹")</f>
        <v/>
      </c>
      <c r="M2913">
        <f>HYPERLINK("CSG0.html#group3B0", "3B⁰"), =HYPERLINK("CSG1.html#group15C1", "15C¹"), =HYPERLINK("CSG0.html#group5B0", "5B⁰"), =HYPERLINK("CSG0.html#group27A0", "27A⁰"), =HYPERLINK("CSG3.html#group45D3", "45D³"), =HYPERLINK("CSG0.html#group9B0", "9B⁰"), =HYPERLINK("CSG0.html#group1A0", "1A⁰")</f>
        <v/>
      </c>
      <c r="N2913">
        <f>HYPERLINK("CSG21.html#group135A21", "135A²¹")</f>
        <v/>
      </c>
    </row>
    <row r="2914">
      <c r="A2914" t="inlineStr">
        <is>
          <t>136A¹¹</t>
        </is>
      </c>
      <c r="B2914" t="inlineStr"/>
      <c r="C2914" t="inlineStr">
        <is>
          <t>144</t>
        </is>
      </c>
      <c r="D2914" t="inlineStr">
        <is>
          <t>2</t>
        </is>
      </c>
      <c r="E2914" t="inlineStr">
        <is>
          <t>72</t>
        </is>
      </c>
      <c r="F2914" t="inlineStr">
        <is>
          <t>4</t>
        </is>
      </c>
      <c r="G2914" t="inlineStr">
        <is>
          <t>0</t>
        </is>
      </c>
      <c r="H2914" t="inlineStr">
        <is>
          <t>8¹, 136¹</t>
        </is>
      </c>
      <c r="I2914" t="n">
        <v>2</v>
      </c>
      <c r="J2914" t="inlineStr">
        <is>
          <t>4⁴, 64²</t>
        </is>
      </c>
      <c r="K2914">
        <f>HYPERLINK("CSG5.html#group68A5", "68A⁵")</f>
        <v/>
      </c>
      <c r="L2914">
        <f>HYPERLINK("CSG21.html#group136C21", "136C²¹"), =HYPERLINK("CSG23.html#group136A23", "136A²³"), =HYPERLINK("CSG23.html#group136C23", "136C²³")</f>
        <v/>
      </c>
      <c r="M2914">
        <f>HYPERLINK("CSG5.html#group68A5", "68A⁵"), =HYPERLINK("CSG0.html#group1A0", "1A⁰"), =HYPERLINK("CSG1.html#group17A1", "17A¹"), =HYPERLINK("CSG0.html#group4A0", "4A⁰")</f>
        <v/>
      </c>
      <c r="N2914">
        <f>HYPERLINK("CSG23.html#group136A23", "136A²³"), =HYPERLINK("CSG21.html#group136C21", "136C²¹"), =HYPERLINK("CSG23.html#group136C23", "136C²³")</f>
        <v/>
      </c>
    </row>
    <row r="2915">
      <c r="A2915" t="inlineStr">
        <is>
          <t>136B¹¹</t>
        </is>
      </c>
      <c r="B2915" t="inlineStr"/>
      <c r="C2915" t="inlineStr">
        <is>
          <t>144</t>
        </is>
      </c>
      <c r="D2915" t="inlineStr">
        <is>
          <t>2</t>
        </is>
      </c>
      <c r="E2915" t="inlineStr">
        <is>
          <t>72</t>
        </is>
      </c>
      <c r="F2915" t="inlineStr">
        <is>
          <t>4</t>
        </is>
      </c>
      <c r="G2915" t="inlineStr">
        <is>
          <t>0</t>
        </is>
      </c>
      <c r="H2915" t="inlineStr">
        <is>
          <t>8¹, 136¹</t>
        </is>
      </c>
      <c r="I2915" t="n">
        <v>2</v>
      </c>
      <c r="J2915" t="inlineStr">
        <is>
          <t>4⁴, 64²</t>
        </is>
      </c>
      <c r="K2915">
        <f>HYPERLINK("CSG0.html#group8A0", "8A⁰"), =HYPERLINK("CSG5.html#group68A5", "68A⁵")</f>
        <v/>
      </c>
      <c r="L2915">
        <f>HYPERLINK("CSG21.html#group136C21", "136C²¹"), =HYPERLINK("CSG23.html#group136B23", "136B²³"), =HYPERLINK("CSG23.html#group136C23", "136C²³"), =HYPERLINK("CSG23.html#group272A23", "272A²³"), =HYPERLINK("CSG23.html#group272B23", "272B²³")</f>
        <v/>
      </c>
      <c r="M2915">
        <f>HYPERLINK("CSG0.html#group8A0", "8A⁰"), =HYPERLINK("CSG5.html#group68A5", "68A⁵"), =HYPERLINK("CSG1.html#group17A1", "17A¹"), =HYPERLINK("CSG0.html#group1A0", "1A⁰"), =HYPERLINK("CSG0.html#group4A0", "4A⁰")</f>
        <v/>
      </c>
      <c r="N2915">
        <f>HYPERLINK("CSG23.html#group272B23", "272B²³"), =HYPERLINK("CSG21.html#group136C21", "136C²¹"), =HYPERLINK("CSG23.html#group136B23", "136B²³"), =HYPERLINK("CSG23.html#group272A23", "272A²³"), =HYPERLINK("CSG23.html#group136C23", "136C²³")</f>
        <v/>
      </c>
    </row>
    <row r="2916">
      <c r="A2916" t="inlineStr">
        <is>
          <t>137A¹¹</t>
        </is>
      </c>
      <c r="B2916" t="inlineStr">
        <is>
          <t>Γ₀(137)</t>
        </is>
      </c>
      <c r="C2916" t="inlineStr">
        <is>
          <t>138</t>
        </is>
      </c>
      <c r="D2916" t="inlineStr">
        <is>
          <t>1</t>
        </is>
      </c>
      <c r="E2916" t="inlineStr">
        <is>
          <t>138</t>
        </is>
      </c>
      <c r="F2916" t="inlineStr">
        <is>
          <t>2</t>
        </is>
      </c>
      <c r="G2916" t="inlineStr">
        <is>
          <t>0</t>
        </is>
      </c>
      <c r="H2916" t="inlineStr">
        <is>
          <t>1¹, 137¹</t>
        </is>
      </c>
      <c r="I2916" t="n">
        <v>2</v>
      </c>
      <c r="J2916" t="inlineStr">
        <is>
          <t>1², 136¹</t>
        </is>
      </c>
      <c r="K2916">
        <f>HYPERLINK("CSG0.html#group1A0", "1A⁰")</f>
        <v/>
      </c>
      <c r="L2916">
        <f>HYPERLINK("CSG21.html#group137A21", "137A²¹"), =HYPERLINK("CSG23.html#group274A23", "274A²³"), =HYPERLINK("CSG23.html#group274B23", "274B²³")</f>
        <v/>
      </c>
      <c r="M2916">
        <f>HYPERLINK("CSG0.html#group1A0", "1A⁰")</f>
        <v/>
      </c>
      <c r="N2916">
        <f>HYPERLINK("CSG23.html#group274B23", "274B²³"), =HYPERLINK("CSG23.html#group274A23", "274A²³"), =HYPERLINK("CSG21.html#group137A21", "137A²¹")</f>
        <v/>
      </c>
    </row>
    <row r="2917">
      <c r="A2917" t="inlineStr">
        <is>
          <t>139A¹¹</t>
        </is>
      </c>
      <c r="B2917" t="inlineStr">
        <is>
          <t>Γ₀(139)</t>
        </is>
      </c>
      <c r="C2917" t="inlineStr">
        <is>
          <t>140</t>
        </is>
      </c>
      <c r="D2917" t="inlineStr">
        <is>
          <t>1</t>
        </is>
      </c>
      <c r="E2917" t="inlineStr">
        <is>
          <t>140</t>
        </is>
      </c>
      <c r="F2917" t="inlineStr">
        <is>
          <t>0</t>
        </is>
      </c>
      <c r="G2917" t="inlineStr">
        <is>
          <t>2</t>
        </is>
      </c>
      <c r="H2917" t="inlineStr">
        <is>
          <t>1¹, 139¹</t>
        </is>
      </c>
      <c r="I2917" t="n">
        <v>2</v>
      </c>
      <c r="J2917" t="inlineStr">
        <is>
          <t>1², 138¹</t>
        </is>
      </c>
      <c r="K2917">
        <f>HYPERLINK("CSG0.html#group1A0", "1A⁰")</f>
        <v/>
      </c>
      <c r="L2917">
        <f>HYPERLINK("CSG22.html#group278A22", "278A²²")</f>
        <v/>
      </c>
      <c r="M2917">
        <f>HYPERLINK("CSG0.html#group1A0", "1A⁰")</f>
        <v/>
      </c>
      <c r="N2917">
        <f>HYPERLINK("CSG22.html#group278A22", "278A²²")</f>
        <v/>
      </c>
    </row>
    <row r="2918">
      <c r="A2918" t="inlineStr">
        <is>
          <t>140A¹¹</t>
        </is>
      </c>
      <c r="B2918" t="inlineStr"/>
      <c r="C2918" t="inlineStr">
        <is>
          <t>168</t>
        </is>
      </c>
      <c r="D2918" t="inlineStr">
        <is>
          <t>2</t>
        </is>
      </c>
      <c r="E2918" t="inlineStr">
        <is>
          <t>42</t>
        </is>
      </c>
      <c r="F2918" t="inlineStr">
        <is>
          <t>12</t>
        </is>
      </c>
      <c r="G2918" t="inlineStr">
        <is>
          <t>0</t>
        </is>
      </c>
      <c r="H2918" t="inlineStr">
        <is>
          <t>28¹, 140¹</t>
        </is>
      </c>
      <c r="I2918" t="n">
        <v>2</v>
      </c>
      <c r="J2918" t="inlineStr">
        <is>
          <t>4², 12⁴, 16¹, 48²</t>
        </is>
      </c>
      <c r="K2918">
        <f>HYPERLINK("CSG4.html#group70C4", "70C⁴")</f>
        <v/>
      </c>
      <c r="L2918">
        <f>HYPERLINK("CSG23.html#group140E23", "140E²³")</f>
        <v/>
      </c>
      <c r="M2918">
        <f>HYPERLINK("CSG2.html#group35C2", "35C²"), =HYPERLINK("CSG0.html#group5B0", "5B⁰"), =HYPERLINK("CSG4.html#group70C4", "70C⁴"), =HYPERLINK("CSG0.html#group1A0", "1A⁰"), =HYPERLINK("CSG0.html#group7A0", "7A⁰"), =HYPERLINK("CSG0.html#group10B0", "10B⁰")</f>
        <v/>
      </c>
      <c r="N2918">
        <f>HYPERLINK("CSG23.html#group140E23", "140E²³")</f>
        <v/>
      </c>
    </row>
    <row r="2919">
      <c r="A2919" t="inlineStr">
        <is>
          <t>140B¹¹</t>
        </is>
      </c>
      <c r="B2919" t="inlineStr"/>
      <c r="C2919" t="inlineStr">
        <is>
          <t>168</t>
        </is>
      </c>
      <c r="D2919" t="inlineStr">
        <is>
          <t>2</t>
        </is>
      </c>
      <c r="E2919" t="inlineStr">
        <is>
          <t>42</t>
        </is>
      </c>
      <c r="F2919" t="inlineStr">
        <is>
          <t>12</t>
        </is>
      </c>
      <c r="G2919" t="inlineStr">
        <is>
          <t>0</t>
        </is>
      </c>
      <c r="H2919" t="inlineStr">
        <is>
          <t>28¹, 140¹</t>
        </is>
      </c>
      <c r="I2919" t="n">
        <v>2</v>
      </c>
      <c r="J2919" t="inlineStr">
        <is>
          <t>4², 12⁴, 16¹, 48²</t>
        </is>
      </c>
      <c r="K2919">
        <f>HYPERLINK("CSG4.html#group70C4", "70C⁴")</f>
        <v/>
      </c>
      <c r="L2919">
        <f>HYPERLINK("CSG23.html#group140F23", "140F²³")</f>
        <v/>
      </c>
      <c r="M2919">
        <f>HYPERLINK("CSG2.html#group35C2", "35C²"), =HYPERLINK("CSG0.html#group5B0", "5B⁰"), =HYPERLINK("CSG4.html#group70C4", "70C⁴"), =HYPERLINK("CSG0.html#group1A0", "1A⁰"), =HYPERLINK("CSG0.html#group7A0", "7A⁰"), =HYPERLINK("CSG0.html#group10B0", "10B⁰")</f>
        <v/>
      </c>
      <c r="N2919">
        <f>HYPERLINK("CSG23.html#group140F23", "140F²³")</f>
        <v/>
      </c>
    </row>
    <row r="2920">
      <c r="A2920" t="inlineStr">
        <is>
          <t>140C¹¹</t>
        </is>
      </c>
      <c r="B2920" t="inlineStr"/>
      <c r="C2920" t="inlineStr">
        <is>
          <t>168</t>
        </is>
      </c>
      <c r="D2920" t="inlineStr">
        <is>
          <t>2</t>
        </is>
      </c>
      <c r="E2920" t="inlineStr">
        <is>
          <t>42</t>
        </is>
      </c>
      <c r="F2920" t="inlineStr">
        <is>
          <t>12</t>
        </is>
      </c>
      <c r="G2920" t="inlineStr">
        <is>
          <t>0</t>
        </is>
      </c>
      <c r="H2920" t="inlineStr">
        <is>
          <t>28¹, 140¹</t>
        </is>
      </c>
      <c r="I2920" t="n">
        <v>2</v>
      </c>
      <c r="J2920" t="inlineStr">
        <is>
          <t>4², 12⁴, 16¹, 48²</t>
        </is>
      </c>
      <c r="K2920">
        <f>HYPERLINK("CSG1.html#group20C1", "20C¹"), =HYPERLINK("CSG4.html#group70C4", "70C⁴")</f>
        <v/>
      </c>
      <c r="L2920">
        <f>HYPERLINK("CSG23.html#group140E23", "140E²³")</f>
        <v/>
      </c>
      <c r="M2920">
        <f>HYPERLINK("CSG2.html#group35C2", "35C²"), =HYPERLINK("CSG0.html#group5B0", "5B⁰"), =HYPERLINK("CSG1.html#group20C1", "20C¹"), =HYPERLINK("CSG4.html#group70C4", "70C⁴"), =HYPERLINK("CSG0.html#group1A0", "1A⁰"), =HYPERLINK("CSG0.html#group7A0", "7A⁰"), =HYPERLINK("CSG0.html#group10B0", "10B⁰")</f>
        <v/>
      </c>
      <c r="N2920">
        <f>HYPERLINK("CSG23.html#group140E23", "140E²³")</f>
        <v/>
      </c>
    </row>
    <row r="2921">
      <c r="A2921" t="inlineStr">
        <is>
          <t>140D¹¹</t>
        </is>
      </c>
      <c r="B2921" t="inlineStr"/>
      <c r="C2921" t="inlineStr">
        <is>
          <t>168</t>
        </is>
      </c>
      <c r="D2921" t="inlineStr">
        <is>
          <t>2</t>
        </is>
      </c>
      <c r="E2921" t="inlineStr">
        <is>
          <t>42</t>
        </is>
      </c>
      <c r="F2921" t="inlineStr">
        <is>
          <t>12</t>
        </is>
      </c>
      <c r="G2921" t="inlineStr">
        <is>
          <t>0</t>
        </is>
      </c>
      <c r="H2921" t="inlineStr">
        <is>
          <t>28¹, 140¹</t>
        </is>
      </c>
      <c r="I2921" t="n">
        <v>2</v>
      </c>
      <c r="J2921" t="inlineStr">
        <is>
          <t>4², 12⁴, 16¹, 48²</t>
        </is>
      </c>
      <c r="K2921">
        <f>HYPERLINK("CSG1.html#group20C1", "20C¹"), =HYPERLINK("CSG4.html#group70C4", "70C⁴")</f>
        <v/>
      </c>
      <c r="L2921">
        <f>HYPERLINK("CSG23.html#group140F23", "140F²³")</f>
        <v/>
      </c>
      <c r="M2921">
        <f>HYPERLINK("CSG2.html#group35C2", "35C²"), =HYPERLINK("CSG0.html#group5B0", "5B⁰"), =HYPERLINK("CSG1.html#group20C1", "20C¹"), =HYPERLINK("CSG4.html#group70C4", "70C⁴"), =HYPERLINK("CSG0.html#group1A0", "1A⁰"), =HYPERLINK("CSG0.html#group7A0", "7A⁰"), =HYPERLINK("CSG0.html#group10B0", "10B⁰")</f>
        <v/>
      </c>
      <c r="N2921">
        <f>HYPERLINK("CSG23.html#group140F23", "140F²³")</f>
        <v/>
      </c>
    </row>
    <row r="2922">
      <c r="A2922" t="inlineStr">
        <is>
          <t>140E¹¹</t>
        </is>
      </c>
      <c r="B2922" t="inlineStr"/>
      <c r="C2922" t="inlineStr">
        <is>
          <t>168</t>
        </is>
      </c>
      <c r="D2922" t="inlineStr">
        <is>
          <t>2</t>
        </is>
      </c>
      <c r="E2922" t="inlineStr">
        <is>
          <t>168</t>
        </is>
      </c>
      <c r="F2922" t="inlineStr">
        <is>
          <t>12</t>
        </is>
      </c>
      <c r="G2922" t="inlineStr">
        <is>
          <t>0</t>
        </is>
      </c>
      <c r="H2922" t="inlineStr">
        <is>
          <t>28¹, 140¹</t>
        </is>
      </c>
      <c r="I2922" t="n">
        <v>2</v>
      </c>
      <c r="J2922" t="inlineStr">
        <is>
          <t>4⁴, 12⁸, 16², 48⁴</t>
        </is>
      </c>
      <c r="K2922">
        <f>HYPERLINK("CSG1.html#group20B1", "20B¹"), =HYPERLINK("CSG1.html#group28A1", "28A¹"), =HYPERLINK("CSG2.html#group35C2", "35C²")</f>
        <v/>
      </c>
      <c r="L2922">
        <f>HYPERLINK("CSG21.html#group140D21", "140D²¹"), =HYPERLINK("CSG23.html#group140G23", "140G²³"), =HYPERLINK("CSG23.html#group140H23", "140H²³")</f>
        <v/>
      </c>
      <c r="M2922">
        <f>HYPERLINK("CSG2.html#group35C2", "35C²"), =HYPERLINK("CSG0.html#group4A0", "4A⁰"), =HYPERLINK("CSG0.html#group5B0", "5B⁰"), =HYPERLINK("CSG1.html#group28A1", "28A¹"), =HYPERLINK("CSG0.html#group1A0", "1A⁰"), =HYPERLINK("CSG1.html#group20B1", "20B¹"), =HYPERLINK("CSG0.html#group7A0", "7A⁰")</f>
        <v/>
      </c>
      <c r="N2922">
        <f>HYPERLINK("CSG21.html#group140D21", "140D²¹"), =HYPERLINK("CSG23.html#group140G23", "140G²³"), =HYPERLINK("CSG23.html#group140H23", "140H²³")</f>
        <v/>
      </c>
    </row>
    <row r="2923">
      <c r="A2923" t="inlineStr">
        <is>
          <t>146A¹¹</t>
        </is>
      </c>
      <c r="B2923" t="inlineStr"/>
      <c r="C2923" t="inlineStr">
        <is>
          <t>148</t>
        </is>
      </c>
      <c r="D2923" t="inlineStr">
        <is>
          <t>1</t>
        </is>
      </c>
      <c r="E2923" t="inlineStr">
        <is>
          <t>74</t>
        </is>
      </c>
      <c r="F2923" t="inlineStr">
        <is>
          <t>0</t>
        </is>
      </c>
      <c r="G2923" t="inlineStr">
        <is>
          <t>4</t>
        </is>
      </c>
      <c r="H2923" t="inlineStr">
        <is>
          <t>2¹, 146¹</t>
        </is>
      </c>
      <c r="I2923" t="n">
        <v>2</v>
      </c>
      <c r="J2923" t="inlineStr">
        <is>
          <t>1², 72¹</t>
        </is>
      </c>
      <c r="K2923">
        <f>HYPERLINK("CSG5.html#group73A5", "73A⁵")</f>
        <v/>
      </c>
      <c r="L2923">
        <f>HYPERLINK("CSG21.html#group146A21", "146A²¹")</f>
        <v/>
      </c>
      <c r="M2923">
        <f>HYPERLINK("CSG0.html#group1A0", "1A⁰"), =HYPERLINK("CSG5.html#group73A5", "73A⁵")</f>
        <v/>
      </c>
      <c r="N2923">
        <f>HYPERLINK("CSG21.html#group146A21", "146A²¹")</f>
        <v/>
      </c>
    </row>
    <row r="2924">
      <c r="A2924" t="inlineStr">
        <is>
          <t>146B¹¹</t>
        </is>
      </c>
      <c r="B2924" t="inlineStr"/>
      <c r="C2924" t="inlineStr">
        <is>
          <t>148</t>
        </is>
      </c>
      <c r="D2924" t="inlineStr">
        <is>
          <t>1</t>
        </is>
      </c>
      <c r="E2924" t="inlineStr">
        <is>
          <t>74</t>
        </is>
      </c>
      <c r="F2924" t="inlineStr">
        <is>
          <t>0</t>
        </is>
      </c>
      <c r="G2924" t="inlineStr">
        <is>
          <t>4</t>
        </is>
      </c>
      <c r="H2924" t="inlineStr">
        <is>
          <t>2¹, 146¹</t>
        </is>
      </c>
      <c r="I2924" t="n">
        <v>2</v>
      </c>
      <c r="J2924" t="inlineStr">
        <is>
          <t>1², 72¹</t>
        </is>
      </c>
      <c r="K2924">
        <f>HYPERLINK("CSG0.html#group2A0", "2A⁰"), =HYPERLINK("CSG5.html#group73A5", "73A⁵")</f>
        <v/>
      </c>
      <c r="L2924">
        <f>HYPERLINK("CSG21.html#group146A21", "146A²¹")</f>
        <v/>
      </c>
      <c r="M2924">
        <f>HYPERLINK("CSG0.html#group2A0", "2A⁰"), =HYPERLINK("CSG0.html#group1A0", "1A⁰"), =HYPERLINK("CSG5.html#group73A5", "73A⁵")</f>
        <v/>
      </c>
      <c r="N2924">
        <f>HYPERLINK("CSG21.html#group146A21", "146A²¹")</f>
        <v/>
      </c>
    </row>
    <row r="2925">
      <c r="A2925" t="inlineStr">
        <is>
          <t>147A¹¹</t>
        </is>
      </c>
      <c r="B2925" t="inlineStr"/>
      <c r="C2925" t="inlineStr">
        <is>
          <t>168</t>
        </is>
      </c>
      <c r="D2925" t="inlineStr">
        <is>
          <t>1</t>
        </is>
      </c>
      <c r="E2925" t="inlineStr">
        <is>
          <t>56</t>
        </is>
      </c>
      <c r="F2925" t="inlineStr">
        <is>
          <t>0</t>
        </is>
      </c>
      <c r="G2925" t="inlineStr">
        <is>
          <t>0</t>
        </is>
      </c>
      <c r="H2925" t="inlineStr">
        <is>
          <t>3⁷, 147¹</t>
        </is>
      </c>
      <c r="I2925" t="n">
        <v>8</v>
      </c>
      <c r="J2925" t="inlineStr">
        <is>
          <t>1², 6², 42¹</t>
        </is>
      </c>
      <c r="K2925">
        <f>HYPERLINK("CSG1.html#group49A1", "49A¹"), =HYPERLINK("CSG2.html#group21A2", "21A²")</f>
        <v/>
      </c>
      <c r="L2925">
        <f>HYPERLINK("CSG21.html#group147A21", "147A²¹")</f>
        <v/>
      </c>
      <c r="M2925">
        <f>HYPERLINK("CSG1.html#group49A1", "49A¹"), =HYPERLINK("CSG2.html#group21A2", "21A²"), =HYPERLINK("CSG0.html#group3A0", "3A⁰"), =HYPERLINK("CSG0.html#group1A0", "1A⁰"), =HYPERLINK("CSG0.html#group7B0", "7B⁰")</f>
        <v/>
      </c>
      <c r="N2925">
        <f>HYPERLINK("CSG21.html#group147A21", "147A²¹")</f>
        <v/>
      </c>
    </row>
    <row r="2926">
      <c r="A2926" t="inlineStr">
        <is>
          <t>147B¹¹</t>
        </is>
      </c>
      <c r="B2926" t="inlineStr">
        <is>
          <t>Γ₀(147)</t>
        </is>
      </c>
      <c r="C2926" t="inlineStr">
        <is>
          <t>224</t>
        </is>
      </c>
      <c r="D2926" t="inlineStr">
        <is>
          <t>1</t>
        </is>
      </c>
      <c r="E2926" t="inlineStr">
        <is>
          <t>224</t>
        </is>
      </c>
      <c r="F2926" t="inlineStr">
        <is>
          <t>0</t>
        </is>
      </c>
      <c r="G2926" t="inlineStr">
        <is>
          <t>2</t>
        </is>
      </c>
      <c r="H2926" t="inlineStr">
        <is>
          <t>1⁷, 3⁷, 49¹, 147¹</t>
        </is>
      </c>
      <c r="I2926" t="n">
        <v>16</v>
      </c>
      <c r="J2926" t="inlineStr">
        <is>
          <t>1⁴, 2², 6⁴, 12², 42², 84¹</t>
        </is>
      </c>
      <c r="K2926">
        <f>HYPERLINK("CSG1.html#group21B1", "21B¹"), =HYPERLINK("CSG1.html#group49A1", "49A¹")</f>
        <v/>
      </c>
      <c r="L2926">
        <f>HYPERLINK("CSG21.html#group147B21", "147B²¹")</f>
        <v/>
      </c>
      <c r="M2926">
        <f>HYPERLINK("CSG1.html#group49A1", "49A¹"), =HYPERLINK("CSG0.html#group3B0", "3B⁰"), =HYPERLINK("CSG1.html#group21B1", "21B¹"), =HYPERLINK("CSG0.html#group1A0", "1A⁰"), =HYPERLINK("CSG0.html#group7B0", "7B⁰")</f>
        <v/>
      </c>
      <c r="N2926">
        <f>HYPERLINK("CSG21.html#group147B21", "147B²¹")</f>
        <v/>
      </c>
    </row>
    <row r="2927">
      <c r="A2927" t="inlineStr">
        <is>
          <t>148A¹¹</t>
        </is>
      </c>
      <c r="B2927" t="inlineStr"/>
      <c r="C2927" t="inlineStr">
        <is>
          <t>152</t>
        </is>
      </c>
      <c r="D2927" t="inlineStr">
        <is>
          <t>1</t>
        </is>
      </c>
      <c r="E2927" t="inlineStr">
        <is>
          <t>152</t>
        </is>
      </c>
      <c r="F2927" t="inlineStr">
        <is>
          <t>4</t>
        </is>
      </c>
      <c r="G2927" t="inlineStr">
        <is>
          <t>2</t>
        </is>
      </c>
      <c r="H2927" t="inlineStr">
        <is>
          <t>4¹, 148¹</t>
        </is>
      </c>
      <c r="I2927" t="n">
        <v>2</v>
      </c>
      <c r="J2927" t="inlineStr">
        <is>
          <t>2⁴, 72²</t>
        </is>
      </c>
      <c r="K2927">
        <f>HYPERLINK("CSG0.html#group4A0", "4A⁰"), =HYPERLINK("CSG2.html#group37A2", "37A²")</f>
        <v/>
      </c>
      <c r="L2927">
        <f>HYPERLINK("CSG21.html#group148A21", "148A²¹"), =HYPERLINK("CSG23.html#group148A23", "148A²³"), =HYPERLINK("CSG23.html#group148B23", "148B²³"), =HYPERLINK("CSG23.html#group296A23", "296A²³"), =HYPERLINK("CSG23.html#group296B23", "296B²³")</f>
        <v/>
      </c>
      <c r="M2927">
        <f>HYPERLINK("CSG2.html#group37A2", "37A²"), =HYPERLINK("CSG0.html#group1A0", "1A⁰"), =HYPERLINK("CSG0.html#group4A0", "4A⁰")</f>
        <v/>
      </c>
      <c r="N2927">
        <f>HYPERLINK("CSG23.html#group296A23", "296A²³"), =HYPERLINK("CSG23.html#group296B23", "296B²³"), =HYPERLINK("CSG23.html#group148B23", "148B²³"), =HYPERLINK("CSG23.html#group148A23", "148A²³"), =HYPERLINK("CSG21.html#group148A21", "148A²¹")</f>
        <v/>
      </c>
    </row>
    <row r="2928">
      <c r="A2928" t="inlineStr">
        <is>
          <t>150A¹¹</t>
        </is>
      </c>
      <c r="B2928" t="inlineStr"/>
      <c r="C2928" t="inlineStr">
        <is>
          <t>180</t>
        </is>
      </c>
      <c r="D2928" t="inlineStr">
        <is>
          <t>1</t>
        </is>
      </c>
      <c r="E2928" t="inlineStr">
        <is>
          <t>90</t>
        </is>
      </c>
      <c r="F2928" t="inlineStr">
        <is>
          <t>8</t>
        </is>
      </c>
      <c r="G2928" t="inlineStr">
        <is>
          <t>0</t>
        </is>
      </c>
      <c r="H2928" t="inlineStr">
        <is>
          <t>6⁵, 150¹</t>
        </is>
      </c>
      <c r="I2928" t="n">
        <v>6</v>
      </c>
      <c r="J2928" t="inlineStr">
        <is>
          <t>1², 2², 4², 8², 20¹, 40¹</t>
        </is>
      </c>
      <c r="K2928">
        <f>HYPERLINK("CSG1.html#group30C1", "30C¹"), =HYPERLINK("CSG4.html#group75A4", "75A⁴")</f>
        <v/>
      </c>
      <c r="L2928">
        <f>HYPERLINK("CSG21.html#group150A21", "150A²¹"), =HYPERLINK("CSG23.html#group150B23", "150B²³"), =HYPERLINK("CSG23.html#group150D23", "150D²³")</f>
        <v/>
      </c>
      <c r="M2928">
        <f>HYPERLINK("CSG0.html#group15B0", "15B⁰"), =HYPERLINK("CSG0.html#group6B0", "6B⁰"), =HYPERLINK("CSG0.html#group5B0", "5B⁰"), =HYPERLINK("CSG0.html#group25A0", "25A⁰"), =HYPERLINK("CSG4.html#group75A4", "75A⁴"), =HYPERLINK("CSG0.html#group3A0", "3A⁰"), =HYPERLINK("CSG0.html#group1A0", "1A⁰"), =HYPERLINK("CSG1.html#group30C1", "30C¹")</f>
        <v/>
      </c>
      <c r="N2928">
        <f>HYPERLINK("CSG23.html#group150D23", "150D²³"), =HYPERLINK("CSG23.html#group150B23", "150B²³"), =HYPERLINK("CSG21.html#group150A21", "150A²¹")</f>
        <v/>
      </c>
    </row>
    <row r="2929">
      <c r="A2929" t="inlineStr">
        <is>
          <t>153A¹¹</t>
        </is>
      </c>
      <c r="B2929" t="inlineStr"/>
      <c r="C2929" t="inlineStr">
        <is>
          <t>162</t>
        </is>
      </c>
      <c r="D2929" t="inlineStr">
        <is>
          <t>1</t>
        </is>
      </c>
      <c r="E2929" t="inlineStr">
        <is>
          <t>162</t>
        </is>
      </c>
      <c r="F2929" t="inlineStr">
        <is>
          <t>10</t>
        </is>
      </c>
      <c r="G2929" t="inlineStr">
        <is>
          <t>0</t>
        </is>
      </c>
      <c r="H2929" t="inlineStr">
        <is>
          <t>9¹, 153¹</t>
        </is>
      </c>
      <c r="I2929" t="n">
        <v>2</v>
      </c>
      <c r="J2929" t="inlineStr">
        <is>
          <t>1², 2², 6², 16¹, 32¹, 96¹</t>
        </is>
      </c>
      <c r="K2929">
        <f>HYPERLINK("CSG0.html#group9A0", "9A⁰"), =HYPERLINK("CSG3.html#group51A3", "51A³")</f>
        <v/>
      </c>
      <c r="L2929">
        <f>HYPERLINK("CSG21.html#group153A21", "153A²¹"), =HYPERLINK("CSG23.html#group153A23", "153A²³"), =HYPERLINK("CSG23.html#group153B23", "153B²³"), =HYPERLINK("CSG23.html#group306A23", "306A²³"), =HYPERLINK("CSG23.html#group306B23", "306B²³")</f>
        <v/>
      </c>
      <c r="M2929">
        <f>HYPERLINK("CSG0.html#group1A0", "1A⁰"), =HYPERLINK("CSG1.html#group17A1", "17A¹"), =HYPERLINK("CSG0.html#group3A0", "3A⁰"), =HYPERLINK("CSG3.html#group51A3", "51A³"), =HYPERLINK("CSG0.html#group9A0", "9A⁰")</f>
        <v/>
      </c>
      <c r="N2929">
        <f>HYPERLINK("CSG21.html#group153A21", "153A²¹"), =HYPERLINK("CSG23.html#group153A23", "153A²³"), =HYPERLINK("CSG23.html#group153B23", "153B²³"), =HYPERLINK("CSG23.html#group306B23", "306B²³"), =HYPERLINK("CSG23.html#group306A23", "306A²³")</f>
        <v/>
      </c>
    </row>
    <row r="2930">
      <c r="A2930" t="inlineStr">
        <is>
          <t>156A¹¹</t>
        </is>
      </c>
      <c r="B2930" t="inlineStr"/>
      <c r="C2930" t="inlineStr">
        <is>
          <t>168</t>
        </is>
      </c>
      <c r="D2930" t="inlineStr">
        <is>
          <t>1</t>
        </is>
      </c>
      <c r="E2930" t="inlineStr">
        <is>
          <t>56</t>
        </is>
      </c>
      <c r="F2930" t="inlineStr">
        <is>
          <t>12</t>
        </is>
      </c>
      <c r="G2930" t="inlineStr">
        <is>
          <t>0</t>
        </is>
      </c>
      <c r="H2930" t="inlineStr">
        <is>
          <t>12¹, 156¹</t>
        </is>
      </c>
      <c r="I2930" t="n">
        <v>2</v>
      </c>
      <c r="J2930" t="inlineStr">
        <is>
          <t>2⁴, 24²</t>
        </is>
      </c>
      <c r="K2930">
        <f>HYPERLINK("CSG0.html#group12A0", "12A⁰"), =HYPERLINK("CSG2.html#group39A2", "39A²"), =HYPERLINK("CSG3.html#group52A3", "52A³")</f>
        <v/>
      </c>
      <c r="L2930">
        <f>HYPERLINK("CSG21.html#group156A21", "156A²¹"), =HYPERLINK("CSG23.html#group156E23", "156E²³"), =HYPERLINK("CSG23.html#group156F23", "156F²³")</f>
        <v/>
      </c>
      <c r="M2930">
        <f>HYPERLINK("CSG2.html#group39A2", "39A²"), =HYPERLINK("CSG0.html#group12A0", "12A⁰"), =HYPERLINK("CSG3.html#group52A3", "52A³"), =HYPERLINK("CSG0.html#group4A0", "4A⁰"), =HYPERLINK("CSG0.html#group13A0", "13A⁰"), =HYPERLINK("CSG0.html#group3A0", "3A⁰"), =HYPERLINK("CSG0.html#group1A0", "1A⁰")</f>
        <v/>
      </c>
      <c r="N2930">
        <f>HYPERLINK("CSG21.html#group156A21", "156A²¹"), =HYPERLINK("CSG23.html#group156F23", "156F²³"), =HYPERLINK("CSG23.html#group156E23", "156E²³")</f>
        <v/>
      </c>
    </row>
    <row r="2931">
      <c r="A2931" t="inlineStr">
        <is>
          <t>156B¹¹</t>
        </is>
      </c>
      <c r="B2931" t="inlineStr"/>
      <c r="C2931" t="inlineStr">
        <is>
          <t>168</t>
        </is>
      </c>
      <c r="D2931" t="inlineStr">
        <is>
          <t>2</t>
        </is>
      </c>
      <c r="E2931" t="inlineStr">
        <is>
          <t>14</t>
        </is>
      </c>
      <c r="F2931" t="inlineStr">
        <is>
          <t>12</t>
        </is>
      </c>
      <c r="G2931" t="inlineStr">
        <is>
          <t>0</t>
        </is>
      </c>
      <c r="H2931" t="inlineStr">
        <is>
          <t>12¹, 156¹</t>
        </is>
      </c>
      <c r="I2931" t="n">
        <v>2</v>
      </c>
      <c r="J2931" t="inlineStr">
        <is>
          <t>2², 24¹</t>
        </is>
      </c>
      <c r="K2931">
        <f>HYPERLINK("CSG1.html#group52A1", "52A¹"), =HYPERLINK("CSG4.html#group78A4", "78A⁴")</f>
        <v/>
      </c>
      <c r="L2931">
        <f>HYPERLINK("CSG23.html#group156H23", "156H²³")</f>
        <v/>
      </c>
      <c r="M2931">
        <f>HYPERLINK("CSG2.html#group39A2", "39A²"), =HYPERLINK("CSG4.html#group78A4", "78A⁴"), =HYPERLINK("CSG0.html#group3A0", "3A⁰"), =HYPERLINK("CSG0.html#group13A0", "13A⁰"), =HYPERLINK("CSG0.html#group26A0", "26A⁰"), =HYPERLINK("CSG1.html#group52A1", "52A¹"), =HYPERLINK("CSG0.html#group1A0", "1A⁰")</f>
        <v/>
      </c>
      <c r="N2931">
        <f>HYPERLINK("CSG23.html#group156H23", "156H²³")</f>
        <v/>
      </c>
    </row>
    <row r="2932">
      <c r="A2932" t="inlineStr">
        <is>
          <t>156C¹¹</t>
        </is>
      </c>
      <c r="B2932" t="inlineStr"/>
      <c r="C2932" t="inlineStr">
        <is>
          <t>168</t>
        </is>
      </c>
      <c r="D2932" t="inlineStr">
        <is>
          <t>2</t>
        </is>
      </c>
      <c r="E2932" t="inlineStr">
        <is>
          <t>42</t>
        </is>
      </c>
      <c r="F2932" t="inlineStr">
        <is>
          <t>12</t>
        </is>
      </c>
      <c r="G2932" t="inlineStr">
        <is>
          <t>0</t>
        </is>
      </c>
      <c r="H2932" t="inlineStr">
        <is>
          <t>12¹, 156¹</t>
        </is>
      </c>
      <c r="I2932" t="n">
        <v>2</v>
      </c>
      <c r="J2932" t="inlineStr">
        <is>
          <t>2², 4², 24¹, 48¹</t>
        </is>
      </c>
      <c r="K2932">
        <f>HYPERLINK("CSG4.html#group78A4", "78A⁴")</f>
        <v/>
      </c>
      <c r="L2932">
        <f>HYPERLINK("CSG23.html#group156A23", "156A²³"), =HYPERLINK("CSG23.html#group156B23", "156B²³"), =HYPERLINK("CSG23.html#group156H23", "156H²³")</f>
        <v/>
      </c>
      <c r="M2932">
        <f>HYPERLINK("CSG0.html#group13A0", "13A⁰"), =HYPERLINK("CSG2.html#group39A2", "39A²"), =HYPERLINK("CSG4.html#group78A4", "78A⁴"), =HYPERLINK("CSG0.html#group26A0", "26A⁰"), =HYPERLINK("CSG0.html#group3A0", "3A⁰"), =HYPERLINK("CSG0.html#group1A0", "1A⁰")</f>
        <v/>
      </c>
      <c r="N2932">
        <f>HYPERLINK("CSG23.html#group156B23", "156B²³"), =HYPERLINK("CSG23.html#group156A23", "156A²³"), =HYPERLINK("CSG23.html#group156H23", "156H²³")</f>
        <v/>
      </c>
    </row>
    <row r="2933">
      <c r="A2933" t="inlineStr">
        <is>
          <t>176A¹¹</t>
        </is>
      </c>
      <c r="B2933" t="inlineStr"/>
      <c r="C2933" t="inlineStr">
        <is>
          <t>176</t>
        </is>
      </c>
      <c r="D2933" t="inlineStr">
        <is>
          <t>2</t>
        </is>
      </c>
      <c r="E2933" t="inlineStr">
        <is>
          <t>88</t>
        </is>
      </c>
      <c r="F2933" t="inlineStr">
        <is>
          <t>6</t>
        </is>
      </c>
      <c r="G2933" t="inlineStr">
        <is>
          <t>8</t>
        </is>
      </c>
      <c r="H2933" t="inlineStr">
        <is>
          <t>176¹</t>
        </is>
      </c>
      <c r="I2933" t="n">
        <v>1</v>
      </c>
      <c r="J2933" t="inlineStr">
        <is>
          <t>16², 80⁴</t>
        </is>
      </c>
      <c r="K2933">
        <f>HYPERLINK("CSG0.html#group16A0", "16A⁰"), =HYPERLINK("CSG5.html#group88A5", "88A⁵")</f>
        <v/>
      </c>
      <c r="L2933">
        <f>HYPERLINK("CSG24.html#group176A24", "176A²⁴")</f>
        <v/>
      </c>
      <c r="M2933">
        <f>HYPERLINK("CSG0.html#group11A0", "11A⁰"), =HYPERLINK("CSG0.html#group16A0", "16A⁰"), =HYPERLINK("CSG2.html#group44A2", "44A²"), =HYPERLINK("CSG0.html#group4A0", "4A⁰"), =HYPERLINK("CSG0.html#group8A0", "8A⁰"), =HYPERLINK("CSG5.html#group88A5", "88A⁵"), =HYPERLINK("CSG0.html#group1A0", "1A⁰")</f>
        <v/>
      </c>
      <c r="N2933">
        <f>HYPERLINK("CSG24.html#group176A24", "176A²⁴")</f>
        <v/>
      </c>
    </row>
    <row r="2934">
      <c r="A2934" t="inlineStr">
        <is>
          <t>176B¹¹</t>
        </is>
      </c>
      <c r="B2934" t="inlineStr"/>
      <c r="C2934" t="inlineStr">
        <is>
          <t>176</t>
        </is>
      </c>
      <c r="D2934" t="inlineStr">
        <is>
          <t>2</t>
        </is>
      </c>
      <c r="E2934" t="inlineStr">
        <is>
          <t>88</t>
        </is>
      </c>
      <c r="F2934" t="inlineStr">
        <is>
          <t>6</t>
        </is>
      </c>
      <c r="G2934" t="inlineStr">
        <is>
          <t>8</t>
        </is>
      </c>
      <c r="H2934" t="inlineStr">
        <is>
          <t>176¹</t>
        </is>
      </c>
      <c r="I2934" t="n">
        <v>1</v>
      </c>
      <c r="J2934" t="inlineStr">
        <is>
          <t>16², 80⁴</t>
        </is>
      </c>
      <c r="K2934">
        <f>HYPERLINK("CSG0.html#group16A0", "16A⁰"), =HYPERLINK("CSG5.html#group88B5", "88B⁵")</f>
        <v/>
      </c>
      <c r="L2934">
        <f>HYPERLINK("CSG24.html#group176A24", "176A²⁴")</f>
        <v/>
      </c>
      <c r="M2934">
        <f>HYPERLINK("CSG0.html#group8A0", "8A⁰"), =HYPERLINK("CSG0.html#group11A0", "11A⁰"), =HYPERLINK("CSG5.html#group88B5", "88B⁵"), =HYPERLINK("CSG0.html#group16A0", "16A⁰"), =HYPERLINK("CSG2.html#group44A2", "44A²"), =HYPERLINK("CSG0.html#group1A0", "1A⁰"), =HYPERLINK("CSG0.html#group4A0", "4A⁰")</f>
        <v/>
      </c>
      <c r="N2934">
        <f>HYPERLINK("CSG24.html#group176A24", "176A²⁴")</f>
        <v/>
      </c>
    </row>
    <row r="2935">
      <c r="A2935" t="inlineStr">
        <is>
          <t>198A¹¹</t>
        </is>
      </c>
      <c r="B2935" t="inlineStr"/>
      <c r="C2935" t="inlineStr">
        <is>
          <t>198</t>
        </is>
      </c>
      <c r="D2935" t="inlineStr">
        <is>
          <t>2</t>
        </is>
      </c>
      <c r="E2935" t="inlineStr">
        <is>
          <t>99</t>
        </is>
      </c>
      <c r="F2935" t="inlineStr">
        <is>
          <t>24</t>
        </is>
      </c>
      <c r="G2935" t="inlineStr">
        <is>
          <t>0</t>
        </is>
      </c>
      <c r="H2935" t="inlineStr">
        <is>
          <t>198¹</t>
        </is>
      </c>
      <c r="I2935" t="n">
        <v>1</v>
      </c>
      <c r="J2935" t="inlineStr">
        <is>
          <t>4³, 12², 20⁶, 60⁴</t>
        </is>
      </c>
      <c r="K2935">
        <f>HYPERLINK("CSG0.html#group18A0", "18A⁰"), =HYPERLINK("CSG3.html#group66A3", "66A³"), =HYPERLINK("CSG5.html#group99A5", "99A⁵")</f>
        <v/>
      </c>
      <c r="L2935">
        <f>HYPERLINK("CSG24.html#group198A24", "198A²⁴")</f>
        <v/>
      </c>
      <c r="M2935">
        <f>HYPERLINK("CSG0.html#group11A0", "11A⁰"), =HYPERLINK("CSG0.html#group6B0", "6B⁰"), =HYPERLINK("CSG3.html#group66A3", "66A³"), =HYPERLINK("CSG1.html#group33A1", "33A¹"), =HYPERLINK("CSG0.html#group9A0", "9A⁰"), =HYPERLINK("CSG5.html#group99A5", "99A⁵"), =HYPERLINK("CSG0.html#group3A0", "3A⁰"), =HYPERLINK("CSG0.html#group1A0", "1A⁰"), =HYPERLINK("CSG0.html#group18A0", "18A⁰")</f>
        <v/>
      </c>
      <c r="N2935">
        <f>HYPERLINK("CSG24.html#group198A24", "198A²⁴")</f>
        <v/>
      </c>
    </row>
    <row r="2936">
      <c r="A2936" t="inlineStr">
        <is>
          <t>198B¹¹</t>
        </is>
      </c>
      <c r="B2936" t="inlineStr"/>
      <c r="C2936" t="inlineStr">
        <is>
          <t>198</t>
        </is>
      </c>
      <c r="D2936" t="inlineStr">
        <is>
          <t>2</t>
        </is>
      </c>
      <c r="E2936" t="inlineStr">
        <is>
          <t>99</t>
        </is>
      </c>
      <c r="F2936" t="inlineStr">
        <is>
          <t>24</t>
        </is>
      </c>
      <c r="G2936" t="inlineStr">
        <is>
          <t>0</t>
        </is>
      </c>
      <c r="H2936" t="inlineStr">
        <is>
          <t>198¹</t>
        </is>
      </c>
      <c r="I2936" t="n">
        <v>1</v>
      </c>
      <c r="J2936" t="inlineStr">
        <is>
          <t>4³, 12², 20⁶, 60⁴</t>
        </is>
      </c>
      <c r="K2936">
        <f>HYPERLINK("CSG0.html#group18A0", "18A⁰"), =HYPERLINK("CSG3.html#group66A3", "66A³"), =HYPERLINK("CSG5.html#group99A5", "99A⁵")</f>
        <v/>
      </c>
      <c r="L2936">
        <f>HYPERLINK("CSG24.html#group198A24", "198A²⁴")</f>
        <v/>
      </c>
      <c r="M2936">
        <f>HYPERLINK("CSG0.html#group11A0", "11A⁰"), =HYPERLINK("CSG0.html#group6B0", "6B⁰"), =HYPERLINK("CSG3.html#group66A3", "66A³"), =HYPERLINK("CSG1.html#group33A1", "33A¹"), =HYPERLINK("CSG0.html#group9A0", "9A⁰"), =HYPERLINK("CSG5.html#group99A5", "99A⁵"), =HYPERLINK("CSG0.html#group3A0", "3A⁰"), =HYPERLINK("CSG0.html#group1A0", "1A⁰"), =HYPERLINK("CSG0.html#group18A0", "18A⁰")</f>
        <v/>
      </c>
      <c r="N2936">
        <f>HYPERLINK("CSG24.html#group198A24", "198A²⁴")</f>
        <v/>
      </c>
    </row>
    <row r="2937">
      <c r="A2937" t="inlineStr">
        <is>
          <t>11A¹²</t>
        </is>
      </c>
      <c r="B2937" t="inlineStr"/>
      <c r="C2937" t="inlineStr">
        <is>
          <t>330</t>
        </is>
      </c>
      <c r="D2937" t="inlineStr">
        <is>
          <t>1</t>
        </is>
      </c>
      <c r="E2937" t="inlineStr">
        <is>
          <t>55</t>
        </is>
      </c>
      <c r="F2937" t="inlineStr">
        <is>
          <t>6</t>
        </is>
      </c>
      <c r="G2937" t="inlineStr">
        <is>
          <t>0</t>
        </is>
      </c>
      <c r="H2937" t="inlineStr">
        <is>
          <t>11³⁰</t>
        </is>
      </c>
      <c r="I2937" t="n">
        <v>30</v>
      </c>
      <c r="J2937" t="inlineStr">
        <is>
          <t>5¹, 10⁵</t>
        </is>
      </c>
      <c r="K2937">
        <f>HYPERLINK("CSG2.html#group11A2", "11A²"), =HYPERLINK("CSG3.html#group11A3", "11A³"), =HYPERLINK("CSG4.html#group11A4", "11A⁴"), =HYPERLINK("CSG5.html#group11A5", "11A⁵")</f>
        <v/>
      </c>
      <c r="L2937" t="inlineStr"/>
      <c r="M2937">
        <f>HYPERLINK("CSG0.html#group11A0", "11A⁰"), =HYPERLINK("CSG1.html#group11C1", "11C¹"), =HYPERLINK("CSG4.html#group11A4", "11A⁴"), =HYPERLINK("CSG5.html#group11A5", "11A⁵"), =HYPERLINK("CSG3.html#group11A3", "11A³"), =HYPERLINK("CSG1.html#group11B1", "11B¹"), =HYPERLINK("CSG0.html#group1A0", "1A⁰"), =HYPERLINK("CSG2.html#group11A2", "11A²")</f>
        <v/>
      </c>
      <c r="N2937" t="inlineStr"/>
    </row>
    <row r="2938">
      <c r="A2938" t="inlineStr">
        <is>
          <t>15A¹²</t>
        </is>
      </c>
      <c r="B2938" t="inlineStr"/>
      <c r="C2938" t="inlineStr">
        <is>
          <t>240</t>
        </is>
      </c>
      <c r="D2938" t="inlineStr">
        <is>
          <t>1</t>
        </is>
      </c>
      <c r="E2938" t="inlineStr">
        <is>
          <t>80</t>
        </is>
      </c>
      <c r="F2938" t="inlineStr">
        <is>
          <t>0</t>
        </is>
      </c>
      <c r="G2938" t="inlineStr">
        <is>
          <t>3</t>
        </is>
      </c>
      <c r="H2938" t="inlineStr">
        <is>
          <t>15¹⁶</t>
        </is>
      </c>
      <c r="I2938" t="n">
        <v>16</v>
      </c>
      <c r="J2938" t="inlineStr">
        <is>
          <t>4², 8⁹</t>
        </is>
      </c>
      <c r="K2938">
        <f>HYPERLINK("CSG2.html#group15E2", "15E²"), =HYPERLINK("CSG3.html#group15B3", "15B³"), =HYPERLINK("CSG3.html#group15D3", "15D³"), =HYPERLINK("CSG3.html#group15G3", "15G³")</f>
        <v/>
      </c>
      <c r="L2938">
        <f>HYPERLINK("CSG23.html#group15A23", "15A²³")</f>
        <v/>
      </c>
      <c r="M2938">
        <f>HYPERLINK("CSG0.html#group3B0", "3B⁰"), =HYPERLINK("CSG2.html#group15E2", "15E²"), =HYPERLINK("CSG0.html#group5A0", "5A⁰"), =HYPERLINK("CSG3.html#group15D3", "15D³"), =HYPERLINK("CSG0.html#group5C0", "5C⁰"), =HYPERLINK("CSG3.html#group15G3", "15G³"), =HYPERLINK("CSG1.html#group15B1", "15B¹"), =HYPERLINK("CSG0.html#group5F0", "5F⁰"), =HYPERLINK("CSG3.html#group15B3", "15B³"), =HYPERLINK("CSG2.html#group15C2", "15C²"), =HYPERLINK("CSG0.html#group1A0", "1A⁰"), =HYPERLINK("CSG0.html#group15A0", "15A⁰")</f>
        <v/>
      </c>
      <c r="N2938">
        <f>HYPERLINK("CSG23.html#group15A23", "15A²³")</f>
        <v/>
      </c>
    </row>
    <row r="2939">
      <c r="A2939" t="inlineStr">
        <is>
          <t>20A¹²</t>
        </is>
      </c>
      <c r="B2939" t="inlineStr"/>
      <c r="C2939" t="inlineStr">
        <is>
          <t>240</t>
        </is>
      </c>
      <c r="D2939" t="inlineStr">
        <is>
          <t>1</t>
        </is>
      </c>
      <c r="E2939" t="inlineStr">
        <is>
          <t>240</t>
        </is>
      </c>
      <c r="F2939" t="inlineStr">
        <is>
          <t>8</t>
        </is>
      </c>
      <c r="G2939" t="inlineStr">
        <is>
          <t>3</t>
        </is>
      </c>
      <c r="H2939" t="inlineStr">
        <is>
          <t>20¹²</t>
        </is>
      </c>
      <c r="I2939" t="n">
        <v>12</v>
      </c>
      <c r="J2939" t="inlineStr">
        <is>
          <t>8³⁰</t>
        </is>
      </c>
      <c r="K2939">
        <f>HYPERLINK("CSG1.html#group10J1", "10J¹"), =HYPERLINK("CSG3.html#group20O3", "20O³")</f>
        <v/>
      </c>
      <c r="L2939" t="inlineStr"/>
      <c r="M2939">
        <f>HYPERLINK("CSG2.html#group20E2", "20E²"), =HYPERLINK("CSG1.html#group10J1", "10J¹"), =HYPERLINK("CSG3.html#group20O3", "20O³"), =HYPERLINK("CSG0.html#group1A0", "1A⁰"), =HYPERLINK("CSG0.html#group4A0", "4A⁰"), =HYPERLINK("CSG0.html#group10D0", "10D⁰"), =HYPERLINK("CSG0.html#group5C0", "5C⁰")</f>
        <v/>
      </c>
      <c r="N2939" t="inlineStr"/>
    </row>
    <row r="2940">
      <c r="A2940" t="inlineStr">
        <is>
          <t>21A¹²</t>
        </is>
      </c>
      <c r="B2940" t="inlineStr"/>
      <c r="C2940" t="inlineStr">
        <is>
          <t>252</t>
        </is>
      </c>
      <c r="D2940" t="inlineStr">
        <is>
          <t>1</t>
        </is>
      </c>
      <c r="E2940" t="inlineStr">
        <is>
          <t>63</t>
        </is>
      </c>
      <c r="F2940" t="inlineStr">
        <is>
          <t>16</t>
        </is>
      </c>
      <c r="G2940" t="inlineStr">
        <is>
          <t>0</t>
        </is>
      </c>
      <c r="H2940" t="inlineStr">
        <is>
          <t>21¹²</t>
        </is>
      </c>
      <c r="I2940" t="n">
        <v>12</v>
      </c>
      <c r="J2940" t="inlineStr">
        <is>
          <t>3¹, 6⁴, 12³</t>
        </is>
      </c>
      <c r="K2940">
        <f>HYPERLINK("CSG4.html#group21D4", "21D⁴"), =HYPERLINK("CSG6.html#group21C6", "21C⁶")</f>
        <v/>
      </c>
      <c r="L2940" t="inlineStr"/>
      <c r="M2940">
        <f>HYPERLINK("CSG4.html#group21D4", "21D⁴"), =HYPERLINK("CSG2.html#group21D2", "21D²"), =HYPERLINK("CSG6.html#group21C6", "21C⁶"), =HYPERLINK("CSG0.html#group7D0", "7D⁰"), =HYPERLINK("CSG1.html#group21E1", "21E¹"), =HYPERLINK("CSG0.html#group21A0", "21A⁰"), =HYPERLINK("CSG0.html#group3C0", "3C⁰"), =HYPERLINK("CSG0.html#group3A0", "3A⁰"), =HYPERLINK("CSG0.html#group1A0", "1A⁰"), =HYPERLINK("CSG0.html#group7A0", "7A⁰")</f>
        <v/>
      </c>
      <c r="N2940" t="inlineStr"/>
    </row>
    <row r="2941">
      <c r="A2941" t="inlineStr">
        <is>
          <t>21B¹²</t>
        </is>
      </c>
      <c r="B2941" t="inlineStr"/>
      <c r="C2941" t="inlineStr">
        <is>
          <t>252</t>
        </is>
      </c>
      <c r="D2941" t="inlineStr">
        <is>
          <t>1</t>
        </is>
      </c>
      <c r="E2941" t="inlineStr">
        <is>
          <t>63</t>
        </is>
      </c>
      <c r="F2941" t="inlineStr">
        <is>
          <t>16</t>
        </is>
      </c>
      <c r="G2941" t="inlineStr">
        <is>
          <t>0</t>
        </is>
      </c>
      <c r="H2941" t="inlineStr">
        <is>
          <t>21¹²</t>
        </is>
      </c>
      <c r="I2941" t="n">
        <v>12</v>
      </c>
      <c r="J2941" t="inlineStr">
        <is>
          <t>6¹, 12¹⁰</t>
        </is>
      </c>
      <c r="K2941">
        <f>HYPERLINK("CSG4.html#group21D4", "21D⁴"), =HYPERLINK("CSG5.html#group21D5", "21D⁵")</f>
        <v/>
      </c>
      <c r="L2941" t="inlineStr"/>
      <c r="M2941">
        <f>HYPERLINK("CSG5.html#group21D5", "21D⁵"), =HYPERLINK("CSG4.html#group21D4", "21D⁴"), =HYPERLINK("CSG0.html#group7D0", "7D⁰"), =HYPERLINK("CSG1.html#group21E1", "21E¹"), =HYPERLINK("CSG1.html#group21D1", "21D¹"), =HYPERLINK("CSG0.html#group21A0", "21A⁰"), =HYPERLINK("CSG0.html#group3A0", "3A⁰"), =HYPERLINK("CSG0.html#group1A0", "1A⁰"), =HYPERLINK("CSG0.html#group7A0", "7A⁰")</f>
        <v/>
      </c>
      <c r="N2941" t="inlineStr"/>
    </row>
    <row r="2942">
      <c r="A2942" t="inlineStr">
        <is>
          <t>21C¹²</t>
        </is>
      </c>
      <c r="B2942" t="inlineStr"/>
      <c r="C2942" t="inlineStr">
        <is>
          <t>252</t>
        </is>
      </c>
      <c r="D2942" t="inlineStr">
        <is>
          <t>1</t>
        </is>
      </c>
      <c r="E2942" t="inlineStr">
        <is>
          <t>63</t>
        </is>
      </c>
      <c r="F2942" t="inlineStr">
        <is>
          <t>16</t>
        </is>
      </c>
      <c r="G2942" t="inlineStr">
        <is>
          <t>0</t>
        </is>
      </c>
      <c r="H2942" t="inlineStr">
        <is>
          <t>21¹²</t>
        </is>
      </c>
      <c r="I2942" t="n">
        <v>12</v>
      </c>
      <c r="J2942" t="inlineStr">
        <is>
          <t>6¹, 12¹⁰</t>
        </is>
      </c>
      <c r="K2942">
        <f>HYPERLINK("CSG4.html#group21D4", "21D⁴"), =HYPERLINK("CSG5.html#group21D5", "21D⁵")</f>
        <v/>
      </c>
      <c r="L2942" t="inlineStr"/>
      <c r="M2942">
        <f>HYPERLINK("CSG5.html#group21D5", "21D⁵"), =HYPERLINK("CSG4.html#group21D4", "21D⁴"), =HYPERLINK("CSG0.html#group7D0", "7D⁰"), =HYPERLINK("CSG1.html#group21E1", "21E¹"), =HYPERLINK("CSG1.html#group21D1", "21D¹"), =HYPERLINK("CSG0.html#group21A0", "21A⁰"), =HYPERLINK("CSG0.html#group3A0", "3A⁰"), =HYPERLINK("CSG0.html#group1A0", "1A⁰"), =HYPERLINK("CSG0.html#group7A0", "7A⁰")</f>
        <v/>
      </c>
      <c r="N2942" t="inlineStr"/>
    </row>
    <row r="2943">
      <c r="A2943" t="inlineStr">
        <is>
          <t>22A¹²</t>
        </is>
      </c>
      <c r="B2943" t="inlineStr"/>
      <c r="C2943" t="inlineStr">
        <is>
          <t>220</t>
        </is>
      </c>
      <c r="D2943" t="inlineStr">
        <is>
          <t>1</t>
        </is>
      </c>
      <c r="E2943" t="inlineStr">
        <is>
          <t>55</t>
        </is>
      </c>
      <c r="F2943" t="inlineStr">
        <is>
          <t>4</t>
        </is>
      </c>
      <c r="G2943" t="inlineStr">
        <is>
          <t>4</t>
        </is>
      </c>
      <c r="H2943" t="inlineStr">
        <is>
          <t>22¹⁰</t>
        </is>
      </c>
      <c r="I2943" t="n">
        <v>10</v>
      </c>
      <c r="J2943" t="inlineStr">
        <is>
          <t>5¹, 10⁵</t>
        </is>
      </c>
      <c r="K2943">
        <f>HYPERLINK("CSG4.html#group11A4", "11A⁴"), =HYPERLINK("CSG5.html#group22C5", "22C⁵")</f>
        <v/>
      </c>
      <c r="L2943" t="inlineStr"/>
      <c r="M2943">
        <f>HYPERLINK("CSG1.html#group11C1", "11C¹"), =HYPERLINK("CSG5.html#group22C5", "22C⁵"), =HYPERLINK("CSG0.html#group1A0", "1A⁰"), =HYPERLINK("CSG4.html#group11A4", "11A⁴")</f>
        <v/>
      </c>
      <c r="N2943" t="inlineStr"/>
    </row>
    <row r="2944">
      <c r="A2944" t="inlineStr">
        <is>
          <t>23A¹²</t>
        </is>
      </c>
      <c r="B2944" t="inlineStr">
        <is>
          <t>Γ₁(23)</t>
        </is>
      </c>
      <c r="C2944" t="inlineStr">
        <is>
          <t>264</t>
        </is>
      </c>
      <c r="D2944" t="inlineStr">
        <is>
          <t>1</t>
        </is>
      </c>
      <c r="E2944" t="inlineStr">
        <is>
          <t>24</t>
        </is>
      </c>
      <c r="F2944" t="inlineStr">
        <is>
          <t>0</t>
        </is>
      </c>
      <c r="G2944" t="inlineStr">
        <is>
          <t>0</t>
        </is>
      </c>
      <c r="H2944" t="inlineStr">
        <is>
          <t>1¹¹, 23¹¹</t>
        </is>
      </c>
      <c r="I2944" t="n">
        <v>22</v>
      </c>
      <c r="J2944" t="inlineStr">
        <is>
          <t>1², 22¹</t>
        </is>
      </c>
      <c r="K2944">
        <f>HYPERLINK("CSG2.html#group23A2", "23A²")</f>
        <v/>
      </c>
      <c r="L2944" t="inlineStr"/>
      <c r="M2944">
        <f>HYPERLINK("CSG0.html#group1A0", "1A⁰"), =HYPERLINK("CSG2.html#group23A2", "23A²")</f>
        <v/>
      </c>
      <c r="N2944" t="inlineStr"/>
    </row>
    <row r="2945">
      <c r="A2945" t="inlineStr">
        <is>
          <t>25A¹²</t>
        </is>
      </c>
      <c r="B2945" t="inlineStr"/>
      <c r="C2945" t="inlineStr">
        <is>
          <t>300</t>
        </is>
      </c>
      <c r="D2945" t="inlineStr">
        <is>
          <t>1</t>
        </is>
      </c>
      <c r="E2945" t="inlineStr">
        <is>
          <t>15</t>
        </is>
      </c>
      <c r="F2945" t="inlineStr">
        <is>
          <t>0</t>
        </is>
      </c>
      <c r="G2945" t="inlineStr">
        <is>
          <t>0</t>
        </is>
      </c>
      <c r="H2945" t="inlineStr">
        <is>
          <t>5²⁰, 25⁸</t>
        </is>
      </c>
      <c r="I2945" t="n">
        <v>28</v>
      </c>
      <c r="J2945" t="inlineStr">
        <is>
          <t>1¹, 2¹, 4³</t>
        </is>
      </c>
      <c r="K2945">
        <f>HYPERLINK("CSG0.html#group5H0", "5H⁰"), =HYPERLINK("CSG4.html#group25F4", "25F⁴"), =HYPERLINK("CSG6.html#group25E6", "25E⁶"), =HYPERLINK("CSG6.html#group25F6", "25F⁶")</f>
        <v/>
      </c>
      <c r="L2945" t="inlineStr"/>
      <c r="M2945">
        <f>HYPERLINK("CSG2.html#group25F2", "25F²"), =HYPERLINK("CSG4.html#group25F4", "25F⁴"), =HYPERLINK("CSG0.html#group5A0", "5A⁰"), =HYPERLINK("CSG0.html#group5B0", "5B⁰"), =HYPERLINK("CSG0.html#group5E0", "5E⁰"), =HYPERLINK("CSG0.html#group5D0", "5D⁰"), =HYPERLINK("CSG6.html#group25F6", "25F⁶"), =HYPERLINK("CSG0.html#group1A0", "1A⁰"), =HYPERLINK("CSG6.html#group25E6", "25E⁶"), =HYPERLINK("CSG0.html#group5F0", "5F⁰"), =HYPERLINK("CSG0.html#group5C0", "5C⁰"), =HYPERLINK("CSG0.html#group5H0", "5H⁰"), =HYPERLINK("CSG0.html#group5G0", "5G⁰")</f>
        <v/>
      </c>
      <c r="N2945" t="inlineStr"/>
    </row>
    <row r="2946">
      <c r="A2946" t="inlineStr">
        <is>
          <t>25B¹²</t>
        </is>
      </c>
      <c r="B2946" t="inlineStr">
        <is>
          <t>Γ₁(25)</t>
        </is>
      </c>
      <c r="C2946" t="inlineStr">
        <is>
          <t>300</t>
        </is>
      </c>
      <c r="D2946" t="inlineStr">
        <is>
          <t>1</t>
        </is>
      </c>
      <c r="E2946" t="inlineStr">
        <is>
          <t>30</t>
        </is>
      </c>
      <c r="F2946" t="inlineStr">
        <is>
          <t>0</t>
        </is>
      </c>
      <c r="G2946" t="inlineStr">
        <is>
          <t>0</t>
        </is>
      </c>
      <c r="H2946" t="inlineStr">
        <is>
          <t>1¹⁰, 5⁸, 25¹⁰</t>
        </is>
      </c>
      <c r="I2946" t="n">
        <v>28</v>
      </c>
      <c r="J2946" t="inlineStr">
        <is>
          <t>1², 4², 20¹</t>
        </is>
      </c>
      <c r="K2946">
        <f>HYPERLINK("CSG0.html#group25B0", "25B⁰"), =HYPERLINK("CSG4.html#group25G4", "25G⁴")</f>
        <v/>
      </c>
      <c r="L2946" t="inlineStr"/>
      <c r="M2946">
        <f>HYPERLINK("CSG0.html#group25A0", "25A⁰"), =HYPERLINK("CSG0.html#group5B0", "5B⁰"), =HYPERLINK("CSG0.html#group5D0", "5D⁰"), =HYPERLINK("CSG0.html#group1A0", "1A⁰"), =HYPERLINK("CSG0.html#group25B0", "25B⁰"), =HYPERLINK("CSG4.html#group25G4", "25G⁴")</f>
        <v/>
      </c>
      <c r="N2946" t="inlineStr"/>
    </row>
    <row r="2947">
      <c r="A2947" t="inlineStr">
        <is>
          <t>26A¹²</t>
        </is>
      </c>
      <c r="B2947" t="inlineStr"/>
      <c r="C2947" t="inlineStr">
        <is>
          <t>182</t>
        </is>
      </c>
      <c r="D2947" t="inlineStr">
        <is>
          <t>1</t>
        </is>
      </c>
      <c r="E2947" t="inlineStr">
        <is>
          <t>91</t>
        </is>
      </c>
      <c r="F2947" t="inlineStr">
        <is>
          <t>0</t>
        </is>
      </c>
      <c r="G2947" t="inlineStr">
        <is>
          <t>2</t>
        </is>
      </c>
      <c r="H2947" t="inlineStr">
        <is>
          <t>26⁷</t>
        </is>
      </c>
      <c r="I2947" t="n">
        <v>7</v>
      </c>
      <c r="J2947" t="inlineStr">
        <is>
          <t>1¹, 6¹, 12⁷</t>
        </is>
      </c>
      <c r="K2947">
        <f>HYPERLINK("CSG0.html#group2A0", "2A⁰"), =HYPERLINK("CSG3.html#group13C3", "13C³")</f>
        <v/>
      </c>
      <c r="L2947">
        <f>HYPERLINK("CSG23.html#group26A23", "26A²³"), =HYPERLINK("CSG23.html#group26B23", "26B²³"), =HYPERLINK("CSG23.html#group26C23", "26C²³")</f>
        <v/>
      </c>
      <c r="M2947">
        <f>HYPERLINK("CSG0.html#group2A0", "2A⁰"), =HYPERLINK("CSG0.html#group1A0", "1A⁰"), =HYPERLINK("CSG3.html#group13C3", "13C³")</f>
        <v/>
      </c>
      <c r="N2947">
        <f>HYPERLINK("CSG23.html#group26B23", "26B²³"), =HYPERLINK("CSG23.html#group26A23", "26A²³"), =HYPERLINK("CSG23.html#group26C23", "26C²³")</f>
        <v/>
      </c>
    </row>
    <row r="2948">
      <c r="A2948" t="inlineStr">
        <is>
          <t>27A¹²</t>
        </is>
      </c>
      <c r="B2948" t="inlineStr"/>
      <c r="C2948" t="inlineStr">
        <is>
          <t>243</t>
        </is>
      </c>
      <c r="D2948" t="inlineStr">
        <is>
          <t>1</t>
        </is>
      </c>
      <c r="E2948" t="inlineStr">
        <is>
          <t>243</t>
        </is>
      </c>
      <c r="F2948" t="inlineStr">
        <is>
          <t>19</t>
        </is>
      </c>
      <c r="G2948" t="inlineStr">
        <is>
          <t>0</t>
        </is>
      </c>
      <c r="H2948" t="inlineStr">
        <is>
          <t>27⁹</t>
        </is>
      </c>
      <c r="I2948" t="n">
        <v>9</v>
      </c>
      <c r="J2948" t="inlineStr">
        <is>
          <t>9¹, 18¹³</t>
        </is>
      </c>
      <c r="K2948">
        <f>HYPERLINK("CSG3.html#group27B3", "27B³")</f>
        <v/>
      </c>
      <c r="L2948" t="inlineStr"/>
      <c r="M2948">
        <f>HYPERLINK("CSG3.html#group27B3", "27B³"), =HYPERLINK("CSG0.html#group3A0", "3A⁰"), =HYPERLINK("CSG0.html#group1A0", "1A⁰"), =HYPERLINK("CSG0.html#group9G0", "9G⁰"), =HYPERLINK("CSG0.html#group9A0", "9A⁰")</f>
        <v/>
      </c>
      <c r="N2948" t="inlineStr"/>
    </row>
    <row r="2949">
      <c r="A2949" t="inlineStr">
        <is>
          <t>28A¹²</t>
        </is>
      </c>
      <c r="B2949" t="inlineStr"/>
      <c r="C2949" t="inlineStr">
        <is>
          <t>168</t>
        </is>
      </c>
      <c r="D2949" t="inlineStr">
        <is>
          <t>1</t>
        </is>
      </c>
      <c r="E2949" t="inlineStr">
        <is>
          <t>84</t>
        </is>
      </c>
      <c r="F2949" t="inlineStr">
        <is>
          <t>0</t>
        </is>
      </c>
      <c r="G2949" t="inlineStr">
        <is>
          <t>0</t>
        </is>
      </c>
      <c r="H2949" t="inlineStr">
        <is>
          <t>28⁶</t>
        </is>
      </c>
      <c r="I2949" t="n">
        <v>6</v>
      </c>
      <c r="J2949" t="inlineStr">
        <is>
          <t>6², 12⁶</t>
        </is>
      </c>
      <c r="K2949">
        <f>HYPERLINK("CSG3.html#group14A3", "14A³"), =HYPERLINK("CSG4.html#group28A4", "28A⁴"), =HYPERLINK("CSG4.html#group28B4", "28B⁴")</f>
        <v/>
      </c>
      <c r="L2949">
        <f>HYPERLINK("CSG23.html#group28B23", "28B²³"), =HYPERLINK("CSG23.html#group28D23", "28D²³")</f>
        <v/>
      </c>
      <c r="M2949">
        <f>HYPERLINK("CSG0.html#group2A0", "2A⁰"), =HYPERLINK("CSG0.html#group7D0", "7D⁰"), =HYPERLINK("CSG3.html#group14A3", "14A³"), =HYPERLINK("CSG4.html#group28A4", "28A⁴"), =HYPERLINK("CSG0.html#group4A0", "4A⁰"), =HYPERLINK("CSG1.html#group14A1", "14A¹"), =HYPERLINK("CSG0.html#group4D0", "4D⁰"), =HYPERLINK("CSG4.html#group28B4", "28B⁴"), =HYPERLINK("CSG1.html#group28A1", "28A¹"), =HYPERLINK("CSG0.html#group1A0", "1A⁰"), =HYPERLINK("CSG0.html#group7A0", "7A⁰")</f>
        <v/>
      </c>
      <c r="N2949">
        <f>HYPERLINK("CSG23.html#group28B23", "28B²³"), =HYPERLINK("CSG23.html#group28D23", "28D²³")</f>
        <v/>
      </c>
    </row>
    <row r="2950">
      <c r="A2950" t="inlineStr">
        <is>
          <t>28B¹²</t>
        </is>
      </c>
      <c r="B2950" t="inlineStr"/>
      <c r="C2950" t="inlineStr">
        <is>
          <t>168</t>
        </is>
      </c>
      <c r="D2950" t="inlineStr">
        <is>
          <t>2</t>
        </is>
      </c>
      <c r="E2950" t="inlineStr">
        <is>
          <t>7</t>
        </is>
      </c>
      <c r="F2950" t="inlineStr">
        <is>
          <t>0</t>
        </is>
      </c>
      <c r="G2950" t="inlineStr">
        <is>
          <t>0</t>
        </is>
      </c>
      <c r="H2950" t="inlineStr">
        <is>
          <t>28⁶</t>
        </is>
      </c>
      <c r="I2950" t="n">
        <v>6</v>
      </c>
      <c r="J2950" t="inlineStr">
        <is>
          <t>2¹, 6²</t>
        </is>
      </c>
      <c r="K2950">
        <f>HYPERLINK("CSG0.html#group4G0", "4G⁰"), =HYPERLINK("CSG4.html#group28A4", "28A⁴"), =HYPERLINK("CSG5.html#group28D5", "28D⁵"), =HYPERLINK("CSG6.html#group28C6", "28C⁶")</f>
        <v/>
      </c>
      <c r="L2950">
        <f>HYPERLINK("CSG23.html#group28C23", "28C²³"), =HYPERLINK("CSG24.html#group56A24", "56A²⁴"), =HYPERLINK("CSG24.html#group56B24", "56B²⁴")</f>
        <v/>
      </c>
      <c r="M2950">
        <f>HYPERLINK("CSG0.html#group2A0", "2A⁰"), =HYPERLINK("CSG3.html#group14B3", "14B³"), =HYPERLINK("CSG1.html#group14B1", "14B¹"), =HYPERLINK("CSG0.html#group4C0", "4C⁰"), =HYPERLINK("CSG1.html#group14A1", "14A¹"), =HYPERLINK("CSG3.html#group28A3", "28A³"), =HYPERLINK("CSG0.html#group4G0", "4G⁰"), =HYPERLINK("CSG0.html#group2B0", "2B⁰"), =HYPERLINK("CSG0.html#group4E0", "4E⁰"), =HYPERLINK("CSG0.html#group4B0", "4B⁰"), =HYPERLINK("CSG0.html#group1A0", "1A⁰"), =HYPERLINK("CSG2.html#group28C2", "28C²"), =HYPERLINK("CSG0.html#group4A0", "4A⁰"), =HYPERLINK("CSG4.html#group28A4", "28A⁴"), =HYPERLINK("CSG0.html#group4D0", "4D⁰"), =HYPERLINK("CSG5.html#group28D5", "28D⁵"), =HYPERLINK("CSG6.html#group28C6", "28C⁶"), =HYPERLINK("CSG0.html#group4F0", "4F⁰"), =HYPERLINK("CSG1.html#group28A1", "28A¹"), =HYPERLINK("CSG0.html#group2C0", "2C⁰"), =HYPERLINK("CSG0.html#group7A0", "7A⁰")</f>
        <v/>
      </c>
      <c r="N2950">
        <f>HYPERLINK("CSG24.html#group56A24", "56A²⁴"), =HYPERLINK("CSG23.html#group28C23", "28C²³"), =HYPERLINK("CSG24.html#group56B24", "56B²⁴")</f>
        <v/>
      </c>
    </row>
    <row r="2951">
      <c r="A2951" t="inlineStr">
        <is>
          <t>28C¹²</t>
        </is>
      </c>
      <c r="B2951" t="inlineStr"/>
      <c r="C2951" t="inlineStr">
        <is>
          <t>168</t>
        </is>
      </c>
      <c r="D2951" t="inlineStr">
        <is>
          <t>2</t>
        </is>
      </c>
      <c r="E2951" t="inlineStr">
        <is>
          <t>21</t>
        </is>
      </c>
      <c r="F2951" t="inlineStr">
        <is>
          <t>0</t>
        </is>
      </c>
      <c r="G2951" t="inlineStr">
        <is>
          <t>0</t>
        </is>
      </c>
      <c r="H2951" t="inlineStr">
        <is>
          <t>28⁶</t>
        </is>
      </c>
      <c r="I2951" t="n">
        <v>6</v>
      </c>
      <c r="J2951" t="inlineStr">
        <is>
          <t>2³, 6⁶</t>
        </is>
      </c>
      <c r="K2951">
        <f>HYPERLINK("CSG5.html#group28C5", "28C⁵"), =HYPERLINK("CSG6.html#group28B6", "28B⁶"), =HYPERLINK("CSG6.html#group28C6", "28C⁶")</f>
        <v/>
      </c>
      <c r="L2951">
        <f>HYPERLINK("CSG23.html#group28C23", "28C²³"), =HYPERLINK("CSG24.html#group56G24", "56G²⁴")</f>
        <v/>
      </c>
      <c r="M2951">
        <f>HYPERLINK("CSG0.html#group2A0", "2A⁰"), =HYPERLINK("CSG6.html#group28B6", "28B⁶"), =HYPERLINK("CSG1.html#group14B1", "14B¹"), =HYPERLINK("CSG3.html#group14B3", "14B³"), =HYPERLINK("CSG0.html#group4C0", "4C⁰"), =HYPERLINK("CSG1.html#group14A1", "14A¹"), =HYPERLINK("CSG3.html#group28A3", "28A³"), =HYPERLINK("CSG5.html#group28C5", "28C⁵"), =HYPERLINK("CSG0.html#group2B0", "2B⁰"), =HYPERLINK("CSG0.html#group4E0", "4E⁰"), =HYPERLINK("CSG0.html#group4B0", "4B⁰"), =HYPERLINK("CSG0.html#group1A0", "1A⁰"), =HYPERLINK("CSG2.html#group28C2", "28C²"), =HYPERLINK("CSG6.html#group28C6", "28C⁶"), =HYPERLINK("CSG3.html#group28B3", "28B³"), =HYPERLINK("CSG0.html#group2C0", "2C⁰"), =HYPERLINK("CSG2.html#group28B2", "28B²"), =HYPERLINK("CSG0.html#group7A0", "7A⁰")</f>
        <v/>
      </c>
      <c r="N2951">
        <f>HYPERLINK("CSG23.html#group28C23", "28C²³"), =HYPERLINK("CSG24.html#group56G24", "56G²⁴")</f>
        <v/>
      </c>
    </row>
    <row r="2952">
      <c r="A2952" t="inlineStr">
        <is>
          <t>28D¹²</t>
        </is>
      </c>
      <c r="B2952" t="inlineStr"/>
      <c r="C2952" t="inlineStr">
        <is>
          <t>252</t>
        </is>
      </c>
      <c r="D2952" t="inlineStr">
        <is>
          <t>1</t>
        </is>
      </c>
      <c r="E2952" t="inlineStr">
        <is>
          <t>63</t>
        </is>
      </c>
      <c r="F2952" t="inlineStr">
        <is>
          <t>16</t>
        </is>
      </c>
      <c r="G2952" t="inlineStr">
        <is>
          <t>0</t>
        </is>
      </c>
      <c r="H2952" t="inlineStr">
        <is>
          <t>14⁶, 28⁶</t>
        </is>
      </c>
      <c r="I2952" t="n">
        <v>12</v>
      </c>
      <c r="J2952" t="inlineStr">
        <is>
          <t>3³, 6⁹</t>
        </is>
      </c>
      <c r="K2952">
        <f>HYPERLINK("CSG5.html#group14G5", "14G⁵"), =HYPERLINK("CSG5.html#group28H5", "28H⁵"), =HYPERLINK("CSG6.html#group28I6", "28I⁶")</f>
        <v/>
      </c>
      <c r="L2952" t="inlineStr"/>
      <c r="M2952">
        <f>HYPERLINK("CSG2.html#group28C2", "28C²"), =HYPERLINK("CSG1.html#group14E1", "14E¹"), =HYPERLINK("CSG5.html#group14G5", "14G⁵"), =HYPERLINK("CSG0.html#group7D0", "7D⁰"), =HYPERLINK("CSG1.html#group14B1", "14B¹"), =HYPERLINK("CSG5.html#group28H5", "28H⁵"), =HYPERLINK("CSG0.html#group4C0", "4C⁰"), =HYPERLINK("CSG2.html#group14F2", "14F²"), =HYPERLINK("CSG0.html#group2B0", "2B⁰"), =HYPERLINK("CSG6.html#group28I6", "28I⁶"), =HYPERLINK("CSG0.html#group1A0", "1A⁰"), =HYPERLINK("CSG0.html#group7A0", "7A⁰")</f>
        <v/>
      </c>
      <c r="N2952" t="inlineStr"/>
    </row>
    <row r="2953">
      <c r="A2953" t="inlineStr">
        <is>
          <t>30A¹²</t>
        </is>
      </c>
      <c r="B2953" t="inlineStr"/>
      <c r="C2953" t="inlineStr">
        <is>
          <t>180</t>
        </is>
      </c>
      <c r="D2953" t="inlineStr">
        <is>
          <t>1</t>
        </is>
      </c>
      <c r="E2953" t="inlineStr">
        <is>
          <t>15</t>
        </is>
      </c>
      <c r="F2953" t="inlineStr">
        <is>
          <t>0</t>
        </is>
      </c>
      <c r="G2953" t="inlineStr">
        <is>
          <t>0</t>
        </is>
      </c>
      <c r="H2953" t="inlineStr">
        <is>
          <t>15⁴, 30⁴</t>
        </is>
      </c>
      <c r="I2953" t="n">
        <v>8</v>
      </c>
      <c r="J2953" t="inlineStr">
        <is>
          <t>1³, 4³</t>
        </is>
      </c>
      <c r="K2953">
        <f>HYPERLINK("CSG0.html#group6K0", "6K⁰"), =HYPERLINK("CSG4.html#group15A4", "15A⁴"), =HYPERLINK("CSG4.html#group30D4", "30D⁴"), =HYPERLINK("CSG6.html#group30A6", "30A⁶")</f>
        <v/>
      </c>
      <c r="L2953" t="inlineStr"/>
      <c r="M2953">
        <f>HYPERLINK("CSG0.html#group3B0", "3B⁰"), =HYPERLINK("CSG0.html#group5A0", "5A⁰"), =HYPERLINK("CSG4.html#group15A4", "15A⁴"), =HYPERLINK("CSG1.html#group15A1", "15A¹"), =HYPERLINK("CSG1.html#group10B1", "10B¹"), =HYPERLINK("CSG0.html#group6G0", "6G⁰"), =HYPERLINK("CSG0.html#group2B0", "2B⁰"), =HYPERLINK("CSG0.html#group1A0", "1A⁰"), =HYPERLINK("CSG0.html#group3D0", "3D⁰"), =HYPERLINK("CSG3.html#group30D3", "30D³"), =HYPERLINK("CSG4.html#group30D4", "30D⁴"), =HYPERLINK("CSG2.html#group15A2", "15A²"), =HYPERLINK("CSG1.html#group15B1", "15B¹"), =HYPERLINK("CSG0.html#group3C0", "3C⁰"), =HYPERLINK("CSG0.html#group6K0", "6K⁰"), =HYPERLINK("CSG6.html#group30A6", "30A⁶"), =HYPERLINK("CSG0.html#group3A0", "3A⁰"), =HYPERLINK("CSG0.html#group6F0", "6F⁰"), =HYPERLINK("CSG0.html#group6D0", "6D⁰")</f>
        <v/>
      </c>
      <c r="N2953" t="inlineStr"/>
    </row>
    <row r="2954">
      <c r="A2954" t="inlineStr">
        <is>
          <t>30B¹²</t>
        </is>
      </c>
      <c r="B2954" t="inlineStr"/>
      <c r="C2954" t="inlineStr">
        <is>
          <t>180</t>
        </is>
      </c>
      <c r="D2954" t="inlineStr">
        <is>
          <t>1</t>
        </is>
      </c>
      <c r="E2954" t="inlineStr">
        <is>
          <t>30</t>
        </is>
      </c>
      <c r="F2954" t="inlineStr">
        <is>
          <t>0</t>
        </is>
      </c>
      <c r="G2954" t="inlineStr">
        <is>
          <t>0</t>
        </is>
      </c>
      <c r="H2954" t="inlineStr">
        <is>
          <t>15⁴, 30⁴</t>
        </is>
      </c>
      <c r="I2954" t="n">
        <v>8</v>
      </c>
      <c r="J2954" t="inlineStr">
        <is>
          <t>2³, 4⁶</t>
        </is>
      </c>
      <c r="K2954">
        <f>HYPERLINK("CSG2.html#group10D2", "10D²"), =HYPERLINK("CSG3.html#group30D3", "30D³"), =HYPERLINK("CSG4.html#group15B4", "15B⁴"), =HYPERLINK("CSG5.html#group30K5", "30K⁵")</f>
        <v/>
      </c>
      <c r="L2954">
        <f>HYPERLINK("CSG23.html#group30F23", "30F²³")</f>
        <v/>
      </c>
      <c r="M2954">
        <f>HYPERLINK("CSG0.html#group5A0", "5A⁰"), =HYPERLINK("CSG1.html#group10B1", "10B¹"), =HYPERLINK("CSG4.html#group15B4", "15B⁴"), =HYPERLINK("CSG0.html#group5F0", "5F⁰"), =HYPERLINK("CSG0.html#group2B0", "2B⁰"), =HYPERLINK("CSG0.html#group1A0", "1A⁰"), =HYPERLINK("CSG2.html#group10D2", "10D²"), =HYPERLINK("CSG1.html#group10F1", "10F¹"), =HYPERLINK("CSG5.html#group30K5", "30K⁵"), =HYPERLINK("CSG3.html#group30D3", "30D³"), =HYPERLINK("CSG1.html#group15D1", "15D¹"), =HYPERLINK("CSG0.html#group6D0", "6D⁰"), =HYPERLINK("CSG0.html#group3A0", "3A⁰"), =HYPERLINK("CSG0.html#group5C0", "5C⁰"), =HYPERLINK("CSG1.html#group15A1", "15A¹")</f>
        <v/>
      </c>
      <c r="N2954">
        <f>HYPERLINK("CSG23.html#group30F23", "30F²³")</f>
        <v/>
      </c>
    </row>
    <row r="2955">
      <c r="A2955" t="inlineStr">
        <is>
          <t>30C¹²</t>
        </is>
      </c>
      <c r="B2955" t="inlineStr"/>
      <c r="C2955" t="inlineStr">
        <is>
          <t>180</t>
        </is>
      </c>
      <c r="D2955" t="inlineStr">
        <is>
          <t>1</t>
        </is>
      </c>
      <c r="E2955" t="inlineStr">
        <is>
          <t>45</t>
        </is>
      </c>
      <c r="F2955" t="inlineStr">
        <is>
          <t>4</t>
        </is>
      </c>
      <c r="G2955" t="inlineStr">
        <is>
          <t>0</t>
        </is>
      </c>
      <c r="H2955" t="inlineStr">
        <is>
          <t>30⁶</t>
        </is>
      </c>
      <c r="I2955" t="n">
        <v>6</v>
      </c>
      <c r="J2955" t="inlineStr">
        <is>
          <t>1¹, 2², 4⁴, 8³</t>
        </is>
      </c>
      <c r="K2955">
        <f>HYPERLINK("CSG4.html#group15C4", "15C⁴"), =HYPERLINK("CSG5.html#group30L5", "30L⁵")</f>
        <v/>
      </c>
      <c r="L2955">
        <f>HYPERLINK("CSG23.html#group30B23", "30B²³"), =HYPERLINK("CSG23.html#group30D23", "30D²³"), =HYPERLINK("CSG23.html#group30E23", "30E²³")</f>
        <v/>
      </c>
      <c r="M2955">
        <f>HYPERLINK("CSG4.html#group15C4", "15C⁴"), =HYPERLINK("CSG0.html#group5A0", "5A⁰"), =HYPERLINK("CSG5.html#group30L5", "30L⁵"), =HYPERLINK("CSG2.html#group15A2", "15A²"), =HYPERLINK("CSG1.html#group15F1", "15F¹"), =HYPERLINK("CSG0.html#group5E0", "5E⁰"), =HYPERLINK("CSG0.html#group3C0", "3C⁰"), =HYPERLINK("CSG0.html#group3A0", "3A⁰"), =HYPERLINK("CSG0.html#group1A0", "1A⁰"), =HYPERLINK("CSG1.html#group15A1", "15A¹"), =HYPERLINK("CSG0.html#group15A0", "15A⁰")</f>
        <v/>
      </c>
      <c r="N2955">
        <f>HYPERLINK("CSG23.html#group30E23", "30E²³"), =HYPERLINK("CSG23.html#group30D23", "30D²³"), =HYPERLINK("CSG23.html#group30B23", "30B²³")</f>
        <v/>
      </c>
    </row>
    <row r="2956">
      <c r="A2956" t="inlineStr">
        <is>
          <t>30D¹²</t>
        </is>
      </c>
      <c r="B2956" t="inlineStr"/>
      <c r="C2956" t="inlineStr">
        <is>
          <t>180</t>
        </is>
      </c>
      <c r="D2956" t="inlineStr">
        <is>
          <t>1</t>
        </is>
      </c>
      <c r="E2956" t="inlineStr">
        <is>
          <t>45</t>
        </is>
      </c>
      <c r="F2956" t="inlineStr">
        <is>
          <t>4</t>
        </is>
      </c>
      <c r="G2956" t="inlineStr">
        <is>
          <t>0</t>
        </is>
      </c>
      <c r="H2956" t="inlineStr">
        <is>
          <t>30⁶</t>
        </is>
      </c>
      <c r="I2956" t="n">
        <v>6</v>
      </c>
      <c r="J2956" t="inlineStr">
        <is>
          <t>1¹, 2², 4⁴, 8³</t>
        </is>
      </c>
      <c r="K2956">
        <f>HYPERLINK("CSG2.html#group30C2", "30C²"), =HYPERLINK("CSG4.html#group15D4", "15D⁴"), =HYPERLINK("CSG4.html#group30C4", "30C⁴"), =HYPERLINK("CSG5.html#group30L5", "30L⁵")</f>
        <v/>
      </c>
      <c r="L2956">
        <f>HYPERLINK("CSG23.html#group30C23", "30C²³"), =HYPERLINK("CSG23.html#group30J23", "30J²³")</f>
        <v/>
      </c>
      <c r="M2956">
        <f>HYPERLINK("CSG0.html#group5A0", "5A⁰"), =HYPERLINK("CSG4.html#group15D4", "15D⁴"), =HYPERLINK("CSG1.html#group15F1", "15F¹"), =HYPERLINK("CSG0.html#group5B0", "5B⁰"), =HYPERLINK("CSG0.html#group1A0", "1A⁰"), =HYPERLINK("CSG4.html#group30C4", "30C⁴"), =HYPERLINK("CSG1.html#group15D1", "15D¹"), =HYPERLINK("CSG0.html#group15B0", "15B⁰"), =HYPERLINK("CSG5.html#group30L5", "30L⁵"), =HYPERLINK("CSG0.html#group5E0", "5E⁰"), =HYPERLINK("CSG0.html#group15A0", "15A⁰"), =HYPERLINK("CSG0.html#group3A0", "3A⁰"), =HYPERLINK("CSG0.html#group5C0", "5C⁰"), =HYPERLINK("CSG0.html#group5G0", "5G⁰"), =HYPERLINK("CSG1.html#group15A1", "15A¹"), =HYPERLINK("CSG2.html#group30C2", "30C²")</f>
        <v/>
      </c>
      <c r="N2956">
        <f>HYPERLINK("CSG23.html#group30C23", "30C²³"), =HYPERLINK("CSG23.html#group30J23", "30J²³")</f>
        <v/>
      </c>
    </row>
    <row r="2957">
      <c r="A2957" t="inlineStr">
        <is>
          <t>30E¹²</t>
        </is>
      </c>
      <c r="B2957" t="inlineStr"/>
      <c r="C2957" t="inlineStr">
        <is>
          <t>180</t>
        </is>
      </c>
      <c r="D2957" t="inlineStr">
        <is>
          <t>1</t>
        </is>
      </c>
      <c r="E2957" t="inlineStr">
        <is>
          <t>45</t>
        </is>
      </c>
      <c r="F2957" t="inlineStr">
        <is>
          <t>4</t>
        </is>
      </c>
      <c r="G2957" t="inlineStr">
        <is>
          <t>0</t>
        </is>
      </c>
      <c r="H2957" t="inlineStr">
        <is>
          <t>30⁶</t>
        </is>
      </c>
      <c r="I2957" t="n">
        <v>6</v>
      </c>
      <c r="J2957" t="inlineStr">
        <is>
          <t>1³, 2³, 4³, 8³</t>
        </is>
      </c>
      <c r="K2957">
        <f>HYPERLINK("CSG0.html#group6L0", "6L⁰"), =HYPERLINK("CSG4.html#group30A4", "30A⁴"), =HYPERLINK("CSG6.html#group30A6", "30A⁶"), =HYPERLINK("CSG6.html#group30B6", "30B⁶")</f>
        <v/>
      </c>
      <c r="L2957" t="inlineStr"/>
      <c r="M2957">
        <f>HYPERLINK("CSG0.html#group5A0", "5A⁰"), =HYPERLINK("CSG0.html#group6B0", "6B⁰"), =HYPERLINK("CSG1.html#group15A1", "15A¹"), =HYPERLINK("CSG1.html#group10B1", "10B¹"), =HYPERLINK("CSG0.html#group6G0", "6G⁰"), =HYPERLINK("CSG0.html#group2B0", "2B⁰"), =HYPERLINK("CSG4.html#group30A4", "30A⁴"), =HYPERLINK("CSG6.html#group30B6", "30B⁶"), =HYPERLINK("CSG0.html#group1A0", "1A⁰"), =HYPERLINK("CSG3.html#group30D3", "30D³"), =HYPERLINK("CSG2.html#group30A2", "30A²"), =HYPERLINK("CSG2.html#group15A2", "15A²"), =HYPERLINK("CSG0.html#group6E0", "6E⁰"), =HYPERLINK("CSG0.html#group6L0", "6L⁰"), =HYPERLINK("CSG0.html#group3C0", "3C⁰"), =HYPERLINK("CSG6.html#group30A6", "30A⁶"), =HYPERLINK("CSG0.html#group6H0", "6H⁰"), =HYPERLINK("CSG0.html#group3A0", "3A⁰"), =HYPERLINK("CSG0.html#group6D0", "6D⁰")</f>
        <v/>
      </c>
      <c r="N2957" t="inlineStr"/>
    </row>
    <row r="2958">
      <c r="A2958" t="inlineStr">
        <is>
          <t>30F¹²</t>
        </is>
      </c>
      <c r="B2958" t="inlineStr"/>
      <c r="C2958" t="inlineStr">
        <is>
          <t>180</t>
        </is>
      </c>
      <c r="D2958" t="inlineStr">
        <is>
          <t>1</t>
        </is>
      </c>
      <c r="E2958" t="inlineStr">
        <is>
          <t>60</t>
        </is>
      </c>
      <c r="F2958" t="inlineStr">
        <is>
          <t>0</t>
        </is>
      </c>
      <c r="G2958" t="inlineStr">
        <is>
          <t>0</t>
        </is>
      </c>
      <c r="H2958" t="inlineStr">
        <is>
          <t>15⁴, 30⁴</t>
        </is>
      </c>
      <c r="I2958" t="n">
        <v>8</v>
      </c>
      <c r="J2958" t="inlineStr">
        <is>
          <t>4³, 8⁶</t>
        </is>
      </c>
      <c r="K2958">
        <f>HYPERLINK("CSG2.html#group10D2", "10D²"), =HYPERLINK("CSG3.html#group15B3", "15B³"), =HYPERLINK("CSG3.html#group30E3", "30E³")</f>
        <v/>
      </c>
      <c r="L2958" t="inlineStr"/>
      <c r="M2958">
        <f>HYPERLINK("CSG0.html#group5A0", "5A⁰"), =HYPERLINK("CSG3.html#group30E3", "30E³"), =HYPERLINK("CSG1.html#group10B1", "10B¹"), =HYPERLINK("CSG0.html#group5C0", "5C⁰"), =HYPERLINK("CSG0.html#group5F0", "5F⁰"), =HYPERLINK("CSG0.html#group1A0", "1A⁰"), =HYPERLINK("CSG3.html#group15B3", "15B³"), =HYPERLINK("CSG0.html#group2B0", "2B⁰"), =HYPERLINK("CSG1.html#group10F1", "10F¹"), =HYPERLINK("CSG2.html#group10D2", "10D²"), =HYPERLINK("CSG0.html#group15A0", "15A⁰")</f>
        <v/>
      </c>
      <c r="N2958" t="inlineStr"/>
    </row>
    <row r="2959">
      <c r="A2959" t="inlineStr">
        <is>
          <t>30G¹²</t>
        </is>
      </c>
      <c r="B2959" t="inlineStr"/>
      <c r="C2959" t="inlineStr">
        <is>
          <t>180</t>
        </is>
      </c>
      <c r="D2959" t="inlineStr">
        <is>
          <t>1</t>
        </is>
      </c>
      <c r="E2959" t="inlineStr">
        <is>
          <t>90</t>
        </is>
      </c>
      <c r="F2959" t="inlineStr">
        <is>
          <t>4</t>
        </is>
      </c>
      <c r="G2959" t="inlineStr">
        <is>
          <t>0</t>
        </is>
      </c>
      <c r="H2959" t="inlineStr">
        <is>
          <t>30⁶</t>
        </is>
      </c>
      <c r="I2959" t="n">
        <v>6</v>
      </c>
      <c r="J2959" t="inlineStr">
        <is>
          <t>2³, 4⁹, 8⁶</t>
        </is>
      </c>
      <c r="K2959">
        <f>HYPERLINK("CSG4.html#group30C4", "30C⁴"), =HYPERLINK("CSG5.html#group30K5", "30K⁵")</f>
        <v/>
      </c>
      <c r="L2959">
        <f>HYPERLINK("CSG23.html#group30H23", "30H²³"), =HYPERLINK("CSG23.html#group30K23", "30K²³")</f>
        <v/>
      </c>
      <c r="M2959">
        <f>HYPERLINK("CSG5.html#group30K5", "30K⁵"), =HYPERLINK("CSG4.html#group30C4", "30C⁴"), =HYPERLINK("CSG1.html#group15D1", "15D¹"), =HYPERLINK("CSG0.html#group1A0", "1A⁰"), =HYPERLINK("CSG0.html#group2B0", "2B⁰"), =HYPERLINK("CSG0.html#group3A0", "3A⁰"), =HYPERLINK("CSG0.html#group5C0", "5C⁰"), =HYPERLINK("CSG0.html#group6D0", "6D⁰"), =HYPERLINK("CSG1.html#group10F1", "10F¹")</f>
        <v/>
      </c>
      <c r="N2959">
        <f>HYPERLINK("CSG23.html#group30H23", "30H²³"), =HYPERLINK("CSG23.html#group30K23", "30K²³")</f>
        <v/>
      </c>
    </row>
    <row r="2960">
      <c r="A2960" t="inlineStr">
        <is>
          <t>30H¹²</t>
        </is>
      </c>
      <c r="B2960" t="inlineStr"/>
      <c r="C2960" t="inlineStr">
        <is>
          <t>180</t>
        </is>
      </c>
      <c r="D2960" t="inlineStr">
        <is>
          <t>2</t>
        </is>
      </c>
      <c r="E2960" t="inlineStr">
        <is>
          <t>60</t>
        </is>
      </c>
      <c r="F2960" t="inlineStr">
        <is>
          <t>0</t>
        </is>
      </c>
      <c r="G2960" t="inlineStr">
        <is>
          <t>0</t>
        </is>
      </c>
      <c r="H2960" t="inlineStr">
        <is>
          <t>15⁴, 30⁴</t>
        </is>
      </c>
      <c r="I2960" t="n">
        <v>8</v>
      </c>
      <c r="J2960" t="inlineStr">
        <is>
          <t>2⁶, 4³, 8¹²</t>
        </is>
      </c>
      <c r="K2960">
        <f>HYPERLINK("CSG3.html#group15D3", "15D³"), =HYPERLINK("CSG3.html#group30E3", "30E³"), =HYPERLINK("CSG4.html#group30D4", "30D⁴")</f>
        <v/>
      </c>
      <c r="L2960" t="inlineStr"/>
      <c r="M2960">
        <f>HYPERLINK("CSG0.html#group3B0", "3B⁰"), =HYPERLINK("CSG0.html#group5A0", "5A⁰"), =HYPERLINK("CSG3.html#group15D3", "15D³"), =HYPERLINK("CSG3.html#group30E3", "30E³"), =HYPERLINK("CSG4.html#group30D4", "30D⁴"), =HYPERLINK("CSG1.html#group10B1", "10B¹"), =HYPERLINK("CSG0.html#group6F0", "6F⁰"), =HYPERLINK("CSG1.html#group15B1", "15B¹"), =HYPERLINK("CSG0.html#group2B0", "2B⁰"), =HYPERLINK("CSG0.html#group1A0", "1A⁰"), =HYPERLINK("CSG0.html#group15A0", "15A⁰")</f>
        <v/>
      </c>
      <c r="N2960" t="inlineStr"/>
    </row>
    <row r="2961">
      <c r="A2961" t="inlineStr">
        <is>
          <t>32A¹²</t>
        </is>
      </c>
      <c r="B2961" t="inlineStr"/>
      <c r="C2961" t="inlineStr">
        <is>
          <t>192</t>
        </is>
      </c>
      <c r="D2961" t="inlineStr">
        <is>
          <t>1</t>
        </is>
      </c>
      <c r="E2961" t="inlineStr">
        <is>
          <t>48</t>
        </is>
      </c>
      <c r="F2961" t="inlineStr">
        <is>
          <t>4</t>
        </is>
      </c>
      <c r="G2961" t="inlineStr">
        <is>
          <t>0</t>
        </is>
      </c>
      <c r="H2961" t="inlineStr">
        <is>
          <t>16⁴, 32⁴</t>
        </is>
      </c>
      <c r="I2961" t="n">
        <v>8</v>
      </c>
      <c r="J2961" t="inlineStr">
        <is>
          <t>4¹⁰, 8¹</t>
        </is>
      </c>
      <c r="K2961">
        <f>HYPERLINK("CSG4.html#group16B4", "16B⁴"), =HYPERLINK("CSG6.html#group32C6", "32C⁶")</f>
        <v/>
      </c>
      <c r="L2961">
        <f>HYPERLINK("CSG23.html#group32E23", "32E²³"), =HYPERLINK("CSG24.html#group32A24", "32A²⁴"), =HYPERLINK("CSG24.html#group32D24", "32D²⁴")</f>
        <v/>
      </c>
      <c r="M2961">
        <f>HYPERLINK("CSG1.html#group16I1", "16I¹"), =HYPERLINK("CSG0.html#group8D0", "8D⁰"), =HYPERLINK("CSG0.html#group4C0", "4C⁰"), =HYPERLINK("CSG0.html#group8B0", "8B⁰"), =HYPERLINK("CSG0.html#group8A0", "8A⁰"), =HYPERLINK("CSG0.html#group2B0", "2B⁰"), =HYPERLINK("CSG3.html#group32G3", "32G³"), =HYPERLINK("CSG0.html#group1A0", "1A⁰"), =HYPERLINK("CSG0.html#group8K0", "8K⁰"), =HYPERLINK("CSG1.html#group8H1", "8H¹"), =HYPERLINK("CSG2.html#group16E2", "16E²"), =HYPERLINK("CSG1.html#group8D1", "8D¹"), =HYPERLINK("CSG0.html#group8H0", "8H⁰"), =HYPERLINK("CSG0.html#group16E0", "16E⁰"), =HYPERLINK("CSG4.html#group16B4", "16B⁴"), =HYPERLINK("CSG1.html#group16D1", "16D¹"), =HYPERLINK("CSG6.html#group32C6", "32C⁶"), =HYPERLINK("CSG0.html#group4A0", "4A⁰"), =HYPERLINK("CSG1.html#group16C1", "16C¹"), =HYPERLINK("CSG3.html#group32E3", "32E³"), =HYPERLINK("CSG0.html#group4F0", "4F⁰")</f>
        <v/>
      </c>
      <c r="N2961">
        <f>HYPERLINK("CSG24.html#group32D24", "32D²⁴"), =HYPERLINK("CSG24.html#group32A24", "32A²⁴"), =HYPERLINK("CSG23.html#group32E23", "32E²³")</f>
        <v/>
      </c>
    </row>
    <row r="2962">
      <c r="A2962" t="inlineStr">
        <is>
          <t>32B¹²</t>
        </is>
      </c>
      <c r="B2962" t="inlineStr"/>
      <c r="C2962" t="inlineStr">
        <is>
          <t>192</t>
        </is>
      </c>
      <c r="D2962" t="inlineStr">
        <is>
          <t>1</t>
        </is>
      </c>
      <c r="E2962" t="inlineStr">
        <is>
          <t>48</t>
        </is>
      </c>
      <c r="F2962" t="inlineStr">
        <is>
          <t>4</t>
        </is>
      </c>
      <c r="G2962" t="inlineStr">
        <is>
          <t>0</t>
        </is>
      </c>
      <c r="H2962" t="inlineStr">
        <is>
          <t>16⁴, 32⁴</t>
        </is>
      </c>
      <c r="I2962" t="n">
        <v>8</v>
      </c>
      <c r="J2962" t="inlineStr">
        <is>
          <t>4¹⁰, 8¹</t>
        </is>
      </c>
      <c r="K2962">
        <f>HYPERLINK("CSG4.html#group16B4", "16B⁴"), =HYPERLINK("CSG6.html#group32D6", "32D⁶")</f>
        <v/>
      </c>
      <c r="L2962">
        <f>HYPERLINK("CSG23.html#group32E23", "32E²³"), =HYPERLINK("CSG24.html#group32B24", "32B²⁴"), =HYPERLINK("CSG24.html#group32C24", "32C²⁴")</f>
        <v/>
      </c>
      <c r="M2962">
        <f>HYPERLINK("CSG1.html#group16I1", "16I¹"), =HYPERLINK("CSG0.html#group8D0", "8D⁰"), =HYPERLINK("CSG6.html#group32D6", "32D⁶"), =HYPERLINK("CSG0.html#group4C0", "4C⁰"), =HYPERLINK("CSG0.html#group8B0", "8B⁰"), =HYPERLINK("CSG0.html#group8A0", "8A⁰"), =HYPERLINK("CSG0.html#group2B0", "2B⁰"), =HYPERLINK("CSG3.html#group32F3", "32F³"), =HYPERLINK("CSG0.html#group1A0", "1A⁰"), =HYPERLINK("CSG0.html#group8K0", "8K⁰"), =HYPERLINK("CSG1.html#group8H1", "8H¹"), =HYPERLINK("CSG2.html#group16E2", "16E²"), =HYPERLINK("CSG1.html#group8D1", "8D¹"), =HYPERLINK("CSG0.html#group8H0", "8H⁰"), =HYPERLINK("CSG0.html#group16E0", "16E⁰"), =HYPERLINK("CSG4.html#group16B4", "16B⁴"), =HYPERLINK("CSG1.html#group16D1", "16D¹"), =HYPERLINK("CSG0.html#group4A0", "4A⁰"), =HYPERLINK("CSG1.html#group16C1", "16C¹"), =HYPERLINK("CSG0.html#group4F0", "4F⁰"), =HYPERLINK("CSG3.html#group32H3", "32H³")</f>
        <v/>
      </c>
      <c r="N2962">
        <f>HYPERLINK("CSG24.html#group32B24", "32B²⁴"), =HYPERLINK("CSG24.html#group32C24", "32C²⁴"), =HYPERLINK("CSG23.html#group32E23", "32E²³")</f>
        <v/>
      </c>
    </row>
    <row r="2963">
      <c r="A2963" t="inlineStr">
        <is>
          <t>32C¹²</t>
        </is>
      </c>
      <c r="B2963" t="inlineStr"/>
      <c r="C2963" t="inlineStr">
        <is>
          <t>192</t>
        </is>
      </c>
      <c r="D2963" t="inlineStr">
        <is>
          <t>2</t>
        </is>
      </c>
      <c r="E2963" t="inlineStr">
        <is>
          <t>48</t>
        </is>
      </c>
      <c r="F2963" t="inlineStr">
        <is>
          <t>4</t>
        </is>
      </c>
      <c r="G2963" t="inlineStr">
        <is>
          <t>0</t>
        </is>
      </c>
      <c r="H2963" t="inlineStr">
        <is>
          <t>16⁴, 32⁴</t>
        </is>
      </c>
      <c r="I2963" t="n">
        <v>8</v>
      </c>
      <c r="J2963" t="inlineStr">
        <is>
          <t>4¹⁶, 8⁴</t>
        </is>
      </c>
      <c r="K2963">
        <f>HYPERLINK("CSG4.html#group16C4", "16C⁴"), =HYPERLINK("CSG6.html#group32C6", "32C⁶"), =HYPERLINK("CSG6.html#group32D6", "32D⁶")</f>
        <v/>
      </c>
      <c r="L2963">
        <f>HYPERLINK("CSG23.html#group32E23", "32E²³")</f>
        <v/>
      </c>
      <c r="M2963">
        <f>HYPERLINK("CSG0.html#group8D0", "8D⁰"), =HYPERLINK("CSG6.html#group32D6", "32D⁶"), =HYPERLINK("CSG0.html#group4C0", "4C⁰"), =HYPERLINK("CSG0.html#group8B0", "8B⁰"), =HYPERLINK("CSG0.html#group2B0", "2B⁰"), =HYPERLINK("CSG3.html#group32G3", "32G³"), =HYPERLINK("CSG3.html#group32F3", "32F³"), =HYPERLINK("CSG0.html#group1A0", "1A⁰"), =HYPERLINK("CSG2.html#group16E2", "16E²"), =HYPERLINK("CSG0.html#group8H0", "8H⁰"), =HYPERLINK("CSG0.html#group8F0", "8F⁰"), =HYPERLINK("CSG1.html#group16D1", "16D¹"), =HYPERLINK("CSG6.html#group32C6", "32C⁶"), =HYPERLINK("CSG0.html#group4A0", "4A⁰"), =HYPERLINK("CSG1.html#group8I1", "8I¹"), =HYPERLINK("CSG4.html#group16C4", "16C⁴"), =HYPERLINK("CSG3.html#group32E3", "32E³"), =HYPERLINK("CSG0.html#group4F0", "4F⁰"), =HYPERLINK("CSG1.html#group16H1", "16H¹"), =HYPERLINK("CSG3.html#group32H3", "32H³")</f>
        <v/>
      </c>
      <c r="N2963">
        <f>HYPERLINK("CSG23.html#group32E23", "32E²³")</f>
        <v/>
      </c>
    </row>
    <row r="2964">
      <c r="A2964" t="inlineStr">
        <is>
          <t>35A¹²</t>
        </is>
      </c>
      <c r="B2964" t="inlineStr"/>
      <c r="C2964" t="inlineStr">
        <is>
          <t>210</t>
        </is>
      </c>
      <c r="D2964" t="inlineStr">
        <is>
          <t>2</t>
        </is>
      </c>
      <c r="E2964" t="inlineStr">
        <is>
          <t>70</t>
        </is>
      </c>
      <c r="F2964" t="inlineStr">
        <is>
          <t>6</t>
        </is>
      </c>
      <c r="G2964" t="inlineStr">
        <is>
          <t>6</t>
        </is>
      </c>
      <c r="H2964" t="inlineStr">
        <is>
          <t>35⁶</t>
        </is>
      </c>
      <c r="I2964" t="n">
        <v>6</v>
      </c>
      <c r="J2964" t="inlineStr">
        <is>
          <t>4¹, 8², 12², 24⁴</t>
        </is>
      </c>
      <c r="K2964">
        <f>HYPERLINK("CSG4.html#group35A4", "35A⁴")</f>
        <v/>
      </c>
      <c r="L2964" t="inlineStr"/>
      <c r="M2964">
        <f>HYPERLINK("CSG0.html#group5A0", "5A⁰"), =HYPERLINK("CSG0.html#group1A0", "1A⁰"), =HYPERLINK("CSG2.html#group35A2", "35A²"), =HYPERLINK("CSG4.html#group35A4", "35A⁴"), =HYPERLINK("CSG0.html#group7A0", "7A⁰"), =HYPERLINK("CSG0.html#group7C0", "7C⁰")</f>
        <v/>
      </c>
      <c r="N2964" t="inlineStr"/>
    </row>
    <row r="2965">
      <c r="A2965" t="inlineStr">
        <is>
          <t>35B¹²</t>
        </is>
      </c>
      <c r="B2965" t="inlineStr"/>
      <c r="C2965" t="inlineStr">
        <is>
          <t>252</t>
        </is>
      </c>
      <c r="D2965" t="inlineStr">
        <is>
          <t>1</t>
        </is>
      </c>
      <c r="E2965" t="inlineStr">
        <is>
          <t>126</t>
        </is>
      </c>
      <c r="F2965" t="inlineStr">
        <is>
          <t>16</t>
        </is>
      </c>
      <c r="G2965" t="inlineStr">
        <is>
          <t>0</t>
        </is>
      </c>
      <c r="H2965" t="inlineStr">
        <is>
          <t>7⁶, 35⁶</t>
        </is>
      </c>
      <c r="I2965" t="n">
        <v>12</v>
      </c>
      <c r="J2965" t="inlineStr">
        <is>
          <t>3², 6⁶, 12¹, 24³</t>
        </is>
      </c>
      <c r="K2965">
        <f>HYPERLINK("CSG6.html#group35E6", "35E⁶")</f>
        <v/>
      </c>
      <c r="L2965" t="inlineStr"/>
      <c r="M2965">
        <f>HYPERLINK("CSG2.html#group35C2", "35C²"), =HYPERLINK("CSG0.html#group5B0", "5B⁰"), =HYPERLINK("CSG0.html#group7D0", "7D⁰"), =HYPERLINK("CSG0.html#group1A0", "1A⁰"), =HYPERLINK("CSG6.html#group35E6", "35E⁶"), =HYPERLINK("CSG0.html#group7A0", "7A⁰")</f>
        <v/>
      </c>
      <c r="N2965" t="inlineStr"/>
    </row>
    <row r="2966">
      <c r="A2966" t="inlineStr">
        <is>
          <t>36A¹²</t>
        </is>
      </c>
      <c r="B2966" t="inlineStr"/>
      <c r="C2966" t="inlineStr">
        <is>
          <t>216</t>
        </is>
      </c>
      <c r="D2966" t="inlineStr">
        <is>
          <t>1</t>
        </is>
      </c>
      <c r="E2966" t="inlineStr">
        <is>
          <t>54</t>
        </is>
      </c>
      <c r="F2966" t="inlineStr">
        <is>
          <t>4</t>
        </is>
      </c>
      <c r="G2966" t="inlineStr">
        <is>
          <t>0</t>
        </is>
      </c>
      <c r="H2966" t="inlineStr">
        <is>
          <t>12⁹, 36³</t>
        </is>
      </c>
      <c r="I2966" t="n">
        <v>12</v>
      </c>
      <c r="J2966" t="inlineStr">
        <is>
          <t>2³, 4³, 6³, 12⁶</t>
        </is>
      </c>
      <c r="K2966">
        <f>HYPERLINK("CSG3.html#group12H3", "12H³"), =HYPERLINK("CSG3.html#group18K3", "18K³"), =HYPERLINK("CSG4.html#group36H4", "36H⁴"), =HYPERLINK("CSG4.html#group36J4", "36J⁴")</f>
        <v/>
      </c>
      <c r="L2966">
        <f>HYPERLINK("CSG23.html#group36C23", "36C²³")</f>
        <v/>
      </c>
      <c r="M2966">
        <f>HYPERLINK("CSG4.html#group36J4", "36J⁴"), =HYPERLINK("CSG1.html#group12D1", "12D¹"), =HYPERLINK("CSG0.html#group6B0", "6B⁰"), =HYPERLINK("CSG1.html#group18I1", "18I¹"), =HYPERLINK("CSG0.html#group6G0", "6G⁰"), =HYPERLINK("CSG0.html#group2B0", "2B⁰"), =HYPERLINK("CSG4.html#group36H4", "36H⁴"), =HYPERLINK("CSG0.html#group9E0", "9E⁰"), =HYPERLINK("CSG0.html#group1A0", "1A⁰"), =HYPERLINK("CSG0.html#group6E0", "6E⁰"), =HYPERLINK("CSG0.html#group6L0", "6L⁰"), =HYPERLINK("CSG0.html#group3C0", "3C⁰"), =HYPERLINK("CSG3.html#group18K3", "18K³"), =HYPERLINK("CSG1.html#group18G1", "18G¹"), =HYPERLINK("CSG1.html#group18F1", "18F¹"), =HYPERLINK("CSG0.html#group6H0", "6H⁰"), =HYPERLINK("CSG0.html#group3A0", "3A⁰"), =HYPERLINK("CSG3.html#group12H3", "12H³"), =HYPERLINK("CSG0.html#group6D0", "6D⁰")</f>
        <v/>
      </c>
      <c r="N2966">
        <f>HYPERLINK("CSG23.html#group36C23", "36C²³")</f>
        <v/>
      </c>
    </row>
    <row r="2967">
      <c r="A2967" t="inlineStr">
        <is>
          <t>36B¹²</t>
        </is>
      </c>
      <c r="B2967" t="inlineStr"/>
      <c r="C2967" t="inlineStr">
        <is>
          <t>216</t>
        </is>
      </c>
      <c r="D2967" t="inlineStr">
        <is>
          <t>1</t>
        </is>
      </c>
      <c r="E2967" t="inlineStr">
        <is>
          <t>54</t>
        </is>
      </c>
      <c r="F2967" t="inlineStr">
        <is>
          <t>4</t>
        </is>
      </c>
      <c r="G2967" t="inlineStr">
        <is>
          <t>0</t>
        </is>
      </c>
      <c r="H2967" t="inlineStr">
        <is>
          <t>12⁹, 36³</t>
        </is>
      </c>
      <c r="I2967" t="n">
        <v>12</v>
      </c>
      <c r="J2967" t="inlineStr">
        <is>
          <t>2³, 4³, 6³, 12⁶</t>
        </is>
      </c>
      <c r="K2967">
        <f>HYPERLINK("CSG3.html#group12H3", "12H³"), =HYPERLINK("CSG3.html#group18K3", "18K³"), =HYPERLINK("CSG4.html#group36I4", "36I⁴"), =HYPERLINK("CSG4.html#group36K4", "36K⁴")</f>
        <v/>
      </c>
      <c r="L2967">
        <f>HYPERLINK("CSG23.html#group36B23", "36B²³")</f>
        <v/>
      </c>
      <c r="M2967">
        <f>HYPERLINK("CSG4.html#group36K4", "36K⁴"), =HYPERLINK("CSG1.html#group12D1", "12D¹"), =HYPERLINK("CSG0.html#group6B0", "6B⁰"), =HYPERLINK("CSG4.html#group36I4", "36I⁴"), =HYPERLINK("CSG1.html#group18I1", "18I¹"), =HYPERLINK("CSG0.html#group6G0", "6G⁰"), =HYPERLINK("CSG0.html#group2B0", "2B⁰"), =HYPERLINK("CSG0.html#group9E0", "9E⁰"), =HYPERLINK("CSG0.html#group1A0", "1A⁰"), =HYPERLINK("CSG0.html#group6E0", "6E⁰"), =HYPERLINK("CSG0.html#group6L0", "6L⁰"), =HYPERLINK("CSG0.html#group3C0", "3C⁰"), =HYPERLINK("CSG3.html#group18K3", "18K³"), =HYPERLINK("CSG1.html#group18G1", "18G¹"), =HYPERLINK("CSG1.html#group18F1", "18F¹"), =HYPERLINK("CSG0.html#group6H0", "6H⁰"), =HYPERLINK("CSG0.html#group3A0", "3A⁰"), =HYPERLINK("CSG3.html#group12H3", "12H³"), =HYPERLINK("CSG0.html#group6D0", "6D⁰")</f>
        <v/>
      </c>
      <c r="N2967">
        <f>HYPERLINK("CSG23.html#group36B23", "36B²³")</f>
        <v/>
      </c>
    </row>
    <row r="2968">
      <c r="A2968" t="inlineStr">
        <is>
          <t>36C¹²</t>
        </is>
      </c>
      <c r="B2968" t="inlineStr"/>
      <c r="C2968" t="inlineStr">
        <is>
          <t>216</t>
        </is>
      </c>
      <c r="D2968" t="inlineStr">
        <is>
          <t>1</t>
        </is>
      </c>
      <c r="E2968" t="inlineStr">
        <is>
          <t>108</t>
        </is>
      </c>
      <c r="F2968" t="inlineStr">
        <is>
          <t>4</t>
        </is>
      </c>
      <c r="G2968" t="inlineStr">
        <is>
          <t>0</t>
        </is>
      </c>
      <c r="H2968" t="inlineStr">
        <is>
          <t>12⁹, 36³</t>
        </is>
      </c>
      <c r="I2968" t="n">
        <v>12</v>
      </c>
      <c r="J2968" t="inlineStr">
        <is>
          <t>1², 2⁴, 3², 4², 6⁶, 12⁴</t>
        </is>
      </c>
      <c r="K2968">
        <f>HYPERLINK("CSG3.html#group12I3", "12I³"), =HYPERLINK("CSG5.html#group36I5", "36I⁵")</f>
        <v/>
      </c>
      <c r="L2968">
        <f>HYPERLINK("CSG23.html#group36D23", "36D²³")</f>
        <v/>
      </c>
      <c r="M2968">
        <f>HYPERLINK("CSG5.html#group36I5", "36I⁵"), =HYPERLINK("CSG0.html#group12C0", "12C⁰"), =HYPERLINK("CSG1.html#group12C1", "12C¹"), =HYPERLINK("CSG3.html#group12I3", "12I³"), =HYPERLINK("CSG1.html#group18I1", "18I¹"), =HYPERLINK("CSG1.html#group12L1", "12L¹"), =HYPERLINK("CSG0.html#group4C0", "4C⁰"), =HYPERLINK("CSG0.html#group6G0", "6G⁰"), =HYPERLINK("CSG0.html#group3C0", "3C⁰"), =HYPERLINK("CSG0.html#group2B0", "2B⁰"), =HYPERLINK("CSG1.html#group12M1", "12M¹"), =HYPERLINK("CSG0.html#group9E0", "9E⁰"), =HYPERLINK("CSG0.html#group3A0", "3A⁰"), =HYPERLINK("CSG0.html#group1A0", "1A⁰"), =HYPERLINK("CSG0.html#group6D0", "6D⁰")</f>
        <v/>
      </c>
      <c r="N2968">
        <f>HYPERLINK("CSG23.html#group36D23", "36D²³")</f>
        <v/>
      </c>
    </row>
    <row r="2969">
      <c r="A2969" t="inlineStr">
        <is>
          <t>36D¹²</t>
        </is>
      </c>
      <c r="B2969" t="inlineStr"/>
      <c r="C2969" t="inlineStr">
        <is>
          <t>216</t>
        </is>
      </c>
      <c r="D2969" t="inlineStr">
        <is>
          <t>1</t>
        </is>
      </c>
      <c r="E2969" t="inlineStr">
        <is>
          <t>108</t>
        </is>
      </c>
      <c r="F2969" t="inlineStr">
        <is>
          <t>4</t>
        </is>
      </c>
      <c r="G2969" t="inlineStr">
        <is>
          <t>0</t>
        </is>
      </c>
      <c r="H2969" t="inlineStr">
        <is>
          <t>12⁹, 36³</t>
        </is>
      </c>
      <c r="I2969" t="n">
        <v>12</v>
      </c>
      <c r="J2969" t="inlineStr">
        <is>
          <t>1², 2⁴, 3², 4², 6⁶, 12⁴</t>
        </is>
      </c>
      <c r="K2969">
        <f>HYPERLINK("CSG3.html#group12J3", "12J³"), =HYPERLINK("CSG4.html#group36M4", "36M⁴"), =HYPERLINK("CSG5.html#group36I5", "36I⁵")</f>
        <v/>
      </c>
      <c r="L2969">
        <f>HYPERLINK("CSG23.html#group36D23", "36D²³")</f>
        <v/>
      </c>
      <c r="M2969">
        <f>HYPERLINK("CSG5.html#group36I5", "36I⁵"), =HYPERLINK("CSG1.html#group12G1", "12G¹"), =HYPERLINK("CSG0.html#group12C0", "12C⁰"), =HYPERLINK("CSG1.html#group18I1", "18I¹"), =HYPERLINK("CSG0.html#group4C0", "4C⁰"), =HYPERLINK("CSG0.html#group6G0", "6G⁰"), =HYPERLINK("CSG0.html#group2B0", "2B⁰"), =HYPERLINK("CSG1.html#group12M1", "12M¹"), =HYPERLINK("CSG0.html#group9E0", "9E⁰"), =HYPERLINK("CSG1.html#group12L1", "12L¹"), =HYPERLINK("CSG0.html#group1A0", "1A⁰"), =HYPERLINK("CSG3.html#group12J3", "12J³"), =HYPERLINK("CSG0.html#group12A0", "12A⁰"), =HYPERLINK("CSG1.html#group12C1", "12C¹"), =HYPERLINK("CSG0.html#group4A0", "4A⁰"), =HYPERLINK("CSG4.html#group36M4", "36M⁴"), =HYPERLINK("CSG0.html#group3C0", "3C⁰"), =HYPERLINK("CSG1.html#group12J1", "12J¹"), =HYPERLINK("CSG0.html#group4F0", "4F⁰"), =HYPERLINK("CSG0.html#group3A0", "3A⁰"), =HYPERLINK("CSG0.html#group6D0", "6D⁰")</f>
        <v/>
      </c>
      <c r="N2969">
        <f>HYPERLINK("CSG23.html#group36D23", "36D²³")</f>
        <v/>
      </c>
    </row>
    <row r="2970">
      <c r="A2970" t="inlineStr">
        <is>
          <t>36E¹²</t>
        </is>
      </c>
      <c r="B2970" t="inlineStr"/>
      <c r="C2970" t="inlineStr">
        <is>
          <t>216</t>
        </is>
      </c>
      <c r="D2970" t="inlineStr">
        <is>
          <t>2</t>
        </is>
      </c>
      <c r="E2970" t="inlineStr">
        <is>
          <t>54</t>
        </is>
      </c>
      <c r="F2970" t="inlineStr">
        <is>
          <t>16</t>
        </is>
      </c>
      <c r="G2970" t="inlineStr">
        <is>
          <t>0</t>
        </is>
      </c>
      <c r="H2970" t="inlineStr">
        <is>
          <t>36⁶</t>
        </is>
      </c>
      <c r="I2970" t="n">
        <v>6</v>
      </c>
      <c r="J2970" t="inlineStr">
        <is>
          <t>2⁶, 4⁶, 6⁴, 12⁴</t>
        </is>
      </c>
      <c r="K2970">
        <f>HYPERLINK("CSG2.html#group12H2", "12H²"), =HYPERLINK("CSG4.html#group36R4", "36R⁴"), =HYPERLINK("CSG6.html#group36E6", "36E⁶"), =HYPERLINK("CSG6.html#group36I6", "36I⁶")</f>
        <v/>
      </c>
      <c r="L2970" t="inlineStr"/>
      <c r="M2970">
        <f>HYPERLINK("CSG0.html#group6B0", "6B⁰"), =HYPERLINK("CSG0.html#group12C0", "12C⁰"), =HYPERLINK("CSG6.html#group36E6", "36E⁶"), =HYPERLINK("CSG0.html#group3A0", "3A⁰"), =HYPERLINK("CSG2.html#group36B2", "36B²"), =HYPERLINK("CSG0.html#group4C0", "4C⁰"), =HYPERLINK("CSG4.html#group36R4", "36R⁴"), =HYPERLINK("CSG0.html#group2B0", "2B⁰"), =HYPERLINK("CSG1.html#group12M1", "12M¹"), =HYPERLINK("CSG0.html#group1A0", "1A⁰"), =HYPERLINK("CSG0.html#group18A0", "18A⁰"), =HYPERLINK("CSG2.html#group18L2", "18L²"), =HYPERLINK("CSG2.html#group12H2", "12H²"), =HYPERLINK("CSG6.html#group36I6", "36I⁶"), =HYPERLINK("CSG0.html#group9A0", "9A⁰"), =HYPERLINK("CSG1.html#group18E1", "18E¹"), =HYPERLINK("CSG0.html#group12D0", "12D⁰"), =HYPERLINK("CSG0.html#group6H0", "6H⁰"), =HYPERLINK("CSG0.html#group12H0", "12H⁰"), =HYPERLINK("CSG0.html#group6D0", "6D⁰"), =HYPERLINK("CSG2.html#group36C2", "36C²")</f>
        <v/>
      </c>
      <c r="N2970" t="inlineStr"/>
    </row>
    <row r="2971">
      <c r="A2971" t="inlineStr">
        <is>
          <t>36F¹²</t>
        </is>
      </c>
      <c r="B2971" t="inlineStr"/>
      <c r="C2971" t="inlineStr">
        <is>
          <t>216</t>
        </is>
      </c>
      <c r="D2971" t="inlineStr">
        <is>
          <t>2</t>
        </is>
      </c>
      <c r="E2971" t="inlineStr">
        <is>
          <t>54</t>
        </is>
      </c>
      <c r="F2971" t="inlineStr">
        <is>
          <t>16</t>
        </is>
      </c>
      <c r="G2971" t="inlineStr">
        <is>
          <t>0</t>
        </is>
      </c>
      <c r="H2971" t="inlineStr">
        <is>
          <t>36⁶</t>
        </is>
      </c>
      <c r="I2971" t="n">
        <v>6</v>
      </c>
      <c r="J2971" t="inlineStr">
        <is>
          <t>2⁶, 4⁶, 6⁴, 12⁴</t>
        </is>
      </c>
      <c r="K2971">
        <f>HYPERLINK("CSG2.html#group12I2", "12I²"), =HYPERLINK("CSG2.html#group36D2", "36D²"), =HYPERLINK("CSG4.html#group36R4", "36R⁴"), =HYPERLINK("CSG6.html#group36F6", "36F⁶"), =HYPERLINK("CSG6.html#group36I6", "36I⁶")</f>
        <v/>
      </c>
      <c r="L2971" t="inlineStr"/>
      <c r="M2971">
        <f>HYPERLINK("CSG2.html#group12I2", "12I²"), =HYPERLINK("CSG2.html#group36D2", "36D²"), =HYPERLINK("CSG0.html#group6B0", "6B⁰"), =HYPERLINK("CSG0.html#group12C0", "12C⁰"), =HYPERLINK("CSG0.html#group3A0", "3A⁰"), =HYPERLINK("CSG0.html#group4C0", "4C⁰"), =HYPERLINK("CSG2.html#group36B2", "36B²"), =HYPERLINK("CSG0.html#group12F0", "12F⁰"), =HYPERLINK("CSG4.html#group36R4", "36R⁴"), =HYPERLINK("CSG1.html#group12M1", "12M¹"), =HYPERLINK("CSG0.html#group2B0", "2B⁰"), =HYPERLINK("CSG0.html#group1A0", "1A⁰"), =HYPERLINK("CSG0.html#group18A0", "18A⁰"), =HYPERLINK("CSG2.html#group18L2", "18L²"), =HYPERLINK("CSG1.html#group36A1", "36A¹"), =HYPERLINK("CSG6.html#group36F6", "36F⁶"), =HYPERLINK("CSG0.html#group12A0", "12A⁰"), =HYPERLINK("CSG6.html#group36I6", "36I⁶"), =HYPERLINK("CSG0.html#group4A0", "4A⁰"), =HYPERLINK("CSG0.html#group9A0", "9A⁰"), =HYPERLINK("CSG1.html#group18E1", "18E¹"), =HYPERLINK("CSG1.html#group12J1", "12J¹"), =HYPERLINK("CSG0.html#group12D0", "12D⁰"), =HYPERLINK("CSG0.html#group4F0", "4F⁰"), =HYPERLINK("CSG0.html#group6H0", "6H⁰"), =HYPERLINK("CSG0.html#group12H0", "12H⁰"), =HYPERLINK("CSG0.html#group6D0", "6D⁰"), =HYPERLINK("CSG2.html#group36C2", "36C²")</f>
        <v/>
      </c>
      <c r="N2971" t="inlineStr"/>
    </row>
    <row r="2972">
      <c r="A2972" t="inlineStr">
        <is>
          <t>36G¹²</t>
        </is>
      </c>
      <c r="B2972" t="inlineStr"/>
      <c r="C2972" t="inlineStr">
        <is>
          <t>216</t>
        </is>
      </c>
      <c r="D2972" t="inlineStr">
        <is>
          <t>2</t>
        </is>
      </c>
      <c r="E2972" t="inlineStr">
        <is>
          <t>108</t>
        </is>
      </c>
      <c r="F2972" t="inlineStr">
        <is>
          <t>16</t>
        </is>
      </c>
      <c r="G2972" t="inlineStr">
        <is>
          <t>0</t>
        </is>
      </c>
      <c r="H2972" t="inlineStr">
        <is>
          <t>36⁶</t>
        </is>
      </c>
      <c r="I2972" t="n">
        <v>6</v>
      </c>
      <c r="J2972" t="inlineStr">
        <is>
          <t>12¹⁸</t>
        </is>
      </c>
      <c r="K2972">
        <f>HYPERLINK("CSG2.html#group18K2", "18K²"), =HYPERLINK("CSG2.html#group36D2", "36D²"), =HYPERLINK("CSG4.html#group36L4", "36L⁴"), =HYPERLINK("CSG5.html#group36J5", "36J⁵")</f>
        <v/>
      </c>
      <c r="L2972" t="inlineStr"/>
      <c r="M2972">
        <f>HYPERLINK("CSG5.html#group36J5", "36J⁵"), =HYPERLINK("CSG2.html#group36D2", "36D²"), =HYPERLINK("CSG0.html#group6B0", "6B⁰"), =HYPERLINK("CSG0.html#group9G0", "9G⁰"), =HYPERLINK("CSG2.html#group18K2", "18K²"), =HYPERLINK("CSG0.html#group12F0", "12F⁰"), =HYPERLINK("CSG0.html#group1A0", "1A⁰"), =HYPERLINK("CSG0.html#group18A0", "18A⁰"), =HYPERLINK("CSG1.html#group36A1", "36A¹"), =HYPERLINK("CSG0.html#group12A0", "12A⁰"), =HYPERLINK("CSG0.html#group4A0", "4A⁰"), =HYPERLINK("CSG0.html#group9A0", "9A⁰"), =HYPERLINK("CSG0.html#group3A0", "3A⁰"), =HYPERLINK("CSG1.html#group18A1", "18A¹"), =HYPERLINK("CSG4.html#group36L4", "36L⁴")</f>
        <v/>
      </c>
      <c r="N2972" t="inlineStr"/>
    </row>
    <row r="2973">
      <c r="A2973" t="inlineStr">
        <is>
          <t>36H¹²</t>
        </is>
      </c>
      <c r="B2973" t="inlineStr"/>
      <c r="C2973" t="inlineStr">
        <is>
          <t>216</t>
        </is>
      </c>
      <c r="D2973" t="inlineStr">
        <is>
          <t>2</t>
        </is>
      </c>
      <c r="E2973" t="inlineStr">
        <is>
          <t>216</t>
        </is>
      </c>
      <c r="F2973" t="inlineStr">
        <is>
          <t>16</t>
        </is>
      </c>
      <c r="G2973" t="inlineStr">
        <is>
          <t>0</t>
        </is>
      </c>
      <c r="H2973" t="inlineStr">
        <is>
          <t>36⁶</t>
        </is>
      </c>
      <c r="I2973" t="n">
        <v>6</v>
      </c>
      <c r="J2973" t="inlineStr">
        <is>
          <t>12³⁶</t>
        </is>
      </c>
      <c r="K2973">
        <f>HYPERLINK("CSG2.html#group18M2", "18M²"), =HYPERLINK("CSG2.html#group36D2", "36D²"), =HYPERLINK("CSG4.html#group36N4", "36N⁴")</f>
        <v/>
      </c>
      <c r="L2973" t="inlineStr"/>
      <c r="M2973">
        <f>HYPERLINK("CSG1.html#group36A1", "36A¹"), =HYPERLINK("CSG4.html#group36N4", "36N⁴"), =HYPERLINK("CSG2.html#group36D2", "36D²"), =HYPERLINK("CSG0.html#group6B0", "6B⁰"), =HYPERLINK("CSG0.html#group3A0", "3A⁰"), =HYPERLINK("CSG0.html#group12A0", "12A⁰"), =HYPERLINK("CSG0.html#group4A0", "4A⁰"), =HYPERLINK("CSG0.html#group9A0", "9A⁰"), =HYPERLINK("CSG0.html#group12F0", "12F⁰"), =HYPERLINK("CSG1.html#group18B1", "18B¹"), =HYPERLINK("CSG2.html#group18M2", "18M²"), =HYPERLINK("CSG0.html#group1A0", "1A⁰"), =HYPERLINK("CSG0.html#group18A0", "18A⁰")</f>
        <v/>
      </c>
      <c r="N2973" t="inlineStr"/>
    </row>
    <row r="2974">
      <c r="A2974" t="inlineStr">
        <is>
          <t>40A¹²</t>
        </is>
      </c>
      <c r="B2974" t="inlineStr"/>
      <c r="C2974" t="inlineStr">
        <is>
          <t>180</t>
        </is>
      </c>
      <c r="D2974" t="inlineStr">
        <is>
          <t>1</t>
        </is>
      </c>
      <c r="E2974" t="inlineStr">
        <is>
          <t>45</t>
        </is>
      </c>
      <c r="F2974" t="inlineStr">
        <is>
          <t>4</t>
        </is>
      </c>
      <c r="G2974" t="inlineStr">
        <is>
          <t>0</t>
        </is>
      </c>
      <c r="H2974" t="inlineStr">
        <is>
          <t>20³, 40³</t>
        </is>
      </c>
      <c r="I2974" t="n">
        <v>6</v>
      </c>
      <c r="J2974" t="inlineStr">
        <is>
          <t>1³, 2³, 4⁹</t>
        </is>
      </c>
      <c r="K2974">
        <f>HYPERLINK("CSG4.html#group20E4", "20E⁴")</f>
        <v/>
      </c>
      <c r="L2974">
        <f>HYPERLINK("CSG23.html#group40D23", "40D²³"), =HYPERLINK("CSG23.html#group40E23", "40E²³"), =HYPERLINK("CSG23.html#group40F23", "40F²³"), =HYPERLINK("CSG24.html#group40A24", "40A²⁴"), =HYPERLINK("CSG24.html#group40B24", "40B²⁴"), =HYPERLINK("CSG24.html#group40C24", "40C²⁴"), =HYPERLINK("CSG24.html#group40D24", "40D²⁴")</f>
        <v/>
      </c>
      <c r="M2974">
        <f>HYPERLINK("CSG0.html#group5A0", "5A⁰"), =HYPERLINK("CSG1.html#group10I1", "10I¹"), =HYPERLINK("CSG4.html#group20E4", "20E⁴"), =HYPERLINK("CSG1.html#group10B1", "10B¹"), =HYPERLINK("CSG2.html#group20B2", "20B²"), =HYPERLINK("CSG0.html#group4C0", "4C⁰"), =HYPERLINK("CSG0.html#group5E0", "5E⁰"), =HYPERLINK("CSG0.html#group2B0", "2B⁰"), =HYPERLINK("CSG0.html#group1A0", "1A⁰")</f>
        <v/>
      </c>
      <c r="N2974">
        <f>HYPERLINK("CSG24.html#group40C24", "40C²⁴"), =HYPERLINK("CSG24.html#group40B24", "40B²⁴"), =HYPERLINK("CSG24.html#group40A24", "40A²⁴"), =HYPERLINK("CSG23.html#group40D23", "40D²³"), =HYPERLINK("CSG23.html#group40E23", "40E²³"), =HYPERLINK("CSG24.html#group40D24", "40D²⁴"), =HYPERLINK("CSG23.html#group40F23", "40F²³")</f>
        <v/>
      </c>
    </row>
    <row r="2975">
      <c r="A2975" t="inlineStr">
        <is>
          <t>42A¹²</t>
        </is>
      </c>
      <c r="B2975" t="inlineStr"/>
      <c r="C2975" t="inlineStr">
        <is>
          <t>168</t>
        </is>
      </c>
      <c r="D2975" t="inlineStr">
        <is>
          <t>1</t>
        </is>
      </c>
      <c r="E2975" t="inlineStr">
        <is>
          <t>56</t>
        </is>
      </c>
      <c r="F2975" t="inlineStr">
        <is>
          <t>0</t>
        </is>
      </c>
      <c r="G2975" t="inlineStr">
        <is>
          <t>3</t>
        </is>
      </c>
      <c r="H2975" t="inlineStr">
        <is>
          <t>42⁴</t>
        </is>
      </c>
      <c r="I2975" t="n">
        <v>4</v>
      </c>
      <c r="J2975" t="inlineStr">
        <is>
          <t>2¹, 6¹, 12⁴</t>
        </is>
      </c>
      <c r="K2975">
        <f>HYPERLINK("CSG3.html#group14C3", "14C³"), =HYPERLINK("CSG3.html#group42A3", "42A³")</f>
        <v/>
      </c>
      <c r="L2975">
        <f>HYPERLINK("CSG23.html#group42A23", "42A²³")</f>
        <v/>
      </c>
      <c r="M2975">
        <f>HYPERLINK("CSG0.html#group2A0", "2A⁰"), =HYPERLINK("CSG0.html#group6A0", "6A⁰"), =HYPERLINK("CSG3.html#group42A3", "42A³"), =HYPERLINK("CSG1.html#group14A1", "14A¹"), =HYPERLINK("CSG3.html#group14C3", "14C³"), =HYPERLINK("CSG0.html#group7F0", "7F⁰"), =HYPERLINK("CSG0.html#group1A0", "1A⁰"), =HYPERLINK("CSG0.html#group7A0", "7A⁰")</f>
        <v/>
      </c>
      <c r="N2975">
        <f>HYPERLINK("CSG23.html#group42A23", "42A²³")</f>
        <v/>
      </c>
    </row>
    <row r="2976">
      <c r="A2976" t="inlineStr">
        <is>
          <t>42B¹²</t>
        </is>
      </c>
      <c r="B2976" t="inlineStr"/>
      <c r="C2976" t="inlineStr">
        <is>
          <t>168</t>
        </is>
      </c>
      <c r="D2976" t="inlineStr">
        <is>
          <t>1</t>
        </is>
      </c>
      <c r="E2976" t="inlineStr">
        <is>
          <t>84</t>
        </is>
      </c>
      <c r="F2976" t="inlineStr">
        <is>
          <t>0</t>
        </is>
      </c>
      <c r="G2976" t="inlineStr">
        <is>
          <t>0</t>
        </is>
      </c>
      <c r="H2976" t="inlineStr">
        <is>
          <t>14³, 42³</t>
        </is>
      </c>
      <c r="I2976" t="n">
        <v>6</v>
      </c>
      <c r="J2976" t="inlineStr">
        <is>
          <t>3², 6⁷, 12³</t>
        </is>
      </c>
      <c r="K2976">
        <f>HYPERLINK("CSG1.html#group14E1", "14E¹"), =HYPERLINK("CSG5.html#group21A5", "21A⁵")</f>
        <v/>
      </c>
      <c r="L2976">
        <f>HYPERLINK("CSG23.html#group42D23", "42D²³"), =HYPERLINK("CSG23.html#group42I23", "42I²³")</f>
        <v/>
      </c>
      <c r="M2976">
        <f>HYPERLINK("CSG0.html#group3B0", "3B⁰"), =HYPERLINK("CSG0.html#group1A0", "1A⁰"), =HYPERLINK("CSG2.html#group21B2", "21B²"), =HYPERLINK("CSG5.html#group21A5", "21A⁵"), =HYPERLINK("CSG1.html#group14E1", "14E¹"), =HYPERLINK("CSG0.html#group7D0", "7D⁰"), =HYPERLINK("CSG0.html#group7A0", "7A⁰")</f>
        <v/>
      </c>
      <c r="N2976">
        <f>HYPERLINK("CSG23.html#group42I23", "42I²³"), =HYPERLINK("CSG23.html#group42D23", "42D²³")</f>
        <v/>
      </c>
    </row>
    <row r="2977">
      <c r="A2977" t="inlineStr">
        <is>
          <t>42C¹²</t>
        </is>
      </c>
      <c r="B2977" t="inlineStr"/>
      <c r="C2977" t="inlineStr">
        <is>
          <t>168</t>
        </is>
      </c>
      <c r="D2977" t="inlineStr">
        <is>
          <t>1</t>
        </is>
      </c>
      <c r="E2977" t="inlineStr">
        <is>
          <t>84</t>
        </is>
      </c>
      <c r="F2977" t="inlineStr">
        <is>
          <t>0</t>
        </is>
      </c>
      <c r="G2977" t="inlineStr">
        <is>
          <t>0</t>
        </is>
      </c>
      <c r="H2977" t="inlineStr">
        <is>
          <t>14³, 42³</t>
        </is>
      </c>
      <c r="I2977" t="n">
        <v>6</v>
      </c>
      <c r="J2977" t="inlineStr">
        <is>
          <t>3², 6⁷, 12³</t>
        </is>
      </c>
      <c r="K2977">
        <f>HYPERLINK("CSG3.html#group14A3", "14A³"), =HYPERLINK("CSG4.html#group42E4", "42E⁴"), =HYPERLINK("CSG5.html#group21A5", "21A⁵")</f>
        <v/>
      </c>
      <c r="L2977">
        <f>HYPERLINK("CSG23.html#group42D23", "42D²³"), =HYPERLINK("CSG23.html#group42E23", "42E²³")</f>
        <v/>
      </c>
      <c r="M2977">
        <f>HYPERLINK("CSG0.html#group3B0", "3B⁰"), =HYPERLINK("CSG0.html#group2A0", "2A⁰"), =HYPERLINK("CSG2.html#group21B2", "21B²"), =HYPERLINK("CSG0.html#group7D0", "7D⁰"), =HYPERLINK("CSG3.html#group14A3", "14A³"), =HYPERLINK("CSG4.html#group42E4", "42E⁴"), =HYPERLINK("CSG1.html#group14A1", "14A¹"), =HYPERLINK("CSG0.html#group6C0", "6C⁰"), =HYPERLINK("CSG5.html#group21A5", "21A⁵"), =HYPERLINK("CSG0.html#group1A0", "1A⁰"), =HYPERLINK("CSG0.html#group7A0", "7A⁰")</f>
        <v/>
      </c>
      <c r="N2977">
        <f>HYPERLINK("CSG23.html#group42E23", "42E²³"), =HYPERLINK("CSG23.html#group42D23", "42D²³")</f>
        <v/>
      </c>
    </row>
    <row r="2978">
      <c r="A2978" t="inlineStr">
        <is>
          <t>42D¹²</t>
        </is>
      </c>
      <c r="B2978" t="inlineStr"/>
      <c r="C2978" t="inlineStr">
        <is>
          <t>168</t>
        </is>
      </c>
      <c r="D2978" t="inlineStr">
        <is>
          <t>2</t>
        </is>
      </c>
      <c r="E2978" t="inlineStr">
        <is>
          <t>28</t>
        </is>
      </c>
      <c r="F2978" t="inlineStr">
        <is>
          <t>0</t>
        </is>
      </c>
      <c r="G2978" t="inlineStr">
        <is>
          <t>0</t>
        </is>
      </c>
      <c r="H2978" t="inlineStr">
        <is>
          <t>14³, 42³</t>
        </is>
      </c>
      <c r="I2978" t="n">
        <v>6</v>
      </c>
      <c r="J2978" t="inlineStr">
        <is>
          <t>2², 4¹, 6⁴, 12²</t>
        </is>
      </c>
      <c r="K2978">
        <f>HYPERLINK("CSG0.html#group6I0", "6I⁰"), =HYPERLINK("CSG3.html#group14B3", "14B³"), =HYPERLINK("CSG4.html#group42E4", "42E⁴"), =HYPERLINK("CSG6.html#group42C6", "42C⁶")</f>
        <v/>
      </c>
      <c r="L2978">
        <f>HYPERLINK("CSG23.html#group42F23", "42F²³"), =HYPERLINK("CSG24.html#group84A24", "84A²⁴"), =HYPERLINK("CSG24.html#group84B24", "84B²⁴")</f>
        <v/>
      </c>
      <c r="M2978">
        <f>HYPERLINK("CSG0.html#group2A0", "2A⁰"), =HYPERLINK("CSG0.html#group3B0", "3B⁰"), =HYPERLINK("CSG3.html#group14B3", "14B³"), =HYPERLINK("CSG1.html#group14B1", "14B¹"), =HYPERLINK("CSG0.html#group6I0", "6I⁰"), =HYPERLINK("CSG1.html#group14A1", "14A¹"), =HYPERLINK("CSG0.html#group6C0", "6C⁰"), =HYPERLINK("CSG0.html#group2B0", "2B⁰"), =HYPERLINK("CSG0.html#group1A0", "1A⁰"), =HYPERLINK("CSG2.html#group21B2", "21B²"), =HYPERLINK("CSG6.html#group42C6", "42C⁶"), =HYPERLINK("CSG4.html#group42E4", "42E⁴"), =HYPERLINK("CSG0.html#group6F0", "6F⁰"), =HYPERLINK("CSG0.html#group2C0", "2C⁰"), =HYPERLINK("CSG0.html#group7A0", "7A⁰")</f>
        <v/>
      </c>
      <c r="N2978">
        <f>HYPERLINK("CSG24.html#group84A24", "84A²⁴"), =HYPERLINK("CSG23.html#group42F23", "42F²³"), =HYPERLINK("CSG24.html#group84B24", "84B²⁴")</f>
        <v/>
      </c>
    </row>
    <row r="2979">
      <c r="A2979" t="inlineStr">
        <is>
          <t>42E¹²</t>
        </is>
      </c>
      <c r="B2979" t="inlineStr"/>
      <c r="C2979" t="inlineStr">
        <is>
          <t>168</t>
        </is>
      </c>
      <c r="D2979" t="inlineStr">
        <is>
          <t>2</t>
        </is>
      </c>
      <c r="E2979" t="inlineStr">
        <is>
          <t>56</t>
        </is>
      </c>
      <c r="F2979" t="inlineStr">
        <is>
          <t>0</t>
        </is>
      </c>
      <c r="G2979" t="inlineStr">
        <is>
          <t>3</t>
        </is>
      </c>
      <c r="H2979" t="inlineStr">
        <is>
          <t>42⁴</t>
        </is>
      </c>
      <c r="I2979" t="n">
        <v>4</v>
      </c>
      <c r="J2979" t="inlineStr">
        <is>
          <t>4⁴, 12⁸</t>
        </is>
      </c>
      <c r="K2979">
        <f>HYPERLINK("CSG0.html#group6J0", "6J⁰"), =HYPERLINK("CSG3.html#group42A3", "42A³"), =HYPERLINK("CSG4.html#group42E4", "42E⁴")</f>
        <v/>
      </c>
      <c r="L2979">
        <f>HYPERLINK("CSG23.html#group42H23", "42H²³")</f>
        <v/>
      </c>
      <c r="M2979">
        <f>HYPERLINK("CSG0.html#group3B0", "3B⁰"), =HYPERLINK("CSG0.html#group2A0", "2A⁰"), =HYPERLINK("CSG2.html#group21B2", "21B²"), =HYPERLINK("CSG0.html#group6A0", "6A⁰"), =HYPERLINK("CSG3.html#group42A3", "42A³"), =HYPERLINK("CSG4.html#group42E4", "42E⁴"), =HYPERLINK("CSG0.html#group6C0", "6C⁰"), =HYPERLINK("CSG1.html#group14A1", "14A¹"), =HYPERLINK("CSG0.html#group6J0", "6J⁰"), =HYPERLINK("CSG0.html#group1A0", "1A⁰"), =HYPERLINK("CSG0.html#group7A0", "7A⁰")</f>
        <v/>
      </c>
      <c r="N2979">
        <f>HYPERLINK("CSG23.html#group42H23", "42H²³")</f>
        <v/>
      </c>
    </row>
    <row r="2980">
      <c r="A2980" t="inlineStr">
        <is>
          <t>42F¹²</t>
        </is>
      </c>
      <c r="B2980" t="inlineStr"/>
      <c r="C2980" t="inlineStr">
        <is>
          <t>168</t>
        </is>
      </c>
      <c r="D2980" t="inlineStr">
        <is>
          <t>2</t>
        </is>
      </c>
      <c r="E2980" t="inlineStr">
        <is>
          <t>84</t>
        </is>
      </c>
      <c r="F2980" t="inlineStr">
        <is>
          <t>0</t>
        </is>
      </c>
      <c r="G2980" t="inlineStr">
        <is>
          <t>0</t>
        </is>
      </c>
      <c r="H2980" t="inlineStr">
        <is>
          <t>14³, 42³</t>
        </is>
      </c>
      <c r="I2980" t="n">
        <v>6</v>
      </c>
      <c r="J2980" t="inlineStr">
        <is>
          <t>6¹⁴, 12⁷</t>
        </is>
      </c>
      <c r="K2980">
        <f>HYPERLINK("CSG2.html#group14B2", "14B²"), =HYPERLINK("CSG4.html#group42D4", "42D⁴"), =HYPERLINK("CSG5.html#group21A5", "21A⁵")</f>
        <v/>
      </c>
      <c r="L2980">
        <f>HYPERLINK("CSG23.html#group42C23", "42C²³"), =HYPERLINK("CSG23.html#group42E23", "42E²³"), =HYPERLINK("CSG23.html#group42I23", "42I²³")</f>
        <v/>
      </c>
      <c r="M2980">
        <f>HYPERLINK("CSG0.html#group3B0", "3B⁰"), =HYPERLINK("CSG0.html#group14A0", "14A⁰"), =HYPERLINK("CSG2.html#group14B2", "14B²"), =HYPERLINK("CSG2.html#group21B2", "21B²"), =HYPERLINK("CSG0.html#group7D0", "7D⁰"), =HYPERLINK("CSG4.html#group42D4", "42D⁴"), =HYPERLINK("CSG5.html#group21A5", "21A⁵"), =HYPERLINK("CSG0.html#group1A0", "1A⁰"), =HYPERLINK("CSG0.html#group7A0", "7A⁰")</f>
        <v/>
      </c>
      <c r="N2980">
        <f>HYPERLINK("CSG23.html#group42E23", "42E²³"), =HYPERLINK("CSG23.html#group42C23", "42C²³"), =HYPERLINK("CSG23.html#group42I23", "42I²³")</f>
        <v/>
      </c>
    </row>
    <row r="2981">
      <c r="A2981" t="inlineStr">
        <is>
          <t>42G¹²</t>
        </is>
      </c>
      <c r="B2981" t="inlineStr"/>
      <c r="C2981" t="inlineStr">
        <is>
          <t>168</t>
        </is>
      </c>
      <c r="D2981" t="inlineStr">
        <is>
          <t>2</t>
        </is>
      </c>
      <c r="E2981" t="inlineStr">
        <is>
          <t>84</t>
        </is>
      </c>
      <c r="F2981" t="inlineStr">
        <is>
          <t>0</t>
        </is>
      </c>
      <c r="G2981" t="inlineStr">
        <is>
          <t>0</t>
        </is>
      </c>
      <c r="H2981" t="inlineStr">
        <is>
          <t>14³, 42³</t>
        </is>
      </c>
      <c r="I2981" t="n">
        <v>6</v>
      </c>
      <c r="J2981" t="inlineStr">
        <is>
          <t>2⁶, 4³, 6¹², 12⁶</t>
        </is>
      </c>
      <c r="K2981">
        <f>HYPERLINK("CSG2.html#group14C2", "14C²"), =HYPERLINK("CSG4.html#group42D4", "42D⁴"), =HYPERLINK("CSG6.html#group42C6", "42C⁶")</f>
        <v/>
      </c>
      <c r="L2981">
        <f>HYPERLINK("CSG23.html#group42F23", "42F²³")</f>
        <v/>
      </c>
      <c r="M2981">
        <f>HYPERLINK("CSG0.html#group3B0", "3B⁰"), =HYPERLINK("CSG0.html#group14A0", "14A⁰"), =HYPERLINK("CSG2.html#group21B2", "21B²"), =HYPERLINK("CSG1.html#group14B1", "14B¹"), =HYPERLINK("CSG6.html#group42C6", "42C⁶"), =HYPERLINK("CSG4.html#group42D4", "42D⁴"), =HYPERLINK("CSG2.html#group14C2", "14C²"), =HYPERLINK("CSG0.html#group1A0", "1A⁰"), =HYPERLINK("CSG0.html#group2B0", "2B⁰"), =HYPERLINK("CSG0.html#group6F0", "6F⁰"), =HYPERLINK("CSG0.html#group7A0", "7A⁰")</f>
        <v/>
      </c>
      <c r="N2981">
        <f>HYPERLINK("CSG23.html#group42F23", "42F²³")</f>
        <v/>
      </c>
    </row>
    <row r="2982">
      <c r="A2982" t="inlineStr">
        <is>
          <t>42H¹²</t>
        </is>
      </c>
      <c r="B2982" t="inlineStr"/>
      <c r="C2982" t="inlineStr">
        <is>
          <t>192</t>
        </is>
      </c>
      <c r="D2982" t="inlineStr">
        <is>
          <t>2</t>
        </is>
      </c>
      <c r="E2982" t="inlineStr">
        <is>
          <t>64</t>
        </is>
      </c>
      <c r="F2982" t="inlineStr">
        <is>
          <t>0</t>
        </is>
      </c>
      <c r="G2982" t="inlineStr">
        <is>
          <t>3</t>
        </is>
      </c>
      <c r="H2982" t="inlineStr">
        <is>
          <t>6⁴, 42⁴</t>
        </is>
      </c>
      <c r="I2982" t="n">
        <v>8</v>
      </c>
      <c r="J2982" t="inlineStr">
        <is>
          <t>2¹⁶, 12⁸</t>
        </is>
      </c>
      <c r="K2982">
        <f>HYPERLINK("CSG3.html#group42B3", "42B³"), =HYPERLINK("CSG3.html#group42E3", "42E³")</f>
        <v/>
      </c>
      <c r="L2982">
        <f>HYPERLINK("CSG23.html#group42M23", "42M²³")</f>
        <v/>
      </c>
      <c r="M2982">
        <f>HYPERLINK("CSG0.html#group3B0", "3B⁰"), =HYPERLINK("CSG0.html#group2A0", "2A⁰"), =HYPERLINK("CSG1.html#group21B1", "21B¹"), =HYPERLINK("CSG0.html#group7B0", "7B⁰"), =HYPERLINK("CSG3.html#group42E3", "42E³"), =HYPERLINK("CSG0.html#group6C0", "6C⁰"), =HYPERLINK("CSG0.html#group14B0", "14B⁰"), =HYPERLINK("CSG0.html#group1A0", "1A⁰"), =HYPERLINK("CSG3.html#group42B3", "42B³")</f>
        <v/>
      </c>
      <c r="N2982">
        <f>HYPERLINK("CSG23.html#group42M23", "42M²³")</f>
        <v/>
      </c>
    </row>
    <row r="2983">
      <c r="A2983" t="inlineStr">
        <is>
          <t>45A¹²</t>
        </is>
      </c>
      <c r="B2983" t="inlineStr"/>
      <c r="C2983" t="inlineStr">
        <is>
          <t>180</t>
        </is>
      </c>
      <c r="D2983" t="inlineStr">
        <is>
          <t>1</t>
        </is>
      </c>
      <c r="E2983" t="inlineStr">
        <is>
          <t>30</t>
        </is>
      </c>
      <c r="F2983" t="inlineStr">
        <is>
          <t>0</t>
        </is>
      </c>
      <c r="G2983" t="inlineStr">
        <is>
          <t>0</t>
        </is>
      </c>
      <c r="H2983" t="inlineStr">
        <is>
          <t>15⁶, 45²</t>
        </is>
      </c>
      <c r="I2983" t="n">
        <v>8</v>
      </c>
      <c r="J2983" t="inlineStr">
        <is>
          <t>1², 2², 4², 8²</t>
        </is>
      </c>
      <c r="K2983">
        <f>HYPERLINK("CSG0.html#group9H0", "9H⁰"), =HYPERLINK("CSG4.html#group15A4", "15A⁴"), =HYPERLINK("CSG6.html#group45C6", "45C⁶")</f>
        <v/>
      </c>
      <c r="L2983" t="inlineStr"/>
      <c r="M2983">
        <f>HYPERLINK("CSG0.html#group3B0", "3B⁰"), =HYPERLINK("CSG6.html#group45C6", "45C⁶"), =HYPERLINK("CSG0.html#group5A0", "5A⁰"), =HYPERLINK("CSG4.html#group15A4", "15A⁴"), =HYPERLINK("CSG2.html#group15A2", "15A²"), =HYPERLINK("CSG1.html#group15B1", "15B¹"), =HYPERLINK("CSG0.html#group3C0", "3C⁰"), =HYPERLINK("CSG0.html#group9H0", "9H⁰"), =HYPERLINK("CSG0.html#group9E0", "9E⁰"), =HYPERLINK("CSG0.html#group3A0", "3A⁰"), =HYPERLINK("CSG0.html#group1A0", "1A⁰"), =HYPERLINK("CSG1.html#group15A1", "15A¹"), =HYPERLINK("CSG0.html#group3D0", "3D⁰")</f>
        <v/>
      </c>
      <c r="N2983" t="inlineStr"/>
    </row>
    <row r="2984">
      <c r="A2984" t="inlineStr">
        <is>
          <t>45B¹²</t>
        </is>
      </c>
      <c r="B2984" t="inlineStr"/>
      <c r="C2984" t="inlineStr">
        <is>
          <t>180</t>
        </is>
      </c>
      <c r="D2984" t="inlineStr">
        <is>
          <t>1</t>
        </is>
      </c>
      <c r="E2984" t="inlineStr">
        <is>
          <t>60</t>
        </is>
      </c>
      <c r="F2984" t="inlineStr">
        <is>
          <t>0</t>
        </is>
      </c>
      <c r="G2984" t="inlineStr">
        <is>
          <t>0</t>
        </is>
      </c>
      <c r="H2984" t="inlineStr">
        <is>
          <t>5³, 15², 45³</t>
        </is>
      </c>
      <c r="I2984" t="n">
        <v>8</v>
      </c>
      <c r="J2984" t="inlineStr">
        <is>
          <t>1², 2², 4², 6¹, 8², 24¹</t>
        </is>
      </c>
      <c r="K2984">
        <f>HYPERLINK("CSG0.html#group9I0", "9I⁰"), =HYPERLINK("CSG4.html#group45A4", "45A⁴")</f>
        <v/>
      </c>
      <c r="L2984" t="inlineStr"/>
      <c r="M2984">
        <f>HYPERLINK("CSG0.html#group9I0", "9I⁰"), =HYPERLINK("CSG0.html#group3B0", "3B⁰"), =HYPERLINK("CSG0.html#group9B0", "9B⁰"), =HYPERLINK("CSG1.html#group15B1", "15B¹"), =HYPERLINK("CSG0.html#group5A0", "5A⁰"), =HYPERLINK("CSG4.html#group45A4", "45A⁴"), =HYPERLINK("CSG0.html#group1A0", "1A⁰")</f>
        <v/>
      </c>
      <c r="N2984" t="inlineStr"/>
    </row>
    <row r="2985">
      <c r="A2985" t="inlineStr">
        <is>
          <t>45C¹²</t>
        </is>
      </c>
      <c r="B2985" t="inlineStr"/>
      <c r="C2985" t="inlineStr">
        <is>
          <t>180</t>
        </is>
      </c>
      <c r="D2985" t="inlineStr">
        <is>
          <t>1</t>
        </is>
      </c>
      <c r="E2985" t="inlineStr">
        <is>
          <t>60</t>
        </is>
      </c>
      <c r="F2985" t="inlineStr">
        <is>
          <t>0</t>
        </is>
      </c>
      <c r="G2985" t="inlineStr">
        <is>
          <t>0</t>
        </is>
      </c>
      <c r="H2985" t="inlineStr">
        <is>
          <t>5³, 15², 45³</t>
        </is>
      </c>
      <c r="I2985" t="n">
        <v>8</v>
      </c>
      <c r="J2985" t="inlineStr">
        <is>
          <t>2², 4⁶, 8⁴, 12¹, 24²</t>
        </is>
      </c>
      <c r="K2985">
        <f>HYPERLINK("CSG4.html#group45A4", "45A⁴")</f>
        <v/>
      </c>
      <c r="L2985" t="inlineStr"/>
      <c r="M2985">
        <f>HYPERLINK("CSG0.html#group3B0", "3B⁰"), =HYPERLINK("CSG0.html#group9B0", "9B⁰"), =HYPERLINK("CSG1.html#group15B1", "15B¹"), =HYPERLINK("CSG0.html#group5A0", "5A⁰"), =HYPERLINK("CSG4.html#group45A4", "45A⁴"), =HYPERLINK("CSG0.html#group1A0", "1A⁰")</f>
        <v/>
      </c>
      <c r="N2985" t="inlineStr"/>
    </row>
    <row r="2986">
      <c r="A2986" t="inlineStr">
        <is>
          <t>45D¹²</t>
        </is>
      </c>
      <c r="B2986" t="inlineStr"/>
      <c r="C2986" t="inlineStr">
        <is>
          <t>180</t>
        </is>
      </c>
      <c r="D2986" t="inlineStr">
        <is>
          <t>1</t>
        </is>
      </c>
      <c r="E2986" t="inlineStr">
        <is>
          <t>60</t>
        </is>
      </c>
      <c r="F2986" t="inlineStr">
        <is>
          <t>0</t>
        </is>
      </c>
      <c r="G2986" t="inlineStr">
        <is>
          <t>0</t>
        </is>
      </c>
      <c r="H2986" t="inlineStr">
        <is>
          <t>5³, 15², 45³</t>
        </is>
      </c>
      <c r="I2986" t="n">
        <v>8</v>
      </c>
      <c r="J2986" t="inlineStr">
        <is>
          <t>2², 4⁶, 8⁴, 12¹, 24²</t>
        </is>
      </c>
      <c r="K2986">
        <f>HYPERLINK("CSG4.html#group45A4", "45A⁴")</f>
        <v/>
      </c>
      <c r="L2986" t="inlineStr"/>
      <c r="M2986">
        <f>HYPERLINK("CSG0.html#group3B0", "3B⁰"), =HYPERLINK("CSG0.html#group9B0", "9B⁰"), =HYPERLINK("CSG1.html#group15B1", "15B¹"), =HYPERLINK("CSG0.html#group5A0", "5A⁰"), =HYPERLINK("CSG4.html#group45A4", "45A⁴"), =HYPERLINK("CSG0.html#group1A0", "1A⁰")</f>
        <v/>
      </c>
      <c r="N2986" t="inlineStr"/>
    </row>
    <row r="2987">
      <c r="A2987" t="inlineStr">
        <is>
          <t>45E¹²</t>
        </is>
      </c>
      <c r="B2987" t="inlineStr"/>
      <c r="C2987" t="inlineStr">
        <is>
          <t>180</t>
        </is>
      </c>
      <c r="D2987" t="inlineStr">
        <is>
          <t>1</t>
        </is>
      </c>
      <c r="E2987" t="inlineStr">
        <is>
          <t>60</t>
        </is>
      </c>
      <c r="F2987" t="inlineStr">
        <is>
          <t>0</t>
        </is>
      </c>
      <c r="G2987" t="inlineStr">
        <is>
          <t>0</t>
        </is>
      </c>
      <c r="H2987" t="inlineStr">
        <is>
          <t>15⁶, 45²</t>
        </is>
      </c>
      <c r="I2987" t="n">
        <v>8</v>
      </c>
      <c r="J2987" t="inlineStr">
        <is>
          <t>2², 4⁴, 8⁵</t>
        </is>
      </c>
      <c r="K2987">
        <f>HYPERLINK("CSG4.html#group15A4", "15A⁴")</f>
        <v/>
      </c>
      <c r="L2987" t="inlineStr"/>
      <c r="M2987">
        <f>HYPERLINK("CSG0.html#group3B0", "3B⁰"), =HYPERLINK("CSG0.html#group5A0", "5A⁰"), =HYPERLINK("CSG4.html#group15A4", "15A⁴"), =HYPERLINK("CSG2.html#group15A2", "15A²"), =HYPERLINK("CSG1.html#group15B1", "15B¹"), =HYPERLINK("CSG0.html#group3C0", "3C⁰"), =HYPERLINK("CSG0.html#group3A0", "3A⁰"), =HYPERLINK("CSG0.html#group1A0", "1A⁰"), =HYPERLINK("CSG1.html#group15A1", "15A¹"), =HYPERLINK("CSG0.html#group3D0", "3D⁰")</f>
        <v/>
      </c>
      <c r="N2987" t="inlineStr"/>
    </row>
    <row r="2988">
      <c r="A2988" t="inlineStr">
        <is>
          <t>45F¹²</t>
        </is>
      </c>
      <c r="B2988" t="inlineStr"/>
      <c r="C2988" t="inlineStr">
        <is>
          <t>180</t>
        </is>
      </c>
      <c r="D2988" t="inlineStr">
        <is>
          <t>1</t>
        </is>
      </c>
      <c r="E2988" t="inlineStr">
        <is>
          <t>90</t>
        </is>
      </c>
      <c r="F2988" t="inlineStr">
        <is>
          <t>8</t>
        </is>
      </c>
      <c r="G2988" t="inlineStr">
        <is>
          <t>0</t>
        </is>
      </c>
      <c r="H2988" t="inlineStr">
        <is>
          <t>45⁴</t>
        </is>
      </c>
      <c r="I2988" t="n">
        <v>4</v>
      </c>
      <c r="J2988" t="inlineStr">
        <is>
          <t>2¹, 4³, 8², 12¹, 24²</t>
        </is>
      </c>
      <c r="K2988">
        <f>HYPERLINK("CSG2.html#group15D2", "15D²"), =HYPERLINK("CSG5.html#group45E5", "45E⁵")</f>
        <v/>
      </c>
      <c r="L2988" t="inlineStr"/>
      <c r="M2988">
        <f>HYPERLINK("CSG1.html#group15D1", "15D¹"), =HYPERLINK("CSG5.html#group45E5", "45E⁵"), =HYPERLINK("CSG0.html#group9A0", "9A⁰"), =HYPERLINK("CSG0.html#group5C0", "5C⁰"), =HYPERLINK("CSG2.html#group15D2", "15D²"), =HYPERLINK("CSG0.html#group3A0", "3A⁰"), =HYPERLINK("CSG0.html#group1A0", "1A⁰")</f>
        <v/>
      </c>
      <c r="N2988" t="inlineStr"/>
    </row>
    <row r="2989">
      <c r="A2989" t="inlineStr">
        <is>
          <t>45G¹²</t>
        </is>
      </c>
      <c r="B2989" t="inlineStr"/>
      <c r="C2989" t="inlineStr">
        <is>
          <t>180</t>
        </is>
      </c>
      <c r="D2989" t="inlineStr">
        <is>
          <t>1</t>
        </is>
      </c>
      <c r="E2989" t="inlineStr">
        <is>
          <t>180</t>
        </is>
      </c>
      <c r="F2989" t="inlineStr">
        <is>
          <t>8</t>
        </is>
      </c>
      <c r="G2989" t="inlineStr">
        <is>
          <t>0</t>
        </is>
      </c>
      <c r="H2989" t="inlineStr">
        <is>
          <t>45⁴</t>
        </is>
      </c>
      <c r="I2989" t="n">
        <v>4</v>
      </c>
      <c r="J2989" t="inlineStr">
        <is>
          <t>4¹, 8⁷, 24⁵</t>
        </is>
      </c>
      <c r="K2989">
        <f>HYPERLINK("CSG2.html#group15D2", "15D²")</f>
        <v/>
      </c>
      <c r="L2989" t="inlineStr"/>
      <c r="M2989">
        <f>HYPERLINK("CSG2.html#group15D2", "15D²"), =HYPERLINK("CSG1.html#group15D1", "15D¹"), =HYPERLINK("CSG0.html#group1A0", "1A⁰"), =HYPERLINK("CSG0.html#group3A0", "3A⁰"), =HYPERLINK("CSG0.html#group5C0", "5C⁰")</f>
        <v/>
      </c>
      <c r="N2989" t="inlineStr"/>
    </row>
    <row r="2990">
      <c r="A2990" t="inlineStr">
        <is>
          <t>45H¹²</t>
        </is>
      </c>
      <c r="B2990" t="inlineStr"/>
      <c r="C2990" t="inlineStr">
        <is>
          <t>240</t>
        </is>
      </c>
      <c r="D2990" t="inlineStr">
        <is>
          <t>1</t>
        </is>
      </c>
      <c r="E2990" t="inlineStr">
        <is>
          <t>80</t>
        </is>
      </c>
      <c r="F2990" t="inlineStr">
        <is>
          <t>0</t>
        </is>
      </c>
      <c r="G2990" t="inlineStr">
        <is>
          <t>3</t>
        </is>
      </c>
      <c r="H2990" t="inlineStr">
        <is>
          <t>5¹², 45⁴</t>
        </is>
      </c>
      <c r="I2990" t="n">
        <v>16</v>
      </c>
      <c r="J2990" t="inlineStr">
        <is>
          <t>4², 8⁹</t>
        </is>
      </c>
      <c r="K2990">
        <f>HYPERLINK("CSG3.html#group15G3", "15G³"), =HYPERLINK("CSG3.html#group45C3", "45C³")</f>
        <v/>
      </c>
      <c r="L2990">
        <f>HYPERLINK("CSG23.html#group45E23", "45E²³")</f>
        <v/>
      </c>
      <c r="M2990">
        <f>HYPERLINK("CSG0.html#group3B0", "3B⁰"), =HYPERLINK("CSG3.html#group45C3", "45C³"), =HYPERLINK("CSG0.html#group5A0", "5A⁰"), =HYPERLINK("CSG0.html#group5C0", "5C⁰"), =HYPERLINK("CSG3.html#group15G3", "15G³"), =HYPERLINK("CSG1.html#group15B1", "15B¹"), =HYPERLINK("CSG0.html#group5F0", "5F⁰"), =HYPERLINK("CSG2.html#group15C2", "15C²"), =HYPERLINK("CSG0.html#group1A0", "1A⁰")</f>
        <v/>
      </c>
      <c r="N2990">
        <f>HYPERLINK("CSG23.html#group45E23", "45E²³")</f>
        <v/>
      </c>
    </row>
    <row r="2991">
      <c r="A2991" t="inlineStr">
        <is>
          <t>48A¹²</t>
        </is>
      </c>
      <c r="B2991" t="inlineStr"/>
      <c r="C2991" t="inlineStr">
        <is>
          <t>192</t>
        </is>
      </c>
      <c r="D2991" t="inlineStr">
        <is>
          <t>2</t>
        </is>
      </c>
      <c r="E2991" t="inlineStr">
        <is>
          <t>32</t>
        </is>
      </c>
      <c r="F2991" t="inlineStr">
        <is>
          <t>12</t>
        </is>
      </c>
      <c r="G2991" t="inlineStr">
        <is>
          <t>0</t>
        </is>
      </c>
      <c r="H2991" t="inlineStr">
        <is>
          <t>48⁴</t>
        </is>
      </c>
      <c r="I2991" t="n">
        <v>4</v>
      </c>
      <c r="J2991" t="inlineStr">
        <is>
          <t>8⁸</t>
        </is>
      </c>
      <c r="K2991">
        <f>HYPERLINK("CSG2.html#group16H2", "16H²"), =HYPERLINK("CSG3.html#group48A3", "48A³"), =HYPERLINK("CSG4.html#group24S4", "24S⁴")</f>
        <v/>
      </c>
      <c r="L2991" t="inlineStr"/>
      <c r="M2991">
        <f>HYPERLINK("CSG1.html#group24F1", "24F¹"), =HYPERLINK("CSG0.html#group8F0", "8F⁰"), =HYPERLINK("CSG3.html#group48A3", "48A³"), =HYPERLINK("CSG4.html#group24S4", "24S⁴"), =HYPERLINK("CSG0.html#group16A0", "16A⁰"), =HYPERLINK("CSG0.html#group12A0", "12A⁰"), =HYPERLINK("CSG1.html#group24A1", "24A¹"), =HYPERLINK("CSG2.html#group16H2", "16H²"), =HYPERLINK("CSG0.html#group4A0", "4A⁰"), =HYPERLINK("CSG0.html#group3A0", "3A⁰"), =HYPERLINK("CSG0.html#group8A0", "8A⁰"), =HYPERLINK("CSG0.html#group8M0", "8M⁰"), =HYPERLINK("CSG0.html#group1A0", "1A⁰")</f>
        <v/>
      </c>
      <c r="N2991" t="inlineStr"/>
    </row>
    <row r="2992">
      <c r="A2992" t="inlineStr">
        <is>
          <t>48B¹²</t>
        </is>
      </c>
      <c r="B2992" t="inlineStr"/>
      <c r="C2992" t="inlineStr">
        <is>
          <t>192</t>
        </is>
      </c>
      <c r="D2992" t="inlineStr">
        <is>
          <t>2</t>
        </is>
      </c>
      <c r="E2992" t="inlineStr">
        <is>
          <t>96</t>
        </is>
      </c>
      <c r="F2992" t="inlineStr">
        <is>
          <t>12</t>
        </is>
      </c>
      <c r="G2992" t="inlineStr">
        <is>
          <t>0</t>
        </is>
      </c>
      <c r="H2992" t="inlineStr">
        <is>
          <t>48⁴</t>
        </is>
      </c>
      <c r="I2992" t="n">
        <v>4</v>
      </c>
      <c r="J2992" t="inlineStr">
        <is>
          <t>8⁸, 16⁸</t>
        </is>
      </c>
      <c r="K2992">
        <f>HYPERLINK("CSG3.html#group48B3", "48B³"), =HYPERLINK("CSG4.html#group24S4", "24S⁴")</f>
        <v/>
      </c>
      <c r="L2992" t="inlineStr"/>
      <c r="M2992">
        <f>HYPERLINK("CSG1.html#group24F1", "24F¹"), =HYPERLINK("CSG0.html#group8F0", "8F⁰"), =HYPERLINK("CSG1.html#group24A1", "24A¹"), =HYPERLINK("CSG4.html#group24S4", "24S⁴"), =HYPERLINK("CSG0.html#group12A0", "12A⁰"), =HYPERLINK("CSG0.html#group4A0", "4A⁰"), =HYPERLINK("CSG0.html#group8A0", "8A⁰"), =HYPERLINK("CSG0.html#group8M0", "8M⁰"), =HYPERLINK("CSG0.html#group3A0", "3A⁰"), =HYPERLINK("CSG0.html#group1A0", "1A⁰"), =HYPERLINK("CSG3.html#group48B3", "48B³")</f>
        <v/>
      </c>
      <c r="N2992" t="inlineStr"/>
    </row>
    <row r="2993">
      <c r="A2993" t="inlineStr">
        <is>
          <t>49A¹²</t>
        </is>
      </c>
      <c r="B2993" t="inlineStr"/>
      <c r="C2993" t="inlineStr">
        <is>
          <t>168</t>
        </is>
      </c>
      <c r="D2993" t="inlineStr">
        <is>
          <t>1</t>
        </is>
      </c>
      <c r="E2993" t="inlineStr">
        <is>
          <t>24</t>
        </is>
      </c>
      <c r="F2993" t="inlineStr">
        <is>
          <t>0</t>
        </is>
      </c>
      <c r="G2993" t="inlineStr">
        <is>
          <t>0</t>
        </is>
      </c>
      <c r="H2993" t="inlineStr">
        <is>
          <t>7³, 49³</t>
        </is>
      </c>
      <c r="I2993" t="n">
        <v>6</v>
      </c>
      <c r="J2993" t="inlineStr">
        <is>
          <t>3², 6³</t>
        </is>
      </c>
      <c r="K2993">
        <f>HYPERLINK("CSG0.html#group7E0", "7E⁰")</f>
        <v/>
      </c>
      <c r="L2993" t="inlineStr"/>
      <c r="M2993">
        <f>HYPERLINK("CSG0.html#group1A0", "1A⁰"), =HYPERLINK("CSG0.html#group7B0", "7B⁰"), =HYPERLINK("CSG0.html#group7E0", "7E⁰")</f>
        <v/>
      </c>
      <c r="N2993" t="inlineStr"/>
    </row>
    <row r="2994">
      <c r="A2994" t="inlineStr">
        <is>
          <t>49B¹²</t>
        </is>
      </c>
      <c r="B2994" t="inlineStr"/>
      <c r="C2994" t="inlineStr">
        <is>
          <t>168</t>
        </is>
      </c>
      <c r="D2994" t="inlineStr">
        <is>
          <t>1</t>
        </is>
      </c>
      <c r="E2994" t="inlineStr">
        <is>
          <t>24</t>
        </is>
      </c>
      <c r="F2994" t="inlineStr">
        <is>
          <t>0</t>
        </is>
      </c>
      <c r="G2994" t="inlineStr">
        <is>
          <t>0</t>
        </is>
      </c>
      <c r="H2994" t="inlineStr">
        <is>
          <t>7³, 49³</t>
        </is>
      </c>
      <c r="I2994" t="n">
        <v>6</v>
      </c>
      <c r="J2994" t="inlineStr">
        <is>
          <t>3², 6³</t>
        </is>
      </c>
      <c r="K2994">
        <f>HYPERLINK("CSG0.html#group7E0", "7E⁰")</f>
        <v/>
      </c>
      <c r="L2994" t="inlineStr"/>
      <c r="M2994">
        <f>HYPERLINK("CSG0.html#group1A0", "1A⁰"), =HYPERLINK("CSG0.html#group7B0", "7B⁰"), =HYPERLINK("CSG0.html#group7E0", "7E⁰")</f>
        <v/>
      </c>
      <c r="N2994" t="inlineStr"/>
    </row>
    <row r="2995">
      <c r="A2995" t="inlineStr">
        <is>
          <t>50A¹²</t>
        </is>
      </c>
      <c r="B2995" t="inlineStr"/>
      <c r="C2995" t="inlineStr">
        <is>
          <t>180</t>
        </is>
      </c>
      <c r="D2995" t="inlineStr">
        <is>
          <t>1</t>
        </is>
      </c>
      <c r="E2995" t="inlineStr">
        <is>
          <t>18</t>
        </is>
      </c>
      <c r="F2995" t="inlineStr">
        <is>
          <t>0</t>
        </is>
      </c>
      <c r="G2995" t="inlineStr">
        <is>
          <t>0</t>
        </is>
      </c>
      <c r="H2995" t="inlineStr">
        <is>
          <t>5², 10², 25², 50²</t>
        </is>
      </c>
      <c r="I2995" t="n">
        <v>8</v>
      </c>
      <c r="J2995" t="inlineStr">
        <is>
          <t>2⁶, 4⁶</t>
        </is>
      </c>
      <c r="K2995">
        <f>HYPERLINK("CSG0.html#group10F0", "10F⁰"), =HYPERLINK("CSG4.html#group25A4", "25A⁴"), =HYPERLINK("CSG6.html#group50A6", "50A⁶")</f>
        <v/>
      </c>
      <c r="L2995" t="inlineStr"/>
      <c r="M2995">
        <f>HYPERLINK("CSG6.html#group50A6", "50A⁶"), =HYPERLINK("CSG2.html#group25A2", "25A²"), =HYPERLINK("CSG0.html#group5B0", "5B⁰"), =HYPERLINK("CSG0.html#group10C0", "10C⁰"), =HYPERLINK("CSG0.html#group5D0", "5D⁰"), =HYPERLINK("CSG0.html#group2B0", "2B⁰"), =HYPERLINK("CSG0.html#group1A0", "1A⁰"), =HYPERLINK("CSG0.html#group10F0", "10F⁰"), =HYPERLINK("CSG4.html#group25A4", "25A⁴")</f>
        <v/>
      </c>
      <c r="N2995" t="inlineStr"/>
    </row>
    <row r="2996">
      <c r="A2996" t="inlineStr">
        <is>
          <t>50B¹²</t>
        </is>
      </c>
      <c r="B2996" t="inlineStr"/>
      <c r="C2996" t="inlineStr">
        <is>
          <t>180</t>
        </is>
      </c>
      <c r="D2996" t="inlineStr">
        <is>
          <t>1</t>
        </is>
      </c>
      <c r="E2996" t="inlineStr">
        <is>
          <t>18</t>
        </is>
      </c>
      <c r="F2996" t="inlineStr">
        <is>
          <t>0</t>
        </is>
      </c>
      <c r="G2996" t="inlineStr">
        <is>
          <t>0</t>
        </is>
      </c>
      <c r="H2996" t="inlineStr">
        <is>
          <t>5², 10², 25², 50²</t>
        </is>
      </c>
      <c r="I2996" t="n">
        <v>8</v>
      </c>
      <c r="J2996" t="inlineStr">
        <is>
          <t>2⁶, 4⁶</t>
        </is>
      </c>
      <c r="K2996">
        <f>HYPERLINK("CSG0.html#group10F0", "10F⁰"), =HYPERLINK("CSG4.html#group25B4", "25B⁴"), =HYPERLINK("CSG6.html#group50B6", "50B⁶")</f>
        <v/>
      </c>
      <c r="L2996" t="inlineStr"/>
      <c r="M2996">
        <f>HYPERLINK("CSG4.html#group25B4", "25B⁴"), =HYPERLINK("CSG0.html#group5B0", "5B⁰"), =HYPERLINK("CSG0.html#group10C0", "10C⁰"), =HYPERLINK("CSG0.html#group5D0", "5D⁰"), =HYPERLINK("CSG0.html#group2B0", "2B⁰"), =HYPERLINK("CSG6.html#group50B6", "50B⁶"), =HYPERLINK("CSG0.html#group1A0", "1A⁰"), =HYPERLINK("CSG0.html#group10F0", "10F⁰"), =HYPERLINK("CSG2.html#group25B2", "25B²")</f>
        <v/>
      </c>
      <c r="N2996" t="inlineStr"/>
    </row>
    <row r="2997">
      <c r="A2997" t="inlineStr">
        <is>
          <t>50C¹²</t>
        </is>
      </c>
      <c r="B2997" t="inlineStr"/>
      <c r="C2997" t="inlineStr">
        <is>
          <t>180</t>
        </is>
      </c>
      <c r="D2997" t="inlineStr">
        <is>
          <t>1</t>
        </is>
      </c>
      <c r="E2997" t="inlineStr">
        <is>
          <t>18</t>
        </is>
      </c>
      <c r="F2997" t="inlineStr">
        <is>
          <t>0</t>
        </is>
      </c>
      <c r="G2997" t="inlineStr">
        <is>
          <t>0</t>
        </is>
      </c>
      <c r="H2997" t="inlineStr">
        <is>
          <t>5², 10², 25², 50²</t>
        </is>
      </c>
      <c r="I2997" t="n">
        <v>8</v>
      </c>
      <c r="J2997" t="inlineStr">
        <is>
          <t>2⁶, 4⁶</t>
        </is>
      </c>
      <c r="K2997">
        <f>HYPERLINK("CSG0.html#group10F0", "10F⁰"), =HYPERLINK("CSG4.html#group25C4", "25C⁴"), =HYPERLINK("CSG6.html#group50C6", "50C⁶")</f>
        <v/>
      </c>
      <c r="L2997" t="inlineStr"/>
      <c r="M2997">
        <f>HYPERLINK("CSG6.html#group50C6", "50C⁶"), =HYPERLINK("CSG0.html#group5B0", "5B⁰"), =HYPERLINK("CSG0.html#group10C0", "10C⁰"), =HYPERLINK("CSG0.html#group5D0", "5D⁰"), =HYPERLINK("CSG0.html#group2B0", "2B⁰"), =HYPERLINK("CSG0.html#group1A0", "1A⁰"), =HYPERLINK("CSG2.html#group25C2", "25C²"), =HYPERLINK("CSG0.html#group10F0", "10F⁰"), =HYPERLINK("CSG4.html#group25C4", "25C⁴")</f>
        <v/>
      </c>
      <c r="N2997" t="inlineStr"/>
    </row>
    <row r="2998">
      <c r="A2998" t="inlineStr">
        <is>
          <t>50D¹²</t>
        </is>
      </c>
      <c r="B2998" t="inlineStr"/>
      <c r="C2998" t="inlineStr">
        <is>
          <t>180</t>
        </is>
      </c>
      <c r="D2998" t="inlineStr">
        <is>
          <t>1</t>
        </is>
      </c>
      <c r="E2998" t="inlineStr">
        <is>
          <t>18</t>
        </is>
      </c>
      <c r="F2998" t="inlineStr">
        <is>
          <t>0</t>
        </is>
      </c>
      <c r="G2998" t="inlineStr">
        <is>
          <t>0</t>
        </is>
      </c>
      <c r="H2998" t="inlineStr">
        <is>
          <t>5², 10², 25², 50²</t>
        </is>
      </c>
      <c r="I2998" t="n">
        <v>8</v>
      </c>
      <c r="J2998" t="inlineStr">
        <is>
          <t>2⁶, 4⁶</t>
        </is>
      </c>
      <c r="K2998">
        <f>HYPERLINK("CSG0.html#group10F0", "10F⁰"), =HYPERLINK("CSG4.html#group25D4", "25D⁴"), =HYPERLINK("CSG6.html#group50D6", "50D⁶")</f>
        <v/>
      </c>
      <c r="L2998" t="inlineStr"/>
      <c r="M2998">
        <f>HYPERLINK("CSG6.html#group50D6", "50D⁶"), =HYPERLINK("CSG0.html#group5B0", "5B⁰"), =HYPERLINK("CSG0.html#group10C0", "10C⁰"), =HYPERLINK("CSG0.html#group5D0", "5D⁰"), =HYPERLINK("CSG0.html#group2B0", "2B⁰"), =HYPERLINK("CSG4.html#group25D4", "25D⁴"), =HYPERLINK("CSG0.html#group1A0", "1A⁰"), =HYPERLINK("CSG0.html#group10F0", "10F⁰"), =HYPERLINK("CSG2.html#group25D2", "25D²")</f>
        <v/>
      </c>
      <c r="N2998" t="inlineStr"/>
    </row>
    <row r="2999">
      <c r="A2999" t="inlineStr">
        <is>
          <t>50E¹²</t>
        </is>
      </c>
      <c r="B2999" t="inlineStr"/>
      <c r="C2999" t="inlineStr">
        <is>
          <t>180</t>
        </is>
      </c>
      <c r="D2999" t="inlineStr">
        <is>
          <t>1</t>
        </is>
      </c>
      <c r="E2999" t="inlineStr">
        <is>
          <t>90</t>
        </is>
      </c>
      <c r="F2999" t="inlineStr">
        <is>
          <t>4</t>
        </is>
      </c>
      <c r="G2999" t="inlineStr">
        <is>
          <t>0</t>
        </is>
      </c>
      <c r="H2999" t="inlineStr">
        <is>
          <t>10³, 50³</t>
        </is>
      </c>
      <c r="I2999" t="n">
        <v>6</v>
      </c>
      <c r="J2999" t="inlineStr">
        <is>
          <t>2⁶, 4¹², 20⁶</t>
        </is>
      </c>
      <c r="K2999">
        <f>HYPERLINK("CSG0.html#group10G0", "10G⁰"), =HYPERLINK("CSG4.html#group50A4", "50A⁴"), =HYPERLINK("CSG6.html#group50A6", "50A⁶")</f>
        <v/>
      </c>
      <c r="L2999" t="inlineStr"/>
      <c r="M2999">
        <f>HYPERLINK("CSG6.html#group50A6", "50A⁶"), =HYPERLINK("CSG2.html#group25A2", "25A²"), =HYPERLINK("CSG0.html#group10G0", "10G⁰"), =HYPERLINK("CSG0.html#group5B0", "5B⁰"), =HYPERLINK("CSG0.html#group10C0", "10C⁰"), =HYPERLINK("CSG0.html#group2B0", "2B⁰"), =HYPERLINK("CSG0.html#group1A0", "1A⁰"), =HYPERLINK("CSG4.html#group50A4", "50A⁴"), =HYPERLINK("CSG0.html#group10B0", "10B⁰")</f>
        <v/>
      </c>
      <c r="N2999" t="inlineStr"/>
    </row>
    <row r="3000">
      <c r="A3000" t="inlineStr">
        <is>
          <t>50F¹²</t>
        </is>
      </c>
      <c r="B3000" t="inlineStr"/>
      <c r="C3000" t="inlineStr">
        <is>
          <t>180</t>
        </is>
      </c>
      <c r="D3000" t="inlineStr">
        <is>
          <t>1</t>
        </is>
      </c>
      <c r="E3000" t="inlineStr">
        <is>
          <t>90</t>
        </is>
      </c>
      <c r="F3000" t="inlineStr">
        <is>
          <t>4</t>
        </is>
      </c>
      <c r="G3000" t="inlineStr">
        <is>
          <t>0</t>
        </is>
      </c>
      <c r="H3000" t="inlineStr">
        <is>
          <t>10³, 50³</t>
        </is>
      </c>
      <c r="I3000" t="n">
        <v>6</v>
      </c>
      <c r="J3000" t="inlineStr">
        <is>
          <t>2⁶, 4¹², 20⁶</t>
        </is>
      </c>
      <c r="K3000">
        <f>HYPERLINK("CSG0.html#group10G0", "10G⁰"), =HYPERLINK("CSG4.html#group50B4", "50B⁴"), =HYPERLINK("CSG6.html#group50B6", "50B⁶")</f>
        <v/>
      </c>
      <c r="L3000" t="inlineStr"/>
      <c r="M3000">
        <f>HYPERLINK("CSG4.html#group50B4", "50B⁴"), =HYPERLINK("CSG0.html#group10G0", "10G⁰"), =HYPERLINK("CSG0.html#group5B0", "5B⁰"), =HYPERLINK("CSG0.html#group10C0", "10C⁰"), =HYPERLINK("CSG0.html#group2B0", "2B⁰"), =HYPERLINK("CSG6.html#group50B6", "50B⁶"), =HYPERLINK("CSG0.html#group1A0", "1A⁰"), =HYPERLINK("CSG2.html#group25B2", "25B²"), =HYPERLINK("CSG0.html#group10B0", "10B⁰")</f>
        <v/>
      </c>
      <c r="N3000" t="inlineStr"/>
    </row>
    <row r="3001">
      <c r="A3001" t="inlineStr">
        <is>
          <t>50G¹²</t>
        </is>
      </c>
      <c r="B3001" t="inlineStr"/>
      <c r="C3001" t="inlineStr">
        <is>
          <t>180</t>
        </is>
      </c>
      <c r="D3001" t="inlineStr">
        <is>
          <t>1</t>
        </is>
      </c>
      <c r="E3001" t="inlineStr">
        <is>
          <t>90</t>
        </is>
      </c>
      <c r="F3001" t="inlineStr">
        <is>
          <t>4</t>
        </is>
      </c>
      <c r="G3001" t="inlineStr">
        <is>
          <t>0</t>
        </is>
      </c>
      <c r="H3001" t="inlineStr">
        <is>
          <t>10³, 50³</t>
        </is>
      </c>
      <c r="I3001" t="n">
        <v>6</v>
      </c>
      <c r="J3001" t="inlineStr">
        <is>
          <t>2⁶, 4¹², 20⁶</t>
        </is>
      </c>
      <c r="K3001">
        <f>HYPERLINK("CSG0.html#group10G0", "10G⁰"), =HYPERLINK("CSG4.html#group50C4", "50C⁴"), =HYPERLINK("CSG6.html#group50C6", "50C⁶")</f>
        <v/>
      </c>
      <c r="L3001" t="inlineStr"/>
      <c r="M3001">
        <f>HYPERLINK("CSG0.html#group10G0", "10G⁰"), =HYPERLINK("CSG6.html#group50C6", "50C⁶"), =HYPERLINK("CSG0.html#group5B0", "5B⁰"), =HYPERLINK("CSG0.html#group10C0", "10C⁰"), =HYPERLINK("CSG0.html#group2B0", "2B⁰"), =HYPERLINK("CSG4.html#group50C4", "50C⁴"), =HYPERLINK("CSG0.html#group1A0", "1A⁰"), =HYPERLINK("CSG2.html#group25C2", "25C²"), =HYPERLINK("CSG0.html#group10B0", "10B⁰")</f>
        <v/>
      </c>
      <c r="N3001" t="inlineStr"/>
    </row>
    <row r="3002">
      <c r="A3002" t="inlineStr">
        <is>
          <t>50H¹²</t>
        </is>
      </c>
      <c r="B3002" t="inlineStr"/>
      <c r="C3002" t="inlineStr">
        <is>
          <t>180</t>
        </is>
      </c>
      <c r="D3002" t="inlineStr">
        <is>
          <t>1</t>
        </is>
      </c>
      <c r="E3002" t="inlineStr">
        <is>
          <t>90</t>
        </is>
      </c>
      <c r="F3002" t="inlineStr">
        <is>
          <t>4</t>
        </is>
      </c>
      <c r="G3002" t="inlineStr">
        <is>
          <t>0</t>
        </is>
      </c>
      <c r="H3002" t="inlineStr">
        <is>
          <t>10³, 50³</t>
        </is>
      </c>
      <c r="I3002" t="n">
        <v>6</v>
      </c>
      <c r="J3002" t="inlineStr">
        <is>
          <t>2⁶, 4¹², 20⁶</t>
        </is>
      </c>
      <c r="K3002">
        <f>HYPERLINK("CSG0.html#group10G0", "10G⁰"), =HYPERLINK("CSG4.html#group50D4", "50D⁴"), =HYPERLINK("CSG6.html#group50D6", "50D⁶")</f>
        <v/>
      </c>
      <c r="L3002" t="inlineStr"/>
      <c r="M3002">
        <f>HYPERLINK("CSG0.html#group10G0", "10G⁰"), =HYPERLINK("CSG6.html#group50D6", "50D⁶"), =HYPERLINK("CSG0.html#group5B0", "5B⁰"), =HYPERLINK("CSG0.html#group10C0", "10C⁰"), =HYPERLINK("CSG0.html#group2B0", "2B⁰"), =HYPERLINK("CSG4.html#group50D4", "50D⁴"), =HYPERLINK("CSG0.html#group1A0", "1A⁰"), =HYPERLINK("CSG2.html#group25D2", "25D²"), =HYPERLINK("CSG0.html#group10B0", "10B⁰")</f>
        <v/>
      </c>
      <c r="N3002" t="inlineStr"/>
    </row>
    <row r="3003">
      <c r="A3003" t="inlineStr">
        <is>
          <t>56A¹²</t>
        </is>
      </c>
      <c r="B3003" t="inlineStr"/>
      <c r="C3003" t="inlineStr">
        <is>
          <t>168</t>
        </is>
      </c>
      <c r="D3003" t="inlineStr">
        <is>
          <t>2</t>
        </is>
      </c>
      <c r="E3003" t="inlineStr">
        <is>
          <t>21</t>
        </is>
      </c>
      <c r="F3003" t="inlineStr">
        <is>
          <t>0</t>
        </is>
      </c>
      <c r="G3003" t="inlineStr">
        <is>
          <t>0</t>
        </is>
      </c>
      <c r="H3003" t="inlineStr">
        <is>
          <t>14⁴, 56²</t>
        </is>
      </c>
      <c r="I3003" t="n">
        <v>6</v>
      </c>
      <c r="J3003" t="inlineStr">
        <is>
          <t>2³, 6⁶</t>
        </is>
      </c>
      <c r="K3003">
        <f>HYPERLINK("CSG5.html#group56B5", "56B⁵"), =HYPERLINK("CSG6.html#group28C6", "28C⁶"), =HYPERLINK("CSG6.html#group56B6", "56B⁶")</f>
        <v/>
      </c>
      <c r="L3003">
        <f>HYPERLINK("CSG23.html#group56A23", "56A²³"), =HYPERLINK("CSG24.html#group56F24", "56F²⁴")</f>
        <v/>
      </c>
      <c r="M3003">
        <f>HYPERLINK("CSG0.html#group2A0", "2A⁰"), =HYPERLINK("CSG5.html#group56B5", "56B⁵"), =HYPERLINK("CSG1.html#group14B1", "14B¹"), =HYPERLINK("CSG3.html#group14B3", "14B³"), =HYPERLINK("CSG0.html#group4C0", "4C⁰"), =HYPERLINK("CSG1.html#group14A1", "14A¹"), =HYPERLINK("CSG3.html#group28A3", "28A³"), =HYPERLINK("CSG0.html#group2B0", "2B⁰"), =HYPERLINK("CSG0.html#group4E0", "4E⁰"), =HYPERLINK("CSG0.html#group4B0", "4B⁰"), =HYPERLINK("CSG0.html#group1A0", "1A⁰"), =HYPERLINK("CSG2.html#group28C2", "28C²"), =HYPERLINK("CSG6.html#group56B6", "56B⁶"), =HYPERLINK("CSG6.html#group28C6", "28C⁶"), =HYPERLINK("CSG0.html#group2C0", "2C⁰"), =HYPERLINK("CSG0.html#group7A0", "7A⁰")</f>
        <v/>
      </c>
      <c r="N3003">
        <f>HYPERLINK("CSG24.html#group56F24", "56F²⁴"), =HYPERLINK("CSG23.html#group56A23", "56A²³")</f>
        <v/>
      </c>
    </row>
    <row r="3004">
      <c r="A3004" t="inlineStr">
        <is>
          <t>56B¹²</t>
        </is>
      </c>
      <c r="B3004" t="inlineStr"/>
      <c r="C3004" t="inlineStr">
        <is>
          <t>168</t>
        </is>
      </c>
      <c r="D3004" t="inlineStr">
        <is>
          <t>2</t>
        </is>
      </c>
      <c r="E3004" t="inlineStr">
        <is>
          <t>21</t>
        </is>
      </c>
      <c r="F3004" t="inlineStr">
        <is>
          <t>0</t>
        </is>
      </c>
      <c r="G3004" t="inlineStr">
        <is>
          <t>0</t>
        </is>
      </c>
      <c r="H3004" t="inlineStr">
        <is>
          <t>14⁴, 56²</t>
        </is>
      </c>
      <c r="I3004" t="n">
        <v>6</v>
      </c>
      <c r="J3004" t="inlineStr">
        <is>
          <t>2³, 6⁶</t>
        </is>
      </c>
      <c r="K3004">
        <f>HYPERLINK("CSG0.html#group8G0", "8G⁰"), =HYPERLINK("CSG5.html#group56C5", "56C⁵"), =HYPERLINK("CSG6.html#group28C6", "28C⁶"), =HYPERLINK("CSG6.html#group56C6", "56C⁶")</f>
        <v/>
      </c>
      <c r="L3004">
        <f>HYPERLINK("CSG23.html#group56A23", "56A²³"), =HYPERLINK("CSG24.html#group56C24", "56C²⁴"), =HYPERLINK("CSG24.html#group56D24", "56D²⁴"), =HYPERLINK("CSG24.html#group112A24", "112A²⁴"), =HYPERLINK("CSG24.html#group112B24", "112B²⁴")</f>
        <v/>
      </c>
      <c r="M3004">
        <f>HYPERLINK("CSG0.html#group2A0", "2A⁰"), =HYPERLINK("CSG5.html#group56C5", "56C⁵"), =HYPERLINK("CSG6.html#group56C6", "56C⁶"), =HYPERLINK("CSG1.html#group14B1", "14B¹"), =HYPERLINK("CSG0.html#group8D0", "8D⁰"), =HYPERLINK("CSG3.html#group14B3", "14B³"), =HYPERLINK("CSG0.html#group4C0", "4C⁰"), =HYPERLINK("CSG1.html#group14A1", "14A¹"), =HYPERLINK("CSG3.html#group28A3", "28A³"), =HYPERLINK("CSG0.html#group8C0", "8C⁰"), =HYPERLINK("CSG0.html#group4E0", "4E⁰"), =HYPERLINK("CSG0.html#group2B0", "2B⁰"), =HYPERLINK("CSG0.html#group4B0", "4B⁰"), =HYPERLINK("CSG0.html#group1A0", "1A⁰"), =HYPERLINK("CSG2.html#group28C2", "28C²"), =HYPERLINK("CSG0.html#group8G0", "8G⁰"), =HYPERLINK("CSG6.html#group28C6", "28C⁶"), =HYPERLINK("CSG0.html#group2C0", "2C⁰"), =HYPERLINK("CSG0.html#group7A0", "7A⁰")</f>
        <v/>
      </c>
      <c r="N3004">
        <f>HYPERLINK("CSG24.html#group112B24", "112B²⁴"), =HYPERLINK("CSG24.html#group112A24", "112A²⁴"), =HYPERLINK("CSG24.html#group56D24", "56D²⁴"), =HYPERLINK("CSG23.html#group56A23", "56A²³"), =HYPERLINK("CSG24.html#group56C24", "56C²⁴")</f>
        <v/>
      </c>
    </row>
    <row r="3005">
      <c r="A3005" t="inlineStr">
        <is>
          <t>56C¹²</t>
        </is>
      </c>
      <c r="B3005" t="inlineStr"/>
      <c r="C3005" t="inlineStr">
        <is>
          <t>168</t>
        </is>
      </c>
      <c r="D3005" t="inlineStr">
        <is>
          <t>2</t>
        </is>
      </c>
      <c r="E3005" t="inlineStr">
        <is>
          <t>42</t>
        </is>
      </c>
      <c r="F3005" t="inlineStr">
        <is>
          <t>0</t>
        </is>
      </c>
      <c r="G3005" t="inlineStr">
        <is>
          <t>0</t>
        </is>
      </c>
      <c r="H3005" t="inlineStr">
        <is>
          <t>14⁴, 56²</t>
        </is>
      </c>
      <c r="I3005" t="n">
        <v>6</v>
      </c>
      <c r="J3005" t="inlineStr">
        <is>
          <t>2⁴, 4¹, 6⁸, 12²</t>
        </is>
      </c>
      <c r="K3005">
        <f>HYPERLINK("CSG6.html#group28A6", "28A⁶"), =HYPERLINK("CSG6.html#group56B6", "56B⁶"), =HYPERLINK("CSG6.html#group56C6", "56C⁶")</f>
        <v/>
      </c>
      <c r="L3005">
        <f>HYPERLINK("CSG23.html#group56A23", "56A²³"), =HYPERLINK("CSG24.html#group56E24", "56E²⁴"), =HYPERLINK("CSG24.html#group112G24", "112G²⁴")</f>
        <v/>
      </c>
      <c r="M3005">
        <f>HYPERLINK("CSG0.html#group14A0", "14A⁰"), =HYPERLINK("CSG6.html#group56C6", "56C⁶"), =HYPERLINK("CSG1.html#group14B1", "14B¹"), =HYPERLINK("CSG6.html#group56B6", "56B⁶"), =HYPERLINK("CSG6.html#group28A6", "28A⁶"), =HYPERLINK("CSG2.html#group14C2", "14C²"), =HYPERLINK("CSG3.html#group28A3", "28A³"), =HYPERLINK("CSG0.html#group2B0", "2B⁰"), =HYPERLINK("CSG0.html#group8C0", "8C⁰"), =HYPERLINK("CSG3.html#group28B3", "28B³"), =HYPERLINK("CSG0.html#group4B0", "4B⁰"), =HYPERLINK("CSG0.html#group1A0", "1A⁰"), =HYPERLINK("CSG0.html#group7A0", "7A⁰")</f>
        <v/>
      </c>
      <c r="N3005">
        <f>HYPERLINK("CSG24.html#group112G24", "112G²⁴"), =HYPERLINK("CSG23.html#group56A23", "56A²³"), =HYPERLINK("CSG24.html#group56E24", "56E²⁴")</f>
        <v/>
      </c>
    </row>
    <row r="3006">
      <c r="A3006" t="inlineStr">
        <is>
          <t>56D¹²</t>
        </is>
      </c>
      <c r="B3006" t="inlineStr"/>
      <c r="C3006" t="inlineStr">
        <is>
          <t>168</t>
        </is>
      </c>
      <c r="D3006" t="inlineStr">
        <is>
          <t>2</t>
        </is>
      </c>
      <c r="E3006" t="inlineStr">
        <is>
          <t>42</t>
        </is>
      </c>
      <c r="F3006" t="inlineStr">
        <is>
          <t>4</t>
        </is>
      </c>
      <c r="G3006" t="inlineStr">
        <is>
          <t>0</t>
        </is>
      </c>
      <c r="H3006" t="inlineStr">
        <is>
          <t>28², 56²</t>
        </is>
      </c>
      <c r="I3006" t="n">
        <v>4</v>
      </c>
      <c r="J3006" t="inlineStr">
        <is>
          <t>2², 4², 6⁴, 12⁴</t>
        </is>
      </c>
      <c r="K3006">
        <f>HYPERLINK("CSG5.html#group28C5", "28C⁵"), =HYPERLINK("CSG5.html#group56C5", "56C⁵"), =HYPERLINK("CSG6.html#group56A6", "56A⁶")</f>
        <v/>
      </c>
      <c r="L3006">
        <f>HYPERLINK("CSG23.html#group56D23", "56D²³")</f>
        <v/>
      </c>
      <c r="M3006">
        <f>HYPERLINK("CSG2.html#group28C2", "28C²"), =HYPERLINK("CSG5.html#group56C5", "56C⁵"), =HYPERLINK("CSG1.html#group14B1", "14B¹"), =HYPERLINK("CSG0.html#group8D0", "8D⁰"), =HYPERLINK("CSG0.html#group4C0", "4C⁰"), =HYPERLINK("CSG5.html#group28C5", "28C⁵"), =HYPERLINK("CSG0.html#group2B0", "2B⁰"), =HYPERLINK("CSG0.html#group1A0", "1A⁰"), =HYPERLINK("CSG6.html#group56A6", "56A⁶"), =HYPERLINK("CSG0.html#group7A0", "7A⁰")</f>
        <v/>
      </c>
      <c r="N3006">
        <f>HYPERLINK("CSG23.html#group56D23", "56D²³")</f>
        <v/>
      </c>
    </row>
    <row r="3007">
      <c r="A3007" t="inlineStr">
        <is>
          <t>56E¹²</t>
        </is>
      </c>
      <c r="B3007" t="inlineStr"/>
      <c r="C3007" t="inlineStr">
        <is>
          <t>168</t>
        </is>
      </c>
      <c r="D3007" t="inlineStr">
        <is>
          <t>2</t>
        </is>
      </c>
      <c r="E3007" t="inlineStr">
        <is>
          <t>42</t>
        </is>
      </c>
      <c r="F3007" t="inlineStr">
        <is>
          <t>4</t>
        </is>
      </c>
      <c r="G3007" t="inlineStr">
        <is>
          <t>0</t>
        </is>
      </c>
      <c r="H3007" t="inlineStr">
        <is>
          <t>28², 56²</t>
        </is>
      </c>
      <c r="I3007" t="n">
        <v>4</v>
      </c>
      <c r="J3007" t="inlineStr">
        <is>
          <t>2², 4², 6⁴, 12⁴</t>
        </is>
      </c>
      <c r="K3007">
        <f>HYPERLINK("CSG5.html#group28D5", "28D⁵"), =HYPERLINK("CSG5.html#group56B5", "56B⁵"), =HYPERLINK("CSG6.html#group56A6", "56A⁶")</f>
        <v/>
      </c>
      <c r="L3007">
        <f>HYPERLINK("CSG23.html#group56D23", "56D²³")</f>
        <v/>
      </c>
      <c r="M3007">
        <f>HYPERLINK("CSG2.html#group28C2", "28C²"), =HYPERLINK("CSG5.html#group56B5", "56B⁵"), =HYPERLINK("CSG1.html#group14B1", "14B¹"), =HYPERLINK("CSG0.html#group4A0", "4A⁰"), =HYPERLINK("CSG5.html#group28D5", "28D⁵"), =HYPERLINK("CSG0.html#group4C0", "4C⁰"), =HYPERLINK("CSG0.html#group2B0", "2B⁰"), =HYPERLINK("CSG0.html#group4F0", "4F⁰"), =HYPERLINK("CSG1.html#group28A1", "28A¹"), =HYPERLINK("CSG0.html#group1A0", "1A⁰"), =HYPERLINK("CSG6.html#group56A6", "56A⁶"), =HYPERLINK("CSG0.html#group7A0", "7A⁰")</f>
        <v/>
      </c>
      <c r="N3007">
        <f>HYPERLINK("CSG23.html#group56D23", "56D²³")</f>
        <v/>
      </c>
    </row>
    <row r="3008">
      <c r="A3008" t="inlineStr">
        <is>
          <t>56F¹²</t>
        </is>
      </c>
      <c r="B3008" t="inlineStr"/>
      <c r="C3008" t="inlineStr">
        <is>
          <t>168</t>
        </is>
      </c>
      <c r="D3008" t="inlineStr">
        <is>
          <t>2</t>
        </is>
      </c>
      <c r="E3008" t="inlineStr">
        <is>
          <t>84</t>
        </is>
      </c>
      <c r="F3008" t="inlineStr">
        <is>
          <t>0</t>
        </is>
      </c>
      <c r="G3008" t="inlineStr">
        <is>
          <t>0</t>
        </is>
      </c>
      <c r="H3008" t="inlineStr">
        <is>
          <t>7², 14¹, 28¹, 56²</t>
        </is>
      </c>
      <c r="I3008" t="n">
        <v>6</v>
      </c>
      <c r="J3008" t="inlineStr">
        <is>
          <t>2⁴, 4², 6⁸, 8¹, 12⁴, 24²</t>
        </is>
      </c>
      <c r="K3008">
        <f>HYPERLINK("CSG6.html#group56C6", "56C⁶")</f>
        <v/>
      </c>
      <c r="L3008">
        <f>HYPERLINK("CSG23.html#group56E23", "56E²³"), =HYPERLINK("CSG24.html#group56C24", "56C²⁴"), =HYPERLINK("CSG24.html#group56E24", "56E²⁴"), =HYPERLINK("CSG24.html#group112D24", "112D²⁴"), =HYPERLINK("CSG24.html#group112C24", "112C²⁴")</f>
        <v/>
      </c>
      <c r="M3008">
        <f>HYPERLINK("CSG6.html#group56C6", "56C⁶"), =HYPERLINK("CSG1.html#group14B1", "14B¹"), =HYPERLINK("CSG3.html#group28A3", "28A³"), =HYPERLINK("CSG0.html#group8C0", "8C⁰"), =HYPERLINK("CSG0.html#group2B0", "2B⁰"), =HYPERLINK("CSG0.html#group4B0", "4B⁰"), =HYPERLINK("CSG0.html#group1A0", "1A⁰"), =HYPERLINK("CSG0.html#group7A0", "7A⁰")</f>
        <v/>
      </c>
      <c r="N3008">
        <f>HYPERLINK("CSG23.html#group56E23", "56E²³"), =HYPERLINK("CSG24.html#group112C24", "112C²⁴"), =HYPERLINK("CSG24.html#group56E24", "56E²⁴"), =HYPERLINK("CSG24.html#group112D24", "112D²⁴"), =HYPERLINK("CSG24.html#group56C24", "56C²⁴")</f>
        <v/>
      </c>
    </row>
    <row r="3009">
      <c r="A3009" t="inlineStr">
        <is>
          <t>56G¹²</t>
        </is>
      </c>
      <c r="B3009" t="inlineStr"/>
      <c r="C3009" t="inlineStr">
        <is>
          <t>168</t>
        </is>
      </c>
      <c r="D3009" t="inlineStr">
        <is>
          <t>2</t>
        </is>
      </c>
      <c r="E3009" t="inlineStr">
        <is>
          <t>84</t>
        </is>
      </c>
      <c r="F3009" t="inlineStr">
        <is>
          <t>0</t>
        </is>
      </c>
      <c r="G3009" t="inlineStr">
        <is>
          <t>0</t>
        </is>
      </c>
      <c r="H3009" t="inlineStr">
        <is>
          <t>7², 14¹, 28¹, 56²</t>
        </is>
      </c>
      <c r="I3009" t="n">
        <v>6</v>
      </c>
      <c r="J3009" t="inlineStr">
        <is>
          <t>2⁴, 4², 6⁸, 8¹, 12⁴, 24²</t>
        </is>
      </c>
      <c r="K3009">
        <f>HYPERLINK("CSG0.html#group8I0", "8I⁰"), =HYPERLINK("CSG6.html#group56C6", "56C⁶")</f>
        <v/>
      </c>
      <c r="L3009">
        <f>HYPERLINK("CSG23.html#group56E23", "56E²³"), =HYPERLINK("CSG24.html#group56D24", "56D²⁴"), =HYPERLINK("CSG24.html#group56E24", "56E²⁴"), =HYPERLINK("CSG24.html#group112E24", "112E²⁴"), =HYPERLINK("CSG24.html#group112F24", "112F²⁴")</f>
        <v/>
      </c>
      <c r="M3009">
        <f>HYPERLINK("CSG6.html#group56C6", "56C⁶"), =HYPERLINK("CSG1.html#group14B1", "14B¹"), =HYPERLINK("CSG3.html#group28A3", "28A³"), =HYPERLINK("CSG0.html#group8C0", "8C⁰"), =HYPERLINK("CSG0.html#group2B0", "2B⁰"), =HYPERLINK("CSG0.html#group8I0", "8I⁰"), =HYPERLINK("CSG0.html#group4B0", "4B⁰"), =HYPERLINK("CSG0.html#group1A0", "1A⁰"), =HYPERLINK("CSG0.html#group7A0", "7A⁰")</f>
        <v/>
      </c>
      <c r="N3009">
        <f>HYPERLINK("CSG24.html#group112F24", "112F²⁴"), =HYPERLINK("CSG23.html#group56E23", "56E²³"), =HYPERLINK("CSG24.html#group56D24", "56D²⁴"), =HYPERLINK("CSG24.html#group56E24", "56E²⁴"), =HYPERLINK("CSG24.html#group112E24", "112E²⁴")</f>
        <v/>
      </c>
    </row>
    <row r="3010">
      <c r="A3010" t="inlineStr">
        <is>
          <t>56H¹²</t>
        </is>
      </c>
      <c r="B3010" t="inlineStr"/>
      <c r="C3010" t="inlineStr">
        <is>
          <t>168</t>
        </is>
      </c>
      <c r="D3010" t="inlineStr">
        <is>
          <t>2</t>
        </is>
      </c>
      <c r="E3010" t="inlineStr">
        <is>
          <t>84</t>
        </is>
      </c>
      <c r="F3010" t="inlineStr">
        <is>
          <t>0</t>
        </is>
      </c>
      <c r="G3010" t="inlineStr">
        <is>
          <t>0</t>
        </is>
      </c>
      <c r="H3010" t="inlineStr">
        <is>
          <t>14², 28³, 56¹</t>
        </is>
      </c>
      <c r="I3010" t="n">
        <v>6</v>
      </c>
      <c r="J3010" t="inlineStr">
        <is>
          <t>2⁸, 4², 6¹⁶, 12⁴</t>
        </is>
      </c>
      <c r="K3010">
        <f>HYPERLINK("CSG6.html#group28C6", "28C⁶")</f>
        <v/>
      </c>
      <c r="L3010">
        <f>HYPERLINK("CSG23.html#group56F23", "56F²³"), =HYPERLINK("CSG24.html#group56A24", "56A²⁴"), =HYPERLINK("CSG24.html#group56C24", "56C²⁴"), =HYPERLINK("CSG24.html#group56F24", "56F²⁴"), =HYPERLINK("CSG24.html#group56G24", "56G²⁴")</f>
        <v/>
      </c>
      <c r="M3010">
        <f>HYPERLINK("CSG2.html#group28C2", "28C²"), =HYPERLINK("CSG0.html#group2A0", "2A⁰"), =HYPERLINK("CSG3.html#group14B3", "14B³"), =HYPERLINK("CSG1.html#group14B1", "14B¹"), =HYPERLINK("CSG0.html#group4C0", "4C⁰"), =HYPERLINK("CSG1.html#group14A1", "14A¹"), =HYPERLINK("CSG3.html#group28A3", "28A³"), =HYPERLINK("CSG0.html#group2B0", "2B⁰"), =HYPERLINK("CSG6.html#group28C6", "28C⁶"), =HYPERLINK("CSG0.html#group4E0", "4E⁰"), =HYPERLINK("CSG0.html#group4B0", "4B⁰"), =HYPERLINK("CSG0.html#group1A0", "1A⁰"), =HYPERLINK("CSG0.html#group2C0", "2C⁰"), =HYPERLINK("CSG0.html#group7A0", "7A⁰")</f>
        <v/>
      </c>
      <c r="N3010">
        <f>HYPERLINK("CSG24.html#group56F24", "56F²⁴"), =HYPERLINK("CSG24.html#group56G24", "56G²⁴"), =HYPERLINK("CSG24.html#group56A24", "56A²⁴"), =HYPERLINK("CSG24.html#group56C24", "56C²⁴"), =HYPERLINK("CSG23.html#group56F23", "56F²³")</f>
        <v/>
      </c>
    </row>
    <row r="3011">
      <c r="A3011" t="inlineStr">
        <is>
          <t>56I¹²</t>
        </is>
      </c>
      <c r="B3011" t="inlineStr"/>
      <c r="C3011" t="inlineStr">
        <is>
          <t>168</t>
        </is>
      </c>
      <c r="D3011" t="inlineStr">
        <is>
          <t>2</t>
        </is>
      </c>
      <c r="E3011" t="inlineStr">
        <is>
          <t>84</t>
        </is>
      </c>
      <c r="F3011" t="inlineStr">
        <is>
          <t>0</t>
        </is>
      </c>
      <c r="G3011" t="inlineStr">
        <is>
          <t>0</t>
        </is>
      </c>
      <c r="H3011" t="inlineStr">
        <is>
          <t>14², 28³, 56¹</t>
        </is>
      </c>
      <c r="I3011" t="n">
        <v>6</v>
      </c>
      <c r="J3011" t="inlineStr">
        <is>
          <t>2⁸, 4², 6¹⁶, 12⁴</t>
        </is>
      </c>
      <c r="K3011">
        <f>HYPERLINK("CSG0.html#group8J0", "8J⁰"), =HYPERLINK("CSG6.html#group28C6", "28C⁶")</f>
        <v/>
      </c>
      <c r="L3011">
        <f>HYPERLINK("CSG23.html#group56F23", "56F²³"), =HYPERLINK("CSG24.html#group56B24", "56B²⁴"), =HYPERLINK("CSG24.html#group56D24", "56D²⁴"), =HYPERLINK("CSG24.html#group56F24", "56F²⁴"), =HYPERLINK("CSG24.html#group56G24", "56G²⁴")</f>
        <v/>
      </c>
      <c r="M3011">
        <f>HYPERLINK("CSG0.html#group2A0", "2A⁰"), =HYPERLINK("CSG3.html#group14B3", "14B³"), =HYPERLINK("CSG1.html#group14B1", "14B¹"), =HYPERLINK("CSG0.html#group4C0", "4C⁰"), =HYPERLINK("CSG1.html#group14A1", "14A¹"), =HYPERLINK("CSG3.html#group28A3", "28A³"), =HYPERLINK("CSG0.html#group2B0", "2B⁰"), =HYPERLINK("CSG0.html#group4E0", "4E⁰"), =HYPERLINK("CSG0.html#group4B0", "4B⁰"), =HYPERLINK("CSG0.html#group1A0", "1A⁰"), =HYPERLINK("CSG2.html#group28C2", "28C²"), =HYPERLINK("CSG6.html#group28C6", "28C⁶"), =HYPERLINK("CSG0.html#group8J0", "8J⁰"), =HYPERLINK("CSG0.html#group2C0", "2C⁰"), =HYPERLINK("CSG0.html#group7A0", "7A⁰")</f>
        <v/>
      </c>
      <c r="N3011">
        <f>HYPERLINK("CSG24.html#group56F24", "56F²⁴"), =HYPERLINK("CSG24.html#group56D24", "56D²⁴"), =HYPERLINK("CSG24.html#group56B24", "56B²⁴"), =HYPERLINK("CSG24.html#group56G24", "56G²⁴"), =HYPERLINK("CSG23.html#group56F23", "56F²³")</f>
        <v/>
      </c>
    </row>
    <row r="3012">
      <c r="A3012" t="inlineStr">
        <is>
          <t>56J¹²</t>
        </is>
      </c>
      <c r="B3012" t="inlineStr"/>
      <c r="C3012" t="inlineStr">
        <is>
          <t>168</t>
        </is>
      </c>
      <c r="D3012" t="inlineStr">
        <is>
          <t>2</t>
        </is>
      </c>
      <c r="E3012" t="inlineStr">
        <is>
          <t>84</t>
        </is>
      </c>
      <c r="F3012" t="inlineStr">
        <is>
          <t>6</t>
        </is>
      </c>
      <c r="G3012" t="inlineStr">
        <is>
          <t>0</t>
        </is>
      </c>
      <c r="H3012" t="inlineStr">
        <is>
          <t>56³</t>
        </is>
      </c>
      <c r="I3012" t="n">
        <v>3</v>
      </c>
      <c r="J3012" t="inlineStr">
        <is>
          <t>4², 8², 12⁴, 24⁴</t>
        </is>
      </c>
      <c r="K3012">
        <f>HYPERLINK("CSG3.html#group56A3", "56A³"), =HYPERLINK("CSG3.html#group56B3", "56B³"), =HYPERLINK("CSG5.html#group28D5", "28D⁵")</f>
        <v/>
      </c>
      <c r="L3012">
        <f>HYPERLINK("CSG23.html#group56I23", "56I²³"), =HYPERLINK("CSG24.html#group56I24", "56I²⁴"), =HYPERLINK("CSG24.html#group56J24", "56J²⁴")</f>
        <v/>
      </c>
      <c r="M3012">
        <f>HYPERLINK("CSG3.html#group56B3", "56B³"), =HYPERLINK("CSG1.html#group14B1", "14B¹"), =HYPERLINK("CSG0.html#group4C0", "4C⁰"), =HYPERLINK("CSG0.html#group2B0", "2B⁰"), =HYPERLINK("CSG0.html#group1A0", "1A⁰"), =HYPERLINK("CSG2.html#group28C2", "28C²"), =HYPERLINK("CSG0.html#group4A0", "4A⁰"), =HYPERLINK("CSG5.html#group28D5", "28D⁵"), =HYPERLINK("CSG0.html#group4F0", "4F⁰"), =HYPERLINK("CSG1.html#group28A1", "28A¹"), =HYPERLINK("CSG0.html#group7A0", "7A⁰"), =HYPERLINK("CSG3.html#group56A3", "56A³")</f>
        <v/>
      </c>
      <c r="N3012">
        <f>HYPERLINK("CSG24.html#group56I24", "56I²⁴"), =HYPERLINK("CSG23.html#group56I23", "56I²³"), =HYPERLINK("CSG24.html#group56J24", "56J²⁴")</f>
        <v/>
      </c>
    </row>
    <row r="3013">
      <c r="A3013" t="inlineStr">
        <is>
          <t>56K¹²</t>
        </is>
      </c>
      <c r="B3013" t="inlineStr"/>
      <c r="C3013" t="inlineStr">
        <is>
          <t>168</t>
        </is>
      </c>
      <c r="D3013" t="inlineStr">
        <is>
          <t>2</t>
        </is>
      </c>
      <c r="E3013" t="inlineStr">
        <is>
          <t>84</t>
        </is>
      </c>
      <c r="F3013" t="inlineStr">
        <is>
          <t>6</t>
        </is>
      </c>
      <c r="G3013" t="inlineStr">
        <is>
          <t>0</t>
        </is>
      </c>
      <c r="H3013" t="inlineStr">
        <is>
          <t>56³</t>
        </is>
      </c>
      <c r="I3013" t="n">
        <v>3</v>
      </c>
      <c r="J3013" t="inlineStr">
        <is>
          <t>4², 8², 12⁴, 24⁴</t>
        </is>
      </c>
      <c r="K3013">
        <f>HYPERLINK("CSG1.html#group8D1", "8D¹"), =HYPERLINK("CSG3.html#group56C3", "56C³"), =HYPERLINK("CSG3.html#group56D3", "56D³"), =HYPERLINK("CSG5.html#group28D5", "28D⁵")</f>
        <v/>
      </c>
      <c r="L3013">
        <f>HYPERLINK("CSG23.html#group56J23", "56J²³"), =HYPERLINK("CSG24.html#group56H24", "56H²⁴"), =HYPERLINK("CSG24.html#group56J24", "56J²⁴")</f>
        <v/>
      </c>
      <c r="M3013">
        <f>HYPERLINK("CSG3.html#group56D3", "56D³"), =HYPERLINK("CSG1.html#group14B1", "14B¹"), =HYPERLINK("CSG0.html#group4C0", "4C⁰"), =HYPERLINK("CSG0.html#group8A0", "8A⁰"), =HYPERLINK("CSG0.html#group2B0", "2B⁰"), =HYPERLINK("CSG0.html#group1A0", "1A⁰"), =HYPERLINK("CSG1.html#group8D1", "8D¹"), =HYPERLINK("CSG2.html#group28C2", "28C²"), =HYPERLINK("CSG0.html#group4A0", "4A⁰"), =HYPERLINK("CSG5.html#group28D5", "28D⁵"), =HYPERLINK("CSG3.html#group56C3", "56C³"), =HYPERLINK("CSG0.html#group4F0", "4F⁰"), =HYPERLINK("CSG1.html#group28A1", "28A¹"), =HYPERLINK("CSG0.html#group7A0", "7A⁰")</f>
        <v/>
      </c>
      <c r="N3013">
        <f>HYPERLINK("CSG24.html#group56H24", "56H²⁴"), =HYPERLINK("CSG23.html#group56J23", "56J²³"), =HYPERLINK("CSG24.html#group56J24", "56J²⁴")</f>
        <v/>
      </c>
    </row>
    <row r="3014">
      <c r="A3014" t="inlineStr">
        <is>
          <t>56L¹²</t>
        </is>
      </c>
      <c r="B3014" t="inlineStr"/>
      <c r="C3014" t="inlineStr">
        <is>
          <t>192</t>
        </is>
      </c>
      <c r="D3014" t="inlineStr">
        <is>
          <t>1</t>
        </is>
      </c>
      <c r="E3014" t="inlineStr">
        <is>
          <t>96</t>
        </is>
      </c>
      <c r="F3014" t="inlineStr">
        <is>
          <t>0</t>
        </is>
      </c>
      <c r="G3014" t="inlineStr">
        <is>
          <t>0</t>
        </is>
      </c>
      <c r="H3014" t="inlineStr">
        <is>
          <t>4⁴, 8¹, 28⁴, 56¹</t>
        </is>
      </c>
      <c r="I3014" t="n">
        <v>10</v>
      </c>
      <c r="J3014" t="inlineStr">
        <is>
          <t>2⁴, 4⁴, 12², 24²</t>
        </is>
      </c>
      <c r="K3014">
        <f>HYPERLINK("CSG0.html#group8K0", "8K⁰"), =HYPERLINK("CSG6.html#group28G6", "28G⁶")</f>
        <v/>
      </c>
      <c r="L3014">
        <f>HYPERLINK("CSG23.html#group56P23", "56P²³")</f>
        <v/>
      </c>
      <c r="M3014">
        <f>HYPERLINK("CSG0.html#group4C0", "4C⁰"), =HYPERLINK("CSG0.html#group2B0", "2B⁰"), =HYPERLINK("CSG6.html#group28G6", "28G⁶"), =HYPERLINK("CSG0.html#group1A0", "1A⁰"), =HYPERLINK("CSG0.html#group8K0", "8K⁰"), =HYPERLINK("CSG2.html#group28A2", "28A²"), =HYPERLINK("CSG0.html#group4A0", "4A⁰"), =HYPERLINK("CSG0.html#group7B0", "7B⁰"), =HYPERLINK("CSG1.html#group14C1", "14C¹"), =HYPERLINK("CSG0.html#group4F0", "4F⁰"), =HYPERLINK("CSG3.html#group28C3", "28C³")</f>
        <v/>
      </c>
      <c r="N3014">
        <f>HYPERLINK("CSG23.html#group56P23", "56P²³")</f>
        <v/>
      </c>
    </row>
    <row r="3015">
      <c r="A3015" t="inlineStr">
        <is>
          <t>58A¹²</t>
        </is>
      </c>
      <c r="B3015" t="inlineStr"/>
      <c r="C3015" t="inlineStr">
        <is>
          <t>180</t>
        </is>
      </c>
      <c r="D3015" t="inlineStr">
        <is>
          <t>1</t>
        </is>
      </c>
      <c r="E3015" t="inlineStr">
        <is>
          <t>90</t>
        </is>
      </c>
      <c r="F3015" t="inlineStr">
        <is>
          <t>0</t>
        </is>
      </c>
      <c r="G3015" t="inlineStr">
        <is>
          <t>0</t>
        </is>
      </c>
      <c r="H3015" t="inlineStr">
        <is>
          <t>1², 2², 29², 58²</t>
        </is>
      </c>
      <c r="I3015" t="n">
        <v>8</v>
      </c>
      <c r="J3015" t="inlineStr">
        <is>
          <t>1⁶, 28³</t>
        </is>
      </c>
      <c r="K3015">
        <f>HYPERLINK("CSG4.html#group29A4", "29A⁴"), =HYPERLINK("CSG6.html#group58A6", "58A⁶")</f>
        <v/>
      </c>
      <c r="L3015" t="inlineStr"/>
      <c r="M3015">
        <f>HYPERLINK("CSG0.html#group2B0", "2B⁰"), =HYPERLINK("CSG4.html#group29A4", "29A⁴"), =HYPERLINK("CSG0.html#group1A0", "1A⁰"), =HYPERLINK("CSG2.html#group29A2", "29A²"), =HYPERLINK("CSG6.html#group58A6", "58A⁶")</f>
        <v/>
      </c>
      <c r="N3015" t="inlineStr"/>
    </row>
    <row r="3016">
      <c r="A3016" t="inlineStr">
        <is>
          <t>58B¹²</t>
        </is>
      </c>
      <c r="B3016" t="inlineStr"/>
      <c r="C3016" t="inlineStr">
        <is>
          <t>180</t>
        </is>
      </c>
      <c r="D3016" t="inlineStr">
        <is>
          <t>1</t>
        </is>
      </c>
      <c r="E3016" t="inlineStr">
        <is>
          <t>90</t>
        </is>
      </c>
      <c r="F3016" t="inlineStr">
        <is>
          <t>4</t>
        </is>
      </c>
      <c r="G3016" t="inlineStr">
        <is>
          <t>0</t>
        </is>
      </c>
      <c r="H3016" t="inlineStr">
        <is>
          <t>2³, 58³</t>
        </is>
      </c>
      <c r="I3016" t="n">
        <v>6</v>
      </c>
      <c r="J3016" t="inlineStr">
        <is>
          <t>1⁶, 28³</t>
        </is>
      </c>
      <c r="K3016">
        <f>HYPERLINK("CSG4.html#group58A4", "58A⁴"), =HYPERLINK("CSG6.html#group58A6", "58A⁶")</f>
        <v/>
      </c>
      <c r="L3016" t="inlineStr"/>
      <c r="M3016">
        <f>HYPERLINK("CSG0.html#group2B0", "2B⁰"), =HYPERLINK("CSG4.html#group58A4", "58A⁴"), =HYPERLINK("CSG0.html#group1A0", "1A⁰"), =HYPERLINK("CSG2.html#group29A2", "29A²"), =HYPERLINK("CSG6.html#group58A6", "58A⁶")</f>
        <v/>
      </c>
      <c r="N3016" t="inlineStr"/>
    </row>
    <row r="3017">
      <c r="A3017" t="inlineStr">
        <is>
          <t>60A¹²</t>
        </is>
      </c>
      <c r="B3017" t="inlineStr"/>
      <c r="C3017" t="inlineStr">
        <is>
          <t>160</t>
        </is>
      </c>
      <c r="D3017" t="inlineStr">
        <is>
          <t>1</t>
        </is>
      </c>
      <c r="E3017" t="inlineStr">
        <is>
          <t>160</t>
        </is>
      </c>
      <c r="F3017" t="inlineStr">
        <is>
          <t>0</t>
        </is>
      </c>
      <c r="G3017" t="inlineStr">
        <is>
          <t>1</t>
        </is>
      </c>
      <c r="H3017" t="inlineStr">
        <is>
          <t>20², 60²</t>
        </is>
      </c>
      <c r="I3017" t="n">
        <v>4</v>
      </c>
      <c r="J3017" t="inlineStr">
        <is>
          <t>4⁴, 8¹⁰, 16⁴</t>
        </is>
      </c>
      <c r="K3017">
        <f>HYPERLINK("CSG1.html#group12A1", "12A¹"), =HYPERLINK("CSG2.html#group15C2", "15C²"), =HYPERLINK("CSG2.html#group20E2", "20E²")</f>
        <v/>
      </c>
      <c r="L3017">
        <f>HYPERLINK("CSG23.html#group60A23", "60A²³"), =HYPERLINK("CSG23.html#group60B23", "60B²³"), =HYPERLINK("CSG23.html#group60C23", "60C²³")</f>
        <v/>
      </c>
      <c r="M3017">
        <f>HYPERLINK("CSG0.html#group3B0", "3B⁰"), =HYPERLINK("CSG0.html#group4A0", "4A⁰"), =HYPERLINK("CSG1.html#group12A1", "12A¹"), =HYPERLINK("CSG0.html#group5C0", "5C⁰"), =HYPERLINK("CSG2.html#group15C2", "15C²"), =HYPERLINK("CSG0.html#group1A0", "1A⁰"), =HYPERLINK("CSG2.html#group20E2", "20E²")</f>
        <v/>
      </c>
      <c r="N3017">
        <f>HYPERLINK("CSG23.html#group60B23", "60B²³"), =HYPERLINK("CSG23.html#group60A23", "60A²³"), =HYPERLINK("CSG23.html#group60C23", "60C²³")</f>
        <v/>
      </c>
    </row>
    <row r="3018">
      <c r="A3018" t="inlineStr">
        <is>
          <t>60B¹²</t>
        </is>
      </c>
      <c r="B3018" t="inlineStr"/>
      <c r="C3018" t="inlineStr">
        <is>
          <t>180</t>
        </is>
      </c>
      <c r="D3018" t="inlineStr">
        <is>
          <t>1</t>
        </is>
      </c>
      <c r="E3018" t="inlineStr">
        <is>
          <t>45</t>
        </is>
      </c>
      <c r="F3018" t="inlineStr">
        <is>
          <t>4</t>
        </is>
      </c>
      <c r="G3018" t="inlineStr">
        <is>
          <t>0</t>
        </is>
      </c>
      <c r="H3018" t="inlineStr">
        <is>
          <t>15⁴, 60²</t>
        </is>
      </c>
      <c r="I3018" t="n">
        <v>6</v>
      </c>
      <c r="J3018" t="inlineStr">
        <is>
          <t>1³, 2³, 4³, 8³</t>
        </is>
      </c>
      <c r="K3018">
        <f>HYPERLINK("CSG0.html#group12G0", "12G⁰"), =HYPERLINK("CSG6.html#group30A6", "30A⁶"), =HYPERLINK("CSG6.html#group60C6", "60C⁶")</f>
        <v/>
      </c>
      <c r="L3018" t="inlineStr"/>
      <c r="M3018">
        <f>HYPERLINK("CSG3.html#group30D3", "30D³"), =HYPERLINK("CSG0.html#group5A0", "5A⁰"), =HYPERLINK("CSG0.html#group12G0", "12G⁰"), =HYPERLINK("CSG6.html#group60C6", "60C⁶"), =HYPERLINK("CSG2.html#group15A2", "15A²"), =HYPERLINK("CSG1.html#group15A1", "15A¹"), =HYPERLINK("CSG1.html#group10B1", "10B¹"), =HYPERLINK("CSG0.html#group6G0", "6G⁰"), =HYPERLINK("CSG0.html#group3C0", "3C⁰"), =HYPERLINK("CSG6.html#group30A6", "30A⁶"), =HYPERLINK("CSG0.html#group2B0", "2B⁰"), =HYPERLINK("CSG0.html#group12D0", "12D⁰"), =HYPERLINK("CSG0.html#group3A0", "3A⁰"), =HYPERLINK("CSG0.html#group1A0", "1A⁰"), =HYPERLINK("CSG0.html#group6D0", "6D⁰")</f>
        <v/>
      </c>
      <c r="N3018" t="inlineStr"/>
    </row>
    <row r="3019">
      <c r="A3019" t="inlineStr">
        <is>
          <t>60C¹²</t>
        </is>
      </c>
      <c r="B3019" t="inlineStr"/>
      <c r="C3019" t="inlineStr">
        <is>
          <t>180</t>
        </is>
      </c>
      <c r="D3019" t="inlineStr">
        <is>
          <t>1</t>
        </is>
      </c>
      <c r="E3019" t="inlineStr">
        <is>
          <t>45</t>
        </is>
      </c>
      <c r="F3019" t="inlineStr">
        <is>
          <t>8</t>
        </is>
      </c>
      <c r="G3019" t="inlineStr">
        <is>
          <t>0</t>
        </is>
      </c>
      <c r="H3019" t="inlineStr">
        <is>
          <t>30², 60²</t>
        </is>
      </c>
      <c r="I3019" t="n">
        <v>4</v>
      </c>
      <c r="J3019" t="inlineStr">
        <is>
          <t>1³, 2³, 4³, 8³</t>
        </is>
      </c>
      <c r="K3019">
        <f>HYPERLINK("CSG0.html#group12H0", "12H⁰"), =HYPERLINK("CSG6.html#group30B6", "30B⁶"), =HYPERLINK("CSG6.html#group60B6", "60B⁶"), =HYPERLINK("CSG6.html#group60C6", "60C⁶")</f>
        <v/>
      </c>
      <c r="L3019" t="inlineStr"/>
      <c r="M3019">
        <f>HYPERLINK("CSG0.html#group5A0", "5A⁰"), =HYPERLINK("CSG0.html#group6B0", "6B⁰"), =HYPERLINK("CSG0.html#group12C0", "12C⁰"), =HYPERLINK("CSG6.html#group60C6", "60C⁶"), =HYPERLINK("CSG1.html#group15A1", "15A¹"), =HYPERLINK("CSG1.html#group10B1", "10B¹"), =HYPERLINK("CSG2.html#group20B2", "20B²"), =HYPERLINK("CSG0.html#group4C0", "4C⁰"), =HYPERLINK("CSG6.html#group60B6", "60B⁶"), =HYPERLINK("CSG0.html#group2B0", "2B⁰"), =HYPERLINK("CSG6.html#group30B6", "30B⁶"), =HYPERLINK("CSG0.html#group12H0", "12H⁰"), =HYPERLINK("CSG0.html#group1A0", "1A⁰"), =HYPERLINK("CSG3.html#group30D3", "30D³"), =HYPERLINK("CSG2.html#group30A2", "30A²"), =HYPERLINK("CSG0.html#group12D0", "12D⁰"), =HYPERLINK("CSG0.html#group6H0", "6H⁰"), =HYPERLINK("CSG0.html#group3A0", "3A⁰"), =HYPERLINK("CSG0.html#group6D0", "6D⁰")</f>
        <v/>
      </c>
      <c r="N3019" t="inlineStr"/>
    </row>
    <row r="3020">
      <c r="A3020" t="inlineStr">
        <is>
          <t>60D¹²</t>
        </is>
      </c>
      <c r="B3020" t="inlineStr"/>
      <c r="C3020" t="inlineStr">
        <is>
          <t>180</t>
        </is>
      </c>
      <c r="D3020" t="inlineStr">
        <is>
          <t>1</t>
        </is>
      </c>
      <c r="E3020" t="inlineStr">
        <is>
          <t>90</t>
        </is>
      </c>
      <c r="F3020" t="inlineStr">
        <is>
          <t>4</t>
        </is>
      </c>
      <c r="G3020" t="inlineStr">
        <is>
          <t>0</t>
        </is>
      </c>
      <c r="H3020" t="inlineStr">
        <is>
          <t>15⁴, 60²</t>
        </is>
      </c>
      <c r="I3020" t="n">
        <v>6</v>
      </c>
      <c r="J3020" t="inlineStr">
        <is>
          <t>2³, 4⁹, 8⁶</t>
        </is>
      </c>
      <c r="K3020">
        <f>HYPERLINK("CSG5.html#group30K5", "30K⁵")</f>
        <v/>
      </c>
      <c r="L3020">
        <f>HYPERLINK("CSG23.html#group60E23", "60E²³"), =HYPERLINK("CSG23.html#group60L23", "60L²³")</f>
        <v/>
      </c>
      <c r="M3020">
        <f>HYPERLINK("CSG5.html#group30K5", "30K⁵"), =HYPERLINK("CSG1.html#group15D1", "15D¹"), =HYPERLINK("CSG0.html#group1A0", "1A⁰"), =HYPERLINK("CSG0.html#group2B0", "2B⁰"), =HYPERLINK("CSG0.html#group3A0", "3A⁰"), =HYPERLINK("CSG0.html#group5C0", "5C⁰"), =HYPERLINK("CSG0.html#group6D0", "6D⁰"), =HYPERLINK("CSG1.html#group10F1", "10F¹")</f>
        <v/>
      </c>
      <c r="N3020">
        <f>HYPERLINK("CSG23.html#group60L23", "60L²³"), =HYPERLINK("CSG23.html#group60E23", "60E²³")</f>
        <v/>
      </c>
    </row>
    <row r="3021">
      <c r="A3021" t="inlineStr">
        <is>
          <t>60E¹²</t>
        </is>
      </c>
      <c r="B3021" t="inlineStr"/>
      <c r="C3021" t="inlineStr">
        <is>
          <t>180</t>
        </is>
      </c>
      <c r="D3021" t="inlineStr">
        <is>
          <t>1</t>
        </is>
      </c>
      <c r="E3021" t="inlineStr">
        <is>
          <t>90</t>
        </is>
      </c>
      <c r="F3021" t="inlineStr">
        <is>
          <t>8</t>
        </is>
      </c>
      <c r="G3021" t="inlineStr">
        <is>
          <t>0</t>
        </is>
      </c>
      <c r="H3021" t="inlineStr">
        <is>
          <t>30², 60²</t>
        </is>
      </c>
      <c r="I3021" t="n">
        <v>4</v>
      </c>
      <c r="J3021" t="inlineStr">
        <is>
          <t>2³, 4⁹, 8⁶</t>
        </is>
      </c>
      <c r="K3021">
        <f>HYPERLINK("CSG5.html#group30K5", "30K⁵")</f>
        <v/>
      </c>
      <c r="L3021">
        <f>HYPERLINK("CSG23.html#group60F23", "60F²³"), =HYPERLINK("CSG23.html#group60G23", "60G²³"), =HYPERLINK("CSG23.html#group60H23", "60H²³")</f>
        <v/>
      </c>
      <c r="M3021">
        <f>HYPERLINK("CSG5.html#group30K5", "30K⁵"), =HYPERLINK("CSG1.html#group15D1", "15D¹"), =HYPERLINK("CSG0.html#group1A0", "1A⁰"), =HYPERLINK("CSG0.html#group2B0", "2B⁰"), =HYPERLINK("CSG0.html#group3A0", "3A⁰"), =HYPERLINK("CSG0.html#group5C0", "5C⁰"), =HYPERLINK("CSG0.html#group6D0", "6D⁰"), =HYPERLINK("CSG1.html#group10F1", "10F¹")</f>
        <v/>
      </c>
      <c r="N3021">
        <f>HYPERLINK("CSG23.html#group60H23", "60H²³"), =HYPERLINK("CSG23.html#group60F23", "60F²³"), =HYPERLINK("CSG23.html#group60G23", "60G²³")</f>
        <v/>
      </c>
    </row>
    <row r="3022">
      <c r="A3022" t="inlineStr">
        <is>
          <t>61A¹²</t>
        </is>
      </c>
      <c r="B3022" t="inlineStr"/>
      <c r="C3022" t="inlineStr">
        <is>
          <t>186</t>
        </is>
      </c>
      <c r="D3022" t="inlineStr">
        <is>
          <t>1</t>
        </is>
      </c>
      <c r="E3022" t="inlineStr">
        <is>
          <t>62</t>
        </is>
      </c>
      <c r="F3022" t="inlineStr">
        <is>
          <t>6</t>
        </is>
      </c>
      <c r="G3022" t="inlineStr">
        <is>
          <t>0</t>
        </is>
      </c>
      <c r="H3022" t="inlineStr">
        <is>
          <t>1³, 61³</t>
        </is>
      </c>
      <c r="I3022" t="n">
        <v>6</v>
      </c>
      <c r="J3022" t="inlineStr">
        <is>
          <t>1², 60¹</t>
        </is>
      </c>
      <c r="K3022">
        <f>HYPERLINK("CSG4.html#group61A4", "61A⁴")</f>
        <v/>
      </c>
      <c r="L3022" t="inlineStr"/>
      <c r="M3022">
        <f>HYPERLINK("CSG0.html#group1A0", "1A⁰"), =HYPERLINK("CSG4.html#group61A4", "61A⁴")</f>
        <v/>
      </c>
      <c r="N3022" t="inlineStr"/>
    </row>
    <row r="3023">
      <c r="A3023" t="inlineStr">
        <is>
          <t>62A¹²</t>
        </is>
      </c>
      <c r="B3023" t="inlineStr"/>
      <c r="C3023" t="inlineStr">
        <is>
          <t>192</t>
        </is>
      </c>
      <c r="D3023" t="inlineStr">
        <is>
          <t>1</t>
        </is>
      </c>
      <c r="E3023" t="inlineStr">
        <is>
          <t>64</t>
        </is>
      </c>
      <c r="F3023" t="inlineStr">
        <is>
          <t>0</t>
        </is>
      </c>
      <c r="G3023" t="inlineStr">
        <is>
          <t>6</t>
        </is>
      </c>
      <c r="H3023" t="inlineStr">
        <is>
          <t>2³, 62³</t>
        </is>
      </c>
      <c r="I3023" t="n">
        <v>6</v>
      </c>
      <c r="J3023" t="inlineStr">
        <is>
          <t>1⁴, 30²</t>
        </is>
      </c>
      <c r="K3023">
        <f>HYPERLINK("CSG4.html#group62A4", "62A⁴")</f>
        <v/>
      </c>
      <c r="L3023" t="inlineStr"/>
      <c r="M3023">
        <f>HYPERLINK("CSG0.html#group2A0", "2A⁰"), =HYPERLINK("CSG2.html#group31A2", "31A²"), =HYPERLINK("CSG0.html#group1A0", "1A⁰"), =HYPERLINK("CSG4.html#group62A4", "62A⁴")</f>
        <v/>
      </c>
      <c r="N3023" t="inlineStr"/>
    </row>
    <row r="3024">
      <c r="A3024" t="inlineStr">
        <is>
          <t>63A¹²</t>
        </is>
      </c>
      <c r="B3024" t="inlineStr"/>
      <c r="C3024" t="inlineStr">
        <is>
          <t>168</t>
        </is>
      </c>
      <c r="D3024" t="inlineStr">
        <is>
          <t>2</t>
        </is>
      </c>
      <c r="E3024" t="inlineStr">
        <is>
          <t>56</t>
        </is>
      </c>
      <c r="F3024" t="inlineStr">
        <is>
          <t>0</t>
        </is>
      </c>
      <c r="G3024" t="inlineStr">
        <is>
          <t>3</t>
        </is>
      </c>
      <c r="H3024" t="inlineStr">
        <is>
          <t>21², 63²</t>
        </is>
      </c>
      <c r="I3024" t="n">
        <v>4</v>
      </c>
      <c r="J3024" t="inlineStr">
        <is>
          <t>4⁴, 12⁸</t>
        </is>
      </c>
      <c r="K3024">
        <f>HYPERLINK("CSG3.html#group21B3", "21B³")</f>
        <v/>
      </c>
      <c r="L3024" t="inlineStr"/>
      <c r="M3024">
        <f>HYPERLINK("CSG3.html#group21B3", "21B³"), =HYPERLINK("CSG0.html#group3B0", "3B⁰"), =HYPERLINK("CSG2.html#group21B2", "21B²"), =HYPERLINK("CSG0.html#group1A0", "1A⁰"), =HYPERLINK("CSG0.html#group7C0", "7C⁰"), =HYPERLINK("CSG0.html#group7A0", "7A⁰")</f>
        <v/>
      </c>
      <c r="N3024" t="inlineStr"/>
    </row>
    <row r="3025">
      <c r="A3025" t="inlineStr">
        <is>
          <t>63B¹²</t>
        </is>
      </c>
      <c r="B3025" t="inlineStr"/>
      <c r="C3025" t="inlineStr">
        <is>
          <t>189</t>
        </is>
      </c>
      <c r="D3025" t="inlineStr">
        <is>
          <t>2</t>
        </is>
      </c>
      <c r="E3025" t="inlineStr">
        <is>
          <t>189</t>
        </is>
      </c>
      <c r="F3025" t="inlineStr">
        <is>
          <t>9</t>
        </is>
      </c>
      <c r="G3025" t="inlineStr">
        <is>
          <t>3</t>
        </is>
      </c>
      <c r="H3025" t="inlineStr">
        <is>
          <t>63³</t>
        </is>
      </c>
      <c r="I3025" t="n">
        <v>3</v>
      </c>
      <c r="J3025" t="inlineStr">
        <is>
          <t>6¹, 12⁴, 18², 36⁸</t>
        </is>
      </c>
      <c r="K3025">
        <f>HYPERLINK("CSG0.html#group7A0", "7A⁰"), =HYPERLINK("CSG0.html#group9F0", "9F⁰")</f>
        <v/>
      </c>
      <c r="L3025" t="inlineStr"/>
      <c r="M3025">
        <f>HYPERLINK("CSG0.html#group9F0", "9F⁰"), =HYPERLINK("CSG0.html#group1A0", "1A⁰"), =HYPERLINK("CSG0.html#group7A0", "7A⁰")</f>
        <v/>
      </c>
      <c r="N3025" t="inlineStr"/>
    </row>
    <row r="3026">
      <c r="A3026" t="inlineStr">
        <is>
          <t>65A¹²</t>
        </is>
      </c>
      <c r="B3026" t="inlineStr"/>
      <c r="C3026" t="inlineStr">
        <is>
          <t>210</t>
        </is>
      </c>
      <c r="D3026" t="inlineStr">
        <is>
          <t>1</t>
        </is>
      </c>
      <c r="E3026" t="inlineStr">
        <is>
          <t>70</t>
        </is>
      </c>
      <c r="F3026" t="inlineStr">
        <is>
          <t>6</t>
        </is>
      </c>
      <c r="G3026" t="inlineStr">
        <is>
          <t>6</t>
        </is>
      </c>
      <c r="H3026" t="inlineStr">
        <is>
          <t>5³, 65³</t>
        </is>
      </c>
      <c r="I3026" t="n">
        <v>6</v>
      </c>
      <c r="J3026" t="inlineStr">
        <is>
          <t>2², 4⁴, 24¹, 48²</t>
        </is>
      </c>
      <c r="K3026">
        <f>HYPERLINK("CSG4.html#group65A4", "65A⁴")</f>
        <v/>
      </c>
      <c r="L3026" t="inlineStr"/>
      <c r="M3026">
        <f>HYPERLINK("CSG0.html#group13A0", "13A⁰"), =HYPERLINK("CSG0.html#group1A0", "1A⁰"), =HYPERLINK("CSG4.html#group65A4", "65A⁴"), =HYPERLINK("CSG0.html#group5A0", "5A⁰")</f>
        <v/>
      </c>
      <c r="N3026" t="inlineStr"/>
    </row>
    <row r="3027">
      <c r="A3027" t="inlineStr">
        <is>
          <t>65B¹²</t>
        </is>
      </c>
      <c r="B3027" t="inlineStr"/>
      <c r="C3027" t="inlineStr">
        <is>
          <t>210</t>
        </is>
      </c>
      <c r="D3027" t="inlineStr">
        <is>
          <t>1</t>
        </is>
      </c>
      <c r="E3027" t="inlineStr">
        <is>
          <t>70</t>
        </is>
      </c>
      <c r="F3027" t="inlineStr">
        <is>
          <t>6</t>
        </is>
      </c>
      <c r="G3027" t="inlineStr">
        <is>
          <t>6</t>
        </is>
      </c>
      <c r="H3027" t="inlineStr">
        <is>
          <t>5³, 65³</t>
        </is>
      </c>
      <c r="I3027" t="n">
        <v>6</v>
      </c>
      <c r="J3027" t="inlineStr">
        <is>
          <t>2², 4⁴, 24¹, 48²</t>
        </is>
      </c>
      <c r="K3027">
        <f>HYPERLINK("CSG4.html#group65A4", "65A⁴")</f>
        <v/>
      </c>
      <c r="L3027" t="inlineStr"/>
      <c r="M3027">
        <f>HYPERLINK("CSG0.html#group13A0", "13A⁰"), =HYPERLINK("CSG0.html#group1A0", "1A⁰"), =HYPERLINK("CSG4.html#group65A4", "65A⁴"), =HYPERLINK("CSG0.html#group5A0", "5A⁰")</f>
        <v/>
      </c>
      <c r="N3027" t="inlineStr"/>
    </row>
    <row r="3028">
      <c r="A3028" t="inlineStr">
        <is>
          <t>72A¹²</t>
        </is>
      </c>
      <c r="B3028" t="inlineStr"/>
      <c r="C3028" t="inlineStr">
        <is>
          <t>144</t>
        </is>
      </c>
      <c r="D3028" t="inlineStr">
        <is>
          <t>1</t>
        </is>
      </c>
      <c r="E3028" t="inlineStr">
        <is>
          <t>36</t>
        </is>
      </c>
      <c r="F3028" t="inlineStr">
        <is>
          <t>0</t>
        </is>
      </c>
      <c r="G3028" t="inlineStr">
        <is>
          <t>0</t>
        </is>
      </c>
      <c r="H3028" t="inlineStr">
        <is>
          <t>72²</t>
        </is>
      </c>
      <c r="I3028" t="n">
        <v>2</v>
      </c>
      <c r="J3028" t="inlineStr">
        <is>
          <t>2², 4², 12²</t>
        </is>
      </c>
      <c r="K3028">
        <f>HYPERLINK("CSG4.html#group24A4", "24A⁴"), =HYPERLINK("CSG4.html#group72A4", "72A⁴"), =HYPERLINK("CSG6.html#group36A6", "36A⁶")</f>
        <v/>
      </c>
      <c r="L3028">
        <f>HYPERLINK("CSG23.html#group72B23", "72B²³"), =HYPERLINK("CSG23.html#group72H23", "72H²³"), =HYPERLINK("CSG24.html#group144A24", "144A²⁴"), =HYPERLINK("CSG24.html#group144B24", "144B²⁴"), =HYPERLINK("CSG24.html#group144C24", "144C²⁴")</f>
        <v/>
      </c>
      <c r="M3028">
        <f>HYPERLINK("CSG0.html#group2A0", "2A⁰"), =HYPERLINK("CSG0.html#group8A0", "8A⁰"), =HYPERLINK("CSG4.html#group24A4", "24A⁴"), =HYPERLINK("CSG0.html#group8E0", "8E⁰"), =HYPERLINK("CSG2.html#group18A2", "18A²"), =HYPERLINK("CSG6.html#group36A6", "36A⁶"), =HYPERLINK("CSG0.html#group1A0", "1A⁰"), =HYPERLINK("CSG4.html#group72A4", "72A⁴"), =HYPERLINK("CSG1.html#group36A1", "36A¹"), =HYPERLINK("CSG0.html#group12A0", "12A⁰"), =HYPERLINK("CSG1.html#group24A1", "24A¹"), =HYPERLINK("CSG0.html#group4A0", "4A⁰"), =HYPERLINK("CSG0.html#group4D0", "4D⁰"), =HYPERLINK("CSG0.html#group9A0", "9A⁰"), =HYPERLINK("CSG2.html#group12A2", "12A²"), =HYPERLINK("CSG1.html#group6A1", "6A¹"), =HYPERLINK("CSG0.html#group3A0", "3A⁰")</f>
        <v/>
      </c>
      <c r="N3028">
        <f>HYPERLINK("CSG23.html#group72H23", "72H²³"), =HYPERLINK("CSG24.html#group144B24", "144B²⁴"), =HYPERLINK("CSG23.html#group72B23", "72B²³"), =HYPERLINK("CSG24.html#group144C24", "144C²⁴"), =HYPERLINK("CSG24.html#group144A24", "144A²⁴")</f>
        <v/>
      </c>
    </row>
    <row r="3029">
      <c r="A3029" t="inlineStr">
        <is>
          <t>72B¹²</t>
        </is>
      </c>
      <c r="B3029" t="inlineStr"/>
      <c r="C3029" t="inlineStr">
        <is>
          <t>144</t>
        </is>
      </c>
      <c r="D3029" t="inlineStr">
        <is>
          <t>1</t>
        </is>
      </c>
      <c r="E3029" t="inlineStr">
        <is>
          <t>36</t>
        </is>
      </c>
      <c r="F3029" t="inlineStr">
        <is>
          <t>0</t>
        </is>
      </c>
      <c r="G3029" t="inlineStr">
        <is>
          <t>0</t>
        </is>
      </c>
      <c r="H3029" t="inlineStr">
        <is>
          <t>72²</t>
        </is>
      </c>
      <c r="I3029" t="n">
        <v>2</v>
      </c>
      <c r="J3029" t="inlineStr">
        <is>
          <t>2², 4², 12²</t>
        </is>
      </c>
      <c r="K3029">
        <f>HYPERLINK("CSG4.html#group24B4", "24B⁴"), =HYPERLINK("CSG4.html#group72B4", "72B⁴"), =HYPERLINK("CSG6.html#group36A6", "36A⁶")</f>
        <v/>
      </c>
      <c r="L3029">
        <f>HYPERLINK("CSG23.html#group72B23", "72B²³"), =HYPERLINK("CSG23.html#group72G23", "72G²³")</f>
        <v/>
      </c>
      <c r="M3029">
        <f>HYPERLINK("CSG1.html#group36A1", "36A¹"), =HYPERLINK("CSG0.html#group2A0", "2A⁰"), =HYPERLINK("CSG0.html#group12A0", "12A⁰"), =HYPERLINK("CSG0.html#group3A0", "3A⁰"), =HYPERLINK("CSG4.html#group72B4", "72B⁴"), =HYPERLINK("CSG0.html#group4A0", "4A⁰"), =HYPERLINK("CSG0.html#group4D0", "4D⁰"), =HYPERLINK("CSG0.html#group9A0", "9A⁰"), =HYPERLINK("CSG4.html#group24B4", "24B⁴"), =HYPERLINK("CSG2.html#group12A2", "12A²"), =HYPERLINK("CSG1.html#group6A1", "6A¹"), =HYPERLINK("CSG2.html#group18A2", "18A²"), =HYPERLINK("CSG1.html#group24B1", "24B¹"), =HYPERLINK("CSG6.html#group36A6", "36A⁶"), =HYPERLINK("CSG0.html#group1A0", "1A⁰")</f>
        <v/>
      </c>
      <c r="N3029">
        <f>HYPERLINK("CSG23.html#group72B23", "72B²³"), =HYPERLINK("CSG23.html#group72G23", "72G²³")</f>
        <v/>
      </c>
    </row>
    <row r="3030">
      <c r="A3030" t="inlineStr">
        <is>
          <t>72C¹²</t>
        </is>
      </c>
      <c r="B3030" t="inlineStr"/>
      <c r="C3030" t="inlineStr">
        <is>
          <t>144</t>
        </is>
      </c>
      <c r="D3030" t="inlineStr">
        <is>
          <t>2</t>
        </is>
      </c>
      <c r="E3030" t="inlineStr">
        <is>
          <t>36</t>
        </is>
      </c>
      <c r="F3030" t="inlineStr">
        <is>
          <t>0</t>
        </is>
      </c>
      <c r="G3030" t="inlineStr">
        <is>
          <t>0</t>
        </is>
      </c>
      <c r="H3030" t="inlineStr">
        <is>
          <t>72²</t>
        </is>
      </c>
      <c r="I3030" t="n">
        <v>2</v>
      </c>
      <c r="J3030" t="inlineStr">
        <is>
          <t>4⁶, 12⁴</t>
        </is>
      </c>
      <c r="K3030">
        <f>HYPERLINK("CSG4.html#group24B4", "24B⁴"), =HYPERLINK("CSG4.html#group72C4", "72C⁴"), =HYPERLINK("CSG4.html#group72D4", "72D⁴"), =HYPERLINK("CSG6.html#group36A6", "36A⁶")</f>
        <v/>
      </c>
      <c r="L3030">
        <f>HYPERLINK("CSG23.html#group72A23", "72A²³"), =HYPERLINK("CSG23.html#group72G23", "72G²³"), =HYPERLINK("CSG23.html#group72H23", "72H²³")</f>
        <v/>
      </c>
      <c r="M3030">
        <f>HYPERLINK("CSG0.html#group2A0", "2A⁰"), =HYPERLINK("CSG4.html#group72C4", "72C⁴"), =HYPERLINK("CSG1.html#group24B1", "24B¹"), =HYPERLINK("CSG2.html#group18A2", "18A²"), =HYPERLINK("CSG4.html#group72D4", "72D⁴"), =HYPERLINK("CSG6.html#group36A6", "36A⁶"), =HYPERLINK("CSG0.html#group1A0", "1A⁰"), =HYPERLINK("CSG1.html#group36A1", "36A¹"), =HYPERLINK("CSG0.html#group12A0", "12A⁰"), =HYPERLINK("CSG0.html#group4A0", "4A⁰"), =HYPERLINK("CSG0.html#group4D0", "4D⁰"), =HYPERLINK("CSG0.html#group9A0", "9A⁰"), =HYPERLINK("CSG4.html#group24B4", "24B⁴"), =HYPERLINK("CSG2.html#group12A2", "12A²"), =HYPERLINK("CSG1.html#group6A1", "6A¹"), =HYPERLINK("CSG0.html#group3A0", "3A⁰")</f>
        <v/>
      </c>
      <c r="N3030">
        <f>HYPERLINK("CSG23.html#group72H23", "72H²³"), =HYPERLINK("CSG23.html#group72A23", "72A²³"), =HYPERLINK("CSG23.html#group72G23", "72G²³")</f>
        <v/>
      </c>
    </row>
    <row r="3031">
      <c r="A3031" t="inlineStr">
        <is>
          <t>72D¹²</t>
        </is>
      </c>
      <c r="B3031" t="inlineStr"/>
      <c r="C3031" t="inlineStr">
        <is>
          <t>216</t>
        </is>
      </c>
      <c r="D3031" t="inlineStr">
        <is>
          <t>1</t>
        </is>
      </c>
      <c r="E3031" t="inlineStr">
        <is>
          <t>54</t>
        </is>
      </c>
      <c r="F3031" t="inlineStr">
        <is>
          <t>4</t>
        </is>
      </c>
      <c r="G3031" t="inlineStr">
        <is>
          <t>0</t>
        </is>
      </c>
      <c r="H3031" t="inlineStr">
        <is>
          <t>6⁶, 18², 24³, 72¹</t>
        </is>
      </c>
      <c r="I3031" t="n">
        <v>12</v>
      </c>
      <c r="J3031" t="inlineStr">
        <is>
          <t>2³, 4³, 6³, 12⁶</t>
        </is>
      </c>
      <c r="K3031">
        <f>HYPERLINK("CSG3.html#group24M3", "24M³"), =HYPERLINK("CSG3.html#group36I3", "36I³")</f>
        <v/>
      </c>
      <c r="L3031">
        <f>HYPERLINK("CSG23.html#group72I23", "72I²³")</f>
        <v/>
      </c>
      <c r="M3031">
        <f>HYPERLINK("CSG0.html#group12G0", "12G⁰"), =HYPERLINK("CSG1.html#group18I1", "18I¹"), =HYPERLINK("CSG0.html#group6G0", "6G⁰"), =HYPERLINK("CSG0.html#group3C0", "3C⁰"), =HYPERLINK("CSG3.html#group24M3", "24M³"), =HYPERLINK("CSG0.html#group2B0", "2B⁰"), =HYPERLINK("CSG0.html#group12D0", "12D⁰"), =HYPERLINK("CSG3.html#group36I3", "36I³"), =HYPERLINK("CSG0.html#group9E0", "9E⁰"), =HYPERLINK("CSG0.html#group3A0", "3A⁰"), =HYPERLINK("CSG0.html#group1A0", "1A⁰"), =HYPERLINK("CSG0.html#group6D0", "6D⁰")</f>
        <v/>
      </c>
      <c r="N3031">
        <f>HYPERLINK("CSG23.html#group72I23", "72I²³")</f>
        <v/>
      </c>
    </row>
    <row r="3032">
      <c r="A3032" t="inlineStr">
        <is>
          <t>72E¹²</t>
        </is>
      </c>
      <c r="B3032" t="inlineStr"/>
      <c r="C3032" t="inlineStr">
        <is>
          <t>216</t>
        </is>
      </c>
      <c r="D3032" t="inlineStr">
        <is>
          <t>1</t>
        </is>
      </c>
      <c r="E3032" t="inlineStr">
        <is>
          <t>54</t>
        </is>
      </c>
      <c r="F3032" t="inlineStr">
        <is>
          <t>4</t>
        </is>
      </c>
      <c r="G3032" t="inlineStr">
        <is>
          <t>0</t>
        </is>
      </c>
      <c r="H3032" t="inlineStr">
        <is>
          <t>6⁶, 18², 24³, 72¹</t>
        </is>
      </c>
      <c r="I3032" t="n">
        <v>12</v>
      </c>
      <c r="J3032" t="inlineStr">
        <is>
          <t>2³, 4³, 6³, 12⁶</t>
        </is>
      </c>
      <c r="K3032">
        <f>HYPERLINK("CSG3.html#group24M3", "24M³"), =HYPERLINK("CSG3.html#group36I3", "36I³")</f>
        <v/>
      </c>
      <c r="L3032">
        <f>HYPERLINK("CSG23.html#group72J23", "72J²³")</f>
        <v/>
      </c>
      <c r="M3032">
        <f>HYPERLINK("CSG0.html#group12G0", "12G⁰"), =HYPERLINK("CSG1.html#group18I1", "18I¹"), =HYPERLINK("CSG0.html#group6G0", "6G⁰"), =HYPERLINK("CSG0.html#group3C0", "3C⁰"), =HYPERLINK("CSG3.html#group24M3", "24M³"), =HYPERLINK("CSG0.html#group2B0", "2B⁰"), =HYPERLINK("CSG0.html#group12D0", "12D⁰"), =HYPERLINK("CSG3.html#group36I3", "36I³"), =HYPERLINK("CSG0.html#group9E0", "9E⁰"), =HYPERLINK("CSG0.html#group3A0", "3A⁰"), =HYPERLINK("CSG0.html#group1A0", "1A⁰"), =HYPERLINK("CSG0.html#group6D0", "6D⁰")</f>
        <v/>
      </c>
      <c r="N3032">
        <f>HYPERLINK("CSG23.html#group72J23", "72J²³")</f>
        <v/>
      </c>
    </row>
    <row r="3033">
      <c r="A3033" t="inlineStr">
        <is>
          <t>72F¹²</t>
        </is>
      </c>
      <c r="B3033" t="inlineStr"/>
      <c r="C3033" t="inlineStr">
        <is>
          <t>216</t>
        </is>
      </c>
      <c r="D3033" t="inlineStr">
        <is>
          <t>1</t>
        </is>
      </c>
      <c r="E3033" t="inlineStr">
        <is>
          <t>54</t>
        </is>
      </c>
      <c r="F3033" t="inlineStr">
        <is>
          <t>20</t>
        </is>
      </c>
      <c r="G3033" t="inlineStr">
        <is>
          <t>0</t>
        </is>
      </c>
      <c r="H3033" t="inlineStr">
        <is>
          <t>36², 72²</t>
        </is>
      </c>
      <c r="I3033" t="n">
        <v>4</v>
      </c>
      <c r="J3033" t="inlineStr">
        <is>
          <t>1², 2⁴, 4², 6², 12²</t>
        </is>
      </c>
      <c r="K3033">
        <f>HYPERLINK("CSG2.html#group24L2", "24L²"), =HYPERLINK("CSG4.html#group72E4", "72E⁴"), =HYPERLINK("CSG6.html#group36F6", "36F⁶"), =HYPERLINK("CSG6.html#group72C6", "72C⁶")</f>
        <v/>
      </c>
      <c r="L3033" t="inlineStr"/>
      <c r="M3033">
        <f>HYPERLINK("CSG0.html#group12C0", "12C⁰"), =HYPERLINK("CSG0.html#group8D0", "8D⁰"), =HYPERLINK("CSG4.html#group72E4", "72E⁴"), =HYPERLINK("CSG2.html#group36B2", "36B²"), =HYPERLINK("CSG0.html#group4C0", "4C⁰"), =HYPERLINK("CSG0.html#group8B0", "8B⁰"), =HYPERLINK("CSG0.html#group2B0", "2B⁰"), =HYPERLINK("CSG2.html#group24L2", "24L²"), =HYPERLINK("CSG0.html#group1A0", "1A⁰"), =HYPERLINK("CSG1.html#group36A1", "36A¹"), =HYPERLINK("CSG6.html#group72C6", "72C⁶"), =HYPERLINK("CSG0.html#group8H0", "8H⁰"), =HYPERLINK("CSG6.html#group36F6", "36F⁶"), =HYPERLINK("CSG0.html#group12A0", "12A⁰"), =HYPERLINK("CSG0.html#group24A0", "24A⁰"), =HYPERLINK("CSG0.html#group4A0", "4A⁰"), =HYPERLINK("CSG0.html#group9A0", "9A⁰"), =HYPERLINK("CSG1.html#group24C1", "24C¹"), =HYPERLINK("CSG1.html#group12J1", "12J¹"), =HYPERLINK("CSG0.html#group4F0", "4F⁰"), =HYPERLINK("CSG1.html#group18E1", "18E¹"), =HYPERLINK("CSG0.html#group3A0", "3A⁰"), =HYPERLINK("CSG0.html#group6D0", "6D⁰")</f>
        <v/>
      </c>
      <c r="N3033" t="inlineStr"/>
    </row>
    <row r="3034">
      <c r="A3034" t="inlineStr">
        <is>
          <t>72G¹²</t>
        </is>
      </c>
      <c r="B3034" t="inlineStr"/>
      <c r="C3034" t="inlineStr">
        <is>
          <t>216</t>
        </is>
      </c>
      <c r="D3034" t="inlineStr">
        <is>
          <t>1</t>
        </is>
      </c>
      <c r="E3034" t="inlineStr">
        <is>
          <t>54</t>
        </is>
      </c>
      <c r="F3034" t="inlineStr">
        <is>
          <t>20</t>
        </is>
      </c>
      <c r="G3034" t="inlineStr">
        <is>
          <t>0</t>
        </is>
      </c>
      <c r="H3034" t="inlineStr">
        <is>
          <t>36², 72²</t>
        </is>
      </c>
      <c r="I3034" t="n">
        <v>4</v>
      </c>
      <c r="J3034" t="inlineStr">
        <is>
          <t>1², 2⁴, 4², 6², 12²</t>
        </is>
      </c>
      <c r="K3034">
        <f>HYPERLINK("CSG2.html#group24P2", "24P²"), =HYPERLINK("CSG4.html#group72E4", "72E⁴"), =HYPERLINK("CSG6.html#group36E6", "36E⁶"), =HYPERLINK("CSG6.html#group72D6", "72D⁶")</f>
        <v/>
      </c>
      <c r="L3034" t="inlineStr"/>
      <c r="M3034">
        <f>HYPERLINK("CSG1.html#group24E1", "24E¹"), =HYPERLINK("CSG0.html#group12C0", "12C⁰"), =HYPERLINK("CSG6.html#group36E6", "36E⁶"), =HYPERLINK("CSG4.html#group72E4", "72E⁴"), =HYPERLINK("CSG0.html#group4C0", "4C⁰"), =HYPERLINK("CSG2.html#group36B2", "36B²"), =HYPERLINK("CSG0.html#group8B0", "8B⁰"), =HYPERLINK("CSG2.html#group24P2", "24P²"), =HYPERLINK("CSG1.html#group12M1", "12M¹"), =HYPERLINK("CSG0.html#group2B0", "2B⁰"), =HYPERLINK("CSG0.html#group1A0", "1A⁰"), =HYPERLINK("CSG0.html#group24A0", "24A⁰"), =HYPERLINK("CSG6.html#group72D6", "72D⁶"), =HYPERLINK("CSG0.html#group9A0", "9A⁰"), =HYPERLINK("CSG1.html#group18E1", "18E¹"), =HYPERLINK("CSG0.html#group3A0", "3A⁰"), =HYPERLINK("CSG0.html#group6D0", "6D⁰")</f>
        <v/>
      </c>
      <c r="N3034" t="inlineStr"/>
    </row>
    <row r="3035">
      <c r="A3035" t="inlineStr">
        <is>
          <t>72H¹²</t>
        </is>
      </c>
      <c r="B3035" t="inlineStr"/>
      <c r="C3035" t="inlineStr">
        <is>
          <t>216</t>
        </is>
      </c>
      <c r="D3035" t="inlineStr">
        <is>
          <t>1</t>
        </is>
      </c>
      <c r="E3035" t="inlineStr">
        <is>
          <t>108</t>
        </is>
      </c>
      <c r="F3035" t="inlineStr">
        <is>
          <t>4</t>
        </is>
      </c>
      <c r="G3035" t="inlineStr">
        <is>
          <t>0</t>
        </is>
      </c>
      <c r="H3035" t="inlineStr">
        <is>
          <t>6⁶, 18², 24³, 72¹</t>
        </is>
      </c>
      <c r="I3035" t="n">
        <v>12</v>
      </c>
      <c r="J3035" t="inlineStr">
        <is>
          <t>1², 2⁴, 3², 4², 6⁶, 12⁴</t>
        </is>
      </c>
      <c r="K3035">
        <f>HYPERLINK("CSG3.html#group24N3", "24N³"), =HYPERLINK("CSG5.html#group36I5", "36I⁵")</f>
        <v/>
      </c>
      <c r="L3035">
        <f>HYPERLINK("CSG23.html#group72K23", "72K²³")</f>
        <v/>
      </c>
      <c r="M3035">
        <f>HYPERLINK("CSG5.html#group36I5", "36I⁵"), =HYPERLINK("CSG1.html#group24E1", "24E¹"), =HYPERLINK("CSG0.html#group12C0", "12C⁰"), =HYPERLINK("CSG1.html#group12C1", "12C¹"), =HYPERLINK("CSG3.html#group24N3", "24N³"), =HYPERLINK("CSG1.html#group18I1", "18I¹"), =HYPERLINK("CSG1.html#group12L1", "12L¹"), =HYPERLINK("CSG0.html#group4C0", "4C⁰"), =HYPERLINK("CSG0.html#group6G0", "6G⁰"), =HYPERLINK("CSG0.html#group3C0", "3C⁰"), =HYPERLINK("CSG0.html#group2B0", "2B⁰"), =HYPERLINK("CSG0.html#group9E0", "9E⁰"), =HYPERLINK("CSG0.html#group3A0", "3A⁰"), =HYPERLINK("CSG0.html#group1A0", "1A⁰"), =HYPERLINK("CSG0.html#group6D0", "6D⁰")</f>
        <v/>
      </c>
      <c r="N3035">
        <f>HYPERLINK("CSG23.html#group72K23", "72K²³")</f>
        <v/>
      </c>
    </row>
    <row r="3036">
      <c r="A3036" t="inlineStr">
        <is>
          <t>72I¹²</t>
        </is>
      </c>
      <c r="B3036" t="inlineStr"/>
      <c r="C3036" t="inlineStr">
        <is>
          <t>216</t>
        </is>
      </c>
      <c r="D3036" t="inlineStr">
        <is>
          <t>1</t>
        </is>
      </c>
      <c r="E3036" t="inlineStr">
        <is>
          <t>108</t>
        </is>
      </c>
      <c r="F3036" t="inlineStr">
        <is>
          <t>4</t>
        </is>
      </c>
      <c r="G3036" t="inlineStr">
        <is>
          <t>0</t>
        </is>
      </c>
      <c r="H3036" t="inlineStr">
        <is>
          <t>6⁶, 18², 24³, 72¹</t>
        </is>
      </c>
      <c r="I3036" t="n">
        <v>12</v>
      </c>
      <c r="J3036" t="inlineStr">
        <is>
          <t>1², 2⁴, 3², 4², 6⁶, 12⁴</t>
        </is>
      </c>
      <c r="K3036">
        <f>HYPERLINK("CSG3.html#group24O3", "24O³"), =HYPERLINK("CSG5.html#group36I5", "36I⁵")</f>
        <v/>
      </c>
      <c r="L3036">
        <f>HYPERLINK("CSG23.html#group72K23", "72K²³")</f>
        <v/>
      </c>
      <c r="M3036">
        <f>HYPERLINK("CSG5.html#group36I5", "36I⁵"), =HYPERLINK("CSG1.html#group24E1", "24E¹"), =HYPERLINK("CSG0.html#group12C0", "12C⁰"), =HYPERLINK("CSG0.html#group8D0", "8D⁰"), =HYPERLINK("CSG1.html#group18I1", "18I¹"), =HYPERLINK("CSG0.html#group4C0", "4C⁰"), =HYPERLINK("CSG0.html#group6G0", "6G⁰"), =HYPERLINK("CSG0.html#group2B0", "2B⁰"), =HYPERLINK("CSG0.html#group9E0", "9E⁰"), =HYPERLINK("CSG1.html#group12L1", "12L¹"), =HYPERLINK("CSG0.html#group1A0", "1A⁰"), =HYPERLINK("CSG3.html#group24O3", "24O³"), =HYPERLINK("CSG1.html#group12C1", "12C¹"), =HYPERLINK("CSG1.html#group24C1", "24C¹"), =HYPERLINK("CSG0.html#group3C0", "3C⁰"), =HYPERLINK("CSG0.html#group3A0", "3A⁰"), =HYPERLINK("CSG0.html#group6D0", "6D⁰")</f>
        <v/>
      </c>
      <c r="N3036">
        <f>HYPERLINK("CSG23.html#group72K23", "72K²³")</f>
        <v/>
      </c>
    </row>
    <row r="3037">
      <c r="A3037" t="inlineStr">
        <is>
          <t>72J¹²</t>
        </is>
      </c>
      <c r="B3037" t="inlineStr"/>
      <c r="C3037" t="inlineStr">
        <is>
          <t>216</t>
        </is>
      </c>
      <c r="D3037" t="inlineStr">
        <is>
          <t>1</t>
        </is>
      </c>
      <c r="E3037" t="inlineStr">
        <is>
          <t>108</t>
        </is>
      </c>
      <c r="F3037" t="inlineStr">
        <is>
          <t>20</t>
        </is>
      </c>
      <c r="G3037" t="inlineStr">
        <is>
          <t>0</t>
        </is>
      </c>
      <c r="H3037" t="inlineStr">
        <is>
          <t>36², 72²</t>
        </is>
      </c>
      <c r="I3037" t="n">
        <v>4</v>
      </c>
      <c r="J3037" t="inlineStr">
        <is>
          <t>1⁴, 2⁶, 4³, 6⁴, 8¹, 12², 24¹</t>
        </is>
      </c>
      <c r="K3037">
        <f>HYPERLINK("CSG2.html#group24M2", "24M²"), =HYPERLINK("CSG4.html#group72E4", "72E⁴")</f>
        <v/>
      </c>
      <c r="L3037" t="inlineStr"/>
      <c r="M3037">
        <f>HYPERLINK("CSG0.html#group12C0", "12C⁰"), =HYPERLINK("CSG0.html#group24A0", "24A⁰"), =HYPERLINK("CSG4.html#group72E4", "72E⁴"), =HYPERLINK("CSG2.html#group24M2", "24M²"), =HYPERLINK("CSG0.html#group9A0", "9A⁰"), =HYPERLINK("CSG2.html#group36B2", "36B²"), =HYPERLINK("CSG0.html#group4C0", "4C⁰"), =HYPERLINK("CSG0.html#group8B0", "8B⁰"), =HYPERLINK("CSG0.html#group8L0", "8L⁰"), =HYPERLINK("CSG0.html#group2B0", "2B⁰"), =HYPERLINK("CSG1.html#group18E1", "18E¹"), =HYPERLINK("CSG0.html#group3A0", "3A⁰"), =HYPERLINK("CSG0.html#group1A0", "1A⁰"), =HYPERLINK("CSG0.html#group6D0", "6D⁰")</f>
        <v/>
      </c>
      <c r="N3037" t="inlineStr"/>
    </row>
    <row r="3038">
      <c r="A3038" t="inlineStr">
        <is>
          <t>72K¹²</t>
        </is>
      </c>
      <c r="B3038" t="inlineStr"/>
      <c r="C3038" t="inlineStr">
        <is>
          <t>216</t>
        </is>
      </c>
      <c r="D3038" t="inlineStr">
        <is>
          <t>1</t>
        </is>
      </c>
      <c r="E3038" t="inlineStr">
        <is>
          <t>108</t>
        </is>
      </c>
      <c r="F3038" t="inlineStr">
        <is>
          <t>20</t>
        </is>
      </c>
      <c r="G3038" t="inlineStr">
        <is>
          <t>0</t>
        </is>
      </c>
      <c r="H3038" t="inlineStr">
        <is>
          <t>36², 72²</t>
        </is>
      </c>
      <c r="I3038" t="n">
        <v>4</v>
      </c>
      <c r="J3038" t="inlineStr">
        <is>
          <t>1⁴, 2⁶, 4³, 6⁴, 8¹, 12², 24¹</t>
        </is>
      </c>
      <c r="K3038">
        <f>HYPERLINK("CSG2.html#group24Q2", "24Q²"), =HYPERLINK("CSG4.html#group72E4", "72E⁴")</f>
        <v/>
      </c>
      <c r="L3038" t="inlineStr"/>
      <c r="M3038">
        <f>HYPERLINK("CSG0.html#group12C0", "12C⁰"), =HYPERLINK("CSG0.html#group24A0", "24A⁰"), =HYPERLINK("CSG4.html#group72E4", "72E⁴"), =HYPERLINK("CSG0.html#group9A0", "9A⁰"), =HYPERLINK("CSG0.html#group4C0", "4C⁰"), =HYPERLINK("CSG2.html#group36B2", "36B²"), =HYPERLINK("CSG0.html#group8B0", "8B⁰"), =HYPERLINK("CSG2.html#group24Q2", "24Q²"), =HYPERLINK("CSG0.html#group2B0", "2B⁰"), =HYPERLINK("CSG1.html#group18E1", "18E¹"), =HYPERLINK("CSG0.html#group3A0", "3A⁰"), =HYPERLINK("CSG0.html#group1A0", "1A⁰"), =HYPERLINK("CSG0.html#group6D0", "6D⁰")</f>
        <v/>
      </c>
      <c r="N3038" t="inlineStr"/>
    </row>
    <row r="3039">
      <c r="A3039" t="inlineStr">
        <is>
          <t>72L¹²</t>
        </is>
      </c>
      <c r="B3039" t="inlineStr"/>
      <c r="C3039" t="inlineStr">
        <is>
          <t>216</t>
        </is>
      </c>
      <c r="D3039" t="inlineStr">
        <is>
          <t>2</t>
        </is>
      </c>
      <c r="E3039" t="inlineStr">
        <is>
          <t>54</t>
        </is>
      </c>
      <c r="F3039" t="inlineStr">
        <is>
          <t>16</t>
        </is>
      </c>
      <c r="G3039" t="inlineStr">
        <is>
          <t>0</t>
        </is>
      </c>
      <c r="H3039" t="inlineStr">
        <is>
          <t>18⁴, 72²</t>
        </is>
      </c>
      <c r="I3039" t="n">
        <v>6</v>
      </c>
      <c r="J3039" t="inlineStr">
        <is>
          <t>2⁶, 4⁶, 6⁴, 12⁴</t>
        </is>
      </c>
      <c r="K3039">
        <f>HYPERLINK("CSG2.html#group24N2", "24N²"), =HYPERLINK("CSG4.html#group36R4", "36R⁴"), =HYPERLINK("CSG6.html#group72D6", "72D⁶"), =HYPERLINK("CSG6.html#group72E6", "72E⁶")</f>
        <v/>
      </c>
      <c r="L3039" t="inlineStr"/>
      <c r="M3039">
        <f>HYPERLINK("CSG1.html#group24E1", "24E¹"), =HYPERLINK("CSG0.html#group6B0", "6B⁰"), =HYPERLINK("CSG0.html#group12C0", "12C⁰"), =HYPERLINK("CSG0.html#group3A0", "3A⁰"), =HYPERLINK("CSG2.html#group24N2", "24N²"), =HYPERLINK("CSG0.html#group4C0", "4C⁰"), =HYPERLINK("CSG2.html#group36B2", "36B²"), =HYPERLINK("CSG4.html#group36R4", "36R⁴"), =HYPERLINK("CSG0.html#group2B0", "2B⁰"), =HYPERLINK("CSG0.html#group1A0", "1A⁰"), =HYPERLINK("CSG0.html#group18A0", "18A⁰"), =HYPERLINK("CSG2.html#group18L2", "18L²"), =HYPERLINK("CSG6.html#group72E6", "72E⁶"), =HYPERLINK("CSG6.html#group72D6", "72D⁶"), =HYPERLINK("CSG0.html#group9A0", "9A⁰"), =HYPERLINK("CSG1.html#group18E1", "18E¹"), =HYPERLINK("CSG0.html#group12D0", "12D⁰"), =HYPERLINK("CSG0.html#group6H0", "6H⁰"), =HYPERLINK("CSG0.html#group12H0", "12H⁰"), =HYPERLINK("CSG0.html#group6D0", "6D⁰"), =HYPERLINK("CSG2.html#group36C2", "36C²")</f>
        <v/>
      </c>
      <c r="N3039" t="inlineStr"/>
    </row>
    <row r="3040">
      <c r="A3040" t="inlineStr">
        <is>
          <t>72M¹²</t>
        </is>
      </c>
      <c r="B3040" t="inlineStr"/>
      <c r="C3040" t="inlineStr">
        <is>
          <t>216</t>
        </is>
      </c>
      <c r="D3040" t="inlineStr">
        <is>
          <t>2</t>
        </is>
      </c>
      <c r="E3040" t="inlineStr">
        <is>
          <t>54</t>
        </is>
      </c>
      <c r="F3040" t="inlineStr">
        <is>
          <t>16</t>
        </is>
      </c>
      <c r="G3040" t="inlineStr">
        <is>
          <t>0</t>
        </is>
      </c>
      <c r="H3040" t="inlineStr">
        <is>
          <t>18⁴, 72²</t>
        </is>
      </c>
      <c r="I3040" t="n">
        <v>6</v>
      </c>
      <c r="J3040" t="inlineStr">
        <is>
          <t>2⁶, 4⁶, 6⁴, 12⁴</t>
        </is>
      </c>
      <c r="K3040">
        <f>HYPERLINK("CSG2.html#group24O2", "24O²"), =HYPERLINK("CSG4.html#group36R4", "36R⁴"), =HYPERLINK("CSG6.html#group72C6", "72C⁶"), =HYPERLINK("CSG6.html#group72E6", "72E⁶")</f>
        <v/>
      </c>
      <c r="L3040" t="inlineStr"/>
      <c r="M3040">
        <f>HYPERLINK("CSG2.html#group24O2", "24O²"), =HYPERLINK("CSG1.html#group24E1", "24E¹"), =HYPERLINK("CSG0.html#group6B0", "6B⁰"), =HYPERLINK("CSG0.html#group12C0", "12C⁰"), =HYPERLINK("CSG0.html#group8D0", "8D⁰"), =HYPERLINK("CSG0.html#group4C0", "4C⁰"), =HYPERLINK("CSG2.html#group36B2", "36B²"), =HYPERLINK("CSG4.html#group36R4", "36R⁴"), =HYPERLINK("CSG0.html#group2B0", "2B⁰"), =HYPERLINK("CSG0.html#group12H0", "12H⁰"), =HYPERLINK("CSG0.html#group1A0", "1A⁰"), =HYPERLINK("CSG0.html#group18A0", "18A⁰"), =HYPERLINK("CSG2.html#group18L2", "18L²"), =HYPERLINK("CSG6.html#group72C6", "72C⁶"), =HYPERLINK("CSG6.html#group72E6", "72E⁶"), =HYPERLINK("CSG0.html#group9A0", "9A⁰"), =HYPERLINK("CSG1.html#group24C1", "24C¹"), =HYPERLINK("CSG1.html#group18E1", "18E¹"), =HYPERLINK("CSG0.html#group12D0", "12D⁰"), =HYPERLINK("CSG0.html#group6H0", "6H⁰"), =HYPERLINK("CSG0.html#group3A0", "3A⁰"), =HYPERLINK("CSG0.html#group6D0", "6D⁰"), =HYPERLINK("CSG2.html#group36C2", "36C²")</f>
        <v/>
      </c>
      <c r="N3040" t="inlineStr"/>
    </row>
    <row r="3041">
      <c r="A3041" t="inlineStr">
        <is>
          <t>72N¹²</t>
        </is>
      </c>
      <c r="B3041" t="inlineStr"/>
      <c r="C3041" t="inlineStr">
        <is>
          <t>216</t>
        </is>
      </c>
      <c r="D3041" t="inlineStr">
        <is>
          <t>2</t>
        </is>
      </c>
      <c r="E3041" t="inlineStr">
        <is>
          <t>54</t>
        </is>
      </c>
      <c r="F3041" t="inlineStr">
        <is>
          <t>20</t>
        </is>
      </c>
      <c r="G3041" t="inlineStr">
        <is>
          <t>0</t>
        </is>
      </c>
      <c r="H3041" t="inlineStr">
        <is>
          <t>36², 72²</t>
        </is>
      </c>
      <c r="I3041" t="n">
        <v>4</v>
      </c>
      <c r="J3041" t="inlineStr">
        <is>
          <t>2⁶, 4⁶, 6⁴, 12⁴</t>
        </is>
      </c>
      <c r="K3041">
        <f>HYPERLINK("CSG2.html#group24P2", "24P²"), =HYPERLINK("CSG4.html#group72E4", "72E⁴"), =HYPERLINK("CSG6.html#group36I6", "36I⁶"), =HYPERLINK("CSG6.html#group72E6", "72E⁶")</f>
        <v/>
      </c>
      <c r="L3041" t="inlineStr"/>
      <c r="M3041">
        <f>HYPERLINK("CSG1.html#group24E1", "24E¹"), =HYPERLINK("CSG0.html#group12C0", "12C⁰"), =HYPERLINK("CSG4.html#group72E4", "72E⁴"), =HYPERLINK("CSG2.html#group36B2", "36B²"), =HYPERLINK("CSG0.html#group4C0", "4C⁰"), =HYPERLINK("CSG0.html#group8B0", "8B⁰"), =HYPERLINK("CSG2.html#group24P2", "24P²"), =HYPERLINK("CSG0.html#group2B0", "2B⁰"), =HYPERLINK("CSG1.html#group12M1", "12M¹"), =HYPERLINK("CSG0.html#group1A0", "1A⁰"), =HYPERLINK("CSG6.html#group72E6", "72E⁶"), =HYPERLINK("CSG6.html#group36I6", "36I⁶"), =HYPERLINK("CSG0.html#group24A0", "24A⁰"), =HYPERLINK("CSG0.html#group9A0", "9A⁰"), =HYPERLINK("CSG1.html#group18E1", "18E¹"), =HYPERLINK("CSG0.html#group3A0", "3A⁰"), =HYPERLINK("CSG0.html#group6D0", "6D⁰")</f>
        <v/>
      </c>
      <c r="N3041" t="inlineStr"/>
    </row>
    <row r="3042">
      <c r="A3042" t="inlineStr">
        <is>
          <t>72O¹²</t>
        </is>
      </c>
      <c r="B3042" t="inlineStr"/>
      <c r="C3042" t="inlineStr">
        <is>
          <t>216</t>
        </is>
      </c>
      <c r="D3042" t="inlineStr">
        <is>
          <t>2</t>
        </is>
      </c>
      <c r="E3042" t="inlineStr">
        <is>
          <t>108</t>
        </is>
      </c>
      <c r="F3042" t="inlineStr">
        <is>
          <t>20</t>
        </is>
      </c>
      <c r="G3042" t="inlineStr">
        <is>
          <t>0</t>
        </is>
      </c>
      <c r="H3042" t="inlineStr">
        <is>
          <t>36², 72²</t>
        </is>
      </c>
      <c r="I3042" t="n">
        <v>4</v>
      </c>
      <c r="J3042" t="inlineStr">
        <is>
          <t>2¹², 4⁶, 6⁸, 8³, 12⁴, 24²</t>
        </is>
      </c>
      <c r="K3042">
        <f>HYPERLINK("CSG2.html#group24Q2", "24Q²"), =HYPERLINK("CSG4.html#group72E4", "72E⁴")</f>
        <v/>
      </c>
      <c r="L3042" t="inlineStr"/>
      <c r="M3042">
        <f>HYPERLINK("CSG0.html#group12C0", "12C⁰"), =HYPERLINK("CSG0.html#group24A0", "24A⁰"), =HYPERLINK("CSG4.html#group72E4", "72E⁴"), =HYPERLINK("CSG0.html#group9A0", "9A⁰"), =HYPERLINK("CSG0.html#group4C0", "4C⁰"), =HYPERLINK("CSG2.html#group36B2", "36B²"), =HYPERLINK("CSG0.html#group8B0", "8B⁰"), =HYPERLINK("CSG2.html#group24Q2", "24Q²"), =HYPERLINK("CSG0.html#group2B0", "2B⁰"), =HYPERLINK("CSG1.html#group18E1", "18E¹"), =HYPERLINK("CSG0.html#group3A0", "3A⁰"), =HYPERLINK("CSG0.html#group1A0", "1A⁰"), =HYPERLINK("CSG0.html#group6D0", "6D⁰")</f>
        <v/>
      </c>
      <c r="N3042" t="inlineStr"/>
    </row>
    <row r="3043">
      <c r="A3043" t="inlineStr">
        <is>
          <t>75A¹²</t>
        </is>
      </c>
      <c r="B3043" t="inlineStr"/>
      <c r="C3043" t="inlineStr">
        <is>
          <t>180</t>
        </is>
      </c>
      <c r="D3043" t="inlineStr">
        <is>
          <t>1</t>
        </is>
      </c>
      <c r="E3043" t="inlineStr">
        <is>
          <t>90</t>
        </is>
      </c>
      <c r="F3043" t="inlineStr">
        <is>
          <t>8</t>
        </is>
      </c>
      <c r="G3043" t="inlineStr">
        <is>
          <t>0</t>
        </is>
      </c>
      <c r="H3043" t="inlineStr">
        <is>
          <t>15², 75²</t>
        </is>
      </c>
      <c r="I3043" t="n">
        <v>4</v>
      </c>
      <c r="J3043" t="inlineStr">
        <is>
          <t>2², 4⁶, 8⁴, 20², 40²</t>
        </is>
      </c>
      <c r="K3043">
        <f>HYPERLINK("CSG0.html#group15C0", "15C⁰"), =HYPERLINK("CSG6.html#group75A6", "75A⁶")</f>
        <v/>
      </c>
      <c r="L3043" t="inlineStr"/>
      <c r="M3043">
        <f>HYPERLINK("CSG0.html#group5B0", "5B⁰"), =HYPERLINK("CSG0.html#group15B0", "15B⁰"), =HYPERLINK("CSG2.html#group25A2", "25A²"), =HYPERLINK("CSG0.html#group3A0", "3A⁰"), =HYPERLINK("CSG6.html#group75A6", "75A⁶"), =HYPERLINK("CSG0.html#group1A0", "1A⁰"), =HYPERLINK("CSG0.html#group15C0", "15C⁰")</f>
        <v/>
      </c>
      <c r="N3043" t="inlineStr"/>
    </row>
    <row r="3044">
      <c r="A3044" t="inlineStr">
        <is>
          <t>75B¹²</t>
        </is>
      </c>
      <c r="B3044" t="inlineStr"/>
      <c r="C3044" t="inlineStr">
        <is>
          <t>180</t>
        </is>
      </c>
      <c r="D3044" t="inlineStr">
        <is>
          <t>1</t>
        </is>
      </c>
      <c r="E3044" t="inlineStr">
        <is>
          <t>90</t>
        </is>
      </c>
      <c r="F3044" t="inlineStr">
        <is>
          <t>8</t>
        </is>
      </c>
      <c r="G3044" t="inlineStr">
        <is>
          <t>0</t>
        </is>
      </c>
      <c r="H3044" t="inlineStr">
        <is>
          <t>15², 75²</t>
        </is>
      </c>
      <c r="I3044" t="n">
        <v>4</v>
      </c>
      <c r="J3044" t="inlineStr">
        <is>
          <t>2², 4⁶, 8⁴, 20², 40²</t>
        </is>
      </c>
      <c r="K3044">
        <f>HYPERLINK("CSG0.html#group15C0", "15C⁰"), =HYPERLINK("CSG6.html#group75B6", "75B⁶")</f>
        <v/>
      </c>
      <c r="L3044" t="inlineStr"/>
      <c r="M3044">
        <f>HYPERLINK("CSG0.html#group5B0", "5B⁰"), =HYPERLINK("CSG0.html#group1A0", "1A⁰"), =HYPERLINK("CSG0.html#group15B0", "15B⁰"), =HYPERLINK("CSG0.html#group3A0", "3A⁰"), =HYPERLINK("CSG6.html#group75B6", "75B⁶"), =HYPERLINK("CSG2.html#group25B2", "25B²"), =HYPERLINK("CSG0.html#group15C0", "15C⁰")</f>
        <v/>
      </c>
      <c r="N3044" t="inlineStr"/>
    </row>
    <row r="3045">
      <c r="A3045" t="inlineStr">
        <is>
          <t>75C¹²</t>
        </is>
      </c>
      <c r="B3045" t="inlineStr"/>
      <c r="C3045" t="inlineStr">
        <is>
          <t>180</t>
        </is>
      </c>
      <c r="D3045" t="inlineStr">
        <is>
          <t>1</t>
        </is>
      </c>
      <c r="E3045" t="inlineStr">
        <is>
          <t>90</t>
        </is>
      </c>
      <c r="F3045" t="inlineStr">
        <is>
          <t>8</t>
        </is>
      </c>
      <c r="G3045" t="inlineStr">
        <is>
          <t>0</t>
        </is>
      </c>
      <c r="H3045" t="inlineStr">
        <is>
          <t>15², 75²</t>
        </is>
      </c>
      <c r="I3045" t="n">
        <v>4</v>
      </c>
      <c r="J3045" t="inlineStr">
        <is>
          <t>2², 4⁶, 8⁴, 20², 40²</t>
        </is>
      </c>
      <c r="K3045">
        <f>HYPERLINK("CSG0.html#group15C0", "15C⁰"), =HYPERLINK("CSG6.html#group75C6", "75C⁶")</f>
        <v/>
      </c>
      <c r="L3045" t="inlineStr"/>
      <c r="M3045">
        <f>HYPERLINK("CSG0.html#group5B0", "5B⁰"), =HYPERLINK("CSG0.html#group15B0", "15B⁰"), =HYPERLINK("CSG0.html#group3A0", "3A⁰"), =HYPERLINK("CSG0.html#group1A0", "1A⁰"), =HYPERLINK("CSG2.html#group25C2", "25C²"), =HYPERLINK("CSG6.html#group75C6", "75C⁶"), =HYPERLINK("CSG0.html#group15C0", "15C⁰")</f>
        <v/>
      </c>
      <c r="N3045" t="inlineStr"/>
    </row>
    <row r="3046">
      <c r="A3046" t="inlineStr">
        <is>
          <t>75D¹²</t>
        </is>
      </c>
      <c r="B3046" t="inlineStr"/>
      <c r="C3046" t="inlineStr">
        <is>
          <t>180</t>
        </is>
      </c>
      <c r="D3046" t="inlineStr">
        <is>
          <t>1</t>
        </is>
      </c>
      <c r="E3046" t="inlineStr">
        <is>
          <t>90</t>
        </is>
      </c>
      <c r="F3046" t="inlineStr">
        <is>
          <t>8</t>
        </is>
      </c>
      <c r="G3046" t="inlineStr">
        <is>
          <t>0</t>
        </is>
      </c>
      <c r="H3046" t="inlineStr">
        <is>
          <t>15², 75²</t>
        </is>
      </c>
      <c r="I3046" t="n">
        <v>4</v>
      </c>
      <c r="J3046" t="inlineStr">
        <is>
          <t>2², 4⁶, 8⁴, 20², 40²</t>
        </is>
      </c>
      <c r="K3046">
        <f>HYPERLINK("CSG0.html#group15C0", "15C⁰"), =HYPERLINK("CSG6.html#group75D6", "75D⁶")</f>
        <v/>
      </c>
      <c r="L3046" t="inlineStr"/>
      <c r="M3046">
        <f>HYPERLINK("CSG0.html#group5B0", "5B⁰"), =HYPERLINK("CSG0.html#group15B0", "15B⁰"), =HYPERLINK("CSG6.html#group75D6", "75D⁶"), =HYPERLINK("CSG2.html#group25D2", "25D²"), =HYPERLINK("CSG0.html#group3A0", "3A⁰"), =HYPERLINK("CSG0.html#group1A0", "1A⁰"), =HYPERLINK("CSG0.html#group15C0", "15C⁰")</f>
        <v/>
      </c>
      <c r="N3046" t="inlineStr"/>
    </row>
    <row r="3047">
      <c r="A3047" t="inlineStr">
        <is>
          <t>84A¹²</t>
        </is>
      </c>
      <c r="B3047" t="inlineStr"/>
      <c r="C3047" t="inlineStr">
        <is>
          <t>168</t>
        </is>
      </c>
      <c r="D3047" t="inlineStr">
        <is>
          <t>2</t>
        </is>
      </c>
      <c r="E3047" t="inlineStr">
        <is>
          <t>84</t>
        </is>
      </c>
      <c r="F3047" t="inlineStr">
        <is>
          <t>0</t>
        </is>
      </c>
      <c r="G3047" t="inlineStr">
        <is>
          <t>0</t>
        </is>
      </c>
      <c r="H3047" t="inlineStr">
        <is>
          <t>7², 21², 28¹, 84¹</t>
        </is>
      </c>
      <c r="I3047" t="n">
        <v>6</v>
      </c>
      <c r="J3047" t="inlineStr">
        <is>
          <t>2⁶, 4³, 6¹², 12⁶</t>
        </is>
      </c>
      <c r="K3047">
        <f>HYPERLINK("CSG2.html#group28B2", "28B²"), =HYPERLINK("CSG6.html#group42C6", "42C⁶")</f>
        <v/>
      </c>
      <c r="L3047">
        <f>HYPERLINK("CSG23.html#group84B23", "84B²³")</f>
        <v/>
      </c>
      <c r="M3047">
        <f>HYPERLINK("CSG0.html#group3B0", "3B⁰"), =HYPERLINK("CSG2.html#group21B2", "21B²"), =HYPERLINK("CSG1.html#group14B1", "14B¹"), =HYPERLINK("CSG6.html#group42C6", "42C⁶"), =HYPERLINK("CSG0.html#group1A0", "1A⁰"), =HYPERLINK("CSG0.html#group2B0", "2B⁰"), =HYPERLINK("CSG0.html#group6F0", "6F⁰"), =HYPERLINK("CSG2.html#group28B2", "28B²"), =HYPERLINK("CSG0.html#group7A0", "7A⁰")</f>
        <v/>
      </c>
      <c r="N3047">
        <f>HYPERLINK("CSG23.html#group84B23", "84B²³")</f>
        <v/>
      </c>
    </row>
    <row r="3048">
      <c r="A3048" t="inlineStr">
        <is>
          <t>84B¹²</t>
        </is>
      </c>
      <c r="B3048" t="inlineStr"/>
      <c r="C3048" t="inlineStr">
        <is>
          <t>168</t>
        </is>
      </c>
      <c r="D3048" t="inlineStr">
        <is>
          <t>2</t>
        </is>
      </c>
      <c r="E3048" t="inlineStr">
        <is>
          <t>84</t>
        </is>
      </c>
      <c r="F3048" t="inlineStr">
        <is>
          <t>0</t>
        </is>
      </c>
      <c r="G3048" t="inlineStr">
        <is>
          <t>0</t>
        </is>
      </c>
      <c r="H3048" t="inlineStr">
        <is>
          <t>7², 21², 28¹, 84¹</t>
        </is>
      </c>
      <c r="I3048" t="n">
        <v>6</v>
      </c>
      <c r="J3048" t="inlineStr">
        <is>
          <t>2⁶, 4³, 6¹², 12⁶</t>
        </is>
      </c>
      <c r="K3048">
        <f>HYPERLINK("CSG0.html#group12E0", "12E⁰"), =HYPERLINK("CSG3.html#group28A3", "28A³"), =HYPERLINK("CSG6.html#group42C6", "42C⁶")</f>
        <v/>
      </c>
      <c r="L3048">
        <f>HYPERLINK("CSG23.html#group84B23", "84B²³"), =HYPERLINK("CSG24.html#group84C24", "84C²⁴"), =HYPERLINK("CSG24.html#group84D24", "84D²⁴"), =HYPERLINK("CSG24.html#group168A24", "168A²⁴"), =HYPERLINK("CSG24.html#group168B24", "168B²⁴")</f>
        <v/>
      </c>
      <c r="M3048">
        <f>HYPERLINK("CSG0.html#group3B0", "3B⁰"), =HYPERLINK("CSG2.html#group21B2", "21B²"), =HYPERLINK("CSG1.html#group14B1", "14B¹"), =HYPERLINK("CSG6.html#group42C6", "42C⁶"), =HYPERLINK("CSG0.html#group6F0", "6F⁰"), =HYPERLINK("CSG3.html#group28A3", "28A³"), =HYPERLINK("CSG0.html#group2B0", "2B⁰"), =HYPERLINK("CSG0.html#group4B0", "4B⁰"), =HYPERLINK("CSG0.html#group1A0", "1A⁰"), =HYPERLINK("CSG0.html#group12E0", "12E⁰"), =HYPERLINK("CSG0.html#group7A0", "7A⁰")</f>
        <v/>
      </c>
      <c r="N3048">
        <f>HYPERLINK("CSG24.html#group84C24", "84C²⁴"), =HYPERLINK("CSG24.html#group84D24", "84D²⁴"), =HYPERLINK("CSG23.html#group84B23", "84B²³"), =HYPERLINK("CSG24.html#group168B24", "168B²⁴"), =HYPERLINK("CSG24.html#group168A24", "168A²⁴")</f>
        <v/>
      </c>
    </row>
    <row r="3049">
      <c r="A3049" t="inlineStr">
        <is>
          <t>87A¹²</t>
        </is>
      </c>
      <c r="B3049" t="inlineStr"/>
      <c r="C3049" t="inlineStr">
        <is>
          <t>180</t>
        </is>
      </c>
      <c r="D3049" t="inlineStr">
        <is>
          <t>1</t>
        </is>
      </c>
      <c r="E3049" t="inlineStr">
        <is>
          <t>90</t>
        </is>
      </c>
      <c r="F3049" t="inlineStr">
        <is>
          <t>8</t>
        </is>
      </c>
      <c r="G3049" t="inlineStr">
        <is>
          <t>0</t>
        </is>
      </c>
      <c r="H3049" t="inlineStr">
        <is>
          <t>3², 87²</t>
        </is>
      </c>
      <c r="I3049" t="n">
        <v>4</v>
      </c>
      <c r="J3049" t="inlineStr">
        <is>
          <t>1², 2², 28¹, 56¹</t>
        </is>
      </c>
      <c r="K3049">
        <f>HYPERLINK("CSG6.html#group87A6", "87A⁶")</f>
        <v/>
      </c>
      <c r="L3049" t="inlineStr"/>
      <c r="M3049">
        <f>HYPERLINK("CSG6.html#group87A6", "87A⁶"), =HYPERLINK("CSG0.html#group1A0", "1A⁰"), =HYPERLINK("CSG2.html#group29A2", "29A²"), =HYPERLINK("CSG0.html#group3A0", "3A⁰")</f>
        <v/>
      </c>
      <c r="N3049" t="inlineStr"/>
    </row>
    <row r="3050">
      <c r="A3050" t="inlineStr">
        <is>
          <t>88A¹²</t>
        </is>
      </c>
      <c r="B3050" t="inlineStr"/>
      <c r="C3050" t="inlineStr">
        <is>
          <t>176</t>
        </is>
      </c>
      <c r="D3050" t="inlineStr">
        <is>
          <t>2</t>
        </is>
      </c>
      <c r="E3050" t="inlineStr">
        <is>
          <t>44</t>
        </is>
      </c>
      <c r="F3050" t="inlineStr">
        <is>
          <t>0</t>
        </is>
      </c>
      <c r="G3050" t="inlineStr">
        <is>
          <t>8</t>
        </is>
      </c>
      <c r="H3050" t="inlineStr">
        <is>
          <t>88²</t>
        </is>
      </c>
      <c r="I3050" t="n">
        <v>2</v>
      </c>
      <c r="J3050" t="inlineStr">
        <is>
          <t>4², 20⁴</t>
        </is>
      </c>
      <c r="K3050">
        <f>HYPERLINK("CSG0.html#group8E0", "8E⁰"), =HYPERLINK("CSG5.html#group88A5", "88A⁵"), =HYPERLINK("CSG5.html#group88B5", "88B⁵"), =HYPERLINK("CSG6.html#group44A6", "44A⁶")</f>
        <v/>
      </c>
      <c r="L3050">
        <f>HYPERLINK("CSG24.html#group176A24", "176A²⁴")</f>
        <v/>
      </c>
      <c r="M3050">
        <f>HYPERLINK("CSG6.html#group44A6", "44A⁶"), =HYPERLINK("CSG0.html#group11A0", "11A⁰"), =HYPERLINK("CSG0.html#group2A0", "2A⁰"), =HYPERLINK("CSG1.html#group22A1", "22A¹"), =HYPERLINK("CSG2.html#group44A2", "44A²"), =HYPERLINK("CSG0.html#group4A0", "4A⁰"), =HYPERLINK("CSG0.html#group4D0", "4D⁰"), =HYPERLINK("CSG0.html#group8A0", "8A⁰"), =HYPERLINK("CSG0.html#group8E0", "8E⁰"), =HYPERLINK("CSG5.html#group88B5", "88B⁵"), =HYPERLINK("CSG5.html#group88A5", "88A⁵"), =HYPERLINK("CSG0.html#group1A0", "1A⁰")</f>
        <v/>
      </c>
      <c r="N3050">
        <f>HYPERLINK("CSG24.html#group176A24", "176A²⁴")</f>
        <v/>
      </c>
    </row>
    <row r="3051">
      <c r="A3051" t="inlineStr">
        <is>
          <t>90A¹²</t>
        </is>
      </c>
      <c r="B3051" t="inlineStr"/>
      <c r="C3051" t="inlineStr">
        <is>
          <t>180</t>
        </is>
      </c>
      <c r="D3051" t="inlineStr">
        <is>
          <t>1</t>
        </is>
      </c>
      <c r="E3051" t="inlineStr">
        <is>
          <t>15</t>
        </is>
      </c>
      <c r="F3051" t="inlineStr">
        <is>
          <t>12</t>
        </is>
      </c>
      <c r="G3051" t="inlineStr">
        <is>
          <t>0</t>
        </is>
      </c>
      <c r="H3051" t="inlineStr">
        <is>
          <t>90²</t>
        </is>
      </c>
      <c r="I3051" t="n">
        <v>2</v>
      </c>
      <c r="J3051" t="inlineStr">
        <is>
          <t>1¹, 2¹, 4¹, 8¹</t>
        </is>
      </c>
      <c r="K3051">
        <f>HYPERLINK("CSG0.html#group18D0", "18D⁰"), =HYPERLINK("CSG4.html#group30A4", "30A⁴"), =HYPERLINK("CSG6.html#group45A6", "45A⁶"), =HYPERLINK("CSG6.html#group90A6", "90A⁶")</f>
        <v/>
      </c>
      <c r="L3051" t="inlineStr"/>
      <c r="M3051">
        <f>HYPERLINK("CSG0.html#group5A0", "5A⁰"), =HYPERLINK("CSG6.html#group90A6", "90A⁶"), =HYPERLINK("CSG0.html#group6B0", "6B⁰"), =HYPERLINK("CSG6.html#group45A6", "45A⁶"), =HYPERLINK("CSG4.html#group30A4", "30A⁴"), =HYPERLINK("CSG0.html#group1A0", "1A⁰"), =HYPERLINK("CSG0.html#group18A0", "18A⁰"), =HYPERLINK("CSG2.html#group30A2", "30A²"), =HYPERLINK("CSG0.html#group9D0", "9D⁰"), =HYPERLINK("CSG0.html#group18D0", "18D⁰"), =HYPERLINK("CSG2.html#group15A2", "15A²"), =HYPERLINK("CSG0.html#group6E0", "6E⁰"), =HYPERLINK("CSG0.html#group9A0", "9A⁰"), =HYPERLINK("CSG0.html#group3C0", "3C⁰"), =HYPERLINK("CSG0.html#group3A0", "3A⁰"), =HYPERLINK("CSG1.html#group15A1", "15A¹"), =HYPERLINK("CSG3.html#group45A3", "45A³")</f>
        <v/>
      </c>
      <c r="N3051" t="inlineStr"/>
    </row>
    <row r="3052">
      <c r="A3052" t="inlineStr">
        <is>
          <t>90B¹²</t>
        </is>
      </c>
      <c r="B3052" t="inlineStr"/>
      <c r="C3052" t="inlineStr">
        <is>
          <t>180</t>
        </is>
      </c>
      <c r="D3052" t="inlineStr">
        <is>
          <t>1</t>
        </is>
      </c>
      <c r="E3052" t="inlineStr">
        <is>
          <t>30</t>
        </is>
      </c>
      <c r="F3052" t="inlineStr">
        <is>
          <t>12</t>
        </is>
      </c>
      <c r="G3052" t="inlineStr">
        <is>
          <t>0</t>
        </is>
      </c>
      <c r="H3052" t="inlineStr">
        <is>
          <t>90²</t>
        </is>
      </c>
      <c r="I3052" t="n">
        <v>2</v>
      </c>
      <c r="J3052" t="inlineStr">
        <is>
          <t>2¹, 4¹, 8³</t>
        </is>
      </c>
      <c r="K3052">
        <f>HYPERLINK("CSG4.html#group30A4", "30A⁴"), =HYPERLINK("CSG6.html#group45B6", "45B⁶")</f>
        <v/>
      </c>
      <c r="L3052" t="inlineStr"/>
      <c r="M3052">
        <f>HYPERLINK("CSG6.html#group45B6", "45B⁶"), =HYPERLINK("CSG0.html#group5A0", "5A⁰"), =HYPERLINK("CSG2.html#group30A2", "30A²"), =HYPERLINK("CSG0.html#group6B0", "6B⁰"), =HYPERLINK("CSG2.html#group15A2", "15A²"), =HYPERLINK("CSG0.html#group6E0", "6E⁰"), =HYPERLINK("CSG0.html#group3C0", "3C⁰"), =HYPERLINK("CSG4.html#group30A4", "30A⁴"), =HYPERLINK("CSG0.html#group3A0", "3A⁰"), =HYPERLINK("CSG0.html#group1A0", "1A⁰"), =HYPERLINK("CSG1.html#group15A1", "15A¹")</f>
        <v/>
      </c>
      <c r="N3052" t="inlineStr"/>
    </row>
    <row r="3053">
      <c r="A3053" t="inlineStr">
        <is>
          <t>90C¹²</t>
        </is>
      </c>
      <c r="B3053" t="inlineStr"/>
      <c r="C3053" t="inlineStr">
        <is>
          <t>180</t>
        </is>
      </c>
      <c r="D3053" t="inlineStr">
        <is>
          <t>1</t>
        </is>
      </c>
      <c r="E3053" t="inlineStr">
        <is>
          <t>60</t>
        </is>
      </c>
      <c r="F3053" t="inlineStr">
        <is>
          <t>0</t>
        </is>
      </c>
      <c r="G3053" t="inlineStr">
        <is>
          <t>0</t>
        </is>
      </c>
      <c r="H3053" t="inlineStr">
        <is>
          <t>5³, 10³, 45¹, 90¹</t>
        </is>
      </c>
      <c r="I3053" t="n">
        <v>8</v>
      </c>
      <c r="J3053" t="inlineStr">
        <is>
          <t>1⁶, 2³, 4⁶, 8³</t>
        </is>
      </c>
      <c r="K3053">
        <f>HYPERLINK("CSG0.html#group18E0", "18E⁰"), =HYPERLINK("CSG4.html#group30D4", "30D⁴"), =HYPERLINK("CSG4.html#group45A4", "45A⁴")</f>
        <v/>
      </c>
      <c r="L3053" t="inlineStr"/>
      <c r="M3053">
        <f>HYPERLINK("CSG0.html#group3B0", "3B⁰"), =HYPERLINK("CSG0.html#group5A0", "5A⁰"), =HYPERLINK("CSG0.html#group18E0", "18E⁰"), =HYPERLINK("CSG4.html#group30D4", "30D⁴"), =HYPERLINK("CSG1.html#group10B1", "10B¹"), =HYPERLINK("CSG1.html#group15B1", "15B¹"), =HYPERLINK("CSG0.html#group9B0", "9B⁰"), =HYPERLINK("CSG0.html#group1A0", "1A⁰"), =HYPERLINK("CSG0.html#group2B0", "2B⁰"), =HYPERLINK("CSG4.html#group45A4", "45A⁴"), =HYPERLINK("CSG0.html#group6F0", "6F⁰")</f>
        <v/>
      </c>
      <c r="N3053" t="inlineStr"/>
    </row>
    <row r="3054">
      <c r="A3054" t="inlineStr">
        <is>
          <t>90D¹²</t>
        </is>
      </c>
      <c r="B3054" t="inlineStr"/>
      <c r="C3054" t="inlineStr">
        <is>
          <t>180</t>
        </is>
      </c>
      <c r="D3054" t="inlineStr">
        <is>
          <t>1</t>
        </is>
      </c>
      <c r="E3054" t="inlineStr">
        <is>
          <t>90</t>
        </is>
      </c>
      <c r="F3054" t="inlineStr">
        <is>
          <t>12</t>
        </is>
      </c>
      <c r="G3054" t="inlineStr">
        <is>
          <t>0</t>
        </is>
      </c>
      <c r="H3054" t="inlineStr">
        <is>
          <t>90²</t>
        </is>
      </c>
      <c r="I3054" t="n">
        <v>2</v>
      </c>
      <c r="J3054" t="inlineStr">
        <is>
          <t>2¹, 4³, 8², 12¹, 24²</t>
        </is>
      </c>
      <c r="K3054">
        <f>HYPERLINK("CSG4.html#group30C4", "30C⁴"), =HYPERLINK("CSG5.html#group45E5", "45E⁵")</f>
        <v/>
      </c>
      <c r="L3054">
        <f>HYPERLINK("CSG23.html#group90D23", "90D²³"), =HYPERLINK("CSG23.html#group90F23", "90F²³")</f>
        <v/>
      </c>
      <c r="M3054">
        <f>HYPERLINK("CSG4.html#group30C4", "30C⁴"), =HYPERLINK("CSG1.html#group15D1", "15D¹"), =HYPERLINK("CSG5.html#group45E5", "45E⁵"), =HYPERLINK("CSG0.html#group9A0", "9A⁰"), =HYPERLINK("CSG0.html#group5C0", "5C⁰"), =HYPERLINK("CSG0.html#group3A0", "3A⁰"), =HYPERLINK("CSG0.html#group1A0", "1A⁰")</f>
        <v/>
      </c>
      <c r="N3054">
        <f>HYPERLINK("CSG23.html#group90F23", "90F²³"), =HYPERLINK("CSG23.html#group90D23", "90D²³")</f>
        <v/>
      </c>
    </row>
    <row r="3055">
      <c r="A3055" t="inlineStr">
        <is>
          <t>90E¹²</t>
        </is>
      </c>
      <c r="B3055" t="inlineStr"/>
      <c r="C3055" t="inlineStr">
        <is>
          <t>180</t>
        </is>
      </c>
      <c r="D3055" t="inlineStr">
        <is>
          <t>2</t>
        </is>
      </c>
      <c r="E3055" t="inlineStr">
        <is>
          <t>60</t>
        </is>
      </c>
      <c r="F3055" t="inlineStr">
        <is>
          <t>0</t>
        </is>
      </c>
      <c r="G3055" t="inlineStr">
        <is>
          <t>0</t>
        </is>
      </c>
      <c r="H3055" t="inlineStr">
        <is>
          <t>5³, 10³, 45¹, 90¹</t>
        </is>
      </c>
      <c r="I3055" t="n">
        <v>8</v>
      </c>
      <c r="J3055" t="inlineStr">
        <is>
          <t>2⁶, 4³, 8¹²</t>
        </is>
      </c>
      <c r="K3055">
        <f>HYPERLINK("CSG3.html#group45C3", "45C³"), =HYPERLINK("CSG4.html#group30D4", "30D⁴")</f>
        <v/>
      </c>
      <c r="L3055" t="inlineStr"/>
      <c r="M3055">
        <f>HYPERLINK("CSG0.html#group3B0", "3B⁰"), =HYPERLINK("CSG3.html#group45C3", "45C³"), =HYPERLINK("CSG0.html#group5A0", "5A⁰"), =HYPERLINK("CSG4.html#group30D4", "30D⁴"), =HYPERLINK("CSG1.html#group10B1", "10B¹"), =HYPERLINK("CSG1.html#group15B1", "15B¹"), =HYPERLINK("CSG0.html#group1A0", "1A⁰"), =HYPERLINK("CSG0.html#group2B0", "2B⁰"), =HYPERLINK("CSG0.html#group6F0", "6F⁰")</f>
        <v/>
      </c>
      <c r="N3055" t="inlineStr"/>
    </row>
    <row r="3056">
      <c r="A3056" t="inlineStr">
        <is>
          <t>91A¹²</t>
        </is>
      </c>
      <c r="B3056" t="inlineStr"/>
      <c r="C3056" t="inlineStr">
        <is>
          <t>196</t>
        </is>
      </c>
      <c r="D3056" t="inlineStr">
        <is>
          <t>2</t>
        </is>
      </c>
      <c r="E3056" t="inlineStr">
        <is>
          <t>98</t>
        </is>
      </c>
      <c r="F3056" t="inlineStr">
        <is>
          <t>8</t>
        </is>
      </c>
      <c r="G3056" t="inlineStr">
        <is>
          <t>4</t>
        </is>
      </c>
      <c r="H3056" t="inlineStr">
        <is>
          <t>7², 91²</t>
        </is>
      </c>
      <c r="I3056" t="n">
        <v>4</v>
      </c>
      <c r="J3056" t="inlineStr">
        <is>
          <t>2², 6⁴, 24¹, 72²</t>
        </is>
      </c>
      <c r="K3056">
        <f>HYPERLINK("CSG6.html#group91A6", "91A⁶")</f>
        <v/>
      </c>
      <c r="L3056" t="inlineStr"/>
      <c r="M3056">
        <f>HYPERLINK("CSG0.html#group13A0", "13A⁰"), =HYPERLINK("CSG0.html#group1A0", "1A⁰"), =HYPERLINK("CSG6.html#group91A6", "91A⁶"), =HYPERLINK("CSG0.html#group7A0", "7A⁰")</f>
        <v/>
      </c>
      <c r="N3056" t="inlineStr"/>
    </row>
    <row r="3057">
      <c r="A3057" t="inlineStr">
        <is>
          <t>96A¹²</t>
        </is>
      </c>
      <c r="B3057" t="inlineStr"/>
      <c r="C3057" t="inlineStr">
        <is>
          <t>144</t>
        </is>
      </c>
      <c r="D3057" t="inlineStr">
        <is>
          <t>1</t>
        </is>
      </c>
      <c r="E3057" t="inlineStr">
        <is>
          <t>24</t>
        </is>
      </c>
      <c r="F3057" t="inlineStr">
        <is>
          <t>0</t>
        </is>
      </c>
      <c r="G3057" t="inlineStr">
        <is>
          <t>0</t>
        </is>
      </c>
      <c r="H3057" t="inlineStr">
        <is>
          <t>48¹, 96¹</t>
        </is>
      </c>
      <c r="I3057" t="n">
        <v>2</v>
      </c>
      <c r="J3057" t="inlineStr">
        <is>
          <t>2⁸, 8¹</t>
        </is>
      </c>
      <c r="K3057">
        <f>HYPERLINK("CSG4.html#group32A4", "32A⁴"), =HYPERLINK("CSG6.html#group48B6", "48B⁶")</f>
        <v/>
      </c>
      <c r="L3057">
        <f>HYPERLINK("CSG23.html#group96D23", "96D²³"), =HYPERLINK("CSG23.html#group96Y23", "96Y²³"), =HYPERLINK("CSG23.html#group96W23", "96W²³"), =HYPERLINK("CSG23.html#group96AC23", "96AC²³"), =HYPERLINK("CSG23.html#group96AE23", "96AE²³")</f>
        <v/>
      </c>
      <c r="M3057">
        <f>HYPERLINK("CSG3.html#group24A3", "24A³"), =HYPERLINK("CSG1.html#group8A1", "8A¹"), =HYPERLINK("CSG0.html#group12C0", "12C⁰"), =HYPERLINK("CSG0.html#group4C0", "4C⁰"), =HYPERLINK("CSG0.html#group2B0", "2B⁰"), =HYPERLINK("CSG4.html#group32A4", "32A⁴"), =HYPERLINK("CSG0.html#group1A0", "1A⁰"), =HYPERLINK("CSG2.html#group16B2", "16B²"), =HYPERLINK("CSG6.html#group48B6", "48B⁶"), =HYPERLINK("CSG0.html#group3A0", "3A⁰"), =HYPERLINK("CSG0.html#group6D0", "6D⁰")</f>
        <v/>
      </c>
      <c r="N3057">
        <f>HYPERLINK("CSG23.html#group96AC23", "96AC²³"), =HYPERLINK("CSG23.html#group96D23", "96D²³"), =HYPERLINK("CSG23.html#group96W23", "96W²³"), =HYPERLINK("CSG23.html#group96AE23", "96AE²³"), =HYPERLINK("CSG23.html#group96Y23", "96Y²³")</f>
        <v/>
      </c>
    </row>
    <row r="3058">
      <c r="A3058" t="inlineStr">
        <is>
          <t>96B¹²</t>
        </is>
      </c>
      <c r="B3058" t="inlineStr"/>
      <c r="C3058" t="inlineStr">
        <is>
          <t>144</t>
        </is>
      </c>
      <c r="D3058" t="inlineStr">
        <is>
          <t>1</t>
        </is>
      </c>
      <c r="E3058" t="inlineStr">
        <is>
          <t>24</t>
        </is>
      </c>
      <c r="F3058" t="inlineStr">
        <is>
          <t>0</t>
        </is>
      </c>
      <c r="G3058" t="inlineStr">
        <is>
          <t>0</t>
        </is>
      </c>
      <c r="H3058" t="inlineStr">
        <is>
          <t>48¹, 96¹</t>
        </is>
      </c>
      <c r="I3058" t="n">
        <v>2</v>
      </c>
      <c r="J3058" t="inlineStr">
        <is>
          <t>2⁸, 8¹</t>
        </is>
      </c>
      <c r="K3058">
        <f>HYPERLINK("CSG4.html#group32B4", "32B⁴"), =HYPERLINK("CSG6.html#group48B6", "48B⁶")</f>
        <v/>
      </c>
      <c r="L3058">
        <f>HYPERLINK("CSG23.html#group96E23", "96E²³"), =HYPERLINK("CSG23.html#group96Z23", "96Z²³"), =HYPERLINK("CSG23.html#group96X23", "96X²³"), =HYPERLINK("CSG23.html#group96AC23", "96AC²³"), =HYPERLINK("CSG23.html#group96AF23", "96AF²³")</f>
        <v/>
      </c>
      <c r="M3058">
        <f>HYPERLINK("CSG3.html#group24A3", "24A³"), =HYPERLINK("CSG2.html#group16B2", "16B²"), =HYPERLINK("CSG1.html#group8A1", "8A¹"), =HYPERLINK("CSG6.html#group48B6", "48B⁶"), =HYPERLINK("CSG0.html#group12C0", "12C⁰"), =HYPERLINK("CSG0.html#group6D0", "6D⁰"), =HYPERLINK("CSG0.html#group4C0", "4C⁰"), =HYPERLINK("CSG0.html#group2B0", "2B⁰"), =HYPERLINK("CSG0.html#group3A0", "3A⁰"), =HYPERLINK("CSG0.html#group1A0", "1A⁰"), =HYPERLINK("CSG4.html#group32B4", "32B⁴")</f>
        <v/>
      </c>
      <c r="N3058">
        <f>HYPERLINK("CSG23.html#group96AC23", "96AC²³"), =HYPERLINK("CSG23.html#group96X23", "96X²³"), =HYPERLINK("CSG23.html#group96Z23", "96Z²³"), =HYPERLINK("CSG23.html#group96AF23", "96AF²³"), =HYPERLINK("CSG23.html#group96E23", "96E²³")</f>
        <v/>
      </c>
    </row>
    <row r="3059">
      <c r="A3059" t="inlineStr">
        <is>
          <t>96C¹²</t>
        </is>
      </c>
      <c r="B3059" t="inlineStr"/>
      <c r="C3059" t="inlineStr">
        <is>
          <t>144</t>
        </is>
      </c>
      <c r="D3059" t="inlineStr">
        <is>
          <t>1</t>
        </is>
      </c>
      <c r="E3059" t="inlineStr">
        <is>
          <t>72</t>
        </is>
      </c>
      <c r="F3059" t="inlineStr">
        <is>
          <t>0</t>
        </is>
      </c>
      <c r="G3059" t="inlineStr">
        <is>
          <t>0</t>
        </is>
      </c>
      <c r="H3059" t="inlineStr">
        <is>
          <t>48¹, 96¹</t>
        </is>
      </c>
      <c r="I3059" t="n">
        <v>2</v>
      </c>
      <c r="J3059" t="inlineStr">
        <is>
          <t>2⁸, 4⁸, 8¹, 16¹</t>
        </is>
      </c>
      <c r="K3059">
        <f>HYPERLINK("CSG6.html#group48B6", "48B⁶")</f>
        <v/>
      </c>
      <c r="L3059">
        <f>HYPERLINK("CSG23.html#group96K23", "96K²³"), =HYPERLINK("CSG23.html#group96Q23", "96Q²³"), =HYPERLINK("CSG23.html#group96S23", "96S²³"), =HYPERLINK("CSG23.html#group96Y23", "96Y²³"), =HYPERLINK("CSG23.html#group96W23", "96W²³"), =HYPERLINK("CSG23.html#group96AD23", "96AD²³"), =HYPERLINK("CSG23.html#group96AF23", "96AF²³"), =HYPERLINK("CSG23.html#group96AG23", "96AG²³"), =HYPERLINK("CSG23.html#group96AH23", "96AH²³")</f>
        <v/>
      </c>
      <c r="M3059">
        <f>HYPERLINK("CSG3.html#group24A3", "24A³"), =HYPERLINK("CSG2.html#group16B2", "16B²"), =HYPERLINK("CSG1.html#group8A1", "8A¹"), =HYPERLINK("CSG6.html#group48B6", "48B⁶"), =HYPERLINK("CSG0.html#group12C0", "12C⁰"), =HYPERLINK("CSG0.html#group4C0", "4C⁰"), =HYPERLINK("CSG0.html#group2B0", "2B⁰"), =HYPERLINK("CSG0.html#group3A0", "3A⁰"), =HYPERLINK("CSG0.html#group1A0", "1A⁰"), =HYPERLINK("CSG0.html#group6D0", "6D⁰")</f>
        <v/>
      </c>
      <c r="N3059">
        <f>HYPERLINK("CSG23.html#group96W23", "96W²³"), =HYPERLINK("CSG23.html#group96AF23", "96AF²³"), =HYPERLINK("CSG23.html#group96S23", "96S²³"), =HYPERLINK("CSG23.html#group96Q23", "96Q²³"), =HYPERLINK("CSG23.html#group96AG23", "96AG²³"), =HYPERLINK("CSG23.html#group96K23", "96K²³"), =HYPERLINK("CSG23.html#group96AD23", "96AD²³"), =HYPERLINK("CSG23.html#group96AH23", "96AH²³"), =HYPERLINK("CSG23.html#group96Y23", "96Y²³")</f>
        <v/>
      </c>
    </row>
    <row r="3060">
      <c r="A3060" t="inlineStr">
        <is>
          <t>96D¹²</t>
        </is>
      </c>
      <c r="B3060" t="inlineStr"/>
      <c r="C3060" t="inlineStr">
        <is>
          <t>144</t>
        </is>
      </c>
      <c r="D3060" t="inlineStr">
        <is>
          <t>1</t>
        </is>
      </c>
      <c r="E3060" t="inlineStr">
        <is>
          <t>72</t>
        </is>
      </c>
      <c r="F3060" t="inlineStr">
        <is>
          <t>0</t>
        </is>
      </c>
      <c r="G3060" t="inlineStr">
        <is>
          <t>0</t>
        </is>
      </c>
      <c r="H3060" t="inlineStr">
        <is>
          <t>48¹, 96¹</t>
        </is>
      </c>
      <c r="I3060" t="n">
        <v>2</v>
      </c>
      <c r="J3060" t="inlineStr">
        <is>
          <t>2⁸, 4⁸, 8¹, 16¹</t>
        </is>
      </c>
      <c r="K3060">
        <f>HYPERLINK("CSG6.html#group48B6", "48B⁶")</f>
        <v/>
      </c>
      <c r="L3060">
        <f>HYPERLINK("CSG23.html#group96L23", "96L²³"), =HYPERLINK("CSG23.html#group96R23", "96R²³"), =HYPERLINK("CSG23.html#group96T23", "96T²³"), =HYPERLINK("CSG23.html#group96Z23", "96Z²³"), =HYPERLINK("CSG23.html#group96X23", "96X²³"), =HYPERLINK("CSG23.html#group96AD23", "96AD²³"), =HYPERLINK("CSG23.html#group96AE23", "96AE²³"), =HYPERLINK("CSG23.html#group96AG23", "96AG²³"), =HYPERLINK("CSG23.html#group96AH23", "96AH²³")</f>
        <v/>
      </c>
      <c r="M3060">
        <f>HYPERLINK("CSG3.html#group24A3", "24A³"), =HYPERLINK("CSG2.html#group16B2", "16B²"), =HYPERLINK("CSG1.html#group8A1", "8A¹"), =HYPERLINK("CSG6.html#group48B6", "48B⁶"), =HYPERLINK("CSG0.html#group12C0", "12C⁰"), =HYPERLINK("CSG0.html#group4C0", "4C⁰"), =HYPERLINK("CSG0.html#group2B0", "2B⁰"), =HYPERLINK("CSG0.html#group3A0", "3A⁰"), =HYPERLINK("CSG0.html#group1A0", "1A⁰"), =HYPERLINK("CSG0.html#group6D0", "6D⁰")</f>
        <v/>
      </c>
      <c r="N3060">
        <f>HYPERLINK("CSG23.html#group96X23", "96X²³"), =HYPERLINK("CSG23.html#group96Z23", "96Z²³"), =HYPERLINK("CSG23.html#group96AD23", "96AD²³"), =HYPERLINK("CSG23.html#group96T23", "96T²³"), =HYPERLINK("CSG23.html#group96AG23", "96AG²³"), =HYPERLINK("CSG23.html#group96R23", "96R²³"), =HYPERLINK("CSG23.html#group96AH23", "96AH²³"), =HYPERLINK("CSG23.html#group96L23", "96L²³"), =HYPERLINK("CSG23.html#group96AE23", "96AE²³")</f>
        <v/>
      </c>
    </row>
    <row r="3061">
      <c r="A3061" t="inlineStr">
        <is>
          <t>99A¹²</t>
        </is>
      </c>
      <c r="B3061" t="inlineStr"/>
      <c r="C3061" t="inlineStr">
        <is>
          <t>198</t>
        </is>
      </c>
      <c r="D3061" t="inlineStr">
        <is>
          <t>2</t>
        </is>
      </c>
      <c r="E3061" t="inlineStr">
        <is>
          <t>33</t>
        </is>
      </c>
      <c r="F3061" t="inlineStr">
        <is>
          <t>18</t>
        </is>
      </c>
      <c r="G3061" t="inlineStr">
        <is>
          <t>0</t>
        </is>
      </c>
      <c r="H3061" t="inlineStr">
        <is>
          <t>99²</t>
        </is>
      </c>
      <c r="I3061" t="n">
        <v>2</v>
      </c>
      <c r="J3061" t="inlineStr">
        <is>
          <t>2¹, 4¹, 10², 20²</t>
        </is>
      </c>
      <c r="K3061">
        <f>HYPERLINK("CSG0.html#group9D0", "9D⁰"), =HYPERLINK("CSG4.html#group33A4", "33A⁴"), =HYPERLINK("CSG5.html#group99A5", "99A⁵")</f>
        <v/>
      </c>
      <c r="L3061">
        <f>HYPERLINK("CSG24.html#group198A24", "198A²⁴")</f>
        <v/>
      </c>
      <c r="M3061">
        <f>HYPERLINK("CSG0.html#group11A0", "11A⁰"), =HYPERLINK("CSG0.html#group9D0", "9D⁰"), =HYPERLINK("CSG1.html#group33A1", "33A¹"), =HYPERLINK("CSG0.html#group9A0", "9A⁰"), =HYPERLINK("CSG5.html#group99A5", "99A⁵"), =HYPERLINK("CSG0.html#group3C0", "3C⁰"), =HYPERLINK("CSG0.html#group3A0", "3A⁰"), =HYPERLINK("CSG0.html#group1A0", "1A⁰"), =HYPERLINK("CSG4.html#group33A4", "33A⁴")</f>
        <v/>
      </c>
      <c r="N3061">
        <f>HYPERLINK("CSG24.html#group198A24", "198A²⁴")</f>
        <v/>
      </c>
    </row>
    <row r="3062">
      <c r="A3062" t="inlineStr">
        <is>
          <t>100A¹²</t>
        </is>
      </c>
      <c r="B3062" t="inlineStr"/>
      <c r="C3062" t="inlineStr">
        <is>
          <t>180</t>
        </is>
      </c>
      <c r="D3062" t="inlineStr">
        <is>
          <t>1</t>
        </is>
      </c>
      <c r="E3062" t="inlineStr">
        <is>
          <t>90</t>
        </is>
      </c>
      <c r="F3062" t="inlineStr">
        <is>
          <t>4</t>
        </is>
      </c>
      <c r="G3062" t="inlineStr">
        <is>
          <t>0</t>
        </is>
      </c>
      <c r="H3062" t="inlineStr">
        <is>
          <t>5², 20¹, 25², 100¹</t>
        </is>
      </c>
      <c r="I3062" t="n">
        <v>6</v>
      </c>
      <c r="J3062" t="inlineStr">
        <is>
          <t>2⁶, 4¹², 20⁶</t>
        </is>
      </c>
      <c r="K3062">
        <f>HYPERLINK("CSG0.html#group20A0", "20A⁰"), =HYPERLINK("CSG6.html#group50A6", "50A⁶")</f>
        <v/>
      </c>
      <c r="L3062" t="inlineStr"/>
      <c r="M3062">
        <f>HYPERLINK("CSG0.html#group5B0", "5B⁰"), =HYPERLINK("CSG6.html#group50A6", "50A⁶"), =HYPERLINK("CSG0.html#group20A0", "20A⁰"), =HYPERLINK("CSG0.html#group10C0", "10C⁰"), =HYPERLINK("CSG0.html#group2B0", "2B⁰"), =HYPERLINK("CSG2.html#group25A2", "25A²"), =HYPERLINK("CSG0.html#group1A0", "1A⁰")</f>
        <v/>
      </c>
      <c r="N3062" t="inlineStr"/>
    </row>
    <row r="3063">
      <c r="A3063" t="inlineStr">
        <is>
          <t>100B¹²</t>
        </is>
      </c>
      <c r="B3063" t="inlineStr"/>
      <c r="C3063" t="inlineStr">
        <is>
          <t>180</t>
        </is>
      </c>
      <c r="D3063" t="inlineStr">
        <is>
          <t>1</t>
        </is>
      </c>
      <c r="E3063" t="inlineStr">
        <is>
          <t>90</t>
        </is>
      </c>
      <c r="F3063" t="inlineStr">
        <is>
          <t>4</t>
        </is>
      </c>
      <c r="G3063" t="inlineStr">
        <is>
          <t>0</t>
        </is>
      </c>
      <c r="H3063" t="inlineStr">
        <is>
          <t>5², 20¹, 25², 100¹</t>
        </is>
      </c>
      <c r="I3063" t="n">
        <v>6</v>
      </c>
      <c r="J3063" t="inlineStr">
        <is>
          <t>2⁶, 4¹², 20⁶</t>
        </is>
      </c>
      <c r="K3063">
        <f>HYPERLINK("CSG0.html#group20A0", "20A⁰"), =HYPERLINK("CSG6.html#group50B6", "50B⁶")</f>
        <v/>
      </c>
      <c r="L3063" t="inlineStr"/>
      <c r="M3063">
        <f>HYPERLINK("CSG0.html#group20A0", "20A⁰"), =HYPERLINK("CSG0.html#group5B0", "5B⁰"), =HYPERLINK("CSG0.html#group10C0", "10C⁰"), =HYPERLINK("CSG0.html#group2B0", "2B⁰"), =HYPERLINK("CSG6.html#group50B6", "50B⁶"), =HYPERLINK("CSG0.html#group1A0", "1A⁰"), =HYPERLINK("CSG2.html#group25B2", "25B²")</f>
        <v/>
      </c>
      <c r="N3063" t="inlineStr"/>
    </row>
    <row r="3064">
      <c r="A3064" t="inlineStr">
        <is>
          <t>100C¹²</t>
        </is>
      </c>
      <c r="B3064" t="inlineStr"/>
      <c r="C3064" t="inlineStr">
        <is>
          <t>180</t>
        </is>
      </c>
      <c r="D3064" t="inlineStr">
        <is>
          <t>1</t>
        </is>
      </c>
      <c r="E3064" t="inlineStr">
        <is>
          <t>90</t>
        </is>
      </c>
      <c r="F3064" t="inlineStr">
        <is>
          <t>4</t>
        </is>
      </c>
      <c r="G3064" t="inlineStr">
        <is>
          <t>0</t>
        </is>
      </c>
      <c r="H3064" t="inlineStr">
        <is>
          <t>5², 20¹, 25², 100¹</t>
        </is>
      </c>
      <c r="I3064" t="n">
        <v>6</v>
      </c>
      <c r="J3064" t="inlineStr">
        <is>
          <t>2⁶, 4¹², 20⁶</t>
        </is>
      </c>
      <c r="K3064">
        <f>HYPERLINK("CSG0.html#group20A0", "20A⁰"), =HYPERLINK("CSG6.html#group50C6", "50C⁶")</f>
        <v/>
      </c>
      <c r="L3064" t="inlineStr"/>
      <c r="M3064">
        <f>HYPERLINK("CSG0.html#group20A0", "20A⁰"), =HYPERLINK("CSG6.html#group50C6", "50C⁶"), =HYPERLINK("CSG0.html#group5B0", "5B⁰"), =HYPERLINK("CSG0.html#group10C0", "10C⁰"), =HYPERLINK("CSG0.html#group2B0", "2B⁰"), =HYPERLINK("CSG0.html#group1A0", "1A⁰"), =HYPERLINK("CSG2.html#group25C2", "25C²")</f>
        <v/>
      </c>
      <c r="N3064" t="inlineStr"/>
    </row>
    <row r="3065">
      <c r="A3065" t="inlineStr">
        <is>
          <t>100D¹²</t>
        </is>
      </c>
      <c r="B3065" t="inlineStr"/>
      <c r="C3065" t="inlineStr">
        <is>
          <t>180</t>
        </is>
      </c>
      <c r="D3065" t="inlineStr">
        <is>
          <t>1</t>
        </is>
      </c>
      <c r="E3065" t="inlineStr">
        <is>
          <t>90</t>
        </is>
      </c>
      <c r="F3065" t="inlineStr">
        <is>
          <t>4</t>
        </is>
      </c>
      <c r="G3065" t="inlineStr">
        <is>
          <t>0</t>
        </is>
      </c>
      <c r="H3065" t="inlineStr">
        <is>
          <t>5², 20¹, 25², 100¹</t>
        </is>
      </c>
      <c r="I3065" t="n">
        <v>6</v>
      </c>
      <c r="J3065" t="inlineStr">
        <is>
          <t>2⁶, 4¹², 20⁶</t>
        </is>
      </c>
      <c r="K3065">
        <f>HYPERLINK("CSG0.html#group20A0", "20A⁰"), =HYPERLINK("CSG6.html#group50D6", "50D⁶")</f>
        <v/>
      </c>
      <c r="L3065" t="inlineStr"/>
      <c r="M3065">
        <f>HYPERLINK("CSG0.html#group20A0", "20A⁰"), =HYPERLINK("CSG6.html#group50D6", "50D⁶"), =HYPERLINK("CSG0.html#group5B0", "5B⁰"), =HYPERLINK("CSG0.html#group10C0", "10C⁰"), =HYPERLINK("CSG0.html#group2B0", "2B⁰"), =HYPERLINK("CSG0.html#group1A0", "1A⁰"), =HYPERLINK("CSG2.html#group25D2", "25D²")</f>
        <v/>
      </c>
      <c r="N3065" t="inlineStr"/>
    </row>
    <row r="3066">
      <c r="A3066" t="inlineStr">
        <is>
          <t>106A¹²</t>
        </is>
      </c>
      <c r="B3066" t="inlineStr">
        <is>
          <t>Γ₀(106)</t>
        </is>
      </c>
      <c r="C3066" t="inlineStr">
        <is>
          <t>162</t>
        </is>
      </c>
      <c r="D3066" t="inlineStr">
        <is>
          <t>1</t>
        </is>
      </c>
      <c r="E3066" t="inlineStr">
        <is>
          <t>162</t>
        </is>
      </c>
      <c r="F3066" t="inlineStr">
        <is>
          <t>2</t>
        </is>
      </c>
      <c r="G3066" t="inlineStr">
        <is>
          <t>0</t>
        </is>
      </c>
      <c r="H3066" t="inlineStr">
        <is>
          <t>1¹, 2¹, 53¹, 106¹</t>
        </is>
      </c>
      <c r="I3066" t="n">
        <v>4</v>
      </c>
      <c r="J3066" t="inlineStr">
        <is>
          <t>1⁶, 52³</t>
        </is>
      </c>
      <c r="K3066">
        <f>HYPERLINK("CSG0.html#group2B0", "2B⁰"), =HYPERLINK("CSG4.html#group53A4", "53A⁴")</f>
        <v/>
      </c>
      <c r="L3066">
        <f>HYPERLINK("CSG24.html#group106A24", "106A²⁴"), =HYPERLINK("CSG24.html#group106B24", "106B²⁴"), =HYPERLINK("CSG24.html#group212A24", "212A²⁴")</f>
        <v/>
      </c>
      <c r="M3066">
        <f>HYPERLINK("CSG0.html#group1A0", "1A⁰"), =HYPERLINK("CSG0.html#group2B0", "2B⁰"), =HYPERLINK("CSG4.html#group53A4", "53A⁴")</f>
        <v/>
      </c>
      <c r="N3066">
        <f>HYPERLINK("CSG24.html#group106B24", "106B²⁴"), =HYPERLINK("CSG24.html#group106A24", "106A²⁴"), =HYPERLINK("CSG24.html#group212A24", "212A²⁴")</f>
        <v/>
      </c>
    </row>
    <row r="3067">
      <c r="A3067" t="inlineStr">
        <is>
          <t>108A¹²</t>
        </is>
      </c>
      <c r="B3067" t="inlineStr"/>
      <c r="C3067" t="inlineStr">
        <is>
          <t>144</t>
        </is>
      </c>
      <c r="D3067" t="inlineStr">
        <is>
          <t>1</t>
        </is>
      </c>
      <c r="E3067" t="inlineStr">
        <is>
          <t>12</t>
        </is>
      </c>
      <c r="F3067" t="inlineStr">
        <is>
          <t>0</t>
        </is>
      </c>
      <c r="G3067" t="inlineStr">
        <is>
          <t>0</t>
        </is>
      </c>
      <c r="H3067" t="inlineStr">
        <is>
          <t>36¹, 108¹</t>
        </is>
      </c>
      <c r="I3067" t="n">
        <v>2</v>
      </c>
      <c r="J3067" t="inlineStr">
        <is>
          <t>1², 2², 6¹</t>
        </is>
      </c>
      <c r="K3067">
        <f>HYPERLINK("CSG0.html#group36A0", "36A⁰"), =HYPERLINK("CSG6.html#group54A6", "54A⁶")</f>
        <v/>
      </c>
      <c r="L3067" t="inlineStr"/>
      <c r="M3067">
        <f>HYPERLINK("CSG0.html#group3B0", "3B⁰"), =HYPERLINK("CSG0.html#group2A0", "2A⁰"), =HYPERLINK("CSG0.html#group18B0", "18B⁰"), =HYPERLINK("CSG6.html#group54A6", "54A⁶"), =HYPERLINK("CSG0.html#group6C0", "6C⁰"), =HYPERLINK("CSG0.html#group9C0", "9C⁰"), =HYPERLINK("CSG0.html#group1A0", "1A⁰"), =HYPERLINK("CSG3.html#group27A3", "27A³"), =HYPERLINK("CSG0.html#group36A0", "36A⁰"), =HYPERLINK("CSG0.html#group12B0", "12B⁰")</f>
        <v/>
      </c>
      <c r="N3067" t="inlineStr"/>
    </row>
    <row r="3068">
      <c r="A3068" t="inlineStr">
        <is>
          <t>108B¹²</t>
        </is>
      </c>
      <c r="B3068" t="inlineStr"/>
      <c r="C3068" t="inlineStr">
        <is>
          <t>144</t>
        </is>
      </c>
      <c r="D3068" t="inlineStr">
        <is>
          <t>1</t>
        </is>
      </c>
      <c r="E3068" t="inlineStr">
        <is>
          <t>48</t>
        </is>
      </c>
      <c r="F3068" t="inlineStr">
        <is>
          <t>0</t>
        </is>
      </c>
      <c r="G3068" t="inlineStr">
        <is>
          <t>0</t>
        </is>
      </c>
      <c r="H3068" t="inlineStr">
        <is>
          <t>36¹, 108¹</t>
        </is>
      </c>
      <c r="I3068" t="n">
        <v>2</v>
      </c>
      <c r="J3068" t="inlineStr">
        <is>
          <t>2⁴, 4⁴, 12²</t>
        </is>
      </c>
      <c r="K3068">
        <f>HYPERLINK("CSG3.html#group27A3", "27A³"), =HYPERLINK("CSG3.html#group36C3", "36C³")</f>
        <v/>
      </c>
      <c r="L3068">
        <f>HYPERLINK("CSG23.html#group108A23", "108A²³"), =HYPERLINK("CSG24.html#group216A24", "216A²⁴")</f>
        <v/>
      </c>
      <c r="M3068">
        <f>HYPERLINK("CSG0.html#group3B0", "3B⁰"), =HYPERLINK("CSG0.html#group4A0", "4A⁰"), =HYPERLINK("CSG1.html#group12A1", "12A¹"), =HYPERLINK("CSG0.html#group9C0", "9C⁰"), =HYPERLINK("CSG0.html#group1A0", "1A⁰"), =HYPERLINK("CSG3.html#group27A3", "27A³"), =HYPERLINK("CSG3.html#group36C3", "36C³")</f>
        <v/>
      </c>
      <c r="N3068">
        <f>HYPERLINK("CSG23.html#group108A23", "108A²³"), =HYPERLINK("CSG24.html#group216A24", "216A²⁴")</f>
        <v/>
      </c>
    </row>
    <row r="3069">
      <c r="A3069" t="inlineStr">
        <is>
          <t>112A¹²</t>
        </is>
      </c>
      <c r="B3069" t="inlineStr"/>
      <c r="C3069" t="inlineStr">
        <is>
          <t>168</t>
        </is>
      </c>
      <c r="D3069" t="inlineStr">
        <is>
          <t>2</t>
        </is>
      </c>
      <c r="E3069" t="inlineStr">
        <is>
          <t>21</t>
        </is>
      </c>
      <c r="F3069" t="inlineStr">
        <is>
          <t>8</t>
        </is>
      </c>
      <c r="G3069" t="inlineStr">
        <is>
          <t>0</t>
        </is>
      </c>
      <c r="H3069" t="inlineStr">
        <is>
          <t>56¹, 112¹</t>
        </is>
      </c>
      <c r="I3069" t="n">
        <v>2</v>
      </c>
      <c r="J3069" t="inlineStr">
        <is>
          <t>2³, 6⁶</t>
        </is>
      </c>
      <c r="K3069">
        <f>HYPERLINK("CSG4.html#group56B4", "56B⁴")</f>
        <v/>
      </c>
      <c r="L3069">
        <f>HYPERLINK("CSG23.html#group112A23", "112A²³")</f>
        <v/>
      </c>
      <c r="M3069">
        <f>HYPERLINK("CSG2.html#group28C2", "28C²"), =HYPERLINK("CSG1.html#group14B1", "14B¹"), =HYPERLINK("CSG0.html#group4C0", "4C⁰"), =HYPERLINK("CSG0.html#group8B0", "8B⁰"), =HYPERLINK("CSG0.html#group2B0", "2B⁰"), =HYPERLINK("CSG0.html#group1A0", "1A⁰"), =HYPERLINK("CSG0.html#group7A0", "7A⁰"), =HYPERLINK("CSG4.html#group56B4", "56B⁴")</f>
        <v/>
      </c>
      <c r="N3069">
        <f>HYPERLINK("CSG23.html#group112A23", "112A²³")</f>
        <v/>
      </c>
    </row>
    <row r="3070">
      <c r="A3070" t="inlineStr">
        <is>
          <t>112B¹²</t>
        </is>
      </c>
      <c r="B3070" t="inlineStr"/>
      <c r="C3070" t="inlineStr">
        <is>
          <t>168</t>
        </is>
      </c>
      <c r="D3070" t="inlineStr">
        <is>
          <t>2</t>
        </is>
      </c>
      <c r="E3070" t="inlineStr">
        <is>
          <t>42</t>
        </is>
      </c>
      <c r="F3070" t="inlineStr">
        <is>
          <t>0</t>
        </is>
      </c>
      <c r="G3070" t="inlineStr">
        <is>
          <t>0</t>
        </is>
      </c>
      <c r="H3070" t="inlineStr">
        <is>
          <t>7⁴, 28¹, 112¹</t>
        </is>
      </c>
      <c r="I3070" t="n">
        <v>6</v>
      </c>
      <c r="J3070" t="inlineStr">
        <is>
          <t>2⁴, 4¹, 6⁸, 12²</t>
        </is>
      </c>
      <c r="K3070">
        <f>HYPERLINK("CSG6.html#group56C6", "56C⁶")</f>
        <v/>
      </c>
      <c r="L3070">
        <f>HYPERLINK("CSG23.html#group112B23", "112B²³"), =HYPERLINK("CSG24.html#group112E24", "112E²⁴"), =HYPERLINK("CSG24.html#group112C24", "112C²⁴")</f>
        <v/>
      </c>
      <c r="M3070">
        <f>HYPERLINK("CSG6.html#group56C6", "56C⁶"), =HYPERLINK("CSG1.html#group14B1", "14B¹"), =HYPERLINK("CSG3.html#group28A3", "28A³"), =HYPERLINK("CSG0.html#group8C0", "8C⁰"), =HYPERLINK("CSG0.html#group2B0", "2B⁰"), =HYPERLINK("CSG0.html#group4B0", "4B⁰"), =HYPERLINK("CSG0.html#group1A0", "1A⁰"), =HYPERLINK("CSG0.html#group7A0", "7A⁰")</f>
        <v/>
      </c>
      <c r="N3070">
        <f>HYPERLINK("CSG24.html#group112C24", "112C²⁴"), =HYPERLINK("CSG23.html#group112B23", "112B²³"), =HYPERLINK("CSG24.html#group112E24", "112E²⁴")</f>
        <v/>
      </c>
    </row>
    <row r="3071">
      <c r="A3071" t="inlineStr">
        <is>
          <t>112C¹²</t>
        </is>
      </c>
      <c r="B3071" t="inlineStr"/>
      <c r="C3071" t="inlineStr">
        <is>
          <t>168</t>
        </is>
      </c>
      <c r="D3071" t="inlineStr">
        <is>
          <t>2</t>
        </is>
      </c>
      <c r="E3071" t="inlineStr">
        <is>
          <t>42</t>
        </is>
      </c>
      <c r="F3071" t="inlineStr">
        <is>
          <t>0</t>
        </is>
      </c>
      <c r="G3071" t="inlineStr">
        <is>
          <t>0</t>
        </is>
      </c>
      <c r="H3071" t="inlineStr">
        <is>
          <t>7⁴, 28¹, 112¹</t>
        </is>
      </c>
      <c r="I3071" t="n">
        <v>6</v>
      </c>
      <c r="J3071" t="inlineStr">
        <is>
          <t>2⁴, 4¹, 6⁸, 12²</t>
        </is>
      </c>
      <c r="K3071">
        <f>HYPERLINK("CSG0.html#group16C0", "16C⁰"), =HYPERLINK("CSG6.html#group56C6", "56C⁶")</f>
        <v/>
      </c>
      <c r="L3071">
        <f>HYPERLINK("CSG23.html#group112B23", "112B²³"), =HYPERLINK("CSG24.html#group112D24", "112D²⁴"), =HYPERLINK("CSG24.html#group112F24", "112F²⁴"), =HYPERLINK("CSG24.html#group224A24", "224A²⁴"), =HYPERLINK("CSG24.html#group224B24", "224B²⁴")</f>
        <v/>
      </c>
      <c r="M3071">
        <f>HYPERLINK("CSG6.html#group56C6", "56C⁶"), =HYPERLINK("CSG1.html#group14B1", "14B¹"), =HYPERLINK("CSG0.html#group16C0", "16C⁰"), =HYPERLINK("CSG3.html#group28A3", "28A³"), =HYPERLINK("CSG0.html#group8C0", "8C⁰"), =HYPERLINK("CSG0.html#group2B0", "2B⁰"), =HYPERLINK("CSG0.html#group4B0", "4B⁰"), =HYPERLINK("CSG0.html#group1A0", "1A⁰"), =HYPERLINK("CSG0.html#group7A0", "7A⁰")</f>
        <v/>
      </c>
      <c r="N3071">
        <f>HYPERLINK("CSG24.html#group224B24", "224B²⁴"), =HYPERLINK("CSG24.html#group112F24", "112F²⁴"), =HYPERLINK("CSG23.html#group112B23", "112B²³"), =HYPERLINK("CSG24.html#group224A24", "224A²⁴"), =HYPERLINK("CSG24.html#group112D24", "112D²⁴")</f>
        <v/>
      </c>
    </row>
    <row r="3072">
      <c r="A3072" t="inlineStr">
        <is>
          <t>112D¹²</t>
        </is>
      </c>
      <c r="B3072" t="inlineStr"/>
      <c r="C3072" t="inlineStr">
        <is>
          <t>168</t>
        </is>
      </c>
      <c r="D3072" t="inlineStr">
        <is>
          <t>2</t>
        </is>
      </c>
      <c r="E3072" t="inlineStr">
        <is>
          <t>84</t>
        </is>
      </c>
      <c r="F3072" t="inlineStr">
        <is>
          <t>0</t>
        </is>
      </c>
      <c r="G3072" t="inlineStr">
        <is>
          <t>0</t>
        </is>
      </c>
      <c r="H3072" t="inlineStr">
        <is>
          <t>7², 14³, 112¹</t>
        </is>
      </c>
      <c r="I3072" t="n">
        <v>6</v>
      </c>
      <c r="J3072" t="inlineStr">
        <is>
          <t>2⁴, 4², 6⁸, 8¹, 12⁴, 24²</t>
        </is>
      </c>
      <c r="K3072">
        <f>HYPERLINK("CSG6.html#group56C6", "56C⁶")</f>
        <v/>
      </c>
      <c r="L3072">
        <f>HYPERLINK("CSG23.html#group112F23", "112F²³"), =HYPERLINK("CSG24.html#group112A24", "112A²⁴"), =HYPERLINK("CSG24.html#group112E24", "112E²⁴"), =HYPERLINK("CSG24.html#group112D24", "112D²⁴"), =HYPERLINK("CSG24.html#group112G24", "112G²⁴")</f>
        <v/>
      </c>
      <c r="M3072">
        <f>HYPERLINK("CSG6.html#group56C6", "56C⁶"), =HYPERLINK("CSG1.html#group14B1", "14B¹"), =HYPERLINK("CSG3.html#group28A3", "28A³"), =HYPERLINK("CSG0.html#group8C0", "8C⁰"), =HYPERLINK("CSG0.html#group2B0", "2B⁰"), =HYPERLINK("CSG0.html#group4B0", "4B⁰"), =HYPERLINK("CSG0.html#group1A0", "1A⁰"), =HYPERLINK("CSG0.html#group7A0", "7A⁰")</f>
        <v/>
      </c>
      <c r="N3072">
        <f>HYPERLINK("CSG23.html#group112F23", "112F²³"), =HYPERLINK("CSG24.html#group112A24", "112A²⁴"), =HYPERLINK("CSG24.html#group112G24", "112G²⁴"), =HYPERLINK("CSG24.html#group112D24", "112D²⁴"), =HYPERLINK("CSG24.html#group112E24", "112E²⁴")</f>
        <v/>
      </c>
    </row>
    <row r="3073">
      <c r="A3073" t="inlineStr">
        <is>
          <t>112E¹²</t>
        </is>
      </c>
      <c r="B3073" t="inlineStr"/>
      <c r="C3073" t="inlineStr">
        <is>
          <t>168</t>
        </is>
      </c>
      <c r="D3073" t="inlineStr">
        <is>
          <t>2</t>
        </is>
      </c>
      <c r="E3073" t="inlineStr">
        <is>
          <t>84</t>
        </is>
      </c>
      <c r="F3073" t="inlineStr">
        <is>
          <t>0</t>
        </is>
      </c>
      <c r="G3073" t="inlineStr">
        <is>
          <t>0</t>
        </is>
      </c>
      <c r="H3073" t="inlineStr">
        <is>
          <t>7², 14³, 112¹</t>
        </is>
      </c>
      <c r="I3073" t="n">
        <v>6</v>
      </c>
      <c r="J3073" t="inlineStr">
        <is>
          <t>2⁴, 4², 6⁸, 8¹, 12⁴, 24²</t>
        </is>
      </c>
      <c r="K3073">
        <f>HYPERLINK("CSG0.html#group16D0", "16D⁰"), =HYPERLINK("CSG6.html#group56C6", "56C⁶")</f>
        <v/>
      </c>
      <c r="L3073">
        <f>HYPERLINK("CSG23.html#group112F23", "112F²³"), =HYPERLINK("CSG24.html#group112B24", "112B²⁴"), =HYPERLINK("CSG24.html#group112C24", "112C²⁴"), =HYPERLINK("CSG24.html#group112F24", "112F²⁴"), =HYPERLINK("CSG24.html#group112G24", "112G²⁴")</f>
        <v/>
      </c>
      <c r="M3073">
        <f>HYPERLINK("CSG6.html#group56C6", "56C⁶"), =HYPERLINK("CSG1.html#group14B1", "14B¹"), =HYPERLINK("CSG0.html#group16D0", "16D⁰"), =HYPERLINK("CSG3.html#group28A3", "28A³"), =HYPERLINK("CSG0.html#group8C0", "8C⁰"), =HYPERLINK("CSG0.html#group2B0", "2B⁰"), =HYPERLINK("CSG0.html#group4B0", "4B⁰"), =HYPERLINK("CSG0.html#group1A0", "1A⁰"), =HYPERLINK("CSG0.html#group7A0", "7A⁰")</f>
        <v/>
      </c>
      <c r="N3073">
        <f>HYPERLINK("CSG23.html#group112F23", "112F²³"), =HYPERLINK("CSG24.html#group112F24", "112F²⁴"), =HYPERLINK("CSG24.html#group112B24", "112B²⁴"), =HYPERLINK("CSG24.html#group112G24", "112G²⁴"), =HYPERLINK("CSG24.html#group112C24", "112C²⁴")</f>
        <v/>
      </c>
    </row>
    <row r="3074">
      <c r="A3074" t="inlineStr">
        <is>
          <t>112F¹²</t>
        </is>
      </c>
      <c r="B3074" t="inlineStr"/>
      <c r="C3074" t="inlineStr">
        <is>
          <t>168</t>
        </is>
      </c>
      <c r="D3074" t="inlineStr">
        <is>
          <t>2</t>
        </is>
      </c>
      <c r="E3074" t="inlineStr">
        <is>
          <t>84</t>
        </is>
      </c>
      <c r="F3074" t="inlineStr">
        <is>
          <t>6</t>
        </is>
      </c>
      <c r="G3074" t="inlineStr">
        <is>
          <t>0</t>
        </is>
      </c>
      <c r="H3074" t="inlineStr">
        <is>
          <t>28², 112¹</t>
        </is>
      </c>
      <c r="I3074" t="n">
        <v>3</v>
      </c>
      <c r="J3074" t="inlineStr">
        <is>
          <t>2², 4¹, 6⁴, 8², 12², 24⁴</t>
        </is>
      </c>
      <c r="K3074">
        <f>HYPERLINK("CSG5.html#group56C5", "56C⁵")</f>
        <v/>
      </c>
      <c r="L3074">
        <f>HYPERLINK("CSG23.html#group112J23", "112J²³"), =HYPERLINK("CSG24.html#group112H24", "112H²⁴"), =HYPERLINK("CSG24.html#group112J24", "112J²⁴")</f>
        <v/>
      </c>
      <c r="M3074">
        <f>HYPERLINK("CSG2.html#group28C2", "28C²"), =HYPERLINK("CSG5.html#group56C5", "56C⁵"), =HYPERLINK("CSG1.html#group14B1", "14B¹"), =HYPERLINK("CSG0.html#group8D0", "8D⁰"), =HYPERLINK("CSG0.html#group4C0", "4C⁰"), =HYPERLINK("CSG0.html#group2B0", "2B⁰"), =HYPERLINK("CSG0.html#group1A0", "1A⁰"), =HYPERLINK("CSG0.html#group7A0", "7A⁰")</f>
        <v/>
      </c>
      <c r="N3074">
        <f>HYPERLINK("CSG23.html#group112J23", "112J²³"), =HYPERLINK("CSG24.html#group112J24", "112J²⁴"), =HYPERLINK("CSG24.html#group112H24", "112H²⁴")</f>
        <v/>
      </c>
    </row>
    <row r="3075">
      <c r="A3075" t="inlineStr">
        <is>
          <t>112G¹²</t>
        </is>
      </c>
      <c r="B3075" t="inlineStr"/>
      <c r="C3075" t="inlineStr">
        <is>
          <t>168</t>
        </is>
      </c>
      <c r="D3075" t="inlineStr">
        <is>
          <t>2</t>
        </is>
      </c>
      <c r="E3075" t="inlineStr">
        <is>
          <t>84</t>
        </is>
      </c>
      <c r="F3075" t="inlineStr">
        <is>
          <t>6</t>
        </is>
      </c>
      <c r="G3075" t="inlineStr">
        <is>
          <t>0</t>
        </is>
      </c>
      <c r="H3075" t="inlineStr">
        <is>
          <t>28², 112¹</t>
        </is>
      </c>
      <c r="I3075" t="n">
        <v>3</v>
      </c>
      <c r="J3075" t="inlineStr">
        <is>
          <t>2², 4¹, 6⁴, 8², 12², 24⁴</t>
        </is>
      </c>
      <c r="K3075">
        <f>HYPERLINK("CSG1.html#group16C1", "16C¹"), =HYPERLINK("CSG5.html#group56C5", "56C⁵")</f>
        <v/>
      </c>
      <c r="L3075">
        <f>HYPERLINK("CSG23.html#group112K23", "112K²³"), =HYPERLINK("CSG24.html#group112H24", "112H²⁴"), =HYPERLINK("CSG24.html#group112I24", "112I²⁴")</f>
        <v/>
      </c>
      <c r="M3075">
        <f>HYPERLINK("CSG2.html#group28C2", "28C²"), =HYPERLINK("CSG5.html#group56C5", "56C⁵"), =HYPERLINK("CSG1.html#group14B1", "14B¹"), =HYPERLINK("CSG0.html#group8D0", "8D⁰"), =HYPERLINK("CSG1.html#group16C1", "16C¹"), =HYPERLINK("CSG0.html#group4C0", "4C⁰"), =HYPERLINK("CSG0.html#group2B0", "2B⁰"), =HYPERLINK("CSG0.html#group1A0", "1A⁰"), =HYPERLINK("CSG0.html#group7A0", "7A⁰")</f>
        <v/>
      </c>
      <c r="N3075">
        <f>HYPERLINK("CSG24.html#group112I24", "112I²⁴"), =HYPERLINK("CSG23.html#group112K23", "112K²³"), =HYPERLINK("CSG24.html#group112H24", "112H²⁴")</f>
        <v/>
      </c>
    </row>
    <row r="3076">
      <c r="A3076" t="inlineStr">
        <is>
          <t>112H¹²</t>
        </is>
      </c>
      <c r="B3076" t="inlineStr"/>
      <c r="C3076" t="inlineStr">
        <is>
          <t>192</t>
        </is>
      </c>
      <c r="D3076" t="inlineStr">
        <is>
          <t>1</t>
        </is>
      </c>
      <c r="E3076" t="inlineStr">
        <is>
          <t>96</t>
        </is>
      </c>
      <c r="F3076" t="inlineStr">
        <is>
          <t>0</t>
        </is>
      </c>
      <c r="G3076" t="inlineStr">
        <is>
          <t>0</t>
        </is>
      </c>
      <c r="H3076" t="inlineStr">
        <is>
          <t>2⁴, 14⁴, 16¹, 112¹</t>
        </is>
      </c>
      <c r="I3076" t="n">
        <v>10</v>
      </c>
      <c r="J3076" t="inlineStr">
        <is>
          <t>1⁴, 2², 4⁴, 6², 12¹, 24²</t>
        </is>
      </c>
      <c r="K3076">
        <f>HYPERLINK("CSG0.html#group16E0", "16E⁰"), =HYPERLINK("CSG6.html#group56E6", "56E⁶")</f>
        <v/>
      </c>
      <c r="L3076">
        <f>HYPERLINK("CSG23.html#group112P23", "112P²³")</f>
        <v/>
      </c>
      <c r="M3076">
        <f>HYPERLINK("CSG0.html#group16E0", "16E⁰"), =HYPERLINK("CSG0.html#group8D0", "8D⁰"), =HYPERLINK("CSG0.html#group7B0", "7B⁰"), =HYPERLINK("CSG0.html#group4C0", "4C⁰"), =HYPERLINK("CSG1.html#group14C1", "14C¹"), =HYPERLINK("CSG0.html#group1A0", "1A⁰"), =HYPERLINK("CSG0.html#group2B0", "2B⁰"), =HYPERLINK("CSG3.html#group28C3", "28C³"), =HYPERLINK("CSG6.html#group56E6", "56E⁶")</f>
        <v/>
      </c>
      <c r="N3076">
        <f>HYPERLINK("CSG23.html#group112P23", "112P²³")</f>
        <v/>
      </c>
    </row>
    <row r="3077">
      <c r="A3077" t="inlineStr">
        <is>
          <t>116A¹²</t>
        </is>
      </c>
      <c r="B3077" t="inlineStr"/>
      <c r="C3077" t="inlineStr">
        <is>
          <t>180</t>
        </is>
      </c>
      <c r="D3077" t="inlineStr">
        <is>
          <t>1</t>
        </is>
      </c>
      <c r="E3077" t="inlineStr">
        <is>
          <t>90</t>
        </is>
      </c>
      <c r="F3077" t="inlineStr">
        <is>
          <t>4</t>
        </is>
      </c>
      <c r="G3077" t="inlineStr">
        <is>
          <t>0</t>
        </is>
      </c>
      <c r="H3077" t="inlineStr">
        <is>
          <t>1², 4¹, 29², 116¹</t>
        </is>
      </c>
      <c r="I3077" t="n">
        <v>6</v>
      </c>
      <c r="J3077" t="inlineStr">
        <is>
          <t>1⁶, 28³</t>
        </is>
      </c>
      <c r="K3077">
        <f>HYPERLINK("CSG6.html#group58A6", "58A⁶")</f>
        <v/>
      </c>
      <c r="L3077" t="inlineStr"/>
      <c r="M3077">
        <f>HYPERLINK("CSG0.html#group1A0", "1A⁰"), =HYPERLINK("CSG2.html#group29A2", "29A²"), =HYPERLINK("CSG0.html#group2B0", "2B⁰"), =HYPERLINK("CSG6.html#group58A6", "58A⁶")</f>
        <v/>
      </c>
      <c r="N3077" t="inlineStr"/>
    </row>
    <row r="3078">
      <c r="A3078" t="inlineStr">
        <is>
          <t>117A¹²</t>
        </is>
      </c>
      <c r="B3078" t="inlineStr"/>
      <c r="C3078" t="inlineStr">
        <is>
          <t>168</t>
        </is>
      </c>
      <c r="D3078" t="inlineStr">
        <is>
          <t>2</t>
        </is>
      </c>
      <c r="E3078" t="inlineStr">
        <is>
          <t>56</t>
        </is>
      </c>
      <c r="F3078" t="inlineStr">
        <is>
          <t>0</t>
        </is>
      </c>
      <c r="G3078" t="inlineStr">
        <is>
          <t>3</t>
        </is>
      </c>
      <c r="H3078" t="inlineStr">
        <is>
          <t>3¹, 9¹, 39¹, 117¹</t>
        </is>
      </c>
      <c r="I3078" t="n">
        <v>4</v>
      </c>
      <c r="J3078" t="inlineStr">
        <is>
          <t>2⁸, 24⁴</t>
        </is>
      </c>
      <c r="K3078">
        <f>HYPERLINK("CSG3.html#group39A3", "39A³")</f>
        <v/>
      </c>
      <c r="L3078">
        <f>HYPERLINK("CSG23.html#group117A23", "117A²³")</f>
        <v/>
      </c>
      <c r="M3078">
        <f>HYPERLINK("CSG0.html#group13A0", "13A⁰"), =HYPERLINK("CSG0.html#group3B0", "3B⁰"), =HYPERLINK("CSG0.html#group1A0", "1A⁰"), =HYPERLINK("CSG3.html#group39A3", "39A³")</f>
        <v/>
      </c>
      <c r="N3078">
        <f>HYPERLINK("CSG23.html#group117A23", "117A²³")</f>
        <v/>
      </c>
    </row>
    <row r="3079">
      <c r="A3079" t="inlineStr">
        <is>
          <t>120A¹²</t>
        </is>
      </c>
      <c r="B3079" t="inlineStr"/>
      <c r="C3079" t="inlineStr">
        <is>
          <t>160</t>
        </is>
      </c>
      <c r="D3079" t="inlineStr">
        <is>
          <t>2</t>
        </is>
      </c>
      <c r="E3079" t="inlineStr">
        <is>
          <t>80</t>
        </is>
      </c>
      <c r="F3079" t="inlineStr">
        <is>
          <t>0</t>
        </is>
      </c>
      <c r="G3079" t="inlineStr">
        <is>
          <t>4</t>
        </is>
      </c>
      <c r="H3079" t="inlineStr">
        <is>
          <t>40¹, 120¹</t>
        </is>
      </c>
      <c r="I3079" t="n">
        <v>2</v>
      </c>
      <c r="J3079" t="inlineStr">
        <is>
          <t>4⁴, 8², 16⁴, 32²</t>
        </is>
      </c>
      <c r="K3079">
        <f>HYPERLINK("CSG2.html#group24A2", "24A²"), =HYPERLINK("CSG2.html#group40A2", "40A²"), =HYPERLINK("CSG6.html#group60A6", "60A⁶")</f>
        <v/>
      </c>
      <c r="L3079">
        <f>HYPERLINK("CSG23.html#group120L23", "120L²³"), =HYPERLINK("CSG24.html#group240A24", "240A²⁴")</f>
        <v/>
      </c>
      <c r="M3079">
        <f>HYPERLINK("CSG0.html#group3B0", "3B⁰"), =HYPERLINK("CSG0.html#group5A0", "5A⁰"), =HYPERLINK("CSG2.html#group24A2", "24A²"), =HYPERLINK("CSG0.html#group4A0", "4A⁰"), =HYPERLINK("CSG1.html#group12A1", "12A¹"), =HYPERLINK("CSG0.html#group8A0", "8A⁰"), =HYPERLINK("CSG1.html#group15B1", "15B¹"), =HYPERLINK("CSG1.html#group20A1", "20A¹"), =HYPERLINK("CSG0.html#group1A0", "1A⁰"), =HYPERLINK("CSG6.html#group60A6", "60A⁶"), =HYPERLINK("CSG2.html#group40A2", "40A²")</f>
        <v/>
      </c>
      <c r="N3079">
        <f>HYPERLINK("CSG24.html#group240A24", "240A²⁴"), =HYPERLINK("CSG23.html#group120L23", "120L²³")</f>
        <v/>
      </c>
    </row>
    <row r="3080">
      <c r="A3080" t="inlineStr">
        <is>
          <t>120B¹²</t>
        </is>
      </c>
      <c r="B3080" t="inlineStr"/>
      <c r="C3080" t="inlineStr">
        <is>
          <t>180</t>
        </is>
      </c>
      <c r="D3080" t="inlineStr">
        <is>
          <t>1</t>
        </is>
      </c>
      <c r="E3080" t="inlineStr">
        <is>
          <t>15</t>
        </is>
      </c>
      <c r="F3080" t="inlineStr">
        <is>
          <t>12</t>
        </is>
      </c>
      <c r="G3080" t="inlineStr">
        <is>
          <t>0</t>
        </is>
      </c>
      <c r="H3080" t="inlineStr">
        <is>
          <t>60¹, 120¹</t>
        </is>
      </c>
      <c r="I3080" t="n">
        <v>2</v>
      </c>
      <c r="J3080" t="inlineStr">
        <is>
          <t>1³, 4³</t>
        </is>
      </c>
      <c r="K3080">
        <f>HYPERLINK("CSG0.html#group24A0", "24A⁰"), =HYPERLINK("CSG4.html#group40A4", "40A⁴"), =HYPERLINK("CSG6.html#group60B6", "60B⁶")</f>
        <v/>
      </c>
      <c r="L3080">
        <f>HYPERLINK("CSG24.html#group240B24", "240B²⁴")</f>
        <v/>
      </c>
      <c r="M3080">
        <f>HYPERLINK("CSG3.html#group30D3", "30D³"), =HYPERLINK("CSG0.html#group5A0", "5A⁰"), =HYPERLINK("CSG4.html#group40A4", "40A⁴"), =HYPERLINK("CSG0.html#group12C0", "12C⁰"), =HYPERLINK("CSG0.html#group24A0", "24A⁰"), =HYPERLINK("CSG1.html#group15A1", "15A¹"), =HYPERLINK("CSG1.html#group10B1", "10B¹"), =HYPERLINK("CSG2.html#group20B2", "20B²"), =HYPERLINK("CSG0.html#group4C0", "4C⁰"), =HYPERLINK("CSG6.html#group60B6", "60B⁶"), =HYPERLINK("CSG0.html#group8B0", "8B⁰"), =HYPERLINK("CSG0.html#group2B0", "2B⁰"), =HYPERLINK("CSG0.html#group3A0", "3A⁰"), =HYPERLINK("CSG0.html#group1A0", "1A⁰"), =HYPERLINK("CSG0.html#group6D0", "6D⁰")</f>
        <v/>
      </c>
      <c r="N3080">
        <f>HYPERLINK("CSG24.html#group240B24", "240B²⁴")</f>
        <v/>
      </c>
    </row>
    <row r="3081">
      <c r="A3081" t="inlineStr">
        <is>
          <t>120C¹²</t>
        </is>
      </c>
      <c r="B3081" t="inlineStr"/>
      <c r="C3081" t="inlineStr">
        <is>
          <t>180</t>
        </is>
      </c>
      <c r="D3081" t="inlineStr">
        <is>
          <t>2</t>
        </is>
      </c>
      <c r="E3081" t="inlineStr">
        <is>
          <t>15</t>
        </is>
      </c>
      <c r="F3081" t="inlineStr">
        <is>
          <t>12</t>
        </is>
      </c>
      <c r="G3081" t="inlineStr">
        <is>
          <t>0</t>
        </is>
      </c>
      <c r="H3081" t="inlineStr">
        <is>
          <t>60¹, 120¹</t>
        </is>
      </c>
      <c r="I3081" t="n">
        <v>2</v>
      </c>
      <c r="J3081" t="inlineStr">
        <is>
          <t>2³, 8³</t>
        </is>
      </c>
      <c r="K3081">
        <f>HYPERLINK("CSG4.html#group40A4", "40A⁴"), =HYPERLINK("CSG6.html#group60D6", "60D⁶")</f>
        <v/>
      </c>
      <c r="L3081">
        <f>HYPERLINK("CSG24.html#group240C24", "240C²⁴")</f>
        <v/>
      </c>
      <c r="M3081">
        <f>HYPERLINK("CSG0.html#group5A0", "5A⁰"), =HYPERLINK("CSG6.html#group60D6", "60D⁶"), =HYPERLINK("CSG4.html#group40A4", "40A⁴"), =HYPERLINK("CSG3.html#group30E3", "30E³"), =HYPERLINK("CSG1.html#group10B1", "10B¹"), =HYPERLINK("CSG2.html#group20B2", "20B²"), =HYPERLINK("CSG0.html#group4C0", "4C⁰"), =HYPERLINK("CSG0.html#group8B0", "8B⁰"), =HYPERLINK("CSG0.html#group2B0", "2B⁰"), =HYPERLINK("CSG0.html#group1A0", "1A⁰"), =HYPERLINK("CSG0.html#group15A0", "15A⁰")</f>
        <v/>
      </c>
      <c r="N3081">
        <f>HYPERLINK("CSG24.html#group240C24", "240C²⁴")</f>
        <v/>
      </c>
    </row>
    <row r="3082">
      <c r="A3082" t="inlineStr">
        <is>
          <t>125A¹²</t>
        </is>
      </c>
      <c r="B3082" t="inlineStr"/>
      <c r="C3082" t="inlineStr">
        <is>
          <t>300</t>
        </is>
      </c>
      <c r="D3082" t="inlineStr">
        <is>
          <t>1</t>
        </is>
      </c>
      <c r="E3082" t="inlineStr">
        <is>
          <t>30</t>
        </is>
      </c>
      <c r="F3082" t="inlineStr">
        <is>
          <t>0</t>
        </is>
      </c>
      <c r="G3082" t="inlineStr">
        <is>
          <t>0</t>
        </is>
      </c>
      <c r="H3082" t="inlineStr">
        <is>
          <t>1²⁰, 5⁶, 125²</t>
        </is>
      </c>
      <c r="I3082" t="n">
        <v>28</v>
      </c>
      <c r="J3082" t="inlineStr">
        <is>
          <t>2², 4⁴, 20²</t>
        </is>
      </c>
      <c r="K3082">
        <f>HYPERLINK("CSG0.html#group25B0", "25B⁰"), =HYPERLINK("CSG6.html#group125A6", "125A⁶")</f>
        <v/>
      </c>
      <c r="L3082" t="inlineStr"/>
      <c r="M3082">
        <f>HYPERLINK("CSG0.html#group25A0", "25A⁰"), =HYPERLINK("CSG0.html#group5B0", "5B⁰"), =HYPERLINK("CSG0.html#group5D0", "5D⁰"), =HYPERLINK("CSG0.html#group1A0", "1A⁰"), =HYPERLINK("CSG6.html#group125A6", "125A⁶"), =HYPERLINK("CSG0.html#group25B0", "25B⁰")</f>
        <v/>
      </c>
      <c r="N3082" t="inlineStr"/>
    </row>
    <row r="3083">
      <c r="A3083" t="inlineStr">
        <is>
          <t>125B¹²</t>
        </is>
      </c>
      <c r="B3083" t="inlineStr"/>
      <c r="C3083" t="inlineStr">
        <is>
          <t>300</t>
        </is>
      </c>
      <c r="D3083" t="inlineStr">
        <is>
          <t>1</t>
        </is>
      </c>
      <c r="E3083" t="inlineStr">
        <is>
          <t>30</t>
        </is>
      </c>
      <c r="F3083" t="inlineStr">
        <is>
          <t>0</t>
        </is>
      </c>
      <c r="G3083" t="inlineStr">
        <is>
          <t>0</t>
        </is>
      </c>
      <c r="H3083" t="inlineStr">
        <is>
          <t>1²⁰, 5⁶, 125²</t>
        </is>
      </c>
      <c r="I3083" t="n">
        <v>28</v>
      </c>
      <c r="J3083" t="inlineStr">
        <is>
          <t>2², 4⁴, 20²</t>
        </is>
      </c>
      <c r="K3083">
        <f>HYPERLINK("CSG0.html#group25B0", "25B⁰"), =HYPERLINK("CSG6.html#group125B6", "125B⁶")</f>
        <v/>
      </c>
      <c r="L3083" t="inlineStr"/>
      <c r="M3083">
        <f>HYPERLINK("CSG0.html#group25A0", "25A⁰"), =HYPERLINK("CSG0.html#group5B0", "5B⁰"), =HYPERLINK("CSG0.html#group5D0", "5D⁰"), =HYPERLINK("CSG6.html#group125B6", "125B⁶"), =HYPERLINK("CSG0.html#group1A0", "1A⁰"), =HYPERLINK("CSG0.html#group25B0", "25B⁰")</f>
        <v/>
      </c>
      <c r="N3083" t="inlineStr"/>
    </row>
    <row r="3084">
      <c r="A3084" t="inlineStr">
        <is>
          <t>126A¹²</t>
        </is>
      </c>
      <c r="B3084" t="inlineStr"/>
      <c r="C3084" t="inlineStr">
        <is>
          <t>144</t>
        </is>
      </c>
      <c r="D3084" t="inlineStr">
        <is>
          <t>1</t>
        </is>
      </c>
      <c r="E3084" t="inlineStr">
        <is>
          <t>72</t>
        </is>
      </c>
      <c r="F3084" t="inlineStr">
        <is>
          <t>0</t>
        </is>
      </c>
      <c r="G3084" t="inlineStr">
        <is>
          <t>0</t>
        </is>
      </c>
      <c r="H3084" t="inlineStr">
        <is>
          <t>18¹, 126¹</t>
        </is>
      </c>
      <c r="I3084" t="n">
        <v>2</v>
      </c>
      <c r="J3084" t="inlineStr">
        <is>
          <t>1², 2², 6³, 12¹, 36¹</t>
        </is>
      </c>
      <c r="K3084">
        <f>HYPERLINK("CSG1.html#group18A1", "18A¹"), =HYPERLINK("CSG4.html#group42C4", "42C⁴"), =HYPERLINK("CSG6.html#group63A6", "63A⁶")</f>
        <v/>
      </c>
      <c r="L3084">
        <f>HYPERLINK("CSG23.html#group126B23", "126B²³"), =HYPERLINK("CSG23.html#group126G23", "126G²³")</f>
        <v/>
      </c>
      <c r="M3084">
        <f>HYPERLINK("CSG0.html#group6B0", "6B⁰"), =HYPERLINK("CSG6.html#group63A6", "63A⁶"), =HYPERLINK("CSG2.html#group21A2", "21A²"), =HYPERLINK("CSG0.html#group7B0", "7B⁰"), =HYPERLINK("CSG0.html#group9A0", "9A⁰"), =HYPERLINK("CSG4.html#group42C4", "42C⁴"), =HYPERLINK("CSG0.html#group3A0", "3A⁰"), =HYPERLINK("CSG0.html#group1A0", "1A⁰"), =HYPERLINK("CSG1.html#group18A1", "18A¹")</f>
        <v/>
      </c>
      <c r="N3084">
        <f>HYPERLINK("CSG23.html#group126G23", "126G²³"), =HYPERLINK("CSG23.html#group126B23", "126B²³")</f>
        <v/>
      </c>
    </row>
    <row r="3085">
      <c r="A3085" t="inlineStr">
        <is>
          <t>126B¹²</t>
        </is>
      </c>
      <c r="B3085" t="inlineStr"/>
      <c r="C3085" t="inlineStr">
        <is>
          <t>144</t>
        </is>
      </c>
      <c r="D3085" t="inlineStr">
        <is>
          <t>1</t>
        </is>
      </c>
      <c r="E3085" t="inlineStr">
        <is>
          <t>72</t>
        </is>
      </c>
      <c r="F3085" t="inlineStr">
        <is>
          <t>0</t>
        </is>
      </c>
      <c r="G3085" t="inlineStr">
        <is>
          <t>0</t>
        </is>
      </c>
      <c r="H3085" t="inlineStr">
        <is>
          <t>18¹, 126¹</t>
        </is>
      </c>
      <c r="I3085" t="n">
        <v>2</v>
      </c>
      <c r="J3085" t="inlineStr">
        <is>
          <t>1², 2², 6³, 12¹, 36¹</t>
        </is>
      </c>
      <c r="K3085">
        <f>HYPERLINK("CSG2.html#group18A2", "18A²"), =HYPERLINK("CSG4.html#group42B4", "42B⁴"), =HYPERLINK("CSG6.html#group63A6", "63A⁶")</f>
        <v/>
      </c>
      <c r="L3085">
        <f>HYPERLINK("CSG23.html#group126B23", "126B²³"), =HYPERLINK("CSG23.html#group126H23", "126H²³"), =HYPERLINK("CSG24.html#group252A24", "252A²⁴"), =HYPERLINK("CSG24.html#group252B24", "252B²⁴"), =HYPERLINK("CSG24.html#group252D24", "252D²⁴")</f>
        <v/>
      </c>
      <c r="M3085">
        <f>HYPERLINK("CSG0.html#group2A0", "2A⁰"), =HYPERLINK("CSG6.html#group63A6", "63A⁶"), =HYPERLINK("CSG4.html#group42B4", "42B⁴"), =HYPERLINK("CSG2.html#group21A2", "21A²"), =HYPERLINK("CSG0.html#group7B0", "7B⁰"), =HYPERLINK("CSG0.html#group9A0", "9A⁰"), =HYPERLINK("CSG0.html#group14B0", "14B⁰"), =HYPERLINK("CSG1.html#group6A1", "6A¹"), =HYPERLINK("CSG2.html#group18A2", "18A²"), =HYPERLINK("CSG0.html#group3A0", "3A⁰"), =HYPERLINK("CSG0.html#group1A0", "1A⁰")</f>
        <v/>
      </c>
      <c r="N3085">
        <f>HYPERLINK("CSG24.html#group252A24", "252A²⁴"), =HYPERLINK("CSG24.html#group252B24", "252B²⁴"), =HYPERLINK("CSG24.html#group252D24", "252D²⁴"), =HYPERLINK("CSG23.html#group126H23", "126H²³"), =HYPERLINK("CSG23.html#group126B23", "126B²³")</f>
        <v/>
      </c>
    </row>
    <row r="3086">
      <c r="A3086" t="inlineStr">
        <is>
          <t>126C¹²</t>
        </is>
      </c>
      <c r="B3086" t="inlineStr"/>
      <c r="C3086" t="inlineStr">
        <is>
          <t>144</t>
        </is>
      </c>
      <c r="D3086" t="inlineStr">
        <is>
          <t>1</t>
        </is>
      </c>
      <c r="E3086" t="inlineStr">
        <is>
          <t>144</t>
        </is>
      </c>
      <c r="F3086" t="inlineStr">
        <is>
          <t>0</t>
        </is>
      </c>
      <c r="G3086" t="inlineStr">
        <is>
          <t>0</t>
        </is>
      </c>
      <c r="H3086" t="inlineStr">
        <is>
          <t>18¹, 126¹</t>
        </is>
      </c>
      <c r="I3086" t="n">
        <v>2</v>
      </c>
      <c r="J3086" t="inlineStr">
        <is>
          <t>2⁶, 6⁴, 12³, 36²</t>
        </is>
      </c>
      <c r="K3086">
        <f>HYPERLINK("CSG1.html#group18B1", "18B¹"), =HYPERLINK("CSG4.html#group42C4", "42C⁴")</f>
        <v/>
      </c>
      <c r="L3086">
        <f>HYPERLINK("CSG23.html#group126E23", "126E²³"), =HYPERLINK("CSG23.html#group126I23", "126I²³")</f>
        <v/>
      </c>
      <c r="M3086">
        <f>HYPERLINK("CSG0.html#group6B0", "6B⁰"), =HYPERLINK("CSG2.html#group21A2", "21A²"), =HYPERLINK("CSG0.html#group7B0", "7B⁰"), =HYPERLINK("CSG1.html#group18B1", "18B¹"), =HYPERLINK("CSG4.html#group42C4", "42C⁴"), =HYPERLINK("CSG0.html#group3A0", "3A⁰"), =HYPERLINK("CSG0.html#group1A0", "1A⁰")</f>
        <v/>
      </c>
      <c r="N3086">
        <f>HYPERLINK("CSG23.html#group126E23", "126E²³"), =HYPERLINK("CSG23.html#group126I23", "126I²³")</f>
        <v/>
      </c>
    </row>
    <row r="3087">
      <c r="A3087" t="inlineStr">
        <is>
          <t>126D¹²</t>
        </is>
      </c>
      <c r="B3087" t="inlineStr"/>
      <c r="C3087" t="inlineStr">
        <is>
          <t>144</t>
        </is>
      </c>
      <c r="D3087" t="inlineStr">
        <is>
          <t>2</t>
        </is>
      </c>
      <c r="E3087" t="inlineStr">
        <is>
          <t>72</t>
        </is>
      </c>
      <c r="F3087" t="inlineStr">
        <is>
          <t>0</t>
        </is>
      </c>
      <c r="G3087" t="inlineStr">
        <is>
          <t>0</t>
        </is>
      </c>
      <c r="H3087" t="inlineStr">
        <is>
          <t>18¹, 126¹</t>
        </is>
      </c>
      <c r="I3087" t="n">
        <v>2</v>
      </c>
      <c r="J3087" t="inlineStr">
        <is>
          <t>2⁶, 6⁴, 12³, 36²</t>
        </is>
      </c>
      <c r="K3087">
        <f>HYPERLINK("CSG0.html#group18A0", "18A⁰"), =HYPERLINK("CSG4.html#group42C4", "42C⁴"), =HYPERLINK("CSG6.html#group63A6", "63A⁶")</f>
        <v/>
      </c>
      <c r="L3087">
        <f>HYPERLINK("CSG23.html#group126A23", "126A²³"), =HYPERLINK("CSG23.html#group126G23", "126G²³"), =HYPERLINK("CSG23.html#group126H23", "126H²³")</f>
        <v/>
      </c>
      <c r="M3087">
        <f>HYPERLINK("CSG0.html#group6B0", "6B⁰"), =HYPERLINK("CSG6.html#group63A6", "63A⁶"), =HYPERLINK("CSG2.html#group21A2", "21A²"), =HYPERLINK("CSG0.html#group7B0", "7B⁰"), =HYPERLINK("CSG0.html#group9A0", "9A⁰"), =HYPERLINK("CSG4.html#group42C4", "42C⁴"), =HYPERLINK("CSG0.html#group3A0", "3A⁰"), =HYPERLINK("CSG0.html#group1A0", "1A⁰"), =HYPERLINK("CSG0.html#group18A0", "18A⁰")</f>
        <v/>
      </c>
      <c r="N3087">
        <f>HYPERLINK("CSG23.html#group126G23", "126G²³"), =HYPERLINK("CSG23.html#group126H23", "126H²³"), =HYPERLINK("CSG23.html#group126A23", "126A²³")</f>
        <v/>
      </c>
    </row>
    <row r="3088">
      <c r="A3088" t="inlineStr">
        <is>
          <t>126E¹²</t>
        </is>
      </c>
      <c r="B3088" t="inlineStr"/>
      <c r="C3088" t="inlineStr">
        <is>
          <t>168</t>
        </is>
      </c>
      <c r="D3088" t="inlineStr">
        <is>
          <t>2</t>
        </is>
      </c>
      <c r="E3088" t="inlineStr">
        <is>
          <t>28</t>
        </is>
      </c>
      <c r="F3088" t="inlineStr">
        <is>
          <t>0</t>
        </is>
      </c>
      <c r="G3088" t="inlineStr">
        <is>
          <t>6</t>
        </is>
      </c>
      <c r="H3088" t="inlineStr">
        <is>
          <t>42¹, 126¹</t>
        </is>
      </c>
      <c r="I3088" t="n">
        <v>2</v>
      </c>
      <c r="J3088" t="inlineStr">
        <is>
          <t>2², 4¹, 6⁴, 12²</t>
        </is>
      </c>
      <c r="K3088">
        <f>HYPERLINK("CSG4.html#group42D4", "42D⁴"), =HYPERLINK("CSG6.html#group63C6", "63C⁶")</f>
        <v/>
      </c>
      <c r="L3088">
        <f>HYPERLINK("CSG23.html#group126J23", "126J²³")</f>
        <v/>
      </c>
      <c r="M3088">
        <f>HYPERLINK("CSG0.html#group3B0", "3B⁰"), =HYPERLINK("CSG0.html#group14A0", "14A⁰"), =HYPERLINK("CSG2.html#group21B2", "21B²"), =HYPERLINK("CSG6.html#group63C6", "63C⁶"), =HYPERLINK("CSG4.html#group42D4", "42D⁴"), =HYPERLINK("CSG0.html#group9C0", "9C⁰"), =HYPERLINK("CSG0.html#group1A0", "1A⁰"), =HYPERLINK("CSG0.html#group7A0", "7A⁰")</f>
        <v/>
      </c>
      <c r="N3088">
        <f>HYPERLINK("CSG23.html#group126J23", "126J²³")</f>
        <v/>
      </c>
    </row>
    <row r="3089">
      <c r="A3089" t="inlineStr">
        <is>
          <t>126F¹²</t>
        </is>
      </c>
      <c r="B3089" t="inlineStr"/>
      <c r="C3089" t="inlineStr">
        <is>
          <t>168</t>
        </is>
      </c>
      <c r="D3089" t="inlineStr">
        <is>
          <t>2</t>
        </is>
      </c>
      <c r="E3089" t="inlineStr">
        <is>
          <t>28</t>
        </is>
      </c>
      <c r="F3089" t="inlineStr">
        <is>
          <t>0</t>
        </is>
      </c>
      <c r="G3089" t="inlineStr">
        <is>
          <t>6</t>
        </is>
      </c>
      <c r="H3089" t="inlineStr">
        <is>
          <t>42¹, 126¹</t>
        </is>
      </c>
      <c r="I3089" t="n">
        <v>2</v>
      </c>
      <c r="J3089" t="inlineStr">
        <is>
          <t>2², 4¹, 6⁴, 12²</t>
        </is>
      </c>
      <c r="K3089">
        <f>HYPERLINK("CSG0.html#group18B0", "18B⁰"), =HYPERLINK("CSG4.html#group42E4", "42E⁴"), =HYPERLINK("CSG6.html#group63C6", "63C⁶")</f>
        <v/>
      </c>
      <c r="L3089">
        <f>HYPERLINK("CSG23.html#group126J23", "126J²³"), =HYPERLINK("CSG24.html#group252E24", "252E²⁴"), =HYPERLINK("CSG24.html#group252F24", "252F²⁴")</f>
        <v/>
      </c>
      <c r="M3089">
        <f>HYPERLINK("CSG0.html#group3B0", "3B⁰"), =HYPERLINK("CSG0.html#group2A0", "2A⁰"), =HYPERLINK("CSG2.html#group21B2", "21B²"), =HYPERLINK("CSG6.html#group63C6", "63C⁶"), =HYPERLINK("CSG0.html#group18B0", "18B⁰"), =HYPERLINK("CSG4.html#group42E4", "42E⁴"), =HYPERLINK("CSG0.html#group6C0", "6C⁰"), =HYPERLINK("CSG1.html#group14A1", "14A¹"), =HYPERLINK("CSG0.html#group9C0", "9C⁰"), =HYPERLINK("CSG0.html#group1A0", "1A⁰"), =HYPERLINK("CSG0.html#group7A0", "7A⁰")</f>
        <v/>
      </c>
      <c r="N3089">
        <f>HYPERLINK("CSG24.html#group252F24", "252F²⁴"), =HYPERLINK("CSG24.html#group252E24", "252E²⁴"), =HYPERLINK("CSG23.html#group126J23", "126J²³")</f>
        <v/>
      </c>
    </row>
    <row r="3090">
      <c r="A3090" t="inlineStr">
        <is>
          <t>126G¹²</t>
        </is>
      </c>
      <c r="B3090" t="inlineStr"/>
      <c r="C3090" t="inlineStr">
        <is>
          <t>168</t>
        </is>
      </c>
      <c r="D3090" t="inlineStr">
        <is>
          <t>2</t>
        </is>
      </c>
      <c r="E3090" t="inlineStr">
        <is>
          <t>56</t>
        </is>
      </c>
      <c r="F3090" t="inlineStr">
        <is>
          <t>0</t>
        </is>
      </c>
      <c r="G3090" t="inlineStr">
        <is>
          <t>3</t>
        </is>
      </c>
      <c r="H3090" t="inlineStr">
        <is>
          <t>14³, 126¹</t>
        </is>
      </c>
      <c r="I3090" t="n">
        <v>4</v>
      </c>
      <c r="J3090" t="inlineStr">
        <is>
          <t>4⁴, 12⁸</t>
        </is>
      </c>
      <c r="K3090">
        <f>HYPERLINK("CSG0.html#group18C0", "18C⁰"), =HYPERLINK("CSG4.html#group42E4", "42E⁴")</f>
        <v/>
      </c>
      <c r="L3090">
        <f>HYPERLINK("CSG23.html#group126L23", "126L²³")</f>
        <v/>
      </c>
      <c r="M3090">
        <f>HYPERLINK("CSG0.html#group18C0", "18C⁰"), =HYPERLINK("CSG0.html#group3B0", "3B⁰"), =HYPERLINK("CSG0.html#group2A0", "2A⁰"), =HYPERLINK("CSG2.html#group21B2", "21B²"), =HYPERLINK("CSG4.html#group42E4", "42E⁴"), =HYPERLINK("CSG0.html#group6C0", "6C⁰"), =HYPERLINK("CSG1.html#group14A1", "14A¹"), =HYPERLINK("CSG0.html#group1A0", "1A⁰"), =HYPERLINK("CSG0.html#group7A0", "7A⁰")</f>
        <v/>
      </c>
      <c r="N3090">
        <f>HYPERLINK("CSG23.html#group126L23", "126L²³")</f>
        <v/>
      </c>
    </row>
    <row r="3091">
      <c r="A3091" t="inlineStr">
        <is>
          <t>126H¹²</t>
        </is>
      </c>
      <c r="B3091" t="inlineStr"/>
      <c r="C3091" t="inlineStr">
        <is>
          <t>189</t>
        </is>
      </c>
      <c r="D3091" t="inlineStr">
        <is>
          <t>2</t>
        </is>
      </c>
      <c r="E3091" t="inlineStr">
        <is>
          <t>189</t>
        </is>
      </c>
      <c r="F3091" t="inlineStr">
        <is>
          <t>15</t>
        </is>
      </c>
      <c r="G3091" t="inlineStr">
        <is>
          <t>0</t>
        </is>
      </c>
      <c r="H3091" t="inlineStr">
        <is>
          <t>63¹, 126¹</t>
        </is>
      </c>
      <c r="I3091" t="n">
        <v>2</v>
      </c>
      <c r="J3091" t="inlineStr">
        <is>
          <t>2³, 4³, 6⁶, 12⁹, 36⁶</t>
        </is>
      </c>
      <c r="K3091">
        <f>HYPERLINK("CSG1.html#group18E1", "18E¹"), =HYPERLINK("CSG2.html#group63A2", "63A²"), =HYPERLINK("CSG3.html#group42C3", "42C³")</f>
        <v/>
      </c>
      <c r="L3091">
        <f>HYPERLINK("CSG24.html#group252G24", "252G²⁴")</f>
        <v/>
      </c>
      <c r="M3091">
        <f>HYPERLINK("CSG1.html#group14B1", "14B¹"), =HYPERLINK("CSG0.html#group7A0", "7A⁰"), =HYPERLINK("CSG0.html#group9A0", "9A⁰"), =HYPERLINK("CSG0.html#group21A0", "21A⁰"), =HYPERLINK("CSG0.html#group2B0", "2B⁰"), =HYPERLINK("CSG1.html#group18E1", "18E¹"), =HYPERLINK("CSG0.html#group3A0", "3A⁰"), =HYPERLINK("CSG0.html#group1A0", "1A⁰"), =HYPERLINK("CSG3.html#group42C3", "42C³"), =HYPERLINK("CSG0.html#group6D0", "6D⁰"), =HYPERLINK("CSG2.html#group63A2", "63A²")</f>
        <v/>
      </c>
      <c r="N3091">
        <f>HYPERLINK("CSG24.html#group252G24", "252G²⁴")</f>
        <v/>
      </c>
    </row>
    <row r="3092">
      <c r="A3092" t="inlineStr">
        <is>
          <t>126I¹²</t>
        </is>
      </c>
      <c r="B3092" t="inlineStr"/>
      <c r="C3092" t="inlineStr">
        <is>
          <t>192</t>
        </is>
      </c>
      <c r="D3092" t="inlineStr">
        <is>
          <t>2</t>
        </is>
      </c>
      <c r="E3092" t="inlineStr">
        <is>
          <t>64</t>
        </is>
      </c>
      <c r="F3092" t="inlineStr">
        <is>
          <t>0</t>
        </is>
      </c>
      <c r="G3092" t="inlineStr">
        <is>
          <t>3</t>
        </is>
      </c>
      <c r="H3092" t="inlineStr">
        <is>
          <t>2³, 14³, 18¹, 126¹</t>
        </is>
      </c>
      <c r="I3092" t="n">
        <v>8</v>
      </c>
      <c r="J3092" t="inlineStr">
        <is>
          <t>2¹⁶, 12⁸</t>
        </is>
      </c>
      <c r="K3092">
        <f>HYPERLINK("CSG3.html#group42E3", "42E³")</f>
        <v/>
      </c>
      <c r="L3092">
        <f>HYPERLINK("CSG23.html#group126M23", "126M²³")</f>
        <v/>
      </c>
      <c r="M3092">
        <f>HYPERLINK("CSG0.html#group3B0", "3B⁰"), =HYPERLINK("CSG0.html#group2A0", "2A⁰"), =HYPERLINK("CSG1.html#group21B1", "21B¹"), =HYPERLINK("CSG0.html#group7B0", "7B⁰"), =HYPERLINK("CSG3.html#group42E3", "42E³"), =HYPERLINK("CSG0.html#group6C0", "6C⁰"), =HYPERLINK("CSG0.html#group14B0", "14B⁰"), =HYPERLINK("CSG0.html#group1A0", "1A⁰")</f>
        <v/>
      </c>
      <c r="N3092">
        <f>HYPERLINK("CSG23.html#group126M23", "126M²³")</f>
        <v/>
      </c>
    </row>
    <row r="3093">
      <c r="A3093" t="inlineStr">
        <is>
          <t>126J¹²</t>
        </is>
      </c>
      <c r="B3093" t="inlineStr"/>
      <c r="C3093" t="inlineStr">
        <is>
          <t>252</t>
        </is>
      </c>
      <c r="D3093" t="inlineStr">
        <is>
          <t>2</t>
        </is>
      </c>
      <c r="E3093" t="inlineStr">
        <is>
          <t>21</t>
        </is>
      </c>
      <c r="F3093" t="inlineStr">
        <is>
          <t>36</t>
        </is>
      </c>
      <c r="G3093" t="inlineStr">
        <is>
          <t>0</t>
        </is>
      </c>
      <c r="H3093" t="inlineStr">
        <is>
          <t>126²</t>
        </is>
      </c>
      <c r="I3093" t="n">
        <v>2</v>
      </c>
      <c r="J3093" t="inlineStr">
        <is>
          <t>2¹, 4¹, 6², 12²</t>
        </is>
      </c>
      <c r="K3093">
        <f>HYPERLINK("CSG0.html#group18D0", "18D⁰"), =HYPERLINK("CSG4.html#group42F4", "42F⁴"), =HYPERLINK("CSG5.html#group126A5", "126A⁵"), =HYPERLINK("CSG5.html#group126B5", "126B⁵"), =HYPERLINK("CSG6.html#group63E6", "63E⁶")</f>
        <v/>
      </c>
      <c r="L3093" t="inlineStr"/>
      <c r="M3093">
        <f>HYPERLINK("CSG2.html#group21D2", "21D²"), =HYPERLINK("CSG0.html#group6B0", "6B⁰"), =HYPERLINK("CSG4.html#group42F4", "42F⁴"), =HYPERLINK("CSG6.html#group63E6", "63E⁶"), =HYPERLINK("CSG0.html#group21A0", "21A⁰"), =HYPERLINK("CSG5.html#group126A5", "126A⁵"), =HYPERLINK("CSG0.html#group1A0", "1A⁰"), =HYPERLINK("CSG0.html#group18A0", "18A⁰"), =HYPERLINK("CSG2.html#group63A2", "63A²"), =HYPERLINK("CSG0.html#group9D0", "9D⁰"), =HYPERLINK("CSG0.html#group18D0", "18D⁰"), =HYPERLINK("CSG0.html#group6E0", "6E⁰"), =HYPERLINK("CSG0.html#group9A0", "9A⁰"), =HYPERLINK("CSG5.html#group126B5", "126B⁵"), =HYPERLINK("CSG0.html#group3C0", "3C⁰"), =HYPERLINK("CSG1.html#group42B1", "42B¹"), =HYPERLINK("CSG0.html#group3A0", "3A⁰"), =HYPERLINK("CSG0.html#group7A0", "7A⁰")</f>
        <v/>
      </c>
      <c r="N3093" t="inlineStr"/>
    </row>
    <row r="3094">
      <c r="A3094" t="inlineStr">
        <is>
          <t>132A¹²</t>
        </is>
      </c>
      <c r="B3094" t="inlineStr"/>
      <c r="C3094" t="inlineStr">
        <is>
          <t>144</t>
        </is>
      </c>
      <c r="D3094" t="inlineStr">
        <is>
          <t>1</t>
        </is>
      </c>
      <c r="E3094" t="inlineStr">
        <is>
          <t>12</t>
        </is>
      </c>
      <c r="F3094" t="inlineStr">
        <is>
          <t>0</t>
        </is>
      </c>
      <c r="G3094" t="inlineStr">
        <is>
          <t>0</t>
        </is>
      </c>
      <c r="H3094" t="inlineStr">
        <is>
          <t>12¹, 132¹</t>
        </is>
      </c>
      <c r="I3094" t="n">
        <v>2</v>
      </c>
      <c r="J3094" t="inlineStr">
        <is>
          <t>1², 10¹</t>
        </is>
      </c>
      <c r="K3094">
        <f>HYPERLINK("CSG4.html#group44A4", "44A⁴"), =HYPERLINK("CSG6.html#group66B6", "66B⁶")</f>
        <v/>
      </c>
      <c r="L3094">
        <f>HYPERLINK("CSG23.html#group132B23", "132B²³")</f>
        <v/>
      </c>
      <c r="M3094">
        <f>HYPERLINK("CSG0.html#group2A0", "2A⁰"), =HYPERLINK("CSG4.html#group44A4", "44A⁴"), =HYPERLINK("CSG1.html#group11A1", "11A¹"), =HYPERLINK("CSG2.html#group22A2", "22A²"), =HYPERLINK("CSG6.html#group66B6", "66B⁶"), =HYPERLINK("CSG1.html#group6A1", "6A¹"), =HYPERLINK("CSG0.html#group3A0", "3A⁰"), =HYPERLINK("CSG3.html#group33A3", "33A³"), =HYPERLINK("CSG0.html#group1A0", "1A⁰")</f>
        <v/>
      </c>
      <c r="N3094">
        <f>HYPERLINK("CSG23.html#group132B23", "132B²³")</f>
        <v/>
      </c>
    </row>
    <row r="3095">
      <c r="A3095" t="inlineStr">
        <is>
          <t>132B¹²</t>
        </is>
      </c>
      <c r="B3095" t="inlineStr"/>
      <c r="C3095" t="inlineStr">
        <is>
          <t>144</t>
        </is>
      </c>
      <c r="D3095" t="inlineStr">
        <is>
          <t>1</t>
        </is>
      </c>
      <c r="E3095" t="inlineStr">
        <is>
          <t>24</t>
        </is>
      </c>
      <c r="F3095" t="inlineStr">
        <is>
          <t>0</t>
        </is>
      </c>
      <c r="G3095" t="inlineStr">
        <is>
          <t>0</t>
        </is>
      </c>
      <c r="H3095" t="inlineStr">
        <is>
          <t>12¹, 132¹</t>
        </is>
      </c>
      <c r="I3095" t="n">
        <v>2</v>
      </c>
      <c r="J3095" t="inlineStr">
        <is>
          <t>2², 20¹</t>
        </is>
      </c>
      <c r="K3095">
        <f>HYPERLINK("CSG4.html#group44A4", "44A⁴"), =HYPERLINK("CSG6.html#group66C6", "66C⁶")</f>
        <v/>
      </c>
      <c r="L3095" t="inlineStr"/>
      <c r="M3095">
        <f>HYPERLINK("CSG0.html#group2A0", "2A⁰"), =HYPERLINK("CSG4.html#group44A4", "44A⁴"), =HYPERLINK("CSG0.html#group6A0", "6A⁰"), =HYPERLINK("CSG1.html#group11A1", "11A¹"), =HYPERLINK("CSG2.html#group22A2", "22A²"), =HYPERLINK("CSG6.html#group66C6", "66C⁶"), =HYPERLINK("CSG0.html#group1A0", "1A⁰")</f>
        <v/>
      </c>
      <c r="N3095" t="inlineStr"/>
    </row>
    <row r="3096">
      <c r="A3096" t="inlineStr">
        <is>
          <t>132C¹²</t>
        </is>
      </c>
      <c r="B3096" t="inlineStr"/>
      <c r="C3096" t="inlineStr">
        <is>
          <t>144</t>
        </is>
      </c>
      <c r="D3096" t="inlineStr">
        <is>
          <t>1</t>
        </is>
      </c>
      <c r="E3096" t="inlineStr">
        <is>
          <t>36</t>
        </is>
      </c>
      <c r="F3096" t="inlineStr">
        <is>
          <t>0</t>
        </is>
      </c>
      <c r="G3096" t="inlineStr">
        <is>
          <t>0</t>
        </is>
      </c>
      <c r="H3096" t="inlineStr">
        <is>
          <t>12¹, 132¹</t>
        </is>
      </c>
      <c r="I3096" t="n">
        <v>2</v>
      </c>
      <c r="J3096" t="inlineStr">
        <is>
          <t>1², 2², 10¹, 20¹</t>
        </is>
      </c>
      <c r="K3096">
        <f>HYPERLINK("CSG6.html#group66B6", "66B⁶")</f>
        <v/>
      </c>
      <c r="L3096">
        <f>HYPERLINK("CSG23.html#group132A23", "132A²³"), =HYPERLINK("CSG23.html#group132B23", "132B²³")</f>
        <v/>
      </c>
      <c r="M3096">
        <f>HYPERLINK("CSG0.html#group2A0", "2A⁰"), =HYPERLINK("CSG1.html#group11A1", "11A¹"), =HYPERLINK("CSG2.html#group22A2", "22A²"), =HYPERLINK("CSG6.html#group66B6", "66B⁶"), =HYPERLINK("CSG1.html#group6A1", "6A¹"), =HYPERLINK("CSG0.html#group3A0", "3A⁰"), =HYPERLINK("CSG3.html#group33A3", "33A³"), =HYPERLINK("CSG0.html#group1A0", "1A⁰")</f>
        <v/>
      </c>
      <c r="N3096">
        <f>HYPERLINK("CSG23.html#group132B23", "132B²³"), =HYPERLINK("CSG23.html#group132A23", "132A²³")</f>
        <v/>
      </c>
    </row>
    <row r="3097">
      <c r="A3097" t="inlineStr">
        <is>
          <t>132D¹²</t>
        </is>
      </c>
      <c r="B3097" t="inlineStr"/>
      <c r="C3097" t="inlineStr">
        <is>
          <t>144</t>
        </is>
      </c>
      <c r="D3097" t="inlineStr">
        <is>
          <t>1</t>
        </is>
      </c>
      <c r="E3097" t="inlineStr">
        <is>
          <t>48</t>
        </is>
      </c>
      <c r="F3097" t="inlineStr">
        <is>
          <t>0</t>
        </is>
      </c>
      <c r="G3097" t="inlineStr">
        <is>
          <t>0</t>
        </is>
      </c>
      <c r="H3097" t="inlineStr">
        <is>
          <t>12¹, 132¹</t>
        </is>
      </c>
      <c r="I3097" t="n">
        <v>2</v>
      </c>
      <c r="J3097" t="inlineStr">
        <is>
          <t>2⁴, 20²</t>
        </is>
      </c>
      <c r="K3097">
        <f>HYPERLINK("CSG0.html#group12A0", "12A⁰"), =HYPERLINK("CSG3.html#group33A3", "33A³"), =HYPERLINK("CSG4.html#group44B4", "44B⁴")</f>
        <v/>
      </c>
      <c r="L3097">
        <f>HYPERLINK("CSG23.html#group132C23", "132C²³"), =HYPERLINK("CSG23.html#group132F23", "132F²³"), =HYPERLINK("CSG23.html#group132G23", "132G²³"), =HYPERLINK("CSG24.html#group264A24", "264A²⁴"), =HYPERLINK("CSG24.html#group264B24", "264B²⁴")</f>
        <v/>
      </c>
      <c r="M3097">
        <f>HYPERLINK("CSG0.html#group12A0", "12A⁰"), =HYPERLINK("CSG1.html#group11A1", "11A¹"), =HYPERLINK("CSG0.html#group4A0", "4A⁰"), =HYPERLINK("CSG4.html#group44B4", "44B⁴"), =HYPERLINK("CSG0.html#group3A0", "3A⁰"), =HYPERLINK("CSG3.html#group33A3", "33A³"), =HYPERLINK("CSG0.html#group1A0", "1A⁰")</f>
        <v/>
      </c>
      <c r="N3097">
        <f>HYPERLINK("CSG23.html#group132F23", "132F²³"), =HYPERLINK("CSG23.html#group132G23", "132G²³"), =HYPERLINK("CSG24.html#group264A24", "264A²⁴"), =HYPERLINK("CSG23.html#group132C23", "132C²³"), =HYPERLINK("CSG24.html#group264B24", "264B²⁴")</f>
        <v/>
      </c>
    </row>
    <row r="3098">
      <c r="A3098" t="inlineStr">
        <is>
          <t>132E¹²</t>
        </is>
      </c>
      <c r="B3098" t="inlineStr"/>
      <c r="C3098" t="inlineStr">
        <is>
          <t>176</t>
        </is>
      </c>
      <c r="D3098" t="inlineStr">
        <is>
          <t>2</t>
        </is>
      </c>
      <c r="E3098" t="inlineStr">
        <is>
          <t>44</t>
        </is>
      </c>
      <c r="F3098" t="inlineStr">
        <is>
          <t>0</t>
        </is>
      </c>
      <c r="G3098" t="inlineStr">
        <is>
          <t>8</t>
        </is>
      </c>
      <c r="H3098" t="inlineStr">
        <is>
          <t>44¹, 132¹</t>
        </is>
      </c>
      <c r="I3098" t="n">
        <v>2</v>
      </c>
      <c r="J3098" t="inlineStr">
        <is>
          <t>2², 4¹, 10⁴, 20²</t>
        </is>
      </c>
      <c r="K3098">
        <f>HYPERLINK("CSG0.html#group12B0", "12B⁰"), =HYPERLINK("CSG6.html#group66E6", "66E⁶")</f>
        <v/>
      </c>
      <c r="L3098" t="inlineStr"/>
      <c r="M3098">
        <f>HYPERLINK("CSG0.html#group11A0", "11A⁰"), =HYPERLINK("CSG0.html#group3B0", "3B⁰"), =HYPERLINK("CSG0.html#group2A0", "2A⁰"), =HYPERLINK("CSG1.html#group22A1", "22A¹"), =HYPERLINK("CSG3.html#group33B3", "33B³"), =HYPERLINK("CSG0.html#group6C0", "6C⁰"), =HYPERLINK("CSG6.html#group66E6", "66E⁶"), =HYPERLINK("CSG0.html#group1A0", "1A⁰"), =HYPERLINK("CSG0.html#group12B0", "12B⁰")</f>
        <v/>
      </c>
      <c r="N3098" t="inlineStr"/>
    </row>
    <row r="3099">
      <c r="A3099" t="inlineStr">
        <is>
          <t>132F¹²</t>
        </is>
      </c>
      <c r="B3099" t="inlineStr"/>
      <c r="C3099" t="inlineStr">
        <is>
          <t>198</t>
        </is>
      </c>
      <c r="D3099" t="inlineStr">
        <is>
          <t>2</t>
        </is>
      </c>
      <c r="E3099" t="inlineStr">
        <is>
          <t>33</t>
        </is>
      </c>
      <c r="F3099" t="inlineStr">
        <is>
          <t>18</t>
        </is>
      </c>
      <c r="G3099" t="inlineStr">
        <is>
          <t>0</t>
        </is>
      </c>
      <c r="H3099" t="inlineStr">
        <is>
          <t>66¹, 132¹</t>
        </is>
      </c>
      <c r="I3099" t="n">
        <v>2</v>
      </c>
      <c r="J3099" t="inlineStr">
        <is>
          <t>2³, 10⁶</t>
        </is>
      </c>
      <c r="K3099">
        <f>HYPERLINK("CSG0.html#group12C0", "12C⁰"), =HYPERLINK("CSG4.html#group44C4", "44C⁴"), =HYPERLINK("CSG6.html#group66F6", "66F⁶")</f>
        <v/>
      </c>
      <c r="L3099">
        <f>HYPERLINK("CSG24.html#group264C24", "264C²⁴")</f>
        <v/>
      </c>
      <c r="M3099">
        <f>HYPERLINK("CSG0.html#group11A0", "11A⁰"), =HYPERLINK("CSG0.html#group12C0", "12C⁰"), =HYPERLINK("CSG4.html#group44C4", "44C⁴"), =HYPERLINK("CSG1.html#group33A1", "33A¹"), =HYPERLINK("CSG0.html#group4C0", "4C⁰"), =HYPERLINK("CSG0.html#group2B0", "2B⁰"), =HYPERLINK("CSG6.html#group66F6", "66F⁶"), =HYPERLINK("CSG2.html#group22B2", "22B²"), =HYPERLINK("CSG0.html#group3A0", "3A⁰"), =HYPERLINK("CSG0.html#group1A0", "1A⁰"), =HYPERLINK("CSG0.html#group6D0", "6D⁰")</f>
        <v/>
      </c>
      <c r="N3099">
        <f>HYPERLINK("CSG24.html#group264C24", "264C²⁴")</f>
        <v/>
      </c>
    </row>
    <row r="3100">
      <c r="A3100" t="inlineStr">
        <is>
          <t>135A¹²</t>
        </is>
      </c>
      <c r="B3100" t="inlineStr"/>
      <c r="C3100" t="inlineStr">
        <is>
          <t>180</t>
        </is>
      </c>
      <c r="D3100" t="inlineStr">
        <is>
          <t>1</t>
        </is>
      </c>
      <c r="E3100" t="inlineStr">
        <is>
          <t>60</t>
        </is>
      </c>
      <c r="F3100" t="inlineStr">
        <is>
          <t>0</t>
        </is>
      </c>
      <c r="G3100" t="inlineStr">
        <is>
          <t>0</t>
        </is>
      </c>
      <c r="H3100" t="inlineStr">
        <is>
          <t>5⁶, 15¹, 135¹</t>
        </is>
      </c>
      <c r="I3100" t="n">
        <v>8</v>
      </c>
      <c r="J3100" t="inlineStr">
        <is>
          <t>1², 2², 4², 6¹, 8², 24¹</t>
        </is>
      </c>
      <c r="K3100">
        <f>HYPERLINK("CSG0.html#group27A0", "27A⁰"), =HYPERLINK("CSG4.html#group45A4", "45A⁴")</f>
        <v/>
      </c>
      <c r="L3100" t="inlineStr"/>
      <c r="M3100">
        <f>HYPERLINK("CSG0.html#group27A0", "27A⁰"), =HYPERLINK("CSG0.html#group3B0", "3B⁰"), =HYPERLINK("CSG0.html#group9B0", "9B⁰"), =HYPERLINK("CSG1.html#group15B1", "15B¹"), =HYPERLINK("CSG0.html#group5A0", "5A⁰"), =HYPERLINK("CSG4.html#group45A4", "45A⁴"), =HYPERLINK("CSG0.html#group1A0", "1A⁰")</f>
        <v/>
      </c>
      <c r="N3100" t="inlineStr"/>
    </row>
    <row r="3101">
      <c r="A3101" t="inlineStr">
        <is>
          <t>135B¹²</t>
        </is>
      </c>
      <c r="B3101" t="inlineStr"/>
      <c r="C3101" t="inlineStr">
        <is>
          <t>180</t>
        </is>
      </c>
      <c r="D3101" t="inlineStr">
        <is>
          <t>2</t>
        </is>
      </c>
      <c r="E3101" t="inlineStr">
        <is>
          <t>60</t>
        </is>
      </c>
      <c r="F3101" t="inlineStr">
        <is>
          <t>0</t>
        </is>
      </c>
      <c r="G3101" t="inlineStr">
        <is>
          <t>0</t>
        </is>
      </c>
      <c r="H3101" t="inlineStr">
        <is>
          <t>5⁶, 15¹, 135¹</t>
        </is>
      </c>
      <c r="I3101" t="n">
        <v>8</v>
      </c>
      <c r="J3101" t="inlineStr">
        <is>
          <t>2², 4², 8⁶, 12¹, 24²</t>
        </is>
      </c>
      <c r="K3101">
        <f>HYPERLINK("CSG4.html#group45A4", "45A⁴")</f>
        <v/>
      </c>
      <c r="L3101" t="inlineStr"/>
      <c r="M3101">
        <f>HYPERLINK("CSG0.html#group3B0", "3B⁰"), =HYPERLINK("CSG0.html#group9B0", "9B⁰"), =HYPERLINK("CSG1.html#group15B1", "15B¹"), =HYPERLINK("CSG0.html#group5A0", "5A⁰"), =HYPERLINK("CSG4.html#group45A4", "45A⁴"), =HYPERLINK("CSG0.html#group1A0", "1A⁰")</f>
        <v/>
      </c>
      <c r="N3101" t="inlineStr"/>
    </row>
    <row r="3102">
      <c r="A3102" t="inlineStr">
        <is>
          <t>135C¹²</t>
        </is>
      </c>
      <c r="B3102" t="inlineStr"/>
      <c r="C3102" t="inlineStr">
        <is>
          <t>180</t>
        </is>
      </c>
      <c r="D3102" t="inlineStr">
        <is>
          <t>2</t>
        </is>
      </c>
      <c r="E3102" t="inlineStr">
        <is>
          <t>60</t>
        </is>
      </c>
      <c r="F3102" t="inlineStr">
        <is>
          <t>0</t>
        </is>
      </c>
      <c r="G3102" t="inlineStr">
        <is>
          <t>9</t>
        </is>
      </c>
      <c r="H3102" t="inlineStr">
        <is>
          <t>45¹, 135¹</t>
        </is>
      </c>
      <c r="I3102" t="n">
        <v>2</v>
      </c>
      <c r="J3102" t="inlineStr">
        <is>
          <t>2², 4², 8⁶, 12¹, 24²</t>
        </is>
      </c>
      <c r="K3102">
        <f>HYPERLINK("CSG3.html#group45B3", "45B³")</f>
        <v/>
      </c>
      <c r="L3102">
        <f>HYPERLINK("CSG24.html#group270B24", "270B²⁴")</f>
        <v/>
      </c>
      <c r="M3102">
        <f>HYPERLINK("CSG1.html#group15B1", "15B¹"), =HYPERLINK("CSG0.html#group3B0", "3B⁰"), =HYPERLINK("CSG0.html#group5A0", "5A⁰"), =HYPERLINK("CSG3.html#group45B3", "45B³"), =HYPERLINK("CSG0.html#group9C0", "9C⁰"), =HYPERLINK("CSG0.html#group1A0", "1A⁰")</f>
        <v/>
      </c>
      <c r="N3102">
        <f>HYPERLINK("CSG24.html#group270B24", "270B²⁴")</f>
        <v/>
      </c>
    </row>
    <row r="3103">
      <c r="A3103" t="inlineStr">
        <is>
          <t>138A¹²</t>
        </is>
      </c>
      <c r="B3103" t="inlineStr"/>
      <c r="C3103" t="inlineStr">
        <is>
          <t>144</t>
        </is>
      </c>
      <c r="D3103" t="inlineStr">
        <is>
          <t>1</t>
        </is>
      </c>
      <c r="E3103" t="inlineStr">
        <is>
          <t>24</t>
        </is>
      </c>
      <c r="F3103" t="inlineStr">
        <is>
          <t>0</t>
        </is>
      </c>
      <c r="G3103" t="inlineStr">
        <is>
          <t>0</t>
        </is>
      </c>
      <c r="H3103" t="inlineStr">
        <is>
          <t>6¹, 138¹</t>
        </is>
      </c>
      <c r="I3103" t="n">
        <v>2</v>
      </c>
      <c r="J3103" t="inlineStr">
        <is>
          <t>1², 22¹</t>
        </is>
      </c>
      <c r="K3103">
        <f>HYPERLINK("CSG1.html#group6A1", "6A¹"), =HYPERLINK("CSG4.html#group46A4", "46A⁴"), =HYPERLINK("CSG6.html#group69A6", "69A⁶")</f>
        <v/>
      </c>
      <c r="L3103">
        <f>HYPERLINK("CSG23.html#group138B23", "138B²³"), =HYPERLINK("CSG24.html#group276A24", "276A²⁴"), =HYPERLINK("CSG24.html#group276C24", "276C²⁴")</f>
        <v/>
      </c>
      <c r="M3103">
        <f>HYPERLINK("CSG0.html#group2A0", "2A⁰"), =HYPERLINK("CSG6.html#group69A6", "69A⁶"), =HYPERLINK("CSG1.html#group6A1", "6A¹"), =HYPERLINK("CSG2.html#group23A2", "23A²"), =HYPERLINK("CSG0.html#group3A0", "3A⁰"), =HYPERLINK("CSG0.html#group1A0", "1A⁰"), =HYPERLINK("CSG4.html#group46A4", "46A⁴")</f>
        <v/>
      </c>
      <c r="N3103">
        <f>HYPERLINK("CSG24.html#group276C24", "276C²⁴"), =HYPERLINK("CSG23.html#group138B23", "138B²³"), =HYPERLINK("CSG24.html#group276A24", "276A²⁴")</f>
        <v/>
      </c>
    </row>
    <row r="3104">
      <c r="A3104" t="inlineStr">
        <is>
          <t>138B¹²</t>
        </is>
      </c>
      <c r="B3104" t="inlineStr"/>
      <c r="C3104" t="inlineStr">
        <is>
          <t>144</t>
        </is>
      </c>
      <c r="D3104" t="inlineStr">
        <is>
          <t>1</t>
        </is>
      </c>
      <c r="E3104" t="inlineStr">
        <is>
          <t>48</t>
        </is>
      </c>
      <c r="F3104" t="inlineStr">
        <is>
          <t>0</t>
        </is>
      </c>
      <c r="G3104" t="inlineStr">
        <is>
          <t>0</t>
        </is>
      </c>
      <c r="H3104" t="inlineStr">
        <is>
          <t>6¹, 138¹</t>
        </is>
      </c>
      <c r="I3104" t="n">
        <v>2</v>
      </c>
      <c r="J3104" t="inlineStr">
        <is>
          <t>2², 44¹</t>
        </is>
      </c>
      <c r="K3104">
        <f>HYPERLINK("CSG0.html#group6A0", "6A⁰"), =HYPERLINK("CSG4.html#group46A4", "46A⁴")</f>
        <v/>
      </c>
      <c r="L3104">
        <f>HYPERLINK("CSG24.html#group276B24", "276B²⁴")</f>
        <v/>
      </c>
      <c r="M3104">
        <f>HYPERLINK("CSG0.html#group2A0", "2A⁰"), =HYPERLINK("CSG2.html#group23A2", "23A²"), =HYPERLINK("CSG0.html#group6A0", "6A⁰"), =HYPERLINK("CSG0.html#group1A0", "1A⁰"), =HYPERLINK("CSG4.html#group46A4", "46A⁴")</f>
        <v/>
      </c>
      <c r="N3104">
        <f>HYPERLINK("CSG24.html#group276B24", "276B²⁴")</f>
        <v/>
      </c>
    </row>
    <row r="3105">
      <c r="A3105" t="inlineStr">
        <is>
          <t>138C¹²</t>
        </is>
      </c>
      <c r="B3105" t="inlineStr"/>
      <c r="C3105" t="inlineStr">
        <is>
          <t>144</t>
        </is>
      </c>
      <c r="D3105" t="inlineStr">
        <is>
          <t>1</t>
        </is>
      </c>
      <c r="E3105" t="inlineStr">
        <is>
          <t>72</t>
        </is>
      </c>
      <c r="F3105" t="inlineStr">
        <is>
          <t>0</t>
        </is>
      </c>
      <c r="G3105" t="inlineStr">
        <is>
          <t>0</t>
        </is>
      </c>
      <c r="H3105" t="inlineStr">
        <is>
          <t>6¹, 138¹</t>
        </is>
      </c>
      <c r="I3105" t="n">
        <v>2</v>
      </c>
      <c r="J3105" t="inlineStr">
        <is>
          <t>1², 2², 22¹, 44¹</t>
        </is>
      </c>
      <c r="K3105">
        <f>HYPERLINK("CSG0.html#group6B0", "6B⁰"), =HYPERLINK("CSG6.html#group69A6", "69A⁶")</f>
        <v/>
      </c>
      <c r="L3105">
        <f>HYPERLINK("CSG23.html#group138A23", "138A²³"), =HYPERLINK("CSG23.html#group138B23", "138B²³")</f>
        <v/>
      </c>
      <c r="M3105">
        <f>HYPERLINK("CSG2.html#group23A2", "23A²"), =HYPERLINK("CSG0.html#group6B0", "6B⁰"), =HYPERLINK("CSG6.html#group69A6", "69A⁶"), =HYPERLINK("CSG0.html#group3A0", "3A⁰"), =HYPERLINK("CSG0.html#group1A0", "1A⁰")</f>
        <v/>
      </c>
      <c r="N3105">
        <f>HYPERLINK("CSG23.html#group138B23", "138B²³"), =HYPERLINK("CSG23.html#group138A23", "138A²³")</f>
        <v/>
      </c>
    </row>
    <row r="3106">
      <c r="A3106" t="inlineStr">
        <is>
          <t>140A¹²</t>
        </is>
      </c>
      <c r="B3106" t="inlineStr"/>
      <c r="C3106" t="inlineStr">
        <is>
          <t>160</t>
        </is>
      </c>
      <c r="D3106" t="inlineStr">
        <is>
          <t>1</t>
        </is>
      </c>
      <c r="E3106" t="inlineStr">
        <is>
          <t>160</t>
        </is>
      </c>
      <c r="F3106" t="inlineStr">
        <is>
          <t>0</t>
        </is>
      </c>
      <c r="G3106" t="inlineStr">
        <is>
          <t>4</t>
        </is>
      </c>
      <c r="H3106" t="inlineStr">
        <is>
          <t>20¹, 140¹</t>
        </is>
      </c>
      <c r="I3106" t="n">
        <v>2</v>
      </c>
      <c r="J3106" t="inlineStr">
        <is>
          <t>2⁴, 8⁴, 12², 48²</t>
        </is>
      </c>
      <c r="K3106">
        <f>HYPERLINK("CSG1.html#group20A1", "20A¹"), =HYPERLINK("CSG2.html#group28A2", "28A²"), =HYPERLINK("CSG2.html#group35B2", "35B²")</f>
        <v/>
      </c>
      <c r="L3106">
        <f>HYPERLINK("CSG23.html#group140C23", "140C²³"), =HYPERLINK("CSG24.html#group280A24", "280A²⁴")</f>
        <v/>
      </c>
      <c r="M3106">
        <f>HYPERLINK("CSG0.html#group5A0", "5A⁰"), =HYPERLINK("CSG0.html#group4A0", "4A⁰"), =HYPERLINK("CSG0.html#group7B0", "7B⁰"), =HYPERLINK("CSG1.html#group20A1", "20A¹"), =HYPERLINK("CSG2.html#group35B2", "35B²"), =HYPERLINK("CSG0.html#group1A0", "1A⁰"), =HYPERLINK("CSG2.html#group28A2", "28A²")</f>
        <v/>
      </c>
      <c r="N3106">
        <f>HYPERLINK("CSG24.html#group280A24", "280A²⁴"), =HYPERLINK("CSG23.html#group140C23", "140C²³")</f>
        <v/>
      </c>
    </row>
    <row r="3107">
      <c r="A3107" t="inlineStr">
        <is>
          <t>141A¹²</t>
        </is>
      </c>
      <c r="B3107" t="inlineStr"/>
      <c r="C3107" t="inlineStr">
        <is>
          <t>144</t>
        </is>
      </c>
      <c r="D3107" t="inlineStr">
        <is>
          <t>1</t>
        </is>
      </c>
      <c r="E3107" t="inlineStr">
        <is>
          <t>48</t>
        </is>
      </c>
      <c r="F3107" t="inlineStr">
        <is>
          <t>0</t>
        </is>
      </c>
      <c r="G3107" t="inlineStr">
        <is>
          <t>0</t>
        </is>
      </c>
      <c r="H3107" t="inlineStr">
        <is>
          <t>3¹, 141¹</t>
        </is>
      </c>
      <c r="I3107" t="n">
        <v>2</v>
      </c>
      <c r="J3107" t="inlineStr">
        <is>
          <t>1², 46¹</t>
        </is>
      </c>
      <c r="K3107">
        <f>HYPERLINK("CSG0.html#group3A0", "3A⁰"), =HYPERLINK("CSG4.html#group47A4", "47A⁴")</f>
        <v/>
      </c>
      <c r="L3107">
        <f>HYPERLINK("CSG23.html#group141A23", "141A²³"), =HYPERLINK("CSG24.html#group282A24", "282A²⁴"), =HYPERLINK("CSG24.html#group282C24", "282C²⁴")</f>
        <v/>
      </c>
      <c r="M3107">
        <f>HYPERLINK("CSG0.html#group3A0", "3A⁰"), =HYPERLINK("CSG4.html#group47A4", "47A⁴"), =HYPERLINK("CSG0.html#group1A0", "1A⁰")</f>
        <v/>
      </c>
      <c r="N3107">
        <f>HYPERLINK("CSG23.html#group141A23", "141A²³"), =HYPERLINK("CSG24.html#group282A24", "282A²⁴"), =HYPERLINK("CSG24.html#group282C24", "282C²⁴")</f>
        <v/>
      </c>
    </row>
    <row r="3108">
      <c r="A3108" t="inlineStr">
        <is>
          <t>142A¹²</t>
        </is>
      </c>
      <c r="B3108" t="inlineStr"/>
      <c r="C3108" t="inlineStr">
        <is>
          <t>144</t>
        </is>
      </c>
      <c r="D3108" t="inlineStr">
        <is>
          <t>1</t>
        </is>
      </c>
      <c r="E3108" t="inlineStr">
        <is>
          <t>72</t>
        </is>
      </c>
      <c r="F3108" t="inlineStr">
        <is>
          <t>0</t>
        </is>
      </c>
      <c r="G3108" t="inlineStr">
        <is>
          <t>0</t>
        </is>
      </c>
      <c r="H3108" t="inlineStr">
        <is>
          <t>2¹, 142¹</t>
        </is>
      </c>
      <c r="I3108" t="n">
        <v>2</v>
      </c>
      <c r="J3108" t="inlineStr">
        <is>
          <t>1², 70¹</t>
        </is>
      </c>
      <c r="K3108">
        <f>HYPERLINK("CSG0.html#group2A0", "2A⁰"), =HYPERLINK("CSG6.html#group71A6", "71A⁶")</f>
        <v/>
      </c>
      <c r="L3108">
        <f>HYPERLINK("CSG24.html#group284A24", "284A²⁴")</f>
        <v/>
      </c>
      <c r="M3108">
        <f>HYPERLINK("CSG0.html#group2A0", "2A⁰"), =HYPERLINK("CSG0.html#group1A0", "1A⁰"), =HYPERLINK("CSG6.html#group71A6", "71A⁶")</f>
        <v/>
      </c>
      <c r="N3108">
        <f>HYPERLINK("CSG24.html#group284A24", "284A²⁴")</f>
        <v/>
      </c>
    </row>
    <row r="3109">
      <c r="A3109" t="inlineStr">
        <is>
          <t>144A¹²</t>
        </is>
      </c>
      <c r="B3109" t="inlineStr"/>
      <c r="C3109" t="inlineStr">
        <is>
          <t>192</t>
        </is>
      </c>
      <c r="D3109" t="inlineStr">
        <is>
          <t>2</t>
        </is>
      </c>
      <c r="E3109" t="inlineStr">
        <is>
          <t>32</t>
        </is>
      </c>
      <c r="F3109" t="inlineStr">
        <is>
          <t>0</t>
        </is>
      </c>
      <c r="G3109" t="inlineStr">
        <is>
          <t>12</t>
        </is>
      </c>
      <c r="H3109" t="inlineStr">
        <is>
          <t>48¹, 144¹</t>
        </is>
      </c>
      <c r="I3109" t="n">
        <v>2</v>
      </c>
      <c r="J3109" t="inlineStr">
        <is>
          <t>8⁴, 16²</t>
        </is>
      </c>
      <c r="K3109">
        <f>HYPERLINK("CSG4.html#group48A4", "48A⁴"), =HYPERLINK("CSG6.html#group72A6", "72A⁶")</f>
        <v/>
      </c>
      <c r="L3109">
        <f>HYPERLINK("CSG23.html#group144V23", "144V²³")</f>
        <v/>
      </c>
      <c r="M3109">
        <f>HYPERLINK("CSG0.html#group3B0", "3B⁰"), =HYPERLINK("CSG6.html#group72A6", "72A⁶"), =HYPERLINK("CSG0.html#group16A0", "16A⁰"), =HYPERLINK("CSG2.html#group24A2", "24A²"), =HYPERLINK("CSG0.html#group4A0", "4A⁰"), =HYPERLINK("CSG1.html#group12A1", "12A¹"), =HYPERLINK("CSG0.html#group8A0", "8A⁰"), =HYPERLINK("CSG4.html#group48A4", "48A⁴"), =HYPERLINK("CSG0.html#group9C0", "9C⁰"), =HYPERLINK("CSG0.html#group1A0", "1A⁰"), =HYPERLINK("CSG3.html#group36C3", "36C³")</f>
        <v/>
      </c>
      <c r="N3109">
        <f>HYPERLINK("CSG23.html#group144V23", "144V²³")</f>
        <v/>
      </c>
    </row>
    <row r="3110">
      <c r="A3110" t="inlineStr">
        <is>
          <t>144B¹²</t>
        </is>
      </c>
      <c r="B3110" t="inlineStr"/>
      <c r="C3110" t="inlineStr">
        <is>
          <t>216</t>
        </is>
      </c>
      <c r="D3110" t="inlineStr">
        <is>
          <t>1</t>
        </is>
      </c>
      <c r="E3110" t="inlineStr">
        <is>
          <t>27</t>
        </is>
      </c>
      <c r="F3110" t="inlineStr">
        <is>
          <t>24</t>
        </is>
      </c>
      <c r="G3110" t="inlineStr">
        <is>
          <t>0</t>
        </is>
      </c>
      <c r="H3110" t="inlineStr">
        <is>
          <t>72¹, 144¹</t>
        </is>
      </c>
      <c r="I3110" t="n">
        <v>2</v>
      </c>
      <c r="J3110" t="inlineStr">
        <is>
          <t>1³, 2³, 6³</t>
        </is>
      </c>
      <c r="K3110">
        <f>HYPERLINK("CSG4.html#group48C4", "48C⁴"), =HYPERLINK("CSG4.html#group72E4", "72E⁴")</f>
        <v/>
      </c>
      <c r="L3110">
        <f>HYPERLINK("CSG23.html#group144X23", "144X²³"), =HYPERLINK("CSG23.html#group144Y23", "144Y²³")</f>
        <v/>
      </c>
      <c r="M3110">
        <f>HYPERLINK("CSG0.html#group12C0", "12C⁰"), =HYPERLINK("CSG0.html#group24A0", "24A⁰"), =HYPERLINK("CSG4.html#group72E4", "72E⁴"), =HYPERLINK("CSG0.html#group9A0", "9A⁰"), =HYPERLINK("CSG2.html#group36B2", "36B²"), =HYPERLINK("CSG0.html#group4C0", "4C⁰"), =HYPERLINK("CSG0.html#group8B0", "8B⁰"), =HYPERLINK("CSG0.html#group2B0", "2B⁰"), =HYPERLINK("CSG1.html#group18E1", "18E¹"), =HYPERLINK("CSG0.html#group3A0", "3A⁰"), =HYPERLINK("CSG0.html#group1A0", "1A⁰"), =HYPERLINK("CSG0.html#group6D0", "6D⁰"), =HYPERLINK("CSG4.html#group48C4", "48C⁴")</f>
        <v/>
      </c>
      <c r="N3110">
        <f>HYPERLINK("CSG23.html#group144X23", "144X²³"), =HYPERLINK("CSG23.html#group144Y23", "144Y²³")</f>
        <v/>
      </c>
    </row>
    <row r="3111">
      <c r="A3111" t="inlineStr">
        <is>
          <t>145A¹²</t>
        </is>
      </c>
      <c r="B3111" t="inlineStr"/>
      <c r="C3111" t="inlineStr">
        <is>
          <t>150</t>
        </is>
      </c>
      <c r="D3111" t="inlineStr">
        <is>
          <t>1</t>
        </is>
      </c>
      <c r="E3111" t="inlineStr">
        <is>
          <t>150</t>
        </is>
      </c>
      <c r="F3111" t="inlineStr">
        <is>
          <t>2</t>
        </is>
      </c>
      <c r="G3111" t="inlineStr">
        <is>
          <t>0</t>
        </is>
      </c>
      <c r="H3111" t="inlineStr">
        <is>
          <t>5¹, 145¹</t>
        </is>
      </c>
      <c r="I3111" t="n">
        <v>2</v>
      </c>
      <c r="J3111" t="inlineStr">
        <is>
          <t>1², 4², 28¹, 112¹</t>
        </is>
      </c>
      <c r="K3111">
        <f>HYPERLINK("CSG0.html#group5A0", "5A⁰"), =HYPERLINK("CSG2.html#group29A2", "29A²")</f>
        <v/>
      </c>
      <c r="L3111">
        <f>HYPERLINK("CSG24.html#group145A24", "145A²⁴"), =HYPERLINK("CSG24.html#group290A24", "290A²⁴")</f>
        <v/>
      </c>
      <c r="M3111">
        <f>HYPERLINK("CSG0.html#group1A0", "1A⁰"), =HYPERLINK("CSG0.html#group5A0", "5A⁰"), =HYPERLINK("CSG2.html#group29A2", "29A²")</f>
        <v/>
      </c>
      <c r="N3111">
        <f>HYPERLINK("CSG24.html#group290A24", "290A²⁴"), =HYPERLINK("CSG24.html#group145A24", "145A²⁴")</f>
        <v/>
      </c>
    </row>
    <row r="3112">
      <c r="A3112" t="inlineStr">
        <is>
          <t>149A¹²</t>
        </is>
      </c>
      <c r="B3112" t="inlineStr">
        <is>
          <t>Γ₀(149)</t>
        </is>
      </c>
      <c r="C3112" t="inlineStr">
        <is>
          <t>150</t>
        </is>
      </c>
      <c r="D3112" t="inlineStr">
        <is>
          <t>1</t>
        </is>
      </c>
      <c r="E3112" t="inlineStr">
        <is>
          <t>150</t>
        </is>
      </c>
      <c r="F3112" t="inlineStr">
        <is>
          <t>2</t>
        </is>
      </c>
      <c r="G3112" t="inlineStr">
        <is>
          <t>0</t>
        </is>
      </c>
      <c r="H3112" t="inlineStr">
        <is>
          <t>1¹, 149¹</t>
        </is>
      </c>
      <c r="I3112" t="n">
        <v>2</v>
      </c>
      <c r="J3112" t="inlineStr">
        <is>
          <t>1², 148¹</t>
        </is>
      </c>
      <c r="K3112">
        <f>HYPERLINK("CSG0.html#group1A0", "1A⁰")</f>
        <v/>
      </c>
      <c r="L3112">
        <f>HYPERLINK("CSG24.html#group149A24", "149A²⁴"), =HYPERLINK("CSG24.html#group298A24", "298A²⁴")</f>
        <v/>
      </c>
      <c r="M3112">
        <f>HYPERLINK("CSG0.html#group1A0", "1A⁰")</f>
        <v/>
      </c>
      <c r="N3112">
        <f>HYPERLINK("CSG24.html#group149A24", "149A²⁴"), =HYPERLINK("CSG24.html#group298A24", "298A²⁴")</f>
        <v/>
      </c>
    </row>
    <row r="3113">
      <c r="A3113" t="inlineStr">
        <is>
          <t>150A¹²</t>
        </is>
      </c>
      <c r="B3113" t="inlineStr"/>
      <c r="C3113" t="inlineStr">
        <is>
          <t>180</t>
        </is>
      </c>
      <c r="D3113" t="inlineStr">
        <is>
          <t>1</t>
        </is>
      </c>
      <c r="E3113" t="inlineStr">
        <is>
          <t>30</t>
        </is>
      </c>
      <c r="F3113" t="inlineStr">
        <is>
          <t>12</t>
        </is>
      </c>
      <c r="G3113" t="inlineStr">
        <is>
          <t>0</t>
        </is>
      </c>
      <c r="H3113" t="inlineStr">
        <is>
          <t>30¹, 150¹</t>
        </is>
      </c>
      <c r="I3113" t="n">
        <v>2</v>
      </c>
      <c r="J3113" t="inlineStr">
        <is>
          <t>2², 4⁴, 20²</t>
        </is>
      </c>
      <c r="K3113">
        <f>HYPERLINK("CSG0.html#group30A0", "30A⁰"), =HYPERLINK("CSG4.html#group50A4", "50A⁴"), =HYPERLINK("CSG6.html#group75A6", "75A⁶")</f>
        <v/>
      </c>
      <c r="L3113" t="inlineStr"/>
      <c r="M3113">
        <f>HYPERLINK("CSG0.html#group30A0", "30A⁰"), =HYPERLINK("CSG0.html#group15B0", "15B⁰"), =HYPERLINK("CSG2.html#group25A2", "25A²"), =HYPERLINK("CSG0.html#group3A0", "3A⁰"), =HYPERLINK("CSG0.html#group5B0", "5B⁰"), =HYPERLINK("CSG6.html#group75A6", "75A⁶"), =HYPERLINK("CSG0.html#group1A0", "1A⁰"), =HYPERLINK("CSG4.html#group50A4", "50A⁴"), =HYPERLINK("CSG0.html#group10B0", "10B⁰")</f>
        <v/>
      </c>
      <c r="N3113" t="inlineStr"/>
    </row>
    <row r="3114">
      <c r="A3114" t="inlineStr">
        <is>
          <t>150B¹²</t>
        </is>
      </c>
      <c r="B3114" t="inlineStr"/>
      <c r="C3114" t="inlineStr">
        <is>
          <t>180</t>
        </is>
      </c>
      <c r="D3114" t="inlineStr">
        <is>
          <t>1</t>
        </is>
      </c>
      <c r="E3114" t="inlineStr">
        <is>
          <t>30</t>
        </is>
      </c>
      <c r="F3114" t="inlineStr">
        <is>
          <t>12</t>
        </is>
      </c>
      <c r="G3114" t="inlineStr">
        <is>
          <t>0</t>
        </is>
      </c>
      <c r="H3114" t="inlineStr">
        <is>
          <t>30¹, 150¹</t>
        </is>
      </c>
      <c r="I3114" t="n">
        <v>2</v>
      </c>
      <c r="J3114" t="inlineStr">
        <is>
          <t>2², 4⁴, 20²</t>
        </is>
      </c>
      <c r="K3114">
        <f>HYPERLINK("CSG0.html#group30A0", "30A⁰"), =HYPERLINK("CSG4.html#group50B4", "50B⁴"), =HYPERLINK("CSG6.html#group75B6", "75B⁶")</f>
        <v/>
      </c>
      <c r="L3114" t="inlineStr"/>
      <c r="M3114">
        <f>HYPERLINK("CSG0.html#group30A0", "30A⁰"), =HYPERLINK("CSG0.html#group15B0", "15B⁰"), =HYPERLINK("CSG4.html#group50B4", "50B⁴"), =HYPERLINK("CSG0.html#group5B0", "5B⁰"), =HYPERLINK("CSG0.html#group1A0", "1A⁰"), =HYPERLINK("CSG0.html#group3A0", "3A⁰"), =HYPERLINK("CSG6.html#group75B6", "75B⁶"), =HYPERLINK("CSG2.html#group25B2", "25B²"), =HYPERLINK("CSG0.html#group10B0", "10B⁰")</f>
        <v/>
      </c>
      <c r="N3114" t="inlineStr"/>
    </row>
    <row r="3115">
      <c r="A3115" t="inlineStr">
        <is>
          <t>150C¹²</t>
        </is>
      </c>
      <c r="B3115" t="inlineStr"/>
      <c r="C3115" t="inlineStr">
        <is>
          <t>180</t>
        </is>
      </c>
      <c r="D3115" t="inlineStr">
        <is>
          <t>1</t>
        </is>
      </c>
      <c r="E3115" t="inlineStr">
        <is>
          <t>30</t>
        </is>
      </c>
      <c r="F3115" t="inlineStr">
        <is>
          <t>12</t>
        </is>
      </c>
      <c r="G3115" t="inlineStr">
        <is>
          <t>0</t>
        </is>
      </c>
      <c r="H3115" t="inlineStr">
        <is>
          <t>30¹, 150¹</t>
        </is>
      </c>
      <c r="I3115" t="n">
        <v>2</v>
      </c>
      <c r="J3115" t="inlineStr">
        <is>
          <t>2², 4⁴, 20²</t>
        </is>
      </c>
      <c r="K3115">
        <f>HYPERLINK("CSG0.html#group30A0", "30A⁰"), =HYPERLINK("CSG4.html#group50C4", "50C⁴"), =HYPERLINK("CSG6.html#group75C6", "75C⁶")</f>
        <v/>
      </c>
      <c r="L3115" t="inlineStr"/>
      <c r="M3115">
        <f>HYPERLINK("CSG0.html#group30A0", "30A⁰"), =HYPERLINK("CSG0.html#group15B0", "15B⁰"), =HYPERLINK("CSG6.html#group75C6", "75C⁶"), =HYPERLINK("CSG0.html#group5B0", "5B⁰"), =HYPERLINK("CSG4.html#group50C4", "50C⁴"), =HYPERLINK("CSG0.html#group3A0", "3A⁰"), =HYPERLINK("CSG0.html#group1A0", "1A⁰"), =HYPERLINK("CSG2.html#group25C2", "25C²"), =HYPERLINK("CSG0.html#group10B0", "10B⁰")</f>
        <v/>
      </c>
      <c r="N3115" t="inlineStr"/>
    </row>
    <row r="3116">
      <c r="A3116" t="inlineStr">
        <is>
          <t>150D¹²</t>
        </is>
      </c>
      <c r="B3116" t="inlineStr"/>
      <c r="C3116" t="inlineStr">
        <is>
          <t>180</t>
        </is>
      </c>
      <c r="D3116" t="inlineStr">
        <is>
          <t>1</t>
        </is>
      </c>
      <c r="E3116" t="inlineStr">
        <is>
          <t>30</t>
        </is>
      </c>
      <c r="F3116" t="inlineStr">
        <is>
          <t>12</t>
        </is>
      </c>
      <c r="G3116" t="inlineStr">
        <is>
          <t>0</t>
        </is>
      </c>
      <c r="H3116" t="inlineStr">
        <is>
          <t>30¹, 150¹</t>
        </is>
      </c>
      <c r="I3116" t="n">
        <v>2</v>
      </c>
      <c r="J3116" t="inlineStr">
        <is>
          <t>2², 4⁴, 20²</t>
        </is>
      </c>
      <c r="K3116">
        <f>HYPERLINK("CSG0.html#group30A0", "30A⁰"), =HYPERLINK("CSG4.html#group50D4", "50D⁴"), =HYPERLINK("CSG6.html#group75D6", "75D⁶")</f>
        <v/>
      </c>
      <c r="L3116" t="inlineStr"/>
      <c r="M3116">
        <f>HYPERLINK("CSG0.html#group30A0", "30A⁰"), =HYPERLINK("CSG0.html#group15B0", "15B⁰"), =HYPERLINK("CSG0.html#group5B0", "5B⁰"), =HYPERLINK("CSG4.html#group50D4", "50D⁴"), =HYPERLINK("CSG6.html#group75D6", "75D⁶"), =HYPERLINK("CSG0.html#group3A0", "3A⁰"), =HYPERLINK("CSG0.html#group1A0", "1A⁰"), =HYPERLINK("CSG2.html#group25D2", "25D²"), =HYPERLINK("CSG0.html#group10B0", "10B⁰")</f>
        <v/>
      </c>
      <c r="N3116" t="inlineStr"/>
    </row>
    <row r="3117">
      <c r="A3117" t="inlineStr">
        <is>
          <t>150E¹²</t>
        </is>
      </c>
      <c r="B3117" t="inlineStr"/>
      <c r="C3117" t="inlineStr">
        <is>
          <t>180</t>
        </is>
      </c>
      <c r="D3117" t="inlineStr">
        <is>
          <t>1</t>
        </is>
      </c>
      <c r="E3117" t="inlineStr">
        <is>
          <t>90</t>
        </is>
      </c>
      <c r="F3117" t="inlineStr">
        <is>
          <t>4</t>
        </is>
      </c>
      <c r="G3117" t="inlineStr">
        <is>
          <t>0</t>
        </is>
      </c>
      <c r="H3117" t="inlineStr">
        <is>
          <t>6⁵, 150¹</t>
        </is>
      </c>
      <c r="I3117" t="n">
        <v>6</v>
      </c>
      <c r="J3117" t="inlineStr">
        <is>
          <t>1², 2², 4², 8², 20¹, 40¹</t>
        </is>
      </c>
      <c r="K3117">
        <f>HYPERLINK("CSG2.html#group30C2", "30C²"), =HYPERLINK("CSG4.html#group75A4", "75A⁴")</f>
        <v/>
      </c>
      <c r="L3117">
        <f>HYPERLINK("CSG23.html#group150C23", "150C²³"), =HYPERLINK("CSG23.html#group150D23", "150D²³")</f>
        <v/>
      </c>
      <c r="M3117">
        <f>HYPERLINK("CSG0.html#group25A0", "25A⁰"), =HYPERLINK("CSG0.html#group5B0", "5B⁰"), =HYPERLINK("CSG0.html#group15B0", "15B⁰"), =HYPERLINK("CSG4.html#group75A4", "75A⁴"), =HYPERLINK("CSG0.html#group3A0", "3A⁰"), =HYPERLINK("CSG0.html#group1A0", "1A⁰"), =HYPERLINK("CSG2.html#group30C2", "30C²")</f>
        <v/>
      </c>
      <c r="N3117">
        <f>HYPERLINK("CSG23.html#group150C23", "150C²³"), =HYPERLINK("CSG23.html#group150D23", "150D²³")</f>
        <v/>
      </c>
    </row>
    <row r="3118">
      <c r="A3118" t="inlineStr">
        <is>
          <t>151A¹²</t>
        </is>
      </c>
      <c r="B3118" t="inlineStr">
        <is>
          <t>Γ₀(151)</t>
        </is>
      </c>
      <c r="C3118" t="inlineStr">
        <is>
          <t>152</t>
        </is>
      </c>
      <c r="D3118" t="inlineStr">
        <is>
          <t>1</t>
        </is>
      </c>
      <c r="E3118" t="inlineStr">
        <is>
          <t>152</t>
        </is>
      </c>
      <c r="F3118" t="inlineStr">
        <is>
          <t>0</t>
        </is>
      </c>
      <c r="G3118" t="inlineStr">
        <is>
          <t>2</t>
        </is>
      </c>
      <c r="H3118" t="inlineStr">
        <is>
          <t>1¹, 151¹</t>
        </is>
      </c>
      <c r="I3118" t="n">
        <v>2</v>
      </c>
      <c r="J3118" t="inlineStr">
        <is>
          <t>1², 150¹</t>
        </is>
      </c>
      <c r="K3118">
        <f>HYPERLINK("CSG0.html#group1A0", "1A⁰")</f>
        <v/>
      </c>
      <c r="L3118">
        <f>HYPERLINK("CSG24.html#group302A24", "302A²⁴")</f>
        <v/>
      </c>
      <c r="M3118">
        <f>HYPERLINK("CSG0.html#group1A0", "1A⁰")</f>
        <v/>
      </c>
      <c r="N3118">
        <f>HYPERLINK("CSG24.html#group302A24", "302A²⁴")</f>
        <v/>
      </c>
    </row>
    <row r="3119">
      <c r="A3119" t="inlineStr">
        <is>
          <t>152A¹²</t>
        </is>
      </c>
      <c r="B3119" t="inlineStr"/>
      <c r="C3119" t="inlineStr">
        <is>
          <t>160</t>
        </is>
      </c>
      <c r="D3119" t="inlineStr">
        <is>
          <t>2</t>
        </is>
      </c>
      <c r="E3119" t="inlineStr">
        <is>
          <t>80</t>
        </is>
      </c>
      <c r="F3119" t="inlineStr">
        <is>
          <t>0</t>
        </is>
      </c>
      <c r="G3119" t="inlineStr">
        <is>
          <t>4</t>
        </is>
      </c>
      <c r="H3119" t="inlineStr">
        <is>
          <t>8¹, 152¹</t>
        </is>
      </c>
      <c r="I3119" t="n">
        <v>2</v>
      </c>
      <c r="J3119" t="inlineStr">
        <is>
          <t>4⁴, 72²</t>
        </is>
      </c>
      <c r="K3119">
        <f>HYPERLINK("CSG0.html#group8A0", "8A⁰"), =HYPERLINK("CSG6.html#group76A6", "76A⁶")</f>
        <v/>
      </c>
      <c r="L3119">
        <f>HYPERLINK("CSG23.html#group152B23", "152B²³"), =HYPERLINK("CSG24.html#group304A24", "304A²⁴")</f>
        <v/>
      </c>
      <c r="M3119">
        <f>HYPERLINK("CSG0.html#group8A0", "8A⁰"), =HYPERLINK("CSG1.html#group19A1", "19A¹"), =HYPERLINK("CSG6.html#group76A6", "76A⁶"), =HYPERLINK("CSG0.html#group1A0", "1A⁰"), =HYPERLINK("CSG0.html#group4A0", "4A⁰")</f>
        <v/>
      </c>
      <c r="N3119">
        <f>HYPERLINK("CSG23.html#group152B23", "152B²³"), =HYPERLINK("CSG24.html#group304A24", "304A²⁴")</f>
        <v/>
      </c>
    </row>
    <row r="3120">
      <c r="A3120" t="inlineStr">
        <is>
          <t>154A¹²</t>
        </is>
      </c>
      <c r="B3120" t="inlineStr"/>
      <c r="C3120" t="inlineStr">
        <is>
          <t>154</t>
        </is>
      </c>
      <c r="D3120" t="inlineStr">
        <is>
          <t>2</t>
        </is>
      </c>
      <c r="E3120" t="inlineStr">
        <is>
          <t>77</t>
        </is>
      </c>
      <c r="F3120" t="inlineStr">
        <is>
          <t>0</t>
        </is>
      </c>
      <c r="G3120" t="inlineStr">
        <is>
          <t>4</t>
        </is>
      </c>
      <c r="H3120" t="inlineStr">
        <is>
          <t>154¹</t>
        </is>
      </c>
      <c r="I3120" t="n">
        <v>1</v>
      </c>
      <c r="J3120" t="inlineStr">
        <is>
          <t>4¹, 12², 20², 60⁴</t>
        </is>
      </c>
      <c r="K3120">
        <f>HYPERLINK("CSG1.html#group22A1", "22A¹"), =HYPERLINK("CSG4.html#group77A4", "77A⁴")</f>
        <v/>
      </c>
      <c r="L3120">
        <f>HYPERLINK("CSG23.html#group154A23", "154A²³")</f>
        <v/>
      </c>
      <c r="M3120">
        <f>HYPERLINK("CSG0.html#group11A0", "11A⁰"), =HYPERLINK("CSG0.html#group2A0", "2A⁰"), =HYPERLINK("CSG1.html#group22A1", "22A¹"), =HYPERLINK("CSG0.html#group1A0", "1A⁰"), =HYPERLINK("CSG0.html#group7A0", "7A⁰"), =HYPERLINK("CSG4.html#group77A4", "77A⁴")</f>
        <v/>
      </c>
      <c r="N3120">
        <f>HYPERLINK("CSG23.html#group154A23", "154A²³")</f>
        <v/>
      </c>
    </row>
    <row r="3121">
      <c r="A3121" t="inlineStr">
        <is>
          <t>154B¹²</t>
        </is>
      </c>
      <c r="B3121" t="inlineStr"/>
      <c r="C3121" t="inlineStr">
        <is>
          <t>154</t>
        </is>
      </c>
      <c r="D3121" t="inlineStr">
        <is>
          <t>2</t>
        </is>
      </c>
      <c r="E3121" t="inlineStr">
        <is>
          <t>77</t>
        </is>
      </c>
      <c r="F3121" t="inlineStr">
        <is>
          <t>0</t>
        </is>
      </c>
      <c r="G3121" t="inlineStr">
        <is>
          <t>4</t>
        </is>
      </c>
      <c r="H3121" t="inlineStr">
        <is>
          <t>154¹</t>
        </is>
      </c>
      <c r="I3121" t="n">
        <v>1</v>
      </c>
      <c r="J3121" t="inlineStr">
        <is>
          <t>4¹, 12², 20², 60⁴</t>
        </is>
      </c>
      <c r="K3121">
        <f>HYPERLINK("CSG1.html#group22A1", "22A¹"), =HYPERLINK("CSG4.html#group77B4", "77B⁴")</f>
        <v/>
      </c>
      <c r="L3121">
        <f>HYPERLINK("CSG23.html#group154B23", "154B²³")</f>
        <v/>
      </c>
      <c r="M3121">
        <f>HYPERLINK("CSG0.html#group11A0", "11A⁰"), =HYPERLINK("CSG0.html#group2A0", "2A⁰"), =HYPERLINK("CSG1.html#group22A1", "22A¹"), =HYPERLINK("CSG4.html#group77B4", "77B⁴"), =HYPERLINK("CSG0.html#group1A0", "1A⁰"), =HYPERLINK("CSG0.html#group7A0", "7A⁰")</f>
        <v/>
      </c>
      <c r="N3121">
        <f>HYPERLINK("CSG23.html#group154B23", "154B²³")</f>
        <v/>
      </c>
    </row>
    <row r="3122">
      <c r="A3122" t="inlineStr">
        <is>
          <t>154C¹²</t>
        </is>
      </c>
      <c r="B3122" t="inlineStr"/>
      <c r="C3122" t="inlineStr">
        <is>
          <t>176</t>
        </is>
      </c>
      <c r="D3122" t="inlineStr">
        <is>
          <t>2</t>
        </is>
      </c>
      <c r="E3122" t="inlineStr">
        <is>
          <t>88</t>
        </is>
      </c>
      <c r="F3122" t="inlineStr">
        <is>
          <t>0</t>
        </is>
      </c>
      <c r="G3122" t="inlineStr">
        <is>
          <t>8</t>
        </is>
      </c>
      <c r="H3122" t="inlineStr">
        <is>
          <t>22¹, 154¹</t>
        </is>
      </c>
      <c r="I3122" t="n">
        <v>2</v>
      </c>
      <c r="J3122" t="inlineStr">
        <is>
          <t>2², 10⁴, 12¹, 60²</t>
        </is>
      </c>
      <c r="K3122">
        <f>HYPERLINK("CSG1.html#group22A1", "22A¹"), =HYPERLINK("CSG6.html#group77A6", "77A⁶")</f>
        <v/>
      </c>
      <c r="L3122">
        <f>HYPERLINK("CSG24.html#group308A24", "308A²⁴")</f>
        <v/>
      </c>
      <c r="M3122">
        <f>HYPERLINK("CSG0.html#group11A0", "11A⁰"), =HYPERLINK("CSG0.html#group2A0", "2A⁰"), =HYPERLINK("CSG1.html#group22A1", "22A¹"), =HYPERLINK("CSG0.html#group1A0", "1A⁰"), =HYPERLINK("CSG0.html#group7B0", "7B⁰"), =HYPERLINK("CSG6.html#group77A6", "77A⁶")</f>
        <v/>
      </c>
      <c r="N3122">
        <f>HYPERLINK("CSG24.html#group308A24", "308A²⁴")</f>
        <v/>
      </c>
    </row>
    <row r="3123">
      <c r="A3123" t="inlineStr">
        <is>
          <t>155A¹²</t>
        </is>
      </c>
      <c r="B3123" t="inlineStr"/>
      <c r="C3123" t="inlineStr">
        <is>
          <t>160</t>
        </is>
      </c>
      <c r="D3123" t="inlineStr">
        <is>
          <t>1</t>
        </is>
      </c>
      <c r="E3123" t="inlineStr">
        <is>
          <t>160</t>
        </is>
      </c>
      <c r="F3123" t="inlineStr">
        <is>
          <t>0</t>
        </is>
      </c>
      <c r="G3123" t="inlineStr">
        <is>
          <t>4</t>
        </is>
      </c>
      <c r="H3123" t="inlineStr">
        <is>
          <t>5¹, 155¹</t>
        </is>
      </c>
      <c r="I3123" t="n">
        <v>2</v>
      </c>
      <c r="J3123" t="inlineStr">
        <is>
          <t>1², 4², 30¹, 120¹</t>
        </is>
      </c>
      <c r="K3123">
        <f>HYPERLINK("CSG0.html#group5A0", "5A⁰"), =HYPERLINK("CSG2.html#group31A2", "31A²")</f>
        <v/>
      </c>
      <c r="L3123">
        <f>HYPERLINK("CSG24.html#group310A24", "310A²⁴")</f>
        <v/>
      </c>
      <c r="M3123">
        <f>HYPERLINK("CSG2.html#group31A2", "31A²"), =HYPERLINK("CSG0.html#group5A0", "5A⁰"), =HYPERLINK("CSG0.html#group1A0", "1A⁰")</f>
        <v/>
      </c>
      <c r="N3123">
        <f>HYPERLINK("CSG24.html#group310A24", "310A²⁴")</f>
        <v/>
      </c>
    </row>
    <row r="3124">
      <c r="A3124" t="inlineStr">
        <is>
          <t>157A¹²</t>
        </is>
      </c>
      <c r="B3124" t="inlineStr">
        <is>
          <t>Γ₀(157)</t>
        </is>
      </c>
      <c r="C3124" t="inlineStr">
        <is>
          <t>158</t>
        </is>
      </c>
      <c r="D3124" t="inlineStr">
        <is>
          <t>1</t>
        </is>
      </c>
      <c r="E3124" t="inlineStr">
        <is>
          <t>158</t>
        </is>
      </c>
      <c r="F3124" t="inlineStr">
        <is>
          <t>2</t>
        </is>
      </c>
      <c r="G3124" t="inlineStr">
        <is>
          <t>2</t>
        </is>
      </c>
      <c r="H3124" t="inlineStr">
        <is>
          <t>1¹, 157¹</t>
        </is>
      </c>
      <c r="I3124" t="n">
        <v>2</v>
      </c>
      <c r="J3124" t="inlineStr">
        <is>
          <t>1², 156¹</t>
        </is>
      </c>
      <c r="K3124">
        <f>HYPERLINK("CSG0.html#group1A0", "1A⁰")</f>
        <v/>
      </c>
      <c r="L3124">
        <f>HYPERLINK("CSG24.html#group157A24", "157A²⁴"), =HYPERLINK("CSG24.html#group314A24", "314A²⁴")</f>
        <v/>
      </c>
      <c r="M3124">
        <f>HYPERLINK("CSG0.html#group1A0", "1A⁰")</f>
        <v/>
      </c>
      <c r="N3124">
        <f>HYPERLINK("CSG24.html#group157A24", "157A²⁴"), =HYPERLINK("CSG24.html#group314A24", "314A²⁴")</f>
        <v/>
      </c>
    </row>
    <row r="3125">
      <c r="A3125" t="inlineStr">
        <is>
          <t>158A¹²</t>
        </is>
      </c>
      <c r="B3125" t="inlineStr"/>
      <c r="C3125" t="inlineStr">
        <is>
          <t>160</t>
        </is>
      </c>
      <c r="D3125" t="inlineStr">
        <is>
          <t>1</t>
        </is>
      </c>
      <c r="E3125" t="inlineStr">
        <is>
          <t>80</t>
        </is>
      </c>
      <c r="F3125" t="inlineStr">
        <is>
          <t>0</t>
        </is>
      </c>
      <c r="G3125" t="inlineStr">
        <is>
          <t>4</t>
        </is>
      </c>
      <c r="H3125" t="inlineStr">
        <is>
          <t>2¹, 158¹</t>
        </is>
      </c>
      <c r="I3125" t="n">
        <v>2</v>
      </c>
      <c r="J3125" t="inlineStr">
        <is>
          <t>1², 78¹</t>
        </is>
      </c>
      <c r="K3125">
        <f>HYPERLINK("CSG0.html#group2A0", "2A⁰"), =HYPERLINK("CSG6.html#group79A6", "79A⁶")</f>
        <v/>
      </c>
      <c r="L3125">
        <f>HYPERLINK("CSG24.html#group316A24", "316A²⁴")</f>
        <v/>
      </c>
      <c r="M3125">
        <f>HYPERLINK("CSG0.html#group2A0", "2A⁰"), =HYPERLINK("CSG0.html#group1A0", "1A⁰"), =HYPERLINK("CSG6.html#group79A6", "79A⁶")</f>
        <v/>
      </c>
      <c r="N3125">
        <f>HYPERLINK("CSG24.html#group316A24", "316A²⁴")</f>
        <v/>
      </c>
    </row>
    <row r="3126">
      <c r="A3126" t="inlineStr">
        <is>
          <t>159A¹²</t>
        </is>
      </c>
      <c r="B3126" t="inlineStr"/>
      <c r="C3126" t="inlineStr">
        <is>
          <t>162</t>
        </is>
      </c>
      <c r="D3126" t="inlineStr">
        <is>
          <t>1</t>
        </is>
      </c>
      <c r="E3126" t="inlineStr">
        <is>
          <t>54</t>
        </is>
      </c>
      <c r="F3126" t="inlineStr">
        <is>
          <t>6</t>
        </is>
      </c>
      <c r="G3126" t="inlineStr">
        <is>
          <t>0</t>
        </is>
      </c>
      <c r="H3126" t="inlineStr">
        <is>
          <t>3¹, 159¹</t>
        </is>
      </c>
      <c r="I3126" t="n">
        <v>2</v>
      </c>
      <c r="J3126" t="inlineStr">
        <is>
          <t>1², 52¹</t>
        </is>
      </c>
      <c r="K3126">
        <f>HYPERLINK("CSG0.html#group3A0", "3A⁰"), =HYPERLINK("CSG4.html#group53A4", "53A⁴")</f>
        <v/>
      </c>
      <c r="L3126">
        <f>HYPERLINK("CSG24.html#group159A24", "159A²⁴"), =HYPERLINK("CSG24.html#group318A24", "318A²⁴")</f>
        <v/>
      </c>
      <c r="M3126">
        <f>HYPERLINK("CSG0.html#group3A0", "3A⁰"), =HYPERLINK("CSG0.html#group1A0", "1A⁰"), =HYPERLINK("CSG4.html#group53A4", "53A⁴")</f>
        <v/>
      </c>
      <c r="N3126">
        <f>HYPERLINK("CSG24.html#group318A24", "318A²⁴"), =HYPERLINK("CSG24.html#group159A24", "159A²⁴")</f>
        <v/>
      </c>
    </row>
    <row r="3127">
      <c r="A3127" t="inlineStr">
        <is>
          <t>165A¹²</t>
        </is>
      </c>
      <c r="B3127" t="inlineStr"/>
      <c r="C3127" t="inlineStr">
        <is>
          <t>165</t>
        </is>
      </c>
      <c r="D3127" t="inlineStr">
        <is>
          <t>2</t>
        </is>
      </c>
      <c r="E3127" t="inlineStr">
        <is>
          <t>55</t>
        </is>
      </c>
      <c r="F3127" t="inlineStr">
        <is>
          <t>9</t>
        </is>
      </c>
      <c r="G3127" t="inlineStr">
        <is>
          <t>0</t>
        </is>
      </c>
      <c r="H3127" t="inlineStr">
        <is>
          <t>165¹</t>
        </is>
      </c>
      <c r="I3127" t="n">
        <v>1</v>
      </c>
      <c r="J3127" t="inlineStr">
        <is>
          <t>2¹, 8¹, 10², 40²</t>
        </is>
      </c>
      <c r="K3127">
        <f>HYPERLINK("CSG1.html#group15A1", "15A¹"), =HYPERLINK("CSG1.html#group33A1", "33A¹"), =HYPERLINK("CSG3.html#group55A3", "55A³")</f>
        <v/>
      </c>
      <c r="L3127" t="inlineStr"/>
      <c r="M3127">
        <f>HYPERLINK("CSG0.html#group11A0", "11A⁰"), =HYPERLINK("CSG3.html#group55A3", "55A³"), =HYPERLINK("CSG0.html#group5A0", "5A⁰"), =HYPERLINK("CSG1.html#group33A1", "33A¹"), =HYPERLINK("CSG0.html#group3A0", "3A⁰"), =HYPERLINK("CSG0.html#group1A0", "1A⁰"), =HYPERLINK("CSG1.html#group15A1", "15A¹")</f>
        <v/>
      </c>
      <c r="N3127" t="inlineStr"/>
    </row>
    <row r="3128">
      <c r="A3128" t="inlineStr">
        <is>
          <t>165B¹²</t>
        </is>
      </c>
      <c r="B3128" t="inlineStr"/>
      <c r="C3128" t="inlineStr">
        <is>
          <t>198</t>
        </is>
      </c>
      <c r="D3128" t="inlineStr">
        <is>
          <t>2</t>
        </is>
      </c>
      <c r="E3128" t="inlineStr">
        <is>
          <t>66</t>
        </is>
      </c>
      <c r="F3128" t="inlineStr">
        <is>
          <t>18</t>
        </is>
      </c>
      <c r="G3128" t="inlineStr">
        <is>
          <t>0</t>
        </is>
      </c>
      <c r="H3128" t="inlineStr">
        <is>
          <t>33¹, 165¹</t>
        </is>
      </c>
      <c r="I3128" t="n">
        <v>2</v>
      </c>
      <c r="J3128" t="inlineStr">
        <is>
          <t>2², 8¹, 10⁴, 40²</t>
        </is>
      </c>
      <c r="K3128">
        <f>HYPERLINK("CSG0.html#group15B0", "15B⁰"), =HYPERLINK("CSG1.html#group33A1", "33A¹"), =HYPERLINK("CSG4.html#group55A4", "55A⁴")</f>
        <v/>
      </c>
      <c r="L3128">
        <f>HYPERLINK("CSG24.html#group330D24", "330D²⁴")</f>
        <v/>
      </c>
      <c r="M3128">
        <f>HYPERLINK("CSG0.html#group11A0", "11A⁰"), =HYPERLINK("CSG4.html#group55A4", "55A⁴"), =HYPERLINK("CSG0.html#group15B0", "15B⁰"), =HYPERLINK("CSG1.html#group33A1", "33A¹"), =HYPERLINK("CSG0.html#group5B0", "5B⁰"), =HYPERLINK("CSG0.html#group3A0", "3A⁰"), =HYPERLINK("CSG0.html#group1A0", "1A⁰")</f>
        <v/>
      </c>
      <c r="N3128">
        <f>HYPERLINK("CSG24.html#group330D24", "330D²⁴")</f>
        <v/>
      </c>
    </row>
    <row r="3129">
      <c r="A3129" t="inlineStr">
        <is>
          <t>168A¹²</t>
        </is>
      </c>
      <c r="B3129" t="inlineStr"/>
      <c r="C3129" t="inlineStr">
        <is>
          <t>252</t>
        </is>
      </c>
      <c r="D3129" t="inlineStr">
        <is>
          <t>2</t>
        </is>
      </c>
      <c r="E3129" t="inlineStr">
        <is>
          <t>21</t>
        </is>
      </c>
      <c r="F3129" t="inlineStr">
        <is>
          <t>36</t>
        </is>
      </c>
      <c r="G3129" t="inlineStr">
        <is>
          <t>0</t>
        </is>
      </c>
      <c r="H3129" t="inlineStr">
        <is>
          <t>84¹, 168¹</t>
        </is>
      </c>
      <c r="I3129" t="n">
        <v>2</v>
      </c>
      <c r="J3129" t="inlineStr">
        <is>
          <t>2³, 6⁶</t>
        </is>
      </c>
      <c r="K3129">
        <f>HYPERLINK("CSG0.html#group24A0", "24A⁰"), =HYPERLINK("CSG4.html#group56B4", "56B⁴"), =HYPERLINK("CSG6.html#group84B6", "84B⁶")</f>
        <v/>
      </c>
      <c r="L3129">
        <f>HYPERLINK("CSG24.html#group336I24", "336I²⁴")</f>
        <v/>
      </c>
      <c r="M3129">
        <f>HYPERLINK("CSG0.html#group12C0", "12C⁰"), =HYPERLINK("CSG1.html#group14B1", "14B¹"), =HYPERLINK("CSG0.html#group4C0", "4C⁰"), =HYPERLINK("CSG0.html#group8B0", "8B⁰"), =HYPERLINK("CSG0.html#group21A0", "21A⁰"), =HYPERLINK("CSG0.html#group2B0", "2B⁰"), =HYPERLINK("CSG0.html#group1A0", "1A⁰"), =HYPERLINK("CSG2.html#group28C2", "28C²"), =HYPERLINK("CSG0.html#group24A0", "24A⁰"), =HYPERLINK("CSG0.html#group3A0", "3A⁰"), =HYPERLINK("CSG3.html#group42C3", "42C³"), =HYPERLINK("CSG6.html#group84B6", "84B⁶"), =HYPERLINK("CSG0.html#group6D0", "6D⁰"), =HYPERLINK("CSG0.html#group7A0", "7A⁰"), =HYPERLINK("CSG4.html#group56B4", "56B⁴")</f>
        <v/>
      </c>
      <c r="N3129">
        <f>HYPERLINK("CSG24.html#group336I24", "336I²⁴")</f>
        <v/>
      </c>
    </row>
    <row r="3130">
      <c r="A3130" t="inlineStr">
        <is>
          <t>172A¹²</t>
        </is>
      </c>
      <c r="B3130" t="inlineStr"/>
      <c r="C3130" t="inlineStr">
        <is>
          <t>176</t>
        </is>
      </c>
      <c r="D3130" t="inlineStr">
        <is>
          <t>1</t>
        </is>
      </c>
      <c r="E3130" t="inlineStr">
        <is>
          <t>44</t>
        </is>
      </c>
      <c r="F3130" t="inlineStr">
        <is>
          <t>0</t>
        </is>
      </c>
      <c r="G3130" t="inlineStr">
        <is>
          <t>8</t>
        </is>
      </c>
      <c r="H3130" t="inlineStr">
        <is>
          <t>4¹, 172¹</t>
        </is>
      </c>
      <c r="I3130" t="n">
        <v>2</v>
      </c>
      <c r="J3130" t="inlineStr">
        <is>
          <t>1², 42¹</t>
        </is>
      </c>
      <c r="K3130">
        <f>HYPERLINK("CSG6.html#group86A6", "86A⁶")</f>
        <v/>
      </c>
      <c r="L3130" t="inlineStr"/>
      <c r="M3130">
        <f>HYPERLINK("CSG3.html#group43A3", "43A³"), =HYPERLINK("CSG0.html#group2A0", "2A⁰"), =HYPERLINK("CSG6.html#group86A6", "86A⁶"), =HYPERLINK("CSG0.html#group1A0", "1A⁰")</f>
        <v/>
      </c>
      <c r="N3130" t="inlineStr"/>
    </row>
    <row r="3131">
      <c r="A3131" t="inlineStr">
        <is>
          <t>174A¹²</t>
        </is>
      </c>
      <c r="B3131" t="inlineStr"/>
      <c r="C3131" t="inlineStr">
        <is>
          <t>180</t>
        </is>
      </c>
      <c r="D3131" t="inlineStr">
        <is>
          <t>1</t>
        </is>
      </c>
      <c r="E3131" t="inlineStr">
        <is>
          <t>30</t>
        </is>
      </c>
      <c r="F3131" t="inlineStr">
        <is>
          <t>12</t>
        </is>
      </c>
      <c r="G3131" t="inlineStr">
        <is>
          <t>0</t>
        </is>
      </c>
      <c r="H3131" t="inlineStr">
        <is>
          <t>6¹, 174¹</t>
        </is>
      </c>
      <c r="I3131" t="n">
        <v>2</v>
      </c>
      <c r="J3131" t="inlineStr">
        <is>
          <t>1², 28¹</t>
        </is>
      </c>
      <c r="K3131">
        <f>HYPERLINK("CSG4.html#group58A4", "58A⁴"), =HYPERLINK("CSG6.html#group87A6", "87A⁶")</f>
        <v/>
      </c>
      <c r="L3131" t="inlineStr"/>
      <c r="M3131">
        <f>HYPERLINK("CSG6.html#group87A6", "87A⁶"), =HYPERLINK("CSG0.html#group3A0", "3A⁰"), =HYPERLINK("CSG4.html#group58A4", "58A⁴"), =HYPERLINK("CSG0.html#group1A0", "1A⁰"), =HYPERLINK("CSG2.html#group29A2", "29A²")</f>
        <v/>
      </c>
      <c r="N3131" t="inlineStr"/>
    </row>
    <row r="3132">
      <c r="A3132" t="inlineStr">
        <is>
          <t>180A¹²</t>
        </is>
      </c>
      <c r="B3132" t="inlineStr"/>
      <c r="C3132" t="inlineStr">
        <is>
          <t>240</t>
        </is>
      </c>
      <c r="D3132" t="inlineStr">
        <is>
          <t>1</t>
        </is>
      </c>
      <c r="E3132" t="inlineStr">
        <is>
          <t>20</t>
        </is>
      </c>
      <c r="F3132" t="inlineStr">
        <is>
          <t>0</t>
        </is>
      </c>
      <c r="G3132" t="inlineStr">
        <is>
          <t>24</t>
        </is>
      </c>
      <c r="H3132" t="inlineStr">
        <is>
          <t>60¹, 180¹</t>
        </is>
      </c>
      <c r="I3132" t="n">
        <v>2</v>
      </c>
      <c r="J3132" t="inlineStr">
        <is>
          <t>1², 2¹, 4², 8¹</t>
        </is>
      </c>
      <c r="K3132">
        <f>HYPERLINK("CSG0.html#group36A0", "36A⁰"), =HYPERLINK("CSG4.html#group60B4", "60B⁴"), =HYPERLINK("CSG6.html#group90C6", "90C⁶")</f>
        <v/>
      </c>
      <c r="L3132" t="inlineStr"/>
      <c r="M3132">
        <f>HYPERLINK("CSG0.html#group3B0", "3B⁰"), =HYPERLINK("CSG0.html#group2A0", "2A⁰"), =HYPERLINK("CSG0.html#group5A0", "5A⁰"), =HYPERLINK("CSG3.html#group45B3", "45B³"), =HYPERLINK("CSG0.html#group10A0", "10A⁰"), =HYPERLINK("CSG6.html#group90C6", "90C⁶"), =HYPERLINK("CSG0.html#group18B0", "18B⁰"), =HYPERLINK("CSG2.html#group30D2", "30D²"), =HYPERLINK("CSG4.html#group60B4", "60B⁴"), =HYPERLINK("CSG0.html#group6C0", "6C⁰"), =HYPERLINK("CSG1.html#group15B1", "15B¹"), =HYPERLINK("CSG0.html#group9C0", "9C⁰"), =HYPERLINK("CSG0.html#group1A0", "1A⁰"), =HYPERLINK("CSG0.html#group36A0", "36A⁰"), =HYPERLINK("CSG0.html#group12B0", "12B⁰")</f>
        <v/>
      </c>
      <c r="N3132" t="inlineStr"/>
    </row>
    <row r="3133">
      <c r="A3133" t="inlineStr">
        <is>
          <t>182A¹²</t>
        </is>
      </c>
      <c r="B3133" t="inlineStr"/>
      <c r="C3133" t="inlineStr">
        <is>
          <t>196</t>
        </is>
      </c>
      <c r="D3133" t="inlineStr">
        <is>
          <t>2</t>
        </is>
      </c>
      <c r="E3133" t="inlineStr">
        <is>
          <t>98</t>
        </is>
      </c>
      <c r="F3133" t="inlineStr">
        <is>
          <t>12</t>
        </is>
      </c>
      <c r="G3133" t="inlineStr">
        <is>
          <t>4</t>
        </is>
      </c>
      <c r="H3133" t="inlineStr">
        <is>
          <t>14¹, 182¹</t>
        </is>
      </c>
      <c r="I3133" t="n">
        <v>2</v>
      </c>
      <c r="J3133" t="inlineStr">
        <is>
          <t>2², 6⁴, 24¹, 72²</t>
        </is>
      </c>
      <c r="K3133">
        <f>HYPERLINK("CSG0.html#group26A0", "26A⁰"), =HYPERLINK("CSG6.html#group91A6", "91A⁶")</f>
        <v/>
      </c>
      <c r="L3133" t="inlineStr"/>
      <c r="M3133">
        <f>HYPERLINK("CSG0.html#group13A0", "13A⁰"), =HYPERLINK("CSG0.html#group26A0", "26A⁰"), =HYPERLINK("CSG6.html#group91A6", "91A⁶"), =HYPERLINK("CSG0.html#group1A0", "1A⁰"), =HYPERLINK("CSG0.html#group7A0", "7A⁰")</f>
        <v/>
      </c>
      <c r="N3133" t="inlineStr"/>
    </row>
    <row r="3134">
      <c r="A3134" t="inlineStr">
        <is>
          <t>210A¹²</t>
        </is>
      </c>
      <c r="B3134" t="inlineStr"/>
      <c r="C3134" t="inlineStr">
        <is>
          <t>252</t>
        </is>
      </c>
      <c r="D3134" t="inlineStr">
        <is>
          <t>2</t>
        </is>
      </c>
      <c r="E3134" t="inlineStr">
        <is>
          <t>42</t>
        </is>
      </c>
      <c r="F3134" t="inlineStr">
        <is>
          <t>36</t>
        </is>
      </c>
      <c r="G3134" t="inlineStr">
        <is>
          <t>0</t>
        </is>
      </c>
      <c r="H3134" t="inlineStr">
        <is>
          <t>42¹, 210¹</t>
        </is>
      </c>
      <c r="I3134" t="n">
        <v>2</v>
      </c>
      <c r="J3134" t="inlineStr">
        <is>
          <t>2², 6⁴, 8¹, 24²</t>
        </is>
      </c>
      <c r="K3134">
        <f>HYPERLINK("CSG0.html#group30A0", "30A⁰"), =HYPERLINK("CSG4.html#group70C4", "70C⁴"), =HYPERLINK("CSG6.html#group105C6", "105C⁶")</f>
        <v/>
      </c>
      <c r="L3134" t="inlineStr"/>
      <c r="M3134">
        <f>HYPERLINK("CSG0.html#group30A0", "30A⁰"), =HYPERLINK("CSG2.html#group35C2", "35C²"), =HYPERLINK("CSG0.html#group15B0", "15B⁰"), =HYPERLINK("CSG4.html#group70C4", "70C⁴"), =HYPERLINK("CSG6.html#group105C6", "105C⁶"), =HYPERLINK("CSG0.html#group5B0", "5B⁰"), =HYPERLINK("CSG0.html#group21A0", "21A⁰"), =HYPERLINK("CSG0.html#group3A0", "3A⁰"), =HYPERLINK("CSG0.html#group1A0", "1A⁰"), =HYPERLINK("CSG0.html#group7A0", "7A⁰"), =HYPERLINK("CSG0.html#group10B0", "10B⁰")</f>
        <v/>
      </c>
      <c r="N3134" t="inlineStr"/>
    </row>
    <row r="3135">
      <c r="A3135" t="inlineStr">
        <is>
          <t>10A¹³</t>
        </is>
      </c>
      <c r="B3135" t="inlineStr">
        <is>
          <t>Γ(10)</t>
        </is>
      </c>
      <c r="C3135" t="inlineStr">
        <is>
          <t>360</t>
        </is>
      </c>
      <c r="D3135" t="inlineStr">
        <is>
          <t>1</t>
        </is>
      </c>
      <c r="E3135" t="inlineStr">
        <is>
          <t>1</t>
        </is>
      </c>
      <c r="F3135" t="inlineStr">
        <is>
          <t>0</t>
        </is>
      </c>
      <c r="G3135" t="inlineStr">
        <is>
          <t>0</t>
        </is>
      </c>
      <c r="H3135" t="inlineStr">
        <is>
          <t>10³⁶</t>
        </is>
      </c>
      <c r="I3135" t="n">
        <v>36</v>
      </c>
      <c r="J3135" t="inlineStr">
        <is>
          <t>1¹</t>
        </is>
      </c>
      <c r="K3135">
        <f>HYPERLINK("CSG1.html#group10K1", "10K¹"), =HYPERLINK("CSG3.html#group10D3", "10D³"), =HYPERLINK("CSG4.html#group10B4", "10B⁴"), =HYPERLINK("CSG5.html#group10A5", "10A⁵"), =HYPERLINK("CSG5.html#group10B5", "10B⁵"), =HYPERLINK("CSG6.html#group10A6", "10A⁶"), =HYPERLINK("CSG7.html#group10A7", "10A⁷")</f>
        <v/>
      </c>
      <c r="L3135" t="inlineStr"/>
      <c r="M3135">
        <f>HYPERLINK("CSG1.html#group10H1", "10H¹"), =HYPERLINK("CSG0.html#group2A0", "2A⁰"), =HYPERLINK("CSG0.html#group5A0", "5A⁰"), =HYPERLINK("CSG2.html#group10A2", "10A²"), =HYPERLINK("CSG0.html#group10G0", "10G⁰"), =HYPERLINK("CSG5.html#group10A5", "10A⁵"), =HYPERLINK("CSG0.html#group10D0", "10D⁰"), =HYPERLINK("CSG0.html#group5B0", "5B⁰"), =HYPERLINK("CSG0.html#group5F0", "5F⁰"), =HYPERLINK("CSG1.html#group10A1", "10A¹"), =HYPERLINK("CSG0.html#group5D0", "5D⁰"), =HYPERLINK("CSG3.html#group10A3", "10A³"), =HYPERLINK("CSG0.html#group2B0", "2B⁰"), =HYPERLINK("CSG1.html#group10D1", "10D¹"), =HYPERLINK("CSG0.html#group1A0", "1A⁰"), =HYPERLINK("CSG5.html#group10B5", "10B⁵"), =HYPERLINK("CSG1.html#group10J1", "10J¹"), =HYPERLINK("CSG0.html#group10A0", "10A⁰"), =HYPERLINK("CSG1.html#group10I1", "10I¹"), =HYPERLINK("CSG2.html#group10F2", "10F²"), =HYPERLINK("CSG2.html#group10C2", "10C²"), =HYPERLINK("CSG0.html#group10C0", "10C⁰"), =HYPERLINK("CSG4.html#group10B4", "10B⁴"), =HYPERLINK("CSG0.html#group5G0", "5G⁰"), =HYPERLINK("CSG6.html#group10A6", "10A⁶"), =HYPERLINK("CSG4.html#group10A4", "10A⁴"), =HYPERLINK("CSG3.html#group10D3", "10D³"), =HYPERLINK("CSG7.html#group10A7", "10A⁷"), =HYPERLINK("CSG1.html#group10B1", "10B¹"), =HYPERLINK("CSG2.html#group10B2", "10B²"), =HYPERLINK("CSG1.html#group10E1", "10E¹"), =HYPERLINK("CSG2.html#group10D2", "10D²"), =HYPERLINK("CSG0.html#group5H0", "5H⁰"), =HYPERLINK("CSG0.html#group10F0", "10F⁰"), =HYPERLINK("CSG0.html#group10B0", "10B⁰"), =HYPERLINK("CSG1.html#group10F1", "10F¹"), =HYPERLINK("CSG3.html#group10C3", "10C³"), =HYPERLINK("CSG2.html#group10E2", "10E²"), =HYPERLINK("CSG0.html#group10E0", "10E⁰"), =HYPERLINK("CSG3.html#group10B3", "10B³"), =HYPERLINK("CSG0.html#group5E0", "5E⁰"), =HYPERLINK("CSG1.html#group10C1", "10C¹"), =HYPERLINK("CSG1.html#group10K1", "10K¹"), =HYPERLINK("CSG0.html#group5C0", "5C⁰"), =HYPERLINK("CSG0.html#group2C0", "2C⁰"), =HYPERLINK("CSG1.html#group10G1", "10G¹")</f>
        <v/>
      </c>
      <c r="N3135" t="inlineStr"/>
    </row>
    <row r="3136">
      <c r="A3136" t="inlineStr">
        <is>
          <t>12A¹³</t>
        </is>
      </c>
      <c r="B3136" t="inlineStr"/>
      <c r="C3136" t="inlineStr">
        <is>
          <t>288</t>
        </is>
      </c>
      <c r="D3136" t="inlineStr">
        <is>
          <t>1</t>
        </is>
      </c>
      <c r="E3136" t="inlineStr">
        <is>
          <t>1</t>
        </is>
      </c>
      <c r="F3136" t="inlineStr">
        <is>
          <t>0</t>
        </is>
      </c>
      <c r="G3136" t="inlineStr">
        <is>
          <t>0</t>
        </is>
      </c>
      <c r="H3136" t="inlineStr">
        <is>
          <t>12²⁴</t>
        </is>
      </c>
      <c r="I3136" t="n">
        <v>24</v>
      </c>
      <c r="J3136" t="inlineStr">
        <is>
          <t>1¹</t>
        </is>
      </c>
      <c r="K3136">
        <f>HYPERLINK("CSG3.html#group12K3", "12K³"), =HYPERLINK("CSG4.html#group12D4", "12D⁴"), =HYPERLINK("CSG5.html#group12A5", "12A⁵"), =HYPERLINK("CSG5.html#group12B5", "12B⁵"), =HYPERLINK("CSG5.html#group12D5", "12D⁵"), =HYPERLINK("CSG7.html#group12B7", "12B⁷"), =HYPERLINK("CSG7.html#group12C7", "12C⁷"), =HYPERLINK("CSG7.html#group12D7", "12D⁷")</f>
        <v/>
      </c>
      <c r="L3136" t="inlineStr"/>
      <c r="M3136">
        <f>HYPERLINK("CSG1.html#group12T1", "12T¹"), =HYPERLINK("CSG0.html#group12C0", "12C⁰"), =HYPERLINK("CSG3.html#group12F3", "12F³"), =HYPERLINK("CSG1.html#group6C1", "6C¹"), =HYPERLINK("CSG2.html#group12B2", "12B²"), =HYPERLINK("CSG2.html#group12E2", "12E²"), =HYPERLINK("CSG1.html#group12M1", "12M¹"), =HYPERLINK("CSG0.html#group2B0", "2B⁰"), =HYPERLINK("CSG5.html#group12A5", "12A⁵"), =HYPERLINK("CSG3.html#group12G3", "12G³"), =HYPERLINK("CSG0.html#group1A0", "1A⁰"), =HYPERLINK("CSG0.html#group4B0", "4B⁰"), =HYPERLINK("CSG4.html#group12A4", "12A⁴"), =HYPERLINK("CSG0.html#group4D0", "4D⁰"), =HYPERLINK("CSG0.html#group3C0", "3C⁰"), =HYPERLINK("CSG1.html#group12Q1", "12Q¹"), =HYPERLINK("CSG1.html#group12B1", "12B¹"), =HYPERLINK("CSG0.html#group6H0", "6H⁰"), =HYPERLINK("CSG1.html#group6E1", "6E¹"), =HYPERLINK("CSG0.html#group3B0", "3B⁰"), =HYPERLINK("CSG1.html#group12G1", "12G¹"), =HYPERLINK("CSG1.html#group12H1", "12H¹"), =HYPERLINK("CSG3.html#group12C3", "12C³"), =HYPERLINK("CSG0.html#group12F0", "12F⁰"), =HYPERLINK("CSG1.html#group12P1", "12P¹"), =HYPERLINK("CSG1.html#group12L1", "12L¹"), =HYPERLINK("CSG3.html#group12J3", "12J³"), =HYPERLINK("CSG0.html#group12G0", "12G⁰"), =HYPERLINK("CSG1.html#group12C1", "12C¹"), =HYPERLINK("CSG0.html#group6A0", "6A⁰"), =HYPERLINK("CSG3.html#group12I3", "12I³"), =HYPERLINK("CSG3.html#group12D3", "12D³"), =HYPERLINK("CSG3.html#group12E3", "12E³"), =HYPERLINK("CSG1.html#group12J1", "12J¹"), =HYPERLINK("CSG3.html#group12K3", "12K³"), =HYPERLINK("CSG0.html#group4F0", "4F⁰"), =HYPERLINK("CSG2.html#group12G2", "12G²"), =HYPERLINK("CSG0.html#group3D0", "3D⁰"), =HYPERLINK("CSG0.html#group2C0", "2C⁰"), =HYPERLINK("CSG0.html#group6D0", "6D⁰"), =HYPERLINK("CSG0.html#group2A0", "2A⁰"), =HYPERLINK("CSG2.html#group12I2", "12I²"), =HYPERLINK("CSG1.html#group12K1", "12K¹"), =HYPERLINK("CSG5.html#group12B5", "12B⁵"), =HYPERLINK("CSG2.html#group12D2", "12D²"), =HYPERLINK("CSG0.html#group4C0", "4C⁰"), =HYPERLINK("CSG0.html#group6G0", "6G⁰"), =HYPERLINK("CSG4.html#group12B4", "12B⁴"), =HYPERLINK("CSG1.html#group12S1", "12S¹"), =HYPERLINK("CSG0.html#group4E0", "4E⁰"), =HYPERLINK("CSG0.html#group4G0", "4G⁰"), =HYPERLINK("CSG1.html#group12N1", "12N¹"), =HYPERLINK("CSG2.html#group12H2", "12H²"), =HYPERLINK("CSG4.html#group12D4", "12D⁴"), =HYPERLINK("CSG1.html#group6B1", "6B¹"), =HYPERLINK("CSG1.html#group12A1", "12A¹"), =HYPERLINK("CSG7.html#group12B7", "12B⁷"), =HYPERLINK("CSG2.html#group12A2", "12A²"), =HYPERLINK("CSG0.html#group6K0", "6K⁰"), =HYPERLINK("CSG1.html#group6A1", "6A¹"), =HYPERLINK("CSG0.html#group3A0", "3A⁰"), =HYPERLINK("CSG0.html#group6F0", "6F⁰"), =HYPERLINK("CSG0.html#group6B0", "6B⁰"), =HYPERLINK("CSG1.html#group12I1", "12I¹"), =HYPERLINK("CSG3.html#group12B3", "12B³"), =HYPERLINK("CSG1.html#group12F1", "12F¹"), =HYPERLINK("CSG0.html#group6I0", "6I⁰"), =HYPERLINK("CSG1.html#group6F1", "6F¹"), =HYPERLINK("CSG0.html#group6C0", "6C⁰"), =HYPERLINK("CSG1.html#group12E1", "12E¹"), =HYPERLINK("CSG5.html#group12D5", "12D⁵"), =HYPERLINK("CSG7.html#group12D7", "12D⁷"), =HYPERLINK("CSG0.html#group12A0", "12A⁰"), =HYPERLINK("CSG1.html#group6D1", "6D¹"), =HYPERLINK("CSG0.html#group6E0", "6E⁰"), =HYPERLINK("CSG0.html#group6L0", "6L⁰"), =HYPERLINK("CSG0.html#group4A0", "4A⁰"), =HYPERLINK("CSG0.html#group6J0", "6J⁰"), =HYPERLINK("CSG7.html#group12C7", "12C⁷"), =HYPERLINK("CSG0.html#group12D0", "12D⁰"), =HYPERLINK("CSG4.html#group12C4", "12C⁴"), =HYPERLINK("CSG0.html#group12H0", "12H⁰"), =HYPERLINK("CSG2.html#group12C2", "12C²"), =HYPERLINK("CSG0.html#group12E0", "12E⁰")</f>
        <v/>
      </c>
      <c r="N3136" t="inlineStr"/>
    </row>
    <row r="3137">
      <c r="A3137" t="inlineStr">
        <is>
          <t>12B¹³</t>
        </is>
      </c>
      <c r="B3137" t="inlineStr"/>
      <c r="C3137" t="inlineStr">
        <is>
          <t>288</t>
        </is>
      </c>
      <c r="D3137" t="inlineStr">
        <is>
          <t>1</t>
        </is>
      </c>
      <c r="E3137" t="inlineStr">
        <is>
          <t>3</t>
        </is>
      </c>
      <c r="F3137" t="inlineStr">
        <is>
          <t>0</t>
        </is>
      </c>
      <c r="G3137" t="inlineStr">
        <is>
          <t>0</t>
        </is>
      </c>
      <c r="H3137" t="inlineStr">
        <is>
          <t>12²⁴</t>
        </is>
      </c>
      <c r="I3137" t="n">
        <v>24</v>
      </c>
      <c r="J3137" t="inlineStr">
        <is>
          <t>1³</t>
        </is>
      </c>
      <c r="K3137">
        <f>HYPERLINK("CSG3.html#group12L3", "12L³"), =HYPERLINK("CSG3.html#group12N3", "12N³"), =HYPERLINK("CSG5.html#group12B5", "12B⁵"), =HYPERLINK("CSG5.html#group12C5", "12C⁵"), =HYPERLINK("CSG7.html#group12A7", "12A⁷"), =HYPERLINK("CSG7.html#group12E7", "12E⁷")</f>
        <v/>
      </c>
      <c r="L3137" t="inlineStr"/>
      <c r="M3137">
        <f>HYPERLINK("CSG1.html#group12T1", "12T¹"), =HYPERLINK("CSG0.html#group2A0", "2A⁰"), =HYPERLINK("CSG1.html#group12D1", "12D¹"), =HYPERLINK("CSG0.html#group12C0", "12C⁰"), =HYPERLINK("CSG1.html#group12K1", "12K¹"), =HYPERLINK("CSG5.html#group12B5", "12B⁵"), =HYPERLINK("CSG2.html#group12D2", "12D²"), =HYPERLINK("CSG0.html#group12I0", "12I⁰"), =HYPERLINK("CSG1.html#group6C1", "6C¹"), =HYPERLINK("CSG3.html#group12F3", "12F³"), =HYPERLINK("CSG7.html#group12E7", "12E⁷"), =HYPERLINK("CSG0.html#group6G0", "6G⁰"), =HYPERLINK("CSG0.html#group4C0", "4C⁰"), =HYPERLINK("CSG2.html#group12E2", "12E²"), =HYPERLINK("CSG0.html#group2B0", "2B⁰"), =HYPERLINK("CSG1.html#group12S1", "12S¹"), =HYPERLINK("CSG3.html#group12N3", "12N³"), =HYPERLINK("CSG0.html#group4E0", "4E⁰"), =HYPERLINK("CSG2.html#group12B2", "12B²"), =HYPERLINK("CSG1.html#group12N1", "12N¹"), =HYPERLINK("CSG0.html#group1A0", "1A⁰"), =HYPERLINK("CSG0.html#group4B0", "4B⁰"), =HYPERLINK("CSG3.html#group12G3", "12G³"), =HYPERLINK("CSG2.html#group12F2", "12F²"), =HYPERLINK("CSG5.html#group12C5", "12C⁵"), =HYPERLINK("CSG1.html#group6B1", "6B¹"), =HYPERLINK("CSG3.html#group12L3", "12L³"), =HYPERLINK("CSG0.html#group12E0", "12E⁰"), =HYPERLINK("CSG0.html#group3C0", "3C⁰"), =HYPERLINK("CSG0.html#group6K0", "6K⁰"), =HYPERLINK("CSG1.html#group6A1", "6A¹"), =HYPERLINK("CSG1.html#group12B1", "12B¹"), =HYPERLINK("CSG0.html#group6H0", "6H⁰"), =HYPERLINK("CSG0.html#group3A0", "3A⁰"), =HYPERLINK("CSG1.html#group12O1", "12O¹"), =HYPERLINK("CSG0.html#group6F0", "6F⁰"), =HYPERLINK("CSG3.html#group12H3", "12H³"), =HYPERLINK("CSG1.html#group6E1", "6E¹"), =HYPERLINK("CSG0.html#group3B0", "3B⁰"), =HYPERLINK("CSG1.html#group12U1", "12U¹"), =HYPERLINK("CSG0.html#group6B0", "6B⁰"), =HYPERLINK("CSG3.html#group12A3", "12A³"), =HYPERLINK("CSG0.html#group6I0", "6I⁰"), =HYPERLINK("CSG1.html#group12F1", "12F¹"), =HYPERLINK("CSG1.html#group6F1", "6F¹"), =HYPERLINK("CSG0.html#group6C0", "6C⁰"), =HYPERLINK("CSG1.html#group12P1", "12P¹"), =HYPERLINK("CSG1.html#group12L1", "12L¹"), =HYPERLINK("CSG7.html#group12A7", "12A⁷"), =HYPERLINK("CSG0.html#group12G0", "12G⁰"), =HYPERLINK("CSG1.html#group6D1", "6D¹"), =HYPERLINK("CSG0.html#group6A0", "6A⁰"), =HYPERLINK("CSG0.html#group6E0", "6E⁰"), =HYPERLINK("CSG0.html#group6L0", "6L⁰"), =HYPERLINK("CSG3.html#group12D3", "12D³"), =HYPERLINK("CSG1.html#group12C1", "12C¹"), =HYPERLINK("CSG0.html#group6J0", "6J⁰"), =HYPERLINK("CSG3.html#group12E3", "12E³"), =HYPERLINK("CSG0.html#group12D0", "12D⁰"), =HYPERLINK("CSG0.html#group12H0", "12H⁰"), =HYPERLINK("CSG2.html#group12C2", "12C²"), =HYPERLINK("CSG0.html#group3D0", "3D⁰"), =HYPERLINK("CSG0.html#group2C0", "2C⁰"), =HYPERLINK("CSG0.html#group6D0", "6D⁰"), =HYPERLINK("CSG0.html#group12B0", "12B⁰")</f>
        <v/>
      </c>
      <c r="N3137" t="inlineStr"/>
    </row>
    <row r="3138">
      <c r="A3138" t="inlineStr">
        <is>
          <t>14A¹³</t>
        </is>
      </c>
      <c r="B3138" t="inlineStr"/>
      <c r="C3138" t="inlineStr">
        <is>
          <t>252</t>
        </is>
      </c>
      <c r="D3138" t="inlineStr">
        <is>
          <t>1</t>
        </is>
      </c>
      <c r="E3138" t="inlineStr">
        <is>
          <t>21</t>
        </is>
      </c>
      <c r="F3138" t="inlineStr">
        <is>
          <t>0</t>
        </is>
      </c>
      <c r="G3138" t="inlineStr">
        <is>
          <t>0</t>
        </is>
      </c>
      <c r="H3138" t="inlineStr">
        <is>
          <t>14¹⁸</t>
        </is>
      </c>
      <c r="I3138" t="n">
        <v>18</v>
      </c>
      <c r="J3138" t="inlineStr">
        <is>
          <t>3¹, 6³</t>
        </is>
      </c>
      <c r="K3138">
        <f>HYPERLINK("CSG5.html#group14B5", "14B⁵"), =HYPERLINK("CSG5.html#group14F5", "14F⁵"), =HYPERLINK("CSG5.html#group14G5", "14G⁵"), =HYPERLINK("CSG7.html#group14A7", "14A⁷")</f>
        <v/>
      </c>
      <c r="L3138" t="inlineStr"/>
      <c r="M3138">
        <f>HYPERLINK("CSG0.html#group2A0", "2A⁰"), =HYPERLINK("CSG0.html#group7D0", "7D⁰"), =HYPERLINK("CSG1.html#group14B1", "14B¹"), =HYPERLINK("CSG3.html#group14B3", "14B³"), =HYPERLINK("CSG1.html#group14A1", "14A¹"), =HYPERLINK("CSG5.html#group14B5", "14B⁵"), =HYPERLINK("CSG0.html#group2B0", "2B⁰"), =HYPERLINK("CSG5.html#group14F5", "14F⁵"), =HYPERLINK("CSG0.html#group1A0", "1A⁰"), =HYPERLINK("CSG7.html#group14A7", "14A⁷"), =HYPERLINK("CSG5.html#group14G5", "14G⁵"), =HYPERLINK("CSG3.html#group14A3", "14A³"), =HYPERLINK("CSG1.html#group7A1", "7A¹"), =HYPERLINK("CSG2.html#group14F2", "14F²"), =HYPERLINK("CSG1.html#group14E1", "14E¹"), =HYPERLINK("CSG0.html#group2C0", "2C⁰"), =HYPERLINK("CSG0.html#group7A0", "7A⁰")</f>
        <v/>
      </c>
      <c r="N3138" t="inlineStr"/>
    </row>
    <row r="3139">
      <c r="A3139" t="inlineStr">
        <is>
          <t>14B¹³</t>
        </is>
      </c>
      <c r="B3139" t="inlineStr"/>
      <c r="C3139" t="inlineStr">
        <is>
          <t>252</t>
        </is>
      </c>
      <c r="D3139" t="inlineStr">
        <is>
          <t>1</t>
        </is>
      </c>
      <c r="E3139" t="inlineStr">
        <is>
          <t>63</t>
        </is>
      </c>
      <c r="F3139" t="inlineStr">
        <is>
          <t>0</t>
        </is>
      </c>
      <c r="G3139" t="inlineStr">
        <is>
          <t>0</t>
        </is>
      </c>
      <c r="H3139" t="inlineStr">
        <is>
          <t>14¹⁸</t>
        </is>
      </c>
      <c r="I3139" t="n">
        <v>18</v>
      </c>
      <c r="J3139" t="inlineStr">
        <is>
          <t>3³, 6⁹</t>
        </is>
      </c>
      <c r="K3139">
        <f>HYPERLINK("CSG5.html#group14A5", "14A⁵"), =HYPERLINK("CSG5.html#group14F5", "14F⁵"), =HYPERLINK("CSG6.html#group14A6", "14A⁶")</f>
        <v/>
      </c>
      <c r="L3139" t="inlineStr"/>
      <c r="M3139">
        <f>HYPERLINK("CSG0.html#group14A0", "14A⁰"), =HYPERLINK("CSG2.html#group14B2", "14B²"), =HYPERLINK("CSG1.html#group14F1", "14F¹"), =HYPERLINK("CSG5.html#group14A5", "14A⁵"), =HYPERLINK("CSG0.html#group7D0", "7D⁰"), =HYPERLINK("CSG1.html#group14B1", "14B¹"), =HYPERLINK("CSG2.html#group14C2", "14C²"), =HYPERLINK("CSG1.html#group7A1", "7A¹"), =HYPERLINK("CSG2.html#group14F2", "14F²"), =HYPERLINK("CSG0.html#group2B0", "2B⁰"), =HYPERLINK("CSG5.html#group14F5", "14F⁵"), =HYPERLINK("CSG0.html#group1A0", "1A⁰"), =HYPERLINK("CSG6.html#group14A6", "14A⁶"), =HYPERLINK("CSG0.html#group7A0", "7A⁰")</f>
        <v/>
      </c>
      <c r="N3139" t="inlineStr"/>
    </row>
    <row r="3140">
      <c r="A3140" t="inlineStr">
        <is>
          <t>14C¹³</t>
        </is>
      </c>
      <c r="B3140" t="inlineStr"/>
      <c r="C3140" t="inlineStr">
        <is>
          <t>252</t>
        </is>
      </c>
      <c r="D3140" t="inlineStr">
        <is>
          <t>2</t>
        </is>
      </c>
      <c r="E3140" t="inlineStr">
        <is>
          <t>7</t>
        </is>
      </c>
      <c r="F3140" t="inlineStr">
        <is>
          <t>0</t>
        </is>
      </c>
      <c r="G3140" t="inlineStr">
        <is>
          <t>0</t>
        </is>
      </c>
      <c r="H3140" t="inlineStr">
        <is>
          <t>14¹⁸</t>
        </is>
      </c>
      <c r="I3140" t="n">
        <v>18</v>
      </c>
      <c r="J3140" t="inlineStr">
        <is>
          <t>2¹, 6²</t>
        </is>
      </c>
      <c r="K3140">
        <f>HYPERLINK("CSG3.html#group14E3", "14E³"), =HYPERLINK("CSG4.html#group14A4", "14A⁴"), =HYPERLINK("CSG5.html#group14C5", "14C⁵"), =HYPERLINK("CSG5.html#group14D5", "14D⁵"), =HYPERLINK("CSG6.html#group14A6", "14A⁶"), =HYPERLINK("CSG7.html#group14A7", "14A⁷")</f>
        <v/>
      </c>
      <c r="L3140" t="inlineStr"/>
      <c r="M3140">
        <f>HYPERLINK("CSG0.html#group2A0", "2A⁰"), =HYPERLINK("CSG0.html#group14A0", "14A⁰"), =HYPERLINK("CSG4.html#group14A4", "14A⁴"), =HYPERLINK("CSG2.html#group14B2", "14B²"), =HYPERLINK("CSG0.html#group7D0", "7D⁰"), =HYPERLINK("CSG1.html#group14B1", "14B¹"), =HYPERLINK("CSG3.html#group14B3", "14B³"), =HYPERLINK("CSG5.html#group14D5", "14D⁵"), =HYPERLINK("CSG1.html#group14A1", "14A¹"), =HYPERLINK("CSG2.html#group14C2", "14C²"), =HYPERLINK("CSG5.html#group14C5", "14C⁵"), =HYPERLINK("CSG0.html#group2B0", "2B⁰"), =HYPERLINK("CSG0.html#group7G0", "7G⁰"), =HYPERLINK("CSG0.html#group1A0", "1A⁰"), =HYPERLINK("CSG1.html#group14D1", "14D¹"), =HYPERLINK("CSG6.html#group14A6", "14A⁶"), =HYPERLINK("CSG7.html#group14A7", "14A⁷"), =HYPERLINK("CSG2.html#group14A2", "14A²"), =HYPERLINK("CSG1.html#group14F1", "14F¹"), =HYPERLINK("CSG3.html#group14E3", "14E³"), =HYPERLINK("CSG3.html#group14A3", "14A³"), =HYPERLINK("CSG0.html#group7C0", "7C⁰"), =HYPERLINK("CSG2.html#group14F2", "14F²"), =HYPERLINK("CSG0.html#group2C0", "2C⁰"), =HYPERLINK("CSG0.html#group7A0", "7A⁰")</f>
        <v/>
      </c>
      <c r="N3140" t="inlineStr"/>
    </row>
    <row r="3141">
      <c r="A3141" t="inlineStr">
        <is>
          <t>15A¹³</t>
        </is>
      </c>
      <c r="B3141" t="inlineStr"/>
      <c r="C3141" t="inlineStr">
        <is>
          <t>240</t>
        </is>
      </c>
      <c r="D3141" t="inlineStr">
        <is>
          <t>1</t>
        </is>
      </c>
      <c r="E3141" t="inlineStr">
        <is>
          <t>10</t>
        </is>
      </c>
      <c r="F3141" t="inlineStr">
        <is>
          <t>0</t>
        </is>
      </c>
      <c r="G3141" t="inlineStr">
        <is>
          <t>0</t>
        </is>
      </c>
      <c r="H3141" t="inlineStr">
        <is>
          <t>15¹⁶</t>
        </is>
      </c>
      <c r="I3141" t="n">
        <v>16</v>
      </c>
      <c r="J3141" t="inlineStr">
        <is>
          <t>2¹, 4²</t>
        </is>
      </c>
      <c r="K3141">
        <f>HYPERLINK("CSG3.html#group15G3", "15G³"), =HYPERLINK("CSG4.html#group15A4", "15A⁴"), =HYPERLINK("CSG5.html#group15A5", "15A⁵"), =HYPERLINK("CSG7.html#group15A7", "15A⁷"), =HYPERLINK("CSG7.html#group15B7", "15B⁷")</f>
        <v/>
      </c>
      <c r="L3141" t="inlineStr"/>
      <c r="M3141">
        <f>HYPERLINK("CSG0.html#group3B0", "3B⁰"), =HYPERLINK("CSG0.html#group5A0", "5A⁰"), =HYPERLINK("CSG7.html#group15B7", "15B⁷"), =HYPERLINK("CSG4.html#group15A4", "15A⁴"), =HYPERLINK("CSG4.html#group15B4", "15B⁴"), =HYPERLINK("CSG2.html#group15D2", "15D²"), =HYPERLINK("CSG5.html#group15A5", "15A⁵"), =HYPERLINK("CSG0.html#group5F0", "5F⁰"), =HYPERLINK("CSG7.html#group15A7", "15A⁷"), =HYPERLINK("CSG3.html#group15C3", "15C³"), =HYPERLINK("CSG0.html#group1A0", "1A⁰"), =HYPERLINK("CSG0.html#group3D0", "3D⁰"), =HYPERLINK("CSG1.html#group15D1", "15D¹"), =HYPERLINK("CSG2.html#group15A2", "15A²"), =HYPERLINK("CSG3.html#group15G3", "15G³"), =HYPERLINK("CSG1.html#group15B1", "15B¹"), =HYPERLINK("CSG0.html#group3C0", "3C⁰"), =HYPERLINK("CSG2.html#group15C2", "15C²"), =HYPERLINK("CSG0.html#group3A0", "3A⁰"), =HYPERLINK("CSG0.html#group5C0", "5C⁰"), =HYPERLINK("CSG1.html#group15A1", "15A¹")</f>
        <v/>
      </c>
      <c r="N3141" t="inlineStr"/>
    </row>
    <row r="3142">
      <c r="A3142" t="inlineStr">
        <is>
          <t>16A¹³</t>
        </is>
      </c>
      <c r="B3142" t="inlineStr"/>
      <c r="C3142" t="inlineStr">
        <is>
          <t>256</t>
        </is>
      </c>
      <c r="D3142" t="inlineStr">
        <is>
          <t>1</t>
        </is>
      </c>
      <c r="E3142" t="inlineStr">
        <is>
          <t>64</t>
        </is>
      </c>
      <c r="F3142" t="inlineStr">
        <is>
          <t>0</t>
        </is>
      </c>
      <c r="G3142" t="inlineStr">
        <is>
          <t>4</t>
        </is>
      </c>
      <c r="H3142" t="inlineStr">
        <is>
          <t>16¹⁶</t>
        </is>
      </c>
      <c r="I3142" t="n">
        <v>16</v>
      </c>
      <c r="J3142" t="inlineStr">
        <is>
          <t>8⁸</t>
        </is>
      </c>
      <c r="K3142">
        <f>HYPERLINK("CSG1.html#group8J1", "8J¹"), =HYPERLINK("CSG5.html#group16L5", "16L⁵"), =HYPERLINK("CSG7.html#group16A7", "16A⁷")</f>
        <v/>
      </c>
      <c r="L3142" t="inlineStr"/>
      <c r="M3142">
        <f>HYPERLINK("CSG0.html#group2A0", "2A⁰"), =HYPERLINK("CSG0.html#group8F0", "8F⁰"), =HYPERLINK("CSG7.html#group16A7", "16A⁷"), =HYPERLINK("CSG0.html#group4A0", "4A⁰"), =HYPERLINK("CSG0.html#group4D0", "4D⁰"), =HYPERLINK("CSG5.html#group16L5", "16L⁵"), =HYPERLINK("CSG0.html#group8A0", "8A⁰"), =HYPERLINK("CSG0.html#group8E0", "8E⁰"), =HYPERLINK("CSG2.html#group16G2", "16G²"), =HYPERLINK("CSG1.html#group8E1", "8E¹"), =HYPERLINK("CSG0.html#group8M0", "8M⁰"), =HYPERLINK("CSG1.html#group8J1", "8J¹"), =HYPERLINK("CSG0.html#group1A0", "1A⁰")</f>
        <v/>
      </c>
      <c r="N3142" t="inlineStr"/>
    </row>
    <row r="3143">
      <c r="A3143" t="inlineStr">
        <is>
          <t>16B¹³</t>
        </is>
      </c>
      <c r="B3143" t="inlineStr"/>
      <c r="C3143" t="inlineStr">
        <is>
          <t>384</t>
        </is>
      </c>
      <c r="D3143" t="inlineStr">
        <is>
          <t>1</t>
        </is>
      </c>
      <c r="E3143" t="inlineStr">
        <is>
          <t>3</t>
        </is>
      </c>
      <c r="F3143" t="inlineStr">
        <is>
          <t>0</t>
        </is>
      </c>
      <c r="G3143" t="inlineStr">
        <is>
          <t>0</t>
        </is>
      </c>
      <c r="H3143" t="inlineStr">
        <is>
          <t>8³², 16⁸</t>
        </is>
      </c>
      <c r="I3143" t="n">
        <v>40</v>
      </c>
      <c r="J3143" t="inlineStr">
        <is>
          <t>1³</t>
        </is>
      </c>
      <c r="K3143">
        <f>HYPERLINK("CSG5.html#group8A5", "8A⁵"), =HYPERLINK("CSG5.html#group16O5", "16O⁵"), =HYPERLINK("CSG6.html#group16C6", "16C⁶"), =HYPERLINK("CSG7.html#group16B7", "16B⁷")</f>
        <v/>
      </c>
      <c r="L3143" t="inlineStr"/>
      <c r="M3143">
        <f>HYPERLINK("CSG0.html#group2A0", "2A⁰"), =HYPERLINK("CSG3.html#group8B3", "8B³"), =HYPERLINK("CSG4.html#group16A4", "16A⁴"), =HYPERLINK("CSG0.html#group4C0", "4C⁰"), =HYPERLINK("CSG2.html#group8C2", "8C²"), =HYPERLINK("CSG0.html#group8A0", "8A⁰"), =HYPERLINK("CSG7.html#group16B7", "16B⁷"), =HYPERLINK("CSG3.html#group16P3", "16P³"), =HYPERLINK("CSG0.html#group8L0", "8L⁰"), =HYPERLINK("CSG0.html#group2B0", "2B⁰"), =HYPERLINK("CSG0.html#group4G0", "4G⁰"), =HYPERLINK("CSG0.html#group4E0", "4E⁰"), =HYPERLINK("CSG0.html#group8C0", "8C⁰"), =HYPERLINK("CSG0.html#group4B0", "4B⁰"), =HYPERLINK("CSG1.html#group8F1", "8F¹"), =HYPERLINK("CSG0.html#group1A0", "1A⁰"), =HYPERLINK("CSG0.html#group8K0", "8K⁰"), =HYPERLINK("CSG1.html#group8H1", "8H¹"), =HYPERLINK("CSG1.html#group8E1", "8E¹"), =HYPERLINK("CSG1.html#group8J1", "8J¹"), =HYPERLINK("CSG0.html#group8G0", "8G⁰"), =HYPERLINK("CSG0.html#group4D0", "4D⁰"), =HYPERLINK("CSG5.html#group16O5", "16O⁵"), =HYPERLINK("CSG1.html#group8G1", "8G¹"), =HYPERLINK("CSG0.html#group8M0", "8M⁰"), =HYPERLINK("CSG3.html#group16Q3", "16Q³"), =HYPERLINK("CSG6.html#group16C6", "16C⁶"), =HYPERLINK("CSG0.html#group8P0", "8P⁰"), =HYPERLINK("CSG1.html#group16K1", "16K¹"), =HYPERLINK("CSG0.html#group8N0", "8N⁰"), =HYPERLINK("CSG1.html#group8A1", "8A¹"), =HYPERLINK("CSG3.html#group8A3", "8A³"), =HYPERLINK("CSG0.html#group8D0", "8D⁰"), =HYPERLINK("CSG1.html#group8K1", "8K¹"), =HYPERLINK("CSG2.html#group16I2", "16I²"), =HYPERLINK("CSG3.html#group16O3", "16O³"), =HYPERLINK("CSG2.html#group8B2", "8B²"), =HYPERLINK("CSG0.html#group8B0", "8B⁰"), =HYPERLINK("CSG0.html#group8E0", "8E⁰"), =HYPERLINK("CSG1.html#group8B1", "8B¹"), =HYPERLINK("CSG0.html#group8I0", "8I⁰"), =HYPERLINK("CSG5.html#group8A5", "8A⁵"), =HYPERLINK("CSG1.html#group8D1", "8D¹"), =HYPERLINK("CSG2.html#group16K2", "16K²"), =HYPERLINK("CSG0.html#group8H0", "8H⁰"), =HYPERLINK("CSG1.html#group16L1", "16L¹"), =HYPERLINK("CSG2.html#group8A2", "8A²"), =HYPERLINK("CSG0.html#group8F0", "8F⁰"), =HYPERLINK("CSG1.html#group8C1", "8C¹"), =HYPERLINK("CSG0.html#group4A0", "4A⁰"), =HYPERLINK("CSG1.html#group8I1", "8I¹"), =HYPERLINK("CSG0.html#group4F0", "4F⁰"), =HYPERLINK("CSG0.html#group8J0", "8J⁰"), =HYPERLINK("CSG0.html#group2C0", "2C⁰"), =HYPERLINK("CSG0.html#group8O0", "8O⁰")</f>
        <v/>
      </c>
      <c r="N3143" t="inlineStr"/>
    </row>
    <row r="3144">
      <c r="A3144" t="inlineStr">
        <is>
          <t>16C¹³</t>
        </is>
      </c>
      <c r="B3144" t="inlineStr"/>
      <c r="C3144" t="inlineStr">
        <is>
          <t>384</t>
        </is>
      </c>
      <c r="D3144" t="inlineStr">
        <is>
          <t>1</t>
        </is>
      </c>
      <c r="E3144" t="inlineStr">
        <is>
          <t>6</t>
        </is>
      </c>
      <c r="F3144" t="inlineStr">
        <is>
          <t>0</t>
        </is>
      </c>
      <c r="G3144" t="inlineStr">
        <is>
          <t>0</t>
        </is>
      </c>
      <c r="H3144" t="inlineStr">
        <is>
          <t>4¹⁶, 8⁸, 16¹⁶</t>
        </is>
      </c>
      <c r="I3144" t="n">
        <v>40</v>
      </c>
      <c r="J3144" t="inlineStr">
        <is>
          <t>1⁴, 2¹</t>
        </is>
      </c>
      <c r="K3144">
        <f>HYPERLINK("CSG5.html#group16M5", "16M⁵"), =HYPERLINK("CSG5.html#group16N5", "16N⁵"), =HYPERLINK("CSG5.html#group16O5", "16O⁵"), =HYPERLINK("CSG7.html#group16C7", "16C⁷")</f>
        <v/>
      </c>
      <c r="L3144" t="inlineStr"/>
      <c r="M3144">
        <f>HYPERLINK("CSG0.html#group2A0", "2A⁰"), =HYPERLINK("CSG0.html#group16G0", "16G⁰"), =HYPERLINK("CSG1.html#group16I1", "16I¹"), =HYPERLINK("CSG5.html#group16M5", "16M⁵"), =HYPERLINK("CSG0.html#group4C0", "4C⁰"), =HYPERLINK("CSG0.html#group4G0", "4G⁰"), =HYPERLINK("CSG0.html#group2B0", "2B⁰"), =HYPERLINK("CSG0.html#group4E0", "4E⁰"), =HYPERLINK("CSG0.html#group8L0", "8L⁰"), =HYPERLINK("CSG0.html#group8C0", "8C⁰"), =HYPERLINK("CSG0.html#group4B0", "4B⁰"), =HYPERLINK("CSG1.html#group8F1", "8F¹"), =HYPERLINK("CSG0.html#group8K0", "8K⁰"), =HYPERLINK("CSG0.html#group1A0", "1A⁰"), =HYPERLINK("CSG1.html#group16A1", "16A¹"), =HYPERLINK("CSG3.html#group16J3", "16J³"), =HYPERLINK("CSG2.html#group16J2", "16J²"), =HYPERLINK("CSG0.html#group16H0", "16H⁰"), =HYPERLINK("CSG0.html#group16E0", "16E⁰"), =HYPERLINK("CSG0.html#group8G0", "8G⁰"), =HYPERLINK("CSG1.html#group8G1", "8G¹"), =HYPERLINK("CSG5.html#group16O5", "16O⁵"), =HYPERLINK("CSG0.html#group4D0", "4D⁰"), =HYPERLINK("CSG0.html#group16C0", "16C⁰"), =HYPERLINK("CSG1.html#group16M1", "16M¹"), =HYPERLINK("CSG0.html#group8P0", "8P⁰"), =HYPERLINK("CSG1.html#group16H1", "16H¹"), =HYPERLINK("CSG1.html#group16K1", "16K¹"), =HYPERLINK("CSG2.html#group16D2", "16D²"), =HYPERLINK("CSG0.html#group8N0", "8N⁰"), =HYPERLINK("CSG5.html#group16N5", "16N⁵"), =HYPERLINK("CSG1.html#group8A1", "8A¹"), =HYPERLINK("CSG2.html#group16C2", "16C²"), =HYPERLINK("CSG1.html#group8K1", "8K¹"), =HYPERLINK("CSG0.html#group8D0", "8D⁰"), =HYPERLINK("CSG1.html#group16E1", "16E¹"), =HYPERLINK("CSG3.html#group16O3", "16O³"), =HYPERLINK("CSG2.html#group16I2", "16I²"), =HYPERLINK("CSG0.html#group8B0", "8B⁰"), =HYPERLINK("CSG1.html#group8B1", "8B¹"), =HYPERLINK("CSG7.html#group16C7", "16C⁷"), =HYPERLINK("CSG0.html#group8I0", "8I⁰"), =HYPERLINK("CSG2.html#group16L2", "16L²"), =HYPERLINK("CSG2.html#group16K2", "16K²"), =HYPERLINK("CSG3.html#group16I3", "16I³"), =HYPERLINK("CSG3.html#group16H3", "16H³"), =HYPERLINK("CSG0.html#group8H0", "8H⁰"), =HYPERLINK("CSG3.html#group16N3", "16N³"), =HYPERLINK("CSG1.html#group16L1", "16L¹"), =HYPERLINK("CSG1.html#group8C1", "8C¹"), =HYPERLINK("CSG1.html#group16G1", "16G¹"), =HYPERLINK("CSG0.html#group4A0", "4A⁰"), =HYPERLINK("CSG1.html#group16C1", "16C¹"), =HYPERLINK("CSG0.html#group16D0", "16D⁰"), =HYPERLINK("CSG0.html#group4F0", "4F⁰"), =HYPERLINK("CSG0.html#group8J0", "8J⁰"), =HYPERLINK("CSG0.html#group2C0", "2C⁰"), =HYPERLINK("CSG0.html#group8O0", "8O⁰")</f>
        <v/>
      </c>
      <c r="N3144" t="inlineStr"/>
    </row>
    <row r="3145">
      <c r="A3145" t="inlineStr">
        <is>
          <t>18A¹³</t>
        </is>
      </c>
      <c r="B3145" t="inlineStr"/>
      <c r="C3145" t="inlineStr">
        <is>
          <t>216</t>
        </is>
      </c>
      <c r="D3145" t="inlineStr">
        <is>
          <t>1</t>
        </is>
      </c>
      <c r="E3145" t="inlineStr">
        <is>
          <t>3</t>
        </is>
      </c>
      <c r="F3145" t="inlineStr">
        <is>
          <t>0</t>
        </is>
      </c>
      <c r="G3145" t="inlineStr">
        <is>
          <t>0</t>
        </is>
      </c>
      <c r="H3145" t="inlineStr">
        <is>
          <t>18¹²</t>
        </is>
      </c>
      <c r="I3145" t="n">
        <v>12</v>
      </c>
      <c r="J3145" t="inlineStr">
        <is>
          <t>1¹, 2¹</t>
        </is>
      </c>
      <c r="K3145">
        <f>HYPERLINK("CSG3.html#group18F3", "18F³"), =HYPERLINK("CSG4.html#group9A4", "9A⁴"), =HYPERLINK("CSG4.html#group18S4", "18S⁴"), =HYPERLINK("CSG5.html#group18A5", "18A⁵"), =HYPERLINK("CSG6.html#group18B6", "18B⁶"), =HYPERLINK("CSG7.html#group18C7", "18C⁷"), =HYPERLINK("CSG7.html#group18F7", "18F⁷")</f>
        <v/>
      </c>
      <c r="L3145" t="inlineStr"/>
      <c r="M3145">
        <f>HYPERLINK("CSG0.html#group2A0", "2A⁰"), =HYPERLINK("CSG4.html#group18S4", "18S⁴"), =HYPERLINK("CSG5.html#group18A5", "18A⁵"), =HYPERLINK("CSG2.html#group18K2", "18K²"), =HYPERLINK("CSG3.html#group18A3", "18A³"), =HYPERLINK("CSG2.html#group9B2", "9B²"), =HYPERLINK("CSG0.html#group9E0", "9E⁰"), =HYPERLINK("CSG7.html#group18C7", "18C⁷"), =HYPERLINK("CSG0.html#group1A0", "1A⁰"), =HYPERLINK("CSG0.html#group18A0", "18A⁰"), =HYPERLINK("CSG1.html#group9B1", "9B¹"), =HYPERLINK("CSG3.html#group18F3", "18F³"), =HYPERLINK("CSG2.html#group9A2", "9A²"), =HYPERLINK("CSG1.html#group6B1", "6B¹"), =HYPERLINK("CSG0.html#group3C0", "3C⁰"), =HYPERLINK("CSG1.html#group6A1", "6A¹"), =HYPERLINK("CSG0.html#group3A0", "3A⁰"), =HYPERLINK("CSG1.html#group9F1", "9F¹"), =HYPERLINK("CSG2.html#group18F2", "18F²"), =HYPERLINK("CSG0.html#group3B0", "3B⁰"), =HYPERLINK("CSG0.html#group6B0", "6B⁰"), =HYPERLINK("CSG4.html#group18B4", "18B⁴"), =HYPERLINK("CSG1.html#group18H1", "18H¹"), =HYPERLINK("CSG6.html#group18B6", "18B⁶"), =HYPERLINK("CSG0.html#group9G0", "9G⁰"), =HYPERLINK("CSG0.html#group6C0", "6C⁰"), =HYPERLINK("CSG2.html#group18A2", "18A²"), =HYPERLINK("CSG0.html#group9D0", "9D⁰"), =HYPERLINK("CSG0.html#group18D0", "18D⁰"), =HYPERLINK("CSG1.html#group6D1", "6D¹"), =HYPERLINK("CSG0.html#group6E0", "6E⁰"), =HYPERLINK("CSG0.html#group9A0", "9A⁰"), =HYPERLINK("CSG3.html#group18C3", "18C³"), =HYPERLINK("CSG7.html#group18F7", "18F⁷"), =HYPERLINK("CSG2.html#group18G2", "18G²"), =HYPERLINK("CSG4.html#group9A4", "9A⁴"), =HYPERLINK("CSG1.html#group18F1", "18F¹"), =HYPERLINK("CSG0.html#group9H0", "9H⁰"), =HYPERLINK("CSG0.html#group3D0", "3D⁰"), =HYPERLINK("CSG1.html#group18A1", "18A¹")</f>
        <v/>
      </c>
      <c r="N3145" t="inlineStr"/>
    </row>
    <row r="3146">
      <c r="A3146" t="inlineStr">
        <is>
          <t>18B¹³</t>
        </is>
      </c>
      <c r="B3146" t="inlineStr"/>
      <c r="C3146" t="inlineStr">
        <is>
          <t>216</t>
        </is>
      </c>
      <c r="D3146" t="inlineStr">
        <is>
          <t>1</t>
        </is>
      </c>
      <c r="E3146" t="inlineStr">
        <is>
          <t>3</t>
        </is>
      </c>
      <c r="F3146" t="inlineStr">
        <is>
          <t>0</t>
        </is>
      </c>
      <c r="G3146" t="inlineStr">
        <is>
          <t>0</t>
        </is>
      </c>
      <c r="H3146" t="inlineStr">
        <is>
          <t>18¹²</t>
        </is>
      </c>
      <c r="I3146" t="n">
        <v>12</v>
      </c>
      <c r="J3146" t="inlineStr">
        <is>
          <t>1¹, 2¹</t>
        </is>
      </c>
      <c r="K3146">
        <f>HYPERLINK("CSG1.html#group6F1", "6F¹"), =HYPERLINK("CSG4.html#group18L4", "18L⁴"), =HYPERLINK("CSG5.html#group18A5", "18A⁵"), =HYPERLINK("CSG5.html#group18B5", "18B⁵"), =HYPERLINK("CSG6.html#group18A6", "18A⁶"), =HYPERLINK("CSG6.html#group18D6", "18D⁶"), =HYPERLINK("CSG7.html#group18A7", "18A⁷"), =HYPERLINK("CSG7.html#group18E7", "18E⁷")</f>
        <v/>
      </c>
      <c r="L3146" t="inlineStr"/>
      <c r="M3146">
        <f>HYPERLINK("CSG0.html#group2A0", "2A⁰"), =HYPERLINK("CSG7.html#group18A7", "18A⁷"), =HYPERLINK("CSG7.html#group18E7", "18E⁷"), =HYPERLINK("CSG5.html#group18A5", "18A⁵"), =HYPERLINK("CSG1.html#group6C1", "6C¹"), =HYPERLINK("CSG3.html#group18A3", "18A³"), =HYPERLINK("CSG1.html#group18B1", "18B¹"), =HYPERLINK("CSG0.html#group6G0", "6G⁰"), =HYPERLINK("CSG0.html#group2B0", "2B⁰"), =HYPERLINK("CSG2.html#group18I2", "18I²"), =HYPERLINK("CSG0.html#group1A0", "1A⁰"), =HYPERLINK("CSG1.html#group9B1", "9B¹"), =HYPERLINK("CSG0.html#group18A0", "18A⁰"), =HYPERLINK("CSG2.html#group18L2", "18L²"), =HYPERLINK("CSG3.html#group18D3", "18D³"), =HYPERLINK("CSG2.html#group9A2", "9A²"), =HYPERLINK("CSG1.html#group6B1", "6B¹"), =HYPERLINK("CSG4.html#group18A4", "18A⁴"), =HYPERLINK("CSG3.html#group18B3", "18B³"), =HYPERLINK("CSG0.html#group3C0", "3C⁰"), =HYPERLINK("CSG0.html#group6K0", "6K⁰"), =HYPERLINK("CSG1.html#group6A1", "6A¹"), =HYPERLINK("CSG0.html#group6H0", "6H⁰"), =HYPERLINK("CSG1.html#group18E1", "18E¹"), =HYPERLINK("CSG0.html#group3A0", "3A⁰"), =HYPERLINK("CSG0.html#group6F0", "6F⁰"), =HYPERLINK("CSG1.html#group6E1", "6E¹"), =HYPERLINK("CSG0.html#group3B0", "3B⁰"), =HYPERLINK("CSG0.html#group6B0", "6B⁰"), =HYPERLINK("CSG4.html#group18L4", "18L⁴"), =HYPERLINK("CSG0.html#group6I0", "6I⁰"), =HYPERLINK("CSG1.html#group6F1", "6F¹"), =HYPERLINK("CSG0.html#group6C0", "6C⁰"), =HYPERLINK("CSG2.html#group18A2", "18A²"), =HYPERLINK("CSG3.html#group18E3", "18E³"), =HYPERLINK("CSG6.html#group18D6", "18D⁶"), =HYPERLINK("CSG0.html#group9D0", "9D⁰"), =HYPERLINK("CSG0.html#group6A0", "6A⁰"), =HYPERLINK("CSG2.html#group18H2", "18H²"), =HYPERLINK("CSG6.html#group18A6", "18A⁶"), =HYPERLINK("CSG0.html#group6E0", "6E⁰"), =HYPERLINK("CSG0.html#group6L0", "6L⁰"), =HYPERLINK("CSG0.html#group18D0", "18D⁰"), =HYPERLINK("CSG0.html#group9A0", "9A⁰"), =HYPERLINK("CSG1.html#group6D1", "6D¹"), =HYPERLINK("CSG3.html#group18C3", "18C³"), =HYPERLINK("CSG0.html#group6J0", "6J⁰"), =HYPERLINK("CSG5.html#group18B5", "18B⁵"), =HYPERLINK("CSG2.html#group18G2", "18G²"), =HYPERLINK("CSG0.html#group3D0", "3D⁰"), =HYPERLINK("CSG0.html#group2C0", "2C⁰"), =HYPERLINK("CSG1.html#group18A1", "18A¹"), =HYPERLINK("CSG0.html#group6D0", "6D⁰")</f>
        <v/>
      </c>
      <c r="N3146" t="inlineStr"/>
    </row>
    <row r="3147">
      <c r="A3147" t="inlineStr">
        <is>
          <t>18C¹³</t>
        </is>
      </c>
      <c r="B3147" t="inlineStr"/>
      <c r="C3147" t="inlineStr">
        <is>
          <t>216</t>
        </is>
      </c>
      <c r="D3147" t="inlineStr">
        <is>
          <t>1</t>
        </is>
      </c>
      <c r="E3147" t="inlineStr">
        <is>
          <t>6</t>
        </is>
      </c>
      <c r="F3147" t="inlineStr">
        <is>
          <t>0</t>
        </is>
      </c>
      <c r="G3147" t="inlineStr">
        <is>
          <t>0</t>
        </is>
      </c>
      <c r="H3147" t="inlineStr">
        <is>
          <t>18¹²</t>
        </is>
      </c>
      <c r="I3147" t="n">
        <v>12</v>
      </c>
      <c r="J3147" t="inlineStr">
        <is>
          <t>1², 2²</t>
        </is>
      </c>
      <c r="K3147">
        <f>HYPERLINK("CSG3.html#group18F3", "18F³"), =HYPERLINK("CSG4.html#group9B4", "9B⁴"), =HYPERLINK("CSG4.html#group18E4", "18E⁴"), =HYPERLINK("CSG4.html#group18O4", "18O⁴"), =HYPERLINK("CSG5.html#group18A5", "18A⁵"), =HYPERLINK("CSG7.html#group18B7", "18B⁷")</f>
        <v/>
      </c>
      <c r="L3147" t="inlineStr"/>
      <c r="M3147">
        <f>HYPERLINK("CSG0.html#group2A0", "2A⁰"), =HYPERLINK("CSG5.html#group18A5", "18A⁵"), =HYPERLINK("CSG3.html#group18A3", "18A³"), =HYPERLINK("CSG0.html#group9E0", "9E⁰"), =HYPERLINK("CSG0.html#group9C0", "9C⁰"), =HYPERLINK("CSG0.html#group1A0", "1A⁰"), =HYPERLINK("CSG1.html#group9B1", "9B¹"), =HYPERLINK("CSG0.html#group18A0", "18A⁰"), =HYPERLINK("CSG3.html#group18F3", "18F³"), =HYPERLINK("CSG2.html#group9A2", "9A²"), =HYPERLINK("CSG1.html#group6B1", "6B¹"), =HYPERLINK("CSG1.html#group18C1", "18C¹"), =HYPERLINK("CSG0.html#group3C0", "3C⁰"), =HYPERLINK("CSG1.html#group6A1", "6A¹"), =HYPERLINK("CSG4.html#group18E4", "18E⁴"), =HYPERLINK("CSG0.html#group3A0", "3A⁰"), =HYPERLINK("CSG4.html#group18O4", "18O⁴"), =HYPERLINK("CSG2.html#group18F2", "18F²"), =HYPERLINK("CSG0.html#group3B0", "3B⁰"), =HYPERLINK("CSG0.html#group6B0", "6B⁰"), =HYPERLINK("CSG0.html#group18B0", "18B⁰"), =HYPERLINK("CSG0.html#group6C0", "6C⁰"), =HYPERLINK("CSG0.html#group9B0", "9B⁰"), =HYPERLINK("CSG7.html#group18B7", "18B⁷"), =HYPERLINK("CSG1.html#group9E1", "9E¹"), =HYPERLINK("CSG2.html#group18A2", "18A²"), =HYPERLINK("CSG2.html#group18B2", "18B²"), =HYPERLINK("CSG0.html#group9D0", "9D⁰"), =HYPERLINK("CSG1.html#group6D1", "6D¹"), =HYPERLINK("CSG4.html#group9B4", "9B⁴"), =HYPERLINK("CSG0.html#group6E0", "6E⁰"), =HYPERLINK("CSG0.html#group18D0", "18D⁰"), =HYPERLINK("CSG0.html#group9A0", "9A⁰"), =HYPERLINK("CSG1.html#group9A1", "9A¹"), =HYPERLINK("CSG3.html#group18C3", "18C³"), =HYPERLINK("CSG1.html#group9C1", "9C¹"), =HYPERLINK("CSG1.html#group18F1", "18F¹"), =HYPERLINK("CSG0.html#group9H0", "9H⁰"), =HYPERLINK("CSG2.html#group18G2", "18G²"), =HYPERLINK("CSG0.html#group3D0", "3D⁰"), =HYPERLINK("CSG1.html#group18A1", "18A¹")</f>
        <v/>
      </c>
      <c r="N3147" t="inlineStr"/>
    </row>
    <row r="3148">
      <c r="A3148" t="inlineStr">
        <is>
          <t>18D¹³</t>
        </is>
      </c>
      <c r="B3148" t="inlineStr"/>
      <c r="C3148" t="inlineStr">
        <is>
          <t>216</t>
        </is>
      </c>
      <c r="D3148" t="inlineStr">
        <is>
          <t>1</t>
        </is>
      </c>
      <c r="E3148" t="inlineStr">
        <is>
          <t>12</t>
        </is>
      </c>
      <c r="F3148" t="inlineStr">
        <is>
          <t>0</t>
        </is>
      </c>
      <c r="G3148" t="inlineStr">
        <is>
          <t>0</t>
        </is>
      </c>
      <c r="H3148" t="inlineStr">
        <is>
          <t>18¹²</t>
        </is>
      </c>
      <c r="I3148" t="n">
        <v>12</v>
      </c>
      <c r="J3148" t="inlineStr">
        <is>
          <t>2⁶</t>
        </is>
      </c>
      <c r="K3148">
        <f>HYPERLINK("CSG3.html#group18F3", "18F³"), =HYPERLINK("CSG4.html#group18H4", "18H⁴"), =HYPERLINK("CSG5.html#group18B5", "18B⁵"), =HYPERLINK("CSG7.html#group18D7", "18D⁷")</f>
        <v/>
      </c>
      <c r="L3148" t="inlineStr"/>
      <c r="M3148">
        <f>HYPERLINK("CSG0.html#group2A0", "2A⁰"), =HYPERLINK("CSG0.html#group3B0", "3B⁰"), =HYPERLINK("CSG2.html#group18F2", "18F²"), =HYPERLINK("CSG0.html#group6B0", "6B⁰"), =HYPERLINK("CSG1.html#group18D1", "18D¹"), =HYPERLINK("CSG0.html#group6C0", "6C⁰"), =HYPERLINK("CSG1.html#group18B1", "18B¹"), =HYPERLINK("CSG0.html#group9E0", "9E⁰"), =HYPERLINK("CSG0.html#group1A0", "1A⁰"), =HYPERLINK("CSG4.html#group18H4", "18H⁴"), =HYPERLINK("CSG0.html#group18C0", "18C⁰"), =HYPERLINK("CSG7.html#group18D7", "18D⁷"), =HYPERLINK("CSG3.html#group18F3", "18F³"), =HYPERLINK("CSG1.html#group6D1", "6D¹"), =HYPERLINK("CSG2.html#group18H2", "18H²"), =HYPERLINK("CSG0.html#group6E0", "6E⁰"), =HYPERLINK("CSG1.html#group6B1", "6B¹"), =HYPERLINK("CSG3.html#group18B3", "18B³"), =HYPERLINK("CSG5.html#group18B5", "18B⁵"), =HYPERLINK("CSG0.html#group3C0", "3C⁰"), =HYPERLINK("CSG1.html#group6A1", "6A¹"), =HYPERLINK("CSG1.html#group18F1", "18F¹"), =HYPERLINK("CSG0.html#group9H0", "9H⁰"), =HYPERLINK("CSG0.html#group3A0", "3A⁰"), =HYPERLINK("CSG0.html#group3D0", "3D⁰"), =HYPERLINK("CSG2.html#group18C2", "18C²")</f>
        <v/>
      </c>
      <c r="N3148" t="inlineStr"/>
    </row>
    <row r="3149">
      <c r="A3149" t="inlineStr">
        <is>
          <t>18E¹³</t>
        </is>
      </c>
      <c r="B3149" t="inlineStr"/>
      <c r="C3149" t="inlineStr">
        <is>
          <t>216</t>
        </is>
      </c>
      <c r="D3149" t="inlineStr">
        <is>
          <t>1</t>
        </is>
      </c>
      <c r="E3149" t="inlineStr">
        <is>
          <t>12</t>
        </is>
      </c>
      <c r="F3149" t="inlineStr">
        <is>
          <t>0</t>
        </is>
      </c>
      <c r="G3149" t="inlineStr">
        <is>
          <t>0</t>
        </is>
      </c>
      <c r="H3149" t="inlineStr">
        <is>
          <t>18¹²</t>
        </is>
      </c>
      <c r="I3149" t="n">
        <v>12</v>
      </c>
      <c r="J3149" t="inlineStr">
        <is>
          <t>1², 2⁵</t>
        </is>
      </c>
      <c r="K3149">
        <f>HYPERLINK("CSG3.html#group18F3", "18F³"), =HYPERLINK("CSG3.html#group18H3", "18H³"), =HYPERLINK("CSG5.html#group18B5", "18B⁵"), =HYPERLINK("CSG6.html#group18C6", "18C⁶")</f>
        <v/>
      </c>
      <c r="L3149" t="inlineStr"/>
      <c r="M3149">
        <f>HYPERLINK("CSG0.html#group2A0", "2A⁰"), =HYPERLINK("CSG0.html#group3B0", "3B⁰"), =HYPERLINK("CSG2.html#group18F2", "18F²"), =HYPERLINK("CSG0.html#group6B0", "6B⁰"), =HYPERLINK("CSG0.html#group6C0", "6C⁰"), =HYPERLINK("CSG1.html#group18B1", "18B¹"), =HYPERLINK("CSG0.html#group9E0", "9E⁰"), =HYPERLINK("CSG0.html#group1A0", "1A⁰"), =HYPERLINK("CSG6.html#group18C6", "18C⁶"), =HYPERLINK("CSG3.html#group18F3", "18F³"), =HYPERLINK("CSG1.html#group6D1", "6D¹"), =HYPERLINK("CSG2.html#group18H2", "18H²"), =HYPERLINK("CSG0.html#group6E0", "6E⁰"), =HYPERLINK("CSG1.html#group6B1", "6B¹"), =HYPERLINK("CSG3.html#group18H3", "18H³"), =HYPERLINK("CSG3.html#group18B3", "18B³"), =HYPERLINK("CSG5.html#group18B5", "18B⁵"), =HYPERLINK("CSG0.html#group3C0", "3C⁰"), =HYPERLINK("CSG1.html#group6A1", "6A¹"), =HYPERLINK("CSG1.html#group18G1", "18G¹"), =HYPERLINK("CSG1.html#group18F1", "18F¹"), =HYPERLINK("CSG0.html#group9H0", "9H⁰"), =HYPERLINK("CSG0.html#group3A0", "3A⁰"), =HYPERLINK("CSG0.html#group3D0", "3D⁰")</f>
        <v/>
      </c>
      <c r="N3149" t="inlineStr"/>
    </row>
    <row r="3150">
      <c r="A3150" t="inlineStr">
        <is>
          <t>18F¹³</t>
        </is>
      </c>
      <c r="B3150" t="inlineStr"/>
      <c r="C3150" t="inlineStr">
        <is>
          <t>216</t>
        </is>
      </c>
      <c r="D3150" t="inlineStr">
        <is>
          <t>1</t>
        </is>
      </c>
      <c r="E3150" t="inlineStr">
        <is>
          <t>12</t>
        </is>
      </c>
      <c r="F3150" t="inlineStr">
        <is>
          <t>0</t>
        </is>
      </c>
      <c r="G3150" t="inlineStr">
        <is>
          <t>0</t>
        </is>
      </c>
      <c r="H3150" t="inlineStr">
        <is>
          <t>18¹²</t>
        </is>
      </c>
      <c r="I3150" t="n">
        <v>12</v>
      </c>
      <c r="J3150" t="inlineStr">
        <is>
          <t>1², 2⁵</t>
        </is>
      </c>
      <c r="K3150">
        <f>HYPERLINK("CSG3.html#group18H3", "18H³"), =HYPERLINK("CSG4.html#group18H4", "18H⁴"), =HYPERLINK("CSG4.html#group18R4", "18R⁴"), =HYPERLINK("CSG5.html#group18A5", "18A⁵")</f>
        <v/>
      </c>
      <c r="L3150" t="inlineStr"/>
      <c r="M3150">
        <f>HYPERLINK("CSG0.html#group2A0", "2A⁰"), =HYPERLINK("CSG5.html#group18A5", "18A⁵"), =HYPERLINK("CSG3.html#group18A3", "18A³"), =HYPERLINK("CSG4.html#group18R4", "18R⁴"), =HYPERLINK("CSG0.html#group1A0", "1A⁰"), =HYPERLINK("CSG0.html#group18A0", "18A⁰"), =HYPERLINK("CSG1.html#group9B1", "9B¹"), =HYPERLINK("CSG0.html#group18C0", "18C⁰"), =HYPERLINK("CSG2.html#group9A2", "9A²"), =HYPERLINK("CSG1.html#group6B1", "6B¹"), =HYPERLINK("CSG2.html#group18C2", "18C²"), =HYPERLINK("CSG3.html#group18H3", "18H³"), =HYPERLINK("CSG0.html#group3C0", "3C⁰"), =HYPERLINK("CSG1.html#group6A1", "6A¹"), =HYPERLINK("CSG1.html#group18G1", "18G¹"), =HYPERLINK("CSG0.html#group3A0", "3A⁰"), =HYPERLINK("CSG0.html#group3B0", "3B⁰"), =HYPERLINK("CSG0.html#group6B0", "6B⁰"), =HYPERLINK("CSG0.html#group6C0", "6C⁰"), =HYPERLINK("CSG2.html#group18A2", "18A²"), =HYPERLINK("CSG4.html#group18H4", "18H⁴"), =HYPERLINK("CSG0.html#group9D0", "9D⁰"), =HYPERLINK("CSG0.html#group18D0", "18D⁰"), =HYPERLINK("CSG1.html#group6D1", "6D¹"), =HYPERLINK("CSG0.html#group6E0", "6E⁰"), =HYPERLINK("CSG0.html#group9A0", "9A⁰"), =HYPERLINK("CSG3.html#group18C3", "18C³"), =HYPERLINK("CSG2.html#group18G2", "18G²"), =HYPERLINK("CSG0.html#group3D0", "3D⁰"), =HYPERLINK("CSG1.html#group18A1", "18A¹"), =HYPERLINK("CSG1.html#group18D1", "18D¹")</f>
        <v/>
      </c>
      <c r="N3150" t="inlineStr"/>
    </row>
    <row r="3151">
      <c r="A3151" t="inlineStr">
        <is>
          <t>18G¹³</t>
        </is>
      </c>
      <c r="B3151" t="inlineStr"/>
      <c r="C3151" t="inlineStr">
        <is>
          <t>216</t>
        </is>
      </c>
      <c r="D3151" t="inlineStr">
        <is>
          <t>1</t>
        </is>
      </c>
      <c r="E3151" t="inlineStr">
        <is>
          <t>24</t>
        </is>
      </c>
      <c r="F3151" t="inlineStr">
        <is>
          <t>0</t>
        </is>
      </c>
      <c r="G3151" t="inlineStr">
        <is>
          <t>0</t>
        </is>
      </c>
      <c r="H3151" t="inlineStr">
        <is>
          <t>18¹²</t>
        </is>
      </c>
      <c r="I3151" t="n">
        <v>12</v>
      </c>
      <c r="J3151" t="inlineStr">
        <is>
          <t>2¹²</t>
        </is>
      </c>
      <c r="K3151">
        <f>HYPERLINK("CSG3.html#group18H3", "18H³"), =HYPERLINK("CSG4.html#group18E4", "18E⁴"), =HYPERLINK("CSG4.html#group18H4", "18H⁴"), =HYPERLINK("CSG5.html#group18B5", "18B⁵")</f>
        <v/>
      </c>
      <c r="L3151" t="inlineStr"/>
      <c r="M3151">
        <f>HYPERLINK("CSG0.html#group2A0", "2A⁰"), =HYPERLINK("CSG0.html#group3B0", "3B⁰"), =HYPERLINK("CSG0.html#group6B0", "6B⁰"), =HYPERLINK("CSG1.html#group18D1", "18D¹"), =HYPERLINK("CSG0.html#group18B0", "18B⁰"), =HYPERLINK("CSG0.html#group6C0", "6C⁰"), =HYPERLINK("CSG1.html#group18B1", "18B¹"), =HYPERLINK("CSG0.html#group9B0", "9B⁰"), =HYPERLINK("CSG0.html#group9C0", "9C⁰"), =HYPERLINK("CSG0.html#group1A0", "1A⁰"), =HYPERLINK("CSG4.html#group18H4", "18H⁴"), =HYPERLINK("CSG0.html#group18C0", "18C⁰"), =HYPERLINK("CSG2.html#group18B2", "18B²"), =HYPERLINK("CSG1.html#group6D1", "6D¹"), =HYPERLINK("CSG2.html#group18H2", "18H²"), =HYPERLINK("CSG0.html#group6E0", "6E⁰"), =HYPERLINK("CSG1.html#group6B1", "6B¹"), =HYPERLINK("CSG3.html#group18H3", "18H³"), =HYPERLINK("CSG3.html#group18B3", "18B³"), =HYPERLINK("CSG1.html#group18C1", "18C¹"), =HYPERLINK("CSG1.html#group9A1", "9A¹"), =HYPERLINK("CSG5.html#group18B5", "18B⁵"), =HYPERLINK("CSG0.html#group3C0", "3C⁰"), =HYPERLINK("CSG1.html#group6A1", "6A¹"), =HYPERLINK("CSG1.html#group18G1", "18G¹"), =HYPERLINK("CSG4.html#group18E4", "18E⁴"), =HYPERLINK("CSG1.html#group9C1", "9C¹"), =HYPERLINK("CSG0.html#group3A0", "3A⁰"), =HYPERLINK("CSG0.html#group3D0", "3D⁰"), =HYPERLINK("CSG2.html#group18C2", "18C²")</f>
        <v/>
      </c>
      <c r="N3151" t="inlineStr"/>
    </row>
    <row r="3152">
      <c r="A3152" t="inlineStr">
        <is>
          <t>18H¹³</t>
        </is>
      </c>
      <c r="B3152" t="inlineStr"/>
      <c r="C3152" t="inlineStr">
        <is>
          <t>216</t>
        </is>
      </c>
      <c r="D3152" t="inlineStr">
        <is>
          <t>2</t>
        </is>
      </c>
      <c r="E3152" t="inlineStr">
        <is>
          <t>6</t>
        </is>
      </c>
      <c r="F3152" t="inlineStr">
        <is>
          <t>0</t>
        </is>
      </c>
      <c r="G3152" t="inlineStr">
        <is>
          <t>0</t>
        </is>
      </c>
      <c r="H3152" t="inlineStr">
        <is>
          <t>18¹²</t>
        </is>
      </c>
      <c r="I3152" t="n">
        <v>12</v>
      </c>
      <c r="J3152" t="inlineStr">
        <is>
          <t>2⁶</t>
        </is>
      </c>
      <c r="K3152">
        <f>HYPERLINK("CSG3.html#group18H3", "18H³"), =HYPERLINK("CSG4.html#group18T4", "18T⁴"), =HYPERLINK("CSG5.html#group18A5", "18A⁵"), =HYPERLINK("CSG5.html#group18B5", "18B⁵"), =HYPERLINK("CSG6.html#group18E6", "18E⁶"), =HYPERLINK("CSG7.html#group18G7", "18G⁷")</f>
        <v/>
      </c>
      <c r="L3152" t="inlineStr"/>
      <c r="M3152">
        <f>HYPERLINK("CSG0.html#group2A0", "2A⁰"), =HYPERLINK("CSG5.html#group18A5", "18A⁵"), =HYPERLINK("CSG3.html#group18A3", "18A³"), =HYPERLINK("CSG1.html#group18B1", "18B¹"), =HYPERLINK("CSG0.html#group1A0", "1A⁰"), =HYPERLINK("CSG1.html#group9B1", "9B¹"), =HYPERLINK("CSG0.html#group18A0", "18A⁰"), =HYPERLINK("CSG2.html#group9A2", "9A²"), =HYPERLINK("CSG1.html#group6B1", "6B¹"), =HYPERLINK("CSG3.html#group18H3", "18H³"), =HYPERLINK("CSG3.html#group18B3", "18B³"), =HYPERLINK("CSG0.html#group3C0", "3C⁰"), =HYPERLINK("CSG4.html#group18T4", "18T⁴"), =HYPERLINK("CSG1.html#group6A1", "6A¹"), =HYPERLINK("CSG1.html#group18G1", "18G¹"), =HYPERLINK("CSG0.html#group3A0", "3A⁰"), =HYPERLINK("CSG0.html#group3B0", "3B⁰"), =HYPERLINK("CSG6.html#group18E6", "18E⁶"), =HYPERLINK("CSG0.html#group6B0", "6B⁰"), =HYPERLINK("CSG7.html#group18G7", "18G⁷"), =HYPERLINK("CSG0.html#group6C0", "6C⁰"), =HYPERLINK("CSG2.html#group18A2", "18A²"), =HYPERLINK("CSG2.html#group18M2", "18M²"), =HYPERLINK("CSG0.html#group9D0", "9D⁰"), =HYPERLINK("CSG1.html#group6D1", "6D¹"), =HYPERLINK("CSG2.html#group18H2", "18H²"), =HYPERLINK("CSG0.html#group6E0", "6E⁰"), =HYPERLINK("CSG0.html#group18D0", "18D⁰"), =HYPERLINK("CSG0.html#group9A0", "9A⁰"), =HYPERLINK("CSG3.html#group18C3", "18C³"), =HYPERLINK("CSG5.html#group18B5", "18B⁵"), =HYPERLINK("CSG2.html#group18G2", "18G²"), =HYPERLINK("CSG0.html#group3D0", "3D⁰"), =HYPERLINK("CSG1.html#group18A1", "18A¹")</f>
        <v/>
      </c>
      <c r="N3152" t="inlineStr"/>
    </row>
    <row r="3153">
      <c r="A3153" t="inlineStr">
        <is>
          <t>20A¹³</t>
        </is>
      </c>
      <c r="B3153" t="inlineStr"/>
      <c r="C3153" t="inlineStr">
        <is>
          <t>240</t>
        </is>
      </c>
      <c r="D3153" t="inlineStr">
        <is>
          <t>1</t>
        </is>
      </c>
      <c r="E3153" t="inlineStr">
        <is>
          <t>30</t>
        </is>
      </c>
      <c r="F3153" t="inlineStr">
        <is>
          <t>0</t>
        </is>
      </c>
      <c r="G3153" t="inlineStr">
        <is>
          <t>0</t>
        </is>
      </c>
      <c r="H3153" t="inlineStr">
        <is>
          <t>10⁸, 20⁸</t>
        </is>
      </c>
      <c r="I3153" t="n">
        <v>16</v>
      </c>
      <c r="J3153" t="inlineStr">
        <is>
          <t>2³, 4⁶</t>
        </is>
      </c>
      <c r="K3153">
        <f>HYPERLINK("CSG4.html#group20A4", "20A⁴"), =HYPERLINK("CSG5.html#group10B5", "10B⁵"), =HYPERLINK("CSG5.html#group20E5", "20E⁵"), =HYPERLINK("CSG5.html#group20F5", "20F⁵"), =HYPERLINK("CSG7.html#group20A7", "20A⁷"), =HYPERLINK("CSG7.html#group20B7", "20B⁷"), =HYPERLINK("CSG7.html#group20C7", "20C⁷"), =HYPERLINK("CSG7.html#group20D7", "20D⁷")</f>
        <v/>
      </c>
      <c r="L3153" t="inlineStr"/>
      <c r="M3153">
        <f>HYPERLINK("CSG7.html#group20D7", "20D⁷"), =HYPERLINK("CSG0.html#group2A0", "2A⁰"), =HYPERLINK("CSG0.html#group5A0", "5A⁰"), =HYPERLINK("CSG1.html#group10H1", "10H¹"), =HYPERLINK("CSG3.html#group20E3", "20E³"), =HYPERLINK("CSG0.html#group10D0", "10D⁰"), =HYPERLINK("CSG0.html#group4C0", "4C⁰"), =HYPERLINK("CSG0.html#group5F0", "5F⁰"), =HYPERLINK("CSG3.html#group10A3", "10A³"), =HYPERLINK("CSG0.html#group2B0", "2B⁰"), =HYPERLINK("CSG0.html#group4E0", "4E⁰"), =HYPERLINK("CSG0.html#group4B0", "4B⁰"), =HYPERLINK("CSG0.html#group1A0", "1A⁰"), =HYPERLINK("CSG5.html#group10B5", "10B⁵"), =HYPERLINK("CSG0.html#group10A0", "10A⁰"), =HYPERLINK("CSG5.html#group20F5", "20F⁵"), =HYPERLINK("CSG2.html#group20A2", "20A²"), =HYPERLINK("CSG5.html#group20E5", "20E⁵"), =HYPERLINK("CSG7.html#group20B7", "20B⁷"), =HYPERLINK("CSG1.html#group10B1", "10B¹"), =HYPERLINK("CSG2.html#group20B2", "20B²"), =HYPERLINK("CSG2.html#group10B2", "10B²"), =HYPERLINK("CSG2.html#group20F2", "20F²"), =HYPERLINK("CSG2.html#group10D2", "10D²"), =HYPERLINK("CSG3.html#group20F3", "20F³"), =HYPERLINK("CSG1.html#group10F1", "10F¹"), =HYPERLINK("CSG2.html#group10E2", "10E²"), =HYPERLINK("CSG7.html#group20A7", "20A⁷"), =HYPERLINK("CSG4.html#group20A4", "20A⁴"), =HYPERLINK("CSG7.html#group20C7", "20C⁷"), =HYPERLINK("CSG4.html#group20B4", "20B⁴"), =HYPERLINK("CSG1.html#group10C1", "10C¹"), =HYPERLINK("CSG0.html#group5C0", "5C⁰"), =HYPERLINK("CSG0.html#group2C0", "2C⁰")</f>
        <v/>
      </c>
      <c r="N3153" t="inlineStr"/>
    </row>
    <row r="3154">
      <c r="A3154" t="inlineStr">
        <is>
          <t>20B¹³</t>
        </is>
      </c>
      <c r="B3154" t="inlineStr"/>
      <c r="C3154" t="inlineStr">
        <is>
          <t>240</t>
        </is>
      </c>
      <c r="D3154" t="inlineStr">
        <is>
          <t>1</t>
        </is>
      </c>
      <c r="E3154" t="inlineStr">
        <is>
          <t>60</t>
        </is>
      </c>
      <c r="F3154" t="inlineStr">
        <is>
          <t>8</t>
        </is>
      </c>
      <c r="G3154" t="inlineStr">
        <is>
          <t>0</t>
        </is>
      </c>
      <c r="H3154" t="inlineStr">
        <is>
          <t>20¹²</t>
        </is>
      </c>
      <c r="I3154" t="n">
        <v>12</v>
      </c>
      <c r="J3154" t="inlineStr">
        <is>
          <t>2², 4², 8⁶</t>
        </is>
      </c>
      <c r="K3154">
        <f>HYPERLINK("CSG1.html#group20G1", "20G¹"), =HYPERLINK("CSG2.html#group10C2", "10C²"), =HYPERLINK("CSG3.html#group20O3", "20O³"), =HYPERLINK("CSG6.html#group20B6", "20B⁶"), =HYPERLINK("CSG7.html#group20F7", "20F⁷")</f>
        <v/>
      </c>
      <c r="L3154" t="inlineStr"/>
      <c r="M3154">
        <f>HYPERLINK("CSG0.html#group5A0", "5A⁰"), =HYPERLINK("CSG3.html#group20O3", "20O³"), =HYPERLINK("CSG6.html#group20B6", "20B⁶"), =HYPERLINK("CSG0.html#group10D0", "10D⁰"), =HYPERLINK("CSG0.html#group5B0", "5B⁰"), =HYPERLINK("CSG1.html#group20A1", "20A¹"), =HYPERLINK("CSG1.html#group10E1", "10E¹"), =HYPERLINK("CSG7.html#group20F7", "20F⁷"), =HYPERLINK("CSG0.html#group1A0", "1A⁰"), =HYPERLINK("CSG1.html#group20B1", "20B¹"), =HYPERLINK("CSG0.html#group10B0", "10B⁰"), =HYPERLINK("CSG0.html#group4A0", "4A⁰"), =HYPERLINK("CSG1.html#group20G1", "20G¹"), =HYPERLINK("CSG2.html#group10C2", "10C²"), =HYPERLINK("CSG0.html#group5E0", "5E⁰"), =HYPERLINK("CSG0.html#group5C0", "5C⁰"), =HYPERLINK("CSG2.html#group20E2", "20E²"), =HYPERLINK("CSG0.html#group5G0", "5G⁰"), =HYPERLINK("CSG3.html#group20D3", "20D³")</f>
        <v/>
      </c>
      <c r="N3154" t="inlineStr"/>
    </row>
    <row r="3155">
      <c r="A3155" t="inlineStr">
        <is>
          <t>20C¹³</t>
        </is>
      </c>
      <c r="B3155" t="inlineStr"/>
      <c r="C3155" t="inlineStr">
        <is>
          <t>240</t>
        </is>
      </c>
      <c r="D3155" t="inlineStr">
        <is>
          <t>1</t>
        </is>
      </c>
      <c r="E3155" t="inlineStr">
        <is>
          <t>60</t>
        </is>
      </c>
      <c r="F3155" t="inlineStr">
        <is>
          <t>8</t>
        </is>
      </c>
      <c r="G3155" t="inlineStr">
        <is>
          <t>0</t>
        </is>
      </c>
      <c r="H3155" t="inlineStr">
        <is>
          <t>20¹²</t>
        </is>
      </c>
      <c r="I3155" t="n">
        <v>12</v>
      </c>
      <c r="J3155" t="inlineStr">
        <is>
          <t>2², 4⁶, 8⁴</t>
        </is>
      </c>
      <c r="K3155">
        <f>HYPERLINK("CSG3.html#group20O3", "20O³"), =HYPERLINK("CSG5.html#group20F5", "20F⁵"), =HYPERLINK("CSG7.html#group20G7", "20G⁷"), =HYPERLINK("CSG7.html#group20H7", "20H⁷")</f>
        <v/>
      </c>
      <c r="L3155" t="inlineStr"/>
      <c r="M3155">
        <f>HYPERLINK("CSG3.html#group20O3", "20O³"), =HYPERLINK("CSG0.html#group10D0", "10D⁰"), =HYPERLINK("CSG0.html#group4C0", "4C⁰"), =HYPERLINK("CSG0.html#group2B0", "2B⁰"), =HYPERLINK("CSG2.html#group20F2", "20F²"), =HYPERLINK("CSG0.html#group1A0", "1A⁰"), =HYPERLINK("CSG3.html#group20F3", "20F³"), =HYPERLINK("CSG1.html#group10F1", "10F¹"), =HYPERLINK("CSG2.html#group10E2", "10E²"), =HYPERLINK("CSG7.html#group20H7", "20H⁷"), =HYPERLINK("CSG5.html#group20F5", "20F⁵"), =HYPERLINK("CSG7.html#group20G7", "20G⁷"), =HYPERLINK("CSG0.html#group4A0", "4A⁰"), =HYPERLINK("CSG0.html#group4F0", "4F⁰"), =HYPERLINK("CSG0.html#group5C0", "5C⁰"), =HYPERLINK("CSG2.html#group20E2", "20E²")</f>
        <v/>
      </c>
      <c r="N3155" t="inlineStr"/>
    </row>
    <row r="3156">
      <c r="A3156" t="inlineStr">
        <is>
          <t>20D¹³</t>
        </is>
      </c>
      <c r="B3156" t="inlineStr"/>
      <c r="C3156" t="inlineStr">
        <is>
          <t>240</t>
        </is>
      </c>
      <c r="D3156" t="inlineStr">
        <is>
          <t>2</t>
        </is>
      </c>
      <c r="E3156" t="inlineStr">
        <is>
          <t>30</t>
        </is>
      </c>
      <c r="F3156" t="inlineStr">
        <is>
          <t>8</t>
        </is>
      </c>
      <c r="G3156" t="inlineStr">
        <is>
          <t>0</t>
        </is>
      </c>
      <c r="H3156" t="inlineStr">
        <is>
          <t>20¹²</t>
        </is>
      </c>
      <c r="I3156" t="n">
        <v>12</v>
      </c>
      <c r="J3156" t="inlineStr">
        <is>
          <t>4³, 8⁶</t>
        </is>
      </c>
      <c r="K3156">
        <f>HYPERLINK("CSG5.html#group20F5", "20F⁵"), =HYPERLINK("CSG5.html#group20G5", "20G⁵"), =HYPERLINK("CSG7.html#group20I7", "20I⁷")</f>
        <v/>
      </c>
      <c r="L3156" t="inlineStr"/>
      <c r="M3156">
        <f>HYPERLINK("CSG2.html#group10E2", "10E²"), =HYPERLINK("CSG5.html#group20F5", "20F⁵"), =HYPERLINK("CSG5.html#group20G5", "20G⁵"), =HYPERLINK("CSG0.html#group10D0", "10D⁰"), =HYPERLINK("CSG1.html#group20F1", "20F¹"), =HYPERLINK("CSG0.html#group4C0", "4C⁰"), =HYPERLINK("CSG0.html#group5C0", "5C⁰"), =HYPERLINK("CSG0.html#group2B0", "2B⁰"), =HYPERLINK("CSG7.html#group20I7", "20I⁷"), =HYPERLINK("CSG2.html#group20F2", "20F²"), =HYPERLINK("CSG0.html#group1A0", "1A⁰"), =HYPERLINK("CSG3.html#group20F3", "20F³"), =HYPERLINK("CSG1.html#group10F1", "10F¹")</f>
        <v/>
      </c>
      <c r="N3156" t="inlineStr"/>
    </row>
    <row r="3157">
      <c r="A3157" t="inlineStr">
        <is>
          <t>20E¹³</t>
        </is>
      </c>
      <c r="B3157" t="inlineStr"/>
      <c r="C3157" t="inlineStr">
        <is>
          <t>288</t>
        </is>
      </c>
      <c r="D3157" t="inlineStr">
        <is>
          <t>1</t>
        </is>
      </c>
      <c r="E3157" t="inlineStr">
        <is>
          <t>6</t>
        </is>
      </c>
      <c r="F3157" t="inlineStr">
        <is>
          <t>0</t>
        </is>
      </c>
      <c r="G3157" t="inlineStr">
        <is>
          <t>0</t>
        </is>
      </c>
      <c r="H3157" t="inlineStr">
        <is>
          <t>4¹², 20¹²</t>
        </is>
      </c>
      <c r="I3157" t="n">
        <v>24</v>
      </c>
      <c r="J3157" t="inlineStr">
        <is>
          <t>1², 4¹</t>
        </is>
      </c>
      <c r="K3157">
        <f>HYPERLINK("CSG5.html#group20D5", "20D⁵"), =HYPERLINK("CSG5.html#group20I5", "20I⁵"), =HYPERLINK("CSG5.html#group20J5", "20J⁵"), =HYPERLINK("CSG7.html#group20K7", "20K⁷"), =HYPERLINK("CSG7.html#group20L7", "20L⁷"), =HYPERLINK("CSG7.html#group20M7", "20M⁷")</f>
        <v/>
      </c>
      <c r="L3157" t="inlineStr"/>
      <c r="M3157">
        <f>HYPERLINK("CSG0.html#group2A0", "2A⁰"), =HYPERLINK("CSG1.html#group20E1", "20E¹"), =HYPERLINK("CSG7.html#group20L7", "20L⁷"), =HYPERLINK("CSG0.html#group10G0", "10G⁰"), =HYPERLINK("CSG5.html#group20J5", "20J⁵"), =HYPERLINK("CSG5.html#group20I5", "20I⁵"), =HYPERLINK("CSG5.html#group20D5", "20D⁵"), =HYPERLINK("CSG0.html#group4C0", "4C⁰"), =HYPERLINK("CSG0.html#group5B0", "5B⁰"), =HYPERLINK("CSG1.html#group10A1", "10A¹"), =HYPERLINK("CSG0.html#group5D0", "5D⁰"), =HYPERLINK("CSG0.html#group2B0", "2B⁰"), =HYPERLINK("CSG0.html#group4E0", "4E⁰"), =HYPERLINK("CSG0.html#group4G0", "4G⁰"), =HYPERLINK("CSG1.html#group20H1", "20H¹"), =HYPERLINK("CSG3.html#group20K3", "20K³"), =HYPERLINK("CSG0.html#group4B0", "4B⁰"), =HYPERLINK("CSG0.html#group1A0", "1A⁰"), =HYPERLINK("CSG1.html#group10D1", "10D¹"), =HYPERLINK("CSG3.html#group20H3", "20H³"), =HYPERLINK("CSG1.html#group20B1", "20B¹"), =HYPERLINK("CSG7.html#group20K7", "20K⁷"), =HYPERLINK("CSG0.html#group4D0", "4D⁰"), =HYPERLINK("CSG0.html#group10C0", "10C⁰"), =HYPERLINK("CSG3.html#group20J3", "20J³"), =HYPERLINK("CSG2.html#group20C2", "20C²"), =HYPERLINK("CSG7.html#group20M7", "20M⁷"), =HYPERLINK("CSG3.html#group20G3", "20G³"), =HYPERLINK("CSG3.html#group20C3", "20C³"), =HYPERLINK("CSG1.html#group20D1", "20D¹"), =HYPERLINK("CSG3.html#group20B3", "20B³"), =HYPERLINK("CSG0.html#group10F0", "10F⁰"), =HYPERLINK("CSG0.html#group10B0", "10B⁰"), =HYPERLINK("CSG0.html#group20A0", "20A⁰"), =HYPERLINK("CSG1.html#group20I1", "20I¹"), =HYPERLINK("CSG0.html#group4A0", "4A⁰"), =HYPERLINK("CSG1.html#group20G1", "20G¹"), =HYPERLINK("CSG0.html#group4F0", "4F⁰"), =HYPERLINK("CSG1.html#group10K1", "10K¹"), =HYPERLINK("CSG3.html#group20I3", "20I³"), =HYPERLINK("CSG3.html#group20L3", "20L³"), =HYPERLINK("CSG0.html#group2C0", "2C⁰"), =HYPERLINK("CSG1.html#group10G1", "10G¹")</f>
        <v/>
      </c>
      <c r="N3157" t="inlineStr"/>
    </row>
    <row r="3158">
      <c r="A3158" t="inlineStr">
        <is>
          <t>20F¹³</t>
        </is>
      </c>
      <c r="B3158" t="inlineStr"/>
      <c r="C3158" t="inlineStr">
        <is>
          <t>288</t>
        </is>
      </c>
      <c r="D3158" t="inlineStr">
        <is>
          <t>1</t>
        </is>
      </c>
      <c r="E3158" t="inlineStr">
        <is>
          <t>18</t>
        </is>
      </c>
      <c r="F3158" t="inlineStr">
        <is>
          <t>0</t>
        </is>
      </c>
      <c r="G3158" t="inlineStr">
        <is>
          <t>0</t>
        </is>
      </c>
      <c r="H3158" t="inlineStr">
        <is>
          <t>4¹², 20¹²</t>
        </is>
      </c>
      <c r="I3158" t="n">
        <v>24</v>
      </c>
      <c r="J3158" t="inlineStr">
        <is>
          <t>1⁶, 4³</t>
        </is>
      </c>
      <c r="K3158">
        <f>HYPERLINK("CSG3.html#group20R3", "20R³"), =HYPERLINK("CSG5.html#group20I5", "20I⁵"), =HYPERLINK("CSG5.html#group20K5", "20K⁵"), =HYPERLINK("CSG7.html#group20J7", "20J⁷"), =HYPERLINK("CSG7.html#group20N7", "20N⁷")</f>
        <v/>
      </c>
      <c r="L3158" t="inlineStr"/>
      <c r="M3158">
        <f>HYPERLINK("CSG1.html#group20E1", "20E¹"), =HYPERLINK("CSG1.html#group20C1", "20C¹"), =HYPERLINK("CSG0.html#group2A0", "2A⁰"), =HYPERLINK("CSG0.html#group10G0", "10G⁰"), =HYPERLINK("CSG5.html#group20I5", "20I⁵"), =HYPERLINK("CSG0.html#group4C0", "4C⁰"), =HYPERLINK("CSG0.html#group5B0", "5B⁰"), =HYPERLINK("CSG0.html#group5D0", "5D⁰"), =HYPERLINK("CSG1.html#group10A1", "10A¹"), =HYPERLINK("CSG0.html#group2B0", "2B⁰"), =HYPERLINK("CSG0.html#group4E0", "4E⁰"), =HYPERLINK("CSG1.html#group20H1", "20H¹"), =HYPERLINK("CSG0.html#group4B0", "4B⁰"), =HYPERLINK("CSG1.html#group10D1", "10D¹"), =HYPERLINK("CSG0.html#group1A0", "1A⁰"), =HYPERLINK("CSG1.html#group20J1", "20J¹"), =HYPERLINK("CSG3.html#group20H3", "20H³"), =HYPERLINK("CSG3.html#group20A3", "20A³"), =HYPERLINK("CSG5.html#group20K5", "20K⁵"), =HYPERLINK("CSG7.html#group20N7", "20N⁷"), =HYPERLINK("CSG3.html#group20R3", "20R³"), =HYPERLINK("CSG0.html#group10C0", "10C⁰"), =HYPERLINK("CSG3.html#group20J3", "20J³"), =HYPERLINK("CSG2.html#group20C2", "20C²"), =HYPERLINK("CSG3.html#group20M3", "20M³"), =HYPERLINK("CSG3.html#group20G3", "20G³"), =HYPERLINK("CSG1.html#group20D1", "20D¹"), =HYPERLINK("CSG0.html#group10F0", "10F⁰"), =HYPERLINK("CSG0.html#group10B0", "10B⁰"), =HYPERLINK("CSG0.html#group20A0", "20A⁰"), =HYPERLINK("CSG1.html#group20I1", "20I¹"), =HYPERLINK("CSG7.html#group20J7", "20J⁷"), =HYPERLINK("CSG1.html#group10K1", "10K¹"), =HYPERLINK("CSG3.html#group20I3", "20I³"), =HYPERLINK("CSG0.html#group2C0", "2C⁰"), =HYPERLINK("CSG1.html#group10G1", "10G¹")</f>
        <v/>
      </c>
      <c r="N3158" t="inlineStr"/>
    </row>
    <row r="3159">
      <c r="A3159" t="inlineStr">
        <is>
          <t>20G¹³</t>
        </is>
      </c>
      <c r="B3159" t="inlineStr"/>
      <c r="C3159" t="inlineStr">
        <is>
          <t>360</t>
        </is>
      </c>
      <c r="D3159" t="inlineStr">
        <is>
          <t>1</t>
        </is>
      </c>
      <c r="E3159" t="inlineStr">
        <is>
          <t>3</t>
        </is>
      </c>
      <c r="F3159" t="inlineStr">
        <is>
          <t>0</t>
        </is>
      </c>
      <c r="G3159" t="inlineStr">
        <is>
          <t>0</t>
        </is>
      </c>
      <c r="H3159" t="inlineStr">
        <is>
          <t>5²⁴, 20¹²</t>
        </is>
      </c>
      <c r="I3159" t="n">
        <v>36</v>
      </c>
      <c r="J3159" t="inlineStr">
        <is>
          <t>1³</t>
        </is>
      </c>
      <c r="K3159">
        <f>HYPERLINK("CSG1.html#group20H1", "20H¹"), =HYPERLINK("CSG4.html#group10B4", "10B⁴"), =HYPERLINK("CSG5.html#group20E5", "20E⁵"), =HYPERLINK("CSG6.html#group20D6", "20D⁶"), =HYPERLINK("CSG7.html#group20P7", "20P⁷")</f>
        <v/>
      </c>
      <c r="L3159" t="inlineStr"/>
      <c r="M3159">
        <f>HYPERLINK("CSG2.html#group20A2", "20A²"), =HYPERLINK("CSG4.html#group20D4", "20D⁴"), =HYPERLINK("CSG0.html#group5A0", "5A⁰"), =HYPERLINK("CSG5.html#group20E5", "20E⁵"), =HYPERLINK("CSG1.html#group10B1", "10B¹"), =HYPERLINK("CSG3.html#group20E3", "20E³"), =HYPERLINK("CSG0.html#group5B0", "5B⁰"), =HYPERLINK("CSG0.html#group5F0", "5F⁰"), =HYPERLINK("CSG0.html#group5D0", "5D⁰"), =HYPERLINK("CSG0.html#group2B0", "2B⁰"), =HYPERLINK("CSG1.html#group20D1", "20D¹"), =HYPERLINK("CSG1.html#group20H1", "20H¹"), =HYPERLINK("CSG2.html#group20F2", "20F²"), =HYPERLINK("CSG0.html#group4B0", "4B⁰"), =HYPERLINK("CSG0.html#group1A0", "1A⁰"), =HYPERLINK("CSG2.html#group10D2", "10D²"), =HYPERLINK("CSG0.html#group5H0", "5H⁰"), =HYPERLINK("CSG0.html#group10F0", "10F⁰"), =HYPERLINK("CSG1.html#group10F1", "10F¹"), =HYPERLINK("CSG6.html#group20D6", "20D⁶"), =HYPERLINK("CSG0.html#group20A0", "20A⁰"), =HYPERLINK("CSG1.html#group10I1", "10I¹"), =HYPERLINK("CSG2.html#group10F2", "10F²"), =HYPERLINK("CSG0.html#group5E0", "5E⁰"), =HYPERLINK("CSG3.html#group20P3", "20P³"), =HYPERLINK("CSG0.html#group10C0", "10C⁰"), =HYPERLINK("CSG4.html#group10B4", "10B⁴"), =HYPERLINK("CSG7.html#group20P7", "20P⁷"), =HYPERLINK("CSG0.html#group5C0", "5C⁰"), =HYPERLINK("CSG0.html#group5G0", "5G⁰")</f>
        <v/>
      </c>
      <c r="N3159" t="inlineStr"/>
    </row>
    <row r="3160">
      <c r="A3160" t="inlineStr">
        <is>
          <t>21A¹³</t>
        </is>
      </c>
      <c r="B3160" t="inlineStr"/>
      <c r="C3160" t="inlineStr">
        <is>
          <t>252</t>
        </is>
      </c>
      <c r="D3160" t="inlineStr">
        <is>
          <t>1</t>
        </is>
      </c>
      <c r="E3160" t="inlineStr">
        <is>
          <t>21</t>
        </is>
      </c>
      <c r="F3160" t="inlineStr">
        <is>
          <t>12</t>
        </is>
      </c>
      <c r="G3160" t="inlineStr">
        <is>
          <t>0</t>
        </is>
      </c>
      <c r="H3160" t="inlineStr">
        <is>
          <t>21¹²</t>
        </is>
      </c>
      <c r="I3160" t="n">
        <v>12</v>
      </c>
      <c r="J3160" t="inlineStr">
        <is>
          <t>3¹, 6³</t>
        </is>
      </c>
      <c r="K3160">
        <f>HYPERLINK("CSG1.html#group7C1", "7C¹"), =HYPERLINK("CSG3.html#group21C3", "21C³"), =HYPERLINK("CSG4.html#group21E4", "21E⁴"), =HYPERLINK("CSG7.html#group21A7", "21A⁷")</f>
        <v/>
      </c>
      <c r="L3160" t="inlineStr"/>
      <c r="M3160">
        <f>HYPERLINK("CSG0.html#group7D0", "7D⁰"), =HYPERLINK("CSG2.html#group21C2", "21C²"), =HYPERLINK("CSG0.html#group21A0", "21A⁰"), =HYPERLINK("CSG0.html#group7G0", "7G⁰"), =HYPERLINK("CSG1.html#group7C1", "7C¹"), =HYPERLINK("CSG0.html#group1A0", "1A⁰"), =HYPERLINK("CSG3.html#group21C3", "21C³"), =HYPERLINK("CSG1.html#group21E1", "21E¹"), =HYPERLINK("CSG0.html#group7C0", "7C⁰"), =HYPERLINK("CSG1.html#group7A1", "7A¹"), =HYPERLINK("CSG0.html#group7F0", "7F⁰"), =HYPERLINK("CSG1.html#group21C1", "21C¹"), =HYPERLINK("CSG7.html#group21A7", "21A⁷"), =HYPERLINK("CSG0.html#group3A0", "3A⁰"), =HYPERLINK("CSG4.html#group21E4", "21E⁴"), =HYPERLINK("CSG0.html#group7A0", "7A⁰")</f>
        <v/>
      </c>
      <c r="N3160" t="inlineStr"/>
    </row>
    <row r="3161">
      <c r="A3161" t="inlineStr">
        <is>
          <t>21B¹³</t>
        </is>
      </c>
      <c r="B3161" t="inlineStr"/>
      <c r="C3161" t="inlineStr">
        <is>
          <t>252</t>
        </is>
      </c>
      <c r="D3161" t="inlineStr">
        <is>
          <t>2</t>
        </is>
      </c>
      <c r="E3161" t="inlineStr">
        <is>
          <t>21</t>
        </is>
      </c>
      <c r="F3161" t="inlineStr">
        <is>
          <t>12</t>
        </is>
      </c>
      <c r="G3161" t="inlineStr">
        <is>
          <t>0</t>
        </is>
      </c>
      <c r="H3161" t="inlineStr">
        <is>
          <t>21¹²</t>
        </is>
      </c>
      <c r="I3161" t="n">
        <v>12</v>
      </c>
      <c r="J3161" t="inlineStr">
        <is>
          <t>2¹, 4¹, 6², 12²</t>
        </is>
      </c>
      <c r="K3161">
        <f>HYPERLINK("CSG4.html#group21E4", "21E⁴"), =HYPERLINK("CSG5.html#group21B5", "21B⁵"), =HYPERLINK("CSG5.html#group21D5", "21D⁵"), =HYPERLINK("CSG6.html#group21C6", "21C⁶")</f>
        <v/>
      </c>
      <c r="L3161" t="inlineStr"/>
      <c r="M3161">
        <f>HYPERLINK("CSG2.html#group21D2", "21D²"), =HYPERLINK("CSG0.html#group7D0", "7D⁰"), =HYPERLINK("CSG5.html#group21B5", "21B⁵"), =HYPERLINK("CSG1.html#group21D1", "21D¹"), =HYPERLINK("CSG2.html#group21C2", "21C²"), =HYPERLINK("CSG0.html#group21A0", "21A⁰"), =HYPERLINK("CSG0.html#group7G0", "7G⁰"), =HYPERLINK("CSG0.html#group1A0", "1A⁰"), =HYPERLINK("CSG5.html#group21D5", "21D⁵"), =HYPERLINK("CSG6.html#group21C6", "21C⁶"), =HYPERLINK("CSG1.html#group21E1", "21E¹"), =HYPERLINK("CSG0.html#group7C0", "7C⁰"), =HYPERLINK("CSG1.html#group21C1", "21C¹"), =HYPERLINK("CSG0.html#group3C0", "3C⁰"), =HYPERLINK("CSG0.html#group3A0", "3A⁰"), =HYPERLINK("CSG4.html#group21E4", "21E⁴"), =HYPERLINK("CSG0.html#group7A0", "7A⁰")</f>
        <v/>
      </c>
      <c r="N3161" t="inlineStr"/>
    </row>
    <row r="3162">
      <c r="A3162" t="inlineStr">
        <is>
          <t>21C¹³</t>
        </is>
      </c>
      <c r="B3162" t="inlineStr"/>
      <c r="C3162" t="inlineStr">
        <is>
          <t>288</t>
        </is>
      </c>
      <c r="D3162" t="inlineStr">
        <is>
          <t>1</t>
        </is>
      </c>
      <c r="E3162" t="inlineStr">
        <is>
          <t>8</t>
        </is>
      </c>
      <c r="F3162" t="inlineStr">
        <is>
          <t>0</t>
        </is>
      </c>
      <c r="G3162" t="inlineStr">
        <is>
          <t>0</t>
        </is>
      </c>
      <c r="H3162" t="inlineStr">
        <is>
          <t>3¹², 21¹²</t>
        </is>
      </c>
      <c r="I3162" t="n">
        <v>24</v>
      </c>
      <c r="J3162" t="inlineStr">
        <is>
          <t>1², 6¹</t>
        </is>
      </c>
      <c r="K3162">
        <f>HYPERLINK("CSG3.html#group21D3", "21D³"), =HYPERLINK("CSG4.html#group21C4", "21C⁴"), =HYPERLINK("CSG5.html#group21C5", "21C⁵"), =HYPERLINK("CSG7.html#group21B7", "21B⁷")</f>
        <v/>
      </c>
      <c r="L3162" t="inlineStr"/>
      <c r="M3162">
        <f>HYPERLINK("CSG0.html#group3B0", "3B⁰"), =HYPERLINK("CSG1.html#group21A1", "21A¹"), =HYPERLINK("CSG4.html#group21A4", "21A⁴"), =HYPERLINK("CSG0.html#group7E0", "7E⁰"), =HYPERLINK("CSG0.html#group1A0", "1A⁰"), =HYPERLINK("CSG3.html#group21A3", "21A³"), =HYPERLINK("CSG7.html#group21B7", "21B⁷"), =HYPERLINK("CSG1.html#group21B1", "21B¹"), =HYPERLINK("CSG5.html#group21C5", "21C⁵"), =HYPERLINK("CSG2.html#group21A2", "21A²"), =HYPERLINK("CSG3.html#group21D3", "21D³"), =HYPERLINK("CSG0.html#group7B0", "7B⁰"), =HYPERLINK("CSG0.html#group3C0", "3C⁰"), =HYPERLINK("CSG0.html#group3A0", "3A⁰"), =HYPERLINK("CSG0.html#group3D0", "3D⁰"), =HYPERLINK("CSG4.html#group21C4", "21C⁴")</f>
        <v/>
      </c>
      <c r="N3162" t="inlineStr"/>
    </row>
    <row r="3163">
      <c r="A3163" t="inlineStr">
        <is>
          <t>22A¹³</t>
        </is>
      </c>
      <c r="B3163" t="inlineStr"/>
      <c r="C3163" t="inlineStr">
        <is>
          <t>220</t>
        </is>
      </c>
      <c r="D3163" t="inlineStr">
        <is>
          <t>1</t>
        </is>
      </c>
      <c r="E3163" t="inlineStr">
        <is>
          <t>55</t>
        </is>
      </c>
      <c r="F3163" t="inlineStr">
        <is>
          <t>0</t>
        </is>
      </c>
      <c r="G3163" t="inlineStr">
        <is>
          <t>4</t>
        </is>
      </c>
      <c r="H3163" t="inlineStr">
        <is>
          <t>22¹⁰</t>
        </is>
      </c>
      <c r="I3163" t="n">
        <v>10</v>
      </c>
      <c r="J3163" t="inlineStr">
        <is>
          <t>5¹, 10⁵</t>
        </is>
      </c>
      <c r="K3163">
        <f>HYPERLINK("CSG4.html#group11A4", "11A⁴"), =HYPERLINK("CSG4.html#group22B4", "22B⁴"), =HYPERLINK("CSG7.html#group22A7", "22A⁷")</f>
        <v/>
      </c>
      <c r="L3163" t="inlineStr"/>
      <c r="M3163">
        <f>HYPERLINK("CSG0.html#group2A0", "2A⁰"), =HYPERLINK("CSG1.html#group11C1", "11C¹"), =HYPERLINK("CSG0.html#group1A0", "1A⁰"), =HYPERLINK("CSG7.html#group22A7", "22A⁷"), =HYPERLINK("CSG4.html#group11A4", "11A⁴"), =HYPERLINK("CSG4.html#group22B4", "22B⁴")</f>
        <v/>
      </c>
      <c r="N3163" t="inlineStr"/>
    </row>
    <row r="3164">
      <c r="A3164" t="inlineStr">
        <is>
          <t>22B¹³</t>
        </is>
      </c>
      <c r="B3164" t="inlineStr"/>
      <c r="C3164" t="inlineStr">
        <is>
          <t>220</t>
        </is>
      </c>
      <c r="D3164" t="inlineStr">
        <is>
          <t>2</t>
        </is>
      </c>
      <c r="E3164" t="inlineStr">
        <is>
          <t>55</t>
        </is>
      </c>
      <c r="F3164" t="inlineStr">
        <is>
          <t>0</t>
        </is>
      </c>
      <c r="G3164" t="inlineStr">
        <is>
          <t>4</t>
        </is>
      </c>
      <c r="H3164" t="inlineStr">
        <is>
          <t>22¹⁰</t>
        </is>
      </c>
      <c r="I3164" t="n">
        <v>10</v>
      </c>
      <c r="J3164" t="inlineStr">
        <is>
          <t>10¹¹</t>
        </is>
      </c>
      <c r="K3164">
        <f>HYPERLINK("CSG1.html#group22A1", "22A¹"), =HYPERLINK("CSG3.html#group11A3", "11A³"), =HYPERLINK("CSG5.html#group22C5", "22C⁵"), =HYPERLINK("CSG7.html#group22A7", "22A⁷")</f>
        <v/>
      </c>
      <c r="L3164" t="inlineStr"/>
      <c r="M3164">
        <f>HYPERLINK("CSG0.html#group11A0", "11A⁰"), =HYPERLINK("CSG0.html#group2A0", "2A⁰"), =HYPERLINK("CSG1.html#group11C1", "11C¹"), =HYPERLINK("CSG5.html#group22C5", "22C⁵"), =HYPERLINK("CSG1.html#group22A1", "22A¹"), =HYPERLINK("CSG7.html#group22A7", "22A⁷"), =HYPERLINK("CSG3.html#group11A3", "11A³"), =HYPERLINK("CSG0.html#group1A0", "1A⁰")</f>
        <v/>
      </c>
      <c r="N3164" t="inlineStr"/>
    </row>
    <row r="3165">
      <c r="A3165" t="inlineStr">
        <is>
          <t>23A¹³</t>
        </is>
      </c>
      <c r="B3165" t="inlineStr"/>
      <c r="C3165" t="inlineStr">
        <is>
          <t>253</t>
        </is>
      </c>
      <c r="D3165" t="inlineStr">
        <is>
          <t>1</t>
        </is>
      </c>
      <c r="E3165" t="inlineStr">
        <is>
          <t>253</t>
        </is>
      </c>
      <c r="F3165" t="inlineStr">
        <is>
          <t>13</t>
        </is>
      </c>
      <c r="G3165" t="inlineStr">
        <is>
          <t>1</t>
        </is>
      </c>
      <c r="H3165" t="inlineStr">
        <is>
          <t>23¹¹</t>
        </is>
      </c>
      <c r="I3165" t="n">
        <v>11</v>
      </c>
      <c r="J3165" t="inlineStr">
        <is>
          <t>11¹, 22¹¹</t>
        </is>
      </c>
      <c r="K3165">
        <f>HYPERLINK("CSG0.html#group1A0", "1A⁰")</f>
        <v/>
      </c>
      <c r="L3165" t="inlineStr"/>
      <c r="M3165">
        <f>HYPERLINK("CSG0.html#group1A0", "1A⁰")</f>
        <v/>
      </c>
      <c r="N3165" t="inlineStr"/>
    </row>
    <row r="3166">
      <c r="A3166" t="inlineStr">
        <is>
          <t>23B¹³</t>
        </is>
      </c>
      <c r="B3166" t="inlineStr"/>
      <c r="C3166" t="inlineStr">
        <is>
          <t>253</t>
        </is>
      </c>
      <c r="D3166" t="inlineStr">
        <is>
          <t>2</t>
        </is>
      </c>
      <c r="E3166" t="inlineStr">
        <is>
          <t>253</t>
        </is>
      </c>
      <c r="F3166" t="inlineStr">
        <is>
          <t>9</t>
        </is>
      </c>
      <c r="G3166" t="inlineStr">
        <is>
          <t>4</t>
        </is>
      </c>
      <c r="H3166" t="inlineStr">
        <is>
          <t>23¹¹</t>
        </is>
      </c>
      <c r="I3166" t="n">
        <v>11</v>
      </c>
      <c r="J3166" t="inlineStr">
        <is>
          <t>22²³</t>
        </is>
      </c>
      <c r="K3166">
        <f>HYPERLINK("CSG0.html#group1A0", "1A⁰")</f>
        <v/>
      </c>
      <c r="L3166" t="inlineStr"/>
      <c r="M3166">
        <f>HYPERLINK("CSG0.html#group1A0", "1A⁰")</f>
        <v/>
      </c>
      <c r="N3166" t="inlineStr"/>
    </row>
    <row r="3167">
      <c r="A3167" t="inlineStr">
        <is>
          <t>24A¹³</t>
        </is>
      </c>
      <c r="B3167" t="inlineStr"/>
      <c r="C3167" t="inlineStr">
        <is>
          <t>192</t>
        </is>
      </c>
      <c r="D3167" t="inlineStr">
        <is>
          <t>1</t>
        </is>
      </c>
      <c r="E3167" t="inlineStr">
        <is>
          <t>4</t>
        </is>
      </c>
      <c r="F3167" t="inlineStr">
        <is>
          <t>0</t>
        </is>
      </c>
      <c r="G3167" t="inlineStr">
        <is>
          <t>0</t>
        </is>
      </c>
      <c r="H3167" t="inlineStr">
        <is>
          <t>24⁸</t>
        </is>
      </c>
      <c r="I3167" t="n">
        <v>8</v>
      </c>
      <c r="J3167" t="inlineStr">
        <is>
          <t>2²</t>
        </is>
      </c>
      <c r="K3167">
        <f>HYPERLINK("CSG3.html#group24F3", "24F³"), =HYPERLINK("CSG5.html#group12A5", "12A⁵"), =HYPERLINK("CSG5.html#group24L5", "24L⁵")</f>
        <v/>
      </c>
      <c r="L3167" t="inlineStr"/>
      <c r="M3167">
        <f>HYPERLINK("CSG1.html#group12G1", "12G¹"), =HYPERLINK("CSG0.html#group2A0", "2A⁰"), =HYPERLINK("CSG0.html#group3B0", "3B⁰"), =HYPERLINK("CSG0.html#group6B0", "6B⁰"), =HYPERLINK("CSG1.html#group12I1", "12I¹"), =HYPERLINK("CSG3.html#group12B3", "12B³"), =HYPERLINK("CSG0.html#group6C0", "6C⁰"), =HYPERLINK("CSG3.html#group12C3", "12C³"), =HYPERLINK("CSG0.html#group12F0", "12F⁰"), =HYPERLINK("CSG5.html#group12A5", "12A⁵"), =HYPERLINK("CSG0.html#group1A0", "1A⁰"), =HYPERLINK("CSG3.html#group24F3", "24F³"), =HYPERLINK("CSG0.html#group12A0", "12A⁰"), =HYPERLINK("CSG1.html#group6D1", "6D¹"), =HYPERLINK("CSG0.html#group6E0", "6E⁰"), =HYPERLINK("CSG1.html#group6B1", "6B¹"), =HYPERLINK("CSG0.html#group4A0", "4A⁰"), =HYPERLINK("CSG0.html#group4D0", "4D⁰"), =HYPERLINK("CSG1.html#group12A1", "12A¹"), =HYPERLINK("CSG2.html#group12A2", "12A²"), =HYPERLINK("CSG1.html#group12Q1", "12Q¹"), =HYPERLINK("CSG0.html#group3C0", "3C⁰"), =HYPERLINK("CSG1.html#group6A1", "6A¹"), =HYPERLINK("CSG0.html#group3A0", "3A⁰"), =HYPERLINK("CSG0.html#group3D0", "3D⁰"), =HYPERLINK("CSG5.html#group24L5", "24L⁵")</f>
        <v/>
      </c>
      <c r="N3167" t="inlineStr"/>
    </row>
    <row r="3168">
      <c r="A3168" t="inlineStr">
        <is>
          <t>24B¹³</t>
        </is>
      </c>
      <c r="B3168" t="inlineStr"/>
      <c r="C3168" t="inlineStr">
        <is>
          <t>192</t>
        </is>
      </c>
      <c r="D3168" t="inlineStr">
        <is>
          <t>1</t>
        </is>
      </c>
      <c r="E3168" t="inlineStr">
        <is>
          <t>4</t>
        </is>
      </c>
      <c r="F3168" t="inlineStr">
        <is>
          <t>0</t>
        </is>
      </c>
      <c r="G3168" t="inlineStr">
        <is>
          <t>0</t>
        </is>
      </c>
      <c r="H3168" t="inlineStr">
        <is>
          <t>24⁸</t>
        </is>
      </c>
      <c r="I3168" t="n">
        <v>8</v>
      </c>
      <c r="J3168" t="inlineStr">
        <is>
          <t>2²</t>
        </is>
      </c>
      <c r="K3168">
        <f>HYPERLINK("CSG3.html#group24G3", "24G³"), =HYPERLINK("CSG5.html#group12A5", "12A⁵"), =HYPERLINK("CSG5.html#group24P5", "24P⁵"), =HYPERLINK("CSG7.html#group24A7", "24A⁷"), =HYPERLINK("CSG7.html#group24B7", "24B⁷"), =HYPERLINK("CSG7.html#group24D7", "24D⁷")</f>
        <v/>
      </c>
      <c r="L3168" t="inlineStr"/>
      <c r="M3168">
        <f>HYPERLINK("CSG0.html#group2A0", "2A⁰"), =HYPERLINK("CSG2.html#group24A2", "24A²"), =HYPERLINK("CSG0.html#group8A0", "8A⁰"), =HYPERLINK("CSG7.html#group24D7", "24D⁷"), =HYPERLINK("CSG5.html#group12A5", "12A⁵"), =HYPERLINK("CSG0.html#group1A0", "1A⁰"), =HYPERLINK("CSG1.html#group24A1", "24A¹"), =HYPERLINK("CSG1.html#group6B1", "6B¹"), =HYPERLINK("CSG0.html#group4D0", "4D⁰"), =HYPERLINK("CSG1.html#group12A1", "12A¹"), =HYPERLINK("CSG4.html#group24B4", "24B⁴"), =HYPERLINK("CSG2.html#group12A2", "12A²"), =HYPERLINK("CSG0.html#group3C0", "3C⁰"), =HYPERLINK("CSG1.html#group12Q1", "12Q¹"), =HYPERLINK("CSG1.html#group6A1", "6A¹"), =HYPERLINK("CSG0.html#group3A0", "3A⁰"), =HYPERLINK("CSG2.html#group24G2", "24G²"), =HYPERLINK("CSG5.html#group24P5", "24P⁵"), =HYPERLINK("CSG1.html#group12G1", "12G¹"), =HYPERLINK("CSG0.html#group3B0", "3B⁰"), =HYPERLINK("CSG0.html#group6B0", "6B⁰"), =HYPERLINK("CSG1.html#group12I1", "12I¹"), =HYPERLINK("CSG3.html#group24D3", "24D³"), =HYPERLINK("CSG3.html#group12B3", "12B³"), =HYPERLINK("CSG0.html#group6C0", "6C⁰"), =HYPERLINK("CSG3.html#group12C3", "12C³"), =HYPERLINK("CSG0.html#group12F0", "12F⁰"), =HYPERLINK("CSG0.html#group8E0", "8E⁰"), =HYPERLINK("CSG4.html#group24A4", "24A⁴"), =HYPERLINK("CSG1.html#group24B1", "24B¹"), =HYPERLINK("CSG7.html#group24A7", "24A⁷"), =HYPERLINK("CSG3.html#group24G3", "24G³"), =HYPERLINK("CSG3.html#group24E3", "24E³"), =HYPERLINK("CSG0.html#group12A0", "12A⁰"), =HYPERLINK("CSG2.html#group24K2", "24K²"), =HYPERLINK("CSG1.html#group6D1", "6D¹"), =HYPERLINK("CSG0.html#group6E0", "6E⁰"), =HYPERLINK("CSG0.html#group4A0", "4A⁰"), =HYPERLINK("CSG0.html#group3D0", "3D⁰"), =HYPERLINK("CSG2.html#group24H2", "24H²"), =HYPERLINK("CSG7.html#group24B7", "24B⁷")</f>
        <v/>
      </c>
      <c r="N3168" t="inlineStr"/>
    </row>
    <row r="3169">
      <c r="A3169" t="inlineStr">
        <is>
          <t>24C¹³</t>
        </is>
      </c>
      <c r="B3169" t="inlineStr"/>
      <c r="C3169" t="inlineStr">
        <is>
          <t>192</t>
        </is>
      </c>
      <c r="D3169" t="inlineStr">
        <is>
          <t>1</t>
        </is>
      </c>
      <c r="E3169" t="inlineStr">
        <is>
          <t>16</t>
        </is>
      </c>
      <c r="F3169" t="inlineStr">
        <is>
          <t>0</t>
        </is>
      </c>
      <c r="G3169" t="inlineStr">
        <is>
          <t>0</t>
        </is>
      </c>
      <c r="H3169" t="inlineStr">
        <is>
          <t>24⁸</t>
        </is>
      </c>
      <c r="I3169" t="n">
        <v>8</v>
      </c>
      <c r="J3169" t="inlineStr">
        <is>
          <t>4⁴</t>
        </is>
      </c>
      <c r="K3169">
        <f>HYPERLINK("CSG3.html#group12B3", "12B³"), =HYPERLINK("CSG4.html#group24C4", "24C⁴"), =HYPERLINK("CSG5.html#group24O5", "24O⁵")</f>
        <v/>
      </c>
      <c r="L3169" t="inlineStr"/>
      <c r="M3169">
        <f>HYPERLINK("CSG1.html#group12G1", "12G¹"), =HYPERLINK("CSG4.html#group24C4", "24C⁴"), =HYPERLINK("CSG0.html#group3B0", "3B⁰"), =HYPERLINK("CSG1.html#group24F1", "24F¹"), =HYPERLINK("CSG0.html#group12A0", "12A⁰"), =HYPERLINK("CSG0.html#group8F0", "8F⁰"), =HYPERLINK("CSG3.html#group12B3", "12B³"), =HYPERLINK("CSG0.html#group4A0", "4A⁰"), =HYPERLINK("CSG1.html#group12A1", "12A¹"), =HYPERLINK("CSG5.html#group24O5", "24O⁵"), =HYPERLINK("CSG0.html#group3C0", "3C⁰"), =HYPERLINK("CSG0.html#group3A0", "3A⁰"), =HYPERLINK("CSG0.html#group1A0", "1A⁰"), =HYPERLINK("CSG0.html#group3D0", "3D⁰")</f>
        <v/>
      </c>
      <c r="N3169" t="inlineStr"/>
    </row>
    <row r="3170">
      <c r="A3170" t="inlineStr">
        <is>
          <t>24D¹³</t>
        </is>
      </c>
      <c r="B3170" t="inlineStr"/>
      <c r="C3170" t="inlineStr">
        <is>
          <t>192</t>
        </is>
      </c>
      <c r="D3170" t="inlineStr">
        <is>
          <t>1</t>
        </is>
      </c>
      <c r="E3170" t="inlineStr">
        <is>
          <t>16</t>
        </is>
      </c>
      <c r="F3170" t="inlineStr">
        <is>
          <t>0</t>
        </is>
      </c>
      <c r="G3170" t="inlineStr">
        <is>
          <t>0</t>
        </is>
      </c>
      <c r="H3170" t="inlineStr">
        <is>
          <t>24⁸</t>
        </is>
      </c>
      <c r="I3170" t="n">
        <v>8</v>
      </c>
      <c r="J3170" t="inlineStr">
        <is>
          <t>4⁴</t>
        </is>
      </c>
      <c r="K3170">
        <f>HYPERLINK("CSG1.html#group8J1", "8J¹"), =HYPERLINK("CSG4.html#group24A4", "24A⁴"), =HYPERLINK("CSG4.html#group24S4", "24S⁴"), =HYPERLINK("CSG7.html#group24C7", "24C⁷")</f>
        <v/>
      </c>
      <c r="L3170" t="inlineStr"/>
      <c r="M3170">
        <f>HYPERLINK("CSG0.html#group2A0", "2A⁰"), =HYPERLINK("CSG0.html#group3A0", "3A⁰"), =HYPERLINK("CSG4.html#group24S4", "24S⁴"), =HYPERLINK("CSG0.html#group8A0", "8A⁰"), =HYPERLINK("CSG4.html#group24A4", "24A⁴"), =HYPERLINK("CSG0.html#group8E0", "8E⁰"), =HYPERLINK("CSG1.html#group8E1", "8E¹"), =HYPERLINK("CSG1.html#group8J1", "8J¹"), =HYPERLINK("CSG0.html#group1A0", "1A⁰"), =HYPERLINK("CSG1.html#group24F1", "24F¹"), =HYPERLINK("CSG7.html#group24C7", "24C⁷"), =HYPERLINK("CSG0.html#group8F0", "8F⁰"), =HYPERLINK("CSG0.html#group12A0", "12A⁰"), =HYPERLINK("CSG1.html#group24A1", "24A¹"), =HYPERLINK("CSG0.html#group4A0", "4A⁰"), =HYPERLINK("CSG0.html#group4D0", "4D⁰"), =HYPERLINK("CSG2.html#group12A2", "12A²"), =HYPERLINK("CSG1.html#group6A1", "6A¹"), =HYPERLINK("CSG0.html#group8M0", "8M⁰")</f>
        <v/>
      </c>
      <c r="N3170" t="inlineStr"/>
    </row>
    <row r="3171">
      <c r="A3171" t="inlineStr">
        <is>
          <t>24E¹³</t>
        </is>
      </c>
      <c r="B3171" t="inlineStr"/>
      <c r="C3171" t="inlineStr">
        <is>
          <t>192</t>
        </is>
      </c>
      <c r="D3171" t="inlineStr">
        <is>
          <t>1</t>
        </is>
      </c>
      <c r="E3171" t="inlineStr">
        <is>
          <t>48</t>
        </is>
      </c>
      <c r="F3171" t="inlineStr">
        <is>
          <t>0</t>
        </is>
      </c>
      <c r="G3171" t="inlineStr">
        <is>
          <t>0</t>
        </is>
      </c>
      <c r="H3171" t="inlineStr">
        <is>
          <t>24⁸</t>
        </is>
      </c>
      <c r="I3171" t="n">
        <v>8</v>
      </c>
      <c r="J3171" t="inlineStr">
        <is>
          <t>4⁴, 8⁴</t>
        </is>
      </c>
      <c r="K3171">
        <f>HYPERLINK("CSG4.html#group24B4", "24B⁴"), =HYPERLINK("CSG4.html#group24T4", "24T⁴"), =HYPERLINK("CSG7.html#group24C7", "24C⁷")</f>
        <v/>
      </c>
      <c r="L3171" t="inlineStr"/>
      <c r="M3171">
        <f>HYPERLINK("CSG0.html#group2A0", "2A⁰"), =HYPERLINK("CSG1.html#group24B1", "24B¹"), =HYPERLINK("CSG1.html#group8E1", "8E¹"), =HYPERLINK("CSG0.html#group1A0", "1A⁰"), =HYPERLINK("CSG1.html#group24F1", "24F¹"), =HYPERLINK("CSG7.html#group24C7", "24C⁷"), =HYPERLINK("CSG0.html#group12A0", "12A⁰"), =HYPERLINK("CSG0.html#group8F0", "8F⁰"), =HYPERLINK("CSG0.html#group4A0", "4A⁰"), =HYPERLINK("CSG0.html#group4D0", "4D⁰"), =HYPERLINK("CSG4.html#group24B4", "24B⁴"), =HYPERLINK("CSG2.html#group12A2", "12A²"), =HYPERLINK("CSG1.html#group6A1", "6A¹"), =HYPERLINK("CSG0.html#group3A0", "3A⁰"), =HYPERLINK("CSG4.html#group24T4", "24T⁴")</f>
        <v/>
      </c>
      <c r="N3171" t="inlineStr"/>
    </row>
    <row r="3172">
      <c r="A3172" t="inlineStr">
        <is>
          <t>24F¹³</t>
        </is>
      </c>
      <c r="B3172" t="inlineStr"/>
      <c r="C3172" t="inlineStr">
        <is>
          <t>192</t>
        </is>
      </c>
      <c r="D3172" t="inlineStr">
        <is>
          <t>1</t>
        </is>
      </c>
      <c r="E3172" t="inlineStr">
        <is>
          <t>48</t>
        </is>
      </c>
      <c r="F3172" t="inlineStr">
        <is>
          <t>0</t>
        </is>
      </c>
      <c r="G3172" t="inlineStr">
        <is>
          <t>0</t>
        </is>
      </c>
      <c r="H3172" t="inlineStr">
        <is>
          <t>24⁸</t>
        </is>
      </c>
      <c r="I3172" t="n">
        <v>8</v>
      </c>
      <c r="J3172" t="inlineStr">
        <is>
          <t>4⁴, 8⁴</t>
        </is>
      </c>
      <c r="K3172">
        <f>HYPERLINK("CSG3.html#group12C3", "12C³"), =HYPERLINK("CSG3.html#group24AB3", "24AB³"), =HYPERLINK("CSG5.html#group24O5", "24O⁵"), =HYPERLINK("CSG7.html#group24C7", "24C⁷")</f>
        <v/>
      </c>
      <c r="L3172" t="inlineStr"/>
      <c r="M3172">
        <f>HYPERLINK("CSG1.html#group12G1", "12G¹"), =HYPERLINK("CSG0.html#group2A0", "2A⁰"), =HYPERLINK("CSG0.html#group6B0", "6B⁰"), =HYPERLINK("CSG5.html#group24O5", "24O⁵"), =HYPERLINK("CSG3.html#group12C3", "12C³"), =HYPERLINK("CSG0.html#group12F0", "12F⁰"), =HYPERLINK("CSG1.html#group8E1", "8E¹"), =HYPERLINK("CSG0.html#group1A0", "1A⁰"), =HYPERLINK("CSG1.html#group24F1", "24F¹"), =HYPERLINK("CSG7.html#group24C7", "24C⁷"), =HYPERLINK("CSG0.html#group12A0", "12A⁰"), =HYPERLINK("CSG0.html#group8F0", "8F⁰"), =HYPERLINK("CSG1.html#group6B1", "6B¹"), =HYPERLINK("CSG0.html#group4A0", "4A⁰"), =HYPERLINK("CSG0.html#group4D0", "4D⁰"), =HYPERLINK("CSG2.html#group12A2", "12A²"), =HYPERLINK("CSG0.html#group3C0", "3C⁰"), =HYPERLINK("CSG1.html#group6A1", "6A¹"), =HYPERLINK("CSG3.html#group24AB3", "24AB³"), =HYPERLINK("CSG0.html#group3A0", "3A⁰")</f>
        <v/>
      </c>
      <c r="N3172" t="inlineStr"/>
    </row>
    <row r="3173">
      <c r="A3173" t="inlineStr">
        <is>
          <t>24G¹³</t>
        </is>
      </c>
      <c r="B3173" t="inlineStr"/>
      <c r="C3173" t="inlineStr">
        <is>
          <t>256</t>
        </is>
      </c>
      <c r="D3173" t="inlineStr">
        <is>
          <t>1</t>
        </is>
      </c>
      <c r="E3173" t="inlineStr">
        <is>
          <t>64</t>
        </is>
      </c>
      <c r="F3173" t="inlineStr">
        <is>
          <t>0</t>
        </is>
      </c>
      <c r="G3173" t="inlineStr">
        <is>
          <t>4</t>
        </is>
      </c>
      <c r="H3173" t="inlineStr">
        <is>
          <t>8⁸, 24⁸</t>
        </is>
      </c>
      <c r="I3173" t="n">
        <v>16</v>
      </c>
      <c r="J3173" t="inlineStr">
        <is>
          <t>4⁸, 8⁴</t>
        </is>
      </c>
      <c r="K3173">
        <f>HYPERLINK("CSG1.html#group12R1", "12R¹"), =HYPERLINK("CSG7.html#group24E7", "24E⁷")</f>
        <v/>
      </c>
      <c r="L3173" t="inlineStr"/>
      <c r="M3173">
        <f>HYPERLINK("CSG0.html#group2A0", "2A⁰"), =HYPERLINK("CSG0.html#group3B0", "3B⁰"), =HYPERLINK("CSG4.html#group24C4", "24C⁴"), =HYPERLINK("CSG0.html#group8F0", "8F⁰"), =HYPERLINK("CSG1.html#group12I1", "12I¹"), =HYPERLINK("CSG0.html#group4A0", "4A⁰"), =HYPERLINK("CSG0.html#group4D0", "4D⁰"), =HYPERLINK("CSG1.html#group12A1", "12A¹"), =HYPERLINK("CSG0.html#group6C0", "6C⁰"), =HYPERLINK("CSG1.html#group8E1", "8E¹"), =HYPERLINK("CSG1.html#group12R1", "12R¹"), =HYPERLINK("CSG0.html#group12B0", "12B⁰"), =HYPERLINK("CSG0.html#group1A0", "1A⁰"), =HYPERLINK("CSG7.html#group24E7", "24E⁷")</f>
        <v/>
      </c>
      <c r="N3173" t="inlineStr"/>
    </row>
    <row r="3174">
      <c r="A3174" t="inlineStr">
        <is>
          <t>24H¹³</t>
        </is>
      </c>
      <c r="B3174" t="inlineStr"/>
      <c r="C3174" t="inlineStr">
        <is>
          <t>256</t>
        </is>
      </c>
      <c r="D3174" t="inlineStr">
        <is>
          <t>1</t>
        </is>
      </c>
      <c r="E3174" t="inlineStr">
        <is>
          <t>64</t>
        </is>
      </c>
      <c r="F3174" t="inlineStr">
        <is>
          <t>0</t>
        </is>
      </c>
      <c r="G3174" t="inlineStr">
        <is>
          <t>4</t>
        </is>
      </c>
      <c r="H3174" t="inlineStr">
        <is>
          <t>8⁸, 24⁸</t>
        </is>
      </c>
      <c r="I3174" t="n">
        <v>16</v>
      </c>
      <c r="J3174" t="inlineStr">
        <is>
          <t>4⁸, 8⁴</t>
        </is>
      </c>
      <c r="K3174">
        <f>HYPERLINK("CSG3.html#group24F3", "24F³"), =HYPERLINK("CSG7.html#group24E7", "24E⁷")</f>
        <v/>
      </c>
      <c r="L3174" t="inlineStr"/>
      <c r="M3174">
        <f>HYPERLINK("CSG4.html#group24C4", "24C⁴"), =HYPERLINK("CSG0.html#group3B0", "3B⁰"), =HYPERLINK("CSG0.html#group2A0", "2A⁰"), =HYPERLINK("CSG0.html#group8F0", "8F⁰"), =HYPERLINK("CSG1.html#group12I1", "12I¹"), =HYPERLINK("CSG0.html#group4A0", "4A⁰"), =HYPERLINK("CSG0.html#group4D0", "4D⁰"), =HYPERLINK("CSG1.html#group12A1", "12A¹"), =HYPERLINK("CSG0.html#group6C0", "6C⁰"), =HYPERLINK("CSG1.html#group8E1", "8E¹"), =HYPERLINK("CSG0.html#group1A0", "1A⁰"), =HYPERLINK("CSG3.html#group24F3", "24F³"), =HYPERLINK("CSG7.html#group24E7", "24E⁷")</f>
        <v/>
      </c>
      <c r="N3174" t="inlineStr"/>
    </row>
    <row r="3175">
      <c r="A3175" t="inlineStr">
        <is>
          <t>24I¹³</t>
        </is>
      </c>
      <c r="B3175" t="inlineStr"/>
      <c r="C3175" t="inlineStr">
        <is>
          <t>256</t>
        </is>
      </c>
      <c r="D3175" t="inlineStr">
        <is>
          <t>1</t>
        </is>
      </c>
      <c r="E3175" t="inlineStr">
        <is>
          <t>64</t>
        </is>
      </c>
      <c r="F3175" t="inlineStr">
        <is>
          <t>0</t>
        </is>
      </c>
      <c r="G3175" t="inlineStr">
        <is>
          <t>4</t>
        </is>
      </c>
      <c r="H3175" t="inlineStr">
        <is>
          <t>8⁸, 24⁸</t>
        </is>
      </c>
      <c r="I3175" t="n">
        <v>16</v>
      </c>
      <c r="J3175" t="inlineStr">
        <is>
          <t>4⁸, 8⁴</t>
        </is>
      </c>
      <c r="K3175">
        <f>HYPERLINK("CSG1.html#group8J1", "8J¹"), =HYPERLINK("CSG3.html#group24G3", "24G³"), =HYPERLINK("CSG7.html#group24E7", "24E⁷"), =HYPERLINK("CSG7.html#group24F7", "24F⁷")</f>
        <v/>
      </c>
      <c r="L3175" t="inlineStr"/>
      <c r="M3175">
        <f>HYPERLINK("CSG0.html#group2A0", "2A⁰"), =HYPERLINK("CSG4.html#group24C4", "24C⁴"), =HYPERLINK("CSG0.html#group3B0", "3B⁰"), =HYPERLINK("CSG1.html#group12I1", "12I¹"), =HYPERLINK("CSG2.html#group24A2", "24A²"), =HYPERLINK("CSG0.html#group6C0", "6C⁰"), =HYPERLINK("CSG0.html#group8A0", "8A⁰"), =HYPERLINK("CSG0.html#group8E0", "8E⁰"), =HYPERLINK("CSG1.html#group8E1", "8E¹"), =HYPERLINK("CSG3.html#group24G3", "24G³"), =HYPERLINK("CSG1.html#group8J1", "8J¹"), =HYPERLINK("CSG0.html#group1A0", "1A⁰"), =HYPERLINK("CSG7.html#group24E7", "24E⁷"), =HYPERLINK("CSG0.html#group8F0", "8F⁰"), =HYPERLINK("CSG0.html#group4A0", "4A⁰"), =HYPERLINK("CSG0.html#group4D0", "4D⁰"), =HYPERLINK("CSG1.html#group12A1", "12A¹"), =HYPERLINK("CSG7.html#group24F7", "24F⁷"), =HYPERLINK("CSG0.html#group8M0", "8M⁰")</f>
        <v/>
      </c>
      <c r="N3175" t="inlineStr"/>
    </row>
    <row r="3176">
      <c r="A3176" t="inlineStr">
        <is>
          <t>24J¹³</t>
        </is>
      </c>
      <c r="B3176" t="inlineStr"/>
      <c r="C3176" t="inlineStr">
        <is>
          <t>288</t>
        </is>
      </c>
      <c r="D3176" t="inlineStr">
        <is>
          <t>1</t>
        </is>
      </c>
      <c r="E3176" t="inlineStr">
        <is>
          <t>3</t>
        </is>
      </c>
      <c r="F3176" t="inlineStr">
        <is>
          <t>0</t>
        </is>
      </c>
      <c r="G3176" t="inlineStr">
        <is>
          <t>0</t>
        </is>
      </c>
      <c r="H3176" t="inlineStr">
        <is>
          <t>6¹⁶, 24⁸</t>
        </is>
      </c>
      <c r="I3176" t="n">
        <v>24</v>
      </c>
      <c r="J3176" t="inlineStr">
        <is>
          <t>1³</t>
        </is>
      </c>
      <c r="K3176">
        <f>HYPERLINK("CSG3.html#group24U3", "24U³"), =HYPERLINK("CSG3.html#group24AC3", "24AC³"), =HYPERLINK("CSG5.html#group12B5", "12B⁵"), =HYPERLINK("CSG5.html#group24T5", "24T⁵"), =HYPERLINK("CSG7.html#group24G7", "24G⁷"), =HYPERLINK("CSG7.html#group24M7", "24M⁷")</f>
        <v/>
      </c>
      <c r="L3176" t="inlineStr"/>
      <c r="M3176">
        <f>HYPERLINK("CSG1.html#group12T1", "12T¹"), =HYPERLINK("CSG7.html#group24M7", "24M⁷"), =HYPERLINK("CSG0.html#group12C0", "12C⁰"), =HYPERLINK("CSG3.html#group12F3", "12F³"), =HYPERLINK("CSG1.html#group6C1", "6C¹"), =HYPERLINK("CSG2.html#group12B2", "12B²"), =HYPERLINK("CSG2.html#group12E2", "12E²"), =HYPERLINK("CSG0.html#group2B0", "2B⁰"), =HYPERLINK("CSG0.html#group4B0", "4B⁰"), =HYPERLINK("CSG3.html#group12G3", "12G³"), =HYPERLINK("CSG0.html#group1A0", "1A⁰"), =HYPERLINK("CSG3.html#group24U3", "24U³"), =HYPERLINK("CSG0.html#group3C0", "3C⁰"), =HYPERLINK("CSG7.html#group24G7", "24G⁷"), =HYPERLINK("CSG1.html#group12B1", "12B¹"), =HYPERLINK("CSG0.html#group6H0", "6H⁰"), =HYPERLINK("CSG1.html#group6E1", "6E¹"), =HYPERLINK("CSG0.html#group3B0", "3B⁰"), =HYPERLINK("CSG3.html#group24AC3", "24AC³"), =HYPERLINK("CSG1.html#group12P1", "12P¹"), =HYPERLINK("CSG1.html#group12L1", "12L¹"), =HYPERLINK("CSG0.html#group12G0", "12G⁰"), =HYPERLINK("CSG0.html#group6A0", "6A⁰"), =HYPERLINK("CSG1.html#group12C1", "12C¹"), =HYPERLINK("CSG0.html#group24B0", "24B⁰"), =HYPERLINK("CSG3.html#group12D3", "12D³"), =HYPERLINK("CSG3.html#group12E3", "12E³"), =HYPERLINK("CSG0.html#group3D0", "3D⁰"), =HYPERLINK("CSG0.html#group2C0", "2C⁰"), =HYPERLINK("CSG0.html#group6D0", "6D⁰"), =HYPERLINK("CSG0.html#group2A0", "2A⁰"), =HYPERLINK("CSG1.html#group12K1", "12K¹"), =HYPERLINK("CSG5.html#group12B5", "12B⁵"), =HYPERLINK("CSG2.html#group12D2", "12D²"), =HYPERLINK("CSG0.html#group4C0", "4C⁰"), =HYPERLINK("CSG0.html#group6G0", "6G⁰"), =HYPERLINK("CSG3.html#group24M3", "24M³"), =HYPERLINK("CSG1.html#group12S1", "12S¹"), =HYPERLINK("CSG0.html#group4E0", "4E⁰"), =HYPERLINK("CSG1.html#group12N1", "12N¹"), =HYPERLINK("CSG0.html#group12H0", "12H⁰"), =HYPERLINK("CSG1.html#group6B1", "6B¹"), =HYPERLINK("CSG0.html#group6K0", "6K⁰"), =HYPERLINK("CSG1.html#group6A1", "6A¹"), =HYPERLINK("CSG0.html#group3A0", "3A⁰"), =HYPERLINK("CSG0.html#group6F0", "6F⁰"), =HYPERLINK("CSG1.html#group24I1", "24I¹"), =HYPERLINK("CSG0.html#group6B0", "6B⁰"), =HYPERLINK("CSG0.html#group6I0", "6I⁰"), =HYPERLINK("CSG1.html#group12F1", "12F¹"), =HYPERLINK("CSG1.html#group6F1", "6F¹"), =HYPERLINK("CSG0.html#group6C0", "6C⁰"), =HYPERLINK("CSG1.html#group6D1", "6D¹"), =HYPERLINK("CSG0.html#group6E0", "6E⁰"), =HYPERLINK("CSG0.html#group6L0", "6L⁰"), =HYPERLINK("CSG5.html#group24T5", "24T⁵"), =HYPERLINK("CSG0.html#group6J0", "6J⁰"), =HYPERLINK("CSG0.html#group12D0", "12D⁰"), =HYPERLINK("CSG2.html#group24F2", "24F²"), =HYPERLINK("CSG2.html#group12C2", "12C²"), =HYPERLINK("CSG0.html#group12E0", "12E⁰")</f>
        <v/>
      </c>
      <c r="N3176" t="inlineStr"/>
    </row>
    <row r="3177">
      <c r="A3177" t="inlineStr">
        <is>
          <t>24K¹³</t>
        </is>
      </c>
      <c r="B3177" t="inlineStr"/>
      <c r="C3177" t="inlineStr">
        <is>
          <t>288</t>
        </is>
      </c>
      <c r="D3177" t="inlineStr">
        <is>
          <t>1</t>
        </is>
      </c>
      <c r="E3177" t="inlineStr">
        <is>
          <t>3</t>
        </is>
      </c>
      <c r="F3177" t="inlineStr">
        <is>
          <t>0</t>
        </is>
      </c>
      <c r="G3177" t="inlineStr">
        <is>
          <t>0</t>
        </is>
      </c>
      <c r="H3177" t="inlineStr">
        <is>
          <t>6¹⁶, 24⁸</t>
        </is>
      </c>
      <c r="I3177" t="n">
        <v>24</v>
      </c>
      <c r="J3177" t="inlineStr">
        <is>
          <t>1³</t>
        </is>
      </c>
      <c r="K3177">
        <f>HYPERLINK("CSG3.html#group24V3", "24V³"), =HYPERLINK("CSG5.html#group12B5", "12B⁵"), =HYPERLINK("CSG5.html#group24R5", "24R⁵"), =HYPERLINK("CSG5.html#group24U5", "24U⁵"), =HYPERLINK("CSG7.html#group24H7", "24H⁷"), =HYPERLINK("CSG7.html#group24I7", "24I⁷"), =HYPERLINK("CSG7.html#group24J7", "24J⁷"), =HYPERLINK("CSG7.html#group24N7", "24N⁷")</f>
        <v/>
      </c>
      <c r="L3177" t="inlineStr"/>
      <c r="M3177">
        <f>HYPERLINK("CSG1.html#group12T1", "12T¹"), =HYPERLINK("CSG2.html#group24O2", "24O²"), =HYPERLINK("CSG1.html#group24E1", "24E¹"), =HYPERLINK("CSG0.html#group12C0", "12C⁰"), =HYPERLINK("CSG3.html#group12F3", "12F³"), =HYPERLINK("CSG1.html#group6C1", "6C¹"), =HYPERLINK("CSG2.html#group12B2", "12B²"), =HYPERLINK("CSG2.html#group12E2", "12E²"), =HYPERLINK("CSG7.html#group24J7", "24J⁷"), =HYPERLINK("CSG0.html#group2B0", "2B⁰"), =HYPERLINK("CSG0.html#group4B0", "4B⁰"), =HYPERLINK("CSG3.html#group12G3", "12G³"), =HYPERLINK("CSG0.html#group1A0", "1A⁰"), =HYPERLINK("CSG3.html#group24O3", "24O³"), =HYPERLINK("CSG2.html#group24B2", "24B²"), =HYPERLINK("CSG5.html#group24R5", "24R⁵"), =HYPERLINK("CSG0.html#group3C0", "3C⁰"), =HYPERLINK("CSG1.html#group12B1", "12B¹"), =HYPERLINK("CSG3.html#group24K3", "24K³"), =HYPERLINK("CSG0.html#group6H0", "6H⁰"), =HYPERLINK("CSG1.html#group6E1", "6E¹"), =HYPERLINK("CSG0.html#group3B0", "3B⁰"), =HYPERLINK("CSG0.html#group8D0", "8D⁰"), =HYPERLINK("CSG4.html#group24J4", "24J⁴"), =HYPERLINK("CSG1.html#group12P1", "12P¹"), =HYPERLINK("CSG1.html#group12L1", "12L¹"), =HYPERLINK("CSG4.html#group24D4", "24D⁴"), =HYPERLINK("CSG0.html#group12G0", "12G⁰"), =HYPERLINK("CSG2.html#group24I2", "24I²"), =HYPERLINK("CSG3.html#group12D3", "12D³"), =HYPERLINK("CSG1.html#group12C1", "12C¹"), =HYPERLINK("CSG0.html#group6A0", "6A⁰"), =HYPERLINK("CSG1.html#group24C1", "24C¹"), =HYPERLINK("CSG3.html#group12E3", "12E³"), =HYPERLINK("CSG3.html#group24L3", "24L³"), =HYPERLINK("CSG0.html#group3D0", "3D⁰"), =HYPERLINK("CSG0.html#group2C0", "2C⁰"), =HYPERLINK("CSG0.html#group6D0", "6D⁰"), =HYPERLINK("CSG4.html#group24I4", "24I⁴"), =HYPERLINK("CSG0.html#group2A0", "2A⁰"), =HYPERLINK("CSG3.html#group24V3", "24V³"), =HYPERLINK("CSG1.html#group12K1", "12K¹"), =HYPERLINK("CSG5.html#group12B5", "12B⁵"), =HYPERLINK("CSG2.html#group12D2", "12D²"), =HYPERLINK("CSG1.html#group24G1", "24G¹"), =HYPERLINK("CSG0.html#group4C0", "4C⁰"), =HYPERLINK("CSG0.html#group6G0", "6G⁰"), =HYPERLINK("CSG1.html#group12S1", "12S¹"), =HYPERLINK("CSG0.html#group8C0", "8C⁰"), =HYPERLINK("CSG0.html#group4E0", "4E⁰"), =HYPERLINK("CSG1.html#group12N1", "12N¹"), =HYPERLINK("CSG1.html#group6B1", "6B¹"), =HYPERLINK("CSG0.html#group8G0", "8G⁰"), =HYPERLINK("CSG3.html#group24N3", "24N³"), =HYPERLINK("CSG5.html#group24U5", "24U⁵"), =HYPERLINK("CSG2.html#group24D2", "24D²"), =HYPERLINK("CSG7.html#group24I7", "24I⁷"), =HYPERLINK("CSG0.html#group6K0", "6K⁰"), =HYPERLINK("CSG1.html#group6A1", "6A¹"), =HYPERLINK("CSG0.html#group3A0", "3A⁰"), =HYPERLINK("CSG0.html#group6F0", "6F⁰"), =HYPERLINK("CSG0.html#group6B0", "6B⁰"), =HYPERLINK("CSG2.html#group24N2", "24N²"), =HYPERLINK("CSG1.html#group12F1", "12F¹"), =HYPERLINK("CSG0.html#group6I0", "6I⁰"), =HYPERLINK("CSG1.html#group6F1", "6F¹"), =HYPERLINK("CSG7.html#group24N7", "24N⁷"), =HYPERLINK("CSG0.html#group6C0", "6C⁰"), =HYPERLINK("CSG1.html#group6D1", "6D¹"), =HYPERLINK("CSG0.html#group6E0", "6E⁰"), =HYPERLINK("CSG0.html#group6L0", "6L⁰"), =HYPERLINK("CSG0.html#group6J0", "6J⁰"), =HYPERLINK("CSG4.html#group24E4", "24E⁴"), =HYPERLINK("CSG0.html#group12D0", "12D⁰"), =HYPERLINK("CSG0.html#group12H0", "12H⁰"), =HYPERLINK("CSG7.html#group24H7", "24H⁷"), =HYPERLINK("CSG2.html#group12C2", "12C²"), =HYPERLINK("CSG0.html#group12E0", "12E⁰")</f>
        <v/>
      </c>
      <c r="N3177" t="inlineStr"/>
    </row>
    <row r="3178">
      <c r="A3178" t="inlineStr">
        <is>
          <t>24L¹³</t>
        </is>
      </c>
      <c r="B3178" t="inlineStr"/>
      <c r="C3178" t="inlineStr">
        <is>
          <t>288</t>
        </is>
      </c>
      <c r="D3178" t="inlineStr">
        <is>
          <t>1</t>
        </is>
      </c>
      <c r="E3178" t="inlineStr">
        <is>
          <t>6</t>
        </is>
      </c>
      <c r="F3178" t="inlineStr">
        <is>
          <t>0</t>
        </is>
      </c>
      <c r="G3178" t="inlineStr">
        <is>
          <t>0</t>
        </is>
      </c>
      <c r="H3178" t="inlineStr">
        <is>
          <t>6¹⁶, 24⁸</t>
        </is>
      </c>
      <c r="I3178" t="n">
        <v>24</v>
      </c>
      <c r="J3178" t="inlineStr">
        <is>
          <t>1⁴, 2¹</t>
        </is>
      </c>
      <c r="K3178">
        <f>HYPERLINK("CSG3.html#group12O3", "12O³"), =HYPERLINK("CSG3.html#group24W3", "24W³"), =HYPERLINK("CSG5.html#group24R5", "24R⁵"), =HYPERLINK("CSG7.html#group24G7", "24G⁷")</f>
        <v/>
      </c>
      <c r="L3178" t="inlineStr"/>
      <c r="M3178">
        <f>HYPERLINK("CSG2.html#group24F2", "24F²"), =HYPERLINK("CSG3.html#group12O3", "12O³"), =HYPERLINK("CSG0.html#group3B0", "3B⁰"), =HYPERLINK("CSG1.html#group12K1", "12K¹"), =HYPERLINK("CSG1.html#group24G1", "24G¹"), =HYPERLINK("CSG0.html#group12J0", "12J⁰"), =HYPERLINK("CSG0.html#group6G0", "6G⁰"), =HYPERLINK("CSG1.html#group12S1", "12S¹"), =HYPERLINK("CSG0.html#group2B0", "2B⁰"), =HYPERLINK("CSG0.html#group8C0", "8C⁰"), =HYPERLINK("CSG3.html#group24M3", "24M³"), =HYPERLINK("CSG0.html#group4B0", "4B⁰"), =HYPERLINK("CSG0.html#group1A0", "1A⁰"), =HYPERLINK("CSG2.html#group24B2", "24B²"), =HYPERLINK("CSG0.html#group12G0", "12G⁰"), =HYPERLINK("CSG3.html#group24L3", "24L³"), =HYPERLINK("CSG2.html#group24D2", "24D²"), =HYPERLINK("CSG0.html#group6F0", "6F⁰"), =HYPERLINK("CSG5.html#group24R5", "24R⁵"), =HYPERLINK("CSG3.html#group24W3", "24W³"), =HYPERLINK("CSG0.html#group3C0", "3C⁰"), =HYPERLINK("CSG7.html#group24G7", "24G⁷"), =HYPERLINK("CSG0.html#group6K0", "6K⁰"), =HYPERLINK("CSG1.html#group12B1", "12B¹"), =HYPERLINK("CSG0.html#group12D0", "12D⁰"), =HYPERLINK("CSG0.html#group3A0", "3A⁰"), =HYPERLINK("CSG0.html#group12E0", "12E⁰"), =HYPERLINK("CSG0.html#group3D0", "3D⁰"), =HYPERLINK("CSG3.html#group24K3", "24K³"), =HYPERLINK("CSG0.html#group6D0", "6D⁰")</f>
        <v/>
      </c>
      <c r="N3178" t="inlineStr"/>
    </row>
    <row r="3179">
      <c r="A3179" t="inlineStr">
        <is>
          <t>24M¹³</t>
        </is>
      </c>
      <c r="B3179" t="inlineStr"/>
      <c r="C3179" t="inlineStr">
        <is>
          <t>288</t>
        </is>
      </c>
      <c r="D3179" t="inlineStr">
        <is>
          <t>1</t>
        </is>
      </c>
      <c r="E3179" t="inlineStr">
        <is>
          <t>12</t>
        </is>
      </c>
      <c r="F3179" t="inlineStr">
        <is>
          <t>0</t>
        </is>
      </c>
      <c r="G3179" t="inlineStr">
        <is>
          <t>0</t>
        </is>
      </c>
      <c r="H3179" t="inlineStr">
        <is>
          <t>3⁸, 6⁴, 12⁴, 24⁸</t>
        </is>
      </c>
      <c r="I3179" t="n">
        <v>24</v>
      </c>
      <c r="J3179" t="inlineStr">
        <is>
          <t>1⁴, 2², 4¹</t>
        </is>
      </c>
      <c r="K3179">
        <f>HYPERLINK("CSG3.html#group24X3", "24X³"), =HYPERLINK("CSG5.html#group24R5", "24R⁵")</f>
        <v/>
      </c>
      <c r="L3179" t="inlineStr"/>
      <c r="M3179">
        <f>HYPERLINK("CSG0.html#group3B0", "3B⁰"), =HYPERLINK("CSG1.html#group12K1", "12K¹"), =HYPERLINK("CSG1.html#group24G1", "24G¹"), =HYPERLINK("CSG0.html#group6G0", "6G⁰"), =HYPERLINK("CSG1.html#group12S1", "12S¹"), =HYPERLINK("CSG0.html#group2B0", "2B⁰"), =HYPERLINK("CSG0.html#group8C0", "8C⁰"), =HYPERLINK("CSG0.html#group4B0", "4B⁰"), =HYPERLINK("CSG0.html#group1A0", "1A⁰"), =HYPERLINK("CSG2.html#group24B2", "24B²"), =HYPERLINK("CSG3.html#group24X3", "24X³"), =HYPERLINK("CSG0.html#group12G0", "12G⁰"), =HYPERLINK("CSG0.html#group6D0", "6D⁰"), =HYPERLINK("CSG2.html#group24D2", "24D²"), =HYPERLINK("CSG5.html#group24R5", "24R⁵"), =HYPERLINK("CSG0.html#group3C0", "3C⁰"), =HYPERLINK("CSG0.html#group6K0", "6K⁰"), =HYPERLINK("CSG1.html#group12B1", "12B¹"), =HYPERLINK("CSG3.html#group24K3", "24K³"), =HYPERLINK("CSG0.html#group12D0", "12D⁰"), =HYPERLINK("CSG0.html#group6F0", "6F⁰"), =HYPERLINK("CSG0.html#group3A0", "3A⁰"), =HYPERLINK("CSG3.html#group24L3", "24L³"), =HYPERLINK("CSG0.html#group3D0", "3D⁰"), =HYPERLINK("CSG0.html#group12E0", "12E⁰")</f>
        <v/>
      </c>
      <c r="N3179" t="inlineStr"/>
    </row>
    <row r="3180">
      <c r="A3180" t="inlineStr">
        <is>
          <t>24N¹³</t>
        </is>
      </c>
      <c r="B3180" t="inlineStr"/>
      <c r="C3180" t="inlineStr">
        <is>
          <t>288</t>
        </is>
      </c>
      <c r="D3180" t="inlineStr">
        <is>
          <t>1</t>
        </is>
      </c>
      <c r="E3180" t="inlineStr">
        <is>
          <t>12</t>
        </is>
      </c>
      <c r="F3180" t="inlineStr">
        <is>
          <t>0</t>
        </is>
      </c>
      <c r="G3180" t="inlineStr">
        <is>
          <t>0</t>
        </is>
      </c>
      <c r="H3180" t="inlineStr">
        <is>
          <t>3⁸, 6⁴, 12⁴, 24⁸</t>
        </is>
      </c>
      <c r="I3180" t="n">
        <v>24</v>
      </c>
      <c r="J3180" t="inlineStr">
        <is>
          <t>1⁴, 2², 4¹</t>
        </is>
      </c>
      <c r="K3180">
        <f>HYPERLINK("CSG3.html#group24Y3", "24Y³"), =HYPERLINK("CSG5.html#group24R5", "24R⁵"), =HYPERLINK("CSG7.html#group24T7", "24T⁷"), =HYPERLINK("CSG7.html#group24U7", "24U⁷")</f>
        <v/>
      </c>
      <c r="L3180" t="inlineStr"/>
      <c r="M3180">
        <f>HYPERLINK("CSG1.html#group12K1", "12K¹"), =HYPERLINK("CSG7.html#group24T7", "24T⁷"), =HYPERLINK("CSG1.html#group24G1", "24G¹"), =HYPERLINK("CSG0.html#group6G0", "6G⁰"), =HYPERLINK("CSG1.html#group12S1", "12S¹"), =HYPERLINK("CSG0.html#group2B0", "2B⁰"), =HYPERLINK("CSG0.html#group8C0", "8C⁰"), =HYPERLINK("CSG0.html#group4B0", "4B⁰"), =HYPERLINK("CSG0.html#group1A0", "1A⁰"), =HYPERLINK("CSG2.html#group24B2", "24B²"), =HYPERLINK("CSG4.html#group24M4", "24M⁴"), =HYPERLINK("CSG2.html#group24D2", "24D²"), =HYPERLINK("CSG5.html#group24R5", "24R⁵"), =HYPERLINK("CSG0.html#group3C0", "3C⁰"), =HYPERLINK("CSG0.html#group6K0", "6K⁰"), =HYPERLINK("CSG1.html#group12B1", "12B¹"), =HYPERLINK("CSG3.html#group24K3", "24K³"), =HYPERLINK("CSG0.html#group12E0", "12E⁰"), =HYPERLINK("CSG0.html#group3A0", "3A⁰"), =HYPERLINK("CSG0.html#group6F0", "6F⁰"), =HYPERLINK("CSG0.html#group3B0", "3B⁰"), =HYPERLINK("CSG7.html#group24U7", "24U⁷"), =HYPERLINK("CSG4.html#group24F4", "24F⁴"), =HYPERLINK("CSG0.html#group8I0", "8I⁰"), =HYPERLINK("CSG0.html#group12G0", "12G⁰"), =HYPERLINK("CSG0.html#group12D0", "12D⁰"), =HYPERLINK("CSG3.html#group24Y3", "24Y³"), =HYPERLINK("CSG3.html#group24L3", "24L³"), =HYPERLINK("CSG0.html#group3D0", "3D⁰"), =HYPERLINK("CSG0.html#group6D0", "6D⁰")</f>
        <v/>
      </c>
      <c r="N3180" t="inlineStr"/>
    </row>
    <row r="3181">
      <c r="A3181" t="inlineStr">
        <is>
          <t>24O¹³</t>
        </is>
      </c>
      <c r="B3181" t="inlineStr"/>
      <c r="C3181" t="inlineStr">
        <is>
          <t>288</t>
        </is>
      </c>
      <c r="D3181" t="inlineStr">
        <is>
          <t>1</t>
        </is>
      </c>
      <c r="E3181" t="inlineStr">
        <is>
          <t>12</t>
        </is>
      </c>
      <c r="F3181" t="inlineStr">
        <is>
          <t>0</t>
        </is>
      </c>
      <c r="G3181" t="inlineStr">
        <is>
          <t>0</t>
        </is>
      </c>
      <c r="H3181" t="inlineStr">
        <is>
          <t>6⁸, 12¹², 24⁴</t>
        </is>
      </c>
      <c r="I3181" t="n">
        <v>24</v>
      </c>
      <c r="J3181" t="inlineStr">
        <is>
          <t>1⁸, 2²</t>
        </is>
      </c>
      <c r="K3181">
        <f>HYPERLINK("CSG3.html#group24Z3", "24Z³"), =HYPERLINK("CSG5.html#group12B5", "12B⁵")</f>
        <v/>
      </c>
      <c r="L3181" t="inlineStr"/>
      <c r="M3181">
        <f>HYPERLINK("CSG1.html#group12T1", "12T¹"), =HYPERLINK("CSG0.html#group2A0", "2A⁰"), =HYPERLINK("CSG0.html#group12C0", "12C⁰"), =HYPERLINK("CSG1.html#group12K1", "12K¹"), =HYPERLINK("CSG5.html#group12B5", "12B⁵"), =HYPERLINK("CSG2.html#group12D2", "12D²"), =HYPERLINK("CSG3.html#group12F3", "12F³"), =HYPERLINK("CSG0.html#group4C0", "4C⁰"), =HYPERLINK("CSG1.html#group6C1", "6C¹"), =HYPERLINK("CSG0.html#group6G0", "6G⁰"), =HYPERLINK("CSG2.html#group12E2", "12E²"), =HYPERLINK("CSG1.html#group12S1", "12S¹"), =HYPERLINK("CSG0.html#group2B0", "2B⁰"), =HYPERLINK("CSG0.html#group4E0", "4E⁰"), =HYPERLINK("CSG2.html#group12B2", "12B²"), =HYPERLINK("CSG1.html#group12N1", "12N¹"), =HYPERLINK("CSG0.html#group4B0", "4B⁰"), =HYPERLINK("CSG3.html#group12G3", "12G³"), =HYPERLINK("CSG0.html#group1A0", "1A⁰"), =HYPERLINK("CSG1.html#group6B1", "6B¹"), =HYPERLINK("CSG0.html#group6D0", "6D⁰"), =HYPERLINK("CSG0.html#group3C0", "3C⁰"), =HYPERLINK("CSG0.html#group6K0", "6K⁰"), =HYPERLINK("CSG1.html#group6A1", "6A¹"), =HYPERLINK("CSG1.html#group12B1", "12B¹"), =HYPERLINK("CSG0.html#group6H0", "6H⁰"), =HYPERLINK("CSG0.html#group3A0", "3A⁰"), =HYPERLINK("CSG0.html#group6F0", "6F⁰"), =HYPERLINK("CSG1.html#group6E1", "6E¹"), =HYPERLINK("CSG0.html#group3B0", "3B⁰"), =HYPERLINK("CSG0.html#group6B0", "6B⁰"), =HYPERLINK("CSG3.html#group24Z3", "24Z³"), =HYPERLINK("CSG1.html#group12F1", "12F¹"), =HYPERLINK("CSG0.html#group6I0", "6I⁰"), =HYPERLINK("CSG1.html#group6F1", "6F¹"), =HYPERLINK("CSG0.html#group6C0", "6C⁰"), =HYPERLINK("CSG1.html#group12P1", "12P¹"), =HYPERLINK("CSG1.html#group12L1", "12L¹"), =HYPERLINK("CSG0.html#group12G0", "12G⁰"), =HYPERLINK("CSG3.html#group12D3", "12D³"), =HYPERLINK("CSG1.html#group12C1", "12C¹"), =HYPERLINK("CSG0.html#group6E0", "6E⁰"), =HYPERLINK("CSG0.html#group6L0", "6L⁰"), =HYPERLINK("CSG1.html#group6D1", "6D¹"), =HYPERLINK("CSG0.html#group6A0", "6A⁰"), =HYPERLINK("CSG0.html#group6J0", "6J⁰"), =HYPERLINK("CSG3.html#group12E3", "12E³"), =HYPERLINK("CSG0.html#group12D0", "12D⁰"), =HYPERLINK("CSG0.html#group12H0", "12H⁰"), =HYPERLINK("CSG2.html#group12C2", "12C²"), =HYPERLINK("CSG0.html#group3D0", "3D⁰"), =HYPERLINK("CSG0.html#group2C0", "2C⁰"), =HYPERLINK("CSG0.html#group12E0", "12E⁰")</f>
        <v/>
      </c>
      <c r="N3181" t="inlineStr"/>
    </row>
    <row r="3182">
      <c r="A3182" t="inlineStr">
        <is>
          <t>24P¹³</t>
        </is>
      </c>
      <c r="B3182" t="inlineStr"/>
      <c r="C3182" t="inlineStr">
        <is>
          <t>288</t>
        </is>
      </c>
      <c r="D3182" t="inlineStr">
        <is>
          <t>1</t>
        </is>
      </c>
      <c r="E3182" t="inlineStr">
        <is>
          <t>12</t>
        </is>
      </c>
      <c r="F3182" t="inlineStr">
        <is>
          <t>0</t>
        </is>
      </c>
      <c r="G3182" t="inlineStr">
        <is>
          <t>0</t>
        </is>
      </c>
      <c r="H3182" t="inlineStr">
        <is>
          <t>6⁸, 12¹², 24⁴</t>
        </is>
      </c>
      <c r="I3182" t="n">
        <v>24</v>
      </c>
      <c r="J3182" t="inlineStr">
        <is>
          <t>1⁸, 2²</t>
        </is>
      </c>
      <c r="K3182">
        <f>HYPERLINK("CSG3.html#group24AA3", "24AA³"), =HYPERLINK("CSG5.html#group12B5", "12B⁵"), =HYPERLINK("CSG7.html#group24V7", "24V⁷"), =HYPERLINK("CSG7.html#group24W7", "24W⁷")</f>
        <v/>
      </c>
      <c r="L3182" t="inlineStr"/>
      <c r="M3182">
        <f>HYPERLINK("CSG1.html#group12T1", "12T¹"), =HYPERLINK("CSG0.html#group2A0", "2A⁰"), =HYPERLINK("CSG0.html#group12C0", "12C⁰"), =HYPERLINK("CSG1.html#group12K1", "12K¹"), =HYPERLINK("CSG5.html#group12B5", "12B⁵"), =HYPERLINK("CSG3.html#group24AA3", "24AA³"), =HYPERLINK("CSG2.html#group12D2", "12D²"), =HYPERLINK("CSG3.html#group12F3", "12F³"), =HYPERLINK("CSG0.html#group4C0", "4C⁰"), =HYPERLINK("CSG1.html#group6C1", "6C¹"), =HYPERLINK("CSG0.html#group6G0", "6G⁰"), =HYPERLINK("CSG2.html#group12E2", "12E²"), =HYPERLINK("CSG1.html#group12S1", "12S¹"), =HYPERLINK("CSG0.html#group2B0", "2B⁰"), =HYPERLINK("CSG0.html#group4E0", "4E⁰"), =HYPERLINK("CSG2.html#group12B2", "12B²"), =HYPERLINK("CSG1.html#group12N1", "12N¹"), =HYPERLINK("CSG0.html#group4B0", "4B⁰"), =HYPERLINK("CSG3.html#group12G3", "12G³"), =HYPERLINK("CSG0.html#group1A0", "1A⁰"), =HYPERLINK("CSG1.html#group6B1", "6B¹"), =HYPERLINK("CSG4.html#group24N4", "24N⁴"), =HYPERLINK("CSG0.html#group6D0", "6D⁰"), =HYPERLINK("CSG0.html#group3C0", "3C⁰"), =HYPERLINK("CSG0.html#group6K0", "6K⁰"), =HYPERLINK("CSG1.html#group6A1", "6A¹"), =HYPERLINK("CSG1.html#group12B1", "12B¹"), =HYPERLINK("CSG0.html#group6H0", "6H⁰"), =HYPERLINK("CSG0.html#group3A0", "3A⁰"), =HYPERLINK("CSG0.html#group6F0", "6F⁰"), =HYPERLINK("CSG0.html#group8J0", "8J⁰"), =HYPERLINK("CSG1.html#group6E1", "6E¹"), =HYPERLINK("CSG0.html#group3B0", "3B⁰"), =HYPERLINK("CSG0.html#group6B0", "6B⁰"), =HYPERLINK("CSG7.html#group24V7", "24V⁷"), =HYPERLINK("CSG1.html#group12F1", "12F¹"), =HYPERLINK("CSG0.html#group6I0", "6I⁰"), =HYPERLINK("CSG1.html#group6F1", "6F¹"), =HYPERLINK("CSG0.html#group6C0", "6C⁰"), =HYPERLINK("CSG1.html#group12P1", "12P¹"), =HYPERLINK("CSG7.html#group24W7", "24W⁷"), =HYPERLINK("CSG1.html#group12L1", "12L¹"), =HYPERLINK("CSG0.html#group12G0", "12G⁰"), =HYPERLINK("CSG3.html#group12D3", "12D³"), =HYPERLINK("CSG1.html#group12C1", "12C¹"), =HYPERLINK("CSG0.html#group6E0", "6E⁰"), =HYPERLINK("CSG0.html#group6L0", "6L⁰"), =HYPERLINK("CSG1.html#group6D1", "6D¹"), =HYPERLINK("CSG0.html#group6A0", "6A⁰"), =HYPERLINK("CSG0.html#group6J0", "6J⁰"), =HYPERLINK("CSG3.html#group12E3", "12E³"), =HYPERLINK("CSG0.html#group12D0", "12D⁰"), =HYPERLINK("CSG0.html#group12H0", "12H⁰"), =HYPERLINK("CSG2.html#group12C2", "12C²"), =HYPERLINK("CSG0.html#group3D0", "3D⁰"), =HYPERLINK("CSG0.html#group2C0", "2C⁰"), =HYPERLINK("CSG0.html#group12E0", "12E⁰"), =HYPERLINK("CSG4.html#group24G4", "24G⁴")</f>
        <v/>
      </c>
      <c r="N3182" t="inlineStr"/>
    </row>
    <row r="3183">
      <c r="A3183" t="inlineStr">
        <is>
          <t>24Q¹³</t>
        </is>
      </c>
      <c r="B3183" t="inlineStr"/>
      <c r="C3183" t="inlineStr">
        <is>
          <t>288</t>
        </is>
      </c>
      <c r="D3183" t="inlineStr">
        <is>
          <t>1</t>
        </is>
      </c>
      <c r="E3183" t="inlineStr">
        <is>
          <t>18</t>
        </is>
      </c>
      <c r="F3183" t="inlineStr">
        <is>
          <t>16</t>
        </is>
      </c>
      <c r="G3183" t="inlineStr">
        <is>
          <t>0</t>
        </is>
      </c>
      <c r="H3183" t="inlineStr">
        <is>
          <t>12⁸, 24⁸</t>
        </is>
      </c>
      <c r="I3183" t="n">
        <v>16</v>
      </c>
      <c r="J3183" t="inlineStr">
        <is>
          <t>2³, 4³</t>
        </is>
      </c>
      <c r="K3183">
        <f>HYPERLINK("CSG5.html#group12C5", "12C⁵"), =HYPERLINK("CSG5.html#group24S5", "24S⁵"), =HYPERLINK("CSG5.html#group24T5", "24T⁵")</f>
        <v/>
      </c>
      <c r="L3183" t="inlineStr"/>
      <c r="M3183">
        <f>HYPERLINK("CSG1.html#group12T1", "12T¹"), =HYPERLINK("CSG1.html#group12D1", "12D¹"), =HYPERLINK("CSG0.html#group12C0", "12C⁰"), =HYPERLINK("CSG0.html#group4C0", "4C⁰"), =HYPERLINK("CSG3.html#group24I3", "24I³"), =HYPERLINK("CSG0.html#group6G0", "6G⁰"), =HYPERLINK("CSG3.html#group24M3", "24M³"), =HYPERLINK("CSG0.html#group2B0", "2B⁰"), =HYPERLINK("CSG2.html#group24C2", "24C²"), =HYPERLINK("CSG1.html#group12N1", "12N¹"), =HYPERLINK("CSG0.html#group1A0", "1A⁰"), =HYPERLINK("CSG5.html#group12C5", "12C⁵"), =HYPERLINK("CSG3.html#group24H3", "24H³"), =HYPERLINK("CSG0.html#group24A0", "24A⁰"), =HYPERLINK("CSG3.html#group24S3", "24S³"), =HYPERLINK("CSG5.html#group24S5", "24S⁵"), =HYPERLINK("CSG0.html#group3C0", "3C⁰"), =HYPERLINK("CSG0.html#group6H0", "6H⁰"), =HYPERLINK("CSG0.html#group3A0", "3A⁰"), =HYPERLINK("CSG1.html#group24H1", "24H¹"), =HYPERLINK("CSG3.html#group12H3", "12H³"), =HYPERLINK("CSG1.html#group12U1", "12U¹"), =HYPERLINK("CSG0.html#group6B0", "6B⁰"), =HYPERLINK("CSG1.html#group24I1", "24I¹"), =HYPERLINK("CSG1.html#group24D1", "24D¹"), =HYPERLINK("CSG0.html#group8B0", "8B⁰"), =HYPERLINK("CSG1.html#group12L1", "12L¹"), =HYPERLINK("CSG0.html#group12G0", "12G⁰"), =HYPERLINK("CSG1.html#group12C1", "12C¹"), =HYPERLINK("CSG0.html#group6E0", "6E⁰"), =HYPERLINK("CSG0.html#group6L0", "6L⁰"), =HYPERLINK("CSG5.html#group24T5", "24T⁵"), =HYPERLINK("CSG0.html#group12D0", "12D⁰"), =HYPERLINK("CSG0.html#group12H0", "12H⁰"), =HYPERLINK("CSG0.html#group6D0", "6D⁰")</f>
        <v/>
      </c>
      <c r="N3183" t="inlineStr"/>
    </row>
    <row r="3184">
      <c r="A3184" t="inlineStr">
        <is>
          <t>24R¹³</t>
        </is>
      </c>
      <c r="B3184" t="inlineStr"/>
      <c r="C3184" t="inlineStr">
        <is>
          <t>288</t>
        </is>
      </c>
      <c r="D3184" t="inlineStr">
        <is>
          <t>1</t>
        </is>
      </c>
      <c r="E3184" t="inlineStr">
        <is>
          <t>18</t>
        </is>
      </c>
      <c r="F3184" t="inlineStr">
        <is>
          <t>16</t>
        </is>
      </c>
      <c r="G3184" t="inlineStr">
        <is>
          <t>0</t>
        </is>
      </c>
      <c r="H3184" t="inlineStr">
        <is>
          <t>12⁸, 24⁸</t>
        </is>
      </c>
      <c r="I3184" t="n">
        <v>16</v>
      </c>
      <c r="J3184" t="inlineStr">
        <is>
          <t>1², 2⁴, 4²</t>
        </is>
      </c>
      <c r="K3184">
        <f>HYPERLINK("CSG5.html#group12D5", "12D⁵"), =HYPERLINK("CSG5.html#group24S5", "24S⁵"), =HYPERLINK("CSG5.html#group24U5", "24U⁵"), =HYPERLINK("CSG5.html#group24V5", "24V⁵"), =HYPERLINK("CSG5.html#group24W5", "24W⁵"), =HYPERLINK("CSG7.html#group24O7", "24O⁷"), =HYPERLINK("CSG7.html#group24Q7", "24Q⁷"), =HYPERLINK("CSG7.html#group24P7", "24P⁷"), =HYPERLINK("CSG7.html#group24R7", "24R⁷"), =HYPERLINK("CSG7.html#group24AE7", "24AE⁷"), =HYPERLINK("CSG7.html#group24AD7", "24AD⁷")</f>
        <v/>
      </c>
      <c r="L3184" t="inlineStr"/>
      <c r="M3184">
        <f>HYPERLINK("CSG1.html#group12T1", "12T¹"), =HYPERLINK("CSG2.html#group24O2", "24O²"), =HYPERLINK("CSG1.html#group24E1", "24E¹"), =HYPERLINK("CSG0.html#group12C0", "12C⁰"), =HYPERLINK("CSG4.html#group24P4", "24P⁴"), =HYPERLINK("CSG2.html#group24P2", "24P²"), =HYPERLINK("CSG0.html#group2B0", "2B⁰"), =HYPERLINK("CSG1.html#group12M1", "12M¹"), =HYPERLINK("CSG0.html#group1A0", "1A⁰"), =HYPERLINK("CSG5.html#group24W5", "24W⁵"), =HYPERLINK("CSG3.html#group24O3", "24O³"), =HYPERLINK("CSG7.html#group24R7", "24R⁷"), =HYPERLINK("CSG7.html#group24AE7", "24AE⁷"), =HYPERLINK("CSG3.html#group24S3", "24S³"), =HYPERLINK("CSG0.html#group3C0", "3C⁰"), =HYPERLINK("CSG1.html#group12Q1", "12Q¹"), =HYPERLINK("CSG0.html#group6H0", "6H⁰"), =HYPERLINK("CSG1.html#group24H1", "24H¹"), =HYPERLINK("CSG7.html#group24AD7", "24AD⁷"), =HYPERLINK("CSG1.html#group12G1", "12G¹"), =HYPERLINK("CSG0.html#group8D0", "8D⁰"), =HYPERLINK("CSG0.html#group8B0", "8B⁰"), =HYPERLINK("CSG0.html#group12F0", "12F⁰"), =HYPERLINK("CSG1.html#group12L1", "12L¹"), =HYPERLINK("CSG3.html#group12J3", "12J³"), =HYPERLINK("CSG0.html#group12G0", "12G⁰"), =HYPERLINK("CSG1.html#group12C1", "12C¹"), =HYPERLINK("CSG3.html#group12I3", "12I³"), =HYPERLINK("CSG4.html#group24K4", "24K⁴"), =HYPERLINK("CSG1.html#group24C1", "24C¹"), =HYPERLINK("CSG1.html#group12J1", "12J¹"), =HYPERLINK("CSG0.html#group4F0", "4F⁰"), =HYPERLINK("CSG0.html#group6D0", "6D⁰"), =HYPERLINK("CSG3.html#group24Q3", "24Q³"), =HYPERLINK("CSG2.html#group12I2", "12I²"), =HYPERLINK("CSG0.html#group4C0", "4C⁰"), =HYPERLINK("CSG3.html#group24I3", "24I³"), =HYPERLINK("CSG0.html#group6G0", "6G⁰"), =HYPERLINK("CSG3.html#group24P3", "24P³"), =HYPERLINK("CSG2.html#group24C2", "24C²"), =HYPERLINK("CSG1.html#group12N1", "12N¹"), =HYPERLINK("CSG2.html#group12H2", "12H²"), =HYPERLINK("CSG5.html#group24V5", "24V⁵"), =HYPERLINK("CSG3.html#group24H3", "24H³"), =HYPERLINK("CSG0.html#group24A0", "24A⁰"), =HYPERLINK("CSG3.html#group24N3", "24N³"), =HYPERLINK("CSG5.html#group24U5", "24U⁵"), =HYPERLINK("CSG5.html#group24S5", "24S⁵"), =HYPERLINK("CSG3.html#group24T3", "24T³"), =HYPERLINK("CSG0.html#group3A0", "3A⁰"), =HYPERLINK("CSG7.html#group24P7", "24P⁷"), =HYPERLINK("CSG0.html#group6B0", "6B⁰"), =HYPERLINK("CSG7.html#group24O7", "24O⁷"), =HYPERLINK("CSG2.html#group24N2", "24N²"), =HYPERLINK("CSG1.html#group24D1", "24D¹"), =HYPERLINK("CSG5.html#group12D5", "12D⁵"), =HYPERLINK("CSG2.html#group24L2", "24L²"), =HYPERLINK("CSG7.html#group24Q7", "24Q⁷"), =HYPERLINK("CSG0.html#group8H0", "8H⁰"), =HYPERLINK("CSG0.html#group12A0", "12A⁰"), =HYPERLINK("CSG0.html#group6E0", "6E⁰"), =HYPERLINK("CSG0.html#group6L0", "6L⁰"), =HYPERLINK("CSG0.html#group4A0", "4A⁰"), =HYPERLINK("CSG0.html#group12D0", "12D⁰"), =HYPERLINK("CSG0.html#group12H0", "12H⁰"), =HYPERLINK("CSG4.html#group24L4", "24L⁴")</f>
        <v/>
      </c>
      <c r="N3184" t="inlineStr"/>
    </row>
    <row r="3185">
      <c r="A3185" t="inlineStr">
        <is>
          <t>24S¹³</t>
        </is>
      </c>
      <c r="B3185" t="inlineStr"/>
      <c r="C3185" t="inlineStr">
        <is>
          <t>288</t>
        </is>
      </c>
      <c r="D3185" t="inlineStr">
        <is>
          <t>1</t>
        </is>
      </c>
      <c r="E3185" t="inlineStr">
        <is>
          <t>18</t>
        </is>
      </c>
      <c r="F3185" t="inlineStr">
        <is>
          <t>16</t>
        </is>
      </c>
      <c r="G3185" t="inlineStr">
        <is>
          <t>0</t>
        </is>
      </c>
      <c r="H3185" t="inlineStr">
        <is>
          <t>12⁸, 24⁸</t>
        </is>
      </c>
      <c r="I3185" t="n">
        <v>16</v>
      </c>
      <c r="J3185" t="inlineStr">
        <is>
          <t>2⁷, 4¹</t>
        </is>
      </c>
      <c r="K3185">
        <f>HYPERLINK("CSG3.html#group12P3", "12P³"), =HYPERLINK("CSG5.html#group24S5", "24S⁵"), =HYPERLINK("CSG7.html#group24S7", "24S⁷")</f>
        <v/>
      </c>
      <c r="L3185" t="inlineStr"/>
      <c r="M3185">
        <f>HYPERLINK("CSG1.html#group12T1", "12T¹"), =HYPERLINK("CSG4.html#group24Q4", "24Q⁴"), =HYPERLINK("CSG0.html#group6B0", "6B⁰"), =HYPERLINK("CSG0.html#group12C0", "12C⁰"), =HYPERLINK("CSG0.html#group4C0", "4C⁰"), =HYPERLINK("CSG1.html#group24D1", "24D¹"), =HYPERLINK("CSG3.html#group24I3", "24I³"), =HYPERLINK("CSG0.html#group6G0", "6G⁰"), =HYPERLINK("CSG0.html#group8B0", "8B⁰"), =HYPERLINK("CSG0.html#group2B0", "2B⁰"), =HYPERLINK("CSG2.html#group24C2", "24C²"), =HYPERLINK("CSG1.html#group12N1", "12N¹"), =HYPERLINK("CSG0.html#group12H0", "12H⁰"), =HYPERLINK("CSG0.html#group1A0", "1A⁰"), =HYPERLINK("CSG1.html#group12L1", "12L¹"), =HYPERLINK("CSG0.html#group12G0", "12G⁰"), =HYPERLINK("CSG1.html#group12C1", "12C¹"), =HYPERLINK("CSG3.html#group24H3", "24H³"), =HYPERLINK("CSG0.html#group6E0", "6E⁰"), =HYPERLINK("CSG0.html#group6L0", "6L⁰"), =HYPERLINK("CSG3.html#group24S3", "24S³"), =HYPERLINK("CSG3.html#group12P3", "12P³"), =HYPERLINK("CSG0.html#group24A0", "24A⁰"), =HYPERLINK("CSG5.html#group24S5", "24S⁵"), =HYPERLINK("CSG0.html#group3C0", "3C⁰"), =HYPERLINK("CSG0.html#group12D0", "12D⁰"), =HYPERLINK("CSG0.html#group6H0", "6H⁰"), =HYPERLINK("CSG0.html#group3A0", "3A⁰"), =HYPERLINK("CSG1.html#group24H1", "24H¹"), =HYPERLINK("CSG0.html#group6D0", "6D⁰"), =HYPERLINK("CSG7.html#group24S7", "24S⁷")</f>
        <v/>
      </c>
      <c r="N3185" t="inlineStr"/>
    </row>
    <row r="3186">
      <c r="A3186" t="inlineStr">
        <is>
          <t>24T¹³</t>
        </is>
      </c>
      <c r="B3186" t="inlineStr"/>
      <c r="C3186" t="inlineStr">
        <is>
          <t>288</t>
        </is>
      </c>
      <c r="D3186" t="inlineStr">
        <is>
          <t>1</t>
        </is>
      </c>
      <c r="E3186" t="inlineStr">
        <is>
          <t>36</t>
        </is>
      </c>
      <c r="F3186" t="inlineStr">
        <is>
          <t>8</t>
        </is>
      </c>
      <c r="G3186" t="inlineStr">
        <is>
          <t>0</t>
        </is>
      </c>
      <c r="H3186" t="inlineStr">
        <is>
          <t>12¹⁶, 24⁴</t>
        </is>
      </c>
      <c r="I3186" t="n">
        <v>20</v>
      </c>
      <c r="J3186" t="inlineStr">
        <is>
          <t>2², 4⁴, 8²</t>
        </is>
      </c>
      <c r="K3186">
        <f>HYPERLINK("CSG5.html#group12D5", "12D⁵"), =HYPERLINK("CSG6.html#group24J6", "24J⁶")</f>
        <v/>
      </c>
      <c r="L3186" t="inlineStr"/>
      <c r="M3186">
        <f>HYPERLINK("CSG1.html#group12T1", "12T¹"), =HYPERLINK("CSG2.html#group12I2", "12I²"), =HYPERLINK("CSG0.html#group12C0", "12C⁰"), =HYPERLINK("CSG0.html#group4C0", "4C⁰"), =HYPERLINK("CSG0.html#group6G0", "6G⁰"), =HYPERLINK("CSG0.html#group2B0", "2B⁰"), =HYPERLINK("CSG1.html#group12M1", "12M¹"), =HYPERLINK("CSG1.html#group12N1", "12N¹"), =HYPERLINK("CSG0.html#group1A0", "1A⁰"), =HYPERLINK("CSG2.html#group12H2", "12H²"), =HYPERLINK("CSG1.html#group12Q1", "12Q¹"), =HYPERLINK("CSG0.html#group3C0", "3C⁰"), =HYPERLINK("CSG0.html#group6H0", "6H⁰"), =HYPERLINK("CSG0.html#group3A0", "3A⁰"), =HYPERLINK("CSG1.html#group12G1", "12G¹"), =HYPERLINK("CSG0.html#group6B0", "6B⁰"), =HYPERLINK("CSG0.html#group12F0", "12F⁰"), =HYPERLINK("CSG5.html#group12D5", "12D⁵"), =HYPERLINK("CSG6.html#group24J6", "24J⁶"), =HYPERLINK("CSG1.html#group12L1", "12L¹"), =HYPERLINK("CSG3.html#group12J3", "12J³"), =HYPERLINK("CSG0.html#group12G0", "12G⁰"), =HYPERLINK("CSG0.html#group12A0", "12A⁰"), =HYPERLINK("CSG1.html#group12C1", "12C¹"), =HYPERLINK("CSG3.html#group12I3", "12I³"), =HYPERLINK("CSG0.html#group6E0", "6E⁰"), =HYPERLINK("CSG0.html#group6L0", "6L⁰"), =HYPERLINK("CSG0.html#group4A0", "4A⁰"), =HYPERLINK("CSG1.html#group12J1", "12J¹"), =HYPERLINK("CSG0.html#group12D0", "12D⁰"), =HYPERLINK("CSG0.html#group4F0", "4F⁰"), =HYPERLINK("CSG0.html#group12H0", "12H⁰"), =HYPERLINK("CSG0.html#group6D0", "6D⁰")</f>
        <v/>
      </c>
      <c r="N3186" t="inlineStr"/>
    </row>
    <row r="3187">
      <c r="A3187" t="inlineStr">
        <is>
          <t>24U¹³</t>
        </is>
      </c>
      <c r="B3187" t="inlineStr"/>
      <c r="C3187" t="inlineStr">
        <is>
          <t>288</t>
        </is>
      </c>
      <c r="D3187" t="inlineStr">
        <is>
          <t>1</t>
        </is>
      </c>
      <c r="E3187" t="inlineStr">
        <is>
          <t>36</t>
        </is>
      </c>
      <c r="F3187" t="inlineStr">
        <is>
          <t>8</t>
        </is>
      </c>
      <c r="G3187" t="inlineStr">
        <is>
          <t>0</t>
        </is>
      </c>
      <c r="H3187" t="inlineStr">
        <is>
          <t>12¹⁶, 24⁴</t>
        </is>
      </c>
      <c r="I3187" t="n">
        <v>20</v>
      </c>
      <c r="J3187" t="inlineStr">
        <is>
          <t>2², 4⁴, 8²</t>
        </is>
      </c>
      <c r="K3187">
        <f>HYPERLINK("CSG5.html#group12D5", "12D⁵"), =HYPERLINK("CSG6.html#group24E6", "24E⁶"), =HYPERLINK("CSG6.html#group24F6", "24F⁶"), =HYPERLINK("CSG7.html#group24X7", "24X⁷"), =HYPERLINK("CSG7.html#group24Y7", "24Y⁷")</f>
        <v/>
      </c>
      <c r="L3187" t="inlineStr"/>
      <c r="M3187">
        <f>HYPERLINK("CSG1.html#group12T1", "12T¹"), =HYPERLINK("CSG2.html#group12I2", "12I²"), =HYPERLINK("CSG0.html#group12C0", "12C⁰"), =HYPERLINK("CSG0.html#group4C0", "4C⁰"), =HYPERLINK("CSG7.html#group24X7", "24X⁷"), =HYPERLINK("CSG6.html#group24F6", "24F⁶"), =HYPERLINK("CSG0.html#group6G0", "6G⁰"), =HYPERLINK("CSG1.html#group12M1", "12M¹"), =HYPERLINK("CSG0.html#group2B0", "2B⁰"), =HYPERLINK("CSG1.html#group12N1", "12N¹"), =HYPERLINK("CSG0.html#group1A0", "1A⁰"), =HYPERLINK("CSG0.html#group8K0", "8K⁰"), =HYPERLINK("CSG2.html#group12H2", "12H²"), =HYPERLINK("CSG0.html#group3C0", "3C⁰"), =HYPERLINK("CSG1.html#group12Q1", "12Q¹"), =HYPERLINK("CSG3.html#group24R3", "24R³"), =HYPERLINK("CSG0.html#group6H0", "6H⁰"), =HYPERLINK("CSG0.html#group3A0", "3A⁰"), =HYPERLINK("CSG1.html#group12G1", "12G¹"), =HYPERLINK("CSG0.html#group6B0", "6B⁰"), =HYPERLINK("CSG6.html#group24E6", "24E⁶"), =HYPERLINK("CSG0.html#group12F0", "12F⁰"), =HYPERLINK("CSG5.html#group12D5", "12D⁵"), =HYPERLINK("CSG1.html#group12L1", "12L¹"), =HYPERLINK("CSG3.html#group12J3", "12J³"), =HYPERLINK("CSG3.html#group24J3", "24J³"), =HYPERLINK("CSG0.html#group12G0", "12G⁰"), =HYPERLINK("CSG0.html#group12A0", "12A⁰"), =HYPERLINK("CSG1.html#group12C1", "12C¹"), =HYPERLINK("CSG3.html#group12I3", "12I³"), =HYPERLINK("CSG0.html#group6E0", "6E⁰"), =HYPERLINK("CSG0.html#group4A0", "4A⁰"), =HYPERLINK("CSG0.html#group6L0", "6L⁰"), =HYPERLINK("CSG1.html#group12J1", "12J¹"), =HYPERLINK("CSG0.html#group12D0", "12D⁰"), =HYPERLINK("CSG0.html#group4F0", "4F⁰"), =HYPERLINK("CSG0.html#group12H0", "12H⁰"), =HYPERLINK("CSG7.html#group24Y7", "24Y⁷"), =HYPERLINK("CSG0.html#group6D0", "6D⁰")</f>
        <v/>
      </c>
      <c r="N3187" t="inlineStr"/>
    </row>
    <row r="3188">
      <c r="A3188" t="inlineStr">
        <is>
          <t>24V¹³</t>
        </is>
      </c>
      <c r="B3188" t="inlineStr"/>
      <c r="C3188" t="inlineStr">
        <is>
          <t>288</t>
        </is>
      </c>
      <c r="D3188" t="inlineStr">
        <is>
          <t>1</t>
        </is>
      </c>
      <c r="E3188" t="inlineStr">
        <is>
          <t>36</t>
        </is>
      </c>
      <c r="F3188" t="inlineStr">
        <is>
          <t>16</t>
        </is>
      </c>
      <c r="G3188" t="inlineStr">
        <is>
          <t>0</t>
        </is>
      </c>
      <c r="H3188" t="inlineStr">
        <is>
          <t>12⁸, 24⁸</t>
        </is>
      </c>
      <c r="I3188" t="n">
        <v>16</v>
      </c>
      <c r="J3188" t="inlineStr">
        <is>
          <t>2², 4⁸</t>
        </is>
      </c>
      <c r="K3188">
        <f>HYPERLINK("CSG5.html#group24W5", "24W⁵"), =HYPERLINK("CSG5.html#group24X5", "24X⁵"), =HYPERLINK("CSG6.html#group24G6", "24G⁶"), =HYPERLINK("CSG6.html#group24H6", "24H⁶"), =HYPERLINK("CSG6.html#group24I6", "24I⁶")</f>
        <v/>
      </c>
      <c r="L3188" t="inlineStr"/>
      <c r="M3188">
        <f>HYPERLINK("CSG5.html#group24X5", "24X⁵"), =HYPERLINK("CSG2.html#group12I2", "12I²"), =HYPERLINK("CSG1.html#group24E1", "24E¹"), =HYPERLINK("CSG2.html#group24O2", "24O²"), =HYPERLINK("CSG3.html#group24Q3", "24Q³"), =HYPERLINK("CSG0.html#group12C0", "12C⁰"), =HYPERLINK("CSG0.html#group4C0", "4C⁰"), =HYPERLINK("CSG2.html#group24Q2", "24Q²"), =HYPERLINK("CSG2.html#group24P2", "24P²"), =HYPERLINK("CSG0.html#group2B0", "2B⁰"), =HYPERLINK("CSG1.html#group12M1", "12M¹"), =HYPERLINK("CSG3.html#group24P3", "24P³"), =HYPERLINK("CSG0.html#group1A0", "1A⁰"), =HYPERLINK("CSG5.html#group24W5", "24W⁵"), =HYPERLINK("CSG0.html#group24A0", "24A⁰"), =HYPERLINK("CSG6.html#group24H6", "24H⁶"), =HYPERLINK("CSG0.html#group6H0", "6H⁰"), =HYPERLINK("CSG0.html#group3A0", "3A⁰"), =HYPERLINK("CSG1.html#group24H1", "24H¹"), =HYPERLINK("CSG6.html#group24I6", "24I⁶"), =HYPERLINK("CSG0.html#group6B0", "6B⁰"), =HYPERLINK("CSG0.html#group8D0", "8D⁰"), =HYPERLINK("CSG1.html#group24D1", "24D¹"), =HYPERLINK("CSG0.html#group8B0", "8B⁰"), =HYPERLINK("CSG0.html#group12F0", "12F⁰"), =HYPERLINK("CSG2.html#group24L2", "24L²"), =HYPERLINK("CSG0.html#group8H0", "8H⁰"), =HYPERLINK("CSG6.html#group24G6", "24G⁶"), =HYPERLINK("CSG0.html#group12A0", "12A⁰"), =HYPERLINK("CSG0.html#group4A0", "4A⁰"), =HYPERLINK("CSG1.html#group24C1", "24C¹"), =HYPERLINK("CSG1.html#group12J1", "12J¹"), =HYPERLINK("CSG0.html#group12D0", "12D⁰"), =HYPERLINK("CSG0.html#group4F0", "4F⁰"), =HYPERLINK("CSG0.html#group12H0", "12H⁰"), =HYPERLINK("CSG0.html#group6D0", "6D⁰")</f>
        <v/>
      </c>
      <c r="N3188" t="inlineStr"/>
    </row>
    <row r="3189">
      <c r="A3189" t="inlineStr">
        <is>
          <t>24W¹³</t>
        </is>
      </c>
      <c r="B3189" t="inlineStr"/>
      <c r="C3189" t="inlineStr">
        <is>
          <t>288</t>
        </is>
      </c>
      <c r="D3189" t="inlineStr">
        <is>
          <t>1</t>
        </is>
      </c>
      <c r="E3189" t="inlineStr">
        <is>
          <t>36</t>
        </is>
      </c>
      <c r="F3189" t="inlineStr">
        <is>
          <t>16</t>
        </is>
      </c>
      <c r="G3189" t="inlineStr">
        <is>
          <t>0</t>
        </is>
      </c>
      <c r="H3189" t="inlineStr">
        <is>
          <t>12⁸, 24⁸</t>
        </is>
      </c>
      <c r="I3189" t="n">
        <v>16</v>
      </c>
      <c r="J3189" t="inlineStr">
        <is>
          <t>2⁸, 4³, 8¹</t>
        </is>
      </c>
      <c r="K3189">
        <f>HYPERLINK("CSG5.html#group24S5", "24S⁵")</f>
        <v/>
      </c>
      <c r="L3189" t="inlineStr"/>
      <c r="M3189">
        <f>HYPERLINK("CSG1.html#group12T1", "12T¹"), =HYPERLINK("CSG0.html#group6B0", "6B⁰"), =HYPERLINK("CSG0.html#group12C0", "12C⁰"), =HYPERLINK("CSG0.html#group4C0", "4C⁰"), =HYPERLINK("CSG1.html#group24D1", "24D¹"), =HYPERLINK("CSG3.html#group24I3", "24I³"), =HYPERLINK("CSG0.html#group6G0", "6G⁰"), =HYPERLINK("CSG0.html#group8B0", "8B⁰"), =HYPERLINK("CSG0.html#group2B0", "2B⁰"), =HYPERLINK("CSG2.html#group24C2", "24C²"), =HYPERLINK("CSG1.html#group12N1", "12N¹"), =HYPERLINK("CSG0.html#group12H0", "12H⁰"), =HYPERLINK("CSG0.html#group1A0", "1A⁰"), =HYPERLINK("CSG1.html#group12L1", "12L¹"), =HYPERLINK("CSG0.html#group12G0", "12G⁰"), =HYPERLINK("CSG1.html#group12C1", "12C¹"), =HYPERLINK("CSG3.html#group24H3", "24H³"), =HYPERLINK("CSG0.html#group6E0", "6E⁰"), =HYPERLINK("CSG0.html#group6L0", "6L⁰"), =HYPERLINK("CSG3.html#group24S3", "24S³"), =HYPERLINK("CSG0.html#group24A0", "24A⁰"), =HYPERLINK("CSG5.html#group24S5", "24S⁵"), =HYPERLINK("CSG0.html#group3C0", "3C⁰"), =HYPERLINK("CSG0.html#group12D0", "12D⁰"), =HYPERLINK("CSG0.html#group6H0", "6H⁰"), =HYPERLINK("CSG0.html#group3A0", "3A⁰"), =HYPERLINK("CSG1.html#group24H1", "24H¹"), =HYPERLINK("CSG0.html#group6D0", "6D⁰")</f>
        <v/>
      </c>
      <c r="N3189" t="inlineStr"/>
    </row>
    <row r="3190">
      <c r="A3190" t="inlineStr">
        <is>
          <t>24X¹³</t>
        </is>
      </c>
      <c r="B3190" t="inlineStr"/>
      <c r="C3190" t="inlineStr">
        <is>
          <t>288</t>
        </is>
      </c>
      <c r="D3190" t="inlineStr">
        <is>
          <t>1</t>
        </is>
      </c>
      <c r="E3190" t="inlineStr">
        <is>
          <t>36</t>
        </is>
      </c>
      <c r="F3190" t="inlineStr">
        <is>
          <t>16</t>
        </is>
      </c>
      <c r="G3190" t="inlineStr">
        <is>
          <t>0</t>
        </is>
      </c>
      <c r="H3190" t="inlineStr">
        <is>
          <t>12⁸, 24⁸</t>
        </is>
      </c>
      <c r="I3190" t="n">
        <v>16</v>
      </c>
      <c r="J3190" t="inlineStr">
        <is>
          <t>2⁶, 4⁶</t>
        </is>
      </c>
      <c r="K3190">
        <f>HYPERLINK("CSG5.html#group24W5", "24W⁵"), =HYPERLINK("CSG5.html#group24Y5", "24Y⁵"), =HYPERLINK("CSG6.html#group24D6", "24D⁶"), =HYPERLINK("CSG6.html#group24G6", "24G⁶"), =HYPERLINK("CSG6.html#group24K6", "24K⁶")</f>
        <v/>
      </c>
      <c r="L3190" t="inlineStr"/>
      <c r="M3190">
        <f>HYPERLINK("CSG2.html#group12I2", "12I²"), =HYPERLINK("CSG1.html#group24E1", "24E¹"), =HYPERLINK("CSG2.html#group24O2", "24O²"), =HYPERLINK("CSG6.html#group24D6", "24D⁶"), =HYPERLINK("CSG3.html#group24Q3", "24Q³"), =HYPERLINK("CSG0.html#group12C0", "12C⁰"), =HYPERLINK("CSG0.html#group4C0", "4C⁰"), =HYPERLINK("CSG2.html#group24Q2", "24Q²"), =HYPERLINK("CSG0.html#group8L0", "8L⁰"), =HYPERLINK("CSG0.html#group2B0", "2B⁰"), =HYPERLINK("CSG2.html#group24P2", "24P²"), =HYPERLINK("CSG1.html#group12M1", "12M¹"), =HYPERLINK("CSG3.html#group24P3", "24P³"), =HYPERLINK("CSG0.html#group1A0", "1A⁰"), =HYPERLINK("CSG5.html#group24W5", "24W⁵"), =HYPERLINK("CSG0.html#group24A0", "24A⁰"), =HYPERLINK("CSG6.html#group24K6", "24K⁶"), =HYPERLINK("CSG0.html#group6H0", "6H⁰"), =HYPERLINK("CSG0.html#group3A0", "3A⁰"), =HYPERLINK("CSG1.html#group24H1", "24H¹"), =HYPERLINK("CSG0.html#group8P0", "8P⁰"), =HYPERLINK("CSG0.html#group6B0", "6B⁰"), =HYPERLINK("CSG0.html#group8D0", "8D⁰"), =HYPERLINK("CSG1.html#group24D1", "24D¹"), =HYPERLINK("CSG0.html#group8B0", "8B⁰"), =HYPERLINK("CSG0.html#group12F0", "12F⁰"), =HYPERLINK("CSG5.html#group24Y5", "24Y⁵"), =HYPERLINK("CSG2.html#group24L2", "24L²"), =HYPERLINK("CSG0.html#group8H0", "8H⁰"), =HYPERLINK("CSG6.html#group24G6", "24G⁶"), =HYPERLINK("CSG0.html#group12A0", "12A⁰"), =HYPERLINK("CSG0.html#group4A0", "4A⁰"), =HYPERLINK("CSG2.html#group24M2", "24M²"), =HYPERLINK("CSG1.html#group24C1", "24C¹"), =HYPERLINK("CSG1.html#group12J1", "12J¹"), =HYPERLINK("CSG0.html#group12D0", "12D⁰"), =HYPERLINK("CSG0.html#group4F0", "4F⁰"), =HYPERLINK("CSG0.html#group12H0", "12H⁰"), =HYPERLINK("CSG0.html#group6D0", "6D⁰")</f>
        <v/>
      </c>
      <c r="N3190" t="inlineStr"/>
    </row>
    <row r="3191">
      <c r="A3191" t="inlineStr">
        <is>
          <t>24Y¹³</t>
        </is>
      </c>
      <c r="B3191" t="inlineStr"/>
      <c r="C3191" t="inlineStr">
        <is>
          <t>288</t>
        </is>
      </c>
      <c r="D3191" t="inlineStr">
        <is>
          <t>1</t>
        </is>
      </c>
      <c r="E3191" t="inlineStr">
        <is>
          <t>36</t>
        </is>
      </c>
      <c r="F3191" t="inlineStr">
        <is>
          <t>16</t>
        </is>
      </c>
      <c r="G3191" t="inlineStr">
        <is>
          <t>0</t>
        </is>
      </c>
      <c r="H3191" t="inlineStr">
        <is>
          <t>12⁸, 24⁸</t>
        </is>
      </c>
      <c r="I3191" t="n">
        <v>16</v>
      </c>
      <c r="J3191" t="inlineStr">
        <is>
          <t>1⁴, 2⁶, 4³, 8¹</t>
        </is>
      </c>
      <c r="K3191">
        <f>HYPERLINK("CSG5.html#group24S5", "24S⁵"), =HYPERLINK("CSG5.html#group24X5", "24X⁵"), =HYPERLINK("CSG5.html#group24Y5", "24Y⁵"), =HYPERLINK("CSG7.html#group24Z7", "24Z⁷"), =HYPERLINK("CSG7.html#group24AA7", "24AA⁷")</f>
        <v/>
      </c>
      <c r="L3191" t="inlineStr"/>
      <c r="M3191">
        <f>HYPERLINK("CSG5.html#group24X5", "24X⁵"), =HYPERLINK("CSG1.html#group12T1", "12T¹"), =HYPERLINK("CSG0.html#group12C0", "12C⁰"), =HYPERLINK("CSG7.html#group24AA7", "24AA⁷"), =HYPERLINK("CSG0.html#group4C0", "4C⁰"), =HYPERLINK("CSG3.html#group24I3", "24I³"), =HYPERLINK("CSG0.html#group6G0", "6G⁰"), =HYPERLINK("CSG2.html#group24Q2", "24Q²"), =HYPERLINK("CSG0.html#group8L0", "8L⁰"), =HYPERLINK("CSG0.html#group2B0", "2B⁰"), =HYPERLINK("CSG2.html#group24C2", "24C²"), =HYPERLINK("CSG1.html#group12N1", "12N¹"), =HYPERLINK("CSG0.html#group1A0", "1A⁰"), =HYPERLINK("CSG3.html#group24H3", "24H³"), =HYPERLINK("CSG0.html#group24A0", "24A⁰"), =HYPERLINK("CSG3.html#group24S3", "24S³"), =HYPERLINK("CSG5.html#group24S5", "24S⁵"), =HYPERLINK("CSG0.html#group3C0", "3C⁰"), =HYPERLINK("CSG0.html#group6H0", "6H⁰"), =HYPERLINK("CSG0.html#group3A0", "3A⁰"), =HYPERLINK("CSG1.html#group24H1", "24H¹"), =HYPERLINK("CSG0.html#group6B0", "6B⁰"), =HYPERLINK("CSG7.html#group24Z7", "24Z⁷"), =HYPERLINK("CSG1.html#group24D1", "24D¹"), =HYPERLINK("CSG0.html#group8B0", "8B⁰"), =HYPERLINK("CSG5.html#group24Y5", "24Y⁵"), =HYPERLINK("CSG1.html#group12L1", "12L¹"), =HYPERLINK("CSG0.html#group12G0", "12G⁰"), =HYPERLINK("CSG1.html#group12C1", "12C¹"), =HYPERLINK("CSG0.html#group6E0", "6E⁰"), =HYPERLINK("CSG0.html#group6L0", "6L⁰"), =HYPERLINK("CSG2.html#group24M2", "24M²"), =HYPERLINK("CSG0.html#group12D0", "12D⁰"), =HYPERLINK("CSG0.html#group12H0", "12H⁰"), =HYPERLINK("CSG0.html#group6D0", "6D⁰")</f>
        <v/>
      </c>
      <c r="N3191" t="inlineStr"/>
    </row>
    <row r="3192">
      <c r="A3192" t="inlineStr">
        <is>
          <t>24Z¹³</t>
        </is>
      </c>
      <c r="B3192" t="inlineStr"/>
      <c r="C3192" t="inlineStr">
        <is>
          <t>288</t>
        </is>
      </c>
      <c r="D3192" t="inlineStr">
        <is>
          <t>1</t>
        </is>
      </c>
      <c r="E3192" t="inlineStr">
        <is>
          <t>36</t>
        </is>
      </c>
      <c r="F3192" t="inlineStr">
        <is>
          <t>16</t>
        </is>
      </c>
      <c r="G3192" t="inlineStr">
        <is>
          <t>0</t>
        </is>
      </c>
      <c r="H3192" t="inlineStr">
        <is>
          <t>12⁸, 24⁸</t>
        </is>
      </c>
      <c r="I3192" t="n">
        <v>16</v>
      </c>
      <c r="J3192" t="inlineStr">
        <is>
          <t>2⁴, 4¹⁰, 8³</t>
        </is>
      </c>
      <c r="K3192">
        <f>HYPERLINK("CSG5.html#group24V5", "24V⁵"), =HYPERLINK("CSG5.html#group24X5", "24X⁵"), =HYPERLINK("CSG5.html#group24Y5", "24Y⁵"), =HYPERLINK("CSG6.html#group24H6", "24H⁶"), =HYPERLINK("CSG6.html#group24K6", "24K⁶")</f>
        <v/>
      </c>
      <c r="L3192" t="inlineStr"/>
      <c r="M3192">
        <f>HYPERLINK("CSG5.html#group24X5", "24X⁵"), =HYPERLINK("CSG1.html#group24E1", "24E¹"), =HYPERLINK("CSG0.html#group6B0", "6B⁰"), =HYPERLINK("CSG0.html#group12C0", "12C⁰"), =HYPERLINK("CSG0.html#group3A0", "3A⁰"), =HYPERLINK("CSG2.html#group24N2", "24N²"), =HYPERLINK("CSG0.html#group4C0", "4C⁰"), =HYPERLINK("CSG1.html#group24D1", "24D¹"), =HYPERLINK("CSG0.html#group8B0", "8B⁰"), =HYPERLINK("CSG2.html#group24Q2", "24Q²"), =HYPERLINK("CSG2.html#group24P2", "24P²"), =HYPERLINK("CSG5.html#group24Y5", "24Y⁵"), =HYPERLINK("CSG0.html#group2B0", "2B⁰"), =HYPERLINK("CSG1.html#group12M1", "12M¹"), =HYPERLINK("CSG0.html#group8L0", "8L⁰"), =HYPERLINK("CSG0.html#group1A0", "1A⁰"), =HYPERLINK("CSG2.html#group12H2", "12H²"), =HYPERLINK("CSG5.html#group24V5", "24V⁵"), =HYPERLINK("CSG0.html#group24A0", "24A⁰"), =HYPERLINK("CSG2.html#group24M2", "24M²"), =HYPERLINK("CSG6.html#group24H6", "24H⁶"), =HYPERLINK("CSG3.html#group24T3", "24T³"), =HYPERLINK("CSG6.html#group24K6", "24K⁶"), =HYPERLINK("CSG0.html#group12D0", "12D⁰"), =HYPERLINK("CSG0.html#group6H0", "6H⁰"), =HYPERLINK("CSG0.html#group12H0", "12H⁰"), =HYPERLINK("CSG1.html#group24H1", "24H¹"), =HYPERLINK("CSG0.html#group6D0", "6D⁰")</f>
        <v/>
      </c>
      <c r="N3192" t="inlineStr"/>
    </row>
    <row r="3193">
      <c r="A3193" t="inlineStr">
        <is>
          <t>24AA¹³</t>
        </is>
      </c>
      <c r="B3193" t="inlineStr"/>
      <c r="C3193" t="inlineStr">
        <is>
          <t>288</t>
        </is>
      </c>
      <c r="D3193" t="inlineStr">
        <is>
          <t>1</t>
        </is>
      </c>
      <c r="E3193" t="inlineStr">
        <is>
          <t>36</t>
        </is>
      </c>
      <c r="F3193" t="inlineStr">
        <is>
          <t>16</t>
        </is>
      </c>
      <c r="G3193" t="inlineStr">
        <is>
          <t>0</t>
        </is>
      </c>
      <c r="H3193" t="inlineStr">
        <is>
          <t>12⁸, 24⁸</t>
        </is>
      </c>
      <c r="I3193" t="n">
        <v>16</v>
      </c>
      <c r="J3193" t="inlineStr">
        <is>
          <t>2⁴, 4¹⁰, 8³</t>
        </is>
      </c>
      <c r="K3193">
        <f>HYPERLINK("CSG5.html#group24V5", "24V⁵"), =HYPERLINK("CSG5.html#group24X5", "24X⁵"), =HYPERLINK("CSG5.html#group24Y5", "24Y⁵"), =HYPERLINK("CSG6.html#group24I6", "24I⁶"), =HYPERLINK("CSG6.html#group24K6", "24K⁶")</f>
        <v/>
      </c>
      <c r="L3193" t="inlineStr"/>
      <c r="M3193">
        <f>HYPERLINK("CSG5.html#group24X5", "24X⁵"), =HYPERLINK("CSG1.html#group24E1", "24E¹"), =HYPERLINK("CSG6.html#group24I6", "24I⁶"), =HYPERLINK("CSG0.html#group6B0", "6B⁰"), =HYPERLINK("CSG0.html#group12C0", "12C⁰"), =HYPERLINK("CSG0.html#group3A0", "3A⁰"), =HYPERLINK("CSG2.html#group24N2", "24N²"), =HYPERLINK("CSG0.html#group4C0", "4C⁰"), =HYPERLINK("CSG1.html#group24D1", "24D¹"), =HYPERLINK("CSG0.html#group8B0", "8B⁰"), =HYPERLINK("CSG2.html#group24Q2", "24Q²"), =HYPERLINK("CSG2.html#group24P2", "24P²"), =HYPERLINK("CSG5.html#group24Y5", "24Y⁵"), =HYPERLINK("CSG0.html#group2B0", "2B⁰"), =HYPERLINK("CSG1.html#group12M1", "12M¹"), =HYPERLINK("CSG0.html#group8L0", "8L⁰"), =HYPERLINK("CSG0.html#group1A0", "1A⁰"), =HYPERLINK("CSG2.html#group12H2", "12H²"), =HYPERLINK("CSG5.html#group24V5", "24V⁵"), =HYPERLINK("CSG0.html#group24A0", "24A⁰"), =HYPERLINK("CSG2.html#group24M2", "24M²"), =HYPERLINK("CSG3.html#group24T3", "24T³"), =HYPERLINK("CSG6.html#group24K6", "24K⁶"), =HYPERLINK("CSG0.html#group12D0", "12D⁰"), =HYPERLINK("CSG0.html#group6H0", "6H⁰"), =HYPERLINK("CSG0.html#group12H0", "12H⁰"), =HYPERLINK("CSG1.html#group24H1", "24H¹"), =HYPERLINK("CSG0.html#group6D0", "6D⁰")</f>
        <v/>
      </c>
      <c r="N3193" t="inlineStr"/>
    </row>
    <row r="3194">
      <c r="A3194" t="inlineStr">
        <is>
          <t>24AB¹³</t>
        </is>
      </c>
      <c r="B3194" t="inlineStr"/>
      <c r="C3194" t="inlineStr">
        <is>
          <t>384</t>
        </is>
      </c>
      <c r="D3194" t="inlineStr">
        <is>
          <t>1</t>
        </is>
      </c>
      <c r="E3194" t="inlineStr">
        <is>
          <t>12</t>
        </is>
      </c>
      <c r="F3194" t="inlineStr">
        <is>
          <t>0</t>
        </is>
      </c>
      <c r="G3194" t="inlineStr">
        <is>
          <t>0</t>
        </is>
      </c>
      <c r="H3194" t="inlineStr">
        <is>
          <t>4¹⁶, 8⁴, 12¹⁶, 24⁴</t>
        </is>
      </c>
      <c r="I3194" t="n">
        <v>40</v>
      </c>
      <c r="J3194" t="inlineStr">
        <is>
          <t>1⁶, 2³</t>
        </is>
      </c>
      <c r="K3194">
        <f>HYPERLINK("CSG5.html#group12E5", "12E⁵"), =HYPERLINK("CSG5.html#group24AB5", "24AB⁵"), =HYPERLINK("CSG7.html#group24AF7", "24AF⁷"), =HYPERLINK("CSG7.html#group24AG7", "24AG⁷"), =HYPERLINK("CSG7.html#group24AL7", "24AL⁷")</f>
        <v/>
      </c>
      <c r="L3194" t="inlineStr"/>
      <c r="M3194">
        <f>HYPERLINK("CSG0.html#group2A0", "2A⁰"), =HYPERLINK("CSG3.html#group24AA3", "24AA³"), =HYPERLINK("CSG0.html#group4C0", "4C⁰"), =HYPERLINK("CSG0.html#group12I0", "12I⁰"), =HYPERLINK("CSG0.html#group12J0", "12J⁰"), =HYPERLINK("CSG0.html#group4G0", "4G⁰"), =HYPERLINK("CSG0.html#group2B0", "2B⁰"), =HYPERLINK("CSG0.html#group4E0", "4E⁰"), =HYPERLINK("CSG0.html#group4B0", "4B⁰"), =HYPERLINK("CSG0.html#group1A0", "1A⁰"), =HYPERLINK("CSG5.html#group12E5", "12E⁵"), =HYPERLINK("CSG0.html#group8K0", "8K⁰"), =HYPERLINK("CSG2.html#group12F2", "12F²"), =HYPERLINK("CSG0.html#group4D0", "4D⁰"), =HYPERLINK("CSG1.html#group12A1", "12A¹"), =HYPERLINK("CSG3.html#group12L3", "12L³"), =HYPERLINK("CSG1.html#group12R1", "12R¹"), =HYPERLINK("CSG0.html#group6F0", "6F⁰"), =HYPERLINK("CSG0.html#group3B0", "3B⁰"), =HYPERLINK("CSG0.html#group8N0", "8N⁰"), =HYPERLINK("CSG7.html#group24AF7", "24AF⁷"), =HYPERLINK("CSG1.html#group12I1", "12I¹"), =HYPERLINK("CSG3.html#group24Z3", "24Z³"), =HYPERLINK("CSG1.html#group12V1", "12V¹"), =HYPERLINK("CSG1.html#group12F1", "12F¹"), =HYPERLINK("CSG0.html#group6I0", "6I⁰"), =HYPERLINK("CSG0.html#group6C0", "6C⁰"), =HYPERLINK("CSG7.html#group24AG7", "24AG⁷"), =HYPERLINK("CSG5.html#group24AB5", "24AB⁵"), =HYPERLINK("CSG1.html#group12P1", "12P¹"), =HYPERLINK("CSG7.html#group24AL7", "24AL⁷"), =HYPERLINK("CSG0.html#group4A0", "4A⁰"), =HYPERLINK("CSG4.html#group24R4", "24R⁴"), =HYPERLINK("CSG2.html#group12G2", "12G²"), =HYPERLINK("CSG3.html#group12K3", "12K³"), =HYPERLINK("CSG0.html#group4F0", "4F⁰"), =HYPERLINK("CSG0.html#group8J0", "8J⁰"), =HYPERLINK("CSG0.html#group2C0", "2C⁰"), =HYPERLINK("CSG0.html#group12E0", "12E⁰"), =HYPERLINK("CSG0.html#group12B0", "12B⁰")</f>
        <v/>
      </c>
      <c r="N3194" t="inlineStr"/>
    </row>
    <row r="3195">
      <c r="A3195" t="inlineStr">
        <is>
          <t>24AC¹³</t>
        </is>
      </c>
      <c r="B3195" t="inlineStr"/>
      <c r="C3195" t="inlineStr">
        <is>
          <t>384</t>
        </is>
      </c>
      <c r="D3195" t="inlineStr">
        <is>
          <t>1</t>
        </is>
      </c>
      <c r="E3195" t="inlineStr">
        <is>
          <t>24</t>
        </is>
      </c>
      <c r="F3195" t="inlineStr">
        <is>
          <t>0</t>
        </is>
      </c>
      <c r="G3195" t="inlineStr">
        <is>
          <t>0</t>
        </is>
      </c>
      <c r="H3195" t="inlineStr">
        <is>
          <t>2⁸, 4⁴, 6⁸, 8⁸, 12⁴, 24⁸</t>
        </is>
      </c>
      <c r="I3195" t="n">
        <v>40</v>
      </c>
      <c r="J3195" t="inlineStr">
        <is>
          <t>1⁸, 2⁶, 4¹</t>
        </is>
      </c>
      <c r="K3195">
        <f>HYPERLINK("CSG5.html#group24Z5", "24Z⁵"), =HYPERLINK("CSG5.html#group24AA5", "24AA⁵"), =HYPERLINK("CSG5.html#group24AB5", "24AB⁵"), =HYPERLINK("CSG7.html#group24AH7", "24AH⁷"), =HYPERLINK("CSG7.html#group24AI7", "24AI⁷"), =HYPERLINK("CSG7.html#group24AJ7", "24AJ⁷"), =HYPERLINK("CSG7.html#group24AK7", "24AK⁷")</f>
        <v/>
      </c>
      <c r="L3195" t="inlineStr"/>
      <c r="M3195">
        <f>HYPERLINK("CSG0.html#group2A0", "2A⁰"), =HYPERLINK("CSG7.html#group24AK7", "24AK⁷"), =HYPERLINK("CSG3.html#group24V3", "24V³"), =HYPERLINK("CSG3.html#group24AA3", "24AA³"), =HYPERLINK("CSG5.html#group24AA5", "24AA⁵"), =HYPERLINK("CSG1.html#group24G1", "24G¹"), =HYPERLINK("CSG0.html#group4C0", "4C⁰"), =HYPERLINK("CSG0.html#group12I0", "12I⁰"), =HYPERLINK("CSG0.html#group12J0", "12J⁰"), =HYPERLINK("CSG7.html#group24AH7", "24AH⁷"), =HYPERLINK("CSG0.html#group2B0", "2B⁰"), =HYPERLINK("CSG0.html#group8C0", "8C⁰"), =HYPERLINK("CSG0.html#group4E0", "4E⁰"), =HYPERLINK("CSG0.html#group4B0", "4B⁰"), =HYPERLINK("CSG0.html#group1A0", "1A⁰"), =HYPERLINK("CSG5.html#group24Z5", "24Z⁵"), =HYPERLINK("CSG1.html#group24J1", "24J¹"), =HYPERLINK("CSG3.html#group24U3", "24U³"), =HYPERLINK("CSG0.html#group8G0", "8G⁰"), =HYPERLINK("CSG0.html#group12E0", "12E⁰"), =HYPERLINK("CSG0.html#group6F0", "6F⁰"), =HYPERLINK("CSG2.html#group24F2", "24F²"), =HYPERLINK("CSG0.html#group3B0", "3B⁰"), =HYPERLINK("CSG3.html#group24Z3", "24Z³"), =HYPERLINK("CSG1.html#group12V1", "12V¹"), =HYPERLINK("CSG0.html#group8D0", "8D⁰"), =HYPERLINK("CSG0.html#group6I0", "6I⁰"), =HYPERLINK("CSG1.html#group12F1", "12F¹"), =HYPERLINK("CSG0.html#group6C0", "6C⁰"), =HYPERLINK("CSG5.html#group24AB5", "24AB⁵"), =HYPERLINK("CSG0.html#group8I0", "8I⁰"), =HYPERLINK("CSG1.html#group12P1", "12P¹"), =HYPERLINK("CSG3.html#group24X3", "24X³"), =HYPERLINK("CSG2.html#group24I2", "24I²"), =HYPERLINK("CSG0.html#group24B0", "24B⁰"), =HYPERLINK("CSG3.html#group24W3", "24W³"), =HYPERLINK("CSG3.html#group24Y3", "24Y³"), =HYPERLINK("CSG7.html#group24AJ7", "24AJ⁷"), =HYPERLINK("CSG0.html#group8J0", "8J⁰"), =HYPERLINK("CSG0.html#group2C0", "2C⁰"), =HYPERLINK("CSG7.html#group24AI7", "24AI⁷"), =HYPERLINK("CSG0.html#group8O0", "8O⁰")</f>
        <v/>
      </c>
      <c r="N3195" t="inlineStr"/>
    </row>
    <row r="3196">
      <c r="A3196" t="inlineStr">
        <is>
          <t>26A¹³</t>
        </is>
      </c>
      <c r="B3196" t="inlineStr"/>
      <c r="C3196" t="inlineStr">
        <is>
          <t>234</t>
        </is>
      </c>
      <c r="D3196" t="inlineStr">
        <is>
          <t>1</t>
        </is>
      </c>
      <c r="E3196" t="inlineStr">
        <is>
          <t>234</t>
        </is>
      </c>
      <c r="F3196" t="inlineStr">
        <is>
          <t>6</t>
        </is>
      </c>
      <c r="G3196" t="inlineStr">
        <is>
          <t>0</t>
        </is>
      </c>
      <c r="H3196" t="inlineStr">
        <is>
          <t>13⁶, 26⁶</t>
        </is>
      </c>
      <c r="I3196" t="n">
        <v>12</v>
      </c>
      <c r="J3196" t="inlineStr">
        <is>
          <t>6³, 12¹⁸</t>
        </is>
      </c>
      <c r="K3196">
        <f>HYPERLINK("CSG0.html#group2B0", "2B⁰"), =HYPERLINK("CSG3.html#group13A3", "13A³")</f>
        <v/>
      </c>
      <c r="L3196" t="inlineStr"/>
      <c r="M3196">
        <f>HYPERLINK("CSG3.html#group13A3", "13A³"), =HYPERLINK("CSG0.html#group1A0", "1A⁰"), =HYPERLINK("CSG0.html#group2B0", "2B⁰")</f>
        <v/>
      </c>
      <c r="N3196" t="inlineStr"/>
    </row>
    <row r="3197">
      <c r="A3197" t="inlineStr">
        <is>
          <t>26B¹³</t>
        </is>
      </c>
      <c r="B3197" t="inlineStr"/>
      <c r="C3197" t="inlineStr">
        <is>
          <t>252</t>
        </is>
      </c>
      <c r="D3197" t="inlineStr">
        <is>
          <t>1</t>
        </is>
      </c>
      <c r="E3197" t="inlineStr">
        <is>
          <t>14</t>
        </is>
      </c>
      <c r="F3197" t="inlineStr">
        <is>
          <t>0</t>
        </is>
      </c>
      <c r="G3197" t="inlineStr">
        <is>
          <t>0</t>
        </is>
      </c>
      <c r="H3197" t="inlineStr">
        <is>
          <t>2⁹, 26⁹</t>
        </is>
      </c>
      <c r="I3197" t="n">
        <v>18</v>
      </c>
      <c r="J3197" t="inlineStr">
        <is>
          <t>1², 12¹</t>
        </is>
      </c>
      <c r="K3197">
        <f>HYPERLINK("CSG3.html#group26A3", "26A³"), =HYPERLINK("CSG4.html#group26C4", "26C⁴"), =HYPERLINK("CSG5.html#group26A5", "26A⁵"), =HYPERLINK("CSG5.html#group26B5", "26B⁵")</f>
        <v/>
      </c>
      <c r="L3197" t="inlineStr"/>
      <c r="M3197">
        <f>HYPERLINK("CSG5.html#group26B5", "26B⁵"), =HYPERLINK("CSG0.html#group2A0", "2A⁰"), =HYPERLINK("CSG5.html#group26A5", "26A⁵"), =HYPERLINK("CSG1.html#group26A1", "26A¹"), =HYPERLINK("CSG0.html#group13A0", "13A⁰"), =HYPERLINK("CSG4.html#group26C4", "26C⁴"), =HYPERLINK("CSG3.html#group26A3", "26A³"), =HYPERLINK("CSG0.html#group2B0", "2B⁰"), =HYPERLINK("CSG0.html#group13C0", "13C⁰"), =HYPERLINK("CSG0.html#group1A0", "1A⁰"), =HYPERLINK("CSG0.html#group2C0", "2C⁰"), =HYPERLINK("CSG2.html#group26A2", "26A²")</f>
        <v/>
      </c>
      <c r="N3197" t="inlineStr"/>
    </row>
    <row r="3198">
      <c r="A3198" t="inlineStr">
        <is>
          <t>27A¹³</t>
        </is>
      </c>
      <c r="B3198" t="inlineStr"/>
      <c r="C3198" t="inlineStr">
        <is>
          <t>243</t>
        </is>
      </c>
      <c r="D3198" t="inlineStr">
        <is>
          <t>1</t>
        </is>
      </c>
      <c r="E3198" t="inlineStr">
        <is>
          <t>243</t>
        </is>
      </c>
      <c r="F3198" t="inlineStr">
        <is>
          <t>15</t>
        </is>
      </c>
      <c r="G3198" t="inlineStr">
        <is>
          <t>0</t>
        </is>
      </c>
      <c r="H3198" t="inlineStr">
        <is>
          <t>27⁹</t>
        </is>
      </c>
      <c r="I3198" t="n">
        <v>9</v>
      </c>
      <c r="J3198" t="inlineStr">
        <is>
          <t>3¹, 6¹³, 18⁹</t>
        </is>
      </c>
      <c r="K3198">
        <f>HYPERLINK("CSG1.html#group9G1", "9G¹"), =HYPERLINK("CSG3.html#group27B3", "27B³")</f>
        <v/>
      </c>
      <c r="L3198" t="inlineStr"/>
      <c r="M3198">
        <f>HYPERLINK("CSG0.html#group9G0", "9G⁰"), =HYPERLINK("CSG0.html#group9A0", "9A⁰"), =HYPERLINK("CSG3.html#group27B3", "27B³"), =HYPERLINK("CSG1.html#group9G1", "9G¹"), =HYPERLINK("CSG0.html#group3A0", "3A⁰"), =HYPERLINK("CSG0.html#group9F0", "9F⁰"), =HYPERLINK("CSG0.html#group1A0", "1A⁰")</f>
        <v/>
      </c>
      <c r="N3198" t="inlineStr"/>
    </row>
    <row r="3199">
      <c r="A3199" t="inlineStr">
        <is>
          <t>27B¹³</t>
        </is>
      </c>
      <c r="B3199" t="inlineStr">
        <is>
          <t>Γ₁(27)</t>
        </is>
      </c>
      <c r="C3199" t="inlineStr">
        <is>
          <t>324</t>
        </is>
      </c>
      <c r="D3199" t="inlineStr">
        <is>
          <t>1</t>
        </is>
      </c>
      <c r="E3199" t="inlineStr">
        <is>
          <t>36</t>
        </is>
      </c>
      <c r="F3199" t="inlineStr">
        <is>
          <t>0</t>
        </is>
      </c>
      <c r="G3199" t="inlineStr">
        <is>
          <t>0</t>
        </is>
      </c>
      <c r="H3199" t="inlineStr">
        <is>
          <t>1⁹, 3⁶, 9⁶, 27⁹</t>
        </is>
      </c>
      <c r="I3199" t="n">
        <v>30</v>
      </c>
      <c r="J3199" t="inlineStr">
        <is>
          <t>1², 2², 6², 18¹</t>
        </is>
      </c>
      <c r="K3199">
        <f>HYPERLINK("CSG1.html#group27C1", "27C¹")</f>
        <v/>
      </c>
      <c r="L3199" t="inlineStr"/>
      <c r="M3199">
        <f>HYPERLINK("CSG0.html#group9I0", "9I⁰"), =HYPERLINK("CSG0.html#group27A0", "27A⁰"), =HYPERLINK("CSG0.html#group3B0", "3B⁰"), =HYPERLINK("CSG0.html#group9B0", "9B⁰"), =HYPERLINK("CSG1.html#group27A1", "27A¹"), =HYPERLINK("CSG1.html#group27C1", "27C¹"), =HYPERLINK("CSG0.html#group1A0", "1A⁰")</f>
        <v/>
      </c>
      <c r="N3199" t="inlineStr"/>
    </row>
    <row r="3200">
      <c r="A3200" t="inlineStr">
        <is>
          <t>27C¹³</t>
        </is>
      </c>
      <c r="B3200" t="inlineStr"/>
      <c r="C3200" t="inlineStr">
        <is>
          <t>324</t>
        </is>
      </c>
      <c r="D3200" t="inlineStr">
        <is>
          <t>1</t>
        </is>
      </c>
      <c r="E3200" t="inlineStr">
        <is>
          <t>36</t>
        </is>
      </c>
      <c r="F3200" t="inlineStr">
        <is>
          <t>0</t>
        </is>
      </c>
      <c r="G3200" t="inlineStr">
        <is>
          <t>0</t>
        </is>
      </c>
      <c r="H3200" t="inlineStr">
        <is>
          <t>3⁹, 9¹⁵, 27⁶</t>
        </is>
      </c>
      <c r="I3200" t="n">
        <v>30</v>
      </c>
      <c r="J3200" t="inlineStr">
        <is>
          <t>1², 2⁸, 6³</t>
        </is>
      </c>
      <c r="K3200">
        <f>HYPERLINK("CSG1.html#group9H1", "9H¹")</f>
        <v/>
      </c>
      <c r="L3200" t="inlineStr"/>
      <c r="M3200">
        <f>HYPERLINK("CSG0.html#group3B0", "3B⁰"), =HYPERLINK("CSG0.html#group9J0", "9J⁰"), =HYPERLINK("CSG1.html#group9A1", "9A¹"), =HYPERLINK("CSG1.html#group9H1", "9H¹"), =HYPERLINK("CSG0.html#group9I0", "9I⁰"), =HYPERLINK("CSG0.html#group9B0", "9B⁰"), =HYPERLINK("CSG1.html#group9C1", "9C¹"), =HYPERLINK("CSG0.html#group3C0", "3C⁰"), =HYPERLINK("CSG0.html#group9H0", "9H⁰"), =HYPERLINK("CSG0.html#group9C0", "9C⁰"), =HYPERLINK("CSG0.html#group9E0", "9E⁰"), =HYPERLINK("CSG0.html#group3A0", "3A⁰"), =HYPERLINK("CSG1.html#group9D1", "9D¹"), =HYPERLINK("CSG0.html#group1A0", "1A⁰"), =HYPERLINK("CSG0.html#group3D0", "3D⁰")</f>
        <v/>
      </c>
      <c r="N3200" t="inlineStr"/>
    </row>
    <row r="3201">
      <c r="A3201" t="inlineStr">
        <is>
          <t>28A¹³</t>
        </is>
      </c>
      <c r="B3201" t="inlineStr"/>
      <c r="C3201" t="inlineStr">
        <is>
          <t>224</t>
        </is>
      </c>
      <c r="D3201" t="inlineStr">
        <is>
          <t>1</t>
        </is>
      </c>
      <c r="E3201" t="inlineStr">
        <is>
          <t>28</t>
        </is>
      </c>
      <c r="F3201" t="inlineStr">
        <is>
          <t>0</t>
        </is>
      </c>
      <c r="G3201" t="inlineStr">
        <is>
          <t>8</t>
        </is>
      </c>
      <c r="H3201" t="inlineStr">
        <is>
          <t>28⁸</t>
        </is>
      </c>
      <c r="I3201" t="n">
        <v>8</v>
      </c>
      <c r="J3201" t="inlineStr">
        <is>
          <t>1¹, 3¹, 6⁴</t>
        </is>
      </c>
      <c r="K3201">
        <f>HYPERLINK("CSG0.html#group28A0", "28A⁰"), =HYPERLINK("CSG5.html#group14E5", "14E⁵"), =HYPERLINK("CSG5.html#group28F5", "28F⁵"), =HYPERLINK("CSG5.html#group28G5", "28G⁵")</f>
        <v/>
      </c>
      <c r="L3201" t="inlineStr"/>
      <c r="M3201">
        <f>HYPERLINK("CSG5.html#group28F5", "28F⁵"), =HYPERLINK("CSG0.html#group2A0", "2A⁰"), =HYPERLINK("CSG0.html#group14A0", "14A⁰"), =HYPERLINK("CSG0.html#group28A0", "28A⁰"), =HYPERLINK("CSG5.html#group28G5", "28G⁵"), =HYPERLINK("CSG1.html#group14A1", "14A¹"), =HYPERLINK("CSG1.html#group14G1", "14G¹"), =HYPERLINK("CSG0.html#group1A0", "1A⁰"), =HYPERLINK("CSG1.html#group14D1", "14D¹"), =HYPERLINK("CSG5.html#group14E5", "14E⁵"), =HYPERLINK("CSG0.html#group7B0", "7B⁰"), =HYPERLINK("CSG0.html#group7C0", "7C⁰"), =HYPERLINK("CSG3.html#group14C3", "14C³"), =HYPERLINK("CSG0.html#group14B0", "14B⁰"), =HYPERLINK("CSG0.html#group7F0", "7F⁰"), =HYPERLINK("CSG1.html#group7B1", "7B¹"), =HYPERLINK("CSG0.html#group7A0", "7A⁰")</f>
        <v/>
      </c>
      <c r="N3201" t="inlineStr"/>
    </row>
    <row r="3202">
      <c r="A3202" t="inlineStr">
        <is>
          <t>28B¹³</t>
        </is>
      </c>
      <c r="B3202" t="inlineStr"/>
      <c r="C3202" t="inlineStr">
        <is>
          <t>252</t>
        </is>
      </c>
      <c r="D3202" t="inlineStr">
        <is>
          <t>1</t>
        </is>
      </c>
      <c r="E3202" t="inlineStr">
        <is>
          <t>63</t>
        </is>
      </c>
      <c r="F3202" t="inlineStr">
        <is>
          <t>0</t>
        </is>
      </c>
      <c r="G3202" t="inlineStr">
        <is>
          <t>0</t>
        </is>
      </c>
      <c r="H3202" t="inlineStr">
        <is>
          <t>7¹², 28⁶</t>
        </is>
      </c>
      <c r="I3202" t="n">
        <v>18</v>
      </c>
      <c r="J3202" t="inlineStr">
        <is>
          <t>3³, 6⁹</t>
        </is>
      </c>
      <c r="K3202">
        <f>HYPERLINK("CSG5.html#group14F5", "14F⁵"), =HYPERLINK("CSG6.html#group28J6", "28J⁶")</f>
        <v/>
      </c>
      <c r="L3202" t="inlineStr"/>
      <c r="M3202">
        <f>HYPERLINK("CSG6.html#group28J6", "28J⁶"), =HYPERLINK("CSG0.html#group7D0", "7D⁰"), =HYPERLINK("CSG1.html#group14B1", "14B¹"), =HYPERLINK("CSG1.html#group7A1", "7A¹"), =HYPERLINK("CSG2.html#group14F2", "14F²"), =HYPERLINK("CSG0.html#group2B0", "2B⁰"), =HYPERLINK("CSG5.html#group14F5", "14F⁵"), =HYPERLINK("CSG0.html#group1A0", "1A⁰"), =HYPERLINK("CSG2.html#group28B2", "28B²"), =HYPERLINK("CSG0.html#group7A0", "7A⁰")</f>
        <v/>
      </c>
      <c r="N3202" t="inlineStr"/>
    </row>
    <row r="3203">
      <c r="A3203" t="inlineStr">
        <is>
          <t>28C¹³</t>
        </is>
      </c>
      <c r="B3203" t="inlineStr"/>
      <c r="C3203" t="inlineStr">
        <is>
          <t>252</t>
        </is>
      </c>
      <c r="D3203" t="inlineStr">
        <is>
          <t>1</t>
        </is>
      </c>
      <c r="E3203" t="inlineStr">
        <is>
          <t>63</t>
        </is>
      </c>
      <c r="F3203" t="inlineStr">
        <is>
          <t>0</t>
        </is>
      </c>
      <c r="G3203" t="inlineStr">
        <is>
          <t>0</t>
        </is>
      </c>
      <c r="H3203" t="inlineStr">
        <is>
          <t>7¹², 28⁶</t>
        </is>
      </c>
      <c r="I3203" t="n">
        <v>18</v>
      </c>
      <c r="J3203" t="inlineStr">
        <is>
          <t>3³, 6⁹</t>
        </is>
      </c>
      <c r="K3203">
        <f>HYPERLINK("CSG5.html#group14F5", "14F⁵"), =HYPERLINK("CSG5.html#group28H5", "28H⁵"), =HYPERLINK("CSG7.html#group28B7", "28B⁷")</f>
        <v/>
      </c>
      <c r="L3203" t="inlineStr"/>
      <c r="M3203">
        <f>HYPERLINK("CSG0.html#group7D0", "7D⁰"), =HYPERLINK("CSG1.html#group14B1", "14B¹"), =HYPERLINK("CSG0.html#group4B0", "4B⁰"), =HYPERLINK("CSG5.html#group28H5", "28H⁵"), =HYPERLINK("CSG1.html#group7A1", "7A¹"), =HYPERLINK("CSG7.html#group28B7", "28B⁷"), =HYPERLINK("CSG2.html#group14F2", "14F²"), =HYPERLINK("CSG0.html#group2B0", "2B⁰"), =HYPERLINK("CSG3.html#group28A3", "28A³"), =HYPERLINK("CSG5.html#group14F5", "14F⁵"), =HYPERLINK("CSG0.html#group1A0", "1A⁰"), =HYPERLINK("CSG0.html#group7A0", "7A⁰")</f>
        <v/>
      </c>
      <c r="N3203" t="inlineStr"/>
    </row>
    <row r="3204">
      <c r="A3204" t="inlineStr">
        <is>
          <t>28D¹³</t>
        </is>
      </c>
      <c r="B3204" t="inlineStr"/>
      <c r="C3204" t="inlineStr">
        <is>
          <t>252</t>
        </is>
      </c>
      <c r="D3204" t="inlineStr">
        <is>
          <t>2</t>
        </is>
      </c>
      <c r="E3204" t="inlineStr">
        <is>
          <t>21</t>
        </is>
      </c>
      <c r="F3204" t="inlineStr">
        <is>
          <t>0</t>
        </is>
      </c>
      <c r="G3204" t="inlineStr">
        <is>
          <t>0</t>
        </is>
      </c>
      <c r="H3204" t="inlineStr">
        <is>
          <t>7¹², 28⁶</t>
        </is>
      </c>
      <c r="I3204" t="n">
        <v>18</v>
      </c>
      <c r="J3204" t="inlineStr">
        <is>
          <t>2³, 6⁶</t>
        </is>
      </c>
      <c r="K3204">
        <f>HYPERLINK("CSG4.html#group14A4", "14A⁴"), =HYPERLINK("CSG5.html#group28A5", "28A⁵"), =HYPERLINK("CSG6.html#group28J6", "28J⁶"), =HYPERLINK("CSG7.html#group28B7", "28B⁷")</f>
        <v/>
      </c>
      <c r="L3204" t="inlineStr"/>
      <c r="M3204">
        <f>HYPERLINK("CSG4.html#group14A4", "14A⁴"), =HYPERLINK("CSG0.html#group7D0", "7D⁰"), =HYPERLINK("CSG1.html#group14B1", "14B¹"), =HYPERLINK("CSG3.html#group28A3", "28A³"), =HYPERLINK("CSG0.html#group2B0", "2B⁰"), =HYPERLINK("CSG0.html#group7G0", "7G⁰"), =HYPERLINK("CSG0.html#group4B0", "4B⁰"), =HYPERLINK("CSG5.html#group28A5", "28A⁵"), =HYPERLINK("CSG0.html#group1A0", "1A⁰"), =HYPERLINK("CSG6.html#group28J6", "28J⁶"), =HYPERLINK("CSG2.html#group14A2", "14A²"), =HYPERLINK("CSG0.html#group7C0", "7C⁰"), =HYPERLINK("CSG7.html#group28B7", "28B⁷"), =HYPERLINK("CSG2.html#group14F2", "14F²"), =HYPERLINK("CSG2.html#group28B2", "28B²"), =HYPERLINK("CSG0.html#group7A0", "7A⁰")</f>
        <v/>
      </c>
      <c r="N3204" t="inlineStr"/>
    </row>
    <row r="3205">
      <c r="A3205" t="inlineStr">
        <is>
          <t>28E¹³</t>
        </is>
      </c>
      <c r="B3205" t="inlineStr"/>
      <c r="C3205" t="inlineStr">
        <is>
          <t>252</t>
        </is>
      </c>
      <c r="D3205" t="inlineStr">
        <is>
          <t>2</t>
        </is>
      </c>
      <c r="E3205" t="inlineStr">
        <is>
          <t>21</t>
        </is>
      </c>
      <c r="F3205" t="inlineStr">
        <is>
          <t>12</t>
        </is>
      </c>
      <c r="G3205" t="inlineStr">
        <is>
          <t>0</t>
        </is>
      </c>
      <c r="H3205" t="inlineStr">
        <is>
          <t>14⁶, 28⁶</t>
        </is>
      </c>
      <c r="I3205" t="n">
        <v>12</v>
      </c>
      <c r="J3205" t="inlineStr">
        <is>
          <t>2³, 6⁶</t>
        </is>
      </c>
      <c r="K3205">
        <f>HYPERLINK("CSG4.html#group14A4", "14A⁴"), =HYPERLINK("CSG5.html#group28B5", "28B⁵"), =HYPERLINK("CSG6.html#group28I6", "28I⁶"), =HYPERLINK("CSG7.html#group28C7", "28C⁷")</f>
        <v/>
      </c>
      <c r="L3205" t="inlineStr"/>
      <c r="M3205">
        <f>HYPERLINK("CSG4.html#group14A4", "14A⁴"), =HYPERLINK("CSG0.html#group7D0", "7D⁰"), =HYPERLINK("CSG1.html#group14B1", "14B¹"), =HYPERLINK("CSG0.html#group4C0", "4C⁰"), =HYPERLINK("CSG0.html#group2B0", "2B⁰"), =HYPERLINK("CSG0.html#group7G0", "7G⁰"), =HYPERLINK("CSG6.html#group28I6", "28I⁶"), =HYPERLINK("CSG5.html#group28B5", "28B⁵"), =HYPERLINK("CSG0.html#group1A0", "1A⁰"), =HYPERLINK("CSG2.html#group28C2", "28C²"), =HYPERLINK("CSG2.html#group14A2", "14A²"), =HYPERLINK("CSG7.html#group28C7", "28C⁷"), =HYPERLINK("CSG0.html#group7C0", "7C⁰"), =HYPERLINK("CSG2.html#group14F2", "14F²"), =HYPERLINK("CSG3.html#group28B3", "28B³"), =HYPERLINK("CSG0.html#group7A0", "7A⁰")</f>
        <v/>
      </c>
      <c r="N3205" t="inlineStr"/>
    </row>
    <row r="3206">
      <c r="A3206" t="inlineStr">
        <is>
          <t>28F¹³</t>
        </is>
      </c>
      <c r="B3206" t="inlineStr"/>
      <c r="C3206" t="inlineStr">
        <is>
          <t>288</t>
        </is>
      </c>
      <c r="D3206" t="inlineStr">
        <is>
          <t>1</t>
        </is>
      </c>
      <c r="E3206" t="inlineStr">
        <is>
          <t>24</t>
        </is>
      </c>
      <c r="F3206" t="inlineStr">
        <is>
          <t>0</t>
        </is>
      </c>
      <c r="G3206" t="inlineStr">
        <is>
          <t>0</t>
        </is>
      </c>
      <c r="H3206" t="inlineStr">
        <is>
          <t>2⁶, 4⁶, 14⁶, 28⁶</t>
        </is>
      </c>
      <c r="I3206" t="n">
        <v>24</v>
      </c>
      <c r="J3206" t="inlineStr">
        <is>
          <t>1⁶, 6³</t>
        </is>
      </c>
      <c r="K3206">
        <f>HYPERLINK("CSG4.html#group14B4", "14B⁴"), =HYPERLINK("CSG4.html#group28F4", "28F⁴"), =HYPERLINK("CSG5.html#group28E5", "28E⁵"), =HYPERLINK("CSG7.html#group28D7", "28D⁷")</f>
        <v/>
      </c>
      <c r="L3206" t="inlineStr"/>
      <c r="M3206">
        <f>HYPERLINK("CSG0.html#group14C0", "14C⁰"), =HYPERLINK("CSG0.html#group2A0", "2A⁰"), =HYPERLINK("CSG4.html#group28F4", "28F⁴"), =HYPERLINK("CSG0.html#group2C0", "2C⁰"), =HYPERLINK("CSG0.html#group4C0", "4C⁰"), =HYPERLINK("CSG2.html#group14D2", "14D²"), =HYPERLINK("CSG2.html#group28D2", "28D²"), =HYPERLINK("CSG4.html#group14B4", "14B⁴"), =HYPERLINK("CSG0.html#group2B0", "2B⁰"), =HYPERLINK("CSG0.html#group7E0", "7E⁰"), =HYPERLINK("CSG2.html#group14E2", "14E²"), =HYPERLINK("CSG0.html#group4E0", "4E⁰"), =HYPERLINK("CSG0.html#group4B0", "4B⁰"), =HYPERLINK("CSG0.html#group1A0", "1A⁰"), =HYPERLINK("CSG5.html#group28E5", "28E⁵"), =HYPERLINK("CSG0.html#group7B0", "7B⁰"), =HYPERLINK("CSG1.html#group14H1", "14H¹"), =HYPERLINK("CSG1.html#group14C1", "14C¹"), =HYPERLINK("CSG0.html#group14B0", "14B⁰"), =HYPERLINK("CSG3.html#group28C3", "28C³"), =HYPERLINK("CSG7.html#group28D7", "28D⁷")</f>
        <v/>
      </c>
      <c r="N3206" t="inlineStr"/>
    </row>
    <row r="3207">
      <c r="A3207" t="inlineStr">
        <is>
          <t>30A¹³</t>
        </is>
      </c>
      <c r="B3207" t="inlineStr"/>
      <c r="C3207" t="inlineStr">
        <is>
          <t>180</t>
        </is>
      </c>
      <c r="D3207" t="inlineStr">
        <is>
          <t>1</t>
        </is>
      </c>
      <c r="E3207" t="inlineStr">
        <is>
          <t>10</t>
        </is>
      </c>
      <c r="F3207" t="inlineStr">
        <is>
          <t>0</t>
        </is>
      </c>
      <c r="G3207" t="inlineStr">
        <is>
          <t>0</t>
        </is>
      </c>
      <c r="H3207" t="inlineStr">
        <is>
          <t>30⁶</t>
        </is>
      </c>
      <c r="I3207" t="n">
        <v>6</v>
      </c>
      <c r="J3207" t="inlineStr">
        <is>
          <t>2¹, 4²</t>
        </is>
      </c>
      <c r="K3207">
        <f>HYPERLINK("CSG1.html#group6C1", "6C¹"), =HYPERLINK("CSG3.html#group10A3", "10A³"), =HYPERLINK("CSG4.html#group30B4", "30B⁴"), =HYPERLINK("CSG5.html#group30A5", "30A⁵"), =HYPERLINK("CSG5.html#group30K5", "30K⁵")</f>
        <v/>
      </c>
      <c r="L3207" t="inlineStr"/>
      <c r="M3207">
        <f>HYPERLINK("CSG0.html#group2A0", "2A⁰"), =HYPERLINK("CSG4.html#group30B4", "30B⁴"), =HYPERLINK("CSG1.html#group6C1", "6C¹"), =HYPERLINK("CSG3.html#group10A3", "10A³"), =HYPERLINK("CSG0.html#group2B0", "2B⁰"), =HYPERLINK("CSG5.html#group30A5", "30A⁵"), =HYPERLINK("CSG0.html#group1A0", "1A⁰"), =HYPERLINK("CSG1.html#group10F1", "10F¹"), =HYPERLINK("CSG5.html#group30K5", "30K⁵"), =HYPERLINK("CSG1.html#group15D1", "15D¹"), =HYPERLINK("CSG0.html#group6A0", "6A⁰"), =HYPERLINK("CSG1.html#group10C1", "10C¹"), =HYPERLINK("CSG1.html#group6A1", "6A¹"), =HYPERLINK("CSG0.html#group3A0", "3A⁰"), =HYPERLINK("CSG0.html#group5C0", "5C⁰"), =HYPERLINK("CSG0.html#group2C0", "2C⁰"), =HYPERLINK("CSG0.html#group6D0", "6D⁰")</f>
        <v/>
      </c>
      <c r="N3207" t="inlineStr"/>
    </row>
    <row r="3208">
      <c r="A3208" t="inlineStr">
        <is>
          <t>30B¹³</t>
        </is>
      </c>
      <c r="B3208" t="inlineStr"/>
      <c r="C3208" t="inlineStr">
        <is>
          <t>180</t>
        </is>
      </c>
      <c r="D3208" t="inlineStr">
        <is>
          <t>1</t>
        </is>
      </c>
      <c r="E3208" t="inlineStr">
        <is>
          <t>15</t>
        </is>
      </c>
      <c r="F3208" t="inlineStr">
        <is>
          <t>0</t>
        </is>
      </c>
      <c r="G3208" t="inlineStr">
        <is>
          <t>0</t>
        </is>
      </c>
      <c r="H3208" t="inlineStr">
        <is>
          <t>30⁶</t>
        </is>
      </c>
      <c r="I3208" t="n">
        <v>6</v>
      </c>
      <c r="J3208" t="inlineStr">
        <is>
          <t>1¹, 2¹, 4¹, 8¹</t>
        </is>
      </c>
      <c r="K3208">
        <f>HYPERLINK("CSG4.html#group15C4", "15C⁴"), =HYPERLINK("CSG4.html#group30E4", "30E⁴"), =HYPERLINK("CSG5.html#group30B5", "30B⁵"), =HYPERLINK("CSG7.html#group30A7", "30A⁷")</f>
        <v/>
      </c>
      <c r="L3208" t="inlineStr"/>
      <c r="M3208">
        <f>HYPERLINK("CSG0.html#group2A0", "2A⁰"), =HYPERLINK("CSG3.html#group30A3", "30A³"), =HYPERLINK("CSG0.html#group5A0", "5A⁰"), =HYPERLINK("CSG0.html#group6B0", "6B⁰"), =HYPERLINK("CSG2.html#group10A2", "10A²"), =HYPERLINK("CSG7.html#group30A7", "30A⁷"), =HYPERLINK("CSG1.html#group15F1", "15F¹"), =HYPERLINK("CSG0.html#group1A0", "1A⁰"), =HYPERLINK("CSG5.html#group30B5", "30B⁵"), =HYPERLINK("CSG4.html#group15C4", "15C⁴"), =HYPERLINK("CSG2.html#group30A2", "30A²"), =HYPERLINK("CSG4.html#group30E4", "30E⁴"), =HYPERLINK("CSG0.html#group10A0", "10A⁰"), =HYPERLINK("CSG2.html#group15A2", "15A²"), =HYPERLINK("CSG1.html#group6B1", "6B¹"), =HYPERLINK("CSG1.html#group30B1", "30B¹"), =HYPERLINK("CSG0.html#group5E0", "5E⁰"), =HYPERLINK("CSG0.html#group3C0", "3C⁰"), =HYPERLINK("CSG1.html#group6A1", "6A¹"), =HYPERLINK("CSG0.html#group3A0", "3A⁰"), =HYPERLINK("CSG1.html#group15A1", "15A¹"), =HYPERLINK("CSG0.html#group15A0", "15A⁰")</f>
        <v/>
      </c>
      <c r="N3208" t="inlineStr"/>
    </row>
    <row r="3209">
      <c r="A3209" t="inlineStr">
        <is>
          <t>30C¹³</t>
        </is>
      </c>
      <c r="B3209" t="inlineStr"/>
      <c r="C3209" t="inlineStr">
        <is>
          <t>180</t>
        </is>
      </c>
      <c r="D3209" t="inlineStr">
        <is>
          <t>1</t>
        </is>
      </c>
      <c r="E3209" t="inlineStr">
        <is>
          <t>15</t>
        </is>
      </c>
      <c r="F3209" t="inlineStr">
        <is>
          <t>0</t>
        </is>
      </c>
      <c r="G3209" t="inlineStr">
        <is>
          <t>0</t>
        </is>
      </c>
      <c r="H3209" t="inlineStr">
        <is>
          <t>30⁶</t>
        </is>
      </c>
      <c r="I3209" t="n">
        <v>6</v>
      </c>
      <c r="J3209" t="inlineStr">
        <is>
          <t>1¹, 2¹, 4¹, 8¹</t>
        </is>
      </c>
      <c r="K3209">
        <f>HYPERLINK("CSG1.html#group6E1", "6E¹"), =HYPERLINK("CSG5.html#group30B5", "30B⁵"), =HYPERLINK("CSG6.html#group30A6", "30A⁶"), =HYPERLINK("CSG6.html#group30B6", "30B⁶"), =HYPERLINK("CSG7.html#group30B7", "30B⁷")</f>
        <v/>
      </c>
      <c r="L3209" t="inlineStr"/>
      <c r="M3209">
        <f>HYPERLINK("CSG1.html#group6E1", "6E¹"), =HYPERLINK("CSG0.html#group2A0", "2A⁰"), =HYPERLINK("CSG3.html#group30A3", "30A³"), =HYPERLINK("CSG0.html#group5A0", "5A⁰"), =HYPERLINK("CSG0.html#group6B0", "6B⁰"), =HYPERLINK("CSG1.html#group15A1", "15A¹"), =HYPERLINK("CSG1.html#group10B1", "10B¹"), =HYPERLINK("CSG1.html#group6C1", "6C¹"), =HYPERLINK("CSG0.html#group6G0", "6G⁰"), =HYPERLINK("CSG7.html#group30B7", "30B⁷"), =HYPERLINK("CSG0.html#group2B0", "2B⁰"), =HYPERLINK("CSG2.html#group10B2", "10B²"), =HYPERLINK("CSG6.html#group30B6", "30B⁶"), =HYPERLINK("CSG0.html#group1A0", "1A⁰"), =HYPERLINK("CSG5.html#group30B5", "30B⁵"), =HYPERLINK("CSG3.html#group30D3", "30D³"), =HYPERLINK("CSG1.html#group30A1", "30A¹"), =HYPERLINK("CSG0.html#group10A0", "10A⁰"), =HYPERLINK("CSG2.html#group30A2", "30A²"), =HYPERLINK("CSG0.html#group6A0", "6A⁰"), =HYPERLINK("CSG2.html#group15A2", "15A²"), =HYPERLINK("CSG1.html#group6B1", "6B¹"), =HYPERLINK("CSG0.html#group3C0", "3C⁰"), =HYPERLINK("CSG6.html#group30A6", "30A⁶"), =HYPERLINK("CSG1.html#group6A1", "6A¹"), =HYPERLINK("CSG0.html#group6H0", "6H⁰"), =HYPERLINK("CSG0.html#group3A0", "3A⁰"), =HYPERLINK("CSG0.html#group2C0", "2C⁰"), =HYPERLINK("CSG0.html#group6D0", "6D⁰")</f>
        <v/>
      </c>
      <c r="N3209" t="inlineStr"/>
    </row>
    <row r="3210">
      <c r="A3210" t="inlineStr">
        <is>
          <t>30D¹³</t>
        </is>
      </c>
      <c r="B3210" t="inlineStr"/>
      <c r="C3210" t="inlineStr">
        <is>
          <t>180</t>
        </is>
      </c>
      <c r="D3210" t="inlineStr">
        <is>
          <t>1</t>
        </is>
      </c>
      <c r="E3210" t="inlineStr">
        <is>
          <t>15</t>
        </is>
      </c>
      <c r="F3210" t="inlineStr">
        <is>
          <t>0</t>
        </is>
      </c>
      <c r="G3210" t="inlineStr">
        <is>
          <t>0</t>
        </is>
      </c>
      <c r="H3210" t="inlineStr">
        <is>
          <t>30⁶</t>
        </is>
      </c>
      <c r="I3210" t="n">
        <v>6</v>
      </c>
      <c r="J3210" t="inlineStr">
        <is>
          <t>1¹, 2¹, 4³</t>
        </is>
      </c>
      <c r="K3210">
        <f>HYPERLINK("CSG3.html#group10B3", "10B³"), =HYPERLINK("CSG3.html#group30B3", "30B³"), =HYPERLINK("CSG4.html#group15D4", "15D⁴"), =HYPERLINK("CSG4.html#group30F4", "30F⁴"), =HYPERLINK("CSG5.html#group30A5", "30A⁵"), =HYPERLINK("CSG7.html#group30A7", "30A⁷")</f>
        <v/>
      </c>
      <c r="L3210" t="inlineStr"/>
      <c r="M3210">
        <f>HYPERLINK("CSG0.html#group2A0", "2A⁰"), =HYPERLINK("CSG3.html#group30A3", "30A³"), =HYPERLINK("CSG0.html#group5A0", "5A⁰"), =HYPERLINK("CSG4.html#group15D4", "15D⁴"), =HYPERLINK("CSG2.html#group10A2", "10A²"), =HYPERLINK("CSG7.html#group30A7", "30A⁷"), =HYPERLINK("CSG1.html#group15F1", "15F¹"), =HYPERLINK("CSG0.html#group5B0", "5B⁰"), =HYPERLINK("CSG1.html#group10A1", "10A¹"), =HYPERLINK("CSG5.html#group30A5", "30A⁵"), =HYPERLINK("CSG1.html#group10E1", "10E¹"), =HYPERLINK("CSG0.html#group1A0", "1A⁰"), =HYPERLINK("CSG3.html#group30B3", "30B³"), =HYPERLINK("CSG1.html#group15D1", "15D¹"), =HYPERLINK("CSG4.html#group30F4", "30F⁴"), =HYPERLINK("CSG0.html#group15B0", "15B⁰"), =HYPERLINK("CSG0.html#group10A0", "10A⁰"), =HYPERLINK("CSG1.html#group30B1", "30B¹"), =HYPERLINK("CSG3.html#group10B3", "10B³"), =HYPERLINK("CSG0.html#group5E0", "5E⁰"), =HYPERLINK("CSG1.html#group10C1", "10C¹"), =HYPERLINK("CSG1.html#group6A1", "6A¹"), =HYPERLINK("CSG0.html#group3A0", "3A⁰"), =HYPERLINK("CSG0.html#group5C0", "5C⁰"), =HYPERLINK("CSG0.html#group5G0", "5G⁰"), =HYPERLINK("CSG1.html#group15A1", "15A¹"), =HYPERLINK("CSG0.html#group15A0", "15A⁰")</f>
        <v/>
      </c>
      <c r="N3210" t="inlineStr"/>
    </row>
    <row r="3211">
      <c r="A3211" t="inlineStr">
        <is>
          <t>30E¹³</t>
        </is>
      </c>
      <c r="B3211" t="inlineStr"/>
      <c r="C3211" t="inlineStr">
        <is>
          <t>180</t>
        </is>
      </c>
      <c r="D3211" t="inlineStr">
        <is>
          <t>1</t>
        </is>
      </c>
      <c r="E3211" t="inlineStr">
        <is>
          <t>30</t>
        </is>
      </c>
      <c r="F3211" t="inlineStr">
        <is>
          <t>0</t>
        </is>
      </c>
      <c r="G3211" t="inlineStr">
        <is>
          <t>0</t>
        </is>
      </c>
      <c r="H3211" t="inlineStr">
        <is>
          <t>30⁶</t>
        </is>
      </c>
      <c r="I3211" t="n">
        <v>6</v>
      </c>
      <c r="J3211" t="inlineStr">
        <is>
          <t>2¹, 4¹, 8³</t>
        </is>
      </c>
      <c r="K3211">
        <f>HYPERLINK("CSG3.html#group10B3", "10B³"), =HYPERLINK("CSG3.html#group30C3", "30C³"), =HYPERLINK("CSG4.html#group30B4", "30B⁴"), =HYPERLINK("CSG7.html#group30C7", "30C⁷")</f>
        <v/>
      </c>
      <c r="L3211" t="inlineStr"/>
      <c r="M3211">
        <f>HYPERLINK("CSG0.html#group2A0", "2A⁰"), =HYPERLINK("CSG0.html#group5A0", "5A⁰"), =HYPERLINK("CSG4.html#group30B4", "30B⁴"), =HYPERLINK("CSG2.html#group10A2", "10A²"), =HYPERLINK("CSG3.html#group30C3", "30C³"), =HYPERLINK("CSG0.html#group5B0", "5B⁰"), =HYPERLINK("CSG1.html#group10A1", "10A¹"), =HYPERLINK("CSG1.html#group10E1", "10E¹"), =HYPERLINK("CSG0.html#group1A0", "1A⁰"), =HYPERLINK("CSG7.html#group30C7", "30C⁷"), =HYPERLINK("CSG2.html#group30B2", "30B²"), =HYPERLINK("CSG1.html#group30A1", "30A¹"), =HYPERLINK("CSG0.html#group10A0", "10A⁰"), =HYPERLINK("CSG0.html#group6A0", "6A⁰"), =HYPERLINK("CSG3.html#group10B3", "10B³"), =HYPERLINK("CSG0.html#group5E0", "5E⁰"), =HYPERLINK("CSG1.html#group10C1", "10C¹"), =HYPERLINK("CSG0.html#group5C0", "5C⁰"), =HYPERLINK("CSG0.html#group5G0", "5G⁰")</f>
        <v/>
      </c>
      <c r="N3211" t="inlineStr"/>
    </row>
    <row r="3212">
      <c r="A3212" t="inlineStr">
        <is>
          <t>30F¹³</t>
        </is>
      </c>
      <c r="B3212" t="inlineStr"/>
      <c r="C3212" t="inlineStr">
        <is>
          <t>180</t>
        </is>
      </c>
      <c r="D3212" t="inlineStr">
        <is>
          <t>1</t>
        </is>
      </c>
      <c r="E3212" t="inlineStr">
        <is>
          <t>30</t>
        </is>
      </c>
      <c r="F3212" t="inlineStr">
        <is>
          <t>0</t>
        </is>
      </c>
      <c r="G3212" t="inlineStr">
        <is>
          <t>0</t>
        </is>
      </c>
      <c r="H3212" t="inlineStr">
        <is>
          <t>30⁶</t>
        </is>
      </c>
      <c r="I3212" t="n">
        <v>6</v>
      </c>
      <c r="J3212" t="inlineStr">
        <is>
          <t>2¹, 4³, 8²</t>
        </is>
      </c>
      <c r="K3212">
        <f>HYPERLINK("CSG5.html#group30B5", "30B⁵"), =HYPERLINK("CSG7.html#group30D7", "30D⁷")</f>
        <v/>
      </c>
      <c r="L3212" t="inlineStr"/>
      <c r="M3212">
        <f>HYPERLINK("CSG0.html#group2A0", "2A⁰"), =HYPERLINK("CSG3.html#group30A3", "30A³"), =HYPERLINK("CSG0.html#group5A0", "5A⁰"), =HYPERLINK("CSG0.html#group6B0", "6B⁰"), =HYPERLINK("CSG0.html#group1A0", "1A⁰"), =HYPERLINK("CSG5.html#group30B5", "30B⁵"), =HYPERLINK("CSG2.html#group30B2", "30B²"), =HYPERLINK("CSG0.html#group10A0", "10A⁰"), =HYPERLINK("CSG2.html#group30A2", "30A²"), =HYPERLINK("CSG2.html#group15A2", "15A²"), =HYPERLINK("CSG1.html#group6B1", "6B¹"), =HYPERLINK("CSG0.html#group10E0", "10E⁰"), =HYPERLINK("CSG7.html#group30D7", "30D⁷"), =HYPERLINK("CSG0.html#group3C0", "3C⁰"), =HYPERLINK("CSG1.html#group6A1", "6A¹"), =HYPERLINK("CSG0.html#group3A0", "3A⁰"), =HYPERLINK("CSG1.html#group15A1", "15A¹")</f>
        <v/>
      </c>
      <c r="N3212" t="inlineStr"/>
    </row>
    <row r="3213">
      <c r="A3213" t="inlineStr">
        <is>
          <t>30G¹³</t>
        </is>
      </c>
      <c r="B3213" t="inlineStr"/>
      <c r="C3213" t="inlineStr">
        <is>
          <t>180</t>
        </is>
      </c>
      <c r="D3213" t="inlineStr">
        <is>
          <t>1</t>
        </is>
      </c>
      <c r="E3213" t="inlineStr">
        <is>
          <t>45</t>
        </is>
      </c>
      <c r="F3213" t="inlineStr">
        <is>
          <t>0</t>
        </is>
      </c>
      <c r="G3213" t="inlineStr">
        <is>
          <t>0</t>
        </is>
      </c>
      <c r="H3213" t="inlineStr">
        <is>
          <t>30⁶</t>
        </is>
      </c>
      <c r="I3213" t="n">
        <v>6</v>
      </c>
      <c r="J3213" t="inlineStr">
        <is>
          <t>1¹, 2², 4⁴, 8³</t>
        </is>
      </c>
      <c r="K3213">
        <f>HYPERLINK("CSG3.html#group15H3", "15H³"), =HYPERLINK("CSG5.html#group30L5", "30L⁵"), =HYPERLINK("CSG7.html#group30A7", "30A⁷")</f>
        <v/>
      </c>
      <c r="L3213" t="inlineStr"/>
      <c r="M3213">
        <f>HYPERLINK("CSG0.html#group2A0", "2A⁰"), =HYPERLINK("CSG3.html#group30A3", "30A³"), =HYPERLINK("CSG0.html#group5A0", "5A⁰"), =HYPERLINK("CSG2.html#group10A2", "10A²"), =HYPERLINK("CSG7.html#group30A7", "30A⁷"), =HYPERLINK("CSG1.html#group15A1", "15A¹"), =HYPERLINK("CSG1.html#group15F1", "15F¹"), =HYPERLINK("CSG0.html#group1A0", "1A⁰"), =HYPERLINK("CSG0.html#group10A0", "10A⁰"), =HYPERLINK("CSG5.html#group30L5", "30L⁵"), =HYPERLINK("CSG1.html#group30B1", "30B¹"), =HYPERLINK("CSG0.html#group5E0", "5E⁰"), =HYPERLINK("CSG1.html#group6A1", "6A¹"), =HYPERLINK("CSG0.html#group3A0", "3A⁰"), =HYPERLINK("CSG3.html#group15H3", "15H³"), =HYPERLINK("CSG0.html#group15A0", "15A⁰")</f>
        <v/>
      </c>
      <c r="N3213" t="inlineStr"/>
    </row>
    <row r="3214">
      <c r="A3214" t="inlineStr">
        <is>
          <t>30H¹³</t>
        </is>
      </c>
      <c r="B3214" t="inlineStr"/>
      <c r="C3214" t="inlineStr">
        <is>
          <t>216</t>
        </is>
      </c>
      <c r="D3214" t="inlineStr">
        <is>
          <t>1</t>
        </is>
      </c>
      <c r="E3214" t="inlineStr">
        <is>
          <t>6</t>
        </is>
      </c>
      <c r="F3214" t="inlineStr">
        <is>
          <t>0</t>
        </is>
      </c>
      <c r="G3214" t="inlineStr">
        <is>
          <t>0</t>
        </is>
      </c>
      <c r="H3214" t="inlineStr">
        <is>
          <t>6⁶, 30⁶</t>
        </is>
      </c>
      <c r="I3214" t="n">
        <v>12</v>
      </c>
      <c r="J3214" t="inlineStr">
        <is>
          <t>1², 4¹</t>
        </is>
      </c>
      <c r="K3214">
        <f>HYPERLINK("CSG1.html#group10K1", "10K¹"), =HYPERLINK("CSG4.html#group30H4", "30H⁴"), =HYPERLINK("CSG5.html#group30C5", "30C⁵"), =HYPERLINK("CSG5.html#group30D5", "30D⁵"), =HYPERLINK("CSG6.html#group30C6", "30C⁶"), =HYPERLINK("CSG7.html#group30F7", "30F⁷")</f>
        <v/>
      </c>
      <c r="L3214" t="inlineStr"/>
      <c r="M3214">
        <f>HYPERLINK("CSG0.html#group30A0", "30A⁰"), =HYPERLINK("CSG0.html#group2A0", "2A⁰"), =HYPERLINK("CSG5.html#group30C5", "30C⁵"), =HYPERLINK("CSG0.html#group10G0", "10G⁰"), =HYPERLINK("CSG3.html#group30C3", "30C³"), =HYPERLINK("CSG1.html#group6C1", "6C¹"), =HYPERLINK("CSG6.html#group30C6", "30C⁶"), =HYPERLINK("CSG0.html#group5B0", "5B⁰"), =HYPERLINK("CSG0.html#group5D0", "5D⁰"), =HYPERLINK("CSG1.html#group10A1", "10A¹"), =HYPERLINK("CSG0.html#group2B0", "2B⁰"), =HYPERLINK("CSG1.html#group10D1", "10D¹"), =HYPERLINK("CSG0.html#group1A0", "1A⁰"), =HYPERLINK("CSG0.html#group10F0", "10F⁰"), =HYPERLINK("CSG3.html#group30B3", "30B³"), =HYPERLINK("CSG0.html#group10B0", "10B⁰"), =HYPERLINK("CSG0.html#group15B0", "15B⁰"), =HYPERLINK("CSG2.html#group30E2", "30E²"), =HYPERLINK("CSG0.html#group6A0", "6A⁰"), =HYPERLINK("CSG7.html#group30F7", "30F⁷"), =HYPERLINK("CSG0.html#group6D0", "6D⁰"), =HYPERLINK("CSG2.html#group15B2", "15B²"), =HYPERLINK("CSG0.html#group10C0", "10C⁰"), =HYPERLINK("CSG1.html#group6A1", "6A¹"), =HYPERLINK("CSG4.html#group30H4", "30H⁴"), =HYPERLINK("CSG1.html#group10K1", "10K¹"), =HYPERLINK("CSG0.html#group3A0", "3A⁰"), =HYPERLINK("CSG0.html#group2C0", "2C⁰"), =HYPERLINK("CSG5.html#group30D5", "30D⁵"), =HYPERLINK("CSG1.html#group10G1", "10G¹")</f>
        <v/>
      </c>
      <c r="N3214" t="inlineStr"/>
    </row>
    <row r="3215">
      <c r="A3215" t="inlineStr">
        <is>
          <t>30I¹³</t>
        </is>
      </c>
      <c r="B3215" t="inlineStr"/>
      <c r="C3215" t="inlineStr">
        <is>
          <t>216</t>
        </is>
      </c>
      <c r="D3215" t="inlineStr">
        <is>
          <t>1</t>
        </is>
      </c>
      <c r="E3215" t="inlineStr">
        <is>
          <t>18</t>
        </is>
      </c>
      <c r="F3215" t="inlineStr">
        <is>
          <t>0</t>
        </is>
      </c>
      <c r="G3215" t="inlineStr">
        <is>
          <t>0</t>
        </is>
      </c>
      <c r="H3215" t="inlineStr">
        <is>
          <t>6⁶, 30⁶</t>
        </is>
      </c>
      <c r="I3215" t="n">
        <v>12</v>
      </c>
      <c r="J3215" t="inlineStr">
        <is>
          <t>1², 2², 4¹, 8¹</t>
        </is>
      </c>
      <c r="K3215">
        <f>HYPERLINK("CSG4.html#group30I4", "30I⁴"), =HYPERLINK("CSG5.html#group30F5", "30F⁵"), =HYPERLINK("CSG6.html#group30D6", "30D⁶"), =HYPERLINK("CSG7.html#group30F7", "30F⁷")</f>
        <v/>
      </c>
      <c r="L3215" t="inlineStr"/>
      <c r="M3215">
        <f>HYPERLINK("CSG0.html#group2A0", "2A⁰"), =HYPERLINK("CSG3.html#group30C3", "30C³"), =HYPERLINK("CSG1.html#group6C1", "6C¹"), =HYPERLINK("CSG0.html#group5B0", "5B⁰"), =HYPERLINK("CSG1.html#group10A1", "10A¹"), =HYPERLINK("CSG0.html#group2B0", "2B⁰"), =HYPERLINK("CSG0.html#group1A0", "1A⁰"), =HYPERLINK("CSG5.html#group30F5", "30F⁵"), =HYPERLINK("CSG3.html#group30B3", "30B³"), =HYPERLINK("CSG0.html#group15B0", "15B⁰"), =HYPERLINK("CSG6.html#group30D6", "30D⁶"), =HYPERLINK("CSG2.html#group30E2", "30E²"), =HYPERLINK("CSG7.html#group30F7", "30F⁷"), =HYPERLINK("CSG0.html#group6A0", "6A⁰"), =HYPERLINK("CSG4.html#group30I4", "30I⁴"), =HYPERLINK("CSG0.html#group10C0", "10C⁰"), =HYPERLINK("CSG1.html#group6A1", "6A¹"), =HYPERLINK("CSG0.html#group15C0", "15C⁰"), =HYPERLINK("CSG0.html#group3A0", "3A⁰"), =HYPERLINK("CSG0.html#group2C0", "2C⁰"), =HYPERLINK("CSG0.html#group6D0", "6D⁰"), =HYPERLINK("CSG1.html#group10G1", "10G¹"), =HYPERLINK("CSG2.html#group30C2", "30C²")</f>
        <v/>
      </c>
      <c r="N3215" t="inlineStr"/>
    </row>
    <row r="3216">
      <c r="A3216" t="inlineStr">
        <is>
          <t>30J¹³</t>
        </is>
      </c>
      <c r="B3216" t="inlineStr"/>
      <c r="C3216" t="inlineStr">
        <is>
          <t>216</t>
        </is>
      </c>
      <c r="D3216" t="inlineStr">
        <is>
          <t>1</t>
        </is>
      </c>
      <c r="E3216" t="inlineStr">
        <is>
          <t>18</t>
        </is>
      </c>
      <c r="F3216" t="inlineStr">
        <is>
          <t>0</t>
        </is>
      </c>
      <c r="G3216" t="inlineStr">
        <is>
          <t>0</t>
        </is>
      </c>
      <c r="H3216" t="inlineStr">
        <is>
          <t>6⁶, 30⁶</t>
        </is>
      </c>
      <c r="I3216" t="n">
        <v>12</v>
      </c>
      <c r="J3216" t="inlineStr">
        <is>
          <t>1², 2², 4¹, 8¹</t>
        </is>
      </c>
      <c r="K3216">
        <f>HYPERLINK("CSG1.html#group6E1", "6E¹"), =HYPERLINK("CSG5.html#group30H5", "30H⁵"), =HYPERLINK("CSG5.html#group30O5", "30O⁵"), =HYPERLINK("CSG5.html#group30P5", "30P⁵"), =HYPERLINK("CSG7.html#group30F7", "30F⁷")</f>
        <v/>
      </c>
      <c r="L3216" t="inlineStr"/>
      <c r="M3216">
        <f>HYPERLINK("CSG1.html#group6E1", "6E¹"), =HYPERLINK("CSG0.html#group2A0", "2A⁰"), =HYPERLINK("CSG0.html#group6B0", "6B⁰"), =HYPERLINK("CSG3.html#group30C3", "30C³"), =HYPERLINK("CSG1.html#group30C1", "30C¹"), =HYPERLINK("CSG1.html#group6C1", "6C¹"), =HYPERLINK("CSG0.html#group5B0", "5B⁰"), =HYPERLINK("CSG0.html#group6G0", "6G⁰"), =HYPERLINK("CSG1.html#group10A1", "10A¹"), =HYPERLINK("CSG0.html#group2B0", "2B⁰"), =HYPERLINK("CSG5.html#group30O5", "30O⁵"), =HYPERLINK("CSG0.html#group1A0", "1A⁰"), =HYPERLINK("CSG5.html#group30P5", "30P⁵"), =HYPERLINK("CSG3.html#group30B3", "30B³"), =HYPERLINK("CSG5.html#group30H5", "30H⁵"), =HYPERLINK("CSG0.html#group15B0", "15B⁰"), =HYPERLINK("CSG0.html#group6A0", "6A⁰"), =HYPERLINK("CSG2.html#group30E2", "30E²"), =HYPERLINK("CSG7.html#group30F7", "30F⁷"), =HYPERLINK("CSG1.html#group6B1", "6B¹"), =HYPERLINK("CSG1.html#group15E1", "15E¹"), =HYPERLINK("CSG0.html#group10C0", "10C⁰"), =HYPERLINK("CSG0.html#group3C0", "3C⁰"), =HYPERLINK("CSG1.html#group6A1", "6A¹"), =HYPERLINK("CSG0.html#group6H0", "6H⁰"), =HYPERLINK("CSG0.html#group3A0", "3A⁰"), =HYPERLINK("CSG0.html#group2C0", "2C⁰"), =HYPERLINK("CSG0.html#group6D0", "6D⁰"), =HYPERLINK("CSG1.html#group10G1", "10G¹")</f>
        <v/>
      </c>
      <c r="N3216" t="inlineStr"/>
    </row>
    <row r="3217">
      <c r="A3217" t="inlineStr">
        <is>
          <t>30K¹³</t>
        </is>
      </c>
      <c r="B3217" t="inlineStr"/>
      <c r="C3217" t="inlineStr">
        <is>
          <t>216</t>
        </is>
      </c>
      <c r="D3217" t="inlineStr">
        <is>
          <t>1</t>
        </is>
      </c>
      <c r="E3217" t="inlineStr">
        <is>
          <t>54</t>
        </is>
      </c>
      <c r="F3217" t="inlineStr">
        <is>
          <t>0</t>
        </is>
      </c>
      <c r="G3217" t="inlineStr">
        <is>
          <t>0</t>
        </is>
      </c>
      <c r="H3217" t="inlineStr">
        <is>
          <t>6⁶, 30⁶</t>
        </is>
      </c>
      <c r="I3217" t="n">
        <v>12</v>
      </c>
      <c r="J3217" t="inlineStr">
        <is>
          <t>1⁶, 2⁶, 4³, 8³</t>
        </is>
      </c>
      <c r="K3217">
        <f>HYPERLINK("CSG5.html#group30E5", "30E⁵"), =HYPERLINK("CSG5.html#group30O5", "30O⁵"), =HYPERLINK("CSG6.html#group30D6", "30D⁶")</f>
        <v/>
      </c>
      <c r="L3217" t="inlineStr"/>
      <c r="M3217">
        <f>HYPERLINK("CSG0.html#group5B0", "5B⁰"), =HYPERLINK("CSG0.html#group6G0", "6G⁰"), =HYPERLINK("CSG0.html#group2B0", "2B⁰"), =HYPERLINK("CSG5.html#group30O5", "30O⁵"), =HYPERLINK("CSG0.html#group1A0", "1A⁰"), =HYPERLINK("CSG0.html#group15B0", "15B⁰"), =HYPERLINK("CSG6.html#group30D6", "30D⁶"), =HYPERLINK("CSG2.html#group30E2", "30E²"), =HYPERLINK("CSG5.html#group30E5", "30E⁵"), =HYPERLINK("CSG0.html#group10C0", "10C⁰"), =HYPERLINK("CSG0.html#group3C0", "3C⁰"), =HYPERLINK("CSG0.html#group3A0", "3A⁰"), =HYPERLINK("CSG0.html#group6D0", "6D⁰"), =HYPERLINK("CSG1.html#group15E1", "15E¹"), =HYPERLINK("CSG2.html#group30C2", "30C²")</f>
        <v/>
      </c>
      <c r="N3217" t="inlineStr"/>
    </row>
    <row r="3218">
      <c r="A3218" t="inlineStr">
        <is>
          <t>30L¹³</t>
        </is>
      </c>
      <c r="B3218" t="inlineStr"/>
      <c r="C3218" t="inlineStr">
        <is>
          <t>216</t>
        </is>
      </c>
      <c r="D3218" t="inlineStr">
        <is>
          <t>1</t>
        </is>
      </c>
      <c r="E3218" t="inlineStr">
        <is>
          <t>54</t>
        </is>
      </c>
      <c r="F3218" t="inlineStr">
        <is>
          <t>0</t>
        </is>
      </c>
      <c r="G3218" t="inlineStr">
        <is>
          <t>0</t>
        </is>
      </c>
      <c r="H3218" t="inlineStr">
        <is>
          <t>6⁶, 30⁶</t>
        </is>
      </c>
      <c r="I3218" t="n">
        <v>12</v>
      </c>
      <c r="J3218" t="inlineStr">
        <is>
          <t>1⁶, 2⁶, 4³, 8³</t>
        </is>
      </c>
      <c r="K3218">
        <f>HYPERLINK("CSG5.html#group30G5", "30G⁵"), =HYPERLINK("CSG5.html#group30P5", "30P⁵"), =HYPERLINK("CSG6.html#group30C6", "30C⁶"), =HYPERLINK("CSG6.html#group30D6", "30D⁶")</f>
        <v/>
      </c>
      <c r="L3218" t="inlineStr"/>
      <c r="M3218">
        <f>HYPERLINK("CSG0.html#group6B0", "6B⁰"), =HYPERLINK("CSG6.html#group30C6", "30C⁶"), =HYPERLINK("CSG0.html#group5B0", "5B⁰"), =HYPERLINK("CSG0.html#group5D0", "5D⁰"), =HYPERLINK("CSG5.html#group30G5", "30G⁵"), =HYPERLINK("CSG0.html#group2B0", "2B⁰"), =HYPERLINK("CSG0.html#group1A0", "1A⁰"), =HYPERLINK("CSG5.html#group30P5", "30P⁵"), =HYPERLINK("CSG0.html#group10F0", "10F⁰"), =HYPERLINK("CSG0.html#group15B0", "15B⁰"), =HYPERLINK("CSG6.html#group30D6", "30D⁶"), =HYPERLINK("CSG2.html#group30E2", "30E²"), =HYPERLINK("CSG2.html#group15B2", "15B²"), =HYPERLINK("CSG0.html#group10C0", "10C⁰"), =HYPERLINK("CSG0.html#group6H0", "6H⁰"), =HYPERLINK("CSG0.html#group3A0", "3A⁰"), =HYPERLINK("CSG0.html#group6D0", "6D⁰"), =HYPERLINK("CSG1.html#group30C1", "30C¹"), =HYPERLINK("CSG2.html#group30C2", "30C²")</f>
        <v/>
      </c>
      <c r="N3218" t="inlineStr"/>
    </row>
    <row r="3219">
      <c r="A3219" t="inlineStr">
        <is>
          <t>30M¹³</t>
        </is>
      </c>
      <c r="B3219" t="inlineStr"/>
      <c r="C3219" t="inlineStr">
        <is>
          <t>240</t>
        </is>
      </c>
      <c r="D3219" t="inlineStr">
        <is>
          <t>1</t>
        </is>
      </c>
      <c r="E3219" t="inlineStr">
        <is>
          <t>30</t>
        </is>
      </c>
      <c r="F3219" t="inlineStr">
        <is>
          <t>16</t>
        </is>
      </c>
      <c r="G3219" t="inlineStr">
        <is>
          <t>0</t>
        </is>
      </c>
      <c r="H3219" t="inlineStr">
        <is>
          <t>30⁸</t>
        </is>
      </c>
      <c r="I3219" t="n">
        <v>8</v>
      </c>
      <c r="J3219" t="inlineStr">
        <is>
          <t>2¹, 4³, 8²</t>
        </is>
      </c>
      <c r="K3219">
        <f>HYPERLINK("CSG5.html#group15A5", "15A⁵"), =HYPERLINK("CSG5.html#group30Q5", "30Q⁵"), =HYPERLINK("CSG7.html#group30I7", "30I⁷"), =HYPERLINK("CSG7.html#group30J7", "30J⁷"), =HYPERLINK("CSG7.html#group30N7", "30N⁷")</f>
        <v/>
      </c>
      <c r="L3219" t="inlineStr"/>
      <c r="M3219">
        <f>HYPERLINK("CSG0.html#group6B0", "6B⁰"), =HYPERLINK("CSG7.html#group30I7", "30I⁷"), =HYPERLINK("CSG0.html#group10D0", "10D⁰"), =HYPERLINK("CSG2.html#group15D2", "15D²"), =HYPERLINK("CSG5.html#group15A5", "15A⁵"), =HYPERLINK("CSG3.html#group15C3", "15C³"), =HYPERLINK("CSG3.html#group30H3", "30H³"), =HYPERLINK("CSG2.html#group30F2", "30F²"), =HYPERLINK("CSG0.html#group1A0", "1A⁰"), =HYPERLINK("CSG7.html#group30J7", "30J⁷"), =HYPERLINK("CSG5.html#group30Q5", "30Q⁵"), =HYPERLINK("CSG1.html#group15D1", "15D¹"), =HYPERLINK("CSG4.html#group30C4", "30C⁴"), =HYPERLINK("CSG0.html#group6E0", "6E⁰"), =HYPERLINK("CSG7.html#group30N7", "30N⁷"), =HYPERLINK("CSG0.html#group3C0", "3C⁰"), =HYPERLINK("CSG0.html#group3A0", "3A⁰"), =HYPERLINK("CSG0.html#group5C0", "5C⁰")</f>
        <v/>
      </c>
      <c r="N3219" t="inlineStr"/>
    </row>
    <row r="3220">
      <c r="A3220" t="inlineStr">
        <is>
          <t>30N¹³</t>
        </is>
      </c>
      <c r="B3220" t="inlineStr"/>
      <c r="C3220" t="inlineStr">
        <is>
          <t>240</t>
        </is>
      </c>
      <c r="D3220" t="inlineStr">
        <is>
          <t>1</t>
        </is>
      </c>
      <c r="E3220" t="inlineStr">
        <is>
          <t>120</t>
        </is>
      </c>
      <c r="F3220" t="inlineStr">
        <is>
          <t>0</t>
        </is>
      </c>
      <c r="G3220" t="inlineStr">
        <is>
          <t>0</t>
        </is>
      </c>
      <c r="H3220" t="inlineStr">
        <is>
          <t>5⁴, 10⁴, 15⁴, 30⁴</t>
        </is>
      </c>
      <c r="I3220" t="n">
        <v>16</v>
      </c>
      <c r="J3220" t="inlineStr">
        <is>
          <t>2⁶, 4¹⁵, 8⁶</t>
        </is>
      </c>
      <c r="K3220">
        <f>HYPERLINK("CSG2.html#group10D2", "10D²"), =HYPERLINK("CSG3.html#group15G3", "15G³"), =HYPERLINK("CSG4.html#group30D4", "30D⁴"), =HYPERLINK("CSG7.html#group30L7", "30L⁷")</f>
        <v/>
      </c>
      <c r="L3220" t="inlineStr"/>
      <c r="M3220">
        <f>HYPERLINK("CSG0.html#group3B0", "3B⁰"), =HYPERLINK("CSG0.html#group5A0", "5A⁰"), =HYPERLINK("CSG1.html#group10B1", "10B¹"), =HYPERLINK("CSG0.html#group5F0", "5F⁰"), =HYPERLINK("CSG0.html#group2B0", "2B⁰"), =HYPERLINK("CSG7.html#group30L7", "30L⁷"), =HYPERLINK("CSG0.html#group1A0", "1A⁰"), =HYPERLINK("CSG2.html#group10D2", "10D²"), =HYPERLINK("CSG1.html#group10F1", "10F¹"), =HYPERLINK("CSG4.html#group30D4", "30D⁴"), =HYPERLINK("CSG3.html#group15G3", "15G³"), =HYPERLINK("CSG0.html#group6F0", "6F⁰"), =HYPERLINK("CSG1.html#group15B1", "15B¹"), =HYPERLINK("CSG2.html#group15C2", "15C²"), =HYPERLINK("CSG0.html#group5C0", "5C⁰")</f>
        <v/>
      </c>
      <c r="N3220" t="inlineStr"/>
    </row>
    <row r="3221">
      <c r="A3221" t="inlineStr">
        <is>
          <t>30O¹³</t>
        </is>
      </c>
      <c r="B3221" t="inlineStr"/>
      <c r="C3221" t="inlineStr">
        <is>
          <t>240</t>
        </is>
      </c>
      <c r="D3221" t="inlineStr">
        <is>
          <t>2</t>
        </is>
      </c>
      <c r="E3221" t="inlineStr">
        <is>
          <t>60</t>
        </is>
      </c>
      <c r="F3221" t="inlineStr">
        <is>
          <t>0</t>
        </is>
      </c>
      <c r="G3221" t="inlineStr">
        <is>
          <t>12</t>
        </is>
      </c>
      <c r="H3221" t="inlineStr">
        <is>
          <t>30⁸</t>
        </is>
      </c>
      <c r="I3221" t="n">
        <v>8</v>
      </c>
      <c r="J3221" t="inlineStr">
        <is>
          <t>8¹⁵</t>
        </is>
      </c>
      <c r="K3221">
        <f>HYPERLINK("CSG4.html#group15E4", "15E⁴"), =HYPERLINK("CSG6.html#group30F6", "30F⁶"), =HYPERLINK("CSG7.html#group30O7", "30O⁷")</f>
        <v/>
      </c>
      <c r="L3221" t="inlineStr"/>
      <c r="M3221">
        <f>HYPERLINK("CSG0.html#group2A0", "2A⁰"), =HYPERLINK("CSG2.html#group15E2", "15E²"), =HYPERLINK("CSG0.html#group5A0", "5A⁰"), =HYPERLINK("CSG4.html#group15E4", "15E⁴"), =HYPERLINK("CSG0.html#group10A0", "10A⁰"), =HYPERLINK("CSG1.html#group30B1", "30B¹"), =HYPERLINK("CSG0.html#group1A0", "1A⁰"), =HYPERLINK("CSG7.html#group30O7", "30O⁷"), =HYPERLINK("CSG6.html#group30F6", "30F⁶"), =HYPERLINK("CSG0.html#group15A0", "15A⁰")</f>
        <v/>
      </c>
      <c r="N3221" t="inlineStr"/>
    </row>
    <row r="3222">
      <c r="A3222" t="inlineStr">
        <is>
          <t>30P¹³</t>
        </is>
      </c>
      <c r="B3222" t="inlineStr"/>
      <c r="C3222" t="inlineStr">
        <is>
          <t>288</t>
        </is>
      </c>
      <c r="D3222" t="inlineStr">
        <is>
          <t>1</t>
        </is>
      </c>
      <c r="E3222" t="inlineStr">
        <is>
          <t>24</t>
        </is>
      </c>
      <c r="F3222" t="inlineStr">
        <is>
          <t>0</t>
        </is>
      </c>
      <c r="G3222" t="inlineStr">
        <is>
          <t>0</t>
        </is>
      </c>
      <c r="H3222" t="inlineStr">
        <is>
          <t>2⁶, 6⁶, 10⁶, 30⁶</t>
        </is>
      </c>
      <c r="I3222" t="n">
        <v>24</v>
      </c>
      <c r="J3222" t="inlineStr">
        <is>
          <t>1⁴, 2², 4², 8¹</t>
        </is>
      </c>
      <c r="K3222">
        <f>HYPERLINK("CSG1.html#group10K1", "10K¹"), =HYPERLINK("CSG5.html#group30N5", "30N⁵"), =HYPERLINK("CSG5.html#group30S5", "30S⁵"), =HYPERLINK("CSG7.html#group30Q7", "30Q⁷"), =HYPERLINK("CSG7.html#group30S7", "30S⁷")</f>
        <v/>
      </c>
      <c r="L3222" t="inlineStr"/>
      <c r="M3222">
        <f>HYPERLINK("CSG7.html#group30Q7", "30Q⁷"), =HYPERLINK("CSG0.html#group3B0", "3B⁰"), =HYPERLINK("CSG0.html#group2A0", "2A⁰"), =HYPERLINK("CSG0.html#group10G0", "10G⁰"), =HYPERLINK("CSG0.html#group6I0", "6I⁰"), =HYPERLINK("CSG0.html#group6C0", "6C⁰"), =HYPERLINK("CSG5.html#group30N5", "30N⁵"), =HYPERLINK("CSG0.html#group5B0", "5B⁰"), =HYPERLINK("CSG1.html#group10A1", "10A¹"), =HYPERLINK("CSG1.html#group15G1", "15G¹"), =HYPERLINK("CSG0.html#group2B0", "2B⁰"), =HYPERLINK("CSG0.html#group5D0", "5D⁰"), =HYPERLINK("CSG7.html#group30S7", "30S⁷"), =HYPERLINK("CSG3.html#group30G3", "30G³"), =HYPERLINK("CSG1.html#group10D1", "10D¹"), =HYPERLINK("CSG0.html#group1A0", "1A⁰"), =HYPERLINK("CSG0.html#group10F0", "10F⁰"), =HYPERLINK("CSG0.html#group10B0", "10B⁰"), =HYPERLINK("CSG1.html#group15C1", "15C¹"), =HYPERLINK("CSG3.html#group30F3", "30F³"), =HYPERLINK("CSG0.html#group10C0", "10C⁰"), =HYPERLINK("CSG5.html#group30S5", "30S⁵"), =HYPERLINK("CSG3.html#group30K3", "30K³"), =HYPERLINK("CSG1.html#group10K1", "10K¹"), =HYPERLINK("CSG0.html#group6F0", "6F⁰"), =HYPERLINK("CSG0.html#group2C0", "2C⁰"), =HYPERLINK("CSG1.html#group10G1", "10G¹")</f>
        <v/>
      </c>
      <c r="N3222" t="inlineStr"/>
    </row>
    <row r="3223">
      <c r="A3223" t="inlineStr">
        <is>
          <t>30Q¹³</t>
        </is>
      </c>
      <c r="B3223" t="inlineStr"/>
      <c r="C3223" t="inlineStr">
        <is>
          <t>288</t>
        </is>
      </c>
      <c r="D3223" t="inlineStr">
        <is>
          <t>1</t>
        </is>
      </c>
      <c r="E3223" t="inlineStr">
        <is>
          <t>36</t>
        </is>
      </c>
      <c r="F3223" t="inlineStr">
        <is>
          <t>16</t>
        </is>
      </c>
      <c r="G3223" t="inlineStr">
        <is>
          <t>0</t>
        </is>
      </c>
      <c r="H3223" t="inlineStr">
        <is>
          <t>6⁸, 30⁸</t>
        </is>
      </c>
      <c r="I3223" t="n">
        <v>16</v>
      </c>
      <c r="J3223" t="inlineStr">
        <is>
          <t>2⁶, 8³</t>
        </is>
      </c>
      <c r="K3223">
        <f>HYPERLINK("CSG3.html#group15I3", "15I³"), =HYPERLINK("CSG5.html#group30R5", "30R⁵"), =HYPERLINK("CSG7.html#group30R7", "30R⁷")</f>
        <v/>
      </c>
      <c r="L3223" t="inlineStr"/>
      <c r="M3223">
        <f>HYPERLINK("CSG0.html#group30A0", "30A⁰"), =HYPERLINK("CSG3.html#group30L3", "30L³"), =HYPERLINK("CSG0.html#group6B0", "6B⁰"), =HYPERLINK("CSG3.html#group30I3", "30I³"), =HYPERLINK("CSG1.html#group30C1", "30C¹"), =HYPERLINK("CSG3.html#group30J3", "30J³"), =HYPERLINK("CSG0.html#group5B0", "5B⁰"), =HYPERLINK("CSG1.html#group15H1", "15H¹"), =HYPERLINK("CSG0.html#group1A0", "1A⁰"), =HYPERLINK("CSG3.html#group15I3", "15I³"), =HYPERLINK("CSG7.html#group30R7", "30R⁷"), =HYPERLINK("CSG1.html#group30D1", "30D¹"), =HYPERLINK("CSG0.html#group10B0", "10B⁰"), =HYPERLINK("CSG0.html#group15B0", "15B⁰"), =HYPERLINK("CSG5.html#group30R5", "30R⁵"), =HYPERLINK("CSG0.html#group6E0", "6E⁰"), =HYPERLINK("CSG1.html#group15E1", "15E¹"), =HYPERLINK("CSG0.html#group3C0", "3C⁰"), =HYPERLINK("CSG0.html#group3A0", "3A⁰"), =HYPERLINK("CSG0.html#group15C0", "15C⁰"), =HYPERLINK("CSG2.html#group30C2", "30C²")</f>
        <v/>
      </c>
      <c r="N3223" t="inlineStr"/>
    </row>
    <row r="3224">
      <c r="A3224" t="inlineStr">
        <is>
          <t>30R¹³</t>
        </is>
      </c>
      <c r="B3224" t="inlineStr"/>
      <c r="C3224" t="inlineStr">
        <is>
          <t>288</t>
        </is>
      </c>
      <c r="D3224" t="inlineStr">
        <is>
          <t>1</t>
        </is>
      </c>
      <c r="E3224" t="inlineStr">
        <is>
          <t>72</t>
        </is>
      </c>
      <c r="F3224" t="inlineStr">
        <is>
          <t>0</t>
        </is>
      </c>
      <c r="G3224" t="inlineStr">
        <is>
          <t>0</t>
        </is>
      </c>
      <c r="H3224" t="inlineStr">
        <is>
          <t>2⁶, 6⁶, 10⁶, 30⁶</t>
        </is>
      </c>
      <c r="I3224" t="n">
        <v>24</v>
      </c>
      <c r="J3224" t="inlineStr">
        <is>
          <t>1¹², 2⁶, 4⁶, 8³</t>
        </is>
      </c>
      <c r="K3224">
        <f>HYPERLINK("CSG5.html#group30M5", "30M⁵"), =HYPERLINK("CSG5.html#group30S5", "30S⁵")</f>
        <v/>
      </c>
      <c r="L3224" t="inlineStr"/>
      <c r="M3224">
        <f>HYPERLINK("CSG0.html#group3B0", "3B⁰"), =HYPERLINK("CSG5.html#group30M5", "30M⁵"), =HYPERLINK("CSG0.html#group5B0", "5B⁰"), =HYPERLINK("CSG1.html#group15G1", "15G¹"), =HYPERLINK("CSG0.html#group5D0", "5D⁰"), =HYPERLINK("CSG0.html#group2B0", "2B⁰"), =HYPERLINK("CSG0.html#group1A0", "1A⁰"), =HYPERLINK("CSG0.html#group10F0", "10F⁰"), =HYPERLINK("CSG1.html#group15C1", "15C¹"), =HYPERLINK("CSG0.html#group10C0", "10C⁰"), =HYPERLINK("CSG5.html#group30S5", "30S⁵"), =HYPERLINK("CSG3.html#group30K3", "30K³"), =HYPERLINK("CSG0.html#group6F0", "6F⁰")</f>
        <v/>
      </c>
      <c r="N3224" t="inlineStr"/>
    </row>
    <row r="3225">
      <c r="A3225" t="inlineStr">
        <is>
          <t>32A¹³</t>
        </is>
      </c>
      <c r="B3225" t="inlineStr"/>
      <c r="C3225" t="inlineStr">
        <is>
          <t>192</t>
        </is>
      </c>
      <c r="D3225" t="inlineStr">
        <is>
          <t>1</t>
        </is>
      </c>
      <c r="E3225" t="inlineStr">
        <is>
          <t>6</t>
        </is>
      </c>
      <c r="F3225" t="inlineStr">
        <is>
          <t>0</t>
        </is>
      </c>
      <c r="G3225" t="inlineStr">
        <is>
          <t>0</t>
        </is>
      </c>
      <c r="H3225" t="inlineStr">
        <is>
          <t>16⁴, 32⁴</t>
        </is>
      </c>
      <c r="I3225" t="n">
        <v>8</v>
      </c>
      <c r="J3225" t="inlineStr">
        <is>
          <t>1², 2²</t>
        </is>
      </c>
      <c r="K3225">
        <f>HYPERLINK("CSG5.html#group16B5", "16B⁵"), =HYPERLINK("CSG5.html#group32E5", "32E⁵"), =HYPERLINK("CSG5.html#group32F5", "32F⁵"), =HYPERLINK("CSG7.html#group32F7", "32F⁷")</f>
        <v/>
      </c>
      <c r="L3225" t="inlineStr"/>
      <c r="M3225">
        <f>HYPERLINK("CSG0.html#group2A0", "2A⁰"), =HYPERLINK("CSG7.html#group32F7", "32F⁷"), =HYPERLINK("CSG5.html#group32E5", "32E⁵"), =HYPERLINK("CSG0.html#group4C0", "4C⁰"), =HYPERLINK("CSG3.html#group16A3", "16A³"),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=HYPERLINK("CSG2.html#group16A2", "16A²"), =HYPERLINK("CSG0.html#group16B0", "16B⁰"), =HYPERLINK("CSG0.html#group8G0", "8G⁰"), =HYPERLINK("CSG0.html#group4D0", "4D⁰"), =HYPERLINK("CSG1.html#group16F1", "16F¹"), =HYPERLINK("CSG5.html#group32F5", "32F⁵"), =HYPERLINK("CSG1.html#group8A1", "8A¹"), =HYPERLINK("CSG3.html#group16C3", "16C³"), =HYPERLINK("CSG0.html#group8D0", "8D⁰"), =HYPERLINK("CSG0.html#group8B0", "8B⁰"), =HYPERLINK("CSG3.html#group16B3", "16B³"), =HYPERLINK("CSG1.html#group16B1", "16B¹"), =HYPERLINK("CSG1.html#group8B1", "8B¹"), =HYPERLINK("CSG0.html#group8H0", "8H⁰"), =HYPERLINK("CSG5.html#group16B5", "16B⁵"), =HYPERLINK("CSG1.html#group8C1", "8C¹"), =HYPERLINK("CSG0.html#group4A0", "4A⁰"), =HYPERLINK("CSG0.html#group4F0", "4F⁰"), =HYPERLINK("CSG0.html#group2C0", "2C⁰")</f>
        <v/>
      </c>
      <c r="N3225" t="inlineStr"/>
    </row>
    <row r="3226">
      <c r="A3226" t="inlineStr">
        <is>
          <t>32B¹³</t>
        </is>
      </c>
      <c r="B3226" t="inlineStr"/>
      <c r="C3226" t="inlineStr">
        <is>
          <t>192</t>
        </is>
      </c>
      <c r="D3226" t="inlineStr">
        <is>
          <t>1</t>
        </is>
      </c>
      <c r="E3226" t="inlineStr">
        <is>
          <t>6</t>
        </is>
      </c>
      <c r="F3226" t="inlineStr">
        <is>
          <t>0</t>
        </is>
      </c>
      <c r="G3226" t="inlineStr">
        <is>
          <t>0</t>
        </is>
      </c>
      <c r="H3226" t="inlineStr">
        <is>
          <t>16⁴, 32⁴</t>
        </is>
      </c>
      <c r="I3226" t="n">
        <v>8</v>
      </c>
      <c r="J3226" t="inlineStr">
        <is>
          <t>1², 2²</t>
        </is>
      </c>
      <c r="K3226">
        <f>HYPERLINK("CSG3.html#group32L3", "32L³"), =HYPERLINK("CSG5.html#group16B5", "16B⁵"), =HYPERLINK("CSG5.html#group32G5", "32G⁵"), =HYPERLINK("CSG7.html#group32A7", "32A⁷"), =HYPERLINK("CSG7.html#group32G7", "32G⁷")</f>
        <v/>
      </c>
      <c r="L3226" t="inlineStr"/>
      <c r="M3226">
        <f>HYPERLINK("CSG7.html#group32G7", "32G⁷"), =HYPERLINK("CSG0.html#group2A0", "2A⁰"), =HYPERLINK("CSG7.html#group32A7", "32A⁷"), =HYPERLINK("CSG0.html#group4C0", "4C⁰"), =HYPERLINK("CSG3.html#group16A3", "16A³"), =HYPERLINK("CSG0.html#group4G0", "4G⁰"), =HYPERLINK("CSG0.html#group2B0", "2B⁰"), =HYPERLINK("CSG0.html#group4E0", "4E⁰"), =HYPERLINK("CSG5.html#group32G5", "32G⁵"), =HYPERLINK("CSG0.html#group8C0", "8C⁰"), =HYPERLINK("CSG0.html#group4B0", "4B⁰"), =HYPERLINK("CSG1.html#group8F1", "8F¹"), =HYPERLINK("CSG0.html#group1A0", "1A⁰"), =HYPERLINK("CSG2.html#group16A2", "16A²"), =HYPERLINK("CSG0.html#group16B0", "16B⁰"), =HYPERLINK("CSG0.html#group8G0", "8G⁰"), =HYPERLINK("CSG0.html#group4D0", "4D⁰"), =HYPERLINK("CSG3.html#group32D3", "32D³"), =HYPERLINK("CSG1.html#group32B1", "32B¹"), =HYPERLINK("CSG1.html#group16F1", "16F¹"), =HYPERLINK("CSG1.html#group8A1", "8A¹"), =HYPERLINK("CSG3.html#group16C3", "16C³"), =HYPERLINK("CSG0.html#group8D0", "8D⁰"), =HYPERLINK("CSG3.html#group16B3", "16B³"), =HYPERLINK("CSG0.html#group8B0", "8B⁰"), =HYPERLINK("CSG1.html#group16B1", "16B¹"), =HYPERLINK("CSG1.html#group8B1", "8B¹"), =HYPERLINK("CSG0.html#group8H0", "8H⁰"), =HYPERLINK("CSG5.html#group16B5", "16B⁵"), =HYPERLINK("CSG1.html#group8C1", "8C¹"), =HYPERLINK("CSG0.html#group4A0", "4A⁰"), =HYPERLINK("CSG0.html#group4F0", "4F⁰"), =HYPERLINK("CSG3.html#group32L3", "32L³"), =HYPERLINK("CSG0.html#group2C0", "2C⁰")</f>
        <v/>
      </c>
      <c r="N3226" t="inlineStr"/>
    </row>
    <row r="3227">
      <c r="A3227" t="inlineStr">
        <is>
          <t>32C¹³</t>
        </is>
      </c>
      <c r="B3227" t="inlineStr"/>
      <c r="C3227" t="inlineStr">
        <is>
          <t>192</t>
        </is>
      </c>
      <c r="D3227" t="inlineStr">
        <is>
          <t>1</t>
        </is>
      </c>
      <c r="E3227" t="inlineStr">
        <is>
          <t>6</t>
        </is>
      </c>
      <c r="F3227" t="inlineStr">
        <is>
          <t>0</t>
        </is>
      </c>
      <c r="G3227" t="inlineStr">
        <is>
          <t>0</t>
        </is>
      </c>
      <c r="H3227" t="inlineStr">
        <is>
          <t>16⁴, 32⁴</t>
        </is>
      </c>
      <c r="I3227" t="n">
        <v>8</v>
      </c>
      <c r="J3227" t="inlineStr">
        <is>
          <t>1⁴, 2¹</t>
        </is>
      </c>
      <c r="K3227">
        <f>HYPERLINK("CSG5.html#group16A5", "16A⁵"), =HYPERLINK("CSG6.html#group32C6", "32C⁶"), =HYPERLINK("CSG7.html#group32B7", "32B⁷"), =HYPERLINK("CSG7.html#group32C7", "32C⁷")</f>
        <v/>
      </c>
      <c r="L3227" t="inlineStr"/>
      <c r="M3227">
        <f>HYPERLINK("CSG0.html#group2A0", "2A⁰"), =HYPERLINK("CSG0.html#group4C0", "4C⁰"), =HYPERLINK("CSG0.html#group4G0", "4G⁰"), =HYPERLINK("CSG0.html#group2B0", "2B⁰"), =HYPERLINK("CSG0.html#group4E0", "4E⁰"), =HYPERLINK("CSG3.html#group32G3", "32G³"), =HYPERLINK("CSG0.html#group8C0", "8C⁰"), =HYPERLINK("CSG0.html#group4B0", "4B⁰"), =HYPERLINK("CSG1.html#group8F1", "8F¹"), =HYPERLINK("CSG0.html#group1A0", "1A⁰"), =HYPERLINK("CSG2.html#group16E2", "16E²"), =HYPERLINK("CSG1.html#group16D1", "16D¹"), =HYPERLINK("CSG2.html#group16B2", "16B²"), =HYPERLINK("CSG0.html#group8G0", "8G⁰"), =HYPERLINK("CSG0.html#group4D0", "4D⁰"), =HYPERLINK("CSG3.html#group16E3", "16E³"), =HYPERLINK("CSG3.html#group16D3", "16D³"), =HYPERLINK("CSG1.html#group8A1", "8A¹"), =HYPERLINK("CSG0.html#group8D0", "8D⁰"), =HYPERLINK("CSG0.html#group8B0", "8B⁰"), =HYPERLINK("CSG7.html#group32C7", "32C⁷"), =HYPERLINK("CSG1.html#group8B1", "8B¹"), =HYPERLINK("CSG0.html#group8H0", "8H⁰"), =HYPERLINK("CSG1.html#group8C1", "8C¹"), =HYPERLINK("CSG6.html#group32C6", "32C⁶"), =HYPERLINK("CSG0.html#group4A0", "4A⁰"), =HYPERLINK("CSG5.html#group16A5", "16A⁵"), =HYPERLINK("CSG3.html#group32E3", "32E³"), =HYPERLINK("CSG7.html#group32B7", "32B⁷"), =HYPERLINK("CSG0.html#group4F0", "4F⁰"), =HYPERLINK("CSG0.html#group2C0", "2C⁰")</f>
        <v/>
      </c>
      <c r="N3227" t="inlineStr"/>
    </row>
    <row r="3228">
      <c r="A3228" t="inlineStr">
        <is>
          <t>32D¹³</t>
        </is>
      </c>
      <c r="B3228" t="inlineStr"/>
      <c r="C3228" t="inlineStr">
        <is>
          <t>192</t>
        </is>
      </c>
      <c r="D3228" t="inlineStr">
        <is>
          <t>1</t>
        </is>
      </c>
      <c r="E3228" t="inlineStr">
        <is>
          <t>6</t>
        </is>
      </c>
      <c r="F3228" t="inlineStr">
        <is>
          <t>0</t>
        </is>
      </c>
      <c r="G3228" t="inlineStr">
        <is>
          <t>0</t>
        </is>
      </c>
      <c r="H3228" t="inlineStr">
        <is>
          <t>16⁴, 32⁴</t>
        </is>
      </c>
      <c r="I3228" t="n">
        <v>8</v>
      </c>
      <c r="J3228" t="inlineStr">
        <is>
          <t>1⁴, 2¹</t>
        </is>
      </c>
      <c r="K3228">
        <f>HYPERLINK("CSG5.html#group16C5", "16C⁵"), =HYPERLINK("CSG6.html#group32E6", "32E⁶"), =HYPERLINK("CSG7.html#group32B7", "32B⁷"), =HYPERLINK("CSG7.html#group32E7", "32E⁷")</f>
        <v/>
      </c>
      <c r="L3228" t="inlineStr"/>
      <c r="M3228">
        <f>HYPERLINK("CSG0.html#group2A0", "2A⁰"), =HYPERLINK("CSG3.html#group16D3", "16D³"), =HYPERLINK("CSG1.html#group8A1", "8A¹"), =HYPERLINK("CSG5.html#group16C5", "16C⁵"), =HYPERLINK("CSG7.html#group32E7", "32E⁷"), =HYPERLINK("CSG0.html#group4C0", "4C⁰"), =HYPERLINK("CSG3.html#group16A3", "16A³"), =HYPERLINK("CSG0.html#group8B0", "8B⁰"), =HYPERLINK("CSG1.html#group16B1", "16B¹"), =HYPERLINK("CSG0.html#group8L0", "8L⁰"), =HYPERLINK("CSG0.html#group2B0", "2B⁰"), =HYPERLINK("CSG1.html#group8B1", "8B¹"), =HYPERLINK("CSG0.html#group4E0", "4E⁰"), =HYPERLINK("CSG0.html#group4B0", "4B⁰"), =HYPERLINK("CSG0.html#group1A0", "1A⁰"), =HYPERLINK("CSG4.html#group32B4", "32B⁴"), =HYPERLINK("CSG1.html#group16D1", "16D¹"), =HYPERLINK("CSG6.html#group32E6", "32E⁶"), =HYPERLINK("CSG2.html#group16B2", "16B²"), =HYPERLINK("CSG2.html#group16F2", "16F²"), =HYPERLINK("CSG1.html#group8G1", "8G¹"), =HYPERLINK("CSG3.html#group32E3", "32E³"), =HYPERLINK("CSG7.html#group32B7", "32B⁷"), =HYPERLINK("CSG0.html#group8J0", "8J⁰"), =HYPERLINK("CSG0.html#group2C0", "2C⁰"), =HYPERLINK("CSG3.html#group32H3", "32H³")</f>
        <v/>
      </c>
      <c r="N3228" t="inlineStr"/>
    </row>
    <row r="3229">
      <c r="A3229" t="inlineStr">
        <is>
          <t>32E¹³</t>
        </is>
      </c>
      <c r="B3229" t="inlineStr"/>
      <c r="C3229" t="inlineStr">
        <is>
          <t>192</t>
        </is>
      </c>
      <c r="D3229" t="inlineStr">
        <is>
          <t>1</t>
        </is>
      </c>
      <c r="E3229" t="inlineStr">
        <is>
          <t>6</t>
        </is>
      </c>
      <c r="F3229" t="inlineStr">
        <is>
          <t>0</t>
        </is>
      </c>
      <c r="G3229" t="inlineStr">
        <is>
          <t>0</t>
        </is>
      </c>
      <c r="H3229" t="inlineStr">
        <is>
          <t>16⁴, 32⁴</t>
        </is>
      </c>
      <c r="I3229" t="n">
        <v>8</v>
      </c>
      <c r="J3229" t="inlineStr">
        <is>
          <t>1⁴, 2¹</t>
        </is>
      </c>
      <c r="K3229">
        <f>HYPERLINK("CSG5.html#group16C5", "16C⁵"), =HYPERLINK("CSG6.html#group32F6", "32F⁶"), =HYPERLINK("CSG7.html#group32C7", "32C⁷"), =HYPERLINK("CSG7.html#group32D7", "32D⁷")</f>
        <v/>
      </c>
      <c r="L3229" t="inlineStr"/>
      <c r="M3229">
        <f>HYPERLINK("CSG0.html#group2A0", "2A⁰"), =HYPERLINK("CSG6.html#group32F6", "32F⁶"), =HYPERLINK("CSG3.html#group16D3", "16D³"), =HYPERLINK("CSG1.html#group8A1", "8A¹"), =HYPERLINK("CSG5.html#group16C5", "16C⁵"), =HYPERLINK("CSG0.html#group4C0", "4C⁰"), =HYPERLINK("CSG3.html#group16A3", "16A³"), =HYPERLINK("CSG0.html#group8B0", "8B⁰"), =HYPERLINK("CSG1.html#group16B1", "16B¹"), =HYPERLINK("CSG0.html#group8L0", "8L⁰"), =HYPERLINK("CSG7.html#group32C7", "32C⁷"), =HYPERLINK("CSG0.html#group2B0", "2B⁰"), =HYPERLINK("CSG1.html#group8B1", "8B¹"), =HYPERLINK("CSG0.html#group4E0", "4E⁰"), =HYPERLINK("CSG0.html#group4B0", "4B⁰"), =HYPERLINK("CSG3.html#group32G3", "32G³"), =HYPERLINK("CSG0.html#group1A0", "1A⁰"), =HYPERLINK("CSG3.html#group32F3", "32F³"), =HYPERLINK("CSG4.html#group32A4", "32A⁴"), =HYPERLINK("CSG1.html#group16D1", "16D¹"), =HYPERLINK("CSG2.html#group16B2", "16B²"), =HYPERLINK("CSG2.html#group16F2", "16F²"), =HYPERLINK("CSG1.html#group8G1", "8G¹"), =HYPERLINK("CSG7.html#group32D7", "32D⁷"), =HYPERLINK("CSG0.html#group8J0", "8J⁰"), =HYPERLINK("CSG0.html#group2C0", "2C⁰")</f>
        <v/>
      </c>
      <c r="N3229" t="inlineStr"/>
    </row>
    <row r="3230">
      <c r="A3230" t="inlineStr">
        <is>
          <t>32F¹³</t>
        </is>
      </c>
      <c r="B3230" t="inlineStr"/>
      <c r="C3230" t="inlineStr">
        <is>
          <t>192</t>
        </is>
      </c>
      <c r="D3230" t="inlineStr">
        <is>
          <t>1</t>
        </is>
      </c>
      <c r="E3230" t="inlineStr">
        <is>
          <t>6</t>
        </is>
      </c>
      <c r="F3230" t="inlineStr">
        <is>
          <t>0</t>
        </is>
      </c>
      <c r="G3230" t="inlineStr">
        <is>
          <t>0</t>
        </is>
      </c>
      <c r="H3230" t="inlineStr">
        <is>
          <t>16⁴, 32⁴</t>
        </is>
      </c>
      <c r="I3230" t="n">
        <v>8</v>
      </c>
      <c r="J3230" t="inlineStr">
        <is>
          <t>1⁴, 2¹</t>
        </is>
      </c>
      <c r="K3230">
        <f>HYPERLINK("CSG5.html#group16A5", "16A⁵"), =HYPERLINK("CSG6.html#group32D6", "32D⁶"), =HYPERLINK("CSG7.html#group32E7", "32E⁷"), =HYPERLINK("CSG7.html#group32D7", "32D⁷"), =HYPERLINK("CSG7.html#group32K7", "32K⁷")</f>
        <v/>
      </c>
      <c r="L3230" t="inlineStr"/>
      <c r="M3230">
        <f>HYPERLINK("CSG0.html#group2A0", "2A⁰"), =HYPERLINK("CSG7.html#group32K7", "32K⁷"), =HYPERLINK("CSG7.html#group32E7", "32E⁷"), =HYPERLINK("CSG0.html#group4C0", "4C⁰"), =HYPERLINK("CSG0.html#group4G0", "4G⁰"), =HYPERLINK("CSG0.html#group2B0", "2B⁰"), =HYPERLINK("CSG0.html#group4E0", "4E⁰"), =HYPERLINK("CSG0.html#group8C0", "8C⁰"), =HYPERLINK("CSG3.html#group32F3", "32F³"), =HYPERLINK("CSG4.html#group32A4", "32A⁴"), =HYPERLINK("CSG0.html#group4B0", "4B⁰"), =HYPERLINK("CSG0.html#group1A0", "1A⁰"), =HYPERLINK("CSG1.html#group8F1", "8F¹"), =HYPERLINK("CSG2.html#group16E2", "16E²"), =HYPERLINK("CSG4.html#group32B4", "32B⁴"), =HYPERLINK("CSG1.html#group16D1", "16D¹"), =HYPERLINK("CSG2.html#group16B2", "16B²"), =HYPERLINK("CSG0.html#group8G0", "8G⁰"), =HYPERLINK("CSG0.html#group4D0", "4D⁰"), =HYPERLINK("CSG3.html#group16E3", "16E³"), =HYPERLINK("CSG3.html#group16D3", "16D³"), =HYPERLINK("CSG1.html#group8A1", "8A¹"), =HYPERLINK("CSG0.html#group8D0", "8D⁰"), =HYPERLINK("CSG6.html#group32D6", "32D⁶"), =HYPERLINK("CSG0.html#group8B0", "8B⁰"), =HYPERLINK("CSG1.html#group8B1", "8B¹"), =HYPERLINK("CSG0.html#group8H0", "8H⁰"), =HYPERLINK("CSG1.html#group8C1", "8C¹"), =HYPERLINK("CSG0.html#group4A0", "4A⁰"), =HYPERLINK("CSG5.html#group16A5", "16A⁵"), =HYPERLINK("CSG7.html#group32D7", "32D⁷"), =HYPERLINK("CSG0.html#group4F0", "4F⁰"), =HYPERLINK("CSG0.html#group2C0", "2C⁰"), =HYPERLINK("CSG3.html#group32H3", "32H³")</f>
        <v/>
      </c>
      <c r="N3230" t="inlineStr"/>
    </row>
    <row r="3231">
      <c r="A3231" t="inlineStr">
        <is>
          <t>32G¹³</t>
        </is>
      </c>
      <c r="B3231" t="inlineStr"/>
      <c r="C3231" t="inlineStr">
        <is>
          <t>192</t>
        </is>
      </c>
      <c r="D3231" t="inlineStr">
        <is>
          <t>1</t>
        </is>
      </c>
      <c r="E3231" t="inlineStr">
        <is>
          <t>6</t>
        </is>
      </c>
      <c r="F3231" t="inlineStr">
        <is>
          <t>0</t>
        </is>
      </c>
      <c r="G3231" t="inlineStr">
        <is>
          <t>0</t>
        </is>
      </c>
      <c r="H3231" t="inlineStr">
        <is>
          <t>16⁴, 32⁴</t>
        </is>
      </c>
      <c r="I3231" t="n">
        <v>8</v>
      </c>
      <c r="J3231" t="inlineStr">
        <is>
          <t>1⁴, 2¹</t>
        </is>
      </c>
      <c r="K3231">
        <f>HYPERLINK("CSG5.html#group16D5", "16D⁵"), =HYPERLINK("CSG5.html#group32J5", "32J⁵"), =HYPERLINK("CSG7.html#group32B7", "32B⁷"), =HYPERLINK("CSG7.html#group32D7", "32D⁷"), =HYPERLINK("CSG7.html#group32I7", "32I⁷")</f>
        <v/>
      </c>
      <c r="L3231" t="inlineStr"/>
      <c r="M3231">
        <f>HYPERLINK("CSG0.html#group2A0", "2A⁰"), =HYPERLINK("CSG3.html#group16D3", "16D³"), =HYPERLINK("CSG5.html#group16D5", "16D⁵"), =HYPERLINK("CSG5.html#group32J5", "32J⁵"), =HYPERLINK("CSG1.html#group8A1", "8A¹"), =HYPERLINK("CSG0.html#group4C0", "4C⁰"), =HYPERLINK("CSG3.html#group16B3", "16B³"), =HYPERLINK("CSG0.html#group8B0", "8B⁰"), =HYPERLINK("CSG0.html#group8L0", "8L⁰"), =HYPERLINK("CSG0.html#group2B0", "2B⁰"), =HYPERLINK("CSG1.html#group8B1", "8B¹"), =HYPERLINK("CSG0.html#group4E0", "4E⁰"), =HYPERLINK("CSG3.html#group32F3", "32F³"), =HYPERLINK("CSG1.html#group16J1", "16J¹"), =HYPERLINK("CSG0.html#group4B0", "4B⁰"), =HYPERLINK("CSG0.html#group1A0", "1A⁰"), =HYPERLINK("CSG4.html#group32A4", "32A⁴"), =HYPERLINK("CSG2.html#group16A2", "16A²"), =HYPERLINK("CSG0.html#group16B0", "16B⁰"), =HYPERLINK("CSG1.html#group16D1", "16D¹"), =HYPERLINK("CSG2.html#group16B2", "16B²"), =HYPERLINK("CSG7.html#group32I7", "32I⁷"), =HYPERLINK("CSG1.html#group8G1", "8G¹"), =HYPERLINK("CSG3.html#group16F3", "16F³"), =HYPERLINK("CSG7.html#group32D7", "32D⁷"), =HYPERLINK("CSG3.html#group32E3", "32E³"), =HYPERLINK("CSG7.html#group32B7", "32B⁷"), =HYPERLINK("CSG0.html#group8J0", "8J⁰"), =HYPERLINK("CSG0.html#group2C0", "2C⁰")</f>
        <v/>
      </c>
      <c r="N3231" t="inlineStr"/>
    </row>
    <row r="3232">
      <c r="A3232" t="inlineStr">
        <is>
          <t>32H¹³</t>
        </is>
      </c>
      <c r="B3232" t="inlineStr"/>
      <c r="C3232" t="inlineStr">
        <is>
          <t>192</t>
        </is>
      </c>
      <c r="D3232" t="inlineStr">
        <is>
          <t>1</t>
        </is>
      </c>
      <c r="E3232" t="inlineStr">
        <is>
          <t>6</t>
        </is>
      </c>
      <c r="F3232" t="inlineStr">
        <is>
          <t>0</t>
        </is>
      </c>
      <c r="G3232" t="inlineStr">
        <is>
          <t>0</t>
        </is>
      </c>
      <c r="H3232" t="inlineStr">
        <is>
          <t>16⁴, 32⁴</t>
        </is>
      </c>
      <c r="I3232" t="n">
        <v>8</v>
      </c>
      <c r="J3232" t="inlineStr">
        <is>
          <t>1⁴, 2¹</t>
        </is>
      </c>
      <c r="K3232">
        <f>HYPERLINK("CSG5.html#group16D5", "16D⁵"), =HYPERLINK("CSG5.html#group32K5", "32K⁵"), =HYPERLINK("CSG7.html#group32C7", "32C⁷"), =HYPERLINK("CSG7.html#group32E7", "32E⁷"), =HYPERLINK("CSG7.html#group32J7", "32J⁷")</f>
        <v/>
      </c>
      <c r="L3232" t="inlineStr"/>
      <c r="M3232">
        <f>HYPERLINK("CSG0.html#group2A0", "2A⁰"), =HYPERLINK("CSG3.html#group16D3", "16D³"), =HYPERLINK("CSG5.html#group16D5", "16D⁵"), =HYPERLINK("CSG1.html#group8A1", "8A¹"), =HYPERLINK("CSG5.html#group32K5", "32K⁵"), =HYPERLINK("CSG7.html#group32E7", "32E⁷"), =HYPERLINK("CSG0.html#group4C0", "4C⁰"), =HYPERLINK("CSG3.html#group16B3", "16B³"), =HYPERLINK("CSG0.html#group8B0", "8B⁰"), =HYPERLINK("CSG7.html#group32J7", "32J⁷"), =HYPERLINK("CSG0.html#group8L0", "8L⁰"), =HYPERLINK("CSG7.html#group32C7", "32C⁷"), =HYPERLINK("CSG0.html#group2B0", "2B⁰"), =HYPERLINK("CSG1.html#group8B1", "8B¹"), =HYPERLINK("CSG0.html#group4E0", "4E⁰"), =HYPERLINK("CSG1.html#group16J1", "16J¹"), =HYPERLINK("CSG0.html#group4B0", "4B⁰"), =HYPERLINK("CSG0.html#group1A0", "1A⁰"), =HYPERLINK("CSG3.html#group32G3", "32G³"), =HYPERLINK("CSG4.html#group32B4", "32B⁴"), =HYPERLINK("CSG2.html#group16A2", "16A²"), =HYPERLINK("CSG0.html#group16B0", "16B⁰"), =HYPERLINK("CSG1.html#group16D1", "16D¹"), =HYPERLINK("CSG2.html#group16B2", "16B²"), =HYPERLINK("CSG1.html#group8G1", "8G¹"), =HYPERLINK("CSG3.html#group16F3", "16F³"), =HYPERLINK("CSG0.html#group8J0", "8J⁰"), =HYPERLINK("CSG0.html#group2C0", "2C⁰"), =HYPERLINK("CSG3.html#group32H3", "32H³")</f>
        <v/>
      </c>
      <c r="N3232" t="inlineStr"/>
    </row>
    <row r="3233">
      <c r="A3233" t="inlineStr">
        <is>
          <t>32I¹³</t>
        </is>
      </c>
      <c r="B3233" t="inlineStr"/>
      <c r="C3233" t="inlineStr">
        <is>
          <t>192</t>
        </is>
      </c>
      <c r="D3233" t="inlineStr">
        <is>
          <t>1</t>
        </is>
      </c>
      <c r="E3233" t="inlineStr">
        <is>
          <t>12</t>
        </is>
      </c>
      <c r="F3233" t="inlineStr">
        <is>
          <t>0</t>
        </is>
      </c>
      <c r="G3233" t="inlineStr">
        <is>
          <t>0</t>
        </is>
      </c>
      <c r="H3233" t="inlineStr">
        <is>
          <t>16⁴, 32⁴</t>
        </is>
      </c>
      <c r="I3233" t="n">
        <v>8</v>
      </c>
      <c r="J3233" t="inlineStr">
        <is>
          <t>2², 4²</t>
        </is>
      </c>
      <c r="K3233">
        <f>HYPERLINK("CSG3.html#group16K3", "16K³"), =HYPERLINK("CSG5.html#group32E5", "32E⁵"), =HYPERLINK("CSG7.html#group32A7", "32A⁷")</f>
        <v/>
      </c>
      <c r="L3233" t="inlineStr"/>
      <c r="M3233">
        <f>HYPERLINK("CSG7.html#group32A7", "32A⁷"), =HYPERLINK("CSG5.html#group32E5", "32E⁵"), =HYPERLINK("CSG0.html#group8D0", "8D⁰"), =HYPERLINK("CSG0.html#group4C0", "4C⁰"), =HYPERLINK("CSG0.html#group8B0", "8B⁰"), =HYPERLINK("CSG0.html#group8A0", "8A⁰"), =HYPERLINK("CSG1.html#group16B1", "16B¹"), =HYPERLINK("CSG0.html#group2B0", "2B⁰"), =HYPERLINK("CSG0.html#group8K0", "8K⁰"), =HYPERLINK("CSG0.html#group1A0", "1A⁰"), =HYPERLINK("CSG1.html#group8D1", "8D¹"), =HYPERLINK("CSG1.html#group8H1", "8H¹"), =HYPERLINK("CSG0.html#group8H0", "8H⁰"), =HYPERLINK("CSG0.html#group16B0", "16B⁰"), =HYPERLINK("CSG3.html#group16K3", "16K³"), =HYPERLINK("CSG0.html#group4A0", "4A⁰"), =HYPERLINK("CSG3.html#group32D3", "32D³"), =HYPERLINK("CSG0.html#group4F0", "4F⁰"), =HYPERLINK("CSG1.html#group16F1", "16F¹"), =HYPERLINK("CSG1.html#group16H1", "16H¹")</f>
        <v/>
      </c>
      <c r="N3233" t="inlineStr"/>
    </row>
    <row r="3234">
      <c r="A3234" t="inlineStr">
        <is>
          <t>32J¹³</t>
        </is>
      </c>
      <c r="B3234" t="inlineStr"/>
      <c r="C3234" t="inlineStr">
        <is>
          <t>192</t>
        </is>
      </c>
      <c r="D3234" t="inlineStr">
        <is>
          <t>1</t>
        </is>
      </c>
      <c r="E3234" t="inlineStr">
        <is>
          <t>12</t>
        </is>
      </c>
      <c r="F3234" t="inlineStr">
        <is>
          <t>0</t>
        </is>
      </c>
      <c r="G3234" t="inlineStr">
        <is>
          <t>0</t>
        </is>
      </c>
      <c r="H3234" t="inlineStr">
        <is>
          <t>16⁴, 32⁴</t>
        </is>
      </c>
      <c r="I3234" t="n">
        <v>8</v>
      </c>
      <c r="J3234" t="inlineStr">
        <is>
          <t>1², 2¹, 4²</t>
        </is>
      </c>
      <c r="K3234">
        <f>HYPERLINK("CSG3.html#group16L3", "16L³"), =HYPERLINK("CSG5.html#group32F5", "32F⁵"), =HYPERLINK("CSG7.html#group32A7", "32A⁷")</f>
        <v/>
      </c>
      <c r="L3234" t="inlineStr"/>
      <c r="M3234">
        <f>HYPERLINK("CSG5.html#group32F5", "32F⁵"), =HYPERLINK("CSG7.html#group32A7", "32A⁷"), =HYPERLINK("CSG1.html#group16I1", "16I¹"), =HYPERLINK("CSG0.html#group8D0", "8D⁰"), =HYPERLINK("CSG0.html#group4C0", "4C⁰"), =HYPERLINK("CSG0.html#group8B0", "8B⁰"), =HYPERLINK("CSG1.html#group16B1", "16B¹"), =HYPERLINK("CSG0.html#group2B0", "2B⁰"), =HYPERLINK("CSG0.html#group1A0", "1A⁰"), =HYPERLINK("CSG0.html#group8H0", "8H⁰"), =HYPERLINK("CSG0.html#group16B0", "16B⁰"), =HYPERLINK("CSG0.html#group16E0", "16E⁰"), =HYPERLINK("CSG0.html#group8F0", "8F⁰"), =HYPERLINK("CSG3.html#group16L3", "16L³"), =HYPERLINK("CSG0.html#group4A0", "4A⁰"), =HYPERLINK("CSG1.html#group8I1", "8I¹"), =HYPERLINK("CSG1.html#group16C1", "16C¹"), =HYPERLINK("CSG3.html#group32D3", "32D³"), =HYPERLINK("CSG0.html#group4F0", "4F⁰"), =HYPERLINK("CSG1.html#group16F1", "16F¹")</f>
        <v/>
      </c>
      <c r="N3234" t="inlineStr"/>
    </row>
    <row r="3235">
      <c r="A3235" t="inlineStr">
        <is>
          <t>32K¹³</t>
        </is>
      </c>
      <c r="B3235" t="inlineStr"/>
      <c r="C3235" t="inlineStr">
        <is>
          <t>192</t>
        </is>
      </c>
      <c r="D3235" t="inlineStr">
        <is>
          <t>1</t>
        </is>
      </c>
      <c r="E3235" t="inlineStr">
        <is>
          <t>12</t>
        </is>
      </c>
      <c r="F3235" t="inlineStr">
        <is>
          <t>0</t>
        </is>
      </c>
      <c r="G3235" t="inlineStr">
        <is>
          <t>0</t>
        </is>
      </c>
      <c r="H3235" t="inlineStr">
        <is>
          <t>16⁴, 32⁴</t>
        </is>
      </c>
      <c r="I3235" t="n">
        <v>8</v>
      </c>
      <c r="J3235" t="inlineStr">
        <is>
          <t>2⁶</t>
        </is>
      </c>
      <c r="K3235">
        <f>HYPERLINK("CSG3.html#group16M3", "16M³"), =HYPERLINK("CSG5.html#group32G5", "32G⁵"), =HYPERLINK("CSG5.html#group32L5", "32L⁵"), =HYPERLINK("CSG7.html#group32A7", "32A⁷"), =HYPERLINK("CSG7.html#group32H7", "32H⁷")</f>
        <v/>
      </c>
      <c r="L3235" t="inlineStr"/>
      <c r="M3235">
        <f>HYPERLINK("CSG5.html#group32L5", "32L⁵"), =HYPERLINK("CSG7.html#group32A7", "32A⁷"), =HYPERLINK("CSG0.html#group8D0", "8D⁰"), =HYPERLINK("CSG3.html#group16M3", "16M³"), =HYPERLINK("CSG0.html#group4C0", "4C⁰"), =HYPERLINK("CSG0.html#group8B0", "8B⁰"), =HYPERLINK("CSG1.html#group16B1", "16B¹"), =HYPERLINK("CSG0.html#group8L0", "8L⁰"), =HYPERLINK("CSG0.html#group2B0", "2B⁰"), =HYPERLINK("CSG5.html#group32G5", "32G⁵"), =HYPERLINK("CSG1.html#group16J1", "16J¹"), =HYPERLINK("CSG0.html#group1A0", "1A⁰"), =HYPERLINK("CSG2.html#group16E2", "16E²"), =HYPERLINK("CSG0.html#group16B0", "16B⁰"), =HYPERLINK("CSG0.html#group8H0", "8H⁰"), =HYPERLINK("CSG1.html#group16D1", "16D¹"), =HYPERLINK("CSG2.html#group16F2", "16F²"), =HYPERLINK("CSG0.html#group4A0", "4A⁰"), =HYPERLINK("CSG3.html#group32D3", "32D³"), =HYPERLINK("CSG1.html#group32B1", "32B¹"), =HYPERLINK("CSG7.html#group32H7", "32H⁷"), =HYPERLINK("CSG0.html#group4F0", "4F⁰"), =HYPERLINK("CSG1.html#group16F1", "16F¹"), =HYPERLINK("CSG0.html#group8P0", "8P⁰")</f>
        <v/>
      </c>
      <c r="N3235" t="inlineStr"/>
    </row>
    <row r="3236">
      <c r="A3236" t="inlineStr">
        <is>
          <t>32L¹³</t>
        </is>
      </c>
      <c r="B3236" t="inlineStr"/>
      <c r="C3236" t="inlineStr">
        <is>
          <t>192</t>
        </is>
      </c>
      <c r="D3236" t="inlineStr">
        <is>
          <t>1</t>
        </is>
      </c>
      <c r="E3236" t="inlineStr">
        <is>
          <t>12</t>
        </is>
      </c>
      <c r="F3236" t="inlineStr">
        <is>
          <t>0</t>
        </is>
      </c>
      <c r="G3236" t="inlineStr">
        <is>
          <t>0</t>
        </is>
      </c>
      <c r="H3236" t="inlineStr">
        <is>
          <t>16⁴, 32⁴</t>
        </is>
      </c>
      <c r="I3236" t="n">
        <v>8</v>
      </c>
      <c r="J3236" t="inlineStr">
        <is>
          <t>1⁴, 2², 4¹</t>
        </is>
      </c>
      <c r="K3236">
        <f>HYPERLINK("CSG5.html#group16C5", "16C⁵"), =HYPERLINK("CSG7.html#group32F7", "32F⁷")</f>
        <v/>
      </c>
      <c r="L3236" t="inlineStr"/>
      <c r="M3236">
        <f>HYPERLINK("CSG0.html#group2A0", "2A⁰"), =HYPERLINK("CSG7.html#group32F7", "32F⁷"), =HYPERLINK("CSG3.html#group16D3", "16D³"), =HYPERLINK("CSG1.html#group8A1", "8A¹"), =HYPERLINK("CSG5.html#group16C5", "16C⁵"), =HYPERLINK("CSG0.html#group4C0", "4C⁰"), =HYPERLINK("CSG3.html#group16A3", "16A³"), =HYPERLINK("CSG0.html#group8B0", "8B⁰"), =HYPERLINK("CSG1.html#group16B1", "16B¹"), =HYPERLINK("CSG0.html#group8L0", "8L⁰"), =HYPERLINK("CSG0.html#group2B0", "2B⁰"), =HYPERLINK("CSG1.html#group8B1", "8B¹"), =HYPERLINK("CSG0.html#group4E0", "4E⁰"), =HYPERLINK("CSG0.html#group4B0", "4B⁰"), =HYPERLINK("CSG0.html#group1A0", "1A⁰"), =HYPERLINK("CSG1.html#group16D1", "16D¹"), =HYPERLINK("CSG2.html#group16B2", "16B²"), =HYPERLINK("CSG2.html#group16F2", "16F²"), =HYPERLINK("CSG1.html#group8G1", "8G¹"), =HYPERLINK("CSG0.html#group8J0", "8J⁰"), =HYPERLINK("CSG0.html#group2C0", "2C⁰")</f>
        <v/>
      </c>
      <c r="N3236" t="inlineStr"/>
    </row>
    <row r="3237">
      <c r="A3237" t="inlineStr">
        <is>
          <t>32M¹³</t>
        </is>
      </c>
      <c r="B3237" t="inlineStr"/>
      <c r="C3237" t="inlineStr">
        <is>
          <t>192</t>
        </is>
      </c>
      <c r="D3237" t="inlineStr">
        <is>
          <t>1</t>
        </is>
      </c>
      <c r="E3237" t="inlineStr">
        <is>
          <t>12</t>
        </is>
      </c>
      <c r="F3237" t="inlineStr">
        <is>
          <t>0</t>
        </is>
      </c>
      <c r="G3237" t="inlineStr">
        <is>
          <t>0</t>
        </is>
      </c>
      <c r="H3237" t="inlineStr">
        <is>
          <t>16⁴, 32⁴</t>
        </is>
      </c>
      <c r="I3237" t="n">
        <v>8</v>
      </c>
      <c r="J3237" t="inlineStr">
        <is>
          <t>1⁴, 2², 4¹</t>
        </is>
      </c>
      <c r="K3237">
        <f>HYPERLINK("CSG3.html#group32N3", "32N³"), =HYPERLINK("CSG5.html#group16D5", "16D⁵"), =HYPERLINK("CSG5.html#group32L5", "32L⁵"), =HYPERLINK("CSG7.html#group32G7", "32G⁷"), =HYPERLINK("CSG7.html#group32H7", "32H⁷")</f>
        <v/>
      </c>
      <c r="L3237" t="inlineStr"/>
      <c r="M3237">
        <f>HYPERLINK("CSG5.html#group32L5", "32L⁵"), =HYPERLINK("CSG7.html#group32G7", "32G⁷"), =HYPERLINK("CSG0.html#group2A0", "2A⁰"), =HYPERLINK("CSG3.html#group16D3", "16D³"), =HYPERLINK("CSG5.html#group16D5", "16D⁵"), =HYPERLINK("CSG1.html#group8A1", "8A¹"), =HYPERLINK("CSG0.html#group4C0", "4C⁰"), =HYPERLINK("CSG0.html#group8B0", "8B⁰"), =HYPERLINK("CSG3.html#group16B3", "16B³"), =HYPERLINK("CSG0.html#group8L0", "8L⁰"), =HYPERLINK("CSG0.html#group2B0", "2B⁰"), =HYPERLINK("CSG1.html#group8B1", "8B¹"), =HYPERLINK("CSG0.html#group4E0", "4E⁰"), =HYPERLINK("CSG1.html#group16J1", "16J¹"), =HYPERLINK("CSG0.html#group4B0", "4B⁰"), =HYPERLINK("CSG0.html#group1A0", "1A⁰"), =HYPERLINK("CSG3.html#group32N3", "32N³"), =HYPERLINK("CSG0.html#group16B0", "16B⁰"), =HYPERLINK("CSG2.html#group16A2", "16A²"), =HYPERLINK("CSG1.html#group16D1", "16D¹"), =HYPERLINK("CSG2.html#group16B2", "16B²"), =HYPERLINK("CSG1.html#group8G1", "8G¹"), =HYPERLINK("CSG3.html#group16F3", "16F³"), =HYPERLINK("CSG3.html#group32D3", "32D³"), =HYPERLINK("CSG1.html#group32B1", "32B¹"), =HYPERLINK("CSG7.html#group32H7", "32H⁷"), =HYPERLINK("CSG0.html#group8J0", "8J⁰"), =HYPERLINK("CSG0.html#group2C0", "2C⁰")</f>
        <v/>
      </c>
      <c r="N3237" t="inlineStr"/>
    </row>
    <row r="3238">
      <c r="A3238" t="inlineStr">
        <is>
          <t>32N¹³</t>
        </is>
      </c>
      <c r="B3238" t="inlineStr"/>
      <c r="C3238" t="inlineStr">
        <is>
          <t>192</t>
        </is>
      </c>
      <c r="D3238" t="inlineStr">
        <is>
          <t>1</t>
        </is>
      </c>
      <c r="E3238" t="inlineStr">
        <is>
          <t>24</t>
        </is>
      </c>
      <c r="F3238" t="inlineStr">
        <is>
          <t>0</t>
        </is>
      </c>
      <c r="G3238" t="inlineStr">
        <is>
          <t>0</t>
        </is>
      </c>
      <c r="H3238" t="inlineStr">
        <is>
          <t>16⁴, 32⁴</t>
        </is>
      </c>
      <c r="I3238" t="n">
        <v>8</v>
      </c>
      <c r="J3238" t="inlineStr">
        <is>
          <t>2⁸, 8¹</t>
        </is>
      </c>
      <c r="K3238">
        <f>HYPERLINK("CSG3.html#group16R3", "16R³"), =HYPERLINK("CSG5.html#group32K5", "32K⁵"), =HYPERLINK("CSG7.html#group32H7", "32H⁷")</f>
        <v/>
      </c>
      <c r="L3238" t="inlineStr"/>
      <c r="M3238">
        <f>HYPERLINK("CSG0.html#group16B0", "16B⁰"), =HYPERLINK("CSG1.html#group16D1", "16D¹"), =HYPERLINK("CSG5.html#group32K5", "32K⁵"), =HYPERLINK("CSG0.html#group4C0", "4C⁰"), =HYPERLINK("CSG0.html#group8B0", "8B⁰"), =HYPERLINK("CSG0.html#group8L0", "8L⁰"), =HYPERLINK("CSG0.html#group2B0", "2B⁰"), =HYPERLINK("CSG7.html#group32H7", "32H⁷"), =HYPERLINK("CSG3.html#group32G3", "32G³"), =HYPERLINK("CSG3.html#group16R3", "16R³"), =HYPERLINK("CSG1.html#group16J1", "16J¹"), =HYPERLINK("CSG3.html#group32D3", "32D³"), =HYPERLINK("CSG0.html#group1A0", "1A⁰"), =HYPERLINK("CSG3.html#group32H3", "32H³")</f>
        <v/>
      </c>
      <c r="N3238" t="inlineStr"/>
    </row>
    <row r="3239">
      <c r="A3239" t="inlineStr">
        <is>
          <t>32O¹³</t>
        </is>
      </c>
      <c r="B3239" t="inlineStr"/>
      <c r="C3239" t="inlineStr">
        <is>
          <t>192</t>
        </is>
      </c>
      <c r="D3239" t="inlineStr">
        <is>
          <t>1</t>
        </is>
      </c>
      <c r="E3239" t="inlineStr">
        <is>
          <t>24</t>
        </is>
      </c>
      <c r="F3239" t="inlineStr">
        <is>
          <t>0</t>
        </is>
      </c>
      <c r="G3239" t="inlineStr">
        <is>
          <t>0</t>
        </is>
      </c>
      <c r="H3239" t="inlineStr">
        <is>
          <t>16⁴, 32⁴</t>
        </is>
      </c>
      <c r="I3239" t="n">
        <v>8</v>
      </c>
      <c r="J3239" t="inlineStr">
        <is>
          <t>2⁸, 8¹</t>
        </is>
      </c>
      <c r="K3239">
        <f>HYPERLINK("CSG3.html#group16S3", "16S³"), =HYPERLINK("CSG5.html#group32J5", "32J⁵"), =HYPERLINK("CSG7.html#group32H7", "32H⁷")</f>
        <v/>
      </c>
      <c r="L3239" t="inlineStr"/>
      <c r="M3239">
        <f>HYPERLINK("CSG0.html#group16B0", "16B⁰"), =HYPERLINK("CSG3.html#group32F3", "32F³"), =HYPERLINK("CSG1.html#group16D1", "16D¹"), =HYPERLINK("CSG5.html#group32J5", "32J⁵"), =HYPERLINK("CSG0.html#group4C0", "4C⁰"), =HYPERLINK("CSG0.html#group8B0", "8B⁰"), =HYPERLINK("CSG3.html#group16S3", "16S³"), =HYPERLINK("CSG0.html#group8L0", "8L⁰"), =HYPERLINK("CSG0.html#group2B0", "2B⁰"), =HYPERLINK("CSG7.html#group32H7", "32H⁷"), =HYPERLINK("CSG3.html#group32D3", "32D³"), =HYPERLINK("CSG3.html#group32E3", "32E³"), =HYPERLINK("CSG1.html#group16J1", "16J¹"), =HYPERLINK("CSG0.html#group1A0", "1A⁰")</f>
        <v/>
      </c>
      <c r="N3239" t="inlineStr"/>
    </row>
    <row r="3240">
      <c r="A3240" t="inlineStr">
        <is>
          <t>32P¹³</t>
        </is>
      </c>
      <c r="B3240" t="inlineStr"/>
      <c r="C3240" t="inlineStr">
        <is>
          <t>192</t>
        </is>
      </c>
      <c r="D3240" t="inlineStr">
        <is>
          <t>1</t>
        </is>
      </c>
      <c r="E3240" t="inlineStr">
        <is>
          <t>48</t>
        </is>
      </c>
      <c r="F3240" t="inlineStr">
        <is>
          <t>0</t>
        </is>
      </c>
      <c r="G3240" t="inlineStr">
        <is>
          <t>0</t>
        </is>
      </c>
      <c r="H3240" t="inlineStr">
        <is>
          <t>16⁴, 32⁴</t>
        </is>
      </c>
      <c r="I3240" t="n">
        <v>8</v>
      </c>
      <c r="J3240" t="inlineStr">
        <is>
          <t>4¹⁰, 8¹</t>
        </is>
      </c>
      <c r="K3240">
        <f>HYPERLINK("CSG5.html#group16H5", "16H⁵"), =HYPERLINK("CSG7.html#group32K7", "32K⁷")</f>
        <v/>
      </c>
      <c r="L3240" t="inlineStr"/>
      <c r="M3240">
        <f>HYPERLINK("CSG2.html#group16D2", "16D²"), =HYPERLINK("CSG1.html#group8A1", "8A¹"), =HYPERLINK("CSG5.html#group16H5", "16H⁵"), =HYPERLINK("CSG0.html#group8D0", "8D⁰"), =HYPERLINK("CSG7.html#group32K7", "32K⁷"), =HYPERLINK("CSG0.html#group4C0", "4C⁰"), =HYPERLINK("CSG2.html#group8B2", "8B²"), =HYPERLINK("CSG0.html#group8A0", "8A⁰"), =HYPERLINK("CSG0.html#group2B0", "2B⁰"), =HYPERLINK("CSG4.html#group32A4", "32A⁴"), =HYPERLINK("CSG0.html#group1A0", "1A⁰"), =HYPERLINK("CSG0.html#group8K0", "8K⁰"), =HYPERLINK("CSG1.html#group8D1", "8D¹"), =HYPERLINK("CSG4.html#group32B4", "32B⁴"), =HYPERLINK("CSG0.html#group16E0", "16E⁰"), =HYPERLINK("CSG1.html#group8C1", "8C¹"), =HYPERLINK("CSG2.html#group16B2", "16B²"), =HYPERLINK("CSG0.html#group4A0", "4A⁰"), =HYPERLINK("CSG1.html#group16C1", "16C¹"), =HYPERLINK("CSG0.html#group4F0", "4F⁰"), =HYPERLINK("CSG3.html#group16E3", "16E³")</f>
        <v/>
      </c>
      <c r="N3240" t="inlineStr"/>
    </row>
    <row r="3241">
      <c r="A3241" t="inlineStr">
        <is>
          <t>32Q¹³</t>
        </is>
      </c>
      <c r="B3241" t="inlineStr"/>
      <c r="C3241" t="inlineStr">
        <is>
          <t>192</t>
        </is>
      </c>
      <c r="D3241" t="inlineStr">
        <is>
          <t>2</t>
        </is>
      </c>
      <c r="E3241" t="inlineStr">
        <is>
          <t>24</t>
        </is>
      </c>
      <c r="F3241" t="inlineStr">
        <is>
          <t>0</t>
        </is>
      </c>
      <c r="G3241" t="inlineStr">
        <is>
          <t>0</t>
        </is>
      </c>
      <c r="H3241" t="inlineStr">
        <is>
          <t>16⁴, 32⁴</t>
        </is>
      </c>
      <c r="I3241" t="n">
        <v>8</v>
      </c>
      <c r="J3241" t="inlineStr">
        <is>
          <t>2⁸, 4⁴, 8²</t>
        </is>
      </c>
      <c r="K3241">
        <f>HYPERLINK("CSG5.html#group16G5", "16G⁵"), =HYPERLINK("CSG6.html#group32C6", "32C⁶"), =HYPERLINK("CSG6.html#group32D6", "32D⁶"), =HYPERLINK("CSG6.html#group32E6", "32E⁶"), =HYPERLINK("CSG6.html#group32F6", "32F⁶"), =HYPERLINK("CSG7.html#group32I7", "32I⁷"), =HYPERLINK("CSG7.html#group32J7", "32J⁷")</f>
        <v/>
      </c>
      <c r="L3241" t="inlineStr"/>
      <c r="M3241">
        <f>HYPERLINK("CSG6.html#group32F6", "32F⁶"), =HYPERLINK("CSG3.html#group16C3", "16C³"), =HYPERLINK("CSG0.html#group8D0", "8D⁰"), =HYPERLINK("CSG6.html#group32D6", "32D⁶"), =HYPERLINK("CSG0.html#group4C0", "4C⁰"), =HYPERLINK("CSG0.html#group8B0", "8B⁰"), =HYPERLINK("CSG5.html#group16G5", "16G⁵"), =HYPERLINK("CSG7.html#group32J7", "32J⁷"), =HYPERLINK("CSG1.html#group16B1", "16B¹"), =HYPERLINK("CSG0.html#group8L0", "8L⁰"), =HYPERLINK("CSG0.html#group2B0", "2B⁰"), =HYPERLINK("CSG3.html#group32G3", "32G³"), =HYPERLINK("CSG3.html#group32F3", "32F³"), =HYPERLINK("CSG0.html#group1A0", "1A⁰"), =HYPERLINK("CSG2.html#group16E2", "16E²"), =HYPERLINK("CSG2.html#group16A2", "16A²"), =HYPERLINK("CSG0.html#group8H0", "8H⁰"), =HYPERLINK("CSG1.html#group16D1", "16D¹"), =HYPERLINK("CSG6.html#group32E6", "32E⁶"), =HYPERLINK("CSG6.html#group32C6", "32C⁶"), =HYPERLINK("CSG7.html#group32I7", "32I⁷"), =HYPERLINK("CSG2.html#group16F2", "16F²"), =HYPERLINK("CSG0.html#group4A0", "4A⁰"), =HYPERLINK("CSG3.html#group16F3", "16F³"), =HYPERLINK("CSG3.html#group32E3", "32E³"), =HYPERLINK("CSG0.html#group4F0", "4F⁰"), =HYPERLINK("CSG0.html#group8P0", "8P⁰"), =HYPERLINK("CSG3.html#group32H3", "32H³")</f>
        <v/>
      </c>
      <c r="N3241" t="inlineStr"/>
    </row>
    <row r="3242">
      <c r="A3242" t="inlineStr">
        <is>
          <t>32R¹³</t>
        </is>
      </c>
      <c r="B3242" t="inlineStr"/>
      <c r="C3242" t="inlineStr">
        <is>
          <t>192</t>
        </is>
      </c>
      <c r="D3242" t="inlineStr">
        <is>
          <t>2</t>
        </is>
      </c>
      <c r="E3242" t="inlineStr">
        <is>
          <t>96</t>
        </is>
      </c>
      <c r="F3242" t="inlineStr">
        <is>
          <t>4</t>
        </is>
      </c>
      <c r="G3242" t="inlineStr">
        <is>
          <t>0</t>
        </is>
      </c>
      <c r="H3242" t="inlineStr">
        <is>
          <t>32⁶</t>
        </is>
      </c>
      <c r="I3242" t="n">
        <v>6</v>
      </c>
      <c r="J3242" t="inlineStr">
        <is>
          <t>16¹²</t>
        </is>
      </c>
      <c r="K3242">
        <f>HYPERLINK("CSG5.html#group16I5", "16I⁵")</f>
        <v/>
      </c>
      <c r="L3242" t="inlineStr"/>
      <c r="M3242">
        <f>HYPERLINK("CSG0.html#group8H0", "8H⁰"), =HYPERLINK("CSG0.html#group8D0", "8D⁰"), =HYPERLINK("CSG0.html#group4A0", "4A⁰"), =HYPERLINK("CSG5.html#group16I5", "16I⁵"), =HYPERLINK("CSG0.html#group4C0", "4C⁰"), =HYPERLINK("CSG0.html#group8B0", "8B⁰"), =HYPERLINK("CSG0.html#group8A0", "8A⁰"), =HYPERLINK("CSG0.html#group1A0", "1A⁰"), =HYPERLINK("CSG0.html#group2B0", "2B⁰"), =HYPERLINK("CSG0.html#group4F0", "4F⁰"), =HYPERLINK("CSG0.html#group8K0", "8K⁰"), =HYPERLINK("CSG1.html#group8D1", "8D¹"), =HYPERLINK("CSG1.html#group8H1", "8H¹")</f>
        <v/>
      </c>
      <c r="N3242" t="inlineStr"/>
    </row>
    <row r="3243">
      <c r="A3243" t="inlineStr">
        <is>
          <t>32S¹³</t>
        </is>
      </c>
      <c r="B3243" t="inlineStr"/>
      <c r="C3243" t="inlineStr">
        <is>
          <t>256</t>
        </is>
      </c>
      <c r="D3243" t="inlineStr">
        <is>
          <t>1</t>
        </is>
      </c>
      <c r="E3243" t="inlineStr">
        <is>
          <t>16</t>
        </is>
      </c>
      <c r="F3243" t="inlineStr">
        <is>
          <t>0</t>
        </is>
      </c>
      <c r="G3243" t="inlineStr">
        <is>
          <t>16</t>
        </is>
      </c>
      <c r="H3243" t="inlineStr">
        <is>
          <t>32⁸</t>
        </is>
      </c>
      <c r="I3243" t="n">
        <v>8</v>
      </c>
      <c r="J3243" t="inlineStr">
        <is>
          <t>4⁴</t>
        </is>
      </c>
      <c r="K3243">
        <f>HYPERLINK("CSG5.html#group16K5", "16K⁵"), =HYPERLINK("CSG6.html#group32G6", "32G⁶")</f>
        <v/>
      </c>
      <c r="L3243" t="inlineStr"/>
      <c r="M3243">
        <f>HYPERLINK("CSG0.html#group2A0", "2A⁰"), =HYPERLINK("CSG0.html#group8F0", "8F⁰"), =HYPERLINK("CSG0.html#group16A0", "16A⁰"), =HYPERLINK("CSG2.html#group16H2", "16H²"), =HYPERLINK("CSG0.html#group4A0", "4A⁰"), =HYPERLINK("CSG0.html#group16F0", "16F⁰"), =HYPERLINK("CSG0.html#group4D0", "4D⁰"), =HYPERLINK("CSG0.html#group8A0", "8A⁰"), =HYPERLINK("CSG0.html#group8E0", "8E⁰"), =HYPERLINK("CSG0.html#group1A0", "1A⁰"), =HYPERLINK("CSG1.html#group8E1", "8E¹"), =HYPERLINK("CSG0.html#group8M0", "8M⁰"), =HYPERLINK("CSG1.html#group8J1", "8J¹"), =HYPERLINK("CSG5.html#group16K5", "16K⁵"), =HYPERLINK("CSG6.html#group32G6", "32G⁶")</f>
        <v/>
      </c>
      <c r="N3243" t="inlineStr"/>
    </row>
    <row r="3244">
      <c r="A3244" t="inlineStr">
        <is>
          <t>32T¹³</t>
        </is>
      </c>
      <c r="B3244" t="inlineStr"/>
      <c r="C3244" t="inlineStr">
        <is>
          <t>384</t>
        </is>
      </c>
      <c r="D3244" t="inlineStr">
        <is>
          <t>1</t>
        </is>
      </c>
      <c r="E3244" t="inlineStr">
        <is>
          <t>3</t>
        </is>
      </c>
      <c r="F3244" t="inlineStr">
        <is>
          <t>0</t>
        </is>
      </c>
      <c r="G3244" t="inlineStr">
        <is>
          <t>0</t>
        </is>
      </c>
      <c r="H3244" t="inlineStr">
        <is>
          <t>4³², 32⁸</t>
        </is>
      </c>
      <c r="I3244" t="n">
        <v>40</v>
      </c>
      <c r="J3244" t="inlineStr">
        <is>
          <t>1³</t>
        </is>
      </c>
      <c r="K3244">
        <f>HYPERLINK("CSG5.html#group16M5", "16M⁵"), =HYPERLINK("CSG5.html#group32N5", "32N⁵"), =HYPERLINK("CSG6.html#group32H6", "32H⁶"), =HYPERLINK("CSG7.html#group32L7", "32L⁷")</f>
        <v/>
      </c>
      <c r="L3244" t="inlineStr"/>
      <c r="M3244">
        <f>HYPERLINK("CSG0.html#group16G0", "16G⁰"), =HYPERLINK("CSG0.html#group2A0", "2A⁰"), =HYPERLINK("CSG1.html#group16I1", "16I¹"), =HYPERLINK("CSG5.html#group16M5", "16M⁵"), =HYPERLINK("CSG5.html#group32N5", "32N⁵"), =HYPERLINK("CSG0.html#group4C0", "4C⁰"), =HYPERLINK("CSG0.html#group8L0", "8L⁰"), =HYPERLINK("CSG0.html#group2B0", "2B⁰"), =HYPERLINK("CSG1.html#group32D1", "32D¹"), =HYPERLINK("CSG0.html#group8C0", "8C⁰"), =HYPERLINK("CSG0.html#group4E0", "4E⁰"), =HYPERLINK("CSG0.html#group4G0", "4G⁰"), =HYPERLINK("CSG0.html#group4B0", "4B⁰"), =HYPERLINK("CSG0.html#group1A0", "1A⁰"), =HYPERLINK("CSG1.html#group8F1", "8F¹"), =HYPERLINK("CSG3.html#group32Q3", "32Q³"), =HYPERLINK("CSG3.html#group16J3", "16J³"), =HYPERLINK("CSG0.html#group8K0", "8K⁰"), =HYPERLINK("CSG0.html#group16H0", "16H⁰"), =HYPERLINK("CSG0.html#group16E0", "16E⁰"), =HYPERLINK("CSG0.html#group8G0", "8G⁰"), =HYPERLINK("CSG3.html#group32O3", "32O³"), =HYPERLINK("CSG0.html#group4D0", "4D⁰"), =HYPERLINK("CSG1.html#group8G1", "8G¹"), =HYPERLINK("CSG0.html#group16C0", "16C⁰"), =HYPERLINK("CSG1.html#group16M1", "16M¹"), =HYPERLINK("CSG0.html#group8P0", "8P⁰"), =HYPERLINK("CSG1.html#group16H1", "16H¹"), =HYPERLINK("CSG7.html#group32L7", "32L⁷"), =HYPERLINK("CSG0.html#group8J0", "8J⁰"), =HYPERLINK("CSG2.html#group16D2", "16D²"), =HYPERLINK("CSG0.html#group8N0", "8N⁰"), =HYPERLINK("CSG1.html#group8A1", "8A¹"), =HYPERLINK("CSG4.html#group32C4", "32C⁴"), =HYPERLINK("CSG2.html#group16C2", "16C²"), =HYPERLINK("CSG2.html#group32C2", "32C²"), =HYPERLINK("CSG0.html#group8D0", "8D⁰"), =HYPERLINK("CSG1.html#group8K1", "8K¹"), =HYPERLINK("CSG1.html#group16E1", "16E¹"), =HYPERLINK("CSG0.html#group8B0", "8B⁰"), =HYPERLINK("CSG1.html#group8B1", "8B¹"), =HYPERLINK("CSG0.html#group8I0", "8I⁰"), =HYPERLINK("CSG2.html#group16L2", "16L²"), =HYPERLINK("CSG3.html#group16I3", "16I³"), =HYPERLINK("CSG1.html#group16A1", "16A¹"), =HYPERLINK("CSG3.html#group16H3", "16H³"), =HYPERLINK("CSG0.html#group8H0", "8H⁰"), =HYPERLINK("CSG2.html#group32B2", "32B²"), =HYPERLINK("CSG1.html#group32C1", "32C¹"), =HYPERLINK("CSG1.html#group8C1", "8C¹"), =HYPERLINK("CSG1.html#group16G1", "16G¹"), =HYPERLINK("CSG0.html#group4A0", "4A⁰"), =HYPERLINK("CSG1.html#group16C1", "16C¹"), =HYPERLINK("CSG0.html#group16D0", "16D⁰"), =HYPERLINK("CSG0.html#group4F0", "4F⁰"), =HYPERLINK("CSG6.html#group32H6", "32H⁶"), =HYPERLINK("CSG3.html#group32P3", "32P³"), =HYPERLINK("CSG0.html#group2C0", "2C⁰"), =HYPERLINK("CSG0.html#group8O0", "8O⁰")</f>
        <v/>
      </c>
      <c r="N3244" t="inlineStr"/>
    </row>
    <row r="3245">
      <c r="A3245" t="inlineStr">
        <is>
          <t>32U¹³</t>
        </is>
      </c>
      <c r="B3245" t="inlineStr"/>
      <c r="C3245" t="inlineStr">
        <is>
          <t>384</t>
        </is>
      </c>
      <c r="D3245" t="inlineStr">
        <is>
          <t>1</t>
        </is>
      </c>
      <c r="E3245" t="inlineStr">
        <is>
          <t>12</t>
        </is>
      </c>
      <c r="F3245" t="inlineStr">
        <is>
          <t>0</t>
        </is>
      </c>
      <c r="G3245" t="inlineStr">
        <is>
          <t>0</t>
        </is>
      </c>
      <c r="H3245" t="inlineStr">
        <is>
          <t>2¹⁶, 4⁸, 8⁸, 32⁸</t>
        </is>
      </c>
      <c r="I3245" t="n">
        <v>40</v>
      </c>
      <c r="J3245" t="inlineStr">
        <is>
          <t>1⁴, 2², 4¹</t>
        </is>
      </c>
      <c r="K3245">
        <f>HYPERLINK("CSG5.html#group16N5", "16N⁵"), =HYPERLINK("CSG5.html#group32M5", "32M⁵"), =HYPERLINK("CSG5.html#group32N5", "32N⁵"), =HYPERLINK("CSG5.html#group32O5", "32O⁵"), =HYPERLINK("CSG7.html#group32M7", "32M⁷")</f>
        <v/>
      </c>
      <c r="L3245" t="inlineStr"/>
      <c r="M3245">
        <f>HYPERLINK("CSG0.html#group16G0", "16G⁰"), =HYPERLINK("CSG0.html#group2A0", "2A⁰"), =HYPERLINK("CSG5.html#group32N5", "32N⁵"), =HYPERLINK("CSG0.html#group4C0", "4C⁰"), =HYPERLINK("CSG3.html#group32M3", "32M³"), =HYPERLINK("CSG1.html#group16A1", "16A¹"), =HYPERLINK("CSG0.html#group8C0", "8C⁰"), =HYPERLINK("CSG7.html#group32M7", "32M⁷"), =HYPERLINK("CSG0.html#group2B0", "2B⁰"), =HYPERLINK("CSG0.html#group4E0", "4E⁰"), =HYPERLINK("CSG0.html#group4B0", "4B⁰"), =HYPERLINK("CSG1.html#group32D1", "32D¹"), =HYPERLINK("CSG0.html#group1A0", "1A⁰"), =HYPERLINK("CSG2.html#group16J2", "16J²"), =HYPERLINK("CSG5.html#group32M5", "32M⁵"), =HYPERLINK("CSG0.html#group16H0", "16H⁰"), =HYPERLINK("CSG0.html#group16E0", "16E⁰"), =HYPERLINK("CSG1.html#group32A1", "32A¹"), =HYPERLINK("CSG0.html#group8G0", "8G⁰"), =HYPERLINK("CSG3.html#group32O3", "32O³"), =HYPERLINK("CSG0.html#group16C0", "16C⁰"), =HYPERLINK("CSG0.html#group32A0", "32A⁰"), =HYPERLINK("CSG1.html#group16M1", "16M¹"), =HYPERLINK("CSG1.html#group32E1", "32E¹"), =HYPERLINK("CSG5.html#group16N5", "16N⁵"), =HYPERLINK("CSG2.html#group32C2", "32C²"), =HYPERLINK("CSG0.html#group8D0", "8D⁰"), =HYPERLINK("CSG1.html#group16E1", "16E¹"), =HYPERLINK("CSG5.html#group32O5", "32O⁵"), =HYPERLINK("CSG0.html#group8I0", "8I⁰"), =HYPERLINK("CSG3.html#group32K3", "32K³"), =HYPERLINK("CSG2.html#group16K2", "16K²"), =HYPERLINK("CSG3.html#group32J3", "32J³"), =HYPERLINK("CSG3.html#group16N3", "16N³"), =HYPERLINK("CSG2.html#group32B2", "32B²"), =HYPERLINK("CSG1.html#group32C1", "32C¹"), =HYPERLINK("CSG1.html#group16G1", "16G¹"), =HYPERLINK("CSG0.html#group16D0", "16D⁰"), =HYPERLINK("CSG2.html#group32A2", "32A²"), =HYPERLINK("CSG0.html#group8J0", "8J⁰"), =HYPERLINK("CSG0.html#group2C0", "2C⁰"), =HYPERLINK("CSG0.html#group8O0", "8O⁰")</f>
        <v/>
      </c>
      <c r="N3245" t="inlineStr"/>
    </row>
    <row r="3246">
      <c r="A3246" t="inlineStr">
        <is>
          <t>33A¹³</t>
        </is>
      </c>
      <c r="B3246" t="inlineStr"/>
      <c r="C3246" t="inlineStr">
        <is>
          <t>220</t>
        </is>
      </c>
      <c r="D3246" t="inlineStr">
        <is>
          <t>1</t>
        </is>
      </c>
      <c r="E3246" t="inlineStr">
        <is>
          <t>220</t>
        </is>
      </c>
      <c r="F3246" t="inlineStr">
        <is>
          <t>0</t>
        </is>
      </c>
      <c r="G3246" t="inlineStr">
        <is>
          <t>4</t>
        </is>
      </c>
      <c r="H3246" t="inlineStr">
        <is>
          <t>11⁵, 33⁵</t>
        </is>
      </c>
      <c r="I3246" t="n">
        <v>10</v>
      </c>
      <c r="J3246" t="inlineStr">
        <is>
          <t>5², 10¹¹, 20⁵</t>
        </is>
      </c>
      <c r="K3246">
        <f>HYPERLINK("CSG1.html#group11B1", "11B¹"), =HYPERLINK("CSG3.html#group33B3", "33B³")</f>
        <v/>
      </c>
      <c r="L3246" t="inlineStr"/>
      <c r="M3246">
        <f>HYPERLINK("CSG0.html#group11A0", "11A⁰"), =HYPERLINK("CSG0.html#group3B0", "3B⁰"), =HYPERLINK("CSG0.html#group1A0", "1A⁰"), =HYPERLINK("CSG1.html#group11B1", "11B¹"), =HYPERLINK("CSG3.html#group33B3", "33B³")</f>
        <v/>
      </c>
      <c r="N3246" t="inlineStr"/>
    </row>
    <row r="3247">
      <c r="A3247" t="inlineStr">
        <is>
          <t>34A¹³</t>
        </is>
      </c>
      <c r="B3247" t="inlineStr"/>
      <c r="C3247" t="inlineStr">
        <is>
          <t>204</t>
        </is>
      </c>
      <c r="D3247" t="inlineStr">
        <is>
          <t>1</t>
        </is>
      </c>
      <c r="E3247" t="inlineStr">
        <is>
          <t>102</t>
        </is>
      </c>
      <c r="F3247" t="inlineStr">
        <is>
          <t>0</t>
        </is>
      </c>
      <c r="G3247" t="inlineStr">
        <is>
          <t>6</t>
        </is>
      </c>
      <c r="H3247" t="inlineStr">
        <is>
          <t>34⁶</t>
        </is>
      </c>
      <c r="I3247" t="n">
        <v>6</v>
      </c>
      <c r="J3247" t="inlineStr">
        <is>
          <t>4¹, 8¹, 16¹²</t>
        </is>
      </c>
      <c r="K3247">
        <f>HYPERLINK("CSG0.html#group2A0", "2A⁰"), =HYPERLINK("CSG4.html#group17A4", "17A⁴")</f>
        <v/>
      </c>
      <c r="L3247" t="inlineStr"/>
      <c r="M3247">
        <f>HYPERLINK("CSG0.html#group2A0", "2A⁰"), =HYPERLINK("CSG0.html#group1A0", "1A⁰"), =HYPERLINK("CSG4.html#group17A4", "17A⁴")</f>
        <v/>
      </c>
      <c r="N3247" t="inlineStr"/>
    </row>
    <row r="3248">
      <c r="A3248" t="inlineStr">
        <is>
          <t>34B¹³</t>
        </is>
      </c>
      <c r="B3248" t="inlineStr"/>
      <c r="C3248" t="inlineStr">
        <is>
          <t>204</t>
        </is>
      </c>
      <c r="D3248" t="inlineStr">
        <is>
          <t>1</t>
        </is>
      </c>
      <c r="E3248" t="inlineStr">
        <is>
          <t>102</t>
        </is>
      </c>
      <c r="F3248" t="inlineStr">
        <is>
          <t>0</t>
        </is>
      </c>
      <c r="G3248" t="inlineStr">
        <is>
          <t>6</t>
        </is>
      </c>
      <c r="H3248" t="inlineStr">
        <is>
          <t>34⁶</t>
        </is>
      </c>
      <c r="I3248" t="n">
        <v>6</v>
      </c>
      <c r="J3248" t="inlineStr">
        <is>
          <t>4¹, 8¹, 16¹²</t>
        </is>
      </c>
      <c r="K3248">
        <f>HYPERLINK("CSG0.html#group2A0", "2A⁰"), =HYPERLINK("CSG4.html#group17B4", "17B⁴")</f>
        <v/>
      </c>
      <c r="L3248" t="inlineStr"/>
      <c r="M3248">
        <f>HYPERLINK("CSG0.html#group2A0", "2A⁰"), =HYPERLINK("CSG0.html#group1A0", "1A⁰"), =HYPERLINK("CSG4.html#group17B4", "17B⁴")</f>
        <v/>
      </c>
      <c r="N3248" t="inlineStr"/>
    </row>
    <row r="3249">
      <c r="A3249" t="inlineStr">
        <is>
          <t>34C¹³</t>
        </is>
      </c>
      <c r="B3249" t="inlineStr"/>
      <c r="C3249" t="inlineStr">
        <is>
          <t>216</t>
        </is>
      </c>
      <c r="D3249" t="inlineStr">
        <is>
          <t>1</t>
        </is>
      </c>
      <c r="E3249" t="inlineStr">
        <is>
          <t>18</t>
        </is>
      </c>
      <c r="F3249" t="inlineStr">
        <is>
          <t>0</t>
        </is>
      </c>
      <c r="G3249" t="inlineStr">
        <is>
          <t>0</t>
        </is>
      </c>
      <c r="H3249" t="inlineStr">
        <is>
          <t>2⁶, 34⁶</t>
        </is>
      </c>
      <c r="I3249" t="n">
        <v>12</v>
      </c>
      <c r="J3249" t="inlineStr">
        <is>
          <t>1², 16¹</t>
        </is>
      </c>
      <c r="K3249">
        <f>HYPERLINK("CSG5.html#group34B5", "34B⁵"), =HYPERLINK("CSG5.html#group34C5", "34C⁵"), =HYPERLINK("CSG7.html#group34A7", "34A⁷"), =HYPERLINK("CSG7.html#group34B7", "34B⁷")</f>
        <v/>
      </c>
      <c r="L3249" t="inlineStr"/>
      <c r="M3249">
        <f>HYPERLINK("CSG0.html#group2A0", "2A⁰"), =HYPERLINK("CSG3.html#group34C3", "34C³"), =HYPERLINK("CSG7.html#group34A7", "34A⁷"), =HYPERLINK("CSG1.html#group17B1", "17B¹"), =HYPERLINK("CSG5.html#group34C5", "34C⁵"), =HYPERLINK("CSG5.html#group34B5", "34B⁵"), =HYPERLINK("CSG7.html#group34B7", "34B⁷"), =HYPERLINK("CSG1.html#group17A1", "17A¹"), =HYPERLINK("CSG0.html#group2B0", "2B⁰"), =HYPERLINK("CSG3.html#group34B3", "34B³"), =HYPERLINK("CSG0.html#group1A0", "1A⁰"), =HYPERLINK("CSG0.html#group2C0", "2C⁰"), =HYPERLINK("CSG3.html#group34A3", "34A³")</f>
        <v/>
      </c>
      <c r="N3249" t="inlineStr"/>
    </row>
    <row r="3250">
      <c r="A3250" t="inlineStr">
        <is>
          <t>34D¹³</t>
        </is>
      </c>
      <c r="B3250" t="inlineStr"/>
      <c r="C3250" t="inlineStr">
        <is>
          <t>216</t>
        </is>
      </c>
      <c r="D3250" t="inlineStr">
        <is>
          <t>1</t>
        </is>
      </c>
      <c r="E3250" t="inlineStr">
        <is>
          <t>54</t>
        </is>
      </c>
      <c r="F3250" t="inlineStr">
        <is>
          <t>0</t>
        </is>
      </c>
      <c r="G3250" t="inlineStr">
        <is>
          <t>0</t>
        </is>
      </c>
      <c r="H3250" t="inlineStr">
        <is>
          <t>2⁶, 34⁶</t>
        </is>
      </c>
      <c r="I3250" t="n">
        <v>12</v>
      </c>
      <c r="J3250" t="inlineStr">
        <is>
          <t>1⁶, 16³</t>
        </is>
      </c>
      <c r="K3250">
        <f>HYPERLINK("CSG5.html#group34A5", "34A⁵"), =HYPERLINK("CSG5.html#group34C5", "34C⁵")</f>
        <v/>
      </c>
      <c r="L3250" t="inlineStr"/>
      <c r="M3250">
        <f>HYPERLINK("CSG3.html#group34C3", "34C³"), =HYPERLINK("CSG5.html#group34A5", "34A⁵"), =HYPERLINK("CSG1.html#group17B1", "17B¹"), =HYPERLINK("CSG5.html#group34C5", "34C⁵"), =HYPERLINK("CSG1.html#group17A1", "17A¹"), =HYPERLINK("CSG0.html#group2B0", "2B⁰"), =HYPERLINK("CSG0.html#group1A0", "1A⁰")</f>
        <v/>
      </c>
      <c r="N3250" t="inlineStr"/>
    </row>
    <row r="3251">
      <c r="A3251" t="inlineStr">
        <is>
          <t>35A¹³</t>
        </is>
      </c>
      <c r="B3251" t="inlineStr"/>
      <c r="C3251" t="inlineStr">
        <is>
          <t>210</t>
        </is>
      </c>
      <c r="D3251" t="inlineStr">
        <is>
          <t>1</t>
        </is>
      </c>
      <c r="E3251" t="inlineStr">
        <is>
          <t>210</t>
        </is>
      </c>
      <c r="F3251" t="inlineStr">
        <is>
          <t>10</t>
        </is>
      </c>
      <c r="G3251" t="inlineStr">
        <is>
          <t>0</t>
        </is>
      </c>
      <c r="H3251" t="inlineStr">
        <is>
          <t>35⁶</t>
        </is>
      </c>
      <c r="I3251" t="n">
        <v>6</v>
      </c>
      <c r="J3251" t="inlineStr">
        <is>
          <t>6¹, 12⁵, 24⁶</t>
        </is>
      </c>
      <c r="K3251">
        <f>HYPERLINK("CSG0.html#group7D0", "7D⁰"), =HYPERLINK("CSG4.html#group35B4", "35B⁴")</f>
        <v/>
      </c>
      <c r="L3251" t="inlineStr"/>
      <c r="M3251">
        <f>HYPERLINK("CSG0.html#group5C0", "5C⁰"), =HYPERLINK("CSG0.html#group7D0", "7D⁰"), =HYPERLINK("CSG0.html#group1A0", "1A⁰"), =HYPERLINK("CSG4.html#group35B4", "35B⁴"), =HYPERLINK("CSG0.html#group7A0", "7A⁰")</f>
        <v/>
      </c>
      <c r="N3251" t="inlineStr"/>
    </row>
    <row r="3252">
      <c r="A3252" t="inlineStr">
        <is>
          <t>35B¹³</t>
        </is>
      </c>
      <c r="B3252" t="inlineStr"/>
      <c r="C3252" t="inlineStr">
        <is>
          <t>210</t>
        </is>
      </c>
      <c r="D3252" t="inlineStr">
        <is>
          <t>2</t>
        </is>
      </c>
      <c r="E3252" t="inlineStr">
        <is>
          <t>105</t>
        </is>
      </c>
      <c r="F3252" t="inlineStr">
        <is>
          <t>10</t>
        </is>
      </c>
      <c r="G3252" t="inlineStr">
        <is>
          <t>0</t>
        </is>
      </c>
      <c r="H3252" t="inlineStr">
        <is>
          <t>35⁶</t>
        </is>
      </c>
      <c r="I3252" t="n">
        <v>6</v>
      </c>
      <c r="J3252" t="inlineStr">
        <is>
          <t>2¹, 4¹, 6², 8³, 12², 24⁶</t>
        </is>
      </c>
      <c r="K3252">
        <f>HYPERLINK("CSG6.html#group35B6", "35B⁶")</f>
        <v/>
      </c>
      <c r="L3252" t="inlineStr"/>
      <c r="M3252">
        <f>HYPERLINK("CSG0.html#group5E0", "5E⁰"), =HYPERLINK("CSG0.html#group5A0", "5A⁰"), =HYPERLINK("CSG6.html#group35B6", "35B⁶"), =HYPERLINK("CSG0.html#group1A0", "1A⁰"), =HYPERLINK("CSG2.html#group35A2", "35A²"), =HYPERLINK("CSG0.html#group7A0", "7A⁰")</f>
        <v/>
      </c>
      <c r="N3252" t="inlineStr"/>
    </row>
    <row r="3253">
      <c r="A3253" t="inlineStr">
        <is>
          <t>35C¹³</t>
        </is>
      </c>
      <c r="B3253" t="inlineStr"/>
      <c r="C3253" t="inlineStr">
        <is>
          <t>252</t>
        </is>
      </c>
      <c r="D3253" t="inlineStr">
        <is>
          <t>2</t>
        </is>
      </c>
      <c r="E3253" t="inlineStr">
        <is>
          <t>42</t>
        </is>
      </c>
      <c r="F3253" t="inlineStr">
        <is>
          <t>12</t>
        </is>
      </c>
      <c r="G3253" t="inlineStr">
        <is>
          <t>0</t>
        </is>
      </c>
      <c r="H3253" t="inlineStr">
        <is>
          <t>7⁶, 35⁶</t>
        </is>
      </c>
      <c r="I3253" t="n">
        <v>12</v>
      </c>
      <c r="J3253" t="inlineStr">
        <is>
          <t>2², 6⁴, 8¹, 24²</t>
        </is>
      </c>
      <c r="K3253">
        <f>HYPERLINK("CSG0.html#group7G0", "7G⁰"), =HYPERLINK("CSG5.html#group35B5", "35B⁵"), =HYPERLINK("CSG6.html#group35E6", "35E⁶")</f>
        <v/>
      </c>
      <c r="L3253" t="inlineStr"/>
      <c r="M3253">
        <f>HYPERLINK("CSG2.html#group35C2", "35C²"), =HYPERLINK("CSG0.html#group7D0", "7D⁰"), =HYPERLINK("CSG6.html#group35E6", "35E⁶"), =HYPERLINK("CSG0.html#group7C0", "7C⁰"), =HYPERLINK("CSG0.html#group5B0", "5B⁰"), =HYPERLINK("CSG5.html#group35B5", "35B⁵"), =HYPERLINK("CSG0.html#group7G0", "7G⁰"), =HYPERLINK("CSG0.html#group1A0", "1A⁰"), =HYPERLINK("CSG0.html#group7A0", "7A⁰")</f>
        <v/>
      </c>
      <c r="N3253" t="inlineStr"/>
    </row>
    <row r="3254">
      <c r="A3254" t="inlineStr">
        <is>
          <t>35D¹³</t>
        </is>
      </c>
      <c r="B3254" t="inlineStr"/>
      <c r="C3254" t="inlineStr">
        <is>
          <t>288</t>
        </is>
      </c>
      <c r="D3254" t="inlineStr">
        <is>
          <t>1</t>
        </is>
      </c>
      <c r="E3254" t="inlineStr">
        <is>
          <t>48</t>
        </is>
      </c>
      <c r="F3254" t="inlineStr">
        <is>
          <t>0</t>
        </is>
      </c>
      <c r="G3254" t="inlineStr">
        <is>
          <t>0</t>
        </is>
      </c>
      <c r="H3254" t="inlineStr">
        <is>
          <t>1⁶, 5⁶, 7⁶, 35⁶</t>
        </is>
      </c>
      <c r="I3254" t="n">
        <v>24</v>
      </c>
      <c r="J3254" t="inlineStr">
        <is>
          <t>1⁴, 4², 6², 24¹</t>
        </is>
      </c>
      <c r="K3254">
        <f>HYPERLINK("CSG5.html#group35C5", "35C⁵"), =HYPERLINK("CSG7.html#group35B7", "35B⁷")</f>
        <v/>
      </c>
      <c r="L3254" t="inlineStr"/>
      <c r="M3254">
        <f>HYPERLINK("CSG7.html#group35B7", "35B⁷"), =HYPERLINK("CSG0.html#group7B0", "7B⁰"), =HYPERLINK("CSG0.html#group5B0", "5B⁰"), =HYPERLINK("CSG0.html#group5D0", "5D⁰"), =HYPERLINK("CSG0.html#group7E0", "7E⁰"), =HYPERLINK("CSG0.html#group1A0", "1A⁰"), =HYPERLINK("CSG3.html#group35A3", "35A³"), =HYPERLINK("CSG5.html#group35C5", "35C⁵")</f>
        <v/>
      </c>
      <c r="N3254" t="inlineStr"/>
    </row>
    <row r="3255">
      <c r="A3255" t="inlineStr">
        <is>
          <t>36A¹³</t>
        </is>
      </c>
      <c r="B3255" t="inlineStr"/>
      <c r="C3255" t="inlineStr">
        <is>
          <t>192</t>
        </is>
      </c>
      <c r="D3255" t="inlineStr">
        <is>
          <t>1</t>
        </is>
      </c>
      <c r="E3255" t="inlineStr">
        <is>
          <t>16</t>
        </is>
      </c>
      <c r="F3255" t="inlineStr">
        <is>
          <t>0</t>
        </is>
      </c>
      <c r="G3255" t="inlineStr">
        <is>
          <t>0</t>
        </is>
      </c>
      <c r="H3255" t="inlineStr">
        <is>
          <t>12⁴, 36⁴</t>
        </is>
      </c>
      <c r="I3255" t="n">
        <v>8</v>
      </c>
      <c r="J3255" t="inlineStr">
        <is>
          <t>2⁴, 4²</t>
        </is>
      </c>
      <c r="K3255">
        <f>HYPERLINK("CSG1.html#group12R1", "12R¹"), =HYPERLINK("CSG4.html#group36A4", "36A⁴"), =HYPERLINK("CSG7.html#group36A7", "36A⁷")</f>
        <v/>
      </c>
      <c r="L3255" t="inlineStr"/>
      <c r="M3255">
        <f>HYPERLINK("CSG0.html#group3B0", "3B⁰"), =HYPERLINK("CSG0.html#group2A0", "2A⁰"), =HYPERLINK("CSG1.html#group12I1", "12I¹"), =HYPERLINK("CSG0.html#group6C0", "6C⁰"), =HYPERLINK("CSG0.html#group1A0", "1A⁰"), =HYPERLINK("CSG7.html#group36A7", "36A⁷"), =HYPERLINK("CSG2.html#group18B2", "18B²"), =HYPERLINK("CSG0.html#group4A0", "4A⁰"), =HYPERLINK("CSG0.html#group4D0", "4D⁰"), =HYPERLINK("CSG1.html#group12A1", "12A¹"), =HYPERLINK("CSG1.html#group9A1", "9A¹"), =HYPERLINK("CSG4.html#group36A4", "36A⁴"), =HYPERLINK("CSG4.html#group36C4", "36C⁴"), =HYPERLINK("CSG1.html#group12R1", "12R¹"), =HYPERLINK("CSG0.html#group12B0", "12B⁰")</f>
        <v/>
      </c>
      <c r="N3255" t="inlineStr"/>
    </row>
    <row r="3256">
      <c r="A3256" t="inlineStr">
        <is>
          <t>36B¹³</t>
        </is>
      </c>
      <c r="B3256" t="inlineStr"/>
      <c r="C3256" t="inlineStr">
        <is>
          <t>192</t>
        </is>
      </c>
      <c r="D3256" t="inlineStr">
        <is>
          <t>1</t>
        </is>
      </c>
      <c r="E3256" t="inlineStr">
        <is>
          <t>32</t>
        </is>
      </c>
      <c r="F3256" t="inlineStr">
        <is>
          <t>0</t>
        </is>
      </c>
      <c r="G3256" t="inlineStr">
        <is>
          <t>0</t>
        </is>
      </c>
      <c r="H3256" t="inlineStr">
        <is>
          <t>12⁴, 36⁴</t>
        </is>
      </c>
      <c r="I3256" t="n">
        <v>8</v>
      </c>
      <c r="J3256" t="inlineStr">
        <is>
          <t>4⁸</t>
        </is>
      </c>
      <c r="K3256">
        <f>HYPERLINK("CSG1.html#group12R1", "12R¹"), =HYPERLINK("CSG4.html#group36B4", "36B⁴"), =HYPERLINK("CSG7.html#group36B7", "36B⁷")</f>
        <v/>
      </c>
      <c r="L3256" t="inlineStr"/>
      <c r="M3256">
        <f>HYPERLINK("CSG0.html#group2A0", "2A⁰"), =HYPERLINK("CSG0.html#group3B0", "3B⁰"), =HYPERLINK("CSG1.html#group12I1", "12I¹"), =HYPERLINK("CSG0.html#group4A0", "4A⁰"), =HYPERLINK("CSG7.html#group36B7", "36B⁷"), =HYPERLINK("CSG0.html#group4D0", "4D⁰"), =HYPERLINK("CSG1.html#group12A1", "12A¹"), =HYPERLINK("CSG0.html#group6C0", "6C⁰"), =HYPERLINK("CSG4.html#group36B4", "36B⁴"), =HYPERLINK("CSG1.html#group12R1", "12R¹"), =HYPERLINK("CSG0.html#group12B0", "12B⁰"), =HYPERLINK("CSG0.html#group1A0", "1A⁰"), =HYPERLINK("CSG2.html#group18C2", "18C²")</f>
        <v/>
      </c>
      <c r="N3256" t="inlineStr"/>
    </row>
    <row r="3257">
      <c r="A3257" t="inlineStr">
        <is>
          <t>36C¹³</t>
        </is>
      </c>
      <c r="B3257" t="inlineStr"/>
      <c r="C3257" t="inlineStr">
        <is>
          <t>216</t>
        </is>
      </c>
      <c r="D3257" t="inlineStr">
        <is>
          <t>1</t>
        </is>
      </c>
      <c r="E3257" t="inlineStr">
        <is>
          <t>9</t>
        </is>
      </c>
      <c r="F3257" t="inlineStr">
        <is>
          <t>0</t>
        </is>
      </c>
      <c r="G3257" t="inlineStr">
        <is>
          <t>0</t>
        </is>
      </c>
      <c r="H3257" t="inlineStr">
        <is>
          <t>9⁸, 36⁴</t>
        </is>
      </c>
      <c r="I3257" t="n">
        <v>12</v>
      </c>
      <c r="J3257" t="inlineStr">
        <is>
          <t>1³, 2³</t>
        </is>
      </c>
      <c r="K3257">
        <f>HYPERLINK("CSG1.html#group12S1", "12S¹"), =HYPERLINK("CSG4.html#group36P4", "36P⁴"), =HYPERLINK("CSG6.html#group18A6", "18A⁶"), =HYPERLINK("CSG6.html#group36H6", "36H⁶"), =HYPERLINK("CSG7.html#group36C7", "36C⁷"), =HYPERLINK("CSG7.html#group36D7", "36D⁷")</f>
        <v/>
      </c>
      <c r="L3257" t="inlineStr"/>
      <c r="M3257">
        <f>HYPERLINK("CSG0.html#group3B0", "3B⁰"), =HYPERLINK("CSG1.html#group12K1", "12K¹"), =HYPERLINK("CSG4.html#group36P4", "36P⁴"), =HYPERLINK("CSG0.html#group6G0", "6G⁰"), =HYPERLINK("CSG1.html#group12S1", "12S¹"), =HYPERLINK("CSG0.html#group2B0", "2B⁰"), =HYPERLINK("CSG0.html#group4B0", "4B⁰"), =HYPERLINK("CSG7.html#group36D7", "36D⁷"), =HYPERLINK("CSG0.html#group1A0", "1A⁰"), =HYPERLINK("CSG1.html#group9B1", "9B¹"), =HYPERLINK("CSG3.html#group18E3", "18E³"), =HYPERLINK("CSG6.html#group36H6", "36H⁶"), =HYPERLINK("CSG0.html#group3D0", "3D⁰"), =HYPERLINK("CSG7.html#group36C7", "36C⁷"), =HYPERLINK("CSG0.html#group12G0", "12G⁰"), =HYPERLINK("CSG0.html#group9D0", "9D⁰"), =HYPERLINK("CSG2.html#group9A2", "9A²"), =HYPERLINK("CSG6.html#group18A6", "18A⁶"), =HYPERLINK("CSG0.html#group9A0", "9A⁰"), =HYPERLINK("CSG4.html#group36D4", "36D⁴"), =HYPERLINK("CSG0.html#group12E0", "12E⁰"), =HYPERLINK("CSG0.html#group3C0", "3C⁰"), =HYPERLINK("CSG0.html#group6K0", "6K⁰"), =HYPERLINK("CSG1.html#group12B1", "12B¹"), =HYPERLINK("CSG0.html#group12D0", "12D⁰"), =HYPERLINK("CSG1.html#group18E1", "18E¹"), =HYPERLINK("CSG0.html#group3A0", "3A⁰"), =HYPERLINK("CSG0.html#group6F0", "6F⁰"), =HYPERLINK("CSG3.html#group36D3", "36D³"), =HYPERLINK("CSG2.html#group18I2", "18I²"), =HYPERLINK("CSG0.html#group6D0", "6D⁰"), =HYPERLINK("CSG2.html#group36C2", "36C²")</f>
        <v/>
      </c>
      <c r="N3257" t="inlineStr"/>
    </row>
    <row r="3258">
      <c r="A3258" t="inlineStr">
        <is>
          <t>36D¹³</t>
        </is>
      </c>
      <c r="B3258" t="inlineStr"/>
      <c r="C3258" t="inlineStr">
        <is>
          <t>216</t>
        </is>
      </c>
      <c r="D3258" t="inlineStr">
        <is>
          <t>1</t>
        </is>
      </c>
      <c r="E3258" t="inlineStr">
        <is>
          <t>12</t>
        </is>
      </c>
      <c r="F3258" t="inlineStr">
        <is>
          <t>0</t>
        </is>
      </c>
      <c r="G3258" t="inlineStr">
        <is>
          <t>0</t>
        </is>
      </c>
      <c r="H3258" t="inlineStr">
        <is>
          <t>6³, 12³, 18³, 36³</t>
        </is>
      </c>
      <c r="I3258" t="n">
        <v>12</v>
      </c>
      <c r="J3258" t="inlineStr">
        <is>
          <t>1⁶, 2³</t>
        </is>
      </c>
      <c r="K3258">
        <f>HYPERLINK("CSG3.html#group12D3", "12D³"), =HYPERLINK("CSG3.html#group36G3", "36G³"), =HYPERLINK("CSG4.html#group18M4", "18M⁴"), =HYPERLINK("CSG5.html#group36A5", "36A⁵"), =HYPERLINK("CSG5.html#group36B5", "36B⁵")</f>
        <v/>
      </c>
      <c r="L3258" t="inlineStr"/>
      <c r="M3258">
        <f>HYPERLINK("CSG0.html#group3B0", "3B⁰"), =HYPERLINK("CSG0.html#group12C0", "12C⁰"), =HYPERLINK("CSG1.html#group12F1", "12F¹"), =HYPERLINK("CSG0.html#group4C0", "4C⁰"), =HYPERLINK("CSG2.html#group12C2", "12C²"), =HYPERLINK("CSG2.html#group18E2", "18E²"), =HYPERLINK("CSG0.html#group6G0", "6G⁰"), =HYPERLINK("CSG0.html#group9B0", "9B⁰"), =HYPERLINK("CSG2.html#group18D2", "18D²"), =HYPERLINK("CSG5.html#group36B5", "36B⁵"), =HYPERLINK("CSG0.html#group2B0", "2B⁰"), =HYPERLINK("CSG5.html#group36A5", "36A⁵"), =HYPERLINK("CSG0.html#group9C0", "9C⁰"), =HYPERLINK("CSG0.html#group1A0", "1A⁰"), =HYPERLINK("CSG1.html#group12L1", "12L¹"), =HYPERLINK("CSG0.html#group18E0", "18E⁰"), =HYPERLINK("CSG3.html#group12D3", "12D³"), =HYPERLINK("CSG1.html#group12C1", "12C¹"), =HYPERLINK("CSG1.html#group9A1", "9A¹"), =HYPERLINK("CSG0.html#group6F0", "6F⁰"), =HYPERLINK("CSG0.html#group3C0", "3C⁰"), =HYPERLINK("CSG0.html#group6K0", "6K⁰"), =HYPERLINK("CSG1.html#group9C1", "9C¹"), =HYPERLINK("CSG4.html#group18M4", "18M⁴"), =HYPERLINK("CSG0.html#group3A0", "3A⁰"), =HYPERLINK("CSG0.html#group3D0", "3D⁰"), =HYPERLINK("CSG3.html#group36G3", "36G³"), =HYPERLINK("CSG0.html#group6D0", "6D⁰")</f>
        <v/>
      </c>
      <c r="N3258" t="inlineStr"/>
    </row>
    <row r="3259">
      <c r="A3259" t="inlineStr">
        <is>
          <t>36E¹³</t>
        </is>
      </c>
      <c r="B3259" t="inlineStr"/>
      <c r="C3259" t="inlineStr">
        <is>
          <t>216</t>
        </is>
      </c>
      <c r="D3259" t="inlineStr">
        <is>
          <t>1</t>
        </is>
      </c>
      <c r="E3259" t="inlineStr">
        <is>
          <t>18</t>
        </is>
      </c>
      <c r="F3259" t="inlineStr">
        <is>
          <t>12</t>
        </is>
      </c>
      <c r="G3259" t="inlineStr">
        <is>
          <t>0</t>
        </is>
      </c>
      <c r="H3259" t="inlineStr">
        <is>
          <t>36⁶</t>
        </is>
      </c>
      <c r="I3259" t="n">
        <v>6</v>
      </c>
      <c r="J3259" t="inlineStr">
        <is>
          <t>2¹, 4¹, 6¹, 12²</t>
        </is>
      </c>
      <c r="K3259">
        <f>HYPERLINK("CSG3.html#group36F3", "36F³"), =HYPERLINK("CSG4.html#group18O4", "18O⁴"), =HYPERLINK("CSG4.html#group36H4", "36H⁴")</f>
        <v/>
      </c>
      <c r="L3259" t="inlineStr"/>
      <c r="M3259">
        <f>HYPERLINK("CSG1.html#group12D1", "12D¹"), =HYPERLINK("CSG0.html#group6B0", "6B⁰"), =HYPERLINK("CSG0.html#group9D0", "9D⁰"), =HYPERLINK("CSG0.html#group18D0", "18D⁰"), =HYPERLINK("CSG0.html#group9E0", "9E⁰"), =HYPERLINK("CSG0.html#group6E0", "6E⁰"), =HYPERLINK("CSG0.html#group3A0", "3A⁰"), =HYPERLINK("CSG0.html#group9A0", "9A⁰"), =HYPERLINK("CSG3.html#group36F3", "36F³"), =HYPERLINK("CSG0.html#group3C0", "3C⁰"), =HYPERLINK("CSG1.html#group9E1", "9E¹"), =HYPERLINK("CSG1.html#group18F1", "18F¹"), =HYPERLINK("CSG4.html#group36H4", "36H⁴"), =HYPERLINK("CSG4.html#group18O4", "18O⁴"), =HYPERLINK("CSG0.html#group1A0", "1A⁰"), =HYPERLINK("CSG0.html#group18A0", "18A⁰")</f>
        <v/>
      </c>
      <c r="N3259" t="inlineStr"/>
    </row>
    <row r="3260">
      <c r="A3260" t="inlineStr">
        <is>
          <t>36F¹³</t>
        </is>
      </c>
      <c r="B3260" t="inlineStr"/>
      <c r="C3260" t="inlineStr">
        <is>
          <t>216</t>
        </is>
      </c>
      <c r="D3260" t="inlineStr">
        <is>
          <t>1</t>
        </is>
      </c>
      <c r="E3260" t="inlineStr">
        <is>
          <t>18</t>
        </is>
      </c>
      <c r="F3260" t="inlineStr">
        <is>
          <t>12</t>
        </is>
      </c>
      <c r="G3260" t="inlineStr">
        <is>
          <t>0</t>
        </is>
      </c>
      <c r="H3260" t="inlineStr">
        <is>
          <t>36⁶</t>
        </is>
      </c>
      <c r="I3260" t="n">
        <v>6</v>
      </c>
      <c r="J3260" t="inlineStr">
        <is>
          <t>2¹, 4¹, 6¹, 12²</t>
        </is>
      </c>
      <c r="K3260">
        <f>HYPERLINK("CSG3.html#group36F3", "36F³"), =HYPERLINK("CSG4.html#group18O4", "18O⁴"), =HYPERLINK("CSG4.html#group36I4", "36I⁴")</f>
        <v/>
      </c>
      <c r="L3260" t="inlineStr"/>
      <c r="M3260">
        <f>HYPERLINK("CSG1.html#group12D1", "12D¹"), =HYPERLINK("CSG0.html#group6B0", "6B⁰"), =HYPERLINK("CSG4.html#group36I4", "36I⁴"), =HYPERLINK("CSG0.html#group9D0", "9D⁰"), =HYPERLINK("CSG0.html#group18D0", "18D⁰"), =HYPERLINK("CSG0.html#group6E0", "6E⁰"), =HYPERLINK("CSG0.html#group3A0", "3A⁰"), =HYPERLINK("CSG0.html#group9A0", "9A⁰"), =HYPERLINK("CSG3.html#group36F3", "36F³"), =HYPERLINK("CSG0.html#group3C0", "3C⁰"), =HYPERLINK("CSG1.html#group9E1", "9E¹"), =HYPERLINK("CSG1.html#group18F1", "18F¹"), =HYPERLINK("CSG0.html#group9E0", "9E⁰"), =HYPERLINK("CSG4.html#group18O4", "18O⁴"), =HYPERLINK("CSG0.html#group1A0", "1A⁰"), =HYPERLINK("CSG0.html#group18A0", "18A⁰")</f>
        <v/>
      </c>
      <c r="N3260" t="inlineStr"/>
    </row>
    <row r="3261">
      <c r="A3261" t="inlineStr">
        <is>
          <t>36G¹³</t>
        </is>
      </c>
      <c r="B3261" t="inlineStr"/>
      <c r="C3261" t="inlineStr">
        <is>
          <t>216</t>
        </is>
      </c>
      <c r="D3261" t="inlineStr">
        <is>
          <t>1</t>
        </is>
      </c>
      <c r="E3261" t="inlineStr">
        <is>
          <t>18</t>
        </is>
      </c>
      <c r="F3261" t="inlineStr">
        <is>
          <t>12</t>
        </is>
      </c>
      <c r="G3261" t="inlineStr">
        <is>
          <t>0</t>
        </is>
      </c>
      <c r="H3261" t="inlineStr">
        <is>
          <t>36⁶</t>
        </is>
      </c>
      <c r="I3261" t="n">
        <v>6</v>
      </c>
      <c r="J3261" t="inlineStr">
        <is>
          <t>2³, 4³</t>
        </is>
      </c>
      <c r="K3261">
        <f>HYPERLINK("CSG3.html#group12H3", "12H³"), =HYPERLINK("CSG3.html#group36F3", "36F³"), =HYPERLINK("CSG4.html#group18L4", "18L⁴")</f>
        <v/>
      </c>
      <c r="L3261" t="inlineStr"/>
      <c r="M3261">
        <f>HYPERLINK("CSG1.html#group12D1", "12D¹"), =HYPERLINK("CSG0.html#group6B0", "6B⁰"), =HYPERLINK("CSG4.html#group18L4", "18L⁴"), =HYPERLINK("CSG0.html#group6H0", "6H⁰"), =HYPERLINK("CSG0.html#group6G0", "6G⁰"), =HYPERLINK("CSG0.html#group2B0", "2B⁰"), =HYPERLINK("CSG0.html#group1A0", "1A⁰"), =HYPERLINK("CSG0.html#group18A0", "18A⁰"), =HYPERLINK("CSG2.html#group18L2", "18L²"), =HYPERLINK("CSG0.html#group9D0", "9D⁰"), =HYPERLINK("CSG0.html#group18D0", "18D⁰"), =HYPERLINK("CSG0.html#group6E0", "6E⁰"), =HYPERLINK("CSG0.html#group6L0", "6L⁰"), =HYPERLINK("CSG0.html#group9A0", "9A⁰"), =HYPERLINK("CSG3.html#group36F3", "36F³"), =HYPERLINK("CSG0.html#group3C0", "3C⁰"), =HYPERLINK("CSG1.html#group18E1", "18E¹"), =HYPERLINK("CSG0.html#group3A0", "3A⁰"), =HYPERLINK("CSG3.html#group12H3", "12H³"), =HYPERLINK("CSG2.html#group18I2", "18I²"), =HYPERLINK("CSG0.html#group6D0", "6D⁰")</f>
        <v/>
      </c>
      <c r="N3261" t="inlineStr"/>
    </row>
    <row r="3262">
      <c r="A3262" t="inlineStr">
        <is>
          <t>36H¹³</t>
        </is>
      </c>
      <c r="B3262" t="inlineStr"/>
      <c r="C3262" t="inlineStr">
        <is>
          <t>216</t>
        </is>
      </c>
      <c r="D3262" t="inlineStr">
        <is>
          <t>1</t>
        </is>
      </c>
      <c r="E3262" t="inlineStr">
        <is>
          <t>18</t>
        </is>
      </c>
      <c r="F3262" t="inlineStr">
        <is>
          <t>12</t>
        </is>
      </c>
      <c r="G3262" t="inlineStr">
        <is>
          <t>0</t>
        </is>
      </c>
      <c r="H3262" t="inlineStr">
        <is>
          <t>36⁶</t>
        </is>
      </c>
      <c r="I3262" t="n">
        <v>6</v>
      </c>
      <c r="J3262" t="inlineStr">
        <is>
          <t>1², 2⁴, 4²</t>
        </is>
      </c>
      <c r="K3262">
        <f>HYPERLINK("CSG3.html#group12I3", "12I³"), =HYPERLINK("CSG5.html#group36H5", "36H⁵"), =HYPERLINK("CSG6.html#group36I6", "36I⁶")</f>
        <v/>
      </c>
      <c r="L3262" t="inlineStr"/>
      <c r="M3262">
        <f>HYPERLINK("CSG0.html#group12C0", "12C⁰"), =HYPERLINK("CSG3.html#group36E3", "36E³"), =HYPERLINK("CSG0.html#group4C0", "4C⁰"), =HYPERLINK("CSG2.html#group36B2", "36B²"), =HYPERLINK("CSG0.html#group6G0", "6G⁰"), =HYPERLINK("CSG1.html#group12M1", "12M¹"), =HYPERLINK("CSG5.html#group36H5", "36H⁵"), =HYPERLINK("CSG0.html#group2B0", "2B⁰"), =HYPERLINK("CSG1.html#group12L1", "12L¹"), =HYPERLINK("CSG0.html#group1A0", "1A⁰"), =HYPERLINK("CSG0.html#group9D0", "9D⁰"), =HYPERLINK("CSG6.html#group36I6", "36I⁶"), =HYPERLINK("CSG1.html#group12C1", "12C¹"), =HYPERLINK("CSG3.html#group12I3", "12I³"), =HYPERLINK("CSG0.html#group9A0", "9A⁰"), =HYPERLINK("CSG0.html#group3C0", "3C⁰"), =HYPERLINK("CSG1.html#group18E1", "18E¹"), =HYPERLINK("CSG0.html#group3A0", "3A⁰"), =HYPERLINK("CSG2.html#group18I2", "18I²"), =HYPERLINK("CSG0.html#group6D0", "6D⁰")</f>
        <v/>
      </c>
      <c r="N3262" t="inlineStr"/>
    </row>
    <row r="3263">
      <c r="A3263" t="inlineStr">
        <is>
          <t>36I¹³</t>
        </is>
      </c>
      <c r="B3263" t="inlineStr"/>
      <c r="C3263" t="inlineStr">
        <is>
          <t>216</t>
        </is>
      </c>
      <c r="D3263" t="inlineStr">
        <is>
          <t>1</t>
        </is>
      </c>
      <c r="E3263" t="inlineStr">
        <is>
          <t>18</t>
        </is>
      </c>
      <c r="F3263" t="inlineStr">
        <is>
          <t>12</t>
        </is>
      </c>
      <c r="G3263" t="inlineStr">
        <is>
          <t>0</t>
        </is>
      </c>
      <c r="H3263" t="inlineStr">
        <is>
          <t>36⁶</t>
        </is>
      </c>
      <c r="I3263" t="n">
        <v>6</v>
      </c>
      <c r="J3263" t="inlineStr">
        <is>
          <t>1², 2⁴, 4²</t>
        </is>
      </c>
      <c r="K3263">
        <f>HYPERLINK("CSG3.html#group12J3", "12J³"), =HYPERLINK("CSG3.html#group36H3", "36H³"), =HYPERLINK("CSG5.html#group36H5", "36H⁵"), =HYPERLINK("CSG6.html#group36E6", "36E⁶"), =HYPERLINK("CSG6.html#group36F6", "36F⁶")</f>
        <v/>
      </c>
      <c r="L3263" t="inlineStr"/>
      <c r="M3263">
        <f>HYPERLINK("CSG1.html#group12G1", "12G¹"), =HYPERLINK("CSG0.html#group12C0", "12C⁰"), =HYPERLINK("CSG6.html#group36E6", "36E⁶"), =HYPERLINK("CSG3.html#group36E3", "36E³"), =HYPERLINK("CSG2.html#group36B2", "36B²"), =HYPERLINK("CSG3.html#group36H3", "36H³"), =HYPERLINK("CSG0.html#group4C0", "4C⁰"), =HYPERLINK("CSG0.html#group6G0", "6G⁰"), =HYPERLINK("CSG0.html#group2B0", "2B⁰"), =HYPERLINK("CSG5.html#group36H5", "36H⁵"), =HYPERLINK("CSG1.html#group12M1", "12M¹"), =HYPERLINK("CSG0.html#group1A0", "1A⁰"), =HYPERLINK("CSG1.html#group12L1", "12L¹"), =HYPERLINK("CSG3.html#group12J3", "12J³"), =HYPERLINK("CSG1.html#group36A1", "36A¹"), =HYPERLINK("CSG6.html#group36F6", "36F⁶"), =HYPERLINK("CSG0.html#group12A0", "12A⁰"), =HYPERLINK("CSG0.html#group9D0", "9D⁰"), =HYPERLINK("CSG1.html#group12C1", "12C¹"), =HYPERLINK("CSG0.html#group4A0", "4A⁰"), =HYPERLINK("CSG0.html#group9A0", "9A⁰"), =HYPERLINK("CSG0.html#group3C0", "3C⁰"), =HYPERLINK("CSG1.html#group12J1", "12J¹"), =HYPERLINK("CSG0.html#group4F0", "4F⁰"), =HYPERLINK("CSG1.html#group18E1", "18E¹"), =HYPERLINK("CSG0.html#group3A0", "3A⁰"), =HYPERLINK("CSG2.html#group18I2", "18I²"), =HYPERLINK("CSG0.html#group6D0", "6D⁰")</f>
        <v/>
      </c>
      <c r="N3263" t="inlineStr"/>
    </row>
    <row r="3264">
      <c r="A3264" t="inlineStr">
        <is>
          <t>36J¹³</t>
        </is>
      </c>
      <c r="B3264" t="inlineStr"/>
      <c r="C3264" t="inlineStr">
        <is>
          <t>216</t>
        </is>
      </c>
      <c r="D3264" t="inlineStr">
        <is>
          <t>1</t>
        </is>
      </c>
      <c r="E3264" t="inlineStr">
        <is>
          <t>36</t>
        </is>
      </c>
      <c r="F3264" t="inlineStr">
        <is>
          <t>0</t>
        </is>
      </c>
      <c r="G3264" t="inlineStr">
        <is>
          <t>0</t>
        </is>
      </c>
      <c r="H3264" t="inlineStr">
        <is>
          <t>6³, 12³, 18³, 36³</t>
        </is>
      </c>
      <c r="I3264" t="n">
        <v>12</v>
      </c>
      <c r="J3264" t="inlineStr">
        <is>
          <t>1⁶, 2⁶, 6³</t>
        </is>
      </c>
      <c r="K3264">
        <f>HYPERLINK("CSG4.html#group18P4", "18P⁴"), =HYPERLINK("CSG5.html#group36A5", "36A⁵")</f>
        <v/>
      </c>
      <c r="L3264" t="inlineStr"/>
      <c r="M3264">
        <f>HYPERLINK("CSG0.html#group3B0", "3B⁰"), =HYPERLINK("CSG4.html#group18P4", "18P⁴"), =HYPERLINK("CSG0.html#group9J0", "9J⁰"), =HYPERLINK("CSG1.html#group12F1", "12F¹"), =HYPERLINK("CSG0.html#group4C0", "4C⁰"), =HYPERLINK("CSG0.html#group9C0", "9C⁰"), =HYPERLINK("CSG2.html#group18D2", "18D²"), =HYPERLINK("CSG0.html#group1A0", "1A⁰"), =HYPERLINK("CSG0.html#group2B0", "2B⁰"), =HYPERLINK("CSG5.html#group36A5", "36A⁵"), =HYPERLINK("CSG0.html#group6F0", "6F⁰")</f>
        <v/>
      </c>
      <c r="N3264" t="inlineStr"/>
    </row>
    <row r="3265">
      <c r="A3265" t="inlineStr">
        <is>
          <t>36K¹³</t>
        </is>
      </c>
      <c r="B3265" t="inlineStr"/>
      <c r="C3265" t="inlineStr">
        <is>
          <t>216</t>
        </is>
      </c>
      <c r="D3265" t="inlineStr">
        <is>
          <t>1</t>
        </is>
      </c>
      <c r="E3265" t="inlineStr">
        <is>
          <t>36</t>
        </is>
      </c>
      <c r="F3265" t="inlineStr">
        <is>
          <t>0</t>
        </is>
      </c>
      <c r="G3265" t="inlineStr">
        <is>
          <t>0</t>
        </is>
      </c>
      <c r="H3265" t="inlineStr">
        <is>
          <t>6³, 12³, 18³, 36³</t>
        </is>
      </c>
      <c r="I3265" t="n">
        <v>12</v>
      </c>
      <c r="J3265" t="inlineStr">
        <is>
          <t>1⁶, 2⁶, 6³</t>
        </is>
      </c>
      <c r="K3265">
        <f>HYPERLINK("CSG4.html#group18Q4", "18Q⁴"), =HYPERLINK("CSG5.html#group36B5", "36B⁵")</f>
        <v/>
      </c>
      <c r="L3265" t="inlineStr"/>
      <c r="M3265">
        <f>HYPERLINK("CSG0.html#group3B0", "3B⁰"), =HYPERLINK("CSG1.html#group12F1", "12F¹"), =HYPERLINK("CSG1.html#group9A1", "9A¹"), =HYPERLINK("CSG2.html#group18E2", "18E²"), =HYPERLINK("CSG0.html#group4C0", "4C⁰"), =HYPERLINK("CSG4.html#group18Q4", "18Q⁴"), =HYPERLINK("CSG0.html#group1A0", "1A⁰"), =HYPERLINK("CSG5.html#group36B5", "36B⁵"), =HYPERLINK("CSG0.html#group2B0", "2B⁰"), =HYPERLINK("CSG1.html#group9D1", "9D¹"), =HYPERLINK("CSG0.html#group6F0", "6F⁰")</f>
        <v/>
      </c>
      <c r="N3265" t="inlineStr"/>
    </row>
    <row r="3266">
      <c r="A3266" t="inlineStr">
        <is>
          <t>36L¹³</t>
        </is>
      </c>
      <c r="B3266" t="inlineStr"/>
      <c r="C3266" t="inlineStr">
        <is>
          <t>216</t>
        </is>
      </c>
      <c r="D3266" t="inlineStr">
        <is>
          <t>1</t>
        </is>
      </c>
      <c r="E3266" t="inlineStr">
        <is>
          <t>36</t>
        </is>
      </c>
      <c r="F3266" t="inlineStr">
        <is>
          <t>12</t>
        </is>
      </c>
      <c r="G3266" t="inlineStr">
        <is>
          <t>0</t>
        </is>
      </c>
      <c r="H3266" t="inlineStr">
        <is>
          <t>36⁶</t>
        </is>
      </c>
      <c r="I3266" t="n">
        <v>6</v>
      </c>
      <c r="J3266" t="inlineStr">
        <is>
          <t>4³, 6², 12⁴</t>
        </is>
      </c>
      <c r="K3266">
        <f>HYPERLINK("CSG3.html#group36F3", "36F³"), =HYPERLINK("CSG4.html#group18R4", "18R⁴"), =HYPERLINK("CSG4.html#group36J4", "36J⁴")</f>
        <v/>
      </c>
      <c r="L3266" t="inlineStr"/>
      <c r="M3266">
        <f>HYPERLINK("CSG4.html#group36J4", "36J⁴"), =HYPERLINK("CSG1.html#group12D1", "12D¹"), =HYPERLINK("CSG0.html#group6B0", "6B⁰"), =HYPERLINK("CSG0.html#group9D0", "9D⁰"), =HYPERLINK("CSG0.html#group18D0", "18D⁰"), =HYPERLINK("CSG0.html#group6E0", "6E⁰"), =HYPERLINK("CSG0.html#group9A0", "9A⁰"), =HYPERLINK("CSG3.html#group36F3", "36F³"), =HYPERLINK("CSG4.html#group18R4", "18R⁴"), =HYPERLINK("CSG0.html#group3C0", "3C⁰"), =HYPERLINK("CSG1.html#group18G1", "18G¹"), =HYPERLINK("CSG0.html#group3A0", "3A⁰"), =HYPERLINK("CSG0.html#group1A0", "1A⁰"), =HYPERLINK("CSG0.html#group18A0", "18A⁰")</f>
        <v/>
      </c>
      <c r="N3266" t="inlineStr"/>
    </row>
    <row r="3267">
      <c r="A3267" t="inlineStr">
        <is>
          <t>36M¹³</t>
        </is>
      </c>
      <c r="B3267" t="inlineStr"/>
      <c r="C3267" t="inlineStr">
        <is>
          <t>216</t>
        </is>
      </c>
      <c r="D3267" t="inlineStr">
        <is>
          <t>1</t>
        </is>
      </c>
      <c r="E3267" t="inlineStr">
        <is>
          <t>36</t>
        </is>
      </c>
      <c r="F3267" t="inlineStr">
        <is>
          <t>12</t>
        </is>
      </c>
      <c r="G3267" t="inlineStr">
        <is>
          <t>0</t>
        </is>
      </c>
      <c r="H3267" t="inlineStr">
        <is>
          <t>36⁶</t>
        </is>
      </c>
      <c r="I3267" t="n">
        <v>6</v>
      </c>
      <c r="J3267" t="inlineStr">
        <is>
          <t>4³, 6², 12⁴</t>
        </is>
      </c>
      <c r="K3267">
        <f>HYPERLINK("CSG3.html#group36F3", "36F³"), =HYPERLINK("CSG4.html#group18R4", "18R⁴"), =HYPERLINK("CSG4.html#group36K4", "36K⁴")</f>
        <v/>
      </c>
      <c r="L3267" t="inlineStr"/>
      <c r="M3267">
        <f>HYPERLINK("CSG4.html#group36K4", "36K⁴"), =HYPERLINK("CSG1.html#group12D1", "12D¹"), =HYPERLINK("CSG0.html#group6B0", "6B⁰"), =HYPERLINK("CSG4.html#group18R4", "18R⁴"), =HYPERLINK("CSG0.html#group1A0", "1A⁰"), =HYPERLINK("CSG0.html#group18A0", "18A⁰"), =HYPERLINK("CSG0.html#group9D0", "9D⁰"), =HYPERLINK("CSG0.html#group18D0", "18D⁰"), =HYPERLINK("CSG0.html#group6E0", "6E⁰"), =HYPERLINK("CSG0.html#group9A0", "9A⁰"), =HYPERLINK("CSG3.html#group36F3", "36F³"), =HYPERLINK("CSG0.html#group3C0", "3C⁰"), =HYPERLINK("CSG1.html#group18G1", "18G¹"), =HYPERLINK("CSG0.html#group3A0", "3A⁰")</f>
        <v/>
      </c>
      <c r="N3267" t="inlineStr"/>
    </row>
    <row r="3268">
      <c r="A3268" t="inlineStr">
        <is>
          <t>36N¹³</t>
        </is>
      </c>
      <c r="B3268" t="inlineStr"/>
      <c r="C3268" t="inlineStr">
        <is>
          <t>216</t>
        </is>
      </c>
      <c r="D3268" t="inlineStr">
        <is>
          <t>1</t>
        </is>
      </c>
      <c r="E3268" t="inlineStr">
        <is>
          <t>72</t>
        </is>
      </c>
      <c r="F3268" t="inlineStr">
        <is>
          <t>12</t>
        </is>
      </c>
      <c r="G3268" t="inlineStr">
        <is>
          <t>0</t>
        </is>
      </c>
      <c r="H3268" t="inlineStr">
        <is>
          <t>36⁶</t>
        </is>
      </c>
      <c r="I3268" t="n">
        <v>6</v>
      </c>
      <c r="J3268" t="inlineStr">
        <is>
          <t>2², 4², 6², 12⁴</t>
        </is>
      </c>
      <c r="K3268">
        <f>HYPERLINK("CSG1.html#group9E1", "9E¹"), =HYPERLINK("CSG3.html#group36H3", "36H³"), =HYPERLINK("CSG4.html#group36M4", "36M⁴")</f>
        <v/>
      </c>
      <c r="L3268" t="inlineStr"/>
      <c r="M3268">
        <f>HYPERLINK("CSG1.html#group12G1", "12G¹"), =HYPERLINK("CSG1.html#group36A1", "36A¹"), =HYPERLINK("CSG0.html#group12A0", "12A⁰"), =HYPERLINK("CSG0.html#group9D0", "9D⁰"), =HYPERLINK("CSG0.html#group4A0", "4A⁰"), =HYPERLINK("CSG0.html#group9A0", "9A⁰"), =HYPERLINK("CSG3.html#group36H3", "36H³"), =HYPERLINK("CSG4.html#group36M4", "36M⁴"), =HYPERLINK("CSG0.html#group3C0", "3C⁰"), =HYPERLINK("CSG1.html#group9E1", "9E¹"), =HYPERLINK("CSG0.html#group9E0", "9E⁰"), =HYPERLINK("CSG0.html#group3A0", "3A⁰"), =HYPERLINK("CSG0.html#group1A0", "1A⁰")</f>
        <v/>
      </c>
      <c r="N3268" t="inlineStr"/>
    </row>
    <row r="3269">
      <c r="A3269" t="inlineStr">
        <is>
          <t>36O¹³</t>
        </is>
      </c>
      <c r="B3269" t="inlineStr"/>
      <c r="C3269" t="inlineStr">
        <is>
          <t>216</t>
        </is>
      </c>
      <c r="D3269" t="inlineStr">
        <is>
          <t>2</t>
        </is>
      </c>
      <c r="E3269" t="inlineStr">
        <is>
          <t>18</t>
        </is>
      </c>
      <c r="F3269" t="inlineStr">
        <is>
          <t>12</t>
        </is>
      </c>
      <c r="G3269" t="inlineStr">
        <is>
          <t>0</t>
        </is>
      </c>
      <c r="H3269" t="inlineStr">
        <is>
          <t>36⁶</t>
        </is>
      </c>
      <c r="I3269" t="n">
        <v>6</v>
      </c>
      <c r="J3269" t="inlineStr">
        <is>
          <t>4³, 12²</t>
        </is>
      </c>
      <c r="K3269">
        <f>HYPERLINK("CSG3.html#group36F3", "36F³"), =HYPERLINK("CSG4.html#group18S4", "18S⁴"), =HYPERLINK("CSG5.html#group36C5", "36C⁵")</f>
        <v/>
      </c>
      <c r="L3269" t="inlineStr"/>
      <c r="M3269">
        <f>HYPERLINK("CSG4.html#group18S4", "18S⁴"), =HYPERLINK("CSG1.html#group12D1", "12D¹"), =HYPERLINK("CSG0.html#group6B0", "6B⁰"), =HYPERLINK("CSG1.html#group18H1", "18H¹"), =HYPERLINK("CSG0.html#group9G0", "9G⁰"), =HYPERLINK("CSG2.html#group18K2", "18K²"), =HYPERLINK("CSG0.html#group1A0", "1A⁰"), =HYPERLINK("CSG0.html#group18A0", "18A⁰"), =HYPERLINK("CSG1.html#group9B1", "9B¹"), =HYPERLINK("CSG5.html#group36C5", "36C⁵"), =HYPERLINK("CSG0.html#group9D0", "9D⁰"), =HYPERLINK("CSG0.html#group18D0", "18D⁰"), =HYPERLINK("CSG0.html#group6E0", "6E⁰"), =HYPERLINK("CSG0.html#group9A0", "9A⁰"), =HYPERLINK("CSG3.html#group36F3", "36F³"), =HYPERLINK("CSG0.html#group3C0", "3C⁰"), =HYPERLINK("CSG2.html#group18G2", "18G²"), =HYPERLINK("CSG0.html#group3A0", "3A⁰"), =HYPERLINK("CSG1.html#group18A1", "18A¹"), =HYPERLINK("CSG1.html#group9F1", "9F¹")</f>
        <v/>
      </c>
      <c r="N3269" t="inlineStr"/>
    </row>
    <row r="3270">
      <c r="A3270" t="inlineStr">
        <is>
          <t>36P¹³</t>
        </is>
      </c>
      <c r="B3270" t="inlineStr"/>
      <c r="C3270" t="inlineStr">
        <is>
          <t>216</t>
        </is>
      </c>
      <c r="D3270" t="inlineStr">
        <is>
          <t>2</t>
        </is>
      </c>
      <c r="E3270" t="inlineStr">
        <is>
          <t>27</t>
        </is>
      </c>
      <c r="F3270" t="inlineStr">
        <is>
          <t>8</t>
        </is>
      </c>
      <c r="G3270" t="inlineStr">
        <is>
          <t>0</t>
        </is>
      </c>
      <c r="H3270" t="inlineStr">
        <is>
          <t>18⁴, 36⁴</t>
        </is>
      </c>
      <c r="I3270" t="n">
        <v>8</v>
      </c>
      <c r="J3270" t="inlineStr">
        <is>
          <t>2⁹, 6⁶</t>
        </is>
      </c>
      <c r="K3270">
        <f>HYPERLINK("CSG1.html#group12T1", "12T¹"), =HYPERLINK("CSG4.html#group36R4", "36R⁴"), =HYPERLINK("CSG6.html#group18D6", "18D⁶"), =HYPERLINK("CSG6.html#group36C6", "36C⁶"), =HYPERLINK("CSG6.html#group36H6", "36H⁶"), =HYPERLINK("CSG7.html#group36E7", "36E⁷"), =HYPERLINK("CSG7.html#group36F7", "36F⁷"), =HYPERLINK("CSG7.html#group36G7", "36G⁷")</f>
        <v/>
      </c>
      <c r="L3270" t="inlineStr"/>
      <c r="M3270">
        <f>HYPERLINK("CSG1.html#group12T1", "12T¹"), =HYPERLINK("CSG0.html#group12C0", "12C⁰"), =HYPERLINK("CSG0.html#group4C0", "4C⁰"), =HYPERLINK("CSG2.html#group36B2", "36B²"), =HYPERLINK("CSG4.html#group36R4", "36R⁴"), =HYPERLINK("CSG0.html#group6G0", "6G⁰"), =HYPERLINK("CSG1.html#group18B1", "18B¹"), =HYPERLINK("CSG0.html#group2B0", "2B⁰"), =HYPERLINK("CSG4.html#group36E4", "36E⁴"), =HYPERLINK("CSG1.html#group12N1", "12N¹"), =HYPERLINK("CSG0.html#group1A0", "1A⁰"), =HYPERLINK("CSG1.html#group9B1", "9B¹"), =HYPERLINK("CSG0.html#group18A0", "18A⁰"), =HYPERLINK("CSG2.html#group18L2", "18L²"), =HYPERLINK("CSG6.html#group36H6", "36H⁶"), =HYPERLINK("CSG3.html#group18D3", "18D³"), =HYPERLINK("CSG7.html#group36E7", "36E⁷"), =HYPERLINK("CSG0.html#group3C0", "3C⁰"), =HYPERLINK("CSG0.html#group6H0", "6H⁰"), =HYPERLINK("CSG0.html#group3A0", "3A⁰"), =HYPERLINK("CSG1.html#group18E1", "18E¹"), =HYPERLINK("CSG7.html#group36G7", "36G⁷"), =HYPERLINK("CSG3.html#group36D3", "36D³"), =HYPERLINK("CSG0.html#group6B0", "6B⁰"), =HYPERLINK("CSG1.html#group12L1", "12L¹"), =HYPERLINK("CSG7.html#group36F7", "36F⁷"), =HYPERLINK("CSG3.html#group18E3", "18E³"), =HYPERLINK("CSG6.html#group18D6", "18D⁶"), =HYPERLINK("CSG0.html#group12G0", "12G⁰"), =HYPERLINK("CSG1.html#group12C1", "12C¹"), =HYPERLINK("CSG2.html#group18H2", "18H²"), =HYPERLINK("CSG0.html#group6E0", "6E⁰"), =HYPERLINK("CSG0.html#group6L0", "6L⁰"), =HYPERLINK("CSG6.html#group36C6", "36C⁶"), =HYPERLINK("CSG0.html#group9A0", "9A⁰"), =HYPERLINK("CSG0.html#group12D0", "12D⁰"), =HYPERLINK("CSG2.html#group18G2", "18G²"), =HYPERLINK("CSG0.html#group12H0", "12H⁰"), =HYPERLINK("CSG1.html#group18A1", "18A¹"), =HYPERLINK("CSG0.html#group6D0", "6D⁰"), =HYPERLINK("CSG2.html#group36C2", "36C²")</f>
        <v/>
      </c>
      <c r="N3270" t="inlineStr"/>
    </row>
    <row r="3271">
      <c r="A3271" t="inlineStr">
        <is>
          <t>36Q¹³</t>
        </is>
      </c>
      <c r="B3271" t="inlineStr"/>
      <c r="C3271" t="inlineStr">
        <is>
          <t>216</t>
        </is>
      </c>
      <c r="D3271" t="inlineStr">
        <is>
          <t>2</t>
        </is>
      </c>
      <c r="E3271" t="inlineStr">
        <is>
          <t>36</t>
        </is>
      </c>
      <c r="F3271" t="inlineStr">
        <is>
          <t>12</t>
        </is>
      </c>
      <c r="G3271" t="inlineStr">
        <is>
          <t>0</t>
        </is>
      </c>
      <c r="H3271" t="inlineStr">
        <is>
          <t>36⁶</t>
        </is>
      </c>
      <c r="I3271" t="n">
        <v>6</v>
      </c>
      <c r="J3271" t="inlineStr">
        <is>
          <t>4⁶, 12⁴</t>
        </is>
      </c>
      <c r="K3271">
        <f>HYPERLINK("CSG3.html#group36F3", "36F³"), =HYPERLINK("CSG4.html#group18T4", "18T⁴"), =HYPERLINK("CSG5.html#group36D5", "36D⁵")</f>
        <v/>
      </c>
      <c r="L3271" t="inlineStr"/>
      <c r="M3271">
        <f>HYPERLINK("CSG1.html#group12D1", "12D¹"), =HYPERLINK("CSG0.html#group6B0", "6B⁰"), =HYPERLINK("CSG1.html#group18B1", "18B¹"), =HYPERLINK("CSG2.html#group18M2", "18M²"), =HYPERLINK("CSG0.html#group1A0", "1A⁰"), =HYPERLINK("CSG0.html#group18A0", "18A⁰"), =HYPERLINK("CSG0.html#group9D0", "9D⁰"), =HYPERLINK("CSG0.html#group18D0", "18D⁰"), =HYPERLINK("CSG2.html#group18H2", "18H²"), =HYPERLINK("CSG0.html#group6E0", "6E⁰"), =HYPERLINK("CSG5.html#group36D5", "36D⁵"), =HYPERLINK("CSG0.html#group9A0", "9A⁰"), =HYPERLINK("CSG3.html#group36F3", "36F³"), =HYPERLINK("CSG4.html#group18T4", "18T⁴"), =HYPERLINK("CSG0.html#group3C0", "3C⁰"), =HYPERLINK("CSG0.html#group3A0", "3A⁰")</f>
        <v/>
      </c>
      <c r="N3271" t="inlineStr"/>
    </row>
    <row r="3272">
      <c r="A3272" t="inlineStr">
        <is>
          <t>36R¹³</t>
        </is>
      </c>
      <c r="B3272" t="inlineStr"/>
      <c r="C3272" t="inlineStr">
        <is>
          <t>216</t>
        </is>
      </c>
      <c r="D3272" t="inlineStr">
        <is>
          <t>2</t>
        </is>
      </c>
      <c r="E3272" t="inlineStr">
        <is>
          <t>36</t>
        </is>
      </c>
      <c r="F3272" t="inlineStr">
        <is>
          <t>12</t>
        </is>
      </c>
      <c r="G3272" t="inlineStr">
        <is>
          <t>0</t>
        </is>
      </c>
      <c r="H3272" t="inlineStr">
        <is>
          <t>36⁶</t>
        </is>
      </c>
      <c r="I3272" t="n">
        <v>6</v>
      </c>
      <c r="J3272" t="inlineStr">
        <is>
          <t>4⁶, 12⁴</t>
        </is>
      </c>
      <c r="K3272">
        <f>HYPERLINK("CSG1.html#group9F1", "9F¹"), =HYPERLINK("CSG3.html#group36H3", "36H³"), =HYPERLINK("CSG5.html#group36E5", "36E⁵"), =HYPERLINK("CSG5.html#group36J5", "36J⁵")</f>
        <v/>
      </c>
      <c r="L3272" t="inlineStr"/>
      <c r="M3272">
        <f>HYPERLINK("CSG1.html#group12G1", "12G¹"), =HYPERLINK("CSG5.html#group36J5", "36J⁵"), =HYPERLINK("CSG0.html#group9G0", "9G⁰"), =HYPERLINK("CSG3.html#group36H3", "36H³"), =HYPERLINK("CSG0.html#group1A0", "1A⁰"), =HYPERLINK("CSG1.html#group9B1", "9B¹"), =HYPERLINK("CSG1.html#group36A1", "36A¹"), =HYPERLINK("CSG0.html#group12A0", "12A⁰"), =HYPERLINK("CSG0.html#group9D0", "9D⁰"), =HYPERLINK("CSG0.html#group4A0", "4A⁰"), =HYPERLINK("CSG5.html#group36E5", "36E⁵"), =HYPERLINK("CSG0.html#group9A0", "9A⁰"), =HYPERLINK("CSG0.html#group3C0", "3C⁰"), =HYPERLINK("CSG0.html#group3A0", "3A⁰"), =HYPERLINK("CSG1.html#group9F1", "9F¹")</f>
        <v/>
      </c>
      <c r="N3272" t="inlineStr"/>
    </row>
    <row r="3273">
      <c r="A3273" t="inlineStr">
        <is>
          <t>36S¹³</t>
        </is>
      </c>
      <c r="B3273" t="inlineStr"/>
      <c r="C3273" t="inlineStr">
        <is>
          <t>216</t>
        </is>
      </c>
      <c r="D3273" t="inlineStr">
        <is>
          <t>2</t>
        </is>
      </c>
      <c r="E3273" t="inlineStr">
        <is>
          <t>54</t>
        </is>
      </c>
      <c r="F3273" t="inlineStr">
        <is>
          <t>4</t>
        </is>
      </c>
      <c r="G3273" t="inlineStr">
        <is>
          <t>0</t>
        </is>
      </c>
      <c r="H3273" t="inlineStr">
        <is>
          <t>18⁸, 36²</t>
        </is>
      </c>
      <c r="I3273" t="n">
        <v>10</v>
      </c>
      <c r="J3273" t="inlineStr">
        <is>
          <t>4⁹, 12⁶</t>
        </is>
      </c>
      <c r="K3273">
        <f>HYPERLINK("CSG1.html#group12U1", "12U¹"), =HYPERLINK("CSG6.html#group18D6", "18D⁶")</f>
        <v/>
      </c>
      <c r="L3273" t="inlineStr"/>
      <c r="M3273">
        <f>HYPERLINK("CSG1.html#group12U1", "12U¹"), =HYPERLINK("CSG0.html#group6B0", "6B⁰"), =HYPERLINK("CSG0.html#group6H0", "6H⁰"), =HYPERLINK("CSG1.html#group18B1", "18B¹"), =HYPERLINK("CSG0.html#group6G0", "6G⁰"), =HYPERLINK("CSG0.html#group2B0", "2B⁰"), =HYPERLINK("CSG0.html#group1A0", "1A⁰"), =HYPERLINK("CSG1.html#group9B1", "9B¹"), =HYPERLINK("CSG0.html#group18A0", "18A⁰"), =HYPERLINK("CSG2.html#group18L2", "18L²"), =HYPERLINK("CSG3.html#group18E3", "18E³"), =HYPERLINK("CSG6.html#group18D6", "18D⁶"), =HYPERLINK("CSG3.html#group18D3", "18D³"), =HYPERLINK("CSG2.html#group18H2", "18H²"), =HYPERLINK("CSG0.html#group6E0", "6E⁰"), =HYPERLINK("CSG0.html#group6L0", "6L⁰"), =HYPERLINK("CSG0.html#group9A0", "9A⁰"), =HYPERLINK("CSG0.html#group3C0", "3C⁰"), =HYPERLINK("CSG2.html#group18G2", "18G²"), =HYPERLINK("CSG1.html#group18E1", "18E¹"), =HYPERLINK("CSG0.html#group3A0", "3A⁰"), =HYPERLINK("CSG1.html#group18A1", "18A¹"), =HYPERLINK("CSG0.html#group6D0", "6D⁰")</f>
        <v/>
      </c>
      <c r="N3273" t="inlineStr"/>
    </row>
    <row r="3274">
      <c r="A3274" t="inlineStr">
        <is>
          <t>36T¹³</t>
        </is>
      </c>
      <c r="B3274" t="inlineStr"/>
      <c r="C3274" t="inlineStr">
        <is>
          <t>288</t>
        </is>
      </c>
      <c r="D3274" t="inlineStr">
        <is>
          <t>1</t>
        </is>
      </c>
      <c r="E3274" t="inlineStr">
        <is>
          <t>4</t>
        </is>
      </c>
      <c r="F3274" t="inlineStr">
        <is>
          <t>0</t>
        </is>
      </c>
      <c r="G3274" t="inlineStr">
        <is>
          <t>0</t>
        </is>
      </c>
      <c r="H3274" t="inlineStr">
        <is>
          <t>4¹⁸, 36⁶</t>
        </is>
      </c>
      <c r="I3274" t="n">
        <v>24</v>
      </c>
      <c r="J3274" t="inlineStr">
        <is>
          <t>1², 2¹</t>
        </is>
      </c>
      <c r="K3274">
        <f>HYPERLINK("CSG3.html#group12K3", "12K³"), =HYPERLINK("CSG4.html#group36O4", "36O⁴"), =HYPERLINK("CSG5.html#group36F5", "36F⁵"), =HYPERLINK("CSG5.html#group36L5", "36L⁵"), =HYPERLINK("CSG7.html#group36I7", "36I⁷")</f>
        <v/>
      </c>
      <c r="L3274" t="inlineStr"/>
      <c r="M3274">
        <f>HYPERLINK("CSG0.html#group2A0", "2A⁰"), =HYPERLINK("CSG0.html#group4C0", "4C⁰"), =HYPERLINK("CSG0.html#group4G0", "4G⁰"), =HYPERLINK("CSG0.html#group2B0", "2B⁰"), =HYPERLINK("CSG0.html#group4E0", "4E⁰"), =HYPERLINK("CSG0.html#group4B0", "4B⁰"), =HYPERLINK("CSG4.html#group36O4", "36O⁴"), =HYPERLINK("CSG0.html#group1A0", "1A⁰"), =HYPERLINK("CSG7.html#group36I7", "36I⁷"), =HYPERLINK("CSG0.html#group18C0", "18C⁰"), =HYPERLINK("CSG1.html#group18C1", "18C¹"), =HYPERLINK("CSG1.html#group12A1", "12A¹"), =HYPERLINK("CSG0.html#group4D0", "4D⁰"), =HYPERLINK("CSG3.html#group36B3", "36B³"), =HYPERLINK("CSG0.html#group6F0", "6F⁰"), =HYPERLINK("CSG5.html#group36F5", "36F⁵"), =HYPERLINK("CSG3.html#group36G3", "36G³"), =HYPERLINK("CSG0.html#group3B0", "3B⁰"), =HYPERLINK("CSG5.html#group36L5", "36L⁵"), =HYPERLINK("CSG1.html#group12I1", "12I¹"), =HYPERLINK("CSG1.html#group12F1", "12F¹"), =HYPERLINK("CSG0.html#group6I0", "6I⁰"), =HYPERLINK("CSG0.html#group6C0", "6C⁰"), =HYPERLINK("CSG0.html#group9B0", "9B⁰"), =HYPERLINK("CSG1.html#group12P1", "12P¹"), =HYPERLINK("CSG1.html#group18J1", "18J¹"), =HYPERLINK("CSG0.html#group18E0", "18E⁰"), =HYPERLINK("CSG0.html#group4A0", "4A⁰"), =HYPERLINK("CSG2.html#group12G2", "12G²"), =HYPERLINK("CSG3.html#group12K3", "12K³"), =HYPERLINK("CSG0.html#group4F0", "4F⁰"), =HYPERLINK("CSG1.html#group36C1", "36C¹"), =HYPERLINK("CSG0.html#group2C0", "2C⁰"), =HYPERLINK("CSG0.html#group12E0", "12E⁰")</f>
        <v/>
      </c>
      <c r="N3274" t="inlineStr"/>
    </row>
    <row r="3275">
      <c r="A3275" t="inlineStr">
        <is>
          <t>36U¹³</t>
        </is>
      </c>
      <c r="B3275" t="inlineStr"/>
      <c r="C3275" t="inlineStr">
        <is>
          <t>288</t>
        </is>
      </c>
      <c r="D3275" t="inlineStr">
        <is>
          <t>1</t>
        </is>
      </c>
      <c r="E3275" t="inlineStr">
        <is>
          <t>12</t>
        </is>
      </c>
      <c r="F3275" t="inlineStr">
        <is>
          <t>0</t>
        </is>
      </c>
      <c r="G3275" t="inlineStr">
        <is>
          <t>0</t>
        </is>
      </c>
      <c r="H3275" t="inlineStr">
        <is>
          <t>4¹⁸, 36⁶</t>
        </is>
      </c>
      <c r="I3275" t="n">
        <v>24</v>
      </c>
      <c r="J3275" t="inlineStr">
        <is>
          <t>1⁶, 2³</t>
        </is>
      </c>
      <c r="K3275">
        <f>HYPERLINK("CSG3.html#group12L3", "12L³"), =HYPERLINK("CSG3.html#group36J3", "36J³"), =HYPERLINK("CSG5.html#group36L5", "36L⁵"), =HYPERLINK("CSG7.html#group36H7", "36H⁷")</f>
        <v/>
      </c>
      <c r="L3275" t="inlineStr"/>
      <c r="M3275">
        <f>HYPERLINK("CSG0.html#group3B0", "3B⁰"), =HYPERLINK("CSG0.html#group2A0", "2A⁰"), =HYPERLINK("CSG5.html#group36L5", "36L⁵"), =HYPERLINK("CSG0.html#group6I0", "6I⁰"), =HYPERLINK("CSG1.html#group12F1", "12F¹"), =HYPERLINK("CSG0.html#group6C0", "6C⁰"), =HYPERLINK("CSG0.html#group12I0", "12I⁰"), =HYPERLINK("CSG0.html#group4C0", "4C⁰"), =HYPERLINK("CSG0.html#group9B0", "9B⁰"), =HYPERLINK("CSG0.html#group2B0", "2B⁰"), =HYPERLINK("CSG0.html#group4E0", "4E⁰"), =HYPERLINK("CSG7.html#group36H7", "36H⁷"), =HYPERLINK("CSG1.html#group12P1", "12P¹"), =HYPERLINK("CSG1.html#group18J1", "18J¹"), =HYPERLINK("CSG0.html#group4B0", "4B⁰"), =HYPERLINK("CSG0.html#group1A0", "1A⁰"), =HYPERLINK("CSG3.html#group36A3", "36A³"), =HYPERLINK("CSG0.html#group18C0", "18C⁰"), =HYPERLINK("CSG2.html#group12F2", "12F²"), =HYPERLINK("CSG0.html#group18E0", "18E⁰"), =HYPERLINK("CSG1.html#group18C1", "18C¹"), =HYPERLINK("CSG3.html#group12L3", "12L³"), =HYPERLINK("CSG1.html#group36B1", "36B¹"), =HYPERLINK("CSG0.html#group12E0", "12E⁰"), =HYPERLINK("CSG1.html#group36C1", "36C¹"), =HYPERLINK("CSG3.html#group36J3", "36J³"), =HYPERLINK("CSG0.html#group6F0", "6F⁰"), =HYPERLINK("CSG0.html#group2C0", "2C⁰"), =HYPERLINK("CSG3.html#group36G3", "36G³"), =HYPERLINK("CSG0.html#group12B0", "12B⁰")</f>
        <v/>
      </c>
      <c r="N3275" t="inlineStr"/>
    </row>
    <row r="3276">
      <c r="A3276" t="inlineStr">
        <is>
          <t>39A¹³</t>
        </is>
      </c>
      <c r="B3276" t="inlineStr"/>
      <c r="C3276" t="inlineStr">
        <is>
          <t>234</t>
        </is>
      </c>
      <c r="D3276" t="inlineStr">
        <is>
          <t>1</t>
        </is>
      </c>
      <c r="E3276" t="inlineStr">
        <is>
          <t>78</t>
        </is>
      </c>
      <c r="F3276" t="inlineStr">
        <is>
          <t>18</t>
        </is>
      </c>
      <c r="G3276" t="inlineStr">
        <is>
          <t>0</t>
        </is>
      </c>
      <c r="H3276" t="inlineStr">
        <is>
          <t>39⁶</t>
        </is>
      </c>
      <c r="I3276" t="n">
        <v>6</v>
      </c>
      <c r="J3276" t="inlineStr">
        <is>
          <t>6¹, 12⁶</t>
        </is>
      </c>
      <c r="K3276">
        <f>HYPERLINK("CSG0.html#group3A0", "3A⁰"), =HYPERLINK("CSG3.html#group13A3", "13A³")</f>
        <v/>
      </c>
      <c r="L3276" t="inlineStr"/>
      <c r="M3276">
        <f>HYPERLINK("CSG0.html#group3A0", "3A⁰"), =HYPERLINK("CSG3.html#group13A3", "13A³"), =HYPERLINK("CSG0.html#group1A0", "1A⁰")</f>
        <v/>
      </c>
      <c r="N3276" t="inlineStr"/>
    </row>
    <row r="3277">
      <c r="A3277" t="inlineStr">
        <is>
          <t>39B¹³</t>
        </is>
      </c>
      <c r="B3277" t="inlineStr"/>
      <c r="C3277" t="inlineStr">
        <is>
          <t>252</t>
        </is>
      </c>
      <c r="D3277" t="inlineStr">
        <is>
          <t>1</t>
        </is>
      </c>
      <c r="E3277" t="inlineStr">
        <is>
          <t>42</t>
        </is>
      </c>
      <c r="F3277" t="inlineStr">
        <is>
          <t>12</t>
        </is>
      </c>
      <c r="G3277" t="inlineStr">
        <is>
          <t>0</t>
        </is>
      </c>
      <c r="H3277" t="inlineStr">
        <is>
          <t>3⁶, 39⁶</t>
        </is>
      </c>
      <c r="I3277" t="n">
        <v>12</v>
      </c>
      <c r="J3277" t="inlineStr">
        <is>
          <t>1², 2², 12¹, 24¹</t>
        </is>
      </c>
      <c r="K3277">
        <f>HYPERLINK("CSG4.html#group39C4", "39C⁴"), =HYPERLINK("CSG5.html#group39A5", "39A⁵")</f>
        <v/>
      </c>
      <c r="L3277" t="inlineStr"/>
      <c r="M3277">
        <f>HYPERLINK("CSG2.html#group39A2", "39A²"), =HYPERLINK("CSG5.html#group39A5", "39A⁵"), =HYPERLINK("CSG0.html#group13A0", "13A⁰"), =HYPERLINK("CSG0.html#group3C0", "3C⁰"), =HYPERLINK("CSG4.html#group39C4", "39C⁴"), =HYPERLINK("CSG0.html#group13C0", "13C⁰"), =HYPERLINK("CSG1.html#group39A1", "39A¹"), =HYPERLINK("CSG0.html#group3A0", "3A⁰"), =HYPERLINK("CSG0.html#group1A0", "1A⁰")</f>
        <v/>
      </c>
      <c r="N3277" t="inlineStr"/>
    </row>
    <row r="3278">
      <c r="A3278" t="inlineStr">
        <is>
          <t>40A¹³</t>
        </is>
      </c>
      <c r="B3278" t="inlineStr"/>
      <c r="C3278" t="inlineStr">
        <is>
          <t>180</t>
        </is>
      </c>
      <c r="D3278" t="inlineStr">
        <is>
          <t>1</t>
        </is>
      </c>
      <c r="E3278" t="inlineStr">
        <is>
          <t>15</t>
        </is>
      </c>
      <c r="F3278" t="inlineStr">
        <is>
          <t>0</t>
        </is>
      </c>
      <c r="G3278" t="inlineStr">
        <is>
          <t>0</t>
        </is>
      </c>
      <c r="H3278" t="inlineStr">
        <is>
          <t>20³, 40³</t>
        </is>
      </c>
      <c r="I3278" t="n">
        <v>6</v>
      </c>
      <c r="J3278" t="inlineStr">
        <is>
          <t>1³, 4³</t>
        </is>
      </c>
      <c r="K3278">
        <f>HYPERLINK("CSG4.html#group20E4", "20E⁴"), =HYPERLINK("CSG5.html#group40A5", "40A⁵")</f>
        <v/>
      </c>
      <c r="L3278" t="inlineStr"/>
      <c r="M3278">
        <f>HYPERLINK("CSG0.html#group5A0", "5A⁰"), =HYPERLINK("CSG1.html#group8A1", "8A¹"), =HYPERLINK("CSG4.html#group20E4", "20E⁴"), =HYPERLINK("CSG1.html#group10I1", "10I¹"), =HYPERLINK("CSG1.html#group10B1", "10B¹"), =HYPERLINK("CSG2.html#group20B2", "20B²"), =HYPERLINK("CSG0.html#group4C0", "4C⁰"), =HYPERLINK("CSG0.html#group5E0", "5E⁰"), =HYPERLINK("CSG0.html#group2B0", "2B⁰"), =HYPERLINK("CSG5.html#group40A5", "40A⁵"), =HYPERLINK("CSG0.html#group1A0", "1A⁰")</f>
        <v/>
      </c>
      <c r="N3278" t="inlineStr"/>
    </row>
    <row r="3279">
      <c r="A3279" t="inlineStr">
        <is>
          <t>40B¹³</t>
        </is>
      </c>
      <c r="B3279" t="inlineStr"/>
      <c r="C3279" t="inlineStr">
        <is>
          <t>192</t>
        </is>
      </c>
      <c r="D3279" t="inlineStr">
        <is>
          <t>1</t>
        </is>
      </c>
      <c r="E3279" t="inlineStr">
        <is>
          <t>24</t>
        </is>
      </c>
      <c r="F3279" t="inlineStr">
        <is>
          <t>0</t>
        </is>
      </c>
      <c r="G3279" t="inlineStr">
        <is>
          <t>0</t>
        </is>
      </c>
      <c r="H3279" t="inlineStr">
        <is>
          <t>8⁴, 40⁴</t>
        </is>
      </c>
      <c r="I3279" t="n">
        <v>8</v>
      </c>
      <c r="J3279" t="inlineStr">
        <is>
          <t>2⁴, 8²</t>
        </is>
      </c>
      <c r="K3279">
        <f>HYPERLINK("CSG5.html#group20D5", "20D⁵"), =HYPERLINK("CSG5.html#group40G5", "40G⁵"), =HYPERLINK("CSG5.html#group40H5", "40H⁵")</f>
        <v/>
      </c>
      <c r="L3279" t="inlineStr"/>
      <c r="M3279">
        <f>HYPERLINK("CSG0.html#group2A0", "2A⁰"), =HYPERLINK("CSG5.html#group40G5", "40G⁵"), =HYPERLINK("CSG3.html#group20C3", "20C³"), =HYPERLINK("CSG0.html#group5B0", "5B⁰"), =HYPERLINK("CSG0.html#group5D0", "5D⁰"), =HYPERLINK("CSG1.html#group10A1", "10A¹"), =HYPERLINK("CSG1.html#group10D1", "10D¹"), =HYPERLINK("CSG0.html#group1A0", "1A⁰"), =HYPERLINK("CSG3.html#group20B3", "20B³"), =HYPERLINK("CSG1.html#group20B1", "20B¹"), =HYPERLINK("CSG0.html#group10B0", "10B⁰"), =HYPERLINK("CSG5.html#group40H5", "40H⁵"), =HYPERLINK("CSG0.html#group4A0", "4A⁰"), =HYPERLINK("CSG0.html#group4D0", "4D⁰"), =HYPERLINK("CSG1.html#group20G1", "20G¹"), =HYPERLINK("CSG5.html#group20D5", "20D⁵")</f>
        <v/>
      </c>
      <c r="N3279" t="inlineStr"/>
    </row>
    <row r="3280">
      <c r="A3280" t="inlineStr">
        <is>
          <t>40C¹³</t>
        </is>
      </c>
      <c r="B3280" t="inlineStr"/>
      <c r="C3280" t="inlineStr">
        <is>
          <t>192</t>
        </is>
      </c>
      <c r="D3280" t="inlineStr">
        <is>
          <t>1</t>
        </is>
      </c>
      <c r="E3280" t="inlineStr">
        <is>
          <t>24</t>
        </is>
      </c>
      <c r="F3280" t="inlineStr">
        <is>
          <t>0</t>
        </is>
      </c>
      <c r="G3280" t="inlineStr">
        <is>
          <t>0</t>
        </is>
      </c>
      <c r="H3280" t="inlineStr">
        <is>
          <t>8⁴, 40⁴</t>
        </is>
      </c>
      <c r="I3280" t="n">
        <v>8</v>
      </c>
      <c r="J3280" t="inlineStr">
        <is>
          <t>2⁴, 8²</t>
        </is>
      </c>
      <c r="K3280">
        <f>HYPERLINK("CSG5.html#group20D5", "20D⁵"), =HYPERLINK("CSG5.html#group40J5", "40J⁵"), =HYPERLINK("CSG7.html#group40A7", "40A⁷"), =HYPERLINK("CSG7.html#group40B7", "40B⁷"), =HYPERLINK("CSG7.html#group40C7", "40C⁷")</f>
        <v/>
      </c>
      <c r="L3280" t="inlineStr"/>
      <c r="M3280">
        <f>HYPERLINK("CSG0.html#group2A0", "2A⁰"), =HYPERLINK("CSG3.html#group40A3", "40A³"), =HYPERLINK("CSG7.html#group40C7", "40C⁷"), =HYPERLINK("CSG3.html#group20C3", "20C³"), =HYPERLINK("CSG0.html#group5B0", "5B⁰"), =HYPERLINK("CSG0.html#group8A0", "8A⁰"), =HYPERLINK("CSG1.html#group10A1", "10A¹"), =HYPERLINK("CSG0.html#group5D0", "5D⁰"), =HYPERLINK("CSG0.html#group8E0", "8E⁰"), =HYPERLINK("CSG1.html#group10D1", "10D¹"), =HYPERLINK("CSG0.html#group1A0", "1A⁰"), =HYPERLINK("CSG3.html#group20B3", "20B³"), =HYPERLINK("CSG1.html#group20B1", "20B¹"), =HYPERLINK("CSG0.html#group10B0", "10B⁰"), =HYPERLINK("CSG7.html#group40A7", "40A⁷"), =HYPERLINK("CSG0.html#group4A0", "4A⁰"), =HYPERLINK("CSG5.html#group40J5", "40J⁵"), =HYPERLINK("CSG0.html#group4D0", "4D⁰"), =HYPERLINK("CSG7.html#group40B7", "40B⁷"), =HYPERLINK("CSG3.html#group40B3", "40B³"), =HYPERLINK("CSG1.html#group20G1", "20G¹"), =HYPERLINK("CSG5.html#group20D5", "20D⁵")</f>
        <v/>
      </c>
      <c r="N3280" t="inlineStr"/>
    </row>
    <row r="3281">
      <c r="A3281" t="inlineStr">
        <is>
          <t>40D¹³</t>
        </is>
      </c>
      <c r="B3281" t="inlineStr"/>
      <c r="C3281" t="inlineStr">
        <is>
          <t>192</t>
        </is>
      </c>
      <c r="D3281" t="inlineStr">
        <is>
          <t>1</t>
        </is>
      </c>
      <c r="E3281" t="inlineStr">
        <is>
          <t>96</t>
        </is>
      </c>
      <c r="F3281" t="inlineStr">
        <is>
          <t>0</t>
        </is>
      </c>
      <c r="G3281" t="inlineStr">
        <is>
          <t>0</t>
        </is>
      </c>
      <c r="H3281" t="inlineStr">
        <is>
          <t>8⁴, 40⁴</t>
        </is>
      </c>
      <c r="I3281" t="n">
        <v>8</v>
      </c>
      <c r="J3281" t="inlineStr">
        <is>
          <t>4⁸, 16⁴</t>
        </is>
      </c>
      <c r="K3281">
        <f>HYPERLINK("CSG3.html#group20B3", "20B³"), =HYPERLINK("CSG5.html#group40I5", "40I⁵")</f>
        <v/>
      </c>
      <c r="L3281" t="inlineStr"/>
      <c r="M3281">
        <f>HYPERLINK("CSG5.html#group40I5", "40I⁵"), =HYPERLINK("CSG0.html#group8F0", "8F⁰"), =HYPERLINK("CSG0.html#group4A0", "4A⁰"), =HYPERLINK("CSG0.html#group5B0", "5B⁰"), =HYPERLINK("CSG0.html#group5D0", "5D⁰"), =HYPERLINK("CSG0.html#group1A0", "1A⁰"), =HYPERLINK("CSG3.html#group20B3", "20B³"), =HYPERLINK("CSG1.html#group20B1", "20B¹")</f>
        <v/>
      </c>
      <c r="N3281" t="inlineStr"/>
    </row>
    <row r="3282">
      <c r="A3282" t="inlineStr">
        <is>
          <t>40E¹³</t>
        </is>
      </c>
      <c r="B3282" t="inlineStr"/>
      <c r="C3282" t="inlineStr">
        <is>
          <t>192</t>
        </is>
      </c>
      <c r="D3282" t="inlineStr">
        <is>
          <t>1</t>
        </is>
      </c>
      <c r="E3282" t="inlineStr">
        <is>
          <t>96</t>
        </is>
      </c>
      <c r="F3282" t="inlineStr">
        <is>
          <t>0</t>
        </is>
      </c>
      <c r="G3282" t="inlineStr">
        <is>
          <t>0</t>
        </is>
      </c>
      <c r="H3282" t="inlineStr">
        <is>
          <t>8⁴, 40⁴</t>
        </is>
      </c>
      <c r="I3282" t="n">
        <v>8</v>
      </c>
      <c r="J3282" t="inlineStr">
        <is>
          <t>4⁸, 16⁴</t>
        </is>
      </c>
      <c r="K3282">
        <f>HYPERLINK("CSG1.html#group8E1", "8E¹"), =HYPERLINK("CSG3.html#group20C3", "20C³"), =HYPERLINK("CSG5.html#group40I5", "40I⁵")</f>
        <v/>
      </c>
      <c r="L3282" t="inlineStr"/>
      <c r="M3282">
        <f>HYPERLINK("CSG5.html#group40I5", "40I⁵"), =HYPERLINK("CSG0.html#group2A0", "2A⁰"), =HYPERLINK("CSG0.html#group8F0", "8F⁰"), =HYPERLINK("CSG0.html#group4A0", "4A⁰"), =HYPERLINK("CSG0.html#group4D0", "4D⁰"), =HYPERLINK("CSG3.html#group20C3", "20C³"), =HYPERLINK("CSG0.html#group5B0", "5B⁰"), =HYPERLINK("CSG1.html#group10A1", "10A¹"), =HYPERLINK("CSG1.html#group8E1", "8E¹"), =HYPERLINK("CSG0.html#group1A0", "1A⁰"), =HYPERLINK("CSG1.html#group20B1", "20B¹")</f>
        <v/>
      </c>
      <c r="N3282" t="inlineStr"/>
    </row>
    <row r="3283">
      <c r="A3283" t="inlineStr">
        <is>
          <t>40F¹³</t>
        </is>
      </c>
      <c r="B3283" t="inlineStr"/>
      <c r="C3283" t="inlineStr">
        <is>
          <t>240</t>
        </is>
      </c>
      <c r="D3283" t="inlineStr">
        <is>
          <t>1</t>
        </is>
      </c>
      <c r="E3283" t="inlineStr">
        <is>
          <t>30</t>
        </is>
      </c>
      <c r="F3283" t="inlineStr">
        <is>
          <t>16</t>
        </is>
      </c>
      <c r="G3283" t="inlineStr">
        <is>
          <t>0</t>
        </is>
      </c>
      <c r="H3283" t="inlineStr">
        <is>
          <t>20⁴, 40⁴</t>
        </is>
      </c>
      <c r="I3283" t="n">
        <v>8</v>
      </c>
      <c r="J3283" t="inlineStr">
        <is>
          <t>2³, 4⁶</t>
        </is>
      </c>
      <c r="K3283">
        <f>HYPERLINK("CSG5.html#group20F5", "20F⁵"), =HYPERLINK("CSG7.html#group40D7", "40D⁷"), =HYPERLINK("CSG7.html#group40E7", "40E⁷")</f>
        <v/>
      </c>
      <c r="L3283" t="inlineStr"/>
      <c r="M3283">
        <f>HYPERLINK("CSG7.html#group40E7", "40E⁷"), =HYPERLINK("CSG2.html#group10E2", "10E²"), =HYPERLINK("CSG5.html#group20F5", "20F⁵"), =HYPERLINK("CSG0.html#group10D0", "10D⁰"), =HYPERLINK("CSG0.html#group4C0", "4C⁰"), =HYPERLINK("CSG0.html#group5C0", "5C⁰"), =HYPERLINK("CSG0.html#group8B0", "8B⁰"), =HYPERLINK("CSG1.html#group10F1", "10F¹"), =HYPERLINK("CSG0.html#group2B0", "2B⁰"), =HYPERLINK("CSG2.html#group20F2", "20F²"), =HYPERLINK("CSG0.html#group1A0", "1A⁰"), =HYPERLINK("CSG3.html#group20F3", "20F³"), =HYPERLINK("CSG7.html#group40D7", "40D⁷")</f>
        <v/>
      </c>
      <c r="N3283" t="inlineStr"/>
    </row>
    <row r="3284">
      <c r="A3284" t="inlineStr">
        <is>
          <t>40G¹³</t>
        </is>
      </c>
      <c r="B3284" t="inlineStr"/>
      <c r="C3284" t="inlineStr">
        <is>
          <t>240</t>
        </is>
      </c>
      <c r="D3284" t="inlineStr">
        <is>
          <t>1</t>
        </is>
      </c>
      <c r="E3284" t="inlineStr">
        <is>
          <t>60</t>
        </is>
      </c>
      <c r="F3284" t="inlineStr">
        <is>
          <t>0</t>
        </is>
      </c>
      <c r="G3284" t="inlineStr">
        <is>
          <t>0</t>
        </is>
      </c>
      <c r="H3284" t="inlineStr">
        <is>
          <t>5⁸, 10⁴, 40⁴</t>
        </is>
      </c>
      <c r="I3284" t="n">
        <v>16</v>
      </c>
      <c r="J3284" t="inlineStr">
        <is>
          <t>2⁴, 4⁹, 8²</t>
        </is>
      </c>
      <c r="K3284">
        <f>HYPERLINK("CSG4.html#group40B4", "40B⁴"), =HYPERLINK("CSG5.html#group20E5", "20E⁵"), =HYPERLINK("CSG7.html#group40F7", "40F⁷"), =HYPERLINK("CSG7.html#group40G7", "40G⁷")</f>
        <v/>
      </c>
      <c r="L3284" t="inlineStr"/>
      <c r="M3284">
        <f>HYPERLINK("CSG2.html#group20A2", "20A²"), =HYPERLINK("CSG7.html#group40G7", "40G⁷"), =HYPERLINK("CSG0.html#group5A0", "5A⁰"), =HYPERLINK("CSG5.html#group20E5", "20E⁵"), =HYPERLINK("CSG1.html#group10B1", "10B¹"), =HYPERLINK("CSG3.html#group20E3", "20E³"), =HYPERLINK("CSG0.html#group5F0", "5F⁰"), =HYPERLINK("CSG0.html#group8C0", "8C⁰"), =HYPERLINK("CSG0.html#group2B0", "2B⁰"), =HYPERLINK("CSG2.html#group20F2", "20F²"), =HYPERLINK("CSG0.html#group4B0", "4B⁰"), =HYPERLINK("CSG4.html#group40B4", "40B⁴"), =HYPERLINK("CSG0.html#group1A0", "1A⁰"), =HYPERLINK("CSG2.html#group10D2", "10D²"), =HYPERLINK("CSG7.html#group40F7", "40F⁷"), =HYPERLINK("CSG1.html#group10F1", "10F¹"), =HYPERLINK("CSG0.html#group5C0", "5C⁰")</f>
        <v/>
      </c>
      <c r="N3284" t="inlineStr"/>
    </row>
    <row r="3285">
      <c r="A3285" t="inlineStr">
        <is>
          <t>40H¹³</t>
        </is>
      </c>
      <c r="B3285" t="inlineStr"/>
      <c r="C3285" t="inlineStr">
        <is>
          <t>240</t>
        </is>
      </c>
      <c r="D3285" t="inlineStr">
        <is>
          <t>1</t>
        </is>
      </c>
      <c r="E3285" t="inlineStr">
        <is>
          <t>60</t>
        </is>
      </c>
      <c r="F3285" t="inlineStr">
        <is>
          <t>8</t>
        </is>
      </c>
      <c r="G3285" t="inlineStr">
        <is>
          <t>0</t>
        </is>
      </c>
      <c r="H3285" t="inlineStr">
        <is>
          <t>10⁸, 40⁴</t>
        </is>
      </c>
      <c r="I3285" t="n">
        <v>12</v>
      </c>
      <c r="J3285" t="inlineStr">
        <is>
          <t>2², 4⁶, 8⁴</t>
        </is>
      </c>
      <c r="K3285">
        <f>HYPERLINK("CSG5.html#group20F5", "20F⁵"), =HYPERLINK("CSG7.html#group40H7", "40H⁷"), =HYPERLINK("CSG7.html#group40I7", "40I⁷")</f>
        <v/>
      </c>
      <c r="L3285" t="inlineStr"/>
      <c r="M3285">
        <f>HYPERLINK("CSG2.html#group10E2", "10E²"), =HYPERLINK("CSG7.html#group40I7", "40I⁷"), =HYPERLINK("CSG5.html#group20F5", "20F⁵"), =HYPERLINK("CSG0.html#group8D0", "8D⁰"), =HYPERLINK("CSG0.html#group10D0", "10D⁰"), =HYPERLINK("CSG0.html#group5C0", "5C⁰"), =HYPERLINK("CSG0.html#group4C0", "4C⁰"), =HYPERLINK("CSG7.html#group40H7", "40H⁷"), =HYPERLINK("CSG0.html#group2B0", "2B⁰"), =HYPERLINK("CSG2.html#group20F2", "20F²"), =HYPERLINK("CSG0.html#group1A0", "1A⁰"), =HYPERLINK("CSG3.html#group20F3", "20F³"), =HYPERLINK("CSG1.html#group10F1", "10F¹")</f>
        <v/>
      </c>
      <c r="N3285" t="inlineStr"/>
    </row>
    <row r="3286">
      <c r="A3286" t="inlineStr">
        <is>
          <t>40I¹³</t>
        </is>
      </c>
      <c r="B3286" t="inlineStr"/>
      <c r="C3286" t="inlineStr">
        <is>
          <t>240</t>
        </is>
      </c>
      <c r="D3286" t="inlineStr">
        <is>
          <t>2</t>
        </is>
      </c>
      <c r="E3286" t="inlineStr">
        <is>
          <t>30</t>
        </is>
      </c>
      <c r="F3286" t="inlineStr">
        <is>
          <t>8</t>
        </is>
      </c>
      <c r="G3286" t="inlineStr">
        <is>
          <t>0</t>
        </is>
      </c>
      <c r="H3286" t="inlineStr">
        <is>
          <t>10⁸, 40⁴</t>
        </is>
      </c>
      <c r="I3286" t="n">
        <v>12</v>
      </c>
      <c r="J3286" t="inlineStr">
        <is>
          <t>4³, 8⁶</t>
        </is>
      </c>
      <c r="K3286">
        <f>HYPERLINK("CSG5.html#group20F5", "20F⁵"), =HYPERLINK("CSG5.html#group40K5", "40K⁵"), =HYPERLINK("CSG7.html#group40J7", "40J⁷")</f>
        <v/>
      </c>
      <c r="L3286" t="inlineStr"/>
      <c r="M3286">
        <f>HYPERLINK("CSG2.html#group10E2", "10E²"), =HYPERLINK("CSG5.html#group20F5", "20F⁵"), =HYPERLINK("CSG0.html#group10D0", "10D⁰"), =HYPERLINK("CSG0.html#group4C0", "4C⁰"), =HYPERLINK("CSG0.html#group5C0", "5C⁰"), =HYPERLINK("CSG7.html#group40J7", "40J⁷"), =HYPERLINK("CSG0.html#group2B0", "2B⁰"), =HYPERLINK("CSG2.html#group20F2", "20F²"), =HYPERLINK("CSG0.html#group1A0", "1A⁰"), =HYPERLINK("CSG5.html#group40K5", "40K⁵"), =HYPERLINK("CSG3.html#group20F3", "20F³"), =HYPERLINK("CSG1.html#group10F1", "10F¹")</f>
        <v/>
      </c>
      <c r="N3286" t="inlineStr"/>
    </row>
    <row r="3287">
      <c r="A3287" t="inlineStr">
        <is>
          <t>40J¹³</t>
        </is>
      </c>
      <c r="B3287" t="inlineStr"/>
      <c r="C3287" t="inlineStr">
        <is>
          <t>288</t>
        </is>
      </c>
      <c r="D3287" t="inlineStr">
        <is>
          <t>1</t>
        </is>
      </c>
      <c r="E3287" t="inlineStr">
        <is>
          <t>18</t>
        </is>
      </c>
      <c r="F3287" t="inlineStr">
        <is>
          <t>0</t>
        </is>
      </c>
      <c r="G3287" t="inlineStr">
        <is>
          <t>0</t>
        </is>
      </c>
      <c r="H3287" t="inlineStr">
        <is>
          <t>2⁸, 8⁴, 10⁸, 40⁴</t>
        </is>
      </c>
      <c r="I3287" t="n">
        <v>24</v>
      </c>
      <c r="J3287" t="inlineStr">
        <is>
          <t>1⁶, 4³</t>
        </is>
      </c>
      <c r="K3287">
        <f>HYPERLINK("CSG3.html#group40J3", "40J³"), =HYPERLINK("CSG5.html#group20I5", "20I⁵"), =HYPERLINK("CSG5.html#group40O5", "40O⁵"), =HYPERLINK("CSG7.html#group40K7", "40K⁷"), =HYPERLINK("CSG7.html#group40AC7", "40AC⁷")</f>
        <v/>
      </c>
      <c r="L3287" t="inlineStr"/>
      <c r="M3287">
        <f>HYPERLINK("CSG1.html#group20E1", "20E¹"), =HYPERLINK("CSG0.html#group2A0", "2A⁰"), =HYPERLINK("CSG1.html#group40A1", "40A¹"), =HYPERLINK("CSG0.html#group10G0", "10G⁰"), =HYPERLINK("CSG5.html#group20I5", "20I⁵"), =HYPERLINK("CSG0.html#group4C0", "4C⁰"), =HYPERLINK("CSG7.html#group40AC7", "40AC⁷"), =HYPERLINK("CSG0.html#group5B0", "5B⁰"), =HYPERLINK("CSG0.html#group5D0", "5D⁰"), =HYPERLINK("CSG1.html#group10A1", "10A¹"), =HYPERLINK("CSG0.html#group2B0", "2B⁰"), =HYPERLINK("CSG0.html#group4E0", "4E⁰"), =HYPERLINK("CSG1.html#group20H1", "20H¹"), =HYPERLINK("CSG0.html#group4B0", "4B⁰"), =HYPERLINK("CSG1.html#group10D1", "10D¹"), =HYPERLINK("CSG0.html#group1A0", "1A⁰"), =HYPERLINK("CSG3.html#group20H3", "20H³"), =HYPERLINK("CSG0.html#group10C0", "10C⁰"), =HYPERLINK("CSG3.html#group20J3", "20J³"), =HYPERLINK("CSG2.html#group20C2", "20C²"), =HYPERLINK("CSG5.html#group40O5", "40O⁵"), =HYPERLINK("CSG3.html#group20G3", "20G³"), =HYPERLINK("CSG1.html#group20D1", "20D¹"), =HYPERLINK("CSG3.html#group40J3", "40J³"), =HYPERLINK("CSG0.html#group10F0", "10F⁰"), =HYPERLINK("CSG0.html#group10B0", "10B⁰"), =HYPERLINK("CSG0.html#group20A0", "20A⁰"), =HYPERLINK("CSG1.html#group20I1", "20I¹"), =HYPERLINK("CSG3.html#group40I3", "40I³"), =HYPERLINK("CSG7.html#group40K7", "40K⁷"), =HYPERLINK("CSG1.html#group10K1", "10K¹"), =HYPERLINK("CSG3.html#group20I3", "20I³"), =HYPERLINK("CSG0.html#group2C0", "2C⁰"), =HYPERLINK("CSG1.html#group10G1", "10G¹")</f>
        <v/>
      </c>
      <c r="N3287" t="inlineStr"/>
    </row>
    <row r="3288">
      <c r="A3288" t="inlineStr">
        <is>
          <t>40K¹³</t>
        </is>
      </c>
      <c r="B3288" t="inlineStr"/>
      <c r="C3288" t="inlineStr">
        <is>
          <t>288</t>
        </is>
      </c>
      <c r="D3288" t="inlineStr">
        <is>
          <t>1</t>
        </is>
      </c>
      <c r="E3288" t="inlineStr">
        <is>
          <t>18</t>
        </is>
      </c>
      <c r="F3288" t="inlineStr">
        <is>
          <t>0</t>
        </is>
      </c>
      <c r="G3288" t="inlineStr">
        <is>
          <t>0</t>
        </is>
      </c>
      <c r="H3288" t="inlineStr">
        <is>
          <t>2⁸, 8⁴, 10⁸, 40⁴</t>
        </is>
      </c>
      <c r="I3288" t="n">
        <v>24</v>
      </c>
      <c r="J3288" t="inlineStr">
        <is>
          <t>1⁶, 4³</t>
        </is>
      </c>
      <c r="K3288">
        <f>HYPERLINK("CSG5.html#group20I5", "20I⁵"), =HYPERLINK("CSG5.html#group40M5", "40M⁵"), =HYPERLINK("CSG5.html#group40N5", "40N⁵"), =HYPERLINK("CSG7.html#group40L7", "40L⁷"), =HYPERLINK("CSG7.html#group40M7", "40M⁷"), =HYPERLINK("CSG7.html#group40N7", "40N⁷"), =HYPERLINK("CSG7.html#group40O7", "40O⁷")</f>
        <v/>
      </c>
      <c r="L3288" t="inlineStr"/>
      <c r="M3288">
        <f>HYPERLINK("CSG1.html#group20E1", "20E¹"), =HYPERLINK("CSG0.html#group2A0", "2A⁰"), =HYPERLINK("CSG7.html#group40L7", "40L⁷"), =HYPERLINK("CSG0.html#group10G0", "10G⁰"), =HYPERLINK("CSG5.html#group20I5", "20I⁵"), =HYPERLINK("CSG0.html#group4C0", "4C⁰"), =HYPERLINK("CSG0.html#group5B0", "5B⁰"), =HYPERLINK("CSG0.html#group5D0", "5D⁰"), =HYPERLINK("CSG1.html#group10A1", "10A¹"), =HYPERLINK("CSG0.html#group2B0", "2B⁰"), =HYPERLINK("CSG0.html#group4E0", "4E⁰"), =HYPERLINK("CSG0.html#group8C0", "8C⁰"), =HYPERLINK("CSG1.html#group20H1", "20H¹"), =HYPERLINK("CSG0.html#group4B0", "4B⁰"), =HYPERLINK("CSG1.html#group10D1", "10D¹"), =HYPERLINK("CSG0.html#group1A0", "1A⁰"), =HYPERLINK("CSG3.html#group20H3", "20H³"), =HYPERLINK("CSG7.html#group40N7", "40N⁷"), =HYPERLINK("CSG3.html#group40F3", "40F³"), =HYPERLINK("CSG0.html#group8G0", "8G⁰"), =HYPERLINK("CSG5.html#group40M5", "40M⁵"), =HYPERLINK("CSG0.html#group10C0", "10C⁰"), =HYPERLINK("CSG3.html#group40E3", "40E³"), =HYPERLINK("CSG3.html#group20J3", "20J³"), =HYPERLINK("CSG2.html#group20C2", "20C²"), =HYPERLINK("CSG3.html#group40H3", "40H³"), =HYPERLINK("CSG7.html#group40O7", "40O⁷"), =HYPERLINK("CSG0.html#group8D0", "8D⁰"), =HYPERLINK("CSG3.html#group20G3", "20G³"), =HYPERLINK("CSG1.html#group20D1", "20D¹"), =HYPERLINK("CSG0.html#group10F0", "10F⁰"), =HYPERLINK("CSG0.html#group10B0", "10B⁰"), =HYPERLINK("CSG0.html#group20A0", "20A⁰"), =HYPERLINK("CSG1.html#group20I1", "20I¹"), =HYPERLINK("CSG7.html#group40M7", "40M⁷"), =HYPERLINK("CSG5.html#group40N5", "40N⁵"), =HYPERLINK("CSG1.html#group10K1", "10K¹"), =HYPERLINK("CSG3.html#group20I3", "20I³"), =HYPERLINK("CSG0.html#group2C0", "2C⁰"), =HYPERLINK("CSG1.html#group10G1", "10G¹"), =HYPERLINK("CSG3.html#group40G3", "40G³")</f>
        <v/>
      </c>
      <c r="N3288" t="inlineStr"/>
    </row>
    <row r="3289">
      <c r="A3289" t="inlineStr">
        <is>
          <t>40L¹³</t>
        </is>
      </c>
      <c r="B3289" t="inlineStr"/>
      <c r="C3289" t="inlineStr">
        <is>
          <t>288</t>
        </is>
      </c>
      <c r="D3289" t="inlineStr">
        <is>
          <t>1</t>
        </is>
      </c>
      <c r="E3289" t="inlineStr">
        <is>
          <t>36</t>
        </is>
      </c>
      <c r="F3289" t="inlineStr">
        <is>
          <t>0</t>
        </is>
      </c>
      <c r="G3289" t="inlineStr">
        <is>
          <t>0</t>
        </is>
      </c>
      <c r="H3289" t="inlineStr">
        <is>
          <t>2⁸, 8⁴, 10⁸, 40⁴</t>
        </is>
      </c>
      <c r="I3289" t="n">
        <v>24</v>
      </c>
      <c r="J3289" t="inlineStr">
        <is>
          <t>1⁸, 2², 4⁴, 8¹</t>
        </is>
      </c>
      <c r="K3289">
        <f>HYPERLINK("CSG3.html#group20S3", "20S³"), =HYPERLINK("CSG5.html#group40M5", "40M⁵"), =HYPERLINK("CSG7.html#group40K7", "40K⁷")</f>
        <v/>
      </c>
      <c r="L3289" t="inlineStr"/>
      <c r="M3289">
        <f>HYPERLINK("CSG0.html#group5B0", "5B⁰"), =HYPERLINK("CSG0.html#group5D0", "5D⁰"), =HYPERLINK("CSG1.html#group20D1", "20D¹"), =HYPERLINK("CSG0.html#group8C0", "8C⁰"), =HYPERLINK("CSG1.html#group20H1", "20H¹"), =HYPERLINK("CSG0.html#group2B0", "2B⁰"), =HYPERLINK("CSG0.html#group4B0", "4B⁰"), =HYPERLINK("CSG0.html#group1A0", "1A⁰"), =HYPERLINK("CSG0.html#group10F0", "10F⁰"), =HYPERLINK("CSG3.html#group20S3", "20S³"), =HYPERLINK("CSG0.html#group20A0", "20A⁰"), =HYPERLINK("CSG3.html#group40F3", "40F³"), =HYPERLINK("CSG3.html#group40I3", "40I³"), =HYPERLINK("CSG5.html#group40M5", "40M⁵"), =HYPERLINK("CSG7.html#group40K7", "40K⁷"), =HYPERLINK("CSG0.html#group10C0", "10C⁰"), =HYPERLINK("CSG3.html#group40E3", "40E³")</f>
        <v/>
      </c>
      <c r="N3289" t="inlineStr"/>
    </row>
    <row r="3290">
      <c r="A3290" t="inlineStr">
        <is>
          <t>40M¹³</t>
        </is>
      </c>
      <c r="B3290" t="inlineStr"/>
      <c r="C3290" t="inlineStr">
        <is>
          <t>288</t>
        </is>
      </c>
      <c r="D3290" t="inlineStr">
        <is>
          <t>1</t>
        </is>
      </c>
      <c r="E3290" t="inlineStr">
        <is>
          <t>36</t>
        </is>
      </c>
      <c r="F3290" t="inlineStr">
        <is>
          <t>16</t>
        </is>
      </c>
      <c r="G3290" t="inlineStr">
        <is>
          <t>0</t>
        </is>
      </c>
      <c r="H3290" t="inlineStr">
        <is>
          <t>4⁴, 8⁴, 20⁴, 40⁴</t>
        </is>
      </c>
      <c r="I3290" t="n">
        <v>16</v>
      </c>
      <c r="J3290" t="inlineStr">
        <is>
          <t>1⁴, 2⁴, 4², 8²</t>
        </is>
      </c>
      <c r="K3290">
        <f>HYPERLINK("CSG5.html#group20J5", "20J⁵"), =HYPERLINK("CSG5.html#group40L5", "40L⁵"), =HYPERLINK("CSG5.html#group40N5", "40N⁵"), =HYPERLINK("CSG7.html#group40R7", "40R⁷"), =HYPERLINK("CSG7.html#group40Q7", "40Q⁷"), =HYPERLINK("CSG7.html#group40P7", "40P⁷"), =HYPERLINK("CSG7.html#group40S7", "40S⁷")</f>
        <v/>
      </c>
      <c r="L3290" t="inlineStr"/>
      <c r="M3290">
        <f>HYPERLINK("CSG1.html#group20E1", "20E¹"), =HYPERLINK("CSG3.html#group40D3", "40D³"), =HYPERLINK("CSG7.html#group40Q7", "40Q⁷"), =HYPERLINK("CSG0.html#group10G0", "10G⁰"), =HYPERLINK("CSG5.html#group20J5", "20J⁵"), =HYPERLINK("CSG3.html#group40H3", "40H³"), =HYPERLINK("CSG0.html#group8D0", "8D⁰"), =HYPERLINK("CSG0.html#group4C0", "4C⁰"), =HYPERLINK("CSG0.html#group5B0", "5B⁰"), =HYPERLINK("CSG0.html#group8B0", "8B⁰"), =HYPERLINK("CSG0.html#group2B0", "2B⁰"), =HYPERLINK("CSG3.html#group20K3", "20K³"), =HYPERLINK("CSG0.html#group1A0", "1A⁰"), =HYPERLINK("CSG7.html#group40P7", "40P⁷"), =HYPERLINK("CSG7.html#group40S7", "40S⁷"), =HYPERLINK("CSG1.html#group20B1", "20B¹"), =HYPERLINK("CSG0.html#group10B0", "10B⁰"), =HYPERLINK("CSG0.html#group8H0", "8H⁰"), =HYPERLINK("CSG0.html#group20A0", "20A⁰"), =HYPERLINK("CSG3.html#group40C3", "40C³"), =HYPERLINK("CSG1.html#group20I1", "20I¹"), =HYPERLINK("CSG0.html#group4A0", "4A⁰"), =HYPERLINK("CSG1.html#group20G1", "20G¹"), =HYPERLINK("CSG0.html#group10C0", "10C⁰"), =HYPERLINK("CSG7.html#group40R7", "40R⁷"), =HYPERLINK("CSG5.html#group40N5", "40N⁵"), =HYPERLINK("CSG0.html#group4F0", "4F⁰"), =HYPERLINK("CSG5.html#group40L5", "40L⁵"), =HYPERLINK("CSG3.html#group20L3", "20L³"), =HYPERLINK("CSG3.html#group40G3", "40G³")</f>
        <v/>
      </c>
      <c r="N3290" t="inlineStr"/>
    </row>
    <row r="3291">
      <c r="A3291" t="inlineStr">
        <is>
          <t>40N¹³</t>
        </is>
      </c>
      <c r="B3291" t="inlineStr"/>
      <c r="C3291" t="inlineStr">
        <is>
          <t>288</t>
        </is>
      </c>
      <c r="D3291" t="inlineStr">
        <is>
          <t>1</t>
        </is>
      </c>
      <c r="E3291" t="inlineStr">
        <is>
          <t>36</t>
        </is>
      </c>
      <c r="F3291" t="inlineStr">
        <is>
          <t>16</t>
        </is>
      </c>
      <c r="G3291" t="inlineStr">
        <is>
          <t>0</t>
        </is>
      </c>
      <c r="H3291" t="inlineStr">
        <is>
          <t>4⁴, 8⁴, 20⁴, 40⁴</t>
        </is>
      </c>
      <c r="I3291" t="n">
        <v>16</v>
      </c>
      <c r="J3291" t="inlineStr">
        <is>
          <t>1⁸, 2², 4⁴, 8¹</t>
        </is>
      </c>
      <c r="K3291">
        <f>HYPERLINK("CSG3.html#group20T3", "20T³"), =HYPERLINK("CSG5.html#group40L5", "40L⁵"), =HYPERLINK("CSG7.html#group40T7", "40T⁷")</f>
        <v/>
      </c>
      <c r="L3291" t="inlineStr"/>
      <c r="M3291">
        <f>HYPERLINK("CSG1.html#group20E1", "20E¹"), =HYPERLINK("CSG3.html#group40D3", "40D³"), =HYPERLINK("CSG0.html#group10G0", "10G⁰"), =HYPERLINK("CSG7.html#group40T7", "40T⁷"), =HYPERLINK("CSG0.html#group4C0", "4C⁰"), =HYPERLINK("CSG0.html#group5B0", "5B⁰"), =HYPERLINK("CSG0.html#group8B0", "8B⁰"), =HYPERLINK("CSG0.html#group2B0", "2B⁰"), =HYPERLINK("CSG0.html#group1A0", "1A⁰"), =HYPERLINK("CSG3.html#group20T3", "20T³"), =HYPERLINK("CSG0.html#group10B0", "10B⁰"), =HYPERLINK("CSG3.html#group40C3", "40C³"), =HYPERLINK("CSG0.html#group20A0", "20A⁰"), =HYPERLINK("CSG1.html#group20I1", "20I¹"), =HYPERLINK("CSG0.html#group10C0", "10C⁰"), =HYPERLINK("CSG5.html#group40L5", "40L⁵")</f>
        <v/>
      </c>
      <c r="N3291" t="inlineStr"/>
    </row>
    <row r="3292">
      <c r="A3292" t="inlineStr">
        <is>
          <t>40O¹³</t>
        </is>
      </c>
      <c r="B3292" t="inlineStr"/>
      <c r="C3292" t="inlineStr">
        <is>
          <t>288</t>
        </is>
      </c>
      <c r="D3292" t="inlineStr">
        <is>
          <t>1</t>
        </is>
      </c>
      <c r="E3292" t="inlineStr">
        <is>
          <t>72</t>
        </is>
      </c>
      <c r="F3292" t="inlineStr">
        <is>
          <t>0</t>
        </is>
      </c>
      <c r="G3292" t="inlineStr">
        <is>
          <t>0</t>
        </is>
      </c>
      <c r="H3292" t="inlineStr">
        <is>
          <t>1⁴, 2², 4², 5⁴, 8⁴, 10², 20², 40⁴</t>
        </is>
      </c>
      <c r="I3292" t="n">
        <v>24</v>
      </c>
      <c r="J3292" t="inlineStr">
        <is>
          <t>1⁸, 2⁴, 4⁶, 8², 16¹</t>
        </is>
      </c>
      <c r="K3292">
        <f>HYPERLINK("CSG5.html#group40M5", "40M⁵")</f>
        <v/>
      </c>
      <c r="L3292" t="inlineStr"/>
      <c r="M3292">
        <f>HYPERLINK("CSG0.html#group20A0", "20A⁰"), =HYPERLINK("CSG3.html#group40F3", "40F³"), =HYPERLINK("CSG5.html#group40M5", "40M⁵"), =HYPERLINK("CSG0.html#group5B0", "5B⁰"), =HYPERLINK("CSG0.html#group10C0", "10C⁰"), =HYPERLINK("CSG0.html#group5D0", "5D⁰"), =HYPERLINK("CSG3.html#group40E3", "40E³"), =HYPERLINK("CSG1.html#group20D1", "20D¹"), =HYPERLINK("CSG0.html#group8C0", "8C⁰"), =HYPERLINK("CSG1.html#group20H1", "20H¹"), =HYPERLINK("CSG0.html#group2B0", "2B⁰"), =HYPERLINK("CSG0.html#group4B0", "4B⁰"), =HYPERLINK("CSG0.html#group1A0", "1A⁰"), =HYPERLINK("CSG0.html#group10F0", "10F⁰")</f>
        <v/>
      </c>
      <c r="N3292" t="inlineStr"/>
    </row>
    <row r="3293">
      <c r="A3293" t="inlineStr">
        <is>
          <t>40P¹³</t>
        </is>
      </c>
      <c r="B3293" t="inlineStr"/>
      <c r="C3293" t="inlineStr">
        <is>
          <t>288</t>
        </is>
      </c>
      <c r="D3293" t="inlineStr">
        <is>
          <t>1</t>
        </is>
      </c>
      <c r="E3293" t="inlineStr">
        <is>
          <t>72</t>
        </is>
      </c>
      <c r="F3293" t="inlineStr">
        <is>
          <t>0</t>
        </is>
      </c>
      <c r="G3293" t="inlineStr">
        <is>
          <t>0</t>
        </is>
      </c>
      <c r="H3293" t="inlineStr">
        <is>
          <t>1⁴, 2², 4², 5⁴, 8⁴, 10², 20², 40⁴</t>
        </is>
      </c>
      <c r="I3293" t="n">
        <v>24</v>
      </c>
      <c r="J3293" t="inlineStr">
        <is>
          <t>1⁸, 2⁴, 4⁶, 8², 16¹</t>
        </is>
      </c>
      <c r="K3293">
        <f>HYPERLINK("CSG5.html#group40M5", "40M⁵"), =HYPERLINK("CSG7.html#group40U7", "40U⁷"), =HYPERLINK("CSG7.html#group40V7", "40V⁷")</f>
        <v/>
      </c>
      <c r="L3293" t="inlineStr"/>
      <c r="M3293">
        <f>HYPERLINK("CSG7.html#group40U7", "40U⁷"), =HYPERLINK("CSG0.html#group5B0", "5B⁰"), =HYPERLINK("CSG0.html#group5D0", "5D⁰"), =HYPERLINK("CSG1.html#group20D1", "20D¹"), =HYPERLINK("CSG0.html#group8C0", "8C⁰"), =HYPERLINK("CSG1.html#group20H1", "20H¹"), =HYPERLINK("CSG0.html#group2B0", "2B⁰"), =HYPERLINK("CSG0.html#group4B0", "4B⁰"), =HYPERLINK("CSG0.html#group8I0", "8I⁰"), =HYPERLINK("CSG0.html#group1A0", "1A⁰"), =HYPERLINK("CSG0.html#group10F0", "10F⁰"), =HYPERLINK("CSG7.html#group40V7", "40V⁷"), =HYPERLINK("CSG0.html#group20A0", "20A⁰"), =HYPERLINK("CSG3.html#group40F3", "40F³"), =HYPERLINK("CSG5.html#group40M5", "40M⁵"), =HYPERLINK("CSG0.html#group10C0", "10C⁰"), =HYPERLINK("CSG3.html#group40E3", "40E³")</f>
        <v/>
      </c>
      <c r="N3293" t="inlineStr"/>
    </row>
    <row r="3294">
      <c r="A3294" t="inlineStr">
        <is>
          <t>40Q¹³</t>
        </is>
      </c>
      <c r="B3294" t="inlineStr"/>
      <c r="C3294" t="inlineStr">
        <is>
          <t>288</t>
        </is>
      </c>
      <c r="D3294" t="inlineStr">
        <is>
          <t>1</t>
        </is>
      </c>
      <c r="E3294" t="inlineStr">
        <is>
          <t>72</t>
        </is>
      </c>
      <c r="F3294" t="inlineStr">
        <is>
          <t>0</t>
        </is>
      </c>
      <c r="G3294" t="inlineStr">
        <is>
          <t>0</t>
        </is>
      </c>
      <c r="H3294" t="inlineStr">
        <is>
          <t>2⁴, 4⁶, 8², 10⁴, 20⁶, 40²</t>
        </is>
      </c>
      <c r="I3294" t="n">
        <v>24</v>
      </c>
      <c r="J3294" t="inlineStr">
        <is>
          <t>1¹⁶, 2⁴, 4⁸, 8²</t>
        </is>
      </c>
      <c r="K3294">
        <f>HYPERLINK("CSG5.html#group20I5", "20I⁵")</f>
        <v/>
      </c>
      <c r="L3294" t="inlineStr"/>
      <c r="M3294">
        <f>HYPERLINK("CSG1.html#group20E1", "20E¹"), =HYPERLINK("CSG0.html#group2A0", "2A⁰"), =HYPERLINK("CSG0.html#group10G0", "10G⁰"), =HYPERLINK("CSG5.html#group20I5", "20I⁵"), =HYPERLINK("CSG3.html#group20G3", "20G³"), =HYPERLINK("CSG0.html#group4C0", "4C⁰"), =HYPERLINK("CSG0.html#group5B0", "5B⁰"), =HYPERLINK("CSG0.html#group5D0", "5D⁰"), =HYPERLINK("CSG1.html#group10A1", "10A¹"), =HYPERLINK("CSG0.html#group2B0", "2B⁰"), =HYPERLINK("CSG1.html#group20D1", "20D¹"), =HYPERLINK("CSG1.html#group20H1", "20H¹"), =HYPERLINK("CSG0.html#group4E0", "4E⁰"), =HYPERLINK("CSG0.html#group4B0", "4B⁰"), =HYPERLINK("CSG1.html#group10D1", "10D¹"), =HYPERLINK("CSG0.html#group1A0", "1A⁰"), =HYPERLINK("CSG3.html#group20H3", "20H³"), =HYPERLINK("CSG0.html#group10F0", "10F⁰"), =HYPERLINK("CSG0.html#group10B0", "10B⁰"), =HYPERLINK("CSG0.html#group20A0", "20A⁰"), =HYPERLINK("CSG1.html#group20I1", "20I¹"), =HYPERLINK("CSG0.html#group10C0", "10C⁰"), =HYPERLINK("CSG1.html#group10K1", "10K¹"), =HYPERLINK("CSG3.html#group20I3", "20I³"), =HYPERLINK("CSG3.html#group20J3", "20J³"), =HYPERLINK("CSG0.html#group2C0", "2C⁰"), =HYPERLINK("CSG2.html#group20C2", "20C²"), =HYPERLINK("CSG1.html#group10G1", "10G¹")</f>
        <v/>
      </c>
      <c r="N3294" t="inlineStr"/>
    </row>
    <row r="3295">
      <c r="A3295" t="inlineStr">
        <is>
          <t>40R¹³</t>
        </is>
      </c>
      <c r="B3295" t="inlineStr"/>
      <c r="C3295" t="inlineStr">
        <is>
          <t>288</t>
        </is>
      </c>
      <c r="D3295" t="inlineStr">
        <is>
          <t>1</t>
        </is>
      </c>
      <c r="E3295" t="inlineStr">
        <is>
          <t>72</t>
        </is>
      </c>
      <c r="F3295" t="inlineStr">
        <is>
          <t>0</t>
        </is>
      </c>
      <c r="G3295" t="inlineStr">
        <is>
          <t>0</t>
        </is>
      </c>
      <c r="H3295" t="inlineStr">
        <is>
          <t>2⁴, 4⁶, 8², 10⁴, 20⁶, 40²</t>
        </is>
      </c>
      <c r="I3295" t="n">
        <v>24</v>
      </c>
      <c r="J3295" t="inlineStr">
        <is>
          <t>1¹⁶, 2⁴, 4⁸, 8²</t>
        </is>
      </c>
      <c r="K3295">
        <f>HYPERLINK("CSG5.html#group20I5", "20I⁵"), =HYPERLINK("CSG7.html#group40W7", "40W⁷"), =HYPERLINK("CSG7.html#group40X7", "40X⁷")</f>
        <v/>
      </c>
      <c r="L3295" t="inlineStr"/>
      <c r="M3295">
        <f>HYPERLINK("CSG0.html#group2A0", "2A⁰"), =HYPERLINK("CSG1.html#group20E1", "20E¹"), =HYPERLINK("CSG0.html#group10G0", "10G⁰"), =HYPERLINK("CSG5.html#group20I5", "20I⁵"), =HYPERLINK("CSG0.html#group4C0", "4C⁰"), =HYPERLINK("CSG7.html#group40X7", "40X⁷"), =HYPERLINK("CSG0.html#group5B0", "5B⁰"), =HYPERLINK("CSG1.html#group10A1", "10A¹"), =HYPERLINK("CSG0.html#group5D0", "5D⁰"), =HYPERLINK("CSG0.html#group2B0", "2B⁰"), =HYPERLINK("CSG0.html#group4E0", "4E⁰"), =HYPERLINK("CSG1.html#group20H1", "20H¹"), =HYPERLINK("CSG0.html#group4B0", "4B⁰"), =HYPERLINK("CSG1.html#group10D1", "10D¹"), =HYPERLINK("CSG0.html#group1A0", "1A⁰"), =HYPERLINK("CSG3.html#group20H3", "20H³"), =HYPERLINK("CSG0.html#group10C0", "10C⁰"), =HYPERLINK("CSG3.html#group20J3", "20J³"), =HYPERLINK("CSG2.html#group20C2", "20C²"), =HYPERLINK("CSG7.html#group40W7", "40W⁷"), =HYPERLINK("CSG3.html#group20G3", "20G³"), =HYPERLINK("CSG1.html#group20D1", "20D¹"), =HYPERLINK("CSG0.html#group10F0", "10F⁰"), =HYPERLINK("CSG0.html#group10B0", "10B⁰"), =HYPERLINK("CSG0.html#group20A0", "20A⁰"), =HYPERLINK("CSG1.html#group20I1", "20I¹"), =HYPERLINK("CSG1.html#group10K1", "10K¹"), =HYPERLINK("CSG3.html#group20I3", "20I³"), =HYPERLINK("CSG0.html#group8J0", "8J⁰"), =HYPERLINK("CSG0.html#group2C0", "2C⁰"), =HYPERLINK("CSG1.html#group10G1", "10G¹")</f>
        <v/>
      </c>
      <c r="N3295" t="inlineStr"/>
    </row>
    <row r="3296">
      <c r="A3296" t="inlineStr">
        <is>
          <t>40S¹³</t>
        </is>
      </c>
      <c r="B3296" t="inlineStr"/>
      <c r="C3296" t="inlineStr">
        <is>
          <t>288</t>
        </is>
      </c>
      <c r="D3296" t="inlineStr">
        <is>
          <t>1</t>
        </is>
      </c>
      <c r="E3296" t="inlineStr">
        <is>
          <t>72</t>
        </is>
      </c>
      <c r="F3296" t="inlineStr">
        <is>
          <t>8</t>
        </is>
      </c>
      <c r="G3296" t="inlineStr">
        <is>
          <t>0</t>
        </is>
      </c>
      <c r="H3296" t="inlineStr">
        <is>
          <t>4⁸, 8², 20⁸, 40²</t>
        </is>
      </c>
      <c r="I3296" t="n">
        <v>20</v>
      </c>
      <c r="J3296" t="inlineStr">
        <is>
          <t>2⁴, 4⁴, 8², 16²</t>
        </is>
      </c>
      <c r="K3296">
        <f>HYPERLINK("CSG5.html#group20J5", "20J⁵")</f>
        <v/>
      </c>
      <c r="L3296" t="inlineStr"/>
      <c r="M3296">
        <f>HYPERLINK("CSG1.html#group20E1", "20E¹"), =HYPERLINK("CSG0.html#group10G0", "10G⁰"), =HYPERLINK("CSG5.html#group20J5", "20J⁵"), =HYPERLINK("CSG0.html#group4C0", "4C⁰"), =HYPERLINK("CSG0.html#group5B0", "5B⁰"), =HYPERLINK("CSG0.html#group2B0", "2B⁰"), =HYPERLINK("CSG3.html#group20K3", "20K³"), =HYPERLINK("CSG0.html#group1A0", "1A⁰"), =HYPERLINK("CSG1.html#group20B1", "20B¹"), =HYPERLINK("CSG0.html#group10B0", "10B⁰"), =HYPERLINK("CSG0.html#group20A0", "20A⁰"), =HYPERLINK("CSG1.html#group20I1", "20I¹"), =HYPERLINK("CSG0.html#group4A0", "4A⁰"), =HYPERLINK("CSG1.html#group20G1", "20G¹"), =HYPERLINK("CSG0.html#group10C0", "10C⁰"), =HYPERLINK("CSG0.html#group4F0", "4F⁰"), =HYPERLINK("CSG3.html#group20L3", "20L³")</f>
        <v/>
      </c>
      <c r="N3296" t="inlineStr"/>
    </row>
    <row r="3297">
      <c r="A3297" t="inlineStr">
        <is>
          <t>40T¹³</t>
        </is>
      </c>
      <c r="B3297" t="inlineStr"/>
      <c r="C3297" t="inlineStr">
        <is>
          <t>288</t>
        </is>
      </c>
      <c r="D3297" t="inlineStr">
        <is>
          <t>1</t>
        </is>
      </c>
      <c r="E3297" t="inlineStr">
        <is>
          <t>72</t>
        </is>
      </c>
      <c r="F3297" t="inlineStr">
        <is>
          <t>8</t>
        </is>
      </c>
      <c r="G3297" t="inlineStr">
        <is>
          <t>0</t>
        </is>
      </c>
      <c r="H3297" t="inlineStr">
        <is>
          <t>4⁸, 8², 20⁸, 40²</t>
        </is>
      </c>
      <c r="I3297" t="n">
        <v>20</v>
      </c>
      <c r="J3297" t="inlineStr">
        <is>
          <t>2⁴, 4⁴, 8², 16²</t>
        </is>
      </c>
      <c r="K3297">
        <f>HYPERLINK("CSG5.html#group20J5", "20J⁵"), =HYPERLINK("CSG7.html#group40Y7", "40Y⁷"), =HYPERLINK("CSG7.html#group40Z7", "40Z⁷")</f>
        <v/>
      </c>
      <c r="L3297" t="inlineStr"/>
      <c r="M3297">
        <f>HYPERLINK("CSG1.html#group20E1", "20E¹"), =HYPERLINK("CSG0.html#group10G0", "10G⁰"), =HYPERLINK("CSG5.html#group20J5", "20J⁵"), =HYPERLINK("CSG0.html#group4C0", "4C⁰"), =HYPERLINK("CSG0.html#group5B0", "5B⁰"), =HYPERLINK("CSG0.html#group2B0", "2B⁰"), =HYPERLINK("CSG3.html#group20K3", "20K³"), =HYPERLINK("CSG0.html#group8K0", "8K⁰"), =HYPERLINK("CSG0.html#group1A0", "1A⁰"), =HYPERLINK("CSG1.html#group20B1", "20B¹"), =HYPERLINK("CSG0.html#group10B0", "10B⁰"), =HYPERLINK("CSG0.html#group20A0", "20A⁰"), =HYPERLINK("CSG1.html#group20I1", "20I¹"), =HYPERLINK("CSG0.html#group4A0", "4A⁰"), =HYPERLINK("CSG1.html#group20G1", "20G¹"), =HYPERLINK("CSG0.html#group10C0", "10C⁰"), =HYPERLINK("CSG7.html#group40Y7", "40Y⁷"), =HYPERLINK("CSG0.html#group4F0", "4F⁰"), =HYPERLINK("CSG7.html#group40Z7", "40Z⁷"), =HYPERLINK("CSG3.html#group20L3", "20L³")</f>
        <v/>
      </c>
      <c r="N3297" t="inlineStr"/>
    </row>
    <row r="3298">
      <c r="A3298" t="inlineStr">
        <is>
          <t>40U¹³</t>
        </is>
      </c>
      <c r="B3298" t="inlineStr"/>
      <c r="C3298" t="inlineStr">
        <is>
          <t>288</t>
        </is>
      </c>
      <c r="D3298" t="inlineStr">
        <is>
          <t>1</t>
        </is>
      </c>
      <c r="E3298" t="inlineStr">
        <is>
          <t>72</t>
        </is>
      </c>
      <c r="F3298" t="inlineStr">
        <is>
          <t>16</t>
        </is>
      </c>
      <c r="G3298" t="inlineStr">
        <is>
          <t>0</t>
        </is>
      </c>
      <c r="H3298" t="inlineStr">
        <is>
          <t>4⁴, 8⁴, 20⁴, 40⁴</t>
        </is>
      </c>
      <c r="I3298" t="n">
        <v>16</v>
      </c>
      <c r="J3298" t="inlineStr">
        <is>
          <t>1⁸, 2⁴, 4⁶, 8², 16¹</t>
        </is>
      </c>
      <c r="K3298">
        <f>HYPERLINK("CSG5.html#group40L5", "40L⁵")</f>
        <v/>
      </c>
      <c r="L3298" t="inlineStr"/>
      <c r="M3298">
        <f>HYPERLINK("CSG3.html#group40C3", "40C³"), =HYPERLINK("CSG1.html#group20E1", "20E¹"), =HYPERLINK("CSG0.html#group20A0", "20A⁰"), =HYPERLINK("CSG3.html#group40D3", "40D³"), =HYPERLINK("CSG0.html#group10G0", "10G⁰"), =HYPERLINK("CSG1.html#group20I1", "20I¹"), =HYPERLINK("CSG0.html#group4C0", "4C⁰"), =HYPERLINK("CSG0.html#group5B0", "5B⁰"), =HYPERLINK("CSG0.html#group10C0", "10C⁰"), =HYPERLINK("CSG0.html#group8B0", "8B⁰"), =HYPERLINK("CSG0.html#group1A0", "1A⁰"), =HYPERLINK("CSG0.html#group2B0", "2B⁰"), =HYPERLINK("CSG5.html#group40L5", "40L⁵"), =HYPERLINK("CSG0.html#group10B0", "10B⁰")</f>
        <v/>
      </c>
      <c r="N3298" t="inlineStr"/>
    </row>
    <row r="3299">
      <c r="A3299" t="inlineStr">
        <is>
          <t>40V¹³</t>
        </is>
      </c>
      <c r="B3299" t="inlineStr"/>
      <c r="C3299" t="inlineStr">
        <is>
          <t>288</t>
        </is>
      </c>
      <c r="D3299" t="inlineStr">
        <is>
          <t>1</t>
        </is>
      </c>
      <c r="E3299" t="inlineStr">
        <is>
          <t>72</t>
        </is>
      </c>
      <c r="F3299" t="inlineStr">
        <is>
          <t>16</t>
        </is>
      </c>
      <c r="G3299" t="inlineStr">
        <is>
          <t>0</t>
        </is>
      </c>
      <c r="H3299" t="inlineStr">
        <is>
          <t>4⁴, 8⁴, 20⁴, 40⁴</t>
        </is>
      </c>
      <c r="I3299" t="n">
        <v>16</v>
      </c>
      <c r="J3299" t="inlineStr">
        <is>
          <t>1⁸, 2⁴, 4⁶, 8², 16¹</t>
        </is>
      </c>
      <c r="K3299">
        <f>HYPERLINK("CSG5.html#group40L5", "40L⁵"), =HYPERLINK("CSG7.html#group40AA7", "40AA⁷"), =HYPERLINK("CSG7.html#group40AB7", "40AB⁷")</f>
        <v/>
      </c>
      <c r="L3299" t="inlineStr"/>
      <c r="M3299">
        <f>HYPERLINK("CSG1.html#group20E1", "20E¹"), =HYPERLINK("CSG3.html#group40D3", "40D³"), =HYPERLINK("CSG0.html#group10G0", "10G⁰"), =HYPERLINK("CSG0.html#group4C0", "4C⁰"), =HYPERLINK("CSG0.html#group5B0", "5B⁰"), =HYPERLINK("CSG0.html#group8B0", "8B⁰"), =HYPERLINK("CSG0.html#group8L0", "8L⁰"), =HYPERLINK("CSG0.html#group2B0", "2B⁰"), =HYPERLINK("CSG0.html#group1A0", "1A⁰"), =HYPERLINK("CSG0.html#group10B0", "10B⁰"), =HYPERLINK("CSG3.html#group40C3", "40C³"), =HYPERLINK("CSG0.html#group20A0", "20A⁰"), =HYPERLINK("CSG7.html#group40AA7", "40AA⁷"), =HYPERLINK("CSG1.html#group20I1", "20I¹"), =HYPERLINK("CSG0.html#group10C0", "10C⁰"), =HYPERLINK("CSG5.html#group40L5", "40L⁵"), =HYPERLINK("CSG7.html#group40AB7", "40AB⁷")</f>
        <v/>
      </c>
      <c r="N3299" t="inlineStr"/>
    </row>
    <row r="3300">
      <c r="A3300" t="inlineStr">
        <is>
          <t>40W¹³</t>
        </is>
      </c>
      <c r="B3300" t="inlineStr"/>
      <c r="C3300" t="inlineStr">
        <is>
          <t>288</t>
        </is>
      </c>
      <c r="D3300" t="inlineStr">
        <is>
          <t>2</t>
        </is>
      </c>
      <c r="E3300" t="inlineStr">
        <is>
          <t>18</t>
        </is>
      </c>
      <c r="F3300" t="inlineStr">
        <is>
          <t>16</t>
        </is>
      </c>
      <c r="G3300" t="inlineStr">
        <is>
          <t>0</t>
        </is>
      </c>
      <c r="H3300" t="inlineStr">
        <is>
          <t>4⁴, 8⁴, 20⁴, 40⁴</t>
        </is>
      </c>
      <c r="I3300" t="n">
        <v>16</v>
      </c>
      <c r="J3300" t="inlineStr">
        <is>
          <t>2⁶, 8³</t>
        </is>
      </c>
      <c r="K3300">
        <f>HYPERLINK("CSG5.html#group20K5", "20K⁵"), =HYPERLINK("CSG5.html#group40L5", "40L⁵"), =HYPERLINK("CSG5.html#group40O5", "40O⁵")</f>
        <v/>
      </c>
      <c r="L3300" t="inlineStr"/>
      <c r="M3300">
        <f>HYPERLINK("CSG1.html#group20E1", "20E¹"), =HYPERLINK("CSG1.html#group20C1", "20C¹"), =HYPERLINK("CSG3.html#group40D3", "40D³"), =HYPERLINK("CSG3.html#group20M3", "20M³"), =HYPERLINK("CSG0.html#group10G0", "10G⁰"), =HYPERLINK("CSG1.html#group40A1", "40A¹"), =HYPERLINK("CSG5.html#group40O5", "40O⁵"), =HYPERLINK("CSG0.html#group4C0", "4C⁰"), =HYPERLINK("CSG0.html#group5B0", "5B⁰"), =HYPERLINK("CSG0.html#group8B0", "8B⁰"), =HYPERLINK("CSG0.html#group2B0", "2B⁰"), =HYPERLINK("CSG0.html#group1A0", "1A⁰"), =HYPERLINK("CSG1.html#group20J1", "20J¹"), =HYPERLINK("CSG0.html#group10B0", "10B⁰"), =HYPERLINK("CSG3.html#group40C3", "40C³"), =HYPERLINK("CSG0.html#group20A0", "20A⁰"), =HYPERLINK("CSG5.html#group20K5", "20K⁵"), =HYPERLINK("CSG1.html#group20I1", "20I¹"), =HYPERLINK("CSG3.html#group40I3", "40I³"), =HYPERLINK("CSG0.html#group10C0", "10C⁰"), =HYPERLINK("CSG5.html#group40L5", "40L⁵")</f>
        <v/>
      </c>
      <c r="N3300" t="inlineStr"/>
    </row>
    <row r="3301">
      <c r="A3301" t="inlineStr">
        <is>
          <t>42A¹³</t>
        </is>
      </c>
      <c r="B3301" t="inlineStr"/>
      <c r="C3301" t="inlineStr">
        <is>
          <t>168</t>
        </is>
      </c>
      <c r="D3301" t="inlineStr">
        <is>
          <t>1</t>
        </is>
      </c>
      <c r="E3301" t="inlineStr">
        <is>
          <t>28</t>
        </is>
      </c>
      <c r="F3301" t="inlineStr">
        <is>
          <t>0</t>
        </is>
      </c>
      <c r="G3301" t="inlineStr">
        <is>
          <t>0</t>
        </is>
      </c>
      <c r="H3301" t="inlineStr">
        <is>
          <t>42⁴</t>
        </is>
      </c>
      <c r="I3301" t="n">
        <v>4</v>
      </c>
      <c r="J3301" t="inlineStr">
        <is>
          <t>1¹, 3¹, 6⁴</t>
        </is>
      </c>
      <c r="K3301">
        <f>HYPERLINK("CSG3.html#group14C3", "14C³"), =HYPERLINK("CSG3.html#group21C3", "21C³"), =HYPERLINK("CSG4.html#group42A4", "42A⁴")</f>
        <v/>
      </c>
      <c r="L3301" t="inlineStr"/>
      <c r="M3301">
        <f>HYPERLINK("CSG0.html#group2A0", "2A⁰"), =HYPERLINK("CSG3.html#group14C3", "14C³"), =HYPERLINK("CSG1.html#group14A1", "14A¹"), =HYPERLINK("CSG0.html#group7F0", "7F⁰"), =HYPERLINK("CSG0.html#group21A0", "21A⁰"), =HYPERLINK("CSG1.html#group6A1", "6A¹"), =HYPERLINK("CSG4.html#group42A4", "42A⁴"), =HYPERLINK("CSG0.html#group3A0", "3A⁰"), =HYPERLINK("CSG0.html#group1A0", "1A⁰"), =HYPERLINK("CSG3.html#group21C3", "21C³"), =HYPERLINK("CSG0.html#group7A0", "7A⁰")</f>
        <v/>
      </c>
      <c r="N3301" t="inlineStr"/>
    </row>
    <row r="3302">
      <c r="A3302" t="inlineStr">
        <is>
          <t>42B¹³</t>
        </is>
      </c>
      <c r="B3302" t="inlineStr"/>
      <c r="C3302" t="inlineStr">
        <is>
          <t>168</t>
        </is>
      </c>
      <c r="D3302" t="inlineStr">
        <is>
          <t>2</t>
        </is>
      </c>
      <c r="E3302" t="inlineStr">
        <is>
          <t>7</t>
        </is>
      </c>
      <c r="F3302" t="inlineStr">
        <is>
          <t>0</t>
        </is>
      </c>
      <c r="G3302" t="inlineStr">
        <is>
          <t>0</t>
        </is>
      </c>
      <c r="H3302" t="inlineStr">
        <is>
          <t>42⁴</t>
        </is>
      </c>
      <c r="I3302" t="n">
        <v>4</v>
      </c>
      <c r="J3302" t="inlineStr">
        <is>
          <t>2¹, 6²</t>
        </is>
      </c>
      <c r="K3302">
        <f>HYPERLINK("CSG4.html#group42D4", "42D⁴"), =HYPERLINK("CSG5.html#group42E5", "42E⁵"), =HYPERLINK("CSG6.html#group21A6", "21A⁶"), =HYPERLINK("CSG6.html#group42A6", "42A⁶")</f>
        <v/>
      </c>
      <c r="L3302" t="inlineStr"/>
      <c r="M3302">
        <f>HYPERLINK("CSG0.html#group3B0", "3B⁰"), =HYPERLINK("CSG0.html#group14A0", "14A⁰"), =HYPERLINK("CSG2.html#group21D2", "21D²"), =HYPERLINK("CSG1.html#group42A1", "42A¹"), =HYPERLINK("CSG0.html#group21A0", "21A⁰"), =HYPERLINK("CSG0.html#group1A0", "1A⁰"), =HYPERLINK("CSG6.html#group21A6", "21A⁶"), =HYPERLINK("CSG2.html#group42A2", "42A²"), =HYPERLINK("CSG2.html#group21B2", "21B²"), =HYPERLINK("CSG6.html#group42A6", "42A⁶"), =HYPERLINK("CSG5.html#group42E5", "42E⁵"), =HYPERLINK("CSG4.html#group42D4", "42D⁴"), =HYPERLINK("CSG0.html#group3C0", "3C⁰"), =HYPERLINK("CSG0.html#group3A0", "3A⁰"), =HYPERLINK("CSG0.html#group3D0", "3D⁰"), =HYPERLINK("CSG0.html#group7A0", "7A⁰")</f>
        <v/>
      </c>
      <c r="N3302" t="inlineStr"/>
    </row>
    <row r="3303">
      <c r="A3303" t="inlineStr">
        <is>
          <t>42C¹³</t>
        </is>
      </c>
      <c r="B3303" t="inlineStr"/>
      <c r="C3303" t="inlineStr">
        <is>
          <t>168</t>
        </is>
      </c>
      <c r="D3303" t="inlineStr">
        <is>
          <t>2</t>
        </is>
      </c>
      <c r="E3303" t="inlineStr">
        <is>
          <t>7</t>
        </is>
      </c>
      <c r="F3303" t="inlineStr">
        <is>
          <t>0</t>
        </is>
      </c>
      <c r="G3303" t="inlineStr">
        <is>
          <t>0</t>
        </is>
      </c>
      <c r="H3303" t="inlineStr">
        <is>
          <t>42⁴</t>
        </is>
      </c>
      <c r="I3303" t="n">
        <v>4</v>
      </c>
      <c r="J3303" t="inlineStr">
        <is>
          <t>2¹, 6²</t>
        </is>
      </c>
      <c r="K3303">
        <f>HYPERLINK("CSG1.html#group6D1", "6D¹"), =HYPERLINK("CSG4.html#group42E4", "42E⁴"), =HYPERLINK("CSG4.html#group42F4", "42F⁴"), =HYPERLINK("CSG6.html#group21A6", "21A⁶"), =HYPERLINK("CSG7.html#group42C7", "42C⁷")</f>
        <v/>
      </c>
      <c r="L3303" t="inlineStr"/>
      <c r="M3303">
        <f>HYPERLINK("CSG0.html#group3B0", "3B⁰"), =HYPERLINK("CSG0.html#group2A0", "2A⁰"), =HYPERLINK("CSG2.html#group21D2", "21D²"), =HYPERLINK("CSG0.html#group6B0", "6B⁰"), =HYPERLINK("CSG4.html#group42F4", "42F⁴"), =HYPERLINK("CSG0.html#group6C0", "6C⁰"), =HYPERLINK("CSG1.html#group14A1", "14A¹"), =HYPERLINK("CSG0.html#group21A0", "21A⁰"), =HYPERLINK("CSG4.html#group42A4", "42A⁴"), =HYPERLINK("CSG0.html#group1A0", "1A⁰"), =HYPERLINK("CSG6.html#group21A6", "21A⁶"), =HYPERLINK("CSG2.html#group21B2", "21B²"), =HYPERLINK("CSG1.html#group6D1", "6D¹"), =HYPERLINK("CSG7.html#group42C7", "42C⁷"), =HYPERLINK("CSG0.html#group6E0", "6E⁰"), =HYPERLINK("CSG1.html#group6B1", "6B¹"), =HYPERLINK("CSG4.html#group42E4", "42E⁴"), =HYPERLINK("CSG0.html#group3C0", "3C⁰"), =HYPERLINK("CSG1.html#group6A1", "6A¹"), =HYPERLINK("CSG1.html#group42B1", "42B¹"), =HYPERLINK("CSG0.html#group3A0", "3A⁰"), =HYPERLINK("CSG0.html#group3D0", "3D⁰"), =HYPERLINK("CSG0.html#group7A0", "7A⁰")</f>
        <v/>
      </c>
      <c r="N3303" t="inlineStr"/>
    </row>
    <row r="3304">
      <c r="A3304" t="inlineStr">
        <is>
          <t>42D¹³</t>
        </is>
      </c>
      <c r="B3304" t="inlineStr"/>
      <c r="C3304" t="inlineStr">
        <is>
          <t>168</t>
        </is>
      </c>
      <c r="D3304" t="inlineStr">
        <is>
          <t>2</t>
        </is>
      </c>
      <c r="E3304" t="inlineStr">
        <is>
          <t>21</t>
        </is>
      </c>
      <c r="F3304" t="inlineStr">
        <is>
          <t>0</t>
        </is>
      </c>
      <c r="G3304" t="inlineStr">
        <is>
          <t>0</t>
        </is>
      </c>
      <c r="H3304" t="inlineStr">
        <is>
          <t>42⁴</t>
        </is>
      </c>
      <c r="I3304" t="n">
        <v>4</v>
      </c>
      <c r="J3304" t="inlineStr">
        <is>
          <t>2¹, 4¹, 6², 12²</t>
        </is>
      </c>
      <c r="K3304">
        <f>HYPERLINK("CSG4.html#group21B4", "21B⁴"), =HYPERLINK("CSG4.html#group42G4", "42G⁴"), =HYPERLINK("CSG4.html#group42H4", "42H⁴"), =HYPERLINK("CSG6.html#group42A6", "42A⁶"), =HYPERLINK("CSG7.html#group42B7", "42B⁷"), =HYPERLINK("CSG7.html#group42C7", "42C⁷")</f>
        <v/>
      </c>
      <c r="L3304" t="inlineStr"/>
      <c r="M3304">
        <f>HYPERLINK("CSG0.html#group2A0", "2A⁰"), =HYPERLINK("CSG2.html#group21D2", "21D²"), =HYPERLINK("CSG0.html#group6B0", "6B⁰"), =HYPERLINK("CSG4.html#group42H4", "42H⁴"), =HYPERLINK("CSG1.html#group21D1", "21D¹"), =HYPERLINK("CSG1.html#group14A1", "14A¹"), =HYPERLINK("CSG0.html#group21A0", "21A⁰"), =HYPERLINK("CSG7.html#group42B7", "42B⁷"), =HYPERLINK("CSG4.html#group42A4", "42A⁴"), =HYPERLINK("CSG0.html#group1A0", "1A⁰"), =HYPERLINK("CSG2.html#group42A2", "42A²"), =HYPERLINK("CSG7.html#group42C7", "42C⁷"), =HYPERLINK("CSG6.html#group42A6", "42A⁶"), =HYPERLINK("CSG1.html#group6B1", "6B¹"), =HYPERLINK("CSG4.html#group42G4", "42G⁴"), =HYPERLINK("CSG0.html#group3C0", "3C⁰"), =HYPERLINK("CSG4.html#group21B4", "21B⁴"), =HYPERLINK("CSG1.html#group6A1", "6A¹"), =HYPERLINK("CSG1.html#group42B1", "42B¹"), =HYPERLINK("CSG0.html#group3A0", "3A⁰"), =HYPERLINK("CSG0.html#group7A0", "7A⁰")</f>
        <v/>
      </c>
      <c r="N3304" t="inlineStr"/>
    </row>
    <row r="3305">
      <c r="A3305" t="inlineStr">
        <is>
          <t>42E¹³</t>
        </is>
      </c>
      <c r="B3305" t="inlineStr"/>
      <c r="C3305" t="inlineStr">
        <is>
          <t>168</t>
        </is>
      </c>
      <c r="D3305" t="inlineStr">
        <is>
          <t>2</t>
        </is>
      </c>
      <c r="E3305" t="inlineStr">
        <is>
          <t>21</t>
        </is>
      </c>
      <c r="F3305" t="inlineStr">
        <is>
          <t>0</t>
        </is>
      </c>
      <c r="G3305" t="inlineStr">
        <is>
          <t>0</t>
        </is>
      </c>
      <c r="H3305" t="inlineStr">
        <is>
          <t>42⁴</t>
        </is>
      </c>
      <c r="I3305" t="n">
        <v>4</v>
      </c>
      <c r="J3305" t="inlineStr">
        <is>
          <t>2¹, 4¹, 6², 12²</t>
        </is>
      </c>
      <c r="K3305">
        <f>HYPERLINK("CSG3.html#group42F3", "42F³"), =HYPERLINK("CSG5.html#group21B5", "21B⁵"), =HYPERLINK("CSG5.html#group42E5", "42E⁵"), =HYPERLINK("CSG5.html#group42F5", "42F⁵"), =HYPERLINK("CSG7.html#group42A7", "42A⁷"), =HYPERLINK("CSG7.html#group42B7", "42B⁷"), =HYPERLINK("CSG7.html#group42C7", "42C⁷")</f>
        <v/>
      </c>
      <c r="L3305" t="inlineStr"/>
      <c r="M3305">
        <f>HYPERLINK("CSG0.html#group2A0", "2A⁰"), =HYPERLINK("CSG0.html#group14A0", "14A⁰"), =HYPERLINK("CSG2.html#group21D2", "21D²"), =HYPERLINK("CSG5.html#group42F5", "42F⁵"), =HYPERLINK("CSG0.html#group6B0", "6B⁰"), =HYPERLINK("CSG0.html#group3A0", "3A⁰"), =HYPERLINK("CSG1.html#group42A1", "42A¹"), =HYPERLINK("CSG5.html#group21B5", "21B⁵"), =HYPERLINK("CSG1.html#group21D1", "21D¹"), =HYPERLINK("CSG1.html#group14A1", "14A¹"), =HYPERLINK("CSG2.html#group21C2", "21C²"), =HYPERLINK("CSG0.html#group21A0", "21A⁰"), =HYPERLINK("CSG7.html#group42B7", "42B⁷"), =HYPERLINK("CSG4.html#group42A4", "42A⁴"), =HYPERLINK("CSG0.html#group1A0", "1A⁰"), =HYPERLINK("CSG1.html#group14D1", "14D¹"), =HYPERLINK("CSG2.html#group42A2", "42A²"), =HYPERLINK("CSG1.html#group6B1", "6B¹"), =HYPERLINK("CSG5.html#group42E5", "42E⁵"), =HYPERLINK("CSG0.html#group7C0", "7C⁰"), =HYPERLINK("CSG7.html#group42A7", "42A⁷"), =HYPERLINK("CSG0.html#group3C0", "3C⁰"), =HYPERLINK("CSG1.html#group6A1", "6A¹"), =HYPERLINK("CSG1.html#group42B1", "42B¹"), =HYPERLINK("CSG7.html#group42C7", "42C⁷"), =HYPERLINK("CSG3.html#group42F3", "42F³"), =HYPERLINK("CSG0.html#group7A0", "7A⁰")</f>
        <v/>
      </c>
      <c r="N3305" t="inlineStr"/>
    </row>
    <row r="3306">
      <c r="A3306" t="inlineStr">
        <is>
          <t>42F¹³</t>
        </is>
      </c>
      <c r="B3306" t="inlineStr"/>
      <c r="C3306" t="inlineStr">
        <is>
          <t>192</t>
        </is>
      </c>
      <c r="D3306" t="inlineStr">
        <is>
          <t>1</t>
        </is>
      </c>
      <c r="E3306" t="inlineStr">
        <is>
          <t>8</t>
        </is>
      </c>
      <c r="F3306" t="inlineStr">
        <is>
          <t>0</t>
        </is>
      </c>
      <c r="G3306" t="inlineStr">
        <is>
          <t>0</t>
        </is>
      </c>
      <c r="H3306" t="inlineStr">
        <is>
          <t>6⁴, 42⁴</t>
        </is>
      </c>
      <c r="I3306" t="n">
        <v>8</v>
      </c>
      <c r="J3306" t="inlineStr">
        <is>
          <t>1², 6¹</t>
        </is>
      </c>
      <c r="K3306">
        <f>HYPERLINK("CSG3.html#group42D3", "42D³"), =HYPERLINK("CSG5.html#group21C5", "21C⁵")</f>
        <v/>
      </c>
      <c r="L3306" t="inlineStr"/>
      <c r="M3306">
        <f>HYPERLINK("CSG0.html#group3B0", "3B⁰"), =HYPERLINK("CSG1.html#group21B1", "21B¹"), =HYPERLINK("CSG5.html#group21C5", "21C⁵"), =HYPERLINK("CSG2.html#group21A2", "21A²"), =HYPERLINK("CSG0.html#group7B0", "7B⁰"), =HYPERLINK("CSG0.html#group3C0", "3C⁰"), =HYPERLINK("CSG3.html#group42D3", "42D³"), =HYPERLINK("CSG0.html#group3A0", "3A⁰"), =HYPERLINK("CSG0.html#group1A0", "1A⁰"), =HYPERLINK("CSG3.html#group21A3", "21A³"), =HYPERLINK("CSG0.html#group3D0", "3D⁰")</f>
        <v/>
      </c>
      <c r="N3306" t="inlineStr"/>
    </row>
    <row r="3307">
      <c r="A3307" t="inlineStr">
        <is>
          <t>42G¹³</t>
        </is>
      </c>
      <c r="B3307" t="inlineStr"/>
      <c r="C3307" t="inlineStr">
        <is>
          <t>192</t>
        </is>
      </c>
      <c r="D3307" t="inlineStr">
        <is>
          <t>1</t>
        </is>
      </c>
      <c r="E3307" t="inlineStr">
        <is>
          <t>8</t>
        </is>
      </c>
      <c r="F3307" t="inlineStr">
        <is>
          <t>0</t>
        </is>
      </c>
      <c r="G3307" t="inlineStr">
        <is>
          <t>0</t>
        </is>
      </c>
      <c r="H3307" t="inlineStr">
        <is>
          <t>6⁴, 42⁴</t>
        </is>
      </c>
      <c r="I3307" t="n">
        <v>8</v>
      </c>
      <c r="J3307" t="inlineStr">
        <is>
          <t>1², 6¹</t>
        </is>
      </c>
      <c r="K3307">
        <f>HYPERLINK("CSG1.html#group6D1", "6D¹"), =HYPERLINK("CSG3.html#group42E3", "42E³"), =HYPERLINK("CSG5.html#group21C5", "21C⁵"), =HYPERLINK("CSG7.html#group42D7", "42D⁷"), =HYPERLINK("CSG7.html#group42E7", "42E⁷")</f>
        <v/>
      </c>
      <c r="L3307" t="inlineStr"/>
      <c r="M3307">
        <f>HYPERLINK("CSG7.html#group42E7", "42E⁷"), =HYPERLINK("CSG0.html#group2A0", "2A⁰"), =HYPERLINK("CSG0.html#group3B0", "3B⁰"), =HYPERLINK("CSG7.html#group42D7", "42D⁷"), =HYPERLINK("CSG0.html#group6B0", "6B⁰"), =HYPERLINK("CSG0.html#group6C0", "6C⁰"), =HYPERLINK("CSG4.html#group42C4", "42C⁴"), =HYPERLINK("CSG0.html#group1A0", "1A⁰"), =HYPERLINK("CSG3.html#group21A3", "21A³"), =HYPERLINK("CSG1.html#group6D1", "6D¹"), =HYPERLINK("CSG5.html#group21C5", "21C⁵"), =HYPERLINK("CSG2.html#group21A2", "21A²"), =HYPERLINK("CSG4.html#group42B4", "42B⁴"), =HYPERLINK("CSG1.html#group6B1", "6B¹"), =HYPERLINK("CSG0.html#group7B0", "7B⁰"), =HYPERLINK("CSG3.html#group42E3", "42E³"), =HYPERLINK("CSG0.html#group6E0", "6E⁰"), =HYPERLINK("CSG0.html#group14B0", "14B⁰"), =HYPERLINK("CSG1.html#group21B1", "21B¹"), =HYPERLINK("CSG0.html#group3C0", "3C⁰"), =HYPERLINK("CSG1.html#group6A1", "6A¹"), =HYPERLINK("CSG0.html#group3A0", "3A⁰"), =HYPERLINK("CSG0.html#group3D0", "3D⁰")</f>
        <v/>
      </c>
      <c r="N3307" t="inlineStr"/>
    </row>
    <row r="3308">
      <c r="A3308" t="inlineStr">
        <is>
          <t>42H¹³</t>
        </is>
      </c>
      <c r="B3308" t="inlineStr"/>
      <c r="C3308" t="inlineStr">
        <is>
          <t>216</t>
        </is>
      </c>
      <c r="D3308" t="inlineStr">
        <is>
          <t>1</t>
        </is>
      </c>
      <c r="E3308" t="inlineStr">
        <is>
          <t>24</t>
        </is>
      </c>
      <c r="F3308" t="inlineStr">
        <is>
          <t>0</t>
        </is>
      </c>
      <c r="G3308" t="inlineStr">
        <is>
          <t>0</t>
        </is>
      </c>
      <c r="H3308" t="inlineStr">
        <is>
          <t>3³, 6³, 21³, 42³</t>
        </is>
      </c>
      <c r="I3308" t="n">
        <v>12</v>
      </c>
      <c r="J3308" t="inlineStr">
        <is>
          <t>1⁶, 6³</t>
        </is>
      </c>
      <c r="K3308">
        <f>HYPERLINK("CSG1.html#group14H1", "14H¹"), =HYPERLINK("CSG4.html#group21A4", "21A⁴"), =HYPERLINK("CSG5.html#group42A5", "42A⁵"), =HYPERLINK("CSG5.html#group42B5", "42B⁵")</f>
        <v/>
      </c>
      <c r="L3308" t="inlineStr"/>
      <c r="M3308">
        <f>HYPERLINK("CSG2.html#group21A2", "21A²"), =HYPERLINK("CSG5.html#group42B5", "42B⁵"), =HYPERLINK("CSG5.html#group42A5", "42A⁵"), =HYPERLINK("CSG0.html#group7B0", "7B⁰"), =HYPERLINK("CSG1.html#group14H1", "14H¹"), =HYPERLINK("CSG1.html#group14C1", "14C¹"), =HYPERLINK("CSG4.html#group21A4", "21A⁴"), =HYPERLINK("CSG0.html#group2B0", "2B⁰"), =HYPERLINK("CSG0.html#group7E0", "7E⁰"), =HYPERLINK("CSG0.html#group3A0", "3A⁰"), =HYPERLINK("CSG0.html#group1A0", "1A⁰"), =HYPERLINK("CSG0.html#group6D0", "6D⁰"), =HYPERLINK("CSG1.html#group21A1", "21A¹")</f>
        <v/>
      </c>
      <c r="N3308" t="inlineStr"/>
    </row>
    <row r="3309">
      <c r="A3309" t="inlineStr">
        <is>
          <t>42I¹³</t>
        </is>
      </c>
      <c r="B3309" t="inlineStr"/>
      <c r="C3309" t="inlineStr">
        <is>
          <t>252</t>
        </is>
      </c>
      <c r="D3309" t="inlineStr">
        <is>
          <t>2</t>
        </is>
      </c>
      <c r="E3309" t="inlineStr">
        <is>
          <t>21</t>
        </is>
      </c>
      <c r="F3309" t="inlineStr">
        <is>
          <t>24</t>
        </is>
      </c>
      <c r="G3309" t="inlineStr">
        <is>
          <t>0</t>
        </is>
      </c>
      <c r="H3309" t="inlineStr">
        <is>
          <t>42⁶</t>
        </is>
      </c>
      <c r="I3309" t="n">
        <v>6</v>
      </c>
      <c r="J3309" t="inlineStr">
        <is>
          <t>2¹, 4¹, 6², 12²</t>
        </is>
      </c>
      <c r="K3309">
        <f>HYPERLINK("CSG4.html#group21E4", "21E⁴"), =HYPERLINK("CSG5.html#group42F5", "42F⁵"), =HYPERLINK("CSG5.html#group42H5", "42H⁵"), =HYPERLINK("CSG6.html#group42D6", "42D⁶")</f>
        <v/>
      </c>
      <c r="L3309" t="inlineStr"/>
      <c r="M3309">
        <f>HYPERLINK("CSG5.html#group42F5", "42F⁵"), =HYPERLINK("CSG0.html#group6B0", "6B⁰"), =HYPERLINK("CSG0.html#group7D0", "7D⁰"), =HYPERLINK("CSG2.html#group21C2", "21C²"), =HYPERLINK("CSG0.html#group21A0", "21A⁰"), =HYPERLINK("CSG6.html#group42D6", "42D⁶"), =HYPERLINK("CSG0.html#group7G0", "7G⁰"), =HYPERLINK("CSG0.html#group1A0", "1A⁰"), =HYPERLINK("CSG2.html#group42A2", "42A²"), =HYPERLINK("CSG1.html#group21E1", "21E¹"), =HYPERLINK("CSG0.html#group7C0", "7C⁰"), =HYPERLINK("CSG5.html#group42H5", "42H⁵"), =HYPERLINK("CSG1.html#group21C1", "21C¹"), =HYPERLINK("CSG1.html#group42B1", "42B¹"), =HYPERLINK("CSG0.html#group3A0", "3A⁰"), =HYPERLINK("CSG4.html#group21E4", "21E⁴"), =HYPERLINK("CSG0.html#group7A0", "7A⁰")</f>
        <v/>
      </c>
      <c r="N3309" t="inlineStr"/>
    </row>
    <row r="3310">
      <c r="A3310" t="inlineStr">
        <is>
          <t>42J¹³</t>
        </is>
      </c>
      <c r="B3310" t="inlineStr"/>
      <c r="C3310" t="inlineStr">
        <is>
          <t>252</t>
        </is>
      </c>
      <c r="D3310" t="inlineStr">
        <is>
          <t>2</t>
        </is>
      </c>
      <c r="E3310" t="inlineStr">
        <is>
          <t>21</t>
        </is>
      </c>
      <c r="F3310" t="inlineStr">
        <is>
          <t>24</t>
        </is>
      </c>
      <c r="G3310" t="inlineStr">
        <is>
          <t>0</t>
        </is>
      </c>
      <c r="H3310" t="inlineStr">
        <is>
          <t>42⁶</t>
        </is>
      </c>
      <c r="I3310" t="n">
        <v>6</v>
      </c>
      <c r="J3310" t="inlineStr">
        <is>
          <t>6⁷</t>
        </is>
      </c>
      <c r="K3310">
        <f>HYPERLINK("CSG3.html#group14F3", "14F³"), =HYPERLINK("CSG4.html#group21E4", "21E⁴"), =HYPERLINK("CSG4.html#group42I4", "42I⁴"), =HYPERLINK("CSG7.html#group42H7", "42H⁷")</f>
        <v/>
      </c>
      <c r="L3310" t="inlineStr"/>
      <c r="M3310">
        <f>HYPERLINK("CSG0.html#group14A0", "14A⁰"), =HYPERLINK("CSG4.html#group42I4", "42I⁴"), =HYPERLINK("CSG2.html#group14B2", "14B²"), =HYPERLINK("CSG1.html#group42A1", "42A¹"), =HYPERLINK("CSG0.html#group7D0", "7D⁰"), =HYPERLINK("CSG7.html#group42H7", "42H⁷"), =HYPERLINK("CSG2.html#group21C2", "21C²"), =HYPERLINK("CSG0.html#group21A0", "21A⁰"), =HYPERLINK("CSG0.html#group7G0", "7G⁰"), =HYPERLINK("CSG0.html#group1A0", "1A⁰"), =HYPERLINK("CSG1.html#group21E1", "21E¹"), =HYPERLINK("CSG0.html#group7C0", "7C⁰"), =HYPERLINK("CSG1.html#group21C1", "21C¹"), =HYPERLINK("CSG3.html#group14F3", "14F³"), =HYPERLINK("CSG0.html#group3A0", "3A⁰"), =HYPERLINK("CSG1.html#group14E1", "14E¹"), =HYPERLINK("CSG4.html#group21E4", "21E⁴"), =HYPERLINK("CSG0.html#group7A0", "7A⁰")</f>
        <v/>
      </c>
      <c r="N3310" t="inlineStr"/>
    </row>
    <row r="3311">
      <c r="A3311" t="inlineStr">
        <is>
          <t>42K¹³</t>
        </is>
      </c>
      <c r="B3311" t="inlineStr"/>
      <c r="C3311" t="inlineStr">
        <is>
          <t>252</t>
        </is>
      </c>
      <c r="D3311" t="inlineStr">
        <is>
          <t>2</t>
        </is>
      </c>
      <c r="E3311" t="inlineStr">
        <is>
          <t>63</t>
        </is>
      </c>
      <c r="F3311" t="inlineStr">
        <is>
          <t>24</t>
        </is>
      </c>
      <c r="G3311" t="inlineStr">
        <is>
          <t>0</t>
        </is>
      </c>
      <c r="H3311" t="inlineStr">
        <is>
          <t>42⁶</t>
        </is>
      </c>
      <c r="I3311" t="n">
        <v>6</v>
      </c>
      <c r="J3311" t="inlineStr">
        <is>
          <t>6⁷, 12⁷</t>
        </is>
      </c>
      <c r="K3311">
        <f>HYPERLINK("CSG4.html#group42I4", "42I⁴"), =HYPERLINK("CSG5.html#group21D5", "21D⁵"), =HYPERLINK("CSG6.html#group42D6", "42D⁶")</f>
        <v/>
      </c>
      <c r="L3311" t="inlineStr"/>
      <c r="M3311">
        <f>HYPERLINK("CSG5.html#group21D5", "21D⁵"), =HYPERLINK("CSG1.html#group14E1", "14E¹"), =HYPERLINK("CSG4.html#group42I4", "42I⁴"), =HYPERLINK("CSG2.html#group42A2", "42A²"), =HYPERLINK("CSG0.html#group7D0", "7D⁰"), =HYPERLINK("CSG1.html#group21E1", "21E¹"), =HYPERLINK("CSG1.html#group21D1", "21D¹"), =HYPERLINK("CSG0.html#group21A0", "21A⁰"), =HYPERLINK("CSG6.html#group42D6", "42D⁶"), =HYPERLINK("CSG0.html#group3A0", "3A⁰"), =HYPERLINK("CSG0.html#group1A0", "1A⁰"), =HYPERLINK("CSG0.html#group7A0", "7A⁰")</f>
        <v/>
      </c>
      <c r="N3311" t="inlineStr"/>
    </row>
    <row r="3312">
      <c r="A3312" t="inlineStr">
        <is>
          <t>42L¹³</t>
        </is>
      </c>
      <c r="B3312" t="inlineStr"/>
      <c r="C3312" t="inlineStr">
        <is>
          <t>288</t>
        </is>
      </c>
      <c r="D3312" t="inlineStr">
        <is>
          <t>1</t>
        </is>
      </c>
      <c r="E3312" t="inlineStr">
        <is>
          <t>96</t>
        </is>
      </c>
      <c r="F3312" t="inlineStr">
        <is>
          <t>0</t>
        </is>
      </c>
      <c r="G3312" t="inlineStr">
        <is>
          <t>0</t>
        </is>
      </c>
      <c r="H3312" t="inlineStr">
        <is>
          <t>1³, 2³, 3³, 6³, 7³, 14³, 21³, 42³</t>
        </is>
      </c>
      <c r="I3312" t="n">
        <v>24</v>
      </c>
      <c r="J3312" t="inlineStr">
        <is>
          <t>1¹², 2⁶, 6⁶, 12³</t>
        </is>
      </c>
      <c r="K3312">
        <f>HYPERLINK("CSG1.html#group14H1", "14H¹"), =HYPERLINK("CSG3.html#group21D3", "21D³"), =HYPERLINK("CSG5.html#group42G5", "42G⁵")</f>
        <v/>
      </c>
      <c r="L3312" t="inlineStr"/>
      <c r="M3312">
        <f>HYPERLINK("CSG0.html#group3B0", "3B⁰"), =HYPERLINK("CSG1.html#group21B1", "21B¹"), =HYPERLINK("CSG3.html#group21D3", "21D³"), =HYPERLINK("CSG0.html#group7B0", "7B⁰"), =HYPERLINK("CSG1.html#group14H1", "14H¹"), =HYPERLINK("CSG1.html#group14C1", "14C¹"), =HYPERLINK("CSG0.html#group1A0", "1A⁰"), =HYPERLINK("CSG0.html#group2B0", "2B⁰"), =HYPERLINK("CSG0.html#group7E0", "7E⁰"), =HYPERLINK("CSG5.html#group42G5", "42G⁵"), =HYPERLINK("CSG0.html#group6F0", "6F⁰")</f>
        <v/>
      </c>
      <c r="N3312" t="inlineStr"/>
    </row>
    <row r="3313">
      <c r="A3313" t="inlineStr">
        <is>
          <t>44A¹³</t>
        </is>
      </c>
      <c r="B3313" t="inlineStr"/>
      <c r="C3313" t="inlineStr">
        <is>
          <t>192</t>
        </is>
      </c>
      <c r="D3313" t="inlineStr">
        <is>
          <t>1</t>
        </is>
      </c>
      <c r="E3313" t="inlineStr">
        <is>
          <t>48</t>
        </is>
      </c>
      <c r="F3313" t="inlineStr">
        <is>
          <t>0</t>
        </is>
      </c>
      <c r="G3313" t="inlineStr">
        <is>
          <t>0</t>
        </is>
      </c>
      <c r="H3313" t="inlineStr">
        <is>
          <t>4⁴, 44⁴</t>
        </is>
      </c>
      <c r="I3313" t="n">
        <v>8</v>
      </c>
      <c r="J3313" t="inlineStr">
        <is>
          <t>2⁴, 20²</t>
        </is>
      </c>
      <c r="K3313">
        <f>HYPERLINK("CSG4.html#group44A4", "44A⁴"), =HYPERLINK("CSG7.html#group44A7", "44A⁷")</f>
        <v/>
      </c>
      <c r="L3313" t="inlineStr"/>
      <c r="M3313">
        <f>HYPERLINK("CSG0.html#group2A0", "2A⁰"), =HYPERLINK("CSG4.html#group44A4", "44A⁴"), =HYPERLINK("CSG1.html#group11A1", "11A¹"), =HYPERLINK("CSG2.html#group22A2", "22A²"), =HYPERLINK("CSG0.html#group4A0", "4A⁰"), =HYPERLINK("CSG4.html#group44B4", "44B⁴"), =HYPERLINK("CSG0.html#group4D0", "4D⁰"), =HYPERLINK("CSG7.html#group44A7", "44A⁷"), =HYPERLINK("CSG0.html#group1A0", "1A⁰")</f>
        <v/>
      </c>
      <c r="N3313" t="inlineStr"/>
    </row>
    <row r="3314">
      <c r="A3314" t="inlineStr">
        <is>
          <t>44B¹³</t>
        </is>
      </c>
      <c r="B3314" t="inlineStr"/>
      <c r="C3314" t="inlineStr">
        <is>
          <t>220</t>
        </is>
      </c>
      <c r="D3314" t="inlineStr">
        <is>
          <t>1</t>
        </is>
      </c>
      <c r="E3314" t="inlineStr">
        <is>
          <t>220</t>
        </is>
      </c>
      <c r="F3314" t="inlineStr">
        <is>
          <t>14</t>
        </is>
      </c>
      <c r="G3314" t="inlineStr">
        <is>
          <t>1</t>
        </is>
      </c>
      <c r="H3314" t="inlineStr">
        <is>
          <t>44⁵</t>
        </is>
      </c>
      <c r="I3314" t="n">
        <v>5</v>
      </c>
      <c r="J3314" t="inlineStr">
        <is>
          <t>10², 20¹⁰</t>
        </is>
      </c>
      <c r="K3314">
        <f>HYPERLINK("CSG0.html#group4A0", "4A⁰"), =HYPERLINK("CSG1.html#group11C1", "11C¹")</f>
        <v/>
      </c>
      <c r="L3314" t="inlineStr"/>
      <c r="M3314">
        <f>HYPERLINK("CSG1.html#group11C1", "11C¹"), =HYPERLINK("CSG0.html#group4A0", "4A⁰"), =HYPERLINK("CSG0.html#group1A0", "1A⁰")</f>
        <v/>
      </c>
      <c r="N3314" t="inlineStr"/>
    </row>
    <row r="3315">
      <c r="A3315" t="inlineStr">
        <is>
          <t>45A¹³</t>
        </is>
      </c>
      <c r="B3315" t="inlineStr"/>
      <c r="C3315" t="inlineStr">
        <is>
          <t>180</t>
        </is>
      </c>
      <c r="D3315" t="inlineStr">
        <is>
          <t>1</t>
        </is>
      </c>
      <c r="E3315" t="inlineStr">
        <is>
          <t>20</t>
        </is>
      </c>
      <c r="F3315" t="inlineStr">
        <is>
          <t>0</t>
        </is>
      </c>
      <c r="G3315" t="inlineStr">
        <is>
          <t>0</t>
        </is>
      </c>
      <c r="H3315" t="inlineStr">
        <is>
          <t>15³, 45³</t>
        </is>
      </c>
      <c r="I3315" t="n">
        <v>6</v>
      </c>
      <c r="J3315" t="inlineStr">
        <is>
          <t>1², 2¹, 4², 8¹</t>
        </is>
      </c>
      <c r="K3315">
        <f>HYPERLINK("CSG3.html#group15A3", "15A³"), =HYPERLINK("CSG3.html#group45B3", "45B³"), =HYPERLINK("CSG5.html#group45B5", "45B⁵")</f>
        <v/>
      </c>
      <c r="L3315" t="inlineStr"/>
      <c r="M3315">
        <f>HYPERLINK("CSG0.html#group3B0", "3B⁰"), =HYPERLINK("CSG3.html#group15A3", "15A³"), =HYPERLINK("CSG0.html#group5A0", "5A⁰"), =HYPERLINK("CSG3.html#group45B3", "45B³"), =HYPERLINK("CSG0.html#group9C0", "9C⁰"), =HYPERLINK("CSG0.html#group5E0", "5E⁰"), =HYPERLINK("CSG1.html#group15B1", "15B¹"), =HYPERLINK("CSG5.html#group45B5", "45B⁵"), =HYPERLINK("CSG0.html#group1A0", "1A⁰")</f>
        <v/>
      </c>
      <c r="N3315" t="inlineStr"/>
    </row>
    <row r="3316">
      <c r="A3316" t="inlineStr">
        <is>
          <t>45B¹³</t>
        </is>
      </c>
      <c r="B3316" t="inlineStr"/>
      <c r="C3316" t="inlineStr">
        <is>
          <t>180</t>
        </is>
      </c>
      <c r="D3316" t="inlineStr">
        <is>
          <t>1</t>
        </is>
      </c>
      <c r="E3316" t="inlineStr">
        <is>
          <t>20</t>
        </is>
      </c>
      <c r="F3316" t="inlineStr">
        <is>
          <t>0</t>
        </is>
      </c>
      <c r="G3316" t="inlineStr">
        <is>
          <t>0</t>
        </is>
      </c>
      <c r="H3316" t="inlineStr">
        <is>
          <t>15³, 45³</t>
        </is>
      </c>
      <c r="I3316" t="n">
        <v>6</v>
      </c>
      <c r="J3316" t="inlineStr">
        <is>
          <t>1², 2¹, 4², 8¹</t>
        </is>
      </c>
      <c r="K3316">
        <f>HYPERLINK("CSG3.html#group15A3", "15A³"), =HYPERLINK("CSG4.html#group45B4", "45B⁴"), =HYPERLINK("CSG5.html#group45A5", "45A⁵")</f>
        <v/>
      </c>
      <c r="L3316" t="inlineStr"/>
      <c r="M3316">
        <f>HYPERLINK("CSG0.html#group3B0", "3B⁰"), =HYPERLINK("CSG3.html#group15A3", "15A³"), =HYPERLINK("CSG0.html#group5A0", "5A⁰"), =HYPERLINK("CSG5.html#group45A5", "45A⁵"), =HYPERLINK("CSG4.html#group45B4", "45B⁴"), =HYPERLINK("CSG1.html#group9A1", "9A¹"), =HYPERLINK("CSG0.html#group5E0", "5E⁰"), =HYPERLINK("CSG1.html#group15B1", "15B¹"), =HYPERLINK("CSG0.html#group1A0", "1A⁰")</f>
        <v/>
      </c>
      <c r="N3316" t="inlineStr"/>
    </row>
    <row r="3317">
      <c r="A3317" t="inlineStr">
        <is>
          <t>45C¹³</t>
        </is>
      </c>
      <c r="B3317" t="inlineStr"/>
      <c r="C3317" t="inlineStr">
        <is>
          <t>180</t>
        </is>
      </c>
      <c r="D3317" t="inlineStr">
        <is>
          <t>1</t>
        </is>
      </c>
      <c r="E3317" t="inlineStr">
        <is>
          <t>20</t>
        </is>
      </c>
      <c r="F3317" t="inlineStr">
        <is>
          <t>0</t>
        </is>
      </c>
      <c r="G3317" t="inlineStr">
        <is>
          <t>0</t>
        </is>
      </c>
      <c r="H3317" t="inlineStr">
        <is>
          <t>15³, 45³</t>
        </is>
      </c>
      <c r="I3317" t="n">
        <v>6</v>
      </c>
      <c r="J3317" t="inlineStr">
        <is>
          <t>1², 2¹, 4², 8¹</t>
        </is>
      </c>
      <c r="K3317">
        <f>HYPERLINK("CSG1.html#group9C1", "9C¹"), =HYPERLINK("CSG3.html#group45B3", "45B³"), =HYPERLINK("CSG4.html#group15A4", "15A⁴"), =HYPERLINK("CSG4.html#group45A4", "45A⁴"), =HYPERLINK("CSG5.html#group45A5", "45A⁵")</f>
        <v/>
      </c>
      <c r="L3317" t="inlineStr"/>
      <c r="M3317">
        <f>HYPERLINK("CSG0.html#group3B0", "3B⁰"), =HYPERLINK("CSG0.html#group5A0", "5A⁰"), =HYPERLINK("CSG4.html#group15A4", "15A⁴"), =HYPERLINK("CSG0.html#group3A0", "3A⁰"), =HYPERLINK("CSG5.html#group45A5", "45A⁵"), =HYPERLINK("CSG0.html#group9B0", "9B⁰"), =HYPERLINK("CSG0.html#group9C0", "9C⁰"), =HYPERLINK("CSG0.html#group1A0", "1A⁰"), =HYPERLINK("CSG3.html#group45B3", "45B³"), =HYPERLINK("CSG2.html#group15A2", "15A²"), =HYPERLINK("CSG1.html#group9A1", "9A¹"), =HYPERLINK("CSG1.html#group15B1", "15B¹"), =HYPERLINK("CSG0.html#group3C0", "3C⁰"), =HYPERLINK("CSG1.html#group9C1", "9C¹"), =HYPERLINK("CSG4.html#group45A4", "45A⁴"), =HYPERLINK("CSG0.html#group3D0", "3D⁰"), =HYPERLINK("CSG1.html#group15A1", "15A¹")</f>
        <v/>
      </c>
      <c r="N3317" t="inlineStr"/>
    </row>
    <row r="3318">
      <c r="A3318" t="inlineStr">
        <is>
          <t>45D¹³</t>
        </is>
      </c>
      <c r="B3318" t="inlineStr"/>
      <c r="C3318" t="inlineStr">
        <is>
          <t>180</t>
        </is>
      </c>
      <c r="D3318" t="inlineStr">
        <is>
          <t>1</t>
        </is>
      </c>
      <c r="E3318" t="inlineStr">
        <is>
          <t>60</t>
        </is>
      </c>
      <c r="F3318" t="inlineStr">
        <is>
          <t>0</t>
        </is>
      </c>
      <c r="G3318" t="inlineStr">
        <is>
          <t>0</t>
        </is>
      </c>
      <c r="H3318" t="inlineStr">
        <is>
          <t>15³, 45³</t>
        </is>
      </c>
      <c r="I3318" t="n">
        <v>6</v>
      </c>
      <c r="J3318" t="inlineStr">
        <is>
          <t>1², 2², 4², 6¹, 8², 24¹</t>
        </is>
      </c>
      <c r="K3318">
        <f>HYPERLINK("CSG1.html#group9D1", "9D¹"), =HYPERLINK("CSG5.html#group45A5", "45A⁵")</f>
        <v/>
      </c>
      <c r="L3318" t="inlineStr"/>
      <c r="M3318">
        <f>HYPERLINK("CSG0.html#group3B0", "3B⁰"), =HYPERLINK("CSG0.html#group5A0", "5A⁰"), =HYPERLINK("CSG5.html#group45A5", "45A⁵"), =HYPERLINK("CSG1.html#group9A1", "9A¹"), =HYPERLINK("CSG1.html#group15B1", "15B¹"), =HYPERLINK("CSG1.html#group9D1", "9D¹"), =HYPERLINK("CSG0.html#group1A0", "1A⁰")</f>
        <v/>
      </c>
      <c r="N3318" t="inlineStr"/>
    </row>
    <row r="3319">
      <c r="A3319" t="inlineStr">
        <is>
          <t>45E¹³</t>
        </is>
      </c>
      <c r="B3319" t="inlineStr"/>
      <c r="C3319" t="inlineStr">
        <is>
          <t>180</t>
        </is>
      </c>
      <c r="D3319" t="inlineStr">
        <is>
          <t>1</t>
        </is>
      </c>
      <c r="E3319" t="inlineStr">
        <is>
          <t>60</t>
        </is>
      </c>
      <c r="F3319" t="inlineStr">
        <is>
          <t>0</t>
        </is>
      </c>
      <c r="G3319" t="inlineStr">
        <is>
          <t>0</t>
        </is>
      </c>
      <c r="H3319" t="inlineStr">
        <is>
          <t>15³, 45³</t>
        </is>
      </c>
      <c r="I3319" t="n">
        <v>6</v>
      </c>
      <c r="J3319" t="inlineStr">
        <is>
          <t>2², 4⁶, 8⁴, 12¹, 24²</t>
        </is>
      </c>
      <c r="K3319">
        <f>HYPERLINK("CSG5.html#group45A5", "45A⁵")</f>
        <v/>
      </c>
      <c r="L3319" t="inlineStr"/>
      <c r="M3319">
        <f>HYPERLINK("CSG1.html#group15B1", "15B¹"), =HYPERLINK("CSG0.html#group3B0", "3B⁰"), =HYPERLINK("CSG0.html#group5A0", "5A⁰"), =HYPERLINK("CSG0.html#group1A0", "1A⁰"), =HYPERLINK("CSG5.html#group45A5", "45A⁵"), =HYPERLINK("CSG1.html#group9A1", "9A¹")</f>
        <v/>
      </c>
      <c r="N3319" t="inlineStr"/>
    </row>
    <row r="3320">
      <c r="A3320" t="inlineStr">
        <is>
          <t>45F¹³</t>
        </is>
      </c>
      <c r="B3320" t="inlineStr"/>
      <c r="C3320" t="inlineStr">
        <is>
          <t>180</t>
        </is>
      </c>
      <c r="D3320" t="inlineStr">
        <is>
          <t>1</t>
        </is>
      </c>
      <c r="E3320" t="inlineStr">
        <is>
          <t>60</t>
        </is>
      </c>
      <c r="F3320" t="inlineStr">
        <is>
          <t>0</t>
        </is>
      </c>
      <c r="G3320" t="inlineStr">
        <is>
          <t>0</t>
        </is>
      </c>
      <c r="H3320" t="inlineStr">
        <is>
          <t>15³, 45³</t>
        </is>
      </c>
      <c r="I3320" t="n">
        <v>6</v>
      </c>
      <c r="J3320" t="inlineStr">
        <is>
          <t>2², 4⁶, 8⁴, 12¹, 24²</t>
        </is>
      </c>
      <c r="K3320">
        <f>HYPERLINK("CSG5.html#group45A5", "45A⁵")</f>
        <v/>
      </c>
      <c r="L3320" t="inlineStr"/>
      <c r="M3320">
        <f>HYPERLINK("CSG1.html#group15B1", "15B¹"), =HYPERLINK("CSG0.html#group3B0", "3B⁰"), =HYPERLINK("CSG0.html#group5A0", "5A⁰"), =HYPERLINK("CSG0.html#group1A0", "1A⁰"), =HYPERLINK("CSG5.html#group45A5", "45A⁵"), =HYPERLINK("CSG1.html#group9A1", "9A¹")</f>
        <v/>
      </c>
      <c r="N3320" t="inlineStr"/>
    </row>
    <row r="3321">
      <c r="A3321" t="inlineStr">
        <is>
          <t>45G¹³</t>
        </is>
      </c>
      <c r="B3321" t="inlineStr"/>
      <c r="C3321" t="inlineStr">
        <is>
          <t>180</t>
        </is>
      </c>
      <c r="D3321" t="inlineStr">
        <is>
          <t>2</t>
        </is>
      </c>
      <c r="E3321" t="inlineStr">
        <is>
          <t>20</t>
        </is>
      </c>
      <c r="F3321" t="inlineStr">
        <is>
          <t>0</t>
        </is>
      </c>
      <c r="G3321" t="inlineStr">
        <is>
          <t>0</t>
        </is>
      </c>
      <c r="H3321" t="inlineStr">
        <is>
          <t>15³, 45³</t>
        </is>
      </c>
      <c r="I3321" t="n">
        <v>6</v>
      </c>
      <c r="J3321" t="inlineStr">
        <is>
          <t>2², 4¹, 8⁴</t>
        </is>
      </c>
      <c r="K3321">
        <f>HYPERLINK("CSG3.html#group15D3", "15D³"), =HYPERLINK("CSG3.html#group45C3", "45C³"), =HYPERLINK("CSG5.html#group45A5", "45A⁵"), =HYPERLINK("CSG5.html#group45B5", "45B⁵")</f>
        <v/>
      </c>
      <c r="L3321" t="inlineStr"/>
      <c r="M3321">
        <f>HYPERLINK("CSG0.html#group3B0", "3B⁰"), =HYPERLINK("CSG3.html#group45C3", "45C³"), =HYPERLINK("CSG0.html#group5A0", "5A⁰"), =HYPERLINK("CSG3.html#group15D3", "15D³"), =HYPERLINK("CSG5.html#group45A5", "45A⁵"), =HYPERLINK("CSG1.html#group9A1", "9A¹"), =HYPERLINK("CSG1.html#group15B1", "15B¹"), =HYPERLINK("CSG5.html#group45B5", "45B⁵"), =HYPERLINK("CSG0.html#group1A0", "1A⁰"), =HYPERLINK("CSG0.html#group15A0", "15A⁰")</f>
        <v/>
      </c>
      <c r="N3321" t="inlineStr"/>
    </row>
    <row r="3322">
      <c r="A3322" t="inlineStr">
        <is>
          <t>45H¹³</t>
        </is>
      </c>
      <c r="B3322" t="inlineStr"/>
      <c r="C3322" t="inlineStr">
        <is>
          <t>180</t>
        </is>
      </c>
      <c r="D3322" t="inlineStr">
        <is>
          <t>2</t>
        </is>
      </c>
      <c r="E3322" t="inlineStr">
        <is>
          <t>20</t>
        </is>
      </c>
      <c r="F3322" t="inlineStr">
        <is>
          <t>0</t>
        </is>
      </c>
      <c r="G3322" t="inlineStr">
        <is>
          <t>0</t>
        </is>
      </c>
      <c r="H3322" t="inlineStr">
        <is>
          <t>15³, 45³</t>
        </is>
      </c>
      <c r="I3322" t="n">
        <v>6</v>
      </c>
      <c r="J3322" t="inlineStr">
        <is>
          <t>2², 4¹, 8⁴</t>
        </is>
      </c>
      <c r="K3322">
        <f>HYPERLINK("CSG3.html#group15D3", "15D³"), =HYPERLINK("CSG4.html#group45A4", "45A⁴"), =HYPERLINK("CSG4.html#group45B4", "45B⁴"), =HYPERLINK("CSG5.html#group45B5", "45B⁵")</f>
        <v/>
      </c>
      <c r="L3322" t="inlineStr"/>
      <c r="M3322">
        <f>HYPERLINK("CSG0.html#group3B0", "3B⁰"), =HYPERLINK("CSG0.html#group5A0", "5A⁰"), =HYPERLINK("CSG3.html#group15D3", "15D³"), =HYPERLINK("CSG4.html#group45B4", "45B⁴"), =HYPERLINK("CSG1.html#group15B1", "15B¹"), =HYPERLINK("CSG0.html#group9B0", "9B⁰"), =HYPERLINK("CSG5.html#group45B5", "45B⁵"), =HYPERLINK("CSG4.html#group45A4", "45A⁴"), =HYPERLINK("CSG0.html#group1A0", "1A⁰"), =HYPERLINK("CSG0.html#group15A0", "15A⁰")</f>
        <v/>
      </c>
      <c r="N3322" t="inlineStr"/>
    </row>
    <row r="3323">
      <c r="A3323" t="inlineStr">
        <is>
          <t>45I¹³</t>
        </is>
      </c>
      <c r="B3323" t="inlineStr"/>
      <c r="C3323" t="inlineStr">
        <is>
          <t>180</t>
        </is>
      </c>
      <c r="D3323" t="inlineStr">
        <is>
          <t>2</t>
        </is>
      </c>
      <c r="E3323" t="inlineStr">
        <is>
          <t>20</t>
        </is>
      </c>
      <c r="F3323" t="inlineStr">
        <is>
          <t>0</t>
        </is>
      </c>
      <c r="G3323" t="inlineStr">
        <is>
          <t>0</t>
        </is>
      </c>
      <c r="H3323" t="inlineStr">
        <is>
          <t>15³, 45³</t>
        </is>
      </c>
      <c r="I3323" t="n">
        <v>6</v>
      </c>
      <c r="J3323" t="inlineStr">
        <is>
          <t>2², 4¹, 8⁴</t>
        </is>
      </c>
      <c r="K3323">
        <f>HYPERLINK("CSG3.html#group45C3", "45C³"), =HYPERLINK("CSG4.html#group15A4", "15A⁴"), =HYPERLINK("CSG4.html#group45B4", "45B⁴"), =HYPERLINK("CSG5.html#group45B5", "45B⁵")</f>
        <v/>
      </c>
      <c r="L3323" t="inlineStr"/>
      <c r="M3323">
        <f>HYPERLINK("CSG0.html#group3B0", "3B⁰"), =HYPERLINK("CSG3.html#group45C3", "45C³"), =HYPERLINK("CSG0.html#group5A0", "5A⁰"), =HYPERLINK("CSG4.html#group15A4", "15A⁴"), =HYPERLINK("CSG2.html#group15A2", "15A²"), =HYPERLINK("CSG4.html#group45B4", "45B⁴"), =HYPERLINK("CSG1.html#group15B1", "15B¹"), =HYPERLINK("CSG0.html#group3C0", "3C⁰"), =HYPERLINK("CSG5.html#group45B5", "45B⁵"), =HYPERLINK("CSG0.html#group3A0", "3A⁰"), =HYPERLINK("CSG0.html#group1A0", "1A⁰"), =HYPERLINK("CSG1.html#group15A1", "15A¹"), =HYPERLINK("CSG0.html#group3D0", "3D⁰")</f>
        <v/>
      </c>
      <c r="N3323" t="inlineStr"/>
    </row>
    <row r="3324">
      <c r="A3324" t="inlineStr">
        <is>
          <t>45J¹³</t>
        </is>
      </c>
      <c r="B3324" t="inlineStr"/>
      <c r="C3324" t="inlineStr">
        <is>
          <t>180</t>
        </is>
      </c>
      <c r="D3324" t="inlineStr">
        <is>
          <t>2</t>
        </is>
      </c>
      <c r="E3324" t="inlineStr">
        <is>
          <t>90</t>
        </is>
      </c>
      <c r="F3324" t="inlineStr">
        <is>
          <t>4</t>
        </is>
      </c>
      <c r="G3324" t="inlineStr">
        <is>
          <t>0</t>
        </is>
      </c>
      <c r="H3324" t="inlineStr">
        <is>
          <t>45⁴</t>
        </is>
      </c>
      <c r="I3324" t="n">
        <v>4</v>
      </c>
      <c r="J3324" t="inlineStr">
        <is>
          <t>4³, 8⁶, 12², 24⁴</t>
        </is>
      </c>
      <c r="K3324">
        <f>HYPERLINK("CSG1.html#group9B1", "9B¹"), =HYPERLINK("CSG3.html#group15C3", "15C³"), =HYPERLINK("CSG5.html#group45E5", "45E⁵")</f>
        <v/>
      </c>
      <c r="L3324" t="inlineStr"/>
      <c r="M3324">
        <f>HYPERLINK("CSG1.html#group15D1", "15D¹"), =HYPERLINK("CSG5.html#group45E5", "45E⁵"), =HYPERLINK("CSG0.html#group9A0", "9A⁰"), =HYPERLINK("CSG0.html#group5C0", "5C⁰"), =HYPERLINK("CSG0.html#group3C0", "3C⁰"), =HYPERLINK("CSG3.html#group15C3", "15C³"), =HYPERLINK("CSG0.html#group3A0", "3A⁰"), =HYPERLINK("CSG0.html#group1A0", "1A⁰"), =HYPERLINK("CSG1.html#group9B1", "9B¹")</f>
        <v/>
      </c>
      <c r="N3324" t="inlineStr"/>
    </row>
    <row r="3325">
      <c r="A3325" t="inlineStr">
        <is>
          <t>45K¹³</t>
        </is>
      </c>
      <c r="B3325" t="inlineStr"/>
      <c r="C3325" t="inlineStr">
        <is>
          <t>216</t>
        </is>
      </c>
      <c r="D3325" t="inlineStr">
        <is>
          <t>1</t>
        </is>
      </c>
      <c r="E3325" t="inlineStr">
        <is>
          <t>24</t>
        </is>
      </c>
      <c r="F3325" t="inlineStr">
        <is>
          <t>0</t>
        </is>
      </c>
      <c r="G3325" t="inlineStr">
        <is>
          <t>0</t>
        </is>
      </c>
      <c r="H3325" t="inlineStr">
        <is>
          <t>3³, 9³, 15³, 45³</t>
        </is>
      </c>
      <c r="I3325" t="n">
        <v>12</v>
      </c>
      <c r="J3325" t="inlineStr">
        <is>
          <t>1⁴, 2², 4², 8¹</t>
        </is>
      </c>
      <c r="K3325">
        <f>HYPERLINK("CSG1.html#group9C1", "9C¹"), =HYPERLINK("CSG3.html#group15E3", "15E³"), =HYPERLINK("CSG3.html#group45D3", "45D³"), =HYPERLINK("CSG5.html#group45C5", "45C⁵"), =HYPERLINK("CSG5.html#group45D5", "45D⁵")</f>
        <v/>
      </c>
      <c r="L3325" t="inlineStr"/>
      <c r="M3325">
        <f>HYPERLINK("CSG0.html#group3B0", "3B⁰"), =HYPERLINK("CSG0.html#group5B0", "5B⁰"), =HYPERLINK("CSG0.html#group9B0", "9B⁰"), =HYPERLINK("CSG3.html#group45D3", "45D³"), =HYPERLINK("CSG0.html#group9C0", "9C⁰"), =HYPERLINK("CSG0.html#group1A0", "1A⁰"), =HYPERLINK("CSG5.html#group45D5", "45D⁵"), =HYPERLINK("CSG5.html#group45C5", "45C⁵"), =HYPERLINK("CSG1.html#group15C1", "15C¹"), =HYPERLINK("CSG0.html#group15B0", "15B⁰"), =HYPERLINK("CSG3.html#group15E3", "15E³"), =HYPERLINK("CSG1.html#group9A1", "9A¹"), =HYPERLINK("CSG0.html#group3C0", "3C⁰"), =HYPERLINK("CSG1.html#group9C1", "9C¹"), =HYPERLINK("CSG0.html#group3A0", "3A⁰"), =HYPERLINK("CSG0.html#group3D0", "3D⁰"), =HYPERLINK("CSG1.html#group15E1", "15E¹")</f>
        <v/>
      </c>
      <c r="N3325" t="inlineStr"/>
    </row>
    <row r="3326">
      <c r="A3326" t="inlineStr">
        <is>
          <t>45L¹³</t>
        </is>
      </c>
      <c r="B3326" t="inlineStr"/>
      <c r="C3326" t="inlineStr">
        <is>
          <t>216</t>
        </is>
      </c>
      <c r="D3326" t="inlineStr">
        <is>
          <t>1</t>
        </is>
      </c>
      <c r="E3326" t="inlineStr">
        <is>
          <t>72</t>
        </is>
      </c>
      <c r="F3326" t="inlineStr">
        <is>
          <t>0</t>
        </is>
      </c>
      <c r="G3326" t="inlineStr">
        <is>
          <t>0</t>
        </is>
      </c>
      <c r="H3326" t="inlineStr">
        <is>
          <t>3³, 9³, 15³, 45³</t>
        </is>
      </c>
      <c r="I3326" t="n">
        <v>12</v>
      </c>
      <c r="J3326" t="inlineStr">
        <is>
          <t>1⁴, 2⁴, 4², 6², 8², 24¹</t>
        </is>
      </c>
      <c r="K3326">
        <f>HYPERLINK("CSG0.html#group9J0", "9J⁰"), =HYPERLINK("CSG5.html#group45C5", "45C⁵")</f>
        <v/>
      </c>
      <c r="L3326" t="inlineStr"/>
      <c r="M3326">
        <f>HYPERLINK("CSG5.html#group45C5", "45C⁵"), =HYPERLINK("CSG0.html#group5B0", "5B⁰"), =HYPERLINK("CSG1.html#group15C1", "15C¹"), =HYPERLINK("CSG0.html#group9J0", "9J⁰"), =HYPERLINK("CSG0.html#group3B0", "3B⁰"), =HYPERLINK("CSG0.html#group9C0", "9C⁰"), =HYPERLINK("CSG0.html#group1A0", "1A⁰")</f>
        <v/>
      </c>
      <c r="N3326" t="inlineStr"/>
    </row>
    <row r="3327">
      <c r="A3327" t="inlineStr">
        <is>
          <t>45M¹³</t>
        </is>
      </c>
      <c r="B3327" t="inlineStr"/>
      <c r="C3327" t="inlineStr">
        <is>
          <t>216</t>
        </is>
      </c>
      <c r="D3327" t="inlineStr">
        <is>
          <t>1</t>
        </is>
      </c>
      <c r="E3327" t="inlineStr">
        <is>
          <t>72</t>
        </is>
      </c>
      <c r="F3327" t="inlineStr">
        <is>
          <t>0</t>
        </is>
      </c>
      <c r="G3327" t="inlineStr">
        <is>
          <t>0</t>
        </is>
      </c>
      <c r="H3327" t="inlineStr">
        <is>
          <t>3³, 9³, 15³, 45³</t>
        </is>
      </c>
      <c r="I3327" t="n">
        <v>12</v>
      </c>
      <c r="J3327" t="inlineStr">
        <is>
          <t>1⁴, 2⁴, 4², 6², 8², 24¹</t>
        </is>
      </c>
      <c r="K3327">
        <f>HYPERLINK("CSG1.html#group9D1", "9D¹"), =HYPERLINK("CSG5.html#group45D5", "45D⁵")</f>
        <v/>
      </c>
      <c r="L3327" t="inlineStr"/>
      <c r="M3327">
        <f>HYPERLINK("CSG0.html#group3B0", "3B⁰"), =HYPERLINK("CSG1.html#group15C1", "15C¹"), =HYPERLINK("CSG1.html#group9A1", "9A¹"), =HYPERLINK("CSG0.html#group5B0", "5B⁰"), =HYPERLINK("CSG1.html#group9D1", "9D¹"), =HYPERLINK("CSG0.html#group1A0", "1A⁰"), =HYPERLINK("CSG5.html#group45D5", "45D⁵")</f>
        <v/>
      </c>
      <c r="N3327" t="inlineStr"/>
    </row>
    <row r="3328">
      <c r="A3328" t="inlineStr">
        <is>
          <t>45N¹³</t>
        </is>
      </c>
      <c r="B3328" t="inlineStr"/>
      <c r="C3328" t="inlineStr">
        <is>
          <t>216</t>
        </is>
      </c>
      <c r="D3328" t="inlineStr">
        <is>
          <t>2</t>
        </is>
      </c>
      <c r="E3328" t="inlineStr">
        <is>
          <t>54</t>
        </is>
      </c>
      <c r="F3328" t="inlineStr">
        <is>
          <t>8</t>
        </is>
      </c>
      <c r="G3328" t="inlineStr">
        <is>
          <t>0</t>
        </is>
      </c>
      <c r="H3328" t="inlineStr">
        <is>
          <t>9⁴, 45⁴</t>
        </is>
      </c>
      <c r="I3328" t="n">
        <v>8</v>
      </c>
      <c r="J3328" t="inlineStr">
        <is>
          <t>2⁶, 6⁴, 8³, 24²</t>
        </is>
      </c>
      <c r="K3328">
        <f>HYPERLINK("CSG1.html#group15H1", "15H¹"), =HYPERLINK("CSG4.html#group45C4", "45C⁴"), =HYPERLINK("CSG6.html#group45D6", "45D⁶"), =HYPERLINK("CSG7.html#group45B7", "45B⁷")</f>
        <v/>
      </c>
      <c r="L3328" t="inlineStr"/>
      <c r="M3328">
        <f>HYPERLINK("CSG2.html#group45A2", "45A²"), =HYPERLINK("CSG0.html#group15B0", "15B⁰"), =HYPERLINK("CSG6.html#group45D6", "45D⁶"), =HYPERLINK("CSG1.html#group15E1", "15E¹"), =HYPERLINK("CSG0.html#group9A0", "9A⁰"), =HYPERLINK("CSG4.html#group45C4", "45C⁴"), =HYPERLINK("CSG7.html#group45B7", "45B⁷"), =HYPERLINK("CSG0.html#group5B0", "5B⁰"), =HYPERLINK("CSG0.html#group3C0", "3C⁰"), =HYPERLINK("CSG0.html#group3A0", "3A⁰"), =HYPERLINK("CSG1.html#group15H1", "15H¹"), =HYPERLINK("CSG0.html#group1A0", "1A⁰"), =HYPERLINK("CSG1.html#group9B1", "9B¹"), =HYPERLINK("CSG0.html#group15C0", "15C⁰")</f>
        <v/>
      </c>
      <c r="N3328" t="inlineStr"/>
    </row>
    <row r="3329">
      <c r="A3329" t="inlineStr">
        <is>
          <t>45O¹³</t>
        </is>
      </c>
      <c r="B3329" t="inlineStr"/>
      <c r="C3329" t="inlineStr">
        <is>
          <t>240</t>
        </is>
      </c>
      <c r="D3329" t="inlineStr">
        <is>
          <t>1</t>
        </is>
      </c>
      <c r="E3329" t="inlineStr">
        <is>
          <t>40</t>
        </is>
      </c>
      <c r="F3329" t="inlineStr">
        <is>
          <t>0</t>
        </is>
      </c>
      <c r="G3329" t="inlineStr">
        <is>
          <t>0</t>
        </is>
      </c>
      <c r="H3329" t="inlineStr">
        <is>
          <t>5¹², 45⁴</t>
        </is>
      </c>
      <c r="I3329" t="n">
        <v>16</v>
      </c>
      <c r="J3329" t="inlineStr">
        <is>
          <t>2², 4⁵, 8²</t>
        </is>
      </c>
      <c r="K3329">
        <f>HYPERLINK("CSG3.html#group15G3", "15G³"), =HYPERLINK("CSG4.html#group45A4", "45A⁴"), =HYPERLINK("CSG7.html#group45C7", "45C⁷")</f>
        <v/>
      </c>
      <c r="L3329" t="inlineStr"/>
      <c r="M3329">
        <f>HYPERLINK("CSG0.html#group3B0", "3B⁰"), =HYPERLINK("CSG0.html#group5A0", "5A⁰"), =HYPERLINK("CSG0.html#group5C0", "5C⁰"), =HYPERLINK("CSG3.html#group15G3", "15G³"), =HYPERLINK("CSG0.html#group9B0", "9B⁰"), =HYPERLINK("CSG1.html#group15B1", "15B¹"), =HYPERLINK("CSG0.html#group5F0", "5F⁰"), =HYPERLINK("CSG7.html#group45C7", "45C⁷"), =HYPERLINK("CSG2.html#group15C2", "15C²"), =HYPERLINK("CSG4.html#group45A4", "45A⁴"), =HYPERLINK("CSG0.html#group1A0", "1A⁰")</f>
        <v/>
      </c>
      <c r="N3329" t="inlineStr"/>
    </row>
    <row r="3330">
      <c r="A3330" t="inlineStr">
        <is>
          <t>48A¹³</t>
        </is>
      </c>
      <c r="B3330" t="inlineStr"/>
      <c r="C3330" t="inlineStr">
        <is>
          <t>192</t>
        </is>
      </c>
      <c r="D3330" t="inlineStr">
        <is>
          <t>1</t>
        </is>
      </c>
      <c r="E3330" t="inlineStr">
        <is>
          <t>12</t>
        </is>
      </c>
      <c r="F3330" t="inlineStr">
        <is>
          <t>0</t>
        </is>
      </c>
      <c r="G3330" t="inlineStr">
        <is>
          <t>0</t>
        </is>
      </c>
      <c r="H3330" t="inlineStr">
        <is>
          <t>8², 16², 24², 48²</t>
        </is>
      </c>
      <c r="I3330" t="n">
        <v>8</v>
      </c>
      <c r="J3330" t="inlineStr">
        <is>
          <t>1⁶, 2³</t>
        </is>
      </c>
      <c r="K3330">
        <f>HYPERLINK("CSG5.html#group24I5", "24I⁵"), =HYPERLINK("CSG7.html#group48E7", "48E⁷")</f>
        <v/>
      </c>
      <c r="L3330" t="inlineStr"/>
      <c r="M3330">
        <f>HYPERLINK("CSG0.html#group3B0", "3B⁰"), =HYPERLINK("CSG0.html#group2A0", "2A⁰"), =HYPERLINK("CSG1.html#group8A1", "8A¹"), =HYPERLINK("CSG3.html#group24B3", "24B³"), =HYPERLINK("CSG1.html#group12F1", "12F¹"), =HYPERLINK("CSG0.html#group6I0", "6I⁰"), =HYPERLINK("CSG0.html#group4C0", "4C⁰"), =HYPERLINK("CSG0.html#group6C0", "6C⁰"), =HYPERLINK("CSG0.html#group8B0", "8B⁰"), =HYPERLINK("CSG0.html#group2B0", "2B⁰"), =HYPERLINK("CSG1.html#group8B1", "8B¹"), =HYPERLINK("CSG0.html#group4E0", "4E⁰"), =HYPERLINK("CSG1.html#group12P1", "12P¹"), =HYPERLINK("CSG0.html#group4B0", "4B⁰"), =HYPERLINK("CSG0.html#group1A0", "1A⁰"), =HYPERLINK("CSG3.html#group24C3", "24C³"), =HYPERLINK("CSG7.html#group48E7", "48E⁷"), =HYPERLINK("CSG5.html#group24I5", "24I⁵"), =HYPERLINK("CSG0.html#group6F0", "6F⁰"), =HYPERLINK("CSG0.html#group2C0", "2C⁰"), =HYPERLINK("CSG0.html#group12E0", "12E⁰")</f>
        <v/>
      </c>
      <c r="N3330" t="inlineStr"/>
    </row>
    <row r="3331">
      <c r="A3331" t="inlineStr">
        <is>
          <t>48B¹³</t>
        </is>
      </c>
      <c r="B3331" t="inlineStr"/>
      <c r="C3331" t="inlineStr">
        <is>
          <t>192</t>
        </is>
      </c>
      <c r="D3331" t="inlineStr">
        <is>
          <t>1</t>
        </is>
      </c>
      <c r="E3331" t="inlineStr">
        <is>
          <t>12</t>
        </is>
      </c>
      <c r="F3331" t="inlineStr">
        <is>
          <t>0</t>
        </is>
      </c>
      <c r="G3331" t="inlineStr">
        <is>
          <t>0</t>
        </is>
      </c>
      <c r="H3331" t="inlineStr">
        <is>
          <t>8², 16², 24², 48²</t>
        </is>
      </c>
      <c r="I3331" t="n">
        <v>8</v>
      </c>
      <c r="J3331" t="inlineStr">
        <is>
          <t>1⁶, 2³</t>
        </is>
      </c>
      <c r="K3331">
        <f>HYPERLINK("CSG3.html#group16A3", "16A³"), =HYPERLINK("CSG5.html#group24I5", "24I⁵"), =HYPERLINK("CSG7.html#group48F7", "48F⁷")</f>
        <v/>
      </c>
      <c r="L3331" t="inlineStr"/>
      <c r="M3331">
        <f>HYPERLINK("CSG0.html#group2A0", "2A⁰"), =HYPERLINK("CSG0.html#group4C0", "4C⁰"), =HYPERLINK("CSG3.html#group16A3", "16A³"), =HYPERLINK("CSG0.html#group2B0", "2B⁰"), =HYPERLINK("CSG0.html#group4E0", "4E⁰"), =HYPERLINK("CSG0.html#group4B0", "4B⁰"), =HYPERLINK("CSG0.html#group1A0", "1A⁰"), =HYPERLINK("CSG7.html#group48F7", "48F⁷"), =HYPERLINK("CSG0.html#group6F0", "6F⁰"), =HYPERLINK("CSG0.html#group3B0", "3B⁰"), =HYPERLINK("CSG1.html#group8A1", "8A¹"), =HYPERLINK("CSG3.html#group24B3", "24B³"), =HYPERLINK("CSG1.html#group12F1", "12F¹"), =HYPERLINK("CSG0.html#group6I0", "6I⁰"), =HYPERLINK("CSG0.html#group6C0", "6C⁰"), =HYPERLINK("CSG0.html#group8B0", "8B⁰"), =HYPERLINK("CSG1.html#group16B1", "16B¹"), =HYPERLINK("CSG1.html#group8B1", "8B¹"), =HYPERLINK("CSG1.html#group12P1", "12P¹"), =HYPERLINK("CSG3.html#group24C3", "24C³"), =HYPERLINK("CSG5.html#group24I5", "24I⁵"), =HYPERLINK("CSG0.html#group2C0", "2C⁰"), =HYPERLINK("CSG0.html#group12E0", "12E⁰")</f>
        <v/>
      </c>
      <c r="N3331" t="inlineStr"/>
    </row>
    <row r="3332">
      <c r="A3332" t="inlineStr">
        <is>
          <t>48C¹³</t>
        </is>
      </c>
      <c r="B3332" t="inlineStr"/>
      <c r="C3332" t="inlineStr">
        <is>
          <t>192</t>
        </is>
      </c>
      <c r="D3332" t="inlineStr">
        <is>
          <t>1</t>
        </is>
      </c>
      <c r="E3332" t="inlineStr">
        <is>
          <t>12</t>
        </is>
      </c>
      <c r="F3332" t="inlineStr">
        <is>
          <t>0</t>
        </is>
      </c>
      <c r="G3332" t="inlineStr">
        <is>
          <t>0</t>
        </is>
      </c>
      <c r="H3332" t="inlineStr">
        <is>
          <t>8², 16², 24², 48²</t>
        </is>
      </c>
      <c r="I3332" t="n">
        <v>8</v>
      </c>
      <c r="J3332" t="inlineStr">
        <is>
          <t>1⁶, 2³</t>
        </is>
      </c>
      <c r="K3332">
        <f>HYPERLINK("CSG5.html#group24I5", "24I⁵"), =HYPERLINK("CSG7.html#group48A7", "48A⁷"), =HYPERLINK("CSG7.html#group48B7", "48B⁷")</f>
        <v/>
      </c>
      <c r="L3332" t="inlineStr"/>
      <c r="M3332">
        <f>HYPERLINK("CSG0.html#group3B0", "3B⁰"), =HYPERLINK("CSG0.html#group2A0", "2A⁰"), =HYPERLINK("CSG1.html#group8A1", "8A¹"), =HYPERLINK("CSG3.html#group24B3", "24B³"), =HYPERLINK("CSG1.html#group12F1", "12F¹"), =HYPERLINK("CSG0.html#group6I0", "6I⁰"), =HYPERLINK("CSG7.html#group48A7", "48A⁷"), =HYPERLINK("CSG0.html#group4C0", "4C⁰"), =HYPERLINK("CSG0.html#group6C0", "6C⁰"), =HYPERLINK("CSG0.html#group8B0", "8B⁰"), =HYPERLINK("CSG0.html#group2B0", "2B⁰"), =HYPERLINK("CSG1.html#group8B1", "8B¹"), =HYPERLINK("CSG0.html#group4E0", "4E⁰"), =HYPERLINK("CSG1.html#group12P1", "12P¹"), =HYPERLINK("CSG0.html#group4B0", "4B⁰"), =HYPERLINK("CSG0.html#group1A0", "1A⁰"), =HYPERLINK("CSG3.html#group24C3", "24C³"), =HYPERLINK("CSG5.html#group24I5", "24I⁵"), =HYPERLINK("CSG0.html#group6F0", "6F⁰"), =HYPERLINK("CSG0.html#group2C0", "2C⁰"), =HYPERLINK("CSG0.html#group12E0", "12E⁰"), =HYPERLINK("CSG7.html#group48B7", "48B⁷")</f>
        <v/>
      </c>
      <c r="N3332" t="inlineStr"/>
    </row>
    <row r="3333">
      <c r="A3333" t="inlineStr">
        <is>
          <t>48D¹³</t>
        </is>
      </c>
      <c r="B3333" t="inlineStr"/>
      <c r="C3333" t="inlineStr">
        <is>
          <t>192</t>
        </is>
      </c>
      <c r="D3333" t="inlineStr">
        <is>
          <t>1</t>
        </is>
      </c>
      <c r="E3333" t="inlineStr">
        <is>
          <t>12</t>
        </is>
      </c>
      <c r="F3333" t="inlineStr">
        <is>
          <t>0</t>
        </is>
      </c>
      <c r="G3333" t="inlineStr">
        <is>
          <t>0</t>
        </is>
      </c>
      <c r="H3333" t="inlineStr">
        <is>
          <t>8², 16², 24², 48²</t>
        </is>
      </c>
      <c r="I3333" t="n">
        <v>8</v>
      </c>
      <c r="J3333" t="inlineStr">
        <is>
          <t>1⁶, 2³</t>
        </is>
      </c>
      <c r="K3333">
        <f>HYPERLINK("CSG3.html#group16B3", "16B³"), =HYPERLINK("CSG5.html#group24I5", "24I⁵"), =HYPERLINK("CSG7.html#group48C7", "48C⁷"), =HYPERLINK("CSG7.html#group48D7", "48D⁷")</f>
        <v/>
      </c>
      <c r="L3333" t="inlineStr"/>
      <c r="M3333">
        <f>HYPERLINK("CSG0.html#group2A0", "2A⁰"), =HYPERLINK("CSG0.html#group3B0", "3B⁰"), =HYPERLINK("CSG1.html#group8A1", "8A¹"), =HYPERLINK("CSG3.html#group24B3", "24B³"), =HYPERLINK("CSG1.html#group12F1", "12F¹"), =HYPERLINK("CSG0.html#group6I0", "6I⁰"), =HYPERLINK("CSG0.html#group4C0", "4C⁰"), =HYPERLINK("CSG0.html#group6C0", "6C⁰"), =HYPERLINK("CSG3.html#group16B3", "16B³"), =HYPERLINK("CSG0.html#group8B0", "8B⁰"), =HYPERLINK("CSG0.html#group2B0", "2B⁰"), =HYPERLINK("CSG1.html#group8B1", "8B¹"), =HYPERLINK("CSG0.html#group4E0", "4E⁰"), =HYPERLINK("CSG1.html#group12P1", "12P¹"), =HYPERLINK("CSG0.html#group4B0", "4B⁰"), =HYPERLINK("CSG0.html#group1A0", "1A⁰"), =HYPERLINK("CSG2.html#group16A2", "16A²"), =HYPERLINK("CSG7.html#group48D7", "48D⁷"), =HYPERLINK("CSG0.html#group16B0", "16B⁰"), =HYPERLINK("CSG3.html#group24C3", "24C³"), =HYPERLINK("CSG5.html#group24I5", "24I⁵"), =HYPERLINK("CSG7.html#group48C7", "48C⁷"), =HYPERLINK("CSG0.html#group6F0", "6F⁰"), =HYPERLINK("CSG0.html#group2C0", "2C⁰"), =HYPERLINK("CSG0.html#group12E0", "12E⁰")</f>
        <v/>
      </c>
      <c r="N3333" t="inlineStr"/>
    </row>
    <row r="3334">
      <c r="A3334" t="inlineStr">
        <is>
          <t>48E¹³</t>
        </is>
      </c>
      <c r="B3334" t="inlineStr"/>
      <c r="C3334" t="inlineStr">
        <is>
          <t>192</t>
        </is>
      </c>
      <c r="D3334" t="inlineStr">
        <is>
          <t>1</t>
        </is>
      </c>
      <c r="E3334" t="inlineStr">
        <is>
          <t>24</t>
        </is>
      </c>
      <c r="F3334" t="inlineStr">
        <is>
          <t>0</t>
        </is>
      </c>
      <c r="G3334" t="inlineStr">
        <is>
          <t>0</t>
        </is>
      </c>
      <c r="H3334" t="inlineStr">
        <is>
          <t>8², 16², 24², 48²</t>
        </is>
      </c>
      <c r="I3334" t="n">
        <v>8</v>
      </c>
      <c r="J3334" t="inlineStr">
        <is>
          <t>1⁴, 2⁶, 4²</t>
        </is>
      </c>
      <c r="K3334">
        <f>HYPERLINK("CSG5.html#group24K5", "24K⁵"), =HYPERLINK("CSG7.html#group48A7", "48A⁷"), =HYPERLINK("CSG7.html#group48E7", "48E⁷")</f>
        <v/>
      </c>
      <c r="L3334" t="inlineStr"/>
      <c r="M3334">
        <f>HYPERLINK("CSG0.html#group3B0", "3B⁰"), =HYPERLINK("CSG5.html#group24K5", "24K⁵"), =HYPERLINK("CSG1.html#group8A1", "8A¹"), =HYPERLINK("CSG0.html#group8D0", "8D⁰"), =HYPERLINK("CSG1.html#group12F1", "12F¹"), =HYPERLINK("CSG7.html#group48A7", "48A⁷"), =HYPERLINK("CSG0.html#group4C0", "4C⁰"), =HYPERLINK("CSG0.html#group2B0", "2B⁰"), =HYPERLINK("CSG0.html#group1A0", "1A⁰"), =HYPERLINK("CSG3.html#group24C3", "24C³"), =HYPERLINK("CSG7.html#group48E7", "48E⁷"), =HYPERLINK("CSG1.html#group8C1", "8C¹"), =HYPERLINK("CSG2.html#group24I2", "24I²"), =HYPERLINK("CSG0.html#group4A0", "4A⁰"), =HYPERLINK("CSG1.html#group12A1", "12A¹"), =HYPERLINK("CSG2.html#group12G2", "12G²"), =HYPERLINK("CSG0.html#group4F0", "4F⁰"), =HYPERLINK("CSG0.html#group6F0", "6F⁰")</f>
        <v/>
      </c>
      <c r="N3334" t="inlineStr"/>
    </row>
    <row r="3335">
      <c r="A3335" t="inlineStr">
        <is>
          <t>48F¹³</t>
        </is>
      </c>
      <c r="B3335" t="inlineStr"/>
      <c r="C3335" t="inlineStr">
        <is>
          <t>192</t>
        </is>
      </c>
      <c r="D3335" t="inlineStr">
        <is>
          <t>1</t>
        </is>
      </c>
      <c r="E3335" t="inlineStr">
        <is>
          <t>24</t>
        </is>
      </c>
      <c r="F3335" t="inlineStr">
        <is>
          <t>0</t>
        </is>
      </c>
      <c r="G3335" t="inlineStr">
        <is>
          <t>0</t>
        </is>
      </c>
      <c r="H3335" t="inlineStr">
        <is>
          <t>8², 16², 24², 48²</t>
        </is>
      </c>
      <c r="I3335" t="n">
        <v>8</v>
      </c>
      <c r="J3335" t="inlineStr">
        <is>
          <t>1⁴, 2⁶, 4²</t>
        </is>
      </c>
      <c r="K3335">
        <f>HYPERLINK("CSG5.html#group24K5", "24K⁵"), =HYPERLINK("CSG7.html#group48B7", "48B⁷"), =HYPERLINK("CSG7.html#group48E7", "48E⁷")</f>
        <v/>
      </c>
      <c r="L3335" t="inlineStr"/>
      <c r="M3335">
        <f>HYPERLINK("CSG0.html#group3B0", "3B⁰"), =HYPERLINK("CSG5.html#group24K5", "24K⁵"), =HYPERLINK("CSG1.html#group8A1", "8A¹"), =HYPERLINK("CSG0.html#group8D0", "8D⁰"), =HYPERLINK("CSG1.html#group12F1", "12F¹"), =HYPERLINK("CSG0.html#group4C0", "4C⁰"), =HYPERLINK("CSG0.html#group2B0", "2B⁰"), =HYPERLINK("CSG0.html#group1A0", "1A⁰"), =HYPERLINK("CSG3.html#group24C3", "24C³"), =HYPERLINK("CSG7.html#group48E7", "48E⁷"), =HYPERLINK("CSG1.html#group8C1", "8C¹"), =HYPERLINK("CSG2.html#group24I2", "24I²"), =HYPERLINK("CSG0.html#group4A0", "4A⁰"), =HYPERLINK("CSG1.html#group12A1", "12A¹"), =HYPERLINK("CSG2.html#group12G2", "12G²"), =HYPERLINK("CSG0.html#group4F0", "4F⁰"), =HYPERLINK("CSG0.html#group6F0", "6F⁰"), =HYPERLINK("CSG7.html#group48B7", "48B⁷")</f>
        <v/>
      </c>
      <c r="N3335" t="inlineStr"/>
    </row>
    <row r="3336">
      <c r="A3336" t="inlineStr">
        <is>
          <t>48G¹³</t>
        </is>
      </c>
      <c r="B3336" t="inlineStr"/>
      <c r="C3336" t="inlineStr">
        <is>
          <t>192</t>
        </is>
      </c>
      <c r="D3336" t="inlineStr">
        <is>
          <t>1</t>
        </is>
      </c>
      <c r="E3336" t="inlineStr">
        <is>
          <t>24</t>
        </is>
      </c>
      <c r="F3336" t="inlineStr">
        <is>
          <t>0</t>
        </is>
      </c>
      <c r="G3336" t="inlineStr">
        <is>
          <t>0</t>
        </is>
      </c>
      <c r="H3336" t="inlineStr">
        <is>
          <t>8², 16², 24², 48²</t>
        </is>
      </c>
      <c r="I3336" t="n">
        <v>8</v>
      </c>
      <c r="J3336" t="inlineStr">
        <is>
          <t>1⁴, 2⁶, 4²</t>
        </is>
      </c>
      <c r="K3336">
        <f>HYPERLINK("CSG1.html#group16F1", "16F¹"), =HYPERLINK("CSG5.html#group24J5", "24J⁵"), =HYPERLINK("CSG7.html#group48C7", "48C⁷"), =HYPERLINK("CSG7.html#group48F7", "48F⁷")</f>
        <v/>
      </c>
      <c r="L3336" t="inlineStr"/>
      <c r="M3336">
        <f>HYPERLINK("CSG0.html#group3B0", "3B⁰"), =HYPERLINK("CSG3.html#group24B3", "24B³"), =HYPERLINK("CSG0.html#group8D0", "8D⁰"), =HYPERLINK("CSG1.html#group12F1", "12F¹"), =HYPERLINK("CSG0.html#group4C0", "4C⁰"), =HYPERLINK("CSG0.html#group8B0", "8B⁰"), =HYPERLINK("CSG1.html#group16B1", "16B¹"), =HYPERLINK("CSG0.html#group2B0", "2B⁰"), =HYPERLINK("CSG0.html#group1A0", "1A⁰"), =HYPERLINK("CSG0.html#group16B0", "16B⁰"), =HYPERLINK("CSG0.html#group8H0", "8H⁰"), =HYPERLINK("CSG2.html#group24I2", "24I²"), =HYPERLINK("CSG0.html#group4A0", "4A⁰"), =HYPERLINK("CSG1.html#group12A1", "12A¹"), =HYPERLINK("CSG2.html#group12G2", "12G²"), =HYPERLINK("CSG7.html#group48F7", "48F⁷"), =HYPERLINK("CSG1.html#group16F1", "16F¹"), =HYPERLINK("CSG5.html#group24J5", "24J⁵"), =HYPERLINK("CSG7.html#group48C7", "48C⁷"), =HYPERLINK("CSG0.html#group6F0", "6F⁰"), =HYPERLINK("CSG0.html#group4F0", "4F⁰")</f>
        <v/>
      </c>
      <c r="N3336" t="inlineStr"/>
    </row>
    <row r="3337">
      <c r="A3337" t="inlineStr">
        <is>
          <t>48H¹³</t>
        </is>
      </c>
      <c r="B3337" t="inlineStr"/>
      <c r="C3337" t="inlineStr">
        <is>
          <t>192</t>
        </is>
      </c>
      <c r="D3337" t="inlineStr">
        <is>
          <t>1</t>
        </is>
      </c>
      <c r="E3337" t="inlineStr">
        <is>
          <t>24</t>
        </is>
      </c>
      <c r="F3337" t="inlineStr">
        <is>
          <t>0</t>
        </is>
      </c>
      <c r="G3337" t="inlineStr">
        <is>
          <t>0</t>
        </is>
      </c>
      <c r="H3337" t="inlineStr">
        <is>
          <t>8², 16², 24², 48²</t>
        </is>
      </c>
      <c r="I3337" t="n">
        <v>8</v>
      </c>
      <c r="J3337" t="inlineStr">
        <is>
          <t>1⁴, 2⁶, 4²</t>
        </is>
      </c>
      <c r="K3337">
        <f>HYPERLINK("CSG3.html#group16C3", "16C³"), =HYPERLINK("CSG5.html#group24J5", "24J⁵"), =HYPERLINK("CSG7.html#group48D7", "48D⁷"), =HYPERLINK("CSG7.html#group48F7", "48F⁷")</f>
        <v/>
      </c>
      <c r="L3337" t="inlineStr"/>
      <c r="M3337">
        <f>HYPERLINK("CSG0.html#group3B0", "3B⁰"), =HYPERLINK("CSG3.html#group16C3", "16C³"), =HYPERLINK("CSG3.html#group24B3", "24B³"), =HYPERLINK("CSG1.html#group12F1", "12F¹"), =HYPERLINK("CSG0.html#group8D0", "8D⁰"), =HYPERLINK("CSG0.html#group4C0", "4C⁰"), =HYPERLINK("CSG0.html#group8B0", "8B⁰"), =HYPERLINK("CSG1.html#group16B1", "16B¹"), =HYPERLINK("CSG0.html#group2B0", "2B⁰"), =HYPERLINK("CSG0.html#group1A0", "1A⁰"), =HYPERLINK("CSG2.html#group16A2", "16A²"), =HYPERLINK("CSG7.html#group48D7", "48D⁷"), =HYPERLINK("CSG0.html#group8H0", "8H⁰"), =HYPERLINK("CSG2.html#group24I2", "24I²"), =HYPERLINK("CSG0.html#group4A0", "4A⁰"), =HYPERLINK("CSG1.html#group12A1", "12A¹"), =HYPERLINK("CSG2.html#group12G2", "12G²"), =HYPERLINK("CSG7.html#group48F7", "48F⁷"), =HYPERLINK("CSG5.html#group24J5", "24J⁵"), =HYPERLINK("CSG0.html#group4F0", "4F⁰"), =HYPERLINK("CSG0.html#group6F0", "6F⁰")</f>
        <v/>
      </c>
      <c r="N3337" t="inlineStr"/>
    </row>
    <row r="3338">
      <c r="A3338" t="inlineStr">
        <is>
          <t>48I¹³</t>
        </is>
      </c>
      <c r="B3338" t="inlineStr"/>
      <c r="C3338" t="inlineStr">
        <is>
          <t>192</t>
        </is>
      </c>
      <c r="D3338" t="inlineStr">
        <is>
          <t>1</t>
        </is>
      </c>
      <c r="E3338" t="inlineStr">
        <is>
          <t>24</t>
        </is>
      </c>
      <c r="F3338" t="inlineStr">
        <is>
          <t>0</t>
        </is>
      </c>
      <c r="G3338" t="inlineStr">
        <is>
          <t>0</t>
        </is>
      </c>
      <c r="H3338" t="inlineStr">
        <is>
          <t>8², 16², 24², 48²</t>
        </is>
      </c>
      <c r="I3338" t="n">
        <v>8</v>
      </c>
      <c r="J3338" t="inlineStr">
        <is>
          <t>1⁸, 2⁶, 4¹</t>
        </is>
      </c>
      <c r="K3338">
        <f>HYPERLINK("CSG5.html#group24I5", "24I⁵")</f>
        <v/>
      </c>
      <c r="L3338" t="inlineStr"/>
      <c r="M3338">
        <f>HYPERLINK("CSG0.html#group3B0", "3B⁰"), =HYPERLINK("CSG0.html#group2A0", "2A⁰"), =HYPERLINK("CSG1.html#group8A1", "8A¹"), =HYPERLINK("CSG3.html#group24B3", "24B³"), =HYPERLINK("CSG1.html#group12F1", "12F¹"), =HYPERLINK("CSG0.html#group6I0", "6I⁰"), =HYPERLINK("CSG0.html#group4C0", "4C⁰"), =HYPERLINK("CSG0.html#group6C0", "6C⁰"), =HYPERLINK("CSG0.html#group8B0", "8B⁰"), =HYPERLINK("CSG0.html#group2B0", "2B⁰"), =HYPERLINK("CSG1.html#group8B1", "8B¹"), =HYPERLINK("CSG0.html#group4E0", "4E⁰"), =HYPERLINK("CSG1.html#group12P1", "12P¹"), =HYPERLINK("CSG0.html#group4B0", "4B⁰"), =HYPERLINK("CSG0.html#group1A0", "1A⁰"), =HYPERLINK("CSG3.html#group24C3", "24C³"), =HYPERLINK("CSG5.html#group24I5", "24I⁵"), =HYPERLINK("CSG0.html#group6F0", "6F⁰"), =HYPERLINK("CSG0.html#group2C0", "2C⁰"), =HYPERLINK("CSG0.html#group12E0", "12E⁰")</f>
        <v/>
      </c>
      <c r="N3338" t="inlineStr"/>
    </row>
    <row r="3339">
      <c r="A3339" t="inlineStr">
        <is>
          <t>48J¹³</t>
        </is>
      </c>
      <c r="B3339" t="inlineStr"/>
      <c r="C3339" t="inlineStr">
        <is>
          <t>192</t>
        </is>
      </c>
      <c r="D3339" t="inlineStr">
        <is>
          <t>1</t>
        </is>
      </c>
      <c r="E3339" t="inlineStr">
        <is>
          <t>24</t>
        </is>
      </c>
      <c r="F3339" t="inlineStr">
        <is>
          <t>0</t>
        </is>
      </c>
      <c r="G3339" t="inlineStr">
        <is>
          <t>0</t>
        </is>
      </c>
      <c r="H3339" t="inlineStr">
        <is>
          <t>8², 16², 24², 48²</t>
        </is>
      </c>
      <c r="I3339" t="n">
        <v>8</v>
      </c>
      <c r="J3339" t="inlineStr">
        <is>
          <t>1⁸, 2⁶, 4¹</t>
        </is>
      </c>
      <c r="K3339">
        <f>HYPERLINK("CSG3.html#group16D3", "16D³"), =HYPERLINK("CSG5.html#group24I5", "24I⁵"), =HYPERLINK("CSG7.html#group48G7", "48G⁷"), =HYPERLINK("CSG7.html#group48H7", "48H⁷")</f>
        <v/>
      </c>
      <c r="L3339" t="inlineStr"/>
      <c r="M3339">
        <f>HYPERLINK("CSG0.html#group2A0", "2A⁰"), =HYPERLINK("CSG7.html#group48H7", "48H⁷"), =HYPERLINK("CSG0.html#group4C0", "4C⁰"), =HYPERLINK("CSG0.html#group2B0", "2B⁰"), =HYPERLINK("CSG0.html#group4E0", "4E⁰"), =HYPERLINK("CSG0.html#group4B0", "4B⁰"), =HYPERLINK("CSG0.html#group1A0", "1A⁰"), =HYPERLINK("CSG1.html#group16D1", "16D¹"), =HYPERLINK("CSG2.html#group16B2", "16B²"), =HYPERLINK("CSG7.html#group48G7", "48G⁷"), =HYPERLINK("CSG0.html#group6F0", "6F⁰"), =HYPERLINK("CSG0.html#group3B0", "3B⁰"), =HYPERLINK("CSG3.html#group16D3", "16D³"), =HYPERLINK("CSG1.html#group8A1", "8A¹"), =HYPERLINK("CSG3.html#group24B3", "24B³"), =HYPERLINK("CSG1.html#group12F1", "12F¹"), =HYPERLINK("CSG0.html#group6I0", "6I⁰"), =HYPERLINK("CSG0.html#group6C0", "6C⁰"), =HYPERLINK("CSG0.html#group8B0", "8B⁰"), =HYPERLINK("CSG1.html#group8B1", "8B¹"), =HYPERLINK("CSG1.html#group12P1", "12P¹"), =HYPERLINK("CSG3.html#group24C3", "24C³"), =HYPERLINK("CSG5.html#group24I5", "24I⁵"), =HYPERLINK("CSG0.html#group2C0", "2C⁰"), =HYPERLINK("CSG0.html#group12E0", "12E⁰")</f>
        <v/>
      </c>
      <c r="N3339" t="inlineStr"/>
    </row>
    <row r="3340">
      <c r="A3340" t="inlineStr">
        <is>
          <t>48K¹³</t>
        </is>
      </c>
      <c r="B3340" t="inlineStr"/>
      <c r="C3340" t="inlineStr">
        <is>
          <t>192</t>
        </is>
      </c>
      <c r="D3340" t="inlineStr">
        <is>
          <t>1</t>
        </is>
      </c>
      <c r="E3340" t="inlineStr">
        <is>
          <t>48</t>
        </is>
      </c>
      <c r="F3340" t="inlineStr">
        <is>
          <t>0</t>
        </is>
      </c>
      <c r="G3340" t="inlineStr">
        <is>
          <t>0</t>
        </is>
      </c>
      <c r="H3340" t="inlineStr">
        <is>
          <t>8², 16², 24², 48²</t>
        </is>
      </c>
      <c r="I3340" t="n">
        <v>8</v>
      </c>
      <c r="J3340" t="inlineStr">
        <is>
          <t>2¹², 4⁶</t>
        </is>
      </c>
      <c r="K3340">
        <f>HYPERLINK("CSG2.html#group16E2", "16E²"), =HYPERLINK("CSG5.html#group24J5", "24J⁵"), =HYPERLINK("CSG7.html#group48G7", "48G⁷")</f>
        <v/>
      </c>
      <c r="L3340" t="inlineStr"/>
      <c r="M3340">
        <f>HYPERLINK("CSG0.html#group3B0", "3B⁰"), =HYPERLINK("CSG3.html#group24B3", "24B³"), =HYPERLINK("CSG0.html#group8D0", "8D⁰"), =HYPERLINK("CSG1.html#group12F1", "12F¹"), =HYPERLINK("CSG0.html#group4C0", "4C⁰"), =HYPERLINK("CSG0.html#group8B0", "8B⁰"), =HYPERLINK("CSG0.html#group2B0", "2B⁰"), =HYPERLINK("CSG0.html#group1A0", "1A⁰"), =HYPERLINK("CSG2.html#group16E2", "16E²"), =HYPERLINK("CSG0.html#group8H0", "8H⁰"), =HYPERLINK("CSG1.html#group16D1", "16D¹"), =HYPERLINK("CSG2.html#group24I2", "24I²"), =HYPERLINK("CSG7.html#group48G7", "48G⁷"), =HYPERLINK("CSG0.html#group4A0", "4A⁰"), =HYPERLINK("CSG1.html#group12A1", "12A¹"), =HYPERLINK("CSG2.html#group12G2", "12G²"), =HYPERLINK("CSG5.html#group24J5", "24J⁵"), =HYPERLINK("CSG0.html#group4F0", "4F⁰"), =HYPERLINK("CSG0.html#group6F0", "6F⁰")</f>
        <v/>
      </c>
      <c r="N3340" t="inlineStr"/>
    </row>
    <row r="3341">
      <c r="A3341" t="inlineStr">
        <is>
          <t>48L¹³</t>
        </is>
      </c>
      <c r="B3341" t="inlineStr"/>
      <c r="C3341" t="inlineStr">
        <is>
          <t>192</t>
        </is>
      </c>
      <c r="D3341" t="inlineStr">
        <is>
          <t>1</t>
        </is>
      </c>
      <c r="E3341" t="inlineStr">
        <is>
          <t>48</t>
        </is>
      </c>
      <c r="F3341" t="inlineStr">
        <is>
          <t>0</t>
        </is>
      </c>
      <c r="G3341" t="inlineStr">
        <is>
          <t>0</t>
        </is>
      </c>
      <c r="H3341" t="inlineStr">
        <is>
          <t>8², 16², 24², 48²</t>
        </is>
      </c>
      <c r="I3341" t="n">
        <v>8</v>
      </c>
      <c r="J3341" t="inlineStr">
        <is>
          <t>2¹², 4⁶</t>
        </is>
      </c>
      <c r="K3341">
        <f>HYPERLINK("CSG3.html#group16E3", "16E³"), =HYPERLINK("CSG5.html#group24K5", "24K⁵"), =HYPERLINK("CSG7.html#group48H7", "48H⁷")</f>
        <v/>
      </c>
      <c r="L3341" t="inlineStr"/>
      <c r="M3341">
        <f>HYPERLINK("CSG0.html#group3B0", "3B⁰"), =HYPERLINK("CSG5.html#group24K5", "24K⁵"), =HYPERLINK("CSG1.html#group8A1", "8A¹"), =HYPERLINK("CSG7.html#group48H7", "48H⁷"), =HYPERLINK("CSG1.html#group12F1", "12F¹"), =HYPERLINK("CSG0.html#group8D0", "8D⁰"), =HYPERLINK("CSG0.html#group4C0", "4C⁰"), =HYPERLINK("CSG0.html#group2B0", "2B⁰"), =HYPERLINK("CSG0.html#group1A0", "1A⁰"), =HYPERLINK("CSG3.html#group24C3", "24C³"), =HYPERLINK("CSG2.html#group16B2", "16B²"), =HYPERLINK("CSG1.html#group8C1", "8C¹"), =HYPERLINK("CSG2.html#group24I2", "24I²"), =HYPERLINK("CSG0.html#group4A0", "4A⁰"), =HYPERLINK("CSG1.html#group12A1", "12A¹"), =HYPERLINK("CSG2.html#group12G2", "12G²"), =HYPERLINK("CSG0.html#group4F0", "4F⁰"), =HYPERLINK("CSG0.html#group6F0", "6F⁰"), =HYPERLINK("CSG3.html#group16E3", "16E³")</f>
        <v/>
      </c>
      <c r="N3341" t="inlineStr"/>
    </row>
    <row r="3342">
      <c r="A3342" t="inlineStr">
        <is>
          <t>48M¹³</t>
        </is>
      </c>
      <c r="B3342" t="inlineStr"/>
      <c r="C3342" t="inlineStr">
        <is>
          <t>192</t>
        </is>
      </c>
      <c r="D3342" t="inlineStr">
        <is>
          <t>1</t>
        </is>
      </c>
      <c r="E3342" t="inlineStr">
        <is>
          <t>48</t>
        </is>
      </c>
      <c r="F3342" t="inlineStr">
        <is>
          <t>0</t>
        </is>
      </c>
      <c r="G3342" t="inlineStr">
        <is>
          <t>0</t>
        </is>
      </c>
      <c r="H3342" t="inlineStr">
        <is>
          <t>8², 16², 24², 48²</t>
        </is>
      </c>
      <c r="I3342" t="n">
        <v>8</v>
      </c>
      <c r="J3342" t="inlineStr">
        <is>
          <t>1⁸, 2⁸, 4⁴, 8¹</t>
        </is>
      </c>
      <c r="K3342">
        <f>HYPERLINK("CSG5.html#group24M5", "24M⁵"), =HYPERLINK("CSG7.html#group48A7", "48A⁷"), =HYPERLINK("CSG7.html#group48H7", "48H⁷")</f>
        <v/>
      </c>
      <c r="L3342" t="inlineStr"/>
      <c r="M3342">
        <f>HYPERLINK("CSG3.html#group24C3", "24C³"), =HYPERLINK("CSG0.html#group3B0", "3B⁰"), =HYPERLINK("CSG1.html#group8A1", "8A¹"), =HYPERLINK("CSG2.html#group16B2", "16B²"), =HYPERLINK("CSG5.html#group24M5", "24M⁵"), =HYPERLINK("CSG7.html#group48H7", "48H⁷"), =HYPERLINK("CSG1.html#group12F1", "12F¹"), =HYPERLINK("CSG7.html#group48A7", "48A⁷"), =HYPERLINK("CSG0.html#group4C0", "4C⁰"), =HYPERLINK("CSG0.html#group6F0", "6F⁰"), =HYPERLINK("CSG0.html#group2B0", "2B⁰"), =HYPERLINK("CSG0.html#group1A0", "1A⁰")</f>
        <v/>
      </c>
      <c r="N3342" t="inlineStr"/>
    </row>
    <row r="3343">
      <c r="A3343" t="inlineStr">
        <is>
          <t>48N¹³</t>
        </is>
      </c>
      <c r="B3343" t="inlineStr"/>
      <c r="C3343" t="inlineStr">
        <is>
          <t>192</t>
        </is>
      </c>
      <c r="D3343" t="inlineStr">
        <is>
          <t>1</t>
        </is>
      </c>
      <c r="E3343" t="inlineStr">
        <is>
          <t>48</t>
        </is>
      </c>
      <c r="F3343" t="inlineStr">
        <is>
          <t>0</t>
        </is>
      </c>
      <c r="G3343" t="inlineStr">
        <is>
          <t>0</t>
        </is>
      </c>
      <c r="H3343" t="inlineStr">
        <is>
          <t>8², 16², 24², 48²</t>
        </is>
      </c>
      <c r="I3343" t="n">
        <v>8</v>
      </c>
      <c r="J3343" t="inlineStr">
        <is>
          <t>1⁸, 2⁸, 4⁴, 8¹</t>
        </is>
      </c>
      <c r="K3343">
        <f>HYPERLINK("CSG5.html#group24M5", "24M⁵"), =HYPERLINK("CSG7.html#group48B7", "48B⁷"), =HYPERLINK("CSG7.html#group48H7", "48H⁷")</f>
        <v/>
      </c>
      <c r="L3343" t="inlineStr"/>
      <c r="M3343">
        <f>HYPERLINK("CSG3.html#group24C3", "24C³"), =HYPERLINK("CSG0.html#group3B0", "3B⁰"), =HYPERLINK("CSG1.html#group8A1", "8A¹"), =HYPERLINK("CSG2.html#group16B2", "16B²"), =HYPERLINK("CSG5.html#group24M5", "24M⁵"), =HYPERLINK("CSG7.html#group48H7", "48H⁷"), =HYPERLINK("CSG1.html#group12F1", "12F¹"), =HYPERLINK("CSG0.html#group4C0", "4C⁰"), =HYPERLINK("CSG0.html#group6F0", "6F⁰"), =HYPERLINK("CSG0.html#group2B0", "2B⁰"), =HYPERLINK("CSG0.html#group1A0", "1A⁰"), =HYPERLINK("CSG7.html#group48B7", "48B⁷")</f>
        <v/>
      </c>
      <c r="N3343" t="inlineStr"/>
    </row>
    <row r="3344">
      <c r="A3344" t="inlineStr">
        <is>
          <t>48O¹³</t>
        </is>
      </c>
      <c r="B3344" t="inlineStr"/>
      <c r="C3344" t="inlineStr">
        <is>
          <t>192</t>
        </is>
      </c>
      <c r="D3344" t="inlineStr">
        <is>
          <t>1</t>
        </is>
      </c>
      <c r="E3344" t="inlineStr">
        <is>
          <t>48</t>
        </is>
      </c>
      <c r="F3344" t="inlineStr">
        <is>
          <t>0</t>
        </is>
      </c>
      <c r="G3344" t="inlineStr">
        <is>
          <t>0</t>
        </is>
      </c>
      <c r="H3344" t="inlineStr">
        <is>
          <t>8², 16², 24², 48²</t>
        </is>
      </c>
      <c r="I3344" t="n">
        <v>8</v>
      </c>
      <c r="J3344" t="inlineStr">
        <is>
          <t>1⁸, 2⁸, 4⁴, 8¹</t>
        </is>
      </c>
      <c r="K3344">
        <f>HYPERLINK("CSG1.html#group16J1", "16J¹"), =HYPERLINK("CSG5.html#group24N5", "24N⁵"), =HYPERLINK("CSG7.html#group48C7", "48C⁷"), =HYPERLINK("CSG7.html#group48G7", "48G⁷")</f>
        <v/>
      </c>
      <c r="L3344" t="inlineStr"/>
      <c r="M3344">
        <f>HYPERLINK("CSG0.html#group3B0", "3B⁰"), =HYPERLINK("CSG5.html#group24N5", "24N⁵"), =HYPERLINK("CSG3.html#group24B3", "24B³"), =HYPERLINK("CSG1.html#group12F1", "12F¹"), =HYPERLINK("CSG0.html#group4C0", "4C⁰"), =HYPERLINK("CSG0.html#group8B0", "8B⁰"), =HYPERLINK("CSG0.html#group8L0", "8L⁰"), =HYPERLINK("CSG0.html#group2B0", "2B⁰"), =HYPERLINK("CSG1.html#group16J1", "16J¹"), =HYPERLINK("CSG0.html#group1A0", "1A⁰"), =HYPERLINK("CSG0.html#group16B0", "16B⁰"), =HYPERLINK("CSG1.html#group16D1", "16D¹"), =HYPERLINK("CSG7.html#group48G7", "48G⁷"), =HYPERLINK("CSG7.html#group48C7", "48C⁷"), =HYPERLINK("CSG0.html#group6F0", "6F⁰")</f>
        <v/>
      </c>
      <c r="N3344" t="inlineStr"/>
    </row>
    <row r="3345">
      <c r="A3345" t="inlineStr">
        <is>
          <t>48P¹³</t>
        </is>
      </c>
      <c r="B3345" t="inlineStr"/>
      <c r="C3345" t="inlineStr">
        <is>
          <t>192</t>
        </is>
      </c>
      <c r="D3345" t="inlineStr">
        <is>
          <t>1</t>
        </is>
      </c>
      <c r="E3345" t="inlineStr">
        <is>
          <t>48</t>
        </is>
      </c>
      <c r="F3345" t="inlineStr">
        <is>
          <t>0</t>
        </is>
      </c>
      <c r="G3345" t="inlineStr">
        <is>
          <t>0</t>
        </is>
      </c>
      <c r="H3345" t="inlineStr">
        <is>
          <t>8², 16², 24², 48²</t>
        </is>
      </c>
      <c r="I3345" t="n">
        <v>8</v>
      </c>
      <c r="J3345" t="inlineStr">
        <is>
          <t>1⁸, 2⁸, 4⁴, 8¹</t>
        </is>
      </c>
      <c r="K3345">
        <f>HYPERLINK("CSG3.html#group16F3", "16F³"), =HYPERLINK("CSG5.html#group24N5", "24N⁵"), =HYPERLINK("CSG7.html#group48D7", "48D⁷"), =HYPERLINK("CSG7.html#group48G7", "48G⁷")</f>
        <v/>
      </c>
      <c r="L3345" t="inlineStr"/>
      <c r="M3345">
        <f>HYPERLINK("CSG7.html#group48D7", "48D⁷"), =HYPERLINK("CSG0.html#group3B0", "3B⁰"), =HYPERLINK("CSG1.html#group16D1", "16D¹"), =HYPERLINK("CSG5.html#group24N5", "24N⁵"), =HYPERLINK("CSG3.html#group24B3", "24B³"), =HYPERLINK("CSG7.html#group48G7", "48G⁷"), =HYPERLINK("CSG1.html#group12F1", "12F¹"), =HYPERLINK("CSG3.html#group16F3", "16F³"), =HYPERLINK("CSG0.html#group4C0", "4C⁰"), =HYPERLINK("CSG0.html#group8B0", "8B⁰"), =HYPERLINK("CSG0.html#group6F0", "6F⁰"), =HYPERLINK("CSG0.html#group8L0", "8L⁰"), =HYPERLINK("CSG0.html#group2B0", "2B⁰"), =HYPERLINK("CSG0.html#group1A0", "1A⁰"), =HYPERLINK("CSG2.html#group16A2", "16A²")</f>
        <v/>
      </c>
      <c r="N3345" t="inlineStr"/>
    </row>
    <row r="3346">
      <c r="A3346" t="inlineStr">
        <is>
          <t>48Q¹³</t>
        </is>
      </c>
      <c r="B3346" t="inlineStr"/>
      <c r="C3346" t="inlineStr">
        <is>
          <t>192</t>
        </is>
      </c>
      <c r="D3346" t="inlineStr">
        <is>
          <t>2</t>
        </is>
      </c>
      <c r="E3346" t="inlineStr">
        <is>
          <t>24</t>
        </is>
      </c>
      <c r="F3346" t="inlineStr">
        <is>
          <t>8</t>
        </is>
      </c>
      <c r="G3346" t="inlineStr">
        <is>
          <t>0</t>
        </is>
      </c>
      <c r="H3346" t="inlineStr">
        <is>
          <t>48⁴</t>
        </is>
      </c>
      <c r="I3346" t="n">
        <v>4</v>
      </c>
      <c r="J3346" t="inlineStr">
        <is>
          <t>8², 16²</t>
        </is>
      </c>
      <c r="K3346">
        <f>HYPERLINK("CSG5.html#group24P5", "24P⁵"), =HYPERLINK("CSG6.html#group48E6", "48E⁶"), =HYPERLINK("CSG6.html#group48F6", "48F⁶")</f>
        <v/>
      </c>
      <c r="L3346" t="inlineStr"/>
      <c r="M3346">
        <f>HYPERLINK("CSG1.html#group12G1", "12G¹"), =HYPERLINK("CSG0.html#group6B0", "6B⁰"), =HYPERLINK("CSG3.html#group24D3", "24D³"), =HYPERLINK("CSG0.html#group12F0", "12F⁰"), =HYPERLINK("CSG0.html#group8A0", "8A⁰"), =HYPERLINK("CSG6.html#group48E6", "48E⁶"), =HYPERLINK("CSG1.html#group24B1", "24B¹"), =HYPERLINK("CSG0.html#group1A0", "1A⁰"), =HYPERLINK("CSG5.html#group24P5", "24P⁵"), =HYPERLINK("CSG6.html#group48F6", "48F⁶"), =HYPERLINK("CSG3.html#group24E3", "24E³"), =HYPERLINK("CSG0.html#group12A0", "12A⁰"), =HYPERLINK("CSG2.html#group24K2", "24K²"), =HYPERLINK("CSG1.html#group24A1", "24A¹"), =HYPERLINK("CSG0.html#group6E0", "6E⁰"), =HYPERLINK("CSG0.html#group4A0", "4A⁰"), =HYPERLINK("CSG1.html#group12Q1", "12Q¹"), =HYPERLINK("CSG0.html#group3C0", "3C⁰"), =HYPERLINK("CSG0.html#group3A0", "3A⁰"), =HYPERLINK("CSG2.html#group24G2", "24G²"), =HYPERLINK("CSG2.html#group24H2", "24H²")</f>
        <v/>
      </c>
      <c r="N3346" t="inlineStr"/>
    </row>
    <row r="3347">
      <c r="A3347" t="inlineStr">
        <is>
          <t>48R¹³</t>
        </is>
      </c>
      <c r="B3347" t="inlineStr"/>
      <c r="C3347" t="inlineStr">
        <is>
          <t>192</t>
        </is>
      </c>
      <c r="D3347" t="inlineStr">
        <is>
          <t>2</t>
        </is>
      </c>
      <c r="E3347" t="inlineStr">
        <is>
          <t>24</t>
        </is>
      </c>
      <c r="F3347" t="inlineStr">
        <is>
          <t>8</t>
        </is>
      </c>
      <c r="G3347" t="inlineStr">
        <is>
          <t>0</t>
        </is>
      </c>
      <c r="H3347" t="inlineStr">
        <is>
          <t>48⁴</t>
        </is>
      </c>
      <c r="I3347" t="n">
        <v>4</v>
      </c>
      <c r="J3347" t="inlineStr">
        <is>
          <t>8², 16²</t>
        </is>
      </c>
      <c r="K3347">
        <f>HYPERLINK("CSG5.html#group24P5", "24P⁵"), =HYPERLINK("CSG6.html#group48G6", "48G⁶"), =HYPERLINK("CSG6.html#group48H6", "48H⁶"), =HYPERLINK("CSG7.html#group48I7", "48I⁷"), =HYPERLINK("CSG7.html#group48J7", "48J⁷")</f>
        <v/>
      </c>
      <c r="L3347" t="inlineStr"/>
      <c r="M3347">
        <f>HYPERLINK("CSG7.html#group48I7", "48I⁷"), =HYPERLINK("CSG1.html#group12G1", "12G¹"), =HYPERLINK("CSG0.html#group6B0", "6B⁰"), =HYPERLINK("CSG0.html#group16A0", "16A⁰"), =HYPERLINK("CSG3.html#group24D3", "24D³"), =HYPERLINK("CSG6.html#group48H6", "48H⁶"), =HYPERLINK("CSG0.html#group8A0", "8A⁰"), =HYPERLINK("CSG0.html#group12F0", "12F⁰"), =HYPERLINK("CSG1.html#group24B1", "24B¹"), =HYPERLINK("CSG0.html#group1A0", "1A⁰"), =HYPERLINK("CSG6.html#group48G6", "48G⁶"), =HYPERLINK("CSG3.html#group24E3", "24E³"), =HYPERLINK("CSG0.html#group12A0", "12A⁰"), =HYPERLINK("CSG1.html#group24A1", "24A¹"), =HYPERLINK("CSG3.html#group48A3", "48A³"), =HYPERLINK("CSG2.html#group24K2", "24K²"), =HYPERLINK("CSG0.html#group6E0", "6E⁰"), =HYPERLINK("CSG7.html#group48J7", "48J⁷"), =HYPERLINK("CSG0.html#group4A0", "4A⁰"), =HYPERLINK("CSG0.html#group3C0", "3C⁰"), =HYPERLINK("CSG1.html#group12Q1", "12Q¹"), =HYPERLINK("CSG0.html#group3A0", "3A⁰"), =HYPERLINK("CSG2.html#group24G2", "24G²"), =HYPERLINK("CSG2.html#group24H2", "24H²"), =HYPERLINK("CSG5.html#group24P5", "24P⁵"), =HYPERLINK("CSG3.html#group48B3", "48B³")</f>
        <v/>
      </c>
      <c r="N3347" t="inlineStr"/>
    </row>
    <row r="3348">
      <c r="A3348" t="inlineStr">
        <is>
          <t>48S¹³</t>
        </is>
      </c>
      <c r="B3348" t="inlineStr"/>
      <c r="C3348" t="inlineStr">
        <is>
          <t>192</t>
        </is>
      </c>
      <c r="D3348" t="inlineStr">
        <is>
          <t>2</t>
        </is>
      </c>
      <c r="E3348" t="inlineStr">
        <is>
          <t>48</t>
        </is>
      </c>
      <c r="F3348" t="inlineStr">
        <is>
          <t>0</t>
        </is>
      </c>
      <c r="G3348" t="inlineStr">
        <is>
          <t>0</t>
        </is>
      </c>
      <c r="H3348" t="inlineStr">
        <is>
          <t>8², 16², 24², 48²</t>
        </is>
      </c>
      <c r="I3348" t="n">
        <v>8</v>
      </c>
      <c r="J3348" t="inlineStr">
        <is>
          <t>2¹⁶, 4¹², 8²</t>
        </is>
      </c>
      <c r="K3348">
        <f>HYPERLINK("CSG5.html#group24M5", "24M⁵"), =HYPERLINK("CSG7.html#group48E7", "48E⁷"), =HYPERLINK("CSG7.html#group48H7", "48H⁷")</f>
        <v/>
      </c>
      <c r="L3348" t="inlineStr"/>
      <c r="M3348">
        <f>HYPERLINK("CSG3.html#group24C3", "24C³"), =HYPERLINK("CSG0.html#group3B0", "3B⁰"), =HYPERLINK("CSG7.html#group48E7", "48E⁷"), =HYPERLINK("CSG1.html#group8A1", "8A¹"), =HYPERLINK("CSG2.html#group16B2", "16B²"), =HYPERLINK("CSG5.html#group24M5", "24M⁵"), =HYPERLINK("CSG7.html#group48H7", "48H⁷"), =HYPERLINK("CSG1.html#group12F1", "12F¹"), =HYPERLINK("CSG0.html#group4C0", "4C⁰"), =HYPERLINK("CSG0.html#group6F0", "6F⁰"), =HYPERLINK("CSG0.html#group2B0", "2B⁰"), =HYPERLINK("CSG0.html#group1A0", "1A⁰")</f>
        <v/>
      </c>
      <c r="N3348" t="inlineStr"/>
    </row>
    <row r="3349">
      <c r="A3349" t="inlineStr">
        <is>
          <t>48T¹³</t>
        </is>
      </c>
      <c r="B3349" t="inlineStr"/>
      <c r="C3349" t="inlineStr">
        <is>
          <t>192</t>
        </is>
      </c>
      <c r="D3349" t="inlineStr">
        <is>
          <t>2</t>
        </is>
      </c>
      <c r="E3349" t="inlineStr">
        <is>
          <t>48</t>
        </is>
      </c>
      <c r="F3349" t="inlineStr">
        <is>
          <t>0</t>
        </is>
      </c>
      <c r="G3349" t="inlineStr">
        <is>
          <t>0</t>
        </is>
      </c>
      <c r="H3349" t="inlineStr">
        <is>
          <t>8², 16², 24², 48²</t>
        </is>
      </c>
      <c r="I3349" t="n">
        <v>8</v>
      </c>
      <c r="J3349" t="inlineStr">
        <is>
          <t>2¹⁶, 4¹², 8²</t>
        </is>
      </c>
      <c r="K3349">
        <f>HYPERLINK("CSG2.html#group16F2", "16F²"), =HYPERLINK("CSG5.html#group24N5", "24N⁵"), =HYPERLINK("CSG7.html#group48F7", "48F⁷"), =HYPERLINK("CSG7.html#group48G7", "48G⁷")</f>
        <v/>
      </c>
      <c r="L3349" t="inlineStr"/>
      <c r="M3349">
        <f>HYPERLINK("CSG0.html#group3B0", "3B⁰"), =HYPERLINK("CSG1.html#group16D1", "16D¹"), =HYPERLINK("CSG5.html#group24N5", "24N⁵"), =HYPERLINK("CSG3.html#group24B3", "24B³"), =HYPERLINK("CSG2.html#group16F2", "16F²"), =HYPERLINK("CSG7.html#group48G7", "48G⁷"), =HYPERLINK("CSG1.html#group12F1", "12F¹"), =HYPERLINK("CSG0.html#group4C0", "4C⁰"), =HYPERLINK("CSG0.html#group8B0", "8B⁰"), =HYPERLINK("CSG0.html#group6F0", "6F⁰"), =HYPERLINK("CSG1.html#group16B1", "16B¹"), =HYPERLINK("CSG0.html#group8L0", "8L⁰"), =HYPERLINK("CSG0.html#group2B0", "2B⁰"), =HYPERLINK("CSG7.html#group48F7", "48F⁷"), =HYPERLINK("CSG0.html#group1A0", "1A⁰")</f>
        <v/>
      </c>
      <c r="N3349" t="inlineStr"/>
    </row>
    <row r="3350">
      <c r="A3350" t="inlineStr">
        <is>
          <t>48U¹³</t>
        </is>
      </c>
      <c r="B3350" t="inlineStr"/>
      <c r="C3350" t="inlineStr">
        <is>
          <t>256</t>
        </is>
      </c>
      <c r="D3350" t="inlineStr">
        <is>
          <t>1</t>
        </is>
      </c>
      <c r="E3350" t="inlineStr">
        <is>
          <t>16</t>
        </is>
      </c>
      <c r="F3350" t="inlineStr">
        <is>
          <t>0</t>
        </is>
      </c>
      <c r="G3350" t="inlineStr">
        <is>
          <t>16</t>
        </is>
      </c>
      <c r="H3350" t="inlineStr">
        <is>
          <t>16⁴, 48⁴</t>
        </is>
      </c>
      <c r="I3350" t="n">
        <v>8</v>
      </c>
      <c r="J3350" t="inlineStr">
        <is>
          <t>2⁴, 4²</t>
        </is>
      </c>
      <c r="K3350">
        <f>HYPERLINK("CSG5.html#group24Q5", "24Q⁵"), =HYPERLINK("CSG7.html#group48K7", "48K⁷"), =HYPERLINK("CSG7.html#group48L7", "48L⁷")</f>
        <v/>
      </c>
      <c r="L3350" t="inlineStr"/>
      <c r="M3350">
        <f>HYPERLINK("CSG0.html#group2A0", "2A⁰"), =HYPERLINK("CSG0.html#group3B0", "3B⁰"), =HYPERLINK("CSG0.html#group16A0", "16A⁰"), =HYPERLINK("CSG7.html#group48K7", "48K⁷"), =HYPERLINK("CSG1.html#group12I1", "12I¹"), =HYPERLINK("CSG2.html#group24A2", "24A²"), =HYPERLINK("CSG0.html#group6C0", "6C⁰"), =HYPERLINK("CSG0.html#group8A0", "8A⁰"), =HYPERLINK("CSG0.html#group8E0", "8E⁰"), =HYPERLINK("CSG3.html#group24G3", "24G³"), =HYPERLINK("CSG0.html#group1A0", "1A⁰"), =HYPERLINK("CSG3.html#group24F3", "24F³"), =HYPERLINK("CSG7.html#group48L7", "48L⁷"), =HYPERLINK("CSG0.html#group4A0", "4A⁰"), =HYPERLINK("CSG0.html#group4D0", "4D⁰"), =HYPERLINK("CSG0.html#group16F0", "16F⁰"), =HYPERLINK("CSG1.html#group12A1", "12A¹"), =HYPERLINK("CSG5.html#group24Q5", "24Q⁵"), =HYPERLINK("CSG4.html#group48A4", "48A⁴"), =HYPERLINK("CSG1.html#group12R1", "12R¹"), =HYPERLINK("CSG0.html#group12B0", "12B⁰")</f>
        <v/>
      </c>
      <c r="N3350" t="inlineStr"/>
    </row>
    <row r="3351">
      <c r="A3351" t="inlineStr">
        <is>
          <t>48V¹³</t>
        </is>
      </c>
      <c r="B3351" t="inlineStr"/>
      <c r="C3351" t="inlineStr">
        <is>
          <t>288</t>
        </is>
      </c>
      <c r="D3351" t="inlineStr">
        <is>
          <t>1</t>
        </is>
      </c>
      <c r="E3351" t="inlineStr">
        <is>
          <t>6</t>
        </is>
      </c>
      <c r="F3351" t="inlineStr">
        <is>
          <t>0</t>
        </is>
      </c>
      <c r="G3351" t="inlineStr">
        <is>
          <t>0</t>
        </is>
      </c>
      <c r="H3351" t="inlineStr">
        <is>
          <t>3¹⁶, 12⁴, 48⁴</t>
        </is>
      </c>
      <c r="I3351" t="n">
        <v>24</v>
      </c>
      <c r="J3351" t="inlineStr">
        <is>
          <t>1⁴, 2¹</t>
        </is>
      </c>
      <c r="K3351">
        <f>HYPERLINK("CSG3.html#group48I3", "48I³"), =HYPERLINK("CSG5.html#group24R5", "24R⁵"), =HYPERLINK("CSG7.html#group48W7", "48W⁷")</f>
        <v/>
      </c>
      <c r="L3351" t="inlineStr"/>
      <c r="M3351">
        <f>HYPERLINK("CSG0.html#group3B0", "3B⁰"), =HYPERLINK("CSG7.html#group48W7", "48W⁷"), =HYPERLINK("CSG1.html#group12K1", "12K¹"), =HYPERLINK("CSG1.html#group24G1", "24G¹"), =HYPERLINK("CSG0.html#group6G0", "6G⁰"), =HYPERLINK("CSG1.html#group12S1", "12S¹"), =HYPERLINK("CSG0.html#group2B0", "2B⁰"), =HYPERLINK("CSG0.html#group8C0", "8C⁰"), =HYPERLINK("CSG0.html#group6F0", "6F⁰"), =HYPERLINK("CSG0.html#group4B0", "4B⁰"), =HYPERLINK("CSG0.html#group1A0", "1A⁰"), =HYPERLINK("CSG2.html#group24B2", "24B²"), =HYPERLINK("CSG0.html#group12G0", "12G⁰"), =HYPERLINK("CSG0.html#group6D0", "6D⁰"), =HYPERLINK("CSG2.html#group24D2", "24D²"), =HYPERLINK("CSG5.html#group24R5", "24R⁵"), =HYPERLINK("CSG0.html#group3C0", "3C⁰"), =HYPERLINK("CSG0.html#group6K0", "6K⁰"), =HYPERLINK("CSG1.html#group12B1", "12B¹"), =HYPERLINK("CSG3.html#group48I3", "48I³"), =HYPERLINK("CSG3.html#group24K3", "24K³"), =HYPERLINK("CSG0.html#group12D0", "12D⁰"), =HYPERLINK("CSG0.html#group3A0", "3A⁰"), =HYPERLINK("CSG3.html#group24L3", "24L³"), =HYPERLINK("CSG0.html#group3D0", "3D⁰"), =HYPERLINK("CSG0.html#group12E0", "12E⁰")</f>
        <v/>
      </c>
      <c r="N3351" t="inlineStr"/>
    </row>
    <row r="3352">
      <c r="A3352" t="inlineStr">
        <is>
          <t>48W¹³</t>
        </is>
      </c>
      <c r="B3352" t="inlineStr"/>
      <c r="C3352" t="inlineStr">
        <is>
          <t>288</t>
        </is>
      </c>
      <c r="D3352" t="inlineStr">
        <is>
          <t>1</t>
        </is>
      </c>
      <c r="E3352" t="inlineStr">
        <is>
          <t>6</t>
        </is>
      </c>
      <c r="F3352" t="inlineStr">
        <is>
          <t>0</t>
        </is>
      </c>
      <c r="G3352" t="inlineStr">
        <is>
          <t>0</t>
        </is>
      </c>
      <c r="H3352" t="inlineStr">
        <is>
          <t>3¹⁶, 12⁴, 48⁴</t>
        </is>
      </c>
      <c r="I3352" t="n">
        <v>24</v>
      </c>
      <c r="J3352" t="inlineStr">
        <is>
          <t>1⁴, 2¹</t>
        </is>
      </c>
      <c r="K3352">
        <f>HYPERLINK("CSG3.html#group48J3", "48J³"), =HYPERLINK("CSG5.html#group24R5", "24R⁵"), =HYPERLINK("CSG7.html#group48Q7", "48Q⁷"), =HYPERLINK("CSG7.html#group48R7", "48R⁷")</f>
        <v/>
      </c>
      <c r="L3352" t="inlineStr"/>
      <c r="M3352">
        <f>HYPERLINK("CSG0.html#group3B0", "3B⁰"), =HYPERLINK("CSG1.html#group12K1", "12K¹"), =HYPERLINK("CSG1.html#group24G1", "24G¹"), =HYPERLINK("CSG4.html#group48F4", "48F⁴"), =HYPERLINK("CSG0.html#group6G0", "6G⁰"), =HYPERLINK("CSG1.html#group12S1", "12S¹"), =HYPERLINK("CSG0.html#group2B0", "2B⁰"), =HYPERLINK("CSG0.html#group8C0", "8C⁰"), =HYPERLINK("CSG0.html#group4B0", "4B⁰"), =HYPERLINK("CSG0.html#group1A0", "1A⁰"), =HYPERLINK("CSG4.html#group48B4", "48B⁴"), =HYPERLINK("CSG7.html#group48Q7", "48Q⁷"), =HYPERLINK("CSG2.html#group24B2", "24B²"), =HYPERLINK("CSG0.html#group12G0", "12G⁰"), =HYPERLINK("CSG7.html#group48R7", "48R⁷"), =HYPERLINK("CSG3.html#group48J3", "48J³"), =HYPERLINK("CSG0.html#group16C0", "16C⁰"), =HYPERLINK("CSG0.html#group6D0", "6D⁰"), =HYPERLINK("CSG2.html#group24D2", "24D²"), =HYPERLINK("CSG5.html#group24R5", "24R⁵"), =HYPERLINK("CSG0.html#group3C0", "3C⁰"), =HYPERLINK("CSG0.html#group6K0", "6K⁰"), =HYPERLINK("CSG1.html#group12B1", "12B¹"), =HYPERLINK("CSG3.html#group24K3", "24K³"), =HYPERLINK("CSG0.html#group12D0", "12D⁰"), =HYPERLINK("CSG0.html#group6F0", "6F⁰"), =HYPERLINK("CSG0.html#group3A0", "3A⁰"), =HYPERLINK("CSG3.html#group24L3", "24L³"), =HYPERLINK("CSG0.html#group3D0", "3D⁰"), =HYPERLINK("CSG0.html#group12E0", "12E⁰")</f>
        <v/>
      </c>
      <c r="N3352" t="inlineStr"/>
    </row>
    <row r="3353">
      <c r="A3353" t="inlineStr">
        <is>
          <t>48X¹³</t>
        </is>
      </c>
      <c r="B3353" t="inlineStr"/>
      <c r="C3353" t="inlineStr">
        <is>
          <t>288</t>
        </is>
      </c>
      <c r="D3353" t="inlineStr">
        <is>
          <t>1</t>
        </is>
      </c>
      <c r="E3353" t="inlineStr">
        <is>
          <t>9</t>
        </is>
      </c>
      <c r="F3353" t="inlineStr">
        <is>
          <t>32</t>
        </is>
      </c>
      <c r="G3353" t="inlineStr">
        <is>
          <t>0</t>
        </is>
      </c>
      <c r="H3353" t="inlineStr">
        <is>
          <t>24⁴, 48⁴</t>
        </is>
      </c>
      <c r="I3353" t="n">
        <v>8</v>
      </c>
      <c r="J3353" t="inlineStr">
        <is>
          <t>1³, 2³</t>
        </is>
      </c>
      <c r="K3353">
        <f>HYPERLINK("CSG3.html#group48M3", "48M³"), =HYPERLINK("CSG5.html#group24S5", "24S⁵"), =HYPERLINK("CSG7.html#group48M7", "48M⁷"), =HYPERLINK("CSG7.html#group48N7", "48N⁷"), =HYPERLINK("CSG7.html#group48AH7", "48AH⁷")</f>
        <v/>
      </c>
      <c r="L3353" t="inlineStr"/>
      <c r="M3353">
        <f>HYPERLINK("CSG1.html#group12T1", "12T¹"), =HYPERLINK("CSG0.html#group12C0", "12C⁰"), =HYPERLINK("CSG0.html#group4C0", "4C⁰"), =HYPERLINK("CSG3.html#group24I3", "24I³"), =HYPERLINK("CSG0.html#group6G0", "6G⁰"), =HYPERLINK("CSG0.html#group2B0", "2B⁰"), =HYPERLINK("CSG2.html#group24C2", "24C²"), =HYPERLINK("CSG1.html#group12N1", "12N¹"), =HYPERLINK("CSG0.html#group1A0", "1A⁰"), =HYPERLINK("CSG0.html#group16B0", "16B⁰"), =HYPERLINK("CSG7.html#group48M7", "48M⁷"), =HYPERLINK("CSG3.html#group24H3", "24H³"), =HYPERLINK("CSG0.html#group24A0", "24A⁰"), =HYPERLINK("CSG3.html#group24S3", "24S³"), =HYPERLINK("CSG5.html#group24S5", "24S⁵"), =HYPERLINK("CSG0.html#group3C0", "3C⁰"), =HYPERLINK("CSG0.html#group6H0", "6H⁰"), =HYPERLINK("CSG0.html#group3A0", "3A⁰"), =HYPERLINK("CSG1.html#group24H1", "24H¹"), =HYPERLINK("CSG7.html#group48AH7", "48AH⁷"), =HYPERLINK("CSG0.html#group6B0", "6B⁰"), =HYPERLINK("CSG1.html#group24D1", "24D¹"), =HYPERLINK("CSG0.html#group8B0", "8B⁰"), =HYPERLINK("CSG0.html#group48A0", "48A⁰"), =HYPERLINK("CSG1.html#group12L1", "12L¹"), =HYPERLINK("CSG4.html#group48C4", "48C⁴"), =HYPERLINK("CSG0.html#group12G0", "12G⁰"), =HYPERLINK("CSG1.html#group12C1", "12C¹"), =HYPERLINK("CSG3.html#group48M3", "48M³"), =HYPERLINK("CSG0.html#group6E0", "6E⁰"), =HYPERLINK("CSG7.html#group48N7", "48N⁷"), =HYPERLINK("CSG0.html#group6L0", "6L⁰"), =HYPERLINK("CSG2.html#group48A2", "48A²"), =HYPERLINK("CSG0.html#group12D0", "12D⁰"), =HYPERLINK("CSG0.html#group12H0", "12H⁰"), =HYPERLINK("CSG0.html#group6D0", "6D⁰")</f>
        <v/>
      </c>
      <c r="N3353" t="inlineStr"/>
    </row>
    <row r="3354">
      <c r="A3354" t="inlineStr">
        <is>
          <t>48Y¹³</t>
        </is>
      </c>
      <c r="B3354" t="inlineStr"/>
      <c r="C3354" t="inlineStr">
        <is>
          <t>288</t>
        </is>
      </c>
      <c r="D3354" t="inlineStr">
        <is>
          <t>1</t>
        </is>
      </c>
      <c r="E3354" t="inlineStr">
        <is>
          <t>12</t>
        </is>
      </c>
      <c r="F3354" t="inlineStr">
        <is>
          <t>0</t>
        </is>
      </c>
      <c r="G3354" t="inlineStr">
        <is>
          <t>0</t>
        </is>
      </c>
      <c r="H3354" t="inlineStr">
        <is>
          <t>3⁸, 6¹², 48⁴</t>
        </is>
      </c>
      <c r="I3354" t="n">
        <v>24</v>
      </c>
      <c r="J3354" t="inlineStr">
        <is>
          <t>1⁴, 2², 4¹</t>
        </is>
      </c>
      <c r="K3354">
        <f>HYPERLINK("CSG3.html#group48K3", "48K³"), =HYPERLINK("CSG5.html#group24R5", "24R⁵")</f>
        <v/>
      </c>
      <c r="L3354" t="inlineStr"/>
      <c r="M3354">
        <f>HYPERLINK("CSG0.html#group3B0", "3B⁰"), =HYPERLINK("CSG1.html#group12K1", "12K¹"), =HYPERLINK("CSG3.html#group48K3", "48K³"), =HYPERLINK("CSG1.html#group24G1", "24G¹"), =HYPERLINK("CSG0.html#group6G0", "6G⁰"), =HYPERLINK("CSG1.html#group12S1", "12S¹"), =HYPERLINK("CSG0.html#group2B0", "2B⁰"), =HYPERLINK("CSG0.html#group8C0", "8C⁰"), =HYPERLINK("CSG0.html#group4B0", "4B⁰"), =HYPERLINK("CSG0.html#group1A0", "1A⁰"), =HYPERLINK("CSG2.html#group24B2", "24B²"), =HYPERLINK("CSG0.html#group12G0", "12G⁰"), =HYPERLINK("CSG0.html#group6D0", "6D⁰"), =HYPERLINK("CSG2.html#group24D2", "24D²"), =HYPERLINK("CSG5.html#group24R5", "24R⁵"), =HYPERLINK("CSG0.html#group3C0", "3C⁰"), =HYPERLINK("CSG0.html#group6K0", "6K⁰"), =HYPERLINK("CSG1.html#group12B1", "12B¹"), =HYPERLINK("CSG3.html#group24K3", "24K³"), =HYPERLINK("CSG0.html#group12D0", "12D⁰"), =HYPERLINK("CSG0.html#group6F0", "6F⁰"), =HYPERLINK("CSG0.html#group3A0", "3A⁰"), =HYPERLINK("CSG3.html#group24L3", "24L³"), =HYPERLINK("CSG0.html#group3D0", "3D⁰"), =HYPERLINK("CSG0.html#group12E0", "12E⁰")</f>
        <v/>
      </c>
      <c r="N3354" t="inlineStr"/>
    </row>
    <row r="3355">
      <c r="A3355" t="inlineStr">
        <is>
          <t>48Z¹³</t>
        </is>
      </c>
      <c r="B3355" t="inlineStr"/>
      <c r="C3355" t="inlineStr">
        <is>
          <t>288</t>
        </is>
      </c>
      <c r="D3355" t="inlineStr">
        <is>
          <t>1</t>
        </is>
      </c>
      <c r="E3355" t="inlineStr">
        <is>
          <t>12</t>
        </is>
      </c>
      <c r="F3355" t="inlineStr">
        <is>
          <t>0</t>
        </is>
      </c>
      <c r="G3355" t="inlineStr">
        <is>
          <t>0</t>
        </is>
      </c>
      <c r="H3355" t="inlineStr">
        <is>
          <t>3⁸, 6¹², 48⁴</t>
        </is>
      </c>
      <c r="I3355" t="n">
        <v>24</v>
      </c>
      <c r="J3355" t="inlineStr">
        <is>
          <t>1⁴, 2², 4¹</t>
        </is>
      </c>
      <c r="K3355">
        <f>HYPERLINK("CSG3.html#group48L3", "48L³"), =HYPERLINK("CSG5.html#group24R5", "24R⁵"), =HYPERLINK("CSG7.html#group48X7", "48X⁷"), =HYPERLINK("CSG7.html#group48Y7", "48Y⁷")</f>
        <v/>
      </c>
      <c r="L3355" t="inlineStr"/>
      <c r="M3355">
        <f>HYPERLINK("CSG0.html#group3B0", "3B⁰"), =HYPERLINK("CSG1.html#group12K1", "12K¹"), =HYPERLINK("CSG1.html#group24G1", "24G¹"), =HYPERLINK("CSG0.html#group6G0", "6G⁰"), =HYPERLINK("CSG1.html#group12S1", "12S¹"), =HYPERLINK("CSG0.html#group2B0", "2B⁰"), =HYPERLINK("CSG0.html#group8C0", "8C⁰"), =HYPERLINK("CSG0.html#group6F0", "6F⁰"), =HYPERLINK("CSG0.html#group4B0", "4B⁰"), =HYPERLINK("CSG0.html#group1A0", "1A⁰"), =HYPERLINK("CSG4.html#group48G4", "48G⁴"), =HYPERLINK("CSG7.html#group48Y7", "48Y⁷"), =HYPERLINK("CSG2.html#group24B2", "24B²"), =HYPERLINK("CSG0.html#group12G0", "12G⁰"), =HYPERLINK("CSG0.html#group6D0", "6D⁰"), =HYPERLINK("CSG0.html#group16D0", "16D⁰"), =HYPERLINK("CSG2.html#group24D2", "24D²"), =HYPERLINK("CSG5.html#group24R5", "24R⁵"), =HYPERLINK("CSG0.html#group12E0", "12E⁰"), =HYPERLINK("CSG0.html#group3C0", "3C⁰"), =HYPERLINK("CSG0.html#group6K0", "6K⁰"), =HYPERLINK("CSG1.html#group12B1", "12B¹"), =HYPERLINK("CSG3.html#group24K3", "24K³"), =HYPERLINK("CSG0.html#group12D0", "12D⁰"), =HYPERLINK("CSG0.html#group3A0", "3A⁰"), =HYPERLINK("CSG3.html#group24L3", "24L³"), =HYPERLINK("CSG0.html#group3D0", "3D⁰"), =HYPERLINK("CSG7.html#group48X7", "48X⁷"), =HYPERLINK("CSG4.html#group48D4", "48D⁴"), =HYPERLINK("CSG3.html#group48L3", "48L³")</f>
        <v/>
      </c>
      <c r="N3355" t="inlineStr"/>
    </row>
    <row r="3356">
      <c r="A3356" t="inlineStr">
        <is>
          <t>48AA¹³</t>
        </is>
      </c>
      <c r="B3356" t="inlineStr"/>
      <c r="C3356" t="inlineStr">
        <is>
          <t>288</t>
        </is>
      </c>
      <c r="D3356" t="inlineStr">
        <is>
          <t>1</t>
        </is>
      </c>
      <c r="E3356" t="inlineStr">
        <is>
          <t>18</t>
        </is>
      </c>
      <c r="F3356" t="inlineStr">
        <is>
          <t>32</t>
        </is>
      </c>
      <c r="G3356" t="inlineStr">
        <is>
          <t>0</t>
        </is>
      </c>
      <c r="H3356" t="inlineStr">
        <is>
          <t>24⁴, 48⁴</t>
        </is>
      </c>
      <c r="I3356" t="n">
        <v>8</v>
      </c>
      <c r="J3356" t="inlineStr">
        <is>
          <t>2⁵, 4²</t>
        </is>
      </c>
      <c r="K3356">
        <f>HYPERLINK("CSG3.html#group48M3", "48M³"), =HYPERLINK("CSG5.html#group24V5", "24V⁵"), =HYPERLINK("CSG5.html#group48G5", "48G⁵"), =HYPERLINK("CSG7.html#group48S7", "48S⁷"), =HYPERLINK("CSG7.html#group48AI7", "48AI⁷")</f>
        <v/>
      </c>
      <c r="L3356" t="inlineStr"/>
      <c r="M3356">
        <f>HYPERLINK("CSG7.html#group48AI7", "48AI⁷"), =HYPERLINK("CSG1.html#group24E1", "24E¹"), =HYPERLINK("CSG0.html#group6B0", "6B⁰"), =HYPERLINK("CSG0.html#group12C0", "12C⁰"), =HYPERLINK("CSG2.html#group24N2", "24N²"), =HYPERLINK("CSG0.html#group6H0", "6H⁰"), =HYPERLINK("CSG0.html#group4C0", "4C⁰"), =HYPERLINK("CSG1.html#group24D1", "24D¹"), =HYPERLINK("CSG0.html#group8B0", "8B⁰"), =HYPERLINK("CSG2.html#group24P2", "24P²"), =HYPERLINK("CSG0.html#group48A0", "48A⁰"), =HYPERLINK("CSG1.html#group12M1", "12M¹"), =HYPERLINK("CSG0.html#group2B0", "2B⁰"), =HYPERLINK("CSG0.html#group12H0", "12H⁰"), =HYPERLINK("CSG5.html#group48G5", "48G⁵"), =HYPERLINK("CSG0.html#group1A0", "1A⁰"), =HYPERLINK("CSG7.html#group48S7", "48S⁷"), =HYPERLINK("CSG0.html#group16B0", "16B⁰"), =HYPERLINK("CSG2.html#group12H2", "12H²"), =HYPERLINK("CSG5.html#group24V5", "24V⁵"), =HYPERLINK("CSG3.html#group48M3", "48M³"), =HYPERLINK("CSG0.html#group24A0", "24A⁰"), =HYPERLINK("CSG3.html#group24T3", "24T³"), =HYPERLINK("CSG2.html#group48A2", "48A²"), =HYPERLINK("CSG0.html#group12D0", "12D⁰"), =HYPERLINK("CSG3.html#group48F3", "48F³"), =HYPERLINK("CSG0.html#group3A0", "3A⁰"), =HYPERLINK("CSG1.html#group24H1", "24H¹"), =HYPERLINK("CSG0.html#group6D0", "6D⁰")</f>
        <v/>
      </c>
      <c r="N3356" t="inlineStr"/>
    </row>
    <row r="3357">
      <c r="A3357" t="inlineStr">
        <is>
          <t>48AB¹³</t>
        </is>
      </c>
      <c r="B3357" t="inlineStr"/>
      <c r="C3357" t="inlineStr">
        <is>
          <t>288</t>
        </is>
      </c>
      <c r="D3357" t="inlineStr">
        <is>
          <t>1</t>
        </is>
      </c>
      <c r="E3357" t="inlineStr">
        <is>
          <t>18</t>
        </is>
      </c>
      <c r="F3357" t="inlineStr">
        <is>
          <t>32</t>
        </is>
      </c>
      <c r="G3357" t="inlineStr">
        <is>
          <t>0</t>
        </is>
      </c>
      <c r="H3357" t="inlineStr">
        <is>
          <t>24⁴, 48⁴</t>
        </is>
      </c>
      <c r="I3357" t="n">
        <v>8</v>
      </c>
      <c r="J3357" t="inlineStr">
        <is>
          <t>1², 2⁴, 4²</t>
        </is>
      </c>
      <c r="K3357">
        <f>HYPERLINK("CSG3.html#group48M3", "48M³"), =HYPERLINK("CSG5.html#group24W5", "24W⁵"), =HYPERLINK("CSG5.html#group48E5", "48E⁵"), =HYPERLINK("CSG5.html#group48G5", "48G⁵"), =HYPERLINK("CSG7.html#group48T7", "48T⁷"), =HYPERLINK("CSG7.html#group48U7", "48U⁷"), =HYPERLINK("CSG7.html#group48V7", "48V⁷")</f>
        <v/>
      </c>
      <c r="L3357" t="inlineStr"/>
      <c r="M3357">
        <f>HYPERLINK("CSG2.html#group12I2", "12I²"), =HYPERLINK("CSG1.html#group24E1", "24E¹"), =HYPERLINK("CSG2.html#group24O2", "24O²"), =HYPERLINK("CSG3.html#group24Q3", "24Q³"), =HYPERLINK("CSG0.html#group12C0", "12C⁰"), =HYPERLINK("CSG0.html#group4C0", "4C⁰"), =HYPERLINK("CSG2.html#group24P2", "24P²"), =HYPERLINK("CSG0.html#group2B0", "2B⁰"), =HYPERLINK("CSG1.html#group12M1", "12M¹"), =HYPERLINK("CSG3.html#group24P3", "24P³"), =HYPERLINK("CSG0.html#group1A0", "1A⁰"), =HYPERLINK("CSG5.html#group24W5", "24W⁵"), =HYPERLINK("CSG7.html#group48T7", "48T⁷"), =HYPERLINK("CSG0.html#group16B0", "16B⁰"), =HYPERLINK("CSG0.html#group24A0", "24A⁰"), =HYPERLINK("CSG0.html#group6H0", "6H⁰"), =HYPERLINK("CSG0.html#group3A0", "3A⁰"), =HYPERLINK("CSG1.html#group24H1", "24H¹"), =HYPERLINK("CSG1.html#group16F1", "16F¹"), =HYPERLINK("CSG5.html#group48E5", "48E⁵"), =HYPERLINK("CSG0.html#group6B0", "6B⁰"), =HYPERLINK("CSG0.html#group8D0", "8D⁰"), =HYPERLINK("CSG1.html#group24D1", "24D¹"), =HYPERLINK("CSG0.html#group8B0", "8B⁰"), =HYPERLINK("CSG0.html#group12F0", "12F⁰"), =HYPERLINK("CSG1.html#group16B1", "16B¹"), =HYPERLINK("CSG0.html#group48A0", "48A⁰"), =HYPERLINK("CSG7.html#group48U7", "48U⁷"), =HYPERLINK("CSG2.html#group24L2", "24L²"), =HYPERLINK("CSG5.html#group48G5", "48G⁵"), =HYPERLINK("CSG0.html#group8H0", "8H⁰"), =HYPERLINK("CSG3.html#group48C3", "48C³"), =HYPERLINK("CSG7.html#group48V7", "48V⁷"), =HYPERLINK("CSG0.html#group12A0", "12A⁰"), =HYPERLINK("CSG3.html#group48M3", "48M³"), =HYPERLINK("CSG0.html#group4A0", "4A⁰"), =HYPERLINK("CSG1.html#group24C1", "24C¹"), =HYPERLINK("CSG2.html#group48A2", "48A²"), =HYPERLINK("CSG1.html#group12J1", "12J¹"), =HYPERLINK("CSG0.html#group12D0", "12D⁰"), =HYPERLINK("CSG0.html#group4F0", "4F⁰"), =HYPERLINK("CSG3.html#group48F3", "48F³"), =HYPERLINK("CSG0.html#group12H0", "12H⁰"), =HYPERLINK("CSG0.html#group6D0", "6D⁰")</f>
        <v/>
      </c>
      <c r="N3357" t="inlineStr"/>
    </row>
    <row r="3358">
      <c r="A3358" t="inlineStr">
        <is>
          <t>48AC¹³</t>
        </is>
      </c>
      <c r="B3358" t="inlineStr"/>
      <c r="C3358" t="inlineStr">
        <is>
          <t>288</t>
        </is>
      </c>
      <c r="D3358" t="inlineStr">
        <is>
          <t>1</t>
        </is>
      </c>
      <c r="E3358" t="inlineStr">
        <is>
          <t>36</t>
        </is>
      </c>
      <c r="F3358" t="inlineStr">
        <is>
          <t>8</t>
        </is>
      </c>
      <c r="G3358" t="inlineStr">
        <is>
          <t>0</t>
        </is>
      </c>
      <c r="H3358" t="inlineStr">
        <is>
          <t>6¹⁶, 48⁴</t>
        </is>
      </c>
      <c r="I3358" t="n">
        <v>20</v>
      </c>
      <c r="J3358" t="inlineStr">
        <is>
          <t>2⁴, 4³, 8²</t>
        </is>
      </c>
      <c r="K3358">
        <f>HYPERLINK("CSG5.html#group24U5", "24U⁵"), =HYPERLINK("CSG6.html#group48K6", "48K⁶")</f>
        <v/>
      </c>
      <c r="L3358" t="inlineStr"/>
      <c r="M3358">
        <f>HYPERLINK("CSG1.html#group12T1", "12T¹"), =HYPERLINK("CSG2.html#group24O2", "24O²"), =HYPERLINK("CSG1.html#group24E1", "24E¹"), =HYPERLINK("CSG0.html#group12C0", "12C⁰"), =HYPERLINK("CSG0.html#group4C0", "4C⁰"), =HYPERLINK("CSG0.html#group6G0", "6G⁰"), =HYPERLINK("CSG0.html#group2B0", "2B⁰"), =HYPERLINK("CSG1.html#group12N1", "12N¹"), =HYPERLINK("CSG6.html#group48K6", "48K⁶"), =HYPERLINK("CSG0.html#group1A0", "1A⁰"), =HYPERLINK("CSG3.html#group24O3", "24O³"), =HYPERLINK("CSG3.html#group24N3", "24N³"), =HYPERLINK("CSG5.html#group24U5", "24U⁵"), =HYPERLINK("CSG0.html#group3C0", "3C⁰"), =HYPERLINK("CSG0.html#group6H0", "6H⁰"), =HYPERLINK("CSG0.html#group3A0", "3A⁰"), =HYPERLINK("CSG0.html#group6B0", "6B⁰"), =HYPERLINK("CSG2.html#group24N2", "24N²"), =HYPERLINK("CSG0.html#group8D0", "8D⁰"), =HYPERLINK("CSG1.html#group12L1", "12L¹"), =HYPERLINK("CSG0.html#group12G0", "12G⁰"), =HYPERLINK("CSG1.html#group12C1", "12C¹"), =HYPERLINK("CSG0.html#group6E0", "6E⁰"), =HYPERLINK("CSG0.html#group6L0", "6L⁰"), =HYPERLINK("CSG1.html#group24C1", "24C¹"), =HYPERLINK("CSG0.html#group12D0", "12D⁰"), =HYPERLINK("CSG0.html#group12H0", "12H⁰"), =HYPERLINK("CSG0.html#group6D0", "6D⁰")</f>
        <v/>
      </c>
      <c r="N3358" t="inlineStr"/>
    </row>
    <row r="3359">
      <c r="A3359" t="inlineStr">
        <is>
          <t>48AD¹³</t>
        </is>
      </c>
      <c r="B3359" t="inlineStr"/>
      <c r="C3359" t="inlineStr">
        <is>
          <t>288</t>
        </is>
      </c>
      <c r="D3359" t="inlineStr">
        <is>
          <t>1</t>
        </is>
      </c>
      <c r="E3359" t="inlineStr">
        <is>
          <t>36</t>
        </is>
      </c>
      <c r="F3359" t="inlineStr">
        <is>
          <t>8</t>
        </is>
      </c>
      <c r="G3359" t="inlineStr">
        <is>
          <t>0</t>
        </is>
      </c>
      <c r="H3359" t="inlineStr">
        <is>
          <t>6¹⁶, 48⁴</t>
        </is>
      </c>
      <c r="I3359" t="n">
        <v>20</v>
      </c>
      <c r="J3359" t="inlineStr">
        <is>
          <t>1², 2³, 4³, 8²</t>
        </is>
      </c>
      <c r="K3359">
        <f>HYPERLINK("CSG5.html#group24U5", "24U⁵"), =HYPERLINK("CSG6.html#group48I6", "48I⁶"), =HYPERLINK("CSG6.html#group48J6", "48J⁶"), =HYPERLINK("CSG7.html#group48Z7", "48Z⁷"), =HYPERLINK("CSG7.html#group48AA7", "48AA⁷")</f>
        <v/>
      </c>
      <c r="L3359" t="inlineStr"/>
      <c r="M3359">
        <f>HYPERLINK("CSG1.html#group12T1", "12T¹"), =HYPERLINK("CSG2.html#group24O2", "24O²"), =HYPERLINK("CSG1.html#group24E1", "24E¹"), =HYPERLINK("CSG0.html#group12C0", "12C⁰"), =HYPERLINK("CSG3.html#group48G3", "48G³"), =HYPERLINK("CSG0.html#group4C0", "4C⁰"), =HYPERLINK("CSG0.html#group6G0", "6G⁰"), =HYPERLINK("CSG0.html#group2B0", "2B⁰"), =HYPERLINK("CSG1.html#group12N1", "12N¹"), =HYPERLINK("CSG0.html#group1A0", "1A⁰"), =HYPERLINK("CSG3.html#group24O3", "24O³"), =HYPERLINK("CSG0.html#group16E0", "16E⁰"), =HYPERLINK("CSG7.html#group48AA7", "48AA⁷"), =HYPERLINK("CSG3.html#group24N3", "24N³"), =HYPERLINK("CSG5.html#group24U5", "24U⁵"), =HYPERLINK("CSG0.html#group3C0", "3C⁰"), =HYPERLINK("CSG3.html#group48D3", "48D³"), =HYPERLINK("CSG0.html#group6H0", "6H⁰"), =HYPERLINK("CSG0.html#group3A0", "3A⁰"), =HYPERLINK("CSG0.html#group6B0", "6B⁰"), =HYPERLINK("CSG6.html#group48I6", "48I⁶"), =HYPERLINK("CSG0.html#group8D0", "8D⁰"), =HYPERLINK("CSG2.html#group24N2", "24N²"), =HYPERLINK("CSG7.html#group48Z7", "48Z⁷"), =HYPERLINK("CSG1.html#group12L1", "12L¹"), =HYPERLINK("CSG0.html#group12G0", "12G⁰"), =HYPERLINK("CSG1.html#group12C1", "12C¹"), =HYPERLINK("CSG0.html#group6E0", "6E⁰"), =HYPERLINK("CSG0.html#group6L0", "6L⁰"), =HYPERLINK("CSG6.html#group48J6", "48J⁶"), =HYPERLINK("CSG1.html#group24C1", "24C¹"), =HYPERLINK("CSG0.html#group12D0", "12D⁰"), =HYPERLINK("CSG0.html#group12H0", "12H⁰"), =HYPERLINK("CSG0.html#group6D0", "6D⁰")</f>
        <v/>
      </c>
      <c r="N3359" t="inlineStr"/>
    </row>
    <row r="3360">
      <c r="A3360" t="inlineStr">
        <is>
          <t>48AE¹³</t>
        </is>
      </c>
      <c r="B3360" t="inlineStr"/>
      <c r="C3360" t="inlineStr">
        <is>
          <t>288</t>
        </is>
      </c>
      <c r="D3360" t="inlineStr">
        <is>
          <t>1</t>
        </is>
      </c>
      <c r="E3360" t="inlineStr">
        <is>
          <t>36</t>
        </is>
      </c>
      <c r="F3360" t="inlineStr">
        <is>
          <t>32</t>
        </is>
      </c>
      <c r="G3360" t="inlineStr">
        <is>
          <t>0</t>
        </is>
      </c>
      <c r="H3360" t="inlineStr">
        <is>
          <t>24⁴, 48⁴</t>
        </is>
      </c>
      <c r="I3360" t="n">
        <v>8</v>
      </c>
      <c r="J3360" t="inlineStr">
        <is>
          <t>2⁸, 4³, 8¹</t>
        </is>
      </c>
      <c r="K3360">
        <f>HYPERLINK("CSG3.html#group48M3", "48M³"), =HYPERLINK("CSG5.html#group24X5", "24X⁵"), =HYPERLINK("CSG5.html#group48H5", "48H⁵"), =HYPERLINK("CSG7.html#group48AD7", "48AD⁷"), =HYPERLINK("CSG7.html#group48AJ7", "48AJ⁷")</f>
        <v/>
      </c>
      <c r="L3360" t="inlineStr"/>
      <c r="M3360">
        <f>HYPERLINK("CSG5.html#group24X5", "24X⁵"), =HYPERLINK("CSG0.html#group6B0", "6B⁰"), =HYPERLINK("CSG0.html#group12C0", "12C⁰"), =HYPERLINK("CSG0.html#group3A0", "3A⁰"), =HYPERLINK("CSG0.html#group4C0", "4C⁰"), =HYPERLINK("CSG1.html#group24D1", "24D¹"), =HYPERLINK("CSG0.html#group8B0", "8B⁰"), =HYPERLINK("CSG2.html#group24Q2", "24Q²"), =HYPERLINK("CSG7.html#group48AJ7", "48AJ⁷"), =HYPERLINK("CSG5.html#group48H5", "48H⁵"), =HYPERLINK("CSG0.html#group2B0", "2B⁰"), =HYPERLINK("CSG0.html#group48A0", "48A⁰"), =HYPERLINK("CSG0.html#group1A0", "1A⁰"), =HYPERLINK("CSG3.html#group48H3", "48H³"), =HYPERLINK("CSG7.html#group48AD7", "48AD⁷"), =HYPERLINK("CSG0.html#group16B0", "16B⁰"), =HYPERLINK("CSG3.html#group48M3", "48M³"), =HYPERLINK("CSG0.html#group24A0", "24A⁰"), =HYPERLINK("CSG2.html#group48A2", "48A²"), =HYPERLINK("CSG0.html#group12D0", "12D⁰"), =HYPERLINK("CSG0.html#group6H0", "6H⁰"), =HYPERLINK("CSG0.html#group12H0", "12H⁰"), =HYPERLINK("CSG1.html#group24H1", "24H¹"), =HYPERLINK("CSG0.html#group6D0", "6D⁰")</f>
        <v/>
      </c>
      <c r="N3360" t="inlineStr"/>
    </row>
    <row r="3361">
      <c r="A3361" t="inlineStr">
        <is>
          <t>48AF¹³</t>
        </is>
      </c>
      <c r="B3361" t="inlineStr"/>
      <c r="C3361" t="inlineStr">
        <is>
          <t>288</t>
        </is>
      </c>
      <c r="D3361" t="inlineStr">
        <is>
          <t>1</t>
        </is>
      </c>
      <c r="E3361" t="inlineStr">
        <is>
          <t>36</t>
        </is>
      </c>
      <c r="F3361" t="inlineStr">
        <is>
          <t>32</t>
        </is>
      </c>
      <c r="G3361" t="inlineStr">
        <is>
          <t>0</t>
        </is>
      </c>
      <c r="H3361" t="inlineStr">
        <is>
          <t>24⁴, 48⁴</t>
        </is>
      </c>
      <c r="I3361" t="n">
        <v>8</v>
      </c>
      <c r="J3361" t="inlineStr">
        <is>
          <t>1⁴, 2⁶, 4³, 8¹</t>
        </is>
      </c>
      <c r="K3361">
        <f>HYPERLINK("CSG3.html#group48M3", "48M³"), =HYPERLINK("CSG5.html#group24Y5", "24Y⁵"), =HYPERLINK("CSG5.html#group48F5", "48F⁵"), =HYPERLINK("CSG5.html#group48H5", "48H⁵"), =HYPERLINK("CSG7.html#group48AE7", "48AE⁷"), =HYPERLINK("CSG7.html#group48AF7", "48AF⁷"), =HYPERLINK("CSG7.html#group48AG7", "48AG⁷")</f>
        <v/>
      </c>
      <c r="L3361" t="inlineStr"/>
      <c r="M3361">
        <f>HYPERLINK("CSG5.html#group48F5", "48F⁵"), =HYPERLINK("CSG7.html#group48AG7", "48AG⁷"), =HYPERLINK("CSG0.html#group6B0", "6B⁰"), =HYPERLINK("CSG0.html#group12C0", "12C⁰"), =HYPERLINK("CSG0.html#group6H0", "6H⁰"), =HYPERLINK("CSG0.html#group4C0", "4C⁰"), =HYPERLINK("CSG1.html#group24D1", "24D¹"), =HYPERLINK("CSG0.html#group8B0", "8B⁰"), =HYPERLINK("CSG2.html#group24Q2", "24Q²"), =HYPERLINK("CSG5.html#group48H5", "48H⁵"), =HYPERLINK("CSG5.html#group24Y5", "24Y⁵"), =HYPERLINK("CSG0.html#group48A0", "48A⁰"), =HYPERLINK("CSG0.html#group8L0", "8L⁰"), =HYPERLINK("CSG0.html#group2B0", "2B⁰"), =HYPERLINK("CSG1.html#group16J1", "16J¹"), =HYPERLINK("CSG0.html#group12H0", "12H⁰"), =HYPERLINK("CSG0.html#group1A0", "1A⁰"), =HYPERLINK("CSG3.html#group48H3", "48H³"), =HYPERLINK("CSG0.html#group16B0", "16B⁰"), =HYPERLINK("CSG1.html#group16D1", "16D¹"), =HYPERLINK("CSG3.html#group48M3", "48M³"), =HYPERLINK("CSG3.html#group48E3", "48E³"), =HYPERLINK("CSG0.html#group24A0", "24A⁰"), =HYPERLINK("CSG2.html#group24M2", "24M²"), =HYPERLINK("CSG2.html#group48A2", "48A²"), =HYPERLINK("CSG0.html#group12D0", "12D⁰"), =HYPERLINK("CSG7.html#group48AE7", "48AE⁷"), =HYPERLINK("CSG0.html#group3A0", "3A⁰"), =HYPERLINK("CSG1.html#group24H1", "24H¹"), =HYPERLINK("CSG7.html#group48AF7", "48AF⁷"), =HYPERLINK("CSG0.html#group6D0", "6D⁰")</f>
        <v/>
      </c>
      <c r="N3361" t="inlineStr"/>
    </row>
    <row r="3362">
      <c r="A3362" t="inlineStr">
        <is>
          <t>48AG¹³</t>
        </is>
      </c>
      <c r="B3362" t="inlineStr"/>
      <c r="C3362" t="inlineStr">
        <is>
          <t>384</t>
        </is>
      </c>
      <c r="D3362" t="inlineStr">
        <is>
          <t>1</t>
        </is>
      </c>
      <c r="E3362" t="inlineStr">
        <is>
          <t>12</t>
        </is>
      </c>
      <c r="F3362" t="inlineStr">
        <is>
          <t>0</t>
        </is>
      </c>
      <c r="G3362" t="inlineStr">
        <is>
          <t>0</t>
        </is>
      </c>
      <c r="H3362" t="inlineStr">
        <is>
          <t>2¹⁶, 6¹⁶, 16⁴, 48⁴</t>
        </is>
      </c>
      <c r="I3362" t="n">
        <v>40</v>
      </c>
      <c r="J3362" t="inlineStr">
        <is>
          <t>1⁶, 2³</t>
        </is>
      </c>
      <c r="K3362">
        <f>HYPERLINK("CSG5.html#group24Z5", "24Z⁵"), =HYPERLINK("CSG5.html#group48J5", "48J⁵"), =HYPERLINK("CSG7.html#group48AK7", "48AK⁷"), =HYPERLINK("CSG7.html#group48AL7", "48AL⁷"), =HYPERLINK("CSG7.html#group48AQ7", "48AQ⁷")</f>
        <v/>
      </c>
      <c r="L3362" t="inlineStr"/>
      <c r="M3362">
        <f>HYPERLINK("CSG0.html#group2A0", "2A⁰"), =HYPERLINK("CSG0.html#group16G0", "16G⁰"), =HYPERLINK("CSG3.html#group24V3", "24V³"), =HYPERLINK("CSG1.html#group24G1", "24G¹"), =HYPERLINK("CSG0.html#group4C0", "4C⁰"), =HYPERLINK("CSG0.html#group12I0", "12I⁰"), =HYPERLINK("CSG0.html#group12J0", "12J⁰"), =HYPERLINK("CSG0.html#group2B0", "2B⁰"), =HYPERLINK("CSG0.html#group8C0", "8C⁰"), =HYPERLINK("CSG0.html#group4E0", "4E⁰"), =HYPERLINK("CSG0.html#group4B0", "4B⁰"), =HYPERLINK("CSG0.html#group1A0", "1A⁰"), =HYPERLINK("CSG5.html#group24Z5", "24Z⁵"), =HYPERLINK("CSG1.html#group24J1", "24J¹"), =HYPERLINK("CSG0.html#group16E0", "16E⁰"), =HYPERLINK("CSG7.html#group48AL7", "48AL⁷"), =HYPERLINK("CSG3.html#group24U3", "24U³"), =HYPERLINK("CSG7.html#group48AQ7", "48AQ⁷"), =HYPERLINK("CSG0.html#group8G0", "8G⁰"), =HYPERLINK("CSG0.html#group6F0", "6F⁰"), =HYPERLINK("CSG3.html#group48L3", "48L³"), =HYPERLINK("CSG0.html#group3B0", "3B⁰"), =HYPERLINK("CSG1.html#group12V1", "12V¹"), =HYPERLINK("CSG0.html#group8D0", "8D⁰"), =HYPERLINK("CSG0.html#group6I0", "6I⁰"), =HYPERLINK("CSG1.html#group12F1", "12F¹"), =HYPERLINK("CSG3.html#group48K3", "48K³"), =HYPERLINK("CSG0.html#group6C0", "6C⁰"), =HYPERLINK("CSG1.html#group12P1", "12P¹"), =HYPERLINK("CSG7.html#group48AK7", "48AK⁷"), =HYPERLINK("CSG2.html#group24I2", "24I²"), =HYPERLINK("CSG0.html#group24B0", "24B⁰"), =HYPERLINK("CSG4.html#group48J4", "48J⁴"), =HYPERLINK("CSG0.html#group16D0", "16D⁰"), =HYPERLINK("CSG3.html#group24W3", "24W³"), =HYPERLINK("CSG5.html#group48J5", "48J⁵"), =HYPERLINK("CSG2.html#group24F2", "24F²"), =HYPERLINK("CSG0.html#group2C0", "2C⁰"), =HYPERLINK("CSG0.html#group12E0", "12E⁰")</f>
        <v/>
      </c>
      <c r="N3362" t="inlineStr"/>
    </row>
    <row r="3363">
      <c r="A3363" t="inlineStr">
        <is>
          <t>48AH¹³</t>
        </is>
      </c>
      <c r="B3363" t="inlineStr"/>
      <c r="C3363" t="inlineStr">
        <is>
          <t>384</t>
        </is>
      </c>
      <c r="D3363" t="inlineStr">
        <is>
          <t>1</t>
        </is>
      </c>
      <c r="E3363" t="inlineStr">
        <is>
          <t>48</t>
        </is>
      </c>
      <c r="F3363" t="inlineStr">
        <is>
          <t>0</t>
        </is>
      </c>
      <c r="G3363" t="inlineStr">
        <is>
          <t>0</t>
        </is>
      </c>
      <c r="H3363" t="inlineStr">
        <is>
          <t>1⁸, 2⁴, 3⁸, 4⁴, 6⁴, 12⁴, 16⁴, 48⁴</t>
        </is>
      </c>
      <c r="I3363" t="n">
        <v>40</v>
      </c>
      <c r="J3363" t="inlineStr">
        <is>
          <t>1⁸, 2⁸, 4⁴, 8¹</t>
        </is>
      </c>
      <c r="K3363">
        <f>HYPERLINK("CSG5.html#group24AA5", "24AA⁵"), =HYPERLINK("CSG5.html#group48I5", "48I⁵"), =HYPERLINK("CSG5.html#group48J5", "48J⁵"), =HYPERLINK("CSG7.html#group48AO7", "48AO⁷"), =HYPERLINK("CSG7.html#group48AN7", "48AN⁷"), =HYPERLINK("CSG7.html#group48AM7", "48AM⁷"), =HYPERLINK("CSG7.html#group48AP7", "48AP⁷")</f>
        <v/>
      </c>
      <c r="L3363" t="inlineStr"/>
      <c r="M3363">
        <f>HYPERLINK("CSG0.html#group3B0", "3B⁰"), =HYPERLINK("CSG5.html#group48I5", "48I⁵"), =HYPERLINK("CSG5.html#group24AA5", "24AA⁵"), =HYPERLINK("CSG3.html#group48K3", "48K³"), =HYPERLINK("CSG1.html#group24G1", "24G¹"), =HYPERLINK("CSG0.html#group12J0", "12J⁰"), =HYPERLINK("CSG7.html#group48AO7", "48AO⁷"), =HYPERLINK("CSG0.html#group8C0", "8C⁰"), =HYPERLINK("CSG0.html#group2B0", "2B⁰"), =HYPERLINK("CSG0.html#group8I0", "8I⁰"), =HYPERLINK("CSG0.html#group4B0", "4B⁰"), =HYPERLINK("CSG0.html#group1A0", "1A⁰"), =HYPERLINK("CSG0.html#group16H0", "16H⁰"), =HYPERLINK("CSG1.html#group24J1", "24J¹"), =HYPERLINK("CSG3.html#group24X3", "24X³"), =HYPERLINK("CSG7.html#group48AN7", "48AN⁷"), =HYPERLINK("CSG0.html#group24B0", "24B⁰"), =HYPERLINK("CSG3.html#group48J3", "48J³"), =HYPERLINK("CSG0.html#group16C0", "16C⁰"), =HYPERLINK("CSG0.html#group16D0", "16D⁰"), =HYPERLINK("CSG7.html#group48AM7", "48AM⁷"), =HYPERLINK("CSG3.html#group48I3", "48I³"), =HYPERLINK("CSG3.html#group24Y3", "24Y³"), =HYPERLINK("CSG5.html#group48J5", "48J⁵"), =HYPERLINK("CSG0.html#group6F0", "6F⁰"), =HYPERLINK("CSG7.html#group48AP7", "48AP⁷"), =HYPERLINK("CSG0.html#group12E0", "12E⁰"), =HYPERLINK("CSG3.html#group48L3", "48L³")</f>
        <v/>
      </c>
      <c r="N3363" t="inlineStr"/>
    </row>
    <row r="3364">
      <c r="A3364" t="inlineStr">
        <is>
          <t>50A¹³</t>
        </is>
      </c>
      <c r="B3364" t="inlineStr"/>
      <c r="C3364" t="inlineStr">
        <is>
          <t>180</t>
        </is>
      </c>
      <c r="D3364" t="inlineStr">
        <is>
          <t>1</t>
        </is>
      </c>
      <c r="E3364" t="inlineStr">
        <is>
          <t>30</t>
        </is>
      </c>
      <c r="F3364" t="inlineStr">
        <is>
          <t>0</t>
        </is>
      </c>
      <c r="G3364" t="inlineStr">
        <is>
          <t>0</t>
        </is>
      </c>
      <c r="H3364" t="inlineStr">
        <is>
          <t>10³, 50³</t>
        </is>
      </c>
      <c r="I3364" t="n">
        <v>6</v>
      </c>
      <c r="J3364" t="inlineStr">
        <is>
          <t>2², 4⁴, 20²</t>
        </is>
      </c>
      <c r="K3364">
        <f>HYPERLINK("CSG1.html#group10G1", "10G¹"), =HYPERLINK("CSG5.html#group50A5", "50A⁵"), =HYPERLINK("CSG6.html#group50A6", "50A⁶")</f>
        <v/>
      </c>
      <c r="L3364" t="inlineStr"/>
      <c r="M3364">
        <f>HYPERLINK("CSG6.html#group50A6", "50A⁶"), =HYPERLINK("CSG0.html#group2A0", "2A⁰"), =HYPERLINK("CSG2.html#group25A2", "25A²"), =HYPERLINK("CSG5.html#group50A5", "50A⁵"), =HYPERLINK("CSG0.html#group5B0", "5B⁰"), =HYPERLINK("CSG0.html#group10C0", "10C⁰"), =HYPERLINK("CSG1.html#group10A1", "10A¹"), =HYPERLINK("CSG0.html#group2B0", "2B⁰"), =HYPERLINK("CSG0.html#group1A0", "1A⁰"), =HYPERLINK("CSG0.html#group2C0", "2C⁰"), =HYPERLINK("CSG1.html#group10G1", "10G¹")</f>
        <v/>
      </c>
      <c r="N3364" t="inlineStr"/>
    </row>
    <row r="3365">
      <c r="A3365" t="inlineStr">
        <is>
          <t>50B¹³</t>
        </is>
      </c>
      <c r="B3365" t="inlineStr"/>
      <c r="C3365" t="inlineStr">
        <is>
          <t>180</t>
        </is>
      </c>
      <c r="D3365" t="inlineStr">
        <is>
          <t>1</t>
        </is>
      </c>
      <c r="E3365" t="inlineStr">
        <is>
          <t>30</t>
        </is>
      </c>
      <c r="F3365" t="inlineStr">
        <is>
          <t>0</t>
        </is>
      </c>
      <c r="G3365" t="inlineStr">
        <is>
          <t>0</t>
        </is>
      </c>
      <c r="H3365" t="inlineStr">
        <is>
          <t>10³, 50³</t>
        </is>
      </c>
      <c r="I3365" t="n">
        <v>6</v>
      </c>
      <c r="J3365" t="inlineStr">
        <is>
          <t>2², 4⁴, 20²</t>
        </is>
      </c>
      <c r="K3365">
        <f>HYPERLINK("CSG1.html#group10G1", "10G¹"), =HYPERLINK("CSG5.html#group50B5", "50B⁵"), =HYPERLINK("CSG6.html#group50B6", "50B⁶")</f>
        <v/>
      </c>
      <c r="L3365" t="inlineStr"/>
      <c r="M3365">
        <f>HYPERLINK("CSG0.html#group2A0", "2A⁰"), =HYPERLINK("CSG5.html#group50B5", "50B⁵"), =HYPERLINK("CSG2.html#group25B2", "25B²"), =HYPERLINK("CSG0.html#group5B0", "5B⁰"), =HYPERLINK("CSG0.html#group10C0", "10C⁰"), =HYPERLINK("CSG1.html#group10A1", "10A¹"), =HYPERLINK("CSG0.html#group2B0", "2B⁰"), =HYPERLINK("CSG6.html#group50B6", "50B⁶"), =HYPERLINK("CSG0.html#group1A0", "1A⁰"), =HYPERLINK("CSG0.html#group2C0", "2C⁰"), =HYPERLINK("CSG1.html#group10G1", "10G¹")</f>
        <v/>
      </c>
      <c r="N3365" t="inlineStr"/>
    </row>
    <row r="3366">
      <c r="A3366" t="inlineStr">
        <is>
          <t>50C¹³</t>
        </is>
      </c>
      <c r="B3366" t="inlineStr"/>
      <c r="C3366" t="inlineStr">
        <is>
          <t>180</t>
        </is>
      </c>
      <c r="D3366" t="inlineStr">
        <is>
          <t>1</t>
        </is>
      </c>
      <c r="E3366" t="inlineStr">
        <is>
          <t>30</t>
        </is>
      </c>
      <c r="F3366" t="inlineStr">
        <is>
          <t>0</t>
        </is>
      </c>
      <c r="G3366" t="inlineStr">
        <is>
          <t>0</t>
        </is>
      </c>
      <c r="H3366" t="inlineStr">
        <is>
          <t>10³, 50³</t>
        </is>
      </c>
      <c r="I3366" t="n">
        <v>6</v>
      </c>
      <c r="J3366" t="inlineStr">
        <is>
          <t>2², 4⁴, 20²</t>
        </is>
      </c>
      <c r="K3366">
        <f>HYPERLINK("CSG1.html#group10G1", "10G¹"), =HYPERLINK("CSG5.html#group50C5", "50C⁵"), =HYPERLINK("CSG6.html#group50C6", "50C⁶")</f>
        <v/>
      </c>
      <c r="L3366" t="inlineStr"/>
      <c r="M3366">
        <f>HYPERLINK("CSG0.html#group2A0", "2A⁰"), =HYPERLINK("CSG6.html#group50C6", "50C⁶"), =HYPERLINK("CSG0.html#group2C0", "2C⁰"), =HYPERLINK("CSG0.html#group5B0", "5B⁰"), =HYPERLINK("CSG0.html#group10C0", "10C⁰"), =HYPERLINK("CSG5.html#group50C5", "50C⁵"), =HYPERLINK("CSG1.html#group10A1", "10A¹"), =HYPERLINK("CSG0.html#group2B0", "2B⁰"), =HYPERLINK("CSG0.html#group1A0", "1A⁰"), =HYPERLINK("CSG2.html#group25C2", "25C²"), =HYPERLINK("CSG1.html#group10G1", "10G¹")</f>
        <v/>
      </c>
      <c r="N3366" t="inlineStr"/>
    </row>
    <row r="3367">
      <c r="A3367" t="inlineStr">
        <is>
          <t>50D¹³</t>
        </is>
      </c>
      <c r="B3367" t="inlineStr"/>
      <c r="C3367" t="inlineStr">
        <is>
          <t>180</t>
        </is>
      </c>
      <c r="D3367" t="inlineStr">
        <is>
          <t>1</t>
        </is>
      </c>
      <c r="E3367" t="inlineStr">
        <is>
          <t>30</t>
        </is>
      </c>
      <c r="F3367" t="inlineStr">
        <is>
          <t>0</t>
        </is>
      </c>
      <c r="G3367" t="inlineStr">
        <is>
          <t>0</t>
        </is>
      </c>
      <c r="H3367" t="inlineStr">
        <is>
          <t>10³, 50³</t>
        </is>
      </c>
      <c r="I3367" t="n">
        <v>6</v>
      </c>
      <c r="J3367" t="inlineStr">
        <is>
          <t>2², 4⁴, 20²</t>
        </is>
      </c>
      <c r="K3367">
        <f>HYPERLINK("CSG1.html#group10G1", "10G¹"), =HYPERLINK("CSG5.html#group50D5", "50D⁵"), =HYPERLINK("CSG6.html#group50D6", "50D⁶")</f>
        <v/>
      </c>
      <c r="L3367" t="inlineStr"/>
      <c r="M3367">
        <f>HYPERLINK("CSG0.html#group2A0", "2A⁰"), =HYPERLINK("CSG2.html#group25D2", "25D²"), =HYPERLINK("CSG6.html#group50D6", "50D⁶"), =HYPERLINK("CSG0.html#group5B0", "5B⁰"), =HYPERLINK("CSG0.html#group10C0", "10C⁰"), =HYPERLINK("CSG5.html#group50D5", "50D⁵"), =HYPERLINK("CSG1.html#group10A1", "10A¹"), =HYPERLINK("CSG0.html#group2B0", "2B⁰"), =HYPERLINK("CSG0.html#group1A0", "1A⁰"), =HYPERLINK("CSG0.html#group2C0", "2C⁰"), =HYPERLINK("CSG1.html#group10G1", "10G¹")</f>
        <v/>
      </c>
      <c r="N3367" t="inlineStr"/>
    </row>
    <row r="3368">
      <c r="A3368" t="inlineStr">
        <is>
          <t>50E¹³</t>
        </is>
      </c>
      <c r="B3368" t="inlineStr"/>
      <c r="C3368" t="inlineStr">
        <is>
          <t>360</t>
        </is>
      </c>
      <c r="D3368" t="inlineStr">
        <is>
          <t>1</t>
        </is>
      </c>
      <c r="E3368" t="inlineStr">
        <is>
          <t>6</t>
        </is>
      </c>
      <c r="F3368" t="inlineStr">
        <is>
          <t>0</t>
        </is>
      </c>
      <c r="G3368" t="inlineStr">
        <is>
          <t>0</t>
        </is>
      </c>
      <c r="H3368" t="inlineStr">
        <is>
          <t>2³⁰, 50⁶</t>
        </is>
      </c>
      <c r="I3368" t="n">
        <v>36</v>
      </c>
      <c r="J3368" t="inlineStr">
        <is>
          <t>1², 4¹</t>
        </is>
      </c>
      <c r="K3368">
        <f>HYPERLINK("CSG1.html#group10K1", "10K¹"), =HYPERLINK("CSG4.html#group50F4", "50F⁴"), =HYPERLINK("CSG5.html#group50F5", "50F⁵"), =HYPERLINK("CSG6.html#group50E6", "50E⁶"), =HYPERLINK("CSG7.html#group50C7", "50C⁷")</f>
        <v/>
      </c>
      <c r="L3368" t="inlineStr"/>
      <c r="M3368">
        <f>HYPERLINK("CSG0.html#group2A0", "2A⁰"), =HYPERLINK("CSG0.html#group10G0", "10G⁰"), =HYPERLINK("CSG4.html#group50F4", "50F⁴"), =HYPERLINK("CSG0.html#group2C0", "2C⁰"), =HYPERLINK("CSG7.html#group50C7", "50C⁷"), =HYPERLINK("CSG0.html#group5B0", "5B⁰"), =HYPERLINK("CSG0.html#group5D0", "5D⁰"), =HYPERLINK("CSG3.html#group50A3", "50A³"), =HYPERLINK("CSG0.html#group2B0", "2B⁰"), =HYPERLINK("CSG1.html#group10A1", "10A¹"), =HYPERLINK("CSG2.html#group50B2", "50B²"), =HYPERLINK("CSG0.html#group1A0", "1A⁰"), =HYPERLINK("CSG1.html#group10D1", "10D¹"), =HYPERLINK("CSG0.html#group10F0", "10F⁰"), =HYPERLINK("CSG0.html#group10B0", "10B⁰"), =HYPERLINK("CSG6.html#group50E6", "50E⁶"), =HYPERLINK("CSG2.html#group50A2", "50A²"), =HYPERLINK("CSG0.html#group25A0", "25A⁰"), =HYPERLINK("CSG0.html#group10C0", "10C⁰"), =HYPERLINK("CSG1.html#group10K1", "10K¹"), =HYPERLINK("CSG0.html#group25B0", "25B⁰"), =HYPERLINK("CSG1.html#group10G1", "10G¹"), =HYPERLINK("CSG5.html#group50F5", "50F⁵")</f>
        <v/>
      </c>
      <c r="N3368" t="inlineStr"/>
    </row>
    <row r="3369">
      <c r="A3369" t="inlineStr">
        <is>
          <t>51A¹³</t>
        </is>
      </c>
      <c r="B3369" t="inlineStr"/>
      <c r="C3369" t="inlineStr">
        <is>
          <t>216</t>
        </is>
      </c>
      <c r="D3369" t="inlineStr">
        <is>
          <t>1</t>
        </is>
      </c>
      <c r="E3369" t="inlineStr">
        <is>
          <t>54</t>
        </is>
      </c>
      <c r="F3369" t="inlineStr">
        <is>
          <t>8</t>
        </is>
      </c>
      <c r="G3369" t="inlineStr">
        <is>
          <t>0</t>
        </is>
      </c>
      <c r="H3369" t="inlineStr">
        <is>
          <t>3⁴, 51⁴</t>
        </is>
      </c>
      <c r="I3369" t="n">
        <v>8</v>
      </c>
      <c r="J3369" t="inlineStr">
        <is>
          <t>1², 2², 16¹, 32¹</t>
        </is>
      </c>
      <c r="K3369">
        <f>HYPERLINK("CSG5.html#group51B5", "51B⁵")</f>
        <v/>
      </c>
      <c r="L3369" t="inlineStr"/>
      <c r="M3369">
        <f>HYPERLINK("CSG1.html#group17A1", "17A¹"), =HYPERLINK("CSG5.html#group51B5", "51B⁵"), =HYPERLINK("CSG3.html#group51A3", "51A³"), =HYPERLINK("CSG0.html#group3A0", "3A⁰"), =HYPERLINK("CSG0.html#group1A0", "1A⁰"), =HYPERLINK("CSG1.html#group17B1", "17B¹")</f>
        <v/>
      </c>
      <c r="N3369" t="inlineStr"/>
    </row>
    <row r="3370">
      <c r="A3370" t="inlineStr">
        <is>
          <t>51B¹³</t>
        </is>
      </c>
      <c r="B3370" t="inlineStr"/>
      <c r="C3370" t="inlineStr">
        <is>
          <t>216</t>
        </is>
      </c>
      <c r="D3370" t="inlineStr">
        <is>
          <t>1</t>
        </is>
      </c>
      <c r="E3370" t="inlineStr">
        <is>
          <t>54</t>
        </is>
      </c>
      <c r="F3370" t="inlineStr">
        <is>
          <t>8</t>
        </is>
      </c>
      <c r="G3370" t="inlineStr">
        <is>
          <t>0</t>
        </is>
      </c>
      <c r="H3370" t="inlineStr">
        <is>
          <t>3⁴, 51⁴</t>
        </is>
      </c>
      <c r="I3370" t="n">
        <v>8</v>
      </c>
      <c r="J3370" t="inlineStr">
        <is>
          <t>1², 2², 16¹, 32¹</t>
        </is>
      </c>
      <c r="K3370">
        <f>HYPERLINK("CSG5.html#group51B5", "51B⁵"), =HYPERLINK("CSG7.html#group51A7", "51A⁷"), =HYPERLINK("CSG7.html#group51B7", "51B⁷")</f>
        <v/>
      </c>
      <c r="L3370" t="inlineStr"/>
      <c r="M3370">
        <f>HYPERLINK("CSG3.html#group51A3", "51A³"), =HYPERLINK("CSG7.html#group51A7", "51A⁷"), =HYPERLINK("CSG1.html#group17B1", "17B¹"), =HYPERLINK("CSG7.html#group51B7", "51B⁷"), =HYPERLINK("CSG0.html#group3C0", "3C⁰"), =HYPERLINK("CSG1.html#group17A1", "17A¹"), =HYPERLINK("CSG5.html#group51B5", "51B⁵"), =HYPERLINK("CSG0.html#group3A0", "3A⁰"), =HYPERLINK("CSG0.html#group1A0", "1A⁰")</f>
        <v/>
      </c>
      <c r="N3370" t="inlineStr"/>
    </row>
    <row r="3371">
      <c r="A3371" t="inlineStr">
        <is>
          <t>52A¹³</t>
        </is>
      </c>
      <c r="B3371" t="inlineStr"/>
      <c r="C3371" t="inlineStr">
        <is>
          <t>224</t>
        </is>
      </c>
      <c r="D3371" t="inlineStr">
        <is>
          <t>1</t>
        </is>
      </c>
      <c r="E3371" t="inlineStr">
        <is>
          <t>56</t>
        </is>
      </c>
      <c r="F3371" t="inlineStr">
        <is>
          <t>0</t>
        </is>
      </c>
      <c r="G3371" t="inlineStr">
        <is>
          <t>8</t>
        </is>
      </c>
      <c r="H3371" t="inlineStr">
        <is>
          <t>4⁴, 52⁴</t>
        </is>
      </c>
      <c r="I3371" t="n">
        <v>8</v>
      </c>
      <c r="J3371" t="inlineStr">
        <is>
          <t>2⁴, 24²</t>
        </is>
      </c>
      <c r="K3371">
        <f>HYPERLINK("CSG1.html#group26B1", "26B¹"), =HYPERLINK("CSG5.html#group52C5", "52C⁵"), =HYPERLINK("CSG7.html#group52A7", "52A⁷"), =HYPERLINK("CSG7.html#group52B7", "52B⁷")</f>
        <v/>
      </c>
      <c r="L3371" t="inlineStr"/>
      <c r="M3371">
        <f>HYPERLINK("CSG7.html#group52A7", "52A⁷"), =HYPERLINK("CSG0.html#group2A0", "2A⁰"), =HYPERLINK("CSG1.html#group26B1", "26B¹"), =HYPERLINK("CSG1.html#group26A1", "26A¹"), =HYPERLINK("CSG3.html#group52A3", "52A³"), =HYPERLINK("CSG0.html#group4A0", "4A⁰"), =HYPERLINK("CSG0.html#group4D0", "4D⁰"), =HYPERLINK("CSG0.html#group13A0", "13A⁰"), =HYPERLINK("CSG7.html#group52B7", "52B⁷"), =HYPERLINK("CSG0.html#group13B0", "13B⁰"), =HYPERLINK("CSG0.html#group26A0", "26A⁰"), =HYPERLINK("CSG0.html#group1A0", "1A⁰"), =HYPERLINK("CSG5.html#group52C5", "52C⁵")</f>
        <v/>
      </c>
      <c r="N3371" t="inlineStr"/>
    </row>
    <row r="3372">
      <c r="A3372" t="inlineStr">
        <is>
          <t>52B¹³</t>
        </is>
      </c>
      <c r="B3372" t="inlineStr"/>
      <c r="C3372" t="inlineStr">
        <is>
          <t>252</t>
        </is>
      </c>
      <c r="D3372" t="inlineStr">
        <is>
          <t>1</t>
        </is>
      </c>
      <c r="E3372" t="inlineStr">
        <is>
          <t>42</t>
        </is>
      </c>
      <c r="F3372" t="inlineStr">
        <is>
          <t>0</t>
        </is>
      </c>
      <c r="G3372" t="inlineStr">
        <is>
          <t>0</t>
        </is>
      </c>
      <c r="H3372" t="inlineStr">
        <is>
          <t>1⁶, 4³, 13⁶, 52³</t>
        </is>
      </c>
      <c r="I3372" t="n">
        <v>18</v>
      </c>
      <c r="J3372" t="inlineStr">
        <is>
          <t>1⁶, 12³</t>
        </is>
      </c>
      <c r="K3372">
        <f>HYPERLINK("CSG4.html#group26C4", "26C⁴"), =HYPERLINK("CSG5.html#group52A5", "52A⁵")</f>
        <v/>
      </c>
      <c r="L3372" t="inlineStr"/>
      <c r="M3372">
        <f>HYPERLINK("CSG5.html#group52A5", "52A⁵"), =HYPERLINK("CSG0.html#group13A0", "13A⁰"), =HYPERLINK("CSG4.html#group26C4", "26C⁴"), =HYPERLINK("CSG0.html#group2B0", "2B⁰"), =HYPERLINK("CSG0.html#group13C0", "13C⁰"), =HYPERLINK("CSG0.html#group4B0", "4B⁰"), =HYPERLINK("CSG0.html#group1A0", "1A⁰"), =HYPERLINK("CSG2.html#group26A2", "26A²")</f>
        <v/>
      </c>
      <c r="N3372" t="inlineStr"/>
    </row>
    <row r="3373">
      <c r="A3373" t="inlineStr">
        <is>
          <t>52C¹³</t>
        </is>
      </c>
      <c r="B3373" t="inlineStr"/>
      <c r="C3373" t="inlineStr">
        <is>
          <t>252</t>
        </is>
      </c>
      <c r="D3373" t="inlineStr">
        <is>
          <t>1</t>
        </is>
      </c>
      <c r="E3373" t="inlineStr">
        <is>
          <t>42</t>
        </is>
      </c>
      <c r="F3373" t="inlineStr">
        <is>
          <t>12</t>
        </is>
      </c>
      <c r="G3373" t="inlineStr">
        <is>
          <t>0</t>
        </is>
      </c>
      <c r="H3373" t="inlineStr">
        <is>
          <t>2³, 4³, 26³, 52³</t>
        </is>
      </c>
      <c r="I3373" t="n">
        <v>12</v>
      </c>
      <c r="J3373" t="inlineStr">
        <is>
          <t>1⁶, 12³</t>
        </is>
      </c>
      <c r="K3373">
        <f>HYPERLINK("CSG4.html#group26C4", "26C⁴"), =HYPERLINK("CSG5.html#group52B5", "52B⁵")</f>
        <v/>
      </c>
      <c r="L3373" t="inlineStr"/>
      <c r="M3373">
        <f>HYPERLINK("CSG0.html#group4C0", "4C⁰"), =HYPERLINK("CSG0.html#group13A0", "13A⁰"), =HYPERLINK("CSG4.html#group26C4", "26C⁴"), =HYPERLINK("CSG5.html#group52B5", "52B⁵"), =HYPERLINK("CSG0.html#group13C0", "13C⁰"), =HYPERLINK("CSG0.html#group2B0", "2B⁰"), =HYPERLINK("CSG0.html#group1A0", "1A⁰"), =HYPERLINK("CSG2.html#group26A2", "26A²")</f>
        <v/>
      </c>
      <c r="N3373" t="inlineStr"/>
    </row>
    <row r="3374">
      <c r="A3374" t="inlineStr">
        <is>
          <t>54A¹³</t>
        </is>
      </c>
      <c r="B3374" t="inlineStr"/>
      <c r="C3374" t="inlineStr">
        <is>
          <t>162</t>
        </is>
      </c>
      <c r="D3374" t="inlineStr">
        <is>
          <t>2</t>
        </is>
      </c>
      <c r="E3374" t="inlineStr">
        <is>
          <t>81</t>
        </is>
      </c>
      <c r="F3374" t="inlineStr">
        <is>
          <t>0</t>
        </is>
      </c>
      <c r="G3374" t="inlineStr">
        <is>
          <t>0</t>
        </is>
      </c>
      <c r="H3374" t="inlineStr">
        <is>
          <t>54³</t>
        </is>
      </c>
      <c r="I3374" t="n">
        <v>3</v>
      </c>
      <c r="J3374" t="inlineStr">
        <is>
          <t>6⁹, 18⁶</t>
        </is>
      </c>
      <c r="K3374">
        <f>HYPERLINK("CSG3.html#group27B3", "27B³"), =HYPERLINK("CSG4.html#group18B4", "18B⁴")</f>
        <v/>
      </c>
      <c r="L3374" t="inlineStr"/>
      <c r="M3374">
        <f>HYPERLINK("CSG0.html#group2A0", "2A⁰"), =HYPERLINK("CSG4.html#group18B4", "18B⁴"), =HYPERLINK("CSG0.html#group9G0", "9G⁰"), =HYPERLINK("CSG0.html#group9A0", "9A⁰"), =HYPERLINK("CSG3.html#group27B3", "27B³"), =HYPERLINK("CSG1.html#group6A1", "6A¹"), =HYPERLINK("CSG2.html#group18A2", "18A²"), =HYPERLINK("CSG0.html#group3A0", "3A⁰"), =HYPERLINK("CSG0.html#group1A0", "1A⁰")</f>
        <v/>
      </c>
      <c r="N3374" t="inlineStr"/>
    </row>
    <row r="3375">
      <c r="A3375" t="inlineStr">
        <is>
          <t>54B¹³</t>
        </is>
      </c>
      <c r="B3375" t="inlineStr"/>
      <c r="C3375" t="inlineStr">
        <is>
          <t>216</t>
        </is>
      </c>
      <c r="D3375" t="inlineStr">
        <is>
          <t>1</t>
        </is>
      </c>
      <c r="E3375" t="inlineStr">
        <is>
          <t>12</t>
        </is>
      </c>
      <c r="F3375" t="inlineStr">
        <is>
          <t>0</t>
        </is>
      </c>
      <c r="G3375" t="inlineStr">
        <is>
          <t>0</t>
        </is>
      </c>
      <c r="H3375" t="inlineStr">
        <is>
          <t>6⁹, 54³</t>
        </is>
      </c>
      <c r="I3375" t="n">
        <v>12</v>
      </c>
      <c r="J3375" t="inlineStr">
        <is>
          <t>1², 2², 6¹</t>
        </is>
      </c>
      <c r="K3375">
        <f>HYPERLINK("CSG1.html#group18J1", "18J¹"), =HYPERLINK("CSG5.html#group54A5", "54A⁵"), =HYPERLINK("CSG5.html#group54B5", "54B⁵"), =HYPERLINK("CSG6.html#group54B6", "54B⁶")</f>
        <v/>
      </c>
      <c r="L3375" t="inlineStr"/>
      <c r="M3375">
        <f>HYPERLINK("CSG0.html#group3B0", "3B⁰"), =HYPERLINK("CSG0.html#group2A0", "2A⁰"), =HYPERLINK("CSG2.html#group27A2", "27A²"), =HYPERLINK("CSG6.html#group54B6", "54B⁶"), =HYPERLINK("CSG0.html#group6I0", "6I⁰"), =HYPERLINK("CSG0.html#group6C0", "6C⁰"), =HYPERLINK("CSG0.html#group9B0", "9B⁰"), =HYPERLINK("CSG0.html#group2B0", "2B⁰"), =HYPERLINK("CSG1.html#group18J1", "18J¹"), =HYPERLINK("CSG0.html#group1A0", "1A⁰"), =HYPERLINK("CSG5.html#group54A5", "54A⁵"), =HYPERLINK("CSG0.html#group18C0", "18C⁰"), =HYPERLINK("CSG0.html#group18E0", "18E⁰"), =HYPERLINK("CSG1.html#group18C1", "18C¹"), =HYPERLINK("CSG0.html#group6F0", "6F⁰"), =HYPERLINK("CSG0.html#group2C0", "2C⁰"), =HYPERLINK("CSG5.html#group54B5", "54B⁵")</f>
        <v/>
      </c>
      <c r="N3375" t="inlineStr"/>
    </row>
    <row r="3376">
      <c r="A3376" t="inlineStr">
        <is>
          <t>54C¹³</t>
        </is>
      </c>
      <c r="B3376" t="inlineStr"/>
      <c r="C3376" t="inlineStr">
        <is>
          <t>216</t>
        </is>
      </c>
      <c r="D3376" t="inlineStr">
        <is>
          <t>1</t>
        </is>
      </c>
      <c r="E3376" t="inlineStr">
        <is>
          <t>12</t>
        </is>
      </c>
      <c r="F3376" t="inlineStr">
        <is>
          <t>0</t>
        </is>
      </c>
      <c r="G3376" t="inlineStr">
        <is>
          <t>0</t>
        </is>
      </c>
      <c r="H3376" t="inlineStr">
        <is>
          <t>6⁹, 54³</t>
        </is>
      </c>
      <c r="I3376" t="n">
        <v>12</v>
      </c>
      <c r="J3376" t="inlineStr">
        <is>
          <t>1², 2², 6¹</t>
        </is>
      </c>
      <c r="K3376">
        <f>HYPERLINK("CSG3.html#group18G3", "18G³"), =HYPERLINK("CSG3.html#group54A3", "54A³"), =HYPERLINK("CSG4.html#group27A4", "27A⁴"), =HYPERLINK("CSG5.html#group54A5", "54A⁵")</f>
        <v/>
      </c>
      <c r="L3376" t="inlineStr"/>
      <c r="M3376">
        <f>HYPERLINK("CSG0.html#group3B0", "3B⁰"), =HYPERLINK("CSG0.html#group2A0", "2A⁰"), =HYPERLINK("CSG2.html#group27A2", "27A²"), =HYPERLINK("CSG3.html#group18G3", "18G³"), =HYPERLINK("CSG1.html#group18C1", "18C¹"), =HYPERLINK("CSG0.html#group6C0", "6C⁰"), =HYPERLINK("CSG0.html#group9I0", "9I⁰"), =HYPERLINK("CSG0.html#group9B0", "9B⁰"), =HYPERLINK("CSG3.html#group54A3", "54A³"), =HYPERLINK("CSG0.html#group27A0", "27A⁰"), =HYPERLINK("CSG0.html#group1A0", "1A⁰"), =HYPERLINK("CSG5.html#group54A5", "54A⁵"), =HYPERLINK("CSG4.html#group27A4", "27A⁴")</f>
        <v/>
      </c>
      <c r="N3376" t="inlineStr"/>
    </row>
    <row r="3377">
      <c r="A3377" t="inlineStr">
        <is>
          <t>54D¹³</t>
        </is>
      </c>
      <c r="B3377" t="inlineStr"/>
      <c r="C3377" t="inlineStr">
        <is>
          <t>216</t>
        </is>
      </c>
      <c r="D3377" t="inlineStr">
        <is>
          <t>1</t>
        </is>
      </c>
      <c r="E3377" t="inlineStr">
        <is>
          <t>12</t>
        </is>
      </c>
      <c r="F3377" t="inlineStr">
        <is>
          <t>0</t>
        </is>
      </c>
      <c r="G3377" t="inlineStr">
        <is>
          <t>0</t>
        </is>
      </c>
      <c r="H3377" t="inlineStr">
        <is>
          <t>6⁹, 54³</t>
        </is>
      </c>
      <c r="I3377" t="n">
        <v>12</v>
      </c>
      <c r="J3377" t="inlineStr">
        <is>
          <t>1², 2², 6¹</t>
        </is>
      </c>
      <c r="K3377">
        <f>HYPERLINK("CSG3.html#group18G3", "18G³"), =HYPERLINK("CSG4.html#group27B4", "27B⁴"), =HYPERLINK("CSG4.html#group54A4", "54A⁴"), =HYPERLINK("CSG5.html#group54A5", "54A⁵")</f>
        <v/>
      </c>
      <c r="L3377" t="inlineStr"/>
      <c r="M3377">
        <f>HYPERLINK("CSG4.html#group27B4", "27B⁴"), =HYPERLINK("CSG0.html#group3B0", "3B⁰"), =HYPERLINK("CSG0.html#group2A0", "2A⁰"), =HYPERLINK("CSG1.html#group27A1", "27A¹"), =HYPERLINK("CSG2.html#group27A2", "27A²"), =HYPERLINK("CSG3.html#group18G3", "18G³"), =HYPERLINK("CSG1.html#group18C1", "18C¹"), =HYPERLINK("CSG0.html#group6C0", "6C⁰"), =HYPERLINK("CSG0.html#group9I0", "9I⁰"), =HYPERLINK("CSG0.html#group9B0", "9B⁰"), =HYPERLINK("CSG4.html#group54A4", "54A⁴"), =HYPERLINK("CSG0.html#group1A0", "1A⁰"), =HYPERLINK("CSG5.html#group54A5", "54A⁵")</f>
        <v/>
      </c>
      <c r="N3377" t="inlineStr"/>
    </row>
    <row r="3378">
      <c r="A3378" t="inlineStr">
        <is>
          <t>54E¹³</t>
        </is>
      </c>
      <c r="B3378" t="inlineStr"/>
      <c r="C3378" t="inlineStr">
        <is>
          <t>216</t>
        </is>
      </c>
      <c r="D3378" t="inlineStr">
        <is>
          <t>1</t>
        </is>
      </c>
      <c r="E3378" t="inlineStr">
        <is>
          <t>12</t>
        </is>
      </c>
      <c r="F3378" t="inlineStr">
        <is>
          <t>0</t>
        </is>
      </c>
      <c r="G3378" t="inlineStr">
        <is>
          <t>0</t>
        </is>
      </c>
      <c r="H3378" t="inlineStr">
        <is>
          <t>6⁹, 54³</t>
        </is>
      </c>
      <c r="I3378" t="n">
        <v>12</v>
      </c>
      <c r="J3378" t="inlineStr">
        <is>
          <t>1², 2², 6¹</t>
        </is>
      </c>
      <c r="K3378">
        <f>HYPERLINK("CSG3.html#group54A3", "54A³"), =HYPERLINK("CSG4.html#group18E4", "18E⁴"), =HYPERLINK("CSG4.html#group27C4", "27C⁴"), =HYPERLINK("CSG4.html#group54A4", "54A⁴"), =HYPERLINK("CSG5.html#group54A5", "54A⁵")</f>
        <v/>
      </c>
      <c r="L3378" t="inlineStr"/>
      <c r="M3378">
        <f>HYPERLINK("CSG0.html#group3B0", "3B⁰"), =HYPERLINK("CSG0.html#group2A0", "2A⁰"), =HYPERLINK("CSG0.html#group6B0", "6B⁰"), =HYPERLINK("CSG2.html#group27A2", "27A²"), =HYPERLINK("CSG4.html#group27C4", "27C⁴"), =HYPERLINK("CSG0.html#group18B0", "18B⁰"), =HYPERLINK("CSG0.html#group6C0", "6C⁰"), =HYPERLINK("CSG0.html#group9B0", "9B⁰"), =HYPERLINK("CSG0.html#group9C0", "9C⁰"), =HYPERLINK("CSG0.html#group1A0", "1A⁰"), =HYPERLINK("CSG5.html#group54A5", "54A⁵"), =HYPERLINK("CSG2.html#group18B2", "18B²"), =HYPERLINK("CSG1.html#group27A1", "27A¹"), =HYPERLINK("CSG1.html#group6D1", "6D¹"), =HYPERLINK("CSG0.html#group6E0", "6E⁰"), =HYPERLINK("CSG1.html#group6B1", "6B¹"), =HYPERLINK("CSG1.html#group18C1", "18C¹"), =HYPERLINK("CSG1.html#group9A1", "9A¹"), =HYPERLINK("CSG0.html#group27A0", "27A⁰"), =HYPERLINK("CSG0.html#group3C0", "3C⁰"), =HYPERLINK("CSG3.html#group54A3", "54A³"), =HYPERLINK("CSG1.html#group9C1", "9C¹"), =HYPERLINK("CSG1.html#group6A1", "6A¹"), =HYPERLINK("CSG4.html#group54A4", "54A⁴"), =HYPERLINK("CSG4.html#group18E4", "18E⁴"), =HYPERLINK("CSG0.html#group3A0", "3A⁰"), =HYPERLINK("CSG0.html#group3D0", "3D⁰")</f>
        <v/>
      </c>
      <c r="N3378" t="inlineStr"/>
    </row>
    <row r="3379">
      <c r="A3379" t="inlineStr">
        <is>
          <t>54F¹³</t>
        </is>
      </c>
      <c r="B3379" t="inlineStr"/>
      <c r="C3379" t="inlineStr">
        <is>
          <t>216</t>
        </is>
      </c>
      <c r="D3379" t="inlineStr">
        <is>
          <t>1</t>
        </is>
      </c>
      <c r="E3379" t="inlineStr">
        <is>
          <t>24</t>
        </is>
      </c>
      <c r="F3379" t="inlineStr">
        <is>
          <t>0</t>
        </is>
      </c>
      <c r="G3379" t="inlineStr">
        <is>
          <t>0</t>
        </is>
      </c>
      <c r="H3379" t="inlineStr">
        <is>
          <t>6⁹, 54³</t>
        </is>
      </c>
      <c r="I3379" t="n">
        <v>12</v>
      </c>
      <c r="J3379" t="inlineStr">
        <is>
          <t>2⁶, 6²</t>
        </is>
      </c>
      <c r="K3379">
        <f>HYPERLINK("CSG3.html#group18G3", "18G³"), =HYPERLINK("CSG3.html#group54B3", "54B³"), =HYPERLINK("CSG5.html#group54B5", "54B⁵")</f>
        <v/>
      </c>
      <c r="L3379" t="inlineStr"/>
      <c r="M3379">
        <f>HYPERLINK("CSG0.html#group3B0", "3B⁰"), =HYPERLINK("CSG0.html#group2A0", "2A⁰"), =HYPERLINK("CSG3.html#group18G3", "18G³"), =HYPERLINK("CSG3.html#group54B3", "54B³"), =HYPERLINK("CSG1.html#group18C1", "18C¹"), =HYPERLINK("CSG0.html#group6C0", "6C⁰"), =HYPERLINK("CSG0.html#group9I0", "9I⁰"), =HYPERLINK("CSG0.html#group9B0", "9B⁰"), =HYPERLINK("CSG0.html#group1A0", "1A⁰"), =HYPERLINK("CSG5.html#group54B5", "54B⁵")</f>
        <v/>
      </c>
      <c r="N3379" t="inlineStr"/>
    </row>
    <row r="3380">
      <c r="A3380" t="inlineStr">
        <is>
          <t>54G¹³</t>
        </is>
      </c>
      <c r="B3380" t="inlineStr"/>
      <c r="C3380" t="inlineStr">
        <is>
          <t>216</t>
        </is>
      </c>
      <c r="D3380" t="inlineStr">
        <is>
          <t>1</t>
        </is>
      </c>
      <c r="E3380" t="inlineStr">
        <is>
          <t>24</t>
        </is>
      </c>
      <c r="F3380" t="inlineStr">
        <is>
          <t>0</t>
        </is>
      </c>
      <c r="G3380" t="inlineStr">
        <is>
          <t>0</t>
        </is>
      </c>
      <c r="H3380" t="inlineStr">
        <is>
          <t>6⁹, 54³</t>
        </is>
      </c>
      <c r="I3380" t="n">
        <v>12</v>
      </c>
      <c r="J3380" t="inlineStr">
        <is>
          <t>2⁶, 6²</t>
        </is>
      </c>
      <c r="K3380">
        <f>HYPERLINK("CSG3.html#group18G3", "18G³"), =HYPERLINK("CSG4.html#group54C4", "54C⁴"), =HYPERLINK("CSG5.html#group54B5", "54B⁵")</f>
        <v/>
      </c>
      <c r="L3380" t="inlineStr"/>
      <c r="M3380">
        <f>HYPERLINK("CSG0.html#group3B0", "3B⁰"), =HYPERLINK("CSG0.html#group2A0", "2A⁰"), =HYPERLINK("CSG3.html#group18G3", "18G³"), =HYPERLINK("CSG1.html#group18C1", "18C¹"), =HYPERLINK("CSG0.html#group6C0", "6C⁰"), =HYPERLINK("CSG0.html#group9I0", "9I⁰"), =HYPERLINK("CSG0.html#group9B0", "9B⁰"), =HYPERLINK("CSG4.html#group54C4", "54C⁴"), =HYPERLINK("CSG0.html#group1A0", "1A⁰"), =HYPERLINK("CSG5.html#group54B5", "54B⁵")</f>
        <v/>
      </c>
      <c r="N3380" t="inlineStr"/>
    </row>
    <row r="3381">
      <c r="A3381" t="inlineStr">
        <is>
          <t>54H¹³</t>
        </is>
      </c>
      <c r="B3381" t="inlineStr"/>
      <c r="C3381" t="inlineStr">
        <is>
          <t>216</t>
        </is>
      </c>
      <c r="D3381" t="inlineStr">
        <is>
          <t>1</t>
        </is>
      </c>
      <c r="E3381" t="inlineStr">
        <is>
          <t>24</t>
        </is>
      </c>
      <c r="F3381" t="inlineStr">
        <is>
          <t>0</t>
        </is>
      </c>
      <c r="G3381" t="inlineStr">
        <is>
          <t>0</t>
        </is>
      </c>
      <c r="H3381" t="inlineStr">
        <is>
          <t>6⁹, 54³</t>
        </is>
      </c>
      <c r="I3381" t="n">
        <v>12</v>
      </c>
      <c r="J3381" t="inlineStr">
        <is>
          <t>2⁶, 6²</t>
        </is>
      </c>
      <c r="K3381">
        <f>HYPERLINK("CSG3.html#group54A3", "54A³"), =HYPERLINK("CSG4.html#group18G4", "18G⁴"), =HYPERLINK("CSG4.html#group54C4", "54C⁴"), =HYPERLINK("CSG5.html#group54B5", "54B⁵")</f>
        <v/>
      </c>
      <c r="L3381" t="inlineStr"/>
      <c r="M3381">
        <f>HYPERLINK("CSG0.html#group3B0", "3B⁰"), =HYPERLINK("CSG0.html#group2A0", "2A⁰"), =HYPERLINK("CSG0.html#group6A0", "6A⁰"), =HYPERLINK("CSG1.html#group18D1", "18D¹"), =HYPERLINK("CSG1.html#group18C1", "18C¹"), =HYPERLINK("CSG2.html#group18C2", "18C²"), =HYPERLINK("CSG0.html#group6C0", "6C⁰"), =HYPERLINK("CSG0.html#group6J0", "6J⁰"), =HYPERLINK("CSG0.html#group27A0", "27A⁰"), =HYPERLINK("CSG0.html#group9B0", "9B⁰"), =HYPERLINK("CSG3.html#group54A3", "54A³"), =HYPERLINK("CSG4.html#group54C4", "54C⁴"), =HYPERLINK("CSG0.html#group1A0", "1A⁰"), =HYPERLINK("CSG5.html#group54B5", "54B⁵"), =HYPERLINK("CSG4.html#group18G4", "18G⁴")</f>
        <v/>
      </c>
      <c r="N3381" t="inlineStr"/>
    </row>
    <row r="3382">
      <c r="A3382" t="inlineStr">
        <is>
          <t>54I¹³</t>
        </is>
      </c>
      <c r="B3382" t="inlineStr"/>
      <c r="C3382" t="inlineStr">
        <is>
          <t>216</t>
        </is>
      </c>
      <c r="D3382" t="inlineStr">
        <is>
          <t>1</t>
        </is>
      </c>
      <c r="E3382" t="inlineStr">
        <is>
          <t>24</t>
        </is>
      </c>
      <c r="F3382" t="inlineStr">
        <is>
          <t>0</t>
        </is>
      </c>
      <c r="G3382" t="inlineStr">
        <is>
          <t>0</t>
        </is>
      </c>
      <c r="H3382" t="inlineStr">
        <is>
          <t>6⁹, 54³</t>
        </is>
      </c>
      <c r="I3382" t="n">
        <v>12</v>
      </c>
      <c r="J3382" t="inlineStr">
        <is>
          <t>2⁶, 6²</t>
        </is>
      </c>
      <c r="K3382">
        <f>HYPERLINK("CSG3.html#group54B3", "54B³"), =HYPERLINK("CSG4.html#group18E4", "18E⁴"), =HYPERLINK("CSG4.html#group54C4", "54C⁴"), =HYPERLINK("CSG5.html#group54B5", "54B⁵")</f>
        <v/>
      </c>
      <c r="L3382" t="inlineStr"/>
      <c r="M3382">
        <f>HYPERLINK("CSG0.html#group3B0", "3B⁰"), =HYPERLINK("CSG0.html#group2A0", "2A⁰"), =HYPERLINK("CSG0.html#group6B0", "6B⁰"), =HYPERLINK("CSG0.html#group18B0", "18B⁰"), =HYPERLINK("CSG0.html#group6C0", "6C⁰"), =HYPERLINK("CSG0.html#group9B0", "9B⁰"), =HYPERLINK("CSG0.html#group9C0", "9C⁰"), =HYPERLINK("CSG0.html#group1A0", "1A⁰"), =HYPERLINK("CSG2.html#group18B2", "18B²"), =HYPERLINK("CSG1.html#group6D1", "6D¹"), =HYPERLINK("CSG0.html#group6E0", "6E⁰"), =HYPERLINK("CSG1.html#group6B1", "6B¹"), =HYPERLINK("CSG3.html#group54B3", "54B³"), =HYPERLINK("CSG1.html#group18C1", "18C¹"), =HYPERLINK("CSG1.html#group9A1", "9A¹"), =HYPERLINK("CSG0.html#group3C0", "3C⁰"), =HYPERLINK("CSG1.html#group9C1", "9C¹"), =HYPERLINK("CSG4.html#group54C4", "54C⁴"), =HYPERLINK("CSG1.html#group6A1", "6A¹"), =HYPERLINK("CSG4.html#group18E4", "18E⁴"), =HYPERLINK("CSG0.html#group3A0", "3A⁰"), =HYPERLINK("CSG0.html#group3D0", "3D⁰"), =HYPERLINK("CSG5.html#group54B5", "54B⁵")</f>
        <v/>
      </c>
      <c r="N3382" t="inlineStr"/>
    </row>
    <row r="3383">
      <c r="A3383" t="inlineStr">
        <is>
          <t>54J¹³</t>
        </is>
      </c>
      <c r="B3383" t="inlineStr"/>
      <c r="C3383" t="inlineStr">
        <is>
          <t>216</t>
        </is>
      </c>
      <c r="D3383" t="inlineStr">
        <is>
          <t>1</t>
        </is>
      </c>
      <c r="E3383" t="inlineStr">
        <is>
          <t>24</t>
        </is>
      </c>
      <c r="F3383" t="inlineStr">
        <is>
          <t>0</t>
        </is>
      </c>
      <c r="G3383" t="inlineStr">
        <is>
          <t>0</t>
        </is>
      </c>
      <c r="H3383" t="inlineStr">
        <is>
          <t>6⁹, 54³</t>
        </is>
      </c>
      <c r="I3383" t="n">
        <v>12</v>
      </c>
      <c r="J3383" t="inlineStr">
        <is>
          <t>2⁶, 6²</t>
        </is>
      </c>
      <c r="K3383">
        <f>HYPERLINK("CSG3.html#group54B3", "54B³"), =HYPERLINK("CSG4.html#group18G4", "18G⁴"), =HYPERLINK("CSG4.html#group54A4", "54A⁴"), =HYPERLINK("CSG5.html#group54B5", "54B⁵")</f>
        <v/>
      </c>
      <c r="L3383" t="inlineStr"/>
      <c r="M3383">
        <f>HYPERLINK("CSG0.html#group3B0", "3B⁰"), =HYPERLINK("CSG0.html#group2A0", "2A⁰"), =HYPERLINK("CSG1.html#group27A1", "27A¹"), =HYPERLINK("CSG0.html#group6A0", "6A⁰"), =HYPERLINK("CSG1.html#group18D1", "18D¹"), =HYPERLINK("CSG3.html#group54B3", "54B³"), =HYPERLINK("CSG1.html#group18C1", "18C¹"), =HYPERLINK("CSG0.html#group6C0", "6C⁰"), =HYPERLINK("CSG2.html#group18C2", "18C²"), =HYPERLINK("CSG0.html#group6J0", "6J⁰"), =HYPERLINK("CSG0.html#group9B0", "9B⁰"), =HYPERLINK("CSG4.html#group54A4", "54A⁴"), =HYPERLINK("CSG0.html#group1A0", "1A⁰"), =HYPERLINK("CSG5.html#group54B5", "54B⁵"), =HYPERLINK("CSG4.html#group18G4", "18G⁴")</f>
        <v/>
      </c>
      <c r="N3383" t="inlineStr"/>
    </row>
    <row r="3384">
      <c r="A3384" t="inlineStr">
        <is>
          <t>54K¹³</t>
        </is>
      </c>
      <c r="B3384" t="inlineStr"/>
      <c r="C3384" t="inlineStr">
        <is>
          <t>216</t>
        </is>
      </c>
      <c r="D3384" t="inlineStr">
        <is>
          <t>1</t>
        </is>
      </c>
      <c r="E3384" t="inlineStr">
        <is>
          <t>24</t>
        </is>
      </c>
      <c r="F3384" t="inlineStr">
        <is>
          <t>0</t>
        </is>
      </c>
      <c r="G3384" t="inlineStr">
        <is>
          <t>0</t>
        </is>
      </c>
      <c r="H3384" t="inlineStr">
        <is>
          <t>6⁹, 54³</t>
        </is>
      </c>
      <c r="I3384" t="n">
        <v>12</v>
      </c>
      <c r="J3384" t="inlineStr">
        <is>
          <t>2⁶, 6²</t>
        </is>
      </c>
      <c r="K3384">
        <f>HYPERLINK("CSG3.html#group54B3", "54B³"), =HYPERLINK("CSG4.html#group18G4", "18G⁴"), =HYPERLINK("CSG4.html#group54C4", "54C⁴"), =HYPERLINK("CSG5.html#group54A5", "54A⁵")</f>
        <v/>
      </c>
      <c r="L3384" t="inlineStr"/>
      <c r="M3384">
        <f>HYPERLINK("CSG0.html#group3B0", "3B⁰"), =HYPERLINK("CSG0.html#group2A0", "2A⁰"), =HYPERLINK("CSG2.html#group27A2", "27A²"), =HYPERLINK("CSG0.html#group6A0", "6A⁰"), =HYPERLINK("CSG1.html#group18D1", "18D¹"), =HYPERLINK("CSG3.html#group54B3", "54B³"), =HYPERLINK("CSG1.html#group18C1", "18C¹"), =HYPERLINK("CSG0.html#group6C0", "6C⁰"), =HYPERLINK("CSG2.html#group18C2", "18C²"), =HYPERLINK("CSG0.html#group6J0", "6J⁰"), =HYPERLINK("CSG0.html#group9B0", "9B⁰"), =HYPERLINK("CSG4.html#group54C4", "54C⁴"), =HYPERLINK("CSG0.html#group1A0", "1A⁰"), =HYPERLINK("CSG5.html#group54A5", "54A⁵"), =HYPERLINK("CSG4.html#group18G4", "18G⁴")</f>
        <v/>
      </c>
      <c r="N3384" t="inlineStr"/>
    </row>
    <row r="3385">
      <c r="A3385" t="inlineStr">
        <is>
          <t>54L¹³</t>
        </is>
      </c>
      <c r="B3385" t="inlineStr"/>
      <c r="C3385" t="inlineStr">
        <is>
          <t>216</t>
        </is>
      </c>
      <c r="D3385" t="inlineStr">
        <is>
          <t>1</t>
        </is>
      </c>
      <c r="E3385" t="inlineStr">
        <is>
          <t>24</t>
        </is>
      </c>
      <c r="F3385" t="inlineStr">
        <is>
          <t>0</t>
        </is>
      </c>
      <c r="G3385" t="inlineStr">
        <is>
          <t>0</t>
        </is>
      </c>
      <c r="H3385" t="inlineStr">
        <is>
          <t>6⁹, 54³</t>
        </is>
      </c>
      <c r="I3385" t="n">
        <v>12</v>
      </c>
      <c r="J3385" t="inlineStr">
        <is>
          <t>1⁴, 2⁴, 6²</t>
        </is>
      </c>
      <c r="K3385">
        <f>HYPERLINK("CSG3.html#group18I3", "18I³"), =HYPERLINK("CSG3.html#group54A3", "54A³"), =HYPERLINK("CSG5.html#group54B5", "54B⁵")</f>
        <v/>
      </c>
      <c r="L3385" t="inlineStr"/>
      <c r="M3385">
        <f>HYPERLINK("CSG0.html#group3B0", "3B⁰"), =HYPERLINK("CSG0.html#group2A0", "2A⁰"), =HYPERLINK("CSG1.html#group18C1", "18C¹"), =HYPERLINK("CSG0.html#group6C0", "6C⁰"), =HYPERLINK("CSG0.html#group9B0", "9B⁰"), =HYPERLINK("CSG0.html#group27A0", "27A⁰"), =HYPERLINK("CSG3.html#group54A3", "54A³"), =HYPERLINK("CSG3.html#group18I3", "18I³"), =HYPERLINK("CSG0.html#group1A0", "1A⁰"), =HYPERLINK("CSG5.html#group54B5", "54B⁵")</f>
        <v/>
      </c>
      <c r="N3385" t="inlineStr"/>
    </row>
    <row r="3386">
      <c r="A3386" t="inlineStr">
        <is>
          <t>54M¹³</t>
        </is>
      </c>
      <c r="B3386" t="inlineStr"/>
      <c r="C3386" t="inlineStr">
        <is>
          <t>216</t>
        </is>
      </c>
      <c r="D3386" t="inlineStr">
        <is>
          <t>1</t>
        </is>
      </c>
      <c r="E3386" t="inlineStr">
        <is>
          <t>24</t>
        </is>
      </c>
      <c r="F3386" t="inlineStr">
        <is>
          <t>0</t>
        </is>
      </c>
      <c r="G3386" t="inlineStr">
        <is>
          <t>0</t>
        </is>
      </c>
      <c r="H3386" t="inlineStr">
        <is>
          <t>6⁹, 54³</t>
        </is>
      </c>
      <c r="I3386" t="n">
        <v>12</v>
      </c>
      <c r="J3386" t="inlineStr">
        <is>
          <t>1⁴, 2⁴, 6²</t>
        </is>
      </c>
      <c r="K3386">
        <f>HYPERLINK("CSG3.html#group18I3", "18I³"), =HYPERLINK("CSG4.html#group54C4", "54C⁴"), =HYPERLINK("CSG5.html#group54A5", "54A⁵")</f>
        <v/>
      </c>
      <c r="L3386" t="inlineStr"/>
      <c r="M3386">
        <f>HYPERLINK("CSG0.html#group3B0", "3B⁰"), =HYPERLINK("CSG0.html#group2A0", "2A⁰"), =HYPERLINK("CSG2.html#group27A2", "27A²"), =HYPERLINK("CSG1.html#group18C1", "18C¹"), =HYPERLINK("CSG0.html#group6C0", "6C⁰"), =HYPERLINK("CSG0.html#group9B0", "9B⁰"), =HYPERLINK("CSG4.html#group54C4", "54C⁴"), =HYPERLINK("CSG3.html#group18I3", "18I³"), =HYPERLINK("CSG0.html#group1A0", "1A⁰"), =HYPERLINK("CSG5.html#group54A5", "54A⁵")</f>
        <v/>
      </c>
      <c r="N3386" t="inlineStr"/>
    </row>
    <row r="3387">
      <c r="A3387" t="inlineStr">
        <is>
          <t>54N¹³</t>
        </is>
      </c>
      <c r="B3387" t="inlineStr"/>
      <c r="C3387" t="inlineStr">
        <is>
          <t>216</t>
        </is>
      </c>
      <c r="D3387" t="inlineStr">
        <is>
          <t>1</t>
        </is>
      </c>
      <c r="E3387" t="inlineStr">
        <is>
          <t>24</t>
        </is>
      </c>
      <c r="F3387" t="inlineStr">
        <is>
          <t>0</t>
        </is>
      </c>
      <c r="G3387" t="inlineStr">
        <is>
          <t>9</t>
        </is>
      </c>
      <c r="H3387" t="inlineStr">
        <is>
          <t>18³, 54³</t>
        </is>
      </c>
      <c r="I3387" t="n">
        <v>6</v>
      </c>
      <c r="J3387" t="inlineStr">
        <is>
          <t>2⁶, 6²</t>
        </is>
      </c>
      <c r="K3387">
        <f>HYPERLINK("CSG2.html#group18N2", "18N²"), =HYPERLINK("CSG3.html#group54C3", "54C³"), =HYPERLINK("CSG4.html#group54D4", "54D⁴")</f>
        <v/>
      </c>
      <c r="L3387" t="inlineStr"/>
      <c r="M3387">
        <f>HYPERLINK("CSG0.html#group3B0", "3B⁰"), =HYPERLINK("CSG0.html#group2A0", "2A⁰"), =HYPERLINK("CSG0.html#group9J0", "9J⁰"), =HYPERLINK("CSG0.html#group18B0", "18B⁰"), =HYPERLINK("CSG2.html#group18N2", "18N²"), =HYPERLINK("CSG0.html#group6C0", "6C⁰"), =HYPERLINK("CSG4.html#group54D4", "54D⁴"), =HYPERLINK("CSG0.html#group9C0", "9C⁰"), =HYPERLINK("CSG0.html#group1A0", "1A⁰"), =HYPERLINK("CSG3.html#group54C3", "54C³")</f>
        <v/>
      </c>
      <c r="N3387" t="inlineStr"/>
    </row>
    <row r="3388">
      <c r="A3388" t="inlineStr">
        <is>
          <t>54O¹³</t>
        </is>
      </c>
      <c r="B3388" t="inlineStr"/>
      <c r="C3388" t="inlineStr">
        <is>
          <t>216</t>
        </is>
      </c>
      <c r="D3388" t="inlineStr">
        <is>
          <t>1</t>
        </is>
      </c>
      <c r="E3388" t="inlineStr">
        <is>
          <t>24</t>
        </is>
      </c>
      <c r="F3388" t="inlineStr">
        <is>
          <t>0</t>
        </is>
      </c>
      <c r="G3388" t="inlineStr">
        <is>
          <t>9</t>
        </is>
      </c>
      <c r="H3388" t="inlineStr">
        <is>
          <t>18³, 54³</t>
        </is>
      </c>
      <c r="I3388" t="n">
        <v>6</v>
      </c>
      <c r="J3388" t="inlineStr">
        <is>
          <t>2⁶, 6²</t>
        </is>
      </c>
      <c r="K3388">
        <f>HYPERLINK("CSG2.html#group18N2", "18N²"), =HYPERLINK("CSG3.html#group54C3", "54C³"), =HYPERLINK("CSG5.html#group54C5", "54C⁵")</f>
        <v/>
      </c>
      <c r="L3388" t="inlineStr"/>
      <c r="M3388">
        <f>HYPERLINK("CSG0.html#group3B0", "3B⁰"), =HYPERLINK("CSG0.html#group2A0", "2A⁰"), =HYPERLINK("CSG0.html#group9J0", "9J⁰"), =HYPERLINK("CSG0.html#group18B0", "18B⁰"), =HYPERLINK("CSG2.html#group18N2", "18N²"), =HYPERLINK("CSG0.html#group6C0", "6C⁰"), =HYPERLINK("CSG5.html#group54C5", "54C⁵"), =HYPERLINK("CSG0.html#group9C0", "9C⁰"), =HYPERLINK("CSG0.html#group1A0", "1A⁰"), =HYPERLINK("CSG3.html#group54C3", "54C³")</f>
        <v/>
      </c>
      <c r="N3388" t="inlineStr"/>
    </row>
    <row r="3389">
      <c r="A3389" t="inlineStr">
        <is>
          <t>54P¹³</t>
        </is>
      </c>
      <c r="B3389" t="inlineStr"/>
      <c r="C3389" t="inlineStr">
        <is>
          <t>216</t>
        </is>
      </c>
      <c r="D3389" t="inlineStr">
        <is>
          <t>1</t>
        </is>
      </c>
      <c r="E3389" t="inlineStr">
        <is>
          <t>24</t>
        </is>
      </c>
      <c r="F3389" t="inlineStr">
        <is>
          <t>0</t>
        </is>
      </c>
      <c r="G3389" t="inlineStr">
        <is>
          <t>9</t>
        </is>
      </c>
      <c r="H3389" t="inlineStr">
        <is>
          <t>18³, 54³</t>
        </is>
      </c>
      <c r="I3389" t="n">
        <v>6</v>
      </c>
      <c r="J3389" t="inlineStr">
        <is>
          <t>2⁶, 6²</t>
        </is>
      </c>
      <c r="K3389">
        <f>HYPERLINK("CSG1.html#group18K1", "18K¹"), =HYPERLINK("CSG3.html#group54C3", "54C³"), =HYPERLINK("CSG4.html#group54B4", "54B⁴"), =HYPERLINK("CSG5.html#group54C5", "54C⁵")</f>
        <v/>
      </c>
      <c r="L3389" t="inlineStr"/>
      <c r="M3389">
        <f>HYPERLINK("CSG0.html#group18C0", "18C⁰"), =HYPERLINK("CSG0.html#group3B0", "3B⁰"), =HYPERLINK("CSG0.html#group2A0", "2A⁰"), =HYPERLINK("CSG0.html#group6A0", "6A⁰"), =HYPERLINK("CSG2.html#group27B2", "27B²"), =HYPERLINK("CSG1.html#group18K1", "18K¹"), =HYPERLINK("CSG0.html#group18B0", "18B⁰"), =HYPERLINK("CSG0.html#group6C0", "6C⁰"), =HYPERLINK("CSG4.html#group54B4", "54B⁴"), =HYPERLINK("CSG0.html#group6J0", "6J⁰"), =HYPERLINK("CSG5.html#group54C5", "54C⁵"), =HYPERLINK("CSG0.html#group9C0", "9C⁰"), =HYPERLINK("CSG0.html#group1A0", "1A⁰"), =HYPERLINK("CSG3.html#group54C3", "54C³"), =HYPERLINK("CSG1.html#group18D1", "18D¹")</f>
        <v/>
      </c>
      <c r="N3389" t="inlineStr"/>
    </row>
    <row r="3390">
      <c r="A3390" t="inlineStr">
        <is>
          <t>54Q¹³</t>
        </is>
      </c>
      <c r="B3390" t="inlineStr"/>
      <c r="C3390" t="inlineStr">
        <is>
          <t>216</t>
        </is>
      </c>
      <c r="D3390" t="inlineStr">
        <is>
          <t>2</t>
        </is>
      </c>
      <c r="E3390" t="inlineStr">
        <is>
          <t>24</t>
        </is>
      </c>
      <c r="F3390" t="inlineStr">
        <is>
          <t>0</t>
        </is>
      </c>
      <c r="G3390" t="inlineStr">
        <is>
          <t>0</t>
        </is>
      </c>
      <c r="H3390" t="inlineStr">
        <is>
          <t>6⁹, 54³</t>
        </is>
      </c>
      <c r="I3390" t="n">
        <v>12</v>
      </c>
      <c r="J3390" t="inlineStr">
        <is>
          <t>2¹², 6⁴</t>
        </is>
      </c>
      <c r="K3390">
        <f>HYPERLINK("CSG3.html#group18I3", "18I³"), =HYPERLINK("CSG3.html#group54B3", "54B³"), =HYPERLINK("CSG5.html#group54A5", "54A⁵"), =HYPERLINK("CSG5.html#group54B5", "54B⁵")</f>
        <v/>
      </c>
      <c r="L3390" t="inlineStr"/>
      <c r="M3390">
        <f>HYPERLINK("CSG0.html#group3B0", "3B⁰"), =HYPERLINK("CSG0.html#group2A0", "2A⁰"), =HYPERLINK("CSG2.html#group27A2", "27A²"), =HYPERLINK("CSG3.html#group54B3", "54B³"), =HYPERLINK("CSG1.html#group18C1", "18C¹"), =HYPERLINK("CSG0.html#group6C0", "6C⁰"), =HYPERLINK("CSG0.html#group9B0", "9B⁰"), =HYPERLINK("CSG3.html#group18I3", "18I³"), =HYPERLINK("CSG0.html#group1A0", "1A⁰"), =HYPERLINK("CSG5.html#group54A5", "54A⁵"), =HYPERLINK("CSG5.html#group54B5", "54B⁵")</f>
        <v/>
      </c>
      <c r="N3390" t="inlineStr"/>
    </row>
    <row r="3391">
      <c r="A3391" t="inlineStr">
        <is>
          <t>54R¹³</t>
        </is>
      </c>
      <c r="B3391" t="inlineStr"/>
      <c r="C3391" t="inlineStr">
        <is>
          <t>216</t>
        </is>
      </c>
      <c r="D3391" t="inlineStr">
        <is>
          <t>2</t>
        </is>
      </c>
      <c r="E3391" t="inlineStr">
        <is>
          <t>24</t>
        </is>
      </c>
      <c r="F3391" t="inlineStr">
        <is>
          <t>0</t>
        </is>
      </c>
      <c r="G3391" t="inlineStr">
        <is>
          <t>0</t>
        </is>
      </c>
      <c r="H3391" t="inlineStr">
        <is>
          <t>6⁹, 54³</t>
        </is>
      </c>
      <c r="I3391" t="n">
        <v>12</v>
      </c>
      <c r="J3391" t="inlineStr">
        <is>
          <t>2¹², 6⁴</t>
        </is>
      </c>
      <c r="K3391">
        <f>HYPERLINK("CSG3.html#group18I3", "18I³"), =HYPERLINK("CSG4.html#group54A4", "54A⁴"), =HYPERLINK("CSG4.html#group54C4", "54C⁴"), =HYPERLINK("CSG5.html#group54B5", "54B⁵")</f>
        <v/>
      </c>
      <c r="L3391" t="inlineStr"/>
      <c r="M3391">
        <f>HYPERLINK("CSG0.html#group3B0", "3B⁰"), =HYPERLINK("CSG0.html#group2A0", "2A⁰"), =HYPERLINK("CSG1.html#group27A1", "27A¹"), =HYPERLINK("CSG1.html#group18C1", "18C¹"), =HYPERLINK("CSG0.html#group6C0", "6C⁰"), =HYPERLINK("CSG0.html#group9B0", "9B⁰"), =HYPERLINK("CSG4.html#group54C4", "54C⁴"), =HYPERLINK("CSG4.html#group54A4", "54A⁴"), =HYPERLINK("CSG3.html#group18I3", "18I³"), =HYPERLINK("CSG0.html#group1A0", "1A⁰"), =HYPERLINK("CSG5.html#group54B5", "54B⁵")</f>
        <v/>
      </c>
      <c r="N3391" t="inlineStr"/>
    </row>
    <row r="3392">
      <c r="A3392" t="inlineStr">
        <is>
          <t>54S¹³</t>
        </is>
      </c>
      <c r="B3392" t="inlineStr"/>
      <c r="C3392" t="inlineStr">
        <is>
          <t>216</t>
        </is>
      </c>
      <c r="D3392" t="inlineStr">
        <is>
          <t>2</t>
        </is>
      </c>
      <c r="E3392" t="inlineStr">
        <is>
          <t>24</t>
        </is>
      </c>
      <c r="F3392" t="inlineStr">
        <is>
          <t>0</t>
        </is>
      </c>
      <c r="G3392" t="inlineStr">
        <is>
          <t>9</t>
        </is>
      </c>
      <c r="H3392" t="inlineStr">
        <is>
          <t>18³, 54³</t>
        </is>
      </c>
      <c r="I3392" t="n">
        <v>6</v>
      </c>
      <c r="J3392" t="inlineStr">
        <is>
          <t>2¹², 6⁴</t>
        </is>
      </c>
      <c r="K3392">
        <f>HYPERLINK("CSG2.html#group18O2", "18O²"), =HYPERLINK("CSG2.html#group54A2", "54A²"), =HYPERLINK("CSG4.html#group54D4", "54D⁴"), =HYPERLINK("CSG5.html#group54C5", "54C⁵")</f>
        <v/>
      </c>
      <c r="L3392" t="inlineStr"/>
      <c r="M3392">
        <f>HYPERLINK("CSG0.html#group3B0", "3B⁰"), =HYPERLINK("CSG0.html#group2A0", "2A⁰"), =HYPERLINK("CSG0.html#group18B0", "18B⁰"), =HYPERLINK("CSG0.html#group6C0", "6C⁰"), =HYPERLINK("CSG0.html#group9C0", "9C⁰"), =HYPERLINK("CSG4.html#group54D4", "54D⁴"), =HYPERLINK("CSG1.html#group27B1", "27B¹"), =HYPERLINK("CSG2.html#group54A2", "54A²"), =HYPERLINK("CSG5.html#group54C5", "54C⁵"), =HYPERLINK("CSG2.html#group18O2", "18O²"), =HYPERLINK("CSG0.html#group1A0", "1A⁰")</f>
        <v/>
      </c>
      <c r="N3392" t="inlineStr"/>
    </row>
    <row r="3393">
      <c r="A3393" t="inlineStr">
        <is>
          <t>54T¹³</t>
        </is>
      </c>
      <c r="B3393" t="inlineStr"/>
      <c r="C3393" t="inlineStr">
        <is>
          <t>216</t>
        </is>
      </c>
      <c r="D3393" t="inlineStr">
        <is>
          <t>2</t>
        </is>
      </c>
      <c r="E3393" t="inlineStr">
        <is>
          <t>24</t>
        </is>
      </c>
      <c r="F3393" t="inlineStr">
        <is>
          <t>0</t>
        </is>
      </c>
      <c r="G3393" t="inlineStr">
        <is>
          <t>9</t>
        </is>
      </c>
      <c r="H3393" t="inlineStr">
        <is>
          <t>18³, 54³</t>
        </is>
      </c>
      <c r="I3393" t="n">
        <v>6</v>
      </c>
      <c r="J3393" t="inlineStr">
        <is>
          <t>2¹², 6⁴</t>
        </is>
      </c>
      <c r="K3393">
        <f>HYPERLINK("CSG2.html#group18O2", "18O²"), =HYPERLINK("CSG3.html#group54C3", "54C³"), =HYPERLINK("CSG4.html#group54B4", "54B⁴"), =HYPERLINK("CSG4.html#group54D4", "54D⁴")</f>
        <v/>
      </c>
      <c r="L3393" t="inlineStr"/>
      <c r="M3393">
        <f>HYPERLINK("CSG0.html#group3B0", "3B⁰"), =HYPERLINK("CSG0.html#group2A0", "2A⁰"), =HYPERLINK("CSG2.html#group27B2", "27B²"), =HYPERLINK("CSG0.html#group18B0", "18B⁰"), =HYPERLINK("CSG0.html#group6C0", "6C⁰"), =HYPERLINK("CSG4.html#group54B4", "54B⁴"), =HYPERLINK("CSG0.html#group9C0", "9C⁰"), =HYPERLINK("CSG4.html#group54D4", "54D⁴"), =HYPERLINK("CSG2.html#group18O2", "18O²"), =HYPERLINK("CSG0.html#group1A0", "1A⁰"), =HYPERLINK("CSG3.html#group54C3", "54C³")</f>
        <v/>
      </c>
      <c r="N3393" t="inlineStr"/>
    </row>
    <row r="3394">
      <c r="A3394" t="inlineStr">
        <is>
          <t>55A¹³</t>
        </is>
      </c>
      <c r="B3394" t="inlineStr"/>
      <c r="C3394" t="inlineStr">
        <is>
          <t>180</t>
        </is>
      </c>
      <c r="D3394" t="inlineStr">
        <is>
          <t>1</t>
        </is>
      </c>
      <c r="E3394" t="inlineStr">
        <is>
          <t>60</t>
        </is>
      </c>
      <c r="F3394" t="inlineStr">
        <is>
          <t>0</t>
        </is>
      </c>
      <c r="G3394" t="inlineStr">
        <is>
          <t>0</t>
        </is>
      </c>
      <c r="H3394" t="inlineStr">
        <is>
          <t>5³, 55³</t>
        </is>
      </c>
      <c r="I3394" t="n">
        <v>6</v>
      </c>
      <c r="J3394" t="inlineStr">
        <is>
          <t>1², 4², 10¹, 40¹</t>
        </is>
      </c>
      <c r="K3394">
        <f>HYPERLINK("CSG0.html#group5E0", "5E⁰"), =HYPERLINK("CSG5.html#group55A5", "55A⁵")</f>
        <v/>
      </c>
      <c r="L3394" t="inlineStr"/>
      <c r="M3394">
        <f>HYPERLINK("CSG0.html#group5E0", "5E⁰"), =HYPERLINK("CSG0.html#group5A0", "5A⁰"), =HYPERLINK("CSG5.html#group55A5", "55A⁵"), =HYPERLINK("CSG0.html#group1A0", "1A⁰"), =HYPERLINK("CSG1.html#group11A1", "11A¹")</f>
        <v/>
      </c>
      <c r="N3394" t="inlineStr"/>
    </row>
    <row r="3395">
      <c r="A3395" t="inlineStr">
        <is>
          <t>56A¹³</t>
        </is>
      </c>
      <c r="B3395" t="inlineStr"/>
      <c r="C3395" t="inlineStr">
        <is>
          <t>168</t>
        </is>
      </c>
      <c r="D3395" t="inlineStr">
        <is>
          <t>2</t>
        </is>
      </c>
      <c r="E3395" t="inlineStr">
        <is>
          <t>21</t>
        </is>
      </c>
      <c r="F3395" t="inlineStr">
        <is>
          <t>0</t>
        </is>
      </c>
      <c r="G3395" t="inlineStr">
        <is>
          <t>0</t>
        </is>
      </c>
      <c r="H3395" t="inlineStr">
        <is>
          <t>28², 56²</t>
        </is>
      </c>
      <c r="I3395" t="n">
        <v>4</v>
      </c>
      <c r="J3395" t="inlineStr">
        <is>
          <t>2³, 6⁶</t>
        </is>
      </c>
      <c r="K3395">
        <f>HYPERLINK("CSG4.html#group28C4", "28C⁴"), =HYPERLINK("CSG6.html#group56A6", "56A⁶"), =HYPERLINK("CSG7.html#group56A7", "56A⁷")</f>
        <v/>
      </c>
      <c r="L3395" t="inlineStr"/>
      <c r="M3395">
        <f>HYPERLINK("CSG2.html#group28C2", "28C²"), =HYPERLINK("CSG0.html#group14A0", "14A⁰"), =HYPERLINK("CSG1.html#group8A1", "8A¹"), =HYPERLINK("CSG7.html#group56A7", "56A⁷"), =HYPERLINK("CSG4.html#group28C4", "28C⁴"), =HYPERLINK("CSG1.html#group14B1", "14B¹"), =HYPERLINK("CSG2.html#group14C2", "14C²"), =HYPERLINK("CSG0.html#group4C0", "4C⁰"), =HYPERLINK("CSG0.html#group2B0", "2B⁰"), =HYPERLINK("CSG0.html#group1A0", "1A⁰"), =HYPERLINK("CSG6.html#group56A6", "56A⁶"), =HYPERLINK("CSG2.html#group28B2", "28B²"), =HYPERLINK("CSG0.html#group7A0", "7A⁰")</f>
        <v/>
      </c>
      <c r="N3395" t="inlineStr"/>
    </row>
    <row r="3396">
      <c r="A3396" t="inlineStr">
        <is>
          <t>56B¹³</t>
        </is>
      </c>
      <c r="B3396" t="inlineStr"/>
      <c r="C3396" t="inlineStr">
        <is>
          <t>168</t>
        </is>
      </c>
      <c r="D3396" t="inlineStr">
        <is>
          <t>2</t>
        </is>
      </c>
      <c r="E3396" t="inlineStr">
        <is>
          <t>21</t>
        </is>
      </c>
      <c r="F3396" t="inlineStr">
        <is>
          <t>0</t>
        </is>
      </c>
      <c r="G3396" t="inlineStr">
        <is>
          <t>0</t>
        </is>
      </c>
      <c r="H3396" t="inlineStr">
        <is>
          <t>28², 56²</t>
        </is>
      </c>
      <c r="I3396" t="n">
        <v>4</v>
      </c>
      <c r="J3396" t="inlineStr">
        <is>
          <t>2³, 6⁶</t>
        </is>
      </c>
      <c r="K3396">
        <f>HYPERLINK("CSG5.html#group28B5", "28B⁵"), =HYPERLINK("CSG5.html#group56A5", "56A⁵"), =HYPERLINK("CSG7.html#group56A7", "56A⁷")</f>
        <v/>
      </c>
      <c r="L3396" t="inlineStr"/>
      <c r="M3396">
        <f>HYPERLINK("CSG2.html#group28C2", "28C²"), =HYPERLINK("CSG2.html#group14A2", "14A²"), =HYPERLINK("CSG7.html#group56A7", "56A⁷"), =HYPERLINK("CSG1.html#group8A1", "8A¹"), =HYPERLINK("CSG1.html#group14B1", "14B¹"), =HYPERLINK("CSG0.html#group7C0", "7C⁰"), =HYPERLINK("CSG0.html#group4C0", "4C⁰"), =HYPERLINK("CSG0.html#group2B0", "2B⁰"), =HYPERLINK("CSG5.html#group56A5", "56A⁵"), =HYPERLINK("CSG3.html#group28B3", "28B³"), =HYPERLINK("CSG5.html#group28B5", "28B⁵"), =HYPERLINK("CSG0.html#group1A0", "1A⁰"), =HYPERLINK("CSG0.html#group7A0", "7A⁰")</f>
        <v/>
      </c>
      <c r="N3396" t="inlineStr"/>
    </row>
    <row r="3397">
      <c r="A3397" t="inlineStr">
        <is>
          <t>56C¹³</t>
        </is>
      </c>
      <c r="B3397" t="inlineStr"/>
      <c r="C3397" t="inlineStr">
        <is>
          <t>168</t>
        </is>
      </c>
      <c r="D3397" t="inlineStr">
        <is>
          <t>2</t>
        </is>
      </c>
      <c r="E3397" t="inlineStr">
        <is>
          <t>21</t>
        </is>
      </c>
      <c r="F3397" t="inlineStr">
        <is>
          <t>0</t>
        </is>
      </c>
      <c r="G3397" t="inlineStr">
        <is>
          <t>0</t>
        </is>
      </c>
      <c r="H3397" t="inlineStr">
        <is>
          <t>28², 56²</t>
        </is>
      </c>
      <c r="I3397" t="n">
        <v>4</v>
      </c>
      <c r="J3397" t="inlineStr">
        <is>
          <t>2³, 6⁶</t>
        </is>
      </c>
      <c r="K3397">
        <f>HYPERLINK("CSG5.html#group56A5", "56A⁵"), =HYPERLINK("CSG6.html#group28C6", "28C⁶"), =HYPERLINK("CSG6.html#group56A6", "56A⁶")</f>
        <v/>
      </c>
      <c r="L3397" t="inlineStr"/>
      <c r="M3397">
        <f>HYPERLINK("CSG0.html#group2A0", "2A⁰"), =HYPERLINK("CSG1.html#group14B1", "14B¹"), =HYPERLINK("CSG3.html#group14B3", "14B³"), =HYPERLINK("CSG0.html#group4C0", "4C⁰"), =HYPERLINK("CSG1.html#group14A1", "14A¹"), =HYPERLINK("CSG3.html#group28A3", "28A³"), =HYPERLINK("CSG0.html#group2B0", "2B⁰"), =HYPERLINK("CSG0.html#group4E0", "4E⁰"), =HYPERLINK("CSG0.html#group4B0", "4B⁰"), =HYPERLINK("CSG0.html#group1A0", "1A⁰"), =HYPERLINK("CSG6.html#group56A6", "56A⁶"), =HYPERLINK("CSG2.html#group28C2", "28C²"), =HYPERLINK("CSG6.html#group28C6", "28C⁶"), =HYPERLINK("CSG5.html#group56A5", "56A⁵"), =HYPERLINK("CSG0.html#group2C0", "2C⁰"), =HYPERLINK("CSG0.html#group7A0", "7A⁰")</f>
        <v/>
      </c>
      <c r="N3397" t="inlineStr"/>
    </row>
    <row r="3398">
      <c r="A3398" t="inlineStr">
        <is>
          <t>56D¹³</t>
        </is>
      </c>
      <c r="B3398" t="inlineStr"/>
      <c r="C3398" t="inlineStr">
        <is>
          <t>168</t>
        </is>
      </c>
      <c r="D3398" t="inlineStr">
        <is>
          <t>2</t>
        </is>
      </c>
      <c r="E3398" t="inlineStr">
        <is>
          <t>21</t>
        </is>
      </c>
      <c r="F3398" t="inlineStr">
        <is>
          <t>0</t>
        </is>
      </c>
      <c r="G3398" t="inlineStr">
        <is>
          <t>0</t>
        </is>
      </c>
      <c r="H3398" t="inlineStr">
        <is>
          <t>28², 56²</t>
        </is>
      </c>
      <c r="I3398" t="n">
        <v>4</v>
      </c>
      <c r="J3398" t="inlineStr">
        <is>
          <t>2³, 6⁶</t>
        </is>
      </c>
      <c r="K3398">
        <f>HYPERLINK("CSG1.html#group8B1", "8B¹"), =HYPERLINK("CSG4.html#group56B4", "56B⁴"), =HYPERLINK("CSG6.html#group28C6", "28C⁶"), =HYPERLINK("CSG7.html#group56A7", "56A⁷")</f>
        <v/>
      </c>
      <c r="L3398" t="inlineStr"/>
      <c r="M3398">
        <f>HYPERLINK("CSG0.html#group2A0", "2A⁰"), =HYPERLINK("CSG1.html#group8A1", "8A¹"), =HYPERLINK("CSG7.html#group56A7", "56A⁷"), =HYPERLINK("CSG3.html#group14B3", "14B³"), =HYPERLINK("CSG1.html#group14B1", "14B¹"), =HYPERLINK("CSG0.html#group4C0", "4C⁰"), =HYPERLINK("CSG1.html#group14A1", "14A¹"), =HYPERLINK("CSG0.html#group8B0", "8B⁰"), =HYPERLINK("CSG3.html#group28A3", "28A³"), =HYPERLINK("CSG0.html#group2B0", "2B⁰"), =HYPERLINK("CSG1.html#group8B1", "8B¹"), =HYPERLINK("CSG0.html#group4E0", "4E⁰"), =HYPERLINK("CSG0.html#group4B0", "4B⁰"), =HYPERLINK("CSG0.html#group1A0", "1A⁰"), =HYPERLINK("CSG2.html#group28C2", "28C²"), =HYPERLINK("CSG6.html#group28C6", "28C⁶"), =HYPERLINK("CSG0.html#group2C0", "2C⁰"), =HYPERLINK("CSG0.html#group7A0", "7A⁰"), =HYPERLINK("CSG4.html#group56B4", "56B⁴")</f>
        <v/>
      </c>
      <c r="N3398" t="inlineStr"/>
    </row>
    <row r="3399">
      <c r="A3399" t="inlineStr">
        <is>
          <t>56E¹³</t>
        </is>
      </c>
      <c r="B3399" t="inlineStr"/>
      <c r="C3399" t="inlineStr">
        <is>
          <t>168</t>
        </is>
      </c>
      <c r="D3399" t="inlineStr">
        <is>
          <t>2</t>
        </is>
      </c>
      <c r="E3399" t="inlineStr">
        <is>
          <t>42</t>
        </is>
      </c>
      <c r="F3399" t="inlineStr">
        <is>
          <t>0</t>
        </is>
      </c>
      <c r="G3399" t="inlineStr">
        <is>
          <t>0</t>
        </is>
      </c>
      <c r="H3399" t="inlineStr">
        <is>
          <t>28², 56²</t>
        </is>
      </c>
      <c r="I3399" t="n">
        <v>4</v>
      </c>
      <c r="J3399" t="inlineStr">
        <is>
          <t>2², 4², 6⁴, 12⁴</t>
        </is>
      </c>
      <c r="K3399">
        <f>HYPERLINK("CSG5.html#group28C5", "28C⁵"), =HYPERLINK("CSG5.html#group56B5", "56B⁵"), =HYPERLINK("CSG7.html#group56A7", "56A⁷")</f>
        <v/>
      </c>
      <c r="L3399" t="inlineStr"/>
      <c r="M3399">
        <f>HYPERLINK("CSG2.html#group28C2", "28C²"), =HYPERLINK("CSG5.html#group56B5", "56B⁵"), =HYPERLINK("CSG1.html#group8A1", "8A¹"), =HYPERLINK("CSG7.html#group56A7", "56A⁷"), =HYPERLINK("CSG1.html#group14B1", "14B¹"), =HYPERLINK("CSG0.html#group4C0", "4C⁰"), =HYPERLINK("CSG5.html#group28C5", "28C⁵"), =HYPERLINK("CSG0.html#group2B0", "2B⁰"), =HYPERLINK("CSG0.html#group1A0", "1A⁰"), =HYPERLINK("CSG0.html#group7A0", "7A⁰")</f>
        <v/>
      </c>
      <c r="N3399" t="inlineStr"/>
    </row>
    <row r="3400">
      <c r="A3400" t="inlineStr">
        <is>
          <t>56F¹³</t>
        </is>
      </c>
      <c r="B3400" t="inlineStr"/>
      <c r="C3400" t="inlineStr">
        <is>
          <t>168</t>
        </is>
      </c>
      <c r="D3400" t="inlineStr">
        <is>
          <t>2</t>
        </is>
      </c>
      <c r="E3400" t="inlineStr">
        <is>
          <t>42</t>
        </is>
      </c>
      <c r="F3400" t="inlineStr">
        <is>
          <t>0</t>
        </is>
      </c>
      <c r="G3400" t="inlineStr">
        <is>
          <t>0</t>
        </is>
      </c>
      <c r="H3400" t="inlineStr">
        <is>
          <t>28², 56²</t>
        </is>
      </c>
      <c r="I3400" t="n">
        <v>4</v>
      </c>
      <c r="J3400" t="inlineStr">
        <is>
          <t>2², 4², 6⁴, 12⁴</t>
        </is>
      </c>
      <c r="K3400">
        <f>HYPERLINK("CSG1.html#group8C1", "8C¹"), =HYPERLINK("CSG5.html#group28D5", "28D⁵"), =HYPERLINK("CSG5.html#group56C5", "56C⁵"), =HYPERLINK("CSG7.html#group56A7", "56A⁷")</f>
        <v/>
      </c>
      <c r="L3400" t="inlineStr"/>
      <c r="M3400">
        <f>HYPERLINK("CSG2.html#group28C2", "28C²"), =HYPERLINK("CSG5.html#group56C5", "56C⁵"), =HYPERLINK("CSG1.html#group8C1", "8C¹"), =HYPERLINK("CSG7.html#group56A7", "56A⁷"), =HYPERLINK("CSG1.html#group8A1", "8A¹"), =HYPERLINK("CSG1.html#group14B1", "14B¹"), =HYPERLINK("CSG0.html#group8D0", "8D⁰"), =HYPERLINK("CSG0.html#group4A0", "4A⁰"), =HYPERLINK("CSG5.html#group28D5", "28D⁵"), =HYPERLINK("CSG0.html#group4C0", "4C⁰"), =HYPERLINK("CSG0.html#group2B0", "2B⁰"), =HYPERLINK("CSG0.html#group4F0", "4F⁰"), =HYPERLINK("CSG1.html#group28A1", "28A¹"), =HYPERLINK("CSG0.html#group1A0", "1A⁰"), =HYPERLINK("CSG0.html#group7A0", "7A⁰")</f>
        <v/>
      </c>
      <c r="N3400" t="inlineStr"/>
    </row>
    <row r="3401">
      <c r="A3401" t="inlineStr">
        <is>
          <t>56G¹³</t>
        </is>
      </c>
      <c r="B3401" t="inlineStr"/>
      <c r="C3401" t="inlineStr">
        <is>
          <t>192</t>
        </is>
      </c>
      <c r="D3401" t="inlineStr">
        <is>
          <t>1</t>
        </is>
      </c>
      <c r="E3401" t="inlineStr">
        <is>
          <t>24</t>
        </is>
      </c>
      <c r="F3401" t="inlineStr">
        <is>
          <t>0</t>
        </is>
      </c>
      <c r="G3401" t="inlineStr">
        <is>
          <t>0</t>
        </is>
      </c>
      <c r="H3401" t="inlineStr">
        <is>
          <t>4², 8², 28², 56²</t>
        </is>
      </c>
      <c r="I3401" t="n">
        <v>8</v>
      </c>
      <c r="J3401" t="inlineStr">
        <is>
          <t>1⁶, 6³</t>
        </is>
      </c>
      <c r="K3401">
        <f>HYPERLINK("CSG5.html#group28E5", "28E⁵")</f>
        <v/>
      </c>
      <c r="L3401" t="inlineStr"/>
      <c r="M3401">
        <f>HYPERLINK("CSG0.html#group2A0", "2A⁰"), =HYPERLINK("CSG5.html#group28E5", "28E⁵"), =HYPERLINK("CSG3.html#group28C3", "28C³"), =HYPERLINK("CSG0.html#group7B0", "7B⁰"), =HYPERLINK("CSG2.html#group28D2", "28D²"), =HYPERLINK("CSG0.html#group4C0", "4C⁰"), =HYPERLINK("CSG1.html#group14C1", "14C¹"), =HYPERLINK("CSG0.html#group14B0", "14B⁰"), =HYPERLINK("CSG0.html#group2B0", "2B⁰"), =HYPERLINK("CSG0.html#group4E0", "4E⁰"), =HYPERLINK("CSG2.html#group14E2", "14E²"), =HYPERLINK("CSG0.html#group4B0", "4B⁰"), =HYPERLINK("CSG0.html#group1A0", "1A⁰"), =HYPERLINK("CSG0.html#group2C0", "2C⁰")</f>
        <v/>
      </c>
      <c r="N3401" t="inlineStr"/>
    </row>
    <row r="3402">
      <c r="A3402" t="inlineStr">
        <is>
          <t>56H¹³</t>
        </is>
      </c>
      <c r="B3402" t="inlineStr"/>
      <c r="C3402" t="inlineStr">
        <is>
          <t>192</t>
        </is>
      </c>
      <c r="D3402" t="inlineStr">
        <is>
          <t>1</t>
        </is>
      </c>
      <c r="E3402" t="inlineStr">
        <is>
          <t>24</t>
        </is>
      </c>
      <c r="F3402" t="inlineStr">
        <is>
          <t>0</t>
        </is>
      </c>
      <c r="G3402" t="inlineStr">
        <is>
          <t>0</t>
        </is>
      </c>
      <c r="H3402" t="inlineStr">
        <is>
          <t>4², 8², 28², 56²</t>
        </is>
      </c>
      <c r="I3402" t="n">
        <v>8</v>
      </c>
      <c r="J3402" t="inlineStr">
        <is>
          <t>1⁶, 6³</t>
        </is>
      </c>
      <c r="K3402">
        <f>HYPERLINK("CSG1.html#group8B1", "8B¹"), =HYPERLINK("CSG5.html#group28E5", "28E⁵"), =HYPERLINK("CSG7.html#group56B7", "56B⁷"), =HYPERLINK("CSG7.html#group56C7", "56C⁷")</f>
        <v/>
      </c>
      <c r="L3402" t="inlineStr"/>
      <c r="M3402">
        <f>HYPERLINK("CSG0.html#group2A0", "2A⁰"), =HYPERLINK("CSG1.html#group8A1", "8A¹"), =HYPERLINK("CSG2.html#group28D2", "28D²"), =HYPERLINK("CSG0.html#group4C0", "4C⁰"), =HYPERLINK("CSG0.html#group8B0", "8B⁰"), =HYPERLINK("CSG0.html#group2B0", "2B⁰"), =HYPERLINK("CSG1.html#group8B1", "8B¹"), =HYPERLINK("CSG0.html#group4E0", "4E⁰"), =HYPERLINK("CSG2.html#group14E2", "14E²"), =HYPERLINK("CSG0.html#group4B0", "4B⁰"), =HYPERLINK("CSG0.html#group1A0", "1A⁰"), =HYPERLINK("CSG7.html#group56B7", "56B⁷"), =HYPERLINK("CSG5.html#group28E5", "28E⁵"), =HYPERLINK("CSG0.html#group7B0", "7B⁰"), =HYPERLINK("CSG1.html#group14C1", "14C¹"), =HYPERLINK("CSG0.html#group14B0", "14B⁰"), =HYPERLINK("CSG7.html#group56C7", "56C⁷"), =HYPERLINK("CSG3.html#group28C3", "28C³"), =HYPERLINK("CSG0.html#group2C0", "2C⁰")</f>
        <v/>
      </c>
      <c r="N3402" t="inlineStr"/>
    </row>
    <row r="3403">
      <c r="A3403" t="inlineStr">
        <is>
          <t>56I¹³</t>
        </is>
      </c>
      <c r="B3403" t="inlineStr"/>
      <c r="C3403" t="inlineStr">
        <is>
          <t>192</t>
        </is>
      </c>
      <c r="D3403" t="inlineStr">
        <is>
          <t>1</t>
        </is>
      </c>
      <c r="E3403" t="inlineStr">
        <is>
          <t>48</t>
        </is>
      </c>
      <c r="F3403" t="inlineStr">
        <is>
          <t>0</t>
        </is>
      </c>
      <c r="G3403" t="inlineStr">
        <is>
          <t>0</t>
        </is>
      </c>
      <c r="H3403" t="inlineStr">
        <is>
          <t>4², 8², 28², 56²</t>
        </is>
      </c>
      <c r="I3403" t="n">
        <v>8</v>
      </c>
      <c r="J3403" t="inlineStr">
        <is>
          <t>1⁴, 2⁴, 6², 12²</t>
        </is>
      </c>
      <c r="K3403">
        <f>HYPERLINK("CSG0.html#group8H0", "8H⁰"), =HYPERLINK("CSG6.html#group28G6", "28G⁶"), =HYPERLINK("CSG6.html#group56E6", "56E⁶"), =HYPERLINK("CSG7.html#group56B7", "56B⁷")</f>
        <v/>
      </c>
      <c r="L3403" t="inlineStr"/>
      <c r="M3403">
        <f>HYPERLINK("CSG0.html#group8D0", "8D⁰"), =HYPERLINK("CSG0.html#group4C0", "4C⁰"), =HYPERLINK("CSG0.html#group8B0", "8B⁰"), =HYPERLINK("CSG0.html#group2B0", "2B⁰"), =HYPERLINK("CSG6.html#group28G6", "28G⁶"), =HYPERLINK("CSG0.html#group1A0", "1A⁰"), =HYPERLINK("CSG2.html#group28A2", "28A²"), =HYPERLINK("CSG7.html#group56B7", "56B⁷"), =HYPERLINK("CSG0.html#group8H0", "8H⁰"), =HYPERLINK("CSG0.html#group4A0", "4A⁰"), =HYPERLINK("CSG0.html#group7B0", "7B⁰"), =HYPERLINK("CSG1.html#group14C1", "14C¹"), =HYPERLINK("CSG0.html#group4F0", "4F⁰"), =HYPERLINK("CSG3.html#group28C3", "28C³"), =HYPERLINK("CSG6.html#group56E6", "56E⁶")</f>
        <v/>
      </c>
      <c r="N3403" t="inlineStr"/>
    </row>
    <row r="3404">
      <c r="A3404" t="inlineStr">
        <is>
          <t>56J¹³</t>
        </is>
      </c>
      <c r="B3404" t="inlineStr"/>
      <c r="C3404" t="inlineStr">
        <is>
          <t>192</t>
        </is>
      </c>
      <c r="D3404" t="inlineStr">
        <is>
          <t>1</t>
        </is>
      </c>
      <c r="E3404" t="inlineStr">
        <is>
          <t>48</t>
        </is>
      </c>
      <c r="F3404" t="inlineStr">
        <is>
          <t>0</t>
        </is>
      </c>
      <c r="G3404" t="inlineStr">
        <is>
          <t>0</t>
        </is>
      </c>
      <c r="H3404" t="inlineStr">
        <is>
          <t>4², 8², 28², 56²</t>
        </is>
      </c>
      <c r="I3404" t="n">
        <v>8</v>
      </c>
      <c r="J3404" t="inlineStr">
        <is>
          <t>1⁴, 2⁴, 6², 12²</t>
        </is>
      </c>
      <c r="K3404">
        <f>HYPERLINK("CSG1.html#group8C1", "8C¹"), =HYPERLINK("CSG6.html#group28G6", "28G⁶"), =HYPERLINK("CSG6.html#group56E6", "56E⁶"), =HYPERLINK("CSG7.html#group56C7", "56C⁷")</f>
        <v/>
      </c>
      <c r="L3404" t="inlineStr"/>
      <c r="M3404">
        <f>HYPERLINK("CSG1.html#group8A1", "8A¹"), =HYPERLINK("CSG0.html#group8D0", "8D⁰"), =HYPERLINK("CSG0.html#group4C0", "4C⁰"), =HYPERLINK("CSG0.html#group2B0", "2B⁰"), =HYPERLINK("CSG6.html#group28G6", "28G⁶"), =HYPERLINK("CSG0.html#group1A0", "1A⁰"), =HYPERLINK("CSG2.html#group28A2", "28A²"), =HYPERLINK("CSG1.html#group8C1", "8C¹"), =HYPERLINK("CSG0.html#group7B0", "7B⁰"), =HYPERLINK("CSG0.html#group4A0", "4A⁰"), =HYPERLINK("CSG1.html#group14C1", "14C¹"), =HYPERLINK("CSG7.html#group56C7", "56C⁷"), =HYPERLINK("CSG0.html#group4F0", "4F⁰"), =HYPERLINK("CSG3.html#group28C3", "28C³"), =HYPERLINK("CSG6.html#group56E6", "56E⁶")</f>
        <v/>
      </c>
      <c r="N3404" t="inlineStr"/>
    </row>
    <row r="3405">
      <c r="A3405" t="inlineStr">
        <is>
          <t>56K¹³</t>
        </is>
      </c>
      <c r="B3405" t="inlineStr"/>
      <c r="C3405" t="inlineStr">
        <is>
          <t>192</t>
        </is>
      </c>
      <c r="D3405" t="inlineStr">
        <is>
          <t>1</t>
        </is>
      </c>
      <c r="E3405" t="inlineStr">
        <is>
          <t>96</t>
        </is>
      </c>
      <c r="F3405" t="inlineStr">
        <is>
          <t>0</t>
        </is>
      </c>
      <c r="G3405" t="inlineStr">
        <is>
          <t>0</t>
        </is>
      </c>
      <c r="H3405" t="inlineStr">
        <is>
          <t>4², 8², 28², 56²</t>
        </is>
      </c>
      <c r="I3405" t="n">
        <v>8</v>
      </c>
      <c r="J3405" t="inlineStr">
        <is>
          <t>1⁸, 2⁴, 4², 6⁴, 12², 24¹</t>
        </is>
      </c>
      <c r="K3405">
        <f>HYPERLINK("CSG7.html#group56C7", "56C⁷")</f>
        <v/>
      </c>
      <c r="L3405" t="inlineStr"/>
      <c r="M3405">
        <f>HYPERLINK("CSG1.html#group8A1", "8A¹"), =HYPERLINK("CSG0.html#group7B0", "7B⁰"), =HYPERLINK("CSG0.html#group4C0", "4C⁰"), =HYPERLINK("CSG1.html#group14C1", "14C¹"), =HYPERLINK("CSG0.html#group2B0", "2B⁰"), =HYPERLINK("CSG7.html#group56C7", "56C⁷"), =HYPERLINK("CSG3.html#group28C3", "28C³"), =HYPERLINK("CSG0.html#group1A0", "1A⁰")</f>
        <v/>
      </c>
      <c r="N3405" t="inlineStr"/>
    </row>
    <row r="3406">
      <c r="A3406" t="inlineStr">
        <is>
          <t>56L¹³</t>
        </is>
      </c>
      <c r="B3406" t="inlineStr"/>
      <c r="C3406" t="inlineStr">
        <is>
          <t>192</t>
        </is>
      </c>
      <c r="D3406" t="inlineStr">
        <is>
          <t>1</t>
        </is>
      </c>
      <c r="E3406" t="inlineStr">
        <is>
          <t>96</t>
        </is>
      </c>
      <c r="F3406" t="inlineStr">
        <is>
          <t>0</t>
        </is>
      </c>
      <c r="G3406" t="inlineStr">
        <is>
          <t>0</t>
        </is>
      </c>
      <c r="H3406" t="inlineStr">
        <is>
          <t>4², 8², 28², 56²</t>
        </is>
      </c>
      <c r="I3406" t="n">
        <v>8</v>
      </c>
      <c r="J3406" t="inlineStr">
        <is>
          <t>1⁸, 2⁴, 4², 6⁴, 12², 24¹</t>
        </is>
      </c>
      <c r="K3406">
        <f>HYPERLINK("CSG0.html#group8L0", "8L⁰"), =HYPERLINK("CSG7.html#group56B7", "56B⁷")</f>
        <v/>
      </c>
      <c r="L3406" t="inlineStr"/>
      <c r="M3406">
        <f>HYPERLINK("CSG0.html#group7B0", "7B⁰"), =HYPERLINK("CSG0.html#group4C0", "4C⁰"), =HYPERLINK("CSG1.html#group14C1", "14C¹"), =HYPERLINK("CSG0.html#group8B0", "8B⁰"), =HYPERLINK("CSG0.html#group8L0", "8L⁰"), =HYPERLINK("CSG0.html#group2B0", "2B⁰"), =HYPERLINK("CSG3.html#group28C3", "28C³"), =HYPERLINK("CSG0.html#group1A0", "1A⁰"), =HYPERLINK("CSG7.html#group56B7", "56B⁷")</f>
        <v/>
      </c>
      <c r="N3406" t="inlineStr"/>
    </row>
    <row r="3407">
      <c r="A3407" t="inlineStr">
        <is>
          <t>56M¹³</t>
        </is>
      </c>
      <c r="B3407" t="inlineStr"/>
      <c r="C3407" t="inlineStr">
        <is>
          <t>224</t>
        </is>
      </c>
      <c r="D3407" t="inlineStr">
        <is>
          <t>2</t>
        </is>
      </c>
      <c r="E3407" t="inlineStr">
        <is>
          <t>112</t>
        </is>
      </c>
      <c r="F3407" t="inlineStr">
        <is>
          <t>16</t>
        </is>
      </c>
      <c r="G3407" t="inlineStr">
        <is>
          <t>2</t>
        </is>
      </c>
      <c r="H3407" t="inlineStr">
        <is>
          <t>56⁴</t>
        </is>
      </c>
      <c r="I3407" t="n">
        <v>4</v>
      </c>
      <c r="J3407" t="inlineStr">
        <is>
          <t>8⁴, 24⁸</t>
        </is>
      </c>
      <c r="K3407">
        <f>HYPERLINK("CSG2.html#group28E2", "28E²"), =HYPERLINK("CSG6.html#group56H6", "56H⁶")</f>
        <v/>
      </c>
      <c r="L3407" t="inlineStr"/>
      <c r="M3407">
        <f>HYPERLINK("CSG2.html#group28E2", "28E²"), =HYPERLINK("CSG0.html#group14A0", "14A⁰"), =HYPERLINK("CSG0.html#group8F0", "8F⁰"), =HYPERLINK("CSG0.html#group4A0", "4A⁰"), =HYPERLINK("CSG6.html#group56H6", "56H⁶"), =HYPERLINK("CSG1.html#group28A1", "28A¹"), =HYPERLINK("CSG0.html#group1A0", "1A⁰"), =HYPERLINK("CSG0.html#group7A0", "7A⁰")</f>
        <v/>
      </c>
      <c r="N3407" t="inlineStr"/>
    </row>
    <row r="3408">
      <c r="A3408" t="inlineStr">
        <is>
          <t>56N¹³</t>
        </is>
      </c>
      <c r="B3408" t="inlineStr"/>
      <c r="C3408" t="inlineStr">
        <is>
          <t>256</t>
        </is>
      </c>
      <c r="D3408" t="inlineStr">
        <is>
          <t>1</t>
        </is>
      </c>
      <c r="E3408" t="inlineStr">
        <is>
          <t>32</t>
        </is>
      </c>
      <c r="F3408" t="inlineStr">
        <is>
          <t>0</t>
        </is>
      </c>
      <c r="G3408" t="inlineStr">
        <is>
          <t>16</t>
        </is>
      </c>
      <c r="H3408" t="inlineStr">
        <is>
          <t>8⁴, 56⁴</t>
        </is>
      </c>
      <c r="I3408" t="n">
        <v>8</v>
      </c>
      <c r="J3408" t="inlineStr">
        <is>
          <t>2⁴, 12²</t>
        </is>
      </c>
      <c r="K3408">
        <f>HYPERLINK("CSG5.html#group28I5", "28I⁵"), =HYPERLINK("CSG7.html#group56F7", "56F⁷"), =HYPERLINK("CSG7.html#group56G7", "56G⁷")</f>
        <v/>
      </c>
      <c r="L3408" t="inlineStr"/>
      <c r="M3408">
        <f>HYPERLINK("CSG7.html#group56G7", "56G⁷"), =HYPERLINK("CSG0.html#group2A0", "2A⁰"), =HYPERLINK("CSG4.html#group56A4", "56A⁴"), =HYPERLINK("CSG0.html#group28A0", "28A⁰"), =HYPERLINK("CSG7.html#group56F7", "56F⁷"), =HYPERLINK("CSG0.html#group4A0", "4A⁰"), =HYPERLINK("CSG0.html#group4D0", "4D⁰"), =HYPERLINK("CSG0.html#group7B0", "7B⁰"), =HYPERLINK("CSG0.html#group14B0", "14B⁰"), =HYPERLINK("CSG0.html#group8A0", "8A⁰"), =HYPERLINK("CSG0.html#group8E0", "8E⁰"), =HYPERLINK("CSG5.html#group28I5", "28I⁵"), =HYPERLINK("CSG3.html#group28E3", "28E³"), =HYPERLINK("CSG0.html#group1A0", "1A⁰"), =HYPERLINK("CSG2.html#group28A2", "28A²")</f>
        <v/>
      </c>
      <c r="N3408" t="inlineStr"/>
    </row>
    <row r="3409">
      <c r="A3409" t="inlineStr">
        <is>
          <t>56O¹³</t>
        </is>
      </c>
      <c r="B3409" t="inlineStr"/>
      <c r="C3409" t="inlineStr">
        <is>
          <t>288</t>
        </is>
      </c>
      <c r="D3409" t="inlineStr">
        <is>
          <t>1</t>
        </is>
      </c>
      <c r="E3409" t="inlineStr">
        <is>
          <t>48</t>
        </is>
      </c>
      <c r="F3409" t="inlineStr">
        <is>
          <t>0</t>
        </is>
      </c>
      <c r="G3409" t="inlineStr">
        <is>
          <t>0</t>
        </is>
      </c>
      <c r="H3409" t="inlineStr">
        <is>
          <t>1⁶, 2³, 7⁶, 8³, 14³, 56³</t>
        </is>
      </c>
      <c r="I3409" t="n">
        <v>24</v>
      </c>
      <c r="J3409" t="inlineStr">
        <is>
          <t>1⁸, 2², 6⁴, 12¹</t>
        </is>
      </c>
      <c r="K3409">
        <f>HYPERLINK("CSG4.html#group28F4", "28F⁴"), =HYPERLINK("CSG5.html#group56D5", "56D⁵")</f>
        <v/>
      </c>
      <c r="L3409" t="inlineStr"/>
      <c r="M3409">
        <f>HYPERLINK("CSG4.html#group28F4", "28F⁴"), =HYPERLINK("CSG0.html#group7B0", "7B⁰"), =HYPERLINK("CSG2.html#group28D2", "28D²"), =HYPERLINK("CSG1.html#group14C1", "14C¹"), =HYPERLINK("CSG1.html#group14H1", "14H¹"), =HYPERLINK("CSG0.html#group8C0", "8C⁰"), =HYPERLINK("CSG0.html#group2B0", "2B⁰"), =HYPERLINK("CSG0.html#group7E0", "7E⁰"), =HYPERLINK("CSG0.html#group4B0", "4B⁰"), =HYPERLINK("CSG5.html#group56D5", "56D⁵"), =HYPERLINK("CSG0.html#group1A0", "1A⁰")</f>
        <v/>
      </c>
      <c r="N3409" t="inlineStr"/>
    </row>
    <row r="3410">
      <c r="A3410" t="inlineStr">
        <is>
          <t>57A¹³</t>
        </is>
      </c>
      <c r="B3410" t="inlineStr"/>
      <c r="C3410" t="inlineStr">
        <is>
          <t>180</t>
        </is>
      </c>
      <c r="D3410" t="inlineStr">
        <is>
          <t>1</t>
        </is>
      </c>
      <c r="E3410" t="inlineStr">
        <is>
          <t>20</t>
        </is>
      </c>
      <c r="F3410" t="inlineStr">
        <is>
          <t>0</t>
        </is>
      </c>
      <c r="G3410" t="inlineStr">
        <is>
          <t>0</t>
        </is>
      </c>
      <c r="H3410" t="inlineStr">
        <is>
          <t>3³, 57³</t>
        </is>
      </c>
      <c r="I3410" t="n">
        <v>6</v>
      </c>
      <c r="J3410" t="inlineStr">
        <is>
          <t>1², 18¹</t>
        </is>
      </c>
      <c r="K3410">
        <f>HYPERLINK("CSG1.html#group19B1", "19B¹"), =HYPERLINK("CSG5.html#group57A5", "57A⁵"), =HYPERLINK("CSG5.html#group57B5", "57B⁵")</f>
        <v/>
      </c>
      <c r="L3410" t="inlineStr"/>
      <c r="M3410">
        <f>HYPERLINK("CSG1.html#group19A1", "19A¹"), =HYPERLINK("CSG5.html#group57A5", "57A⁵"), =HYPERLINK("CSG1.html#group19B1", "19B¹"), =HYPERLINK("CSG0.html#group3A0", "3A⁰"), =HYPERLINK("CSG5.html#group57B5", "57B⁵"), =HYPERLINK("CSG0.html#group1A0", "1A⁰")</f>
        <v/>
      </c>
      <c r="N3410" t="inlineStr"/>
    </row>
    <row r="3411">
      <c r="A3411" t="inlineStr">
        <is>
          <t>57B¹³</t>
        </is>
      </c>
      <c r="B3411" t="inlineStr"/>
      <c r="C3411" t="inlineStr">
        <is>
          <t>240</t>
        </is>
      </c>
      <c r="D3411" t="inlineStr">
        <is>
          <t>1</t>
        </is>
      </c>
      <c r="E3411" t="inlineStr">
        <is>
          <t>80</t>
        </is>
      </c>
      <c r="F3411" t="inlineStr">
        <is>
          <t>0</t>
        </is>
      </c>
      <c r="G3411" t="inlineStr">
        <is>
          <t>6</t>
        </is>
      </c>
      <c r="H3411" t="inlineStr">
        <is>
          <t>1³, 3³, 19³, 57³</t>
        </is>
      </c>
      <c r="I3411" t="n">
        <v>12</v>
      </c>
      <c r="J3411" t="inlineStr">
        <is>
          <t>1⁴, 2², 18², 36¹</t>
        </is>
      </c>
      <c r="K3411">
        <f>HYPERLINK("CSG1.html#group19B1", "19B¹"), =HYPERLINK("CSG5.html#group57C5", "57C⁵")</f>
        <v/>
      </c>
      <c r="L3411" t="inlineStr"/>
      <c r="M3411">
        <f>HYPERLINK("CSG1.html#group19A1", "19A¹"), =HYPERLINK("CSG0.html#group3B0", "3B⁰"), =HYPERLINK("CSG1.html#group19B1", "19B¹"), =HYPERLINK("CSG0.html#group1A0", "1A⁰"), =HYPERLINK("CSG5.html#group57C5", "57C⁵")</f>
        <v/>
      </c>
      <c r="N3411" t="inlineStr"/>
    </row>
    <row r="3412">
      <c r="A3412" t="inlineStr">
        <is>
          <t>58A¹³</t>
        </is>
      </c>
      <c r="B3412" t="inlineStr"/>
      <c r="C3412" t="inlineStr">
        <is>
          <t>180</t>
        </is>
      </c>
      <c r="D3412" t="inlineStr">
        <is>
          <t>1</t>
        </is>
      </c>
      <c r="E3412" t="inlineStr">
        <is>
          <t>30</t>
        </is>
      </c>
      <c r="F3412" t="inlineStr">
        <is>
          <t>0</t>
        </is>
      </c>
      <c r="G3412" t="inlineStr">
        <is>
          <t>0</t>
        </is>
      </c>
      <c r="H3412" t="inlineStr">
        <is>
          <t>2³, 58³</t>
        </is>
      </c>
      <c r="I3412" t="n">
        <v>6</v>
      </c>
      <c r="J3412" t="inlineStr">
        <is>
          <t>1², 28¹</t>
        </is>
      </c>
      <c r="K3412">
        <f>HYPERLINK("CSG0.html#group2C0", "2C⁰"), =HYPERLINK("CSG5.html#group58A5", "58A⁵"), =HYPERLINK("CSG6.html#group58A6", "58A⁶")</f>
        <v/>
      </c>
      <c r="L3412" t="inlineStr"/>
      <c r="M3412">
        <f>HYPERLINK("CSG0.html#group2A0", "2A⁰"), =HYPERLINK("CSG2.html#group29A2", "29A²"), =HYPERLINK("CSG6.html#group58A6", "58A⁶"), =HYPERLINK("CSG0.html#group2B0", "2B⁰"), =HYPERLINK("CSG5.html#group58A5", "58A⁵"), =HYPERLINK("CSG0.html#group1A0", "1A⁰"), =HYPERLINK("CSG0.html#group2C0", "2C⁰")</f>
        <v/>
      </c>
      <c r="N3412" t="inlineStr"/>
    </row>
    <row r="3413">
      <c r="A3413" t="inlineStr">
        <is>
          <t>60A¹³</t>
        </is>
      </c>
      <c r="B3413" t="inlineStr"/>
      <c r="C3413" t="inlineStr">
        <is>
          <t>180</t>
        </is>
      </c>
      <c r="D3413" t="inlineStr">
        <is>
          <t>1</t>
        </is>
      </c>
      <c r="E3413" t="inlineStr">
        <is>
          <t>30</t>
        </is>
      </c>
      <c r="F3413" t="inlineStr">
        <is>
          <t>0</t>
        </is>
      </c>
      <c r="G3413" t="inlineStr">
        <is>
          <t>0</t>
        </is>
      </c>
      <c r="H3413" t="inlineStr">
        <is>
          <t>15⁴, 60²</t>
        </is>
      </c>
      <c r="I3413" t="n">
        <v>6</v>
      </c>
      <c r="J3413" t="inlineStr">
        <is>
          <t>2³, 4⁶</t>
        </is>
      </c>
      <c r="K3413">
        <f>HYPERLINK("CSG1.html#group12B1", "12B¹"), =HYPERLINK("CSG3.html#group20E3", "20E³"), =HYPERLINK("CSG5.html#group30K5", "30K⁵")</f>
        <v/>
      </c>
      <c r="L3413" t="inlineStr"/>
      <c r="M3413">
        <f>HYPERLINK("CSG5.html#group30K5", "30K⁵"), =HYPERLINK("CSG1.html#group15D1", "15D¹"), =HYPERLINK("CSG0.html#group4B0", "4B⁰"), =HYPERLINK("CSG3.html#group20E3", "20E³"), =HYPERLINK("CSG0.html#group1A0", "1A⁰"), =HYPERLINK("CSG1.html#group12B1", "12B¹"), =HYPERLINK("CSG0.html#group2B0", "2B⁰"), =HYPERLINK("CSG0.html#group3A0", "3A⁰"), =HYPERLINK("CSG0.html#group5C0", "5C⁰"), =HYPERLINK("CSG0.html#group6D0", "6D⁰"), =HYPERLINK("CSG1.html#group10F1", "10F¹")</f>
        <v/>
      </c>
      <c r="N3413" t="inlineStr"/>
    </row>
    <row r="3414">
      <c r="A3414" t="inlineStr">
        <is>
          <t>60B¹³</t>
        </is>
      </c>
      <c r="B3414" t="inlineStr"/>
      <c r="C3414" t="inlineStr">
        <is>
          <t>180</t>
        </is>
      </c>
      <c r="D3414" t="inlineStr">
        <is>
          <t>1</t>
        </is>
      </c>
      <c r="E3414" t="inlineStr">
        <is>
          <t>30</t>
        </is>
      </c>
      <c r="F3414" t="inlineStr">
        <is>
          <t>6</t>
        </is>
      </c>
      <c r="G3414" t="inlineStr">
        <is>
          <t>0</t>
        </is>
      </c>
      <c r="H3414" t="inlineStr">
        <is>
          <t>60³</t>
        </is>
      </c>
      <c r="I3414" t="n">
        <v>3</v>
      </c>
      <c r="J3414" t="inlineStr">
        <is>
          <t>1², 2², 4², 8²</t>
        </is>
      </c>
      <c r="K3414">
        <f>HYPERLINK("CSG1.html#group12J1", "12J¹"), =HYPERLINK("CSG4.html#group20C4", "20C⁴"), =HYPERLINK("CSG4.html#group60A4", "60A⁴"), =HYPERLINK("CSG6.html#group60B6", "60B⁶")</f>
        <v/>
      </c>
      <c r="L3414" t="inlineStr"/>
      <c r="M3414">
        <f>HYPERLINK("CSG0.html#group5A0", "5A⁰"), =HYPERLINK("CSG0.html#group12C0", "12C⁰"), =HYPERLINK("CSG1.html#group10B1", "10B¹"), =HYPERLINK("CSG2.html#group20B2", "20B²"), =HYPERLINK("CSG0.html#group4C0", "4C⁰"), =HYPERLINK("CSG6.html#group60B6", "60B⁶"), =HYPERLINK("CSG1.html#group20A1", "20A¹"), =HYPERLINK("CSG4.html#group20C4", "20C⁴"), =HYPERLINK("CSG0.html#group2B0", "2B⁰"), =HYPERLINK("CSG0.html#group1A0", "1A⁰"), =HYPERLINK("CSG3.html#group30D3", "30D³"), =HYPERLINK("CSG0.html#group12A0", "12A⁰"), =HYPERLINK("CSG0.html#group4A0", "4A⁰"), =HYPERLINK("CSG0.html#group6D0", "6D⁰"), =HYPERLINK("CSG4.html#group60A4", "60A⁴"), =HYPERLINK("CSG1.html#group12J1", "12J¹"), =HYPERLINK("CSG0.html#group4F0", "4F⁰"), =HYPERLINK("CSG0.html#group3A0", "3A⁰"), =HYPERLINK("CSG1.html#group15A1", "15A¹")</f>
        <v/>
      </c>
      <c r="N3414" t="inlineStr"/>
    </row>
    <row r="3415">
      <c r="A3415" t="inlineStr">
        <is>
          <t>60C¹³</t>
        </is>
      </c>
      <c r="B3415" t="inlineStr"/>
      <c r="C3415" t="inlineStr">
        <is>
          <t>180</t>
        </is>
      </c>
      <c r="D3415" t="inlineStr">
        <is>
          <t>1</t>
        </is>
      </c>
      <c r="E3415" t="inlineStr">
        <is>
          <t>45</t>
        </is>
      </c>
      <c r="F3415" t="inlineStr">
        <is>
          <t>0</t>
        </is>
      </c>
      <c r="G3415" t="inlineStr">
        <is>
          <t>0</t>
        </is>
      </c>
      <c r="H3415" t="inlineStr">
        <is>
          <t>15⁴, 60²</t>
        </is>
      </c>
      <c r="I3415" t="n">
        <v>6</v>
      </c>
      <c r="J3415" t="inlineStr">
        <is>
          <t>1³, 2³, 4³, 8³</t>
        </is>
      </c>
      <c r="K3415">
        <f>HYPERLINK("CSG1.html#group12K1", "12K¹"), =HYPERLINK("CSG6.html#group30A6", "30A⁶"), =HYPERLINK("CSG6.html#group60C6", "60C⁶"), =HYPERLINK("CSG7.html#group60A7", "60A⁷")</f>
        <v/>
      </c>
      <c r="L3415" t="inlineStr"/>
      <c r="M3415">
        <f>HYPERLINK("CSG2.html#group20A2", "20A²"), =HYPERLINK("CSG0.html#group5A0", "5A⁰"), =HYPERLINK("CSG1.html#group12K1", "12K¹"), =HYPERLINK("CSG6.html#group60C6", "60C⁶"), =HYPERLINK("CSG1.html#group15A1", "15A¹"), =HYPERLINK("CSG1.html#group10B1", "10B¹"), =HYPERLINK("CSG0.html#group6G0", "6G⁰"), =HYPERLINK("CSG0.html#group2B0", "2B⁰"), =HYPERLINK("CSG0.html#group4B0", "4B⁰"), =HYPERLINK("CSG0.html#group1A0", "1A⁰"), =HYPERLINK("CSG7.html#group60A7", "60A⁷"), =HYPERLINK("CSG3.html#group30D3", "30D³"), =HYPERLINK("CSG2.html#group15A2", "15A²"), =HYPERLINK("CSG0.html#group3C0", "3C⁰"), =HYPERLINK("CSG6.html#group30A6", "30A⁶"), =HYPERLINK("CSG1.html#group12B1", "12B¹"), =HYPERLINK("CSG0.html#group12D0", "12D⁰"), =HYPERLINK("CSG0.html#group3A0", "3A⁰"), =HYPERLINK("CSG0.html#group6D0", "6D⁰")</f>
        <v/>
      </c>
      <c r="N3415" t="inlineStr"/>
    </row>
    <row r="3416">
      <c r="A3416" t="inlineStr">
        <is>
          <t>60D¹³</t>
        </is>
      </c>
      <c r="B3416" t="inlineStr"/>
      <c r="C3416" t="inlineStr">
        <is>
          <t>180</t>
        </is>
      </c>
      <c r="D3416" t="inlineStr">
        <is>
          <t>1</t>
        </is>
      </c>
      <c r="E3416" t="inlineStr">
        <is>
          <t>45</t>
        </is>
      </c>
      <c r="F3416" t="inlineStr">
        <is>
          <t>4</t>
        </is>
      </c>
      <c r="G3416" t="inlineStr">
        <is>
          <t>0</t>
        </is>
      </c>
      <c r="H3416" t="inlineStr">
        <is>
          <t>30², 60²</t>
        </is>
      </c>
      <c r="I3416" t="n">
        <v>4</v>
      </c>
      <c r="J3416" t="inlineStr">
        <is>
          <t>1³, 2³, 4³, 8³</t>
        </is>
      </c>
      <c r="K3416">
        <f>HYPERLINK("CSG1.html#group12L1", "12L¹"), =HYPERLINK("CSG6.html#group30A6", "30A⁶"), =HYPERLINK("CSG6.html#group60B6", "60B⁶"), =HYPERLINK("CSG7.html#group60B7", "60B⁷")</f>
        <v/>
      </c>
      <c r="L3416" t="inlineStr"/>
      <c r="M3416">
        <f>HYPERLINK("CSG0.html#group5A0", "5A⁰"), =HYPERLINK("CSG0.html#group12C0", "12C⁰"), =HYPERLINK("CSG1.html#group10B1", "10B¹"), =HYPERLINK("CSG2.html#group20B2", "20B²"), =HYPERLINK("CSG0.html#group4C0", "4C⁰"), =HYPERLINK("CSG6.html#group60B6", "60B⁶"), =HYPERLINK("CSG7.html#group60B7", "60B⁷"), =HYPERLINK("CSG0.html#group6G0", "6G⁰"), =HYPERLINK("CSG0.html#group2B0", "2B⁰"), =HYPERLINK("CSG0.html#group1A0", "1A⁰"), =HYPERLINK("CSG1.html#group12L1", "12L¹"), =HYPERLINK("CSG3.html#group30D3", "30D³"), =HYPERLINK("CSG1.html#group12C1", "12C¹"), =HYPERLINK("CSG2.html#group15A2", "15A²"), =HYPERLINK("CSG0.html#group6D0", "6D⁰"), =HYPERLINK("CSG0.html#group3C0", "3C⁰"), =HYPERLINK("CSG6.html#group30A6", "30A⁶"), =HYPERLINK("CSG0.html#group3A0", "3A⁰"), =HYPERLINK("CSG1.html#group15A1", "15A¹")</f>
        <v/>
      </c>
      <c r="N3416" t="inlineStr"/>
    </row>
    <row r="3417">
      <c r="A3417" t="inlineStr">
        <is>
          <t>60E¹³</t>
        </is>
      </c>
      <c r="B3417" t="inlineStr"/>
      <c r="C3417" t="inlineStr">
        <is>
          <t>180</t>
        </is>
      </c>
      <c r="D3417" t="inlineStr">
        <is>
          <t>1</t>
        </is>
      </c>
      <c r="E3417" t="inlineStr">
        <is>
          <t>90</t>
        </is>
      </c>
      <c r="F3417" t="inlineStr">
        <is>
          <t>4</t>
        </is>
      </c>
      <c r="G3417" t="inlineStr">
        <is>
          <t>0</t>
        </is>
      </c>
      <c r="H3417" t="inlineStr">
        <is>
          <t>30², 60²</t>
        </is>
      </c>
      <c r="I3417" t="n">
        <v>4</v>
      </c>
      <c r="J3417" t="inlineStr">
        <is>
          <t>2³, 4⁹, 8⁶</t>
        </is>
      </c>
      <c r="K3417">
        <f>HYPERLINK("CSG1.html#group12C1", "12C¹"), =HYPERLINK("CSG5.html#group30K5", "30K⁵")</f>
        <v/>
      </c>
      <c r="L3417" t="inlineStr"/>
      <c r="M3417">
        <f>HYPERLINK("CSG5.html#group30K5", "30K⁵"), =HYPERLINK("CSG1.html#group15D1", "15D¹"), =HYPERLINK("CSG1.html#group12C1", "12C¹"), =HYPERLINK("CSG0.html#group1A0", "1A⁰"), =HYPERLINK("CSG0.html#group2B0", "2B⁰"), =HYPERLINK("CSG0.html#group3A0", "3A⁰"), =HYPERLINK("CSG0.html#group5C0", "5C⁰"), =HYPERLINK("CSG0.html#group6D0", "6D⁰"), =HYPERLINK("CSG1.html#group10F1", "10F¹")</f>
        <v/>
      </c>
      <c r="N3417" t="inlineStr"/>
    </row>
    <row r="3418">
      <c r="A3418" t="inlineStr">
        <is>
          <t>60F¹³</t>
        </is>
      </c>
      <c r="B3418" t="inlineStr"/>
      <c r="C3418" t="inlineStr">
        <is>
          <t>180</t>
        </is>
      </c>
      <c r="D3418" t="inlineStr">
        <is>
          <t>1</t>
        </is>
      </c>
      <c r="E3418" t="inlineStr">
        <is>
          <t>90</t>
        </is>
      </c>
      <c r="F3418" t="inlineStr">
        <is>
          <t>6</t>
        </is>
      </c>
      <c r="G3418" t="inlineStr">
        <is>
          <t>0</t>
        </is>
      </c>
      <c r="H3418" t="inlineStr">
        <is>
          <t>60³</t>
        </is>
      </c>
      <c r="I3418" t="n">
        <v>3</v>
      </c>
      <c r="J3418" t="inlineStr">
        <is>
          <t>1², 2⁴, 4⁴, 8⁴, 16²</t>
        </is>
      </c>
      <c r="K3418">
        <f>HYPERLINK("CSG1.html#group12M1", "12M¹"), =HYPERLINK("CSG6.html#group60B6", "60B⁶")</f>
        <v/>
      </c>
      <c r="L3418" t="inlineStr"/>
      <c r="M3418">
        <f>HYPERLINK("CSG3.html#group30D3", "30D³"), =HYPERLINK("CSG0.html#group5A0", "5A⁰"), =HYPERLINK("CSG0.html#group12C0", "12C⁰"), =HYPERLINK("CSG1.html#group15A1", "15A¹"), =HYPERLINK("CSG1.html#group10B1", "10B¹"), =HYPERLINK("CSG2.html#group20B2", "20B²"), =HYPERLINK("CSG0.html#group4C0", "4C⁰"), =HYPERLINK("CSG6.html#group60B6", "60B⁶"), =HYPERLINK("CSG1.html#group12M1", "12M¹"), =HYPERLINK("CSG0.html#group2B0", "2B⁰"), =HYPERLINK("CSG0.html#group3A0", "3A⁰"), =HYPERLINK("CSG0.html#group1A0", "1A⁰"), =HYPERLINK("CSG0.html#group6D0", "6D⁰")</f>
        <v/>
      </c>
      <c r="N3418" t="inlineStr"/>
    </row>
    <row r="3419">
      <c r="A3419" t="inlineStr">
        <is>
          <t>60G¹³</t>
        </is>
      </c>
      <c r="B3419" t="inlineStr"/>
      <c r="C3419" t="inlineStr">
        <is>
          <t>180</t>
        </is>
      </c>
      <c r="D3419" t="inlineStr">
        <is>
          <t>2</t>
        </is>
      </c>
      <c r="E3419" t="inlineStr">
        <is>
          <t>30</t>
        </is>
      </c>
      <c r="F3419" t="inlineStr">
        <is>
          <t>6</t>
        </is>
      </c>
      <c r="G3419" t="inlineStr">
        <is>
          <t>0</t>
        </is>
      </c>
      <c r="H3419" t="inlineStr">
        <is>
          <t>60³</t>
        </is>
      </c>
      <c r="I3419" t="n">
        <v>3</v>
      </c>
      <c r="J3419" t="inlineStr">
        <is>
          <t>2², 4², 8², 16²</t>
        </is>
      </c>
      <c r="K3419">
        <f>HYPERLINK("CSG3.html#group60A3", "60A³"), =HYPERLINK("CSG4.html#group20C4", "20C⁴"), =HYPERLINK("CSG6.html#group60D6", "60D⁶")</f>
        <v/>
      </c>
      <c r="L3419" t="inlineStr"/>
      <c r="M3419">
        <f>HYPERLINK("CSG0.html#group5A0", "5A⁰"), =HYPERLINK("CSG6.html#group60D6", "60D⁶"), =HYPERLINK("CSG3.html#group30E3", "30E³"), =HYPERLINK("CSG0.html#group4A0", "4A⁰"), =HYPERLINK("CSG1.html#group10B1", "10B¹"), =HYPERLINK("CSG2.html#group20B2", "20B²"), =HYPERLINK("CSG0.html#group4C0", "4C⁰"), =HYPERLINK("CSG1.html#group20A1", "20A¹"), =HYPERLINK("CSG4.html#group20C4", "20C⁴"), =HYPERLINK("CSG0.html#group2B0", "2B⁰"), =HYPERLINK("CSG0.html#group4F0", "4F⁰"), =HYPERLINK("CSG0.html#group15A0", "15A⁰"), =HYPERLINK("CSG0.html#group1A0", "1A⁰"), =HYPERLINK("CSG3.html#group60A3", "60A³")</f>
        <v/>
      </c>
      <c r="N3419" t="inlineStr"/>
    </row>
    <row r="3420">
      <c r="A3420" t="inlineStr">
        <is>
          <t>60H¹³</t>
        </is>
      </c>
      <c r="B3420" t="inlineStr"/>
      <c r="C3420" t="inlineStr">
        <is>
          <t>180</t>
        </is>
      </c>
      <c r="D3420" t="inlineStr">
        <is>
          <t>2</t>
        </is>
      </c>
      <c r="E3420" t="inlineStr">
        <is>
          <t>45</t>
        </is>
      </c>
      <c r="F3420" t="inlineStr">
        <is>
          <t>4</t>
        </is>
      </c>
      <c r="G3420" t="inlineStr">
        <is>
          <t>0</t>
        </is>
      </c>
      <c r="H3420" t="inlineStr">
        <is>
          <t>30², 60²</t>
        </is>
      </c>
      <c r="I3420" t="n">
        <v>4</v>
      </c>
      <c r="J3420" t="inlineStr">
        <is>
          <t>2⁹, 8⁹</t>
        </is>
      </c>
      <c r="K3420">
        <f>HYPERLINK("CSG1.html#group12N1", "12N¹"), =HYPERLINK("CSG6.html#group30B6", "30B⁶"), =HYPERLINK("CSG6.html#group60C6", "60C⁶"), =HYPERLINK("CSG7.html#group60B7", "60B⁷")</f>
        <v/>
      </c>
      <c r="L3420" t="inlineStr"/>
      <c r="M3420">
        <f>HYPERLINK("CSG0.html#group5A0", "5A⁰"), =HYPERLINK("CSG0.html#group6B0", "6B⁰"), =HYPERLINK("CSG6.html#group60C6", "60C⁶"), =HYPERLINK("CSG1.html#group10B1", "10B¹"), =HYPERLINK("CSG7.html#group60B7", "60B⁷"), =HYPERLINK("CSG0.html#group2B0", "2B⁰"), =HYPERLINK("CSG1.html#group12N1", "12N¹"), =HYPERLINK("CSG6.html#group30B6", "30B⁶"), =HYPERLINK("CSG0.html#group1A0", "1A⁰"), =HYPERLINK("CSG3.html#group30D3", "30D³"), =HYPERLINK("CSG2.html#group30A2", "30A²"), =HYPERLINK("CSG1.html#group12C1", "12C¹"), =HYPERLINK("CSG0.html#group6D0", "6D⁰"), =HYPERLINK("CSG0.html#group12D0", "12D⁰"), =HYPERLINK("CSG0.html#group6H0", "6H⁰"), =HYPERLINK("CSG0.html#group3A0", "3A⁰"), =HYPERLINK("CSG1.html#group15A1", "15A¹")</f>
        <v/>
      </c>
      <c r="N3420" t="inlineStr"/>
    </row>
    <row r="3421">
      <c r="A3421" t="inlineStr">
        <is>
          <t>60I¹³</t>
        </is>
      </c>
      <c r="B3421" t="inlineStr"/>
      <c r="C3421" t="inlineStr">
        <is>
          <t>192</t>
        </is>
      </c>
      <c r="D3421" t="inlineStr">
        <is>
          <t>1</t>
        </is>
      </c>
      <c r="E3421" t="inlineStr">
        <is>
          <t>24</t>
        </is>
      </c>
      <c r="F3421" t="inlineStr">
        <is>
          <t>0</t>
        </is>
      </c>
      <c r="G3421" t="inlineStr">
        <is>
          <t>0</t>
        </is>
      </c>
      <c r="H3421" t="inlineStr">
        <is>
          <t>4², 12², 20², 60²</t>
        </is>
      </c>
      <c r="I3421" t="n">
        <v>8</v>
      </c>
      <c r="J3421" t="inlineStr">
        <is>
          <t>1⁴, 2², 4², 8¹</t>
        </is>
      </c>
      <c r="K3421">
        <f>HYPERLINK("CSG3.html#group20A3", "20A³"), =HYPERLINK("CSG5.html#group30N5", "30N⁵"), =HYPERLINK("CSG7.html#group60G7", "60G⁷")</f>
        <v/>
      </c>
      <c r="L3421" t="inlineStr"/>
      <c r="M3421">
        <f>HYPERLINK("CSG0.html#group3B0", "3B⁰"), =HYPERLINK("CSG1.html#group20C1", "20C¹"), =HYPERLINK("CSG0.html#group2A0", "2A⁰"), =HYPERLINK("CSG0.html#group6C0", "6C⁰"), =HYPERLINK("CSG5.html#group30N5", "30N⁵"), =HYPERLINK("CSG0.html#group5B0", "5B⁰"), =HYPERLINK("CSG0.html#group5D0", "5D⁰"), =HYPERLINK("CSG1.html#group10A1", "10A¹"), =HYPERLINK("CSG1.html#group15G1", "15G¹"), =HYPERLINK("CSG3.html#group30G3", "30G³"), =HYPERLINK("CSG1.html#group10D1", "10D¹"), =HYPERLINK("CSG0.html#group1A0", "1A⁰"), =HYPERLINK("CSG7.html#group60G7", "60G⁷"), =HYPERLINK("CSG3.html#group20A3", "20A³"), =HYPERLINK("CSG0.html#group10B0", "10B⁰"), =HYPERLINK("CSG1.html#group15C1", "15C¹"), =HYPERLINK("CSG3.html#group30F3", "30F³")</f>
        <v/>
      </c>
      <c r="N3421" t="inlineStr"/>
    </row>
    <row r="3422">
      <c r="A3422" t="inlineStr">
        <is>
          <t>60J¹³</t>
        </is>
      </c>
      <c r="B3422" t="inlineStr"/>
      <c r="C3422" t="inlineStr">
        <is>
          <t>192</t>
        </is>
      </c>
      <c r="D3422" t="inlineStr">
        <is>
          <t>1</t>
        </is>
      </c>
      <c r="E3422" t="inlineStr">
        <is>
          <t>24</t>
        </is>
      </c>
      <c r="F3422" t="inlineStr">
        <is>
          <t>0</t>
        </is>
      </c>
      <c r="G3422" t="inlineStr">
        <is>
          <t>0</t>
        </is>
      </c>
      <c r="H3422" t="inlineStr">
        <is>
          <t>4², 12², 20², 60²</t>
        </is>
      </c>
      <c r="I3422" t="n">
        <v>8</v>
      </c>
      <c r="J3422" t="inlineStr">
        <is>
          <t>1⁴, 2², 4², 8¹</t>
        </is>
      </c>
      <c r="K3422">
        <f>HYPERLINK("CSG5.html#group30N5", "30N⁵"), =HYPERLINK("CSG7.html#group60D7", "60D⁷"), =HYPERLINK("CSG7.html#group60E7", "60E⁷")</f>
        <v/>
      </c>
      <c r="L3422" t="inlineStr"/>
      <c r="M3422">
        <f>HYPERLINK("CSG0.html#group3B0", "3B⁰"), =HYPERLINK("CSG0.html#group2A0", "2A⁰"), =HYPERLINK("CSG0.html#group6C0", "6C⁰"), =HYPERLINK("CSG5.html#group30N5", "30N⁵"), =HYPERLINK("CSG0.html#group5B0", "5B⁰"), =HYPERLINK("CSG1.html#group10A1", "10A¹"), =HYPERLINK("CSG1.html#group15G1", "15G¹"), =HYPERLINK("CSG0.html#group5D0", "5D⁰"), =HYPERLINK("CSG3.html#group30G3", "30G³"), =HYPERLINK("CSG1.html#group10D1", "10D¹"), =HYPERLINK("CSG0.html#group1A0", "1A⁰"), =HYPERLINK("CSG7.html#group60D7", "60D⁷"), =HYPERLINK("CSG0.html#group10B0", "10B⁰"), =HYPERLINK("CSG1.html#group15C1", "15C¹"), =HYPERLINK("CSG3.html#group30F3", "30F³"), =HYPERLINK("CSG7.html#group60E7", "60E⁷"), =HYPERLINK("CSG0.html#group12B0", "12B⁰")</f>
        <v/>
      </c>
      <c r="N3422" t="inlineStr"/>
    </row>
    <row r="3423">
      <c r="A3423" t="inlineStr">
        <is>
          <t>60K¹³</t>
        </is>
      </c>
      <c r="B3423" t="inlineStr"/>
      <c r="C3423" t="inlineStr">
        <is>
          <t>192</t>
        </is>
      </c>
      <c r="D3423" t="inlineStr">
        <is>
          <t>1</t>
        </is>
      </c>
      <c r="E3423" t="inlineStr">
        <is>
          <t>96</t>
        </is>
      </c>
      <c r="F3423" t="inlineStr">
        <is>
          <t>0</t>
        </is>
      </c>
      <c r="G3423" t="inlineStr">
        <is>
          <t>0</t>
        </is>
      </c>
      <c r="H3423" t="inlineStr">
        <is>
          <t>4², 12², 20², 60²</t>
        </is>
      </c>
      <c r="I3423" t="n">
        <v>8</v>
      </c>
      <c r="J3423" t="inlineStr">
        <is>
          <t>2⁸, 4⁴, 8⁴, 16²</t>
        </is>
      </c>
      <c r="K3423">
        <f>HYPERLINK("CSG1.html#group15G1", "15G¹"), =HYPERLINK("CSG3.html#group20B3", "20B³"), =HYPERLINK("CSG7.html#group60F7", "60F⁷")</f>
        <v/>
      </c>
      <c r="L3423" t="inlineStr"/>
      <c r="M3423">
        <f>HYPERLINK("CSG1.html#group15C1", "15C¹"), =HYPERLINK("CSG0.html#group3B0", "3B⁰"), =HYPERLINK("CSG7.html#group60F7", "60F⁷"), =HYPERLINK("CSG0.html#group4A0", "4A⁰"), =HYPERLINK("CSG1.html#group12A1", "12A¹"), =HYPERLINK("CSG0.html#group5B0", "5B⁰"), =HYPERLINK("CSG1.html#group15G1", "15G¹"), =HYPERLINK("CSG0.html#group5D0", "5D⁰"), =HYPERLINK("CSG0.html#group1A0", "1A⁰"), =HYPERLINK("CSG3.html#group20B3", "20B³"), =HYPERLINK("CSG1.html#group20B1", "20B¹")</f>
        <v/>
      </c>
      <c r="N3423" t="inlineStr"/>
    </row>
    <row r="3424">
      <c r="A3424" t="inlineStr">
        <is>
          <t>60L¹³</t>
        </is>
      </c>
      <c r="B3424" t="inlineStr"/>
      <c r="C3424" t="inlineStr">
        <is>
          <t>192</t>
        </is>
      </c>
      <c r="D3424" t="inlineStr">
        <is>
          <t>1</t>
        </is>
      </c>
      <c r="E3424" t="inlineStr">
        <is>
          <t>96</t>
        </is>
      </c>
      <c r="F3424" t="inlineStr">
        <is>
          <t>0</t>
        </is>
      </c>
      <c r="G3424" t="inlineStr">
        <is>
          <t>0</t>
        </is>
      </c>
      <c r="H3424" t="inlineStr">
        <is>
          <t>4², 12², 20², 60²</t>
        </is>
      </c>
      <c r="I3424" t="n">
        <v>8</v>
      </c>
      <c r="J3424" t="inlineStr">
        <is>
          <t>2⁸, 4⁴, 8⁴, 16²</t>
        </is>
      </c>
      <c r="K3424">
        <f>HYPERLINK("CSG1.html#group20G1", "20G¹"), =HYPERLINK("CSG3.html#group30F3", "30F³"), =HYPERLINK("CSG7.html#group60F7", "60F⁷")</f>
        <v/>
      </c>
      <c r="L3424" t="inlineStr"/>
      <c r="M3424">
        <f>HYPERLINK("CSG1.html#group15C1", "15C¹"), =HYPERLINK("CSG0.html#group3B0", "3B⁰"), =HYPERLINK("CSG3.html#group30F3", "30F³"), =HYPERLINK("CSG7.html#group60F7", "60F⁷"), =HYPERLINK("CSG0.html#group4A0", "4A⁰"), =HYPERLINK("CSG1.html#group12A1", "12A¹"), =HYPERLINK("CSG1.html#group20G1", "20G¹"), =HYPERLINK("CSG0.html#group5B0", "5B⁰"), =HYPERLINK("CSG0.html#group1A0", "1A⁰"), =HYPERLINK("CSG1.html#group20B1", "20B¹"), =HYPERLINK("CSG0.html#group10B0", "10B⁰")</f>
        <v/>
      </c>
      <c r="N3424" t="inlineStr"/>
    </row>
    <row r="3425">
      <c r="A3425" t="inlineStr">
        <is>
          <t>60M¹³</t>
        </is>
      </c>
      <c r="B3425" t="inlineStr"/>
      <c r="C3425" t="inlineStr">
        <is>
          <t>192</t>
        </is>
      </c>
      <c r="D3425" t="inlineStr">
        <is>
          <t>1</t>
        </is>
      </c>
      <c r="E3425" t="inlineStr">
        <is>
          <t>96</t>
        </is>
      </c>
      <c r="F3425" t="inlineStr">
        <is>
          <t>0</t>
        </is>
      </c>
      <c r="G3425" t="inlineStr">
        <is>
          <t>0</t>
        </is>
      </c>
      <c r="H3425" t="inlineStr">
        <is>
          <t>4², 12², 20², 60²</t>
        </is>
      </c>
      <c r="I3425" t="n">
        <v>8</v>
      </c>
      <c r="J3425" t="inlineStr">
        <is>
          <t>2⁸, 4⁴, 8⁴, 16²</t>
        </is>
      </c>
      <c r="K3425">
        <f>HYPERLINK("CSG1.html#group12I1", "12I¹"), =HYPERLINK("CSG3.html#group20C3", "20C³"), =HYPERLINK("CSG3.html#group30G3", "30G³"), =HYPERLINK("CSG7.html#group60F7", "60F⁷")</f>
        <v/>
      </c>
      <c r="L3425" t="inlineStr"/>
      <c r="M3425">
        <f>HYPERLINK("CSG0.html#group3B0", "3B⁰"), =HYPERLINK("CSG0.html#group2A0", "2A⁰"), =HYPERLINK("CSG1.html#group12I1", "12I¹"), =HYPERLINK("CSG0.html#group6C0", "6C⁰"), =HYPERLINK("CSG3.html#group20C3", "20C³"), =HYPERLINK("CSG0.html#group5B0", "5B⁰"), =HYPERLINK("CSG1.html#group10A1", "10A¹"), =HYPERLINK("CSG3.html#group30G3", "30G³"), =HYPERLINK("CSG0.html#group1A0", "1A⁰"), =HYPERLINK("CSG1.html#group20B1", "20B¹"), =HYPERLINK("CSG1.html#group15C1", "15C¹"), =HYPERLINK("CSG7.html#group60F7", "60F⁷"), =HYPERLINK("CSG0.html#group4A0", "4A⁰"), =HYPERLINK("CSG1.html#group12A1", "12A¹"), =HYPERLINK("CSG0.html#group4D0", "4D⁰")</f>
        <v/>
      </c>
      <c r="N3425" t="inlineStr"/>
    </row>
    <row r="3426">
      <c r="A3426" t="inlineStr">
        <is>
          <t>60N¹³</t>
        </is>
      </c>
      <c r="B3426" t="inlineStr"/>
      <c r="C3426" t="inlineStr">
        <is>
          <t>216</t>
        </is>
      </c>
      <c r="D3426" t="inlineStr">
        <is>
          <t>1</t>
        </is>
      </c>
      <c r="E3426" t="inlineStr">
        <is>
          <t>18</t>
        </is>
      </c>
      <c r="F3426" t="inlineStr">
        <is>
          <t>0</t>
        </is>
      </c>
      <c r="G3426" t="inlineStr">
        <is>
          <t>0</t>
        </is>
      </c>
      <c r="H3426" t="inlineStr">
        <is>
          <t>3⁴, 12², 15⁴, 60²</t>
        </is>
      </c>
      <c r="I3426" t="n">
        <v>12</v>
      </c>
      <c r="J3426" t="inlineStr">
        <is>
          <t>1⁶, 4³</t>
        </is>
      </c>
      <c r="K3426">
        <f>HYPERLINK("CSG1.html#group20H1", "20H¹"), =HYPERLINK("CSG4.html#group60C4", "60C⁴"), =HYPERLINK("CSG6.html#group30C6", "30C⁶"), =HYPERLINK("CSG7.html#group60H7", "60H⁷")</f>
        <v/>
      </c>
      <c r="L3426" t="inlineStr"/>
      <c r="M3426">
        <f>HYPERLINK("CSG7.html#group60H7", "60H⁷"), =HYPERLINK("CSG6.html#group30C6", "30C⁶"), =HYPERLINK("CSG0.html#group5B0", "5B⁰"), =HYPERLINK("CSG4.html#group60C4", "60C⁴"), =HYPERLINK("CSG0.html#group5D0", "5D⁰"), =HYPERLINK("CSG0.html#group2B0", "2B⁰"), =HYPERLINK("CSG1.html#group20D1", "20D¹"), =HYPERLINK("CSG1.html#group20H1", "20H¹"), =HYPERLINK("CSG0.html#group4B0", "4B⁰"), =HYPERLINK("CSG0.html#group1A0", "1A⁰"), =HYPERLINK("CSG0.html#group10F0", "10F⁰"), =HYPERLINK("CSG0.html#group20A0", "20A⁰"), =HYPERLINK("CSG0.html#group15B0", "15B⁰"), =HYPERLINK("CSG2.html#group30E2", "30E²"), =HYPERLINK("CSG2.html#group15B2", "15B²"), =HYPERLINK("CSG0.html#group10C0", "10C⁰"), =HYPERLINK("CSG1.html#group12B1", "12B¹"), =HYPERLINK("CSG0.html#group3A0", "3A⁰"), =HYPERLINK("CSG0.html#group6D0", "6D⁰")</f>
        <v/>
      </c>
      <c r="N3426" t="inlineStr"/>
    </row>
    <row r="3427">
      <c r="A3427" t="inlineStr">
        <is>
          <t>60O¹³</t>
        </is>
      </c>
      <c r="B3427" t="inlineStr"/>
      <c r="C3427" t="inlineStr">
        <is>
          <t>216</t>
        </is>
      </c>
      <c r="D3427" t="inlineStr">
        <is>
          <t>1</t>
        </is>
      </c>
      <c r="E3427" t="inlineStr">
        <is>
          <t>36</t>
        </is>
      </c>
      <c r="F3427" t="inlineStr">
        <is>
          <t>12</t>
        </is>
      </c>
      <c r="G3427" t="inlineStr">
        <is>
          <t>0</t>
        </is>
      </c>
      <c r="H3427" t="inlineStr">
        <is>
          <t>12³, 60³</t>
        </is>
      </c>
      <c r="I3427" t="n">
        <v>6</v>
      </c>
      <c r="J3427" t="inlineStr">
        <is>
          <t>1⁴, 2⁴, 4², 8²</t>
        </is>
      </c>
      <c r="K3427">
        <f>HYPERLINK("CSG3.html#group20K3", "20K³"), =HYPERLINK("CSG5.html#group60A5", "60A⁵")</f>
        <v/>
      </c>
      <c r="L3427" t="inlineStr"/>
      <c r="M3427">
        <f>HYPERLINK("CSG1.html#group20E1", "20E¹"), =HYPERLINK("CSG0.html#group12C0", "12C⁰"), =HYPERLINK("CSG0.html#group4C0", "4C⁰"), =HYPERLINK("CSG0.html#group5B0", "5B⁰"), =HYPERLINK("CSG0.html#group2B0", "2B⁰"), =HYPERLINK("CSG3.html#group20K3", "20K³"), =HYPERLINK("CSG0.html#group1A0", "1A⁰"), =HYPERLINK("CSG0.html#group15B0", "15B⁰"), =HYPERLINK("CSG2.html#group30E2", "30E²"), =HYPERLINK("CSG5.html#group60A5", "60A⁵"), =HYPERLINK("CSG0.html#group10C0", "10C⁰"), =HYPERLINK("CSG0.html#group3A0", "3A⁰"), =HYPERLINK("CSG0.html#group6D0", "6D⁰")</f>
        <v/>
      </c>
      <c r="N3427" t="inlineStr"/>
    </row>
    <row r="3428">
      <c r="A3428" t="inlineStr">
        <is>
          <t>60P¹³</t>
        </is>
      </c>
      <c r="B3428" t="inlineStr"/>
      <c r="C3428" t="inlineStr">
        <is>
          <t>216</t>
        </is>
      </c>
      <c r="D3428" t="inlineStr">
        <is>
          <t>1</t>
        </is>
      </c>
      <c r="E3428" t="inlineStr">
        <is>
          <t>36</t>
        </is>
      </c>
      <c r="F3428" t="inlineStr">
        <is>
          <t>12</t>
        </is>
      </c>
      <c r="G3428" t="inlineStr">
        <is>
          <t>0</t>
        </is>
      </c>
      <c r="H3428" t="inlineStr">
        <is>
          <t>12³, 60³</t>
        </is>
      </c>
      <c r="I3428" t="n">
        <v>6</v>
      </c>
      <c r="J3428" t="inlineStr">
        <is>
          <t>1⁴, 2⁴, 4², 8²</t>
        </is>
      </c>
      <c r="K3428">
        <f>HYPERLINK("CSG1.html#group12J1", "12J¹"), =HYPERLINK("CSG3.html#group20L3", "20L³"), =HYPERLINK("CSG3.html#group60B3", "60B³"), =HYPERLINK("CSG5.html#group60A5", "60A⁵")</f>
        <v/>
      </c>
      <c r="L3428" t="inlineStr"/>
      <c r="M3428">
        <f>HYPERLINK("CSG1.html#group20E1", "20E¹"), =HYPERLINK("CSG0.html#group12C0", "12C⁰"), =HYPERLINK("CSG0.html#group4C0", "4C⁰"), =HYPERLINK("CSG0.html#group5B0", "5B⁰"), =HYPERLINK("CSG0.html#group2B0", "2B⁰"), =HYPERLINK("CSG0.html#group1A0", "1A⁰"), =HYPERLINK("CSG1.html#group20B1", "20B¹"), =HYPERLINK("CSG0.html#group15B0", "15B⁰"), =HYPERLINK("CSG0.html#group12A0", "12A⁰"), =HYPERLINK("CSG2.html#group30E2", "30E²"), =HYPERLINK("CSG5.html#group60A5", "60A⁵"), =HYPERLINK("CSG0.html#group4A0", "4A⁰"), =HYPERLINK("CSG0.html#group10C0", "10C⁰"), =HYPERLINK("CSG1.html#group12J1", "12J¹"), =HYPERLINK("CSG3.html#group60B3", "60B³"), =HYPERLINK("CSG0.html#group4F0", "4F⁰"), =HYPERLINK("CSG0.html#group3A0", "3A⁰"), =HYPERLINK("CSG3.html#group20L3", "20L³"), =HYPERLINK("CSG0.html#group6D0", "6D⁰")</f>
        <v/>
      </c>
      <c r="N3428" t="inlineStr"/>
    </row>
    <row r="3429">
      <c r="A3429" t="inlineStr">
        <is>
          <t>60Q¹³</t>
        </is>
      </c>
      <c r="B3429" t="inlineStr"/>
      <c r="C3429" t="inlineStr">
        <is>
          <t>216</t>
        </is>
      </c>
      <c r="D3429" t="inlineStr">
        <is>
          <t>1</t>
        </is>
      </c>
      <c r="E3429" t="inlineStr">
        <is>
          <t>54</t>
        </is>
      </c>
      <c r="F3429" t="inlineStr">
        <is>
          <t>0</t>
        </is>
      </c>
      <c r="G3429" t="inlineStr">
        <is>
          <t>0</t>
        </is>
      </c>
      <c r="H3429" t="inlineStr">
        <is>
          <t>3⁴, 12², 15⁴, 60²</t>
        </is>
      </c>
      <c r="I3429" t="n">
        <v>12</v>
      </c>
      <c r="J3429" t="inlineStr">
        <is>
          <t>1⁶, 2⁶, 4³, 8³</t>
        </is>
      </c>
      <c r="K3429">
        <f>HYPERLINK("CSG5.html#group30O5", "30O⁵"), =HYPERLINK("CSG6.html#group60E6", "60E⁶")</f>
        <v/>
      </c>
      <c r="L3429" t="inlineStr"/>
      <c r="M3429">
        <f>HYPERLINK("CSG0.html#group15B0", "15B⁰"), =HYPERLINK("CSG6.html#group60E6", "60E⁶"), =HYPERLINK("CSG2.html#group30E2", "30E²"), =HYPERLINK("CSG0.html#group5B0", "5B⁰"), =HYPERLINK("CSG0.html#group10C0", "10C⁰"), =HYPERLINK("CSG0.html#group6G0", "6G⁰"), =HYPERLINK("CSG0.html#group3C0", "3C⁰"), =HYPERLINK("CSG0.html#group2B0", "2B⁰"), =HYPERLINK("CSG5.html#group30O5", "30O⁵"), =HYPERLINK("CSG0.html#group3A0", "3A⁰"), =HYPERLINK("CSG0.html#group1A0", "1A⁰"), =HYPERLINK("CSG0.html#group6D0", "6D⁰"), =HYPERLINK("CSG1.html#group15E1", "15E¹")</f>
        <v/>
      </c>
      <c r="N3429" t="inlineStr"/>
    </row>
    <row r="3430">
      <c r="A3430" t="inlineStr">
        <is>
          <t>60R¹³</t>
        </is>
      </c>
      <c r="B3430" t="inlineStr"/>
      <c r="C3430" t="inlineStr">
        <is>
          <t>216</t>
        </is>
      </c>
      <c r="D3430" t="inlineStr">
        <is>
          <t>1</t>
        </is>
      </c>
      <c r="E3430" t="inlineStr">
        <is>
          <t>54</t>
        </is>
      </c>
      <c r="F3430" t="inlineStr">
        <is>
          <t>0</t>
        </is>
      </c>
      <c r="G3430" t="inlineStr">
        <is>
          <t>0</t>
        </is>
      </c>
      <c r="H3430" t="inlineStr">
        <is>
          <t>3⁴, 12², 15⁴, 60²</t>
        </is>
      </c>
      <c r="I3430" t="n">
        <v>12</v>
      </c>
      <c r="J3430" t="inlineStr">
        <is>
          <t>1⁶, 2⁶, 4³, 8³</t>
        </is>
      </c>
      <c r="K3430">
        <f>HYPERLINK("CSG4.html#group30I4", "30I⁴"), =HYPERLINK("CSG6.html#group60E6", "60E⁶"), =HYPERLINK("CSG7.html#group60H7", "60H⁷")</f>
        <v/>
      </c>
      <c r="L3430" t="inlineStr"/>
      <c r="M3430">
        <f>HYPERLINK("CSG0.html#group15B0", "15B⁰"), =HYPERLINK("CSG6.html#group60E6", "60E⁶"), =HYPERLINK("CSG2.html#group30E2", "30E²"), =HYPERLINK("CSG7.html#group60H7", "60H⁷"), =HYPERLINK("CSG0.html#group4B0", "4B⁰"), =HYPERLINK("CSG4.html#group30I4", "30I⁴"), =HYPERLINK("CSG0.html#group5B0", "5B⁰"), =HYPERLINK("CSG0.html#group10C0", "10C⁰"), =HYPERLINK("CSG1.html#group20D1", "20D¹"), =HYPERLINK("CSG1.html#group12B1", "12B¹"), =HYPERLINK("CSG0.html#group2B0", "2B⁰"), =HYPERLINK("CSG0.html#group3A0", "3A⁰"), =HYPERLINK("CSG0.html#group1A0", "1A⁰"), =HYPERLINK("CSG0.html#group6D0", "6D⁰"), =HYPERLINK("CSG0.html#group15C0", "15C⁰")</f>
        <v/>
      </c>
      <c r="N3430" t="inlineStr"/>
    </row>
    <row r="3431">
      <c r="A3431" t="inlineStr">
        <is>
          <t>60S¹³</t>
        </is>
      </c>
      <c r="B3431" t="inlineStr"/>
      <c r="C3431" t="inlineStr">
        <is>
          <t>216</t>
        </is>
      </c>
      <c r="D3431" t="inlineStr">
        <is>
          <t>1</t>
        </is>
      </c>
      <c r="E3431" t="inlineStr">
        <is>
          <t>54</t>
        </is>
      </c>
      <c r="F3431" t="inlineStr">
        <is>
          <t>0</t>
        </is>
      </c>
      <c r="G3431" t="inlineStr">
        <is>
          <t>0</t>
        </is>
      </c>
      <c r="H3431" t="inlineStr">
        <is>
          <t>3⁴, 12², 15⁴, 60²</t>
        </is>
      </c>
      <c r="I3431" t="n">
        <v>12</v>
      </c>
      <c r="J3431" t="inlineStr">
        <is>
          <t>1⁶, 2⁶, 4³, 8³</t>
        </is>
      </c>
      <c r="K3431">
        <f>HYPERLINK("CSG5.html#group60B5", "60B⁵"), =HYPERLINK("CSG6.html#group30C6", "30C⁶"), =HYPERLINK("CSG6.html#group60E6", "60E⁶")</f>
        <v/>
      </c>
      <c r="L3431" t="inlineStr"/>
      <c r="M3431">
        <f>HYPERLINK("CSG0.html#group15B0", "15B⁰"), =HYPERLINK("CSG6.html#group60E6", "60E⁶"), =HYPERLINK("CSG2.html#group30E2", "30E²"), =HYPERLINK("CSG6.html#group30C6", "30C⁶"), =HYPERLINK("CSG2.html#group15B2", "15B²"), =HYPERLINK("CSG0.html#group5B0", "5B⁰"), =HYPERLINK("CSG0.html#group5D0", "5D⁰"), =HYPERLINK("CSG0.html#group10C0", "10C⁰"), =HYPERLINK("CSG0.html#group2B0", "2B⁰"), =HYPERLINK("CSG0.html#group12D0", "12D⁰"), =HYPERLINK("CSG0.html#group3A0", "3A⁰"), =HYPERLINK("CSG0.html#group1A0", "1A⁰"), =HYPERLINK("CSG0.html#group10F0", "10F⁰"), =HYPERLINK("CSG0.html#group6D0", "6D⁰"), =HYPERLINK("CSG5.html#group60B5", "60B⁵")</f>
        <v/>
      </c>
      <c r="N3431" t="inlineStr"/>
    </row>
    <row r="3432">
      <c r="A3432" t="inlineStr">
        <is>
          <t>60T¹³</t>
        </is>
      </c>
      <c r="B3432" t="inlineStr"/>
      <c r="C3432" t="inlineStr">
        <is>
          <t>216</t>
        </is>
      </c>
      <c r="D3432" t="inlineStr">
        <is>
          <t>1</t>
        </is>
      </c>
      <c r="E3432" t="inlineStr">
        <is>
          <t>54</t>
        </is>
      </c>
      <c r="F3432" t="inlineStr">
        <is>
          <t>0</t>
        </is>
      </c>
      <c r="G3432" t="inlineStr">
        <is>
          <t>0</t>
        </is>
      </c>
      <c r="H3432" t="inlineStr">
        <is>
          <t>3⁴, 12², 15⁴, 60²</t>
        </is>
      </c>
      <c r="I3432" t="n">
        <v>12</v>
      </c>
      <c r="J3432" t="inlineStr">
        <is>
          <t>1⁶, 2⁶, 4³, 8³</t>
        </is>
      </c>
      <c r="K3432">
        <f>HYPERLINK("CSG1.html#group12K1", "12K¹"), =HYPERLINK("CSG5.html#group30O5", "30O⁵"), =HYPERLINK("CSG5.html#group60B5", "60B⁵"), =HYPERLINK("CSG7.html#group60H7", "60H⁷")</f>
        <v/>
      </c>
      <c r="L3432" t="inlineStr"/>
      <c r="M3432">
        <f>HYPERLINK("CSG1.html#group12K1", "12K¹"), =HYPERLINK("CSG7.html#group60H7", "60H⁷"), =HYPERLINK("CSG0.html#group5B0", "5B⁰"), =HYPERLINK("CSG0.html#group6G0", "6G⁰"), =HYPERLINK("CSG0.html#group2B0", "2B⁰"), =HYPERLINK("CSG1.html#group20D1", "20D¹"), =HYPERLINK("CSG5.html#group30O5", "30O⁵"), =HYPERLINK("CSG0.html#group4B0", "4B⁰"), =HYPERLINK("CSG0.html#group1A0", "1A⁰"), =HYPERLINK("CSG0.html#group15B0", "15B⁰"), =HYPERLINK("CSG2.html#group30E2", "30E²"), =HYPERLINK("CSG1.html#group15E1", "15E¹"), =HYPERLINK("CSG0.html#group10C0", "10C⁰"), =HYPERLINK("CSG0.html#group3C0", "3C⁰"), =HYPERLINK("CSG1.html#group12B1", "12B¹"), =HYPERLINK("CSG0.html#group12D0", "12D⁰"), =HYPERLINK("CSG0.html#group3A0", "3A⁰"), =HYPERLINK("CSG0.html#group6D0", "6D⁰"), =HYPERLINK("CSG5.html#group60B5", "60B⁵")</f>
        <v/>
      </c>
      <c r="N3432" t="inlineStr"/>
    </row>
    <row r="3433">
      <c r="A3433" t="inlineStr">
        <is>
          <t>60U¹³</t>
        </is>
      </c>
      <c r="B3433" t="inlineStr"/>
      <c r="C3433" t="inlineStr">
        <is>
          <t>216</t>
        </is>
      </c>
      <c r="D3433" t="inlineStr">
        <is>
          <t>1</t>
        </is>
      </c>
      <c r="E3433" t="inlineStr">
        <is>
          <t>54</t>
        </is>
      </c>
      <c r="F3433" t="inlineStr">
        <is>
          <t>8</t>
        </is>
      </c>
      <c r="G3433" t="inlineStr">
        <is>
          <t>0</t>
        </is>
      </c>
      <c r="H3433" t="inlineStr">
        <is>
          <t>6², 12², 30², 60²</t>
        </is>
      </c>
      <c r="I3433" t="n">
        <v>8</v>
      </c>
      <c r="J3433" t="inlineStr">
        <is>
          <t>1⁶, 2⁶, 4³, 8³</t>
        </is>
      </c>
      <c r="K3433">
        <f>HYPERLINK("CSG5.html#group30O5", "30O⁵"), =HYPERLINK("CSG6.html#group60F6", "60F⁶")</f>
        <v/>
      </c>
      <c r="L3433" t="inlineStr"/>
      <c r="M3433">
        <f>HYPERLINK("CSG0.html#group15B0", "15B⁰"), =HYPERLINK("CSG6.html#group60F6", "60F⁶"), =HYPERLINK("CSG2.html#group30E2", "30E²"), =HYPERLINK("CSG0.html#group5B0", "5B⁰"), =HYPERLINK("CSG0.html#group10C0", "10C⁰"), =HYPERLINK("CSG0.html#group6G0", "6G⁰"), =HYPERLINK("CSG0.html#group3C0", "3C⁰"), =HYPERLINK("CSG0.html#group2B0", "2B⁰"), =HYPERLINK("CSG5.html#group30O5", "30O⁵"), =HYPERLINK("CSG0.html#group3A0", "3A⁰"), =HYPERLINK("CSG0.html#group1A0", "1A⁰"), =HYPERLINK("CSG0.html#group6D0", "6D⁰"), =HYPERLINK("CSG1.html#group15E1", "15E¹")</f>
        <v/>
      </c>
      <c r="N3433" t="inlineStr"/>
    </row>
    <row r="3434">
      <c r="A3434" t="inlineStr">
        <is>
          <t>60V¹³</t>
        </is>
      </c>
      <c r="B3434" t="inlineStr"/>
      <c r="C3434" t="inlineStr">
        <is>
          <t>216</t>
        </is>
      </c>
      <c r="D3434" t="inlineStr">
        <is>
          <t>1</t>
        </is>
      </c>
      <c r="E3434" t="inlineStr">
        <is>
          <t>54</t>
        </is>
      </c>
      <c r="F3434" t="inlineStr">
        <is>
          <t>8</t>
        </is>
      </c>
      <c r="G3434" t="inlineStr">
        <is>
          <t>0</t>
        </is>
      </c>
      <c r="H3434" t="inlineStr">
        <is>
          <t>6², 12², 30², 60²</t>
        </is>
      </c>
      <c r="I3434" t="n">
        <v>8</v>
      </c>
      <c r="J3434" t="inlineStr">
        <is>
          <t>1⁶, 2⁶, 4³, 8³</t>
        </is>
      </c>
      <c r="K3434">
        <f>HYPERLINK("CSG4.html#group30H4", "30H⁴"), =HYPERLINK("CSG6.html#group60E6", "60E⁶"), =HYPERLINK("CSG7.html#group60I7", "60I⁷")</f>
        <v/>
      </c>
      <c r="L3434" t="inlineStr"/>
      <c r="M3434">
        <f>HYPERLINK("CSG0.html#group30A0", "30A⁰"), =HYPERLINK("CSG6.html#group60E6", "60E⁶"), =HYPERLINK("CSG0.html#group10G0", "10G⁰"), =HYPERLINK("CSG0.html#group5B0", "5B⁰"), =HYPERLINK("CSG0.html#group2B0", "2B⁰"), =HYPERLINK("CSG0.html#group1A0", "1A⁰"), =HYPERLINK("CSG0.html#group10B0", "10B⁰"), =HYPERLINK("CSG0.html#group15B0", "15B⁰"), =HYPERLINK("CSG2.html#group30E2", "30E²"), =HYPERLINK("CSG1.html#group12C1", "12C¹"), =HYPERLINK("CSG7.html#group60I7", "60I⁷"), =HYPERLINK("CSG0.html#group10C0", "10C⁰"), =HYPERLINK("CSG4.html#group30H4", "30H⁴"), =HYPERLINK("CSG0.html#group3A0", "3A⁰"), =HYPERLINK("CSG0.html#group6D0", "6D⁰")</f>
        <v/>
      </c>
      <c r="N3434" t="inlineStr"/>
    </row>
    <row r="3435">
      <c r="A3435" t="inlineStr">
        <is>
          <t>60W¹³</t>
        </is>
      </c>
      <c r="B3435" t="inlineStr"/>
      <c r="C3435" t="inlineStr">
        <is>
          <t>216</t>
        </is>
      </c>
      <c r="D3435" t="inlineStr">
        <is>
          <t>1</t>
        </is>
      </c>
      <c r="E3435" t="inlineStr">
        <is>
          <t>54</t>
        </is>
      </c>
      <c r="F3435" t="inlineStr">
        <is>
          <t>8</t>
        </is>
      </c>
      <c r="G3435" t="inlineStr">
        <is>
          <t>0</t>
        </is>
      </c>
      <c r="H3435" t="inlineStr">
        <is>
          <t>6², 12², 30², 60²</t>
        </is>
      </c>
      <c r="I3435" t="n">
        <v>8</v>
      </c>
      <c r="J3435" t="inlineStr">
        <is>
          <t>1⁶, 2⁶, 4³, 8³</t>
        </is>
      </c>
      <c r="K3435">
        <f>HYPERLINK("CSG4.html#group60C4", "60C⁴"), =HYPERLINK("CSG6.html#group30D6", "30D⁶"), =HYPERLINK("CSG7.html#group60I7", "60I⁷")</f>
        <v/>
      </c>
      <c r="L3435" t="inlineStr"/>
      <c r="M3435">
        <f>HYPERLINK("CSG0.html#group20A0", "20A⁰"), =HYPERLINK("CSG0.html#group15B0", "15B⁰"), =HYPERLINK("CSG6.html#group30D6", "30D⁶"), =HYPERLINK("CSG2.html#group30E2", "30E²"), =HYPERLINK("CSG7.html#group60I7", "60I⁷"), =HYPERLINK("CSG1.html#group12C1", "12C¹"), =HYPERLINK("CSG0.html#group5B0", "5B⁰"), =HYPERLINK("CSG0.html#group10C0", "10C⁰"), =HYPERLINK("CSG4.html#group60C4", "60C⁴"), =HYPERLINK("CSG0.html#group2B0", "2B⁰"), =HYPERLINK("CSG0.html#group3A0", "3A⁰"), =HYPERLINK("CSG0.html#group1A0", "1A⁰"), =HYPERLINK("CSG0.html#group6D0", "6D⁰"), =HYPERLINK("CSG2.html#group30C2", "30C²")</f>
        <v/>
      </c>
      <c r="N3435" t="inlineStr"/>
    </row>
    <row r="3436">
      <c r="A3436" t="inlineStr">
        <is>
          <t>60X¹³</t>
        </is>
      </c>
      <c r="B3436" t="inlineStr"/>
      <c r="C3436" t="inlineStr">
        <is>
          <t>216</t>
        </is>
      </c>
      <c r="D3436" t="inlineStr">
        <is>
          <t>1</t>
        </is>
      </c>
      <c r="E3436" t="inlineStr">
        <is>
          <t>54</t>
        </is>
      </c>
      <c r="F3436" t="inlineStr">
        <is>
          <t>8</t>
        </is>
      </c>
      <c r="G3436" t="inlineStr">
        <is>
          <t>0</t>
        </is>
      </c>
      <c r="H3436" t="inlineStr">
        <is>
          <t>6², 12², 30², 60²</t>
        </is>
      </c>
      <c r="I3436" t="n">
        <v>8</v>
      </c>
      <c r="J3436" t="inlineStr">
        <is>
          <t>1⁶, 2⁶, 4³, 8³</t>
        </is>
      </c>
      <c r="K3436">
        <f>HYPERLINK("CSG5.html#group60A5", "60A⁵"), =HYPERLINK("CSG6.html#group30D6", "30D⁶"), =HYPERLINK("CSG6.html#group60E6", "60E⁶")</f>
        <v/>
      </c>
      <c r="L3436" t="inlineStr"/>
      <c r="M3436">
        <f>HYPERLINK("CSG1.html#group20E1", "20E¹"), =HYPERLINK("CSG0.html#group15B0", "15B⁰"), =HYPERLINK("CSG6.html#group60E6", "60E⁶"), =HYPERLINK("CSG0.html#group12C0", "12C⁰"), =HYPERLINK("CSG6.html#group30D6", "30D⁶"), =HYPERLINK("CSG2.html#group30E2", "30E²"), =HYPERLINK("CSG5.html#group60A5", "60A⁵"), =HYPERLINK("CSG0.html#group4C0", "4C⁰"), =HYPERLINK("CSG0.html#group5B0", "5B⁰"), =HYPERLINK("CSG0.html#group10C0", "10C⁰"), =HYPERLINK("CSG0.html#group2B0", "2B⁰"), =HYPERLINK("CSG0.html#group3A0", "3A⁰"), =HYPERLINK("CSG0.html#group1A0", "1A⁰"), =HYPERLINK("CSG0.html#group6D0", "6D⁰"), =HYPERLINK("CSG2.html#group30C2", "30C²")</f>
        <v/>
      </c>
      <c r="N3436" t="inlineStr"/>
    </row>
    <row r="3437">
      <c r="A3437" t="inlineStr">
        <is>
          <t>60Y¹³</t>
        </is>
      </c>
      <c r="B3437" t="inlineStr"/>
      <c r="C3437" t="inlineStr">
        <is>
          <t>216</t>
        </is>
      </c>
      <c r="D3437" t="inlineStr">
        <is>
          <t>1</t>
        </is>
      </c>
      <c r="E3437" t="inlineStr">
        <is>
          <t>54</t>
        </is>
      </c>
      <c r="F3437" t="inlineStr">
        <is>
          <t>8</t>
        </is>
      </c>
      <c r="G3437" t="inlineStr">
        <is>
          <t>0</t>
        </is>
      </c>
      <c r="H3437" t="inlineStr">
        <is>
          <t>6², 12², 30², 60²</t>
        </is>
      </c>
      <c r="I3437" t="n">
        <v>8</v>
      </c>
      <c r="J3437" t="inlineStr">
        <is>
          <t>1⁶, 2⁶, 4³, 8³</t>
        </is>
      </c>
      <c r="K3437">
        <f>HYPERLINK("CSG1.html#group12L1", "12L¹"), =HYPERLINK("CSG5.html#group30O5", "30O⁵"), =HYPERLINK("CSG5.html#group60A5", "60A⁵"), =HYPERLINK("CSG7.html#group60I7", "60I⁷")</f>
        <v/>
      </c>
      <c r="L3437" t="inlineStr"/>
      <c r="M3437">
        <f>HYPERLINK("CSG1.html#group20E1", "20E¹"), =HYPERLINK("CSG0.html#group12C0", "12C⁰"), =HYPERLINK("CSG0.html#group4C0", "4C⁰"), =HYPERLINK("CSG0.html#group5B0", "5B⁰"), =HYPERLINK("CSG0.html#group6G0", "6G⁰"), =HYPERLINK("CSG0.html#group2B0", "2B⁰"), =HYPERLINK("CSG5.html#group30O5", "30O⁵"), =HYPERLINK("CSG0.html#group1A0", "1A⁰"), =HYPERLINK("CSG1.html#group12L1", "12L¹"), =HYPERLINK("CSG0.html#group15B0", "15B⁰"), =HYPERLINK("CSG2.html#group30E2", "30E²"), =HYPERLINK("CSG1.html#group12C1", "12C¹"), =HYPERLINK("CSG5.html#group60A5", "60A⁵"), =HYPERLINK("CSG7.html#group60I7", "60I⁷"), =HYPERLINK("CSG0.html#group10C0", "10C⁰"), =HYPERLINK("CSG0.html#group3C0", "3C⁰"), =HYPERLINK("CSG0.html#group3A0", "3A⁰"), =HYPERLINK("CSG0.html#group6D0", "6D⁰"), =HYPERLINK("CSG1.html#group15E1", "15E¹")</f>
        <v/>
      </c>
      <c r="N3437" t="inlineStr"/>
    </row>
    <row r="3438">
      <c r="A3438" t="inlineStr">
        <is>
          <t>60Z¹³</t>
        </is>
      </c>
      <c r="B3438" t="inlineStr"/>
      <c r="C3438" t="inlineStr">
        <is>
          <t>216</t>
        </is>
      </c>
      <c r="D3438" t="inlineStr">
        <is>
          <t>1</t>
        </is>
      </c>
      <c r="E3438" t="inlineStr">
        <is>
          <t>108</t>
        </is>
      </c>
      <c r="F3438" t="inlineStr">
        <is>
          <t>12</t>
        </is>
      </c>
      <c r="G3438" t="inlineStr">
        <is>
          <t>0</t>
        </is>
      </c>
      <c r="H3438" t="inlineStr">
        <is>
          <t>12³, 60³</t>
        </is>
      </c>
      <c r="I3438" t="n">
        <v>6</v>
      </c>
      <c r="J3438" t="inlineStr">
        <is>
          <t>1⁴, 2⁸, 4⁶, 8⁴, 16²</t>
        </is>
      </c>
      <c r="K3438">
        <f>HYPERLINK("CSG5.html#group60A5", "60A⁵")</f>
        <v/>
      </c>
      <c r="L3438" t="inlineStr"/>
      <c r="M3438">
        <f>HYPERLINK("CSG1.html#group20E1", "20E¹"), =HYPERLINK("CSG0.html#group15B0", "15B⁰"), =HYPERLINK("CSG0.html#group12C0", "12C⁰"), =HYPERLINK("CSG2.html#group30E2", "30E²"), =HYPERLINK("CSG5.html#group60A5", "60A⁵"), =HYPERLINK("CSG0.html#group4C0", "4C⁰"), =HYPERLINK("CSG0.html#group5B0", "5B⁰"), =HYPERLINK("CSG0.html#group10C0", "10C⁰"), =HYPERLINK("CSG0.html#group2B0", "2B⁰"), =HYPERLINK("CSG0.html#group3A0", "3A⁰"), =HYPERLINK("CSG0.html#group1A0", "1A⁰"), =HYPERLINK("CSG0.html#group6D0", "6D⁰")</f>
        <v/>
      </c>
      <c r="N3438" t="inlineStr"/>
    </row>
    <row r="3439">
      <c r="A3439" t="inlineStr">
        <is>
          <t>60AA¹³</t>
        </is>
      </c>
      <c r="B3439" t="inlineStr"/>
      <c r="C3439" t="inlineStr">
        <is>
          <t>216</t>
        </is>
      </c>
      <c r="D3439" t="inlineStr">
        <is>
          <t>1</t>
        </is>
      </c>
      <c r="E3439" t="inlineStr">
        <is>
          <t>108</t>
        </is>
      </c>
      <c r="F3439" t="inlineStr">
        <is>
          <t>12</t>
        </is>
      </c>
      <c r="G3439" t="inlineStr">
        <is>
          <t>0</t>
        </is>
      </c>
      <c r="H3439" t="inlineStr">
        <is>
          <t>12³, 60³</t>
        </is>
      </c>
      <c r="I3439" t="n">
        <v>6</v>
      </c>
      <c r="J3439" t="inlineStr">
        <is>
          <t>1⁴, 2⁸, 4⁶, 8⁴, 16²</t>
        </is>
      </c>
      <c r="K3439">
        <f>HYPERLINK("CSG1.html#group12M1", "12M¹"), =HYPERLINK("CSG5.html#group60A5", "60A⁵")</f>
        <v/>
      </c>
      <c r="L3439" t="inlineStr"/>
      <c r="M3439">
        <f>HYPERLINK("CSG1.html#group20E1", "20E¹"), =HYPERLINK("CSG0.html#group15B0", "15B⁰"), =HYPERLINK("CSG0.html#group12C0", "12C⁰"), =HYPERLINK("CSG2.html#group30E2", "30E²"), =HYPERLINK("CSG5.html#group60A5", "60A⁵"), =HYPERLINK("CSG0.html#group4C0", "4C⁰"), =HYPERLINK("CSG0.html#group5B0", "5B⁰"), =HYPERLINK("CSG0.html#group10C0", "10C⁰"), =HYPERLINK("CSG1.html#group12M1", "12M¹"), =HYPERLINK("CSG0.html#group2B0", "2B⁰"), =HYPERLINK("CSG0.html#group3A0", "3A⁰"), =HYPERLINK("CSG0.html#group1A0", "1A⁰"), =HYPERLINK("CSG0.html#group6D0", "6D⁰")</f>
        <v/>
      </c>
      <c r="N3439" t="inlineStr"/>
    </row>
    <row r="3440">
      <c r="A3440" t="inlineStr">
        <is>
          <t>60AB¹³</t>
        </is>
      </c>
      <c r="B3440" t="inlineStr"/>
      <c r="C3440" t="inlineStr">
        <is>
          <t>216</t>
        </is>
      </c>
      <c r="D3440" t="inlineStr">
        <is>
          <t>2</t>
        </is>
      </c>
      <c r="E3440" t="inlineStr">
        <is>
          <t>18</t>
        </is>
      </c>
      <c r="F3440" t="inlineStr">
        <is>
          <t>12</t>
        </is>
      </c>
      <c r="G3440" t="inlineStr">
        <is>
          <t>0</t>
        </is>
      </c>
      <c r="H3440" t="inlineStr">
        <is>
          <t>12³, 60³</t>
        </is>
      </c>
      <c r="I3440" t="n">
        <v>6</v>
      </c>
      <c r="J3440" t="inlineStr">
        <is>
          <t>2⁶, 8³</t>
        </is>
      </c>
      <c r="K3440">
        <f>HYPERLINK("CSG3.html#group20M3", "20M³"), =HYPERLINK("CSG3.html#group60C3", "60C³"), =HYPERLINK("CSG4.html#group30H4", "30H⁴")</f>
        <v/>
      </c>
      <c r="L3440" t="inlineStr"/>
      <c r="M3440">
        <f>HYPERLINK("CSG0.html#group30A0", "30A⁰"), =HYPERLINK("CSG1.html#group20C1", "20C¹"), =HYPERLINK("CSG0.html#group15B0", "15B⁰"), =HYPERLINK("CSG3.html#group20M3", "20M³"), =HYPERLINK("CSG3.html#group60C3", "60C³"), =HYPERLINK("CSG0.html#group10G0", "10G⁰"), =HYPERLINK("CSG2.html#group30E2", "30E²"), =HYPERLINK("CSG0.html#group5B0", "5B⁰"), =HYPERLINK("CSG0.html#group10C0", "10C⁰"), =HYPERLINK("CSG0.html#group2B0", "2B⁰"), =HYPERLINK("CSG4.html#group30H4", "30H⁴"), =HYPERLINK("CSG0.html#group3A0", "3A⁰"), =HYPERLINK("CSG0.html#group1A0", "1A⁰"), =HYPERLINK("CSG0.html#group6D0", "6D⁰"), =HYPERLINK("CSG0.html#group10B0", "10B⁰")</f>
        <v/>
      </c>
      <c r="N3440" t="inlineStr"/>
    </row>
    <row r="3441">
      <c r="A3441" t="inlineStr">
        <is>
          <t>60AC¹³</t>
        </is>
      </c>
      <c r="B3441" t="inlineStr"/>
      <c r="C3441" t="inlineStr">
        <is>
          <t>216</t>
        </is>
      </c>
      <c r="D3441" t="inlineStr">
        <is>
          <t>2</t>
        </is>
      </c>
      <c r="E3441" t="inlineStr">
        <is>
          <t>54</t>
        </is>
      </c>
      <c r="F3441" t="inlineStr">
        <is>
          <t>8</t>
        </is>
      </c>
      <c r="G3441" t="inlineStr">
        <is>
          <t>0</t>
        </is>
      </c>
      <c r="H3441" t="inlineStr">
        <is>
          <t>6², 12², 30², 60²</t>
        </is>
      </c>
      <c r="I3441" t="n">
        <v>8</v>
      </c>
      <c r="J3441" t="inlineStr">
        <is>
          <t>2¹⁸, 8⁹</t>
        </is>
      </c>
      <c r="K3441">
        <f>HYPERLINK("CSG4.html#group30I4", "30I⁴"), =HYPERLINK("CSG6.html#group60F6", "60F⁶"), =HYPERLINK("CSG7.html#group60I7", "60I⁷")</f>
        <v/>
      </c>
      <c r="L3441" t="inlineStr"/>
      <c r="M3441">
        <f>HYPERLINK("CSG0.html#group15B0", "15B⁰"), =HYPERLINK("CSG6.html#group60F6", "60F⁶"), =HYPERLINK("CSG2.html#group30E2", "30E²"), =HYPERLINK("CSG1.html#group12C1", "12C¹"), =HYPERLINK("CSG7.html#group60I7", "60I⁷"), =HYPERLINK("CSG4.html#group30I4", "30I⁴"), =HYPERLINK("CSG0.html#group5B0", "5B⁰"), =HYPERLINK("CSG0.html#group10C0", "10C⁰"), =HYPERLINK("CSG0.html#group2B0", "2B⁰"), =HYPERLINK("CSG0.html#group3A0", "3A⁰"), =HYPERLINK("CSG0.html#group1A0", "1A⁰"), =HYPERLINK("CSG0.html#group6D0", "6D⁰"), =HYPERLINK("CSG0.html#group15C0", "15C⁰")</f>
        <v/>
      </c>
      <c r="N3441" t="inlineStr"/>
    </row>
    <row r="3442">
      <c r="A3442" t="inlineStr">
        <is>
          <t>60AD¹³</t>
        </is>
      </c>
      <c r="B3442" t="inlineStr"/>
      <c r="C3442" t="inlineStr">
        <is>
          <t>216</t>
        </is>
      </c>
      <c r="D3442" t="inlineStr">
        <is>
          <t>2</t>
        </is>
      </c>
      <c r="E3442" t="inlineStr">
        <is>
          <t>54</t>
        </is>
      </c>
      <c r="F3442" t="inlineStr">
        <is>
          <t>8</t>
        </is>
      </c>
      <c r="G3442" t="inlineStr">
        <is>
          <t>0</t>
        </is>
      </c>
      <c r="H3442" t="inlineStr">
        <is>
          <t>6², 12², 30², 60²</t>
        </is>
      </c>
      <c r="I3442" t="n">
        <v>8</v>
      </c>
      <c r="J3442" t="inlineStr">
        <is>
          <t>2¹⁸, 8⁹</t>
        </is>
      </c>
      <c r="K3442">
        <f>HYPERLINK("CSG5.html#group30P5", "30P⁵"), =HYPERLINK("CSG6.html#group60E6", "60E⁶"), =HYPERLINK("CSG6.html#group60F6", "60F⁶")</f>
        <v/>
      </c>
      <c r="L3442" t="inlineStr"/>
      <c r="M3442">
        <f>HYPERLINK("CSG0.html#group15B0", "15B⁰"), =HYPERLINK("CSG6.html#group60E6", "60E⁶"), =HYPERLINK("CSG6.html#group60F6", "60F⁶"), =HYPERLINK("CSG0.html#group6B0", "6B⁰"), =HYPERLINK("CSG2.html#group30E2", "30E²"), =HYPERLINK("CSG0.html#group5B0", "5B⁰"), =HYPERLINK("CSG0.html#group10C0", "10C⁰"), =HYPERLINK("CSG0.html#group2B0", "2B⁰"), =HYPERLINK("CSG0.html#group6H0", "6H⁰"), =HYPERLINK("CSG0.html#group3A0", "3A⁰"), =HYPERLINK("CSG0.html#group1A0", "1A⁰"), =HYPERLINK("CSG5.html#group30P5", "30P⁵"), =HYPERLINK("CSG0.html#group6D0", "6D⁰"), =HYPERLINK("CSG1.html#group30C1", "30C¹")</f>
        <v/>
      </c>
      <c r="N3442" t="inlineStr"/>
    </row>
    <row r="3443">
      <c r="A3443" t="inlineStr">
        <is>
          <t>60AE¹³</t>
        </is>
      </c>
      <c r="B3443" t="inlineStr"/>
      <c r="C3443" t="inlineStr">
        <is>
          <t>216</t>
        </is>
      </c>
      <c r="D3443" t="inlineStr">
        <is>
          <t>2</t>
        </is>
      </c>
      <c r="E3443" t="inlineStr">
        <is>
          <t>54</t>
        </is>
      </c>
      <c r="F3443" t="inlineStr">
        <is>
          <t>8</t>
        </is>
      </c>
      <c r="G3443" t="inlineStr">
        <is>
          <t>0</t>
        </is>
      </c>
      <c r="H3443" t="inlineStr">
        <is>
          <t>6², 12², 30², 60²</t>
        </is>
      </c>
      <c r="I3443" t="n">
        <v>8</v>
      </c>
      <c r="J3443" t="inlineStr">
        <is>
          <t>2¹⁸, 8⁹</t>
        </is>
      </c>
      <c r="K3443">
        <f>HYPERLINK("CSG5.html#group60B5", "60B⁵"), =HYPERLINK("CSG6.html#group30D6", "30D⁶"), =HYPERLINK("CSG6.html#group60F6", "60F⁶")</f>
        <v/>
      </c>
      <c r="L3443" t="inlineStr"/>
      <c r="M3443">
        <f>HYPERLINK("CSG0.html#group15B0", "15B⁰"), =HYPERLINK("CSG6.html#group60F6", "60F⁶"), =HYPERLINK("CSG6.html#group30D6", "30D⁶"), =HYPERLINK("CSG2.html#group30E2", "30E²"), =HYPERLINK("CSG0.html#group5B0", "5B⁰"), =HYPERLINK("CSG0.html#group10C0", "10C⁰"), =HYPERLINK("CSG0.html#group2B0", "2B⁰"), =HYPERLINK("CSG0.html#group12D0", "12D⁰"), =HYPERLINK("CSG0.html#group3A0", "3A⁰"), =HYPERLINK("CSG0.html#group1A0", "1A⁰"), =HYPERLINK("CSG0.html#group6D0", "6D⁰"), =HYPERLINK("CSG5.html#group60B5", "60B⁵"), =HYPERLINK("CSG2.html#group30C2", "30C²")</f>
        <v/>
      </c>
      <c r="N3443" t="inlineStr"/>
    </row>
    <row r="3444">
      <c r="A3444" t="inlineStr">
        <is>
          <t>60AF¹³</t>
        </is>
      </c>
      <c r="B3444" t="inlineStr"/>
      <c r="C3444" t="inlineStr">
        <is>
          <t>216</t>
        </is>
      </c>
      <c r="D3444" t="inlineStr">
        <is>
          <t>2</t>
        </is>
      </c>
      <c r="E3444" t="inlineStr">
        <is>
          <t>54</t>
        </is>
      </c>
      <c r="F3444" t="inlineStr">
        <is>
          <t>8</t>
        </is>
      </c>
      <c r="G3444" t="inlineStr">
        <is>
          <t>0</t>
        </is>
      </c>
      <c r="H3444" t="inlineStr">
        <is>
          <t>6², 12², 30², 60²</t>
        </is>
      </c>
      <c r="I3444" t="n">
        <v>8</v>
      </c>
      <c r="J3444" t="inlineStr">
        <is>
          <t>2¹⁸, 8⁹</t>
        </is>
      </c>
      <c r="K3444">
        <f>HYPERLINK("CSG1.html#group12N1", "12N¹"), =HYPERLINK("CSG5.html#group30P5", "30P⁵"), =HYPERLINK("CSG5.html#group60B5", "60B⁵"), =HYPERLINK("CSG7.html#group60I7", "60I⁷")</f>
        <v/>
      </c>
      <c r="L3444" t="inlineStr"/>
      <c r="M3444">
        <f>HYPERLINK("CSG0.html#group6B0", "6B⁰"), =HYPERLINK("CSG1.html#group30C1", "30C¹"), =HYPERLINK("CSG0.html#group5B0", "5B⁰"), =HYPERLINK("CSG0.html#group2B0", "2B⁰"), =HYPERLINK("CSG1.html#group12N1", "12N¹"), =HYPERLINK("CSG0.html#group1A0", "1A⁰"), =HYPERLINK("CSG5.html#group30P5", "30P⁵"), =HYPERLINK("CSG0.html#group15B0", "15B⁰"), =HYPERLINK("CSG2.html#group30E2", "30E²"), =HYPERLINK("CSG1.html#group12C1", "12C¹"), =HYPERLINK("CSG7.html#group60I7", "60I⁷"), =HYPERLINK("CSG0.html#group10C0", "10C⁰"), =HYPERLINK("CSG0.html#group12D0", "12D⁰"), =HYPERLINK("CSG0.html#group6H0", "6H⁰"), =HYPERLINK("CSG0.html#group3A0", "3A⁰"), =HYPERLINK("CSG0.html#group6D0", "6D⁰"), =HYPERLINK("CSG5.html#group60B5", "60B⁵")</f>
        <v/>
      </c>
      <c r="N3444" t="inlineStr"/>
    </row>
    <row r="3445">
      <c r="A3445" t="inlineStr">
        <is>
          <t>60AG¹³</t>
        </is>
      </c>
      <c r="B3445" t="inlineStr"/>
      <c r="C3445" t="inlineStr">
        <is>
          <t>216</t>
        </is>
      </c>
      <c r="D3445" t="inlineStr">
        <is>
          <t>2</t>
        </is>
      </c>
      <c r="E3445" t="inlineStr">
        <is>
          <t>54</t>
        </is>
      </c>
      <c r="F3445" t="inlineStr">
        <is>
          <t>12</t>
        </is>
      </c>
      <c r="G3445" t="inlineStr">
        <is>
          <t>0</t>
        </is>
      </c>
      <c r="H3445" t="inlineStr">
        <is>
          <t>12³, 60³</t>
        </is>
      </c>
      <c r="I3445" t="n">
        <v>6</v>
      </c>
      <c r="J3445" t="inlineStr">
        <is>
          <t>2⁶, 4⁶, 8³, 16³</t>
        </is>
      </c>
      <c r="K3445">
        <f>HYPERLINK("CSG3.html#group60D3", "60D³"), =HYPERLINK("CSG4.html#group30H4", "30H⁴")</f>
        <v/>
      </c>
      <c r="L3445" t="inlineStr"/>
      <c r="M3445">
        <f>HYPERLINK("CSG0.html#group30A0", "30A⁰"), =HYPERLINK("CSG0.html#group15B0", "15B⁰"), =HYPERLINK("CSG0.html#group10G0", "10G⁰"), =HYPERLINK("CSG2.html#group30E2", "30E²"), =HYPERLINK("CSG0.html#group5B0", "5B⁰"), =HYPERLINK("CSG0.html#group10C0", "10C⁰"), =HYPERLINK("CSG0.html#group2B0", "2B⁰"), =HYPERLINK("CSG4.html#group30H4", "30H⁴"), =HYPERLINK("CSG3.html#group60D3", "60D³"), =HYPERLINK("CSG0.html#group3A0", "3A⁰"), =HYPERLINK("CSG0.html#group1A0", "1A⁰"), =HYPERLINK("CSG0.html#group6D0", "6D⁰"), =HYPERLINK("CSG0.html#group10B0", "10B⁰")</f>
        <v/>
      </c>
      <c r="N3445" t="inlineStr"/>
    </row>
    <row r="3446">
      <c r="A3446" t="inlineStr">
        <is>
          <t>60AH¹³</t>
        </is>
      </c>
      <c r="B3446" t="inlineStr"/>
      <c r="C3446" t="inlineStr">
        <is>
          <t>240</t>
        </is>
      </c>
      <c r="D3446" t="inlineStr">
        <is>
          <t>1</t>
        </is>
      </c>
      <c r="E3446" t="inlineStr">
        <is>
          <t>40</t>
        </is>
      </c>
      <c r="F3446" t="inlineStr">
        <is>
          <t>24</t>
        </is>
      </c>
      <c r="G3446" t="inlineStr">
        <is>
          <t>0</t>
        </is>
      </c>
      <c r="H3446" t="inlineStr">
        <is>
          <t>60⁴</t>
        </is>
      </c>
      <c r="I3446" t="n">
        <v>4</v>
      </c>
      <c r="J3446" t="inlineStr">
        <is>
          <t>4², 8⁴</t>
        </is>
      </c>
      <c r="K3446">
        <f>HYPERLINK("CSG2.html#group30F2", "30F²"), =HYPERLINK("CSG3.html#group20O3", "20O³"), =HYPERLINK("CSG7.html#group60J7", "60J⁷")</f>
        <v/>
      </c>
      <c r="L3446" t="inlineStr"/>
      <c r="M3446">
        <f>HYPERLINK("CSG7.html#group60J7", "60J⁷"), =HYPERLINK("CSG1.html#group15D1", "15D¹"), =HYPERLINK("CSG0.html#group12A0", "12A⁰"), =HYPERLINK("CSG3.html#group20O3", "20O³"), =HYPERLINK("CSG0.html#group4A0", "4A⁰"), =HYPERLINK("CSG0.html#group10D0", "10D⁰"), =HYPERLINK("CSG0.html#group5C0", "5C⁰"), =HYPERLINK("CSG0.html#group1A0", "1A⁰"), =HYPERLINK("CSG0.html#group3A0", "3A⁰"), =HYPERLINK("CSG2.html#group30F2", "30F²"), =HYPERLINK("CSG2.html#group20E2", "20E²")</f>
        <v/>
      </c>
      <c r="N3446" t="inlineStr"/>
    </row>
    <row r="3447">
      <c r="A3447" t="inlineStr">
        <is>
          <t>60AI¹³</t>
        </is>
      </c>
      <c r="B3447" t="inlineStr"/>
      <c r="C3447" t="inlineStr">
        <is>
          <t>288</t>
        </is>
      </c>
      <c r="D3447" t="inlineStr">
        <is>
          <t>1</t>
        </is>
      </c>
      <c r="E3447" t="inlineStr">
        <is>
          <t>72</t>
        </is>
      </c>
      <c r="F3447" t="inlineStr">
        <is>
          <t>0</t>
        </is>
      </c>
      <c r="G3447" t="inlineStr">
        <is>
          <t>0</t>
        </is>
      </c>
      <c r="H3447" t="inlineStr">
        <is>
          <t>1⁴, 3⁴, 4², 5⁴, 12², 15⁴, 20², 60²</t>
        </is>
      </c>
      <c r="I3447" t="n">
        <v>24</v>
      </c>
      <c r="J3447" t="inlineStr">
        <is>
          <t>1¹², 2⁶, 4⁶, 8³</t>
        </is>
      </c>
      <c r="K3447">
        <f>HYPERLINK("CSG5.html#group30S5", "30S⁵")</f>
        <v/>
      </c>
      <c r="L3447" t="inlineStr"/>
      <c r="M3447">
        <f>HYPERLINK("CSG1.html#group15C1", "15C¹"), =HYPERLINK("CSG0.html#group3B0", "3B⁰"), =HYPERLINK("CSG0.html#group5B0", "5B⁰"), =HYPERLINK("CSG0.html#group10C0", "10C⁰"), =HYPERLINK("CSG1.html#group15G1", "15G¹"), =HYPERLINK("CSG5.html#group30S5", "30S⁵"), =HYPERLINK("CSG0.html#group5D0", "5D⁰"), =HYPERLINK("CSG0.html#group2B0", "2B⁰"), =HYPERLINK("CSG3.html#group30K3", "30K³"), =HYPERLINK("CSG0.html#group1A0", "1A⁰"), =HYPERLINK("CSG0.html#group6F0", "6F⁰"), =HYPERLINK("CSG0.html#group10F0", "10F⁰")</f>
        <v/>
      </c>
      <c r="N3447" t="inlineStr"/>
    </row>
    <row r="3448">
      <c r="A3448" t="inlineStr">
        <is>
          <t>60AJ¹³</t>
        </is>
      </c>
      <c r="B3448" t="inlineStr"/>
      <c r="C3448" t="inlineStr">
        <is>
          <t>288</t>
        </is>
      </c>
      <c r="D3448" t="inlineStr">
        <is>
          <t>1</t>
        </is>
      </c>
      <c r="E3448" t="inlineStr">
        <is>
          <t>72</t>
        </is>
      </c>
      <c r="F3448" t="inlineStr">
        <is>
          <t>0</t>
        </is>
      </c>
      <c r="G3448" t="inlineStr">
        <is>
          <t>0</t>
        </is>
      </c>
      <c r="H3448" t="inlineStr">
        <is>
          <t>1⁴, 3⁴, 4², 5⁴, 12², 15⁴, 20², 60²</t>
        </is>
      </c>
      <c r="I3448" t="n">
        <v>24</v>
      </c>
      <c r="J3448" t="inlineStr">
        <is>
          <t>1¹², 2⁶, 4⁶, 8³</t>
        </is>
      </c>
      <c r="K3448">
        <f>HYPERLINK("CSG1.html#group20H1", "20H¹"), =HYPERLINK("CSG5.html#group30S5", "30S⁵"), =HYPERLINK("CSG7.html#group60O7", "60O⁷"), =HYPERLINK("CSG7.html#group60P7", "60P⁷")</f>
        <v/>
      </c>
      <c r="L3448" t="inlineStr"/>
      <c r="M3448">
        <f>HYPERLINK("CSG0.html#group3B0", "3B⁰"), =HYPERLINK("CSG0.html#group5B0", "5B⁰"), =HYPERLINK("CSG1.html#group15G1", "15G¹"), =HYPERLINK("CSG0.html#group5D0", "5D⁰"), =HYPERLINK("CSG7.html#group60O7", "60O⁷"), =HYPERLINK("CSG0.html#group2B0", "2B⁰"), =HYPERLINK("CSG1.html#group20H1", "20H¹"), =HYPERLINK("CSG1.html#group20D1", "20D¹"), =HYPERLINK("CSG0.html#group4B0", "4B⁰"), =HYPERLINK("CSG0.html#group1A0", "1A⁰"), =HYPERLINK("CSG0.html#group10F0", "10F⁰"), =HYPERLINK("CSG1.html#group15C1", "15C¹"), =HYPERLINK("CSG0.html#group20A0", "20A⁰"), =HYPERLINK("CSG0.html#group10C0", "10C⁰"), =HYPERLINK("CSG5.html#group30S5", "30S⁵"), =HYPERLINK("CSG7.html#group60P7", "60P⁷"), =HYPERLINK("CSG3.html#group30K3", "30K³"), =HYPERLINK("CSG0.html#group6F0", "6F⁰"), =HYPERLINK("CSG0.html#group12E0", "12E⁰")</f>
        <v/>
      </c>
      <c r="N3448" t="inlineStr"/>
    </row>
    <row r="3449">
      <c r="A3449" t="inlineStr">
        <is>
          <t>60AK¹³</t>
        </is>
      </c>
      <c r="B3449" t="inlineStr"/>
      <c r="C3449" t="inlineStr">
        <is>
          <t>288</t>
        </is>
      </c>
      <c r="D3449" t="inlineStr">
        <is>
          <t>1</t>
        </is>
      </c>
      <c r="E3449" t="inlineStr">
        <is>
          <t>72</t>
        </is>
      </c>
      <c r="F3449" t="inlineStr">
        <is>
          <t>32</t>
        </is>
      </c>
      <c r="G3449" t="inlineStr">
        <is>
          <t>0</t>
        </is>
      </c>
      <c r="H3449" t="inlineStr">
        <is>
          <t>12⁴, 60⁴</t>
        </is>
      </c>
      <c r="I3449" t="n">
        <v>8</v>
      </c>
      <c r="J3449" t="inlineStr">
        <is>
          <t>2⁴, 4⁴, 8², 16²</t>
        </is>
      </c>
      <c r="K3449">
        <f>HYPERLINK("CSG1.html#group30D1", "30D¹"), =HYPERLINK("CSG5.html#group60C5", "60C⁵"), =HYPERLINK("CSG7.html#group60Q7", "60Q⁷"), =HYPERLINK("CSG7.html#group60R7", "60R⁷")</f>
        <v/>
      </c>
      <c r="L3449" t="inlineStr"/>
      <c r="M3449">
        <f>HYPERLINK("CSG0.html#group30A0", "30A⁰"), =HYPERLINK("CSG0.html#group6B0", "6B⁰"), =HYPERLINK("CSG5.html#group60C5", "60C⁵"), =HYPERLINK("CSG1.html#group30C1", "30C¹"), =HYPERLINK("CSG7.html#group60R7", "60R⁷"), =HYPERLINK("CSG0.html#group5B0", "5B⁰"), =HYPERLINK("CSG0.html#group12F0", "12F⁰"), =HYPERLINK("CSG0.html#group1A0", "1A⁰"), =HYPERLINK("CSG1.html#group20B1", "20B¹"), =HYPERLINK("CSG0.html#group10B0", "10B⁰"), =HYPERLINK("CSG1.html#group30D1", "30D¹"), =HYPERLINK("CSG0.html#group15B0", "15B⁰"), =HYPERLINK("CSG0.html#group12A0", "12A⁰"), =HYPERLINK("CSG0.html#group4A0", "4A⁰"), =HYPERLINK("CSG1.html#group20G1", "20G¹"), =HYPERLINK("CSG7.html#group60Q7", "60Q⁷"), =HYPERLINK("CSG3.html#group60B3", "60B³"), =HYPERLINK("CSG0.html#group3A0", "3A⁰"), =HYPERLINK("CSG0.html#group15C0", "15C⁰")</f>
        <v/>
      </c>
      <c r="N3449" t="inlineStr"/>
    </row>
    <row r="3450">
      <c r="A3450" t="inlineStr">
        <is>
          <t>63A¹³</t>
        </is>
      </c>
      <c r="B3450" t="inlineStr"/>
      <c r="C3450" t="inlineStr">
        <is>
          <t>168</t>
        </is>
      </c>
      <c r="D3450" t="inlineStr">
        <is>
          <t>2</t>
        </is>
      </c>
      <c r="E3450" t="inlineStr">
        <is>
          <t>28</t>
        </is>
      </c>
      <c r="F3450" t="inlineStr">
        <is>
          <t>0</t>
        </is>
      </c>
      <c r="G3450" t="inlineStr">
        <is>
          <t>0</t>
        </is>
      </c>
      <c r="H3450" t="inlineStr">
        <is>
          <t>21², 63²</t>
        </is>
      </c>
      <c r="I3450" t="n">
        <v>4</v>
      </c>
      <c r="J3450" t="inlineStr">
        <is>
          <t>2², 4¹, 6⁴, 12²</t>
        </is>
      </c>
      <c r="K3450">
        <f>HYPERLINK("CSG3.html#group21B3", "21B³"), =HYPERLINK("CSG7.html#group63A7", "63A⁷")</f>
        <v/>
      </c>
      <c r="L3450" t="inlineStr"/>
      <c r="M3450">
        <f>HYPERLINK("CSG3.html#group21B3", "21B³"), =HYPERLINK("CSG0.html#group3B0", "3B⁰"), =HYPERLINK("CSG2.html#group21B2", "21B²"), =HYPERLINK("CSG0.html#group7C0", "7C⁰"), =HYPERLINK("CSG1.html#group9A1", "9A¹"), =HYPERLINK("CSG0.html#group1A0", "1A⁰"), =HYPERLINK("CSG7.html#group63A7", "63A⁷"), =HYPERLINK("CSG0.html#group7A0", "7A⁰")</f>
        <v/>
      </c>
      <c r="N3450" t="inlineStr"/>
    </row>
    <row r="3451">
      <c r="A3451" t="inlineStr">
        <is>
          <t>63B¹³</t>
        </is>
      </c>
      <c r="B3451" t="inlineStr"/>
      <c r="C3451" t="inlineStr">
        <is>
          <t>168</t>
        </is>
      </c>
      <c r="D3451" t="inlineStr">
        <is>
          <t>2</t>
        </is>
      </c>
      <c r="E3451" t="inlineStr">
        <is>
          <t>56</t>
        </is>
      </c>
      <c r="F3451" t="inlineStr">
        <is>
          <t>0</t>
        </is>
      </c>
      <c r="G3451" t="inlineStr">
        <is>
          <t>0</t>
        </is>
      </c>
      <c r="H3451" t="inlineStr">
        <is>
          <t>21², 63²</t>
        </is>
      </c>
      <c r="I3451" t="n">
        <v>4</v>
      </c>
      <c r="J3451" t="inlineStr">
        <is>
          <t>4⁴, 12⁸</t>
        </is>
      </c>
      <c r="K3451">
        <f>HYPERLINK("CSG3.html#group21B3", "21B³")</f>
        <v/>
      </c>
      <c r="L3451" t="inlineStr"/>
      <c r="M3451">
        <f>HYPERLINK("CSG3.html#group21B3", "21B³"), =HYPERLINK("CSG0.html#group3B0", "3B⁰"), =HYPERLINK("CSG2.html#group21B2", "21B²"), =HYPERLINK("CSG0.html#group1A0", "1A⁰"), =HYPERLINK("CSG0.html#group7C0", "7C⁰"), =HYPERLINK("CSG0.html#group7A0", "7A⁰")</f>
        <v/>
      </c>
      <c r="N3451" t="inlineStr"/>
    </row>
    <row r="3452">
      <c r="A3452" t="inlineStr">
        <is>
          <t>63C¹³</t>
        </is>
      </c>
      <c r="B3452" t="inlineStr"/>
      <c r="C3452" t="inlineStr">
        <is>
          <t>192</t>
        </is>
      </c>
      <c r="D3452" t="inlineStr">
        <is>
          <t>1</t>
        </is>
      </c>
      <c r="E3452" t="inlineStr">
        <is>
          <t>32</t>
        </is>
      </c>
      <c r="F3452" t="inlineStr">
        <is>
          <t>0</t>
        </is>
      </c>
      <c r="G3452" t="inlineStr">
        <is>
          <t>0</t>
        </is>
      </c>
      <c r="H3452" t="inlineStr">
        <is>
          <t>3², 9², 21², 63²</t>
        </is>
      </c>
      <c r="I3452" t="n">
        <v>8</v>
      </c>
      <c r="J3452" t="inlineStr">
        <is>
          <t>1⁴, 2², 6², 12¹</t>
        </is>
      </c>
      <c r="K3452">
        <f>HYPERLINK("CSG1.html#group21F1", "21F¹"), =HYPERLINK("CSG7.html#group63B7", "63B⁷")</f>
        <v/>
      </c>
      <c r="L3452" t="inlineStr"/>
      <c r="M3452">
        <f>HYPERLINK("CSG0.html#group3B0", "3B⁰"), =HYPERLINK("CSG7.html#group63B7", "63B⁷"), =HYPERLINK("CSG1.html#group21B1", "21B¹"), =HYPERLINK("CSG0.html#group1A0", "1A⁰"), =HYPERLINK("CSG0.html#group7B0", "7B⁰"), =HYPERLINK("CSG1.html#group21F1", "21F¹"), =HYPERLINK("CSG1.html#group9A1", "9A¹")</f>
        <v/>
      </c>
      <c r="N3452" t="inlineStr"/>
    </row>
    <row r="3453">
      <c r="A3453" t="inlineStr">
        <is>
          <t>63D¹³</t>
        </is>
      </c>
      <c r="B3453" t="inlineStr"/>
      <c r="C3453" t="inlineStr">
        <is>
          <t>192</t>
        </is>
      </c>
      <c r="D3453" t="inlineStr">
        <is>
          <t>2</t>
        </is>
      </c>
      <c r="E3453" t="inlineStr">
        <is>
          <t>32</t>
        </is>
      </c>
      <c r="F3453" t="inlineStr">
        <is>
          <t>0</t>
        </is>
      </c>
      <c r="G3453" t="inlineStr">
        <is>
          <t>0</t>
        </is>
      </c>
      <c r="H3453" t="inlineStr">
        <is>
          <t>3², 9², 21², 63²</t>
        </is>
      </c>
      <c r="I3453" t="n">
        <v>8</v>
      </c>
      <c r="J3453" t="inlineStr">
        <is>
          <t>2⁸, 12⁴</t>
        </is>
      </c>
      <c r="K3453">
        <f>HYPERLINK("CSG1.html#group21F1", "21F¹"), =HYPERLINK("CSG7.html#group63C7", "63C⁷")</f>
        <v/>
      </c>
      <c r="L3453" t="inlineStr"/>
      <c r="M3453">
        <f>HYPERLINK("CSG0.html#group3B0", "3B⁰"), =HYPERLINK("CSG7.html#group63C7", "63C⁷"), =HYPERLINK("CSG1.html#group21B1", "21B¹"), =HYPERLINK("CSG0.html#group1A0", "1A⁰"), =HYPERLINK("CSG0.html#group7B0", "7B⁰"), =HYPERLINK("CSG1.html#group21F1", "21F¹")</f>
        <v/>
      </c>
      <c r="N3453" t="inlineStr"/>
    </row>
    <row r="3454">
      <c r="A3454" t="inlineStr">
        <is>
          <t>63E¹³</t>
        </is>
      </c>
      <c r="B3454" t="inlineStr"/>
      <c r="C3454" t="inlineStr">
        <is>
          <t>288</t>
        </is>
      </c>
      <c r="D3454" t="inlineStr">
        <is>
          <t>1</t>
        </is>
      </c>
      <c r="E3454" t="inlineStr">
        <is>
          <t>32</t>
        </is>
      </c>
      <c r="F3454" t="inlineStr">
        <is>
          <t>0</t>
        </is>
      </c>
      <c r="G3454" t="inlineStr">
        <is>
          <t>0</t>
        </is>
      </c>
      <c r="H3454" t="inlineStr">
        <is>
          <t>1⁹, 7⁹, 9³, 63³</t>
        </is>
      </c>
      <c r="I3454" t="n">
        <v>24</v>
      </c>
      <c r="J3454" t="inlineStr">
        <is>
          <t>1⁴, 2², 6², 12¹</t>
        </is>
      </c>
      <c r="K3454">
        <f>HYPERLINK("CSG3.html#group21D3", "21D³"), =HYPERLINK("CSG4.html#group63A4", "63A⁴"), =HYPERLINK("CSG5.html#group63A5", "63A⁵")</f>
        <v/>
      </c>
      <c r="L3454" t="inlineStr"/>
      <c r="M3454">
        <f>HYPERLINK("CSG5.html#group63A5", "63A⁵"), =HYPERLINK("CSG0.html#group3B0", "3B⁰"), =HYPERLINK("CSG1.html#group21B1", "21B¹"), =HYPERLINK("CSG3.html#group21D3", "21D³"), =HYPERLINK("CSG0.html#group7B0", "7B⁰"), =HYPERLINK("CSG0.html#group9B0", "9B⁰"), =HYPERLINK("CSG0.html#group7E0", "7E⁰"), =HYPERLINK("CSG0.html#group1A0", "1A⁰"), =HYPERLINK("CSG4.html#group63A4", "63A⁴")</f>
        <v/>
      </c>
      <c r="N3454" t="inlineStr"/>
    </row>
    <row r="3455">
      <c r="A3455" t="inlineStr">
        <is>
          <t>64A¹³</t>
        </is>
      </c>
      <c r="B3455" t="inlineStr"/>
      <c r="C3455" t="inlineStr">
        <is>
          <t>192</t>
        </is>
      </c>
      <c r="D3455" t="inlineStr">
        <is>
          <t>1</t>
        </is>
      </c>
      <c r="E3455" t="inlineStr">
        <is>
          <t>12</t>
        </is>
      </c>
      <c r="F3455" t="inlineStr">
        <is>
          <t>0</t>
        </is>
      </c>
      <c r="G3455" t="inlineStr">
        <is>
          <t>0</t>
        </is>
      </c>
      <c r="H3455" t="inlineStr">
        <is>
          <t>8⁴, 16², 64²</t>
        </is>
      </c>
      <c r="I3455" t="n">
        <v>8</v>
      </c>
      <c r="J3455" t="inlineStr">
        <is>
          <t>1⁴, 2², 4¹</t>
        </is>
      </c>
      <c r="K3455">
        <f>HYPERLINK("CSG5.html#group32B5", "32B⁵"), =HYPERLINK("CSG7.html#group64E7", "64E⁷")</f>
        <v/>
      </c>
      <c r="L3455" t="inlineStr"/>
      <c r="M3455">
        <f>HYPERLINK("CSG0.html#group2A0", "2A⁰"), =HYPERLINK("CSG0.html#group8D0", "8D⁰"), =HYPERLINK("CSG1.html#group16E1", "16E¹"), =HYPERLINK("CSG0.html#group4C0", "4C⁰"), =HYPERLINK("CSG3.html#group32A3", "32A³"), =HYPERLINK("CSG1.html#group16A1", "16A¹"), =HYPERLINK("CSG0.html#group8C0", "8C⁰"), =HYPERLINK("CSG0.html#group4E0", "4E⁰"), =HYPERLINK("CSG0.html#group2B0", "2B⁰"), =HYPERLINK("CSG0.html#group4B0", "4B⁰"), =HYPERLINK("CSG0.html#group1A0", "1A⁰"), =HYPERLINK("CSG5.html#group32B5", "32B⁵"), =HYPERLINK("CSG0.html#group8G0", "8G⁰"), =HYPERLINK("CSG0.html#group16C0", "16C⁰"), =HYPERLINK("CSG0.html#group2C0", "2C⁰"), =HYPERLINK("CSG7.html#group64E7", "64E⁷"), =HYPERLINK("CSG3.html#group32B3", "32B³")</f>
        <v/>
      </c>
      <c r="N3455" t="inlineStr"/>
    </row>
    <row r="3456">
      <c r="A3456" t="inlineStr">
        <is>
          <t>64B¹³</t>
        </is>
      </c>
      <c r="B3456" t="inlineStr"/>
      <c r="C3456" t="inlineStr">
        <is>
          <t>192</t>
        </is>
      </c>
      <c r="D3456" t="inlineStr">
        <is>
          <t>1</t>
        </is>
      </c>
      <c r="E3456" t="inlineStr">
        <is>
          <t>12</t>
        </is>
      </c>
      <c r="F3456" t="inlineStr">
        <is>
          <t>0</t>
        </is>
      </c>
      <c r="G3456" t="inlineStr">
        <is>
          <t>0</t>
        </is>
      </c>
      <c r="H3456" t="inlineStr">
        <is>
          <t>8⁴, 16², 64²</t>
        </is>
      </c>
      <c r="I3456" t="n">
        <v>8</v>
      </c>
      <c r="J3456" t="inlineStr">
        <is>
          <t>1⁴, 2², 4¹</t>
        </is>
      </c>
      <c r="K3456">
        <f>HYPERLINK("CSG5.html#group32B5", "32B⁵"), =HYPERLINK("CSG7.html#group64F7", "64F⁷")</f>
        <v/>
      </c>
      <c r="L3456" t="inlineStr"/>
      <c r="M3456">
        <f>HYPERLINK("CSG0.html#group2A0", "2A⁰"), =HYPERLINK("CSG0.html#group8D0", "8D⁰"), =HYPERLINK("CSG1.html#group16E1", "16E¹"), =HYPERLINK("CSG0.html#group4C0", "4C⁰"), =HYPERLINK("CSG3.html#group32A3", "32A³"), =HYPERLINK("CSG1.html#group16A1", "16A¹"), =HYPERLINK("CSG0.html#group8C0", "8C⁰"), =HYPERLINK("CSG0.html#group4E0", "4E⁰"), =HYPERLINK("CSG0.html#group2B0", "2B⁰"), =HYPERLINK("CSG0.html#group4B0", "4B⁰"), =HYPERLINK("CSG0.html#group1A0", "1A⁰"), =HYPERLINK("CSG7.html#group64F7", "64F⁷"), =HYPERLINK("CSG5.html#group32B5", "32B⁵"), =HYPERLINK("CSG0.html#group8G0", "8G⁰"), =HYPERLINK("CSG0.html#group16C0", "16C⁰"), =HYPERLINK("CSG0.html#group2C0", "2C⁰"), =HYPERLINK("CSG3.html#group32B3", "32B³")</f>
        <v/>
      </c>
      <c r="N3456" t="inlineStr"/>
    </row>
    <row r="3457">
      <c r="A3457" t="inlineStr">
        <is>
          <t>64C¹³</t>
        </is>
      </c>
      <c r="B3457" t="inlineStr"/>
      <c r="C3457" t="inlineStr">
        <is>
          <t>192</t>
        </is>
      </c>
      <c r="D3457" t="inlineStr">
        <is>
          <t>1</t>
        </is>
      </c>
      <c r="E3457" t="inlineStr">
        <is>
          <t>12</t>
        </is>
      </c>
      <c r="F3457" t="inlineStr">
        <is>
          <t>0</t>
        </is>
      </c>
      <c r="G3457" t="inlineStr">
        <is>
          <t>0</t>
        </is>
      </c>
      <c r="H3457" t="inlineStr">
        <is>
          <t>8⁴, 16², 64²</t>
        </is>
      </c>
      <c r="I3457" t="n">
        <v>8</v>
      </c>
      <c r="J3457" t="inlineStr">
        <is>
          <t>1⁴, 2², 4¹</t>
        </is>
      </c>
      <c r="K3457">
        <f>HYPERLINK("CSG5.html#group32A5", "32A⁵"), =HYPERLINK("CSG7.html#group64A7", "64A⁷"), =HYPERLINK("CSG7.html#group64B7", "64B⁷")</f>
        <v/>
      </c>
      <c r="L3457" t="inlineStr"/>
      <c r="M3457">
        <f>HYPERLINK("CSG0.html#group2A0", "2A⁰"), =HYPERLINK("CSG0.html#group8D0", "8D⁰"), =HYPERLINK("CSG1.html#group16E1", "16E¹"), =HYPERLINK("CSG0.html#group4C0", "4C⁰"), =HYPERLINK("CSG1.html#group16A1", "16A¹"), =HYPERLINK("CSG0.html#group8C0", "8C⁰"), =HYPERLINK("CSG0.html#group2B0", "2B⁰"), =HYPERLINK("CSG0.html#group4E0", "4E⁰"), =HYPERLINK("CSG0.html#group4B0", "4B⁰"), =HYPERLINK("CSG0.html#group1A0", "1A⁰"), =HYPERLINK("CSG3.html#group32C3", "32C³"), =HYPERLINK("CSG0.html#group8G0", "8G⁰"), =HYPERLINK("CSG0.html#group16C0", "16C⁰"), =HYPERLINK("CSG5.html#group32A5", "32A⁵"), =HYPERLINK("CSG7.html#group64B7", "64B⁷"), =HYPERLINK("CSG7.html#group64A7", "64A⁷"), =HYPERLINK("CSG0.html#group2C0", "2C⁰")</f>
        <v/>
      </c>
      <c r="N3457" t="inlineStr"/>
    </row>
    <row r="3458">
      <c r="A3458" t="inlineStr">
        <is>
          <t>64D¹³</t>
        </is>
      </c>
      <c r="B3458" t="inlineStr"/>
      <c r="C3458" t="inlineStr">
        <is>
          <t>192</t>
        </is>
      </c>
      <c r="D3458" t="inlineStr">
        <is>
          <t>1</t>
        </is>
      </c>
      <c r="E3458" t="inlineStr">
        <is>
          <t>12</t>
        </is>
      </c>
      <c r="F3458" t="inlineStr">
        <is>
          <t>0</t>
        </is>
      </c>
      <c r="G3458" t="inlineStr">
        <is>
          <t>0</t>
        </is>
      </c>
      <c r="H3458" t="inlineStr">
        <is>
          <t>8⁴, 16², 64²</t>
        </is>
      </c>
      <c r="I3458" t="n">
        <v>8</v>
      </c>
      <c r="J3458" t="inlineStr">
        <is>
          <t>1⁴, 2², 4¹</t>
        </is>
      </c>
      <c r="K3458">
        <f>HYPERLINK("CSG5.html#group32A5", "32A⁵"), =HYPERLINK("CSG7.html#group64D7", "64D⁷"), =HYPERLINK("CSG7.html#group64C7", "64C⁷")</f>
        <v/>
      </c>
      <c r="L3458" t="inlineStr"/>
      <c r="M3458">
        <f>HYPERLINK("CSG0.html#group2A0", "2A⁰"), =HYPERLINK("CSG0.html#group8D0", "8D⁰"), =HYPERLINK("CSG1.html#group16E1", "16E¹"), =HYPERLINK("CSG0.html#group4C0", "4C⁰"), =HYPERLINK("CSG1.html#group16A1", "16A¹"), =HYPERLINK("CSG0.html#group8C0", "8C⁰"), =HYPERLINK("CSG0.html#group2B0", "2B⁰"), =HYPERLINK("CSG0.html#group4E0", "4E⁰"), =HYPERLINK("CSG0.html#group4B0", "4B⁰"), =HYPERLINK("CSG0.html#group1A0", "1A⁰"), =HYPERLINK("CSG3.html#group32C3", "32C³"), =HYPERLINK("CSG0.html#group8G0", "8G⁰"), =HYPERLINK("CSG0.html#group16C0", "16C⁰"), =HYPERLINK("CSG7.html#group64C7", "64C⁷"), =HYPERLINK("CSG7.html#group64D7", "64D⁷"), =HYPERLINK("CSG5.html#group32A5", "32A⁵"), =HYPERLINK("CSG0.html#group2C0", "2C⁰")</f>
        <v/>
      </c>
      <c r="N3458" t="inlineStr"/>
    </row>
    <row r="3459">
      <c r="A3459" t="inlineStr">
        <is>
          <t>64E¹³</t>
        </is>
      </c>
      <c r="B3459" t="inlineStr"/>
      <c r="C3459" t="inlineStr">
        <is>
          <t>192</t>
        </is>
      </c>
      <c r="D3459" t="inlineStr">
        <is>
          <t>1</t>
        </is>
      </c>
      <c r="E3459" t="inlineStr">
        <is>
          <t>12</t>
        </is>
      </c>
      <c r="F3459" t="inlineStr">
        <is>
          <t>0</t>
        </is>
      </c>
      <c r="G3459" t="inlineStr">
        <is>
          <t>0</t>
        </is>
      </c>
      <c r="H3459" t="inlineStr">
        <is>
          <t>8⁴, 16², 64²</t>
        </is>
      </c>
      <c r="I3459" t="n">
        <v>8</v>
      </c>
      <c r="J3459" t="inlineStr">
        <is>
          <t>1⁴, 2², 4¹</t>
        </is>
      </c>
      <c r="K3459">
        <f>HYPERLINK("CSG5.html#group32C5", "32C⁵"), =HYPERLINK("CSG7.html#group64A7", "64A⁷"), =HYPERLINK("CSG7.html#group64C7", "64C⁷")</f>
        <v/>
      </c>
      <c r="L3459" t="inlineStr"/>
      <c r="M3459">
        <f>HYPERLINK("CSG5.html#group32C5", "32C⁵"), =HYPERLINK("CSG1.html#group16G1", "16G¹"), =HYPERLINK("CSG7.html#group64C7", "64C⁷"), =HYPERLINK("CSG0.html#group16D0", "16D⁰"), =HYPERLINK("CSG3.html#group32A3", "32A³"), =HYPERLINK("CSG1.html#group16A1", "16A¹"), =HYPERLINK("CSG0.html#group8C0", "8C⁰"), =HYPERLINK("CSG0.html#group2B0", "2B⁰"), =HYPERLINK("CSG0.html#group1A0", "1A⁰"), =HYPERLINK("CSG0.html#group8I0", "8I⁰"), =HYPERLINK("CSG0.html#group4B0", "4B⁰"), =HYPERLINK("CSG7.html#group64A7", "64A⁷"), =HYPERLINK("CSG3.html#group32C3", "32C³")</f>
        <v/>
      </c>
      <c r="N3459" t="inlineStr"/>
    </row>
    <row r="3460">
      <c r="A3460" t="inlineStr">
        <is>
          <t>64F¹³</t>
        </is>
      </c>
      <c r="B3460" t="inlineStr"/>
      <c r="C3460" t="inlineStr">
        <is>
          <t>192</t>
        </is>
      </c>
      <c r="D3460" t="inlineStr">
        <is>
          <t>1</t>
        </is>
      </c>
      <c r="E3460" t="inlineStr">
        <is>
          <t>12</t>
        </is>
      </c>
      <c r="F3460" t="inlineStr">
        <is>
          <t>0</t>
        </is>
      </c>
      <c r="G3460" t="inlineStr">
        <is>
          <t>0</t>
        </is>
      </c>
      <c r="H3460" t="inlineStr">
        <is>
          <t>8⁴, 16², 64²</t>
        </is>
      </c>
      <c r="I3460" t="n">
        <v>8</v>
      </c>
      <c r="J3460" t="inlineStr">
        <is>
          <t>1⁴, 2², 4¹</t>
        </is>
      </c>
      <c r="K3460">
        <f>HYPERLINK("CSG5.html#group32C5", "32C⁵"), =HYPERLINK("CSG7.html#group64B7", "64B⁷"), =HYPERLINK("CSG7.html#group64D7", "64D⁷")</f>
        <v/>
      </c>
      <c r="L3460" t="inlineStr"/>
      <c r="M3460">
        <f>HYPERLINK("CSG5.html#group32C5", "32C⁵"), =HYPERLINK("CSG0.html#group4B0", "4B⁰"), =HYPERLINK("CSG1.html#group16G1", "16G¹"), =HYPERLINK("CSG0.html#group16D0", "16D⁰"), =HYPERLINK("CSG3.html#group32A3", "32A³"), =HYPERLINK("CSG7.html#group64D7", "64D⁷"), =HYPERLINK("CSG1.html#group16A1", "16A¹"), =HYPERLINK("CSG0.html#group8C0", "8C⁰"), =HYPERLINK("CSG0.html#group2B0", "2B⁰"), =HYPERLINK("CSG0.html#group8I0", "8I⁰"), =HYPERLINK("CSG7.html#group64B7", "64B⁷"), =HYPERLINK("CSG0.html#group1A0", "1A⁰"), =HYPERLINK("CSG3.html#group32C3", "32C³")</f>
        <v/>
      </c>
      <c r="N3460" t="inlineStr"/>
    </row>
    <row r="3461">
      <c r="A3461" t="inlineStr">
        <is>
          <t>64G¹³</t>
        </is>
      </c>
      <c r="B3461" t="inlineStr"/>
      <c r="C3461" t="inlineStr">
        <is>
          <t>192</t>
        </is>
      </c>
      <c r="D3461" t="inlineStr">
        <is>
          <t>1</t>
        </is>
      </c>
      <c r="E3461" t="inlineStr">
        <is>
          <t>12</t>
        </is>
      </c>
      <c r="F3461" t="inlineStr">
        <is>
          <t>0</t>
        </is>
      </c>
      <c r="G3461" t="inlineStr">
        <is>
          <t>0</t>
        </is>
      </c>
      <c r="H3461" t="inlineStr">
        <is>
          <t>8⁴, 16², 64²</t>
        </is>
      </c>
      <c r="I3461" t="n">
        <v>8</v>
      </c>
      <c r="J3461" t="inlineStr">
        <is>
          <t>1⁴, 2², 4¹</t>
        </is>
      </c>
      <c r="K3461">
        <f>HYPERLINK("CSG5.html#group32D5", "32D⁵"), =HYPERLINK("CSG7.html#group64A7", "64A⁷"), =HYPERLINK("CSG7.html#group64D7", "64D⁷")</f>
        <v/>
      </c>
      <c r="L3461" t="inlineStr"/>
      <c r="M3461">
        <f>HYPERLINK("CSG1.html#group16G1", "16G¹"), =HYPERLINK("CSG0.html#group16D0", "16D⁰"), =HYPERLINK("CSG5.html#group32D5", "32D⁵"), =HYPERLINK("CSG7.html#group64D7", "64D⁷"), =HYPERLINK("CSG1.html#group16A1", "16A¹"), =HYPERLINK("CSG0.html#group8C0", "8C⁰"), =HYPERLINK("CSG0.html#group2B0", "2B⁰"), =HYPERLINK("CSG0.html#group8I0", "8I⁰"), =HYPERLINK("CSG0.html#group1A0", "1A⁰"), =HYPERLINK("CSG0.html#group4B0", "4B⁰"), =HYPERLINK("CSG7.html#group64A7", "64A⁷"), =HYPERLINK("CSG3.html#group32C3", "32C³"), =HYPERLINK("CSG3.html#group32B3", "32B³")</f>
        <v/>
      </c>
      <c r="N3461" t="inlineStr"/>
    </row>
    <row r="3462">
      <c r="A3462" t="inlineStr">
        <is>
          <t>64H¹³</t>
        </is>
      </c>
      <c r="B3462" t="inlineStr"/>
      <c r="C3462" t="inlineStr">
        <is>
          <t>192</t>
        </is>
      </c>
      <c r="D3462" t="inlineStr">
        <is>
          <t>1</t>
        </is>
      </c>
      <c r="E3462" t="inlineStr">
        <is>
          <t>12</t>
        </is>
      </c>
      <c r="F3462" t="inlineStr">
        <is>
          <t>0</t>
        </is>
      </c>
      <c r="G3462" t="inlineStr">
        <is>
          <t>0</t>
        </is>
      </c>
      <c r="H3462" t="inlineStr">
        <is>
          <t>8⁴, 16², 64²</t>
        </is>
      </c>
      <c r="I3462" t="n">
        <v>8</v>
      </c>
      <c r="J3462" t="inlineStr">
        <is>
          <t>1⁴, 2², 4¹</t>
        </is>
      </c>
      <c r="K3462">
        <f>HYPERLINK("CSG5.html#group32D5", "32D⁵"), =HYPERLINK("CSG7.html#group64B7", "64B⁷"), =HYPERLINK("CSG7.html#group64C7", "64C⁷")</f>
        <v/>
      </c>
      <c r="L3462" t="inlineStr"/>
      <c r="M3462">
        <f>HYPERLINK("CSG1.html#group16G1", "16G¹"), =HYPERLINK("CSG0.html#group4B0", "4B⁰"), =HYPERLINK("CSG7.html#group64C7", "64C⁷"), =HYPERLINK("CSG0.html#group16D0", "16D⁰"), =HYPERLINK("CSG5.html#group32D5", "32D⁵"), =HYPERLINK("CSG1.html#group16A1", "16A¹"), =HYPERLINK("CSG0.html#group8C0", "8C⁰"), =HYPERLINK("CSG0.html#group2B0", "2B⁰"), =HYPERLINK("CSG0.html#group8I0", "8I⁰"), =HYPERLINK("CSG7.html#group64B7", "64B⁷"), =HYPERLINK("CSG0.html#group1A0", "1A⁰"), =HYPERLINK("CSG3.html#group32C3", "32C³"), =HYPERLINK("CSG3.html#group32B3", "32B³")</f>
        <v/>
      </c>
      <c r="N3462" t="inlineStr"/>
    </row>
    <row r="3463">
      <c r="A3463" t="inlineStr">
        <is>
          <t>64I¹³</t>
        </is>
      </c>
      <c r="B3463" t="inlineStr"/>
      <c r="C3463" t="inlineStr">
        <is>
          <t>192</t>
        </is>
      </c>
      <c r="D3463" t="inlineStr">
        <is>
          <t>1</t>
        </is>
      </c>
      <c r="E3463" t="inlineStr">
        <is>
          <t>24</t>
        </is>
      </c>
      <c r="F3463" t="inlineStr">
        <is>
          <t>0</t>
        </is>
      </c>
      <c r="G3463" t="inlineStr">
        <is>
          <t>0</t>
        </is>
      </c>
      <c r="H3463" t="inlineStr">
        <is>
          <t>8⁴, 16², 64²</t>
        </is>
      </c>
      <c r="I3463" t="n">
        <v>8</v>
      </c>
      <c r="J3463" t="inlineStr">
        <is>
          <t>1⁴, 2², 4², 8¹</t>
        </is>
      </c>
      <c r="K3463">
        <f>HYPERLINK("CSG5.html#group32C5", "32C⁵"), =HYPERLINK("CSG7.html#group64E7", "64E⁷")</f>
        <v/>
      </c>
      <c r="L3463" t="inlineStr"/>
      <c r="M3463">
        <f>HYPERLINK("CSG5.html#group32C5", "32C⁵"), =HYPERLINK("CSG1.html#group16G1", "16G¹"), =HYPERLINK("CSG0.html#group16D0", "16D⁰"), =HYPERLINK("CSG3.html#group32A3", "32A³"), =HYPERLINK("CSG1.html#group16A1", "16A¹"), =HYPERLINK("CSG0.html#group8C0", "8C⁰"), =HYPERLINK("CSG0.html#group2B0", "2B⁰"), =HYPERLINK("CSG0.html#group8I0", "8I⁰"), =HYPERLINK("CSG0.html#group4B0", "4B⁰"), =HYPERLINK("CSG0.html#group1A0", "1A⁰"), =HYPERLINK("CSG3.html#group32C3", "32C³"), =HYPERLINK("CSG7.html#group64E7", "64E⁷")</f>
        <v/>
      </c>
      <c r="N3463" t="inlineStr"/>
    </row>
    <row r="3464">
      <c r="A3464" t="inlineStr">
        <is>
          <t>64J¹³</t>
        </is>
      </c>
      <c r="B3464" t="inlineStr"/>
      <c r="C3464" t="inlineStr">
        <is>
          <t>192</t>
        </is>
      </c>
      <c r="D3464" t="inlineStr">
        <is>
          <t>1</t>
        </is>
      </c>
      <c r="E3464" t="inlineStr">
        <is>
          <t>24</t>
        </is>
      </c>
      <c r="F3464" t="inlineStr">
        <is>
          <t>0</t>
        </is>
      </c>
      <c r="G3464" t="inlineStr">
        <is>
          <t>0</t>
        </is>
      </c>
      <c r="H3464" t="inlineStr">
        <is>
          <t>8⁴, 16², 64²</t>
        </is>
      </c>
      <c r="I3464" t="n">
        <v>8</v>
      </c>
      <c r="J3464" t="inlineStr">
        <is>
          <t>1⁴, 2², 4², 8¹</t>
        </is>
      </c>
      <c r="K3464">
        <f>HYPERLINK("CSG5.html#group32D5", "32D⁵"), =HYPERLINK("CSG7.html#group64F7", "64F⁷")</f>
        <v/>
      </c>
      <c r="L3464" t="inlineStr"/>
      <c r="M3464">
        <f>HYPERLINK("CSG1.html#group16G1", "16G¹"), =HYPERLINK("CSG0.html#group16D0", "16D⁰"), =HYPERLINK("CSG5.html#group32D5", "32D⁵"), =HYPERLINK("CSG1.html#group16A1", "16A¹"), =HYPERLINK("CSG0.html#group8C0", "8C⁰"), =HYPERLINK("CSG0.html#group2B0", "2B⁰"), =HYPERLINK("CSG0.html#group8I0", "8I⁰"), =HYPERLINK("CSG3.html#group32B3", "32B³"), =HYPERLINK("CSG0.html#group4B0", "4B⁰"), =HYPERLINK("CSG0.html#group1A0", "1A⁰"), =HYPERLINK("CSG3.html#group32C3", "32C³"), =HYPERLINK("CSG7.html#group64F7", "64F⁷")</f>
        <v/>
      </c>
      <c r="N3464" t="inlineStr"/>
    </row>
    <row r="3465">
      <c r="A3465" t="inlineStr">
        <is>
          <t>64K¹³</t>
        </is>
      </c>
      <c r="B3465" t="inlineStr"/>
      <c r="C3465" t="inlineStr">
        <is>
          <t>192</t>
        </is>
      </c>
      <c r="D3465" t="inlineStr">
        <is>
          <t>1</t>
        </is>
      </c>
      <c r="E3465" t="inlineStr">
        <is>
          <t>24</t>
        </is>
      </c>
      <c r="F3465" t="inlineStr">
        <is>
          <t>8</t>
        </is>
      </c>
      <c r="G3465" t="inlineStr">
        <is>
          <t>0</t>
        </is>
      </c>
      <c r="H3465" t="inlineStr">
        <is>
          <t>32², 64²</t>
        </is>
      </c>
      <c r="I3465" t="n">
        <v>4</v>
      </c>
      <c r="J3465" t="inlineStr">
        <is>
          <t>2², 4⁵</t>
        </is>
      </c>
      <c r="K3465">
        <f>HYPERLINK("CSG3.html#group32L3", "32L³")</f>
        <v/>
      </c>
      <c r="L3465" t="inlineStr"/>
      <c r="M3465">
        <f>HYPERLINK("CSG0.html#group16B0", "16B⁰"), =HYPERLINK("CSG0.html#group8H0", "8H⁰"), =HYPERLINK("CSG0.html#group8D0", "8D⁰"), =HYPERLINK("CSG0.html#group4A0", "4A⁰"), =HYPERLINK("CSG0.html#group4C0", "4C⁰"), =HYPERLINK("CSG0.html#group8B0", "8B⁰"), =HYPERLINK("CSG1.html#group16B1", "16B¹"), =HYPERLINK("CSG0.html#group1A0", "1A⁰"), =HYPERLINK("CSG0.html#group2B0", "2B⁰"), =HYPERLINK("CSG1.html#group32B1", "32B¹"), =HYPERLINK("CSG0.html#group4F0", "4F⁰"), =HYPERLINK("CSG1.html#group16F1", "16F¹"), =HYPERLINK("CSG3.html#group32L3", "32L³")</f>
        <v/>
      </c>
      <c r="N3465" t="inlineStr"/>
    </row>
    <row r="3466">
      <c r="A3466" t="inlineStr">
        <is>
          <t>64L¹³</t>
        </is>
      </c>
      <c r="B3466" t="inlineStr"/>
      <c r="C3466" t="inlineStr">
        <is>
          <t>192</t>
        </is>
      </c>
      <c r="D3466" t="inlineStr">
        <is>
          <t>1</t>
        </is>
      </c>
      <c r="E3466" t="inlineStr">
        <is>
          <t>48</t>
        </is>
      </c>
      <c r="F3466" t="inlineStr">
        <is>
          <t>8</t>
        </is>
      </c>
      <c r="G3466" t="inlineStr">
        <is>
          <t>0</t>
        </is>
      </c>
      <c r="H3466" t="inlineStr">
        <is>
          <t>32², 64²</t>
        </is>
      </c>
      <c r="I3466" t="n">
        <v>4</v>
      </c>
      <c r="J3466" t="inlineStr">
        <is>
          <t>4¹², 8², 16²</t>
        </is>
      </c>
      <c r="K3466">
        <f>HYPERLINK("CSG5.html#group32J5", "32J⁵")</f>
        <v/>
      </c>
      <c r="L3466" t="inlineStr"/>
      <c r="M3466">
        <f>HYPERLINK("CSG0.html#group16B0", "16B⁰"), =HYPERLINK("CSG1.html#group16D1", "16D¹"), =HYPERLINK("CSG5.html#group32J5", "32J⁵"), =HYPERLINK("CSG0.html#group4C0", "4C⁰"), =HYPERLINK("CSG0.html#group8B0", "8B⁰"), =HYPERLINK("CSG3.html#group32E3", "32E³"), =HYPERLINK("CSG0.html#group8L0", "8L⁰"), =HYPERLINK("CSG0.html#group2B0", "2B⁰"), =HYPERLINK("CSG3.html#group32F3", "32F³"), =HYPERLINK("CSG1.html#group16J1", "16J¹"), =HYPERLINK("CSG0.html#group1A0", "1A⁰")</f>
        <v/>
      </c>
      <c r="N3466" t="inlineStr"/>
    </row>
    <row r="3467">
      <c r="A3467" t="inlineStr">
        <is>
          <t>64M¹³</t>
        </is>
      </c>
      <c r="B3467" t="inlineStr"/>
      <c r="C3467" t="inlineStr">
        <is>
          <t>192</t>
        </is>
      </c>
      <c r="D3467" t="inlineStr">
        <is>
          <t>1</t>
        </is>
      </c>
      <c r="E3467" t="inlineStr">
        <is>
          <t>48</t>
        </is>
      </c>
      <c r="F3467" t="inlineStr">
        <is>
          <t>8</t>
        </is>
      </c>
      <c r="G3467" t="inlineStr">
        <is>
          <t>0</t>
        </is>
      </c>
      <c r="H3467" t="inlineStr">
        <is>
          <t>32², 64²</t>
        </is>
      </c>
      <c r="I3467" t="n">
        <v>4</v>
      </c>
      <c r="J3467" t="inlineStr">
        <is>
          <t>4¹², 8², 16²</t>
        </is>
      </c>
      <c r="K3467">
        <f>HYPERLINK("CSG5.html#group32J5", "32J⁵")</f>
        <v/>
      </c>
      <c r="L3467" t="inlineStr"/>
      <c r="M3467">
        <f>HYPERLINK("CSG0.html#group16B0", "16B⁰"), =HYPERLINK("CSG1.html#group16D1", "16D¹"), =HYPERLINK("CSG5.html#group32J5", "32J⁵"), =HYPERLINK("CSG0.html#group4C0", "4C⁰"), =HYPERLINK("CSG0.html#group8B0", "8B⁰"), =HYPERLINK("CSG3.html#group32E3", "32E³"), =HYPERLINK("CSG0.html#group8L0", "8L⁰"), =HYPERLINK("CSG0.html#group2B0", "2B⁰"), =HYPERLINK("CSG3.html#group32F3", "32F³"), =HYPERLINK("CSG1.html#group16J1", "16J¹"), =HYPERLINK("CSG0.html#group1A0", "1A⁰")</f>
        <v/>
      </c>
      <c r="N3467" t="inlineStr"/>
    </row>
    <row r="3468">
      <c r="A3468" t="inlineStr">
        <is>
          <t>64N¹³</t>
        </is>
      </c>
      <c r="B3468" t="inlineStr"/>
      <c r="C3468" t="inlineStr">
        <is>
          <t>192</t>
        </is>
      </c>
      <c r="D3468" t="inlineStr">
        <is>
          <t>1</t>
        </is>
      </c>
      <c r="E3468" t="inlineStr">
        <is>
          <t>48</t>
        </is>
      </c>
      <c r="F3468" t="inlineStr">
        <is>
          <t>8</t>
        </is>
      </c>
      <c r="G3468" t="inlineStr">
        <is>
          <t>0</t>
        </is>
      </c>
      <c r="H3468" t="inlineStr">
        <is>
          <t>32², 64²</t>
        </is>
      </c>
      <c r="I3468" t="n">
        <v>4</v>
      </c>
      <c r="J3468" t="inlineStr">
        <is>
          <t>4¹², 8², 16²</t>
        </is>
      </c>
      <c r="K3468">
        <f>HYPERLINK("CSG5.html#group32K5", "32K⁵")</f>
        <v/>
      </c>
      <c r="L3468" t="inlineStr"/>
      <c r="M3468">
        <f>HYPERLINK("CSG0.html#group16B0", "16B⁰"), =HYPERLINK("CSG1.html#group16D1", "16D¹"), =HYPERLINK("CSG5.html#group32K5", "32K⁵"), =HYPERLINK("CSG0.html#group4C0", "4C⁰"), =HYPERLINK("CSG0.html#group8B0", "8B⁰"), =HYPERLINK("CSG0.html#group8L0", "8L⁰"), =HYPERLINK("CSG0.html#group2B0", "2B⁰"), =HYPERLINK("CSG3.html#group32G3", "32G³"), =HYPERLINK("CSG1.html#group16J1", "16J¹"), =HYPERLINK("CSG0.html#group1A0", "1A⁰"), =HYPERLINK("CSG3.html#group32H3", "32H³")</f>
        <v/>
      </c>
      <c r="N3468" t="inlineStr"/>
    </row>
    <row r="3469">
      <c r="A3469" t="inlineStr">
        <is>
          <t>64O¹³</t>
        </is>
      </c>
      <c r="B3469" t="inlineStr"/>
      <c r="C3469" t="inlineStr">
        <is>
          <t>192</t>
        </is>
      </c>
      <c r="D3469" t="inlineStr">
        <is>
          <t>1</t>
        </is>
      </c>
      <c r="E3469" t="inlineStr">
        <is>
          <t>48</t>
        </is>
      </c>
      <c r="F3469" t="inlineStr">
        <is>
          <t>8</t>
        </is>
      </c>
      <c r="G3469" t="inlineStr">
        <is>
          <t>0</t>
        </is>
      </c>
      <c r="H3469" t="inlineStr">
        <is>
          <t>32², 64²</t>
        </is>
      </c>
      <c r="I3469" t="n">
        <v>4</v>
      </c>
      <c r="J3469" t="inlineStr">
        <is>
          <t>4¹², 8², 16²</t>
        </is>
      </c>
      <c r="K3469">
        <f>HYPERLINK("CSG5.html#group32K5", "32K⁵")</f>
        <v/>
      </c>
      <c r="L3469" t="inlineStr"/>
      <c r="M3469">
        <f>HYPERLINK("CSG0.html#group16B0", "16B⁰"), =HYPERLINK("CSG1.html#group16D1", "16D¹"), =HYPERLINK("CSG5.html#group32K5", "32K⁵"), =HYPERLINK("CSG0.html#group4C0", "4C⁰"), =HYPERLINK("CSG0.html#group8B0", "8B⁰"), =HYPERLINK("CSG0.html#group8L0", "8L⁰"), =HYPERLINK("CSG0.html#group2B0", "2B⁰"), =HYPERLINK("CSG3.html#group32G3", "32G³"), =HYPERLINK("CSG1.html#group16J1", "16J¹"), =HYPERLINK("CSG0.html#group1A0", "1A⁰"), =HYPERLINK("CSG3.html#group32H3", "32H³")</f>
        <v/>
      </c>
      <c r="N3469" t="inlineStr"/>
    </row>
    <row r="3470">
      <c r="A3470" t="inlineStr">
        <is>
          <t>64P¹³</t>
        </is>
      </c>
      <c r="B3470" t="inlineStr"/>
      <c r="C3470" t="inlineStr">
        <is>
          <t>192</t>
        </is>
      </c>
      <c r="D3470" t="inlineStr">
        <is>
          <t>1</t>
        </is>
      </c>
      <c r="E3470" t="inlineStr">
        <is>
          <t>48</t>
        </is>
      </c>
      <c r="F3470" t="inlineStr">
        <is>
          <t>8</t>
        </is>
      </c>
      <c r="G3470" t="inlineStr">
        <is>
          <t>0</t>
        </is>
      </c>
      <c r="H3470" t="inlineStr">
        <is>
          <t>32², 64²</t>
        </is>
      </c>
      <c r="I3470" t="n">
        <v>4</v>
      </c>
      <c r="J3470" t="inlineStr">
        <is>
          <t>4¹², 8², 16²</t>
        </is>
      </c>
      <c r="K3470">
        <f>HYPERLINK("CSG5.html#group32J5", "32J⁵"), =HYPERLINK("CSG7.html#group64G7", "64G⁷")</f>
        <v/>
      </c>
      <c r="L3470" t="inlineStr"/>
      <c r="M3470">
        <f>HYPERLINK("CSG0.html#group16B0", "16B⁰"), =HYPERLINK("CSG1.html#group16D1", "16D¹"), =HYPERLINK("CSG5.html#group32J5", "32J⁵"), =HYPERLINK("CSG0.html#group4C0", "4C⁰"), =HYPERLINK("CSG0.html#group8B0", "8B⁰"), =HYPERLINK("CSG3.html#group32E3", "32E³"), =HYPERLINK("CSG0.html#group2B0", "2B⁰"), =HYPERLINK("CSG0.html#group8L0", "8L⁰"), =HYPERLINK("CSG3.html#group32F3", "32F³"), =HYPERLINK("CSG1.html#group16J1", "16J¹"), =HYPERLINK("CSG0.html#group1A0", "1A⁰"), =HYPERLINK("CSG7.html#group64G7", "64G⁷")</f>
        <v/>
      </c>
      <c r="N3470" t="inlineStr"/>
    </row>
    <row r="3471">
      <c r="A3471" t="inlineStr">
        <is>
          <t>64Q¹³</t>
        </is>
      </c>
      <c r="B3471" t="inlineStr"/>
      <c r="C3471" t="inlineStr">
        <is>
          <t>192</t>
        </is>
      </c>
      <c r="D3471" t="inlineStr">
        <is>
          <t>1</t>
        </is>
      </c>
      <c r="E3471" t="inlineStr">
        <is>
          <t>48</t>
        </is>
      </c>
      <c r="F3471" t="inlineStr">
        <is>
          <t>8</t>
        </is>
      </c>
      <c r="G3471" t="inlineStr">
        <is>
          <t>0</t>
        </is>
      </c>
      <c r="H3471" t="inlineStr">
        <is>
          <t>32², 64²</t>
        </is>
      </c>
      <c r="I3471" t="n">
        <v>4</v>
      </c>
      <c r="J3471" t="inlineStr">
        <is>
          <t>4¹², 8², 16²</t>
        </is>
      </c>
      <c r="K3471">
        <f>HYPERLINK("CSG5.html#group32J5", "32J⁵"), =HYPERLINK("CSG7.html#group64H7", "64H⁷")</f>
        <v/>
      </c>
      <c r="L3471" t="inlineStr"/>
      <c r="M3471">
        <f>HYPERLINK("CSG0.html#group16B0", "16B⁰"), =HYPERLINK("CSG1.html#group16D1", "16D¹"), =HYPERLINK("CSG5.html#group32J5", "32J⁵"), =HYPERLINK("CSG0.html#group4C0", "4C⁰"), =HYPERLINK("CSG0.html#group8B0", "8B⁰"), =HYPERLINK("CSG3.html#group32E3", "32E³"), =HYPERLINK("CSG0.html#group2B0", "2B⁰"), =HYPERLINK("CSG0.html#group8L0", "8L⁰"), =HYPERLINK("CSG3.html#group32F3", "32F³"), =HYPERLINK("CSG1.html#group16J1", "16J¹"), =HYPERLINK("CSG7.html#group64H7", "64H⁷"), =HYPERLINK("CSG0.html#group1A0", "1A⁰")</f>
        <v/>
      </c>
      <c r="N3471" t="inlineStr"/>
    </row>
    <row r="3472">
      <c r="A3472" t="inlineStr">
        <is>
          <t>64R¹³</t>
        </is>
      </c>
      <c r="B3472" t="inlineStr"/>
      <c r="C3472" t="inlineStr">
        <is>
          <t>192</t>
        </is>
      </c>
      <c r="D3472" t="inlineStr">
        <is>
          <t>1</t>
        </is>
      </c>
      <c r="E3472" t="inlineStr">
        <is>
          <t>48</t>
        </is>
      </c>
      <c r="F3472" t="inlineStr">
        <is>
          <t>8</t>
        </is>
      </c>
      <c r="G3472" t="inlineStr">
        <is>
          <t>0</t>
        </is>
      </c>
      <c r="H3472" t="inlineStr">
        <is>
          <t>32², 64²</t>
        </is>
      </c>
      <c r="I3472" t="n">
        <v>4</v>
      </c>
      <c r="J3472" t="inlineStr">
        <is>
          <t>4¹², 8², 16²</t>
        </is>
      </c>
      <c r="K3472">
        <f>HYPERLINK("CSG5.html#group32K5", "32K⁵"), =HYPERLINK("CSG7.html#group64I7", "64I⁷")</f>
        <v/>
      </c>
      <c r="L3472" t="inlineStr"/>
      <c r="M3472">
        <f>HYPERLINK("CSG0.html#group16B0", "16B⁰"), =HYPERLINK("CSG1.html#group16D1", "16D¹"), =HYPERLINK("CSG5.html#group32K5", "32K⁵"), =HYPERLINK("CSG0.html#group4C0", "4C⁰"), =HYPERLINK("CSG0.html#group8B0", "8B⁰"), =HYPERLINK("CSG0.html#group8L0", "8L⁰"), =HYPERLINK("CSG0.html#group2B0", "2B⁰"), =HYPERLINK("CSG3.html#group32G3", "32G³"), =HYPERLINK("CSG1.html#group16J1", "16J¹"), =HYPERLINK("CSG0.html#group1A0", "1A⁰"), =HYPERLINK("CSG7.html#group64I7", "64I⁷"), =HYPERLINK("CSG3.html#group32H3", "32H³")</f>
        <v/>
      </c>
      <c r="N3472" t="inlineStr"/>
    </row>
    <row r="3473">
      <c r="A3473" t="inlineStr">
        <is>
          <t>64S¹³</t>
        </is>
      </c>
      <c r="B3473" t="inlineStr"/>
      <c r="C3473" t="inlineStr">
        <is>
          <t>192</t>
        </is>
      </c>
      <c r="D3473" t="inlineStr">
        <is>
          <t>1</t>
        </is>
      </c>
      <c r="E3473" t="inlineStr">
        <is>
          <t>48</t>
        </is>
      </c>
      <c r="F3473" t="inlineStr">
        <is>
          <t>8</t>
        </is>
      </c>
      <c r="G3473" t="inlineStr">
        <is>
          <t>0</t>
        </is>
      </c>
      <c r="H3473" t="inlineStr">
        <is>
          <t>32², 64²</t>
        </is>
      </c>
      <c r="I3473" t="n">
        <v>4</v>
      </c>
      <c r="J3473" t="inlineStr">
        <is>
          <t>4¹², 8², 16²</t>
        </is>
      </c>
      <c r="K3473">
        <f>HYPERLINK("CSG5.html#group32K5", "32K⁵"), =HYPERLINK("CSG7.html#group64J7", "64J⁷")</f>
        <v/>
      </c>
      <c r="L3473" t="inlineStr"/>
      <c r="M3473">
        <f>HYPERLINK("CSG0.html#group16B0", "16B⁰"), =HYPERLINK("CSG1.html#group16D1", "16D¹"), =HYPERLINK("CSG5.html#group32K5", "32K⁵"), =HYPERLINK("CSG7.html#group64J7", "64J⁷"), =HYPERLINK("CSG0.html#group4C0", "4C⁰"), =HYPERLINK("CSG0.html#group8B0", "8B⁰"), =HYPERLINK("CSG0.html#group8L0", "8L⁰"), =HYPERLINK("CSG0.html#group2B0", "2B⁰"), =HYPERLINK("CSG3.html#group32G3", "32G³"), =HYPERLINK("CSG1.html#group16J1", "16J¹"), =HYPERLINK("CSG0.html#group1A0", "1A⁰"), =HYPERLINK("CSG3.html#group32H3", "32H³")</f>
        <v/>
      </c>
      <c r="N3473" t="inlineStr"/>
    </row>
    <row r="3474">
      <c r="A3474" t="inlineStr">
        <is>
          <t>64T¹³</t>
        </is>
      </c>
      <c r="B3474" t="inlineStr"/>
      <c r="C3474" t="inlineStr">
        <is>
          <t>192</t>
        </is>
      </c>
      <c r="D3474" t="inlineStr">
        <is>
          <t>2</t>
        </is>
      </c>
      <c r="E3474" t="inlineStr">
        <is>
          <t>24</t>
        </is>
      </c>
      <c r="F3474" t="inlineStr">
        <is>
          <t>8</t>
        </is>
      </c>
      <c r="G3474" t="inlineStr">
        <is>
          <t>0</t>
        </is>
      </c>
      <c r="H3474" t="inlineStr">
        <is>
          <t>32², 64²</t>
        </is>
      </c>
      <c r="I3474" t="n">
        <v>4</v>
      </c>
      <c r="J3474" t="inlineStr">
        <is>
          <t>2⁸, 4⁴, 8²</t>
        </is>
      </c>
      <c r="K3474">
        <f>HYPERLINK("CSG3.html#group32N3", "32N³")</f>
        <v/>
      </c>
      <c r="L3474" t="inlineStr"/>
      <c r="M3474">
        <f>HYPERLINK("CSG0.html#group16B0", "16B⁰"), =HYPERLINK("CSG1.html#group16D1", "16D¹"), =HYPERLINK("CSG0.html#group4C0", "4C⁰"), =HYPERLINK("CSG0.html#group8B0", "8B⁰"), =HYPERLINK("CSG0.html#group8L0", "8L⁰"), =HYPERLINK("CSG1.html#group32B1", "32B¹"), =HYPERLINK("CSG0.html#group2B0", "2B⁰"), =HYPERLINK("CSG1.html#group16J1", "16J¹"), =HYPERLINK("CSG0.html#group1A0", "1A⁰"), =HYPERLINK("CSG3.html#group32N3", "32N³")</f>
        <v/>
      </c>
      <c r="N3474" t="inlineStr"/>
    </row>
    <row r="3475">
      <c r="A3475" t="inlineStr">
        <is>
          <t>64U¹³</t>
        </is>
      </c>
      <c r="B3475" t="inlineStr"/>
      <c r="C3475" t="inlineStr">
        <is>
          <t>192</t>
        </is>
      </c>
      <c r="D3475" t="inlineStr">
        <is>
          <t>2</t>
        </is>
      </c>
      <c r="E3475" t="inlineStr">
        <is>
          <t>96</t>
        </is>
      </c>
      <c r="F3475" t="inlineStr">
        <is>
          <t>4</t>
        </is>
      </c>
      <c r="G3475" t="inlineStr">
        <is>
          <t>0</t>
        </is>
      </c>
      <c r="H3475" t="inlineStr">
        <is>
          <t>16⁴, 64²</t>
        </is>
      </c>
      <c r="I3475" t="n">
        <v>6</v>
      </c>
      <c r="J3475" t="inlineStr">
        <is>
          <t>4⁸, 8⁴, 16⁸</t>
        </is>
      </c>
      <c r="K3475">
        <f>HYPERLINK("CSG5.html#group32I5", "32I⁵")</f>
        <v/>
      </c>
      <c r="L3475" t="inlineStr"/>
      <c r="M3475">
        <f>HYPERLINK("CSG0.html#group8H0", "8H⁰"), =HYPERLINK("CSG0.html#group16E0", "16E⁰"), =HYPERLINK("CSG1.html#group16I1", "16I¹"), =HYPERLINK("CSG0.html#group8D0", "8D⁰"), =HYPERLINK("CSG0.html#group4A0", "4A⁰"), =HYPERLINK("CSG1.html#group16C1", "16C¹"), =HYPERLINK("CSG0.html#group4C0", "4C⁰"), =HYPERLINK("CSG0.html#group8B0", "8B⁰"), =HYPERLINK("CSG0.html#group1A0", "1A⁰"), =HYPERLINK("CSG0.html#group2B0", "2B⁰"), =HYPERLINK("CSG0.html#group4F0", "4F⁰"), =HYPERLINK("CSG5.html#group32I5", "32I⁵")</f>
        <v/>
      </c>
      <c r="N3475" t="inlineStr"/>
    </row>
    <row r="3476">
      <c r="A3476" t="inlineStr">
        <is>
          <t>64V¹³</t>
        </is>
      </c>
      <c r="B3476" t="inlineStr"/>
      <c r="C3476" t="inlineStr">
        <is>
          <t>384</t>
        </is>
      </c>
      <c r="D3476" t="inlineStr">
        <is>
          <t>1</t>
        </is>
      </c>
      <c r="E3476" t="inlineStr">
        <is>
          <t>6</t>
        </is>
      </c>
      <c r="F3476" t="inlineStr">
        <is>
          <t>0</t>
        </is>
      </c>
      <c r="G3476" t="inlineStr">
        <is>
          <t>0</t>
        </is>
      </c>
      <c r="H3476" t="inlineStr">
        <is>
          <t>2³², 16⁴, 64⁴</t>
        </is>
      </c>
      <c r="I3476" t="n">
        <v>40</v>
      </c>
      <c r="J3476" t="inlineStr">
        <is>
          <t>1⁴, 2¹</t>
        </is>
      </c>
      <c r="K3476">
        <f>HYPERLINK("CSG5.html#group32M5", "32M⁵"), =HYPERLINK("CSG5.html#group64D5", "64D⁵"), =HYPERLINK("CSG7.html#group64K7", "64K⁷")</f>
        <v/>
      </c>
      <c r="L3476" t="inlineStr"/>
      <c r="M3476">
        <f>HYPERLINK("CSG0.html#group2A0", "2A⁰"), =HYPERLINK("CSG0.html#group16G0", "16G⁰"), =HYPERLINK("CSG0.html#group4C0", "4C⁰"), =HYPERLINK("CSG3.html#group32M3", "32M³"), =HYPERLINK("CSG1.html#group16A1", "16A¹"), =HYPERLINK("CSG0.html#group8C0", "8C⁰"), =HYPERLINK("CSG5.html#group64D5", "64D⁵"), =HYPERLINK("CSG0.html#group2B0", "2B⁰"), =HYPERLINK("CSG0.html#group4E0", "4E⁰"), =HYPERLINK("CSG0.html#group4B0", "4B⁰"), =HYPERLINK("CSG0.html#group1A0", "1A⁰"), =HYPERLINK("CSG5.html#group32M5", "32M⁵"), =HYPERLINK("CSG0.html#group16H0", "16H⁰"), =HYPERLINK("CSG0.html#group16E0", "16E⁰"), =HYPERLINK("CSG1.html#group32A1", "32A¹"), =HYPERLINK("CSG0.html#group8G0", "8G⁰"), =HYPERLINK("CSG0.html#group16C0", "16C⁰"), =HYPERLINK("CSG0.html#group32A0", "32A⁰"), =HYPERLINK("CSG1.html#group16M1", "16M¹"), =HYPERLINK("CSG2.html#group64A2", "64A²"), =HYPERLINK("CSG1.html#group32E1", "32E¹"), =HYPERLINK("CSG0.html#group8D0", "8D⁰"), =HYPERLINK("CSG1.html#group16E1", "16E¹"), =HYPERLINK("CSG0.html#group8I0", "8I⁰"), =HYPERLINK("CSG3.html#group32K3", "32K³"), =HYPERLINK("CSG3.html#group32J3", "32J³"), =HYPERLINK("CSG1.html#group16G1", "16G¹"), =HYPERLINK("CSG0.html#group16D0", "16D⁰"), =HYPERLINK("CSG7.html#group64K7", "64K⁷"), =HYPERLINK("CSG2.html#group32A2", "32A²"), =HYPERLINK("CSG0.html#group8J0", "8J⁰"), =HYPERLINK("CSG0.html#group2C0", "2C⁰"), =HYPERLINK("CSG0.html#group8O0", "8O⁰")</f>
        <v/>
      </c>
      <c r="N3476" t="inlineStr"/>
    </row>
    <row r="3477">
      <c r="A3477" t="inlineStr">
        <is>
          <t>64W¹³</t>
        </is>
      </c>
      <c r="B3477" t="inlineStr"/>
      <c r="C3477" t="inlineStr">
        <is>
          <t>384</t>
        </is>
      </c>
      <c r="D3477" t="inlineStr">
        <is>
          <t>1</t>
        </is>
      </c>
      <c r="E3477" t="inlineStr">
        <is>
          <t>24</t>
        </is>
      </c>
      <c r="F3477" t="inlineStr">
        <is>
          <t>0</t>
        </is>
      </c>
      <c r="G3477" t="inlineStr">
        <is>
          <t>0</t>
        </is>
      </c>
      <c r="H3477" t="inlineStr">
        <is>
          <t>1¹⁶, 2⁸, 4⁸, 16⁴, 64⁴</t>
        </is>
      </c>
      <c r="I3477" t="n">
        <v>40</v>
      </c>
      <c r="J3477" t="inlineStr">
        <is>
          <t>1⁴, 2², 4², 8¹</t>
        </is>
      </c>
      <c r="K3477">
        <f>HYPERLINK("CSG5.html#group32O5", "32O⁵"), =HYPERLINK("CSG5.html#group64C5", "64C⁵"), =HYPERLINK("CSG5.html#group64D5", "64D⁵")</f>
        <v/>
      </c>
      <c r="L3477" t="inlineStr"/>
      <c r="M3477">
        <f>HYPERLINK("CSG2.html#group32C2", "32C²"), =HYPERLINK("CSG5.html#group64C5", "64C⁵"), =HYPERLINK("CSG3.html#group64B3", "64B³"), =HYPERLINK("CSG5.html#group32O5", "32O⁵"), =HYPERLINK("CSG5.html#group64D5", "64D⁵"), =HYPERLINK("CSG0.html#group8C0", "8C⁰"), =HYPERLINK("CSG0.html#group2B0", "2B⁰"), =HYPERLINK("CSG0.html#group4B0", "4B⁰"), =HYPERLINK("CSG0.html#group8I0", "8I⁰"), =HYPERLINK("CSG0.html#group1A0", "1A⁰"), =HYPERLINK("CSG2.html#group16J2", "16J²"), =HYPERLINK("CSG0.html#group16H0", "16H⁰"), =HYPERLINK("CSG1.html#group32A1", "32A¹"), =HYPERLINK("CSG0.html#group16C0", "16C⁰"), =HYPERLINK("CSG0.html#group16D0", "16D⁰"), =HYPERLINK("CSG0.html#group32A0", "32A⁰"), =HYPERLINK("CSG2.html#group64A2", "64A²"), =HYPERLINK("CSG3.html#group64A3", "64A³"), =HYPERLINK("CSG1.html#group32E1", "32E¹")</f>
        <v/>
      </c>
      <c r="N3477" t="inlineStr"/>
    </row>
    <row r="3478">
      <c r="A3478" t="inlineStr">
        <is>
          <t>65A¹³</t>
        </is>
      </c>
      <c r="B3478" t="inlineStr"/>
      <c r="C3478" t="inlineStr">
        <is>
          <t>252</t>
        </is>
      </c>
      <c r="D3478" t="inlineStr">
        <is>
          <t>1</t>
        </is>
      </c>
      <c r="E3478" t="inlineStr">
        <is>
          <t>84</t>
        </is>
      </c>
      <c r="F3478" t="inlineStr">
        <is>
          <t>12</t>
        </is>
      </c>
      <c r="G3478" t="inlineStr">
        <is>
          <t>0</t>
        </is>
      </c>
      <c r="H3478" t="inlineStr">
        <is>
          <t>1³, 5³, 13³, 65³</t>
        </is>
      </c>
      <c r="I3478" t="n">
        <v>12</v>
      </c>
      <c r="J3478" t="inlineStr">
        <is>
          <t>1⁴, 4², 12², 48¹</t>
        </is>
      </c>
      <c r="K3478">
        <f>HYPERLINK("CSG0.html#group13C0", "13C⁰"), =HYPERLINK("CSG5.html#group65A5", "65A⁵")</f>
        <v/>
      </c>
      <c r="L3478" t="inlineStr"/>
      <c r="M3478">
        <f>HYPERLINK("CSG0.html#group13A0", "13A⁰"), =HYPERLINK("CSG0.html#group5B0", "5B⁰"), =HYPERLINK("CSG0.html#group13C0", "13C⁰"), =HYPERLINK("CSG5.html#group65A5", "65A⁵"), =HYPERLINK("CSG0.html#group1A0", "1A⁰")</f>
        <v/>
      </c>
      <c r="N3478" t="inlineStr"/>
    </row>
    <row r="3479">
      <c r="A3479" t="inlineStr">
        <is>
          <t>66A¹³</t>
        </is>
      </c>
      <c r="B3479" t="inlineStr"/>
      <c r="C3479" t="inlineStr">
        <is>
          <t>192</t>
        </is>
      </c>
      <c r="D3479" t="inlineStr">
        <is>
          <t>1</t>
        </is>
      </c>
      <c r="E3479" t="inlineStr">
        <is>
          <t>48</t>
        </is>
      </c>
      <c r="F3479" t="inlineStr">
        <is>
          <t>0</t>
        </is>
      </c>
      <c r="G3479" t="inlineStr">
        <is>
          <t>0</t>
        </is>
      </c>
      <c r="H3479" t="inlineStr">
        <is>
          <t>2², 6², 22², 66²</t>
        </is>
      </c>
      <c r="I3479" t="n">
        <v>8</v>
      </c>
      <c r="J3479" t="inlineStr">
        <is>
          <t>1⁴, 2², 10², 20¹</t>
        </is>
      </c>
      <c r="K3479">
        <f>HYPERLINK("CSG5.html#group33B5", "33B⁵"), =HYPERLINK("CSG7.html#group66A7", "66A⁷"), =HYPERLINK("CSG7.html#group66B7", "66B⁷")</f>
        <v/>
      </c>
      <c r="L3479" t="inlineStr"/>
      <c r="M3479">
        <f>HYPERLINK("CSG5.html#group33B5", "33B⁵"), =HYPERLINK("CSG0.html#group3B0", "3B⁰"), =HYPERLINK("CSG0.html#group2A0", "2A⁰"), =HYPERLINK("CSG1.html#group11A1", "11A¹"), =HYPERLINK("CSG2.html#group22A2", "22A²"), =HYPERLINK("CSG0.html#group6C0", "6C⁰"), =HYPERLINK("CSG0.html#group1A0", "1A⁰"), =HYPERLINK("CSG7.html#group66A7", "66A⁷"), =HYPERLINK("CSG7.html#group66B7", "66B⁷"), =HYPERLINK("CSG3.html#group33C3", "33C³")</f>
        <v/>
      </c>
      <c r="N3479" t="inlineStr"/>
    </row>
    <row r="3480">
      <c r="A3480" t="inlineStr">
        <is>
          <t>66B¹³</t>
        </is>
      </c>
      <c r="B3480" t="inlineStr"/>
      <c r="C3480" t="inlineStr">
        <is>
          <t>198</t>
        </is>
      </c>
      <c r="D3480" t="inlineStr">
        <is>
          <t>2</t>
        </is>
      </c>
      <c r="E3480" t="inlineStr">
        <is>
          <t>99</t>
        </is>
      </c>
      <c r="F3480" t="inlineStr">
        <is>
          <t>12</t>
        </is>
      </c>
      <c r="G3480" t="inlineStr">
        <is>
          <t>0</t>
        </is>
      </c>
      <c r="H3480" t="inlineStr">
        <is>
          <t>66³</t>
        </is>
      </c>
      <c r="I3480" t="n">
        <v>3</v>
      </c>
      <c r="J3480" t="inlineStr">
        <is>
          <t>2³, 4³, 10⁶, 20⁶</t>
        </is>
      </c>
      <c r="K3480">
        <f>HYPERLINK("CSG0.html#group6H0", "6H⁰"), =HYPERLINK("CSG3.html#group66A3", "66A³"), =HYPERLINK("CSG6.html#group66F6", "66F⁶")</f>
        <v/>
      </c>
      <c r="L3480" t="inlineStr"/>
      <c r="M3480">
        <f>HYPERLINK("CSG0.html#group11A0", "11A⁰"), =HYPERLINK("CSG0.html#group6B0", "6B⁰"), =HYPERLINK("CSG3.html#group66A3", "66A³"), =HYPERLINK("CSG1.html#group33A1", "33A¹"), =HYPERLINK("CSG2.html#group22B2", "22B²"), =HYPERLINK("CSG0.html#group2B0", "2B⁰"), =HYPERLINK("CSG6.html#group66F6", "66F⁶"), =HYPERLINK("CSG0.html#group6H0", "6H⁰"), =HYPERLINK("CSG0.html#group3A0", "3A⁰"), =HYPERLINK("CSG0.html#group1A0", "1A⁰"), =HYPERLINK("CSG0.html#group6D0", "6D⁰")</f>
        <v/>
      </c>
      <c r="N3480" t="inlineStr"/>
    </row>
    <row r="3481">
      <c r="A3481" t="inlineStr">
        <is>
          <t>68A¹³</t>
        </is>
      </c>
      <c r="B3481" t="inlineStr"/>
      <c r="C3481" t="inlineStr">
        <is>
          <t>216</t>
        </is>
      </c>
      <c r="D3481" t="inlineStr">
        <is>
          <t>1</t>
        </is>
      </c>
      <c r="E3481" t="inlineStr">
        <is>
          <t>54</t>
        </is>
      </c>
      <c r="F3481" t="inlineStr">
        <is>
          <t>0</t>
        </is>
      </c>
      <c r="G3481" t="inlineStr">
        <is>
          <t>0</t>
        </is>
      </c>
      <c r="H3481" t="inlineStr">
        <is>
          <t>1⁴, 4², 17⁴, 68²</t>
        </is>
      </c>
      <c r="I3481" t="n">
        <v>12</v>
      </c>
      <c r="J3481" t="inlineStr">
        <is>
          <t>1⁶, 16³</t>
        </is>
      </c>
      <c r="K3481">
        <f>HYPERLINK("CSG5.html#group34C5", "34C⁵")</f>
        <v/>
      </c>
      <c r="L3481" t="inlineStr"/>
      <c r="M3481">
        <f>HYPERLINK("CSG1.html#group17A1", "17A¹"), =HYPERLINK("CSG0.html#group2B0", "2B⁰"), =HYPERLINK("CSG3.html#group34C3", "34C³"), =HYPERLINK("CSG0.html#group1A0", "1A⁰"), =HYPERLINK("CSG1.html#group17B1", "17B¹"), =HYPERLINK("CSG5.html#group34C5", "34C⁵")</f>
        <v/>
      </c>
      <c r="N3481" t="inlineStr"/>
    </row>
    <row r="3482">
      <c r="A3482" t="inlineStr">
        <is>
          <t>68B¹³</t>
        </is>
      </c>
      <c r="B3482" t="inlineStr"/>
      <c r="C3482" t="inlineStr">
        <is>
          <t>216</t>
        </is>
      </c>
      <c r="D3482" t="inlineStr">
        <is>
          <t>1</t>
        </is>
      </c>
      <c r="E3482" t="inlineStr">
        <is>
          <t>54</t>
        </is>
      </c>
      <c r="F3482" t="inlineStr">
        <is>
          <t>0</t>
        </is>
      </c>
      <c r="G3482" t="inlineStr">
        <is>
          <t>0</t>
        </is>
      </c>
      <c r="H3482" t="inlineStr">
        <is>
          <t>1⁴, 4², 17⁴, 68²</t>
        </is>
      </c>
      <c r="I3482" t="n">
        <v>12</v>
      </c>
      <c r="J3482" t="inlineStr">
        <is>
          <t>1⁶, 16³</t>
        </is>
      </c>
      <c r="K3482">
        <f>HYPERLINK("CSG5.html#group34C5", "34C⁵"), =HYPERLINK("CSG7.html#group68A7", "68A⁷"), =HYPERLINK("CSG7.html#group68B7", "68B⁷")</f>
        <v/>
      </c>
      <c r="L3482" t="inlineStr"/>
      <c r="M3482">
        <f>HYPERLINK("CSG7.html#group68B7", "68B⁷"), =HYPERLINK("CSG3.html#group34C3", "34C³"), =HYPERLINK("CSG1.html#group17B1", "17B¹"), =HYPERLINK("CSG5.html#group34C5", "34C⁵"), =HYPERLINK("CSG7.html#group68A7", "68A⁷"), =HYPERLINK("CSG1.html#group17A1", "17A¹"), =HYPERLINK("CSG0.html#group2B0", "2B⁰"), =HYPERLINK("CSG0.html#group4B0", "4B⁰"), =HYPERLINK("CSG0.html#group1A0", "1A⁰")</f>
        <v/>
      </c>
      <c r="N3482" t="inlineStr"/>
    </row>
    <row r="3483">
      <c r="A3483" t="inlineStr">
        <is>
          <t>68C¹³</t>
        </is>
      </c>
      <c r="B3483" t="inlineStr"/>
      <c r="C3483" t="inlineStr">
        <is>
          <t>216</t>
        </is>
      </c>
      <c r="D3483" t="inlineStr">
        <is>
          <t>1</t>
        </is>
      </c>
      <c r="E3483" t="inlineStr">
        <is>
          <t>54</t>
        </is>
      </c>
      <c r="F3483" t="inlineStr">
        <is>
          <t>8</t>
        </is>
      </c>
      <c r="G3483" t="inlineStr">
        <is>
          <t>0</t>
        </is>
      </c>
      <c r="H3483" t="inlineStr">
        <is>
          <t>2², 4², 34², 68²</t>
        </is>
      </c>
      <c r="I3483" t="n">
        <v>8</v>
      </c>
      <c r="J3483" t="inlineStr">
        <is>
          <t>1⁶, 16³</t>
        </is>
      </c>
      <c r="K3483">
        <f>HYPERLINK("CSG5.html#group34C5", "34C⁵")</f>
        <v/>
      </c>
      <c r="L3483" t="inlineStr"/>
      <c r="M3483">
        <f>HYPERLINK("CSG1.html#group17A1", "17A¹"), =HYPERLINK("CSG0.html#group2B0", "2B⁰"), =HYPERLINK("CSG3.html#group34C3", "34C³"), =HYPERLINK("CSG0.html#group1A0", "1A⁰"), =HYPERLINK("CSG1.html#group17B1", "17B¹"), =HYPERLINK("CSG5.html#group34C5", "34C⁵")</f>
        <v/>
      </c>
      <c r="N3483" t="inlineStr"/>
    </row>
    <row r="3484">
      <c r="A3484" t="inlineStr">
        <is>
          <t>68D¹³</t>
        </is>
      </c>
      <c r="B3484" t="inlineStr"/>
      <c r="C3484" t="inlineStr">
        <is>
          <t>216</t>
        </is>
      </c>
      <c r="D3484" t="inlineStr">
        <is>
          <t>1</t>
        </is>
      </c>
      <c r="E3484" t="inlineStr">
        <is>
          <t>54</t>
        </is>
      </c>
      <c r="F3484" t="inlineStr">
        <is>
          <t>8</t>
        </is>
      </c>
      <c r="G3484" t="inlineStr">
        <is>
          <t>0</t>
        </is>
      </c>
      <c r="H3484" t="inlineStr">
        <is>
          <t>2², 4², 34², 68²</t>
        </is>
      </c>
      <c r="I3484" t="n">
        <v>8</v>
      </c>
      <c r="J3484" t="inlineStr">
        <is>
          <t>1⁶, 16³</t>
        </is>
      </c>
      <c r="K3484">
        <f>HYPERLINK("CSG5.html#group34C5", "34C⁵"), =HYPERLINK("CSG7.html#group68C7", "68C⁷"), =HYPERLINK("CSG7.html#group68D7", "68D⁷")</f>
        <v/>
      </c>
      <c r="L3484" t="inlineStr"/>
      <c r="M3484">
        <f>HYPERLINK("CSG7.html#group68C7", "68C⁷"), =HYPERLINK("CSG3.html#group34C3", "34C³"), =HYPERLINK("CSG1.html#group17B1", "17B¹"), =HYPERLINK("CSG5.html#group34C5", "34C⁵"), =HYPERLINK("CSG0.html#group4C0", "4C⁰"), =HYPERLINK("CSG1.html#group17A1", "17A¹"), =HYPERLINK("CSG0.html#group2B0", "2B⁰"), =HYPERLINK("CSG0.html#group1A0", "1A⁰"), =HYPERLINK("CSG7.html#group68D7", "68D⁷")</f>
        <v/>
      </c>
      <c r="N3484" t="inlineStr"/>
    </row>
    <row r="3485">
      <c r="A3485" t="inlineStr">
        <is>
          <t>69A¹³</t>
        </is>
      </c>
      <c r="B3485" t="inlineStr"/>
      <c r="C3485" t="inlineStr">
        <is>
          <t>192</t>
        </is>
      </c>
      <c r="D3485" t="inlineStr">
        <is>
          <t>1</t>
        </is>
      </c>
      <c r="E3485" t="inlineStr">
        <is>
          <t>96</t>
        </is>
      </c>
      <c r="F3485" t="inlineStr">
        <is>
          <t>0</t>
        </is>
      </c>
      <c r="G3485" t="inlineStr">
        <is>
          <t>0</t>
        </is>
      </c>
      <c r="H3485" t="inlineStr">
        <is>
          <t>1², 3², 23², 69²</t>
        </is>
      </c>
      <c r="I3485" t="n">
        <v>8</v>
      </c>
      <c r="J3485" t="inlineStr">
        <is>
          <t>1⁴, 2², 22², 44¹</t>
        </is>
      </c>
      <c r="K3485">
        <f>HYPERLINK("CSG7.html#group69A7", "69A⁷")</f>
        <v/>
      </c>
      <c r="L3485" t="inlineStr"/>
      <c r="M3485">
        <f>HYPERLINK("CSG0.html#group3B0", "3B⁰"), =HYPERLINK("CSG7.html#group69A7", "69A⁷"), =HYPERLINK("CSG0.html#group1A0", "1A⁰"), =HYPERLINK("CSG2.html#group23A2", "23A²")</f>
        <v/>
      </c>
      <c r="N3485" t="inlineStr"/>
    </row>
    <row r="3486">
      <c r="A3486" t="inlineStr">
        <is>
          <t>70A¹³</t>
        </is>
      </c>
      <c r="B3486" t="inlineStr"/>
      <c r="C3486" t="inlineStr">
        <is>
          <t>168</t>
        </is>
      </c>
      <c r="D3486" t="inlineStr">
        <is>
          <t>2</t>
        </is>
      </c>
      <c r="E3486" t="inlineStr">
        <is>
          <t>42</t>
        </is>
      </c>
      <c r="F3486" t="inlineStr">
        <is>
          <t>0</t>
        </is>
      </c>
      <c r="G3486" t="inlineStr">
        <is>
          <t>0</t>
        </is>
      </c>
      <c r="H3486" t="inlineStr">
        <is>
          <t>14², 70²</t>
        </is>
      </c>
      <c r="I3486" t="n">
        <v>4</v>
      </c>
      <c r="J3486" t="inlineStr">
        <is>
          <t>2², 6⁴, 8¹, 24²</t>
        </is>
      </c>
      <c r="K3486">
        <f>HYPERLINK("CSG4.html#group35C4", "35C⁴"), =HYPERLINK("CSG6.html#group70A6", "70A⁶"), =HYPERLINK("CSG7.html#group70A7", "70A⁷")</f>
        <v/>
      </c>
      <c r="L3486" t="inlineStr"/>
      <c r="M3486">
        <f>HYPERLINK("CSG2.html#group35C2", "35C²"), =HYPERLINK("CSG0.html#group2A0", "2A⁰"), =HYPERLINK("CSG4.html#group35C4", "35C⁴"), =HYPERLINK("CSG1.html#group14A1", "14A¹"), =HYPERLINK("CSG0.html#group5B0", "5B⁰"), =HYPERLINK("CSG1.html#group10A1", "10A¹"), =HYPERLINK("CSG7.html#group70A7", "70A⁷"), =HYPERLINK("CSG0.html#group1A0", "1A⁰"), =HYPERLINK("CSG6.html#group70A6", "70A⁶"), =HYPERLINK("CSG0.html#group7A0", "7A⁰")</f>
        <v/>
      </c>
      <c r="N3486" t="inlineStr"/>
    </row>
    <row r="3487">
      <c r="A3487" t="inlineStr">
        <is>
          <t>70B¹³</t>
        </is>
      </c>
      <c r="B3487" t="inlineStr"/>
      <c r="C3487" t="inlineStr">
        <is>
          <t>168</t>
        </is>
      </c>
      <c r="D3487" t="inlineStr">
        <is>
          <t>2</t>
        </is>
      </c>
      <c r="E3487" t="inlineStr">
        <is>
          <t>42</t>
        </is>
      </c>
      <c r="F3487" t="inlineStr">
        <is>
          <t>0</t>
        </is>
      </c>
      <c r="G3487" t="inlineStr">
        <is>
          <t>0</t>
        </is>
      </c>
      <c r="H3487" t="inlineStr">
        <is>
          <t>14², 70²</t>
        </is>
      </c>
      <c r="I3487" t="n">
        <v>4</v>
      </c>
      <c r="J3487" t="inlineStr">
        <is>
          <t>2², 6⁴, 8¹, 24²</t>
        </is>
      </c>
      <c r="K3487">
        <f>HYPERLINK("CSG5.html#group70B5", "70B⁵"), =HYPERLINK("CSG6.html#group35A6", "35A⁶"), =HYPERLINK("CSG6.html#group70A6", "70A⁶")</f>
        <v/>
      </c>
      <c r="L3487" t="inlineStr"/>
      <c r="M3487">
        <f>HYPERLINK("CSG2.html#group35C2", "35C²"), =HYPERLINK("CSG0.html#group14A0", "14A⁰"), =HYPERLINK("CSG6.html#group70A6", "70A⁶"), =HYPERLINK("CSG0.html#group5B0", "5B⁰"), =HYPERLINK("CSG0.html#group5D0", "5D⁰"), =HYPERLINK("CSG5.html#group70B5", "70B⁵"), =HYPERLINK("CSG0.html#group1A0", "1A⁰"), =HYPERLINK("CSG6.html#group35A6", "35A⁶"), =HYPERLINK("CSG0.html#group7A0", "7A⁰")</f>
        <v/>
      </c>
      <c r="N3487" t="inlineStr"/>
    </row>
    <row r="3488">
      <c r="A3488" t="inlineStr">
        <is>
          <t>70C¹³</t>
        </is>
      </c>
      <c r="B3488" t="inlineStr"/>
      <c r="C3488" t="inlineStr">
        <is>
          <t>168</t>
        </is>
      </c>
      <c r="D3488" t="inlineStr">
        <is>
          <t>2</t>
        </is>
      </c>
      <c r="E3488" t="inlineStr">
        <is>
          <t>42</t>
        </is>
      </c>
      <c r="F3488" t="inlineStr">
        <is>
          <t>0</t>
        </is>
      </c>
      <c r="G3488" t="inlineStr">
        <is>
          <t>0</t>
        </is>
      </c>
      <c r="H3488" t="inlineStr">
        <is>
          <t>14², 70²</t>
        </is>
      </c>
      <c r="I3488" t="n">
        <v>4</v>
      </c>
      <c r="J3488" t="inlineStr">
        <is>
          <t>2², 6⁴, 8¹, 24²</t>
        </is>
      </c>
      <c r="K3488">
        <f>HYPERLINK("CSG1.html#group10D1", "10D¹"), =HYPERLINK("CSG4.html#group70C4", "70C⁴"), =HYPERLINK("CSG6.html#group35A6", "35A⁶"), =HYPERLINK("CSG7.html#group70A7", "70A⁷")</f>
        <v/>
      </c>
      <c r="L3488" t="inlineStr"/>
      <c r="M3488">
        <f>HYPERLINK("CSG2.html#group35C2", "35C²"), =HYPERLINK("CSG0.html#group2A0", "2A⁰"), =HYPERLINK("CSG4.html#group70C4", "70C⁴"), =HYPERLINK("CSG1.html#group14A1", "14A¹"), =HYPERLINK("CSG0.html#group5B0", "5B⁰"), =HYPERLINK("CSG0.html#group5D0", "5D⁰"), =HYPERLINK("CSG7.html#group70A7", "70A⁷"), =HYPERLINK("CSG1.html#group10A1", "10A¹"), =HYPERLINK("CSG1.html#group10D1", "10D¹"), =HYPERLINK("CSG0.html#group1A0", "1A⁰"), =HYPERLINK("CSG6.html#group35A6", "35A⁶"), =HYPERLINK("CSG0.html#group7A0", "7A⁰"), =HYPERLINK("CSG0.html#group10B0", "10B⁰")</f>
        <v/>
      </c>
      <c r="N3488" t="inlineStr"/>
    </row>
    <row r="3489">
      <c r="A3489" t="inlineStr">
        <is>
          <t>70D¹³</t>
        </is>
      </c>
      <c r="B3489" t="inlineStr"/>
      <c r="C3489" t="inlineStr">
        <is>
          <t>168</t>
        </is>
      </c>
      <c r="D3489" t="inlineStr">
        <is>
          <t>2</t>
        </is>
      </c>
      <c r="E3489" t="inlineStr">
        <is>
          <t>42</t>
        </is>
      </c>
      <c r="F3489" t="inlineStr">
        <is>
          <t>0</t>
        </is>
      </c>
      <c r="G3489" t="inlineStr">
        <is>
          <t>0</t>
        </is>
      </c>
      <c r="H3489" t="inlineStr">
        <is>
          <t>14², 70²</t>
        </is>
      </c>
      <c r="I3489" t="n">
        <v>4</v>
      </c>
      <c r="J3489" t="inlineStr">
        <is>
          <t>2², 6⁴, 8¹, 24²</t>
        </is>
      </c>
      <c r="K3489">
        <f>HYPERLINK("CSG1.html#group14D1", "14D¹"), =HYPERLINK("CSG5.html#group35B5", "35B⁵"), =HYPERLINK("CSG5.html#group70B5", "70B⁵"), =HYPERLINK("CSG7.html#group70A7", "70A⁷")</f>
        <v/>
      </c>
      <c r="L3489" t="inlineStr"/>
      <c r="M3489">
        <f>HYPERLINK("CSG2.html#group35C2", "35C²"), =HYPERLINK("CSG0.html#group2A0", "2A⁰"), =HYPERLINK("CSG0.html#group14A0", "14A⁰"), =HYPERLINK("CSG0.html#group7C0", "7C⁰"), =HYPERLINK("CSG1.html#group14A1", "14A¹"), =HYPERLINK("CSG0.html#group5B0", "5B⁰"), =HYPERLINK("CSG1.html#group10A1", "10A¹"), =HYPERLINK("CSG7.html#group70A7", "70A⁷"), =HYPERLINK("CSG5.html#group70B5", "70B⁵"), =HYPERLINK("CSG5.html#group35B5", "35B⁵"), =HYPERLINK("CSG0.html#group1A0", "1A⁰"), =HYPERLINK("CSG1.html#group14D1", "14D¹"), =HYPERLINK("CSG0.html#group7A0", "7A⁰")</f>
        <v/>
      </c>
      <c r="N3489" t="inlineStr"/>
    </row>
    <row r="3490">
      <c r="A3490" t="inlineStr">
        <is>
          <t>70E¹³</t>
        </is>
      </c>
      <c r="B3490" t="inlineStr"/>
      <c r="C3490" t="inlineStr">
        <is>
          <t>192</t>
        </is>
      </c>
      <c r="D3490" t="inlineStr">
        <is>
          <t>1</t>
        </is>
      </c>
      <c r="E3490" t="inlineStr">
        <is>
          <t>48</t>
        </is>
      </c>
      <c r="F3490" t="inlineStr">
        <is>
          <t>0</t>
        </is>
      </c>
      <c r="G3490" t="inlineStr">
        <is>
          <t>0</t>
        </is>
      </c>
      <c r="H3490" t="inlineStr">
        <is>
          <t>2², 10², 14², 70²</t>
        </is>
      </c>
      <c r="I3490" t="n">
        <v>8</v>
      </c>
      <c r="J3490" t="inlineStr">
        <is>
          <t>1⁴, 4², 6², 24¹</t>
        </is>
      </c>
      <c r="K3490">
        <f>HYPERLINK("CSG5.html#group35C5", "35C⁵")</f>
        <v/>
      </c>
      <c r="L3490" t="inlineStr"/>
      <c r="M3490">
        <f>HYPERLINK("CSG0.html#group5B0", "5B⁰"), =HYPERLINK("CSG0.html#group5D0", "5D⁰"), =HYPERLINK("CSG0.html#group1A0", "1A⁰"), =HYPERLINK("CSG0.html#group7B0", "7B⁰"), =HYPERLINK("CSG3.html#group35A3", "35A³"), =HYPERLINK("CSG5.html#group35C5", "35C⁵")</f>
        <v/>
      </c>
      <c r="N3490" t="inlineStr"/>
    </row>
    <row r="3491">
      <c r="A3491" t="inlineStr">
        <is>
          <t>70F¹³</t>
        </is>
      </c>
      <c r="B3491" t="inlineStr"/>
      <c r="C3491" t="inlineStr">
        <is>
          <t>192</t>
        </is>
      </c>
      <c r="D3491" t="inlineStr">
        <is>
          <t>1</t>
        </is>
      </c>
      <c r="E3491" t="inlineStr">
        <is>
          <t>48</t>
        </is>
      </c>
      <c r="F3491" t="inlineStr">
        <is>
          <t>0</t>
        </is>
      </c>
      <c r="G3491" t="inlineStr">
        <is>
          <t>0</t>
        </is>
      </c>
      <c r="H3491" t="inlineStr">
        <is>
          <t>2², 10², 14², 70²</t>
        </is>
      </c>
      <c r="I3491" t="n">
        <v>8</v>
      </c>
      <c r="J3491" t="inlineStr">
        <is>
          <t>1⁴, 4², 6², 24¹</t>
        </is>
      </c>
      <c r="K3491">
        <f>HYPERLINK("CSG1.html#group10D1", "10D¹"), =HYPERLINK("CSG5.html#group35C5", "35C⁵"), =HYPERLINK("CSG7.html#group70B7", "70B⁷"), =HYPERLINK("CSG7.html#group70C7", "70C⁷")</f>
        <v/>
      </c>
      <c r="L3491" t="inlineStr"/>
      <c r="M3491">
        <f>HYPERLINK("CSG0.html#group2A0", "2A⁰"), =HYPERLINK("CSG0.html#group7B0", "7B⁰"), =HYPERLINK("CSG0.html#group14B0", "14B⁰"), =HYPERLINK("CSG0.html#group5B0", "5B⁰"), =HYPERLINK("CSG7.html#group70C7", "70C⁷"), =HYPERLINK("CSG0.html#group5D0", "5D⁰"), =HYPERLINK("CSG1.html#group10A1", "10A¹"), =HYPERLINK("CSG7.html#group70B7", "70B⁷"), =HYPERLINK("CSG0.html#group10B0", "10B⁰"), =HYPERLINK("CSG1.html#group10D1", "10D¹"), =HYPERLINK("CSG0.html#group1A0", "1A⁰"), =HYPERLINK("CSG3.html#group35A3", "35A³"), =HYPERLINK("CSG5.html#group35C5", "35C⁵")</f>
        <v/>
      </c>
      <c r="N3491" t="inlineStr"/>
    </row>
    <row r="3492">
      <c r="A3492" t="inlineStr">
        <is>
          <t>72A¹³</t>
        </is>
      </c>
      <c r="B3492" t="inlineStr"/>
      <c r="C3492" t="inlineStr">
        <is>
          <t>192</t>
        </is>
      </c>
      <c r="D3492" t="inlineStr">
        <is>
          <t>1</t>
        </is>
      </c>
      <c r="E3492" t="inlineStr">
        <is>
          <t>16</t>
        </is>
      </c>
      <c r="F3492" t="inlineStr">
        <is>
          <t>0</t>
        </is>
      </c>
      <c r="G3492" t="inlineStr">
        <is>
          <t>0</t>
        </is>
      </c>
      <c r="H3492" t="inlineStr">
        <is>
          <t>8⁶, 72²</t>
        </is>
      </c>
      <c r="I3492" t="n">
        <v>8</v>
      </c>
      <c r="J3492" t="inlineStr">
        <is>
          <t>2⁴, 4²</t>
        </is>
      </c>
      <c r="K3492">
        <f>HYPERLINK("CSG3.html#group24F3", "24F³"), =HYPERLINK("CSG5.html#group36F5", "36F⁵")</f>
        <v/>
      </c>
      <c r="L3492" t="inlineStr"/>
      <c r="M3492">
        <f>HYPERLINK("CSG0.html#group3B0", "3B⁰"), =HYPERLINK("CSG0.html#group2A0", "2A⁰"), =HYPERLINK("CSG1.html#group12I1", "12I¹"), =HYPERLINK("CSG0.html#group4A0", "4A⁰"), =HYPERLINK("CSG1.html#group18C1", "18C¹"), =HYPERLINK("CSG1.html#group12A1", "12A¹"), =HYPERLINK("CSG0.html#group6C0", "6C⁰"), =HYPERLINK("CSG0.html#group4D0", "4D⁰"), =HYPERLINK("CSG0.html#group9B0", "9B⁰"), =HYPERLINK("CSG0.html#group1A0", "1A⁰"), =HYPERLINK("CSG3.html#group36B3", "36B³"), =HYPERLINK("CSG5.html#group36F5", "36F⁵"), =HYPERLINK("CSG3.html#group24F3", "24F³")</f>
        <v/>
      </c>
      <c r="N3492" t="inlineStr"/>
    </row>
    <row r="3493">
      <c r="A3493" t="inlineStr">
        <is>
          <t>72B¹³</t>
        </is>
      </c>
      <c r="B3493" t="inlineStr"/>
      <c r="C3493" t="inlineStr">
        <is>
          <t>192</t>
        </is>
      </c>
      <c r="D3493" t="inlineStr">
        <is>
          <t>1</t>
        </is>
      </c>
      <c r="E3493" t="inlineStr">
        <is>
          <t>16</t>
        </is>
      </c>
      <c r="F3493" t="inlineStr">
        <is>
          <t>0</t>
        </is>
      </c>
      <c r="G3493" t="inlineStr">
        <is>
          <t>0</t>
        </is>
      </c>
      <c r="H3493" t="inlineStr">
        <is>
          <t>8⁶, 72²</t>
        </is>
      </c>
      <c r="I3493" t="n">
        <v>8</v>
      </c>
      <c r="J3493" t="inlineStr">
        <is>
          <t>2⁴, 4²</t>
        </is>
      </c>
      <c r="K3493">
        <f>HYPERLINK("CSG3.html#group24G3", "24G³"), =HYPERLINK("CSG5.html#group36F5", "36F⁵"), =HYPERLINK("CSG7.html#group72A7", "72A⁷")</f>
        <v/>
      </c>
      <c r="L3493" t="inlineStr"/>
      <c r="M3493">
        <f>HYPERLINK("CSG0.html#group3B0", "3B⁰"), =HYPERLINK("CSG0.html#group2A0", "2A⁰"), =HYPERLINK("CSG1.html#group12I1", "12I¹"), =HYPERLINK("CSG2.html#group24A2", "24A²"), =HYPERLINK("CSG0.html#group6C0", "6C⁰"), =HYPERLINK("CSG0.html#group8A0", "8A⁰"), =HYPERLINK("CSG0.html#group9B0", "9B⁰"), =HYPERLINK("CSG0.html#group8E0", "8E⁰"), =HYPERLINK("CSG3.html#group24G3", "24G³"), =HYPERLINK("CSG0.html#group1A0", "1A⁰"), =HYPERLINK("CSG7.html#group72A7", "72A⁷"), =HYPERLINK("CSG0.html#group4A0", "4A⁰"), =HYPERLINK("CSG1.html#group18C1", "18C¹"), =HYPERLINK("CSG1.html#group12A1", "12A¹"), =HYPERLINK("CSG0.html#group4D0", "4D⁰"), =HYPERLINK("CSG3.html#group36B3", "36B³"), =HYPERLINK("CSG5.html#group36F5", "36F⁵")</f>
        <v/>
      </c>
      <c r="N3493" t="inlineStr"/>
    </row>
    <row r="3494">
      <c r="A3494" t="inlineStr">
        <is>
          <t>72C¹³</t>
        </is>
      </c>
      <c r="B3494" t="inlineStr"/>
      <c r="C3494" t="inlineStr">
        <is>
          <t>192</t>
        </is>
      </c>
      <c r="D3494" t="inlineStr">
        <is>
          <t>1</t>
        </is>
      </c>
      <c r="E3494" t="inlineStr">
        <is>
          <t>32</t>
        </is>
      </c>
      <c r="F3494" t="inlineStr">
        <is>
          <t>0</t>
        </is>
      </c>
      <c r="G3494" t="inlineStr">
        <is>
          <t>6</t>
        </is>
      </c>
      <c r="H3494" t="inlineStr">
        <is>
          <t>24², 72²</t>
        </is>
      </c>
      <c r="I3494" t="n">
        <v>4</v>
      </c>
      <c r="J3494" t="inlineStr">
        <is>
          <t>4⁸</t>
        </is>
      </c>
      <c r="K3494">
        <f>HYPERLINK("CSG3.html#group24F3", "24F³"), =HYPERLINK("CSG6.html#group36B6", "36B⁶")</f>
        <v/>
      </c>
      <c r="L3494" t="inlineStr"/>
      <c r="M3494">
        <f>HYPERLINK("CSG0.html#group2A0", "2A⁰"), =HYPERLINK("CSG0.html#group3B0", "3B⁰"), =HYPERLINK("CSG1.html#group12I1", "12I¹"), =HYPERLINK("CSG6.html#group36B6", "36B⁶"), =HYPERLINK("CSG0.html#group4A0", "4A⁰"), =HYPERLINK("CSG0.html#group4D0", "4D⁰"), =HYPERLINK("CSG1.html#group12A1", "12A¹"), =HYPERLINK("CSG0.html#group6C0", "6C⁰"), =HYPERLINK("CSG1.html#group18D1", "18D¹"), =HYPERLINK("CSG0.html#group1A0", "1A⁰"), =HYPERLINK("CSG3.html#group24F3", "24F³")</f>
        <v/>
      </c>
      <c r="N3494" t="inlineStr"/>
    </row>
    <row r="3495">
      <c r="A3495" t="inlineStr">
        <is>
          <t>72D¹³</t>
        </is>
      </c>
      <c r="B3495" t="inlineStr"/>
      <c r="C3495" t="inlineStr">
        <is>
          <t>192</t>
        </is>
      </c>
      <c r="D3495" t="inlineStr">
        <is>
          <t>1</t>
        </is>
      </c>
      <c r="E3495" t="inlineStr">
        <is>
          <t>32</t>
        </is>
      </c>
      <c r="F3495" t="inlineStr">
        <is>
          <t>0</t>
        </is>
      </c>
      <c r="G3495" t="inlineStr">
        <is>
          <t>6</t>
        </is>
      </c>
      <c r="H3495" t="inlineStr">
        <is>
          <t>24², 72²</t>
        </is>
      </c>
      <c r="I3495" t="n">
        <v>4</v>
      </c>
      <c r="J3495" t="inlineStr">
        <is>
          <t>4⁸</t>
        </is>
      </c>
      <c r="K3495">
        <f>HYPERLINK("CSG3.html#group24G3", "24G³"), =HYPERLINK("CSG6.html#group36B6", "36B⁶")</f>
        <v/>
      </c>
      <c r="L3495" t="inlineStr"/>
      <c r="M3495">
        <f>HYPERLINK("CSG0.html#group2A0", "2A⁰"), =HYPERLINK("CSG0.html#group3B0", "3B⁰"), =HYPERLINK("CSG1.html#group12I1", "12I¹"), =HYPERLINK("CSG6.html#group36B6", "36B⁶"), =HYPERLINK("CSG2.html#group24A2", "24A²"), =HYPERLINK("CSG0.html#group4A0", "4A⁰"), =HYPERLINK("CSG0.html#group4D0", "4D⁰"), =HYPERLINK("CSG1.html#group12A1", "12A¹"), =HYPERLINK("CSG0.html#group6C0", "6C⁰"), =HYPERLINK("CSG0.html#group8A0", "8A⁰"), =HYPERLINK("CSG0.html#group8E0", "8E⁰"), =HYPERLINK("CSG3.html#group24G3", "24G³"), =HYPERLINK("CSG0.html#group1A0", "1A⁰"), =HYPERLINK("CSG1.html#group18D1", "18D¹")</f>
        <v/>
      </c>
      <c r="N3495" t="inlineStr"/>
    </row>
    <row r="3496">
      <c r="A3496" t="inlineStr">
        <is>
          <t>72E¹³</t>
        </is>
      </c>
      <c r="B3496" t="inlineStr"/>
      <c r="C3496" t="inlineStr">
        <is>
          <t>192</t>
        </is>
      </c>
      <c r="D3496" t="inlineStr">
        <is>
          <t>1</t>
        </is>
      </c>
      <c r="E3496" t="inlineStr">
        <is>
          <t>64</t>
        </is>
      </c>
      <c r="F3496" t="inlineStr">
        <is>
          <t>0</t>
        </is>
      </c>
      <c r="G3496" t="inlineStr">
        <is>
          <t>0</t>
        </is>
      </c>
      <c r="H3496" t="inlineStr">
        <is>
          <t>8⁶, 72²</t>
        </is>
      </c>
      <c r="I3496" t="n">
        <v>8</v>
      </c>
      <c r="J3496" t="inlineStr">
        <is>
          <t>4⁸, 8⁴</t>
        </is>
      </c>
      <c r="K3496">
        <f>HYPERLINK("CSG3.html#group36B3", "36B³"), =HYPERLINK("CSG4.html#group24C4", "24C⁴")</f>
        <v/>
      </c>
      <c r="L3496" t="inlineStr"/>
      <c r="M3496">
        <f>HYPERLINK("CSG4.html#group24C4", "24C⁴"), =HYPERLINK("CSG0.html#group3B0", "3B⁰"), =HYPERLINK("CSG0.html#group8F0", "8F⁰"), =HYPERLINK("CSG0.html#group4A0", "4A⁰"), =HYPERLINK("CSG1.html#group12A1", "12A¹"), =HYPERLINK("CSG0.html#group9B0", "9B⁰"), =HYPERLINK("CSG3.html#group36B3", "36B³"), =HYPERLINK("CSG0.html#group1A0", "1A⁰")</f>
        <v/>
      </c>
      <c r="N3496" t="inlineStr"/>
    </row>
    <row r="3497">
      <c r="A3497" t="inlineStr">
        <is>
          <t>72F¹³</t>
        </is>
      </c>
      <c r="B3497" t="inlineStr"/>
      <c r="C3497" t="inlineStr">
        <is>
          <t>216</t>
        </is>
      </c>
      <c r="D3497" t="inlineStr">
        <is>
          <t>1</t>
        </is>
      </c>
      <c r="E3497" t="inlineStr">
        <is>
          <t>18</t>
        </is>
      </c>
      <c r="F3497" t="inlineStr">
        <is>
          <t>12</t>
        </is>
      </c>
      <c r="G3497" t="inlineStr">
        <is>
          <t>0</t>
        </is>
      </c>
      <c r="H3497" t="inlineStr">
        <is>
          <t>18⁴, 72²</t>
        </is>
      </c>
      <c r="I3497" t="n">
        <v>6</v>
      </c>
      <c r="J3497" t="inlineStr">
        <is>
          <t>2³, 4³</t>
        </is>
      </c>
      <c r="K3497">
        <f>HYPERLINK("CSG3.html#group24M3", "24M³"), =HYPERLINK("CSG4.html#group36P4", "36P⁴")</f>
        <v/>
      </c>
      <c r="L3497" t="inlineStr"/>
      <c r="M3497">
        <f>HYPERLINK("CSG0.html#group12G0", "12G⁰"), =HYPERLINK("CSG0.html#group9D0", "9D⁰"), =HYPERLINK("CSG0.html#group9A0", "9A⁰"), =HYPERLINK("CSG4.html#group36P4", "36P⁴"), =HYPERLINK("CSG0.html#group6G0", "6G⁰"), =HYPERLINK("CSG0.html#group3C0", "3C⁰"), =HYPERLINK("CSG3.html#group24M3", "24M³"), =HYPERLINK("CSG0.html#group2B0", "2B⁰"), =HYPERLINK("CSG0.html#group12D0", "12D⁰"), =HYPERLINK("CSG1.html#group18E1", "18E¹"), =HYPERLINK("CSG0.html#group3A0", "3A⁰"), =HYPERLINK("CSG0.html#group1A0", "1A⁰"), =HYPERLINK("CSG2.html#group18I2", "18I²"), =HYPERLINK("CSG0.html#group6D0", "6D⁰"), =HYPERLINK("CSG2.html#group36C2", "36C²")</f>
        <v/>
      </c>
      <c r="N3497" t="inlineStr"/>
    </row>
    <row r="3498">
      <c r="A3498" t="inlineStr">
        <is>
          <t>72G¹³</t>
        </is>
      </c>
      <c r="B3498" t="inlineStr"/>
      <c r="C3498" t="inlineStr">
        <is>
          <t>216</t>
        </is>
      </c>
      <c r="D3498" t="inlineStr">
        <is>
          <t>1</t>
        </is>
      </c>
      <c r="E3498" t="inlineStr">
        <is>
          <t>18</t>
        </is>
      </c>
      <c r="F3498" t="inlineStr">
        <is>
          <t>12</t>
        </is>
      </c>
      <c r="G3498" t="inlineStr">
        <is>
          <t>0</t>
        </is>
      </c>
      <c r="H3498" t="inlineStr">
        <is>
          <t>18⁴, 72²</t>
        </is>
      </c>
      <c r="I3498" t="n">
        <v>6</v>
      </c>
      <c r="J3498" t="inlineStr">
        <is>
          <t>1², 2⁴, 4²</t>
        </is>
      </c>
      <c r="K3498">
        <f>HYPERLINK("CSG3.html#group24N3", "24N³"), =HYPERLINK("CSG5.html#group36H5", "36H⁵"), =HYPERLINK("CSG6.html#group72E6", "72E⁶")</f>
        <v/>
      </c>
      <c r="L3498" t="inlineStr"/>
      <c r="M3498">
        <f>HYPERLINK("CSG1.html#group24E1", "24E¹"), =HYPERLINK("CSG0.html#group12C0", "12C⁰"), =HYPERLINK("CSG3.html#group36E3", "36E³"), =HYPERLINK("CSG0.html#group4C0", "4C⁰"), =HYPERLINK("CSG2.html#group36B2", "36B²"), =HYPERLINK("CSG0.html#group6G0", "6G⁰"), =HYPERLINK("CSG0.html#group2B0", "2B⁰"), =HYPERLINK("CSG5.html#group36H5", "36H⁵"), =HYPERLINK("CSG1.html#group12L1", "12L¹"), =HYPERLINK("CSG0.html#group1A0", "1A⁰"), =HYPERLINK("CSG0.html#group9D0", "9D⁰"), =HYPERLINK("CSG6.html#group72E6", "72E⁶"), =HYPERLINK("CSG1.html#group12C1", "12C¹"), =HYPERLINK("CSG3.html#group24N3", "24N³"), =HYPERLINK("CSG0.html#group9A0", "9A⁰"), =HYPERLINK("CSG0.html#group3C0", "3C⁰"), =HYPERLINK("CSG1.html#group18E1", "18E¹"), =HYPERLINK("CSG0.html#group3A0", "3A⁰"), =HYPERLINK("CSG2.html#group18I2", "18I²"), =HYPERLINK("CSG0.html#group6D0", "6D⁰")</f>
        <v/>
      </c>
      <c r="N3498" t="inlineStr"/>
    </row>
    <row r="3499">
      <c r="A3499" t="inlineStr">
        <is>
          <t>72H¹³</t>
        </is>
      </c>
      <c r="B3499" t="inlineStr"/>
      <c r="C3499" t="inlineStr">
        <is>
          <t>216</t>
        </is>
      </c>
      <c r="D3499" t="inlineStr">
        <is>
          <t>1</t>
        </is>
      </c>
      <c r="E3499" t="inlineStr">
        <is>
          <t>18</t>
        </is>
      </c>
      <c r="F3499" t="inlineStr">
        <is>
          <t>12</t>
        </is>
      </c>
      <c r="G3499" t="inlineStr">
        <is>
          <t>0</t>
        </is>
      </c>
      <c r="H3499" t="inlineStr">
        <is>
          <t>18⁴, 72²</t>
        </is>
      </c>
      <c r="I3499" t="n">
        <v>6</v>
      </c>
      <c r="J3499" t="inlineStr">
        <is>
          <t>1², 2⁴, 4²</t>
        </is>
      </c>
      <c r="K3499">
        <f>HYPERLINK("CSG3.html#group24O3", "24O³"), =HYPERLINK("CSG5.html#group36H5", "36H⁵"), =HYPERLINK("CSG6.html#group72C6", "72C⁶"), =HYPERLINK("CSG6.html#group72D6", "72D⁶")</f>
        <v/>
      </c>
      <c r="L3499" t="inlineStr"/>
      <c r="M3499">
        <f>HYPERLINK("CSG1.html#group24E1", "24E¹"), =HYPERLINK("CSG0.html#group12C0", "12C⁰"), =HYPERLINK("CSG3.html#group36E3", "36E³"), =HYPERLINK("CSG0.html#group8D0", "8D⁰"), =HYPERLINK("CSG2.html#group36B2", "36B²"), =HYPERLINK("CSG0.html#group4C0", "4C⁰"), =HYPERLINK("CSG0.html#group6G0", "6G⁰"), =HYPERLINK("CSG0.html#group2B0", "2B⁰"), =HYPERLINK("CSG5.html#group36H5", "36H⁵"), =HYPERLINK("CSG0.html#group1A0", "1A⁰"), =HYPERLINK("CSG3.html#group24O3", "24O³"), =HYPERLINK("CSG1.html#group12L1", "12L¹"), =HYPERLINK("CSG6.html#group72C6", "72C⁶"), =HYPERLINK("CSG0.html#group9D0", "9D⁰"), =HYPERLINK("CSG1.html#group12C1", "12C¹"), =HYPERLINK("CSG6.html#group72D6", "72D⁶"), =HYPERLINK("CSG0.html#group9A0", "9A⁰"), =HYPERLINK("CSG1.html#group24C1", "24C¹"), =HYPERLINK("CSG0.html#group3C0", "3C⁰"), =HYPERLINK("CSG1.html#group18E1", "18E¹"), =HYPERLINK("CSG0.html#group3A0", "3A⁰"), =HYPERLINK("CSG2.html#group18I2", "18I²"), =HYPERLINK("CSG0.html#group6D0", "6D⁰")</f>
        <v/>
      </c>
      <c r="N3499" t="inlineStr"/>
    </row>
    <row r="3500">
      <c r="A3500" t="inlineStr">
        <is>
          <t>72I¹³</t>
        </is>
      </c>
      <c r="B3500" t="inlineStr"/>
      <c r="C3500" t="inlineStr">
        <is>
          <t>216</t>
        </is>
      </c>
      <c r="D3500" t="inlineStr">
        <is>
          <t>1</t>
        </is>
      </c>
      <c r="E3500" t="inlineStr">
        <is>
          <t>27</t>
        </is>
      </c>
      <c r="F3500" t="inlineStr">
        <is>
          <t>16</t>
        </is>
      </c>
      <c r="G3500" t="inlineStr">
        <is>
          <t>0</t>
        </is>
      </c>
      <c r="H3500" t="inlineStr">
        <is>
          <t>36², 72²</t>
        </is>
      </c>
      <c r="I3500" t="n">
        <v>4</v>
      </c>
      <c r="J3500" t="inlineStr">
        <is>
          <t>1³, 2³, 6³</t>
        </is>
      </c>
      <c r="K3500">
        <f>HYPERLINK("CSG1.html#group24H1", "24H¹"), =HYPERLINK("CSG4.html#group72E4", "72E⁴"), =HYPERLINK("CSG6.html#group36C6", "36C⁶"), =HYPERLINK("CSG7.html#group72B7", "72B⁷")</f>
        <v/>
      </c>
      <c r="L3500" t="inlineStr"/>
      <c r="M3500">
        <f>HYPERLINK("CSG0.html#group6B0", "6B⁰"), =HYPERLINK("CSG0.html#group12C0", "12C⁰"), =HYPERLINK("CSG4.html#group72E4", "72E⁴"), =HYPERLINK("CSG0.html#group6H0", "6H⁰"), =HYPERLINK("CSG2.html#group36B2", "36B²"), =HYPERLINK("CSG1.html#group24D1", "24D¹"), =HYPERLINK("CSG0.html#group4C0", "4C⁰"), =HYPERLINK("CSG0.html#group8B0", "8B⁰"), =HYPERLINK("CSG1.html#group18B1", "18B¹"), =HYPERLINK("CSG0.html#group2B0", "2B⁰"), =HYPERLINK("CSG0.html#group12H0", "12H⁰"), =HYPERLINK("CSG0.html#group1A0", "1A⁰"), =HYPERLINK("CSG3.html#group18D3", "18D³"), =HYPERLINK("CSG0.html#group24A0", "24A⁰"), =HYPERLINK("CSG6.html#group36C6", "36C⁶"), =HYPERLINK("CSG0.html#group9A0", "9A⁰"), =HYPERLINK("CSG7.html#group72B7", "72B⁷"), =HYPERLINK("CSG0.html#group12D0", "12D⁰"), =HYPERLINK("CSG1.html#group18E1", "18E¹"), =HYPERLINK("CSG0.html#group3A0", "3A⁰"), =HYPERLINK("CSG1.html#group24H1", "24H¹"), =HYPERLINK("CSG3.html#group36D3", "36D³"), =HYPERLINK("CSG1.html#group18A1", "18A¹"), =HYPERLINK("CSG0.html#group6D0", "6D⁰")</f>
        <v/>
      </c>
      <c r="N3500" t="inlineStr"/>
    </row>
    <row r="3501">
      <c r="A3501" t="inlineStr">
        <is>
          <t>72J¹³</t>
        </is>
      </c>
      <c r="B3501" t="inlineStr"/>
      <c r="C3501" t="inlineStr">
        <is>
          <t>216</t>
        </is>
      </c>
      <c r="D3501" t="inlineStr">
        <is>
          <t>1</t>
        </is>
      </c>
      <c r="E3501" t="inlineStr">
        <is>
          <t>54</t>
        </is>
      </c>
      <c r="F3501" t="inlineStr">
        <is>
          <t>8</t>
        </is>
      </c>
      <c r="G3501" t="inlineStr">
        <is>
          <t>0</t>
        </is>
      </c>
      <c r="H3501" t="inlineStr">
        <is>
          <t>12³, 24³, 36¹, 72¹</t>
        </is>
      </c>
      <c r="I3501" t="n">
        <v>8</v>
      </c>
      <c r="J3501" t="inlineStr">
        <is>
          <t>1³, 2³, 3³, 6⁶</t>
        </is>
      </c>
      <c r="K3501">
        <f>HYPERLINK("CSG3.html#group24H3", "24H³"), =HYPERLINK("CSG5.html#group36I5", "36I⁵")</f>
        <v/>
      </c>
      <c r="L3501" t="inlineStr"/>
      <c r="M3501">
        <f>HYPERLINK("CSG5.html#group36I5", "36I⁵"), =HYPERLINK("CSG0.html#group12C0", "12C⁰"), =HYPERLINK("CSG1.html#group12C1", "12C¹"), =HYPERLINK("CSG3.html#group24H3", "24H³"), =HYPERLINK("CSG1.html#group18I1", "18I¹"), =HYPERLINK("CSG1.html#group12L1", "12L¹"), =HYPERLINK("CSG0.html#group4C0", "4C⁰"), =HYPERLINK("CSG1.html#group24D1", "24D¹"), =HYPERLINK("CSG0.html#group6G0", "6G⁰"), =HYPERLINK("CSG0.html#group3C0", "3C⁰"), =HYPERLINK("CSG0.html#group2B0", "2B⁰"), =HYPERLINK("CSG0.html#group9E0", "9E⁰"), =HYPERLINK("CSG0.html#group3A0", "3A⁰"), =HYPERLINK("CSG0.html#group1A0", "1A⁰"), =HYPERLINK("CSG0.html#group6D0", "6D⁰")</f>
        <v/>
      </c>
      <c r="N3501" t="inlineStr"/>
    </row>
    <row r="3502">
      <c r="A3502" t="inlineStr">
        <is>
          <t>72K¹³</t>
        </is>
      </c>
      <c r="B3502" t="inlineStr"/>
      <c r="C3502" t="inlineStr">
        <is>
          <t>216</t>
        </is>
      </c>
      <c r="D3502" t="inlineStr">
        <is>
          <t>1</t>
        </is>
      </c>
      <c r="E3502" t="inlineStr">
        <is>
          <t>54</t>
        </is>
      </c>
      <c r="F3502" t="inlineStr">
        <is>
          <t>8</t>
        </is>
      </c>
      <c r="G3502" t="inlineStr">
        <is>
          <t>0</t>
        </is>
      </c>
      <c r="H3502" t="inlineStr">
        <is>
          <t>12³, 24³, 36¹, 72¹</t>
        </is>
      </c>
      <c r="I3502" t="n">
        <v>8</v>
      </c>
      <c r="J3502" t="inlineStr">
        <is>
          <t>1³, 2³, 3³, 6⁶</t>
        </is>
      </c>
      <c r="K3502">
        <f>HYPERLINK("CSG3.html#group24I3", "24I³"), =HYPERLINK("CSG5.html#group36I5", "36I⁵")</f>
        <v/>
      </c>
      <c r="L3502" t="inlineStr"/>
      <c r="M3502">
        <f>HYPERLINK("CSG5.html#group36I5", "36I⁵"), =HYPERLINK("CSG0.html#group12C0", "12C⁰"), =HYPERLINK("CSG1.html#group18I1", "18I¹"), =HYPERLINK("CSG0.html#group4C0", "4C⁰"), =HYPERLINK("CSG3.html#group24I3", "24I³"), =HYPERLINK("CSG0.html#group8B0", "8B⁰"), =HYPERLINK("CSG0.html#group6G0", "6G⁰"), =HYPERLINK("CSG0.html#group2B0", "2B⁰"), =HYPERLINK("CSG2.html#group24C2", "24C²"), =HYPERLINK("CSG0.html#group9E0", "9E⁰"), =HYPERLINK("CSG1.html#group12L1", "12L¹"), =HYPERLINK("CSG0.html#group1A0", "1A⁰"), =HYPERLINK("CSG1.html#group12C1", "12C¹"), =HYPERLINK("CSG0.html#group24A0", "24A⁰"), =HYPERLINK("CSG0.html#group3C0", "3C⁰"), =HYPERLINK("CSG0.html#group3A0", "3A⁰"), =HYPERLINK("CSG0.html#group6D0", "6D⁰")</f>
        <v/>
      </c>
      <c r="N3502" t="inlineStr"/>
    </row>
    <row r="3503">
      <c r="A3503" t="inlineStr">
        <is>
          <t>72L¹³</t>
        </is>
      </c>
      <c r="B3503" t="inlineStr"/>
      <c r="C3503" t="inlineStr">
        <is>
          <t>216</t>
        </is>
      </c>
      <c r="D3503" t="inlineStr">
        <is>
          <t>2</t>
        </is>
      </c>
      <c r="E3503" t="inlineStr">
        <is>
          <t>54</t>
        </is>
      </c>
      <c r="F3503" t="inlineStr">
        <is>
          <t>4</t>
        </is>
      </c>
      <c r="G3503" t="inlineStr">
        <is>
          <t>0</t>
        </is>
      </c>
      <c r="H3503" t="inlineStr">
        <is>
          <t>9⁸, 72²</t>
        </is>
      </c>
      <c r="I3503" t="n">
        <v>10</v>
      </c>
      <c r="J3503" t="inlineStr">
        <is>
          <t>4⁹, 12⁶</t>
        </is>
      </c>
      <c r="K3503">
        <f>HYPERLINK("CSG1.html#group24I1", "24I¹"), =HYPERLINK("CSG6.html#group36H6", "36H⁶")</f>
        <v/>
      </c>
      <c r="L3503" t="inlineStr"/>
      <c r="M3503">
        <f>HYPERLINK("CSG1.html#group24I1", "24I¹"), =HYPERLINK("CSG0.html#group6G0", "6G⁰"), =HYPERLINK("CSG0.html#group2B0", "2B⁰"), =HYPERLINK("CSG0.html#group1A0", "1A⁰"), =HYPERLINK("CSG1.html#group9B1", "9B¹"), =HYPERLINK("CSG3.html#group18E3", "18E³"), =HYPERLINK("CSG6.html#group36H6", "36H⁶"), =HYPERLINK("CSG0.html#group12G0", "12G⁰"), =HYPERLINK("CSG0.html#group9A0", "9A⁰"), =HYPERLINK("CSG0.html#group3C0", "3C⁰"), =HYPERLINK("CSG0.html#group12D0", "12D⁰"), =HYPERLINK("CSG1.html#group18E1", "18E¹"), =HYPERLINK("CSG0.html#group3A0", "3A⁰"), =HYPERLINK("CSG3.html#group36D3", "36D³"), =HYPERLINK("CSG0.html#group6D0", "6D⁰"), =HYPERLINK("CSG2.html#group36C2", "36C²")</f>
        <v/>
      </c>
      <c r="N3503" t="inlineStr"/>
    </row>
    <row r="3504">
      <c r="A3504" t="inlineStr">
        <is>
          <t>72M¹³</t>
        </is>
      </c>
      <c r="B3504" t="inlineStr"/>
      <c r="C3504" t="inlineStr">
        <is>
          <t>216</t>
        </is>
      </c>
      <c r="D3504" t="inlineStr">
        <is>
          <t>2</t>
        </is>
      </c>
      <c r="E3504" t="inlineStr">
        <is>
          <t>54</t>
        </is>
      </c>
      <c r="F3504" t="inlineStr">
        <is>
          <t>16</t>
        </is>
      </c>
      <c r="G3504" t="inlineStr">
        <is>
          <t>0</t>
        </is>
      </c>
      <c r="H3504" t="inlineStr">
        <is>
          <t>36², 72²</t>
        </is>
      </c>
      <c r="I3504" t="n">
        <v>4</v>
      </c>
      <c r="J3504" t="inlineStr">
        <is>
          <t>2⁶, 4⁶, 6⁴, 12⁴</t>
        </is>
      </c>
      <c r="K3504">
        <f>HYPERLINK("CSG3.html#group24P3", "24P³"), =HYPERLINK("CSG5.html#group72A5", "72A⁵"), =HYPERLINK("CSG6.html#group36F6", "36F⁶"), =HYPERLINK("CSG6.html#group72E6", "72E⁶")</f>
        <v/>
      </c>
      <c r="L3504" t="inlineStr"/>
      <c r="M3504">
        <f>HYPERLINK("CSG1.html#group24E1", "24E¹"), =HYPERLINK("CSG0.html#group12C0", "12C⁰"), =HYPERLINK("CSG2.html#group36B2", "36B²"), =HYPERLINK("CSG0.html#group4C0", "4C⁰"), =HYPERLINK("CSG1.html#group24D1", "24D¹"), =HYPERLINK("CSG5.html#group72A5", "72A⁵"), =HYPERLINK("CSG0.html#group2B0", "2B⁰"), =HYPERLINK("CSG3.html#group24P3", "24P³"), =HYPERLINK("CSG0.html#group1A0", "1A⁰"), =HYPERLINK("CSG1.html#group36A1", "36A¹"), =HYPERLINK("CSG6.html#group36F6", "36F⁶"), =HYPERLINK("CSG0.html#group12A0", "12A⁰"), =HYPERLINK("CSG6.html#group72E6", "72E⁶"), =HYPERLINK("CSG0.html#group4A0", "4A⁰"), =HYPERLINK("CSG0.html#group9A0", "9A⁰"), =HYPERLINK("CSG1.html#group12J1", "12J¹"), =HYPERLINK("CSG0.html#group4F0", "4F⁰"), =HYPERLINK("CSG1.html#group18E1", "18E¹"), =HYPERLINK("CSG0.html#group3A0", "3A⁰"), =HYPERLINK("CSG0.html#group6D0", "6D⁰")</f>
        <v/>
      </c>
      <c r="N3504" t="inlineStr"/>
    </row>
    <row r="3505">
      <c r="A3505" t="inlineStr">
        <is>
          <t>72N¹³</t>
        </is>
      </c>
      <c r="B3505" t="inlineStr"/>
      <c r="C3505" t="inlineStr">
        <is>
          <t>216</t>
        </is>
      </c>
      <c r="D3505" t="inlineStr">
        <is>
          <t>2</t>
        </is>
      </c>
      <c r="E3505" t="inlineStr">
        <is>
          <t>54</t>
        </is>
      </c>
      <c r="F3505" t="inlineStr">
        <is>
          <t>16</t>
        </is>
      </c>
      <c r="G3505" t="inlineStr">
        <is>
          <t>0</t>
        </is>
      </c>
      <c r="H3505" t="inlineStr">
        <is>
          <t>36², 72²</t>
        </is>
      </c>
      <c r="I3505" t="n">
        <v>4</v>
      </c>
      <c r="J3505" t="inlineStr">
        <is>
          <t>2⁶, 4⁶, 6⁴, 12⁴</t>
        </is>
      </c>
      <c r="K3505">
        <f>HYPERLINK("CSG3.html#group24Q3", "24Q³"), =HYPERLINK("CSG5.html#group72A5", "72A⁵"), =HYPERLINK("CSG6.html#group36I6", "36I⁶"), =HYPERLINK("CSG6.html#group72C6", "72C⁶")</f>
        <v/>
      </c>
      <c r="L3505" t="inlineStr"/>
      <c r="M3505">
        <f>HYPERLINK("CSG3.html#group24Q3", "24Q³"), =HYPERLINK("CSG0.html#group12C0", "12C⁰"), =HYPERLINK("CSG0.html#group8D0", "8D⁰"), =HYPERLINK("CSG0.html#group4C0", "4C⁰"), =HYPERLINK("CSG1.html#group24D1", "24D¹"), =HYPERLINK("CSG2.html#group36B2", "36B²"), =HYPERLINK("CSG5.html#group72A5", "72A⁵"), =HYPERLINK("CSG1.html#group12M1", "12M¹"), =HYPERLINK("CSG0.html#group2B0", "2B⁰"), =HYPERLINK("CSG0.html#group1A0", "1A⁰"), =HYPERLINK("CSG6.html#group72C6", "72C⁶"), =HYPERLINK("CSG6.html#group36I6", "36I⁶"), =HYPERLINK("CSG0.html#group9A0", "9A⁰"), =HYPERLINK("CSG1.html#group24C1", "24C¹"), =HYPERLINK("CSG1.html#group18E1", "18E¹"), =HYPERLINK("CSG0.html#group3A0", "3A⁰"), =HYPERLINK("CSG0.html#group6D0", "6D⁰")</f>
        <v/>
      </c>
      <c r="N3505" t="inlineStr"/>
    </row>
    <row r="3506">
      <c r="A3506" t="inlineStr">
        <is>
          <t>72O¹³</t>
        </is>
      </c>
      <c r="B3506" t="inlineStr"/>
      <c r="C3506" t="inlineStr">
        <is>
          <t>216</t>
        </is>
      </c>
      <c r="D3506" t="inlineStr">
        <is>
          <t>2</t>
        </is>
      </c>
      <c r="E3506" t="inlineStr">
        <is>
          <t>54</t>
        </is>
      </c>
      <c r="F3506" t="inlineStr">
        <is>
          <t>16</t>
        </is>
      </c>
      <c r="G3506" t="inlineStr">
        <is>
          <t>0</t>
        </is>
      </c>
      <c r="H3506" t="inlineStr">
        <is>
          <t>36², 72²</t>
        </is>
      </c>
      <c r="I3506" t="n">
        <v>4</v>
      </c>
      <c r="J3506" t="inlineStr">
        <is>
          <t>2⁶, 4⁶, 6⁴, 12⁴</t>
        </is>
      </c>
      <c r="K3506">
        <f>HYPERLINK("CSG3.html#group24T3", "24T³"), =HYPERLINK("CSG5.html#group72A5", "72A⁵"), =HYPERLINK("CSG6.html#group36E6", "36E⁶"), =HYPERLINK("CSG6.html#group72E6", "72E⁶")</f>
        <v/>
      </c>
      <c r="L3506" t="inlineStr"/>
      <c r="M3506">
        <f>HYPERLINK("CSG1.html#group24E1", "24E¹"), =HYPERLINK("CSG0.html#group12C0", "12C⁰"), =HYPERLINK("CSG6.html#group36E6", "36E⁶"), =HYPERLINK("CSG0.html#group4C0", "4C⁰"), =HYPERLINK("CSG1.html#group24D1", "24D¹"), =HYPERLINK("CSG2.html#group36B2", "36B²"), =HYPERLINK("CSG5.html#group72A5", "72A⁵"), =HYPERLINK("CSG1.html#group12M1", "12M¹"), =HYPERLINK("CSG0.html#group2B0", "2B⁰"), =HYPERLINK("CSG0.html#group1A0", "1A⁰"), =HYPERLINK("CSG6.html#group72E6", "72E⁶"), =HYPERLINK("CSG0.html#group9A0", "9A⁰"), =HYPERLINK("CSG3.html#group24T3", "24T³"), =HYPERLINK("CSG1.html#group18E1", "18E¹"), =HYPERLINK("CSG0.html#group3A0", "3A⁰"), =HYPERLINK("CSG0.html#group6D0", "6D⁰")</f>
        <v/>
      </c>
      <c r="N3506" t="inlineStr"/>
    </row>
    <row r="3507">
      <c r="A3507" t="inlineStr">
        <is>
          <t>72P¹³</t>
        </is>
      </c>
      <c r="B3507" t="inlineStr"/>
      <c r="C3507" t="inlineStr">
        <is>
          <t>216</t>
        </is>
      </c>
      <c r="D3507" t="inlineStr">
        <is>
          <t>2</t>
        </is>
      </c>
      <c r="E3507" t="inlineStr">
        <is>
          <t>54</t>
        </is>
      </c>
      <c r="F3507" t="inlineStr">
        <is>
          <t>16</t>
        </is>
      </c>
      <c r="G3507" t="inlineStr">
        <is>
          <t>0</t>
        </is>
      </c>
      <c r="H3507" t="inlineStr">
        <is>
          <t>36², 72²</t>
        </is>
      </c>
      <c r="I3507" t="n">
        <v>4</v>
      </c>
      <c r="J3507" t="inlineStr">
        <is>
          <t>2⁶, 4⁶, 6⁴, 12⁴</t>
        </is>
      </c>
      <c r="K3507">
        <f>HYPERLINK("CSG3.html#group24T3", "24T³"), =HYPERLINK("CSG5.html#group72A5", "72A⁵"), =HYPERLINK("CSG6.html#group36I6", "36I⁶"), =HYPERLINK("CSG6.html#group72D6", "72D⁶")</f>
        <v/>
      </c>
      <c r="L3507" t="inlineStr"/>
      <c r="M3507">
        <f>HYPERLINK("CSG1.html#group24E1", "24E¹"), =HYPERLINK("CSG0.html#group12C0", "12C⁰"), =HYPERLINK("CSG0.html#group4C0", "4C⁰"), =HYPERLINK("CSG1.html#group24D1", "24D¹"), =HYPERLINK("CSG2.html#group36B2", "36B²"), =HYPERLINK("CSG5.html#group72A5", "72A⁵"), =HYPERLINK("CSG1.html#group12M1", "12M¹"), =HYPERLINK("CSG0.html#group2B0", "2B⁰"), =HYPERLINK("CSG0.html#group1A0", "1A⁰"), =HYPERLINK("CSG6.html#group36I6", "36I⁶"), =HYPERLINK("CSG6.html#group72D6", "72D⁶"), =HYPERLINK("CSG0.html#group9A0", "9A⁰"), =HYPERLINK("CSG3.html#group24T3", "24T³"), =HYPERLINK("CSG1.html#group18E1", "18E¹"), =HYPERLINK("CSG0.html#group3A0", "3A⁰"), =HYPERLINK("CSG0.html#group6D0", "6D⁰")</f>
        <v/>
      </c>
      <c r="N3507" t="inlineStr"/>
    </row>
    <row r="3508">
      <c r="A3508" t="inlineStr">
        <is>
          <t>72Q¹³</t>
        </is>
      </c>
      <c r="B3508" t="inlineStr"/>
      <c r="C3508" t="inlineStr">
        <is>
          <t>288</t>
        </is>
      </c>
      <c r="D3508" t="inlineStr">
        <is>
          <t>1</t>
        </is>
      </c>
      <c r="E3508" t="inlineStr">
        <is>
          <t>12</t>
        </is>
      </c>
      <c r="F3508" t="inlineStr">
        <is>
          <t>0</t>
        </is>
      </c>
      <c r="G3508" t="inlineStr">
        <is>
          <t>0</t>
        </is>
      </c>
      <c r="H3508" t="inlineStr">
        <is>
          <t>2¹², 8⁶, 18⁴, 72²</t>
        </is>
      </c>
      <c r="I3508" t="n">
        <v>24</v>
      </c>
      <c r="J3508" t="inlineStr">
        <is>
          <t>1⁶, 2³</t>
        </is>
      </c>
      <c r="K3508">
        <f>HYPERLINK("CSG3.html#group24U3", "24U³"), =HYPERLINK("CSG3.html#group72A3", "72A³"), =HYPERLINK("CSG5.html#group36L5", "36L⁵"), =HYPERLINK("CSG7.html#group72C7", "72C⁷")</f>
        <v/>
      </c>
      <c r="L3508" t="inlineStr"/>
      <c r="M3508">
        <f>HYPERLINK("CSG0.html#group2A0", "2A⁰"), =HYPERLINK("CSG0.html#group4C0", "4C⁰"), =HYPERLINK("CSG0.html#group2B0", "2B⁰"), =HYPERLINK("CSG0.html#group4E0", "4E⁰"), =HYPERLINK("CSG0.html#group4B0", "4B⁰"), =HYPERLINK("CSG0.html#group1A0", "1A⁰"), =HYPERLINK("CSG3.html#group72A3", "72A³"), =HYPERLINK("CSG0.html#group18C0", "18C⁰"), =HYPERLINK("CSG3.html#group24U3", "24U³"), =HYPERLINK("CSG7.html#group72C7", "72C⁷"), =HYPERLINK("CSG1.html#group18C1", "18C¹"), =HYPERLINK("CSG0.html#group6F0", "6F⁰"), =HYPERLINK("CSG3.html#group36G3", "36G³"), =HYPERLINK("CSG0.html#group3B0", "3B⁰"), =HYPERLINK("CSG5.html#group36L5", "36L⁵"), =HYPERLINK("CSG0.html#group6I0", "6I⁰"), =HYPERLINK("CSG1.html#group12F1", "12F¹"), =HYPERLINK("CSG0.html#group6C0", "6C⁰"), =HYPERLINK("CSG0.html#group9B0", "9B⁰"), =HYPERLINK("CSG1.html#group12P1", "12P¹"), =HYPERLINK("CSG1.html#group18J1", "18J¹"), =HYPERLINK("CSG0.html#group18E0", "18E⁰"), =HYPERLINK("CSG0.html#group24B0", "24B⁰"), =HYPERLINK("CSG1.html#group36C1", "36C¹"), =HYPERLINK("CSG2.html#group24F2", "24F²"), =HYPERLINK("CSG0.html#group2C0", "2C⁰"), =HYPERLINK("CSG0.html#group12E0", "12E⁰")</f>
        <v/>
      </c>
      <c r="N3508" t="inlineStr"/>
    </row>
    <row r="3509">
      <c r="A3509" t="inlineStr">
        <is>
          <t>72R¹³</t>
        </is>
      </c>
      <c r="B3509" t="inlineStr"/>
      <c r="C3509" t="inlineStr">
        <is>
          <t>288</t>
        </is>
      </c>
      <c r="D3509" t="inlineStr">
        <is>
          <t>1</t>
        </is>
      </c>
      <c r="E3509" t="inlineStr">
        <is>
          <t>12</t>
        </is>
      </c>
      <c r="F3509" t="inlineStr">
        <is>
          <t>0</t>
        </is>
      </c>
      <c r="G3509" t="inlineStr">
        <is>
          <t>0</t>
        </is>
      </c>
      <c r="H3509" t="inlineStr">
        <is>
          <t>2¹², 8⁶, 18⁴, 72²</t>
        </is>
      </c>
      <c r="I3509" t="n">
        <v>24</v>
      </c>
      <c r="J3509" t="inlineStr">
        <is>
          <t>1⁶, 2³</t>
        </is>
      </c>
      <c r="K3509">
        <f>HYPERLINK("CSG3.html#group24V3", "24V³"), =HYPERLINK("CSG5.html#group36L5", "36L⁵"), =HYPERLINK("CSG5.html#group72B5", "72B⁵"), =HYPERLINK("CSG7.html#group72D7", "72D⁷")</f>
        <v/>
      </c>
      <c r="L3509" t="inlineStr"/>
      <c r="M3509">
        <f>HYPERLINK("CSG0.html#group2A0", "2A⁰"), =HYPERLINK("CSG3.html#group24V3", "24V³"), =HYPERLINK("CSG1.html#group24G1", "24G¹"), =HYPERLINK("CSG0.html#group4C0", "4C⁰"), =HYPERLINK("CSG0.html#group2B0", "2B⁰"), =HYPERLINK("CSG0.html#group4E0", "4E⁰"), =HYPERLINK("CSG0.html#group8C0", "8C⁰"), =HYPERLINK("CSG0.html#group4B0", "4B⁰"), =HYPERLINK("CSG0.html#group1A0", "1A⁰"), =HYPERLINK("CSG0.html#group18C0", "18C⁰"), =HYPERLINK("CSG0.html#group8G0", "8G⁰"), =HYPERLINK("CSG1.html#group18C1", "18C¹"), =HYPERLINK("CSG5.html#group72B5", "72B⁵"), =HYPERLINK("CSG7.html#group72D7", "72D⁷"), =HYPERLINK("CSG0.html#group6F0", "6F⁰"), =HYPERLINK("CSG3.html#group36G3", "36G³"), =HYPERLINK("CSG0.html#group3B0", "3B⁰"), =HYPERLINK("CSG5.html#group36L5", "36L⁵"), =HYPERLINK("CSG0.html#group8D0", "8D⁰"), =HYPERLINK("CSG1.html#group12F1", "12F¹"), =HYPERLINK("CSG0.html#group6I0", "6I⁰"), =HYPERLINK("CSG0.html#group6C0", "6C⁰"), =HYPERLINK("CSG0.html#group9B0", "9B⁰"), =HYPERLINK("CSG1.html#group12P1", "12P¹"), =HYPERLINK("CSG1.html#group18J1", "18J¹"), =HYPERLINK("CSG0.html#group18E0", "18E⁰"), =HYPERLINK("CSG2.html#group24I2", "24I²"), =HYPERLINK("CSG1.html#group36C1", "36C¹"), =HYPERLINK("CSG0.html#group2C0", "2C⁰"), =HYPERLINK("CSG0.html#group12E0", "12E⁰")</f>
        <v/>
      </c>
      <c r="N3509" t="inlineStr"/>
    </row>
    <row r="3510">
      <c r="A3510" t="inlineStr">
        <is>
          <t>72S¹³</t>
        </is>
      </c>
      <c r="B3510" t="inlineStr"/>
      <c r="C3510" t="inlineStr">
        <is>
          <t>288</t>
        </is>
      </c>
      <c r="D3510" t="inlineStr">
        <is>
          <t>1</t>
        </is>
      </c>
      <c r="E3510" t="inlineStr">
        <is>
          <t>24</t>
        </is>
      </c>
      <c r="F3510" t="inlineStr">
        <is>
          <t>0</t>
        </is>
      </c>
      <c r="G3510" t="inlineStr">
        <is>
          <t>0</t>
        </is>
      </c>
      <c r="H3510" t="inlineStr">
        <is>
          <t>2¹², 8⁶, 18⁴, 72²</t>
        </is>
      </c>
      <c r="I3510" t="n">
        <v>24</v>
      </c>
      <c r="J3510" t="inlineStr">
        <is>
          <t>1⁸, 2⁶, 4¹</t>
        </is>
      </c>
      <c r="K3510">
        <f>HYPERLINK("CSG3.html#group24W3", "24W³"), =HYPERLINK("CSG3.html#group36K3", "36K³"), =HYPERLINK("CSG5.html#group72B5", "72B⁵"), =HYPERLINK("CSG7.html#group72C7", "72C⁷")</f>
        <v/>
      </c>
      <c r="L3510" t="inlineStr"/>
      <c r="M3510">
        <f>HYPERLINK("CSG0.html#group3B0", "3B⁰"), =HYPERLINK("CSG1.html#group24G1", "24G¹"), =HYPERLINK("CSG0.html#group12J0", "12J⁰"), =HYPERLINK("CSG0.html#group9B0", "9B⁰"), =HYPERLINK("CSG0.html#group2B0", "2B⁰"), =HYPERLINK("CSG0.html#group8C0", "8C⁰"), =HYPERLINK("CSG0.html#group4B0", "4B⁰"), =HYPERLINK("CSG0.html#group1A0", "1A⁰"), =HYPERLINK("CSG0.html#group18E0", "18E⁰"), =HYPERLINK("CSG7.html#group72C7", "72C⁷"), =HYPERLINK("CSG5.html#group72B5", "72B⁵"), =HYPERLINK("CSG3.html#group24W3", "24W³"), =HYPERLINK("CSG3.html#group36K3", "36K³"), =HYPERLINK("CSG1.html#group36C1", "36C¹"), =HYPERLINK("CSG2.html#group24F2", "24F²"), =HYPERLINK("CSG0.html#group6F0", "6F⁰"), =HYPERLINK("CSG0.html#group12E0", "12E⁰")</f>
        <v/>
      </c>
      <c r="N3510" t="inlineStr"/>
    </row>
    <row r="3511">
      <c r="A3511" t="inlineStr">
        <is>
          <t>72T¹³</t>
        </is>
      </c>
      <c r="B3511" t="inlineStr"/>
      <c r="C3511" t="inlineStr">
        <is>
          <t>288</t>
        </is>
      </c>
      <c r="D3511" t="inlineStr">
        <is>
          <t>1</t>
        </is>
      </c>
      <c r="E3511" t="inlineStr">
        <is>
          <t>48</t>
        </is>
      </c>
      <c r="F3511" t="inlineStr">
        <is>
          <t>0</t>
        </is>
      </c>
      <c r="G3511" t="inlineStr">
        <is>
          <t>0</t>
        </is>
      </c>
      <c r="H3511" t="inlineStr">
        <is>
          <t>1⁶, 2³, 4³, 8⁶, 9², 18¹, 36¹, 72²</t>
        </is>
      </c>
      <c r="I3511" t="n">
        <v>24</v>
      </c>
      <c r="J3511" t="inlineStr">
        <is>
          <t>1⁸, 2⁸, 4⁴, 8¹</t>
        </is>
      </c>
      <c r="K3511">
        <f>HYPERLINK("CSG3.html#group24X3", "24X³"), =HYPERLINK("CSG5.html#group72B5", "72B⁵")</f>
        <v/>
      </c>
      <c r="L3511" t="inlineStr"/>
      <c r="M3511">
        <f>HYPERLINK("CSG0.html#group3B0", "3B⁰"), =HYPERLINK("CSG3.html#group24X3", "24X³"), =HYPERLINK("CSG0.html#group18E0", "18E⁰"), =HYPERLINK("CSG5.html#group72B5", "72B⁵"), =HYPERLINK("CSG1.html#group24G1", "24G¹"), =HYPERLINK("CSG0.html#group6F0", "6F⁰"), =HYPERLINK("CSG0.html#group9B0", "9B⁰"), =HYPERLINK("CSG0.html#group8C0", "8C⁰"), =HYPERLINK("CSG0.html#group2B0", "2B⁰"), =HYPERLINK("CSG1.html#group36C1", "36C¹"), =HYPERLINK("CSG0.html#group4B0", "4B⁰"), =HYPERLINK("CSG0.html#group1A0", "1A⁰"), =HYPERLINK("CSG0.html#group12E0", "12E⁰")</f>
        <v/>
      </c>
      <c r="N3511" t="inlineStr"/>
    </row>
    <row r="3512">
      <c r="A3512" t="inlineStr">
        <is>
          <t>72U¹³</t>
        </is>
      </c>
      <c r="B3512" t="inlineStr"/>
      <c r="C3512" t="inlineStr">
        <is>
          <t>288</t>
        </is>
      </c>
      <c r="D3512" t="inlineStr">
        <is>
          <t>1</t>
        </is>
      </c>
      <c r="E3512" t="inlineStr">
        <is>
          <t>48</t>
        </is>
      </c>
      <c r="F3512" t="inlineStr">
        <is>
          <t>0</t>
        </is>
      </c>
      <c r="G3512" t="inlineStr">
        <is>
          <t>0</t>
        </is>
      </c>
      <c r="H3512" t="inlineStr">
        <is>
          <t>1⁶, 2³, 4³, 8⁶, 9², 18¹, 36¹, 72²</t>
        </is>
      </c>
      <c r="I3512" t="n">
        <v>24</v>
      </c>
      <c r="J3512" t="inlineStr">
        <is>
          <t>1⁸, 2⁸, 4⁴, 8¹</t>
        </is>
      </c>
      <c r="K3512">
        <f>HYPERLINK("CSG3.html#group24Y3", "24Y³"), =HYPERLINK("CSG5.html#group72B5", "72B⁵")</f>
        <v/>
      </c>
      <c r="L3512" t="inlineStr"/>
      <c r="M3512">
        <f>HYPERLINK("CSG0.html#group3B0", "3B⁰"), =HYPERLINK("CSG0.html#group18E0", "18E⁰"), =HYPERLINK("CSG5.html#group72B5", "72B⁵"), =HYPERLINK("CSG1.html#group24G1", "24G¹"), =HYPERLINK("CSG0.html#group6F0", "6F⁰"), =HYPERLINK("CSG0.html#group9B0", "9B⁰"), =HYPERLINK("CSG0.html#group8C0", "8C⁰"), =HYPERLINK("CSG0.html#group2B0", "2B⁰"), =HYPERLINK("CSG3.html#group24Y3", "24Y³"), =HYPERLINK("CSG1.html#group36C1", "36C¹"), =HYPERLINK("CSG0.html#group4B0", "4B⁰"), =HYPERLINK("CSG0.html#group8I0", "8I⁰"), =HYPERLINK("CSG0.html#group1A0", "1A⁰"), =HYPERLINK("CSG0.html#group12E0", "12E⁰")</f>
        <v/>
      </c>
      <c r="N3512" t="inlineStr"/>
    </row>
    <row r="3513">
      <c r="A3513" t="inlineStr">
        <is>
          <t>72V¹³</t>
        </is>
      </c>
      <c r="B3513" t="inlineStr"/>
      <c r="C3513" t="inlineStr">
        <is>
          <t>288</t>
        </is>
      </c>
      <c r="D3513" t="inlineStr">
        <is>
          <t>1</t>
        </is>
      </c>
      <c r="E3513" t="inlineStr">
        <is>
          <t>48</t>
        </is>
      </c>
      <c r="F3513" t="inlineStr">
        <is>
          <t>0</t>
        </is>
      </c>
      <c r="G3513" t="inlineStr">
        <is>
          <t>0</t>
        </is>
      </c>
      <c r="H3513" t="inlineStr">
        <is>
          <t>2⁶, 4⁹, 8³, 18², 36³, 72¹</t>
        </is>
      </c>
      <c r="I3513" t="n">
        <v>24</v>
      </c>
      <c r="J3513" t="inlineStr">
        <is>
          <t>1¹⁶, 2¹², 4²</t>
        </is>
      </c>
      <c r="K3513">
        <f>HYPERLINK("CSG3.html#group24Z3", "24Z³"), =HYPERLINK("CSG5.html#group36L5", "36L⁵")</f>
        <v/>
      </c>
      <c r="L3513" t="inlineStr"/>
      <c r="M3513">
        <f>HYPERLINK("CSG0.html#group3B0", "3B⁰"), =HYPERLINK("CSG0.html#group2A0", "2A⁰"), =HYPERLINK("CSG5.html#group36L5", "36L⁵"), =HYPERLINK("CSG3.html#group24Z3", "24Z³"), =HYPERLINK("CSG0.html#group6I0", "6I⁰"), =HYPERLINK("CSG1.html#group12F1", "12F¹"), =HYPERLINK("CSG0.html#group6C0", "6C⁰"), =HYPERLINK("CSG0.html#group4C0", "4C⁰"), =HYPERLINK("CSG0.html#group9B0", "9B⁰"), =HYPERLINK("CSG0.html#group2B0", "2B⁰"), =HYPERLINK("CSG0.html#group4E0", "4E⁰"), =HYPERLINK("CSG1.html#group12P1", "12P¹"), =HYPERLINK("CSG1.html#group18J1", "18J¹"), =HYPERLINK("CSG0.html#group4B0", "4B⁰"), =HYPERLINK("CSG0.html#group1A0", "1A⁰"), =HYPERLINK("CSG0.html#group18C0", "18C⁰"), =HYPERLINK("CSG0.html#group18E0", "18E⁰"), =HYPERLINK("CSG1.html#group18C1", "18C¹"), =HYPERLINK("CSG0.html#group12E0", "12E⁰"), =HYPERLINK("CSG1.html#group36C1", "36C¹"), =HYPERLINK("CSG0.html#group6F0", "6F⁰"), =HYPERLINK("CSG0.html#group2C0", "2C⁰"), =HYPERLINK("CSG3.html#group36G3", "36G³")</f>
        <v/>
      </c>
      <c r="N3513" t="inlineStr"/>
    </row>
    <row r="3514">
      <c r="A3514" t="inlineStr">
        <is>
          <t>72W¹³</t>
        </is>
      </c>
      <c r="B3514" t="inlineStr"/>
      <c r="C3514" t="inlineStr">
        <is>
          <t>288</t>
        </is>
      </c>
      <c r="D3514" t="inlineStr">
        <is>
          <t>1</t>
        </is>
      </c>
      <c r="E3514" t="inlineStr">
        <is>
          <t>48</t>
        </is>
      </c>
      <c r="F3514" t="inlineStr">
        <is>
          <t>0</t>
        </is>
      </c>
      <c r="G3514" t="inlineStr">
        <is>
          <t>0</t>
        </is>
      </c>
      <c r="H3514" t="inlineStr">
        <is>
          <t>2⁶, 4⁹, 8³, 18², 36³, 72¹</t>
        </is>
      </c>
      <c r="I3514" t="n">
        <v>24</v>
      </c>
      <c r="J3514" t="inlineStr">
        <is>
          <t>1¹⁶, 2¹², 4²</t>
        </is>
      </c>
      <c r="K3514">
        <f>HYPERLINK("CSG3.html#group24AA3", "24AA³"), =HYPERLINK("CSG5.html#group36L5", "36L⁵")</f>
        <v/>
      </c>
      <c r="L3514" t="inlineStr"/>
      <c r="M3514">
        <f>HYPERLINK("CSG0.html#group2A0", "2A⁰"), =HYPERLINK("CSG0.html#group3B0", "3B⁰"), =HYPERLINK("CSG5.html#group36L5", "36L⁵"), =HYPERLINK("CSG3.html#group36G3", "36G³"), =HYPERLINK("CSG3.html#group24AA3", "24AA³"), =HYPERLINK("CSG0.html#group6I0", "6I⁰"), =HYPERLINK("CSG1.html#group12F1", "12F¹"), =HYPERLINK("CSG0.html#group4C0", "4C⁰"), =HYPERLINK("CSG0.html#group6C0", "6C⁰"), =HYPERLINK("CSG0.html#group9B0", "9B⁰"), =HYPERLINK("CSG0.html#group2B0", "2B⁰"), =HYPERLINK("CSG0.html#group4E0", "4E⁰"), =HYPERLINK("CSG1.html#group12P1", "12P¹"), =HYPERLINK("CSG0.html#group4B0", "4B⁰"), =HYPERLINK("CSG1.html#group18J1", "18J¹"), =HYPERLINK("CSG0.html#group1A0", "1A⁰"), =HYPERLINK("CSG0.html#group18C0", "18C⁰"), =HYPERLINK("CSG0.html#group18E0", "18E⁰"), =HYPERLINK("CSG1.html#group18C1", "18C¹"), =HYPERLINK("CSG1.html#group36C1", "36C¹"), =HYPERLINK("CSG0.html#group6F0", "6F⁰"), =HYPERLINK("CSG0.html#group2C0", "2C⁰"), =HYPERLINK("CSG0.html#group12E0", "12E⁰"), =HYPERLINK("CSG0.html#group8J0", "8J⁰")</f>
        <v/>
      </c>
      <c r="N3514" t="inlineStr"/>
    </row>
    <row r="3515">
      <c r="A3515" t="inlineStr">
        <is>
          <t>73A¹³</t>
        </is>
      </c>
      <c r="B3515" t="inlineStr"/>
      <c r="C3515" t="inlineStr">
        <is>
          <t>222</t>
        </is>
      </c>
      <c r="D3515" t="inlineStr">
        <is>
          <t>1</t>
        </is>
      </c>
      <c r="E3515" t="inlineStr">
        <is>
          <t>74</t>
        </is>
      </c>
      <c r="F3515" t="inlineStr">
        <is>
          <t>6</t>
        </is>
      </c>
      <c r="G3515" t="inlineStr">
        <is>
          <t>6</t>
        </is>
      </c>
      <c r="H3515" t="inlineStr">
        <is>
          <t>1³, 73³</t>
        </is>
      </c>
      <c r="I3515" t="n">
        <v>6</v>
      </c>
      <c r="J3515" t="inlineStr">
        <is>
          <t>1², 72¹</t>
        </is>
      </c>
      <c r="K3515">
        <f>HYPERLINK("CSG5.html#group73A5", "73A⁵")</f>
        <v/>
      </c>
      <c r="L3515" t="inlineStr"/>
      <c r="M3515">
        <f>HYPERLINK("CSG0.html#group1A0", "1A⁰"), =HYPERLINK("CSG5.html#group73A5", "73A⁵")</f>
        <v/>
      </c>
      <c r="N3515" t="inlineStr"/>
    </row>
    <row r="3516">
      <c r="A3516" t="inlineStr">
        <is>
          <t>74A¹³</t>
        </is>
      </c>
      <c r="B3516" t="inlineStr"/>
      <c r="C3516" t="inlineStr">
        <is>
          <t>228</t>
        </is>
      </c>
      <c r="D3516" t="inlineStr">
        <is>
          <t>1</t>
        </is>
      </c>
      <c r="E3516" t="inlineStr">
        <is>
          <t>38</t>
        </is>
      </c>
      <c r="F3516" t="inlineStr">
        <is>
          <t>0</t>
        </is>
      </c>
      <c r="G3516" t="inlineStr">
        <is>
          <t>12</t>
        </is>
      </c>
      <c r="H3516" t="inlineStr">
        <is>
          <t>2³, 74³</t>
        </is>
      </c>
      <c r="I3516" t="n">
        <v>6</v>
      </c>
      <c r="J3516" t="inlineStr">
        <is>
          <t>1², 36¹</t>
        </is>
      </c>
      <c r="K3516">
        <f>HYPERLINK("CSG4.html#group37B4", "37B⁴"), =HYPERLINK("CSG5.html#group74A5", "74A⁵")</f>
        <v/>
      </c>
      <c r="L3516" t="inlineStr"/>
      <c r="M3516">
        <f>HYPERLINK("CSG2.html#group37A2", "37A²"), =HYPERLINK("CSG4.html#group37B4", "37B⁴"), =HYPERLINK("CSG5.html#group74A5", "74A⁵"), =HYPERLINK("CSG0.html#group2A0", "2A⁰"), =HYPERLINK("CSG0.html#group1A0", "1A⁰")</f>
        <v/>
      </c>
      <c r="N3516" t="inlineStr"/>
    </row>
    <row r="3517">
      <c r="A3517" t="inlineStr">
        <is>
          <t>75A¹³</t>
        </is>
      </c>
      <c r="B3517" t="inlineStr"/>
      <c r="C3517" t="inlineStr">
        <is>
          <t>180</t>
        </is>
      </c>
      <c r="D3517" t="inlineStr">
        <is>
          <t>1</t>
        </is>
      </c>
      <c r="E3517" t="inlineStr">
        <is>
          <t>90</t>
        </is>
      </c>
      <c r="F3517" t="inlineStr">
        <is>
          <t>4</t>
        </is>
      </c>
      <c r="G3517" t="inlineStr">
        <is>
          <t>0</t>
        </is>
      </c>
      <c r="H3517" t="inlineStr">
        <is>
          <t>15², 75²</t>
        </is>
      </c>
      <c r="I3517" t="n">
        <v>4</v>
      </c>
      <c r="J3517" t="inlineStr">
        <is>
          <t>2², 4⁶, 8⁴, 20², 40²</t>
        </is>
      </c>
      <c r="K3517">
        <f>HYPERLINK("CSG1.html#group15E1", "15E¹"), =HYPERLINK("CSG6.html#group75A6", "75A⁶")</f>
        <v/>
      </c>
      <c r="L3517" t="inlineStr"/>
      <c r="M3517">
        <f>HYPERLINK("CSG6.html#group75A6", "75A⁶"), =HYPERLINK("CSG0.html#group15B0", "15B⁰"), =HYPERLINK("CSG2.html#group25A2", "25A²"), =HYPERLINK("CSG0.html#group5B0", "5B⁰"), =HYPERLINK("CSG0.html#group3C0", "3C⁰"), =HYPERLINK("CSG0.html#group3A0", "3A⁰"), =HYPERLINK("CSG0.html#group1A0", "1A⁰"), =HYPERLINK("CSG1.html#group15E1", "15E¹")</f>
        <v/>
      </c>
      <c r="N3517" t="inlineStr"/>
    </row>
    <row r="3518">
      <c r="A3518" t="inlineStr">
        <is>
          <t>75B¹³</t>
        </is>
      </c>
      <c r="B3518" t="inlineStr"/>
      <c r="C3518" t="inlineStr">
        <is>
          <t>180</t>
        </is>
      </c>
      <c r="D3518" t="inlineStr">
        <is>
          <t>1</t>
        </is>
      </c>
      <c r="E3518" t="inlineStr">
        <is>
          <t>90</t>
        </is>
      </c>
      <c r="F3518" t="inlineStr">
        <is>
          <t>4</t>
        </is>
      </c>
      <c r="G3518" t="inlineStr">
        <is>
          <t>0</t>
        </is>
      </c>
      <c r="H3518" t="inlineStr">
        <is>
          <t>15², 75²</t>
        </is>
      </c>
      <c r="I3518" t="n">
        <v>4</v>
      </c>
      <c r="J3518" t="inlineStr">
        <is>
          <t>2², 4⁶, 8⁴, 20², 40²</t>
        </is>
      </c>
      <c r="K3518">
        <f>HYPERLINK("CSG1.html#group15E1", "15E¹"), =HYPERLINK("CSG6.html#group75B6", "75B⁶")</f>
        <v/>
      </c>
      <c r="L3518" t="inlineStr"/>
      <c r="M3518">
        <f>HYPERLINK("CSG0.html#group15B0", "15B⁰"), =HYPERLINK("CSG6.html#group75B6", "75B⁶"), =HYPERLINK("CSG1.html#group15E1", "15E¹"), =HYPERLINK("CSG0.html#group5B0", "5B⁰"), =HYPERLINK("CSG0.html#group3C0", "3C⁰"), =HYPERLINK("CSG0.html#group3A0", "3A⁰"), =HYPERLINK("CSG0.html#group1A0", "1A⁰"), =HYPERLINK("CSG2.html#group25B2", "25B²")</f>
        <v/>
      </c>
      <c r="N3518" t="inlineStr"/>
    </row>
    <row r="3519">
      <c r="A3519" t="inlineStr">
        <is>
          <t>75C¹³</t>
        </is>
      </c>
      <c r="B3519" t="inlineStr"/>
      <c r="C3519" t="inlineStr">
        <is>
          <t>180</t>
        </is>
      </c>
      <c r="D3519" t="inlineStr">
        <is>
          <t>1</t>
        </is>
      </c>
      <c r="E3519" t="inlineStr">
        <is>
          <t>90</t>
        </is>
      </c>
      <c r="F3519" t="inlineStr">
        <is>
          <t>4</t>
        </is>
      </c>
      <c r="G3519" t="inlineStr">
        <is>
          <t>0</t>
        </is>
      </c>
      <c r="H3519" t="inlineStr">
        <is>
          <t>15², 75²</t>
        </is>
      </c>
      <c r="I3519" t="n">
        <v>4</v>
      </c>
      <c r="J3519" t="inlineStr">
        <is>
          <t>2², 4⁶, 8⁴, 20², 40²</t>
        </is>
      </c>
      <c r="K3519">
        <f>HYPERLINK("CSG1.html#group15E1", "15E¹"), =HYPERLINK("CSG6.html#group75C6", "75C⁶")</f>
        <v/>
      </c>
      <c r="L3519" t="inlineStr"/>
      <c r="M3519">
        <f>HYPERLINK("CSG0.html#group15B0", "15B⁰"), =HYPERLINK("CSG6.html#group75C6", "75C⁶"), =HYPERLINK("CSG0.html#group5B0", "5B⁰"), =HYPERLINK("CSG0.html#group3C0", "3C⁰"), =HYPERLINK("CSG0.html#group3A0", "3A⁰"), =HYPERLINK("CSG0.html#group1A0", "1A⁰"), =HYPERLINK("CSG2.html#group25C2", "25C²"), =HYPERLINK("CSG1.html#group15E1", "15E¹")</f>
        <v/>
      </c>
      <c r="N3519" t="inlineStr"/>
    </row>
    <row r="3520">
      <c r="A3520" t="inlineStr">
        <is>
          <t>75D¹³</t>
        </is>
      </c>
      <c r="B3520" t="inlineStr"/>
      <c r="C3520" t="inlineStr">
        <is>
          <t>180</t>
        </is>
      </c>
      <c r="D3520" t="inlineStr">
        <is>
          <t>1</t>
        </is>
      </c>
      <c r="E3520" t="inlineStr">
        <is>
          <t>90</t>
        </is>
      </c>
      <c r="F3520" t="inlineStr">
        <is>
          <t>4</t>
        </is>
      </c>
      <c r="G3520" t="inlineStr">
        <is>
          <t>0</t>
        </is>
      </c>
      <c r="H3520" t="inlineStr">
        <is>
          <t>15², 75²</t>
        </is>
      </c>
      <c r="I3520" t="n">
        <v>4</v>
      </c>
      <c r="J3520" t="inlineStr">
        <is>
          <t>2², 4⁶, 8⁴, 20², 40²</t>
        </is>
      </c>
      <c r="K3520">
        <f>HYPERLINK("CSG1.html#group15E1", "15E¹"), =HYPERLINK("CSG6.html#group75D6", "75D⁶")</f>
        <v/>
      </c>
      <c r="L3520" t="inlineStr"/>
      <c r="M3520">
        <f>HYPERLINK("CSG0.html#group15B0", "15B⁰"), =HYPERLINK("CSG1.html#group15E1", "15E¹"), =HYPERLINK("CSG0.html#group5B0", "5B⁰"), =HYPERLINK("CSG0.html#group3C0", "3C⁰"), =HYPERLINK("CSG6.html#group75D6", "75D⁶"), =HYPERLINK("CSG0.html#group3A0", "3A⁰"), =HYPERLINK("CSG0.html#group1A0", "1A⁰"), =HYPERLINK("CSG2.html#group25D2", "25D²")</f>
        <v/>
      </c>
      <c r="N3520" t="inlineStr"/>
    </row>
    <row r="3521">
      <c r="A3521" t="inlineStr">
        <is>
          <t>77A¹³</t>
        </is>
      </c>
      <c r="B3521" t="inlineStr"/>
      <c r="C3521" t="inlineStr">
        <is>
          <t>168</t>
        </is>
      </c>
      <c r="D3521" t="inlineStr">
        <is>
          <t>2</t>
        </is>
      </c>
      <c r="E3521" t="inlineStr">
        <is>
          <t>84</t>
        </is>
      </c>
      <c r="F3521" t="inlineStr">
        <is>
          <t>0</t>
        </is>
      </c>
      <c r="G3521" t="inlineStr">
        <is>
          <t>0</t>
        </is>
      </c>
      <c r="H3521" t="inlineStr">
        <is>
          <t>7², 77²</t>
        </is>
      </c>
      <c r="I3521" t="n">
        <v>4</v>
      </c>
      <c r="J3521" t="inlineStr">
        <is>
          <t>2², 6⁴, 20¹, 60²</t>
        </is>
      </c>
      <c r="K3521">
        <f>HYPERLINK("CSG0.html#group7C0", "7C⁰"), =HYPERLINK("CSG7.html#group77A7", "77A⁷")</f>
        <v/>
      </c>
      <c r="L3521" t="inlineStr"/>
      <c r="M3521">
        <f>HYPERLINK("CSG7.html#group77A7", "77A⁷"), =HYPERLINK("CSG0.html#group1A0", "1A⁰"), =HYPERLINK("CSG1.html#group11A1", "11A¹"), =HYPERLINK("CSG0.html#group7C0", "7C⁰"), =HYPERLINK("CSG0.html#group7A0", "7A⁰")</f>
        <v/>
      </c>
      <c r="N3521" t="inlineStr"/>
    </row>
    <row r="3522">
      <c r="A3522" t="inlineStr">
        <is>
          <t>77B¹³</t>
        </is>
      </c>
      <c r="B3522" t="inlineStr"/>
      <c r="C3522" t="inlineStr">
        <is>
          <t>192</t>
        </is>
      </c>
      <c r="D3522" t="inlineStr">
        <is>
          <t>1</t>
        </is>
      </c>
      <c r="E3522" t="inlineStr">
        <is>
          <t>96</t>
        </is>
      </c>
      <c r="F3522" t="inlineStr">
        <is>
          <t>0</t>
        </is>
      </c>
      <c r="G3522" t="inlineStr">
        <is>
          <t>0</t>
        </is>
      </c>
      <c r="H3522" t="inlineStr">
        <is>
          <t>1², 7², 11², 77²</t>
        </is>
      </c>
      <c r="I3522" t="n">
        <v>8</v>
      </c>
      <c r="J3522" t="inlineStr">
        <is>
          <t>1⁴, 6², 10², 60¹</t>
        </is>
      </c>
      <c r="K3522">
        <f>HYPERLINK("CSG7.html#group77B7", "77B⁷")</f>
        <v/>
      </c>
      <c r="L3522" t="inlineStr"/>
      <c r="M3522">
        <f>HYPERLINK("CSG0.html#group1A0", "1A⁰"), =HYPERLINK("CSG0.html#group7B0", "7B⁰"), =HYPERLINK("CSG7.html#group77B7", "77B⁷"), =HYPERLINK("CSG1.html#group11A1", "11A¹")</f>
        <v/>
      </c>
      <c r="N3522" t="inlineStr"/>
    </row>
    <row r="3523">
      <c r="A3523" t="inlineStr">
        <is>
          <t>78A¹³</t>
        </is>
      </c>
      <c r="B3523" t="inlineStr"/>
      <c r="C3523" t="inlineStr">
        <is>
          <t>168</t>
        </is>
      </c>
      <c r="D3523" t="inlineStr">
        <is>
          <t>1</t>
        </is>
      </c>
      <c r="E3523" t="inlineStr">
        <is>
          <t>14</t>
        </is>
      </c>
      <c r="F3523" t="inlineStr">
        <is>
          <t>0</t>
        </is>
      </c>
      <c r="G3523" t="inlineStr">
        <is>
          <t>0</t>
        </is>
      </c>
      <c r="H3523" t="inlineStr">
        <is>
          <t>6², 78²</t>
        </is>
      </c>
      <c r="I3523" t="n">
        <v>4</v>
      </c>
      <c r="J3523" t="inlineStr">
        <is>
          <t>1², 12¹</t>
        </is>
      </c>
      <c r="K3523">
        <f>HYPERLINK("CSG1.html#group26B1", "26B¹"), =HYPERLINK("CSG4.html#group78A4", "78A⁴"), =HYPERLINK("CSG6.html#group39A6", "39A⁶"), =HYPERLINK("CSG7.html#group78A7", "78A⁷")</f>
        <v/>
      </c>
      <c r="L3523" t="inlineStr"/>
      <c r="M3523">
        <f>HYPERLINK("CSG0.html#group2A0", "2A⁰"), =HYPERLINK("CSG2.html#group39A2", "39A²"), =HYPERLINK("CSG1.html#group26B1", "26B¹"), =HYPERLINK("CSG7.html#group78A7", "78A⁷"), =HYPERLINK("CSG4.html#group78A4", "78A⁴"), =HYPERLINK("CSG1.html#group26A1", "26A¹"), =HYPERLINK("CSG0.html#group13A0", "13A⁰"), =HYPERLINK("CSG1.html#group6A1", "6A¹"), =HYPERLINK("CSG0.html#group26A0", "26A⁰"), =HYPERLINK("CSG6.html#group39A6", "39A⁶"), =HYPERLINK("CSG0.html#group13B0", "13B⁰"), =HYPERLINK("CSG0.html#group3A0", "3A⁰"), =HYPERLINK("CSG0.html#group1A0", "1A⁰")</f>
        <v/>
      </c>
      <c r="N3523" t="inlineStr"/>
    </row>
    <row r="3524">
      <c r="A3524" t="inlineStr">
        <is>
          <t>78B¹³</t>
        </is>
      </c>
      <c r="B3524" t="inlineStr"/>
      <c r="C3524" t="inlineStr">
        <is>
          <t>168</t>
        </is>
      </c>
      <c r="D3524" t="inlineStr">
        <is>
          <t>1</t>
        </is>
      </c>
      <c r="E3524" t="inlineStr">
        <is>
          <t>42</t>
        </is>
      </c>
      <c r="F3524" t="inlineStr">
        <is>
          <t>0</t>
        </is>
      </c>
      <c r="G3524" t="inlineStr">
        <is>
          <t>0</t>
        </is>
      </c>
      <c r="H3524" t="inlineStr">
        <is>
          <t>6², 78²</t>
        </is>
      </c>
      <c r="I3524" t="n">
        <v>4</v>
      </c>
      <c r="J3524" t="inlineStr">
        <is>
          <t>1², 2², 12¹, 24¹</t>
        </is>
      </c>
      <c r="K3524">
        <f>HYPERLINK("CSG5.html#group39A5", "39A⁵"), =HYPERLINK("CSG6.html#group78A6", "78A⁶")</f>
        <v/>
      </c>
      <c r="L3524" t="inlineStr"/>
      <c r="M3524">
        <f>HYPERLINK("CSG0.html#group13A0", "13A⁰"), =HYPERLINK("CSG2.html#group39A2", "39A²"), =HYPERLINK("CSG0.html#group3C0", "3C⁰"), =HYPERLINK("CSG0.html#group3A0", "3A⁰"), =HYPERLINK("CSG6.html#group78A6", "78A⁶"), =HYPERLINK("CSG5.html#group39A5", "39A⁵"), =HYPERLINK("CSG0.html#group1A0", "1A⁰")</f>
        <v/>
      </c>
      <c r="N3524" t="inlineStr"/>
    </row>
    <row r="3525">
      <c r="A3525" t="inlineStr">
        <is>
          <t>78C¹³</t>
        </is>
      </c>
      <c r="B3525" t="inlineStr"/>
      <c r="C3525" t="inlineStr">
        <is>
          <t>168</t>
        </is>
      </c>
      <c r="D3525" t="inlineStr">
        <is>
          <t>1</t>
        </is>
      </c>
      <c r="E3525" t="inlineStr">
        <is>
          <t>42</t>
        </is>
      </c>
      <c r="F3525" t="inlineStr">
        <is>
          <t>0</t>
        </is>
      </c>
      <c r="G3525" t="inlineStr">
        <is>
          <t>0</t>
        </is>
      </c>
      <c r="H3525" t="inlineStr">
        <is>
          <t>6², 78²</t>
        </is>
      </c>
      <c r="I3525" t="n">
        <v>4</v>
      </c>
      <c r="J3525" t="inlineStr">
        <is>
          <t>1², 2², 12¹, 24¹</t>
        </is>
      </c>
      <c r="K3525">
        <f>HYPERLINK("CSG4.html#group39A4", "39A⁴"), =HYPERLINK("CSG6.html#group78A6", "78A⁶"), =HYPERLINK("CSG7.html#group78A7", "78A⁷")</f>
        <v/>
      </c>
      <c r="L3525" t="inlineStr"/>
      <c r="M3525">
        <f>HYPERLINK("CSG2.html#group39A2", "39A²"), =HYPERLINK("CSG0.html#group2A0", "2A⁰"), =HYPERLINK("CSG1.html#group26A1", "26A¹"), =HYPERLINK("CSG7.html#group78A7", "78A⁷"), =HYPERLINK("CSG0.html#group13A0", "13A⁰"), =HYPERLINK("CSG1.html#group6A1", "6A¹"), =HYPERLINK("CSG4.html#group39A4", "39A⁴"), =HYPERLINK("CSG6.html#group78A6", "78A⁶"), =HYPERLINK("CSG0.html#group3A0", "3A⁰"), =HYPERLINK("CSG0.html#group1A0", "1A⁰")</f>
        <v/>
      </c>
      <c r="N3525" t="inlineStr"/>
    </row>
    <row r="3526">
      <c r="A3526" t="inlineStr">
        <is>
          <t>78D¹³</t>
        </is>
      </c>
      <c r="B3526" t="inlineStr"/>
      <c r="C3526" t="inlineStr">
        <is>
          <t>168</t>
        </is>
      </c>
      <c r="D3526" t="inlineStr">
        <is>
          <t>1</t>
        </is>
      </c>
      <c r="E3526" t="inlineStr">
        <is>
          <t>42</t>
        </is>
      </c>
      <c r="F3526" t="inlineStr">
        <is>
          <t>0</t>
        </is>
      </c>
      <c r="G3526" t="inlineStr">
        <is>
          <t>0</t>
        </is>
      </c>
      <c r="H3526" t="inlineStr">
        <is>
          <t>6², 78²</t>
        </is>
      </c>
      <c r="I3526" t="n">
        <v>4</v>
      </c>
      <c r="J3526" t="inlineStr">
        <is>
          <t>1², 2², 12¹, 24¹</t>
        </is>
      </c>
      <c r="K3526">
        <f>HYPERLINK("CSG5.html#group78B5", "78B⁵"), =HYPERLINK("CSG6.html#group39A6", "39A⁶"), =HYPERLINK("CSG6.html#group78A6", "78A⁶")</f>
        <v/>
      </c>
      <c r="L3526" t="inlineStr"/>
      <c r="M3526">
        <f>HYPERLINK("CSG2.html#group39A2", "39A²"), =HYPERLINK("CSG0.html#group6B0", "6B⁰"), =HYPERLINK("CSG5.html#group78B5", "78B⁵"), =HYPERLINK("CSG0.html#group13A0", "13A⁰"), =HYPERLINK("CSG0.html#group13B0", "13B⁰"), =HYPERLINK("CSG6.html#group39A6", "39A⁶"), =HYPERLINK("CSG6.html#group78A6", "78A⁶"), =HYPERLINK("CSG0.html#group3A0", "3A⁰"), =HYPERLINK("CSG0.html#group1A0", "1A⁰")</f>
        <v/>
      </c>
      <c r="N3526" t="inlineStr"/>
    </row>
    <row r="3527">
      <c r="A3527" t="inlineStr">
        <is>
          <t>78E¹³</t>
        </is>
      </c>
      <c r="B3527" t="inlineStr"/>
      <c r="C3527" t="inlineStr">
        <is>
          <t>168</t>
        </is>
      </c>
      <c r="D3527" t="inlineStr">
        <is>
          <t>1</t>
        </is>
      </c>
      <c r="E3527" t="inlineStr">
        <is>
          <t>42</t>
        </is>
      </c>
      <c r="F3527" t="inlineStr">
        <is>
          <t>0</t>
        </is>
      </c>
      <c r="G3527" t="inlineStr">
        <is>
          <t>0</t>
        </is>
      </c>
      <c r="H3527" t="inlineStr">
        <is>
          <t>6², 78²</t>
        </is>
      </c>
      <c r="I3527" t="n">
        <v>4</v>
      </c>
      <c r="J3527" t="inlineStr">
        <is>
          <t>1², 2², 12¹, 24¹</t>
        </is>
      </c>
      <c r="K3527">
        <f>HYPERLINK("CSG1.html#group6B1", "6B¹"), =HYPERLINK("CSG5.html#group39A5", "39A⁵"), =HYPERLINK("CSG5.html#group78B5", "78B⁵"), =HYPERLINK("CSG7.html#group78A7", "78A⁷")</f>
        <v/>
      </c>
      <c r="L3527" t="inlineStr"/>
      <c r="M3527">
        <f>HYPERLINK("CSG2.html#group39A2", "39A²"), =HYPERLINK("CSG0.html#group2A0", "2A⁰"), =HYPERLINK("CSG1.html#group26A1", "26A¹"), =HYPERLINK("CSG7.html#group78A7", "78A⁷"), =HYPERLINK("CSG0.html#group6B0", "6B⁰"), =HYPERLINK("CSG5.html#group39A5", "39A⁵"), =HYPERLINK("CSG1.html#group6B1", "6B¹"), =HYPERLINK("CSG5.html#group78B5", "78B⁵"), =HYPERLINK("CSG0.html#group13A0", "13A⁰"), =HYPERLINK("CSG0.html#group3C0", "3C⁰"), =HYPERLINK("CSG1.html#group6A1", "6A¹"), =HYPERLINK("CSG0.html#group3A0", "3A⁰"), =HYPERLINK("CSG0.html#group1A0", "1A⁰")</f>
        <v/>
      </c>
      <c r="N3527" t="inlineStr"/>
    </row>
    <row r="3528">
      <c r="A3528" t="inlineStr">
        <is>
          <t>78F¹³</t>
        </is>
      </c>
      <c r="B3528" t="inlineStr"/>
      <c r="C3528" t="inlineStr">
        <is>
          <t>224</t>
        </is>
      </c>
      <c r="D3528" t="inlineStr">
        <is>
          <t>1</t>
        </is>
      </c>
      <c r="E3528" t="inlineStr">
        <is>
          <t>56</t>
        </is>
      </c>
      <c r="F3528" t="inlineStr">
        <is>
          <t>0</t>
        </is>
      </c>
      <c r="G3528" t="inlineStr">
        <is>
          <t>8</t>
        </is>
      </c>
      <c r="H3528" t="inlineStr">
        <is>
          <t>2², 6², 26², 78²</t>
        </is>
      </c>
      <c r="I3528" t="n">
        <v>8</v>
      </c>
      <c r="J3528" t="inlineStr">
        <is>
          <t>1⁴, 2², 12², 24¹</t>
        </is>
      </c>
      <c r="K3528">
        <f>HYPERLINK("CSG5.html#group39B5", "39B⁵")</f>
        <v/>
      </c>
      <c r="L3528" t="inlineStr"/>
      <c r="M3528">
        <f>HYPERLINK("CSG0.html#group13A0", "13A⁰"), =HYPERLINK("CSG0.html#group3B0", "3B⁰"), =HYPERLINK("CSG3.html#group39A3", "39A³"), =HYPERLINK("CSG0.html#group13B0", "13B⁰"), =HYPERLINK("CSG0.html#group1A0", "1A⁰"), =HYPERLINK("CSG5.html#group39B5", "39B⁵")</f>
        <v/>
      </c>
      <c r="N3528" t="inlineStr"/>
    </row>
    <row r="3529">
      <c r="A3529" t="inlineStr">
        <is>
          <t>78G¹³</t>
        </is>
      </c>
      <c r="B3529" t="inlineStr"/>
      <c r="C3529" t="inlineStr">
        <is>
          <t>224</t>
        </is>
      </c>
      <c r="D3529" t="inlineStr">
        <is>
          <t>1</t>
        </is>
      </c>
      <c r="E3529" t="inlineStr">
        <is>
          <t>56</t>
        </is>
      </c>
      <c r="F3529" t="inlineStr">
        <is>
          <t>0</t>
        </is>
      </c>
      <c r="G3529" t="inlineStr">
        <is>
          <t>8</t>
        </is>
      </c>
      <c r="H3529" t="inlineStr">
        <is>
          <t>2², 6², 26², 78²</t>
        </is>
      </c>
      <c r="I3529" t="n">
        <v>8</v>
      </c>
      <c r="J3529" t="inlineStr">
        <is>
          <t>1⁴, 2², 12², 24¹</t>
        </is>
      </c>
      <c r="K3529">
        <f>HYPERLINK("CSG1.html#group26B1", "26B¹"), =HYPERLINK("CSG5.html#group39B5", "39B⁵"), =HYPERLINK("CSG7.html#group78B7", "78B⁷"), =HYPERLINK("CSG7.html#group78C7", "78C⁷")</f>
        <v/>
      </c>
      <c r="L3529" t="inlineStr"/>
      <c r="M3529">
        <f>HYPERLINK("CSG0.html#group3B0", "3B⁰"), =HYPERLINK("CSG0.html#group2A0", "2A⁰"), =HYPERLINK("CSG1.html#group26B1", "26B¹"), =HYPERLINK("CSG3.html#group39A3", "39A³"), =HYPERLINK("CSG1.html#group26A1", "26A¹"), =HYPERLINK("CSG7.html#group78C7", "78C⁷"), =HYPERLINK("CSG0.html#group6C0", "6C⁰"), =HYPERLINK("CSG0.html#group13A0", "13A⁰"), =HYPERLINK("CSG7.html#group78B7", "78B⁷"), =HYPERLINK("CSG0.html#group26A0", "26A⁰"), =HYPERLINK("CSG0.html#group13B0", "13B⁰"), =HYPERLINK("CSG0.html#group1A0", "1A⁰"), =HYPERLINK("CSG5.html#group39B5", "39B⁵")</f>
        <v/>
      </c>
      <c r="N3529" t="inlineStr"/>
    </row>
    <row r="3530">
      <c r="A3530" t="inlineStr">
        <is>
          <t>78H¹³</t>
        </is>
      </c>
      <c r="B3530" t="inlineStr"/>
      <c r="C3530" t="inlineStr">
        <is>
          <t>252</t>
        </is>
      </c>
      <c r="D3530" t="inlineStr">
        <is>
          <t>1</t>
        </is>
      </c>
      <c r="E3530" t="inlineStr">
        <is>
          <t>42</t>
        </is>
      </c>
      <c r="F3530" t="inlineStr">
        <is>
          <t>24</t>
        </is>
      </c>
      <c r="G3530" t="inlineStr">
        <is>
          <t>0</t>
        </is>
      </c>
      <c r="H3530" t="inlineStr">
        <is>
          <t>6³, 78³</t>
        </is>
      </c>
      <c r="I3530" t="n">
        <v>6</v>
      </c>
      <c r="J3530" t="inlineStr">
        <is>
          <t>1², 2², 12¹, 24¹</t>
        </is>
      </c>
      <c r="K3530">
        <f>HYPERLINK("CSG4.html#group39C4", "39C⁴"), =HYPERLINK("CSG5.html#group78B5", "78B⁵")</f>
        <v/>
      </c>
      <c r="L3530" t="inlineStr"/>
      <c r="M3530">
        <f>HYPERLINK("CSG2.html#group39A2", "39A²"), =HYPERLINK("CSG0.html#group6B0", "6B⁰"), =HYPERLINK("CSG5.html#group78B5", "78B⁵"), =HYPERLINK("CSG0.html#group13A0", "13A⁰"), =HYPERLINK("CSG4.html#group39C4", "39C⁴"), =HYPERLINK("CSG0.html#group13C0", "13C⁰"), =HYPERLINK("CSG1.html#group39A1", "39A¹"), =HYPERLINK("CSG0.html#group3A0", "3A⁰"), =HYPERLINK("CSG0.html#group1A0", "1A⁰")</f>
        <v/>
      </c>
      <c r="N3530" t="inlineStr"/>
    </row>
    <row r="3531">
      <c r="A3531" t="inlineStr">
        <is>
          <t>80A¹³</t>
        </is>
      </c>
      <c r="B3531" t="inlineStr"/>
      <c r="C3531" t="inlineStr">
        <is>
          <t>192</t>
        </is>
      </c>
      <c r="D3531" t="inlineStr">
        <is>
          <t>2</t>
        </is>
      </c>
      <c r="E3531" t="inlineStr">
        <is>
          <t>48</t>
        </is>
      </c>
      <c r="F3531" t="inlineStr">
        <is>
          <t>8</t>
        </is>
      </c>
      <c r="G3531" t="inlineStr">
        <is>
          <t>0</t>
        </is>
      </c>
      <c r="H3531" t="inlineStr">
        <is>
          <t>16², 80²</t>
        </is>
      </c>
      <c r="I3531" t="n">
        <v>4</v>
      </c>
      <c r="J3531" t="inlineStr">
        <is>
          <t>8⁴, 32²</t>
        </is>
      </c>
      <c r="K3531">
        <f>HYPERLINK("CSG5.html#group40J5", "40J⁵")</f>
        <v/>
      </c>
      <c r="L3531" t="inlineStr"/>
      <c r="M3531">
        <f>HYPERLINK("CSG3.html#group40A3", "40A³"), =HYPERLINK("CSG0.html#group4A0", "4A⁰"), =HYPERLINK("CSG5.html#group40J5", "40J⁵"), =HYPERLINK("CSG3.html#group40B3", "40B³"), =HYPERLINK("CSG1.html#group20G1", "20G¹"), =HYPERLINK("CSG0.html#group5B0", "5B⁰"), =HYPERLINK("CSG0.html#group8A0", "8A⁰"), =HYPERLINK("CSG0.html#group1A0", "1A⁰"), =HYPERLINK("CSG1.html#group20B1", "20B¹"), =HYPERLINK("CSG0.html#group10B0", "10B⁰")</f>
        <v/>
      </c>
      <c r="N3531" t="inlineStr"/>
    </row>
    <row r="3532">
      <c r="A3532" t="inlineStr">
        <is>
          <t>80B¹³</t>
        </is>
      </c>
      <c r="B3532" t="inlineStr"/>
      <c r="C3532" t="inlineStr">
        <is>
          <t>192</t>
        </is>
      </c>
      <c r="D3532" t="inlineStr">
        <is>
          <t>2</t>
        </is>
      </c>
      <c r="E3532" t="inlineStr">
        <is>
          <t>48</t>
        </is>
      </c>
      <c r="F3532" t="inlineStr">
        <is>
          <t>8</t>
        </is>
      </c>
      <c r="G3532" t="inlineStr">
        <is>
          <t>0</t>
        </is>
      </c>
      <c r="H3532" t="inlineStr">
        <is>
          <t>16², 80²</t>
        </is>
      </c>
      <c r="I3532" t="n">
        <v>4</v>
      </c>
      <c r="J3532" t="inlineStr">
        <is>
          <t>8⁴, 32²</t>
        </is>
      </c>
      <c r="K3532">
        <f>HYPERLINK("CSG5.html#group40J5", "40J⁵"), =HYPERLINK("CSG7.html#group80A7", "80A⁷"), =HYPERLINK("CSG7.html#group80B7", "80B⁷")</f>
        <v/>
      </c>
      <c r="L3532" t="inlineStr"/>
      <c r="M3532">
        <f>HYPERLINK("CSG3.html#group40A3", "40A³"), =HYPERLINK("CSG7.html#group80A7", "80A⁷"), =HYPERLINK("CSG0.html#group16A0", "16A⁰"), =HYPERLINK("CSG7.html#group80B7", "80B⁷"), =HYPERLINK("CSG0.html#group4A0", "4A⁰"), =HYPERLINK("CSG5.html#group40J5", "40J⁵"), =HYPERLINK("CSG3.html#group40B3", "40B³"), =HYPERLINK("CSG1.html#group20G1", "20G¹"), =HYPERLINK("CSG0.html#group8A0", "8A⁰"), =HYPERLINK("CSG0.html#group5B0", "5B⁰"), =HYPERLINK("CSG0.html#group1A0", "1A⁰"), =HYPERLINK("CSG1.html#group20B1", "20B¹"), =HYPERLINK("CSG0.html#group10B0", "10B⁰")</f>
        <v/>
      </c>
      <c r="N3532" t="inlineStr"/>
    </row>
    <row r="3533">
      <c r="A3533" t="inlineStr">
        <is>
          <t>80C¹³</t>
        </is>
      </c>
      <c r="B3533" t="inlineStr"/>
      <c r="C3533" t="inlineStr">
        <is>
          <t>288</t>
        </is>
      </c>
      <c r="D3533" t="inlineStr">
        <is>
          <t>1</t>
        </is>
      </c>
      <c r="E3533" t="inlineStr">
        <is>
          <t>18</t>
        </is>
      </c>
      <c r="F3533" t="inlineStr">
        <is>
          <t>32</t>
        </is>
      </c>
      <c r="G3533" t="inlineStr">
        <is>
          <t>0</t>
        </is>
      </c>
      <c r="H3533" t="inlineStr">
        <is>
          <t>8², 16², 40², 80²</t>
        </is>
      </c>
      <c r="I3533" t="n">
        <v>8</v>
      </c>
      <c r="J3533" t="inlineStr">
        <is>
          <t>1⁶, 4³</t>
        </is>
      </c>
      <c r="K3533">
        <f>HYPERLINK("CSG5.html#group40L5", "40L⁵"), =HYPERLINK("CSG7.html#group80C7", "80C⁷"), =HYPERLINK("CSG7.html#group80D7", "80D⁷")</f>
        <v/>
      </c>
      <c r="L3533" t="inlineStr"/>
      <c r="M3533">
        <f>HYPERLINK("CSG1.html#group20E1", "20E¹"), =HYPERLINK("CSG0.html#group10G0", "10G⁰"), =HYPERLINK("CSG5.html#group40L5", "40L⁵"), =HYPERLINK("CSG0.html#group4C0", "4C⁰"), =HYPERLINK("CSG7.html#group80C7", "80C⁷"), =HYPERLINK("CSG0.html#group8B0", "8B⁰"), =HYPERLINK("CSG0.html#group5B0", "5B⁰"), =HYPERLINK("CSG0.html#group2B0", "2B⁰"), =HYPERLINK("CSG0.html#group1A0", "1A⁰"), =HYPERLINK("CSG0.html#group10B0", "10B⁰"), =HYPERLINK("CSG3.html#group40C3", "40C³"), =HYPERLINK("CSG0.html#group16B0", "16B⁰"), =HYPERLINK("CSG0.html#group20A0", "20A⁰"), =HYPERLINK("CSG7.html#group80D7", "80D⁷"), =HYPERLINK("CSG1.html#group20I1", "20I¹"), =HYPERLINK("CSG0.html#group10C0", "10C⁰"), =HYPERLINK("CSG3.html#group40D3", "40D³")</f>
        <v/>
      </c>
      <c r="N3533" t="inlineStr"/>
    </row>
    <row r="3534">
      <c r="A3534" t="inlineStr">
        <is>
          <t>80D¹³</t>
        </is>
      </c>
      <c r="B3534" t="inlineStr"/>
      <c r="C3534" t="inlineStr">
        <is>
          <t>288</t>
        </is>
      </c>
      <c r="D3534" t="inlineStr">
        <is>
          <t>1</t>
        </is>
      </c>
      <c r="E3534" t="inlineStr">
        <is>
          <t>36</t>
        </is>
      </c>
      <c r="F3534" t="inlineStr">
        <is>
          <t>0</t>
        </is>
      </c>
      <c r="G3534" t="inlineStr">
        <is>
          <t>0</t>
        </is>
      </c>
      <c r="H3534" t="inlineStr">
        <is>
          <t>1⁸, 4², 5⁸, 16², 20², 80²</t>
        </is>
      </c>
      <c r="I3534" t="n">
        <v>24</v>
      </c>
      <c r="J3534" t="inlineStr">
        <is>
          <t>1⁸, 2², 4⁴, 8¹</t>
        </is>
      </c>
      <c r="K3534">
        <f>HYPERLINK("CSG5.html#group40M5", "40M⁵"), =HYPERLINK("CSG7.html#group80K7", "80K⁷")</f>
        <v/>
      </c>
      <c r="L3534" t="inlineStr"/>
      <c r="M3534">
        <f>HYPERLINK("CSG0.html#group5B0", "5B⁰"), =HYPERLINK("CSG0.html#group5D0", "5D⁰"), =HYPERLINK("CSG1.html#group20D1", "20D¹"), =HYPERLINK("CSG0.html#group2B0", "2B⁰"), =HYPERLINK("CSG0.html#group8C0", "8C⁰"), =HYPERLINK("CSG1.html#group20H1", "20H¹"), =HYPERLINK("CSG0.html#group4B0", "4B⁰"), =HYPERLINK("CSG0.html#group1A0", "1A⁰"), =HYPERLINK("CSG0.html#group10F0", "10F⁰"), =HYPERLINK("CSG0.html#group20A0", "20A⁰"), =HYPERLINK("CSG3.html#group40F3", "40F³"), =HYPERLINK("CSG5.html#group40M5", "40M⁵"), =HYPERLINK("CSG0.html#group10C0", "10C⁰"), =HYPERLINK("CSG3.html#group40E3", "40E³"), =HYPERLINK("CSG7.html#group80K7", "80K⁷")</f>
        <v/>
      </c>
      <c r="N3534" t="inlineStr"/>
    </row>
    <row r="3535">
      <c r="A3535" t="inlineStr">
        <is>
          <t>80E¹³</t>
        </is>
      </c>
      <c r="B3535" t="inlineStr"/>
      <c r="C3535" t="inlineStr">
        <is>
          <t>288</t>
        </is>
      </c>
      <c r="D3535" t="inlineStr">
        <is>
          <t>1</t>
        </is>
      </c>
      <c r="E3535" t="inlineStr">
        <is>
          <t>36</t>
        </is>
      </c>
      <c r="F3535" t="inlineStr">
        <is>
          <t>0</t>
        </is>
      </c>
      <c r="G3535" t="inlineStr">
        <is>
          <t>0</t>
        </is>
      </c>
      <c r="H3535" t="inlineStr">
        <is>
          <t>1⁸, 4², 5⁸, 16², 20², 80²</t>
        </is>
      </c>
      <c r="I3535" t="n">
        <v>24</v>
      </c>
      <c r="J3535" t="inlineStr">
        <is>
          <t>1⁸, 2², 4⁴, 8¹</t>
        </is>
      </c>
      <c r="K3535">
        <f>HYPERLINK("CSG5.html#group40M5", "40M⁵"), =HYPERLINK("CSG7.html#group80E7", "80E⁷"), =HYPERLINK("CSG7.html#group80F7", "80F⁷")</f>
        <v/>
      </c>
      <c r="L3535" t="inlineStr"/>
      <c r="M3535">
        <f>HYPERLINK("CSG7.html#group80F7", "80F⁷"), =HYPERLINK("CSG0.html#group5B0", "5B⁰"), =HYPERLINK("CSG0.html#group5D0", "5D⁰"), =HYPERLINK("CSG1.html#group20D1", "20D¹"), =HYPERLINK("CSG0.html#group8C0", "8C⁰"), =HYPERLINK("CSG0.html#group2B0", "2B⁰"), =HYPERLINK("CSG1.html#group20H1", "20H¹"), =HYPERLINK("CSG0.html#group4B0", "4B⁰"), =HYPERLINK("CSG0.html#group1A0", "1A⁰"), =HYPERLINK("CSG0.html#group10F0", "10F⁰"), =HYPERLINK("CSG0.html#group20A0", "20A⁰"), =HYPERLINK("CSG3.html#group40F3", "40F³"), =HYPERLINK("CSG5.html#group40M5", "40M⁵"), =HYPERLINK("CSG0.html#group16C0", "16C⁰"), =HYPERLINK("CSG7.html#group80E7", "80E⁷"), =HYPERLINK("CSG0.html#group10C0", "10C⁰"), =HYPERLINK("CSG3.html#group40E3", "40E³")</f>
        <v/>
      </c>
      <c r="N3535" t="inlineStr"/>
    </row>
    <row r="3536">
      <c r="A3536" t="inlineStr">
        <is>
          <t>80F¹³</t>
        </is>
      </c>
      <c r="B3536" t="inlineStr"/>
      <c r="C3536" t="inlineStr">
        <is>
          <t>288</t>
        </is>
      </c>
      <c r="D3536" t="inlineStr">
        <is>
          <t>1</t>
        </is>
      </c>
      <c r="E3536" t="inlineStr">
        <is>
          <t>72</t>
        </is>
      </c>
      <c r="F3536" t="inlineStr">
        <is>
          <t>0</t>
        </is>
      </c>
      <c r="G3536" t="inlineStr">
        <is>
          <t>0</t>
        </is>
      </c>
      <c r="H3536" t="inlineStr">
        <is>
          <t>1⁴, 2⁶, 5⁴, 10⁶, 16², 80²</t>
        </is>
      </c>
      <c r="I3536" t="n">
        <v>24</v>
      </c>
      <c r="J3536" t="inlineStr">
        <is>
          <t>1⁸, 2⁴, 4⁶, 8², 16¹</t>
        </is>
      </c>
      <c r="K3536">
        <f>HYPERLINK("CSG5.html#group40M5", "40M⁵")</f>
        <v/>
      </c>
      <c r="L3536" t="inlineStr"/>
      <c r="M3536">
        <f>HYPERLINK("CSG0.html#group20A0", "20A⁰"), =HYPERLINK("CSG3.html#group40F3", "40F³"), =HYPERLINK("CSG5.html#group40M5", "40M⁵"), =HYPERLINK("CSG0.html#group5B0", "5B⁰"), =HYPERLINK("CSG0.html#group10C0", "10C⁰"), =HYPERLINK("CSG0.html#group5D0", "5D⁰"), =HYPERLINK("CSG3.html#group40E3", "40E³"), =HYPERLINK("CSG1.html#group20D1", "20D¹"), =HYPERLINK("CSG0.html#group8C0", "8C⁰"), =HYPERLINK("CSG1.html#group20H1", "20H¹"), =HYPERLINK("CSG0.html#group2B0", "2B⁰"), =HYPERLINK("CSG0.html#group4B0", "4B⁰"), =HYPERLINK("CSG0.html#group1A0", "1A⁰"), =HYPERLINK("CSG0.html#group10F0", "10F⁰")</f>
        <v/>
      </c>
      <c r="N3536" t="inlineStr"/>
    </row>
    <row r="3537">
      <c r="A3537" t="inlineStr">
        <is>
          <t>80G¹³</t>
        </is>
      </c>
      <c r="B3537" t="inlineStr"/>
      <c r="C3537" t="inlineStr">
        <is>
          <t>288</t>
        </is>
      </c>
      <c r="D3537" t="inlineStr">
        <is>
          <t>1</t>
        </is>
      </c>
      <c r="E3537" t="inlineStr">
        <is>
          <t>72</t>
        </is>
      </c>
      <c r="F3537" t="inlineStr">
        <is>
          <t>0</t>
        </is>
      </c>
      <c r="G3537" t="inlineStr">
        <is>
          <t>0</t>
        </is>
      </c>
      <c r="H3537" t="inlineStr">
        <is>
          <t>1⁴, 2⁶, 5⁴, 10⁶, 16², 80²</t>
        </is>
      </c>
      <c r="I3537" t="n">
        <v>24</v>
      </c>
      <c r="J3537" t="inlineStr">
        <is>
          <t>1⁸, 2⁴, 4⁶, 8², 16¹</t>
        </is>
      </c>
      <c r="K3537">
        <f>HYPERLINK("CSG5.html#group40M5", "40M⁵"), =HYPERLINK("CSG7.html#group80G7", "80G⁷"), =HYPERLINK("CSG7.html#group80H7", "80H⁷")</f>
        <v/>
      </c>
      <c r="L3537" t="inlineStr"/>
      <c r="M3537">
        <f>HYPERLINK("CSG7.html#group80H7", "80H⁷"), =HYPERLINK("CSG0.html#group5B0", "5B⁰"), =HYPERLINK("CSG0.html#group5D0", "5D⁰"), =HYPERLINK("CSG1.html#group20D1", "20D¹"), =HYPERLINK("CSG0.html#group8C0", "8C⁰"), =HYPERLINK("CSG1.html#group20H1", "20H¹"), =HYPERLINK("CSG7.html#group80G7", "80G⁷"), =HYPERLINK("CSG0.html#group2B0", "2B⁰"), =HYPERLINK("CSG0.html#group4B0", "4B⁰"), =HYPERLINK("CSG0.html#group1A0", "1A⁰"), =HYPERLINK("CSG0.html#group10F0", "10F⁰"), =HYPERLINK("CSG0.html#group20A0", "20A⁰"), =HYPERLINK("CSG3.html#group40F3", "40F³"), =HYPERLINK("CSG5.html#group40M5", "40M⁵"), =HYPERLINK("CSG0.html#group16D0", "16D⁰"), =HYPERLINK("CSG0.html#group10C0", "10C⁰"), =HYPERLINK("CSG3.html#group40E3", "40E³")</f>
        <v/>
      </c>
      <c r="N3537" t="inlineStr"/>
    </row>
    <row r="3538">
      <c r="A3538" t="inlineStr">
        <is>
          <t>80H¹³</t>
        </is>
      </c>
      <c r="B3538" t="inlineStr"/>
      <c r="C3538" t="inlineStr">
        <is>
          <t>288</t>
        </is>
      </c>
      <c r="D3538" t="inlineStr">
        <is>
          <t>1</t>
        </is>
      </c>
      <c r="E3538" t="inlineStr">
        <is>
          <t>72</t>
        </is>
      </c>
      <c r="F3538" t="inlineStr">
        <is>
          <t>8</t>
        </is>
      </c>
      <c r="G3538" t="inlineStr">
        <is>
          <t>0</t>
        </is>
      </c>
      <c r="H3538" t="inlineStr">
        <is>
          <t>2⁸, 10⁸, 16², 80²</t>
        </is>
      </c>
      <c r="I3538" t="n">
        <v>20</v>
      </c>
      <c r="J3538" t="inlineStr">
        <is>
          <t>1⁴, 2², 4⁶, 8¹, 16²</t>
        </is>
      </c>
      <c r="K3538">
        <f>HYPERLINK("CSG5.html#group40N5", "40N⁵")</f>
        <v/>
      </c>
      <c r="L3538" t="inlineStr"/>
      <c r="M3538">
        <f>HYPERLINK("CSG1.html#group20E1", "20E¹"), =HYPERLINK("CSG0.html#group20A0", "20A⁰"), =HYPERLINK("CSG0.html#group10G0", "10G⁰"), =HYPERLINK("CSG1.html#group20I1", "20I¹"), =HYPERLINK("CSG3.html#group40H3", "40H³"), =HYPERLINK("CSG0.html#group8D0", "8D⁰"), =HYPERLINK("CSG0.html#group4C0", "4C⁰"), =HYPERLINK("CSG0.html#group5B0", "5B⁰"), =HYPERLINK("CSG0.html#group10C0", "10C⁰"), =HYPERLINK("CSG0.html#group2B0", "2B⁰"), =HYPERLINK("CSG5.html#group40N5", "40N⁵"), =HYPERLINK("CSG0.html#group1A0", "1A⁰"), =HYPERLINK("CSG3.html#group40G3", "40G³"), =HYPERLINK("CSG0.html#group10B0", "10B⁰")</f>
        <v/>
      </c>
      <c r="N3538" t="inlineStr"/>
    </row>
    <row r="3539">
      <c r="A3539" t="inlineStr">
        <is>
          <t>80I¹³</t>
        </is>
      </c>
      <c r="B3539" t="inlineStr"/>
      <c r="C3539" t="inlineStr">
        <is>
          <t>288</t>
        </is>
      </c>
      <c r="D3539" t="inlineStr">
        <is>
          <t>1</t>
        </is>
      </c>
      <c r="E3539" t="inlineStr">
        <is>
          <t>72</t>
        </is>
      </c>
      <c r="F3539" t="inlineStr">
        <is>
          <t>8</t>
        </is>
      </c>
      <c r="G3539" t="inlineStr">
        <is>
          <t>0</t>
        </is>
      </c>
      <c r="H3539" t="inlineStr">
        <is>
          <t>2⁸, 10⁸, 16², 80²</t>
        </is>
      </c>
      <c r="I3539" t="n">
        <v>20</v>
      </c>
      <c r="J3539" t="inlineStr">
        <is>
          <t>1⁴, 2², 4⁶, 8¹, 16²</t>
        </is>
      </c>
      <c r="K3539">
        <f>HYPERLINK("CSG5.html#group40N5", "40N⁵"), =HYPERLINK("CSG7.html#group80I7", "80I⁷"), =HYPERLINK("CSG7.html#group80J7", "80J⁷")</f>
        <v/>
      </c>
      <c r="L3539" t="inlineStr"/>
      <c r="M3539">
        <f>HYPERLINK("CSG1.html#group20E1", "20E¹"), =HYPERLINK("CSG0.html#group10G0", "10G⁰"), =HYPERLINK("CSG3.html#group40H3", "40H³"), =HYPERLINK("CSG0.html#group8D0", "8D⁰"), =HYPERLINK("CSG0.html#group4C0", "4C⁰"), =HYPERLINK("CSG0.html#group5B0", "5B⁰"), =HYPERLINK("CSG7.html#group80J7", "80J⁷"), =HYPERLINK("CSG0.html#group2B0", "2B⁰"), =HYPERLINK("CSG0.html#group1A0", "1A⁰"), =HYPERLINK("CSG0.html#group10B0", "10B⁰"), =HYPERLINK("CSG0.html#group16E0", "16E⁰"), =HYPERLINK("CSG0.html#group20A0", "20A⁰"), =HYPERLINK("CSG1.html#group20I1", "20I¹"), =HYPERLINK("CSG7.html#group80I7", "80I⁷"), =HYPERLINK("CSG0.html#group10C0", "10C⁰"), =HYPERLINK("CSG5.html#group40N5", "40N⁵"), =HYPERLINK("CSG3.html#group40G3", "40G³")</f>
        <v/>
      </c>
      <c r="N3539" t="inlineStr"/>
    </row>
    <row r="3540">
      <c r="A3540" t="inlineStr">
        <is>
          <t>81A¹³</t>
        </is>
      </c>
      <c r="B3540" t="inlineStr"/>
      <c r="C3540" t="inlineStr">
        <is>
          <t>324</t>
        </is>
      </c>
      <c r="D3540" t="inlineStr">
        <is>
          <t>2</t>
        </is>
      </c>
      <c r="E3540" t="inlineStr">
        <is>
          <t>36</t>
        </is>
      </c>
      <c r="F3540" t="inlineStr">
        <is>
          <t>0</t>
        </is>
      </c>
      <c r="G3540" t="inlineStr">
        <is>
          <t>0</t>
        </is>
      </c>
      <c r="H3540" t="inlineStr">
        <is>
          <t>1⁹, 3¹⁵, 9³, 81³</t>
        </is>
      </c>
      <c r="I3540" t="n">
        <v>30</v>
      </c>
      <c r="J3540" t="inlineStr">
        <is>
          <t>2⁶, 6⁴, 18²</t>
        </is>
      </c>
      <c r="K3540">
        <f>HYPERLINK("CSG1.html#group27C1", "27C¹")</f>
        <v/>
      </c>
      <c r="L3540" t="inlineStr"/>
      <c r="M3540">
        <f>HYPERLINK("CSG0.html#group9I0", "9I⁰"), =HYPERLINK("CSG0.html#group27A0", "27A⁰"), =HYPERLINK("CSG0.html#group3B0", "3B⁰"), =HYPERLINK("CSG0.html#group9B0", "9B⁰"), =HYPERLINK("CSG1.html#group27A1", "27A¹"), =HYPERLINK("CSG1.html#group27C1", "27C¹"), =HYPERLINK("CSG0.html#group1A0", "1A⁰")</f>
        <v/>
      </c>
      <c r="N3540" t="inlineStr"/>
    </row>
    <row r="3541">
      <c r="A3541" t="inlineStr">
        <is>
          <t>82A¹³</t>
        </is>
      </c>
      <c r="B3541" t="inlineStr"/>
      <c r="C3541" t="inlineStr">
        <is>
          <t>168</t>
        </is>
      </c>
      <c r="D3541" t="inlineStr">
        <is>
          <t>1</t>
        </is>
      </c>
      <c r="E3541" t="inlineStr">
        <is>
          <t>42</t>
        </is>
      </c>
      <c r="F3541" t="inlineStr">
        <is>
          <t>0</t>
        </is>
      </c>
      <c r="G3541" t="inlineStr">
        <is>
          <t>0</t>
        </is>
      </c>
      <c r="H3541" t="inlineStr">
        <is>
          <t>2², 82²</t>
        </is>
      </c>
      <c r="I3541" t="n">
        <v>4</v>
      </c>
      <c r="J3541" t="inlineStr">
        <is>
          <t>1², 40¹</t>
        </is>
      </c>
      <c r="K3541">
        <f>HYPERLINK("CSG5.html#group41A5", "41A⁵"), =HYPERLINK("CSG7.html#group82A7", "82A⁷"), =HYPERLINK("CSG7.html#group82B7", "82B⁷")</f>
        <v/>
      </c>
      <c r="L3541" t="inlineStr"/>
      <c r="M3541">
        <f>HYPERLINK("CSG0.html#group2A0", "2A⁰"), =HYPERLINK("CSG7.html#group82A7", "82A⁷"), =HYPERLINK("CSG3.html#group41A3", "41A³"), =HYPERLINK("CSG5.html#group41A5", "41A⁵"), =HYPERLINK("CSG0.html#group1A0", "1A⁰"), =HYPERLINK("CSG7.html#group82B7", "82B⁷")</f>
        <v/>
      </c>
      <c r="N3541" t="inlineStr"/>
    </row>
    <row r="3542">
      <c r="A3542" t="inlineStr">
        <is>
          <t>84A¹³</t>
        </is>
      </c>
      <c r="B3542" t="inlineStr"/>
      <c r="C3542" t="inlineStr">
        <is>
          <t>168</t>
        </is>
      </c>
      <c r="D3542" t="inlineStr">
        <is>
          <t>2</t>
        </is>
      </c>
      <c r="E3542" t="inlineStr">
        <is>
          <t>56</t>
        </is>
      </c>
      <c r="F3542" t="inlineStr">
        <is>
          <t>0</t>
        </is>
      </c>
      <c r="G3542" t="inlineStr">
        <is>
          <t>3</t>
        </is>
      </c>
      <c r="H3542" t="inlineStr">
        <is>
          <t>84²</t>
        </is>
      </c>
      <c r="I3542" t="n">
        <v>2</v>
      </c>
      <c r="J3542" t="inlineStr">
        <is>
          <t>8², 24⁴</t>
        </is>
      </c>
      <c r="K3542">
        <f>HYPERLINK("CSG1.html#group12E1", "12E¹"), =HYPERLINK("CSG3.html#group42A3", "42A³"), =HYPERLINK("CSG4.html#group28A4", "28A⁴")</f>
        <v/>
      </c>
      <c r="L3542" t="inlineStr"/>
      <c r="M3542">
        <f>HYPERLINK("CSG0.html#group2A0", "2A⁰"), =HYPERLINK("CSG0.html#group6A0", "6A⁰"), =HYPERLINK("CSG0.html#group4A0", "4A⁰"), =HYPERLINK("CSG3.html#group42A3", "42A³"), =HYPERLINK("CSG4.html#group28A4", "28A⁴"), =HYPERLINK("CSG1.html#group14A1", "14A¹"), =HYPERLINK("CSG1.html#group12E1", "12E¹"), =HYPERLINK("CSG0.html#group4D0", "4D⁰"), =HYPERLINK("CSG1.html#group28A1", "28A¹"), =HYPERLINK("CSG0.html#group1A0", "1A⁰"), =HYPERLINK("CSG0.html#group7A0", "7A⁰")</f>
        <v/>
      </c>
      <c r="N3542" t="inlineStr"/>
    </row>
    <row r="3543">
      <c r="A3543" t="inlineStr">
        <is>
          <t>84B¹³</t>
        </is>
      </c>
      <c r="B3543" t="inlineStr"/>
      <c r="C3543" t="inlineStr">
        <is>
          <t>168</t>
        </is>
      </c>
      <c r="D3543" t="inlineStr">
        <is>
          <t>2</t>
        </is>
      </c>
      <c r="E3543" t="inlineStr">
        <is>
          <t>84</t>
        </is>
      </c>
      <c r="F3543" t="inlineStr">
        <is>
          <t>0</t>
        </is>
      </c>
      <c r="G3543" t="inlineStr">
        <is>
          <t>0</t>
        </is>
      </c>
      <c r="H3543" t="inlineStr">
        <is>
          <t>14¹, 28¹, 42¹, 84¹</t>
        </is>
      </c>
      <c r="I3543" t="n">
        <v>4</v>
      </c>
      <c r="J3543" t="inlineStr">
        <is>
          <t>2⁶, 4³, 6¹², 12⁶</t>
        </is>
      </c>
      <c r="K3543">
        <f>HYPERLINK("CSG3.html#group28B3", "28B³"), =HYPERLINK("CSG6.html#group42C6", "42C⁶")</f>
        <v/>
      </c>
      <c r="L3543" t="inlineStr"/>
      <c r="M3543">
        <f>HYPERLINK("CSG0.html#group3B0", "3B⁰"), =HYPERLINK("CSG2.html#group21B2", "21B²"), =HYPERLINK("CSG1.html#group14B1", "14B¹"), =HYPERLINK("CSG6.html#group42C6", "42C⁶"), =HYPERLINK("CSG0.html#group1A0", "1A⁰"), =HYPERLINK("CSG0.html#group2B0", "2B⁰"), =HYPERLINK("CSG3.html#group28B3", "28B³"), =HYPERLINK("CSG0.html#group6F0", "6F⁰"), =HYPERLINK("CSG0.html#group7A0", "7A⁰")</f>
        <v/>
      </c>
      <c r="N3543" t="inlineStr"/>
    </row>
    <row r="3544">
      <c r="A3544" t="inlineStr">
        <is>
          <t>84C¹³</t>
        </is>
      </c>
      <c r="B3544" t="inlineStr"/>
      <c r="C3544" t="inlineStr">
        <is>
          <t>168</t>
        </is>
      </c>
      <c r="D3544" t="inlineStr">
        <is>
          <t>2</t>
        </is>
      </c>
      <c r="E3544" t="inlineStr">
        <is>
          <t>84</t>
        </is>
      </c>
      <c r="F3544" t="inlineStr">
        <is>
          <t>0</t>
        </is>
      </c>
      <c r="G3544" t="inlineStr">
        <is>
          <t>0</t>
        </is>
      </c>
      <c r="H3544" t="inlineStr">
        <is>
          <t>14¹, 28¹, 42¹, 84¹</t>
        </is>
      </c>
      <c r="I3544" t="n">
        <v>4</v>
      </c>
      <c r="J3544" t="inlineStr">
        <is>
          <t>2⁶, 4³, 6¹², 12⁶</t>
        </is>
      </c>
      <c r="K3544">
        <f>HYPERLINK("CSG1.html#group12F1", "12F¹"), =HYPERLINK("CSG2.html#group28C2", "28C²"), =HYPERLINK("CSG6.html#group42C6", "42C⁶")</f>
        <v/>
      </c>
      <c r="L3544" t="inlineStr"/>
      <c r="M3544">
        <f>HYPERLINK("CSG2.html#group28C2", "28C²"), =HYPERLINK("CSG0.html#group3B0", "3B⁰"), =HYPERLINK("CSG2.html#group21B2", "21B²"), =HYPERLINK("CSG1.html#group14B1", "14B¹"), =HYPERLINK("CSG6.html#group42C6", "42C⁶"), =HYPERLINK("CSG1.html#group12F1", "12F¹"), =HYPERLINK("CSG0.html#group4C0", "4C⁰"), =HYPERLINK("CSG0.html#group6F0", "6F⁰"), =HYPERLINK("CSG0.html#group2B0", "2B⁰"), =HYPERLINK("CSG0.html#group1A0", "1A⁰"), =HYPERLINK("CSG0.html#group7A0", "7A⁰")</f>
        <v/>
      </c>
      <c r="N3544" t="inlineStr"/>
    </row>
    <row r="3545">
      <c r="A3545" t="inlineStr">
        <is>
          <t>84D¹³</t>
        </is>
      </c>
      <c r="B3545" t="inlineStr"/>
      <c r="C3545" t="inlineStr">
        <is>
          <t>168</t>
        </is>
      </c>
      <c r="D3545" t="inlineStr">
        <is>
          <t>2</t>
        </is>
      </c>
      <c r="E3545" t="inlineStr">
        <is>
          <t>168</t>
        </is>
      </c>
      <c r="F3545" t="inlineStr">
        <is>
          <t>0</t>
        </is>
      </c>
      <c r="G3545" t="inlineStr">
        <is>
          <t>3</t>
        </is>
      </c>
      <c r="H3545" t="inlineStr">
        <is>
          <t>84²</t>
        </is>
      </c>
      <c r="I3545" t="n">
        <v>2</v>
      </c>
      <c r="J3545" t="inlineStr">
        <is>
          <t>8⁶, 24¹²</t>
        </is>
      </c>
      <c r="K3545">
        <f>HYPERLINK("CSG1.html#group12H1", "12H¹"), =HYPERLINK("CSG3.html#group42A3", "42A³")</f>
        <v/>
      </c>
      <c r="L3545" t="inlineStr"/>
      <c r="M3545">
        <f>HYPERLINK("CSG0.html#group2A0", "2A⁰"), =HYPERLINK("CSG1.html#group12H1", "12H¹"), =HYPERLINK("CSG0.html#group6A0", "6A⁰"), =HYPERLINK("CSG0.html#group1A0", "1A⁰"), =HYPERLINK("CSG1.html#group14A1", "14A¹"), =HYPERLINK("CSG3.html#group42A3", "42A³"), =HYPERLINK("CSG0.html#group7A0", "7A⁰")</f>
        <v/>
      </c>
      <c r="N3545" t="inlineStr"/>
    </row>
    <row r="3546">
      <c r="A3546" t="inlineStr">
        <is>
          <t>84E¹³</t>
        </is>
      </c>
      <c r="B3546" t="inlineStr"/>
      <c r="C3546" t="inlineStr">
        <is>
          <t>192</t>
        </is>
      </c>
      <c r="D3546" t="inlineStr">
        <is>
          <t>1</t>
        </is>
      </c>
      <c r="E3546" t="inlineStr">
        <is>
          <t>64</t>
        </is>
      </c>
      <c r="F3546" t="inlineStr">
        <is>
          <t>0</t>
        </is>
      </c>
      <c r="G3546" t="inlineStr">
        <is>
          <t>6</t>
        </is>
      </c>
      <c r="H3546" t="inlineStr">
        <is>
          <t>12², 84²</t>
        </is>
      </c>
      <c r="I3546" t="n">
        <v>4</v>
      </c>
      <c r="J3546" t="inlineStr">
        <is>
          <t>4⁴, 24²</t>
        </is>
      </c>
      <c r="K3546">
        <f>HYPERLINK("CSG1.html#group12E1", "12E¹"), =HYPERLINK("CSG2.html#group42B2", "42B²"), =HYPERLINK("CSG3.html#group28E3", "28E³")</f>
        <v/>
      </c>
      <c r="L3546" t="inlineStr"/>
      <c r="M3546">
        <f>HYPERLINK("CSG2.html#group42B2", "42B²"), =HYPERLINK("CSG0.html#group2A0", "2A⁰"), =HYPERLINK("CSG0.html#group6A0", "6A⁰"), =HYPERLINK("CSG0.html#group7B0", "7B⁰"), =HYPERLINK("CSG0.html#group4A0", "4A⁰"), =HYPERLINK("CSG0.html#group4D0", "4D⁰"), =HYPERLINK("CSG1.html#group12E1", "12E¹"), =HYPERLINK("CSG0.html#group14B0", "14B⁰"), =HYPERLINK("CSG3.html#group28E3", "28E³"), =HYPERLINK("CSG0.html#group1A0", "1A⁰"), =HYPERLINK("CSG2.html#group28A2", "28A²")</f>
        <v/>
      </c>
      <c r="N3546" t="inlineStr"/>
    </row>
    <row r="3547">
      <c r="A3547" t="inlineStr">
        <is>
          <t>84F¹³</t>
        </is>
      </c>
      <c r="B3547" t="inlineStr"/>
      <c r="C3547" t="inlineStr">
        <is>
          <t>192</t>
        </is>
      </c>
      <c r="D3547" t="inlineStr">
        <is>
          <t>1</t>
        </is>
      </c>
      <c r="E3547" t="inlineStr">
        <is>
          <t>96</t>
        </is>
      </c>
      <c r="F3547" t="inlineStr">
        <is>
          <t>0</t>
        </is>
      </c>
      <c r="G3547" t="inlineStr">
        <is>
          <t>0</t>
        </is>
      </c>
      <c r="H3547" t="inlineStr">
        <is>
          <t>2¹, 4¹, 6¹, 12¹, 14¹, 28¹, 42¹, 84¹</t>
        </is>
      </c>
      <c r="I3547" t="n">
        <v>8</v>
      </c>
      <c r="J3547" t="inlineStr">
        <is>
          <t>1¹², 2⁶, 6⁶, 12³</t>
        </is>
      </c>
      <c r="K3547">
        <f>HYPERLINK("CSG5.html#group42G5", "42G⁵")</f>
        <v/>
      </c>
      <c r="L3547" t="inlineStr"/>
      <c r="M3547">
        <f>HYPERLINK("CSG0.html#group3B0", "3B⁰"), =HYPERLINK("CSG1.html#group21B1", "21B¹"), =HYPERLINK("CSG0.html#group7B0", "7B⁰"), =HYPERLINK("CSG1.html#group14C1", "14C¹"), =HYPERLINK("CSG0.html#group1A0", "1A⁰"), =HYPERLINK("CSG0.html#group2B0", "2B⁰"), =HYPERLINK("CSG5.html#group42G5", "42G⁵"), =HYPERLINK("CSG0.html#group6F0", "6F⁰")</f>
        <v/>
      </c>
      <c r="N3547" t="inlineStr"/>
    </row>
    <row r="3548">
      <c r="A3548" t="inlineStr">
        <is>
          <t>84G¹³</t>
        </is>
      </c>
      <c r="B3548" t="inlineStr"/>
      <c r="C3548" t="inlineStr">
        <is>
          <t>192</t>
        </is>
      </c>
      <c r="D3548" t="inlineStr">
        <is>
          <t>1</t>
        </is>
      </c>
      <c r="E3548" t="inlineStr">
        <is>
          <t>96</t>
        </is>
      </c>
      <c r="F3548" t="inlineStr">
        <is>
          <t>0</t>
        </is>
      </c>
      <c r="G3548" t="inlineStr">
        <is>
          <t>0</t>
        </is>
      </c>
      <c r="H3548" t="inlineStr">
        <is>
          <t>2¹, 4¹, 6¹, 12¹, 14¹, 28¹, 42¹, 84¹</t>
        </is>
      </c>
      <c r="I3548" t="n">
        <v>8</v>
      </c>
      <c r="J3548" t="inlineStr">
        <is>
          <t>1¹², 2⁶, 6⁶, 12³</t>
        </is>
      </c>
      <c r="K3548">
        <f>HYPERLINK("CSG1.html#group12F1", "12F¹"), =HYPERLINK("CSG3.html#group28C3", "28C³"), =HYPERLINK("CSG5.html#group42G5", "42G⁵")</f>
        <v/>
      </c>
      <c r="L3548" t="inlineStr"/>
      <c r="M3548">
        <f>HYPERLINK("CSG0.html#group3B0", "3B⁰"), =HYPERLINK("CSG1.html#group21B1", "21B¹"), =HYPERLINK("CSG1.html#group12F1", "12F¹"), =HYPERLINK("CSG0.html#group7B0", "7B⁰"), =HYPERLINK("CSG0.html#group4C0", "4C⁰"), =HYPERLINK("CSG5.html#group42G5", "42G⁵"), =HYPERLINK("CSG1.html#group14C1", "14C¹"), =HYPERLINK("CSG0.html#group6F0", "6F⁰"), =HYPERLINK("CSG0.html#group2B0", "2B⁰"), =HYPERLINK("CSG3.html#group28C3", "28C³"), =HYPERLINK("CSG0.html#group1A0", "1A⁰")</f>
        <v/>
      </c>
      <c r="N3548" t="inlineStr"/>
    </row>
    <row r="3549">
      <c r="A3549" t="inlineStr">
        <is>
          <t>84H¹³</t>
        </is>
      </c>
      <c r="B3549" t="inlineStr"/>
      <c r="C3549" t="inlineStr">
        <is>
          <t>192</t>
        </is>
      </c>
      <c r="D3549" t="inlineStr">
        <is>
          <t>1</t>
        </is>
      </c>
      <c r="E3549" t="inlineStr">
        <is>
          <t>192</t>
        </is>
      </c>
      <c r="F3549" t="inlineStr">
        <is>
          <t>0</t>
        </is>
      </c>
      <c r="G3549" t="inlineStr">
        <is>
          <t>6</t>
        </is>
      </c>
      <c r="H3549" t="inlineStr">
        <is>
          <t>12², 84²</t>
        </is>
      </c>
      <c r="I3549" t="n">
        <v>4</v>
      </c>
      <c r="J3549" t="inlineStr">
        <is>
          <t>4¹², 24⁶</t>
        </is>
      </c>
      <c r="K3549">
        <f>HYPERLINK("CSG1.html#group12H1", "12H¹"), =HYPERLINK("CSG2.html#group42B2", "42B²")</f>
        <v/>
      </c>
      <c r="L3549" t="inlineStr"/>
      <c r="M3549">
        <f>HYPERLINK("CSG2.html#group42B2", "42B²"), =HYPERLINK("CSG0.html#group2A0", "2A⁰"), =HYPERLINK("CSG1.html#group12H1", "12H¹"), =HYPERLINK("CSG0.html#group6A0", "6A⁰"), =HYPERLINK("CSG0.html#group1A0", "1A⁰"), =HYPERLINK("CSG0.html#group7B0", "7B⁰"), =HYPERLINK("CSG0.html#group14B0", "14B⁰")</f>
        <v/>
      </c>
      <c r="N3549" t="inlineStr"/>
    </row>
    <row r="3550">
      <c r="A3550" t="inlineStr">
        <is>
          <t>84I¹³</t>
        </is>
      </c>
      <c r="B3550" t="inlineStr"/>
      <c r="C3550" t="inlineStr">
        <is>
          <t>192</t>
        </is>
      </c>
      <c r="D3550" t="inlineStr">
        <is>
          <t>2</t>
        </is>
      </c>
      <c r="E3550" t="inlineStr">
        <is>
          <t>32</t>
        </is>
      </c>
      <c r="F3550" t="inlineStr">
        <is>
          <t>0</t>
        </is>
      </c>
      <c r="G3550" t="inlineStr">
        <is>
          <t>6</t>
        </is>
      </c>
      <c r="H3550" t="inlineStr">
        <is>
          <t>12², 84²</t>
        </is>
      </c>
      <c r="I3550" t="n">
        <v>4</v>
      </c>
      <c r="J3550" t="inlineStr">
        <is>
          <t>4⁴, 24²</t>
        </is>
      </c>
      <c r="K3550">
        <f>HYPERLINK("CSG2.html#group42C2", "42C²"), =HYPERLINK("CSG3.html#group28E3", "28E³"), =HYPERLINK("CSG7.html#group84A7", "84A⁷")</f>
        <v/>
      </c>
      <c r="L3550" t="inlineStr"/>
      <c r="M3550">
        <f>HYPERLINK("CSG0.html#group2A0", "2A⁰"), =HYPERLINK("CSG0.html#group7B0", "7B⁰"), =HYPERLINK("CSG0.html#group4A0", "4A⁰"), =HYPERLINK("CSG0.html#group4D0", "4D⁰"), =HYPERLINK("CSG0.html#group14B0", "14B⁰"), =HYPERLINK("CSG2.html#group42C2", "42C²"), =HYPERLINK("CSG7.html#group84A7", "84A⁷"), =HYPERLINK("CSG3.html#group28E3", "28E³"), =HYPERLINK("CSG0.html#group1A0", "1A⁰"), =HYPERLINK("CSG2.html#group28A2", "28A²"), =HYPERLINK("CSG1.html#group21A1", "21A¹")</f>
        <v/>
      </c>
      <c r="N3550" t="inlineStr"/>
    </row>
    <row r="3551">
      <c r="A3551" t="inlineStr">
        <is>
          <t>84J¹³</t>
        </is>
      </c>
      <c r="B3551" t="inlineStr"/>
      <c r="C3551" t="inlineStr">
        <is>
          <t>252</t>
        </is>
      </c>
      <c r="D3551" t="inlineStr">
        <is>
          <t>1</t>
        </is>
      </c>
      <c r="E3551" t="inlineStr">
        <is>
          <t>84</t>
        </is>
      </c>
      <c r="F3551" t="inlineStr">
        <is>
          <t>30</t>
        </is>
      </c>
      <c r="G3551" t="inlineStr">
        <is>
          <t>0</t>
        </is>
      </c>
      <c r="H3551" t="inlineStr">
        <is>
          <t>84³</t>
        </is>
      </c>
      <c r="I3551" t="n">
        <v>3</v>
      </c>
      <c r="J3551" t="inlineStr">
        <is>
          <t>6², 12⁶</t>
        </is>
      </c>
      <c r="K3551">
        <f>HYPERLINK("CSG1.html#group21E1", "21E¹"), =HYPERLINK("CSG3.html#group84A3", "84A³"), =HYPERLINK("CSG4.html#group28B4", "28B⁴")</f>
        <v/>
      </c>
      <c r="L3551" t="inlineStr"/>
      <c r="M3551">
        <f>HYPERLINK("CSG3.html#group84A3", "84A³"), =HYPERLINK("CSG0.html#group12A0", "12A⁰"), =HYPERLINK("CSG0.html#group7D0", "7D⁰"), =HYPERLINK("CSG1.html#group21E1", "21E¹"), =HYPERLINK("CSG0.html#group4A0", "4A⁰"), =HYPERLINK("CSG0.html#group21A0", "21A⁰"), =HYPERLINK("CSG4.html#group28B4", "28B⁴"), =HYPERLINK("CSG0.html#group3A0", "3A⁰"), =HYPERLINK("CSG1.html#group28A1", "28A¹"), =HYPERLINK("CSG0.html#group1A0", "1A⁰"), =HYPERLINK("CSG0.html#group7A0", "7A⁰")</f>
        <v/>
      </c>
      <c r="N3551" t="inlineStr"/>
    </row>
    <row r="3552">
      <c r="A3552" t="inlineStr">
        <is>
          <t>84K¹³</t>
        </is>
      </c>
      <c r="B3552" t="inlineStr"/>
      <c r="C3552" t="inlineStr">
        <is>
          <t>256</t>
        </is>
      </c>
      <c r="D3552" t="inlineStr">
        <is>
          <t>1</t>
        </is>
      </c>
      <c r="E3552" t="inlineStr">
        <is>
          <t>32</t>
        </is>
      </c>
      <c r="F3552" t="inlineStr">
        <is>
          <t>0</t>
        </is>
      </c>
      <c r="G3552" t="inlineStr">
        <is>
          <t>16</t>
        </is>
      </c>
      <c r="H3552" t="inlineStr">
        <is>
          <t>4², 12², 28², 84²</t>
        </is>
      </c>
      <c r="I3552" t="n">
        <v>8</v>
      </c>
      <c r="J3552" t="inlineStr">
        <is>
          <t>1⁴, 2², 6², 12¹</t>
        </is>
      </c>
      <c r="K3552">
        <f>HYPERLINK("CSG5.html#group42I5", "42I⁵"), =HYPERLINK("CSG7.html#group84D7", "84D⁷"), =HYPERLINK("CSG7.html#group84E7", "84E⁷")</f>
        <v/>
      </c>
      <c r="L3552" t="inlineStr"/>
      <c r="M3552">
        <f>HYPERLINK("CSG0.html#group3B0", "3B⁰"), =HYPERLINK("CSG5.html#group42I5", "42I⁵"), =HYPERLINK("CSG0.html#group2A0", "2A⁰"), =HYPERLINK("CSG1.html#group21B1", "21B¹"), =HYPERLINK("CSG0.html#group28A0", "28A⁰"), =HYPERLINK("CSG0.html#group7B0", "7B⁰"), =HYPERLINK("CSG3.html#group42E3", "42E³"), =HYPERLINK("CSG0.html#group6C0", "6C⁰"), =HYPERLINK("CSG0.html#group14B0", "14B⁰"), =HYPERLINK("CSG3.html#group42D3", "42D³"), =HYPERLINK("CSG7.html#group84E7", "84E⁷"), =HYPERLINK("CSG7.html#group84D7", "84D⁷"), =HYPERLINK("CSG0.html#group1A0", "1A⁰"), =HYPERLINK("CSG1.html#group21F1", "21F¹"), =HYPERLINK("CSG0.html#group12B0", "12B⁰")</f>
        <v/>
      </c>
      <c r="N3552" t="inlineStr"/>
    </row>
    <row r="3553">
      <c r="A3553" t="inlineStr">
        <is>
          <t>85A¹³</t>
        </is>
      </c>
      <c r="B3553" t="inlineStr"/>
      <c r="C3553" t="inlineStr">
        <is>
          <t>180</t>
        </is>
      </c>
      <c r="D3553" t="inlineStr">
        <is>
          <t>1</t>
        </is>
      </c>
      <c r="E3553" t="inlineStr">
        <is>
          <t>90</t>
        </is>
      </c>
      <c r="F3553" t="inlineStr">
        <is>
          <t>4</t>
        </is>
      </c>
      <c r="G3553" t="inlineStr">
        <is>
          <t>0</t>
        </is>
      </c>
      <c r="H3553" t="inlineStr">
        <is>
          <t>5², 85²</t>
        </is>
      </c>
      <c r="I3553" t="n">
        <v>4</v>
      </c>
      <c r="J3553" t="inlineStr">
        <is>
          <t>1², 4², 16¹, 64¹</t>
        </is>
      </c>
      <c r="K3553">
        <f>HYPERLINK("CSG1.html#group17B1", "17B¹"), =HYPERLINK("CSG7.html#group85A7", "85A⁷")</f>
        <v/>
      </c>
      <c r="L3553" t="inlineStr"/>
      <c r="M3553">
        <f>HYPERLINK("CSG7.html#group85A7", "85A⁷"), =HYPERLINK("CSG1.html#group17A1", "17A¹"), =HYPERLINK("CSG0.html#group5A0", "5A⁰"), =HYPERLINK("CSG0.html#group1A0", "1A⁰"), =HYPERLINK("CSG1.html#group17B1", "17B¹")</f>
        <v/>
      </c>
      <c r="N3553" t="inlineStr"/>
    </row>
    <row r="3554">
      <c r="A3554" t="inlineStr">
        <is>
          <t>85B¹³</t>
        </is>
      </c>
      <c r="B3554" t="inlineStr"/>
      <c r="C3554" t="inlineStr">
        <is>
          <t>180</t>
        </is>
      </c>
      <c r="D3554" t="inlineStr">
        <is>
          <t>1</t>
        </is>
      </c>
      <c r="E3554" t="inlineStr">
        <is>
          <t>180</t>
        </is>
      </c>
      <c r="F3554" t="inlineStr">
        <is>
          <t>4</t>
        </is>
      </c>
      <c r="G3554" t="inlineStr">
        <is>
          <t>0</t>
        </is>
      </c>
      <c r="H3554" t="inlineStr">
        <is>
          <t>5², 85²</t>
        </is>
      </c>
      <c r="I3554" t="n">
        <v>4</v>
      </c>
      <c r="J3554" t="inlineStr">
        <is>
          <t>2², 4⁴, 32¹, 64²</t>
        </is>
      </c>
      <c r="K3554">
        <f>HYPERLINK("CSG0.html#group5C0", "5C⁰"), =HYPERLINK("CSG1.html#group17A1", "17A¹")</f>
        <v/>
      </c>
      <c r="L3554" t="inlineStr"/>
      <c r="M3554">
        <f>HYPERLINK("CSG0.html#group5C0", "5C⁰"), =HYPERLINK("CSG1.html#group17A1", "17A¹"), =HYPERLINK("CSG0.html#group1A0", "1A⁰")</f>
        <v/>
      </c>
      <c r="N3554" t="inlineStr"/>
    </row>
    <row r="3555">
      <c r="A3555" t="inlineStr">
        <is>
          <t>85C¹³</t>
        </is>
      </c>
      <c r="B3555" t="inlineStr"/>
      <c r="C3555" t="inlineStr">
        <is>
          <t>216</t>
        </is>
      </c>
      <c r="D3555" t="inlineStr">
        <is>
          <t>1</t>
        </is>
      </c>
      <c r="E3555" t="inlineStr">
        <is>
          <t>108</t>
        </is>
      </c>
      <c r="F3555" t="inlineStr">
        <is>
          <t>8</t>
        </is>
      </c>
      <c r="G3555" t="inlineStr">
        <is>
          <t>0</t>
        </is>
      </c>
      <c r="H3555" t="inlineStr">
        <is>
          <t>1², 5², 17², 85²</t>
        </is>
      </c>
      <c r="I3555" t="n">
        <v>8</v>
      </c>
      <c r="J3555" t="inlineStr">
        <is>
          <t>1⁴, 4², 16², 64¹</t>
        </is>
      </c>
      <c r="K3555">
        <f>HYPERLINK("CSG1.html#group17B1", "17B¹"), =HYPERLINK("CSG7.html#group85B7", "85B⁷")</f>
        <v/>
      </c>
      <c r="L3555" t="inlineStr"/>
      <c r="M3555">
        <f>HYPERLINK("CSG0.html#group5B0", "5B⁰"), =HYPERLINK("CSG1.html#group17A1", "17A¹"), =HYPERLINK("CSG7.html#group85B7", "85B⁷"), =HYPERLINK("CSG0.html#group1A0", "1A⁰"), =HYPERLINK("CSG1.html#group17B1", "17B¹")</f>
        <v/>
      </c>
      <c r="N3555" t="inlineStr"/>
    </row>
    <row r="3556">
      <c r="A3556" t="inlineStr">
        <is>
          <t>87A¹³</t>
        </is>
      </c>
      <c r="B3556" t="inlineStr"/>
      <c r="C3556" t="inlineStr">
        <is>
          <t>180</t>
        </is>
      </c>
      <c r="D3556" t="inlineStr">
        <is>
          <t>1</t>
        </is>
      </c>
      <c r="E3556" t="inlineStr">
        <is>
          <t>90</t>
        </is>
      </c>
      <c r="F3556" t="inlineStr">
        <is>
          <t>4</t>
        </is>
      </c>
      <c r="G3556" t="inlineStr">
        <is>
          <t>0</t>
        </is>
      </c>
      <c r="H3556" t="inlineStr">
        <is>
          <t>3², 87²</t>
        </is>
      </c>
      <c r="I3556" t="n">
        <v>4</v>
      </c>
      <c r="J3556" t="inlineStr">
        <is>
          <t>1², 2², 28¹, 56¹</t>
        </is>
      </c>
      <c r="K3556">
        <f>HYPERLINK("CSG0.html#group3C0", "3C⁰"), =HYPERLINK("CSG6.html#group87A6", "87A⁶")</f>
        <v/>
      </c>
      <c r="L3556" t="inlineStr"/>
      <c r="M3556">
        <f>HYPERLINK("CSG6.html#group87A6", "87A⁶"), =HYPERLINK("CSG0.html#group3C0", "3C⁰"), =HYPERLINK("CSG0.html#group3A0", "3A⁰"), =HYPERLINK("CSG0.html#group1A0", "1A⁰"), =HYPERLINK("CSG2.html#group29A2", "29A²")</f>
        <v/>
      </c>
      <c r="N3556" t="inlineStr"/>
    </row>
    <row r="3557">
      <c r="A3557" t="inlineStr">
        <is>
          <t>89A¹³</t>
        </is>
      </c>
      <c r="B3557" t="inlineStr"/>
      <c r="C3557" t="inlineStr">
        <is>
          <t>180</t>
        </is>
      </c>
      <c r="D3557" t="inlineStr">
        <is>
          <t>1</t>
        </is>
      </c>
      <c r="E3557" t="inlineStr">
        <is>
          <t>90</t>
        </is>
      </c>
      <c r="F3557" t="inlineStr">
        <is>
          <t>4</t>
        </is>
      </c>
      <c r="G3557" t="inlineStr">
        <is>
          <t>0</t>
        </is>
      </c>
      <c r="H3557" t="inlineStr">
        <is>
          <t>1², 89²</t>
        </is>
      </c>
      <c r="I3557" t="n">
        <v>4</v>
      </c>
      <c r="J3557" t="inlineStr">
        <is>
          <t>1², 88¹</t>
        </is>
      </c>
      <c r="K3557">
        <f>HYPERLINK("CSG7.html#group89A7", "89A⁷")</f>
        <v/>
      </c>
      <c r="L3557" t="inlineStr"/>
      <c r="M3557">
        <f>HYPERLINK("CSG7.html#group89A7", "89A⁷"), =HYPERLINK("CSG0.html#group1A0", "1A⁰")</f>
        <v/>
      </c>
      <c r="N3557" t="inlineStr"/>
    </row>
    <row r="3558">
      <c r="A3558" t="inlineStr">
        <is>
          <t>90A¹³</t>
        </is>
      </c>
      <c r="B3558" t="inlineStr"/>
      <c r="C3558" t="inlineStr">
        <is>
          <t>180</t>
        </is>
      </c>
      <c r="D3558" t="inlineStr">
        <is>
          <t>1</t>
        </is>
      </c>
      <c r="E3558" t="inlineStr">
        <is>
          <t>90</t>
        </is>
      </c>
      <c r="F3558" t="inlineStr">
        <is>
          <t>4</t>
        </is>
      </c>
      <c r="G3558" t="inlineStr">
        <is>
          <t>0</t>
        </is>
      </c>
      <c r="H3558" t="inlineStr">
        <is>
          <t>30³, 90¹</t>
        </is>
      </c>
      <c r="I3558" t="n">
        <v>4</v>
      </c>
      <c r="J3558" t="inlineStr">
        <is>
          <t>1¹, 2¹, 3¹, 4¹, 6², 8¹, 12¹, 24²</t>
        </is>
      </c>
      <c r="K3558">
        <f>HYPERLINK("CSG1.html#group18F1", "18F¹"), =HYPERLINK("CSG4.html#group30A4", "30A⁴"), =HYPERLINK("CSG6.html#group45C6", "45C⁶")</f>
        <v/>
      </c>
      <c r="L3558" t="inlineStr"/>
      <c r="M3558">
        <f>HYPERLINK("CSG6.html#group45C6", "45C⁶"), =HYPERLINK("CSG0.html#group5A0", "5A⁰"), =HYPERLINK("CSG0.html#group6B0", "6B⁰"), =HYPERLINK("CSG2.html#group30A2", "30A²"), =HYPERLINK("CSG2.html#group15A2", "15A²"), =HYPERLINK("CSG0.html#group6E0", "6E⁰"), =HYPERLINK("CSG0.html#group3C0", "3C⁰"), =HYPERLINK("CSG1.html#group18F1", "18F¹"), =HYPERLINK("CSG4.html#group30A4", "30A⁴"), =HYPERLINK("CSG0.html#group9E0", "9E⁰"), =HYPERLINK("CSG0.html#group3A0", "3A⁰"), =HYPERLINK("CSG0.html#group1A0", "1A⁰"), =HYPERLINK("CSG1.html#group15A1", "15A¹")</f>
        <v/>
      </c>
      <c r="N3558" t="inlineStr"/>
    </row>
    <row r="3559">
      <c r="A3559" t="inlineStr">
        <is>
          <t>90B¹³</t>
        </is>
      </c>
      <c r="B3559" t="inlineStr"/>
      <c r="C3559" t="inlineStr">
        <is>
          <t>180</t>
        </is>
      </c>
      <c r="D3559" t="inlineStr">
        <is>
          <t>1</t>
        </is>
      </c>
      <c r="E3559" t="inlineStr">
        <is>
          <t>90</t>
        </is>
      </c>
      <c r="F3559" t="inlineStr">
        <is>
          <t>8</t>
        </is>
      </c>
      <c r="G3559" t="inlineStr">
        <is>
          <t>0</t>
        </is>
      </c>
      <c r="H3559" t="inlineStr">
        <is>
          <t>90²</t>
        </is>
      </c>
      <c r="I3559" t="n">
        <v>2</v>
      </c>
      <c r="J3559" t="inlineStr">
        <is>
          <t>2¹, 4³, 8², 12¹, 24²</t>
        </is>
      </c>
      <c r="K3559">
        <f>HYPERLINK("CSG1.html#group18A1", "18A¹"), =HYPERLINK("CSG3.html#group30H3", "30H³"), =HYPERLINK("CSG5.html#group45E5", "45E⁵")</f>
        <v/>
      </c>
      <c r="L3559" t="inlineStr"/>
      <c r="M3559">
        <f>HYPERLINK("CSG1.html#group15D1", "15D¹"), =HYPERLINK("CSG0.html#group6B0", "6B⁰"), =HYPERLINK("CSG0.html#group3A0", "3A⁰"), =HYPERLINK("CSG5.html#group45E5", "45E⁵"), =HYPERLINK("CSG0.html#group9A0", "9A⁰"), =HYPERLINK("CSG0.html#group5C0", "5C⁰"), =HYPERLINK("CSG3.html#group30H3", "30H³"), =HYPERLINK("CSG0.html#group1A0", "1A⁰"), =HYPERLINK("CSG1.html#group18A1", "18A¹")</f>
        <v/>
      </c>
      <c r="N3559" t="inlineStr"/>
    </row>
    <row r="3560">
      <c r="A3560" t="inlineStr">
        <is>
          <t>90C¹³</t>
        </is>
      </c>
      <c r="B3560" t="inlineStr"/>
      <c r="C3560" t="inlineStr">
        <is>
          <t>180</t>
        </is>
      </c>
      <c r="D3560" t="inlineStr">
        <is>
          <t>1</t>
        </is>
      </c>
      <c r="E3560" t="inlineStr">
        <is>
          <t>180</t>
        </is>
      </c>
      <c r="F3560" t="inlineStr">
        <is>
          <t>4</t>
        </is>
      </c>
      <c r="G3560" t="inlineStr">
        <is>
          <t>0</t>
        </is>
      </c>
      <c r="H3560" t="inlineStr">
        <is>
          <t>30³, 90¹</t>
        </is>
      </c>
      <c r="I3560" t="n">
        <v>4</v>
      </c>
      <c r="J3560" t="inlineStr">
        <is>
          <t>2³, 3², 6⁴, 8³, 12², 24⁴</t>
        </is>
      </c>
      <c r="K3560">
        <f>HYPERLINK("CSG1.html#group18G1", "18G¹"), =HYPERLINK("CSG4.html#group30A4", "30A⁴")</f>
        <v/>
      </c>
      <c r="L3560" t="inlineStr"/>
      <c r="M3560">
        <f>HYPERLINK("CSG0.html#group5A0", "5A⁰"), =HYPERLINK("CSG0.html#group6B0", "6B⁰"), =HYPERLINK("CSG4.html#group30A4", "30A⁴"), =HYPERLINK("CSG0.html#group1A0", "1A⁰"), =HYPERLINK("CSG2.html#group30A2", "30A²"), =HYPERLINK("CSG2.html#group15A2", "15A²"), =HYPERLINK("CSG0.html#group6E0", "6E⁰"), =HYPERLINK("CSG0.html#group3C0", "3C⁰"), =HYPERLINK("CSG1.html#group18G1", "18G¹"), =HYPERLINK("CSG0.html#group3A0", "3A⁰"), =HYPERLINK("CSG1.html#group15A1", "15A¹")</f>
        <v/>
      </c>
      <c r="N3560" t="inlineStr"/>
    </row>
    <row r="3561">
      <c r="A3561" t="inlineStr">
        <is>
          <t>90D¹³</t>
        </is>
      </c>
      <c r="B3561" t="inlineStr"/>
      <c r="C3561" t="inlineStr">
        <is>
          <t>180</t>
        </is>
      </c>
      <c r="D3561" t="inlineStr">
        <is>
          <t>1</t>
        </is>
      </c>
      <c r="E3561" t="inlineStr">
        <is>
          <t>180</t>
        </is>
      </c>
      <c r="F3561" t="inlineStr">
        <is>
          <t>8</t>
        </is>
      </c>
      <c r="G3561" t="inlineStr">
        <is>
          <t>0</t>
        </is>
      </c>
      <c r="H3561" t="inlineStr">
        <is>
          <t>90²</t>
        </is>
      </c>
      <c r="I3561" t="n">
        <v>2</v>
      </c>
      <c r="J3561" t="inlineStr">
        <is>
          <t>4³, 8⁶, 12², 24⁴</t>
        </is>
      </c>
      <c r="K3561">
        <f>HYPERLINK("CSG1.html#group18B1", "18B¹"), =HYPERLINK("CSG3.html#group30H3", "30H³")</f>
        <v/>
      </c>
      <c r="L3561" t="inlineStr"/>
      <c r="M3561">
        <f>HYPERLINK("CSG1.html#group18B1", "18B¹"), =HYPERLINK("CSG1.html#group15D1", "15D¹"), =HYPERLINK("CSG0.html#group6B0", "6B⁰"), =HYPERLINK("CSG0.html#group3A0", "3A⁰"), =HYPERLINK("CSG3.html#group30H3", "30H³"), =HYPERLINK("CSG0.html#group1A0", "1A⁰"), =HYPERLINK("CSG0.html#group5C0", "5C⁰")</f>
        <v/>
      </c>
      <c r="N3561" t="inlineStr"/>
    </row>
    <row r="3562">
      <c r="A3562" t="inlineStr">
        <is>
          <t>90E¹³</t>
        </is>
      </c>
      <c r="B3562" t="inlineStr"/>
      <c r="C3562" t="inlineStr">
        <is>
          <t>216</t>
        </is>
      </c>
      <c r="D3562" t="inlineStr">
        <is>
          <t>1</t>
        </is>
      </c>
      <c r="E3562" t="inlineStr">
        <is>
          <t>54</t>
        </is>
      </c>
      <c r="F3562" t="inlineStr">
        <is>
          <t>16</t>
        </is>
      </c>
      <c r="G3562" t="inlineStr">
        <is>
          <t>0</t>
        </is>
      </c>
      <c r="H3562" t="inlineStr">
        <is>
          <t>18², 90²</t>
        </is>
      </c>
      <c r="I3562" t="n">
        <v>4</v>
      </c>
      <c r="J3562" t="inlineStr">
        <is>
          <t>1², 2², 4¹, 6², 8¹, 24¹</t>
        </is>
      </c>
      <c r="K3562">
        <f>HYPERLINK("CSG1.html#group30D1", "30D¹"), =HYPERLINK("CSG4.html#group90A4", "90A⁴"), =HYPERLINK("CSG6.html#group45D6", "45D⁶"), =HYPERLINK("CSG7.html#group90C7", "90C⁷")</f>
        <v/>
      </c>
      <c r="L3562" t="inlineStr"/>
      <c r="M3562">
        <f>HYPERLINK("CSG0.html#group30A0", "30A⁰"), =HYPERLINK("CSG2.html#group45A2", "45A²"), =HYPERLINK("CSG4.html#group90A4", "90A⁴"), =HYPERLINK("CSG0.html#group6B0", "6B⁰"), =HYPERLINK("CSG6.html#group45D6", "45D⁶"), =HYPERLINK("CSG0.html#group5B0", "5B⁰"), =HYPERLINK("CSG0.html#group1A0", "1A⁰"), =HYPERLINK("CSG1.html#group30D1", "30D¹"), =HYPERLINK("CSG0.html#group10B0", "10B⁰"), =HYPERLINK("CSG0.html#group15B0", "15B⁰"), =HYPERLINK("CSG7.html#group90C7", "90C⁷"), =HYPERLINK("CSG0.html#group9A0", "9A⁰"), =HYPERLINK("CSG0.html#group15C0", "15C⁰"), =HYPERLINK("CSG0.html#group3A0", "3A⁰"), =HYPERLINK("CSG1.html#group18A1", "18A¹"), =HYPERLINK("CSG1.html#group30C1", "30C¹")</f>
        <v/>
      </c>
      <c r="N3562" t="inlineStr"/>
    </row>
    <row r="3563">
      <c r="A3563" t="inlineStr">
        <is>
          <t>90F¹³</t>
        </is>
      </c>
      <c r="B3563" t="inlineStr"/>
      <c r="C3563" t="inlineStr">
        <is>
          <t>216</t>
        </is>
      </c>
      <c r="D3563" t="inlineStr">
        <is>
          <t>1</t>
        </is>
      </c>
      <c r="E3563" t="inlineStr">
        <is>
          <t>108</t>
        </is>
      </c>
      <c r="F3563" t="inlineStr">
        <is>
          <t>8</t>
        </is>
      </c>
      <c r="G3563" t="inlineStr">
        <is>
          <t>0</t>
        </is>
      </c>
      <c r="H3563" t="inlineStr">
        <is>
          <t>6³, 18¹, 30³, 90¹</t>
        </is>
      </c>
      <c r="I3563" t="n">
        <v>8</v>
      </c>
      <c r="J3563" t="inlineStr">
        <is>
          <t>1², 2², 3², 4¹, 6⁴, 8¹, 12¹, 24²</t>
        </is>
      </c>
      <c r="K3563">
        <f>HYPERLINK("CSG3.html#group30J3", "30J³"), =HYPERLINK("CSG5.html#group45G5", "45G⁵")</f>
        <v/>
      </c>
      <c r="L3563" t="inlineStr"/>
      <c r="M3563">
        <f>HYPERLINK("CSG0.html#group30A0", "30A⁰"), =HYPERLINK("CSG0.html#group15B0", "15B⁰"), =HYPERLINK("CSG3.html#group30J3", "30J³"), =HYPERLINK("CSG5.html#group45G5", "45G⁵"), =HYPERLINK("CSG0.html#group5B0", "5B⁰"), =HYPERLINK("CSG0.html#group3C0", "3C⁰"), =HYPERLINK("CSG2.html#group30C2", "30C²"), =HYPERLINK("CSG0.html#group9E0", "9E⁰"), =HYPERLINK("CSG0.html#group3A0", "3A⁰"), =HYPERLINK("CSG0.html#group1A0", "1A⁰"), =HYPERLINK("CSG1.html#group15E1", "15E¹"), =HYPERLINK("CSG0.html#group10B0", "10B⁰")</f>
        <v/>
      </c>
      <c r="N3563" t="inlineStr"/>
    </row>
    <row r="3564">
      <c r="A3564" t="inlineStr">
        <is>
          <t>90G¹³</t>
        </is>
      </c>
      <c r="B3564" t="inlineStr"/>
      <c r="C3564" t="inlineStr">
        <is>
          <t>216</t>
        </is>
      </c>
      <c r="D3564" t="inlineStr">
        <is>
          <t>1</t>
        </is>
      </c>
      <c r="E3564" t="inlineStr">
        <is>
          <t>108</t>
        </is>
      </c>
      <c r="F3564" t="inlineStr">
        <is>
          <t>8</t>
        </is>
      </c>
      <c r="G3564" t="inlineStr">
        <is>
          <t>0</t>
        </is>
      </c>
      <c r="H3564" t="inlineStr">
        <is>
          <t>6³, 18¹, 30³, 90¹</t>
        </is>
      </c>
      <c r="I3564" t="n">
        <v>8</v>
      </c>
      <c r="J3564" t="inlineStr">
        <is>
          <t>1², 2², 3², 4¹, 6⁴, 8¹, 12¹, 24²</t>
        </is>
      </c>
      <c r="K3564">
        <f>HYPERLINK("CSG1.html#group18F1", "18F¹"), =HYPERLINK("CSG3.html#group30I3", "30I³"), =HYPERLINK("CSG5.html#group45G5", "45G⁵")</f>
        <v/>
      </c>
      <c r="L3564" t="inlineStr"/>
      <c r="M3564">
        <f>HYPERLINK("CSG0.html#group15B0", "15B⁰"), =HYPERLINK("CSG0.html#group6B0", "6B⁰"), =HYPERLINK("CSG3.html#group30I3", "30I³"), =HYPERLINK("CSG0.html#group6E0", "6E⁰"), =HYPERLINK("CSG1.html#group30C1", "30C¹"), =HYPERLINK("CSG5.html#group45G5", "45G⁵"), =HYPERLINK("CSG0.html#group5B0", "5B⁰"), =HYPERLINK("CSG0.html#group3C0", "3C⁰"), =HYPERLINK("CSG1.html#group18F1", "18F¹"), =HYPERLINK("CSG0.html#group9E0", "9E⁰"), =HYPERLINK("CSG0.html#group3A0", "3A⁰"), =HYPERLINK("CSG0.html#group1A0", "1A⁰"), =HYPERLINK("CSG1.html#group15E1", "15E¹")</f>
        <v/>
      </c>
      <c r="N3564" t="inlineStr"/>
    </row>
    <row r="3565">
      <c r="A3565" t="inlineStr">
        <is>
          <t>90H¹³</t>
        </is>
      </c>
      <c r="B3565" t="inlineStr"/>
      <c r="C3565" t="inlineStr">
        <is>
          <t>216</t>
        </is>
      </c>
      <c r="D3565" t="inlineStr">
        <is>
          <t>1</t>
        </is>
      </c>
      <c r="E3565" t="inlineStr">
        <is>
          <t>108</t>
        </is>
      </c>
      <c r="F3565" t="inlineStr">
        <is>
          <t>16</t>
        </is>
      </c>
      <c r="G3565" t="inlineStr">
        <is>
          <t>0</t>
        </is>
      </c>
      <c r="H3565" t="inlineStr">
        <is>
          <t>18², 90²</t>
        </is>
      </c>
      <c r="I3565" t="n">
        <v>4</v>
      </c>
      <c r="J3565" t="inlineStr">
        <is>
          <t>2⁶, 6⁴, 8³, 24²</t>
        </is>
      </c>
      <c r="K3565">
        <f>HYPERLINK("CSG1.html#group30D1", "30D¹"), =HYPERLINK("CSG7.html#group90D7", "90D⁷")</f>
        <v/>
      </c>
      <c r="L3565" t="inlineStr"/>
      <c r="M3565">
        <f>HYPERLINK("CSG0.html#group30A0", "30A⁰"), =HYPERLINK("CSG7.html#group90D7", "90D⁷"), =HYPERLINK("CSG0.html#group15B0", "15B⁰"), =HYPERLINK("CSG0.html#group6B0", "6B⁰"), =HYPERLINK("CSG0.html#group5B0", "5B⁰"), =HYPERLINK("CSG1.html#group18B1", "18B¹"), =HYPERLINK("CSG0.html#group15C0", "15C⁰"), =HYPERLINK("CSG0.html#group10B0", "10B⁰"), =HYPERLINK("CSG0.html#group3A0", "3A⁰"), =HYPERLINK("CSG0.html#group1A0", "1A⁰"), =HYPERLINK("CSG1.html#group30C1", "30C¹"), =HYPERLINK("CSG1.html#group30D1", "30D¹")</f>
        <v/>
      </c>
      <c r="N3565" t="inlineStr"/>
    </row>
    <row r="3566">
      <c r="A3566" t="inlineStr">
        <is>
          <t>90I¹³</t>
        </is>
      </c>
      <c r="B3566" t="inlineStr"/>
      <c r="C3566" t="inlineStr">
        <is>
          <t>216</t>
        </is>
      </c>
      <c r="D3566" t="inlineStr">
        <is>
          <t>1</t>
        </is>
      </c>
      <c r="E3566" t="inlineStr">
        <is>
          <t>216</t>
        </is>
      </c>
      <c r="F3566" t="inlineStr">
        <is>
          <t>8</t>
        </is>
      </c>
      <c r="G3566" t="inlineStr">
        <is>
          <t>0</t>
        </is>
      </c>
      <c r="H3566" t="inlineStr">
        <is>
          <t>6³, 18¹, 30³, 90¹</t>
        </is>
      </c>
      <c r="I3566" t="n">
        <v>8</v>
      </c>
      <c r="J3566" t="inlineStr">
        <is>
          <t>2⁶, 3⁴, 6⁸, 8³, 12², 24⁴</t>
        </is>
      </c>
      <c r="K3566">
        <f>HYPERLINK("CSG1.html#group18G1", "18G¹"), =HYPERLINK("CSG3.html#group30I3", "30I³")</f>
        <v/>
      </c>
      <c r="L3566" t="inlineStr"/>
      <c r="M3566">
        <f>HYPERLINK("CSG0.html#group6B0", "6B⁰"), =HYPERLINK("CSG3.html#group30I3", "30I³"), =HYPERLINK("CSG1.html#group30C1", "30C¹"), =HYPERLINK("CSG0.html#group5B0", "5B⁰"), =HYPERLINK("CSG0.html#group1A0", "1A⁰"), =HYPERLINK("CSG0.html#group15B0", "15B⁰"), =HYPERLINK("CSG0.html#group6E0", "6E⁰"), =HYPERLINK("CSG0.html#group3C0", "3C⁰"), =HYPERLINK("CSG1.html#group18G1", "18G¹"), =HYPERLINK("CSG0.html#group3A0", "3A⁰"), =HYPERLINK("CSG1.html#group15E1", "15E¹")</f>
        <v/>
      </c>
      <c r="N3566" t="inlineStr"/>
    </row>
    <row r="3567">
      <c r="A3567" t="inlineStr">
        <is>
          <t>91A¹³</t>
        </is>
      </c>
      <c r="B3567" t="inlineStr"/>
      <c r="C3567" t="inlineStr">
        <is>
          <t>196</t>
        </is>
      </c>
      <c r="D3567" t="inlineStr">
        <is>
          <t>2</t>
        </is>
      </c>
      <c r="E3567" t="inlineStr">
        <is>
          <t>98</t>
        </is>
      </c>
      <c r="F3567" t="inlineStr">
        <is>
          <t>4</t>
        </is>
      </c>
      <c r="G3567" t="inlineStr">
        <is>
          <t>4</t>
        </is>
      </c>
      <c r="H3567" t="inlineStr">
        <is>
          <t>7², 91²</t>
        </is>
      </c>
      <c r="I3567" t="n">
        <v>4</v>
      </c>
      <c r="J3567" t="inlineStr">
        <is>
          <t>2², 6⁴, 24¹, 72²</t>
        </is>
      </c>
      <c r="K3567">
        <f>HYPERLINK("CSG0.html#group7C0", "7C⁰"), =HYPERLINK("CSG6.html#group91A6", "91A⁶")</f>
        <v/>
      </c>
      <c r="L3567" t="inlineStr"/>
      <c r="M3567">
        <f>HYPERLINK("CSG0.html#group13A0", "13A⁰"), =HYPERLINK("CSG6.html#group91A6", "91A⁶"), =HYPERLINK("CSG0.html#group1A0", "1A⁰"), =HYPERLINK("CSG0.html#group7C0", "7C⁰"), =HYPERLINK("CSG0.html#group7A0", "7A⁰")</f>
        <v/>
      </c>
      <c r="N3567" t="inlineStr"/>
    </row>
    <row r="3568">
      <c r="A3568" t="inlineStr">
        <is>
          <t>91B¹³</t>
        </is>
      </c>
      <c r="B3568" t="inlineStr"/>
      <c r="C3568" t="inlineStr">
        <is>
          <t>224</t>
        </is>
      </c>
      <c r="D3568" t="inlineStr">
        <is>
          <t>1</t>
        </is>
      </c>
      <c r="E3568" t="inlineStr">
        <is>
          <t>112</t>
        </is>
      </c>
      <c r="F3568" t="inlineStr">
        <is>
          <t>0</t>
        </is>
      </c>
      <c r="G3568" t="inlineStr">
        <is>
          <t>8</t>
        </is>
      </c>
      <c r="H3568" t="inlineStr">
        <is>
          <t>1², 7², 13², 91²</t>
        </is>
      </c>
      <c r="I3568" t="n">
        <v>8</v>
      </c>
      <c r="J3568" t="inlineStr">
        <is>
          <t>1⁴, 6², 12², 72¹</t>
        </is>
      </c>
      <c r="K3568">
        <f>HYPERLINK("CSG0.html#group13B0", "13B⁰"), =HYPERLINK("CSG7.html#group91A7", "91A⁷")</f>
        <v/>
      </c>
      <c r="L3568" t="inlineStr"/>
      <c r="M3568">
        <f>HYPERLINK("CSG0.html#group13A0", "13A⁰"), =HYPERLINK("CSG0.html#group13B0", "13B⁰"), =HYPERLINK("CSG7.html#group91A7", "91A⁷"), =HYPERLINK("CSG0.html#group1A0", "1A⁰"), =HYPERLINK("CSG0.html#group7B0", "7B⁰")</f>
        <v/>
      </c>
      <c r="N3568" t="inlineStr"/>
    </row>
    <row r="3569">
      <c r="A3569" t="inlineStr">
        <is>
          <t>96A¹³</t>
        </is>
      </c>
      <c r="B3569" t="inlineStr"/>
      <c r="C3569" t="inlineStr">
        <is>
          <t>192</t>
        </is>
      </c>
      <c r="D3569" t="inlineStr">
        <is>
          <t>1</t>
        </is>
      </c>
      <c r="E3569" t="inlineStr">
        <is>
          <t>24</t>
        </is>
      </c>
      <c r="F3569" t="inlineStr">
        <is>
          <t>0</t>
        </is>
      </c>
      <c r="G3569" t="inlineStr">
        <is>
          <t>0</t>
        </is>
      </c>
      <c r="H3569" t="inlineStr">
        <is>
          <t>4², 8¹, 12², 24¹, 32¹, 96¹</t>
        </is>
      </c>
      <c r="I3569" t="n">
        <v>8</v>
      </c>
      <c r="J3569" t="inlineStr">
        <is>
          <t>1⁸, 2⁶, 4¹</t>
        </is>
      </c>
      <c r="K3569">
        <f>HYPERLINK("CSG5.html#group48D5", "48D⁵")</f>
        <v/>
      </c>
      <c r="L3569" t="inlineStr"/>
      <c r="M3569">
        <f>HYPERLINK("CSG0.html#group3B0", "3B⁰"), =HYPERLINK("CSG1.html#group24G1", "24G¹"), =HYPERLINK("CSG1.html#group16A1", "16A¹"), =HYPERLINK("CSG0.html#group8C0", "8C⁰"), =HYPERLINK("CSG0.html#group2B0", "2B⁰"), =HYPERLINK("CSG0.html#group1A0", "1A⁰"), =HYPERLINK("CSG0.html#group4B0", "4B⁰"), =HYPERLINK("CSG5.html#group48D5", "48D⁵"), =HYPERLINK("CSG0.html#group6F0", "6F⁰"), =HYPERLINK("CSG0.html#group12E0", "12E⁰")</f>
        <v/>
      </c>
      <c r="N3569" t="inlineStr"/>
    </row>
    <row r="3570">
      <c r="A3570" t="inlineStr">
        <is>
          <t>96B¹³</t>
        </is>
      </c>
      <c r="B3570" t="inlineStr"/>
      <c r="C3570" t="inlineStr">
        <is>
          <t>192</t>
        </is>
      </c>
      <c r="D3570" t="inlineStr">
        <is>
          <t>1</t>
        </is>
      </c>
      <c r="E3570" t="inlineStr">
        <is>
          <t>24</t>
        </is>
      </c>
      <c r="F3570" t="inlineStr">
        <is>
          <t>0</t>
        </is>
      </c>
      <c r="G3570" t="inlineStr">
        <is>
          <t>0</t>
        </is>
      </c>
      <c r="H3570" t="inlineStr">
        <is>
          <t>4², 8¹, 12², 24¹, 32¹, 96¹</t>
        </is>
      </c>
      <c r="I3570" t="n">
        <v>8</v>
      </c>
      <c r="J3570" t="inlineStr">
        <is>
          <t>1⁸, 2⁶, 4¹</t>
        </is>
      </c>
      <c r="K3570">
        <f>HYPERLINK("CSG5.html#group48D5", "48D⁵")</f>
        <v/>
      </c>
      <c r="L3570" t="inlineStr"/>
      <c r="M3570">
        <f>HYPERLINK("CSG0.html#group3B0", "3B⁰"), =HYPERLINK("CSG1.html#group24G1", "24G¹"), =HYPERLINK("CSG1.html#group16A1", "16A¹"), =HYPERLINK("CSG0.html#group8C0", "8C⁰"), =HYPERLINK("CSG0.html#group2B0", "2B⁰"), =HYPERLINK("CSG0.html#group1A0", "1A⁰"), =HYPERLINK("CSG0.html#group4B0", "4B⁰"), =HYPERLINK("CSG5.html#group48D5", "48D⁵"), =HYPERLINK("CSG0.html#group6F0", "6F⁰"), =HYPERLINK("CSG0.html#group12E0", "12E⁰")</f>
        <v/>
      </c>
      <c r="N3570" t="inlineStr"/>
    </row>
    <row r="3571">
      <c r="A3571" t="inlineStr">
        <is>
          <t>96C¹³</t>
        </is>
      </c>
      <c r="B3571" t="inlineStr"/>
      <c r="C3571" t="inlineStr">
        <is>
          <t>192</t>
        </is>
      </c>
      <c r="D3571" t="inlineStr">
        <is>
          <t>1</t>
        </is>
      </c>
      <c r="E3571" t="inlineStr">
        <is>
          <t>24</t>
        </is>
      </c>
      <c r="F3571" t="inlineStr">
        <is>
          <t>0</t>
        </is>
      </c>
      <c r="G3571" t="inlineStr">
        <is>
          <t>0</t>
        </is>
      </c>
      <c r="H3571" t="inlineStr">
        <is>
          <t>4², 8¹, 12², 24¹, 32¹, 96¹</t>
        </is>
      </c>
      <c r="I3571" t="n">
        <v>8</v>
      </c>
      <c r="J3571" t="inlineStr">
        <is>
          <t>1⁸, 2⁶, 4¹</t>
        </is>
      </c>
      <c r="K3571">
        <f>HYPERLINK("CSG3.html#group32A3", "32A³"), =HYPERLINK("CSG5.html#group48D5", "48D⁵")</f>
        <v/>
      </c>
      <c r="L3571" t="inlineStr"/>
      <c r="M3571">
        <f>HYPERLINK("CSG0.html#group3B0", "3B⁰"), =HYPERLINK("CSG1.html#group24G1", "24G¹"), =HYPERLINK("CSG3.html#group32A3", "32A³"), =HYPERLINK("CSG1.html#group16A1", "16A¹"), =HYPERLINK("CSG0.html#group8C0", "8C⁰"), =HYPERLINK("CSG0.html#group2B0", "2B⁰"), =HYPERLINK("CSG0.html#group1A0", "1A⁰"), =HYPERLINK("CSG0.html#group4B0", "4B⁰"), =HYPERLINK("CSG5.html#group48D5", "48D⁵"), =HYPERLINK("CSG0.html#group6F0", "6F⁰"), =HYPERLINK("CSG0.html#group12E0", "12E⁰")</f>
        <v/>
      </c>
      <c r="N3571" t="inlineStr"/>
    </row>
    <row r="3572">
      <c r="A3572" t="inlineStr">
        <is>
          <t>96D¹³</t>
        </is>
      </c>
      <c r="B3572" t="inlineStr"/>
      <c r="C3572" t="inlineStr">
        <is>
          <t>192</t>
        </is>
      </c>
      <c r="D3572" t="inlineStr">
        <is>
          <t>1</t>
        </is>
      </c>
      <c r="E3572" t="inlineStr">
        <is>
          <t>24</t>
        </is>
      </c>
      <c r="F3572" t="inlineStr">
        <is>
          <t>0</t>
        </is>
      </c>
      <c r="G3572" t="inlineStr">
        <is>
          <t>0</t>
        </is>
      </c>
      <c r="H3572" t="inlineStr">
        <is>
          <t>4², 8¹, 12², 24¹, 32¹, 96¹</t>
        </is>
      </c>
      <c r="I3572" t="n">
        <v>8</v>
      </c>
      <c r="J3572" t="inlineStr">
        <is>
          <t>1⁸, 2⁶, 4¹</t>
        </is>
      </c>
      <c r="K3572">
        <f>HYPERLINK("CSG3.html#group32B3", "32B³"), =HYPERLINK("CSG5.html#group48D5", "48D⁵")</f>
        <v/>
      </c>
      <c r="L3572" t="inlineStr"/>
      <c r="M3572">
        <f>HYPERLINK("CSG0.html#group3B0", "3B⁰"), =HYPERLINK("CSG1.html#group24G1", "24G¹"), =HYPERLINK("CSG1.html#group16A1", "16A¹"), =HYPERLINK("CSG0.html#group8C0", "8C⁰"), =HYPERLINK("CSG0.html#group2B0", "2B⁰"), =HYPERLINK("CSG0.html#group1A0", "1A⁰"), =HYPERLINK("CSG0.html#group4B0", "4B⁰"), =HYPERLINK("CSG5.html#group48D5", "48D⁵"), =HYPERLINK("CSG0.html#group6F0", "6F⁰"), =HYPERLINK("CSG0.html#group12E0", "12E⁰"), =HYPERLINK("CSG3.html#group32B3", "32B³")</f>
        <v/>
      </c>
      <c r="N3572" t="inlineStr"/>
    </row>
    <row r="3573">
      <c r="A3573" t="inlineStr">
        <is>
          <t>96E¹³</t>
        </is>
      </c>
      <c r="B3573" t="inlineStr"/>
      <c r="C3573" t="inlineStr">
        <is>
          <t>192</t>
        </is>
      </c>
      <c r="D3573" t="inlineStr">
        <is>
          <t>1</t>
        </is>
      </c>
      <c r="E3573" t="inlineStr">
        <is>
          <t>48</t>
        </is>
      </c>
      <c r="F3573" t="inlineStr">
        <is>
          <t>0</t>
        </is>
      </c>
      <c r="G3573" t="inlineStr">
        <is>
          <t>0</t>
        </is>
      </c>
      <c r="H3573" t="inlineStr">
        <is>
          <t>4², 8¹, 12², 24¹, 32¹, 96¹</t>
        </is>
      </c>
      <c r="I3573" t="n">
        <v>8</v>
      </c>
      <c r="J3573" t="inlineStr">
        <is>
          <t>1⁸, 2⁸, 4⁴, 8¹</t>
        </is>
      </c>
      <c r="K3573">
        <f>HYPERLINK("CSG5.html#group48D5", "48D⁵")</f>
        <v/>
      </c>
      <c r="L3573" t="inlineStr"/>
      <c r="M3573">
        <f>HYPERLINK("CSG0.html#group3B0", "3B⁰"), =HYPERLINK("CSG1.html#group24G1", "24G¹"), =HYPERLINK("CSG1.html#group16A1", "16A¹"), =HYPERLINK("CSG0.html#group8C0", "8C⁰"), =HYPERLINK("CSG0.html#group2B0", "2B⁰"), =HYPERLINK("CSG0.html#group1A0", "1A⁰"), =HYPERLINK("CSG0.html#group4B0", "4B⁰"), =HYPERLINK("CSG5.html#group48D5", "48D⁵"), =HYPERLINK("CSG0.html#group6F0", "6F⁰"), =HYPERLINK("CSG0.html#group12E0", "12E⁰")</f>
        <v/>
      </c>
      <c r="N3573" t="inlineStr"/>
    </row>
    <row r="3574">
      <c r="A3574" t="inlineStr">
        <is>
          <t>96F¹³</t>
        </is>
      </c>
      <c r="B3574" t="inlineStr"/>
      <c r="C3574" t="inlineStr">
        <is>
          <t>192</t>
        </is>
      </c>
      <c r="D3574" t="inlineStr">
        <is>
          <t>1</t>
        </is>
      </c>
      <c r="E3574" t="inlineStr">
        <is>
          <t>48</t>
        </is>
      </c>
      <c r="F3574" t="inlineStr">
        <is>
          <t>0</t>
        </is>
      </c>
      <c r="G3574" t="inlineStr">
        <is>
          <t>0</t>
        </is>
      </c>
      <c r="H3574" t="inlineStr">
        <is>
          <t>4², 8¹, 12², 24¹, 32¹, 96¹</t>
        </is>
      </c>
      <c r="I3574" t="n">
        <v>8</v>
      </c>
      <c r="J3574" t="inlineStr">
        <is>
          <t>1⁸, 2⁸, 4⁴, 8¹</t>
        </is>
      </c>
      <c r="K3574">
        <f>HYPERLINK("CSG3.html#group32C3", "32C³"), =HYPERLINK("CSG5.html#group48D5", "48D⁵")</f>
        <v/>
      </c>
      <c r="L3574" t="inlineStr"/>
      <c r="M3574">
        <f>HYPERLINK("CSG0.html#group3B0", "3B⁰"), =HYPERLINK("CSG1.html#group24G1", "24G¹"), =HYPERLINK("CSG1.html#group16A1", "16A¹"), =HYPERLINK("CSG0.html#group8C0", "8C⁰"), =HYPERLINK("CSG0.html#group2B0", "2B⁰"), =HYPERLINK("CSG0.html#group1A0", "1A⁰"), =HYPERLINK("CSG0.html#group4B0", "4B⁰"), =HYPERLINK("CSG5.html#group48D5", "48D⁵"), =HYPERLINK("CSG0.html#group6F0", "6F⁰"), =HYPERLINK("CSG3.html#group32C3", "32C³"), =HYPERLINK("CSG0.html#group12E0", "12E⁰")</f>
        <v/>
      </c>
      <c r="N3574" t="inlineStr"/>
    </row>
    <row r="3575">
      <c r="A3575" t="inlineStr">
        <is>
          <t>96G¹³</t>
        </is>
      </c>
      <c r="B3575" t="inlineStr"/>
      <c r="C3575" t="inlineStr">
        <is>
          <t>288</t>
        </is>
      </c>
      <c r="D3575" t="inlineStr">
        <is>
          <t>1</t>
        </is>
      </c>
      <c r="E3575" t="inlineStr">
        <is>
          <t>36</t>
        </is>
      </c>
      <c r="F3575" t="inlineStr">
        <is>
          <t>40</t>
        </is>
      </c>
      <c r="G3575" t="inlineStr">
        <is>
          <t>0</t>
        </is>
      </c>
      <c r="H3575" t="inlineStr">
        <is>
          <t>48², 96²</t>
        </is>
      </c>
      <c r="I3575" t="n">
        <v>4</v>
      </c>
      <c r="J3575" t="inlineStr">
        <is>
          <t>2⁶, 4⁶</t>
        </is>
      </c>
      <c r="K3575">
        <f>HYPERLINK("CSG3.html#group96A3", "96A³"), =HYPERLINK("CSG5.html#group48G5", "48G⁵"), =HYPERLINK("CSG5.html#group96A5", "96A⁵")</f>
        <v/>
      </c>
      <c r="L3575" t="inlineStr"/>
      <c r="M3575">
        <f>HYPERLINK("CSG1.html#group24E1", "24E¹"), =HYPERLINK("CSG0.html#group12C0", "12C⁰"), =HYPERLINK("CSG5.html#group96A5", "96A⁵"), =HYPERLINK("CSG0.html#group4C0", "4C⁰"), =HYPERLINK("CSG0.html#group8B0", "8B⁰"), =HYPERLINK("CSG2.html#group24P2", "24P²"), =HYPERLINK("CSG0.html#group48A0", "48A⁰"), =HYPERLINK("CSG1.html#group12M1", "12M¹"), =HYPERLINK("CSG0.html#group2B0", "2B⁰"), =HYPERLINK("CSG5.html#group48G5", "48G⁵"), =HYPERLINK("CSG0.html#group1A0", "1A⁰"), =HYPERLINK("CSG0.html#group16B0", "16B⁰"), =HYPERLINK("CSG0.html#group24A0", "24A⁰"), =HYPERLINK("CSG1.html#group32B1", "32B¹"), =HYPERLINK("CSG3.html#group48F3", "48F³"), =HYPERLINK("CSG0.html#group3A0", "3A⁰"), =HYPERLINK("CSG3.html#group96A3", "96A³"), =HYPERLINK("CSG0.html#group6D0", "6D⁰")</f>
        <v/>
      </c>
      <c r="N3575" t="inlineStr"/>
    </row>
    <row r="3576">
      <c r="A3576" t="inlineStr">
        <is>
          <t>96H¹³</t>
        </is>
      </c>
      <c r="B3576" t="inlineStr"/>
      <c r="C3576" t="inlineStr">
        <is>
          <t>288</t>
        </is>
      </c>
      <c r="D3576" t="inlineStr">
        <is>
          <t>2</t>
        </is>
      </c>
      <c r="E3576" t="inlineStr">
        <is>
          <t>36</t>
        </is>
      </c>
      <c r="F3576" t="inlineStr">
        <is>
          <t>40</t>
        </is>
      </c>
      <c r="G3576" t="inlineStr">
        <is>
          <t>0</t>
        </is>
      </c>
      <c r="H3576" t="inlineStr">
        <is>
          <t>48², 96²</t>
        </is>
      </c>
      <c r="I3576" t="n">
        <v>4</v>
      </c>
      <c r="J3576" t="inlineStr">
        <is>
          <t>2⁸, 4¹⁰, 8²</t>
        </is>
      </c>
      <c r="K3576">
        <f>HYPERLINK("CSG3.html#group96A3", "96A³"), =HYPERLINK("CSG5.html#group48H5", "48H⁵"), =HYPERLINK("CSG5.html#group96A5", "96A⁵")</f>
        <v/>
      </c>
      <c r="L3576" t="inlineStr"/>
      <c r="M3576">
        <f>HYPERLINK("CSG0.html#group16B0", "16B⁰"), =HYPERLINK("CSG0.html#group12C0", "12C⁰"), =HYPERLINK("CSG0.html#group24A0", "24A⁰"), =HYPERLINK("CSG5.html#group96A5", "96A⁵"), =HYPERLINK("CSG0.html#group4C0", "4C⁰"), =HYPERLINK("CSG0.html#group8B0", "8B⁰"), =HYPERLINK("CSG2.html#group24Q2", "24Q²"), =HYPERLINK("CSG5.html#group48H5", "48H⁵"), =HYPERLINK("CSG0.html#group48A0", "48A⁰"), =HYPERLINK("CSG1.html#group32B1", "32B¹"), =HYPERLINK("CSG0.html#group2B0", "2B⁰"), =HYPERLINK("CSG0.html#group1A0", "1A⁰"), =HYPERLINK("CSG0.html#group3A0", "3A⁰"), =HYPERLINK("CSG3.html#group96A3", "96A³"), =HYPERLINK("CSG3.html#group48H3", "48H³"), =HYPERLINK("CSG0.html#group6D0", "6D⁰")</f>
        <v/>
      </c>
      <c r="N3576" t="inlineStr"/>
    </row>
    <row r="3577">
      <c r="A3577" t="inlineStr">
        <is>
          <t>96I¹³</t>
        </is>
      </c>
      <c r="B3577" t="inlineStr"/>
      <c r="C3577" t="inlineStr">
        <is>
          <t>384</t>
        </is>
      </c>
      <c r="D3577" t="inlineStr">
        <is>
          <t>1</t>
        </is>
      </c>
      <c r="E3577" t="inlineStr">
        <is>
          <t>24</t>
        </is>
      </c>
      <c r="F3577" t="inlineStr">
        <is>
          <t>0</t>
        </is>
      </c>
      <c r="G3577" t="inlineStr">
        <is>
          <t>0</t>
        </is>
      </c>
      <c r="H3577" t="inlineStr">
        <is>
          <t>1¹⁶, 3¹⁶, 8², 24², 32², 96²</t>
        </is>
      </c>
      <c r="I3577" t="n">
        <v>40</v>
      </c>
      <c r="J3577" t="inlineStr">
        <is>
          <t>1⁸, 2⁶, 4¹</t>
        </is>
      </c>
      <c r="K3577">
        <f>HYPERLINK("CSG5.html#group48I5", "48I⁵"), =HYPERLINK("CSG7.html#group96B7", "96B⁷"), =HYPERLINK("CSG7.html#group96C7", "96C⁷")</f>
        <v/>
      </c>
      <c r="L3577" t="inlineStr"/>
      <c r="M3577">
        <f>HYPERLINK("CSG7.html#group96C7", "96C⁷"), =HYPERLINK("CSG0.html#group3B0", "3B⁰"), =HYPERLINK("CSG5.html#group48I5", "48I⁵"), =HYPERLINK("CSG1.html#group24G1", "24G¹"), =HYPERLINK("CSG0.html#group12J0", "12J⁰"), =HYPERLINK("CSG0.html#group2B0", "2B⁰"), =HYPERLINK("CSG0.html#group8C0", "8C⁰"), =HYPERLINK("CSG7.html#group96B7", "96B⁷"), =HYPERLINK("CSG0.html#group4B0", "4B⁰"), =HYPERLINK("CSG0.html#group1A0", "1A⁰"), =HYPERLINK("CSG1.html#group24J1", "24J¹"), =HYPERLINK("CSG0.html#group24B0", "24B⁰"), =HYPERLINK("CSG3.html#group48J3", "48J³"), =HYPERLINK("CSG0.html#group16C0", "16C⁰"), =HYPERLINK("CSG0.html#group32A0", "32A⁰"), =HYPERLINK("CSG3.html#group48I3", "48I³"), =HYPERLINK("CSG0.html#group6F0", "6F⁰"), =HYPERLINK("CSG0.html#group12E0", "12E⁰")</f>
        <v/>
      </c>
      <c r="N3577" t="inlineStr"/>
    </row>
    <row r="3578">
      <c r="A3578" t="inlineStr">
        <is>
          <t>97A¹³</t>
        </is>
      </c>
      <c r="B3578" t="inlineStr"/>
      <c r="C3578" t="inlineStr">
        <is>
          <t>196</t>
        </is>
      </c>
      <c r="D3578" t="inlineStr">
        <is>
          <t>1</t>
        </is>
      </c>
      <c r="E3578" t="inlineStr">
        <is>
          <t>98</t>
        </is>
      </c>
      <c r="F3578" t="inlineStr">
        <is>
          <t>4</t>
        </is>
      </c>
      <c r="G3578" t="inlineStr">
        <is>
          <t>4</t>
        </is>
      </c>
      <c r="H3578" t="inlineStr">
        <is>
          <t>1², 97²</t>
        </is>
      </c>
      <c r="I3578" t="n">
        <v>4</v>
      </c>
      <c r="J3578" t="inlineStr">
        <is>
          <t>1², 96¹</t>
        </is>
      </c>
      <c r="K3578">
        <f>HYPERLINK("CSG7.html#group97A7", "97A⁷")</f>
        <v/>
      </c>
      <c r="L3578" t="inlineStr"/>
      <c r="M3578">
        <f>HYPERLINK("CSG0.html#group1A0", "1A⁰"), =HYPERLINK("CSG7.html#group97A7", "97A⁷")</f>
        <v/>
      </c>
      <c r="N3578" t="inlineStr"/>
    </row>
    <row r="3579">
      <c r="A3579" t="inlineStr">
        <is>
          <t>100A¹³</t>
        </is>
      </c>
      <c r="B3579" t="inlineStr"/>
      <c r="C3579" t="inlineStr">
        <is>
          <t>180</t>
        </is>
      </c>
      <c r="D3579" t="inlineStr">
        <is>
          <t>1</t>
        </is>
      </c>
      <c r="E3579" t="inlineStr">
        <is>
          <t>90</t>
        </is>
      </c>
      <c r="F3579" t="inlineStr">
        <is>
          <t>0</t>
        </is>
      </c>
      <c r="G3579" t="inlineStr">
        <is>
          <t>0</t>
        </is>
      </c>
      <c r="H3579" t="inlineStr">
        <is>
          <t>5², 20¹, 25², 100¹</t>
        </is>
      </c>
      <c r="I3579" t="n">
        <v>6</v>
      </c>
      <c r="J3579" t="inlineStr">
        <is>
          <t>2⁶, 4¹², 20⁶</t>
        </is>
      </c>
      <c r="K3579">
        <f>HYPERLINK("CSG1.html#group20D1", "20D¹"), =HYPERLINK("CSG6.html#group50A6", "50A⁶")</f>
        <v/>
      </c>
      <c r="L3579" t="inlineStr"/>
      <c r="M3579">
        <f>HYPERLINK("CSG6.html#group50A6", "50A⁶"), =HYPERLINK("CSG2.html#group25A2", "25A²"), =HYPERLINK("CSG0.html#group5B0", "5B⁰"), =HYPERLINK("CSG0.html#group10C0", "10C⁰"), =HYPERLINK("CSG1.html#group20D1", "20D¹"), =HYPERLINK("CSG0.html#group2B0", "2B⁰"), =HYPERLINK("CSG0.html#group4B0", "4B⁰"), =HYPERLINK("CSG0.html#group1A0", "1A⁰")</f>
        <v/>
      </c>
      <c r="N3579" t="inlineStr"/>
    </row>
    <row r="3580">
      <c r="A3580" t="inlineStr">
        <is>
          <t>100B¹³</t>
        </is>
      </c>
      <c r="B3580" t="inlineStr"/>
      <c r="C3580" t="inlineStr">
        <is>
          <t>180</t>
        </is>
      </c>
      <c r="D3580" t="inlineStr">
        <is>
          <t>1</t>
        </is>
      </c>
      <c r="E3580" t="inlineStr">
        <is>
          <t>90</t>
        </is>
      </c>
      <c r="F3580" t="inlineStr">
        <is>
          <t>0</t>
        </is>
      </c>
      <c r="G3580" t="inlineStr">
        <is>
          <t>0</t>
        </is>
      </c>
      <c r="H3580" t="inlineStr">
        <is>
          <t>5², 20¹, 25², 100¹</t>
        </is>
      </c>
      <c r="I3580" t="n">
        <v>6</v>
      </c>
      <c r="J3580" t="inlineStr">
        <is>
          <t>2⁶, 4¹², 20⁶</t>
        </is>
      </c>
      <c r="K3580">
        <f>HYPERLINK("CSG1.html#group20D1", "20D¹"), =HYPERLINK("CSG6.html#group50B6", "50B⁶")</f>
        <v/>
      </c>
      <c r="L3580" t="inlineStr"/>
      <c r="M3580">
        <f>HYPERLINK("CSG0.html#group5B0", "5B⁰"), =HYPERLINK("CSG0.html#group10C0", "10C⁰"), =HYPERLINK("CSG1.html#group20D1", "20D¹"), =HYPERLINK("CSG0.html#group2B0", "2B⁰"), =HYPERLINK("CSG6.html#group50B6", "50B⁶"), =HYPERLINK("CSG0.html#group4B0", "4B⁰"), =HYPERLINK("CSG0.html#group1A0", "1A⁰"), =HYPERLINK("CSG2.html#group25B2", "25B²")</f>
        <v/>
      </c>
      <c r="N3580" t="inlineStr"/>
    </row>
    <row r="3581">
      <c r="A3581" t="inlineStr">
        <is>
          <t>100C¹³</t>
        </is>
      </c>
      <c r="B3581" t="inlineStr"/>
      <c r="C3581" t="inlineStr">
        <is>
          <t>180</t>
        </is>
      </c>
      <c r="D3581" t="inlineStr">
        <is>
          <t>1</t>
        </is>
      </c>
      <c r="E3581" t="inlineStr">
        <is>
          <t>90</t>
        </is>
      </c>
      <c r="F3581" t="inlineStr">
        <is>
          <t>0</t>
        </is>
      </c>
      <c r="G3581" t="inlineStr">
        <is>
          <t>0</t>
        </is>
      </c>
      <c r="H3581" t="inlineStr">
        <is>
          <t>5², 20¹, 25², 100¹</t>
        </is>
      </c>
      <c r="I3581" t="n">
        <v>6</v>
      </c>
      <c r="J3581" t="inlineStr">
        <is>
          <t>2⁶, 4¹², 20⁶</t>
        </is>
      </c>
      <c r="K3581">
        <f>HYPERLINK("CSG1.html#group20D1", "20D¹"), =HYPERLINK("CSG6.html#group50C6", "50C⁶")</f>
        <v/>
      </c>
      <c r="L3581" t="inlineStr"/>
      <c r="M3581">
        <f>HYPERLINK("CSG6.html#group50C6", "50C⁶"), =HYPERLINK("CSG0.html#group5B0", "5B⁰"), =HYPERLINK("CSG0.html#group10C0", "10C⁰"), =HYPERLINK("CSG1.html#group20D1", "20D¹"), =HYPERLINK("CSG0.html#group2B0", "2B⁰"), =HYPERLINK("CSG0.html#group4B0", "4B⁰"), =HYPERLINK("CSG0.html#group1A0", "1A⁰"), =HYPERLINK("CSG2.html#group25C2", "25C²")</f>
        <v/>
      </c>
      <c r="N3581" t="inlineStr"/>
    </row>
    <row r="3582">
      <c r="A3582" t="inlineStr">
        <is>
          <t>100D¹³</t>
        </is>
      </c>
      <c r="B3582" t="inlineStr"/>
      <c r="C3582" t="inlineStr">
        <is>
          <t>180</t>
        </is>
      </c>
      <c r="D3582" t="inlineStr">
        <is>
          <t>1</t>
        </is>
      </c>
      <c r="E3582" t="inlineStr">
        <is>
          <t>90</t>
        </is>
      </c>
      <c r="F3582" t="inlineStr">
        <is>
          <t>0</t>
        </is>
      </c>
      <c r="G3582" t="inlineStr">
        <is>
          <t>0</t>
        </is>
      </c>
      <c r="H3582" t="inlineStr">
        <is>
          <t>5², 20¹, 25², 100¹</t>
        </is>
      </c>
      <c r="I3582" t="n">
        <v>6</v>
      </c>
      <c r="J3582" t="inlineStr">
        <is>
          <t>2⁶, 4¹², 20⁶</t>
        </is>
      </c>
      <c r="K3582">
        <f>HYPERLINK("CSG1.html#group20D1", "20D¹"), =HYPERLINK("CSG6.html#group50D6", "50D⁶")</f>
        <v/>
      </c>
      <c r="L3582" t="inlineStr"/>
      <c r="M3582">
        <f>HYPERLINK("CSG6.html#group50D6", "50D⁶"), =HYPERLINK("CSG0.html#group5B0", "5B⁰"), =HYPERLINK("CSG0.html#group10C0", "10C⁰"), =HYPERLINK("CSG1.html#group20D1", "20D¹"), =HYPERLINK("CSG0.html#group2B0", "2B⁰"), =HYPERLINK("CSG0.html#group4B0", "4B⁰"), =HYPERLINK("CSG0.html#group1A0", "1A⁰"), =HYPERLINK("CSG2.html#group25D2", "25D²")</f>
        <v/>
      </c>
      <c r="N3582" t="inlineStr"/>
    </row>
    <row r="3583">
      <c r="A3583" t="inlineStr">
        <is>
          <t>100E¹³</t>
        </is>
      </c>
      <c r="B3583" t="inlineStr"/>
      <c r="C3583" t="inlineStr">
        <is>
          <t>180</t>
        </is>
      </c>
      <c r="D3583" t="inlineStr">
        <is>
          <t>1</t>
        </is>
      </c>
      <c r="E3583" t="inlineStr">
        <is>
          <t>90</t>
        </is>
      </c>
      <c r="F3583" t="inlineStr">
        <is>
          <t>4</t>
        </is>
      </c>
      <c r="G3583" t="inlineStr">
        <is>
          <t>0</t>
        </is>
      </c>
      <c r="H3583" t="inlineStr">
        <is>
          <t>10¹, 20¹, 50¹, 100¹</t>
        </is>
      </c>
      <c r="I3583" t="n">
        <v>4</v>
      </c>
      <c r="J3583" t="inlineStr">
        <is>
          <t>2⁶, 4¹², 20⁶</t>
        </is>
      </c>
      <c r="K3583">
        <f>HYPERLINK("CSG1.html#group20E1", "20E¹"), =HYPERLINK("CSG6.html#group50A6", "50A⁶")</f>
        <v/>
      </c>
      <c r="L3583" t="inlineStr"/>
      <c r="M3583">
        <f>HYPERLINK("CSG1.html#group20E1", "20E¹"), =HYPERLINK("CSG6.html#group50A6", "50A⁶"), =HYPERLINK("CSG2.html#group25A2", "25A²"), =HYPERLINK("CSG0.html#group4C0", "4C⁰"), =HYPERLINK("CSG0.html#group5B0", "5B⁰"), =HYPERLINK("CSG0.html#group10C0", "10C⁰"), =HYPERLINK("CSG0.html#group2B0", "2B⁰"), =HYPERLINK("CSG0.html#group1A0", "1A⁰")</f>
        <v/>
      </c>
      <c r="N3583" t="inlineStr"/>
    </row>
    <row r="3584">
      <c r="A3584" t="inlineStr">
        <is>
          <t>100F¹³</t>
        </is>
      </c>
      <c r="B3584" t="inlineStr"/>
      <c r="C3584" t="inlineStr">
        <is>
          <t>180</t>
        </is>
      </c>
      <c r="D3584" t="inlineStr">
        <is>
          <t>1</t>
        </is>
      </c>
      <c r="E3584" t="inlineStr">
        <is>
          <t>90</t>
        </is>
      </c>
      <c r="F3584" t="inlineStr">
        <is>
          <t>4</t>
        </is>
      </c>
      <c r="G3584" t="inlineStr">
        <is>
          <t>0</t>
        </is>
      </c>
      <c r="H3584" t="inlineStr">
        <is>
          <t>10¹, 20¹, 50¹, 100¹</t>
        </is>
      </c>
      <c r="I3584" t="n">
        <v>4</v>
      </c>
      <c r="J3584" t="inlineStr">
        <is>
          <t>2⁶, 4¹², 20⁶</t>
        </is>
      </c>
      <c r="K3584">
        <f>HYPERLINK("CSG1.html#group20E1", "20E¹"), =HYPERLINK("CSG6.html#group50B6", "50B⁶")</f>
        <v/>
      </c>
      <c r="L3584" t="inlineStr"/>
      <c r="M3584">
        <f>HYPERLINK("CSG1.html#group20E1", "20E¹"), =HYPERLINK("CSG0.html#group4C0", "4C⁰"), =HYPERLINK("CSG0.html#group5B0", "5B⁰"), =HYPERLINK("CSG0.html#group10C0", "10C⁰"), =HYPERLINK("CSG0.html#group2B0", "2B⁰"), =HYPERLINK("CSG6.html#group50B6", "50B⁶"), =HYPERLINK("CSG0.html#group1A0", "1A⁰"), =HYPERLINK("CSG2.html#group25B2", "25B²")</f>
        <v/>
      </c>
      <c r="N3584" t="inlineStr"/>
    </row>
    <row r="3585">
      <c r="A3585" t="inlineStr">
        <is>
          <t>100G¹³</t>
        </is>
      </c>
      <c r="B3585" t="inlineStr"/>
      <c r="C3585" t="inlineStr">
        <is>
          <t>180</t>
        </is>
      </c>
      <c r="D3585" t="inlineStr">
        <is>
          <t>1</t>
        </is>
      </c>
      <c r="E3585" t="inlineStr">
        <is>
          <t>90</t>
        </is>
      </c>
      <c r="F3585" t="inlineStr">
        <is>
          <t>4</t>
        </is>
      </c>
      <c r="G3585" t="inlineStr">
        <is>
          <t>0</t>
        </is>
      </c>
      <c r="H3585" t="inlineStr">
        <is>
          <t>10¹, 20¹, 50¹, 100¹</t>
        </is>
      </c>
      <c r="I3585" t="n">
        <v>4</v>
      </c>
      <c r="J3585" t="inlineStr">
        <is>
          <t>2⁶, 4¹², 20⁶</t>
        </is>
      </c>
      <c r="K3585">
        <f>HYPERLINK("CSG1.html#group20E1", "20E¹"), =HYPERLINK("CSG6.html#group50C6", "50C⁶")</f>
        <v/>
      </c>
      <c r="L3585" t="inlineStr"/>
      <c r="M3585">
        <f>HYPERLINK("CSG1.html#group20E1", "20E¹"), =HYPERLINK("CSG6.html#group50C6", "50C⁶"), =HYPERLINK("CSG0.html#group4C0", "4C⁰"), =HYPERLINK("CSG0.html#group5B0", "5B⁰"), =HYPERLINK("CSG0.html#group10C0", "10C⁰"), =HYPERLINK("CSG0.html#group2B0", "2B⁰"), =HYPERLINK("CSG0.html#group1A0", "1A⁰"), =HYPERLINK("CSG2.html#group25C2", "25C²")</f>
        <v/>
      </c>
      <c r="N3585" t="inlineStr"/>
    </row>
    <row r="3586">
      <c r="A3586" t="inlineStr">
        <is>
          <t>100H¹³</t>
        </is>
      </c>
      <c r="B3586" t="inlineStr"/>
      <c r="C3586" t="inlineStr">
        <is>
          <t>180</t>
        </is>
      </c>
      <c r="D3586" t="inlineStr">
        <is>
          <t>1</t>
        </is>
      </c>
      <c r="E3586" t="inlineStr">
        <is>
          <t>90</t>
        </is>
      </c>
      <c r="F3586" t="inlineStr">
        <is>
          <t>4</t>
        </is>
      </c>
      <c r="G3586" t="inlineStr">
        <is>
          <t>0</t>
        </is>
      </c>
      <c r="H3586" t="inlineStr">
        <is>
          <t>10¹, 20¹, 50¹, 100¹</t>
        </is>
      </c>
      <c r="I3586" t="n">
        <v>4</v>
      </c>
      <c r="J3586" t="inlineStr">
        <is>
          <t>2⁶, 4¹², 20⁶</t>
        </is>
      </c>
      <c r="K3586">
        <f>HYPERLINK("CSG1.html#group20E1", "20E¹"), =HYPERLINK("CSG6.html#group50D6", "50D⁶")</f>
        <v/>
      </c>
      <c r="L3586" t="inlineStr"/>
      <c r="M3586">
        <f>HYPERLINK("CSG1.html#group20E1", "20E¹"), =HYPERLINK("CSG6.html#group50D6", "50D⁶"), =HYPERLINK("CSG0.html#group4C0", "4C⁰"), =HYPERLINK("CSG0.html#group5B0", "5B⁰"), =HYPERLINK("CSG0.html#group10C0", "10C⁰"), =HYPERLINK("CSG0.html#group2B0", "2B⁰"), =HYPERLINK("CSG0.html#group1A0", "1A⁰"), =HYPERLINK("CSG2.html#group25D2", "25D²")</f>
        <v/>
      </c>
      <c r="N3586" t="inlineStr"/>
    </row>
    <row r="3587">
      <c r="A3587" t="inlineStr">
        <is>
          <t>100I¹³</t>
        </is>
      </c>
      <c r="B3587" t="inlineStr"/>
      <c r="C3587" t="inlineStr">
        <is>
          <t>240</t>
        </is>
      </c>
      <c r="D3587" t="inlineStr">
        <is>
          <t>1</t>
        </is>
      </c>
      <c r="E3587" t="inlineStr">
        <is>
          <t>120</t>
        </is>
      </c>
      <c r="F3587" t="inlineStr">
        <is>
          <t>8</t>
        </is>
      </c>
      <c r="G3587" t="inlineStr">
        <is>
          <t>0</t>
        </is>
      </c>
      <c r="H3587" t="inlineStr">
        <is>
          <t>4¹⁰, 100²</t>
        </is>
      </c>
      <c r="I3587" t="n">
        <v>12</v>
      </c>
      <c r="J3587" t="inlineStr">
        <is>
          <t>2⁴, 8⁴, 40²</t>
        </is>
      </c>
      <c r="K3587">
        <f>HYPERLINK("CSG1.html#group20G1", "20G¹"), =HYPERLINK("CSG2.html#group50A2", "50A²"), =HYPERLINK("CSG7.html#group100A7", "100A⁷")</f>
        <v/>
      </c>
      <c r="L3587" t="inlineStr"/>
      <c r="M3587">
        <f>HYPERLINK("CSG7.html#group100A7", "100A⁷"), =HYPERLINK("CSG0.html#group4A0", "4A⁰"), =HYPERLINK("CSG2.html#group50A2", "50A²"), =HYPERLINK("CSG1.html#group20G1", "20G¹"), =HYPERLINK("CSG0.html#group25A0", "25A⁰"), =HYPERLINK("CSG0.html#group5B0", "5B⁰"), =HYPERLINK("CSG0.html#group1A0", "1A⁰"), =HYPERLINK("CSG1.html#group20B1", "20B¹"), =HYPERLINK("CSG0.html#group10B0", "10B⁰")</f>
        <v/>
      </c>
      <c r="N3587" t="inlineStr"/>
    </row>
    <row r="3588">
      <c r="A3588" t="inlineStr">
        <is>
          <t>100J¹³</t>
        </is>
      </c>
      <c r="B3588" t="inlineStr"/>
      <c r="C3588" t="inlineStr">
        <is>
          <t>360</t>
        </is>
      </c>
      <c r="D3588" t="inlineStr">
        <is>
          <t>1</t>
        </is>
      </c>
      <c r="E3588" t="inlineStr">
        <is>
          <t>18</t>
        </is>
      </c>
      <c r="F3588" t="inlineStr">
        <is>
          <t>0</t>
        </is>
      </c>
      <c r="G3588" t="inlineStr">
        <is>
          <t>0</t>
        </is>
      </c>
      <c r="H3588" t="inlineStr">
        <is>
          <t>1²⁰, 4¹⁰, 25⁴, 100²</t>
        </is>
      </c>
      <c r="I3588" t="n">
        <v>36</v>
      </c>
      <c r="J3588" t="inlineStr">
        <is>
          <t>1⁶, 4³</t>
        </is>
      </c>
      <c r="K3588">
        <f>HYPERLINK("CSG1.html#group20H1", "20H¹"), =HYPERLINK("CSG4.html#group50F4", "50F⁴"), =HYPERLINK("CSG6.html#group100A6", "100A⁶"), =HYPERLINK("CSG7.html#group100C7", "100C⁷")</f>
        <v/>
      </c>
      <c r="L3588" t="inlineStr"/>
      <c r="M3588">
        <f>HYPERLINK("CSG6.html#group100A6", "100A⁶"), =HYPERLINK("CSG4.html#group50F4", "50F⁴"), =HYPERLINK("CSG0.html#group5B0", "5B⁰"), =HYPERLINK("CSG0.html#group5D0", "5D⁰"), =HYPERLINK("CSG0.html#group2B0", "2B⁰"), =HYPERLINK("CSG1.html#group20D1", "20D¹"), =HYPERLINK("CSG1.html#group20H1", "20H¹"), =HYPERLINK("CSG0.html#group4B0", "4B⁰"), =HYPERLINK("CSG2.html#group50B2", "50B²"), =HYPERLINK("CSG0.html#group1A0", "1A⁰"), =HYPERLINK("CSG0.html#group10F0", "10F⁰"), =HYPERLINK("CSG7.html#group100C7", "100C⁷"), =HYPERLINK("CSG0.html#group20A0", "20A⁰"), =HYPERLINK("CSG0.html#group25A0", "25A⁰"), =HYPERLINK("CSG0.html#group10C0", "10C⁰"), =HYPERLINK("CSG0.html#group25B0", "25B⁰")</f>
        <v/>
      </c>
      <c r="N3588" t="inlineStr"/>
    </row>
    <row r="3589">
      <c r="A3589" t="inlineStr">
        <is>
          <t>102A¹³</t>
        </is>
      </c>
      <c r="B3589" t="inlineStr"/>
      <c r="C3589" t="inlineStr">
        <is>
          <t>216</t>
        </is>
      </c>
      <c r="D3589" t="inlineStr">
        <is>
          <t>1</t>
        </is>
      </c>
      <c r="E3589" t="inlineStr">
        <is>
          <t>54</t>
        </is>
      </c>
      <c r="F3589" t="inlineStr">
        <is>
          <t>16</t>
        </is>
      </c>
      <c r="G3589" t="inlineStr">
        <is>
          <t>0</t>
        </is>
      </c>
      <c r="H3589" t="inlineStr">
        <is>
          <t>6², 102²</t>
        </is>
      </c>
      <c r="I3589" t="n">
        <v>4</v>
      </c>
      <c r="J3589" t="inlineStr">
        <is>
          <t>1², 2², 16¹, 32¹</t>
        </is>
      </c>
      <c r="K3589">
        <f>HYPERLINK("CSG5.html#group51B5", "51B⁵")</f>
        <v/>
      </c>
      <c r="L3589" t="inlineStr"/>
      <c r="M3589">
        <f>HYPERLINK("CSG1.html#group17A1", "17A¹"), =HYPERLINK("CSG5.html#group51B5", "51B⁵"), =HYPERLINK("CSG3.html#group51A3", "51A³"), =HYPERLINK("CSG0.html#group3A0", "3A⁰"), =HYPERLINK("CSG0.html#group1A0", "1A⁰"), =HYPERLINK("CSG1.html#group17B1", "17B¹")</f>
        <v/>
      </c>
      <c r="N3589" t="inlineStr"/>
    </row>
    <row r="3590">
      <c r="A3590" t="inlineStr">
        <is>
          <t>102B¹³</t>
        </is>
      </c>
      <c r="B3590" t="inlineStr"/>
      <c r="C3590" t="inlineStr">
        <is>
          <t>216</t>
        </is>
      </c>
      <c r="D3590" t="inlineStr">
        <is>
          <t>1</t>
        </is>
      </c>
      <c r="E3590" t="inlineStr">
        <is>
          <t>54</t>
        </is>
      </c>
      <c r="F3590" t="inlineStr">
        <is>
          <t>16</t>
        </is>
      </c>
      <c r="G3590" t="inlineStr">
        <is>
          <t>0</t>
        </is>
      </c>
      <c r="H3590" t="inlineStr">
        <is>
          <t>6², 102²</t>
        </is>
      </c>
      <c r="I3590" t="n">
        <v>4</v>
      </c>
      <c r="J3590" t="inlineStr">
        <is>
          <t>1², 2², 16¹, 32¹</t>
        </is>
      </c>
      <c r="K3590">
        <f>HYPERLINK("CSG5.html#group51B5", "51B⁵"), =HYPERLINK("CSG7.html#group102A7", "102A⁷"), =HYPERLINK("CSG7.html#group102B7", "102B⁷")</f>
        <v/>
      </c>
      <c r="L3590" t="inlineStr"/>
      <c r="M3590">
        <f>HYPERLINK("CSG0.html#group6B0", "6B⁰"), =HYPERLINK("CSG3.html#group51A3", "51A³"), =HYPERLINK("CSG7.html#group102B7", "102B⁷"), =HYPERLINK("CSG1.html#group17B1", "17B¹"), =HYPERLINK("CSG1.html#group17A1", "17A¹"), =HYPERLINK("CSG5.html#group51B5", "51B⁵"), =HYPERLINK("CSG7.html#group102A7", "102A⁷"), =HYPERLINK("CSG0.html#group3A0", "3A⁰"), =HYPERLINK("CSG0.html#group1A0", "1A⁰")</f>
        <v/>
      </c>
      <c r="N3590" t="inlineStr"/>
    </row>
    <row r="3591">
      <c r="A3591" t="inlineStr">
        <is>
          <t>104A¹³</t>
        </is>
      </c>
      <c r="B3591" t="inlineStr"/>
      <c r="C3591" t="inlineStr">
        <is>
          <t>168</t>
        </is>
      </c>
      <c r="D3591" t="inlineStr">
        <is>
          <t>1</t>
        </is>
      </c>
      <c r="E3591" t="inlineStr">
        <is>
          <t>42</t>
        </is>
      </c>
      <c r="F3591" t="inlineStr">
        <is>
          <t>0</t>
        </is>
      </c>
      <c r="G3591" t="inlineStr">
        <is>
          <t>0</t>
        </is>
      </c>
      <c r="H3591" t="inlineStr">
        <is>
          <t>4¹, 8¹, 52¹, 104¹</t>
        </is>
      </c>
      <c r="I3591" t="n">
        <v>4</v>
      </c>
      <c r="J3591" t="inlineStr">
        <is>
          <t>1⁶, 12³</t>
        </is>
      </c>
      <c r="K3591">
        <f>HYPERLINK("CSG5.html#group52B5", "52B⁵")</f>
        <v/>
      </c>
      <c r="L3591" t="inlineStr"/>
      <c r="M3591">
        <f>HYPERLINK("CSG0.html#group13A0", "13A⁰"), =HYPERLINK("CSG5.html#group52B5", "52B⁵"), =HYPERLINK("CSG0.html#group2B0", "2B⁰"), =HYPERLINK("CSG0.html#group1A0", "1A⁰"), =HYPERLINK("CSG2.html#group26A2", "26A²"), =HYPERLINK("CSG0.html#group4C0", "4C⁰")</f>
        <v/>
      </c>
      <c r="N3591" t="inlineStr"/>
    </row>
    <row r="3592">
      <c r="A3592" t="inlineStr">
        <is>
          <t>104B¹³</t>
        </is>
      </c>
      <c r="B3592" t="inlineStr"/>
      <c r="C3592" t="inlineStr">
        <is>
          <t>168</t>
        </is>
      </c>
      <c r="D3592" t="inlineStr">
        <is>
          <t>1</t>
        </is>
      </c>
      <c r="E3592" t="inlineStr">
        <is>
          <t>42</t>
        </is>
      </c>
      <c r="F3592" t="inlineStr">
        <is>
          <t>0</t>
        </is>
      </c>
      <c r="G3592" t="inlineStr">
        <is>
          <t>0</t>
        </is>
      </c>
      <c r="H3592" t="inlineStr">
        <is>
          <t>4¹, 8¹, 52¹, 104¹</t>
        </is>
      </c>
      <c r="I3592" t="n">
        <v>4</v>
      </c>
      <c r="J3592" t="inlineStr">
        <is>
          <t>1⁶, 12³</t>
        </is>
      </c>
      <c r="K3592">
        <f>HYPERLINK("CSG1.html#group8A1", "8A¹"), =HYPERLINK("CSG5.html#group52B5", "52B⁵")</f>
        <v/>
      </c>
      <c r="L3592" t="inlineStr"/>
      <c r="M3592">
        <f>HYPERLINK("CSG0.html#group13A0", "13A⁰"), =HYPERLINK("CSG5.html#group52B5", "52B⁵"), =HYPERLINK("CSG0.html#group2B0", "2B⁰"), =HYPERLINK("CSG1.html#group8A1", "8A¹"), =HYPERLINK("CSG0.html#group1A0", "1A⁰"), =HYPERLINK("CSG2.html#group26A2", "26A²"), =HYPERLINK("CSG0.html#group4C0", "4C⁰")</f>
        <v/>
      </c>
      <c r="N3592" t="inlineStr"/>
    </row>
    <row r="3593">
      <c r="A3593" t="inlineStr">
        <is>
          <t>104C¹³</t>
        </is>
      </c>
      <c r="B3593" t="inlineStr"/>
      <c r="C3593" t="inlineStr">
        <is>
          <t>224</t>
        </is>
      </c>
      <c r="D3593" t="inlineStr">
        <is>
          <t>1</t>
        </is>
      </c>
      <c r="E3593" t="inlineStr">
        <is>
          <t>56</t>
        </is>
      </c>
      <c r="F3593" t="inlineStr">
        <is>
          <t>8</t>
        </is>
      </c>
      <c r="G3593" t="inlineStr">
        <is>
          <t>8</t>
        </is>
      </c>
      <c r="H3593" t="inlineStr">
        <is>
          <t>8², 104²</t>
        </is>
      </c>
      <c r="I3593" t="n">
        <v>4</v>
      </c>
      <c r="J3593" t="inlineStr">
        <is>
          <t>4⁴, 48²</t>
        </is>
      </c>
      <c r="K3593">
        <f>HYPERLINK("CSG5.html#group52C5", "52C⁵")</f>
        <v/>
      </c>
      <c r="L3593" t="inlineStr"/>
      <c r="M3593">
        <f>HYPERLINK("CSG0.html#group13A0", "13A⁰"), =HYPERLINK("CSG0.html#group26A0", "26A⁰"), =HYPERLINK("CSG3.html#group52A3", "52A³"), =HYPERLINK("CSG0.html#group1A0", "1A⁰"), =HYPERLINK("CSG0.html#group4A0", "4A⁰"), =HYPERLINK("CSG5.html#group52C5", "52C⁵")</f>
        <v/>
      </c>
      <c r="N3593" t="inlineStr"/>
    </row>
    <row r="3594">
      <c r="A3594" t="inlineStr">
        <is>
          <t>104D¹³</t>
        </is>
      </c>
      <c r="B3594" t="inlineStr"/>
      <c r="C3594" t="inlineStr">
        <is>
          <t>224</t>
        </is>
      </c>
      <c r="D3594" t="inlineStr">
        <is>
          <t>1</t>
        </is>
      </c>
      <c r="E3594" t="inlineStr">
        <is>
          <t>56</t>
        </is>
      </c>
      <c r="F3594" t="inlineStr">
        <is>
          <t>8</t>
        </is>
      </c>
      <c r="G3594" t="inlineStr">
        <is>
          <t>8</t>
        </is>
      </c>
      <c r="H3594" t="inlineStr">
        <is>
          <t>8², 104²</t>
        </is>
      </c>
      <c r="I3594" t="n">
        <v>4</v>
      </c>
      <c r="J3594" t="inlineStr">
        <is>
          <t>4⁴, 48²</t>
        </is>
      </c>
      <c r="K3594">
        <f>HYPERLINK("CSG5.html#group52C5", "52C⁵")</f>
        <v/>
      </c>
      <c r="L3594" t="inlineStr"/>
      <c r="M3594">
        <f>HYPERLINK("CSG0.html#group13A0", "13A⁰"), =HYPERLINK("CSG0.html#group26A0", "26A⁰"), =HYPERLINK("CSG3.html#group52A3", "52A³"), =HYPERLINK("CSG0.html#group1A0", "1A⁰"), =HYPERLINK("CSG0.html#group4A0", "4A⁰"), =HYPERLINK("CSG5.html#group52C5", "52C⁵")</f>
        <v/>
      </c>
      <c r="N3594" t="inlineStr"/>
    </row>
    <row r="3595">
      <c r="A3595" t="inlineStr">
        <is>
          <t>104E¹³</t>
        </is>
      </c>
      <c r="B3595" t="inlineStr"/>
      <c r="C3595" t="inlineStr">
        <is>
          <t>224</t>
        </is>
      </c>
      <c r="D3595" t="inlineStr">
        <is>
          <t>2</t>
        </is>
      </c>
      <c r="E3595" t="inlineStr">
        <is>
          <t>56</t>
        </is>
      </c>
      <c r="F3595" t="inlineStr">
        <is>
          <t>8</t>
        </is>
      </c>
      <c r="G3595" t="inlineStr">
        <is>
          <t>8</t>
        </is>
      </c>
      <c r="H3595" t="inlineStr">
        <is>
          <t>8², 104²</t>
        </is>
      </c>
      <c r="I3595" t="n">
        <v>4</v>
      </c>
      <c r="J3595" t="inlineStr">
        <is>
          <t>4⁴, 48²</t>
        </is>
      </c>
      <c r="K3595">
        <f>HYPERLINK("CSG5.html#group52C5", "52C⁵"), =HYPERLINK("CSG7.html#group104A7", "104A⁷"), =HYPERLINK("CSG7.html#group104B7", "104B⁷")</f>
        <v/>
      </c>
      <c r="L3595" t="inlineStr"/>
      <c r="M3595">
        <f>HYPERLINK("CSG3.html#group52A3", "52A³"), =HYPERLINK("CSG7.html#group104B7", "104B⁷"), =HYPERLINK("CSG0.html#group4A0", "4A⁰"), =HYPERLINK("CSG0.html#group8A0", "8A⁰"), =HYPERLINK("CSG0.html#group13A0", "13A⁰"), =HYPERLINK("CSG7.html#group104A7", "104A⁷"), =HYPERLINK("CSG0.html#group26A0", "26A⁰"), =HYPERLINK("CSG0.html#group1A0", "1A⁰"), =HYPERLINK("CSG5.html#group52C5", "52C⁵")</f>
        <v/>
      </c>
      <c r="N3595" t="inlineStr"/>
    </row>
    <row r="3596">
      <c r="A3596" t="inlineStr">
        <is>
          <t>105A¹³</t>
        </is>
      </c>
      <c r="B3596" t="inlineStr"/>
      <c r="C3596" t="inlineStr">
        <is>
          <t>168</t>
        </is>
      </c>
      <c r="D3596" t="inlineStr">
        <is>
          <t>2</t>
        </is>
      </c>
      <c r="E3596" t="inlineStr">
        <is>
          <t>168</t>
        </is>
      </c>
      <c r="F3596" t="inlineStr">
        <is>
          <t>0</t>
        </is>
      </c>
      <c r="G3596" t="inlineStr">
        <is>
          <t>0</t>
        </is>
      </c>
      <c r="H3596" t="inlineStr">
        <is>
          <t>7¹, 21¹, 35¹, 105¹</t>
        </is>
      </c>
      <c r="I3596" t="n">
        <v>4</v>
      </c>
      <c r="J3596" t="inlineStr">
        <is>
          <t>2⁴, 4², 6⁸, 8², 12⁴, 16¹, 24⁴, 48²</t>
        </is>
      </c>
      <c r="K3596">
        <f>HYPERLINK("CSG1.html#group15C1", "15C¹"), =HYPERLINK("CSG2.html#group21B2", "21B²"), =HYPERLINK("CSG2.html#group35C2", "35C²")</f>
        <v/>
      </c>
      <c r="L3596" t="inlineStr"/>
      <c r="M3596">
        <f>HYPERLINK("CSG2.html#group35C2", "35C²"), =HYPERLINK("CSG1.html#group15C1", "15C¹"), =HYPERLINK("CSG0.html#group3B0", "3B⁰"), =HYPERLINK("CSG2.html#group21B2", "21B²"), =HYPERLINK("CSG0.html#group5B0", "5B⁰"), =HYPERLINK("CSG0.html#group1A0", "1A⁰"), =HYPERLINK("CSG0.html#group7A0", "7A⁰")</f>
        <v/>
      </c>
      <c r="N3596" t="inlineStr"/>
    </row>
    <row r="3597">
      <c r="A3597" t="inlineStr">
        <is>
          <t>105B¹³</t>
        </is>
      </c>
      <c r="B3597" t="inlineStr">
        <is>
          <t>Γ₀(105)</t>
        </is>
      </c>
      <c r="C3597" t="inlineStr">
        <is>
          <t>192</t>
        </is>
      </c>
      <c r="D3597" t="inlineStr">
        <is>
          <t>1</t>
        </is>
      </c>
      <c r="E3597" t="inlineStr">
        <is>
          <t>192</t>
        </is>
      </c>
      <c r="F3597" t="inlineStr">
        <is>
          <t>0</t>
        </is>
      </c>
      <c r="G3597" t="inlineStr">
        <is>
          <t>0</t>
        </is>
      </c>
      <c r="H3597" t="inlineStr">
        <is>
          <t>1¹, 3¹, 5¹, 7¹, 15¹, 21¹, 35¹, 105¹</t>
        </is>
      </c>
      <c r="I3597" t="n">
        <v>8</v>
      </c>
      <c r="J3597" t="inlineStr">
        <is>
          <t>1⁸, 2⁴, 4⁴, 6⁴, 8², 12², 24², 48¹</t>
        </is>
      </c>
      <c r="K3597">
        <f>HYPERLINK("CSG1.html#group15C1", "15C¹"), =HYPERLINK("CSG1.html#group21B1", "21B¹"), =HYPERLINK("CSG3.html#group35A3", "35A³")</f>
        <v/>
      </c>
      <c r="L3597" t="inlineStr"/>
      <c r="M3597">
        <f>HYPERLINK("CSG1.html#group15C1", "15C¹"), =HYPERLINK("CSG0.html#group3B0", "3B⁰"), =HYPERLINK("CSG1.html#group21B1", "21B¹"), =HYPERLINK("CSG0.html#group7B0", "7B⁰"), =HYPERLINK("CSG0.html#group5B0", "5B⁰"), =HYPERLINK("CSG0.html#group1A0", "1A⁰"), =HYPERLINK("CSG3.html#group35A3", "35A³")</f>
        <v/>
      </c>
      <c r="N3597" t="inlineStr"/>
    </row>
    <row r="3598">
      <c r="A3598" t="inlineStr">
        <is>
          <t>105C¹³</t>
        </is>
      </c>
      <c r="B3598" t="inlineStr"/>
      <c r="C3598" t="inlineStr">
        <is>
          <t>210</t>
        </is>
      </c>
      <c r="D3598" t="inlineStr">
        <is>
          <t>2</t>
        </is>
      </c>
      <c r="E3598" t="inlineStr">
        <is>
          <t>70</t>
        </is>
      </c>
      <c r="F3598" t="inlineStr">
        <is>
          <t>18</t>
        </is>
      </c>
      <c r="G3598" t="inlineStr">
        <is>
          <t>0</t>
        </is>
      </c>
      <c r="H3598" t="inlineStr">
        <is>
          <t>105²</t>
        </is>
      </c>
      <c r="I3598" t="n">
        <v>2</v>
      </c>
      <c r="J3598" t="inlineStr">
        <is>
          <t>4¹, 8², 12², 24⁴</t>
        </is>
      </c>
      <c r="K3598">
        <f>HYPERLINK("CSG0.html#group21A0", "21A⁰"), =HYPERLINK("CSG1.html#group15D1", "15D¹"), =HYPERLINK("CSG4.html#group35B4", "35B⁴")</f>
        <v/>
      </c>
      <c r="L3598" t="inlineStr"/>
      <c r="M3598">
        <f>HYPERLINK("CSG1.html#group15D1", "15D¹"), =HYPERLINK("CSG4.html#group35B4", "35B⁴"), =HYPERLINK("CSG0.html#group5C0", "5C⁰"), =HYPERLINK("CSG0.html#group21A0", "21A⁰"), =HYPERLINK("CSG0.html#group3A0", "3A⁰"), =HYPERLINK("CSG0.html#group1A0", "1A⁰"), =HYPERLINK("CSG0.html#group7A0", "7A⁰")</f>
        <v/>
      </c>
      <c r="N3598" t="inlineStr"/>
    </row>
    <row r="3599">
      <c r="A3599" t="inlineStr">
        <is>
          <t>108A¹³</t>
        </is>
      </c>
      <c r="B3599" t="inlineStr"/>
      <c r="C3599" t="inlineStr">
        <is>
          <t>216</t>
        </is>
      </c>
      <c r="D3599" t="inlineStr">
        <is>
          <t>1</t>
        </is>
      </c>
      <c r="E3599" t="inlineStr">
        <is>
          <t>36</t>
        </is>
      </c>
      <c r="F3599" t="inlineStr">
        <is>
          <t>0</t>
        </is>
      </c>
      <c r="G3599" t="inlineStr">
        <is>
          <t>0</t>
        </is>
      </c>
      <c r="H3599" t="inlineStr">
        <is>
          <t>2³, 4³, 6², 12², 54¹, 108¹</t>
        </is>
      </c>
      <c r="I3599" t="n">
        <v>12</v>
      </c>
      <c r="J3599" t="inlineStr">
        <is>
          <t>1⁶, 2⁶, 6³</t>
        </is>
      </c>
      <c r="K3599">
        <f>HYPERLINK("CSG3.html#group36G3", "36G³"), =HYPERLINK("CSG4.html#group54E4", "54E⁴")</f>
        <v/>
      </c>
      <c r="L3599" t="inlineStr"/>
      <c r="M3599">
        <f>HYPERLINK("CSG0.html#group3B0", "3B⁰"), =HYPERLINK("CSG0.html#group18E0", "18E⁰"), =HYPERLINK("CSG1.html#group27A1", "27A¹"), =HYPERLINK("CSG1.html#group12F1", "12F¹"), =HYPERLINK("CSG0.html#group4C0", "4C⁰"), =HYPERLINK("CSG0.html#group6F0", "6F⁰"), =HYPERLINK("CSG0.html#group9B0", "9B⁰"), =HYPERLINK("CSG0.html#group2B0", "2B⁰"), =HYPERLINK("CSG0.html#group1A0", "1A⁰"), =HYPERLINK("CSG3.html#group36G3", "36G³"), =HYPERLINK("CSG4.html#group54E4", "54E⁴")</f>
        <v/>
      </c>
      <c r="N3599" t="inlineStr"/>
    </row>
    <row r="3600">
      <c r="A3600" t="inlineStr">
        <is>
          <t>108B¹³</t>
        </is>
      </c>
      <c r="B3600" t="inlineStr"/>
      <c r="C3600" t="inlineStr">
        <is>
          <t>216</t>
        </is>
      </c>
      <c r="D3600" t="inlineStr">
        <is>
          <t>1</t>
        </is>
      </c>
      <c r="E3600" t="inlineStr">
        <is>
          <t>36</t>
        </is>
      </c>
      <c r="F3600" t="inlineStr">
        <is>
          <t>0</t>
        </is>
      </c>
      <c r="G3600" t="inlineStr">
        <is>
          <t>0</t>
        </is>
      </c>
      <c r="H3600" t="inlineStr">
        <is>
          <t>3⁶, 12³, 27², 108¹</t>
        </is>
      </c>
      <c r="I3600" t="n">
        <v>12</v>
      </c>
      <c r="J3600" t="inlineStr">
        <is>
          <t>1⁶, 2⁶, 6³</t>
        </is>
      </c>
      <c r="K3600">
        <f>HYPERLINK("CSG1.html#group36C1", "36C¹"), =HYPERLINK("CSG6.html#group54B6", "54B⁶")</f>
        <v/>
      </c>
      <c r="L3600" t="inlineStr"/>
      <c r="M3600">
        <f>HYPERLINK("CSG0.html#group3B0", "3B⁰"), =HYPERLINK("CSG0.html#group18E0", "18E⁰"), =HYPERLINK("CSG2.html#group27A2", "27A²"), =HYPERLINK("CSG6.html#group54B6", "54B⁶"), =HYPERLINK("CSG0.html#group9B0", "9B⁰"), =HYPERLINK("CSG0.html#group1A0", "1A⁰"), =HYPERLINK("CSG0.html#group2B0", "2B⁰"), =HYPERLINK("CSG1.html#group36C1", "36C¹"), =HYPERLINK("CSG0.html#group4B0", "4B⁰"), =HYPERLINK("CSG0.html#group6F0", "6F⁰"), =HYPERLINK("CSG0.html#group12E0", "12E⁰")</f>
        <v/>
      </c>
      <c r="N3600" t="inlineStr"/>
    </row>
    <row r="3601">
      <c r="A3601" t="inlineStr">
        <is>
          <t>110A¹³</t>
        </is>
      </c>
      <c r="B3601" t="inlineStr"/>
      <c r="C3601" t="inlineStr">
        <is>
          <t>165</t>
        </is>
      </c>
      <c r="D3601" t="inlineStr">
        <is>
          <t>2</t>
        </is>
      </c>
      <c r="E3601" t="inlineStr">
        <is>
          <t>165</t>
        </is>
      </c>
      <c r="F3601" t="inlineStr">
        <is>
          <t>3</t>
        </is>
      </c>
      <c r="G3601" t="inlineStr">
        <is>
          <t>0</t>
        </is>
      </c>
      <c r="H3601" t="inlineStr">
        <is>
          <t>55¹, 110¹</t>
        </is>
      </c>
      <c r="I3601" t="n">
        <v>2</v>
      </c>
      <c r="J3601" t="inlineStr">
        <is>
          <t>2³, 8³, 10⁶, 40⁶</t>
        </is>
      </c>
      <c r="K3601">
        <f>HYPERLINK("CSG1.html#group10B1", "10B¹"), =HYPERLINK("CSG2.html#group22B2", "22B²"), =HYPERLINK("CSG3.html#group55A3", "55A³")</f>
        <v/>
      </c>
      <c r="L3601" t="inlineStr"/>
      <c r="M3601">
        <f>HYPERLINK("CSG0.html#group11A0", "11A⁰"), =HYPERLINK("CSG3.html#group55A3", "55A³"), =HYPERLINK("CSG0.html#group5A0", "5A⁰"), =HYPERLINK("CSG1.html#group10B1", "10B¹"), =HYPERLINK("CSG0.html#group2B0", "2B⁰"), =HYPERLINK("CSG2.html#group22B2", "22B²"), =HYPERLINK("CSG0.html#group1A0", "1A⁰")</f>
        <v/>
      </c>
      <c r="N3601" t="inlineStr"/>
    </row>
    <row r="3602">
      <c r="A3602" t="inlineStr">
        <is>
          <t>112A¹³</t>
        </is>
      </c>
      <c r="B3602" t="inlineStr"/>
      <c r="C3602" t="inlineStr">
        <is>
          <t>168</t>
        </is>
      </c>
      <c r="D3602" t="inlineStr">
        <is>
          <t>2</t>
        </is>
      </c>
      <c r="E3602" t="inlineStr">
        <is>
          <t>42</t>
        </is>
      </c>
      <c r="F3602" t="inlineStr">
        <is>
          <t>0</t>
        </is>
      </c>
      <c r="G3602" t="inlineStr">
        <is>
          <t>0</t>
        </is>
      </c>
      <c r="H3602" t="inlineStr">
        <is>
          <t>14², 28¹, 112¹</t>
        </is>
      </c>
      <c r="I3602" t="n">
        <v>4</v>
      </c>
      <c r="J3602" t="inlineStr">
        <is>
          <t>2⁴, 4¹, 6⁸, 12²</t>
        </is>
      </c>
      <c r="K3602">
        <f>HYPERLINK("CSG6.html#group56C6", "56C⁶")</f>
        <v/>
      </c>
      <c r="L3602" t="inlineStr"/>
      <c r="M3602">
        <f>HYPERLINK("CSG6.html#group56C6", "56C⁶"), =HYPERLINK("CSG1.html#group14B1", "14B¹"), =HYPERLINK("CSG3.html#group28A3", "28A³"), =HYPERLINK("CSG0.html#group8C0", "8C⁰"), =HYPERLINK("CSG0.html#group2B0", "2B⁰"), =HYPERLINK("CSG0.html#group4B0", "4B⁰"), =HYPERLINK("CSG0.html#group1A0", "1A⁰"), =HYPERLINK("CSG0.html#group7A0", "7A⁰")</f>
        <v/>
      </c>
      <c r="N3602" t="inlineStr"/>
    </row>
    <row r="3603">
      <c r="A3603" t="inlineStr">
        <is>
          <t>112B¹³</t>
        </is>
      </c>
      <c r="B3603" t="inlineStr"/>
      <c r="C3603" t="inlineStr">
        <is>
          <t>168</t>
        </is>
      </c>
      <c r="D3603" t="inlineStr">
        <is>
          <t>2</t>
        </is>
      </c>
      <c r="E3603" t="inlineStr">
        <is>
          <t>42</t>
        </is>
      </c>
      <c r="F3603" t="inlineStr">
        <is>
          <t>0</t>
        </is>
      </c>
      <c r="G3603" t="inlineStr">
        <is>
          <t>0</t>
        </is>
      </c>
      <c r="H3603" t="inlineStr">
        <is>
          <t>14², 28¹, 112¹</t>
        </is>
      </c>
      <c r="I3603" t="n">
        <v>4</v>
      </c>
      <c r="J3603" t="inlineStr">
        <is>
          <t>2⁴, 4¹, 6⁸, 12²</t>
        </is>
      </c>
      <c r="K3603">
        <f>HYPERLINK("CSG1.html#group16A1", "16A¹"), =HYPERLINK("CSG6.html#group56C6", "56C⁶")</f>
        <v/>
      </c>
      <c r="L3603" t="inlineStr"/>
      <c r="M3603">
        <f>HYPERLINK("CSG6.html#group56C6", "56C⁶"), =HYPERLINK("CSG1.html#group14B1", "14B¹"), =HYPERLINK("CSG3.html#group28A3", "28A³"), =HYPERLINK("CSG1.html#group16A1", "16A¹"), =HYPERLINK("CSG0.html#group8C0", "8C⁰"), =HYPERLINK("CSG0.html#group2B0", "2B⁰"), =HYPERLINK("CSG0.html#group4B0", "4B⁰"), =HYPERLINK("CSG0.html#group1A0", "1A⁰"), =HYPERLINK("CSG0.html#group7A0", "7A⁰")</f>
        <v/>
      </c>
      <c r="N3603" t="inlineStr"/>
    </row>
    <row r="3604">
      <c r="A3604" t="inlineStr">
        <is>
          <t>112C¹³</t>
        </is>
      </c>
      <c r="B3604" t="inlineStr"/>
      <c r="C3604" t="inlineStr">
        <is>
          <t>192</t>
        </is>
      </c>
      <c r="D3604" t="inlineStr">
        <is>
          <t>1</t>
        </is>
      </c>
      <c r="E3604" t="inlineStr">
        <is>
          <t>48</t>
        </is>
      </c>
      <c r="F3604" t="inlineStr">
        <is>
          <t>0</t>
        </is>
      </c>
      <c r="G3604" t="inlineStr">
        <is>
          <t>0</t>
        </is>
      </c>
      <c r="H3604" t="inlineStr">
        <is>
          <t>2², 4¹, 14², 16¹, 28¹, 112¹</t>
        </is>
      </c>
      <c r="I3604" t="n">
        <v>8</v>
      </c>
      <c r="J3604" t="inlineStr">
        <is>
          <t>1⁸, 2², 6⁴, 12¹</t>
        </is>
      </c>
      <c r="K3604">
        <f>HYPERLINK("CSG5.html#group56D5", "56D⁵")</f>
        <v/>
      </c>
      <c r="L3604" t="inlineStr"/>
      <c r="M3604">
        <f>HYPERLINK("CSG0.html#group7B0", "7B⁰"), =HYPERLINK("CSG2.html#group28D2", "28D²"), =HYPERLINK("CSG1.html#group14C1", "14C¹"), =HYPERLINK("CSG0.html#group8C0", "8C⁰"), =HYPERLINK("CSG0.html#group2B0", "2B⁰"), =HYPERLINK("CSG0.html#group4B0", "4B⁰"), =HYPERLINK("CSG5.html#group56D5", "56D⁵"), =HYPERLINK("CSG0.html#group1A0", "1A⁰")</f>
        <v/>
      </c>
      <c r="N3604" t="inlineStr"/>
    </row>
    <row r="3605">
      <c r="A3605" t="inlineStr">
        <is>
          <t>112D¹³</t>
        </is>
      </c>
      <c r="B3605" t="inlineStr"/>
      <c r="C3605" t="inlineStr">
        <is>
          <t>192</t>
        </is>
      </c>
      <c r="D3605" t="inlineStr">
        <is>
          <t>1</t>
        </is>
      </c>
      <c r="E3605" t="inlineStr">
        <is>
          <t>48</t>
        </is>
      </c>
      <c r="F3605" t="inlineStr">
        <is>
          <t>0</t>
        </is>
      </c>
      <c r="G3605" t="inlineStr">
        <is>
          <t>0</t>
        </is>
      </c>
      <c r="H3605" t="inlineStr">
        <is>
          <t>2², 4¹, 14², 16¹, 28¹, 112¹</t>
        </is>
      </c>
      <c r="I3605" t="n">
        <v>8</v>
      </c>
      <c r="J3605" t="inlineStr">
        <is>
          <t>1⁸, 2², 6⁴, 12¹</t>
        </is>
      </c>
      <c r="K3605">
        <f>HYPERLINK("CSG1.html#group16A1", "16A¹"), =HYPERLINK("CSG5.html#group56D5", "56D⁵")</f>
        <v/>
      </c>
      <c r="L3605" t="inlineStr"/>
      <c r="M3605">
        <f>HYPERLINK("CSG0.html#group7B0", "7B⁰"), =HYPERLINK("CSG2.html#group28D2", "28D²"), =HYPERLINK("CSG1.html#group14C1", "14C¹"), =HYPERLINK("CSG1.html#group16A1", "16A¹"), =HYPERLINK("CSG0.html#group8C0", "8C⁰"), =HYPERLINK("CSG0.html#group2B0", "2B⁰"), =HYPERLINK("CSG0.html#group4B0", "4B⁰"), =HYPERLINK("CSG5.html#group56D5", "56D⁵"), =HYPERLINK("CSG0.html#group1A0", "1A⁰")</f>
        <v/>
      </c>
      <c r="N3605" t="inlineStr"/>
    </row>
    <row r="3606">
      <c r="A3606" t="inlineStr">
        <is>
          <t>116A¹³</t>
        </is>
      </c>
      <c r="B3606" t="inlineStr">
        <is>
          <t>Γ₀(116)</t>
        </is>
      </c>
      <c r="C3606" t="inlineStr">
        <is>
          <t>180</t>
        </is>
      </c>
      <c r="D3606" t="inlineStr">
        <is>
          <t>1</t>
        </is>
      </c>
      <c r="E3606" t="inlineStr">
        <is>
          <t>90</t>
        </is>
      </c>
      <c r="F3606" t="inlineStr">
        <is>
          <t>0</t>
        </is>
      </c>
      <c r="G3606" t="inlineStr">
        <is>
          <t>0</t>
        </is>
      </c>
      <c r="H3606" t="inlineStr">
        <is>
          <t>1², 4¹, 29², 116¹</t>
        </is>
      </c>
      <c r="I3606" t="n">
        <v>6</v>
      </c>
      <c r="J3606" t="inlineStr">
        <is>
          <t>1⁶, 28³</t>
        </is>
      </c>
      <c r="K3606">
        <f>HYPERLINK("CSG0.html#group4B0", "4B⁰"), =HYPERLINK("CSG6.html#group58A6", "58A⁶")</f>
        <v/>
      </c>
      <c r="L3606" t="inlineStr"/>
      <c r="M3606">
        <f>HYPERLINK("CSG0.html#group2B0", "2B⁰"), =HYPERLINK("CSG0.html#group4B0", "4B⁰"), =HYPERLINK("CSG0.html#group1A0", "1A⁰"), =HYPERLINK("CSG2.html#group29A2", "29A²"), =HYPERLINK("CSG6.html#group58A6", "58A⁶")</f>
        <v/>
      </c>
      <c r="N3606" t="inlineStr"/>
    </row>
    <row r="3607">
      <c r="A3607" t="inlineStr">
        <is>
          <t>116B¹³</t>
        </is>
      </c>
      <c r="B3607" t="inlineStr"/>
      <c r="C3607" t="inlineStr">
        <is>
          <t>180</t>
        </is>
      </c>
      <c r="D3607" t="inlineStr">
        <is>
          <t>1</t>
        </is>
      </c>
      <c r="E3607" t="inlineStr">
        <is>
          <t>90</t>
        </is>
      </c>
      <c r="F3607" t="inlineStr">
        <is>
          <t>4</t>
        </is>
      </c>
      <c r="G3607" t="inlineStr">
        <is>
          <t>0</t>
        </is>
      </c>
      <c r="H3607" t="inlineStr">
        <is>
          <t>2¹, 4¹, 58¹, 116¹</t>
        </is>
      </c>
      <c r="I3607" t="n">
        <v>4</v>
      </c>
      <c r="J3607" t="inlineStr">
        <is>
          <t>1⁶, 28³</t>
        </is>
      </c>
      <c r="K3607">
        <f>HYPERLINK("CSG0.html#group4C0", "4C⁰"), =HYPERLINK("CSG6.html#group58A6", "58A⁶")</f>
        <v/>
      </c>
      <c r="L3607" t="inlineStr"/>
      <c r="M3607">
        <f>HYPERLINK("CSG0.html#group2B0", "2B⁰"), =HYPERLINK("CSG0.html#group1A0", "1A⁰"), =HYPERLINK("CSG2.html#group29A2", "29A²"), =HYPERLINK("CSG6.html#group58A6", "58A⁶"), =HYPERLINK("CSG0.html#group4C0", "4C⁰")</f>
        <v/>
      </c>
      <c r="N3607" t="inlineStr"/>
    </row>
    <row r="3608">
      <c r="A3608" t="inlineStr">
        <is>
          <t>117A¹³</t>
        </is>
      </c>
      <c r="B3608" t="inlineStr"/>
      <c r="C3608" t="inlineStr">
        <is>
          <t>168</t>
        </is>
      </c>
      <c r="D3608" t="inlineStr">
        <is>
          <t>1</t>
        </is>
      </c>
      <c r="E3608" t="inlineStr">
        <is>
          <t>56</t>
        </is>
      </c>
      <c r="F3608" t="inlineStr">
        <is>
          <t>0</t>
        </is>
      </c>
      <c r="G3608" t="inlineStr">
        <is>
          <t>0</t>
        </is>
      </c>
      <c r="H3608" t="inlineStr">
        <is>
          <t>3¹, 9¹, 39¹, 117¹</t>
        </is>
      </c>
      <c r="I3608" t="n">
        <v>4</v>
      </c>
      <c r="J3608" t="inlineStr">
        <is>
          <t>1⁴, 2², 12², 24¹</t>
        </is>
      </c>
      <c r="K3608">
        <f>HYPERLINK("CSG1.html#group9A1", "9A¹"), =HYPERLINK("CSG3.html#group39A3", "39A³")</f>
        <v/>
      </c>
      <c r="L3608" t="inlineStr"/>
      <c r="M3608">
        <f>HYPERLINK("CSG0.html#group13A0", "13A⁰"), =HYPERLINK("CSG0.html#group3B0", "3B⁰"), =HYPERLINK("CSG3.html#group39A3", "39A³"), =HYPERLINK("CSG0.html#group1A0", "1A⁰"), =HYPERLINK("CSG1.html#group9A1", "9A¹")</f>
        <v/>
      </c>
      <c r="N3608" t="inlineStr"/>
    </row>
    <row r="3609">
      <c r="A3609" t="inlineStr">
        <is>
          <t>117B¹³</t>
        </is>
      </c>
      <c r="B3609" t="inlineStr"/>
      <c r="C3609" t="inlineStr">
        <is>
          <t>168</t>
        </is>
      </c>
      <c r="D3609" t="inlineStr">
        <is>
          <t>2</t>
        </is>
      </c>
      <c r="E3609" t="inlineStr">
        <is>
          <t>56</t>
        </is>
      </c>
      <c r="F3609" t="inlineStr">
        <is>
          <t>0</t>
        </is>
      </c>
      <c r="G3609" t="inlineStr">
        <is>
          <t>0</t>
        </is>
      </c>
      <c r="H3609" t="inlineStr">
        <is>
          <t>3¹, 9¹, 39¹, 117¹</t>
        </is>
      </c>
      <c r="I3609" t="n">
        <v>4</v>
      </c>
      <c r="J3609" t="inlineStr">
        <is>
          <t>2⁸, 24⁴</t>
        </is>
      </c>
      <c r="K3609">
        <f>HYPERLINK("CSG3.html#group39A3", "39A³")</f>
        <v/>
      </c>
      <c r="L3609" t="inlineStr"/>
      <c r="M3609">
        <f>HYPERLINK("CSG0.html#group13A0", "13A⁰"), =HYPERLINK("CSG0.html#group3B0", "3B⁰"), =HYPERLINK("CSG0.html#group1A0", "1A⁰"), =HYPERLINK("CSG3.html#group39A3", "39A³")</f>
        <v/>
      </c>
      <c r="N3609" t="inlineStr"/>
    </row>
    <row r="3610">
      <c r="A3610" t="inlineStr">
        <is>
          <t>120A¹³</t>
        </is>
      </c>
      <c r="B3610" t="inlineStr"/>
      <c r="C3610" t="inlineStr">
        <is>
          <t>180</t>
        </is>
      </c>
      <c r="D3610" t="inlineStr">
        <is>
          <t>1</t>
        </is>
      </c>
      <c r="E3610" t="inlineStr">
        <is>
          <t>30</t>
        </is>
      </c>
      <c r="F3610" t="inlineStr">
        <is>
          <t>6</t>
        </is>
      </c>
      <c r="G3610" t="inlineStr">
        <is>
          <t>0</t>
        </is>
      </c>
      <c r="H3610" t="inlineStr">
        <is>
          <t>30², 120¹</t>
        </is>
      </c>
      <c r="I3610" t="n">
        <v>3</v>
      </c>
      <c r="J3610" t="inlineStr">
        <is>
          <t>1², 2², 4², 8²</t>
        </is>
      </c>
      <c r="K3610">
        <f>HYPERLINK("CSG1.html#group24C1", "24C¹"), =HYPERLINK("CSG4.html#group40C4", "40C⁴"), =HYPERLINK("CSG6.html#group60B6", "60B⁶")</f>
        <v/>
      </c>
      <c r="L3610" t="inlineStr"/>
      <c r="M3610">
        <f>HYPERLINK("CSG3.html#group30D3", "30D³"), =HYPERLINK("CSG4.html#group40C4", "40C⁴"), =HYPERLINK("CSG0.html#group5A0", "5A⁰"), =HYPERLINK("CSG0.html#group12C0", "12C⁰"), =HYPERLINK("CSG0.html#group8D0", "8D⁰"), =HYPERLINK("CSG1.html#group15A1", "15A¹"), =HYPERLINK("CSG1.html#group10B1", "10B¹"), =HYPERLINK("CSG2.html#group20B2", "20B²"), =HYPERLINK("CSG0.html#group4C0", "4C⁰"), =HYPERLINK("CSG6.html#group60B6", "60B⁶"), =HYPERLINK("CSG1.html#group24C1", "24C¹"), =HYPERLINK("CSG0.html#group2B0", "2B⁰"), =HYPERLINK("CSG0.html#group3A0", "3A⁰"), =HYPERLINK("CSG0.html#group1A0", "1A⁰"), =HYPERLINK("CSG0.html#group6D0", "6D⁰")</f>
        <v/>
      </c>
      <c r="N3610" t="inlineStr"/>
    </row>
    <row r="3611">
      <c r="A3611" t="inlineStr">
        <is>
          <t>120B¹³</t>
        </is>
      </c>
      <c r="B3611" t="inlineStr"/>
      <c r="C3611" t="inlineStr">
        <is>
          <t>180</t>
        </is>
      </c>
      <c r="D3611" t="inlineStr">
        <is>
          <t>1</t>
        </is>
      </c>
      <c r="E3611" t="inlineStr">
        <is>
          <t>45</t>
        </is>
      </c>
      <c r="F3611" t="inlineStr">
        <is>
          <t>8</t>
        </is>
      </c>
      <c r="G3611" t="inlineStr">
        <is>
          <t>0</t>
        </is>
      </c>
      <c r="H3611" t="inlineStr">
        <is>
          <t>60¹, 120¹</t>
        </is>
      </c>
      <c r="I3611" t="n">
        <v>2</v>
      </c>
      <c r="J3611" t="inlineStr">
        <is>
          <t>1³, 2³, 4³, 8³</t>
        </is>
      </c>
      <c r="K3611">
        <f>HYPERLINK("CSG1.html#group24D1", "24D¹"), =HYPERLINK("CSG6.html#group60B6", "60B⁶")</f>
        <v/>
      </c>
      <c r="L3611" t="inlineStr"/>
      <c r="M3611">
        <f>HYPERLINK("CSG3.html#group30D3", "30D³"), =HYPERLINK("CSG0.html#group5A0", "5A⁰"), =HYPERLINK("CSG0.html#group12C0", "12C⁰"), =HYPERLINK("CSG1.html#group15A1", "15A¹"), =HYPERLINK("CSG1.html#group10B1", "10B¹"), =HYPERLINK("CSG2.html#group20B2", "20B²"), =HYPERLINK("CSG0.html#group4C0", "4C⁰"), =HYPERLINK("CSG1.html#group24D1", "24D¹"), =HYPERLINK("CSG6.html#group60B6", "60B⁶"), =HYPERLINK("CSG0.html#group2B0", "2B⁰"), =HYPERLINK("CSG0.html#group3A0", "3A⁰"), =HYPERLINK("CSG0.html#group1A0", "1A⁰"), =HYPERLINK("CSG0.html#group6D0", "6D⁰")</f>
        <v/>
      </c>
      <c r="N3611" t="inlineStr"/>
    </row>
    <row r="3612">
      <c r="A3612" t="inlineStr">
        <is>
          <t>120C¹³</t>
        </is>
      </c>
      <c r="B3612" t="inlineStr"/>
      <c r="C3612" t="inlineStr">
        <is>
          <t>180</t>
        </is>
      </c>
      <c r="D3612" t="inlineStr">
        <is>
          <t>1</t>
        </is>
      </c>
      <c r="E3612" t="inlineStr">
        <is>
          <t>90</t>
        </is>
      </c>
      <c r="F3612" t="inlineStr">
        <is>
          <t>6</t>
        </is>
      </c>
      <c r="G3612" t="inlineStr">
        <is>
          <t>0</t>
        </is>
      </c>
      <c r="H3612" t="inlineStr">
        <is>
          <t>30², 120¹</t>
        </is>
      </c>
      <c r="I3612" t="n">
        <v>3</v>
      </c>
      <c r="J3612" t="inlineStr">
        <is>
          <t>1², 2⁴, 4⁴, 8⁴, 16²</t>
        </is>
      </c>
      <c r="K3612">
        <f>HYPERLINK("CSG1.html#group24E1", "24E¹"), =HYPERLINK("CSG6.html#group60B6", "60B⁶")</f>
        <v/>
      </c>
      <c r="L3612" t="inlineStr"/>
      <c r="M3612">
        <f>HYPERLINK("CSG3.html#group30D3", "30D³"), =HYPERLINK("CSG1.html#group24E1", "24E¹"), =HYPERLINK("CSG0.html#group5A0", "5A⁰"), =HYPERLINK("CSG0.html#group12C0", "12C⁰"), =HYPERLINK("CSG1.html#group15A1", "15A¹"), =HYPERLINK("CSG1.html#group10B1", "10B¹"), =HYPERLINK("CSG2.html#group20B2", "20B²"), =HYPERLINK("CSG0.html#group4C0", "4C⁰"), =HYPERLINK("CSG6.html#group60B6", "60B⁶"), =HYPERLINK("CSG0.html#group2B0", "2B⁰"), =HYPERLINK("CSG0.html#group3A0", "3A⁰"), =HYPERLINK("CSG0.html#group1A0", "1A⁰"), =HYPERLINK("CSG0.html#group6D0", "6D⁰")</f>
        <v/>
      </c>
      <c r="N3612" t="inlineStr"/>
    </row>
    <row r="3613">
      <c r="A3613" t="inlineStr">
        <is>
          <t>120D¹³</t>
        </is>
      </c>
      <c r="B3613" t="inlineStr"/>
      <c r="C3613" t="inlineStr">
        <is>
          <t>180</t>
        </is>
      </c>
      <c r="D3613" t="inlineStr">
        <is>
          <t>2</t>
        </is>
      </c>
      <c r="E3613" t="inlineStr">
        <is>
          <t>30</t>
        </is>
      </c>
      <c r="F3613" t="inlineStr">
        <is>
          <t>6</t>
        </is>
      </c>
      <c r="G3613" t="inlineStr">
        <is>
          <t>0</t>
        </is>
      </c>
      <c r="H3613" t="inlineStr">
        <is>
          <t>30², 120¹</t>
        </is>
      </c>
      <c r="I3613" t="n">
        <v>3</v>
      </c>
      <c r="J3613" t="inlineStr">
        <is>
          <t>2², 4², 8², 16²</t>
        </is>
      </c>
      <c r="K3613">
        <f>HYPERLINK("CSG4.html#group40C4", "40C⁴"), =HYPERLINK("CSG6.html#group60D6", "60D⁶")</f>
        <v/>
      </c>
      <c r="L3613" t="inlineStr"/>
      <c r="M3613">
        <f>HYPERLINK("CSG4.html#group40C4", "40C⁴"), =HYPERLINK("CSG0.html#group5A0", "5A⁰"), =HYPERLINK("CSG6.html#group60D6", "60D⁶"), =HYPERLINK("CSG3.html#group30E3", "30E³"), =HYPERLINK("CSG0.html#group8D0", "8D⁰"), =HYPERLINK("CSG1.html#group10B1", "10B¹"), =HYPERLINK("CSG2.html#group20B2", "20B²"), =HYPERLINK("CSG0.html#group4C0", "4C⁰"), =HYPERLINK("CSG0.html#group2B0", "2B⁰"), =HYPERLINK("CSG0.html#group1A0", "1A⁰"), =HYPERLINK("CSG0.html#group15A0", "15A⁰")</f>
        <v/>
      </c>
      <c r="N3613" t="inlineStr"/>
    </row>
    <row r="3614">
      <c r="A3614" t="inlineStr">
        <is>
          <t>120E¹³</t>
        </is>
      </c>
      <c r="B3614" t="inlineStr"/>
      <c r="C3614" t="inlineStr">
        <is>
          <t>216</t>
        </is>
      </c>
      <c r="D3614" t="inlineStr">
        <is>
          <t>1</t>
        </is>
      </c>
      <c r="E3614" t="inlineStr">
        <is>
          <t>36</t>
        </is>
      </c>
      <c r="F3614" t="inlineStr">
        <is>
          <t>12</t>
        </is>
      </c>
      <c r="G3614" t="inlineStr">
        <is>
          <t>0</t>
        </is>
      </c>
      <c r="H3614" t="inlineStr">
        <is>
          <t>6², 24¹, 30², 120¹</t>
        </is>
      </c>
      <c r="I3614" t="n">
        <v>6</v>
      </c>
      <c r="J3614" t="inlineStr">
        <is>
          <t>1⁴, 2⁴, 4², 8²</t>
        </is>
      </c>
      <c r="K3614">
        <f>HYPERLINK("CSG3.html#group40G3", "40G³"), =HYPERLINK("CSG5.html#group60A5", "60A⁵")</f>
        <v/>
      </c>
      <c r="L3614" t="inlineStr"/>
      <c r="M3614">
        <f>HYPERLINK("CSG1.html#group20E1", "20E¹"), =HYPERLINK("CSG0.html#group15B0", "15B⁰"), =HYPERLINK("CSG0.html#group12C0", "12C⁰"), =HYPERLINK("CSG2.html#group30E2", "30E²"), =HYPERLINK("CSG5.html#group60A5", "60A⁵"), =HYPERLINK("CSG0.html#group4C0", "4C⁰"), =HYPERLINK("CSG0.html#group5B0", "5B⁰"), =HYPERLINK("CSG0.html#group10C0", "10C⁰"), =HYPERLINK("CSG0.html#group2B0", "2B⁰"), =HYPERLINK("CSG0.html#group3A0", "3A⁰"), =HYPERLINK("CSG0.html#group1A0", "1A⁰"), =HYPERLINK("CSG0.html#group6D0", "6D⁰"), =HYPERLINK("CSG3.html#group40G3", "40G³")</f>
        <v/>
      </c>
      <c r="N3614" t="inlineStr"/>
    </row>
    <row r="3615">
      <c r="A3615" t="inlineStr">
        <is>
          <t>120F¹³</t>
        </is>
      </c>
      <c r="B3615" t="inlineStr"/>
      <c r="C3615" t="inlineStr">
        <is>
          <t>216</t>
        </is>
      </c>
      <c r="D3615" t="inlineStr">
        <is>
          <t>1</t>
        </is>
      </c>
      <c r="E3615" t="inlineStr">
        <is>
          <t>36</t>
        </is>
      </c>
      <c r="F3615" t="inlineStr">
        <is>
          <t>12</t>
        </is>
      </c>
      <c r="G3615" t="inlineStr">
        <is>
          <t>0</t>
        </is>
      </c>
      <c r="H3615" t="inlineStr">
        <is>
          <t>6², 24¹, 30², 120¹</t>
        </is>
      </c>
      <c r="I3615" t="n">
        <v>6</v>
      </c>
      <c r="J3615" t="inlineStr">
        <is>
          <t>1⁴, 2⁴, 4², 8²</t>
        </is>
      </c>
      <c r="K3615">
        <f>HYPERLINK("CSG1.html#group24C1", "24C¹"), =HYPERLINK("CSG3.html#group40H3", "40H³"), =HYPERLINK("CSG5.html#group60A5", "60A⁵")</f>
        <v/>
      </c>
      <c r="L3615" t="inlineStr"/>
      <c r="M3615">
        <f>HYPERLINK("CSG1.html#group20E1", "20E¹"), =HYPERLINK("CSG0.html#group12C0", "12C⁰"), =HYPERLINK("CSG3.html#group40H3", "40H³"), =HYPERLINK("CSG0.html#group8D0", "8D⁰"), =HYPERLINK("CSG0.html#group4C0", "4C⁰"), =HYPERLINK("CSG0.html#group5B0", "5B⁰"), =HYPERLINK("CSG0.html#group2B0", "2B⁰"), =HYPERLINK("CSG0.html#group1A0", "1A⁰"), =HYPERLINK("CSG0.html#group15B0", "15B⁰"), =HYPERLINK("CSG2.html#group30E2", "30E²"), =HYPERLINK("CSG5.html#group60A5", "60A⁵"), =HYPERLINK("CSG1.html#group24C1", "24C¹"), =HYPERLINK("CSG0.html#group10C0", "10C⁰"), =HYPERLINK("CSG0.html#group3A0", "3A⁰"), =HYPERLINK("CSG0.html#group6D0", "6D⁰")</f>
        <v/>
      </c>
      <c r="N3615" t="inlineStr"/>
    </row>
    <row r="3616">
      <c r="A3616" t="inlineStr">
        <is>
          <t>120G¹³</t>
        </is>
      </c>
      <c r="B3616" t="inlineStr"/>
      <c r="C3616" t="inlineStr">
        <is>
          <t>216</t>
        </is>
      </c>
      <c r="D3616" t="inlineStr">
        <is>
          <t>1</t>
        </is>
      </c>
      <c r="E3616" t="inlineStr">
        <is>
          <t>54</t>
        </is>
      </c>
      <c r="F3616" t="inlineStr">
        <is>
          <t>16</t>
        </is>
      </c>
      <c r="G3616" t="inlineStr">
        <is>
          <t>0</t>
        </is>
      </c>
      <c r="H3616" t="inlineStr">
        <is>
          <t>12¹, 24¹, 60¹, 120¹</t>
        </is>
      </c>
      <c r="I3616" t="n">
        <v>4</v>
      </c>
      <c r="J3616" t="inlineStr">
        <is>
          <t>1⁶, 2⁶, 4³, 8³</t>
        </is>
      </c>
      <c r="K3616">
        <f>HYPERLINK("CSG5.html#group60A5", "60A⁵")</f>
        <v/>
      </c>
      <c r="L3616" t="inlineStr"/>
      <c r="M3616">
        <f>HYPERLINK("CSG1.html#group20E1", "20E¹"), =HYPERLINK("CSG0.html#group15B0", "15B⁰"), =HYPERLINK("CSG0.html#group12C0", "12C⁰"), =HYPERLINK("CSG2.html#group30E2", "30E²"), =HYPERLINK("CSG5.html#group60A5", "60A⁵"), =HYPERLINK("CSG0.html#group4C0", "4C⁰"), =HYPERLINK("CSG0.html#group5B0", "5B⁰"), =HYPERLINK("CSG0.html#group10C0", "10C⁰"), =HYPERLINK("CSG0.html#group2B0", "2B⁰"), =HYPERLINK("CSG0.html#group3A0", "3A⁰"), =HYPERLINK("CSG0.html#group1A0", "1A⁰"), =HYPERLINK("CSG0.html#group6D0", "6D⁰")</f>
        <v/>
      </c>
      <c r="N3616" t="inlineStr"/>
    </row>
    <row r="3617">
      <c r="A3617" t="inlineStr">
        <is>
          <t>120H¹³</t>
        </is>
      </c>
      <c r="B3617" t="inlineStr"/>
      <c r="C3617" t="inlineStr">
        <is>
          <t>216</t>
        </is>
      </c>
      <c r="D3617" t="inlineStr">
        <is>
          <t>1</t>
        </is>
      </c>
      <c r="E3617" t="inlineStr">
        <is>
          <t>54</t>
        </is>
      </c>
      <c r="F3617" t="inlineStr">
        <is>
          <t>16</t>
        </is>
      </c>
      <c r="G3617" t="inlineStr">
        <is>
          <t>0</t>
        </is>
      </c>
      <c r="H3617" t="inlineStr">
        <is>
          <t>12¹, 24¹, 60¹, 120¹</t>
        </is>
      </c>
      <c r="I3617" t="n">
        <v>4</v>
      </c>
      <c r="J3617" t="inlineStr">
        <is>
          <t>1⁶, 2⁶, 4³, 8³</t>
        </is>
      </c>
      <c r="K3617">
        <f>HYPERLINK("CSG1.html#group24D1", "24D¹"), =HYPERLINK("CSG5.html#group60A5", "60A⁵")</f>
        <v/>
      </c>
      <c r="L3617" t="inlineStr"/>
      <c r="M3617">
        <f>HYPERLINK("CSG1.html#group20E1", "20E¹"), =HYPERLINK("CSG0.html#group15B0", "15B⁰"), =HYPERLINK("CSG0.html#group12C0", "12C⁰"), =HYPERLINK("CSG2.html#group30E2", "30E²"), =HYPERLINK("CSG5.html#group60A5", "60A⁵"), =HYPERLINK("CSG0.html#group4C0", "4C⁰"), =HYPERLINK("CSG1.html#group24D1", "24D¹"), =HYPERLINK("CSG0.html#group5B0", "5B⁰"), =HYPERLINK("CSG0.html#group10C0", "10C⁰"), =HYPERLINK("CSG0.html#group2B0", "2B⁰"), =HYPERLINK("CSG0.html#group3A0", "3A⁰"), =HYPERLINK("CSG0.html#group1A0", "1A⁰"), =HYPERLINK("CSG0.html#group6D0", "6D⁰")</f>
        <v/>
      </c>
      <c r="N3617" t="inlineStr"/>
    </row>
    <row r="3618">
      <c r="A3618" t="inlineStr">
        <is>
          <t>120I¹³</t>
        </is>
      </c>
      <c r="B3618" t="inlineStr"/>
      <c r="C3618" t="inlineStr">
        <is>
          <t>216</t>
        </is>
      </c>
      <c r="D3618" t="inlineStr">
        <is>
          <t>1</t>
        </is>
      </c>
      <c r="E3618" t="inlineStr">
        <is>
          <t>108</t>
        </is>
      </c>
      <c r="F3618" t="inlineStr">
        <is>
          <t>12</t>
        </is>
      </c>
      <c r="G3618" t="inlineStr">
        <is>
          <t>0</t>
        </is>
      </c>
      <c r="H3618" t="inlineStr">
        <is>
          <t>6², 24¹, 30², 120¹</t>
        </is>
      </c>
      <c r="I3618" t="n">
        <v>6</v>
      </c>
      <c r="J3618" t="inlineStr">
        <is>
          <t>1⁴, 2⁸, 4⁶, 8⁴, 16²</t>
        </is>
      </c>
      <c r="K3618">
        <f>HYPERLINK("CSG5.html#group60A5", "60A⁵")</f>
        <v/>
      </c>
      <c r="L3618" t="inlineStr"/>
      <c r="M3618">
        <f>HYPERLINK("CSG1.html#group20E1", "20E¹"), =HYPERLINK("CSG0.html#group15B0", "15B⁰"), =HYPERLINK("CSG0.html#group12C0", "12C⁰"), =HYPERLINK("CSG2.html#group30E2", "30E²"), =HYPERLINK("CSG5.html#group60A5", "60A⁵"), =HYPERLINK("CSG0.html#group4C0", "4C⁰"), =HYPERLINK("CSG0.html#group5B0", "5B⁰"), =HYPERLINK("CSG0.html#group10C0", "10C⁰"), =HYPERLINK("CSG0.html#group2B0", "2B⁰"), =HYPERLINK("CSG0.html#group3A0", "3A⁰"), =HYPERLINK("CSG0.html#group1A0", "1A⁰"), =HYPERLINK("CSG0.html#group6D0", "6D⁰")</f>
        <v/>
      </c>
      <c r="N3618" t="inlineStr"/>
    </row>
    <row r="3619">
      <c r="A3619" t="inlineStr">
        <is>
          <t>120J¹³</t>
        </is>
      </c>
      <c r="B3619" t="inlineStr"/>
      <c r="C3619" t="inlineStr">
        <is>
          <t>216</t>
        </is>
      </c>
      <c r="D3619" t="inlineStr">
        <is>
          <t>1</t>
        </is>
      </c>
      <c r="E3619" t="inlineStr">
        <is>
          <t>108</t>
        </is>
      </c>
      <c r="F3619" t="inlineStr">
        <is>
          <t>12</t>
        </is>
      </c>
      <c r="G3619" t="inlineStr">
        <is>
          <t>0</t>
        </is>
      </c>
      <c r="H3619" t="inlineStr">
        <is>
          <t>6², 24¹, 30², 120¹</t>
        </is>
      </c>
      <c r="I3619" t="n">
        <v>6</v>
      </c>
      <c r="J3619" t="inlineStr">
        <is>
          <t>1⁴, 2⁸, 4⁶, 8⁴, 16²</t>
        </is>
      </c>
      <c r="K3619">
        <f>HYPERLINK("CSG1.html#group24E1", "24E¹"), =HYPERLINK("CSG5.html#group60A5", "60A⁵")</f>
        <v/>
      </c>
      <c r="L3619" t="inlineStr"/>
      <c r="M3619">
        <f>HYPERLINK("CSG1.html#group20E1", "20E¹"), =HYPERLINK("CSG1.html#group24E1", "24E¹"), =HYPERLINK("CSG0.html#group15B0", "15B⁰"), =HYPERLINK("CSG0.html#group12C0", "12C⁰"), =HYPERLINK("CSG2.html#group30E2", "30E²"), =HYPERLINK("CSG5.html#group60A5", "60A⁵"), =HYPERLINK("CSG0.html#group4C0", "4C⁰"), =HYPERLINK("CSG0.html#group5B0", "5B⁰"), =HYPERLINK("CSG0.html#group10C0", "10C⁰"), =HYPERLINK("CSG0.html#group2B0", "2B⁰"), =HYPERLINK("CSG0.html#group3A0", "3A⁰"), =HYPERLINK("CSG0.html#group1A0", "1A⁰"), =HYPERLINK("CSG0.html#group6D0", "6D⁰")</f>
        <v/>
      </c>
      <c r="N3619" t="inlineStr"/>
    </row>
    <row r="3620">
      <c r="A3620" t="inlineStr">
        <is>
          <t>120K¹³</t>
        </is>
      </c>
      <c r="B3620" t="inlineStr"/>
      <c r="C3620" t="inlineStr">
        <is>
          <t>216</t>
        </is>
      </c>
      <c r="D3620" t="inlineStr">
        <is>
          <t>2</t>
        </is>
      </c>
      <c r="E3620" t="inlineStr">
        <is>
          <t>18</t>
        </is>
      </c>
      <c r="F3620" t="inlineStr">
        <is>
          <t>12</t>
        </is>
      </c>
      <c r="G3620" t="inlineStr">
        <is>
          <t>0</t>
        </is>
      </c>
      <c r="H3620" t="inlineStr">
        <is>
          <t>6², 24¹, 30², 120¹</t>
        </is>
      </c>
      <c r="I3620" t="n">
        <v>6</v>
      </c>
      <c r="J3620" t="inlineStr">
        <is>
          <t>2⁶, 8³</t>
        </is>
      </c>
      <c r="K3620">
        <f>HYPERLINK("CSG3.html#group40I3", "40I³"), =HYPERLINK("CSG4.html#group60C4", "60C⁴")</f>
        <v/>
      </c>
      <c r="L3620" t="inlineStr"/>
      <c r="M3620">
        <f>HYPERLINK("CSG0.html#group5B0", "5B⁰"), =HYPERLINK("CSG4.html#group60C4", "60C⁴"), =HYPERLINK("CSG0.html#group2B0", "2B⁰"), =HYPERLINK("CSG0.html#group1A0", "1A⁰"), =HYPERLINK("CSG0.html#group20A0", "20A⁰"), =HYPERLINK("CSG0.html#group15B0", "15B⁰"), =HYPERLINK("CSG2.html#group30E2", "30E²"), =HYPERLINK("CSG3.html#group40I3", "40I³"), =HYPERLINK("CSG0.html#group10C0", "10C⁰"), =HYPERLINK("CSG0.html#group3A0", "3A⁰"), =HYPERLINK("CSG0.html#group6D0", "6D⁰")</f>
        <v/>
      </c>
      <c r="N3620" t="inlineStr"/>
    </row>
    <row r="3621">
      <c r="A3621" t="inlineStr">
        <is>
          <t>120L¹³</t>
        </is>
      </c>
      <c r="B3621" t="inlineStr"/>
      <c r="C3621" t="inlineStr">
        <is>
          <t>216</t>
        </is>
      </c>
      <c r="D3621" t="inlineStr">
        <is>
          <t>2</t>
        </is>
      </c>
      <c r="E3621" t="inlineStr">
        <is>
          <t>54</t>
        </is>
      </c>
      <c r="F3621" t="inlineStr">
        <is>
          <t>12</t>
        </is>
      </c>
      <c r="G3621" t="inlineStr">
        <is>
          <t>0</t>
        </is>
      </c>
      <c r="H3621" t="inlineStr">
        <is>
          <t>6², 24¹, 30², 120¹</t>
        </is>
      </c>
      <c r="I3621" t="n">
        <v>6</v>
      </c>
      <c r="J3621" t="inlineStr">
        <is>
          <t>2⁶, 4⁶, 8³, 16³</t>
        </is>
      </c>
      <c r="K3621">
        <f>HYPERLINK("CSG4.html#group60C4", "60C⁴")</f>
        <v/>
      </c>
      <c r="L3621" t="inlineStr"/>
      <c r="M3621">
        <f>HYPERLINK("CSG0.html#group20A0", "20A⁰"), =HYPERLINK("CSG0.html#group15B0", "15B⁰"), =HYPERLINK("CSG2.html#group30E2", "30E²"), =HYPERLINK("CSG0.html#group5B0", "5B⁰"), =HYPERLINK("CSG0.html#group10C0", "10C⁰"), =HYPERLINK("CSG4.html#group60C4", "60C⁴"), =HYPERLINK("CSG0.html#group2B0", "2B⁰"), =HYPERLINK("CSG0.html#group3A0", "3A⁰"), =HYPERLINK("CSG0.html#group1A0", "1A⁰"), =HYPERLINK("CSG0.html#group6D0", "6D⁰")</f>
        <v/>
      </c>
      <c r="N3621" t="inlineStr"/>
    </row>
    <row r="3622">
      <c r="A3622" t="inlineStr">
        <is>
          <t>123A¹³</t>
        </is>
      </c>
      <c r="B3622" t="inlineStr">
        <is>
          <t>Γ₀(123)</t>
        </is>
      </c>
      <c r="C3622" t="inlineStr">
        <is>
          <t>168</t>
        </is>
      </c>
      <c r="D3622" t="inlineStr">
        <is>
          <t>1</t>
        </is>
      </c>
      <c r="E3622" t="inlineStr">
        <is>
          <t>168</t>
        </is>
      </c>
      <c r="F3622" t="inlineStr">
        <is>
          <t>0</t>
        </is>
      </c>
      <c r="G3622" t="inlineStr">
        <is>
          <t>0</t>
        </is>
      </c>
      <c r="H3622" t="inlineStr">
        <is>
          <t>1¹, 3¹, 41¹, 123¹</t>
        </is>
      </c>
      <c r="I3622" t="n">
        <v>4</v>
      </c>
      <c r="J3622" t="inlineStr">
        <is>
          <t>1⁴, 2², 40², 80¹</t>
        </is>
      </c>
      <c r="K3622">
        <f>HYPERLINK("CSG0.html#group3B0", "3B⁰"), =HYPERLINK("CSG3.html#group41A3", "41A³")</f>
        <v/>
      </c>
      <c r="L3622" t="inlineStr"/>
      <c r="M3622">
        <f>HYPERLINK("CSG0.html#group3B0", "3B⁰"), =HYPERLINK("CSG0.html#group1A0", "1A⁰"), =HYPERLINK("CSG3.html#group41A3", "41A³")</f>
        <v/>
      </c>
      <c r="N3622" t="inlineStr"/>
    </row>
    <row r="3623">
      <c r="A3623" t="inlineStr">
        <is>
          <t>126A¹³</t>
        </is>
      </c>
      <c r="B3623" t="inlineStr"/>
      <c r="C3623" t="inlineStr">
        <is>
          <t>168</t>
        </is>
      </c>
      <c r="D3623" t="inlineStr">
        <is>
          <t>2</t>
        </is>
      </c>
      <c r="E3623" t="inlineStr">
        <is>
          <t>28</t>
        </is>
      </c>
      <c r="F3623" t="inlineStr">
        <is>
          <t>0</t>
        </is>
      </c>
      <c r="G3623" t="inlineStr">
        <is>
          <t>0</t>
        </is>
      </c>
      <c r="H3623" t="inlineStr">
        <is>
          <t>14³, 126¹</t>
        </is>
      </c>
      <c r="I3623" t="n">
        <v>4</v>
      </c>
      <c r="J3623" t="inlineStr">
        <is>
          <t>2², 4¹, 6⁴, 12²</t>
        </is>
      </c>
      <c r="K3623">
        <f>HYPERLINK("CSG4.html#group42D4", "42D⁴"), =HYPERLINK("CSG6.html#group63B6", "63B⁶")</f>
        <v/>
      </c>
      <c r="L3623" t="inlineStr"/>
      <c r="M3623">
        <f>HYPERLINK("CSG0.html#group3B0", "3B⁰"), =HYPERLINK("CSG0.html#group14A0", "14A⁰"), =HYPERLINK("CSG2.html#group21B2", "21B²"), =HYPERLINK("CSG4.html#group42D4", "42D⁴"), =HYPERLINK("CSG6.html#group63B6", "63B⁶"), =HYPERLINK("CSG0.html#group9B0", "9B⁰"), =HYPERLINK("CSG0.html#group1A0", "1A⁰"), =HYPERLINK("CSG0.html#group7A0", "7A⁰")</f>
        <v/>
      </c>
      <c r="N3623" t="inlineStr"/>
    </row>
    <row r="3624">
      <c r="A3624" t="inlineStr">
        <is>
          <t>126B¹³</t>
        </is>
      </c>
      <c r="B3624" t="inlineStr"/>
      <c r="C3624" t="inlineStr">
        <is>
          <t>168</t>
        </is>
      </c>
      <c r="D3624" t="inlineStr">
        <is>
          <t>2</t>
        </is>
      </c>
      <c r="E3624" t="inlineStr">
        <is>
          <t>28</t>
        </is>
      </c>
      <c r="F3624" t="inlineStr">
        <is>
          <t>0</t>
        </is>
      </c>
      <c r="G3624" t="inlineStr">
        <is>
          <t>0</t>
        </is>
      </c>
      <c r="H3624" t="inlineStr">
        <is>
          <t>14³, 126¹</t>
        </is>
      </c>
      <c r="I3624" t="n">
        <v>4</v>
      </c>
      <c r="J3624" t="inlineStr">
        <is>
          <t>2², 4¹, 6⁴, 12²</t>
        </is>
      </c>
      <c r="K3624">
        <f>HYPERLINK("CSG1.html#group18C1", "18C¹"), =HYPERLINK("CSG4.html#group42E4", "42E⁴"), =HYPERLINK("CSG6.html#group63B6", "63B⁶")</f>
        <v/>
      </c>
      <c r="L3624" t="inlineStr"/>
      <c r="M3624">
        <f>HYPERLINK("CSG0.html#group3B0", "3B⁰"), =HYPERLINK("CSG0.html#group2A0", "2A⁰"), =HYPERLINK("CSG2.html#group21B2", "21B²"), =HYPERLINK("CSG1.html#group18C1", "18C¹"), =HYPERLINK("CSG4.html#group42E4", "42E⁴"), =HYPERLINK("CSG0.html#group6C0", "6C⁰"), =HYPERLINK("CSG1.html#group14A1", "14A¹"), =HYPERLINK("CSG6.html#group63B6", "63B⁶"), =HYPERLINK("CSG0.html#group9B0", "9B⁰"), =HYPERLINK("CSG0.html#group1A0", "1A⁰"), =HYPERLINK("CSG0.html#group7A0", "7A⁰")</f>
        <v/>
      </c>
      <c r="N3624" t="inlineStr"/>
    </row>
    <row r="3625">
      <c r="A3625" t="inlineStr">
        <is>
          <t>126C¹³</t>
        </is>
      </c>
      <c r="B3625" t="inlineStr"/>
      <c r="C3625" t="inlineStr">
        <is>
          <t>168</t>
        </is>
      </c>
      <c r="D3625" t="inlineStr">
        <is>
          <t>2</t>
        </is>
      </c>
      <c r="E3625" t="inlineStr">
        <is>
          <t>56</t>
        </is>
      </c>
      <c r="F3625" t="inlineStr">
        <is>
          <t>0</t>
        </is>
      </c>
      <c r="G3625" t="inlineStr">
        <is>
          <t>3</t>
        </is>
      </c>
      <c r="H3625" t="inlineStr">
        <is>
          <t>42¹, 126¹</t>
        </is>
      </c>
      <c r="I3625" t="n">
        <v>2</v>
      </c>
      <c r="J3625" t="inlineStr">
        <is>
          <t>4⁴, 12⁸</t>
        </is>
      </c>
      <c r="K3625">
        <f>HYPERLINK("CSG1.html#group18D1", "18D¹"), =HYPERLINK("CSG4.html#group42E4", "42E⁴")</f>
        <v/>
      </c>
      <c r="L3625" t="inlineStr"/>
      <c r="M3625">
        <f>HYPERLINK("CSG0.html#group3B0", "3B⁰"), =HYPERLINK("CSG0.html#group2A0", "2A⁰"), =HYPERLINK("CSG2.html#group21B2", "21B²"), =HYPERLINK("CSG4.html#group42E4", "42E⁴"), =HYPERLINK("CSG0.html#group6C0", "6C⁰"), =HYPERLINK("CSG1.html#group14A1", "14A¹"), =HYPERLINK("CSG0.html#group1A0", "1A⁰"), =HYPERLINK("CSG0.html#group7A0", "7A⁰"), =HYPERLINK("CSG1.html#group18D1", "18D¹")</f>
        <v/>
      </c>
      <c r="N3625" t="inlineStr"/>
    </row>
    <row r="3626">
      <c r="A3626" t="inlineStr">
        <is>
          <t>126D¹³</t>
        </is>
      </c>
      <c r="B3626" t="inlineStr"/>
      <c r="C3626" t="inlineStr">
        <is>
          <t>192</t>
        </is>
      </c>
      <c r="D3626" t="inlineStr">
        <is>
          <t>1</t>
        </is>
      </c>
      <c r="E3626" t="inlineStr">
        <is>
          <t>32</t>
        </is>
      </c>
      <c r="F3626" t="inlineStr">
        <is>
          <t>0</t>
        </is>
      </c>
      <c r="G3626" t="inlineStr">
        <is>
          <t>0</t>
        </is>
      </c>
      <c r="H3626" t="inlineStr">
        <is>
          <t>2³, 14³, 18¹, 126¹</t>
        </is>
      </c>
      <c r="I3626" t="n">
        <v>8</v>
      </c>
      <c r="J3626" t="inlineStr">
        <is>
          <t>1⁴, 2², 6², 12¹</t>
        </is>
      </c>
      <c r="K3626">
        <f>HYPERLINK("CSG3.html#group42D3", "42D³"), =HYPERLINK("CSG5.html#group63A5", "63A⁵")</f>
        <v/>
      </c>
      <c r="L3626" t="inlineStr"/>
      <c r="M3626">
        <f>HYPERLINK("CSG5.html#group63A5", "63A⁵"), =HYPERLINK("CSG0.html#group3B0", "3B⁰"), =HYPERLINK("CSG0.html#group9B0", "9B⁰"), =HYPERLINK("CSG3.html#group42D3", "42D³"), =HYPERLINK("CSG1.html#group21B1", "21B¹"), =HYPERLINK("CSG0.html#group1A0", "1A⁰"), =HYPERLINK("CSG0.html#group7B0", "7B⁰")</f>
        <v/>
      </c>
      <c r="N3626" t="inlineStr"/>
    </row>
    <row r="3627">
      <c r="A3627" t="inlineStr">
        <is>
          <t>126E¹³</t>
        </is>
      </c>
      <c r="B3627" t="inlineStr"/>
      <c r="C3627" t="inlineStr">
        <is>
          <t>192</t>
        </is>
      </c>
      <c r="D3627" t="inlineStr">
        <is>
          <t>1</t>
        </is>
      </c>
      <c r="E3627" t="inlineStr">
        <is>
          <t>32</t>
        </is>
      </c>
      <c r="F3627" t="inlineStr">
        <is>
          <t>0</t>
        </is>
      </c>
      <c r="G3627" t="inlineStr">
        <is>
          <t>0</t>
        </is>
      </c>
      <c r="H3627" t="inlineStr">
        <is>
          <t>2³, 14³, 18¹, 126¹</t>
        </is>
      </c>
      <c r="I3627" t="n">
        <v>8</v>
      </c>
      <c r="J3627" t="inlineStr">
        <is>
          <t>1⁴, 2², 6², 12¹</t>
        </is>
      </c>
      <c r="K3627">
        <f>HYPERLINK("CSG1.html#group18C1", "18C¹"), =HYPERLINK("CSG3.html#group42E3", "42E³"), =HYPERLINK("CSG5.html#group63A5", "63A⁵")</f>
        <v/>
      </c>
      <c r="L3627" t="inlineStr"/>
      <c r="M3627">
        <f>HYPERLINK("CSG5.html#group63A5", "63A⁵"), =HYPERLINK("CSG0.html#group3B0", "3B⁰"), =HYPERLINK("CSG0.html#group2A0", "2A⁰"), =HYPERLINK("CSG1.html#group21B1", "21B¹"), =HYPERLINK("CSG0.html#group7B0", "7B⁰"), =HYPERLINK("CSG1.html#group18C1", "18C¹"), =HYPERLINK("CSG3.html#group42E3", "42E³"), =HYPERLINK("CSG0.html#group6C0", "6C⁰"), =HYPERLINK("CSG0.html#group14B0", "14B⁰"), =HYPERLINK("CSG0.html#group9B0", "9B⁰"), =HYPERLINK("CSG0.html#group1A0", "1A⁰")</f>
        <v/>
      </c>
      <c r="N3627" t="inlineStr"/>
    </row>
    <row r="3628">
      <c r="A3628" t="inlineStr">
        <is>
          <t>126F¹³</t>
        </is>
      </c>
      <c r="B3628" t="inlineStr"/>
      <c r="C3628" t="inlineStr">
        <is>
          <t>192</t>
        </is>
      </c>
      <c r="D3628" t="inlineStr">
        <is>
          <t>1</t>
        </is>
      </c>
      <c r="E3628" t="inlineStr">
        <is>
          <t>64</t>
        </is>
      </c>
      <c r="F3628" t="inlineStr">
        <is>
          <t>0</t>
        </is>
      </c>
      <c r="G3628" t="inlineStr">
        <is>
          <t>6</t>
        </is>
      </c>
      <c r="H3628" t="inlineStr">
        <is>
          <t>6¹, 18¹, 42¹, 126¹</t>
        </is>
      </c>
      <c r="I3628" t="n">
        <v>4</v>
      </c>
      <c r="J3628" t="inlineStr">
        <is>
          <t>2⁸, 12⁴</t>
        </is>
      </c>
      <c r="K3628">
        <f>HYPERLINK("CSG1.html#group18D1", "18D¹"), =HYPERLINK("CSG3.html#group42E3", "42E³")</f>
        <v/>
      </c>
      <c r="L3628" t="inlineStr"/>
      <c r="M3628">
        <f>HYPERLINK("CSG0.html#group3B0", "3B⁰"), =HYPERLINK("CSG0.html#group2A0", "2A⁰"), =HYPERLINK("CSG1.html#group21B1", "21B¹"), =HYPERLINK("CSG0.html#group7B0", "7B⁰"), =HYPERLINK("CSG3.html#group42E3", "42E³"), =HYPERLINK("CSG0.html#group6C0", "6C⁰"), =HYPERLINK("CSG0.html#group14B0", "14B⁰"), =HYPERLINK("CSG0.html#group1A0", "1A⁰"), =HYPERLINK("CSG1.html#group18D1", "18D¹")</f>
        <v/>
      </c>
      <c r="N3628" t="inlineStr"/>
    </row>
    <row r="3629">
      <c r="A3629" t="inlineStr">
        <is>
          <t>126G¹³</t>
        </is>
      </c>
      <c r="B3629" t="inlineStr"/>
      <c r="C3629" t="inlineStr">
        <is>
          <t>192</t>
        </is>
      </c>
      <c r="D3629" t="inlineStr">
        <is>
          <t>2</t>
        </is>
      </c>
      <c r="E3629" t="inlineStr">
        <is>
          <t>32</t>
        </is>
      </c>
      <c r="F3629" t="inlineStr">
        <is>
          <t>0</t>
        </is>
      </c>
      <c r="G3629" t="inlineStr">
        <is>
          <t>6</t>
        </is>
      </c>
      <c r="H3629" t="inlineStr">
        <is>
          <t>6¹, 18¹, 42¹, 126¹</t>
        </is>
      </c>
      <c r="I3629" t="n">
        <v>4</v>
      </c>
      <c r="J3629" t="inlineStr">
        <is>
          <t>2⁸, 12⁴</t>
        </is>
      </c>
      <c r="K3629">
        <f>HYPERLINK("CSG3.html#group42D3", "42D³"), =HYPERLINK("CSG6.html#group63D6", "63D⁶")</f>
        <v/>
      </c>
      <c r="L3629" t="inlineStr"/>
      <c r="M3629">
        <f>HYPERLINK("CSG0.html#group3B0", "3B⁰"), =HYPERLINK("CSG3.html#group42D3", "42D³"), =HYPERLINK("CSG1.html#group21B1", "21B¹"), =HYPERLINK("CSG0.html#group1A0", "1A⁰"), =HYPERLINK("CSG0.html#group7B0", "7B⁰"), =HYPERLINK("CSG6.html#group63D6", "63D⁶")</f>
        <v/>
      </c>
      <c r="N3629" t="inlineStr"/>
    </row>
    <row r="3630">
      <c r="A3630" t="inlineStr">
        <is>
          <t>126H¹³</t>
        </is>
      </c>
      <c r="B3630" t="inlineStr"/>
      <c r="C3630" t="inlineStr">
        <is>
          <t>192</t>
        </is>
      </c>
      <c r="D3630" t="inlineStr">
        <is>
          <t>2</t>
        </is>
      </c>
      <c r="E3630" t="inlineStr">
        <is>
          <t>32</t>
        </is>
      </c>
      <c r="F3630" t="inlineStr">
        <is>
          <t>0</t>
        </is>
      </c>
      <c r="G3630" t="inlineStr">
        <is>
          <t>6</t>
        </is>
      </c>
      <c r="H3630" t="inlineStr">
        <is>
          <t>6¹, 18¹, 42¹, 126¹</t>
        </is>
      </c>
      <c r="I3630" t="n">
        <v>4</v>
      </c>
      <c r="J3630" t="inlineStr">
        <is>
          <t>2⁸, 12⁴</t>
        </is>
      </c>
      <c r="K3630">
        <f>HYPERLINK("CSG3.html#group42E3", "42E³"), =HYPERLINK("CSG6.html#group63D6", "63D⁶")</f>
        <v/>
      </c>
      <c r="L3630" t="inlineStr"/>
      <c r="M3630">
        <f>HYPERLINK("CSG0.html#group3B0", "3B⁰"), =HYPERLINK("CSG0.html#group2A0", "2A⁰"), =HYPERLINK("CSG1.html#group21B1", "21B¹"), =HYPERLINK("CSG0.html#group7B0", "7B⁰"), =HYPERLINK("CSG3.html#group42E3", "42E³"), =HYPERLINK("CSG0.html#group6C0", "6C⁰"), =HYPERLINK("CSG0.html#group14B0", "14B⁰"), =HYPERLINK("CSG0.html#group1A0", "1A⁰"), =HYPERLINK("CSG6.html#group63D6", "63D⁶")</f>
        <v/>
      </c>
      <c r="N3630" t="inlineStr"/>
    </row>
    <row r="3631">
      <c r="A3631" t="inlineStr">
        <is>
          <t>126I¹³</t>
        </is>
      </c>
      <c r="B3631" t="inlineStr"/>
      <c r="C3631" t="inlineStr">
        <is>
          <t>192</t>
        </is>
      </c>
      <c r="D3631" t="inlineStr">
        <is>
          <t>2</t>
        </is>
      </c>
      <c r="E3631" t="inlineStr">
        <is>
          <t>64</t>
        </is>
      </c>
      <c r="F3631" t="inlineStr">
        <is>
          <t>0</t>
        </is>
      </c>
      <c r="G3631" t="inlineStr">
        <is>
          <t>6</t>
        </is>
      </c>
      <c r="H3631" t="inlineStr">
        <is>
          <t>6¹, 18¹, 42¹, 126¹</t>
        </is>
      </c>
      <c r="I3631" t="n">
        <v>4</v>
      </c>
      <c r="J3631" t="inlineStr">
        <is>
          <t>2¹⁶, 12⁸</t>
        </is>
      </c>
      <c r="K3631">
        <f>HYPERLINK("CSG3.html#group42E3", "42E³")</f>
        <v/>
      </c>
      <c r="L3631" t="inlineStr"/>
      <c r="M3631">
        <f>HYPERLINK("CSG0.html#group3B0", "3B⁰"), =HYPERLINK("CSG0.html#group2A0", "2A⁰"), =HYPERLINK("CSG1.html#group21B1", "21B¹"), =HYPERLINK("CSG0.html#group7B0", "7B⁰"), =HYPERLINK("CSG3.html#group42E3", "42E³"), =HYPERLINK("CSG0.html#group6C0", "6C⁰"), =HYPERLINK("CSG0.html#group14B0", "14B⁰"), =HYPERLINK("CSG0.html#group1A0", "1A⁰")</f>
        <v/>
      </c>
      <c r="N3631" t="inlineStr"/>
    </row>
    <row r="3632">
      <c r="A3632" t="inlineStr">
        <is>
          <t>126J¹³</t>
        </is>
      </c>
      <c r="B3632" t="inlineStr"/>
      <c r="C3632" t="inlineStr">
        <is>
          <t>252</t>
        </is>
      </c>
      <c r="D3632" t="inlineStr">
        <is>
          <t>2</t>
        </is>
      </c>
      <c r="E3632" t="inlineStr">
        <is>
          <t>63</t>
        </is>
      </c>
      <c r="F3632" t="inlineStr">
        <is>
          <t>32</t>
        </is>
      </c>
      <c r="G3632" t="inlineStr">
        <is>
          <t>0</t>
        </is>
      </c>
      <c r="H3632" t="inlineStr">
        <is>
          <t>126²</t>
        </is>
      </c>
      <c r="I3632" t="n">
        <v>2</v>
      </c>
      <c r="J3632" t="inlineStr">
        <is>
          <t>4³, 12⁸, 36⁴</t>
        </is>
      </c>
      <c r="K3632">
        <f>HYPERLINK("CSG3.html#group42F3", "42F³"), =HYPERLINK("CSG5.html#group126A5", "126A⁵"), =HYPERLINK("CSG6.html#group63F6", "63F⁶"), =HYPERLINK("CSG6.html#group126A6", "126A⁶")</f>
        <v/>
      </c>
      <c r="L3632" t="inlineStr"/>
      <c r="M3632">
        <f>HYPERLINK("CSG0.html#group14A0", "14A⁰"), =HYPERLINK("CSG0.html#group6B0", "6B⁰"), =HYPERLINK("CSG1.html#group42A1", "42A¹"), =HYPERLINK("CSG6.html#group63F6", "63F⁶"), =HYPERLINK("CSG1.html#group21D1", "21D¹"), =HYPERLINK("CSG0.html#group21A0", "21A⁰"), =HYPERLINK("CSG5.html#group126A5", "126A⁵"), =HYPERLINK("CSG0.html#group1A0", "1A⁰"), =HYPERLINK("CSG0.html#group18A0", "18A⁰"), =HYPERLINK("CSG2.html#group63A2", "63A²"), =HYPERLINK("CSG6.html#group126A6", "126A⁶"), =HYPERLINK("CSG0.html#group9A0", "9A⁰"), =HYPERLINK("CSG1.html#group42B1", "42B¹"), =HYPERLINK("CSG0.html#group3A0", "3A⁰"), =HYPERLINK("CSG3.html#group42F3", "42F³"), =HYPERLINK("CSG0.html#group7A0", "7A⁰")</f>
        <v/>
      </c>
      <c r="N3632" t="inlineStr"/>
    </row>
    <row r="3633">
      <c r="A3633" t="inlineStr">
        <is>
          <t>126K¹³</t>
        </is>
      </c>
      <c r="B3633" t="inlineStr"/>
      <c r="C3633" t="inlineStr">
        <is>
          <t>252</t>
        </is>
      </c>
      <c r="D3633" t="inlineStr">
        <is>
          <t>2</t>
        </is>
      </c>
      <c r="E3633" t="inlineStr">
        <is>
          <t>63</t>
        </is>
      </c>
      <c r="F3633" t="inlineStr">
        <is>
          <t>32</t>
        </is>
      </c>
      <c r="G3633" t="inlineStr">
        <is>
          <t>0</t>
        </is>
      </c>
      <c r="H3633" t="inlineStr">
        <is>
          <t>126²</t>
        </is>
      </c>
      <c r="I3633" t="n">
        <v>2</v>
      </c>
      <c r="J3633" t="inlineStr">
        <is>
          <t>4³, 12⁸, 36⁴</t>
        </is>
      </c>
      <c r="K3633">
        <f>HYPERLINK("CSG3.html#group42F3", "42F³"), =HYPERLINK("CSG5.html#group126B5", "126B⁵"), =HYPERLINK("CSG6.html#group63G6", "63G⁶"), =HYPERLINK("CSG6.html#group126A6", "126A⁶")</f>
        <v/>
      </c>
      <c r="L3633" t="inlineStr"/>
      <c r="M3633">
        <f>HYPERLINK("CSG0.html#group14A0", "14A⁰"), =HYPERLINK("CSG0.html#group6B0", "6B⁰"), =HYPERLINK("CSG1.html#group42A1", "42A¹"), =HYPERLINK("CSG1.html#group21D1", "21D¹"), =HYPERLINK("CSG0.html#group21A0", "21A⁰"), =HYPERLINK("CSG6.html#group63G6", "63G⁶"), =HYPERLINK("CSG0.html#group1A0", "1A⁰"), =HYPERLINK("CSG0.html#group18A0", "18A⁰"), =HYPERLINK("CSG2.html#group63A2", "63A²"), =HYPERLINK("CSG6.html#group126A6", "126A⁶"), =HYPERLINK("CSG0.html#group9A0", "9A⁰"), =HYPERLINK("CSG5.html#group126B5", "126B⁵"), =HYPERLINK("CSG1.html#group42B1", "42B¹"), =HYPERLINK("CSG0.html#group3A0", "3A⁰"), =HYPERLINK("CSG3.html#group42F3", "42F³"), =HYPERLINK("CSG0.html#group7A0", "7A⁰")</f>
        <v/>
      </c>
      <c r="N3633" t="inlineStr"/>
    </row>
    <row r="3634">
      <c r="A3634" t="inlineStr">
        <is>
          <t>128A¹³</t>
        </is>
      </c>
      <c r="B3634" t="inlineStr"/>
      <c r="C3634" t="inlineStr">
        <is>
          <t>192</t>
        </is>
      </c>
      <c r="D3634" t="inlineStr">
        <is>
          <t>1</t>
        </is>
      </c>
      <c r="E3634" t="inlineStr">
        <is>
          <t>24</t>
        </is>
      </c>
      <c r="F3634" t="inlineStr">
        <is>
          <t>0</t>
        </is>
      </c>
      <c r="G3634" t="inlineStr">
        <is>
          <t>0</t>
        </is>
      </c>
      <c r="H3634" t="inlineStr">
        <is>
          <t>4⁴, 8², 32¹, 128¹</t>
        </is>
      </c>
      <c r="I3634" t="n">
        <v>8</v>
      </c>
      <c r="J3634" t="inlineStr">
        <is>
          <t>1⁴, 2², 4², 8¹</t>
        </is>
      </c>
      <c r="K3634">
        <f>HYPERLINK("CSG5.html#group64A5", "64A⁵")</f>
        <v/>
      </c>
      <c r="L3634" t="inlineStr"/>
      <c r="M3634">
        <f>HYPERLINK("CSG0.html#group8C0", "8C⁰"), =HYPERLINK("CSG0.html#group2B0", "2B⁰"), =HYPERLINK("CSG1.html#group32A1", "32A¹"), =HYPERLINK("CSG0.html#group4B0", "4B⁰"), =HYPERLINK("CSG0.html#group1A0", "1A⁰"), =HYPERLINK("CSG0.html#group16C0", "16C⁰"), =HYPERLINK("CSG5.html#group64A5", "64A⁵")</f>
        <v/>
      </c>
      <c r="N3634" t="inlineStr"/>
    </row>
    <row r="3635">
      <c r="A3635" t="inlineStr">
        <is>
          <t>128B¹³</t>
        </is>
      </c>
      <c r="B3635" t="inlineStr"/>
      <c r="C3635" t="inlineStr">
        <is>
          <t>192</t>
        </is>
      </c>
      <c r="D3635" t="inlineStr">
        <is>
          <t>1</t>
        </is>
      </c>
      <c r="E3635" t="inlineStr">
        <is>
          <t>24</t>
        </is>
      </c>
      <c r="F3635" t="inlineStr">
        <is>
          <t>0</t>
        </is>
      </c>
      <c r="G3635" t="inlineStr">
        <is>
          <t>0</t>
        </is>
      </c>
      <c r="H3635" t="inlineStr">
        <is>
          <t>4⁴, 8², 32¹, 128¹</t>
        </is>
      </c>
      <c r="I3635" t="n">
        <v>8</v>
      </c>
      <c r="J3635" t="inlineStr">
        <is>
          <t>1⁴, 2², 4², 8¹</t>
        </is>
      </c>
      <c r="K3635">
        <f>HYPERLINK("CSG5.html#group64A5", "64A⁵")</f>
        <v/>
      </c>
      <c r="L3635" t="inlineStr"/>
      <c r="M3635">
        <f>HYPERLINK("CSG0.html#group8C0", "8C⁰"), =HYPERLINK("CSG0.html#group2B0", "2B⁰"), =HYPERLINK("CSG1.html#group32A1", "32A¹"), =HYPERLINK("CSG0.html#group4B0", "4B⁰"), =HYPERLINK("CSG0.html#group1A0", "1A⁰"), =HYPERLINK("CSG0.html#group16C0", "16C⁰"), =HYPERLINK("CSG5.html#group64A5", "64A⁵")</f>
        <v/>
      </c>
      <c r="N3635" t="inlineStr"/>
    </row>
    <row r="3636">
      <c r="A3636" t="inlineStr">
        <is>
          <t>128C¹³</t>
        </is>
      </c>
      <c r="B3636" t="inlineStr"/>
      <c r="C3636" t="inlineStr">
        <is>
          <t>192</t>
        </is>
      </c>
      <c r="D3636" t="inlineStr">
        <is>
          <t>1</t>
        </is>
      </c>
      <c r="E3636" t="inlineStr">
        <is>
          <t>24</t>
        </is>
      </c>
      <c r="F3636" t="inlineStr">
        <is>
          <t>0</t>
        </is>
      </c>
      <c r="G3636" t="inlineStr">
        <is>
          <t>0</t>
        </is>
      </c>
      <c r="H3636" t="inlineStr">
        <is>
          <t>4⁴, 8², 32¹, 128¹</t>
        </is>
      </c>
      <c r="I3636" t="n">
        <v>8</v>
      </c>
      <c r="J3636" t="inlineStr">
        <is>
          <t>1⁴, 2², 4², 8¹</t>
        </is>
      </c>
      <c r="K3636">
        <f>HYPERLINK("CSG5.html#group64B5", "64B⁵")</f>
        <v/>
      </c>
      <c r="L3636" t="inlineStr"/>
      <c r="M3636">
        <f>HYPERLINK("CSG0.html#group8C0", "8C⁰"), =HYPERLINK("CSG0.html#group2B0", "2B⁰"), =HYPERLINK("CSG1.html#group32A1", "32A¹"), =HYPERLINK("CSG0.html#group4B0", "4B⁰"), =HYPERLINK("CSG0.html#group1A0", "1A⁰"), =HYPERLINK("CSG0.html#group16C0", "16C⁰"), =HYPERLINK("CSG5.html#group64B5", "64B⁵")</f>
        <v/>
      </c>
      <c r="N3636" t="inlineStr"/>
    </row>
    <row r="3637">
      <c r="A3637" t="inlineStr">
        <is>
          <t>128D¹³</t>
        </is>
      </c>
      <c r="B3637" t="inlineStr"/>
      <c r="C3637" t="inlineStr">
        <is>
          <t>192</t>
        </is>
      </c>
      <c r="D3637" t="inlineStr">
        <is>
          <t>1</t>
        </is>
      </c>
      <c r="E3637" t="inlineStr">
        <is>
          <t>24</t>
        </is>
      </c>
      <c r="F3637" t="inlineStr">
        <is>
          <t>0</t>
        </is>
      </c>
      <c r="G3637" t="inlineStr">
        <is>
          <t>0</t>
        </is>
      </c>
      <c r="H3637" t="inlineStr">
        <is>
          <t>4⁴, 8², 32¹, 128¹</t>
        </is>
      </c>
      <c r="I3637" t="n">
        <v>8</v>
      </c>
      <c r="J3637" t="inlineStr">
        <is>
          <t>1⁴, 2², 4², 8¹</t>
        </is>
      </c>
      <c r="K3637">
        <f>HYPERLINK("CSG5.html#group64B5", "64B⁵")</f>
        <v/>
      </c>
      <c r="L3637" t="inlineStr"/>
      <c r="M3637">
        <f>HYPERLINK("CSG0.html#group8C0", "8C⁰"), =HYPERLINK("CSG0.html#group2B0", "2B⁰"), =HYPERLINK("CSG1.html#group32A1", "32A¹"), =HYPERLINK("CSG0.html#group4B0", "4B⁰"), =HYPERLINK("CSG0.html#group1A0", "1A⁰"), =HYPERLINK("CSG0.html#group16C0", "16C⁰"), =HYPERLINK("CSG5.html#group64B5", "64B⁵")</f>
        <v/>
      </c>
      <c r="N3637" t="inlineStr"/>
    </row>
    <row r="3638">
      <c r="A3638" t="inlineStr">
        <is>
          <t>128E¹³</t>
        </is>
      </c>
      <c r="B3638" t="inlineStr"/>
      <c r="C3638" t="inlineStr">
        <is>
          <t>384</t>
        </is>
      </c>
      <c r="D3638" t="inlineStr">
        <is>
          <t>1</t>
        </is>
      </c>
      <c r="E3638" t="inlineStr">
        <is>
          <t>12</t>
        </is>
      </c>
      <c r="F3638" t="inlineStr">
        <is>
          <t>0</t>
        </is>
      </c>
      <c r="G3638" t="inlineStr">
        <is>
          <t>0</t>
        </is>
      </c>
      <c r="H3638" t="inlineStr">
        <is>
          <t>1³², 8⁴, 32², 128²</t>
        </is>
      </c>
      <c r="I3638" t="n">
        <v>40</v>
      </c>
      <c r="J3638" t="inlineStr">
        <is>
          <t>1⁴, 2², 4¹</t>
        </is>
      </c>
      <c r="K3638">
        <f>HYPERLINK("CSG5.html#group64C5", "64C⁵"), =HYPERLINK("CSG7.html#group128A7", "128A⁷")</f>
        <v/>
      </c>
      <c r="L3638" t="inlineStr"/>
      <c r="M3638">
        <f>HYPERLINK("CSG1.html#group32A1", "32A¹"), =HYPERLINK("CSG1.html#group32E1", "32E¹"), =HYPERLINK("CSG0.html#group16C0", "16C⁰"), =HYPERLINK("CSG0.html#group16D0", "16D⁰"), =HYPERLINK("CSG0.html#group32A0", "32A⁰"), =HYPERLINK("CSG5.html#group64C5", "64C⁵"), =HYPERLINK("CSG7.html#group128A7", "128A⁷"), =HYPERLINK("CSG3.html#group64B3", "64B³"), =HYPERLINK("CSG0.html#group8C0", "8C⁰"), =HYPERLINK("CSG0.html#group2B0", "2B⁰"), =HYPERLINK("CSG0.html#group8I0", "8I⁰"), =HYPERLINK("CSG3.html#group64A3", "64A³"), =HYPERLINK("CSG0.html#group4B0", "4B⁰"), =HYPERLINK("CSG0.html#group1A0", "1A⁰"), =HYPERLINK("CSG0.html#group16H0", "16H⁰")</f>
        <v/>
      </c>
      <c r="N3638" t="inlineStr"/>
    </row>
    <row r="3639">
      <c r="A3639" t="inlineStr">
        <is>
          <t>129A¹³</t>
        </is>
      </c>
      <c r="B3639" t="inlineStr">
        <is>
          <t>Γ₀(129)</t>
        </is>
      </c>
      <c r="C3639" t="inlineStr">
        <is>
          <t>176</t>
        </is>
      </c>
      <c r="D3639" t="inlineStr">
        <is>
          <t>1</t>
        </is>
      </c>
      <c r="E3639" t="inlineStr">
        <is>
          <t>176</t>
        </is>
      </c>
      <c r="F3639" t="inlineStr">
        <is>
          <t>0</t>
        </is>
      </c>
      <c r="G3639" t="inlineStr">
        <is>
          <t>2</t>
        </is>
      </c>
      <c r="H3639" t="inlineStr">
        <is>
          <t>1¹, 3¹, 43¹, 129¹</t>
        </is>
      </c>
      <c r="I3639" t="n">
        <v>4</v>
      </c>
      <c r="J3639" t="inlineStr">
        <is>
          <t>1⁴, 2², 42², 84¹</t>
        </is>
      </c>
      <c r="K3639">
        <f>HYPERLINK("CSG0.html#group3B0", "3B⁰"), =HYPERLINK("CSG3.html#group43A3", "43A³")</f>
        <v/>
      </c>
      <c r="L3639" t="inlineStr"/>
      <c r="M3639">
        <f>HYPERLINK("CSG0.html#group3B0", "3B⁰"), =HYPERLINK("CSG0.html#group1A0", "1A⁰"), =HYPERLINK("CSG3.html#group43A3", "43A³")</f>
        <v/>
      </c>
      <c r="N3639" t="inlineStr"/>
    </row>
    <row r="3640">
      <c r="A3640" t="inlineStr">
        <is>
          <t>130A¹³</t>
        </is>
      </c>
      <c r="B3640" t="inlineStr"/>
      <c r="C3640" t="inlineStr">
        <is>
          <t>168</t>
        </is>
      </c>
      <c r="D3640" t="inlineStr">
        <is>
          <t>1</t>
        </is>
      </c>
      <c r="E3640" t="inlineStr">
        <is>
          <t>84</t>
        </is>
      </c>
      <c r="F3640" t="inlineStr">
        <is>
          <t>0</t>
        </is>
      </c>
      <c r="G3640" t="inlineStr">
        <is>
          <t>0</t>
        </is>
      </c>
      <c r="H3640" t="inlineStr">
        <is>
          <t>2¹, 10¹, 26¹, 130¹</t>
        </is>
      </c>
      <c r="I3640" t="n">
        <v>4</v>
      </c>
      <c r="J3640" t="inlineStr">
        <is>
          <t>1⁴, 4², 12², 48¹</t>
        </is>
      </c>
      <c r="K3640">
        <f>HYPERLINK("CSG5.html#group65A5", "65A⁵")</f>
        <v/>
      </c>
      <c r="L3640" t="inlineStr"/>
      <c r="M3640">
        <f>HYPERLINK("CSG0.html#group5B0", "5B⁰"), =HYPERLINK("CSG0.html#group13A0", "13A⁰"), =HYPERLINK("CSG0.html#group1A0", "1A⁰"), =HYPERLINK("CSG5.html#group65A5", "65A⁵")</f>
        <v/>
      </c>
      <c r="N3640" t="inlineStr"/>
    </row>
    <row r="3641">
      <c r="A3641" t="inlineStr">
        <is>
          <t>130B¹³</t>
        </is>
      </c>
      <c r="B3641" t="inlineStr"/>
      <c r="C3641" t="inlineStr">
        <is>
          <t>168</t>
        </is>
      </c>
      <c r="D3641" t="inlineStr">
        <is>
          <t>1</t>
        </is>
      </c>
      <c r="E3641" t="inlineStr">
        <is>
          <t>84</t>
        </is>
      </c>
      <c r="F3641" t="inlineStr">
        <is>
          <t>0</t>
        </is>
      </c>
      <c r="G3641" t="inlineStr">
        <is>
          <t>0</t>
        </is>
      </c>
      <c r="H3641" t="inlineStr">
        <is>
          <t>2¹, 10¹, 26¹, 130¹</t>
        </is>
      </c>
      <c r="I3641" t="n">
        <v>4</v>
      </c>
      <c r="J3641" t="inlineStr">
        <is>
          <t>1⁴, 4², 12², 48¹</t>
        </is>
      </c>
      <c r="K3641">
        <f>HYPERLINK("CSG1.html#group10A1", "10A¹"), =HYPERLINK("CSG1.html#group26A1", "26A¹"), =HYPERLINK("CSG5.html#group65A5", "65A⁵")</f>
        <v/>
      </c>
      <c r="L3641" t="inlineStr"/>
      <c r="M3641">
        <f>HYPERLINK("CSG0.html#group2A0", "2A⁰"), =HYPERLINK("CSG1.html#group26A1", "26A¹"), =HYPERLINK("CSG0.html#group5B0", "5B⁰"), =HYPERLINK("CSG0.html#group13A0", "13A⁰"), =HYPERLINK("CSG1.html#group10A1", "10A¹"), =HYPERLINK("CSG5.html#group65A5", "65A⁵"), =HYPERLINK("CSG0.html#group1A0", "1A⁰")</f>
        <v/>
      </c>
      <c r="N3641" t="inlineStr"/>
    </row>
    <row r="3642">
      <c r="A3642" t="inlineStr">
        <is>
          <t>132A¹³</t>
        </is>
      </c>
      <c r="B3642" t="inlineStr"/>
      <c r="C3642" t="inlineStr">
        <is>
          <t>198</t>
        </is>
      </c>
      <c r="D3642" t="inlineStr">
        <is>
          <t>2</t>
        </is>
      </c>
      <c r="E3642" t="inlineStr">
        <is>
          <t>99</t>
        </is>
      </c>
      <c r="F3642" t="inlineStr">
        <is>
          <t>12</t>
        </is>
      </c>
      <c r="G3642" t="inlineStr">
        <is>
          <t>0</t>
        </is>
      </c>
      <c r="H3642" t="inlineStr">
        <is>
          <t>33², 132¹</t>
        </is>
      </c>
      <c r="I3642" t="n">
        <v>3</v>
      </c>
      <c r="J3642" t="inlineStr">
        <is>
          <t>2³, 4³, 10⁶, 20⁶</t>
        </is>
      </c>
      <c r="K3642">
        <f>HYPERLINK("CSG0.html#group12D0", "12D⁰"), =HYPERLINK("CSG6.html#group66F6", "66F⁶")</f>
        <v/>
      </c>
      <c r="L3642" t="inlineStr"/>
      <c r="M3642">
        <f>HYPERLINK("CSG0.html#group11A0", "11A⁰"), =HYPERLINK("CSG1.html#group33A1", "33A¹"), =HYPERLINK("CSG0.html#group2B0", "2B⁰"), =HYPERLINK("CSG0.html#group12D0", "12D⁰"), =HYPERLINK("CSG6.html#group66F6", "66F⁶"), =HYPERLINK("CSG2.html#group22B2", "22B²"), =HYPERLINK("CSG0.html#group3A0", "3A⁰"), =HYPERLINK("CSG0.html#group1A0", "1A⁰"), =HYPERLINK("CSG0.html#group6D0", "6D⁰")</f>
        <v/>
      </c>
      <c r="N3642" t="inlineStr"/>
    </row>
    <row r="3643">
      <c r="A3643" t="inlineStr">
        <is>
          <t>135A¹³</t>
        </is>
      </c>
      <c r="B3643" t="inlineStr"/>
      <c r="C3643" t="inlineStr">
        <is>
          <t>180</t>
        </is>
      </c>
      <c r="D3643" t="inlineStr">
        <is>
          <t>1</t>
        </is>
      </c>
      <c r="E3643" t="inlineStr">
        <is>
          <t>60</t>
        </is>
      </c>
      <c r="F3643" t="inlineStr">
        <is>
          <t>0</t>
        </is>
      </c>
      <c r="G3643" t="inlineStr">
        <is>
          <t>0</t>
        </is>
      </c>
      <c r="H3643" t="inlineStr">
        <is>
          <t>5³, 15², 135¹</t>
        </is>
      </c>
      <c r="I3643" t="n">
        <v>6</v>
      </c>
      <c r="J3643" t="inlineStr">
        <is>
          <t>1², 2², 4², 6¹, 8², 24¹</t>
        </is>
      </c>
      <c r="K3643">
        <f>HYPERLINK("CSG1.html#group27A1", "27A¹"), =HYPERLINK("CSG4.html#group45A4", "45A⁴")</f>
        <v/>
      </c>
      <c r="L3643" t="inlineStr"/>
      <c r="M3643">
        <f>HYPERLINK("CSG0.html#group3B0", "3B⁰"), =HYPERLINK("CSG0.html#group9B0", "9B⁰"), =HYPERLINK("CSG1.html#group15B1", "15B¹"), =HYPERLINK("CSG0.html#group5A0", "5A⁰"), =HYPERLINK("CSG1.html#group27A1", "27A¹"), =HYPERLINK("CSG4.html#group45A4", "45A⁴"), =HYPERLINK("CSG0.html#group1A0", "1A⁰")</f>
        <v/>
      </c>
      <c r="N3643" t="inlineStr"/>
    </row>
    <row r="3644">
      <c r="A3644" t="inlineStr">
        <is>
          <t>135B¹³</t>
        </is>
      </c>
      <c r="B3644" t="inlineStr"/>
      <c r="C3644" t="inlineStr">
        <is>
          <t>180</t>
        </is>
      </c>
      <c r="D3644" t="inlineStr">
        <is>
          <t>1</t>
        </is>
      </c>
      <c r="E3644" t="inlineStr">
        <is>
          <t>60</t>
        </is>
      </c>
      <c r="F3644" t="inlineStr">
        <is>
          <t>0</t>
        </is>
      </c>
      <c r="G3644" t="inlineStr">
        <is>
          <t>6</t>
        </is>
      </c>
      <c r="H3644" t="inlineStr">
        <is>
          <t>45¹, 135¹</t>
        </is>
      </c>
      <c r="I3644" t="n">
        <v>2</v>
      </c>
      <c r="J3644" t="inlineStr">
        <is>
          <t>1², 2², 4², 6¹, 8², 24¹</t>
        </is>
      </c>
      <c r="K3644">
        <f>HYPERLINK("CSG2.html#group27B2", "27B²"), =HYPERLINK("CSG3.html#group45B3", "45B³")</f>
        <v/>
      </c>
      <c r="L3644" t="inlineStr"/>
      <c r="M3644">
        <f>HYPERLINK("CSG0.html#group3B0", "3B⁰"), =HYPERLINK("CSG0.html#group5A0", "5A⁰"), =HYPERLINK("CSG3.html#group45B3", "45B³"), =HYPERLINK("CSG2.html#group27B2", "27B²"), =HYPERLINK("CSG1.html#group15B1", "15B¹"), =HYPERLINK("CSG0.html#group9C0", "9C⁰"), =HYPERLINK("CSG0.html#group1A0", "1A⁰")</f>
        <v/>
      </c>
      <c r="N3644" t="inlineStr"/>
    </row>
    <row r="3645">
      <c r="A3645" t="inlineStr">
        <is>
          <t>135C¹³</t>
        </is>
      </c>
      <c r="B3645" t="inlineStr"/>
      <c r="C3645" t="inlineStr">
        <is>
          <t>180</t>
        </is>
      </c>
      <c r="D3645" t="inlineStr">
        <is>
          <t>2</t>
        </is>
      </c>
      <c r="E3645" t="inlineStr">
        <is>
          <t>60</t>
        </is>
      </c>
      <c r="F3645" t="inlineStr">
        <is>
          <t>0</t>
        </is>
      </c>
      <c r="G3645" t="inlineStr">
        <is>
          <t>0</t>
        </is>
      </c>
      <c r="H3645" t="inlineStr">
        <is>
          <t>5³, 15², 135¹</t>
        </is>
      </c>
      <c r="I3645" t="n">
        <v>6</v>
      </c>
      <c r="J3645" t="inlineStr">
        <is>
          <t>2², 4², 8⁶, 12¹, 24²</t>
        </is>
      </c>
      <c r="K3645">
        <f>HYPERLINK("CSG4.html#group45A4", "45A⁴")</f>
        <v/>
      </c>
      <c r="L3645" t="inlineStr"/>
      <c r="M3645">
        <f>HYPERLINK("CSG0.html#group3B0", "3B⁰"), =HYPERLINK("CSG0.html#group9B0", "9B⁰"), =HYPERLINK("CSG1.html#group15B1", "15B¹"), =HYPERLINK("CSG0.html#group5A0", "5A⁰"), =HYPERLINK("CSG4.html#group45A4", "45A⁴"), =HYPERLINK("CSG0.html#group1A0", "1A⁰")</f>
        <v/>
      </c>
      <c r="N3645" t="inlineStr"/>
    </row>
    <row r="3646">
      <c r="A3646" t="inlineStr">
        <is>
          <t>135D¹³</t>
        </is>
      </c>
      <c r="B3646" t="inlineStr"/>
      <c r="C3646" t="inlineStr">
        <is>
          <t>180</t>
        </is>
      </c>
      <c r="D3646" t="inlineStr">
        <is>
          <t>2</t>
        </is>
      </c>
      <c r="E3646" t="inlineStr">
        <is>
          <t>60</t>
        </is>
      </c>
      <c r="F3646" t="inlineStr">
        <is>
          <t>0</t>
        </is>
      </c>
      <c r="G3646" t="inlineStr">
        <is>
          <t>6</t>
        </is>
      </c>
      <c r="H3646" t="inlineStr">
        <is>
          <t>45¹, 135¹</t>
        </is>
      </c>
      <c r="I3646" t="n">
        <v>2</v>
      </c>
      <c r="J3646" t="inlineStr">
        <is>
          <t>2², 4², 8⁶, 12¹, 24²</t>
        </is>
      </c>
      <c r="K3646">
        <f>HYPERLINK("CSG3.html#group45B3", "45B³")</f>
        <v/>
      </c>
      <c r="L3646" t="inlineStr"/>
      <c r="M3646">
        <f>HYPERLINK("CSG1.html#group15B1", "15B¹"), =HYPERLINK("CSG0.html#group3B0", "3B⁰"), =HYPERLINK("CSG0.html#group5A0", "5A⁰"), =HYPERLINK("CSG3.html#group45B3", "45B³"), =HYPERLINK("CSG0.html#group9C0", "9C⁰"), =HYPERLINK("CSG0.html#group1A0", "1A⁰")</f>
        <v/>
      </c>
      <c r="N3646" t="inlineStr"/>
    </row>
    <row r="3647">
      <c r="A3647" t="inlineStr">
        <is>
          <t>135E¹³</t>
        </is>
      </c>
      <c r="B3647" t="inlineStr">
        <is>
          <t>Γ₀(135)</t>
        </is>
      </c>
      <c r="C3647" t="inlineStr">
        <is>
          <t>216</t>
        </is>
      </c>
      <c r="D3647" t="inlineStr">
        <is>
          <t>1</t>
        </is>
      </c>
      <c r="E3647" t="inlineStr">
        <is>
          <t>72</t>
        </is>
      </c>
      <c r="F3647" t="inlineStr">
        <is>
          <t>0</t>
        </is>
      </c>
      <c r="G3647" t="inlineStr">
        <is>
          <t>0</t>
        </is>
      </c>
      <c r="H3647" t="inlineStr">
        <is>
          <t>1³, 3², 5³, 15², 27¹, 135¹</t>
        </is>
      </c>
      <c r="I3647" t="n">
        <v>12</v>
      </c>
      <c r="J3647" t="inlineStr">
        <is>
          <t>1⁴, 2⁴, 4², 6², 8², 24¹</t>
        </is>
      </c>
      <c r="K3647">
        <f>HYPERLINK("CSG1.html#group27A1", "27A¹"), =HYPERLINK("CSG3.html#group45D3", "45D³")</f>
        <v/>
      </c>
      <c r="L3647" t="inlineStr"/>
      <c r="M3647">
        <f>HYPERLINK("CSG0.html#group5B0", "5B⁰"), =HYPERLINK("CSG0.html#group3B0", "3B⁰"), =HYPERLINK("CSG3.html#group45D3", "45D³"), =HYPERLINK("CSG0.html#group9B0", "9B⁰"), =HYPERLINK("CSG1.html#group15C1", "15C¹"), =HYPERLINK("CSG1.html#group27A1", "27A¹"), =HYPERLINK("CSG0.html#group1A0", "1A⁰")</f>
        <v/>
      </c>
      <c r="N3647" t="inlineStr"/>
    </row>
    <row r="3648">
      <c r="A3648" t="inlineStr">
        <is>
          <t>143A¹³</t>
        </is>
      </c>
      <c r="B3648" t="inlineStr">
        <is>
          <t>Γ₀(143)</t>
        </is>
      </c>
      <c r="C3648" t="inlineStr">
        <is>
          <t>168</t>
        </is>
      </c>
      <c r="D3648" t="inlineStr">
        <is>
          <t>1</t>
        </is>
      </c>
      <c r="E3648" t="inlineStr">
        <is>
          <t>168</t>
        </is>
      </c>
      <c r="F3648" t="inlineStr">
        <is>
          <t>0</t>
        </is>
      </c>
      <c r="G3648" t="inlineStr">
        <is>
          <t>0</t>
        </is>
      </c>
      <c r="H3648" t="inlineStr">
        <is>
          <t>1¹, 11¹, 13¹, 143¹</t>
        </is>
      </c>
      <c r="I3648" t="n">
        <v>4</v>
      </c>
      <c r="J3648" t="inlineStr">
        <is>
          <t>1⁴, 10², 12², 120¹</t>
        </is>
      </c>
      <c r="K3648">
        <f>HYPERLINK("CSG0.html#group13A0", "13A⁰"), =HYPERLINK("CSG1.html#group11A1", "11A¹")</f>
        <v/>
      </c>
      <c r="L3648" t="inlineStr"/>
      <c r="M3648">
        <f>HYPERLINK("CSG0.html#group13A0", "13A⁰"), =HYPERLINK("CSG0.html#group1A0", "1A⁰"), =HYPERLINK("CSG1.html#group11A1", "11A¹")</f>
        <v/>
      </c>
      <c r="N3648" t="inlineStr"/>
    </row>
    <row r="3649">
      <c r="A3649" t="inlineStr">
        <is>
          <t>144A¹³</t>
        </is>
      </c>
      <c r="B3649" t="inlineStr"/>
      <c r="C3649" t="inlineStr">
        <is>
          <t>216</t>
        </is>
      </c>
      <c r="D3649" t="inlineStr">
        <is>
          <t>1</t>
        </is>
      </c>
      <c r="E3649" t="inlineStr">
        <is>
          <t>54</t>
        </is>
      </c>
      <c r="F3649" t="inlineStr">
        <is>
          <t>20</t>
        </is>
      </c>
      <c r="G3649" t="inlineStr">
        <is>
          <t>0</t>
        </is>
      </c>
      <c r="H3649" t="inlineStr">
        <is>
          <t>72¹, 144¹</t>
        </is>
      </c>
      <c r="I3649" t="n">
        <v>2</v>
      </c>
      <c r="J3649" t="inlineStr">
        <is>
          <t>1², 2⁴, 4², 6², 12²</t>
        </is>
      </c>
      <c r="K3649">
        <f>HYPERLINK("CSG3.html#group48C3", "48C³"), =HYPERLINK("CSG4.html#group72E4", "72E⁴")</f>
        <v/>
      </c>
      <c r="L3649" t="inlineStr"/>
      <c r="M3649">
        <f>HYPERLINK("CSG3.html#group48C3", "48C³"), =HYPERLINK("CSG0.html#group12C0", "12C⁰"), =HYPERLINK("CSG0.html#group24A0", "24A⁰"), =HYPERLINK("CSG4.html#group72E4", "72E⁴"), =HYPERLINK("CSG0.html#group9A0", "9A⁰"), =HYPERLINK("CSG0.html#group4C0", "4C⁰"), =HYPERLINK("CSG2.html#group36B2", "36B²"), =HYPERLINK("CSG0.html#group8B0", "8B⁰"), =HYPERLINK("CSG1.html#group16B1", "16B¹"), =HYPERLINK("CSG0.html#group2B0", "2B⁰"), =HYPERLINK("CSG1.html#group18E1", "18E¹"), =HYPERLINK("CSG0.html#group3A0", "3A⁰"), =HYPERLINK("CSG0.html#group1A0", "1A⁰"), =HYPERLINK("CSG0.html#group6D0", "6D⁰")</f>
        <v/>
      </c>
      <c r="N3649" t="inlineStr"/>
    </row>
    <row r="3650">
      <c r="A3650" t="inlineStr">
        <is>
          <t>144B¹³</t>
        </is>
      </c>
      <c r="B3650" t="inlineStr"/>
      <c r="C3650" t="inlineStr">
        <is>
          <t>216</t>
        </is>
      </c>
      <c r="D3650" t="inlineStr">
        <is>
          <t>1</t>
        </is>
      </c>
      <c r="E3650" t="inlineStr">
        <is>
          <t>54</t>
        </is>
      </c>
      <c r="F3650" t="inlineStr">
        <is>
          <t>20</t>
        </is>
      </c>
      <c r="G3650" t="inlineStr">
        <is>
          <t>0</t>
        </is>
      </c>
      <c r="H3650" t="inlineStr">
        <is>
          <t>72¹, 144¹</t>
        </is>
      </c>
      <c r="I3650" t="n">
        <v>2</v>
      </c>
      <c r="J3650" t="inlineStr">
        <is>
          <t>1², 2⁴, 4², 6², 12²</t>
        </is>
      </c>
      <c r="K3650">
        <f>HYPERLINK("CSG3.html#group48F3", "48F³"), =HYPERLINK("CSG4.html#group72E4", "72E⁴")</f>
        <v/>
      </c>
      <c r="L3650" t="inlineStr"/>
      <c r="M3650">
        <f>HYPERLINK("CSG0.html#group12C0", "12C⁰"), =HYPERLINK("CSG0.html#group24A0", "24A⁰"), =HYPERLINK("CSG4.html#group72E4", "72E⁴"), =HYPERLINK("CSG0.html#group9A0", "9A⁰"), =HYPERLINK("CSG2.html#group36B2", "36B²"), =HYPERLINK("CSG0.html#group4C0", "4C⁰"), =HYPERLINK("CSG0.html#group8B0", "8B⁰"), =HYPERLINK("CSG1.html#group18E1", "18E¹"), =HYPERLINK("CSG0.html#group2B0", "2B⁰"), =HYPERLINK("CSG3.html#group48F3", "48F³"), =HYPERLINK("CSG0.html#group3A0", "3A⁰"), =HYPERLINK("CSG0.html#group1A0", "1A⁰"), =HYPERLINK("CSG0.html#group6D0", "6D⁰")</f>
        <v/>
      </c>
      <c r="N3650" t="inlineStr"/>
    </row>
    <row r="3651">
      <c r="A3651" t="inlineStr">
        <is>
          <t>144C¹³</t>
        </is>
      </c>
      <c r="B3651" t="inlineStr"/>
      <c r="C3651" t="inlineStr">
        <is>
          <t>216</t>
        </is>
      </c>
      <c r="D3651" t="inlineStr">
        <is>
          <t>1</t>
        </is>
      </c>
      <c r="E3651" t="inlineStr">
        <is>
          <t>108</t>
        </is>
      </c>
      <c r="F3651" t="inlineStr">
        <is>
          <t>20</t>
        </is>
      </c>
      <c r="G3651" t="inlineStr">
        <is>
          <t>0</t>
        </is>
      </c>
      <c r="H3651" t="inlineStr">
        <is>
          <t>72¹, 144¹</t>
        </is>
      </c>
      <c r="I3651" t="n">
        <v>2</v>
      </c>
      <c r="J3651" t="inlineStr">
        <is>
          <t>1⁴, 2⁶, 4³, 6⁴, 8¹, 12², 24¹</t>
        </is>
      </c>
      <c r="K3651">
        <f>HYPERLINK("CSG3.html#group48E3", "48E³"), =HYPERLINK("CSG4.html#group72E4", "72E⁴")</f>
        <v/>
      </c>
      <c r="L3651" t="inlineStr"/>
      <c r="M3651">
        <f>HYPERLINK("CSG1.html#group16D1", "16D¹"), =HYPERLINK("CSG0.html#group12C0", "12C⁰"), =HYPERLINK("CSG3.html#group48E3", "48E³"), =HYPERLINK("CSG0.html#group24A0", "24A⁰"), =HYPERLINK("CSG4.html#group72E4", "72E⁴"), =HYPERLINK("CSG0.html#group9A0", "9A⁰"), =HYPERLINK("CSG0.html#group4C0", "4C⁰"), =HYPERLINK("CSG2.html#group36B2", "36B²"), =HYPERLINK("CSG0.html#group8B0", "8B⁰"), =HYPERLINK("CSG0.html#group2B0", "2B⁰"), =HYPERLINK("CSG1.html#group18E1", "18E¹"), =HYPERLINK("CSG0.html#group3A0", "3A⁰"), =HYPERLINK("CSG0.html#group1A0", "1A⁰"), =HYPERLINK("CSG0.html#group6D0", "6D⁰")</f>
        <v/>
      </c>
      <c r="N3651" t="inlineStr"/>
    </row>
    <row r="3652">
      <c r="A3652" t="inlineStr">
        <is>
          <t>144D¹³</t>
        </is>
      </c>
      <c r="B3652" t="inlineStr"/>
      <c r="C3652" t="inlineStr">
        <is>
          <t>216</t>
        </is>
      </c>
      <c r="D3652" t="inlineStr">
        <is>
          <t>1</t>
        </is>
      </c>
      <c r="E3652" t="inlineStr">
        <is>
          <t>108</t>
        </is>
      </c>
      <c r="F3652" t="inlineStr">
        <is>
          <t>20</t>
        </is>
      </c>
      <c r="G3652" t="inlineStr">
        <is>
          <t>0</t>
        </is>
      </c>
      <c r="H3652" t="inlineStr">
        <is>
          <t>72¹, 144¹</t>
        </is>
      </c>
      <c r="I3652" t="n">
        <v>2</v>
      </c>
      <c r="J3652" t="inlineStr">
        <is>
          <t>1⁴, 2⁶, 4³, 6⁴, 8¹, 12², 24¹</t>
        </is>
      </c>
      <c r="K3652">
        <f>HYPERLINK("CSG3.html#group48H3", "48H³"), =HYPERLINK("CSG4.html#group72E4", "72E⁴")</f>
        <v/>
      </c>
      <c r="L3652" t="inlineStr"/>
      <c r="M3652">
        <f>HYPERLINK("CSG0.html#group12C0", "12C⁰"), =HYPERLINK("CSG0.html#group24A0", "24A⁰"), =HYPERLINK("CSG4.html#group72E4", "72E⁴"), =HYPERLINK("CSG0.html#group9A0", "9A⁰"), =HYPERLINK("CSG0.html#group4C0", "4C⁰"), =HYPERLINK("CSG2.html#group36B2", "36B²"), =HYPERLINK("CSG0.html#group8B0", "8B⁰"), =HYPERLINK("CSG0.html#group2B0", "2B⁰"), =HYPERLINK("CSG1.html#group18E1", "18E¹"), =HYPERLINK("CSG0.html#group3A0", "3A⁰"), =HYPERLINK("CSG0.html#group1A0", "1A⁰"), =HYPERLINK("CSG3.html#group48H3", "48H³"), =HYPERLINK("CSG0.html#group6D0", "6D⁰")</f>
        <v/>
      </c>
      <c r="N3652" t="inlineStr"/>
    </row>
    <row r="3653">
      <c r="A3653" t="inlineStr">
        <is>
          <t>144E¹³</t>
        </is>
      </c>
      <c r="B3653" t="inlineStr"/>
      <c r="C3653" t="inlineStr">
        <is>
          <t>216</t>
        </is>
      </c>
      <c r="D3653" t="inlineStr">
        <is>
          <t>2</t>
        </is>
      </c>
      <c r="E3653" t="inlineStr">
        <is>
          <t>54</t>
        </is>
      </c>
      <c r="F3653" t="inlineStr">
        <is>
          <t>20</t>
        </is>
      </c>
      <c r="G3653" t="inlineStr">
        <is>
          <t>0</t>
        </is>
      </c>
      <c r="H3653" t="inlineStr">
        <is>
          <t>72¹, 144¹</t>
        </is>
      </c>
      <c r="I3653" t="n">
        <v>2</v>
      </c>
      <c r="J3653" t="inlineStr">
        <is>
          <t>2⁶, 4⁶, 6⁴, 12⁴</t>
        </is>
      </c>
      <c r="K3653">
        <f>HYPERLINK("CSG3.html#group48F3", "48F³"), =HYPERLINK("CSG4.html#group72E4", "72E⁴")</f>
        <v/>
      </c>
      <c r="L3653" t="inlineStr"/>
      <c r="M3653">
        <f>HYPERLINK("CSG0.html#group12C0", "12C⁰"), =HYPERLINK("CSG0.html#group24A0", "24A⁰"), =HYPERLINK("CSG4.html#group72E4", "72E⁴"), =HYPERLINK("CSG0.html#group9A0", "9A⁰"), =HYPERLINK("CSG2.html#group36B2", "36B²"), =HYPERLINK("CSG0.html#group4C0", "4C⁰"), =HYPERLINK("CSG0.html#group8B0", "8B⁰"), =HYPERLINK("CSG1.html#group18E1", "18E¹"), =HYPERLINK("CSG0.html#group2B0", "2B⁰"), =HYPERLINK("CSG3.html#group48F3", "48F³"), =HYPERLINK("CSG0.html#group3A0", "3A⁰"), =HYPERLINK("CSG0.html#group1A0", "1A⁰"), =HYPERLINK("CSG0.html#group6D0", "6D⁰")</f>
        <v/>
      </c>
      <c r="N3653" t="inlineStr"/>
    </row>
    <row r="3654">
      <c r="A3654" t="inlineStr">
        <is>
          <t>144F¹³</t>
        </is>
      </c>
      <c r="B3654" t="inlineStr"/>
      <c r="C3654" t="inlineStr">
        <is>
          <t>216</t>
        </is>
      </c>
      <c r="D3654" t="inlineStr">
        <is>
          <t>2</t>
        </is>
      </c>
      <c r="E3654" t="inlineStr">
        <is>
          <t>108</t>
        </is>
      </c>
      <c r="F3654" t="inlineStr">
        <is>
          <t>20</t>
        </is>
      </c>
      <c r="G3654" t="inlineStr">
        <is>
          <t>0</t>
        </is>
      </c>
      <c r="H3654" t="inlineStr">
        <is>
          <t>72¹, 144¹</t>
        </is>
      </c>
      <c r="I3654" t="n">
        <v>2</v>
      </c>
      <c r="J3654" t="inlineStr">
        <is>
          <t>2¹², 4⁶, 6⁸, 8³, 12⁴, 24²</t>
        </is>
      </c>
      <c r="K3654">
        <f>HYPERLINK("CSG3.html#group48H3", "48H³"), =HYPERLINK("CSG4.html#group72E4", "72E⁴")</f>
        <v/>
      </c>
      <c r="L3654" t="inlineStr"/>
      <c r="M3654">
        <f>HYPERLINK("CSG0.html#group12C0", "12C⁰"), =HYPERLINK("CSG0.html#group24A0", "24A⁰"), =HYPERLINK("CSG4.html#group72E4", "72E⁴"), =HYPERLINK("CSG0.html#group9A0", "9A⁰"), =HYPERLINK("CSG0.html#group4C0", "4C⁰"), =HYPERLINK("CSG2.html#group36B2", "36B²"), =HYPERLINK("CSG0.html#group8B0", "8B⁰"), =HYPERLINK("CSG0.html#group2B0", "2B⁰"), =HYPERLINK("CSG1.html#group18E1", "18E¹"), =HYPERLINK("CSG0.html#group3A0", "3A⁰"), =HYPERLINK("CSG0.html#group1A0", "1A⁰"), =HYPERLINK("CSG3.html#group48H3", "48H³"), =HYPERLINK("CSG0.html#group6D0", "6D⁰")</f>
        <v/>
      </c>
      <c r="N3654" t="inlineStr"/>
    </row>
    <row r="3655">
      <c r="A3655" t="inlineStr">
        <is>
          <t>144G¹³</t>
        </is>
      </c>
      <c r="B3655" t="inlineStr"/>
      <c r="C3655" t="inlineStr">
        <is>
          <t>288</t>
        </is>
      </c>
      <c r="D3655" t="inlineStr">
        <is>
          <t>1</t>
        </is>
      </c>
      <c r="E3655" t="inlineStr">
        <is>
          <t>24</t>
        </is>
      </c>
      <c r="F3655" t="inlineStr">
        <is>
          <t>0</t>
        </is>
      </c>
      <c r="G3655" t="inlineStr">
        <is>
          <t>0</t>
        </is>
      </c>
      <c r="H3655" t="inlineStr">
        <is>
          <t>1¹², 4³, 9⁴, 16³, 36¹, 144¹</t>
        </is>
      </c>
      <c r="I3655" t="n">
        <v>24</v>
      </c>
      <c r="J3655" t="inlineStr">
        <is>
          <t>1⁸, 2⁶, 4¹</t>
        </is>
      </c>
      <c r="K3655">
        <f>HYPERLINK("CSG3.html#group48I3", "48I³"), =HYPERLINK("CSG5.html#group72B5", "72B⁵")</f>
        <v/>
      </c>
      <c r="L3655" t="inlineStr"/>
      <c r="M3655">
        <f>HYPERLINK("CSG0.html#group3B0", "3B⁰"), =HYPERLINK("CSG0.html#group18E0", "18E⁰"), =HYPERLINK("CSG5.html#group72B5", "72B⁵"), =HYPERLINK("CSG1.html#group24G1", "24G¹"), =HYPERLINK("CSG0.html#group6F0", "6F⁰"), =HYPERLINK("CSG0.html#group9B0", "9B⁰"), =HYPERLINK("CSG0.html#group8C0", "8C⁰"), =HYPERLINK("CSG3.html#group48I3", "48I³"), =HYPERLINK("CSG0.html#group2B0", "2B⁰"), =HYPERLINK("CSG1.html#group36C1", "36C¹"), =HYPERLINK("CSG0.html#group4B0", "4B⁰"), =HYPERLINK("CSG0.html#group1A0", "1A⁰"), =HYPERLINK("CSG0.html#group12E0", "12E⁰")</f>
        <v/>
      </c>
      <c r="N3655" t="inlineStr"/>
    </row>
    <row r="3656">
      <c r="A3656" t="inlineStr">
        <is>
          <t>144H¹³</t>
        </is>
      </c>
      <c r="B3656" t="inlineStr">
        <is>
          <t>Γ₀(144)</t>
        </is>
      </c>
      <c r="C3656" t="inlineStr">
        <is>
          <t>288</t>
        </is>
      </c>
      <c r="D3656" t="inlineStr">
        <is>
          <t>1</t>
        </is>
      </c>
      <c r="E3656" t="inlineStr">
        <is>
          <t>24</t>
        </is>
      </c>
      <c r="F3656" t="inlineStr">
        <is>
          <t>0</t>
        </is>
      </c>
      <c r="G3656" t="inlineStr">
        <is>
          <t>0</t>
        </is>
      </c>
      <c r="H3656" t="inlineStr">
        <is>
          <t>1¹², 4³, 9⁴, 16³, 36¹, 144¹</t>
        </is>
      </c>
      <c r="I3656" t="n">
        <v>24</v>
      </c>
      <c r="J3656" t="inlineStr">
        <is>
          <t>1⁸, 2⁶, 4¹</t>
        </is>
      </c>
      <c r="K3656">
        <f>HYPERLINK("CSG3.html#group48J3", "48J³"), =HYPERLINK("CSG5.html#group72B5", "72B⁵")</f>
        <v/>
      </c>
      <c r="L3656" t="inlineStr"/>
      <c r="M3656">
        <f>HYPERLINK("CSG0.html#group3B0", "3B⁰"), =HYPERLINK("CSG0.html#group18E0", "18E⁰"), =HYPERLINK("CSG3.html#group48J3", "48J³"), =HYPERLINK("CSG0.html#group16C0", "16C⁰"), =HYPERLINK("CSG5.html#group72B5", "72B⁵"), =HYPERLINK("CSG1.html#group24G1", "24G¹"), =HYPERLINK("CSG0.html#group9B0", "9B⁰"), =HYPERLINK("CSG0.html#group1A0", "1A⁰"), =HYPERLINK("CSG0.html#group8C0", "8C⁰"), =HYPERLINK("CSG0.html#group2B0", "2B⁰"), =HYPERLINK("CSG1.html#group36C1", "36C¹"), =HYPERLINK("CSG0.html#group4B0", "4B⁰"), =HYPERLINK("CSG0.html#group6F0", "6F⁰"), =HYPERLINK("CSG0.html#group12E0", "12E⁰")</f>
        <v/>
      </c>
      <c r="N3656" t="inlineStr"/>
    </row>
    <row r="3657">
      <c r="A3657" t="inlineStr">
        <is>
          <t>144I¹³</t>
        </is>
      </c>
      <c r="B3657" t="inlineStr"/>
      <c r="C3657" t="inlineStr">
        <is>
          <t>288</t>
        </is>
      </c>
      <c r="D3657" t="inlineStr">
        <is>
          <t>1</t>
        </is>
      </c>
      <c r="E3657" t="inlineStr">
        <is>
          <t>48</t>
        </is>
      </c>
      <c r="F3657" t="inlineStr">
        <is>
          <t>0</t>
        </is>
      </c>
      <c r="G3657" t="inlineStr">
        <is>
          <t>0</t>
        </is>
      </c>
      <c r="H3657" t="inlineStr">
        <is>
          <t>1⁶, 2⁹, 9², 16³, 18³, 144¹</t>
        </is>
      </c>
      <c r="I3657" t="n">
        <v>24</v>
      </c>
      <c r="J3657" t="inlineStr">
        <is>
          <t>1⁸, 2⁸, 4⁴, 8¹</t>
        </is>
      </c>
      <c r="K3657">
        <f>HYPERLINK("CSG3.html#group48K3", "48K³"), =HYPERLINK("CSG5.html#group72B5", "72B⁵")</f>
        <v/>
      </c>
      <c r="L3657" t="inlineStr"/>
      <c r="M3657">
        <f>HYPERLINK("CSG0.html#group3B0", "3B⁰"), =HYPERLINK("CSG0.html#group18E0", "18E⁰"), =HYPERLINK("CSG3.html#group48K3", "48K³"), =HYPERLINK("CSG5.html#group72B5", "72B⁵"), =HYPERLINK("CSG1.html#group24G1", "24G¹"), =HYPERLINK("CSG0.html#group6F0", "6F⁰"), =HYPERLINK("CSG0.html#group9B0", "9B⁰"), =HYPERLINK("CSG0.html#group8C0", "8C⁰"), =HYPERLINK("CSG0.html#group2B0", "2B⁰"), =HYPERLINK("CSG1.html#group36C1", "36C¹"), =HYPERLINK("CSG0.html#group4B0", "4B⁰"), =HYPERLINK("CSG0.html#group1A0", "1A⁰"), =HYPERLINK("CSG0.html#group12E0", "12E⁰")</f>
        <v/>
      </c>
      <c r="N3657" t="inlineStr"/>
    </row>
    <row r="3658">
      <c r="A3658" t="inlineStr">
        <is>
          <t>144J¹³</t>
        </is>
      </c>
      <c r="B3658" t="inlineStr"/>
      <c r="C3658" t="inlineStr">
        <is>
          <t>288</t>
        </is>
      </c>
      <c r="D3658" t="inlineStr">
        <is>
          <t>1</t>
        </is>
      </c>
      <c r="E3658" t="inlineStr">
        <is>
          <t>48</t>
        </is>
      </c>
      <c r="F3658" t="inlineStr">
        <is>
          <t>0</t>
        </is>
      </c>
      <c r="G3658" t="inlineStr">
        <is>
          <t>0</t>
        </is>
      </c>
      <c r="H3658" t="inlineStr">
        <is>
          <t>1⁶, 2⁹, 9², 16³, 18³, 144¹</t>
        </is>
      </c>
      <c r="I3658" t="n">
        <v>24</v>
      </c>
      <c r="J3658" t="inlineStr">
        <is>
          <t>1⁸, 2⁸, 4⁴, 8¹</t>
        </is>
      </c>
      <c r="K3658">
        <f>HYPERLINK("CSG3.html#group48L3", "48L³"), =HYPERLINK("CSG5.html#group72B5", "72B⁵")</f>
        <v/>
      </c>
      <c r="L3658" t="inlineStr"/>
      <c r="M3658">
        <f>HYPERLINK("CSG0.html#group3B0", "3B⁰"), =HYPERLINK("CSG0.html#group18E0", "18E⁰"), =HYPERLINK("CSG5.html#group72B5", "72B⁵"), =HYPERLINK("CSG1.html#group24G1", "24G¹"), =HYPERLINK("CSG0.html#group16D0", "16D⁰"), =HYPERLINK("CSG0.html#group6F0", "6F⁰"), =HYPERLINK("CSG0.html#group9B0", "9B⁰"), =HYPERLINK("CSG0.html#group8C0", "8C⁰"), =HYPERLINK("CSG0.html#group2B0", "2B⁰"), =HYPERLINK("CSG1.html#group36C1", "36C¹"), =HYPERLINK("CSG0.html#group4B0", "4B⁰"), =HYPERLINK("CSG0.html#group1A0", "1A⁰"), =HYPERLINK("CSG0.html#group12E0", "12E⁰"), =HYPERLINK("CSG3.html#group48L3", "48L³")</f>
        <v/>
      </c>
      <c r="N3658" t="inlineStr"/>
    </row>
    <row r="3659">
      <c r="A3659" t="inlineStr">
        <is>
          <t>145A¹³</t>
        </is>
      </c>
      <c r="B3659" t="inlineStr">
        <is>
          <t>Γ₀(145)</t>
        </is>
      </c>
      <c r="C3659" t="inlineStr">
        <is>
          <t>180</t>
        </is>
      </c>
      <c r="D3659" t="inlineStr">
        <is>
          <t>1</t>
        </is>
      </c>
      <c r="E3659" t="inlineStr">
        <is>
          <t>180</t>
        </is>
      </c>
      <c r="F3659" t="inlineStr">
        <is>
          <t>4</t>
        </is>
      </c>
      <c r="G3659" t="inlineStr">
        <is>
          <t>0</t>
        </is>
      </c>
      <c r="H3659" t="inlineStr">
        <is>
          <t>1¹, 5¹, 29¹, 145¹</t>
        </is>
      </c>
      <c r="I3659" t="n">
        <v>4</v>
      </c>
      <c r="J3659" t="inlineStr">
        <is>
          <t>1⁴, 4², 28², 112¹</t>
        </is>
      </c>
      <c r="K3659">
        <f>HYPERLINK("CSG0.html#group5B0", "5B⁰"), =HYPERLINK("CSG2.html#group29A2", "29A²")</f>
        <v/>
      </c>
      <c r="L3659" t="inlineStr"/>
      <c r="M3659">
        <f>HYPERLINK("CSG0.html#group5B0", "5B⁰"), =HYPERLINK("CSG0.html#group1A0", "1A⁰"), =HYPERLINK("CSG2.html#group29A2", "29A²")</f>
        <v/>
      </c>
      <c r="N3659" t="inlineStr"/>
    </row>
    <row r="3660">
      <c r="A3660" t="inlineStr">
        <is>
          <t>150A¹³</t>
        </is>
      </c>
      <c r="B3660" t="inlineStr"/>
      <c r="C3660" t="inlineStr">
        <is>
          <t>180</t>
        </is>
      </c>
      <c r="D3660" t="inlineStr">
        <is>
          <t>1</t>
        </is>
      </c>
      <c r="E3660" t="inlineStr">
        <is>
          <t>30</t>
        </is>
      </c>
      <c r="F3660" t="inlineStr">
        <is>
          <t>0</t>
        </is>
      </c>
      <c r="G3660" t="inlineStr">
        <is>
          <t>0</t>
        </is>
      </c>
      <c r="H3660" t="inlineStr">
        <is>
          <t>6⁵, 150¹</t>
        </is>
      </c>
      <c r="I3660" t="n">
        <v>6</v>
      </c>
      <c r="J3660" t="inlineStr">
        <is>
          <t>1², 4², 20¹</t>
        </is>
      </c>
      <c r="K3660">
        <f>HYPERLINK("CSG3.html#group30B3", "30B³"), =HYPERLINK("CSG3.html#group50A3", "50A³"), =HYPERLINK("CSG4.html#group75A4", "75A⁴")</f>
        <v/>
      </c>
      <c r="L3660" t="inlineStr"/>
      <c r="M3660">
        <f>HYPERLINK("CSG0.html#group2A0", "2A⁰"), =HYPERLINK("CSG0.html#group15B0", "15B⁰"), =HYPERLINK("CSG3.html#group50A3", "50A³"), =HYPERLINK("CSG0.html#group25A0", "25A⁰"), =HYPERLINK("CSG0.html#group5B0", "5B⁰"), =HYPERLINK("CSG1.html#group10A1", "10A¹"), =HYPERLINK("CSG1.html#group6A1", "6A¹"), =HYPERLINK("CSG4.html#group75A4", "75A⁴"), =HYPERLINK("CSG0.html#group3A0", "3A⁰"), =HYPERLINK("CSG0.html#group1A0", "1A⁰"), =HYPERLINK("CSG3.html#group30B3", "30B³")</f>
        <v/>
      </c>
      <c r="N3660" t="inlineStr"/>
    </row>
    <row r="3661">
      <c r="A3661" t="inlineStr">
        <is>
          <t>150B¹³</t>
        </is>
      </c>
      <c r="B3661" t="inlineStr"/>
      <c r="C3661" t="inlineStr">
        <is>
          <t>180</t>
        </is>
      </c>
      <c r="D3661" t="inlineStr">
        <is>
          <t>1</t>
        </is>
      </c>
      <c r="E3661" t="inlineStr">
        <is>
          <t>60</t>
        </is>
      </c>
      <c r="F3661" t="inlineStr">
        <is>
          <t>0</t>
        </is>
      </c>
      <c r="G3661" t="inlineStr">
        <is>
          <t>0</t>
        </is>
      </c>
      <c r="H3661" t="inlineStr">
        <is>
          <t>6⁵, 150¹</t>
        </is>
      </c>
      <c r="I3661" t="n">
        <v>6</v>
      </c>
      <c r="J3661" t="inlineStr">
        <is>
          <t>2², 8², 40¹</t>
        </is>
      </c>
      <c r="K3661">
        <f>HYPERLINK("CSG3.html#group30C3", "30C³"), =HYPERLINK("CSG3.html#group50A3", "50A³")</f>
        <v/>
      </c>
      <c r="L3661" t="inlineStr"/>
      <c r="M3661">
        <f>HYPERLINK("CSG0.html#group2A0", "2A⁰"), =HYPERLINK("CSG0.html#group6A0", "6A⁰"), =HYPERLINK("CSG3.html#group30C3", "30C³"), =HYPERLINK("CSG3.html#group50A3", "50A³"), =HYPERLINK("CSG0.html#group25A0", "25A⁰"), =HYPERLINK("CSG0.html#group5B0", "5B⁰"), =HYPERLINK("CSG1.html#group10A1", "10A¹"), =HYPERLINK("CSG0.html#group1A0", "1A⁰")</f>
        <v/>
      </c>
      <c r="N3661" t="inlineStr"/>
    </row>
    <row r="3662">
      <c r="A3662" t="inlineStr">
        <is>
          <t>150C¹³</t>
        </is>
      </c>
      <c r="B3662" t="inlineStr"/>
      <c r="C3662" t="inlineStr">
        <is>
          <t>180</t>
        </is>
      </c>
      <c r="D3662" t="inlineStr">
        <is>
          <t>1</t>
        </is>
      </c>
      <c r="E3662" t="inlineStr">
        <is>
          <t>90</t>
        </is>
      </c>
      <c r="F3662" t="inlineStr">
        <is>
          <t>8</t>
        </is>
      </c>
      <c r="G3662" t="inlineStr">
        <is>
          <t>0</t>
        </is>
      </c>
      <c r="H3662" t="inlineStr">
        <is>
          <t>30¹, 150¹</t>
        </is>
      </c>
      <c r="I3662" t="n">
        <v>2</v>
      </c>
      <c r="J3662" t="inlineStr">
        <is>
          <t>2², 4⁶, 8⁴, 20², 40²</t>
        </is>
      </c>
      <c r="K3662">
        <f>HYPERLINK("CSG1.html#group30C1", "30C¹"), =HYPERLINK("CSG6.html#group75A6", "75A⁶")</f>
        <v/>
      </c>
      <c r="L3662" t="inlineStr"/>
      <c r="M3662">
        <f>HYPERLINK("CSG6.html#group75A6", "75A⁶"), =HYPERLINK("CSG0.html#group15B0", "15B⁰"), =HYPERLINK("CSG2.html#group25A2", "25A²"), =HYPERLINK("CSG0.html#group6B0", "6B⁰"), =HYPERLINK("CSG0.html#group5B0", "5B⁰"), =HYPERLINK("CSG0.html#group3A0", "3A⁰"), =HYPERLINK("CSG0.html#group1A0", "1A⁰"), =HYPERLINK("CSG1.html#group30C1", "30C¹")</f>
        <v/>
      </c>
      <c r="N3662" t="inlineStr"/>
    </row>
    <row r="3663">
      <c r="A3663" t="inlineStr">
        <is>
          <t>150D¹³</t>
        </is>
      </c>
      <c r="B3663" t="inlineStr"/>
      <c r="C3663" t="inlineStr">
        <is>
          <t>180</t>
        </is>
      </c>
      <c r="D3663" t="inlineStr">
        <is>
          <t>1</t>
        </is>
      </c>
      <c r="E3663" t="inlineStr">
        <is>
          <t>90</t>
        </is>
      </c>
      <c r="F3663" t="inlineStr">
        <is>
          <t>8</t>
        </is>
      </c>
      <c r="G3663" t="inlineStr">
        <is>
          <t>0</t>
        </is>
      </c>
      <c r="H3663" t="inlineStr">
        <is>
          <t>30¹, 150¹</t>
        </is>
      </c>
      <c r="I3663" t="n">
        <v>2</v>
      </c>
      <c r="J3663" t="inlineStr">
        <is>
          <t>2², 4⁶, 8⁴, 20², 40²</t>
        </is>
      </c>
      <c r="K3663">
        <f>HYPERLINK("CSG1.html#group30C1", "30C¹"), =HYPERLINK("CSG6.html#group75B6", "75B⁶")</f>
        <v/>
      </c>
      <c r="L3663" t="inlineStr"/>
      <c r="M3663">
        <f>HYPERLINK("CSG0.html#group15B0", "15B⁰"), =HYPERLINK("CSG6.html#group75B6", "75B⁶"), =HYPERLINK("CSG0.html#group6B0", "6B⁰"), =HYPERLINK("CSG1.html#group30C1", "30C¹"), =HYPERLINK("CSG0.html#group5B0", "5B⁰"), =HYPERLINK("CSG0.html#group3A0", "3A⁰"), =HYPERLINK("CSG0.html#group1A0", "1A⁰"), =HYPERLINK("CSG2.html#group25B2", "25B²")</f>
        <v/>
      </c>
      <c r="N3663" t="inlineStr"/>
    </row>
    <row r="3664">
      <c r="A3664" t="inlineStr">
        <is>
          <t>150E¹³</t>
        </is>
      </c>
      <c r="B3664" t="inlineStr"/>
      <c r="C3664" t="inlineStr">
        <is>
          <t>180</t>
        </is>
      </c>
      <c r="D3664" t="inlineStr">
        <is>
          <t>1</t>
        </is>
      </c>
      <c r="E3664" t="inlineStr">
        <is>
          <t>90</t>
        </is>
      </c>
      <c r="F3664" t="inlineStr">
        <is>
          <t>8</t>
        </is>
      </c>
      <c r="G3664" t="inlineStr">
        <is>
          <t>0</t>
        </is>
      </c>
      <c r="H3664" t="inlineStr">
        <is>
          <t>30¹, 150¹</t>
        </is>
      </c>
      <c r="I3664" t="n">
        <v>2</v>
      </c>
      <c r="J3664" t="inlineStr">
        <is>
          <t>2², 4⁶, 8⁴, 20², 40²</t>
        </is>
      </c>
      <c r="K3664">
        <f>HYPERLINK("CSG1.html#group30C1", "30C¹"), =HYPERLINK("CSG6.html#group75C6", "75C⁶")</f>
        <v/>
      </c>
      <c r="L3664" t="inlineStr"/>
      <c r="M3664">
        <f>HYPERLINK("CSG0.html#group15B0", "15B⁰"), =HYPERLINK("CSG0.html#group6B0", "6B⁰"), =HYPERLINK("CSG6.html#group75C6", "75C⁶"), =HYPERLINK("CSG0.html#group5B0", "5B⁰"), =HYPERLINK("CSG0.html#group3A0", "3A⁰"), =HYPERLINK("CSG0.html#group1A0", "1A⁰"), =HYPERLINK("CSG2.html#group25C2", "25C²"), =HYPERLINK("CSG1.html#group30C1", "30C¹")</f>
        <v/>
      </c>
      <c r="N3664" t="inlineStr"/>
    </row>
    <row r="3665">
      <c r="A3665" t="inlineStr">
        <is>
          <t>150F¹³</t>
        </is>
      </c>
      <c r="B3665" t="inlineStr"/>
      <c r="C3665" t="inlineStr">
        <is>
          <t>180</t>
        </is>
      </c>
      <c r="D3665" t="inlineStr">
        <is>
          <t>1</t>
        </is>
      </c>
      <c r="E3665" t="inlineStr">
        <is>
          <t>90</t>
        </is>
      </c>
      <c r="F3665" t="inlineStr">
        <is>
          <t>8</t>
        </is>
      </c>
      <c r="G3665" t="inlineStr">
        <is>
          <t>0</t>
        </is>
      </c>
      <c r="H3665" t="inlineStr">
        <is>
          <t>30¹, 150¹</t>
        </is>
      </c>
      <c r="I3665" t="n">
        <v>2</v>
      </c>
      <c r="J3665" t="inlineStr">
        <is>
          <t>2², 4⁶, 8⁴, 20², 40²</t>
        </is>
      </c>
      <c r="K3665">
        <f>HYPERLINK("CSG1.html#group30C1", "30C¹"), =HYPERLINK("CSG6.html#group75D6", "75D⁶")</f>
        <v/>
      </c>
      <c r="L3665" t="inlineStr"/>
      <c r="M3665">
        <f>HYPERLINK("CSG0.html#group15B0", "15B⁰"), =HYPERLINK("CSG0.html#group6B0", "6B⁰"), =HYPERLINK("CSG1.html#group30C1", "30C¹"), =HYPERLINK("CSG0.html#group5B0", "5B⁰"), =HYPERLINK("CSG6.html#group75D6", "75D⁶"), =HYPERLINK("CSG0.html#group3A0", "3A⁰"), =HYPERLINK("CSG0.html#group1A0", "1A⁰"), =HYPERLINK("CSG2.html#group25D2", "25D²")</f>
        <v/>
      </c>
      <c r="N3665" t="inlineStr"/>
    </row>
    <row r="3666">
      <c r="A3666" t="inlineStr">
        <is>
          <t>162A¹³</t>
        </is>
      </c>
      <c r="B3666" t="inlineStr"/>
      <c r="C3666" t="inlineStr">
        <is>
          <t>216</t>
        </is>
      </c>
      <c r="D3666" t="inlineStr">
        <is>
          <t>1</t>
        </is>
      </c>
      <c r="E3666" t="inlineStr">
        <is>
          <t>36</t>
        </is>
      </c>
      <c r="F3666" t="inlineStr">
        <is>
          <t>0</t>
        </is>
      </c>
      <c r="G3666" t="inlineStr">
        <is>
          <t>0</t>
        </is>
      </c>
      <c r="H3666" t="inlineStr">
        <is>
          <t>2⁹, 18², 162¹</t>
        </is>
      </c>
      <c r="I3666" t="n">
        <v>12</v>
      </c>
      <c r="J3666" t="inlineStr">
        <is>
          <t>1², 2², 6², 18¹</t>
        </is>
      </c>
      <c r="K3666">
        <f>HYPERLINK("CSG4.html#group54A4", "54A⁴"), =HYPERLINK("CSG4.html#group81A4", "81A⁴")</f>
        <v/>
      </c>
      <c r="L3666" t="inlineStr"/>
      <c r="M3666">
        <f>HYPERLINK("CSG0.html#group3B0", "3B⁰"), =HYPERLINK("CSG0.html#group2A0", "2A⁰"), =HYPERLINK("CSG1.html#group27A1", "27A¹"), =HYPERLINK("CSG1.html#group18C1", "18C¹"), =HYPERLINK("CSG0.html#group6C0", "6C⁰"), =HYPERLINK("CSG0.html#group9B0", "9B⁰"), =HYPERLINK("CSG4.html#group81A4", "81A⁴"), =HYPERLINK("CSG4.html#group54A4", "54A⁴"), =HYPERLINK("CSG0.html#group1A0", "1A⁰")</f>
        <v/>
      </c>
      <c r="N3666" t="inlineStr"/>
    </row>
    <row r="3667">
      <c r="A3667" t="inlineStr">
        <is>
          <t>162B¹³</t>
        </is>
      </c>
      <c r="B3667" t="inlineStr"/>
      <c r="C3667" t="inlineStr">
        <is>
          <t>216</t>
        </is>
      </c>
      <c r="D3667" t="inlineStr">
        <is>
          <t>1</t>
        </is>
      </c>
      <c r="E3667" t="inlineStr">
        <is>
          <t>72</t>
        </is>
      </c>
      <c r="F3667" t="inlineStr">
        <is>
          <t>0</t>
        </is>
      </c>
      <c r="G3667" t="inlineStr">
        <is>
          <t>0</t>
        </is>
      </c>
      <c r="H3667" t="inlineStr">
        <is>
          <t>2⁹, 18², 162¹</t>
        </is>
      </c>
      <c r="I3667" t="n">
        <v>12</v>
      </c>
      <c r="J3667" t="inlineStr">
        <is>
          <t>2⁶, 6⁴, 18²</t>
        </is>
      </c>
      <c r="K3667">
        <f>HYPERLINK("CSG4.html#group54A4", "54A⁴")</f>
        <v/>
      </c>
      <c r="L3667" t="inlineStr"/>
      <c r="M3667">
        <f>HYPERLINK("CSG0.html#group3B0", "3B⁰"), =HYPERLINK("CSG0.html#group2A0", "2A⁰"), =HYPERLINK("CSG1.html#group27A1", "27A¹"), =HYPERLINK("CSG1.html#group18C1", "18C¹"), =HYPERLINK("CSG0.html#group6C0", "6C⁰"), =HYPERLINK("CSG0.html#group9B0", "9B⁰"), =HYPERLINK("CSG4.html#group54A4", "54A⁴"), =HYPERLINK("CSG0.html#group1A0", "1A⁰")</f>
        <v/>
      </c>
      <c r="N3667" t="inlineStr"/>
    </row>
    <row r="3668">
      <c r="A3668" t="inlineStr">
        <is>
          <t>163A¹³</t>
        </is>
      </c>
      <c r="B3668" t="inlineStr">
        <is>
          <t>Γ₀(163)</t>
        </is>
      </c>
      <c r="C3668" t="inlineStr">
        <is>
          <t>164</t>
        </is>
      </c>
      <c r="D3668" t="inlineStr">
        <is>
          <t>1</t>
        </is>
      </c>
      <c r="E3668" t="inlineStr">
        <is>
          <t>164</t>
        </is>
      </c>
      <c r="F3668" t="inlineStr">
        <is>
          <t>0</t>
        </is>
      </c>
      <c r="G3668" t="inlineStr">
        <is>
          <t>2</t>
        </is>
      </c>
      <c r="H3668" t="inlineStr">
        <is>
          <t>1¹, 163¹</t>
        </is>
      </c>
      <c r="I3668" t="n">
        <v>2</v>
      </c>
      <c r="J3668" t="inlineStr">
        <is>
          <t>1², 162¹</t>
        </is>
      </c>
      <c r="K3668">
        <f>HYPERLINK("CSG0.html#group1A0", "1A⁰")</f>
        <v/>
      </c>
      <c r="L3668" t="inlineStr"/>
      <c r="M3668">
        <f>HYPERLINK("CSG0.html#group1A0", "1A⁰")</f>
        <v/>
      </c>
      <c r="N3668" t="inlineStr"/>
    </row>
    <row r="3669">
      <c r="A3669" t="inlineStr">
        <is>
          <t>164A¹³</t>
        </is>
      </c>
      <c r="B3669" t="inlineStr"/>
      <c r="C3669" t="inlineStr">
        <is>
          <t>168</t>
        </is>
      </c>
      <c r="D3669" t="inlineStr">
        <is>
          <t>1</t>
        </is>
      </c>
      <c r="E3669" t="inlineStr">
        <is>
          <t>168</t>
        </is>
      </c>
      <c r="F3669" t="inlineStr">
        <is>
          <t>4</t>
        </is>
      </c>
      <c r="G3669" t="inlineStr">
        <is>
          <t>0</t>
        </is>
      </c>
      <c r="H3669" t="inlineStr">
        <is>
          <t>4¹, 164¹</t>
        </is>
      </c>
      <c r="I3669" t="n">
        <v>2</v>
      </c>
      <c r="J3669" t="inlineStr">
        <is>
          <t>2⁴, 80²</t>
        </is>
      </c>
      <c r="K3669">
        <f>HYPERLINK("CSG0.html#group4A0", "4A⁰"), =HYPERLINK("CSG3.html#group41A3", "41A³")</f>
        <v/>
      </c>
      <c r="L3669" t="inlineStr"/>
      <c r="M3669">
        <f>HYPERLINK("CSG0.html#group1A0", "1A⁰"), =HYPERLINK("CSG0.html#group4A0", "4A⁰"), =HYPERLINK("CSG3.html#group41A3", "41A³")</f>
        <v/>
      </c>
      <c r="N3669" t="inlineStr"/>
    </row>
    <row r="3670">
      <c r="A3670" t="inlineStr">
        <is>
          <t>174A¹³</t>
        </is>
      </c>
      <c r="B3670" t="inlineStr"/>
      <c r="C3670" t="inlineStr">
        <is>
          <t>180</t>
        </is>
      </c>
      <c r="D3670" t="inlineStr">
        <is>
          <t>1</t>
        </is>
      </c>
      <c r="E3670" t="inlineStr">
        <is>
          <t>90</t>
        </is>
      </c>
      <c r="F3670" t="inlineStr">
        <is>
          <t>8</t>
        </is>
      </c>
      <c r="G3670" t="inlineStr">
        <is>
          <t>0</t>
        </is>
      </c>
      <c r="H3670" t="inlineStr">
        <is>
          <t>6¹, 174¹</t>
        </is>
      </c>
      <c r="I3670" t="n">
        <v>2</v>
      </c>
      <c r="J3670" t="inlineStr">
        <is>
          <t>1², 2², 28¹, 56¹</t>
        </is>
      </c>
      <c r="K3670">
        <f>HYPERLINK("CSG0.html#group6B0", "6B⁰"), =HYPERLINK("CSG6.html#group87A6", "87A⁶")</f>
        <v/>
      </c>
      <c r="L3670" t="inlineStr"/>
      <c r="M3670">
        <f>HYPERLINK("CSG6.html#group87A6", "87A⁶"), =HYPERLINK("CSG0.html#group6B0", "6B⁰"), =HYPERLINK("CSG0.html#group3A0", "3A⁰"), =HYPERLINK("CSG0.html#group1A0", "1A⁰"), =HYPERLINK("CSG2.html#group29A2", "29A²")</f>
        <v/>
      </c>
      <c r="N3670" t="inlineStr"/>
    </row>
    <row r="3671">
      <c r="A3671" t="inlineStr">
        <is>
          <t>180A¹³</t>
        </is>
      </c>
      <c r="B3671" t="inlineStr"/>
      <c r="C3671" t="inlineStr">
        <is>
          <t>180</t>
        </is>
      </c>
      <c r="D3671" t="inlineStr">
        <is>
          <t>1</t>
        </is>
      </c>
      <c r="E3671" t="inlineStr">
        <is>
          <t>180</t>
        </is>
      </c>
      <c r="F3671" t="inlineStr">
        <is>
          <t>10</t>
        </is>
      </c>
      <c r="G3671" t="inlineStr">
        <is>
          <t>0</t>
        </is>
      </c>
      <c r="H3671" t="inlineStr">
        <is>
          <t>180¹</t>
        </is>
      </c>
      <c r="I3671" t="n">
        <v>1</v>
      </c>
      <c r="J3671" t="inlineStr">
        <is>
          <t>2², 4², 8², 12², 16², 48²</t>
        </is>
      </c>
      <c r="K3671">
        <f>HYPERLINK("CSG1.html#group36A1", "36A¹"), =HYPERLINK("CSG3.html#group45A3", "45A³"), =HYPERLINK("CSG4.html#group60A4", "60A⁴")</f>
        <v/>
      </c>
      <c r="L3671" t="inlineStr"/>
      <c r="M3671">
        <f>HYPERLINK("CSG1.html#group36A1", "36A¹"), =HYPERLINK("CSG0.html#group5A0", "5A⁰"), =HYPERLINK("CSG0.html#group12A0", "12A⁰"), =HYPERLINK("CSG0.html#group4A0", "4A⁰"), =HYPERLINK("CSG0.html#group9A0", "9A⁰"), =HYPERLINK("CSG4.html#group60A4", "60A⁴"), =HYPERLINK("CSG1.html#group20A1", "20A¹"), =HYPERLINK("CSG0.html#group3A0", "3A⁰"), =HYPERLINK("CSG0.html#group1A0", "1A⁰"), =HYPERLINK("CSG1.html#group15A1", "15A¹"), =HYPERLINK("CSG3.html#group45A3", "45A³")</f>
        <v/>
      </c>
      <c r="N3671" t="inlineStr"/>
    </row>
    <row r="3672">
      <c r="A3672" t="inlineStr">
        <is>
          <t>180B¹³</t>
        </is>
      </c>
      <c r="B3672" t="inlineStr"/>
      <c r="C3672" t="inlineStr">
        <is>
          <t>216</t>
        </is>
      </c>
      <c r="D3672" t="inlineStr">
        <is>
          <t>1</t>
        </is>
      </c>
      <c r="E3672" t="inlineStr">
        <is>
          <t>216</t>
        </is>
      </c>
      <c r="F3672" t="inlineStr">
        <is>
          <t>20</t>
        </is>
      </c>
      <c r="G3672" t="inlineStr">
        <is>
          <t>0</t>
        </is>
      </c>
      <c r="H3672" t="inlineStr">
        <is>
          <t>36¹, 180¹</t>
        </is>
      </c>
      <c r="I3672" t="n">
        <v>2</v>
      </c>
      <c r="J3672" t="inlineStr">
        <is>
          <t>2⁴, 4⁴, 8², 12⁴, 16², 48²</t>
        </is>
      </c>
      <c r="K3672">
        <f>HYPERLINK("CSG1.html#group36A1", "36A¹"), =HYPERLINK("CSG2.html#group45A2", "45A²"), =HYPERLINK("CSG3.html#group60B3", "60B³")</f>
        <v/>
      </c>
      <c r="L3672" t="inlineStr"/>
      <c r="M3672">
        <f>HYPERLINK("CSG1.html#group36A1", "36A¹"), =HYPERLINK("CSG2.html#group45A2", "45A²"), =HYPERLINK("CSG0.html#group15B0", "15B⁰"), =HYPERLINK("CSG0.html#group12A0", "12A⁰"), =HYPERLINK("CSG0.html#group4A0", "4A⁰"), =HYPERLINK("CSG0.html#group9A0", "9A⁰"), =HYPERLINK("CSG0.html#group5B0", "5B⁰"), =HYPERLINK("CSG3.html#group60B3", "60B³"), =HYPERLINK("CSG0.html#group3A0", "3A⁰"), =HYPERLINK("CSG0.html#group1A0", "1A⁰"), =HYPERLINK("CSG1.html#group20B1", "20B¹")</f>
        <v/>
      </c>
      <c r="N3672" t="inlineStr"/>
    </row>
    <row r="3673">
      <c r="A3673" t="inlineStr">
        <is>
          <t>180C¹³</t>
        </is>
      </c>
      <c r="B3673" t="inlineStr"/>
      <c r="C3673" t="inlineStr">
        <is>
          <t>216</t>
        </is>
      </c>
      <c r="D3673" t="inlineStr">
        <is>
          <t>2</t>
        </is>
      </c>
      <c r="E3673" t="inlineStr">
        <is>
          <t>54</t>
        </is>
      </c>
      <c r="F3673" t="inlineStr">
        <is>
          <t>20</t>
        </is>
      </c>
      <c r="G3673" t="inlineStr">
        <is>
          <t>0</t>
        </is>
      </c>
      <c r="H3673" t="inlineStr">
        <is>
          <t>36¹, 180¹</t>
        </is>
      </c>
      <c r="I3673" t="n">
        <v>2</v>
      </c>
      <c r="J3673" t="inlineStr">
        <is>
          <t>2², 4², 8¹, 12², 16¹, 48¹</t>
        </is>
      </c>
      <c r="K3673">
        <f>HYPERLINK("CSG3.html#group60C3", "60C³"), =HYPERLINK("CSG4.html#group90A4", "90A⁴")</f>
        <v/>
      </c>
      <c r="L3673" t="inlineStr"/>
      <c r="M3673">
        <f>HYPERLINK("CSG0.html#group30A0", "30A⁰"), =HYPERLINK("CSG1.html#group20C1", "20C¹"), =HYPERLINK("CSG2.html#group45A2", "45A²"), =HYPERLINK("CSG0.html#group15B0", "15B⁰"), =HYPERLINK("CSG4.html#group90A4", "90A⁴"), =HYPERLINK("CSG3.html#group60C3", "60C³"), =HYPERLINK("CSG0.html#group9A0", "9A⁰"), =HYPERLINK("CSG0.html#group5B0", "5B⁰"), =HYPERLINK("CSG0.html#group3A0", "3A⁰"), =HYPERLINK("CSG0.html#group1A0", "1A⁰"), =HYPERLINK("CSG0.html#group10B0", "10B⁰")</f>
        <v/>
      </c>
      <c r="N3673" t="inlineStr"/>
    </row>
    <row r="3674">
      <c r="A3674" t="inlineStr">
        <is>
          <t>180D¹³</t>
        </is>
      </c>
      <c r="B3674" t="inlineStr"/>
      <c r="C3674" t="inlineStr">
        <is>
          <t>216</t>
        </is>
      </c>
      <c r="D3674" t="inlineStr">
        <is>
          <t>2</t>
        </is>
      </c>
      <c r="E3674" t="inlineStr">
        <is>
          <t>54</t>
        </is>
      </c>
      <c r="F3674" t="inlineStr">
        <is>
          <t>20</t>
        </is>
      </c>
      <c r="G3674" t="inlineStr">
        <is>
          <t>0</t>
        </is>
      </c>
      <c r="H3674" t="inlineStr">
        <is>
          <t>36¹, 180¹</t>
        </is>
      </c>
      <c r="I3674" t="n">
        <v>2</v>
      </c>
      <c r="J3674" t="inlineStr">
        <is>
          <t>2², 4², 8¹, 12², 16¹, 48¹</t>
        </is>
      </c>
      <c r="K3674">
        <f>HYPERLINK("CSG3.html#group60D3", "60D³"), =HYPERLINK("CSG4.html#group90A4", "90A⁴")</f>
        <v/>
      </c>
      <c r="L3674" t="inlineStr"/>
      <c r="M3674">
        <f>HYPERLINK("CSG0.html#group30A0", "30A⁰"), =HYPERLINK("CSG2.html#group45A2", "45A²"), =HYPERLINK("CSG0.html#group15B0", "15B⁰"), =HYPERLINK("CSG4.html#group90A4", "90A⁴"), =HYPERLINK("CSG0.html#group9A0", "9A⁰"), =HYPERLINK("CSG0.html#group5B0", "5B⁰"), =HYPERLINK("CSG3.html#group60D3", "60D³"), =HYPERLINK("CSG0.html#group3A0", "3A⁰"), =HYPERLINK("CSG0.html#group1A0", "1A⁰"), =HYPERLINK("CSG0.html#group10B0", "10B⁰")</f>
        <v/>
      </c>
      <c r="N3674" t="inlineStr"/>
    </row>
    <row r="3675">
      <c r="A3675" t="inlineStr">
        <is>
          <t>180E¹³</t>
        </is>
      </c>
      <c r="B3675" t="inlineStr"/>
      <c r="C3675" t="inlineStr">
        <is>
          <t>216</t>
        </is>
      </c>
      <c r="D3675" t="inlineStr">
        <is>
          <t>2</t>
        </is>
      </c>
      <c r="E3675" t="inlineStr">
        <is>
          <t>54</t>
        </is>
      </c>
      <c r="F3675" t="inlineStr">
        <is>
          <t>20</t>
        </is>
      </c>
      <c r="G3675" t="inlineStr">
        <is>
          <t>0</t>
        </is>
      </c>
      <c r="H3675" t="inlineStr">
        <is>
          <t>36¹, 180¹</t>
        </is>
      </c>
      <c r="I3675" t="n">
        <v>2</v>
      </c>
      <c r="J3675" t="inlineStr">
        <is>
          <t>4⁶, 12⁴, 16³, 48²</t>
        </is>
      </c>
      <c r="K3675">
        <f>HYPERLINK("CSG3.html#group60D3", "60D³"), =HYPERLINK("CSG4.html#group90A4", "90A⁴")</f>
        <v/>
      </c>
      <c r="L3675" t="inlineStr"/>
      <c r="M3675">
        <f>HYPERLINK("CSG0.html#group30A0", "30A⁰"), =HYPERLINK("CSG2.html#group45A2", "45A²"), =HYPERLINK("CSG0.html#group15B0", "15B⁰"), =HYPERLINK("CSG4.html#group90A4", "90A⁴"), =HYPERLINK("CSG0.html#group9A0", "9A⁰"), =HYPERLINK("CSG0.html#group5B0", "5B⁰"), =HYPERLINK("CSG3.html#group60D3", "60D³"), =HYPERLINK("CSG0.html#group3A0", "3A⁰"), =HYPERLINK("CSG0.html#group1A0", "1A⁰"), =HYPERLINK("CSG0.html#group10B0", "10B⁰")</f>
        <v/>
      </c>
      <c r="N3675" t="inlineStr"/>
    </row>
    <row r="3676">
      <c r="A3676" t="inlineStr">
        <is>
          <t>180F¹³</t>
        </is>
      </c>
      <c r="B3676" t="inlineStr"/>
      <c r="C3676" t="inlineStr">
        <is>
          <t>216</t>
        </is>
      </c>
      <c r="D3676" t="inlineStr">
        <is>
          <t>2</t>
        </is>
      </c>
      <c r="E3676" t="inlineStr">
        <is>
          <t>54</t>
        </is>
      </c>
      <c r="F3676" t="inlineStr">
        <is>
          <t>20</t>
        </is>
      </c>
      <c r="G3676" t="inlineStr">
        <is>
          <t>0</t>
        </is>
      </c>
      <c r="H3676" t="inlineStr">
        <is>
          <t>36¹, 180¹</t>
        </is>
      </c>
      <c r="I3676" t="n">
        <v>2</v>
      </c>
      <c r="J3676" t="inlineStr">
        <is>
          <t>4⁶, 12⁴, 16³, 48²</t>
        </is>
      </c>
      <c r="K3676">
        <f>HYPERLINK("CSG3.html#group60D3", "60D³"), =HYPERLINK("CSG4.html#group90A4", "90A⁴")</f>
        <v/>
      </c>
      <c r="L3676" t="inlineStr"/>
      <c r="M3676">
        <f>HYPERLINK("CSG0.html#group30A0", "30A⁰"), =HYPERLINK("CSG2.html#group45A2", "45A²"), =HYPERLINK("CSG0.html#group15B0", "15B⁰"), =HYPERLINK("CSG4.html#group90A4", "90A⁴"), =HYPERLINK("CSG0.html#group9A0", "9A⁰"), =HYPERLINK("CSG0.html#group5B0", "5B⁰"), =HYPERLINK("CSG3.html#group60D3", "60D³"), =HYPERLINK("CSG0.html#group3A0", "3A⁰"), =HYPERLINK("CSG0.html#group1A0", "1A⁰"), =HYPERLINK("CSG0.html#group10B0", "10B⁰")</f>
        <v/>
      </c>
      <c r="N3676" t="inlineStr"/>
    </row>
    <row r="3677">
      <c r="A3677" t="inlineStr">
        <is>
          <t>182A¹³</t>
        </is>
      </c>
      <c r="B3677" t="inlineStr"/>
      <c r="C3677" t="inlineStr">
        <is>
          <t>196</t>
        </is>
      </c>
      <c r="D3677" t="inlineStr">
        <is>
          <t>2</t>
        </is>
      </c>
      <c r="E3677" t="inlineStr">
        <is>
          <t>98</t>
        </is>
      </c>
      <c r="F3677" t="inlineStr">
        <is>
          <t>8</t>
        </is>
      </c>
      <c r="G3677" t="inlineStr">
        <is>
          <t>4</t>
        </is>
      </c>
      <c r="H3677" t="inlineStr">
        <is>
          <t>14¹, 182¹</t>
        </is>
      </c>
      <c r="I3677" t="n">
        <v>2</v>
      </c>
      <c r="J3677" t="inlineStr">
        <is>
          <t>2², 6⁴, 24¹, 72²</t>
        </is>
      </c>
      <c r="K3677">
        <f>HYPERLINK("CSG0.html#group14A0", "14A⁰"), =HYPERLINK("CSG6.html#group91A6", "91A⁶")</f>
        <v/>
      </c>
      <c r="L3677" t="inlineStr"/>
      <c r="M3677">
        <f>HYPERLINK("CSG0.html#group13A0", "13A⁰"), =HYPERLINK("CSG0.html#group14A0", "14A⁰"), =HYPERLINK("CSG6.html#group91A6", "91A⁶"), =HYPERLINK("CSG0.html#group1A0", "1A⁰"), =HYPERLINK("CSG0.html#group7A0", "7A⁰")</f>
        <v/>
      </c>
      <c r="N3677" t="inlineStr"/>
    </row>
    <row r="3678">
      <c r="A3678" t="inlineStr">
        <is>
          <t>183A¹³</t>
        </is>
      </c>
      <c r="B3678" t="inlineStr"/>
      <c r="C3678" t="inlineStr">
        <is>
          <t>186</t>
        </is>
      </c>
      <c r="D3678" t="inlineStr">
        <is>
          <t>2</t>
        </is>
      </c>
      <c r="E3678" t="inlineStr">
        <is>
          <t>62</t>
        </is>
      </c>
      <c r="F3678" t="inlineStr">
        <is>
          <t>6</t>
        </is>
      </c>
      <c r="G3678" t="inlineStr">
        <is>
          <t>3</t>
        </is>
      </c>
      <c r="H3678" t="inlineStr">
        <is>
          <t>3¹, 183¹</t>
        </is>
      </c>
      <c r="I3678" t="n">
        <v>2</v>
      </c>
      <c r="J3678" t="inlineStr">
        <is>
          <t>2², 120¹</t>
        </is>
      </c>
      <c r="K3678">
        <f>HYPERLINK("CSG4.html#group61A4", "61A⁴")</f>
        <v/>
      </c>
      <c r="L3678" t="inlineStr"/>
      <c r="M3678">
        <f>HYPERLINK("CSG0.html#group1A0", "1A⁰"), =HYPERLINK("CSG4.html#group61A4", "61A⁴")</f>
        <v/>
      </c>
      <c r="N3678" t="inlineStr"/>
    </row>
    <row r="3679">
      <c r="A3679" t="inlineStr">
        <is>
          <t>196A¹³</t>
        </is>
      </c>
      <c r="B3679" t="inlineStr"/>
      <c r="C3679" t="inlineStr">
        <is>
          <t>224</t>
        </is>
      </c>
      <c r="D3679" t="inlineStr">
        <is>
          <t>1</t>
        </is>
      </c>
      <c r="E3679" t="inlineStr">
        <is>
          <t>56</t>
        </is>
      </c>
      <c r="F3679" t="inlineStr">
        <is>
          <t>0</t>
        </is>
      </c>
      <c r="G3679" t="inlineStr">
        <is>
          <t>8</t>
        </is>
      </c>
      <c r="H3679" t="inlineStr">
        <is>
          <t>4⁷, 196¹</t>
        </is>
      </c>
      <c r="I3679" t="n">
        <v>8</v>
      </c>
      <c r="J3679" t="inlineStr">
        <is>
          <t>1², 6², 42¹</t>
        </is>
      </c>
      <c r="K3679">
        <f>HYPERLINK("CSG0.html#group28A0", "28A⁰"), =HYPERLINK("CSG5.html#group98A5", "98A⁵")</f>
        <v/>
      </c>
      <c r="L3679" t="inlineStr"/>
      <c r="M3679">
        <f>HYPERLINK("CSG1.html#group49A1", "49A¹"), =HYPERLINK("CSG0.html#group2A0", "2A⁰"), =HYPERLINK("CSG0.html#group1A0", "1A⁰"), =HYPERLINK("CSG0.html#group28A0", "28A⁰"), =HYPERLINK("CSG5.html#group98A5", "98A⁵"), =HYPERLINK("CSG0.html#group7B0", "7B⁰"), =HYPERLINK("CSG0.html#group14B0", "14B⁰")</f>
        <v/>
      </c>
      <c r="N3679" t="inlineStr"/>
    </row>
    <row r="3680">
      <c r="A3680" t="inlineStr">
        <is>
          <t>210A¹³</t>
        </is>
      </c>
      <c r="B3680" t="inlineStr"/>
      <c r="C3680" t="inlineStr">
        <is>
          <t>210</t>
        </is>
      </c>
      <c r="D3680" t="inlineStr">
        <is>
          <t>2</t>
        </is>
      </c>
      <c r="E3680" t="inlineStr">
        <is>
          <t>35</t>
        </is>
      </c>
      <c r="F3680" t="inlineStr">
        <is>
          <t>12</t>
        </is>
      </c>
      <c r="G3680" t="inlineStr">
        <is>
          <t>6</t>
        </is>
      </c>
      <c r="H3680" t="inlineStr">
        <is>
          <t>210¹</t>
        </is>
      </c>
      <c r="I3680" t="n">
        <v>1</v>
      </c>
      <c r="J3680" t="inlineStr">
        <is>
          <t>4¹, 12², 16¹, 48²</t>
        </is>
      </c>
      <c r="K3680">
        <f>HYPERLINK("CSG4.html#group70A4", "70A⁴"), =HYPERLINK("CSG6.html#group105A6", "105A⁶")</f>
        <v/>
      </c>
      <c r="L3680" t="inlineStr"/>
      <c r="M3680">
        <f>HYPERLINK("CSG6.html#group105A6", "105A⁶"), =HYPERLINK("CSG0.html#group5A0", "5A⁰"), =HYPERLINK("CSG0.html#group14A0", "14A⁰"), =HYPERLINK("CSG4.html#group70A4", "70A⁴"), =HYPERLINK("CSG0.html#group1A0", "1A⁰"), =HYPERLINK("CSG2.html#group35A2", "35A²"), =HYPERLINK("CSG0.html#group7A0", "7A⁰"), =HYPERLINK("CSG0.html#group15A0", "15A⁰")</f>
        <v/>
      </c>
      <c r="N3680" t="inlineStr"/>
    </row>
    <row r="3681">
      <c r="A3681" t="inlineStr">
        <is>
          <t>210B¹³</t>
        </is>
      </c>
      <c r="B3681" t="inlineStr"/>
      <c r="C3681" t="inlineStr">
        <is>
          <t>210</t>
        </is>
      </c>
      <c r="D3681" t="inlineStr">
        <is>
          <t>2</t>
        </is>
      </c>
      <c r="E3681" t="inlineStr">
        <is>
          <t>35</t>
        </is>
      </c>
      <c r="F3681" t="inlineStr">
        <is>
          <t>12</t>
        </is>
      </c>
      <c r="G3681" t="inlineStr">
        <is>
          <t>6</t>
        </is>
      </c>
      <c r="H3681" t="inlineStr">
        <is>
          <t>210¹</t>
        </is>
      </c>
      <c r="I3681" t="n">
        <v>1</v>
      </c>
      <c r="J3681" t="inlineStr">
        <is>
          <t>4¹, 12², 16¹, 48²</t>
        </is>
      </c>
      <c r="K3681">
        <f>HYPERLINK("CSG4.html#group70A4", "70A⁴"), =HYPERLINK("CSG6.html#group105B6", "105B⁶")</f>
        <v/>
      </c>
      <c r="L3681" t="inlineStr"/>
      <c r="M3681">
        <f>HYPERLINK("CSG0.html#group14A0", "14A⁰"), =HYPERLINK("CSG0.html#group5A0", "5A⁰"), =HYPERLINK("CSG6.html#group105B6", "105B⁶"), =HYPERLINK("CSG4.html#group70A4", "70A⁴"), =HYPERLINK("CSG0.html#group1A0", "1A⁰"), =HYPERLINK("CSG2.html#group35A2", "35A²"), =HYPERLINK("CSG0.html#group7A0", "7A⁰"), =HYPERLINK("CSG0.html#group15A0", "15A⁰")</f>
        <v/>
      </c>
      <c r="N3681" t="inlineStr"/>
    </row>
    <row r="3682">
      <c r="A3682" t="inlineStr">
        <is>
          <t>231A¹³</t>
        </is>
      </c>
      <c r="B3682" t="inlineStr"/>
      <c r="C3682" t="inlineStr">
        <is>
          <t>231</t>
        </is>
      </c>
      <c r="D3682" t="inlineStr">
        <is>
          <t>2</t>
        </is>
      </c>
      <c r="E3682" t="inlineStr">
        <is>
          <t>77</t>
        </is>
      </c>
      <c r="F3682" t="inlineStr">
        <is>
          <t>27</t>
        </is>
      </c>
      <c r="G3682" t="inlineStr">
        <is>
          <t>0</t>
        </is>
      </c>
      <c r="H3682" t="inlineStr">
        <is>
          <t>231¹</t>
        </is>
      </c>
      <c r="I3682" t="n">
        <v>1</v>
      </c>
      <c r="J3682" t="inlineStr">
        <is>
          <t>4¹, 12², 20², 60⁴</t>
        </is>
      </c>
      <c r="K3682">
        <f>HYPERLINK("CSG0.html#group21A0", "21A⁰"), =HYPERLINK("CSG1.html#group33A1", "33A¹"), =HYPERLINK("CSG4.html#group77A4", "77A⁴")</f>
        <v/>
      </c>
      <c r="L3682" t="inlineStr"/>
      <c r="M3682">
        <f>HYPERLINK("CSG0.html#group11A0", "11A⁰"), =HYPERLINK("CSG1.html#group33A1", "33A¹"), =HYPERLINK("CSG4.html#group77A4", "77A⁴"), =HYPERLINK("CSG0.html#group21A0", "21A⁰"), =HYPERLINK("CSG0.html#group3A0", "3A⁰"), =HYPERLINK("CSG0.html#group1A0", "1A⁰"), =HYPERLINK("CSG0.html#group7A0", "7A⁰")</f>
        <v/>
      </c>
      <c r="N3682" t="inlineStr"/>
    </row>
    <row r="3683">
      <c r="A3683" t="inlineStr">
        <is>
          <t>231B¹³</t>
        </is>
      </c>
      <c r="B3683" t="inlineStr"/>
      <c r="C3683" t="inlineStr">
        <is>
          <t>231</t>
        </is>
      </c>
      <c r="D3683" t="inlineStr">
        <is>
          <t>2</t>
        </is>
      </c>
      <c r="E3683" t="inlineStr">
        <is>
          <t>77</t>
        </is>
      </c>
      <c r="F3683" t="inlineStr">
        <is>
          <t>27</t>
        </is>
      </c>
      <c r="G3683" t="inlineStr">
        <is>
          <t>0</t>
        </is>
      </c>
      <c r="H3683" t="inlineStr">
        <is>
          <t>231¹</t>
        </is>
      </c>
      <c r="I3683" t="n">
        <v>1</v>
      </c>
      <c r="J3683" t="inlineStr">
        <is>
          <t>4¹, 12², 20², 60⁴</t>
        </is>
      </c>
      <c r="K3683">
        <f>HYPERLINK("CSG0.html#group21A0", "21A⁰"), =HYPERLINK("CSG1.html#group33A1", "33A¹"), =HYPERLINK("CSG4.html#group77B4", "77B⁴")</f>
        <v/>
      </c>
      <c r="L3683" t="inlineStr"/>
      <c r="M3683">
        <f>HYPERLINK("CSG0.html#group11A0", "11A⁰"), =HYPERLINK("CSG0.html#group3A0", "3A⁰"), =HYPERLINK("CSG1.html#group33A1", "33A¹"), =HYPERLINK("CSG0.html#group21A0", "21A⁰"), =HYPERLINK("CSG4.html#group77B4", "77B⁴"), =HYPERLINK("CSG0.html#group1A0", "1A⁰"), =HYPERLINK("CSG0.html#group7A0", "7A⁰")</f>
        <v/>
      </c>
      <c r="N3683" t="inlineStr"/>
    </row>
    <row r="3684">
      <c r="A3684" t="inlineStr">
        <is>
          <t>19A¹⁴</t>
        </is>
      </c>
      <c r="B3684" t="inlineStr"/>
      <c r="C3684" t="inlineStr">
        <is>
          <t>285</t>
        </is>
      </c>
      <c r="D3684" t="inlineStr">
        <is>
          <t>1</t>
        </is>
      </c>
      <c r="E3684" t="inlineStr">
        <is>
          <t>285</t>
        </is>
      </c>
      <c r="F3684" t="inlineStr">
        <is>
          <t>5</t>
        </is>
      </c>
      <c r="G3684" t="inlineStr">
        <is>
          <t>6</t>
        </is>
      </c>
      <c r="H3684" t="inlineStr">
        <is>
          <t>19¹⁵</t>
        </is>
      </c>
      <c r="I3684" t="n">
        <v>15</v>
      </c>
      <c r="J3684" t="inlineStr">
        <is>
          <t>6¹, 9¹, 18¹⁵</t>
        </is>
      </c>
      <c r="K3684">
        <f>HYPERLINK("CSG2.html#group19A2", "19A²")</f>
        <v/>
      </c>
      <c r="L3684" t="inlineStr"/>
      <c r="M3684">
        <f>HYPERLINK("CSG2.html#group19A2", "19A²"), =HYPERLINK("CSG0.html#group1A0", "1A⁰")</f>
        <v/>
      </c>
      <c r="N3684" t="inlineStr"/>
    </row>
    <row r="3685">
      <c r="A3685" t="inlineStr">
        <is>
          <t>21A¹⁴</t>
        </is>
      </c>
      <c r="B3685" t="inlineStr"/>
      <c r="C3685" t="inlineStr">
        <is>
          <t>252</t>
        </is>
      </c>
      <c r="D3685" t="inlineStr">
        <is>
          <t>2</t>
        </is>
      </c>
      <c r="E3685" t="inlineStr">
        <is>
          <t>63</t>
        </is>
      </c>
      <c r="F3685" t="inlineStr">
        <is>
          <t>8</t>
        </is>
      </c>
      <c r="G3685" t="inlineStr">
        <is>
          <t>0</t>
        </is>
      </c>
      <c r="H3685" t="inlineStr">
        <is>
          <t>21¹²</t>
        </is>
      </c>
      <c r="I3685" t="n">
        <v>12</v>
      </c>
      <c r="J3685" t="inlineStr">
        <is>
          <t>6⁷, 12⁷</t>
        </is>
      </c>
      <c r="K3685">
        <f>HYPERLINK("CSG4.html#group21B4", "21B⁴"), =HYPERLINK("CSG5.html#group21D5", "21D⁵"), =HYPERLINK("CSG6.html#group21C6", "21C⁶")</f>
        <v/>
      </c>
      <c r="L3685" t="inlineStr"/>
      <c r="M3685">
        <f>HYPERLINK("CSG5.html#group21D5", "21D⁵"), =HYPERLINK("CSG2.html#group21D2", "21D²"), =HYPERLINK("CSG6.html#group21C6", "21C⁶"), =HYPERLINK("CSG0.html#group7D0", "7D⁰"), =HYPERLINK("CSG1.html#group21E1", "21E¹"), =HYPERLINK("CSG1.html#group21D1", "21D¹"), =HYPERLINK("CSG0.html#group21A0", "21A⁰"), =HYPERLINK("CSG0.html#group3C0", "3C⁰"), =HYPERLINK("CSG0.html#group7A0", "7A⁰"), =HYPERLINK("CSG0.html#group3A0", "3A⁰"), =HYPERLINK("CSG0.html#group1A0", "1A⁰"), =HYPERLINK("CSG4.html#group21B4", "21B⁴")</f>
        <v/>
      </c>
      <c r="N3685" t="inlineStr"/>
    </row>
    <row r="3686">
      <c r="A3686" t="inlineStr">
        <is>
          <t>25A¹⁴</t>
        </is>
      </c>
      <c r="B3686" t="inlineStr"/>
      <c r="C3686" t="inlineStr">
        <is>
          <t>250</t>
        </is>
      </c>
      <c r="D3686" t="inlineStr">
        <is>
          <t>1</t>
        </is>
      </c>
      <c r="E3686" t="inlineStr">
        <is>
          <t>250</t>
        </is>
      </c>
      <c r="F3686" t="inlineStr">
        <is>
          <t>10</t>
        </is>
      </c>
      <c r="G3686" t="inlineStr">
        <is>
          <t>1</t>
        </is>
      </c>
      <c r="H3686" t="inlineStr">
        <is>
          <t>25¹⁰</t>
        </is>
      </c>
      <c r="I3686" t="n">
        <v>10</v>
      </c>
      <c r="J3686" t="inlineStr">
        <is>
          <t>10¹, 20¹²</t>
        </is>
      </c>
      <c r="K3686">
        <f>HYPERLINK("CSG0.html#group5C0", "5C⁰")</f>
        <v/>
      </c>
      <c r="L3686" t="inlineStr"/>
      <c r="M3686">
        <f>HYPERLINK("CSG0.html#group5C0", "5C⁰"), =HYPERLINK("CSG0.html#group1A0", "1A⁰")</f>
        <v/>
      </c>
      <c r="N3686" t="inlineStr"/>
    </row>
    <row r="3687">
      <c r="A3687" t="inlineStr">
        <is>
          <t>28A¹⁴</t>
        </is>
      </c>
      <c r="B3687" t="inlineStr"/>
      <c r="C3687" t="inlineStr">
        <is>
          <t>252</t>
        </is>
      </c>
      <c r="D3687" t="inlineStr">
        <is>
          <t>2</t>
        </is>
      </c>
      <c r="E3687" t="inlineStr">
        <is>
          <t>63</t>
        </is>
      </c>
      <c r="F3687" t="inlineStr">
        <is>
          <t>8</t>
        </is>
      </c>
      <c r="G3687" t="inlineStr">
        <is>
          <t>0</t>
        </is>
      </c>
      <c r="H3687" t="inlineStr">
        <is>
          <t>14⁶, 28⁶</t>
        </is>
      </c>
      <c r="I3687" t="n">
        <v>12</v>
      </c>
      <c r="J3687" t="inlineStr">
        <is>
          <t>6²¹</t>
        </is>
      </c>
      <c r="K3687">
        <f>HYPERLINK("CSG5.html#group14G5", "14G⁵"), =HYPERLINK("CSG6.html#group28J6", "28J⁶"), =HYPERLINK("CSG7.html#group28C7", "28C⁷")</f>
        <v/>
      </c>
      <c r="L3687" t="inlineStr"/>
      <c r="M3687">
        <f>HYPERLINK("CSG6.html#group28J6", "28J⁶"), =HYPERLINK("CSG1.html#group14E1", "14E¹"), =HYPERLINK("CSG5.html#group14G5", "14G⁵"), =HYPERLINK("CSG0.html#group7D0", "7D⁰"), =HYPERLINK("CSG1.html#group14B1", "14B¹"), =HYPERLINK("CSG3.html#group28B3", "28B³"), =HYPERLINK("CSG2.html#group14F2", "14F²"), =HYPERLINK("CSG0.html#group2B0", "2B⁰"), =HYPERLINK("CSG7.html#group28C7", "28C⁷"), =HYPERLINK("CSG0.html#group1A0", "1A⁰"), =HYPERLINK("CSG2.html#group28B2", "28B²"), =HYPERLINK("CSG0.html#group7A0", "7A⁰")</f>
        <v/>
      </c>
      <c r="N3687" t="inlineStr"/>
    </row>
    <row r="3688">
      <c r="A3688" t="inlineStr">
        <is>
          <t>28B¹⁴</t>
        </is>
      </c>
      <c r="B3688" t="inlineStr"/>
      <c r="C3688" t="inlineStr">
        <is>
          <t>252</t>
        </is>
      </c>
      <c r="D3688" t="inlineStr">
        <is>
          <t>2</t>
        </is>
      </c>
      <c r="E3688" t="inlineStr">
        <is>
          <t>63</t>
        </is>
      </c>
      <c r="F3688" t="inlineStr">
        <is>
          <t>8</t>
        </is>
      </c>
      <c r="G3688" t="inlineStr">
        <is>
          <t>0</t>
        </is>
      </c>
      <c r="H3688" t="inlineStr">
        <is>
          <t>14⁶, 28⁶</t>
        </is>
      </c>
      <c r="I3688" t="n">
        <v>12</v>
      </c>
      <c r="J3688" t="inlineStr">
        <is>
          <t>6²¹</t>
        </is>
      </c>
      <c r="K3688">
        <f>HYPERLINK("CSG5.html#group28H5", "28H⁵"), =HYPERLINK("CSG6.html#group14A6", "14A⁶"), =HYPERLINK("CSG7.html#group28C7", "28C⁷")</f>
        <v/>
      </c>
      <c r="L3688" t="inlineStr"/>
      <c r="M3688">
        <f>HYPERLINK("CSG0.html#group14A0", "14A⁰"), =HYPERLINK("CSG2.html#group14B2", "14B²"), =HYPERLINK("CSG1.html#group14F1", "14F¹"), =HYPERLINK("CSG0.html#group7D0", "7D⁰"), =HYPERLINK("CSG1.html#group14B1", "14B¹"), =HYPERLINK("CSG5.html#group28H5", "28H⁵"), =HYPERLINK("CSG3.html#group28B3", "28B³"), =HYPERLINK("CSG2.html#group14C2", "14C²"), =HYPERLINK("CSG2.html#group14F2", "14F²"), =HYPERLINK("CSG0.html#group2B0", "2B⁰"), =HYPERLINK("CSG7.html#group28C7", "28C⁷"), =HYPERLINK("CSG0.html#group1A0", "1A⁰"), =HYPERLINK("CSG6.html#group14A6", "14A⁶"), =HYPERLINK("CSG0.html#group7A0", "7A⁰")</f>
        <v/>
      </c>
      <c r="N3688" t="inlineStr"/>
    </row>
    <row r="3689">
      <c r="A3689" t="inlineStr">
        <is>
          <t>28C¹⁴</t>
        </is>
      </c>
      <c r="B3689" t="inlineStr"/>
      <c r="C3689" t="inlineStr">
        <is>
          <t>252</t>
        </is>
      </c>
      <c r="D3689" t="inlineStr">
        <is>
          <t>2</t>
        </is>
      </c>
      <c r="E3689" t="inlineStr">
        <is>
          <t>63</t>
        </is>
      </c>
      <c r="F3689" t="inlineStr">
        <is>
          <t>8</t>
        </is>
      </c>
      <c r="G3689" t="inlineStr">
        <is>
          <t>0</t>
        </is>
      </c>
      <c r="H3689" t="inlineStr">
        <is>
          <t>14⁶, 28⁶</t>
        </is>
      </c>
      <c r="I3689" t="n">
        <v>12</v>
      </c>
      <c r="J3689" t="inlineStr">
        <is>
          <t>6²¹</t>
        </is>
      </c>
      <c r="K3689">
        <f>HYPERLINK("CSG4.html#group28C4", "28C⁴"), =HYPERLINK("CSG6.html#group14A6", "14A⁶"), =HYPERLINK("CSG6.html#group28I6", "28I⁶"), =HYPERLINK("CSG6.html#group28J6", "28J⁶")</f>
        <v/>
      </c>
      <c r="L3689" t="inlineStr"/>
      <c r="M3689">
        <f>HYPERLINK("CSG0.html#group14A0", "14A⁰"), =HYPERLINK("CSG2.html#group14B2", "14B²"), =HYPERLINK("CSG4.html#group28C4", "28C⁴"), =HYPERLINK("CSG1.html#group14B1", "14B¹"), =HYPERLINK("CSG0.html#group7D0", "7D⁰"), =HYPERLINK("CSG2.html#group14C2", "14C²"), =HYPERLINK("CSG0.html#group4C0", "4C⁰"), =HYPERLINK("CSG0.html#group2B0", "2B⁰"), =HYPERLINK("CSG6.html#group28I6", "28I⁶"), =HYPERLINK("CSG0.html#group1A0", "1A⁰"), =HYPERLINK("CSG6.html#group14A6", "14A⁶"), =HYPERLINK("CSG6.html#group28J6", "28J⁶"), =HYPERLINK("CSG2.html#group28C2", "28C²"), =HYPERLINK("CSG1.html#group14F1", "14F¹"), =HYPERLINK("CSG2.html#group14F2", "14F²"), =HYPERLINK("CSG2.html#group28B2", "28B²"), =HYPERLINK("CSG0.html#group7A0", "7A⁰")</f>
        <v/>
      </c>
      <c r="N3689" t="inlineStr"/>
    </row>
    <row r="3690">
      <c r="A3690" t="inlineStr">
        <is>
          <t>30A¹⁴</t>
        </is>
      </c>
      <c r="B3690" t="inlineStr"/>
      <c r="C3690" t="inlineStr">
        <is>
          <t>240</t>
        </is>
      </c>
      <c r="D3690" t="inlineStr">
        <is>
          <t>1</t>
        </is>
      </c>
      <c r="E3690" t="inlineStr">
        <is>
          <t>240</t>
        </is>
      </c>
      <c r="F3690" t="inlineStr">
        <is>
          <t>0</t>
        </is>
      </c>
      <c r="G3690" t="inlineStr">
        <is>
          <t>3</t>
        </is>
      </c>
      <c r="H3690" t="inlineStr">
        <is>
          <t>10⁶, 30⁶</t>
        </is>
      </c>
      <c r="I3690" t="n">
        <v>12</v>
      </c>
      <c r="J3690" t="inlineStr">
        <is>
          <t>4³⁰, 8¹⁵</t>
        </is>
      </c>
      <c r="K3690">
        <f>HYPERLINK("CSG1.html#group10J1", "10J¹"), =HYPERLINK("CSG5.html#group30I5", "30I⁵")</f>
        <v/>
      </c>
      <c r="L3690" t="inlineStr"/>
      <c r="M3690">
        <f>HYPERLINK("CSG0.html#group3B0", "3B⁰"), =HYPERLINK("CSG1.html#group10J1", "10J¹"), =HYPERLINK("CSG0.html#group1A0", "1A⁰"), =HYPERLINK("CSG2.html#group15C2", "15C²"), =HYPERLINK("CSG5.html#group30I5", "30I⁵"), =HYPERLINK("CSG0.html#group10D0", "10D⁰"), =HYPERLINK("CSG0.html#group5C0", "5C⁰")</f>
        <v/>
      </c>
      <c r="N3690" t="inlineStr"/>
    </row>
    <row r="3691">
      <c r="A3691" t="inlineStr">
        <is>
          <t>31A¹⁴</t>
        </is>
      </c>
      <c r="B3691" t="inlineStr"/>
      <c r="C3691" t="inlineStr">
        <is>
          <t>248</t>
        </is>
      </c>
      <c r="D3691" t="inlineStr">
        <is>
          <t>2</t>
        </is>
      </c>
      <c r="E3691" t="inlineStr">
        <is>
          <t>248</t>
        </is>
      </c>
      <c r="F3691" t="inlineStr">
        <is>
          <t>8</t>
        </is>
      </c>
      <c r="G3691" t="inlineStr">
        <is>
          <t>5</t>
        </is>
      </c>
      <c r="H3691" t="inlineStr">
        <is>
          <t>31⁸</t>
        </is>
      </c>
      <c r="I3691" t="n">
        <v>8</v>
      </c>
      <c r="J3691" t="inlineStr">
        <is>
          <t>6¹, 10¹, 30¹⁶</t>
        </is>
      </c>
      <c r="K3691">
        <f>HYPERLINK("CSG0.html#group1A0", "1A⁰")</f>
        <v/>
      </c>
      <c r="L3691" t="inlineStr"/>
      <c r="M3691">
        <f>HYPERLINK("CSG0.html#group1A0", "1A⁰")</f>
        <v/>
      </c>
      <c r="N3691" t="inlineStr"/>
    </row>
    <row r="3692">
      <c r="A3692" t="inlineStr">
        <is>
          <t>32A¹⁴</t>
        </is>
      </c>
      <c r="B3692" t="inlineStr"/>
      <c r="C3692" t="inlineStr">
        <is>
          <t>256</t>
        </is>
      </c>
      <c r="D3692" t="inlineStr">
        <is>
          <t>1</t>
        </is>
      </c>
      <c r="E3692" t="inlineStr">
        <is>
          <t>256</t>
        </is>
      </c>
      <c r="F3692" t="inlineStr">
        <is>
          <t>16</t>
        </is>
      </c>
      <c r="G3692" t="inlineStr">
        <is>
          <t>1</t>
        </is>
      </c>
      <c r="H3692" t="inlineStr">
        <is>
          <t>32⁸</t>
        </is>
      </c>
      <c r="I3692" t="n">
        <v>8</v>
      </c>
      <c r="J3692" t="inlineStr">
        <is>
          <t>16¹⁶</t>
        </is>
      </c>
      <c r="K3692">
        <f>HYPERLINK("CSG2.html#group16G2", "16G²")</f>
        <v/>
      </c>
      <c r="L3692" t="inlineStr"/>
      <c r="M3692">
        <f>HYPERLINK("CSG0.html#group8F0", "8F⁰"), =HYPERLINK("CSG0.html#group1A0", "1A⁰"), =HYPERLINK("CSG0.html#group4A0", "4A⁰"), =HYPERLINK("CSG2.html#group16G2", "16G²")</f>
        <v/>
      </c>
      <c r="N3692" t="inlineStr"/>
    </row>
    <row r="3693">
      <c r="A3693" t="inlineStr">
        <is>
          <t>33A¹⁴</t>
        </is>
      </c>
      <c r="B3693" t="inlineStr"/>
      <c r="C3693" t="inlineStr">
        <is>
          <t>220</t>
        </is>
      </c>
      <c r="D3693" t="inlineStr">
        <is>
          <t>1</t>
        </is>
      </c>
      <c r="E3693" t="inlineStr">
        <is>
          <t>220</t>
        </is>
      </c>
      <c r="F3693" t="inlineStr">
        <is>
          <t>0</t>
        </is>
      </c>
      <c r="G3693" t="inlineStr">
        <is>
          <t>1</t>
        </is>
      </c>
      <c r="H3693" t="inlineStr">
        <is>
          <t>11⁵, 33⁵</t>
        </is>
      </c>
      <c r="I3693" t="n">
        <v>10</v>
      </c>
      <c r="J3693" t="inlineStr">
        <is>
          <t>5², 10¹¹, 20⁵</t>
        </is>
      </c>
      <c r="K3693">
        <f>HYPERLINK("CSG0.html#group3B0", "3B⁰"), =HYPERLINK("CSG1.html#group11C1", "11C¹")</f>
        <v/>
      </c>
      <c r="L3693" t="inlineStr"/>
      <c r="M3693">
        <f>HYPERLINK("CSG0.html#group3B0", "3B⁰"), =HYPERLINK("CSG1.html#group11C1", "11C¹"), =HYPERLINK("CSG0.html#group1A0", "1A⁰")</f>
        <v/>
      </c>
      <c r="N3693" t="inlineStr"/>
    </row>
    <row r="3694">
      <c r="A3694" t="inlineStr">
        <is>
          <t>35A¹⁴</t>
        </is>
      </c>
      <c r="B3694" t="inlineStr"/>
      <c r="C3694" t="inlineStr">
        <is>
          <t>210</t>
        </is>
      </c>
      <c r="D3694" t="inlineStr">
        <is>
          <t>2</t>
        </is>
      </c>
      <c r="E3694" t="inlineStr">
        <is>
          <t>35</t>
        </is>
      </c>
      <c r="F3694" t="inlineStr">
        <is>
          <t>6</t>
        </is>
      </c>
      <c r="G3694" t="inlineStr">
        <is>
          <t>0</t>
        </is>
      </c>
      <c r="H3694" t="inlineStr">
        <is>
          <t>35⁶</t>
        </is>
      </c>
      <c r="I3694" t="n">
        <v>6</v>
      </c>
      <c r="J3694" t="inlineStr">
        <is>
          <t>2¹, 6², 8¹, 24²</t>
        </is>
      </c>
      <c r="K3694">
        <f>HYPERLINK("CSG4.html#group35A4", "35A⁴"), =HYPERLINK("CSG6.html#group35B6", "35B⁶")</f>
        <v/>
      </c>
      <c r="L3694" t="inlineStr"/>
      <c r="M3694">
        <f>HYPERLINK("CSG0.html#group5A0", "5A⁰"), =HYPERLINK("CSG4.html#group35A4", "35A⁴"), =HYPERLINK("CSG0.html#group7C0", "7C⁰"), =HYPERLINK("CSG0.html#group5E0", "5E⁰"), =HYPERLINK("CSG6.html#group35B6", "35B⁶"), =HYPERLINK("CSG0.html#group1A0", "1A⁰"), =HYPERLINK("CSG2.html#group35A2", "35A²"), =HYPERLINK("CSG0.html#group7A0", "7A⁰")</f>
        <v/>
      </c>
      <c r="N3694" t="inlineStr"/>
    </row>
    <row r="3695">
      <c r="A3695" t="inlineStr">
        <is>
          <t>35B¹⁴</t>
        </is>
      </c>
      <c r="B3695" t="inlineStr"/>
      <c r="C3695" t="inlineStr">
        <is>
          <t>210</t>
        </is>
      </c>
      <c r="D3695" t="inlineStr">
        <is>
          <t>2</t>
        </is>
      </c>
      <c r="E3695" t="inlineStr">
        <is>
          <t>35</t>
        </is>
      </c>
      <c r="F3695" t="inlineStr">
        <is>
          <t>6</t>
        </is>
      </c>
      <c r="G3695" t="inlineStr">
        <is>
          <t>0</t>
        </is>
      </c>
      <c r="H3695" t="inlineStr">
        <is>
          <t>35⁶</t>
        </is>
      </c>
      <c r="I3695" t="n">
        <v>6</v>
      </c>
      <c r="J3695" t="inlineStr">
        <is>
          <t>2¹, 6², 8¹, 24²</t>
        </is>
      </c>
      <c r="K3695">
        <f>HYPERLINK("CSG0.html#group7G0", "7G⁰"), =HYPERLINK("CSG4.html#group35A4", "35A⁴"), =HYPERLINK("CSG7.html#group35A7", "35A⁷")</f>
        <v/>
      </c>
      <c r="L3695" t="inlineStr"/>
      <c r="M3695">
        <f>HYPERLINK("CSG0.html#group5A0", "5A⁰"), =HYPERLINK("CSG0.html#group7D0", "7D⁰"), =HYPERLINK("CSG4.html#group35A4", "35A⁴"), =HYPERLINK("CSG0.html#group7C0", "7C⁰"), =HYPERLINK("CSG7.html#group35A7", "35A⁷"), =HYPERLINK("CSG0.html#group7G0", "7G⁰"), =HYPERLINK("CSG0.html#group1A0", "1A⁰"), =HYPERLINK("CSG2.html#group35A2", "35A²"), =HYPERLINK("CSG0.html#group7A0", "7A⁰")</f>
        <v/>
      </c>
      <c r="N3695" t="inlineStr"/>
    </row>
    <row r="3696">
      <c r="A3696" t="inlineStr">
        <is>
          <t>35C¹⁴</t>
        </is>
      </c>
      <c r="B3696" t="inlineStr"/>
      <c r="C3696" t="inlineStr">
        <is>
          <t>210</t>
        </is>
      </c>
      <c r="D3696" t="inlineStr">
        <is>
          <t>2</t>
        </is>
      </c>
      <c r="E3696" t="inlineStr">
        <is>
          <t>105</t>
        </is>
      </c>
      <c r="F3696" t="inlineStr">
        <is>
          <t>6</t>
        </is>
      </c>
      <c r="G3696" t="inlineStr">
        <is>
          <t>0</t>
        </is>
      </c>
      <c r="H3696" t="inlineStr">
        <is>
          <t>35⁶</t>
        </is>
      </c>
      <c r="I3696" t="n">
        <v>6</v>
      </c>
      <c r="J3696" t="inlineStr">
        <is>
          <t>2¹, 4¹, 6², 8³, 12², 24⁶</t>
        </is>
      </c>
      <c r="K3696">
        <f>HYPERLINK("CSG0.html#group5G0", "5G⁰"), =HYPERLINK("CSG2.html#group35C2", "35C²"), =HYPERLINK("CSG4.html#group35B4", "35B⁴"), =HYPERLINK("CSG6.html#group35B6", "35B⁶")</f>
        <v/>
      </c>
      <c r="L3696" t="inlineStr"/>
      <c r="M3696">
        <f>HYPERLINK("CSG2.html#group35C2", "35C²"), =HYPERLINK("CSG0.html#group5A0", "5A⁰"), =HYPERLINK("CSG4.html#group35B4", "35B⁴"), =HYPERLINK("CSG0.html#group5C0", "5C⁰"), =HYPERLINK("CSG0.html#group5B0", "5B⁰"), =HYPERLINK("CSG0.html#group5E0", "5E⁰"), =HYPERLINK("CSG2.html#group35A2", "35A²"), =HYPERLINK("CSG6.html#group35B6", "35B⁶"), =HYPERLINK("CSG0.html#group1A0", "1A⁰"), =HYPERLINK("CSG0.html#group5G0", "5G⁰"), =HYPERLINK("CSG0.html#group7A0", "7A⁰")</f>
        <v/>
      </c>
      <c r="N3696" t="inlineStr"/>
    </row>
    <row r="3697">
      <c r="A3697" t="inlineStr">
        <is>
          <t>35D¹⁴</t>
        </is>
      </c>
      <c r="B3697" t="inlineStr"/>
      <c r="C3697" t="inlineStr">
        <is>
          <t>252</t>
        </is>
      </c>
      <c r="D3697" t="inlineStr">
        <is>
          <t>2</t>
        </is>
      </c>
      <c r="E3697" t="inlineStr">
        <is>
          <t>126</t>
        </is>
      </c>
      <c r="F3697" t="inlineStr">
        <is>
          <t>8</t>
        </is>
      </c>
      <c r="G3697" t="inlineStr">
        <is>
          <t>0</t>
        </is>
      </c>
      <c r="H3697" t="inlineStr">
        <is>
          <t>7⁶, 35⁶</t>
        </is>
      </c>
      <c r="I3697" t="n">
        <v>12</v>
      </c>
      <c r="J3697" t="inlineStr">
        <is>
          <t>6¹⁴, 24⁷</t>
        </is>
      </c>
      <c r="K3697">
        <f>HYPERLINK("CSG4.html#group35C4", "35C⁴"), =HYPERLINK("CSG6.html#group35E6", "35E⁶")</f>
        <v/>
      </c>
      <c r="L3697" t="inlineStr"/>
      <c r="M3697">
        <f>HYPERLINK("CSG2.html#group35C2", "35C²"), =HYPERLINK("CSG4.html#group35C4", "35C⁴"), =HYPERLINK("CSG0.html#group7D0", "7D⁰"), =HYPERLINK("CSG6.html#group35E6", "35E⁶"), =HYPERLINK("CSG0.html#group5B0", "5B⁰"), =HYPERLINK("CSG0.html#group1A0", "1A⁰"), =HYPERLINK("CSG0.html#group7A0", "7A⁰")</f>
        <v/>
      </c>
      <c r="N3697" t="inlineStr"/>
    </row>
    <row r="3698">
      <c r="A3698" t="inlineStr">
        <is>
          <t>36A¹⁴</t>
        </is>
      </c>
      <c r="B3698" t="inlineStr"/>
      <c r="C3698" t="inlineStr">
        <is>
          <t>216</t>
        </is>
      </c>
      <c r="D3698" t="inlineStr">
        <is>
          <t>1</t>
        </is>
      </c>
      <c r="E3698" t="inlineStr">
        <is>
          <t>54</t>
        </is>
      </c>
      <c r="F3698" t="inlineStr">
        <is>
          <t>8</t>
        </is>
      </c>
      <c r="G3698" t="inlineStr">
        <is>
          <t>0</t>
        </is>
      </c>
      <c r="H3698" t="inlineStr">
        <is>
          <t>36⁶</t>
        </is>
      </c>
      <c r="I3698" t="n">
        <v>6</v>
      </c>
      <c r="J3698" t="inlineStr">
        <is>
          <t>2⁵, 4², 6², 12²</t>
        </is>
      </c>
      <c r="K3698">
        <f>HYPERLINK("CSG2.html#group12H2", "12H²"), =HYPERLINK("CSG6.html#group36C6", "36C⁶"), =HYPERLINK("CSG6.html#group36I6", "36I⁶")</f>
        <v/>
      </c>
      <c r="L3698" t="inlineStr"/>
      <c r="M3698">
        <f>HYPERLINK("CSG0.html#group6B0", "6B⁰"), =HYPERLINK("CSG0.html#group12C0", "12C⁰"), =HYPERLINK("CSG0.html#group4C0", "4C⁰"), =HYPERLINK("CSG2.html#group36B2", "36B²"), =HYPERLINK("CSG1.html#group18B1", "18B¹"), =HYPERLINK("CSG1.html#group12M1", "12M¹"), =HYPERLINK("CSG0.html#group2B0", "2B⁰"), =HYPERLINK("CSG0.html#group12H0", "12H⁰"), =HYPERLINK("CSG0.html#group1A0", "1A⁰"), =HYPERLINK("CSG2.html#group12H2", "12H²"), =HYPERLINK("CSG3.html#group18D3", "18D³"), =HYPERLINK("CSG6.html#group36I6", "36I⁶"), =HYPERLINK("CSG6.html#group36C6", "36C⁶"), =HYPERLINK("CSG0.html#group9A0", "9A⁰"), =HYPERLINK("CSG1.html#group18E1", "18E¹"), =HYPERLINK("CSG0.html#group12D0", "12D⁰"), =HYPERLINK("CSG0.html#group6H0", "6H⁰"), =HYPERLINK("CSG0.html#group3A0", "3A⁰"), =HYPERLINK("CSG3.html#group36D3", "36D³"), =HYPERLINK("CSG1.html#group18A1", "18A¹"), =HYPERLINK("CSG0.html#group6D0", "6D⁰")</f>
        <v/>
      </c>
      <c r="N3698" t="inlineStr"/>
    </row>
    <row r="3699">
      <c r="A3699" t="inlineStr">
        <is>
          <t>36B¹⁴</t>
        </is>
      </c>
      <c r="B3699" t="inlineStr"/>
      <c r="C3699" t="inlineStr">
        <is>
          <t>216</t>
        </is>
      </c>
      <c r="D3699" t="inlineStr">
        <is>
          <t>1</t>
        </is>
      </c>
      <c r="E3699" t="inlineStr">
        <is>
          <t>54</t>
        </is>
      </c>
      <c r="F3699" t="inlineStr">
        <is>
          <t>8</t>
        </is>
      </c>
      <c r="G3699" t="inlineStr">
        <is>
          <t>0</t>
        </is>
      </c>
      <c r="H3699" t="inlineStr">
        <is>
          <t>36⁶</t>
        </is>
      </c>
      <c r="I3699" t="n">
        <v>6</v>
      </c>
      <c r="J3699" t="inlineStr">
        <is>
          <t>1², 2⁴, 4², 6², 12²</t>
        </is>
      </c>
      <c r="K3699">
        <f>HYPERLINK("CSG2.html#group12I2", "12I²"), =HYPERLINK("CSG4.html#group36L4", "36L⁴"), =HYPERLINK("CSG4.html#group36N4", "36N⁴"), =HYPERLINK("CSG6.html#group36C6", "36C⁶"), =HYPERLINK("CSG6.html#group36E6", "36E⁶"), =HYPERLINK("CSG6.html#group36F6", "36F⁶")</f>
        <v/>
      </c>
      <c r="L3699" t="inlineStr"/>
      <c r="M3699">
        <f>HYPERLINK("CSG2.html#group12I2", "12I²"), =HYPERLINK("CSG0.html#group12C0", "12C⁰"), =HYPERLINK("CSG0.html#group4C0", "4C⁰"), =HYPERLINK("CSG2.html#group36B2", "36B²"), =HYPERLINK("CSG1.html#group18B1", "18B¹"), =HYPERLINK("CSG1.html#group12M1", "12M¹"), =HYPERLINK("CSG0.html#group2B0", "2B⁰"), =HYPERLINK("CSG0.html#group1A0", "1A⁰"), =HYPERLINK("CSG6.html#group36F6", "36F⁶"), =HYPERLINK("CSG3.html#group18D3", "18D³"), =HYPERLINK("CSG1.html#group18E1", "18E¹"), =HYPERLINK("CSG0.html#group3A0", "3A⁰"), =HYPERLINK("CSG0.html#group6H0", "6H⁰"), =HYPERLINK("CSG3.html#group36D3", "36D³"), =HYPERLINK("CSG0.html#group6B0", "6B⁰"), =HYPERLINK("CSG6.html#group36E6", "36E⁶"), =HYPERLINK("CSG0.html#group12F0", "12F⁰"), =HYPERLINK("CSG1.html#group36A1", "36A¹"), =HYPERLINK("CSG4.html#group36N4", "36N⁴"), =HYPERLINK("CSG0.html#group12A0", "12A⁰"), =HYPERLINK("CSG0.html#group4A0", "4A⁰"), =HYPERLINK("CSG6.html#group36C6", "36C⁶"), =HYPERLINK("CSG0.html#group9A0", "9A⁰"), =HYPERLINK("CSG1.html#group12J1", "12J¹"), =HYPERLINK("CSG0.html#group12D0", "12D⁰"), =HYPERLINK("CSG0.html#group4F0", "4F⁰"), =HYPERLINK("CSG0.html#group12H0", "12H⁰"), =HYPERLINK("CSG1.html#group18A1", "18A¹"), =HYPERLINK("CSG0.html#group6D0", "6D⁰"), =HYPERLINK("CSG4.html#group36L4", "36L⁴")</f>
        <v/>
      </c>
      <c r="N3699" t="inlineStr"/>
    </row>
    <row r="3700">
      <c r="A3700" t="inlineStr">
        <is>
          <t>36C¹⁴</t>
        </is>
      </c>
      <c r="B3700" t="inlineStr"/>
      <c r="C3700" t="inlineStr">
        <is>
          <t>216</t>
        </is>
      </c>
      <c r="D3700" t="inlineStr">
        <is>
          <t>1</t>
        </is>
      </c>
      <c r="E3700" t="inlineStr">
        <is>
          <t>108</t>
        </is>
      </c>
      <c r="F3700" t="inlineStr">
        <is>
          <t>0</t>
        </is>
      </c>
      <c r="G3700" t="inlineStr">
        <is>
          <t>6</t>
        </is>
      </c>
      <c r="H3700" t="inlineStr">
        <is>
          <t>36⁶</t>
        </is>
      </c>
      <c r="I3700" t="n">
        <v>6</v>
      </c>
      <c r="J3700" t="inlineStr">
        <is>
          <t>6², 12⁸</t>
        </is>
      </c>
      <c r="K3700">
        <f>HYPERLINK("CSG0.html#group4D0", "4D⁰"), =HYPERLINK("CSG2.html#group18J2", "18J²"), =HYPERLINK("CSG6.html#group36G6", "36G⁶")</f>
        <v/>
      </c>
      <c r="L3700" t="inlineStr"/>
      <c r="M3700">
        <f>HYPERLINK("CSG0.html#group2A0", "2A⁰"), =HYPERLINK("CSG0.html#group4A0", "4A⁰"), =HYPERLINK("CSG0.html#group4D0", "4D⁰"), =HYPERLINK("CSG2.html#group18J2", "18J²"), =HYPERLINK("CSG0.html#group9F0", "9F⁰"), =HYPERLINK("CSG0.html#group1A0", "1A⁰"), =HYPERLINK("CSG6.html#group36G6", "36G⁶")</f>
        <v/>
      </c>
      <c r="N3700" t="inlineStr"/>
    </row>
    <row r="3701">
      <c r="A3701" t="inlineStr">
        <is>
          <t>40A¹⁴</t>
        </is>
      </c>
      <c r="B3701" t="inlineStr"/>
      <c r="C3701" t="inlineStr">
        <is>
          <t>240</t>
        </is>
      </c>
      <c r="D3701" t="inlineStr">
        <is>
          <t>1</t>
        </is>
      </c>
      <c r="E3701" t="inlineStr">
        <is>
          <t>40</t>
        </is>
      </c>
      <c r="F3701" t="inlineStr">
        <is>
          <t>0</t>
        </is>
      </c>
      <c r="G3701" t="inlineStr">
        <is>
          <t>12</t>
        </is>
      </c>
      <c r="H3701" t="inlineStr">
        <is>
          <t>40⁶</t>
        </is>
      </c>
      <c r="I3701" t="n">
        <v>6</v>
      </c>
      <c r="J3701" t="inlineStr">
        <is>
          <t>4², 8⁴</t>
        </is>
      </c>
      <c r="K3701">
        <f>HYPERLINK("CSG4.html#group40D4", "40D⁴"), =HYPERLINK("CSG6.html#group20A6", "20A⁶")</f>
        <v/>
      </c>
      <c r="L3701" t="inlineStr"/>
      <c r="M3701">
        <f>HYPERLINK("CSG0.html#group2A0", "2A⁰"), =HYPERLINK("CSG4.html#group40D4", "40D⁴"), =HYPERLINK("CSG0.html#group5A0", "5A⁰"), =HYPERLINK("CSG0.html#group10A0", "10A⁰"), =HYPERLINK("CSG2.html#group20D2", "20D²"), =HYPERLINK("CSG0.html#group4A0", "4A⁰"), =HYPERLINK("CSG0.html#group4D0", "4D⁰"), =HYPERLINK("CSG0.html#group10E0", "10E⁰"), =HYPERLINK("CSG0.html#group8A0", "8A⁰"), =HYPERLINK("CSG0.html#group8E0", "8E⁰"), =HYPERLINK("CSG1.html#group20A1", "20A¹"), =HYPERLINK("CSG0.html#group1A0", "1A⁰"), =HYPERLINK("CSG2.html#group40A2", "40A²"), =HYPERLINK("CSG6.html#group20A6", "20A⁶")</f>
        <v/>
      </c>
      <c r="N3701" t="inlineStr"/>
    </row>
    <row r="3702">
      <c r="A3702" t="inlineStr">
        <is>
          <t>40B¹⁴</t>
        </is>
      </c>
      <c r="B3702" t="inlineStr"/>
      <c r="C3702" t="inlineStr">
        <is>
          <t>240</t>
        </is>
      </c>
      <c r="D3702" t="inlineStr">
        <is>
          <t>1</t>
        </is>
      </c>
      <c r="E3702" t="inlineStr">
        <is>
          <t>120</t>
        </is>
      </c>
      <c r="F3702" t="inlineStr">
        <is>
          <t>0</t>
        </is>
      </c>
      <c r="G3702" t="inlineStr">
        <is>
          <t>12</t>
        </is>
      </c>
      <c r="H3702" t="inlineStr">
        <is>
          <t>40⁶</t>
        </is>
      </c>
      <c r="I3702" t="n">
        <v>6</v>
      </c>
      <c r="J3702" t="inlineStr">
        <is>
          <t>4², 8¹⁴</t>
        </is>
      </c>
      <c r="K3702">
        <f>HYPERLINK("CSG6.html#group20C6", "20C⁶")</f>
        <v/>
      </c>
      <c r="L3702" t="inlineStr"/>
      <c r="M3702">
        <f>HYPERLINK("CSG6.html#group20C6", "20C⁶"), =HYPERLINK("CSG0.html#group2A0", "2A⁰"), =HYPERLINK("CSG0.html#group5A0", "5A⁰"), =HYPERLINK("CSG0.html#group10A0", "10A⁰"), =HYPERLINK("CSG0.html#group1A0", "1A⁰"), =HYPERLINK("CSG0.html#group10E0", "10E⁰")</f>
        <v/>
      </c>
      <c r="N3702" t="inlineStr"/>
    </row>
    <row r="3703">
      <c r="A3703" t="inlineStr">
        <is>
          <t>42A¹⁴</t>
        </is>
      </c>
      <c r="B3703" t="inlineStr"/>
      <c r="C3703" t="inlineStr">
        <is>
          <t>252</t>
        </is>
      </c>
      <c r="D3703" t="inlineStr">
        <is>
          <t>1</t>
        </is>
      </c>
      <c r="E3703" t="inlineStr">
        <is>
          <t>63</t>
        </is>
      </c>
      <c r="F3703" t="inlineStr">
        <is>
          <t>20</t>
        </is>
      </c>
      <c r="G3703" t="inlineStr">
        <is>
          <t>0</t>
        </is>
      </c>
      <c r="H3703" t="inlineStr">
        <is>
          <t>42⁶</t>
        </is>
      </c>
      <c r="I3703" t="n">
        <v>6</v>
      </c>
      <c r="J3703" t="inlineStr">
        <is>
          <t>3¹, 6⁴, 12³</t>
        </is>
      </c>
      <c r="K3703">
        <f>HYPERLINK("CSG4.html#group42F4", "42F⁴"), =HYPERLINK("CSG5.html#group42H5", "42H⁵"), =HYPERLINK("CSG6.html#group21C6", "21C⁶")</f>
        <v/>
      </c>
      <c r="L3703" t="inlineStr"/>
      <c r="M3703">
        <f>HYPERLINK("CSG2.html#group21D2", "21D²"), =HYPERLINK("CSG0.html#group6B0", "6B⁰"), =HYPERLINK("CSG6.html#group21C6", "21C⁶"), =HYPERLINK("CSG4.html#group42F4", "42F⁴"), =HYPERLINK("CSG0.html#group7D0", "7D⁰"), =HYPERLINK("CSG0.html#group6E0", "6E⁰"), =HYPERLINK("CSG1.html#group21E1", "21E¹"), =HYPERLINK("CSG5.html#group42H5", "42H⁵"), =HYPERLINK("CSG0.html#group21A0", "21A⁰"), =HYPERLINK("CSG0.html#group3C0", "3C⁰"), =HYPERLINK("CSG1.html#group42B1", "42B¹"), =HYPERLINK("CSG0.html#group3A0", "3A⁰"), =HYPERLINK("CSG0.html#group1A0", "1A⁰"), =HYPERLINK("CSG0.html#group7A0", "7A⁰")</f>
        <v/>
      </c>
      <c r="N3703" t="inlineStr"/>
    </row>
    <row r="3704">
      <c r="A3704" t="inlineStr">
        <is>
          <t>42B¹⁴</t>
        </is>
      </c>
      <c r="B3704" t="inlineStr"/>
      <c r="C3704" t="inlineStr">
        <is>
          <t>252</t>
        </is>
      </c>
      <c r="D3704" t="inlineStr">
        <is>
          <t>1</t>
        </is>
      </c>
      <c r="E3704" t="inlineStr">
        <is>
          <t>63</t>
        </is>
      </c>
      <c r="F3704" t="inlineStr">
        <is>
          <t>20</t>
        </is>
      </c>
      <c r="G3704" t="inlineStr">
        <is>
          <t>0</t>
        </is>
      </c>
      <c r="H3704" t="inlineStr">
        <is>
          <t>42⁶</t>
        </is>
      </c>
      <c r="I3704" t="n">
        <v>6</v>
      </c>
      <c r="J3704" t="inlineStr">
        <is>
          <t>6¹, 12¹⁰</t>
        </is>
      </c>
      <c r="K3704">
        <f>HYPERLINK("CSG4.html#group21D4", "21D⁴"), =HYPERLINK("CSG6.html#group42D6", "42D⁶")</f>
        <v/>
      </c>
      <c r="L3704" t="inlineStr"/>
      <c r="M3704">
        <f>HYPERLINK("CSG4.html#group21D4", "21D⁴"), =HYPERLINK("CSG2.html#group42A2", "42A²"), =HYPERLINK("CSG0.html#group7D0", "7D⁰"), =HYPERLINK("CSG1.html#group21E1", "21E¹"), =HYPERLINK("CSG0.html#group21A0", "21A⁰"), =HYPERLINK("CSG6.html#group42D6", "42D⁶"), =HYPERLINK("CSG0.html#group3A0", "3A⁰"), =HYPERLINK("CSG0.html#group1A0", "1A⁰"), =HYPERLINK("CSG0.html#group7A0", "7A⁰")</f>
        <v/>
      </c>
      <c r="N3704" t="inlineStr"/>
    </row>
    <row r="3705">
      <c r="A3705" t="inlineStr">
        <is>
          <t>42C¹⁴</t>
        </is>
      </c>
      <c r="B3705" t="inlineStr"/>
      <c r="C3705" t="inlineStr">
        <is>
          <t>252</t>
        </is>
      </c>
      <c r="D3705" t="inlineStr">
        <is>
          <t>1</t>
        </is>
      </c>
      <c r="E3705" t="inlineStr">
        <is>
          <t>63</t>
        </is>
      </c>
      <c r="F3705" t="inlineStr">
        <is>
          <t>20</t>
        </is>
      </c>
      <c r="G3705" t="inlineStr">
        <is>
          <t>0</t>
        </is>
      </c>
      <c r="H3705" t="inlineStr">
        <is>
          <t>42⁶</t>
        </is>
      </c>
      <c r="I3705" t="n">
        <v>6</v>
      </c>
      <c r="J3705" t="inlineStr">
        <is>
          <t>6¹, 12¹⁰</t>
        </is>
      </c>
      <c r="K3705">
        <f>HYPERLINK("CSG4.html#group21D4", "21D⁴"), =HYPERLINK("CSG6.html#group42D6", "42D⁶")</f>
        <v/>
      </c>
      <c r="L3705" t="inlineStr"/>
      <c r="M3705">
        <f>HYPERLINK("CSG4.html#group21D4", "21D⁴"), =HYPERLINK("CSG2.html#group42A2", "42A²"), =HYPERLINK("CSG0.html#group7D0", "7D⁰"), =HYPERLINK("CSG1.html#group21E1", "21E¹"), =HYPERLINK("CSG0.html#group21A0", "21A⁰"), =HYPERLINK("CSG6.html#group42D6", "42D⁶"), =HYPERLINK("CSG0.html#group3A0", "3A⁰"), =HYPERLINK("CSG0.html#group1A0", "1A⁰"), =HYPERLINK("CSG0.html#group7A0", "7A⁰")</f>
        <v/>
      </c>
      <c r="N3705" t="inlineStr"/>
    </row>
    <row r="3706">
      <c r="A3706" t="inlineStr">
        <is>
          <t>42D¹⁴</t>
        </is>
      </c>
      <c r="B3706" t="inlineStr"/>
      <c r="C3706" t="inlineStr">
        <is>
          <t>252</t>
        </is>
      </c>
      <c r="D3706" t="inlineStr">
        <is>
          <t>2</t>
        </is>
      </c>
      <c r="E3706" t="inlineStr">
        <is>
          <t>63</t>
        </is>
      </c>
      <c r="F3706" t="inlineStr">
        <is>
          <t>20</t>
        </is>
      </c>
      <c r="G3706" t="inlineStr">
        <is>
          <t>0</t>
        </is>
      </c>
      <c r="H3706" t="inlineStr">
        <is>
          <t>42⁶</t>
        </is>
      </c>
      <c r="I3706" t="n">
        <v>6</v>
      </c>
      <c r="J3706" t="inlineStr">
        <is>
          <t>6³, 12⁹</t>
        </is>
      </c>
      <c r="K3706">
        <f>HYPERLINK("CSG4.html#group21D4", "21D⁴"), =HYPERLINK("CSG5.html#group42H5", "42H⁵"), =HYPERLINK("CSG7.html#group42G7", "42G⁷")</f>
        <v/>
      </c>
      <c r="L3706" t="inlineStr"/>
      <c r="M3706">
        <f>HYPERLINK("CSG4.html#group21D4", "21D⁴"), =HYPERLINK("CSG0.html#group6B0", "6B⁰"), =HYPERLINK("CSG0.html#group7D0", "7D⁰"), =HYPERLINK("CSG1.html#group21E1", "21E¹"), =HYPERLINK("CSG5.html#group42H5", "42H⁵"), =HYPERLINK("CSG7.html#group42G7", "42G⁷"), =HYPERLINK("CSG0.html#group21A0", "21A⁰"), =HYPERLINK("CSG1.html#group42B1", "42B¹"), =HYPERLINK("CSG0.html#group3A0", "3A⁰"), =HYPERLINK("CSG0.html#group1A0", "1A⁰"), =HYPERLINK("CSG0.html#group7A0", "7A⁰")</f>
        <v/>
      </c>
      <c r="N3706" t="inlineStr"/>
    </row>
    <row r="3707">
      <c r="A3707" t="inlineStr">
        <is>
          <t>42E¹⁴</t>
        </is>
      </c>
      <c r="B3707" t="inlineStr"/>
      <c r="C3707" t="inlineStr">
        <is>
          <t>252</t>
        </is>
      </c>
      <c r="D3707" t="inlineStr">
        <is>
          <t>2</t>
        </is>
      </c>
      <c r="E3707" t="inlineStr">
        <is>
          <t>63</t>
        </is>
      </c>
      <c r="F3707" t="inlineStr">
        <is>
          <t>20</t>
        </is>
      </c>
      <c r="G3707" t="inlineStr">
        <is>
          <t>0</t>
        </is>
      </c>
      <c r="H3707" t="inlineStr">
        <is>
          <t>42⁶</t>
        </is>
      </c>
      <c r="I3707" t="n">
        <v>6</v>
      </c>
      <c r="J3707" t="inlineStr">
        <is>
          <t>12²¹</t>
        </is>
      </c>
      <c r="K3707">
        <f>HYPERLINK("CSG4.html#group42G4", "42G⁴"), =HYPERLINK("CSG5.html#group21D5", "21D⁵"), =HYPERLINK("CSG5.html#group42H5", "42H⁵"), =HYPERLINK("CSG6.html#group42D6", "42D⁶")</f>
        <v/>
      </c>
      <c r="L3707" t="inlineStr"/>
      <c r="M3707">
        <f>HYPERLINK("CSG5.html#group21D5", "21D⁵"), =HYPERLINK("CSG0.html#group6B0", "6B⁰"), =HYPERLINK("CSG2.html#group42A2", "42A²"), =HYPERLINK("CSG0.html#group7D0", "7D⁰"), =HYPERLINK("CSG1.html#group21E1", "21E¹"), =HYPERLINK("CSG4.html#group42G4", "42G⁴"), =HYPERLINK("CSG1.html#group21D1", "21D¹"), =HYPERLINK("CSG5.html#group42H5", "42H⁵"), =HYPERLINK("CSG0.html#group21A0", "21A⁰"), =HYPERLINK("CSG6.html#group42D6", "42D⁶"), =HYPERLINK("CSG1.html#group42B1", "42B¹"), =HYPERLINK("CSG0.html#group3A0", "3A⁰"), =HYPERLINK("CSG0.html#group1A0", "1A⁰"), =HYPERLINK("CSG0.html#group7A0", "7A⁰")</f>
        <v/>
      </c>
      <c r="N3707" t="inlineStr"/>
    </row>
    <row r="3708">
      <c r="A3708" t="inlineStr">
        <is>
          <t>42F¹⁴</t>
        </is>
      </c>
      <c r="B3708" t="inlineStr"/>
      <c r="C3708" t="inlineStr">
        <is>
          <t>252</t>
        </is>
      </c>
      <c r="D3708" t="inlineStr">
        <is>
          <t>2</t>
        </is>
      </c>
      <c r="E3708" t="inlineStr">
        <is>
          <t>63</t>
        </is>
      </c>
      <c r="F3708" t="inlineStr">
        <is>
          <t>20</t>
        </is>
      </c>
      <c r="G3708" t="inlineStr">
        <is>
          <t>0</t>
        </is>
      </c>
      <c r="H3708" t="inlineStr">
        <is>
          <t>42⁶</t>
        </is>
      </c>
      <c r="I3708" t="n">
        <v>6</v>
      </c>
      <c r="J3708" t="inlineStr">
        <is>
          <t>12²¹</t>
        </is>
      </c>
      <c r="K3708">
        <f>HYPERLINK("CSG4.html#group42H4", "42H⁴"), =HYPERLINK("CSG5.html#group21D5", "21D⁵"), =HYPERLINK("CSG5.html#group42H5", "42H⁵"), =HYPERLINK("CSG6.html#group42D6", "42D⁶")</f>
        <v/>
      </c>
      <c r="L3708" t="inlineStr"/>
      <c r="M3708">
        <f>HYPERLINK("CSG5.html#group21D5", "21D⁵"), =HYPERLINK("CSG0.html#group6B0", "6B⁰"), =HYPERLINK("CSG2.html#group42A2", "42A²"), =HYPERLINK("CSG0.html#group7D0", "7D⁰"), =HYPERLINK("CSG4.html#group42H4", "42H⁴"), =HYPERLINK("CSG1.html#group21E1", "21E¹"), =HYPERLINK("CSG1.html#group21D1", "21D¹"), =HYPERLINK("CSG5.html#group42H5", "42H⁵"), =HYPERLINK("CSG0.html#group21A0", "21A⁰"), =HYPERLINK("CSG6.html#group42D6", "42D⁶"), =HYPERLINK("CSG1.html#group42B1", "42B¹"), =HYPERLINK("CSG0.html#group3A0", "3A⁰"), =HYPERLINK("CSG0.html#group1A0", "1A⁰"), =HYPERLINK("CSG0.html#group7A0", "7A⁰")</f>
        <v/>
      </c>
      <c r="N3708" t="inlineStr"/>
    </row>
    <row r="3709">
      <c r="A3709" t="inlineStr">
        <is>
          <t>44A¹⁴</t>
        </is>
      </c>
      <c r="B3709" t="inlineStr"/>
      <c r="C3709" t="inlineStr">
        <is>
          <t>220</t>
        </is>
      </c>
      <c r="D3709" t="inlineStr">
        <is>
          <t>1</t>
        </is>
      </c>
      <c r="E3709" t="inlineStr">
        <is>
          <t>220</t>
        </is>
      </c>
      <c r="F3709" t="inlineStr">
        <is>
          <t>6</t>
        </is>
      </c>
      <c r="G3709" t="inlineStr">
        <is>
          <t>4</t>
        </is>
      </c>
      <c r="H3709" t="inlineStr">
        <is>
          <t>44⁵</t>
        </is>
      </c>
      <c r="I3709" t="n">
        <v>5</v>
      </c>
      <c r="J3709" t="inlineStr">
        <is>
          <t>10², 20¹⁰</t>
        </is>
      </c>
      <c r="K3709">
        <f>HYPERLINK("CSG1.html#group11B1", "11B¹"), =HYPERLINK("CSG2.html#group44A2", "44A²")</f>
        <v/>
      </c>
      <c r="L3709" t="inlineStr"/>
      <c r="M3709">
        <f>HYPERLINK("CSG0.html#group11A0", "11A⁰"), =HYPERLINK("CSG1.html#group11B1", "11B¹"), =HYPERLINK("CSG2.html#group44A2", "44A²"), =HYPERLINK("CSG0.html#group1A0", "1A⁰"), =HYPERLINK("CSG0.html#group4A0", "4A⁰")</f>
        <v/>
      </c>
      <c r="N3709" t="inlineStr"/>
    </row>
    <row r="3710">
      <c r="A3710" t="inlineStr">
        <is>
          <t>45A¹⁴</t>
        </is>
      </c>
      <c r="B3710" t="inlineStr"/>
      <c r="C3710" t="inlineStr">
        <is>
          <t>180</t>
        </is>
      </c>
      <c r="D3710" t="inlineStr">
        <is>
          <t>1</t>
        </is>
      </c>
      <c r="E3710" t="inlineStr">
        <is>
          <t>15</t>
        </is>
      </c>
      <c r="F3710" t="inlineStr">
        <is>
          <t>0</t>
        </is>
      </c>
      <c r="G3710" t="inlineStr">
        <is>
          <t>0</t>
        </is>
      </c>
      <c r="H3710" t="inlineStr">
        <is>
          <t>45⁴</t>
        </is>
      </c>
      <c r="I3710" t="n">
        <v>4</v>
      </c>
      <c r="J3710" t="inlineStr">
        <is>
          <t>1¹, 2¹, 4¹, 8¹</t>
        </is>
      </c>
      <c r="K3710">
        <f>HYPERLINK("CSG2.html#group9A2", "9A²"), =HYPERLINK("CSG4.html#group15A4", "15A⁴"), =HYPERLINK("CSG6.html#group45A6", "45A⁶"), =HYPERLINK("CSG7.html#group45A7", "45A⁷")</f>
        <v/>
      </c>
      <c r="L3710" t="inlineStr"/>
      <c r="M3710">
        <f>HYPERLINK("CSG0.html#group3B0", "3B⁰"), =HYPERLINK("CSG0.html#group5A0", "5A⁰"), =HYPERLINK("CSG4.html#group15A4", "15A⁴"), =HYPERLINK("CSG6.html#group45A6", "45A⁶"), =HYPERLINK("CSG7.html#group45A7", "45A⁷"), =HYPERLINK("CSG0.html#group1A0", "1A⁰"), =HYPERLINK("CSG1.html#group9B1", "9B¹"), =HYPERLINK("CSG0.html#group9D0", "9D⁰"), =HYPERLINK("CSG2.html#group9A2", "9A²"), =HYPERLINK("CSG2.html#group15A2", "15A²"), =HYPERLINK("CSG0.html#group9A0", "9A⁰"), =HYPERLINK("CSG1.html#group15B1", "15B¹"), =HYPERLINK("CSG0.html#group3C0", "3C⁰"), =HYPERLINK("CSG0.html#group3A0", "3A⁰"), =HYPERLINK("CSG0.html#group3D0", "3D⁰"), =HYPERLINK("CSG1.html#group15A1", "15A¹"), =HYPERLINK("CSG3.html#group45A3", "45A³")</f>
        <v/>
      </c>
      <c r="N3710" t="inlineStr"/>
    </row>
    <row r="3711">
      <c r="A3711" t="inlineStr">
        <is>
          <t>45B¹⁴</t>
        </is>
      </c>
      <c r="B3711" t="inlineStr"/>
      <c r="C3711" t="inlineStr">
        <is>
          <t>180</t>
        </is>
      </c>
      <c r="D3711" t="inlineStr">
        <is>
          <t>1</t>
        </is>
      </c>
      <c r="E3711" t="inlineStr">
        <is>
          <t>30</t>
        </is>
      </c>
      <c r="F3711" t="inlineStr">
        <is>
          <t>0</t>
        </is>
      </c>
      <c r="G3711" t="inlineStr">
        <is>
          <t>0</t>
        </is>
      </c>
      <c r="H3711" t="inlineStr">
        <is>
          <t>45⁴</t>
        </is>
      </c>
      <c r="I3711" t="n">
        <v>4</v>
      </c>
      <c r="J3711" t="inlineStr">
        <is>
          <t>2¹, 4¹, 8³</t>
        </is>
      </c>
      <c r="K3711">
        <f>HYPERLINK("CSG4.html#group15A4", "15A⁴"), =HYPERLINK("CSG6.html#group45B6", "45B⁶")</f>
        <v/>
      </c>
      <c r="L3711" t="inlineStr"/>
      <c r="M3711">
        <f>HYPERLINK("CSG6.html#group45B6", "45B⁶"), =HYPERLINK("CSG0.html#group3B0", "3B⁰"), =HYPERLINK("CSG0.html#group5A0", "5A⁰"), =HYPERLINK("CSG4.html#group15A4", "15A⁴"), =HYPERLINK("CSG2.html#group15A2", "15A²"), =HYPERLINK("CSG1.html#group15B1", "15B¹"), =HYPERLINK("CSG0.html#group3C0", "3C⁰"), =HYPERLINK("CSG0.html#group3A0", "3A⁰"), =HYPERLINK("CSG0.html#group1A0", "1A⁰"), =HYPERLINK("CSG1.html#group15A1", "15A¹"), =HYPERLINK("CSG0.html#group3D0", "3D⁰")</f>
        <v/>
      </c>
      <c r="N3711" t="inlineStr"/>
    </row>
    <row r="3712">
      <c r="A3712" t="inlineStr">
        <is>
          <t>45C¹⁴</t>
        </is>
      </c>
      <c r="B3712" t="inlineStr"/>
      <c r="C3712" t="inlineStr">
        <is>
          <t>180</t>
        </is>
      </c>
      <c r="D3712" t="inlineStr">
        <is>
          <t>1</t>
        </is>
      </c>
      <c r="E3712" t="inlineStr">
        <is>
          <t>90</t>
        </is>
      </c>
      <c r="F3712" t="inlineStr">
        <is>
          <t>0</t>
        </is>
      </c>
      <c r="G3712" t="inlineStr">
        <is>
          <t>0</t>
        </is>
      </c>
      <c r="H3712" t="inlineStr">
        <is>
          <t>45⁴</t>
        </is>
      </c>
      <c r="I3712" t="n">
        <v>4</v>
      </c>
      <c r="J3712" t="inlineStr">
        <is>
          <t>2¹, 4³, 8², 12¹, 24²</t>
        </is>
      </c>
      <c r="K3712">
        <f>HYPERLINK("CSG3.html#group45A3", "45A³"), =HYPERLINK("CSG4.html#group15B4", "15B⁴"), =HYPERLINK("CSG5.html#group45E5", "45E⁵")</f>
        <v/>
      </c>
      <c r="L3712" t="inlineStr"/>
      <c r="M3712">
        <f>HYPERLINK("CSG1.html#group15D1", "15D¹"), =HYPERLINK("CSG0.html#group5A0", "5A⁰"), =HYPERLINK("CSG5.html#group45E5", "45E⁵"), =HYPERLINK("CSG0.html#group9A0", "9A⁰"), =HYPERLINK("CSG4.html#group15B4", "15B⁴"), =HYPERLINK("CSG0.html#group5C0", "5C⁰"), =HYPERLINK("CSG0.html#group5F0", "5F⁰"), =HYPERLINK("CSG0.html#group3A0", "3A⁰"), =HYPERLINK("CSG0.html#group1A0", "1A⁰"), =HYPERLINK("CSG1.html#group15A1", "15A¹"), =HYPERLINK("CSG3.html#group45A3", "45A³")</f>
        <v/>
      </c>
      <c r="N3712" t="inlineStr"/>
    </row>
    <row r="3713">
      <c r="A3713" t="inlineStr">
        <is>
          <t>48A¹⁴</t>
        </is>
      </c>
      <c r="B3713" t="inlineStr"/>
      <c r="C3713" t="inlineStr">
        <is>
          <t>192</t>
        </is>
      </c>
      <c r="D3713" t="inlineStr">
        <is>
          <t>2</t>
        </is>
      </c>
      <c r="E3713" t="inlineStr">
        <is>
          <t>96</t>
        </is>
      </c>
      <c r="F3713" t="inlineStr">
        <is>
          <t>0</t>
        </is>
      </c>
      <c r="G3713" t="inlineStr">
        <is>
          <t>0</t>
        </is>
      </c>
      <c r="H3713" t="inlineStr">
        <is>
          <t>16³, 48³</t>
        </is>
      </c>
      <c r="I3713" t="n">
        <v>6</v>
      </c>
      <c r="J3713" t="inlineStr">
        <is>
          <t>8¹², 16⁶</t>
        </is>
      </c>
      <c r="K3713">
        <f>HYPERLINK("CSG3.html#group16G3", "16G³"), =HYPERLINK("CSG4.html#group48A4", "48A⁴"), =HYPERLINK("CSG6.html#group24B6", "24B⁶")</f>
        <v/>
      </c>
      <c r="L3713" t="inlineStr"/>
      <c r="M3713">
        <f>HYPERLINK("CSG0.html#group3B0", "3B⁰"), =HYPERLINK("CSG0.html#group16A0", "16A⁰"), =HYPERLINK("CSG2.html#group24A2", "24A²"), =HYPERLINK("CSG1.html#group12F1", "12F¹"), =HYPERLINK("CSG0.html#group4C0", "4C⁰"), =HYPERLINK("CSG0.html#group8A0", "8A⁰"), =HYPERLINK("CSG3.html#group16G3", "16G³"), =HYPERLINK("CSG0.html#group2B0", "2B⁰"), =HYPERLINK("CSG0.html#group1A0", "1A⁰"), =HYPERLINK("CSG1.html#group8D1", "8D¹"), =HYPERLINK("CSG0.html#group4A0", "4A⁰"), =HYPERLINK("CSG1.html#group12A1", "12A¹"), =HYPERLINK("CSG2.html#group12G2", "12G²"), =HYPERLINK("CSG6.html#group24B6", "24B⁶"), =HYPERLINK("CSG4.html#group48A4", "48A⁴"), =HYPERLINK("CSG0.html#group4F0", "4F⁰"), =HYPERLINK("CSG0.html#group6F0", "6F⁰")</f>
        <v/>
      </c>
      <c r="N3713" t="inlineStr"/>
    </row>
    <row r="3714">
      <c r="A3714" t="inlineStr">
        <is>
          <t>50A¹⁴</t>
        </is>
      </c>
      <c r="B3714" t="inlineStr"/>
      <c r="C3714" t="inlineStr">
        <is>
          <t>300</t>
        </is>
      </c>
      <c r="D3714" t="inlineStr">
        <is>
          <t>1</t>
        </is>
      </c>
      <c r="E3714" t="inlineStr">
        <is>
          <t>15</t>
        </is>
      </c>
      <c r="F3714" t="inlineStr">
        <is>
          <t>20</t>
        </is>
      </c>
      <c r="G3714" t="inlineStr">
        <is>
          <t>0</t>
        </is>
      </c>
      <c r="H3714" t="inlineStr">
        <is>
          <t>10¹⁰, 50⁴</t>
        </is>
      </c>
      <c r="I3714" t="n">
        <v>14</v>
      </c>
      <c r="J3714" t="inlineStr">
        <is>
          <t>1¹, 2¹, 4³</t>
        </is>
      </c>
      <c r="K3714">
        <f>HYPERLINK("CSG2.html#group10C2", "10C²"), =HYPERLINK("CSG4.html#group25F4", "25F⁴"), =HYPERLINK("CSG7.html#group50A7", "50A⁷"), =HYPERLINK("CSG7.html#group50B7", "50B⁷")</f>
        <v/>
      </c>
      <c r="L3714" t="inlineStr"/>
      <c r="M3714">
        <f>HYPERLINK("CSG2.html#group25F2", "25F²"), =HYPERLINK("CSG4.html#group25F4", "25F⁴"), =HYPERLINK("CSG7.html#group50B7", "50B⁷"), =HYPERLINK("CSG0.html#group5A0", "5A⁰"), =HYPERLINK("CSG0.html#group10D0", "10D⁰"), =HYPERLINK("CSG2.html#group10C2", "10C²"), =HYPERLINK("CSG0.html#group5B0", "5B⁰"), =HYPERLINK("CSG0.html#group5E0", "5E⁰"), =HYPERLINK("CSG0.html#group1A0", "1A⁰"), =HYPERLINK("CSG1.html#group10E1", "10E¹"), =HYPERLINK("CSG0.html#group5C0", "5C⁰"), =HYPERLINK("CSG7.html#group50A7", "50A⁷"), =HYPERLINK("CSG0.html#group5G0", "5G⁰"), =HYPERLINK("CSG0.html#group10B0", "10B⁰")</f>
        <v/>
      </c>
      <c r="N3714" t="inlineStr"/>
    </row>
    <row r="3715">
      <c r="A3715" t="inlineStr">
        <is>
          <t>50B¹⁴</t>
        </is>
      </c>
      <c r="B3715" t="inlineStr"/>
      <c r="C3715" t="inlineStr">
        <is>
          <t>300</t>
        </is>
      </c>
      <c r="D3715" t="inlineStr">
        <is>
          <t>1</t>
        </is>
      </c>
      <c r="E3715" t="inlineStr">
        <is>
          <t>30</t>
        </is>
      </c>
      <c r="F3715" t="inlineStr">
        <is>
          <t>20</t>
        </is>
      </c>
      <c r="G3715" t="inlineStr">
        <is>
          <t>0</t>
        </is>
      </c>
      <c r="H3715" t="inlineStr">
        <is>
          <t>2⁵, 10⁴, 50⁵</t>
        </is>
      </c>
      <c r="I3715" t="n">
        <v>14</v>
      </c>
      <c r="J3715" t="inlineStr">
        <is>
          <t>1², 4², 20¹</t>
        </is>
      </c>
      <c r="K3715">
        <f>HYPERLINK("CSG2.html#group50A2", "50A²"), =HYPERLINK("CSG4.html#group25G4", "25G⁴")</f>
        <v/>
      </c>
      <c r="L3715" t="inlineStr"/>
      <c r="M3715">
        <f>HYPERLINK("CSG0.html#group25A0", "25A⁰"), =HYPERLINK("CSG0.html#group5B0", "5B⁰"), =HYPERLINK("CSG0.html#group10B0", "10B⁰"), =HYPERLINK("CSG0.html#group1A0", "1A⁰"), =HYPERLINK("CSG2.html#group50A2", "50A²"), =HYPERLINK("CSG4.html#group25G4", "25G⁴")</f>
        <v/>
      </c>
      <c r="N3715" t="inlineStr"/>
    </row>
    <row r="3716">
      <c r="A3716" t="inlineStr">
        <is>
          <t>54A¹⁴</t>
        </is>
      </c>
      <c r="B3716" t="inlineStr"/>
      <c r="C3716" t="inlineStr">
        <is>
          <t>216</t>
        </is>
      </c>
      <c r="D3716" t="inlineStr">
        <is>
          <t>1</t>
        </is>
      </c>
      <c r="E3716" t="inlineStr">
        <is>
          <t>36</t>
        </is>
      </c>
      <c r="F3716" t="inlineStr">
        <is>
          <t>0</t>
        </is>
      </c>
      <c r="G3716" t="inlineStr">
        <is>
          <t>6</t>
        </is>
      </c>
      <c r="H3716" t="inlineStr">
        <is>
          <t>18³, 54³</t>
        </is>
      </c>
      <c r="I3716" t="n">
        <v>6</v>
      </c>
      <c r="J3716" t="inlineStr">
        <is>
          <t>3², 6⁵</t>
        </is>
      </c>
      <c r="K3716">
        <f>HYPERLINK("CSG2.html#group18N2", "18N²"), =HYPERLINK("CSG6.html#group27A6", "27A⁶")</f>
        <v/>
      </c>
      <c r="L3716" t="inlineStr"/>
      <c r="M3716">
        <f>HYPERLINK("CSG0.html#group3B0", "3B⁰"), =HYPERLINK("CSG0.html#group2A0", "2A⁰"), =HYPERLINK("CSG0.html#group9J0", "9J⁰"), =HYPERLINK("CSG6.html#group27A6", "27A⁶"), =HYPERLINK("CSG0.html#group18B0", "18B⁰"), =HYPERLINK("CSG2.html#group18N2", "18N²"), =HYPERLINK("CSG0.html#group6C0", "6C⁰"), =HYPERLINK("CSG0.html#group9C0", "9C⁰"), =HYPERLINK("CSG0.html#group1A0", "1A⁰")</f>
        <v/>
      </c>
      <c r="N3716" t="inlineStr"/>
    </row>
    <row r="3717">
      <c r="A3717" t="inlineStr">
        <is>
          <t>54B¹⁴</t>
        </is>
      </c>
      <c r="B3717" t="inlineStr"/>
      <c r="C3717" t="inlineStr">
        <is>
          <t>216</t>
        </is>
      </c>
      <c r="D3717" t="inlineStr">
        <is>
          <t>1</t>
        </is>
      </c>
      <c r="E3717" t="inlineStr">
        <is>
          <t>72</t>
        </is>
      </c>
      <c r="F3717" t="inlineStr">
        <is>
          <t>0</t>
        </is>
      </c>
      <c r="G3717" t="inlineStr">
        <is>
          <t>6</t>
        </is>
      </c>
      <c r="H3717" t="inlineStr">
        <is>
          <t>18³, 54³</t>
        </is>
      </c>
      <c r="I3717" t="n">
        <v>6</v>
      </c>
      <c r="J3717" t="inlineStr">
        <is>
          <t>6¹²</t>
        </is>
      </c>
      <c r="K3717">
        <f>HYPERLINK("CSG2.html#group18N2", "18N²")</f>
        <v/>
      </c>
      <c r="L3717" t="inlineStr"/>
      <c r="M3717">
        <f>HYPERLINK("CSG0.html#group3B0", "3B⁰"), =HYPERLINK("CSG0.html#group2A0", "2A⁰"), =HYPERLINK("CSG0.html#group9J0", "9J⁰"), =HYPERLINK("CSG0.html#group18B0", "18B⁰"), =HYPERLINK("CSG2.html#group18N2", "18N²"), =HYPERLINK("CSG0.html#group6C0", "6C⁰"), =HYPERLINK("CSG0.html#group9C0", "9C⁰"), =HYPERLINK("CSG0.html#group1A0", "1A⁰")</f>
        <v/>
      </c>
      <c r="N3717" t="inlineStr"/>
    </row>
    <row r="3718">
      <c r="A3718" t="inlineStr">
        <is>
          <t>56A¹⁴</t>
        </is>
      </c>
      <c r="B3718" t="inlineStr"/>
      <c r="C3718" t="inlineStr">
        <is>
          <t>192</t>
        </is>
      </c>
      <c r="D3718" t="inlineStr">
        <is>
          <t>1</t>
        </is>
      </c>
      <c r="E3718" t="inlineStr">
        <is>
          <t>96</t>
        </is>
      </c>
      <c r="F3718" t="inlineStr">
        <is>
          <t>0</t>
        </is>
      </c>
      <c r="G3718" t="inlineStr">
        <is>
          <t>0</t>
        </is>
      </c>
      <c r="H3718" t="inlineStr">
        <is>
          <t>8³, 56³</t>
        </is>
      </c>
      <c r="I3718" t="n">
        <v>6</v>
      </c>
      <c r="J3718" t="inlineStr">
        <is>
          <t>2⁴, 4⁴, 12², 24²</t>
        </is>
      </c>
      <c r="K3718">
        <f>HYPERLINK("CSG1.html#group8D1", "8D¹"), =HYPERLINK("CSG4.html#group56A4", "56A⁴"), =HYPERLINK("CSG6.html#group28G6", "28G⁶")</f>
        <v/>
      </c>
      <c r="L3718" t="inlineStr"/>
      <c r="M3718">
        <f>HYPERLINK("CSG4.html#group56A4", "56A⁴"), =HYPERLINK("CSG0.html#group7B0", "7B⁰"), =HYPERLINK("CSG0.html#group4A0", "4A⁰"), =HYPERLINK("CSG0.html#group4C0", "4C⁰"), =HYPERLINK("CSG1.html#group14C1", "14C¹"), =HYPERLINK("CSG0.html#group8A0", "8A⁰"), =HYPERLINK("CSG0.html#group2B0", "2B⁰"), =HYPERLINK("CSG0.html#group4F0", "4F⁰"), =HYPERLINK("CSG6.html#group28G6", "28G⁶"), =HYPERLINK("CSG3.html#group28C3", "28C³"), =HYPERLINK("CSG0.html#group1A0", "1A⁰"), =HYPERLINK("CSG1.html#group8D1", "8D¹"), =HYPERLINK("CSG2.html#group28A2", "28A²")</f>
        <v/>
      </c>
      <c r="N3718" t="inlineStr"/>
    </row>
    <row r="3719">
      <c r="A3719" t="inlineStr">
        <is>
          <t>56B¹⁴</t>
        </is>
      </c>
      <c r="B3719" t="inlineStr"/>
      <c r="C3719" t="inlineStr">
        <is>
          <t>192</t>
        </is>
      </c>
      <c r="D3719" t="inlineStr">
        <is>
          <t>2</t>
        </is>
      </c>
      <c r="E3719" t="inlineStr">
        <is>
          <t>32</t>
        </is>
      </c>
      <c r="F3719" t="inlineStr">
        <is>
          <t>0</t>
        </is>
      </c>
      <c r="G3719" t="inlineStr">
        <is>
          <t>0</t>
        </is>
      </c>
      <c r="H3719" t="inlineStr">
        <is>
          <t>8³, 56³</t>
        </is>
      </c>
      <c r="I3719" t="n">
        <v>6</v>
      </c>
      <c r="J3719" t="inlineStr">
        <is>
          <t>4⁴, 24²</t>
        </is>
      </c>
      <c r="K3719">
        <f>HYPERLINK("CSG4.html#group56A4", "56A⁴"), =HYPERLINK("CSG6.html#group28F6", "28F⁶")</f>
        <v/>
      </c>
      <c r="L3719" t="inlineStr"/>
      <c r="M3719">
        <f>HYPERLINK("CSG4.html#group56A4", "56A⁴"), =HYPERLINK("CSG6.html#group28F6", "28F⁶"), =HYPERLINK("CSG0.html#group4A0", "4A⁰"), =HYPERLINK("CSG0.html#group7B0", "7B⁰"), =HYPERLINK("CSG0.html#group8A0", "8A⁰"), =HYPERLINK("CSG0.html#group7E0", "7E⁰"), =HYPERLINK("CSG0.html#group1A0", "1A⁰"), =HYPERLINK("CSG2.html#group28A2", "28A²")</f>
        <v/>
      </c>
      <c r="N3719" t="inlineStr"/>
    </row>
    <row r="3720">
      <c r="A3720" t="inlineStr">
        <is>
          <t>56C¹⁴</t>
        </is>
      </c>
      <c r="B3720" t="inlineStr"/>
      <c r="C3720" t="inlineStr">
        <is>
          <t>224</t>
        </is>
      </c>
      <c r="D3720" t="inlineStr">
        <is>
          <t>2</t>
        </is>
      </c>
      <c r="E3720" t="inlineStr">
        <is>
          <t>112</t>
        </is>
      </c>
      <c r="F3720" t="inlineStr">
        <is>
          <t>12</t>
        </is>
      </c>
      <c r="G3720" t="inlineStr">
        <is>
          <t>2</t>
        </is>
      </c>
      <c r="H3720" t="inlineStr">
        <is>
          <t>56⁴</t>
        </is>
      </c>
      <c r="I3720" t="n">
        <v>4</v>
      </c>
      <c r="J3720" t="inlineStr">
        <is>
          <t>8⁸, 24¹⁶</t>
        </is>
      </c>
      <c r="K3720">
        <f>HYPERLINK("CSG3.html#group56A3", "56A³"), =HYPERLINK("CSG6.html#group56H6", "56H⁶")</f>
        <v/>
      </c>
      <c r="L3720" t="inlineStr"/>
      <c r="M3720">
        <f>HYPERLINK("CSG6.html#group56H6", "56H⁶"), =HYPERLINK("CSG0.html#group8F0", "8F⁰"), =HYPERLINK("CSG1.html#group28A1", "28A¹"), =HYPERLINK("CSG0.html#group1A0", "1A⁰"), =HYPERLINK("CSG0.html#group4A0", "4A⁰"), =HYPERLINK("CSG0.html#group7A0", "7A⁰"), =HYPERLINK("CSG3.html#group56A3", "56A³")</f>
        <v/>
      </c>
      <c r="N3720" t="inlineStr"/>
    </row>
    <row r="3721">
      <c r="A3721" t="inlineStr">
        <is>
          <t>56D¹⁴</t>
        </is>
      </c>
      <c r="B3721" t="inlineStr"/>
      <c r="C3721" t="inlineStr">
        <is>
          <t>224</t>
        </is>
      </c>
      <c r="D3721" t="inlineStr">
        <is>
          <t>2</t>
        </is>
      </c>
      <c r="E3721" t="inlineStr">
        <is>
          <t>112</t>
        </is>
      </c>
      <c r="F3721" t="inlineStr">
        <is>
          <t>12</t>
        </is>
      </c>
      <c r="G3721" t="inlineStr">
        <is>
          <t>2</t>
        </is>
      </c>
      <c r="H3721" t="inlineStr">
        <is>
          <t>56⁴</t>
        </is>
      </c>
      <c r="I3721" t="n">
        <v>4</v>
      </c>
      <c r="J3721" t="inlineStr">
        <is>
          <t>8⁸, 24¹⁶</t>
        </is>
      </c>
      <c r="K3721">
        <f>HYPERLINK("CSG3.html#group56B3", "56B³"), =HYPERLINK("CSG6.html#group56H6", "56H⁶")</f>
        <v/>
      </c>
      <c r="L3721" t="inlineStr"/>
      <c r="M3721">
        <f>HYPERLINK("CSG6.html#group56H6", "56H⁶"), =HYPERLINK("CSG3.html#group56B3", "56B³"), =HYPERLINK("CSG0.html#group8F0", "8F⁰"), =HYPERLINK("CSG1.html#group28A1", "28A¹"), =HYPERLINK("CSG0.html#group1A0", "1A⁰"), =HYPERLINK("CSG0.html#group4A0", "4A⁰"), =HYPERLINK("CSG0.html#group7A0", "7A⁰")</f>
        <v/>
      </c>
      <c r="N3721" t="inlineStr"/>
    </row>
    <row r="3722">
      <c r="A3722" t="inlineStr">
        <is>
          <t>56E¹⁴</t>
        </is>
      </c>
      <c r="B3722" t="inlineStr"/>
      <c r="C3722" t="inlineStr">
        <is>
          <t>224</t>
        </is>
      </c>
      <c r="D3722" t="inlineStr">
        <is>
          <t>2</t>
        </is>
      </c>
      <c r="E3722" t="inlineStr">
        <is>
          <t>112</t>
        </is>
      </c>
      <c r="F3722" t="inlineStr">
        <is>
          <t>12</t>
        </is>
      </c>
      <c r="G3722" t="inlineStr">
        <is>
          <t>2</t>
        </is>
      </c>
      <c r="H3722" t="inlineStr">
        <is>
          <t>56⁴</t>
        </is>
      </c>
      <c r="I3722" t="n">
        <v>4</v>
      </c>
      <c r="J3722" t="inlineStr">
        <is>
          <t>8⁸, 24¹⁶</t>
        </is>
      </c>
      <c r="K3722">
        <f>HYPERLINK("CSG0.html#group8M0", "8M⁰"), =HYPERLINK("CSG3.html#group56C3", "56C³"), =HYPERLINK("CSG6.html#group56H6", "56H⁶")</f>
        <v/>
      </c>
      <c r="L3722" t="inlineStr"/>
      <c r="M3722">
        <f>HYPERLINK("CSG0.html#group8F0", "8F⁰"), =HYPERLINK("CSG0.html#group4A0", "4A⁰"), =HYPERLINK("CSG6.html#group56H6", "56H⁶"), =HYPERLINK("CSG0.html#group8A0", "8A⁰"), =HYPERLINK("CSG3.html#group56C3", "56C³"), =HYPERLINK("CSG0.html#group8M0", "8M⁰"), =HYPERLINK("CSG1.html#group28A1", "28A¹"), =HYPERLINK("CSG0.html#group1A0", "1A⁰"), =HYPERLINK("CSG0.html#group7A0", "7A⁰")</f>
        <v/>
      </c>
      <c r="N3722" t="inlineStr"/>
    </row>
    <row r="3723">
      <c r="A3723" t="inlineStr">
        <is>
          <t>56F¹⁴</t>
        </is>
      </c>
      <c r="B3723" t="inlineStr"/>
      <c r="C3723" t="inlineStr">
        <is>
          <t>224</t>
        </is>
      </c>
      <c r="D3723" t="inlineStr">
        <is>
          <t>2</t>
        </is>
      </c>
      <c r="E3723" t="inlineStr">
        <is>
          <t>112</t>
        </is>
      </c>
      <c r="F3723" t="inlineStr">
        <is>
          <t>12</t>
        </is>
      </c>
      <c r="G3723" t="inlineStr">
        <is>
          <t>2</t>
        </is>
      </c>
      <c r="H3723" t="inlineStr">
        <is>
          <t>56⁴</t>
        </is>
      </c>
      <c r="I3723" t="n">
        <v>4</v>
      </c>
      <c r="J3723" t="inlineStr">
        <is>
          <t>8⁸, 24¹⁶</t>
        </is>
      </c>
      <c r="K3723">
        <f>HYPERLINK("CSG0.html#group8M0", "8M⁰"), =HYPERLINK("CSG3.html#group56D3", "56D³"), =HYPERLINK("CSG6.html#group56H6", "56H⁶")</f>
        <v/>
      </c>
      <c r="L3723" t="inlineStr"/>
      <c r="M3723">
        <f>HYPERLINK("CSG3.html#group56D3", "56D³"), =HYPERLINK("CSG0.html#group8F0", "8F⁰"), =HYPERLINK("CSG0.html#group4A0", "4A⁰"), =HYPERLINK("CSG6.html#group56H6", "56H⁶"), =HYPERLINK("CSG0.html#group8A0", "8A⁰"), =HYPERLINK("CSG0.html#group8M0", "8M⁰"), =HYPERLINK("CSG1.html#group28A1", "28A¹"), =HYPERLINK("CSG0.html#group1A0", "1A⁰"), =HYPERLINK("CSG0.html#group7A0", "7A⁰")</f>
        <v/>
      </c>
      <c r="N3723" t="inlineStr"/>
    </row>
    <row r="3724">
      <c r="A3724" t="inlineStr">
        <is>
          <t>56G¹⁴</t>
        </is>
      </c>
      <c r="B3724" t="inlineStr"/>
      <c r="C3724" t="inlineStr">
        <is>
          <t>252</t>
        </is>
      </c>
      <c r="D3724" t="inlineStr">
        <is>
          <t>1</t>
        </is>
      </c>
      <c r="E3724" t="inlineStr">
        <is>
          <t>63</t>
        </is>
      </c>
      <c r="F3724" t="inlineStr">
        <is>
          <t>20</t>
        </is>
      </c>
      <c r="G3724" t="inlineStr">
        <is>
          <t>0</t>
        </is>
      </c>
      <c r="H3724" t="inlineStr">
        <is>
          <t>28³, 56³</t>
        </is>
      </c>
      <c r="I3724" t="n">
        <v>6</v>
      </c>
      <c r="J3724" t="inlineStr">
        <is>
          <t>3³, 6⁹</t>
        </is>
      </c>
      <c r="K3724">
        <f>HYPERLINK("CSG4.html#group56B4", "56B⁴"), =HYPERLINK("CSG6.html#group28I6", "28I⁶")</f>
        <v/>
      </c>
      <c r="L3724" t="inlineStr"/>
      <c r="M3724">
        <f>HYPERLINK("CSG2.html#group28C2", "28C²"), =HYPERLINK("CSG0.html#group7D0", "7D⁰"), =HYPERLINK("CSG1.html#group14B1", "14B¹"), =HYPERLINK("CSG0.html#group4C0", "4C⁰"), =HYPERLINK("CSG0.html#group8B0", "8B⁰"), =HYPERLINK("CSG2.html#group14F2", "14F²"), =HYPERLINK("CSG0.html#group2B0", "2B⁰"), =HYPERLINK("CSG6.html#group28I6", "28I⁶"), =HYPERLINK("CSG0.html#group1A0", "1A⁰"), =HYPERLINK("CSG0.html#group7A0", "7A⁰"), =HYPERLINK("CSG4.html#group56B4", "56B⁴")</f>
        <v/>
      </c>
      <c r="N3724" t="inlineStr"/>
    </row>
    <row r="3725">
      <c r="A3725" t="inlineStr">
        <is>
          <t>60A¹⁴</t>
        </is>
      </c>
      <c r="B3725" t="inlineStr"/>
      <c r="C3725" t="inlineStr">
        <is>
          <t>180</t>
        </is>
      </c>
      <c r="D3725" t="inlineStr">
        <is>
          <t>1</t>
        </is>
      </c>
      <c r="E3725" t="inlineStr">
        <is>
          <t>15</t>
        </is>
      </c>
      <c r="F3725" t="inlineStr">
        <is>
          <t>0</t>
        </is>
      </c>
      <c r="G3725" t="inlineStr">
        <is>
          <t>0</t>
        </is>
      </c>
      <c r="H3725" t="inlineStr">
        <is>
          <t>30², 60²</t>
        </is>
      </c>
      <c r="I3725" t="n">
        <v>4</v>
      </c>
      <c r="J3725" t="inlineStr">
        <is>
          <t>1³, 4³</t>
        </is>
      </c>
      <c r="K3725">
        <f>HYPERLINK("CSG2.html#group12B2", "12B²"), =HYPERLINK("CSG4.html#group20A4", "20A⁴"), =HYPERLINK("CSG6.html#group60B6", "60B⁶"), =HYPERLINK("CSG7.html#group30B7", "30B⁷"), =HYPERLINK("CSG7.html#group60A7", "60A⁷")</f>
        <v/>
      </c>
      <c r="L3725" t="inlineStr"/>
      <c r="M3725">
        <f>HYPERLINK("CSG2.html#group20A2", "20A²"), =HYPERLINK("CSG0.html#group2A0", "2A⁰"), =HYPERLINK("CSG3.html#group30A3", "30A³"), =HYPERLINK("CSG0.html#group5A0", "5A⁰"), =HYPERLINK("CSG0.html#group12C0", "12C⁰"), =HYPERLINK("CSG1.html#group10B1", "10B¹"), =HYPERLINK("CSG2.html#group20B2", "20B²"), =HYPERLINK("CSG0.html#group4C0", "4C⁰"), =HYPERLINK("CSG1.html#group6C1", "6C¹"), =HYPERLINK("CSG2.html#group12B2", "12B²"), =HYPERLINK("CSG6.html#group60B6", "60B⁶"), =HYPERLINK("CSG7.html#group30B7", "30B⁷"), =HYPERLINK("CSG0.html#group2B0", "2B⁰"), =HYPERLINK("CSG0.html#group4E0", "4E⁰"), =HYPERLINK("CSG2.html#group10B2", "10B²"), =HYPERLINK("CSG0.html#group4B0", "4B⁰"), =HYPERLINK("CSG0.html#group1A0", "1A⁰"), =HYPERLINK("CSG7.html#group60A7", "60A⁷"), =HYPERLINK("CSG3.html#group30D3", "30D³"), =HYPERLINK("CSG1.html#group30A1", "30A¹"), =HYPERLINK("CSG0.html#group10A0", "10A⁰"), =HYPERLINK("CSG0.html#group6A0", "6A⁰"), =HYPERLINK("CSG0.html#group6D0", "6D⁰"), =HYPERLINK("CSG4.html#group20A4", "20A⁴"), =HYPERLINK("CSG1.html#group12B1", "12B¹"), =HYPERLINK("CSG1.html#group6A1", "6A¹"), =HYPERLINK("CSG0.html#group3A0", "3A⁰"), =HYPERLINK("CSG0.html#group2C0", "2C⁰"), =HYPERLINK("CSG1.html#group15A1", "15A¹")</f>
        <v/>
      </c>
      <c r="N3725" t="inlineStr"/>
    </row>
    <row r="3726">
      <c r="A3726" t="inlineStr">
        <is>
          <t>60B¹⁴</t>
        </is>
      </c>
      <c r="B3726" t="inlineStr"/>
      <c r="C3726" t="inlineStr">
        <is>
          <t>180</t>
        </is>
      </c>
      <c r="D3726" t="inlineStr">
        <is>
          <t>1</t>
        </is>
      </c>
      <c r="E3726" t="inlineStr">
        <is>
          <t>30</t>
        </is>
      </c>
      <c r="F3726" t="inlineStr">
        <is>
          <t>0</t>
        </is>
      </c>
      <c r="G3726" t="inlineStr">
        <is>
          <t>0</t>
        </is>
      </c>
      <c r="H3726" t="inlineStr">
        <is>
          <t>30², 60²</t>
        </is>
      </c>
      <c r="I3726" t="n">
        <v>4</v>
      </c>
      <c r="J3726" t="inlineStr">
        <is>
          <t>2³, 4⁶</t>
        </is>
      </c>
      <c r="K3726">
        <f>HYPERLINK("CSG4.html#group20B4", "20B⁴"), =HYPERLINK("CSG5.html#group30K5", "30K⁵")</f>
        <v/>
      </c>
      <c r="L3726" t="inlineStr"/>
      <c r="M3726">
        <f>HYPERLINK("CSG5.html#group30K5", "30K⁵"), =HYPERLINK("CSG1.html#group15D1", "15D¹"), =HYPERLINK("CSG4.html#group20B4", "20B⁴"), =HYPERLINK("CSG0.html#group2B0", "2B⁰"), =HYPERLINK("CSG0.html#group1A0", "1A⁰"), =HYPERLINK("CSG0.html#group3A0", "3A⁰"), =HYPERLINK("CSG0.html#group5C0", "5C⁰"), =HYPERLINK("CSG0.html#group6D0", "6D⁰"), =HYPERLINK("CSG1.html#group10F1", "10F¹")</f>
        <v/>
      </c>
      <c r="N3726" t="inlineStr"/>
    </row>
    <row r="3727">
      <c r="A3727" t="inlineStr">
        <is>
          <t>60C¹⁴</t>
        </is>
      </c>
      <c r="B3727" t="inlineStr"/>
      <c r="C3727" t="inlineStr">
        <is>
          <t>180</t>
        </is>
      </c>
      <c r="D3727" t="inlineStr">
        <is>
          <t>1</t>
        </is>
      </c>
      <c r="E3727" t="inlineStr">
        <is>
          <t>45</t>
        </is>
      </c>
      <c r="F3727" t="inlineStr">
        <is>
          <t>0</t>
        </is>
      </c>
      <c r="G3727" t="inlineStr">
        <is>
          <t>0</t>
        </is>
      </c>
      <c r="H3727" t="inlineStr">
        <is>
          <t>30², 60²</t>
        </is>
      </c>
      <c r="I3727" t="n">
        <v>4</v>
      </c>
      <c r="J3727" t="inlineStr">
        <is>
          <t>1³, 2³, 4³, 8³</t>
        </is>
      </c>
      <c r="K3727">
        <f>HYPERLINK("CSG2.html#group12C2", "12C²"), =HYPERLINK("CSG6.html#group30A6", "30A⁶"), =HYPERLINK("CSG7.html#group60B7", "60B⁷")</f>
        <v/>
      </c>
      <c r="L3727" t="inlineStr"/>
      <c r="M3727">
        <f>HYPERLINK("CSG0.html#group5A0", "5A⁰"), =HYPERLINK("CSG1.html#group10B1", "10B¹"), =HYPERLINK("CSG7.html#group60B7", "60B⁷"), =HYPERLINK("CSG0.html#group6G0", "6G⁰"), =HYPERLINK("CSG0.html#group2B0", "2B⁰"), =HYPERLINK("CSG0.html#group1A0", "1A⁰"), =HYPERLINK("CSG3.html#group30D3", "30D³"), =HYPERLINK("CSG1.html#group12C1", "12C¹"), =HYPERLINK("CSG2.html#group15A2", "15A²"), =HYPERLINK("CSG0.html#group6D0", "6D⁰"), =HYPERLINK("CSG0.html#group3C0", "3C⁰"), =HYPERLINK("CSG6.html#group30A6", "30A⁶"), =HYPERLINK("CSG0.html#group3A0", "3A⁰"), =HYPERLINK("CSG2.html#group12C2", "12C²"), =HYPERLINK("CSG1.html#group15A1", "15A¹")</f>
        <v/>
      </c>
      <c r="N3727" t="inlineStr"/>
    </row>
    <row r="3728">
      <c r="A3728" t="inlineStr">
        <is>
          <t>60D¹⁴</t>
        </is>
      </c>
      <c r="B3728" t="inlineStr"/>
      <c r="C3728" t="inlineStr">
        <is>
          <t>180</t>
        </is>
      </c>
      <c r="D3728" t="inlineStr">
        <is>
          <t>1</t>
        </is>
      </c>
      <c r="E3728" t="inlineStr">
        <is>
          <t>45</t>
        </is>
      </c>
      <c r="F3728" t="inlineStr">
        <is>
          <t>0</t>
        </is>
      </c>
      <c r="G3728" t="inlineStr">
        <is>
          <t>0</t>
        </is>
      </c>
      <c r="H3728" t="inlineStr">
        <is>
          <t>30², 60²</t>
        </is>
      </c>
      <c r="I3728" t="n">
        <v>4</v>
      </c>
      <c r="J3728" t="inlineStr">
        <is>
          <t>1³, 2³, 4³, 8³</t>
        </is>
      </c>
      <c r="K3728">
        <f>HYPERLINK("CSG2.html#group12D2", "12D²"), =HYPERLINK("CSG6.html#group30B6", "30B⁶"), =HYPERLINK("CSG7.html#group60A7", "60A⁷"), =HYPERLINK("CSG7.html#group60B7", "60B⁷")</f>
        <v/>
      </c>
      <c r="L3728" t="inlineStr"/>
      <c r="M3728">
        <f>HYPERLINK("CSG2.html#group20A2", "20A²"), =HYPERLINK("CSG0.html#group5A0", "5A⁰"), =HYPERLINK("CSG0.html#group6B0", "6B⁰"), =HYPERLINK("CSG2.html#group12D2", "12D²"), =HYPERLINK("CSG1.html#group10B1", "10B¹"), =HYPERLINK("CSG7.html#group60B7", "60B⁷"), =HYPERLINK("CSG0.html#group2B0", "2B⁰"), =HYPERLINK("CSG6.html#group30B6", "30B⁶"), =HYPERLINK("CSG0.html#group4B0", "4B⁰"), =HYPERLINK("CSG0.html#group1A0", "1A⁰"), =HYPERLINK("CSG7.html#group60A7", "60A⁷"), =HYPERLINK("CSG3.html#group30D3", "30D³"), =HYPERLINK("CSG2.html#group30A2", "30A²"), =HYPERLINK("CSG1.html#group12C1", "12C¹"), =HYPERLINK("CSG0.html#group6D0", "6D⁰"), =HYPERLINK("CSG1.html#group12B1", "12B¹"), =HYPERLINK("CSG0.html#group6H0", "6H⁰"), =HYPERLINK("CSG0.html#group3A0", "3A⁰"), =HYPERLINK("CSG1.html#group15A1", "15A¹")</f>
        <v/>
      </c>
      <c r="N3728" t="inlineStr"/>
    </row>
    <row r="3729">
      <c r="A3729" t="inlineStr">
        <is>
          <t>60E¹⁴</t>
        </is>
      </c>
      <c r="B3729" t="inlineStr"/>
      <c r="C3729" t="inlineStr">
        <is>
          <t>180</t>
        </is>
      </c>
      <c r="D3729" t="inlineStr">
        <is>
          <t>1</t>
        </is>
      </c>
      <c r="E3729" t="inlineStr">
        <is>
          <t>45</t>
        </is>
      </c>
      <c r="F3729" t="inlineStr">
        <is>
          <t>0</t>
        </is>
      </c>
      <c r="G3729" t="inlineStr">
        <is>
          <t>0</t>
        </is>
      </c>
      <c r="H3729" t="inlineStr">
        <is>
          <t>30², 60²</t>
        </is>
      </c>
      <c r="I3729" t="n">
        <v>4</v>
      </c>
      <c r="J3729" t="inlineStr">
        <is>
          <t>1³, 2³, 4³, 8³</t>
        </is>
      </c>
      <c r="K3729">
        <f>HYPERLINK("CSG2.html#group12E2", "12E²"), =HYPERLINK("CSG6.html#group60C6", "60C⁶"), =HYPERLINK("CSG7.html#group30B7", "30B⁷"), =HYPERLINK("CSG7.html#group60B7", "60B⁷")</f>
        <v/>
      </c>
      <c r="L3729" t="inlineStr"/>
      <c r="M3729">
        <f>HYPERLINK("CSG0.html#group2A0", "2A⁰"), =HYPERLINK("CSG3.html#group30A3", "30A³"), =HYPERLINK("CSG0.html#group5A0", "5A⁰"), =HYPERLINK("CSG6.html#group60C6", "60C⁶"), =HYPERLINK("CSG1.html#group10B1", "10B¹"), =HYPERLINK("CSG1.html#group6C1", "6C¹"), =HYPERLINK("CSG7.html#group60B7", "60B⁷"), =HYPERLINK("CSG2.html#group12E2", "12E²"), =HYPERLINK("CSG7.html#group30B7", "30B⁷"), =HYPERLINK("CSG0.html#group2B0", "2B⁰"), =HYPERLINK("CSG2.html#group10B2", "10B²"), =HYPERLINK("CSG0.html#group1A0", "1A⁰"), =HYPERLINK("CSG3.html#group30D3", "30D³"), =HYPERLINK("CSG1.html#group30A1", "30A¹"), =HYPERLINK("CSG0.html#group10A0", "10A⁰"), =HYPERLINK("CSG1.html#group12C1", "12C¹"), =HYPERLINK("CSG0.html#group6A0", "6A⁰"), =HYPERLINK("CSG0.html#group6D0", "6D⁰"), =HYPERLINK("CSG1.html#group6A1", "6A¹"), =HYPERLINK("CSG0.html#group12D0", "12D⁰"), =HYPERLINK("CSG0.html#group3A0", "3A⁰"), =HYPERLINK("CSG0.html#group2C0", "2C⁰"), =HYPERLINK("CSG1.html#group15A1", "15A¹")</f>
        <v/>
      </c>
      <c r="N3729" t="inlineStr"/>
    </row>
    <row r="3730">
      <c r="A3730" t="inlineStr">
        <is>
          <t>60F¹⁴</t>
        </is>
      </c>
      <c r="B3730" t="inlineStr"/>
      <c r="C3730" t="inlineStr">
        <is>
          <t>180</t>
        </is>
      </c>
      <c r="D3730" t="inlineStr">
        <is>
          <t>2</t>
        </is>
      </c>
      <c r="E3730" t="inlineStr">
        <is>
          <t>15</t>
        </is>
      </c>
      <c r="F3730" t="inlineStr">
        <is>
          <t>0</t>
        </is>
      </c>
      <c r="G3730" t="inlineStr">
        <is>
          <t>0</t>
        </is>
      </c>
      <c r="H3730" t="inlineStr">
        <is>
          <t>30², 60²</t>
        </is>
      </c>
      <c r="I3730" t="n">
        <v>4</v>
      </c>
      <c r="J3730" t="inlineStr">
        <is>
          <t>2³, 8³</t>
        </is>
      </c>
      <c r="K3730">
        <f>HYPERLINK("CSG4.html#group20A4", "20A⁴"), =HYPERLINK("CSG6.html#group60D6", "60D⁶"), =HYPERLINK("CSG7.html#group30E7", "30E⁷"), =HYPERLINK("CSG7.html#group60C7", "60C⁷")</f>
        <v/>
      </c>
      <c r="L3730" t="inlineStr"/>
      <c r="M3730">
        <f>HYPERLINK("CSG2.html#group20A2", "20A²"), =HYPERLINK("CSG0.html#group2A0", "2A⁰"), =HYPERLINK("CSG0.html#group5A0", "5A⁰"), =HYPERLINK("CSG6.html#group60D6", "60D⁶"), =HYPERLINK("CSG1.html#group10B1", "10B¹"), =HYPERLINK("CSG2.html#group20B2", "20B²"), =HYPERLINK("CSG0.html#group4C0", "4C⁰"), =HYPERLINK("CSG0.html#group2B0", "2B⁰"), =HYPERLINK("CSG0.html#group4E0", "4E⁰"), =HYPERLINK("CSG2.html#group10B2", "10B²"), =HYPERLINK("CSG0.html#group4B0", "4B⁰"), =HYPERLINK("CSG0.html#group1A0", "1A⁰"), =HYPERLINK("CSG2.html#group30B2", "30B²"), =HYPERLINK("CSG0.html#group10A0", "10A⁰"), =HYPERLINK("CSG3.html#group30E3", "30E³"), =HYPERLINK("CSG7.html#group30E7", "30E⁷"), =HYPERLINK("CSG1.html#group30B1", "30B¹"), =HYPERLINK("CSG4.html#group20A4", "20A⁴"), =HYPERLINK("CSG0.html#group2C0", "2C⁰"), =HYPERLINK("CSG7.html#group60C7", "60C⁷"), =HYPERLINK("CSG0.html#group15A0", "15A⁰")</f>
        <v/>
      </c>
      <c r="N3730" t="inlineStr"/>
    </row>
    <row r="3731">
      <c r="A3731" t="inlineStr">
        <is>
          <t>60G¹⁴</t>
        </is>
      </c>
      <c r="B3731" t="inlineStr"/>
      <c r="C3731" t="inlineStr">
        <is>
          <t>240</t>
        </is>
      </c>
      <c r="D3731" t="inlineStr">
        <is>
          <t>1</t>
        </is>
      </c>
      <c r="E3731" t="inlineStr">
        <is>
          <t>40</t>
        </is>
      </c>
      <c r="F3731" t="inlineStr">
        <is>
          <t>0</t>
        </is>
      </c>
      <c r="G3731" t="inlineStr">
        <is>
          <t>12</t>
        </is>
      </c>
      <c r="H3731" t="inlineStr">
        <is>
          <t>20³, 60³</t>
        </is>
      </c>
      <c r="I3731" t="n">
        <v>6</v>
      </c>
      <c r="J3731" t="inlineStr">
        <is>
          <t>2², 4⁵, 8²</t>
        </is>
      </c>
      <c r="K3731">
        <f>HYPERLINK("CSG4.html#group60B4", "60B⁴"), =HYPERLINK("CSG6.html#group30E6", "30E⁶")</f>
        <v/>
      </c>
      <c r="L3731" t="inlineStr"/>
      <c r="M3731">
        <f>HYPERLINK("CSG0.html#group2A0", "2A⁰"), =HYPERLINK("CSG0.html#group3B0", "3B⁰"), =HYPERLINK("CSG0.html#group5A0", "5A⁰"), =HYPERLINK("CSG6.html#group30E6", "30E⁶"), =HYPERLINK("CSG0.html#group10A0", "10A⁰"), =HYPERLINK("CSG0.html#group10E0", "10E⁰"), =HYPERLINK("CSG2.html#group30D2", "30D²"), =HYPERLINK("CSG4.html#group60B4", "60B⁴"), =HYPERLINK("CSG0.html#group6C0", "6C⁰"), =HYPERLINK("CSG1.html#group15B1", "15B¹"), =HYPERLINK("CSG0.html#group1A0", "1A⁰"), =HYPERLINK("CSG0.html#group12B0", "12B⁰")</f>
        <v/>
      </c>
      <c r="N3731" t="inlineStr"/>
    </row>
    <row r="3732">
      <c r="A3732" t="inlineStr">
        <is>
          <t>62A¹⁴</t>
        </is>
      </c>
      <c r="B3732" t="inlineStr"/>
      <c r="C3732" t="inlineStr">
        <is>
          <t>192</t>
        </is>
      </c>
      <c r="D3732" t="inlineStr">
        <is>
          <t>1</t>
        </is>
      </c>
      <c r="E3732" t="inlineStr">
        <is>
          <t>32</t>
        </is>
      </c>
      <c r="F3732" t="inlineStr">
        <is>
          <t>0</t>
        </is>
      </c>
      <c r="G3732" t="inlineStr">
        <is>
          <t>0</t>
        </is>
      </c>
      <c r="H3732" t="inlineStr">
        <is>
          <t>2³, 62³</t>
        </is>
      </c>
      <c r="I3732" t="n">
        <v>6</v>
      </c>
      <c r="J3732" t="inlineStr">
        <is>
          <t>1², 30¹</t>
        </is>
      </c>
      <c r="K3732">
        <f>HYPERLINK("CSG4.html#group62A4", "62A⁴"), =HYPERLINK("CSG6.html#group31A6", "31A⁶")</f>
        <v/>
      </c>
      <c r="L3732" t="inlineStr"/>
      <c r="M3732">
        <f>HYPERLINK("CSG0.html#group2A0", "2A⁰"), =HYPERLINK("CSG6.html#group31A6", "31A⁶"), =HYPERLINK("CSG2.html#group31A2", "31A²"), =HYPERLINK("CSG0.html#group1A0", "1A⁰"), =HYPERLINK("CSG4.html#group62A4", "62A⁴")</f>
        <v/>
      </c>
      <c r="N3732" t="inlineStr"/>
    </row>
    <row r="3733">
      <c r="A3733" t="inlineStr">
        <is>
          <t>62B¹⁴</t>
        </is>
      </c>
      <c r="B3733" t="inlineStr"/>
      <c r="C3733" t="inlineStr">
        <is>
          <t>192</t>
        </is>
      </c>
      <c r="D3733" t="inlineStr">
        <is>
          <t>1</t>
        </is>
      </c>
      <c r="E3733" t="inlineStr">
        <is>
          <t>32</t>
        </is>
      </c>
      <c r="F3733" t="inlineStr">
        <is>
          <t>0</t>
        </is>
      </c>
      <c r="G3733" t="inlineStr">
        <is>
          <t>0</t>
        </is>
      </c>
      <c r="H3733" t="inlineStr">
        <is>
          <t>2³, 62³</t>
        </is>
      </c>
      <c r="I3733" t="n">
        <v>6</v>
      </c>
      <c r="J3733" t="inlineStr">
        <is>
          <t>1², 30¹</t>
        </is>
      </c>
      <c r="K3733">
        <f>HYPERLINK("CSG0.html#group2C0", "2C⁰"), =HYPERLINK("CSG4.html#group62A4", "62A⁴"), =HYPERLINK("CSG7.html#group62A7", "62A⁷")</f>
        <v/>
      </c>
      <c r="L3733" t="inlineStr"/>
      <c r="M3733">
        <f>HYPERLINK("CSG0.html#group2A0", "2A⁰"), =HYPERLINK("CSG7.html#group62A7", "62A⁷"), =HYPERLINK("CSG2.html#group31A2", "31A²"), =HYPERLINK("CSG0.html#group2B0", "2B⁰"), =HYPERLINK("CSG0.html#group1A0", "1A⁰"), =HYPERLINK("CSG0.html#group2C0", "2C⁰"), =HYPERLINK("CSG4.html#group62A4", "62A⁴")</f>
        <v/>
      </c>
      <c r="N3733" t="inlineStr"/>
    </row>
    <row r="3734">
      <c r="A3734" t="inlineStr">
        <is>
          <t>63A¹⁴</t>
        </is>
      </c>
      <c r="B3734" t="inlineStr"/>
      <c r="C3734" t="inlineStr">
        <is>
          <t>216</t>
        </is>
      </c>
      <c r="D3734" t="inlineStr">
        <is>
          <t>1</t>
        </is>
      </c>
      <c r="E3734" t="inlineStr">
        <is>
          <t>216</t>
        </is>
      </c>
      <c r="F3734" t="inlineStr">
        <is>
          <t>0</t>
        </is>
      </c>
      <c r="G3734" t="inlineStr">
        <is>
          <t>6</t>
        </is>
      </c>
      <c r="H3734" t="inlineStr">
        <is>
          <t>9³, 63³</t>
        </is>
      </c>
      <c r="I3734" t="n">
        <v>6</v>
      </c>
      <c r="J3734" t="inlineStr">
        <is>
          <t>3², 6⁸, 18¹, 36⁴</t>
        </is>
      </c>
      <c r="K3734">
        <f>HYPERLINK("CSG0.html#group7B0", "7B⁰"), =HYPERLINK("CSG0.html#group9F0", "9F⁰")</f>
        <v/>
      </c>
      <c r="L3734" t="inlineStr"/>
      <c r="M3734">
        <f>HYPERLINK("CSG0.html#group9F0", "9F⁰"), =HYPERLINK("CSG0.html#group1A0", "1A⁰"), =HYPERLINK("CSG0.html#group7B0", "7B⁰")</f>
        <v/>
      </c>
      <c r="N3734" t="inlineStr"/>
    </row>
    <row r="3735">
      <c r="A3735" t="inlineStr">
        <is>
          <t>63B¹⁴</t>
        </is>
      </c>
      <c r="B3735" t="inlineStr"/>
      <c r="C3735" t="inlineStr">
        <is>
          <t>252</t>
        </is>
      </c>
      <c r="D3735" t="inlineStr">
        <is>
          <t>2</t>
        </is>
      </c>
      <c r="E3735" t="inlineStr">
        <is>
          <t>21</t>
        </is>
      </c>
      <c r="F3735" t="inlineStr">
        <is>
          <t>24</t>
        </is>
      </c>
      <c r="G3735" t="inlineStr">
        <is>
          <t>0</t>
        </is>
      </c>
      <c r="H3735" t="inlineStr">
        <is>
          <t>63⁴</t>
        </is>
      </c>
      <c r="I3735" t="n">
        <v>4</v>
      </c>
      <c r="J3735" t="inlineStr">
        <is>
          <t>2¹, 4¹, 6², 12²</t>
        </is>
      </c>
      <c r="K3735">
        <f>HYPERLINK("CSG4.html#group21B4", "21B⁴"), =HYPERLINK("CSG6.html#group63E6", "63E⁶"), =HYPERLINK("CSG6.html#group63F6", "63F⁶"), =HYPERLINK("CSG6.html#group63G6", "63G⁶")</f>
        <v/>
      </c>
      <c r="L3735" t="inlineStr"/>
      <c r="M3735">
        <f>HYPERLINK("CSG2.html#group21D2", "21D²"), =HYPERLINK("CSG0.html#group9D0", "9D⁰"), =HYPERLINK("CSG6.html#group63F6", "63F⁶"), =HYPERLINK("CSG1.html#group21D1", "21D¹"), =HYPERLINK("CSG0.html#group9A0", "9A⁰"), =HYPERLINK("CSG2.html#group63A2", "63A²"), =HYPERLINK("CSG6.html#group63E6", "63E⁶"), =HYPERLINK("CSG0.html#group21A0", "21A⁰"), =HYPERLINK("CSG6.html#group63G6", "63G⁶"), =HYPERLINK("CSG0.html#group3C0", "3C⁰"), =HYPERLINK("CSG0.html#group7A0", "7A⁰"), =HYPERLINK("CSG0.html#group3A0", "3A⁰"), =HYPERLINK("CSG0.html#group1A0", "1A⁰"), =HYPERLINK("CSG4.html#group21B4", "21B⁴")</f>
        <v/>
      </c>
      <c r="N3735" t="inlineStr"/>
    </row>
    <row r="3736">
      <c r="A3736" t="inlineStr">
        <is>
          <t>64A¹⁴</t>
        </is>
      </c>
      <c r="B3736" t="inlineStr"/>
      <c r="C3736" t="inlineStr">
        <is>
          <t>192</t>
        </is>
      </c>
      <c r="D3736" t="inlineStr">
        <is>
          <t>2</t>
        </is>
      </c>
      <c r="E3736" t="inlineStr">
        <is>
          <t>48</t>
        </is>
      </c>
      <c r="F3736" t="inlineStr">
        <is>
          <t>4</t>
        </is>
      </c>
      <c r="G3736" t="inlineStr">
        <is>
          <t>0</t>
        </is>
      </c>
      <c r="H3736" t="inlineStr">
        <is>
          <t>32², 64²</t>
        </is>
      </c>
      <c r="I3736" t="n">
        <v>4</v>
      </c>
      <c r="J3736" t="inlineStr">
        <is>
          <t>2⁸, 4⁴, 8⁴, 16²</t>
        </is>
      </c>
      <c r="K3736">
        <f>HYPERLINK("CSG6.html#group32C6", "32C⁶"), =HYPERLINK("CSG7.html#group64G7", "64G⁷"), =HYPERLINK("CSG7.html#group64H7", "64H⁷")</f>
        <v/>
      </c>
      <c r="L3736" t="inlineStr"/>
      <c r="M3736">
        <f>HYPERLINK("CSG0.html#group8D0", "8D⁰"), =HYPERLINK("CSG0.html#group4C0", "4C⁰"), =HYPERLINK("CSG0.html#group8B0", "8B⁰"), =HYPERLINK("CSG0.html#group2B0", "2B⁰"), =HYPERLINK("CSG3.html#group32G3", "32G³"), =HYPERLINK("CSG7.html#group64H7", "64H⁷"), =HYPERLINK("CSG0.html#group1A0", "1A⁰"), =HYPERLINK("CSG2.html#group16E2", "16E²"), =HYPERLINK("CSG7.html#group64G7", "64G⁷"), =HYPERLINK("CSG0.html#group8H0", "8H⁰"), =HYPERLINK("CSG1.html#group16D1", "16D¹"), =HYPERLINK("CSG6.html#group32C6", "32C⁶"), =HYPERLINK("CSG0.html#group4A0", "4A⁰"), =HYPERLINK("CSG3.html#group32E3", "32E³"), =HYPERLINK("CSG0.html#group4F0", "4F⁰")</f>
        <v/>
      </c>
      <c r="N3736" t="inlineStr"/>
    </row>
    <row r="3737">
      <c r="A3737" t="inlineStr">
        <is>
          <t>64B¹⁴</t>
        </is>
      </c>
      <c r="B3737" t="inlineStr"/>
      <c r="C3737" t="inlineStr">
        <is>
          <t>192</t>
        </is>
      </c>
      <c r="D3737" t="inlineStr">
        <is>
          <t>2</t>
        </is>
      </c>
      <c r="E3737" t="inlineStr">
        <is>
          <t>48</t>
        </is>
      </c>
      <c r="F3737" t="inlineStr">
        <is>
          <t>4</t>
        </is>
      </c>
      <c r="G3737" t="inlineStr">
        <is>
          <t>0</t>
        </is>
      </c>
      <c r="H3737" t="inlineStr">
        <is>
          <t>32², 64²</t>
        </is>
      </c>
      <c r="I3737" t="n">
        <v>4</v>
      </c>
      <c r="J3737" t="inlineStr">
        <is>
          <t>2⁸, 4⁴, 8⁴, 16²</t>
        </is>
      </c>
      <c r="K3737">
        <f>HYPERLINK("CSG6.html#group32C6", "32C⁶"), =HYPERLINK("CSG7.html#group64G7", "64G⁷"), =HYPERLINK("CSG7.html#group64H7", "64H⁷")</f>
        <v/>
      </c>
      <c r="L3737" t="inlineStr"/>
      <c r="M3737">
        <f>HYPERLINK("CSG0.html#group8D0", "8D⁰"), =HYPERLINK("CSG0.html#group4C0", "4C⁰"), =HYPERLINK("CSG0.html#group8B0", "8B⁰"), =HYPERLINK("CSG0.html#group2B0", "2B⁰"), =HYPERLINK("CSG3.html#group32G3", "32G³"), =HYPERLINK("CSG7.html#group64H7", "64H⁷"), =HYPERLINK("CSG0.html#group1A0", "1A⁰"), =HYPERLINK("CSG2.html#group16E2", "16E²"), =HYPERLINK("CSG7.html#group64G7", "64G⁷"), =HYPERLINK("CSG0.html#group8H0", "8H⁰"), =HYPERLINK("CSG1.html#group16D1", "16D¹"), =HYPERLINK("CSG6.html#group32C6", "32C⁶"), =HYPERLINK("CSG0.html#group4A0", "4A⁰"), =HYPERLINK("CSG3.html#group32E3", "32E³"), =HYPERLINK("CSG0.html#group4F0", "4F⁰")</f>
        <v/>
      </c>
      <c r="N3737" t="inlineStr"/>
    </row>
    <row r="3738">
      <c r="A3738" t="inlineStr">
        <is>
          <t>64C¹⁴</t>
        </is>
      </c>
      <c r="B3738" t="inlineStr"/>
      <c r="C3738" t="inlineStr">
        <is>
          <t>192</t>
        </is>
      </c>
      <c r="D3738" t="inlineStr">
        <is>
          <t>2</t>
        </is>
      </c>
      <c r="E3738" t="inlineStr">
        <is>
          <t>48</t>
        </is>
      </c>
      <c r="F3738" t="inlineStr">
        <is>
          <t>4</t>
        </is>
      </c>
      <c r="G3738" t="inlineStr">
        <is>
          <t>0</t>
        </is>
      </c>
      <c r="H3738" t="inlineStr">
        <is>
          <t>32², 64²</t>
        </is>
      </c>
      <c r="I3738" t="n">
        <v>4</v>
      </c>
      <c r="J3738" t="inlineStr">
        <is>
          <t>2⁸, 4⁴, 8⁴, 16²</t>
        </is>
      </c>
      <c r="K3738">
        <f>HYPERLINK("CSG6.html#group32C6", "32C⁶"), =HYPERLINK("CSG7.html#group64I7", "64I⁷"), =HYPERLINK("CSG7.html#group64J7", "64J⁷")</f>
        <v/>
      </c>
      <c r="L3738" t="inlineStr"/>
      <c r="M3738">
        <f>HYPERLINK("CSG0.html#group8D0", "8D⁰"), =HYPERLINK("CSG0.html#group4C0", "4C⁰"), =HYPERLINK("CSG0.html#group8B0", "8B⁰"), =HYPERLINK("CSG0.html#group2B0", "2B⁰"), =HYPERLINK("CSG3.html#group32G3", "32G³"), =HYPERLINK("CSG0.html#group1A0", "1A⁰"), =HYPERLINK("CSG2.html#group16E2", "16E²"), =HYPERLINK("CSG0.html#group8H0", "8H⁰"), =HYPERLINK("CSG1.html#group16D1", "16D¹"), =HYPERLINK("CSG6.html#group32C6", "32C⁶"), =HYPERLINK("CSG0.html#group4A0", "4A⁰"), =HYPERLINK("CSG7.html#group64J7", "64J⁷"), =HYPERLINK("CSG3.html#group32E3", "32E³"), =HYPERLINK("CSG0.html#group4F0", "4F⁰"), =HYPERLINK("CSG7.html#group64I7", "64I⁷")</f>
        <v/>
      </c>
      <c r="N3738" t="inlineStr"/>
    </row>
    <row r="3739">
      <c r="A3739" t="inlineStr">
        <is>
          <t>64D¹⁴</t>
        </is>
      </c>
      <c r="B3739" t="inlineStr"/>
      <c r="C3739" t="inlineStr">
        <is>
          <t>192</t>
        </is>
      </c>
      <c r="D3739" t="inlineStr">
        <is>
          <t>2</t>
        </is>
      </c>
      <c r="E3739" t="inlineStr">
        <is>
          <t>48</t>
        </is>
      </c>
      <c r="F3739" t="inlineStr">
        <is>
          <t>4</t>
        </is>
      </c>
      <c r="G3739" t="inlineStr">
        <is>
          <t>0</t>
        </is>
      </c>
      <c r="H3739" t="inlineStr">
        <is>
          <t>32², 64²</t>
        </is>
      </c>
      <c r="I3739" t="n">
        <v>4</v>
      </c>
      <c r="J3739" t="inlineStr">
        <is>
          <t>2⁸, 4⁴, 8⁴, 16²</t>
        </is>
      </c>
      <c r="K3739">
        <f>HYPERLINK("CSG6.html#group32C6", "32C⁶"), =HYPERLINK("CSG7.html#group64I7", "64I⁷"), =HYPERLINK("CSG7.html#group64J7", "64J⁷")</f>
        <v/>
      </c>
      <c r="L3739" t="inlineStr"/>
      <c r="M3739">
        <f>HYPERLINK("CSG0.html#group8D0", "8D⁰"), =HYPERLINK("CSG0.html#group4C0", "4C⁰"), =HYPERLINK("CSG0.html#group8B0", "8B⁰"), =HYPERLINK("CSG0.html#group2B0", "2B⁰"), =HYPERLINK("CSG3.html#group32G3", "32G³"), =HYPERLINK("CSG0.html#group1A0", "1A⁰"), =HYPERLINK("CSG2.html#group16E2", "16E²"), =HYPERLINK("CSG0.html#group8H0", "8H⁰"), =HYPERLINK("CSG1.html#group16D1", "16D¹"), =HYPERLINK("CSG6.html#group32C6", "32C⁶"), =HYPERLINK("CSG0.html#group4A0", "4A⁰"), =HYPERLINK("CSG7.html#group64J7", "64J⁷"), =HYPERLINK("CSG3.html#group32E3", "32E³"), =HYPERLINK("CSG0.html#group4F0", "4F⁰"), =HYPERLINK("CSG7.html#group64I7", "64I⁷")</f>
        <v/>
      </c>
      <c r="N3739" t="inlineStr"/>
    </row>
    <row r="3740">
      <c r="A3740" t="inlineStr">
        <is>
          <t>64E¹⁴</t>
        </is>
      </c>
      <c r="B3740" t="inlineStr"/>
      <c r="C3740" t="inlineStr">
        <is>
          <t>192</t>
        </is>
      </c>
      <c r="D3740" t="inlineStr">
        <is>
          <t>2</t>
        </is>
      </c>
      <c r="E3740" t="inlineStr">
        <is>
          <t>48</t>
        </is>
      </c>
      <c r="F3740" t="inlineStr">
        <is>
          <t>4</t>
        </is>
      </c>
      <c r="G3740" t="inlineStr">
        <is>
          <t>0</t>
        </is>
      </c>
      <c r="H3740" t="inlineStr">
        <is>
          <t>32², 64²</t>
        </is>
      </c>
      <c r="I3740" t="n">
        <v>4</v>
      </c>
      <c r="J3740" t="inlineStr">
        <is>
          <t>4¹⁶, 8⁸, 16⁴</t>
        </is>
      </c>
      <c r="K3740">
        <f>HYPERLINK("CSG6.html#group32E6", "32E⁶"), =HYPERLINK("CSG7.html#group64G7", "64G⁷"), =HYPERLINK("CSG7.html#group64H7", "64H⁷")</f>
        <v/>
      </c>
      <c r="L3740" t="inlineStr"/>
      <c r="M3740">
        <f>HYPERLINK("CSG1.html#group16D1", "16D¹"), =HYPERLINK("CSG6.html#group32E6", "32E⁶"), =HYPERLINK("CSG2.html#group16F2", "16F²"), =HYPERLINK("CSG0.html#group4C0", "4C⁰"), =HYPERLINK("CSG0.html#group8B0", "8B⁰"), =HYPERLINK("CSG3.html#group32H3", "32H³"), =HYPERLINK("CSG1.html#group16B1", "16B¹"), =HYPERLINK("CSG3.html#group32E3", "32E³"), =HYPERLINK("CSG0.html#group2B0", "2B⁰"), =HYPERLINK("CSG0.html#group8L0", "8L⁰"), =HYPERLINK("CSG7.html#group64H7", "64H⁷"), =HYPERLINK("CSG0.html#group1A0", "1A⁰"), =HYPERLINK("CSG7.html#group64G7", "64G⁷")</f>
        <v/>
      </c>
      <c r="N3740" t="inlineStr"/>
    </row>
    <row r="3741">
      <c r="A3741" t="inlineStr">
        <is>
          <t>64F¹⁴</t>
        </is>
      </c>
      <c r="B3741" t="inlineStr"/>
      <c r="C3741" t="inlineStr">
        <is>
          <t>192</t>
        </is>
      </c>
      <c r="D3741" t="inlineStr">
        <is>
          <t>2</t>
        </is>
      </c>
      <c r="E3741" t="inlineStr">
        <is>
          <t>48</t>
        </is>
      </c>
      <c r="F3741" t="inlineStr">
        <is>
          <t>4</t>
        </is>
      </c>
      <c r="G3741" t="inlineStr">
        <is>
          <t>0</t>
        </is>
      </c>
      <c r="H3741" t="inlineStr">
        <is>
          <t>32², 64²</t>
        </is>
      </c>
      <c r="I3741" t="n">
        <v>4</v>
      </c>
      <c r="J3741" t="inlineStr">
        <is>
          <t>4¹⁶, 8⁸, 16⁴</t>
        </is>
      </c>
      <c r="K3741">
        <f>HYPERLINK("CSG6.html#group32E6", "32E⁶"), =HYPERLINK("CSG7.html#group64G7", "64G⁷"), =HYPERLINK("CSG7.html#group64H7", "64H⁷")</f>
        <v/>
      </c>
      <c r="L3741" t="inlineStr"/>
      <c r="M3741">
        <f>HYPERLINK("CSG1.html#group16D1", "16D¹"), =HYPERLINK("CSG6.html#group32E6", "32E⁶"), =HYPERLINK("CSG2.html#group16F2", "16F²"), =HYPERLINK("CSG0.html#group4C0", "4C⁰"), =HYPERLINK("CSG0.html#group8B0", "8B⁰"), =HYPERLINK("CSG3.html#group32H3", "32H³"), =HYPERLINK("CSG1.html#group16B1", "16B¹"), =HYPERLINK("CSG3.html#group32E3", "32E³"), =HYPERLINK("CSG0.html#group2B0", "2B⁰"), =HYPERLINK("CSG0.html#group8L0", "8L⁰"), =HYPERLINK("CSG7.html#group64H7", "64H⁷"), =HYPERLINK("CSG0.html#group1A0", "1A⁰"), =HYPERLINK("CSG7.html#group64G7", "64G⁷")</f>
        <v/>
      </c>
      <c r="N3741" t="inlineStr"/>
    </row>
    <row r="3742">
      <c r="A3742" t="inlineStr">
        <is>
          <t>64G¹⁴</t>
        </is>
      </c>
      <c r="B3742" t="inlineStr"/>
      <c r="C3742" t="inlineStr">
        <is>
          <t>192</t>
        </is>
      </c>
      <c r="D3742" t="inlineStr">
        <is>
          <t>2</t>
        </is>
      </c>
      <c r="E3742" t="inlineStr">
        <is>
          <t>48</t>
        </is>
      </c>
      <c r="F3742" t="inlineStr">
        <is>
          <t>4</t>
        </is>
      </c>
      <c r="G3742" t="inlineStr">
        <is>
          <t>0</t>
        </is>
      </c>
      <c r="H3742" t="inlineStr">
        <is>
          <t>32², 64²</t>
        </is>
      </c>
      <c r="I3742" t="n">
        <v>4</v>
      </c>
      <c r="J3742" t="inlineStr">
        <is>
          <t>4¹⁶, 8⁸, 16⁴</t>
        </is>
      </c>
      <c r="K3742">
        <f>HYPERLINK("CSG6.html#group32F6", "32F⁶"), =HYPERLINK("CSG7.html#group64I7", "64I⁷"), =HYPERLINK("CSG7.html#group64J7", "64J⁷")</f>
        <v/>
      </c>
      <c r="L3742" t="inlineStr"/>
      <c r="M3742">
        <f>HYPERLINK("CSG6.html#group32F6", "32F⁶"), =HYPERLINK("CSG1.html#group16D1", "16D¹"), =HYPERLINK("CSG2.html#group16F2", "16F²"), =HYPERLINK("CSG7.html#group64J7", "64J⁷"), =HYPERLINK("CSG0.html#group4C0", "4C⁰"), =HYPERLINK("CSG0.html#group8B0", "8B⁰"), =HYPERLINK("CSG1.html#group16B1", "16B¹"), =HYPERLINK("CSG0.html#group8L0", "8L⁰"), =HYPERLINK("CSG0.html#group2B0", "2B⁰"), =HYPERLINK("CSG3.html#group32G3", "32G³"), =HYPERLINK("CSG3.html#group32F3", "32F³"), =HYPERLINK("CSG0.html#group1A0", "1A⁰"), =HYPERLINK("CSG7.html#group64I7", "64I⁷")</f>
        <v/>
      </c>
      <c r="N3742" t="inlineStr"/>
    </row>
    <row r="3743">
      <c r="A3743" t="inlineStr">
        <is>
          <t>64H¹⁴</t>
        </is>
      </c>
      <c r="B3743" t="inlineStr"/>
      <c r="C3743" t="inlineStr">
        <is>
          <t>192</t>
        </is>
      </c>
      <c r="D3743" t="inlineStr">
        <is>
          <t>2</t>
        </is>
      </c>
      <c r="E3743" t="inlineStr">
        <is>
          <t>48</t>
        </is>
      </c>
      <c r="F3743" t="inlineStr">
        <is>
          <t>4</t>
        </is>
      </c>
      <c r="G3743" t="inlineStr">
        <is>
          <t>0</t>
        </is>
      </c>
      <c r="H3743" t="inlineStr">
        <is>
          <t>32², 64²</t>
        </is>
      </c>
      <c r="I3743" t="n">
        <v>4</v>
      </c>
      <c r="J3743" t="inlineStr">
        <is>
          <t>4¹⁶, 8⁸, 16⁴</t>
        </is>
      </c>
      <c r="K3743">
        <f>HYPERLINK("CSG6.html#group32F6", "32F⁶"), =HYPERLINK("CSG7.html#group64I7", "64I⁷"), =HYPERLINK("CSG7.html#group64J7", "64J⁷")</f>
        <v/>
      </c>
      <c r="L3743" t="inlineStr"/>
      <c r="M3743">
        <f>HYPERLINK("CSG6.html#group32F6", "32F⁶"), =HYPERLINK("CSG1.html#group16D1", "16D¹"), =HYPERLINK("CSG2.html#group16F2", "16F²"), =HYPERLINK("CSG7.html#group64J7", "64J⁷"), =HYPERLINK("CSG0.html#group4C0", "4C⁰"), =HYPERLINK("CSG0.html#group8B0", "8B⁰"), =HYPERLINK("CSG1.html#group16B1", "16B¹"), =HYPERLINK("CSG0.html#group8L0", "8L⁰"), =HYPERLINK("CSG0.html#group2B0", "2B⁰"), =HYPERLINK("CSG3.html#group32G3", "32G³"), =HYPERLINK("CSG3.html#group32F3", "32F³"), =HYPERLINK("CSG0.html#group1A0", "1A⁰"), =HYPERLINK("CSG7.html#group64I7", "64I⁷")</f>
        <v/>
      </c>
      <c r="N3743" t="inlineStr"/>
    </row>
    <row r="3744">
      <c r="A3744" t="inlineStr">
        <is>
          <t>64I¹⁴</t>
        </is>
      </c>
      <c r="B3744" t="inlineStr"/>
      <c r="C3744" t="inlineStr">
        <is>
          <t>256</t>
        </is>
      </c>
      <c r="D3744" t="inlineStr">
        <is>
          <t>2</t>
        </is>
      </c>
      <c r="E3744" t="inlineStr">
        <is>
          <t>128</t>
        </is>
      </c>
      <c r="F3744" t="inlineStr">
        <is>
          <t>4</t>
        </is>
      </c>
      <c r="G3744" t="inlineStr">
        <is>
          <t>16</t>
        </is>
      </c>
      <c r="H3744" t="inlineStr">
        <is>
          <t>64⁴</t>
        </is>
      </c>
      <c r="I3744" t="n">
        <v>4</v>
      </c>
      <c r="J3744" t="inlineStr">
        <is>
          <t>32⁸</t>
        </is>
      </c>
      <c r="K3744">
        <f>HYPERLINK("CSG6.html#group32G6", "32G⁶")</f>
        <v/>
      </c>
      <c r="L3744" t="inlineStr"/>
      <c r="M3744">
        <f>HYPERLINK("CSG0.html#group8F0", "8F⁰"), =HYPERLINK("CSG0.html#group16A0", "16A⁰"), =HYPERLINK("CSG0.html#group4A0", "4A⁰"), =HYPERLINK("CSG2.html#group16H2", "16H²"), =HYPERLINK("CSG0.html#group8A0", "8A⁰"), =HYPERLINK("CSG0.html#group8M0", "8M⁰"), =HYPERLINK("CSG0.html#group1A0", "1A⁰"), =HYPERLINK("CSG6.html#group32G6", "32G⁶")</f>
        <v/>
      </c>
      <c r="N3744" t="inlineStr"/>
    </row>
    <row r="3745">
      <c r="A3745" t="inlineStr">
        <is>
          <t>65A¹⁴</t>
        </is>
      </c>
      <c r="B3745" t="inlineStr"/>
      <c r="C3745" t="inlineStr">
        <is>
          <t>210</t>
        </is>
      </c>
      <c r="D3745" t="inlineStr">
        <is>
          <t>1</t>
        </is>
      </c>
      <c r="E3745" t="inlineStr">
        <is>
          <t>70</t>
        </is>
      </c>
      <c r="F3745" t="inlineStr">
        <is>
          <t>6</t>
        </is>
      </c>
      <c r="G3745" t="inlineStr">
        <is>
          <t>0</t>
        </is>
      </c>
      <c r="H3745" t="inlineStr">
        <is>
          <t>5³, 65³</t>
        </is>
      </c>
      <c r="I3745" t="n">
        <v>6</v>
      </c>
      <c r="J3745" t="inlineStr">
        <is>
          <t>1², 4², 12¹, 48¹</t>
        </is>
      </c>
      <c r="K3745">
        <f>HYPERLINK("CSG0.html#group5E0", "5E⁰"), =HYPERLINK("CSG4.html#group65A4", "65A⁴")</f>
        <v/>
      </c>
      <c r="L3745" t="inlineStr"/>
      <c r="M3745">
        <f>HYPERLINK("CSG0.html#group13A0", "13A⁰"), =HYPERLINK("CSG0.html#group5E0", "5E⁰"), =HYPERLINK("CSG0.html#group5A0", "5A⁰"), =HYPERLINK("CSG0.html#group1A0", "1A⁰"), =HYPERLINK("CSG4.html#group65A4", "65A⁴")</f>
        <v/>
      </c>
      <c r="N3745" t="inlineStr"/>
    </row>
    <row r="3746">
      <c r="A3746" t="inlineStr">
        <is>
          <t>65B¹⁴</t>
        </is>
      </c>
      <c r="B3746" t="inlineStr"/>
      <c r="C3746" t="inlineStr">
        <is>
          <t>210</t>
        </is>
      </c>
      <c r="D3746" t="inlineStr">
        <is>
          <t>1</t>
        </is>
      </c>
      <c r="E3746" t="inlineStr">
        <is>
          <t>70</t>
        </is>
      </c>
      <c r="F3746" t="inlineStr">
        <is>
          <t>6</t>
        </is>
      </c>
      <c r="G3746" t="inlineStr">
        <is>
          <t>0</t>
        </is>
      </c>
      <c r="H3746" t="inlineStr">
        <is>
          <t>5³, 65³</t>
        </is>
      </c>
      <c r="I3746" t="n">
        <v>6</v>
      </c>
      <c r="J3746" t="inlineStr">
        <is>
          <t>1², 4², 12¹, 48¹</t>
        </is>
      </c>
      <c r="K3746">
        <f>HYPERLINK("CSG0.html#group13C0", "13C⁰"), =HYPERLINK("CSG4.html#group65A4", "65A⁴")</f>
        <v/>
      </c>
      <c r="L3746" t="inlineStr"/>
      <c r="M3746">
        <f>HYPERLINK("CSG0.html#group13A0", "13A⁰"), =HYPERLINK("CSG0.html#group5A0", "5A⁰"), =HYPERLINK("CSG0.html#group13C0", "13C⁰"), =HYPERLINK("CSG0.html#group1A0", "1A⁰"), =HYPERLINK("CSG4.html#group65A4", "65A⁴")</f>
        <v/>
      </c>
      <c r="N3746" t="inlineStr"/>
    </row>
    <row r="3747">
      <c r="A3747" t="inlineStr">
        <is>
          <t>66A¹⁴</t>
        </is>
      </c>
      <c r="B3747" t="inlineStr"/>
      <c r="C3747" t="inlineStr">
        <is>
          <t>198</t>
        </is>
      </c>
      <c r="D3747" t="inlineStr">
        <is>
          <t>2</t>
        </is>
      </c>
      <c r="E3747" t="inlineStr">
        <is>
          <t>99</t>
        </is>
      </c>
      <c r="F3747" t="inlineStr">
        <is>
          <t>6</t>
        </is>
      </c>
      <c r="G3747" t="inlineStr">
        <is>
          <t>0</t>
        </is>
      </c>
      <c r="H3747" t="inlineStr">
        <is>
          <t>33², 66²</t>
        </is>
      </c>
      <c r="I3747" t="n">
        <v>4</v>
      </c>
      <c r="J3747" t="inlineStr">
        <is>
          <t>2³, 4³, 10⁶, 20⁶</t>
        </is>
      </c>
      <c r="K3747">
        <f>HYPERLINK("CSG0.html#group6G0", "6G⁰"), =HYPERLINK("CSG4.html#group33A4", "33A⁴"), =HYPERLINK("CSG6.html#group66F6", "66F⁶")</f>
        <v/>
      </c>
      <c r="L3747" t="inlineStr"/>
      <c r="M3747">
        <f>HYPERLINK("CSG0.html#group11A0", "11A⁰"), =HYPERLINK("CSG1.html#group33A1", "33A¹"), =HYPERLINK("CSG0.html#group6G0", "6G⁰"), =HYPERLINK("CSG0.html#group3C0", "3C⁰"), =HYPERLINK("CSG0.html#group2B0", "2B⁰"), =HYPERLINK("CSG6.html#group66F6", "66F⁶"), =HYPERLINK("CSG2.html#group22B2", "22B²"), =HYPERLINK("CSG0.html#group3A0", "3A⁰"), =HYPERLINK("CSG0.html#group1A0", "1A⁰"), =HYPERLINK("CSG0.html#group6D0", "6D⁰"), =HYPERLINK("CSG4.html#group33A4", "33A⁴")</f>
        <v/>
      </c>
      <c r="N3747" t="inlineStr"/>
    </row>
    <row r="3748">
      <c r="A3748" t="inlineStr">
        <is>
          <t>70A¹⁴</t>
        </is>
      </c>
      <c r="B3748" t="inlineStr"/>
      <c r="C3748" t="inlineStr">
        <is>
          <t>210</t>
        </is>
      </c>
      <c r="D3748" t="inlineStr">
        <is>
          <t>2</t>
        </is>
      </c>
      <c r="E3748" t="inlineStr">
        <is>
          <t>35</t>
        </is>
      </c>
      <c r="F3748" t="inlineStr">
        <is>
          <t>12</t>
        </is>
      </c>
      <c r="G3748" t="inlineStr">
        <is>
          <t>0</t>
        </is>
      </c>
      <c r="H3748" t="inlineStr">
        <is>
          <t>70³</t>
        </is>
      </c>
      <c r="I3748" t="n">
        <v>3</v>
      </c>
      <c r="J3748" t="inlineStr">
        <is>
          <t>2¹, 6², 8¹, 24²</t>
        </is>
      </c>
      <c r="K3748">
        <f>HYPERLINK("CSG4.html#group70A4", "70A⁴"), =HYPERLINK("CSG6.html#group35B6", "35B⁶")</f>
        <v/>
      </c>
      <c r="L3748" t="inlineStr"/>
      <c r="M3748">
        <f>HYPERLINK("CSG0.html#group14A0", "14A⁰"), =HYPERLINK("CSG0.html#group5A0", "5A⁰"), =HYPERLINK("CSG4.html#group70A4", "70A⁴"), =HYPERLINK("CSG0.html#group5E0", "5E⁰"), =HYPERLINK("CSG6.html#group35B6", "35B⁶"), =HYPERLINK("CSG0.html#group1A0", "1A⁰"), =HYPERLINK("CSG2.html#group35A2", "35A²"), =HYPERLINK("CSG0.html#group7A0", "7A⁰")</f>
        <v/>
      </c>
      <c r="N3748" t="inlineStr"/>
    </row>
    <row r="3749">
      <c r="A3749" t="inlineStr">
        <is>
          <t>70B¹⁴</t>
        </is>
      </c>
      <c r="B3749" t="inlineStr"/>
      <c r="C3749" t="inlineStr">
        <is>
          <t>210</t>
        </is>
      </c>
      <c r="D3749" t="inlineStr">
        <is>
          <t>2</t>
        </is>
      </c>
      <c r="E3749" t="inlineStr">
        <is>
          <t>105</t>
        </is>
      </c>
      <c r="F3749" t="inlineStr">
        <is>
          <t>12</t>
        </is>
      </c>
      <c r="G3749" t="inlineStr">
        <is>
          <t>0</t>
        </is>
      </c>
      <c r="H3749" t="inlineStr">
        <is>
          <t>70³</t>
        </is>
      </c>
      <c r="I3749" t="n">
        <v>3</v>
      </c>
      <c r="J3749" t="inlineStr">
        <is>
          <t>2¹, 4¹, 6², 8³, 12², 24⁶</t>
        </is>
      </c>
      <c r="K3749">
        <f>HYPERLINK("CSG1.html#group10E1", "10E¹"), =HYPERLINK("CSG6.html#group35B6", "35B⁶")</f>
        <v/>
      </c>
      <c r="L3749" t="inlineStr"/>
      <c r="M3749">
        <f>HYPERLINK("CSG0.html#group5A0", "5A⁰"), =HYPERLINK("CSG0.html#group5E0", "5E⁰"), =HYPERLINK("CSG6.html#group35B6", "35B⁶"), =HYPERLINK("CSG1.html#group10E1", "10E¹"), =HYPERLINK("CSG0.html#group1A0", "1A⁰"), =HYPERLINK("CSG2.html#group35A2", "35A²"), =HYPERLINK("CSG0.html#group7A0", "7A⁰")</f>
        <v/>
      </c>
      <c r="N3749" t="inlineStr"/>
    </row>
    <row r="3750">
      <c r="A3750" t="inlineStr">
        <is>
          <t>70C¹⁴</t>
        </is>
      </c>
      <c r="B3750" t="inlineStr"/>
      <c r="C3750" t="inlineStr">
        <is>
          <t>210</t>
        </is>
      </c>
      <c r="D3750" t="inlineStr">
        <is>
          <t>2</t>
        </is>
      </c>
      <c r="E3750" t="inlineStr">
        <is>
          <t>210</t>
        </is>
      </c>
      <c r="F3750" t="inlineStr">
        <is>
          <t>4</t>
        </is>
      </c>
      <c r="G3750" t="inlineStr">
        <is>
          <t>6</t>
        </is>
      </c>
      <c r="H3750" t="inlineStr">
        <is>
          <t>70³</t>
        </is>
      </c>
      <c r="I3750" t="n">
        <v>3</v>
      </c>
      <c r="J3750" t="inlineStr">
        <is>
          <t>6¹⁴, 24¹⁴</t>
        </is>
      </c>
      <c r="K3750">
        <f>HYPERLINK("CSG1.html#group14F1", "14F¹"), =HYPERLINK("CSG4.html#group70A4", "70A⁴")</f>
        <v/>
      </c>
      <c r="L3750" t="inlineStr"/>
      <c r="M3750">
        <f>HYPERLINK("CSG0.html#group14A0", "14A⁰"), =HYPERLINK("CSG0.html#group5A0", "5A⁰"), =HYPERLINK("CSG1.html#group14F1", "14F¹"), =HYPERLINK("CSG4.html#group70A4", "70A⁴"), =HYPERLINK("CSG0.html#group1A0", "1A⁰"), =HYPERLINK("CSG2.html#group35A2", "35A²"), =HYPERLINK("CSG0.html#group7A0", "7A⁰")</f>
        <v/>
      </c>
      <c r="N3750" t="inlineStr"/>
    </row>
    <row r="3751">
      <c r="A3751" t="inlineStr">
        <is>
          <t>70D¹⁴</t>
        </is>
      </c>
      <c r="B3751" t="inlineStr"/>
      <c r="C3751" t="inlineStr">
        <is>
          <t>240</t>
        </is>
      </c>
      <c r="D3751" t="inlineStr">
        <is>
          <t>1</t>
        </is>
      </c>
      <c r="E3751" t="inlineStr">
        <is>
          <t>40</t>
        </is>
      </c>
      <c r="F3751" t="inlineStr">
        <is>
          <t>0</t>
        </is>
      </c>
      <c r="G3751" t="inlineStr">
        <is>
          <t>12</t>
        </is>
      </c>
      <c r="H3751" t="inlineStr">
        <is>
          <t>10³, 70³</t>
        </is>
      </c>
      <c r="I3751" t="n">
        <v>6</v>
      </c>
      <c r="J3751" t="inlineStr">
        <is>
          <t>2², 4⁴, 12¹, 24²</t>
        </is>
      </c>
      <c r="K3751">
        <f>HYPERLINK("CSG4.html#group70B4", "70B⁴"), =HYPERLINK("CSG6.html#group35C6", "35C⁶")</f>
        <v/>
      </c>
      <c r="L3751" t="inlineStr"/>
      <c r="M3751">
        <f>HYPERLINK("CSG0.html#group2A0", "2A⁰"), =HYPERLINK("CSG0.html#group5A0", "5A⁰"), =HYPERLINK("CSG0.html#group10A0", "10A⁰"), =HYPERLINK("CSG4.html#group70B4", "70B⁴"), =HYPERLINK("CSG0.html#group7B0", "7B⁰"), =HYPERLINK("CSG0.html#group14B0", "14B⁰"), =HYPERLINK("CSG2.html#group35B2", "35B²"), =HYPERLINK("CSG6.html#group35C6", "35C⁶"), =HYPERLINK("CSG0.html#group1A0", "1A⁰")</f>
        <v/>
      </c>
      <c r="N3751" t="inlineStr"/>
    </row>
    <row r="3752">
      <c r="A3752" t="inlineStr">
        <is>
          <t>70E¹⁴</t>
        </is>
      </c>
      <c r="B3752" t="inlineStr"/>
      <c r="C3752" t="inlineStr">
        <is>
          <t>240</t>
        </is>
      </c>
      <c r="D3752" t="inlineStr">
        <is>
          <t>1</t>
        </is>
      </c>
      <c r="E3752" t="inlineStr">
        <is>
          <t>40</t>
        </is>
      </c>
      <c r="F3752" t="inlineStr">
        <is>
          <t>0</t>
        </is>
      </c>
      <c r="G3752" t="inlineStr">
        <is>
          <t>12</t>
        </is>
      </c>
      <c r="H3752" t="inlineStr">
        <is>
          <t>10³, 70³</t>
        </is>
      </c>
      <c r="I3752" t="n">
        <v>6</v>
      </c>
      <c r="J3752" t="inlineStr">
        <is>
          <t>2², 4⁴, 12¹, 24²</t>
        </is>
      </c>
      <c r="K3752">
        <f>HYPERLINK("CSG4.html#group70B4", "70B⁴"), =HYPERLINK("CSG6.html#group35D6", "35D⁶")</f>
        <v/>
      </c>
      <c r="L3752" t="inlineStr"/>
      <c r="M3752">
        <f>HYPERLINK("CSG0.html#group2A0", "2A⁰"), =HYPERLINK("CSG0.html#group5A0", "5A⁰"), =HYPERLINK("CSG0.html#group10A0", "10A⁰"), =HYPERLINK("CSG4.html#group70B4", "70B⁴"), =HYPERLINK("CSG0.html#group7B0", "7B⁰"), =HYPERLINK("CSG6.html#group35D6", "35D⁶"), =HYPERLINK("CSG0.html#group14B0", "14B⁰"), =HYPERLINK("CSG2.html#group35B2", "35B²"), =HYPERLINK("CSG0.html#group1A0", "1A⁰")</f>
        <v/>
      </c>
      <c r="N3752" t="inlineStr"/>
    </row>
    <row r="3753">
      <c r="A3753" t="inlineStr">
        <is>
          <t>70F¹⁴</t>
        </is>
      </c>
      <c r="B3753" t="inlineStr"/>
      <c r="C3753" t="inlineStr">
        <is>
          <t>240</t>
        </is>
      </c>
      <c r="D3753" t="inlineStr">
        <is>
          <t>1</t>
        </is>
      </c>
      <c r="E3753" t="inlineStr">
        <is>
          <t>80</t>
        </is>
      </c>
      <c r="F3753" t="inlineStr">
        <is>
          <t>0</t>
        </is>
      </c>
      <c r="G3753" t="inlineStr">
        <is>
          <t>12</t>
        </is>
      </c>
      <c r="H3753" t="inlineStr">
        <is>
          <t>10³, 70³</t>
        </is>
      </c>
      <c r="I3753" t="n">
        <v>6</v>
      </c>
      <c r="J3753" t="inlineStr">
        <is>
          <t>2², 4⁴, 12¹, 24²</t>
        </is>
      </c>
      <c r="K3753">
        <f>HYPERLINK("CSG0.html#group10E0", "10E⁰"), =HYPERLINK("CSG4.html#group70B4", "70B⁴")</f>
        <v/>
      </c>
      <c r="L3753" t="inlineStr"/>
      <c r="M3753">
        <f>HYPERLINK("CSG0.html#group2A0", "2A⁰"), =HYPERLINK("CSG0.html#group5A0", "5A⁰"), =HYPERLINK("CSG0.html#group10A0", "10A⁰"), =HYPERLINK("CSG4.html#group70B4", "70B⁴"), =HYPERLINK("CSG0.html#group10E0", "10E⁰"), =HYPERLINK("CSG0.html#group7B0", "7B⁰"), =HYPERLINK("CSG0.html#group14B0", "14B⁰"), =HYPERLINK("CSG2.html#group35B2", "35B²"), =HYPERLINK("CSG0.html#group1A0", "1A⁰")</f>
        <v/>
      </c>
      <c r="N3753" t="inlineStr"/>
    </row>
    <row r="3754">
      <c r="A3754" t="inlineStr">
        <is>
          <t>70G¹⁴</t>
        </is>
      </c>
      <c r="B3754" t="inlineStr"/>
      <c r="C3754" t="inlineStr">
        <is>
          <t>240</t>
        </is>
      </c>
      <c r="D3754" t="inlineStr">
        <is>
          <t>1</t>
        </is>
      </c>
      <c r="E3754" t="inlineStr">
        <is>
          <t>80</t>
        </is>
      </c>
      <c r="F3754" t="inlineStr">
        <is>
          <t>0</t>
        </is>
      </c>
      <c r="G3754" t="inlineStr">
        <is>
          <t>12</t>
        </is>
      </c>
      <c r="H3754" t="inlineStr">
        <is>
          <t>10³, 70³</t>
        </is>
      </c>
      <c r="I3754" t="n">
        <v>6</v>
      </c>
      <c r="J3754" t="inlineStr">
        <is>
          <t>1⁴, 4⁴, 6², 24²</t>
        </is>
      </c>
      <c r="K3754">
        <f>HYPERLINK("CSG0.html#group14C0", "14C⁰"), =HYPERLINK("CSG4.html#group70B4", "70B⁴")</f>
        <v/>
      </c>
      <c r="L3754" t="inlineStr"/>
      <c r="M3754">
        <f>HYPERLINK("CSG0.html#group2A0", "2A⁰"), =HYPERLINK("CSG0.html#group5A0", "5A⁰"), =HYPERLINK("CSG0.html#group10A0", "10A⁰"), =HYPERLINK("CSG4.html#group70B4", "70B⁴"), =HYPERLINK("CSG0.html#group7B0", "7B⁰"), =HYPERLINK("CSG0.html#group14B0", "14B⁰"), =HYPERLINK("CSG2.html#group35B2", "35B²"), =HYPERLINK("CSG0.html#group14C0", "14C⁰"), =HYPERLINK("CSG0.html#group1A0", "1A⁰")</f>
        <v/>
      </c>
      <c r="N3754" t="inlineStr"/>
    </row>
    <row r="3755">
      <c r="A3755" t="inlineStr">
        <is>
          <t>70H¹⁴</t>
        </is>
      </c>
      <c r="B3755" t="inlineStr"/>
      <c r="C3755" t="inlineStr">
        <is>
          <t>252</t>
        </is>
      </c>
      <c r="D3755" t="inlineStr">
        <is>
          <t>1</t>
        </is>
      </c>
      <c r="E3755" t="inlineStr">
        <is>
          <t>126</t>
        </is>
      </c>
      <c r="F3755" t="inlineStr">
        <is>
          <t>20</t>
        </is>
      </c>
      <c r="G3755" t="inlineStr">
        <is>
          <t>0</t>
        </is>
      </c>
      <c r="H3755" t="inlineStr">
        <is>
          <t>14³, 70³</t>
        </is>
      </c>
      <c r="I3755" t="n">
        <v>6</v>
      </c>
      <c r="J3755" t="inlineStr">
        <is>
          <t>3², 6⁶, 12¹, 24³</t>
        </is>
      </c>
      <c r="K3755">
        <f>HYPERLINK("CSG4.html#group70C4", "70C⁴"), =HYPERLINK("CSG6.html#group35E6", "35E⁶")</f>
        <v/>
      </c>
      <c r="L3755" t="inlineStr"/>
      <c r="M3755">
        <f>HYPERLINK("CSG2.html#group35C2", "35C²"), =HYPERLINK("CSG0.html#group7D0", "7D⁰"), =HYPERLINK("CSG4.html#group70C4", "70C⁴"), =HYPERLINK("CSG6.html#group35E6", "35E⁶"), =HYPERLINK("CSG0.html#group5B0", "5B⁰"), =HYPERLINK("CSG0.html#group1A0", "1A⁰"), =HYPERLINK("CSG0.html#group7A0", "7A⁰"), =HYPERLINK("CSG0.html#group10B0", "10B⁰")</f>
        <v/>
      </c>
      <c r="N3755" t="inlineStr"/>
    </row>
    <row r="3756">
      <c r="A3756" t="inlineStr">
        <is>
          <t>72A¹⁴</t>
        </is>
      </c>
      <c r="B3756" t="inlineStr"/>
      <c r="C3756" t="inlineStr">
        <is>
          <t>192</t>
        </is>
      </c>
      <c r="D3756" t="inlineStr">
        <is>
          <t>1</t>
        </is>
      </c>
      <c r="E3756" t="inlineStr">
        <is>
          <t>64</t>
        </is>
      </c>
      <c r="F3756" t="inlineStr">
        <is>
          <t>0</t>
        </is>
      </c>
      <c r="G3756" t="inlineStr">
        <is>
          <t>3</t>
        </is>
      </c>
      <c r="H3756" t="inlineStr">
        <is>
          <t>24², 72²</t>
        </is>
      </c>
      <c r="I3756" t="n">
        <v>4</v>
      </c>
      <c r="J3756" t="inlineStr">
        <is>
          <t>4⁸, 8⁴</t>
        </is>
      </c>
      <c r="K3756">
        <f>HYPERLINK("CSG3.html#group36C3", "36C³"), =HYPERLINK("CSG4.html#group24C4", "24C⁴")</f>
        <v/>
      </c>
      <c r="L3756" t="inlineStr"/>
      <c r="M3756">
        <f>HYPERLINK("CSG4.html#group24C4", "24C⁴"), =HYPERLINK("CSG0.html#group3B0", "3B⁰"), =HYPERLINK("CSG0.html#group8F0", "8F⁰"), =HYPERLINK("CSG0.html#group4A0", "4A⁰"), =HYPERLINK("CSG1.html#group12A1", "12A¹"), =HYPERLINK("CSG0.html#group9C0", "9C⁰"), =HYPERLINK("CSG0.html#group1A0", "1A⁰"), =HYPERLINK("CSG3.html#group36C3", "36C³")</f>
        <v/>
      </c>
      <c r="N3756" t="inlineStr"/>
    </row>
    <row r="3757">
      <c r="A3757" t="inlineStr">
        <is>
          <t>72B¹⁴</t>
        </is>
      </c>
      <c r="B3757" t="inlineStr"/>
      <c r="C3757" t="inlineStr">
        <is>
          <t>216</t>
        </is>
      </c>
      <c r="D3757" t="inlineStr">
        <is>
          <t>1</t>
        </is>
      </c>
      <c r="E3757" t="inlineStr">
        <is>
          <t>54</t>
        </is>
      </c>
      <c r="F3757" t="inlineStr">
        <is>
          <t>8</t>
        </is>
      </c>
      <c r="G3757" t="inlineStr">
        <is>
          <t>0</t>
        </is>
      </c>
      <c r="H3757" t="inlineStr">
        <is>
          <t>18⁴, 72²</t>
        </is>
      </c>
      <c r="I3757" t="n">
        <v>6</v>
      </c>
      <c r="J3757" t="inlineStr">
        <is>
          <t>2⁵, 4², 6², 12²</t>
        </is>
      </c>
      <c r="K3757">
        <f>HYPERLINK("CSG2.html#group24N2", "24N²"), =HYPERLINK("CSG6.html#group36C6", "36C⁶"), =HYPERLINK("CSG6.html#group72E6", "72E⁶")</f>
        <v/>
      </c>
      <c r="L3757" t="inlineStr"/>
      <c r="M3757">
        <f>HYPERLINK("CSG1.html#group24E1", "24E¹"), =HYPERLINK("CSG0.html#group6B0", "6B⁰"), =HYPERLINK("CSG0.html#group12C0", "12C⁰"), =HYPERLINK("CSG0.html#group3A0", "3A⁰"), =HYPERLINK("CSG2.html#group24N2", "24N²"), =HYPERLINK("CSG0.html#group4C0", "4C⁰"), =HYPERLINK("CSG2.html#group36B2", "36B²"), =HYPERLINK("CSG1.html#group18B1", "18B¹"), =HYPERLINK("CSG0.html#group2B0", "2B⁰"), =HYPERLINK("CSG0.html#group1A0", "1A⁰"), =HYPERLINK("CSG3.html#group18D3", "18D³"), =HYPERLINK("CSG6.html#group72E6", "72E⁶"), =HYPERLINK("CSG6.html#group36C6", "36C⁶"), =HYPERLINK("CSG0.html#group9A0", "9A⁰"), =HYPERLINK("CSG1.html#group18E1", "18E¹"), =HYPERLINK("CSG0.html#group12D0", "12D⁰"), =HYPERLINK("CSG0.html#group6H0", "6H⁰"), =HYPERLINK("CSG0.html#group12H0", "12H⁰"), =HYPERLINK("CSG3.html#group36D3", "36D³"), =HYPERLINK("CSG1.html#group18A1", "18A¹"), =HYPERLINK("CSG0.html#group6D0", "6D⁰")</f>
        <v/>
      </c>
      <c r="N3757" t="inlineStr"/>
    </row>
    <row r="3758">
      <c r="A3758" t="inlineStr">
        <is>
          <t>72C¹⁴</t>
        </is>
      </c>
      <c r="B3758" t="inlineStr"/>
      <c r="C3758" t="inlineStr">
        <is>
          <t>216</t>
        </is>
      </c>
      <c r="D3758" t="inlineStr">
        <is>
          <t>1</t>
        </is>
      </c>
      <c r="E3758" t="inlineStr">
        <is>
          <t>54</t>
        </is>
      </c>
      <c r="F3758" t="inlineStr">
        <is>
          <t>8</t>
        </is>
      </c>
      <c r="G3758" t="inlineStr">
        <is>
          <t>0</t>
        </is>
      </c>
      <c r="H3758" t="inlineStr">
        <is>
          <t>18⁴, 72²</t>
        </is>
      </c>
      <c r="I3758" t="n">
        <v>6</v>
      </c>
      <c r="J3758" t="inlineStr">
        <is>
          <t>1², 2⁴, 4², 6², 12²</t>
        </is>
      </c>
      <c r="K3758">
        <f>HYPERLINK("CSG2.html#group24O2", "24O²"), =HYPERLINK("CSG6.html#group36C6", "36C⁶"), =HYPERLINK("CSG6.html#group72C6", "72C⁶"), =HYPERLINK("CSG6.html#group72D6", "72D⁶")</f>
        <v/>
      </c>
      <c r="L3758" t="inlineStr"/>
      <c r="M3758">
        <f>HYPERLINK("CSG2.html#group24O2", "24O²"), =HYPERLINK("CSG1.html#group24E1", "24E¹"), =HYPERLINK("CSG0.html#group6B0", "6B⁰"), =HYPERLINK("CSG0.html#group12C0", "12C⁰"), =HYPERLINK("CSG0.html#group8D0", "8D⁰"), =HYPERLINK("CSG0.html#group6H0", "6H⁰"), =HYPERLINK("CSG2.html#group36B2", "36B²"), =HYPERLINK("CSG0.html#group4C0", "4C⁰"), =HYPERLINK("CSG1.html#group18B1", "18B¹"), =HYPERLINK("CSG0.html#group2B0", "2B⁰"), =HYPERLINK("CSG0.html#group12H0", "12H⁰"), =HYPERLINK("CSG0.html#group1A0", "1A⁰"), =HYPERLINK("CSG6.html#group72C6", "72C⁶"), =HYPERLINK("CSG3.html#group18D3", "18D³"), =HYPERLINK("CSG6.html#group72D6", "72D⁶"), =HYPERLINK("CSG6.html#group36C6", "36C⁶"), =HYPERLINK("CSG0.html#group9A0", "9A⁰"), =HYPERLINK("CSG1.html#group24C1", "24C¹"), =HYPERLINK("CSG0.html#group12D0", "12D⁰"), =HYPERLINK("CSG1.html#group18E1", "18E¹"), =HYPERLINK("CSG0.html#group3A0", "3A⁰"), =HYPERLINK("CSG3.html#group36D3", "36D³"), =HYPERLINK("CSG1.html#group18A1", "18A¹"), =HYPERLINK("CSG0.html#group6D0", "6D⁰")</f>
        <v/>
      </c>
      <c r="N3758" t="inlineStr"/>
    </row>
    <row r="3759">
      <c r="A3759" t="inlineStr">
        <is>
          <t>72D¹⁴</t>
        </is>
      </c>
      <c r="B3759" t="inlineStr"/>
      <c r="C3759" t="inlineStr">
        <is>
          <t>216</t>
        </is>
      </c>
      <c r="D3759" t="inlineStr">
        <is>
          <t>1</t>
        </is>
      </c>
      <c r="E3759" t="inlineStr">
        <is>
          <t>54</t>
        </is>
      </c>
      <c r="F3759" t="inlineStr">
        <is>
          <t>12</t>
        </is>
      </c>
      <c r="G3759" t="inlineStr">
        <is>
          <t>0</t>
        </is>
      </c>
      <c r="H3759" t="inlineStr">
        <is>
          <t>36², 72²</t>
        </is>
      </c>
      <c r="I3759" t="n">
        <v>4</v>
      </c>
      <c r="J3759" t="inlineStr">
        <is>
          <t>1², 2⁴, 4², 6², 12²</t>
        </is>
      </c>
      <c r="K3759">
        <f>HYPERLINK("CSG4.html#group24K4", "24K⁴"), =HYPERLINK("CSG6.html#group36F6", "36F⁶"), =HYPERLINK("CSG6.html#group72B6", "72B⁶"), =HYPERLINK("CSG6.html#group72D6", "72D⁶")</f>
        <v/>
      </c>
      <c r="L3759" t="inlineStr"/>
      <c r="M3759">
        <f>HYPERLINK("CSG1.html#group24E1", "24E¹"), =HYPERLINK("CSG0.html#group12C0", "12C⁰"), =HYPERLINK("CSG0.html#group4C0", "4C⁰"), =HYPERLINK("CSG2.html#group36B2", "36B²"), =HYPERLINK("CSG0.html#group2B0", "2B⁰"), =HYPERLINK("CSG2.html#group24C2", "24C²"), =HYPERLINK("CSG6.html#group72B6", "72B⁶"), =HYPERLINK("CSG0.html#group1A0", "1A⁰"), =HYPERLINK("CSG1.html#group36A1", "36A¹"), =HYPERLINK("CSG6.html#group36F6", "36F⁶"), =HYPERLINK("CSG0.html#group12A0", "12A⁰"), =HYPERLINK("CSG6.html#group72D6", "72D⁶"), =HYPERLINK("CSG0.html#group4A0", "4A⁰"), =HYPERLINK("CSG0.html#group9A0", "9A⁰"), =HYPERLINK("CSG4.html#group24K4", "24K⁴"), =HYPERLINK("CSG1.html#group12J1", "12J¹"), =HYPERLINK("CSG0.html#group4F0", "4F⁰"), =HYPERLINK("CSG1.html#group18E1", "18E¹"), =HYPERLINK("CSG0.html#group3A0", "3A⁰"), =HYPERLINK("CSG0.html#group6D0", "6D⁰")</f>
        <v/>
      </c>
      <c r="N3759" t="inlineStr"/>
    </row>
    <row r="3760">
      <c r="A3760" t="inlineStr">
        <is>
          <t>72E¹⁴</t>
        </is>
      </c>
      <c r="B3760" t="inlineStr"/>
      <c r="C3760" t="inlineStr">
        <is>
          <t>216</t>
        </is>
      </c>
      <c r="D3760" t="inlineStr">
        <is>
          <t>1</t>
        </is>
      </c>
      <c r="E3760" t="inlineStr">
        <is>
          <t>54</t>
        </is>
      </c>
      <c r="F3760" t="inlineStr">
        <is>
          <t>12</t>
        </is>
      </c>
      <c r="G3760" t="inlineStr">
        <is>
          <t>0</t>
        </is>
      </c>
      <c r="H3760" t="inlineStr">
        <is>
          <t>36², 72²</t>
        </is>
      </c>
      <c r="I3760" t="n">
        <v>4</v>
      </c>
      <c r="J3760" t="inlineStr">
        <is>
          <t>1², 2⁴, 4², 6², 12²</t>
        </is>
      </c>
      <c r="K3760">
        <f>HYPERLINK("CSG4.html#group24L4", "24L⁴"), =HYPERLINK("CSG6.html#group36E6", "36E⁶"), =HYPERLINK("CSG6.html#group72B6", "72B⁶"), =HYPERLINK("CSG6.html#group72C6", "72C⁶")</f>
        <v/>
      </c>
      <c r="L3760" t="inlineStr"/>
      <c r="M3760">
        <f>HYPERLINK("CSG0.html#group12C0", "12C⁰"), =HYPERLINK("CSG6.html#group36E6", "36E⁶"), =HYPERLINK("CSG0.html#group8D0", "8D⁰"), =HYPERLINK("CSG2.html#group36B2", "36B²"), =HYPERLINK("CSG0.html#group4C0", "4C⁰"), =HYPERLINK("CSG0.html#group2B0", "2B⁰"), =HYPERLINK("CSG1.html#group12M1", "12M¹"), =HYPERLINK("CSG2.html#group24C2", "24C²"), =HYPERLINK("CSG6.html#group72B6", "72B⁶"), =HYPERLINK("CSG0.html#group1A0", "1A⁰"), =HYPERLINK("CSG6.html#group72C6", "72C⁶"), =HYPERLINK("CSG0.html#group9A0", "9A⁰"), =HYPERLINK("CSG1.html#group24C1", "24C¹"), =HYPERLINK("CSG1.html#group18E1", "18E¹"), =HYPERLINK("CSG0.html#group3A0", "3A⁰"), =HYPERLINK("CSG4.html#group24L4", "24L⁴"), =HYPERLINK("CSG0.html#group6D0", "6D⁰")</f>
        <v/>
      </c>
      <c r="N3760" t="inlineStr"/>
    </row>
    <row r="3761">
      <c r="A3761" t="inlineStr">
        <is>
          <t>72F¹⁴</t>
        </is>
      </c>
      <c r="B3761" t="inlineStr"/>
      <c r="C3761" t="inlineStr">
        <is>
          <t>216</t>
        </is>
      </c>
      <c r="D3761" t="inlineStr">
        <is>
          <t>1</t>
        </is>
      </c>
      <c r="E3761" t="inlineStr">
        <is>
          <t>108</t>
        </is>
      </c>
      <c r="F3761" t="inlineStr">
        <is>
          <t>10</t>
        </is>
      </c>
      <c r="G3761" t="inlineStr">
        <is>
          <t>0</t>
        </is>
      </c>
      <c r="H3761" t="inlineStr">
        <is>
          <t>36⁴, 72¹</t>
        </is>
      </c>
      <c r="I3761" t="n">
        <v>5</v>
      </c>
      <c r="J3761" t="inlineStr">
        <is>
          <t>2², 4⁴, 8², 12², 24²</t>
        </is>
      </c>
      <c r="K3761">
        <f>HYPERLINK("CSG3.html#group24J3", "24J³"), =HYPERLINK("CSG6.html#group36F6", "36F⁶")</f>
        <v/>
      </c>
      <c r="L3761" t="inlineStr"/>
      <c r="M3761">
        <f>HYPERLINK("CSG0.html#group12C0", "12C⁰"), =HYPERLINK("CSG2.html#group36B2", "36B²"), =HYPERLINK("CSG0.html#group4C0", "4C⁰"), =HYPERLINK("CSG0.html#group2B0", "2B⁰"), =HYPERLINK("CSG0.html#group1A0", "1A⁰"), =HYPERLINK("CSG0.html#group8K0", "8K⁰"), =HYPERLINK("CSG3.html#group24J3", "24J³"), =HYPERLINK("CSG1.html#group36A1", "36A¹"), =HYPERLINK("CSG6.html#group36F6", "36F⁶"), =HYPERLINK("CSG0.html#group12A0", "12A⁰"), =HYPERLINK("CSG0.html#group4A0", "4A⁰"), =HYPERLINK("CSG0.html#group9A0", "9A⁰"), =HYPERLINK("CSG1.html#group12J1", "12J¹"), =HYPERLINK("CSG0.html#group4F0", "4F⁰"), =HYPERLINK("CSG1.html#group18E1", "18E¹"), =HYPERLINK("CSG0.html#group3A0", "3A⁰"), =HYPERLINK("CSG0.html#group6D0", "6D⁰")</f>
        <v/>
      </c>
      <c r="N3761" t="inlineStr"/>
    </row>
    <row r="3762">
      <c r="A3762" t="inlineStr">
        <is>
          <t>72G¹⁴</t>
        </is>
      </c>
      <c r="B3762" t="inlineStr"/>
      <c r="C3762" t="inlineStr">
        <is>
          <t>216</t>
        </is>
      </c>
      <c r="D3762" t="inlineStr">
        <is>
          <t>1</t>
        </is>
      </c>
      <c r="E3762" t="inlineStr">
        <is>
          <t>108</t>
        </is>
      </c>
      <c r="F3762" t="inlineStr">
        <is>
          <t>10</t>
        </is>
      </c>
      <c r="G3762" t="inlineStr">
        <is>
          <t>0</t>
        </is>
      </c>
      <c r="H3762" t="inlineStr">
        <is>
          <t>36⁴, 72¹</t>
        </is>
      </c>
      <c r="I3762" t="n">
        <v>5</v>
      </c>
      <c r="J3762" t="inlineStr">
        <is>
          <t>2², 4⁴, 8², 12², 24²</t>
        </is>
      </c>
      <c r="K3762">
        <f>HYPERLINK("CSG3.html#group24R3", "24R³"), =HYPERLINK("CSG6.html#group36F6", "36F⁶")</f>
        <v/>
      </c>
      <c r="L3762" t="inlineStr"/>
      <c r="M3762">
        <f>HYPERLINK("CSG0.html#group12C0", "12C⁰"), =HYPERLINK("CSG2.html#group36B2", "36B²"), =HYPERLINK("CSG0.html#group4C0", "4C⁰"), =HYPERLINK("CSG0.html#group2B0", "2B⁰"), =HYPERLINK("CSG0.html#group1A0", "1A⁰"), =HYPERLINK("CSG1.html#group36A1", "36A¹"), =HYPERLINK("CSG6.html#group36F6", "36F⁶"), =HYPERLINK("CSG0.html#group12A0", "12A⁰"), =HYPERLINK("CSG0.html#group4A0", "4A⁰"), =HYPERLINK("CSG0.html#group9A0", "9A⁰"), =HYPERLINK("CSG3.html#group24R3", "24R³"), =HYPERLINK("CSG1.html#group12J1", "12J¹"), =HYPERLINK("CSG0.html#group4F0", "4F⁰"), =HYPERLINK("CSG1.html#group18E1", "18E¹"), =HYPERLINK("CSG0.html#group3A0", "3A⁰"), =HYPERLINK("CSG0.html#group6D0", "6D⁰")</f>
        <v/>
      </c>
      <c r="N3762" t="inlineStr"/>
    </row>
    <row r="3763">
      <c r="A3763" t="inlineStr">
        <is>
          <t>72H¹⁴</t>
        </is>
      </c>
      <c r="B3763" t="inlineStr"/>
      <c r="C3763" t="inlineStr">
        <is>
          <t>216</t>
        </is>
      </c>
      <c r="D3763" t="inlineStr">
        <is>
          <t>2</t>
        </is>
      </c>
      <c r="E3763" t="inlineStr">
        <is>
          <t>54</t>
        </is>
      </c>
      <c r="F3763" t="inlineStr">
        <is>
          <t>12</t>
        </is>
      </c>
      <c r="G3763" t="inlineStr">
        <is>
          <t>0</t>
        </is>
      </c>
      <c r="H3763" t="inlineStr">
        <is>
          <t>36², 72²</t>
        </is>
      </c>
      <c r="I3763" t="n">
        <v>4</v>
      </c>
      <c r="J3763" t="inlineStr">
        <is>
          <t>2⁶, 4⁶, 6⁴, 12⁴</t>
        </is>
      </c>
      <c r="K3763">
        <f>HYPERLINK("CSG4.html#group24P4", "24P⁴"), =HYPERLINK("CSG6.html#group36I6", "36I⁶"), =HYPERLINK("CSG6.html#group72B6", "72B⁶"), =HYPERLINK("CSG6.html#group72E6", "72E⁶")</f>
        <v/>
      </c>
      <c r="L3763" t="inlineStr"/>
      <c r="M3763">
        <f>HYPERLINK("CSG1.html#group24E1", "24E¹"), =HYPERLINK("CSG0.html#group12C0", "12C⁰"), =HYPERLINK("CSG4.html#group24P4", "24P⁴"), =HYPERLINK("CSG0.html#group4C0", "4C⁰"), =HYPERLINK("CSG2.html#group36B2", "36B²"), =HYPERLINK("CSG1.html#group12M1", "12M¹"), =HYPERLINK("CSG0.html#group2B0", "2B⁰"), =HYPERLINK("CSG2.html#group24C2", "24C²"), =HYPERLINK("CSG6.html#group72B6", "72B⁶"), =HYPERLINK("CSG0.html#group1A0", "1A⁰"), =HYPERLINK("CSG6.html#group72E6", "72E⁶"), =HYPERLINK("CSG6.html#group36I6", "36I⁶"), =HYPERLINK("CSG0.html#group9A0", "9A⁰"), =HYPERLINK("CSG1.html#group18E1", "18E¹"), =HYPERLINK("CSG0.html#group3A0", "3A⁰"), =HYPERLINK("CSG0.html#group6D0", "6D⁰")</f>
        <v/>
      </c>
      <c r="N3763" t="inlineStr"/>
    </row>
    <row r="3764">
      <c r="A3764" t="inlineStr">
        <is>
          <t>72I¹⁴</t>
        </is>
      </c>
      <c r="B3764" t="inlineStr"/>
      <c r="C3764" t="inlineStr">
        <is>
          <t>216</t>
        </is>
      </c>
      <c r="D3764" t="inlineStr">
        <is>
          <t>2</t>
        </is>
      </c>
      <c r="E3764" t="inlineStr">
        <is>
          <t>108</t>
        </is>
      </c>
      <c r="F3764" t="inlineStr">
        <is>
          <t>6</t>
        </is>
      </c>
      <c r="G3764" t="inlineStr">
        <is>
          <t>6</t>
        </is>
      </c>
      <c r="H3764" t="inlineStr">
        <is>
          <t>72³</t>
        </is>
      </c>
      <c r="I3764" t="n">
        <v>3</v>
      </c>
      <c r="J3764" t="inlineStr">
        <is>
          <t>12², 24⁸</t>
        </is>
      </c>
      <c r="K3764">
        <f>HYPERLINK("CSG0.html#group8A0", "8A⁰"), =HYPERLINK("CSG6.html#group36G6", "36G⁶")</f>
        <v/>
      </c>
      <c r="L3764" t="inlineStr"/>
      <c r="M3764">
        <f>HYPERLINK("CSG0.html#group8A0", "8A⁰"), =HYPERLINK("CSG0.html#group9F0", "9F⁰"), =HYPERLINK("CSG0.html#group1A0", "1A⁰"), =HYPERLINK("CSG0.html#group4A0", "4A⁰"), =HYPERLINK("CSG6.html#group36G6", "36G⁶")</f>
        <v/>
      </c>
      <c r="N3764" t="inlineStr"/>
    </row>
    <row r="3765">
      <c r="A3765" t="inlineStr">
        <is>
          <t>72J¹⁴</t>
        </is>
      </c>
      <c r="B3765" t="inlineStr"/>
      <c r="C3765" t="inlineStr">
        <is>
          <t>216</t>
        </is>
      </c>
      <c r="D3765" t="inlineStr">
        <is>
          <t>2</t>
        </is>
      </c>
      <c r="E3765" t="inlineStr">
        <is>
          <t>108</t>
        </is>
      </c>
      <c r="F3765" t="inlineStr">
        <is>
          <t>10</t>
        </is>
      </c>
      <c r="G3765" t="inlineStr">
        <is>
          <t>0</t>
        </is>
      </c>
      <c r="H3765" t="inlineStr">
        <is>
          <t>36⁴, 72¹</t>
        </is>
      </c>
      <c r="I3765" t="n">
        <v>5</v>
      </c>
      <c r="J3765" t="inlineStr">
        <is>
          <t>4⁶, 8⁶, 12⁴, 24⁴</t>
        </is>
      </c>
      <c r="K3765">
        <f>HYPERLINK("CSG3.html#group24R3", "24R³"), =HYPERLINK("CSG6.html#group36F6", "36F⁶")</f>
        <v/>
      </c>
      <c r="L3765" t="inlineStr"/>
      <c r="M3765">
        <f>HYPERLINK("CSG0.html#group12C0", "12C⁰"), =HYPERLINK("CSG2.html#group36B2", "36B²"), =HYPERLINK("CSG0.html#group4C0", "4C⁰"), =HYPERLINK("CSG0.html#group2B0", "2B⁰"), =HYPERLINK("CSG0.html#group1A0", "1A⁰"), =HYPERLINK("CSG1.html#group36A1", "36A¹"), =HYPERLINK("CSG6.html#group36F6", "36F⁶"), =HYPERLINK("CSG0.html#group12A0", "12A⁰"), =HYPERLINK("CSG0.html#group4A0", "4A⁰"), =HYPERLINK("CSG0.html#group9A0", "9A⁰"), =HYPERLINK("CSG3.html#group24R3", "24R³"), =HYPERLINK("CSG1.html#group12J1", "12J¹"), =HYPERLINK("CSG0.html#group4F0", "4F⁰"), =HYPERLINK("CSG1.html#group18E1", "18E¹"), =HYPERLINK("CSG0.html#group3A0", "3A⁰"), =HYPERLINK("CSG0.html#group6D0", "6D⁰")</f>
        <v/>
      </c>
      <c r="N3765" t="inlineStr"/>
    </row>
    <row r="3766">
      <c r="A3766" t="inlineStr">
        <is>
          <t>72K¹⁴</t>
        </is>
      </c>
      <c r="B3766" t="inlineStr"/>
      <c r="C3766" t="inlineStr">
        <is>
          <t>216</t>
        </is>
      </c>
      <c r="D3766" t="inlineStr">
        <is>
          <t>2</t>
        </is>
      </c>
      <c r="E3766" t="inlineStr">
        <is>
          <t>108</t>
        </is>
      </c>
      <c r="F3766" t="inlineStr">
        <is>
          <t>12</t>
        </is>
      </c>
      <c r="G3766" t="inlineStr">
        <is>
          <t>0</t>
        </is>
      </c>
      <c r="H3766" t="inlineStr">
        <is>
          <t>36², 72²</t>
        </is>
      </c>
      <c r="I3766" t="n">
        <v>4</v>
      </c>
      <c r="J3766" t="inlineStr">
        <is>
          <t>4¹⁸, 12¹²</t>
        </is>
      </c>
      <c r="K3766">
        <f>HYPERLINK("CSG4.html#group24Q4", "24Q⁴"), =HYPERLINK("CSG5.html#group36K5", "36K⁵")</f>
        <v/>
      </c>
      <c r="L3766" t="inlineStr"/>
      <c r="M3766">
        <f>HYPERLINK("CSG4.html#group24Q4", "24Q⁴"), =HYPERLINK("CSG0.html#group6B0", "6B⁰"), =HYPERLINK("CSG3.html#group36E3", "36E³"), =HYPERLINK("CSG5.html#group36K5", "36K⁵"), =HYPERLINK("CSG0.html#group2B0", "2B⁰"), =HYPERLINK("CSG1.html#group12N1", "12N¹"), =HYPERLINK("CSG0.html#group1A0", "1A⁰"), =HYPERLINK("CSG0.html#group18A0", "18A⁰"), =HYPERLINK("CSG2.html#group18L2", "18L²"), =HYPERLINK("CSG1.html#group12C1", "12C¹"), =HYPERLINK("CSG0.html#group9A0", "9A⁰"), =HYPERLINK("CSG1.html#group18E1", "18E¹"), =HYPERLINK("CSG0.html#group12D0", "12D⁰"), =HYPERLINK("CSG0.html#group6H0", "6H⁰"), =HYPERLINK("CSG0.html#group3A0", "3A⁰"), =HYPERLINK("CSG0.html#group6D0", "6D⁰"), =HYPERLINK("CSG2.html#group36C2", "36C²")</f>
        <v/>
      </c>
      <c r="N3766" t="inlineStr"/>
    </row>
    <row r="3767">
      <c r="A3767" t="inlineStr">
        <is>
          <t>72L¹⁴</t>
        </is>
      </c>
      <c r="B3767" t="inlineStr"/>
      <c r="C3767" t="inlineStr">
        <is>
          <t>216</t>
        </is>
      </c>
      <c r="D3767" t="inlineStr">
        <is>
          <t>2</t>
        </is>
      </c>
      <c r="E3767" t="inlineStr">
        <is>
          <t>108</t>
        </is>
      </c>
      <c r="F3767" t="inlineStr">
        <is>
          <t>14</t>
        </is>
      </c>
      <c r="G3767" t="inlineStr">
        <is>
          <t>0</t>
        </is>
      </c>
      <c r="H3767" t="inlineStr">
        <is>
          <t>72³</t>
        </is>
      </c>
      <c r="I3767" t="n">
        <v>3</v>
      </c>
      <c r="J3767" t="inlineStr">
        <is>
          <t>12², 24⁸</t>
        </is>
      </c>
      <c r="K3767">
        <f>HYPERLINK("CSG4.html#group72A4", "72A⁴"), =HYPERLINK("CSG5.html#group36J5", "36J⁵")</f>
        <v/>
      </c>
      <c r="L3767" t="inlineStr"/>
      <c r="M3767">
        <f>HYPERLINK("CSG1.html#group36A1", "36A¹"), =HYPERLINK("CSG5.html#group36J5", "36J⁵"), =HYPERLINK("CSG0.html#group12A0", "12A⁰"), =HYPERLINK("CSG1.html#group24A1", "24A¹"), =HYPERLINK("CSG0.html#group4A0", "4A⁰"), =HYPERLINK("CSG0.html#group9A0", "9A⁰"), =HYPERLINK("CSG0.html#group9G0", "9G⁰"), =HYPERLINK("CSG0.html#group8A0", "8A⁰"), =HYPERLINK("CSG0.html#group3A0", "3A⁰"), =HYPERLINK("CSG0.html#group1A0", "1A⁰"), =HYPERLINK("CSG4.html#group72A4", "72A⁴")</f>
        <v/>
      </c>
      <c r="N3767" t="inlineStr"/>
    </row>
    <row r="3768">
      <c r="A3768" t="inlineStr">
        <is>
          <t>72M¹⁴</t>
        </is>
      </c>
      <c r="B3768" t="inlineStr"/>
      <c r="C3768" t="inlineStr">
        <is>
          <t>216</t>
        </is>
      </c>
      <c r="D3768" t="inlineStr">
        <is>
          <t>2</t>
        </is>
      </c>
      <c r="E3768" t="inlineStr">
        <is>
          <t>108</t>
        </is>
      </c>
      <c r="F3768" t="inlineStr">
        <is>
          <t>14</t>
        </is>
      </c>
      <c r="G3768" t="inlineStr">
        <is>
          <t>0</t>
        </is>
      </c>
      <c r="H3768" t="inlineStr">
        <is>
          <t>72³</t>
        </is>
      </c>
      <c r="I3768" t="n">
        <v>3</v>
      </c>
      <c r="J3768" t="inlineStr">
        <is>
          <t>12², 24⁸</t>
        </is>
      </c>
      <c r="K3768">
        <f>HYPERLINK("CSG4.html#group72C4", "72C⁴"), =HYPERLINK("CSG4.html#group72D4", "72D⁴"), =HYPERLINK("CSG5.html#group36J5", "36J⁵")</f>
        <v/>
      </c>
      <c r="L3768" t="inlineStr"/>
      <c r="M3768">
        <f>HYPERLINK("CSG1.html#group36A1", "36A¹"), =HYPERLINK("CSG5.html#group36J5", "36J⁵"), =HYPERLINK("CSG0.html#group12A0", "12A⁰"), =HYPERLINK("CSG0.html#group4A0", "4A⁰"), =HYPERLINK("CSG0.html#group9A0", "9A⁰"), =HYPERLINK("CSG0.html#group9G0", "9G⁰"), =HYPERLINK("CSG4.html#group72C4", "72C⁴"), =HYPERLINK("CSG1.html#group24B1", "24B¹"), =HYPERLINK("CSG4.html#group72D4", "72D⁴"), =HYPERLINK("CSG0.html#group3A0", "3A⁰"), =HYPERLINK("CSG0.html#group1A0", "1A⁰")</f>
        <v/>
      </c>
      <c r="N3768" t="inlineStr"/>
    </row>
    <row r="3769">
      <c r="A3769" t="inlineStr">
        <is>
          <t>72N¹⁴</t>
        </is>
      </c>
      <c r="B3769" t="inlineStr"/>
      <c r="C3769" t="inlineStr">
        <is>
          <t>216</t>
        </is>
      </c>
      <c r="D3769" t="inlineStr">
        <is>
          <t>2</t>
        </is>
      </c>
      <c r="E3769" t="inlineStr">
        <is>
          <t>108</t>
        </is>
      </c>
      <c r="F3769" t="inlineStr">
        <is>
          <t>14</t>
        </is>
      </c>
      <c r="G3769" t="inlineStr">
        <is>
          <t>0</t>
        </is>
      </c>
      <c r="H3769" t="inlineStr">
        <is>
          <t>72³</t>
        </is>
      </c>
      <c r="I3769" t="n">
        <v>3</v>
      </c>
      <c r="J3769" t="inlineStr">
        <is>
          <t>24¹⁸</t>
        </is>
      </c>
      <c r="K3769">
        <f>HYPERLINK("CSG4.html#group72B4", "72B⁴"), =HYPERLINK("CSG4.html#group72C4", "72C⁴"), =HYPERLINK("CSG5.html#group36J5", "36J⁵")</f>
        <v/>
      </c>
      <c r="L3769" t="inlineStr"/>
      <c r="M3769">
        <f>HYPERLINK("CSG1.html#group36A1", "36A¹"), =HYPERLINK("CSG5.html#group36J5", "36J⁵"), =HYPERLINK("CSG0.html#group12A0", "12A⁰"), =HYPERLINK("CSG4.html#group72B4", "72B⁴"), =HYPERLINK("CSG0.html#group4A0", "4A⁰"), =HYPERLINK("CSG0.html#group9A0", "9A⁰"), =HYPERLINK("CSG0.html#group9G0", "9G⁰"), =HYPERLINK("CSG4.html#group72C4", "72C⁴"), =HYPERLINK("CSG1.html#group24B1", "24B¹"), =HYPERLINK("CSG0.html#group3A0", "3A⁰"), =HYPERLINK("CSG0.html#group1A0", "1A⁰")</f>
        <v/>
      </c>
      <c r="N3769" t="inlineStr"/>
    </row>
    <row r="3770">
      <c r="A3770" t="inlineStr">
        <is>
          <t>72O¹⁴</t>
        </is>
      </c>
      <c r="B3770" t="inlineStr"/>
      <c r="C3770" t="inlineStr">
        <is>
          <t>216</t>
        </is>
      </c>
      <c r="D3770" t="inlineStr">
        <is>
          <t>2</t>
        </is>
      </c>
      <c r="E3770" t="inlineStr">
        <is>
          <t>108</t>
        </is>
      </c>
      <c r="F3770" t="inlineStr">
        <is>
          <t>14</t>
        </is>
      </c>
      <c r="G3770" t="inlineStr">
        <is>
          <t>0</t>
        </is>
      </c>
      <c r="H3770" t="inlineStr">
        <is>
          <t>72³</t>
        </is>
      </c>
      <c r="I3770" t="n">
        <v>3</v>
      </c>
      <c r="J3770" t="inlineStr">
        <is>
          <t>24¹⁸</t>
        </is>
      </c>
      <c r="K3770">
        <f>HYPERLINK("CSG4.html#group72B4", "72B⁴"), =HYPERLINK("CSG4.html#group72D4", "72D⁴"), =HYPERLINK("CSG5.html#group36J5", "36J⁵")</f>
        <v/>
      </c>
      <c r="L3770" t="inlineStr"/>
      <c r="M3770">
        <f>HYPERLINK("CSG1.html#group36A1", "36A¹"), =HYPERLINK("CSG5.html#group36J5", "36J⁵"), =HYPERLINK("CSG0.html#group12A0", "12A⁰"), =HYPERLINK("CSG4.html#group72B4", "72B⁴"), =HYPERLINK("CSG0.html#group4A0", "4A⁰"), =HYPERLINK("CSG0.html#group9A0", "9A⁰"), =HYPERLINK("CSG0.html#group9G0", "9G⁰"), =HYPERLINK("CSG1.html#group24B1", "24B¹"), =HYPERLINK("CSG4.html#group72D4", "72D⁴"), =HYPERLINK("CSG0.html#group3A0", "3A⁰"), =HYPERLINK("CSG0.html#group1A0", "1A⁰")</f>
        <v/>
      </c>
      <c r="N3770" t="inlineStr"/>
    </row>
    <row r="3771">
      <c r="A3771" t="inlineStr">
        <is>
          <t>75A¹⁴</t>
        </is>
      </c>
      <c r="B3771" t="inlineStr"/>
      <c r="C3771" t="inlineStr">
        <is>
          <t>180</t>
        </is>
      </c>
      <c r="D3771" t="inlineStr">
        <is>
          <t>1</t>
        </is>
      </c>
      <c r="E3771" t="inlineStr">
        <is>
          <t>6</t>
        </is>
      </c>
      <c r="F3771" t="inlineStr">
        <is>
          <t>0</t>
        </is>
      </c>
      <c r="G3771" t="inlineStr">
        <is>
          <t>0</t>
        </is>
      </c>
      <c r="H3771" t="inlineStr">
        <is>
          <t>15², 75²</t>
        </is>
      </c>
      <c r="I3771" t="n">
        <v>4</v>
      </c>
      <c r="J3771" t="inlineStr">
        <is>
          <t>2², 4²</t>
        </is>
      </c>
      <c r="K3771">
        <f>HYPERLINK("CSG2.html#group15B2", "15B²"), =HYPERLINK("CSG4.html#group25A4", "25A⁴"), =HYPERLINK("CSG6.html#group75A6", "75A⁶")</f>
        <v/>
      </c>
      <c r="L3771" t="inlineStr"/>
      <c r="M3771">
        <f>HYPERLINK("CSG0.html#group15B0", "15B⁰"), =HYPERLINK("CSG2.html#group25A2", "25A²"), =HYPERLINK("CSG0.html#group3A0", "3A⁰"), =HYPERLINK("CSG2.html#group15B2", "15B²"), =HYPERLINK("CSG0.html#group5B0", "5B⁰"), =HYPERLINK("CSG0.html#group5D0", "5D⁰"), =HYPERLINK("CSG6.html#group75A6", "75A⁶"), =HYPERLINK("CSG0.html#group1A0", "1A⁰"), =HYPERLINK("CSG4.html#group25A4", "25A⁴")</f>
        <v/>
      </c>
      <c r="N3771" t="inlineStr"/>
    </row>
    <row r="3772">
      <c r="A3772" t="inlineStr">
        <is>
          <t>75B¹⁴</t>
        </is>
      </c>
      <c r="B3772" t="inlineStr"/>
      <c r="C3772" t="inlineStr">
        <is>
          <t>180</t>
        </is>
      </c>
      <c r="D3772" t="inlineStr">
        <is>
          <t>1</t>
        </is>
      </c>
      <c r="E3772" t="inlineStr">
        <is>
          <t>6</t>
        </is>
      </c>
      <c r="F3772" t="inlineStr">
        <is>
          <t>0</t>
        </is>
      </c>
      <c r="G3772" t="inlineStr">
        <is>
          <t>0</t>
        </is>
      </c>
      <c r="H3772" t="inlineStr">
        <is>
          <t>15², 75²</t>
        </is>
      </c>
      <c r="I3772" t="n">
        <v>4</v>
      </c>
      <c r="J3772" t="inlineStr">
        <is>
          <t>2², 4²</t>
        </is>
      </c>
      <c r="K3772">
        <f>HYPERLINK("CSG2.html#group15B2", "15B²"), =HYPERLINK("CSG4.html#group25B4", "25B⁴"), =HYPERLINK("CSG6.html#group75B6", "75B⁶")</f>
        <v/>
      </c>
      <c r="L3772" t="inlineStr"/>
      <c r="M3772">
        <f>HYPERLINK("CSG0.html#group15B0", "15B⁰"), =HYPERLINK("CSG4.html#group25B4", "25B⁴"), =HYPERLINK("CSG2.html#group15B2", "15B²"), =HYPERLINK("CSG0.html#group5B0", "5B⁰"), =HYPERLINK("CSG0.html#group5D0", "5D⁰"), =HYPERLINK("CSG0.html#group1A0", "1A⁰"), =HYPERLINK("CSG0.html#group3A0", "3A⁰"), =HYPERLINK("CSG6.html#group75B6", "75B⁶"), =HYPERLINK("CSG2.html#group25B2", "25B²")</f>
        <v/>
      </c>
      <c r="N3772" t="inlineStr"/>
    </row>
    <row r="3773">
      <c r="A3773" t="inlineStr">
        <is>
          <t>75C¹⁴</t>
        </is>
      </c>
      <c r="B3773" t="inlineStr"/>
      <c r="C3773" t="inlineStr">
        <is>
          <t>180</t>
        </is>
      </c>
      <c r="D3773" t="inlineStr">
        <is>
          <t>1</t>
        </is>
      </c>
      <c r="E3773" t="inlineStr">
        <is>
          <t>6</t>
        </is>
      </c>
      <c r="F3773" t="inlineStr">
        <is>
          <t>0</t>
        </is>
      </c>
      <c r="G3773" t="inlineStr">
        <is>
          <t>0</t>
        </is>
      </c>
      <c r="H3773" t="inlineStr">
        <is>
          <t>15², 75²</t>
        </is>
      </c>
      <c r="I3773" t="n">
        <v>4</v>
      </c>
      <c r="J3773" t="inlineStr">
        <is>
          <t>2², 4²</t>
        </is>
      </c>
      <c r="K3773">
        <f>HYPERLINK("CSG2.html#group15B2", "15B²"), =HYPERLINK("CSG4.html#group25C4", "25C⁴"), =HYPERLINK("CSG6.html#group75C6", "75C⁶")</f>
        <v/>
      </c>
      <c r="L3773" t="inlineStr"/>
      <c r="M3773">
        <f>HYPERLINK("CSG0.html#group15B0", "15B⁰"), =HYPERLINK("CSG6.html#group75C6", "75C⁶"), =HYPERLINK("CSG2.html#group15B2", "15B²"), =HYPERLINK("CSG0.html#group5B0", "5B⁰"), =HYPERLINK("CSG0.html#group5D0", "5D⁰"), =HYPERLINK("CSG0.html#group3A0", "3A⁰"), =HYPERLINK("CSG0.html#group1A0", "1A⁰"), =HYPERLINK("CSG2.html#group25C2", "25C²"), =HYPERLINK("CSG4.html#group25C4", "25C⁴")</f>
        <v/>
      </c>
      <c r="N3773" t="inlineStr"/>
    </row>
    <row r="3774">
      <c r="A3774" t="inlineStr">
        <is>
          <t>75D¹⁴</t>
        </is>
      </c>
      <c r="B3774" t="inlineStr"/>
      <c r="C3774" t="inlineStr">
        <is>
          <t>180</t>
        </is>
      </c>
      <c r="D3774" t="inlineStr">
        <is>
          <t>1</t>
        </is>
      </c>
      <c r="E3774" t="inlineStr">
        <is>
          <t>6</t>
        </is>
      </c>
      <c r="F3774" t="inlineStr">
        <is>
          <t>0</t>
        </is>
      </c>
      <c r="G3774" t="inlineStr">
        <is>
          <t>0</t>
        </is>
      </c>
      <c r="H3774" t="inlineStr">
        <is>
          <t>15², 75²</t>
        </is>
      </c>
      <c r="I3774" t="n">
        <v>4</v>
      </c>
      <c r="J3774" t="inlineStr">
        <is>
          <t>2², 4²</t>
        </is>
      </c>
      <c r="K3774">
        <f>HYPERLINK("CSG2.html#group15B2", "15B²"), =HYPERLINK("CSG4.html#group25D4", "25D⁴"), =HYPERLINK("CSG6.html#group75D6", "75D⁶")</f>
        <v/>
      </c>
      <c r="L3774" t="inlineStr"/>
      <c r="M3774">
        <f>HYPERLINK("CSG0.html#group15B0", "15B⁰"), =HYPERLINK("CSG0.html#group3A0", "3A⁰"), =HYPERLINK("CSG2.html#group15B2", "15B²"), =HYPERLINK("CSG0.html#group5B0", "5B⁰"), =HYPERLINK("CSG0.html#group5D0", "5D⁰"), =HYPERLINK("CSG6.html#group75D6", "75D⁶"), =HYPERLINK("CSG4.html#group25D4", "25D⁴"), =HYPERLINK("CSG0.html#group1A0", "1A⁰"), =HYPERLINK("CSG2.html#group25D2", "25D²")</f>
        <v/>
      </c>
      <c r="N3774" t="inlineStr"/>
    </row>
    <row r="3775">
      <c r="A3775" t="inlineStr">
        <is>
          <t>75E¹⁴</t>
        </is>
      </c>
      <c r="B3775" t="inlineStr"/>
      <c r="C3775" t="inlineStr">
        <is>
          <t>200</t>
        </is>
      </c>
      <c r="D3775" t="inlineStr">
        <is>
          <t>1</t>
        </is>
      </c>
      <c r="E3775" t="inlineStr">
        <is>
          <t>200</t>
        </is>
      </c>
      <c r="F3775" t="inlineStr">
        <is>
          <t>0</t>
        </is>
      </c>
      <c r="G3775" t="inlineStr">
        <is>
          <t>5</t>
        </is>
      </c>
      <c r="H3775" t="inlineStr">
        <is>
          <t>25², 75²</t>
        </is>
      </c>
      <c r="I3775" t="n">
        <v>4</v>
      </c>
      <c r="J3775" t="inlineStr">
        <is>
          <t>2², 4⁵, 8², 20⁴, 40²</t>
        </is>
      </c>
      <c r="K3775">
        <f>HYPERLINK("CSG2.html#group15C2", "15C²"), =HYPERLINK("CSG2.html#group25E2", "25E²")</f>
        <v/>
      </c>
      <c r="L3775" t="inlineStr"/>
      <c r="M3775">
        <f>HYPERLINK("CSG0.html#group3B0", "3B⁰"), =HYPERLINK("CSG0.html#group1A0", "1A⁰"), =HYPERLINK("CSG2.html#group15C2", "15C²"), =HYPERLINK("CSG0.html#group5C0", "5C⁰"), =HYPERLINK("CSG2.html#group25E2", "25E²")</f>
        <v/>
      </c>
      <c r="N3775" t="inlineStr"/>
    </row>
    <row r="3776">
      <c r="A3776" t="inlineStr">
        <is>
          <t>84A¹⁴</t>
        </is>
      </c>
      <c r="B3776" t="inlineStr"/>
      <c r="C3776" t="inlineStr">
        <is>
          <t>168</t>
        </is>
      </c>
      <c r="D3776" t="inlineStr">
        <is>
          <t>2</t>
        </is>
      </c>
      <c r="E3776" t="inlineStr">
        <is>
          <t>28</t>
        </is>
      </c>
      <c r="F3776" t="inlineStr">
        <is>
          <t>0</t>
        </is>
      </c>
      <c r="G3776" t="inlineStr">
        <is>
          <t>0</t>
        </is>
      </c>
      <c r="H3776" t="inlineStr">
        <is>
          <t>84²</t>
        </is>
      </c>
      <c r="I3776" t="n">
        <v>2</v>
      </c>
      <c r="J3776" t="inlineStr">
        <is>
          <t>4², 12⁴</t>
        </is>
      </c>
      <c r="K3776">
        <f>HYPERLINK("CSG2.html#group12A2", "12A²"), =HYPERLINK("CSG3.html#group84A3", "84A³"), =HYPERLINK("CSG4.html#group28A4", "28A⁴"), =HYPERLINK("CSG4.html#group42A4", "42A⁴")</f>
        <v/>
      </c>
      <c r="L3776" t="inlineStr"/>
      <c r="M3776">
        <f>HYPERLINK("CSG0.html#group2A0", "2A⁰"), =HYPERLINK("CSG1.html#group14A1", "14A¹"), =HYPERLINK("CSG0.html#group21A0", "21A⁰"), =HYPERLINK("CSG4.html#group42A4", "42A⁴"), =HYPERLINK("CSG0.html#group1A0", "1A⁰"), =HYPERLINK("CSG3.html#group84A3", "84A³"), =HYPERLINK("CSG0.html#group12A0", "12A⁰"), =HYPERLINK("CSG0.html#group4A0", "4A⁰"), =HYPERLINK("CSG4.html#group28A4", "28A⁴"), =HYPERLINK("CSG0.html#group4D0", "4D⁰"), =HYPERLINK("CSG2.html#group12A2", "12A²"), =HYPERLINK("CSG1.html#group6A1", "6A¹"), =HYPERLINK("CSG0.html#group3A0", "3A⁰"), =HYPERLINK("CSG1.html#group28A1", "28A¹"), =HYPERLINK("CSG0.html#group7A0", "7A⁰")</f>
        <v/>
      </c>
      <c r="N3776" t="inlineStr"/>
    </row>
    <row r="3777">
      <c r="A3777" t="inlineStr">
        <is>
          <t>84B¹⁴</t>
        </is>
      </c>
      <c r="B3777" t="inlineStr"/>
      <c r="C3777" t="inlineStr">
        <is>
          <t>192</t>
        </is>
      </c>
      <c r="D3777" t="inlineStr">
        <is>
          <t>2</t>
        </is>
      </c>
      <c r="E3777" t="inlineStr">
        <is>
          <t>64</t>
        </is>
      </c>
      <c r="F3777" t="inlineStr">
        <is>
          <t>0</t>
        </is>
      </c>
      <c r="G3777" t="inlineStr">
        <is>
          <t>3</t>
        </is>
      </c>
      <c r="H3777" t="inlineStr">
        <is>
          <t>12², 84²</t>
        </is>
      </c>
      <c r="I3777" t="n">
        <v>4</v>
      </c>
      <c r="J3777" t="inlineStr">
        <is>
          <t>4⁸, 24⁴</t>
        </is>
      </c>
      <c r="K3777">
        <f>HYPERLINK("CSG3.html#group28E3", "28E³"), =HYPERLINK("CSG3.html#group42B3", "42B³")</f>
        <v/>
      </c>
      <c r="L3777" t="inlineStr"/>
      <c r="M3777">
        <f>HYPERLINK("CSG0.html#group2A0", "2A⁰"), =HYPERLINK("CSG0.html#group7B0", "7B⁰"), =HYPERLINK("CSG0.html#group4A0", "4A⁰"), =HYPERLINK("CSG0.html#group4D0", "4D⁰"), =HYPERLINK("CSG0.html#group14B0", "14B⁰"), =HYPERLINK("CSG3.html#group28E3", "28E³"), =HYPERLINK("CSG2.html#group28A2", "28A²"), =HYPERLINK("CSG0.html#group1A0", "1A⁰"), =HYPERLINK("CSG3.html#group42B3", "42B³")</f>
        <v/>
      </c>
      <c r="N3777" t="inlineStr"/>
    </row>
    <row r="3778">
      <c r="A3778" t="inlineStr">
        <is>
          <t>84C¹⁴</t>
        </is>
      </c>
      <c r="B3778" t="inlineStr"/>
      <c r="C3778" t="inlineStr">
        <is>
          <t>252</t>
        </is>
      </c>
      <c r="D3778" t="inlineStr">
        <is>
          <t>2</t>
        </is>
      </c>
      <c r="E3778" t="inlineStr">
        <is>
          <t>21</t>
        </is>
      </c>
      <c r="F3778" t="inlineStr">
        <is>
          <t>24</t>
        </is>
      </c>
      <c r="G3778" t="inlineStr">
        <is>
          <t>0</t>
        </is>
      </c>
      <c r="H3778" t="inlineStr">
        <is>
          <t>42², 84²</t>
        </is>
      </c>
      <c r="I3778" t="n">
        <v>4</v>
      </c>
      <c r="J3778" t="inlineStr">
        <is>
          <t>2³, 6⁶</t>
        </is>
      </c>
      <c r="K3778">
        <f>HYPERLINK("CSG4.html#group28C4", "28C⁴"), =HYPERLINK("CSG6.html#group84B6", "84B⁶"), =HYPERLINK("CSG7.html#group42I7", "42I⁷"), =HYPERLINK("CSG7.html#group84B7", "84B⁷")</f>
        <v/>
      </c>
      <c r="L3778" t="inlineStr"/>
      <c r="M3778">
        <f>HYPERLINK("CSG0.html#group14A0", "14A⁰"), =HYPERLINK("CSG0.html#group12C0", "12C⁰"), =HYPERLINK("CSG1.html#group42A1", "42A¹"), =HYPERLINK("CSG4.html#group28C4", "28C⁴"), =HYPERLINK("CSG1.html#group14B1", "14B¹"), =HYPERLINK("CSG2.html#group14C2", "14C²"), =HYPERLINK("CSG0.html#group4C0", "4C⁰"), =HYPERLINK("CSG0.html#group21A0", "21A⁰"), =HYPERLINK("CSG0.html#group2B0", "2B⁰"), =HYPERLINK("CSG0.html#group1A0", "1A⁰"), =HYPERLINK("CSG7.html#group42I7", "42I⁷"), =HYPERLINK("CSG2.html#group28C2", "28C²"), =HYPERLINK("CSG7.html#group84B7", "84B⁷"), =HYPERLINK("CSG0.html#group6D0", "6D⁰"), =HYPERLINK("CSG0.html#group3A0", "3A⁰"), =HYPERLINK("CSG3.html#group42C3", "42C³"), =HYPERLINK("CSG6.html#group84B6", "84B⁶"), =HYPERLINK("CSG2.html#group28B2", "28B²"), =HYPERLINK("CSG0.html#group7A0", "7A⁰")</f>
        <v/>
      </c>
      <c r="N3778" t="inlineStr"/>
    </row>
    <row r="3779">
      <c r="A3779" t="inlineStr">
        <is>
          <t>84D¹⁴</t>
        </is>
      </c>
      <c r="B3779" t="inlineStr"/>
      <c r="C3779" t="inlineStr">
        <is>
          <t>252</t>
        </is>
      </c>
      <c r="D3779" t="inlineStr">
        <is>
          <t>2</t>
        </is>
      </c>
      <c r="E3779" t="inlineStr">
        <is>
          <t>63</t>
        </is>
      </c>
      <c r="F3779" t="inlineStr">
        <is>
          <t>24</t>
        </is>
      </c>
      <c r="G3779" t="inlineStr">
        <is>
          <t>0</t>
        </is>
      </c>
      <c r="H3779" t="inlineStr">
        <is>
          <t>42², 84²</t>
        </is>
      </c>
      <c r="I3779" t="n">
        <v>4</v>
      </c>
      <c r="J3779" t="inlineStr">
        <is>
          <t>2³, 4³, 6⁶, 12⁶</t>
        </is>
      </c>
      <c r="K3779">
        <f>HYPERLINK("CSG0.html#group12H0", "12H⁰"), =HYPERLINK("CSG6.html#group84B6", "84B⁶"), =HYPERLINK("CSG7.html#group42L7", "42L⁷"), =HYPERLINK("CSG7.html#group84C7", "84C⁷")</f>
        <v/>
      </c>
      <c r="L3779" t="inlineStr"/>
      <c r="M3779">
        <f>HYPERLINK("CSG0.html#group6B0", "6B⁰"), =HYPERLINK("CSG0.html#group12C0", "12C⁰"), =HYPERLINK("CSG1.html#group42B1", "42B¹"), =HYPERLINK("CSG1.html#group14B1", "14B¹"), =HYPERLINK("CSG0.html#group4C0", "4C⁰"), =HYPERLINK("CSG0.html#group21A0", "21A⁰"), =HYPERLINK("CSG0.html#group2B0", "2B⁰"), =HYPERLINK("CSG0.html#group12H0", "12H⁰"), =HYPERLINK("CSG0.html#group1A0", "1A⁰"), =HYPERLINK("CSG2.html#group28C2", "28C²"), =HYPERLINK("CSG7.html#group84C7", "84C⁷"), =HYPERLINK("CSG7.html#group42L7", "42L⁷"), =HYPERLINK("CSG0.html#group12D0", "12D⁰"), =HYPERLINK("CSG0.html#group6H0", "6H⁰"), =HYPERLINK("CSG0.html#group3A0", "3A⁰"), =HYPERLINK("CSG3.html#group42C3", "42C³"), =HYPERLINK("CSG6.html#group84B6", "84B⁶"), =HYPERLINK("CSG0.html#group6D0", "6D⁰"), =HYPERLINK("CSG0.html#group7A0", "7A⁰")</f>
        <v/>
      </c>
      <c r="N3779" t="inlineStr"/>
    </row>
    <row r="3780">
      <c r="A3780" t="inlineStr">
        <is>
          <t>87A¹⁴</t>
        </is>
      </c>
      <c r="B3780" t="inlineStr"/>
      <c r="C3780" t="inlineStr">
        <is>
          <t>180</t>
        </is>
      </c>
      <c r="D3780" t="inlineStr">
        <is>
          <t>1</t>
        </is>
      </c>
      <c r="E3780" t="inlineStr">
        <is>
          <t>30</t>
        </is>
      </c>
      <c r="F3780" t="inlineStr">
        <is>
          <t>0</t>
        </is>
      </c>
      <c r="G3780" t="inlineStr">
        <is>
          <t>0</t>
        </is>
      </c>
      <c r="H3780" t="inlineStr">
        <is>
          <t>3², 87²</t>
        </is>
      </c>
      <c r="I3780" t="n">
        <v>4</v>
      </c>
      <c r="J3780" t="inlineStr">
        <is>
          <t>1², 28¹</t>
        </is>
      </c>
      <c r="K3780">
        <f>HYPERLINK("CSG4.html#group29A4", "29A⁴"), =HYPERLINK("CSG6.html#group87A6", "87A⁶")</f>
        <v/>
      </c>
      <c r="L3780" t="inlineStr"/>
      <c r="M3780">
        <f>HYPERLINK("CSG6.html#group87A6", "87A⁶"), =HYPERLINK("CSG0.html#group3A0", "3A⁰"), =HYPERLINK("CSG4.html#group29A4", "29A⁴"), =HYPERLINK("CSG0.html#group1A0", "1A⁰"), =HYPERLINK("CSG2.html#group29A2", "29A²")</f>
        <v/>
      </c>
      <c r="N3780" t="inlineStr"/>
    </row>
    <row r="3781">
      <c r="A3781" t="inlineStr">
        <is>
          <t>90A¹⁴</t>
        </is>
      </c>
      <c r="B3781" t="inlineStr"/>
      <c r="C3781" t="inlineStr">
        <is>
          <t>180</t>
        </is>
      </c>
      <c r="D3781" t="inlineStr">
        <is>
          <t>1</t>
        </is>
      </c>
      <c r="E3781" t="inlineStr">
        <is>
          <t>60</t>
        </is>
      </c>
      <c r="F3781" t="inlineStr">
        <is>
          <t>0</t>
        </is>
      </c>
      <c r="G3781" t="inlineStr">
        <is>
          <t>0</t>
        </is>
      </c>
      <c r="H3781" t="inlineStr">
        <is>
          <t>15¹, 30¹, 45¹, 90¹</t>
        </is>
      </c>
      <c r="I3781" t="n">
        <v>4</v>
      </c>
      <c r="J3781" t="inlineStr">
        <is>
          <t>1⁶, 2³, 4⁶, 8³</t>
        </is>
      </c>
      <c r="K3781">
        <f>HYPERLINK("CSG2.html#group18D2", "18D²"), =HYPERLINK("CSG3.html#group45B3", "45B³"), =HYPERLINK("CSG4.html#group30D4", "30D⁴")</f>
        <v/>
      </c>
      <c r="L3781" t="inlineStr"/>
      <c r="M3781">
        <f>HYPERLINK("CSG0.html#group3B0", "3B⁰"), =HYPERLINK("CSG0.html#group5A0", "5A⁰"), =HYPERLINK("CSG3.html#group45B3", "45B³"), =HYPERLINK("CSG4.html#group30D4", "30D⁴"), =HYPERLINK("CSG1.html#group10B1", "10B¹"), =HYPERLINK("CSG1.html#group15B1", "15B¹"), =HYPERLINK("CSG2.html#group18D2", "18D²"), =HYPERLINK("CSG0.html#group1A0", "1A⁰"), =HYPERLINK("CSG0.html#group2B0", "2B⁰"), =HYPERLINK("CSG0.html#group9C0", "9C⁰"), =HYPERLINK("CSG0.html#group6F0", "6F⁰")</f>
        <v/>
      </c>
      <c r="N3781" t="inlineStr"/>
    </row>
    <row r="3782">
      <c r="A3782" t="inlineStr">
        <is>
          <t>90B¹⁴</t>
        </is>
      </c>
      <c r="B3782" t="inlineStr"/>
      <c r="C3782" t="inlineStr">
        <is>
          <t>180</t>
        </is>
      </c>
      <c r="D3782" t="inlineStr">
        <is>
          <t>1</t>
        </is>
      </c>
      <c r="E3782" t="inlineStr">
        <is>
          <t>60</t>
        </is>
      </c>
      <c r="F3782" t="inlineStr">
        <is>
          <t>0</t>
        </is>
      </c>
      <c r="G3782" t="inlineStr">
        <is>
          <t>0</t>
        </is>
      </c>
      <c r="H3782" t="inlineStr">
        <is>
          <t>15¹, 30¹, 45¹, 90¹</t>
        </is>
      </c>
      <c r="I3782" t="n">
        <v>4</v>
      </c>
      <c r="J3782" t="inlineStr">
        <is>
          <t>1⁶, 2³, 4⁶, 8³</t>
        </is>
      </c>
      <c r="K3782">
        <f>HYPERLINK("CSG2.html#group18E2", "18E²"), =HYPERLINK("CSG4.html#group30D4", "30D⁴"), =HYPERLINK("CSG5.html#group45A5", "45A⁵")</f>
        <v/>
      </c>
      <c r="L3782" t="inlineStr"/>
      <c r="M3782">
        <f>HYPERLINK("CSG0.html#group3B0", "3B⁰"), =HYPERLINK("CSG0.html#group5A0", "5A⁰"), =HYPERLINK("CSG4.html#group30D4", "30D⁴"), =HYPERLINK("CSG5.html#group45A5", "45A⁵"), =HYPERLINK("CSG1.html#group10B1", "10B¹"), =HYPERLINK("CSG1.html#group9A1", "9A¹"), =HYPERLINK("CSG2.html#group18E2", "18E²"), =HYPERLINK("CSG1.html#group15B1", "15B¹"), =HYPERLINK("CSG0.html#group1A0", "1A⁰"), =HYPERLINK("CSG0.html#group2B0", "2B⁰"), =HYPERLINK("CSG0.html#group6F0", "6F⁰")</f>
        <v/>
      </c>
      <c r="N3782" t="inlineStr"/>
    </row>
    <row r="3783">
      <c r="A3783" t="inlineStr">
        <is>
          <t>90C¹⁴</t>
        </is>
      </c>
      <c r="B3783" t="inlineStr"/>
      <c r="C3783" t="inlineStr">
        <is>
          <t>180</t>
        </is>
      </c>
      <c r="D3783" t="inlineStr">
        <is>
          <t>1</t>
        </is>
      </c>
      <c r="E3783" t="inlineStr">
        <is>
          <t>90</t>
        </is>
      </c>
      <c r="F3783" t="inlineStr">
        <is>
          <t>0</t>
        </is>
      </c>
      <c r="G3783" t="inlineStr">
        <is>
          <t>0</t>
        </is>
      </c>
      <c r="H3783" t="inlineStr">
        <is>
          <t>30³, 90¹</t>
        </is>
      </c>
      <c r="I3783" t="n">
        <v>4</v>
      </c>
      <c r="J3783" t="inlineStr">
        <is>
          <t>1¹, 2¹, 3¹, 4¹, 6², 8¹, 12¹, 24²</t>
        </is>
      </c>
      <c r="K3783">
        <f>HYPERLINK("CSG2.html#group18F2", "18F²"), =HYPERLINK("CSG5.html#group30B5", "30B⁵"), =HYPERLINK("CSG6.html#group45C6", "45C⁶")</f>
        <v/>
      </c>
      <c r="L3783" t="inlineStr"/>
      <c r="M3783">
        <f>HYPERLINK("CSG2.html#group18F2", "18F²"), =HYPERLINK("CSG0.html#group2A0", "2A⁰"), =HYPERLINK("CSG6.html#group45C6", "45C⁶"), =HYPERLINK("CSG0.html#group5A0", "5A⁰"), =HYPERLINK("CSG0.html#group6B0", "6B⁰"), =HYPERLINK("CSG3.html#group30A3", "30A³"), =HYPERLINK("CSG0.html#group9E0", "9E⁰"), =HYPERLINK("CSG0.html#group1A0", "1A⁰"), =HYPERLINK("CSG5.html#group30B5", "30B⁵"), =HYPERLINK("CSG2.html#group30A2", "30A²"), =HYPERLINK("CSG0.html#group10A0", "10A⁰"), =HYPERLINK("CSG2.html#group15A2", "15A²"), =HYPERLINK("CSG1.html#group6B1", "6B¹"), =HYPERLINK("CSG0.html#group3C0", "3C⁰"), =HYPERLINK("CSG1.html#group6A1", "6A¹"), =HYPERLINK("CSG0.html#group3A0", "3A⁰"), =HYPERLINK("CSG1.html#group15A1", "15A¹")</f>
        <v/>
      </c>
      <c r="N3783" t="inlineStr"/>
    </row>
    <row r="3784">
      <c r="A3784" t="inlineStr">
        <is>
          <t>90D¹⁴</t>
        </is>
      </c>
      <c r="B3784" t="inlineStr"/>
      <c r="C3784" t="inlineStr">
        <is>
          <t>180</t>
        </is>
      </c>
      <c r="D3784" t="inlineStr">
        <is>
          <t>2</t>
        </is>
      </c>
      <c r="E3784" t="inlineStr">
        <is>
          <t>45</t>
        </is>
      </c>
      <c r="F3784" t="inlineStr">
        <is>
          <t>4</t>
        </is>
      </c>
      <c r="G3784" t="inlineStr">
        <is>
          <t>0</t>
        </is>
      </c>
      <c r="H3784" t="inlineStr">
        <is>
          <t>90²</t>
        </is>
      </c>
      <c r="I3784" t="n">
        <v>2</v>
      </c>
      <c r="J3784" t="inlineStr">
        <is>
          <t>2³, 6², 8³, 24²</t>
        </is>
      </c>
      <c r="K3784">
        <f>HYPERLINK("CSG2.html#group18G2", "18G²"), =HYPERLINK("CSG4.html#group30A4", "30A⁴"), =HYPERLINK("CSG6.html#group90A6", "90A⁶"), =HYPERLINK("CSG7.html#group45A7", "45A⁷"), =HYPERLINK("CSG7.html#group90A7", "90A⁷")</f>
        <v/>
      </c>
      <c r="L3784" t="inlineStr"/>
      <c r="M3784">
        <f>HYPERLINK("CSG0.html#group5A0", "5A⁰"), =HYPERLINK("CSG6.html#group90A6", "90A⁶"), =HYPERLINK("CSG0.html#group6B0", "6B⁰"), =HYPERLINK("CSG7.html#group45A7", "45A⁷"), =HYPERLINK("CSG4.html#group30A4", "30A⁴"), =HYPERLINK("CSG0.html#group1A0", "1A⁰"), =HYPERLINK("CSG0.html#group18A0", "18A⁰"), =HYPERLINK("CSG1.html#group9B1", "9B¹"), =HYPERLINK("CSG2.html#group30A2", "30A²"), =HYPERLINK("CSG7.html#group90A7", "90A⁷"), =HYPERLINK("CSG2.html#group15A2", "15A²"), =HYPERLINK("CSG0.html#group6E0", "6E⁰"), =HYPERLINK("CSG0.html#group9A0", "9A⁰"), =HYPERLINK("CSG0.html#group3C0", "3C⁰"), =HYPERLINK("CSG2.html#group18G2", "18G²"), =HYPERLINK("CSG0.html#group3A0", "3A⁰"), =HYPERLINK("CSG1.html#group18A1", "18A¹"), =HYPERLINK("CSG1.html#group15A1", "15A¹"), =HYPERLINK("CSG3.html#group45A3", "45A³")</f>
        <v/>
      </c>
      <c r="N3784" t="inlineStr"/>
    </row>
    <row r="3785">
      <c r="A3785" t="inlineStr">
        <is>
          <t>90E¹⁴</t>
        </is>
      </c>
      <c r="B3785" t="inlineStr"/>
      <c r="C3785" t="inlineStr">
        <is>
          <t>180</t>
        </is>
      </c>
      <c r="D3785" t="inlineStr">
        <is>
          <t>2</t>
        </is>
      </c>
      <c r="E3785" t="inlineStr">
        <is>
          <t>60</t>
        </is>
      </c>
      <c r="F3785" t="inlineStr">
        <is>
          <t>0</t>
        </is>
      </c>
      <c r="G3785" t="inlineStr">
        <is>
          <t>0</t>
        </is>
      </c>
      <c r="H3785" t="inlineStr">
        <is>
          <t>15¹, 30¹, 45¹, 90¹</t>
        </is>
      </c>
      <c r="I3785" t="n">
        <v>4</v>
      </c>
      <c r="J3785" t="inlineStr">
        <is>
          <t>2⁶, 4³, 8¹²</t>
        </is>
      </c>
      <c r="K3785">
        <f>HYPERLINK("CSG4.html#group30D4", "30D⁴"), =HYPERLINK("CSG4.html#group45B4", "45B⁴")</f>
        <v/>
      </c>
      <c r="L3785" t="inlineStr"/>
      <c r="M3785">
        <f>HYPERLINK("CSG0.html#group3B0", "3B⁰"), =HYPERLINK("CSG0.html#group5A0", "5A⁰"), =HYPERLINK("CSG4.html#group30D4", "30D⁴"), =HYPERLINK("CSG1.html#group10B1", "10B¹"), =HYPERLINK("CSG4.html#group45B4", "45B⁴"), =HYPERLINK("CSG1.html#group15B1", "15B¹"), =HYPERLINK("CSG0.html#group1A0", "1A⁰"), =HYPERLINK("CSG0.html#group2B0", "2B⁰"), =HYPERLINK("CSG0.html#group6F0", "6F⁰")</f>
        <v/>
      </c>
      <c r="N3785" t="inlineStr"/>
    </row>
    <row r="3786">
      <c r="A3786" t="inlineStr">
        <is>
          <t>90F¹⁴</t>
        </is>
      </c>
      <c r="B3786" t="inlineStr"/>
      <c r="C3786" t="inlineStr">
        <is>
          <t>180</t>
        </is>
      </c>
      <c r="D3786" t="inlineStr">
        <is>
          <t>2</t>
        </is>
      </c>
      <c r="E3786" t="inlineStr">
        <is>
          <t>60</t>
        </is>
      </c>
      <c r="F3786" t="inlineStr">
        <is>
          <t>0</t>
        </is>
      </c>
      <c r="G3786" t="inlineStr">
        <is>
          <t>0</t>
        </is>
      </c>
      <c r="H3786" t="inlineStr">
        <is>
          <t>15¹, 30¹, 45¹, 90¹</t>
        </is>
      </c>
      <c r="I3786" t="n">
        <v>4</v>
      </c>
      <c r="J3786" t="inlineStr">
        <is>
          <t>2⁶, 4³, 8¹²</t>
        </is>
      </c>
      <c r="K3786">
        <f>HYPERLINK("CSG4.html#group30D4", "30D⁴"), =HYPERLINK("CSG5.html#group45B5", "45B⁵")</f>
        <v/>
      </c>
      <c r="L3786" t="inlineStr"/>
      <c r="M3786">
        <f>HYPERLINK("CSG0.html#group3B0", "3B⁰"), =HYPERLINK("CSG0.html#group5A0", "5A⁰"), =HYPERLINK("CSG4.html#group30D4", "30D⁴"), =HYPERLINK("CSG1.html#group10B1", "10B¹"), =HYPERLINK("CSG1.html#group15B1", "15B¹"), =HYPERLINK("CSG0.html#group1A0", "1A⁰"), =HYPERLINK("CSG0.html#group2B0", "2B⁰"), =HYPERLINK("CSG5.html#group45B5", "45B⁵"), =HYPERLINK("CSG0.html#group6F0", "6F⁰")</f>
        <v/>
      </c>
      <c r="N3786" t="inlineStr"/>
    </row>
    <row r="3787">
      <c r="A3787" t="inlineStr">
        <is>
          <t>90G¹⁴</t>
        </is>
      </c>
      <c r="B3787" t="inlineStr"/>
      <c r="C3787" t="inlineStr">
        <is>
          <t>180</t>
        </is>
      </c>
      <c r="D3787" t="inlineStr">
        <is>
          <t>2</t>
        </is>
      </c>
      <c r="E3787" t="inlineStr">
        <is>
          <t>90</t>
        </is>
      </c>
      <c r="F3787" t="inlineStr">
        <is>
          <t>4</t>
        </is>
      </c>
      <c r="G3787" t="inlineStr">
        <is>
          <t>0</t>
        </is>
      </c>
      <c r="H3787" t="inlineStr">
        <is>
          <t>90²</t>
        </is>
      </c>
      <c r="I3787" t="n">
        <v>2</v>
      </c>
      <c r="J3787" t="inlineStr">
        <is>
          <t>4³, 8⁶, 12², 24⁴</t>
        </is>
      </c>
      <c r="K3787">
        <f>HYPERLINK("CSG4.html#group30C4", "30C⁴"), =HYPERLINK("CSG5.html#group45E5", "45E⁵")</f>
        <v/>
      </c>
      <c r="L3787" t="inlineStr"/>
      <c r="M3787">
        <f>HYPERLINK("CSG4.html#group30C4", "30C⁴"), =HYPERLINK("CSG1.html#group15D1", "15D¹"), =HYPERLINK("CSG5.html#group45E5", "45E⁵"), =HYPERLINK("CSG0.html#group9A0", "9A⁰"), =HYPERLINK("CSG0.html#group5C0", "5C⁰"), =HYPERLINK("CSG0.html#group3A0", "3A⁰"), =HYPERLINK("CSG0.html#group1A0", "1A⁰")</f>
        <v/>
      </c>
      <c r="N3787" t="inlineStr"/>
    </row>
    <row r="3788">
      <c r="A3788" t="inlineStr">
        <is>
          <t>90H¹⁴</t>
        </is>
      </c>
      <c r="B3788" t="inlineStr"/>
      <c r="C3788" t="inlineStr">
        <is>
          <t>180</t>
        </is>
      </c>
      <c r="D3788" t="inlineStr">
        <is>
          <t>2</t>
        </is>
      </c>
      <c r="E3788" t="inlineStr">
        <is>
          <t>90</t>
        </is>
      </c>
      <c r="F3788" t="inlineStr">
        <is>
          <t>4</t>
        </is>
      </c>
      <c r="G3788" t="inlineStr">
        <is>
          <t>0</t>
        </is>
      </c>
      <c r="H3788" t="inlineStr">
        <is>
          <t>90²</t>
        </is>
      </c>
      <c r="I3788" t="n">
        <v>2</v>
      </c>
      <c r="J3788" t="inlineStr">
        <is>
          <t>2⁶, 6⁴, 8⁶, 24⁴</t>
        </is>
      </c>
      <c r="K3788">
        <f>HYPERLINK("CSG2.html#group18H2", "18H²"), =HYPERLINK("CSG4.html#group30A4", "30A⁴"), =HYPERLINK("CSG7.html#group90B7", "90B⁷")</f>
        <v/>
      </c>
      <c r="L3788" t="inlineStr"/>
      <c r="M3788">
        <f>HYPERLINK("CSG0.html#group5A0", "5A⁰"), =HYPERLINK("CSG0.html#group6B0", "6B⁰"), =HYPERLINK("CSG2.html#group30A2", "30A²"), =HYPERLINK("CSG2.html#group18H2", "18H²"), =HYPERLINK("CSG0.html#group6E0", "6E⁰"), =HYPERLINK("CSG2.html#group15A2", "15A²"), =HYPERLINK("CSG7.html#group90B7", "90B⁷"), =HYPERLINK("CSG1.html#group18B1", "18B¹"), =HYPERLINK("CSG0.html#group3C0", "3C⁰"), =HYPERLINK("CSG4.html#group30A4", "30A⁴"), =HYPERLINK("CSG0.html#group3A0", "3A⁰"), =HYPERLINK("CSG0.html#group1A0", "1A⁰"), =HYPERLINK("CSG1.html#group15A1", "15A¹")</f>
        <v/>
      </c>
      <c r="N3788" t="inlineStr"/>
    </row>
    <row r="3789">
      <c r="A3789" t="inlineStr">
        <is>
          <t>91A¹⁴</t>
        </is>
      </c>
      <c r="B3789" t="inlineStr"/>
      <c r="C3789" t="inlineStr">
        <is>
          <t>196</t>
        </is>
      </c>
      <c r="D3789" t="inlineStr">
        <is>
          <t>2</t>
        </is>
      </c>
      <c r="E3789" t="inlineStr">
        <is>
          <t>98</t>
        </is>
      </c>
      <c r="F3789" t="inlineStr">
        <is>
          <t>0</t>
        </is>
      </c>
      <c r="G3789" t="inlineStr">
        <is>
          <t>4</t>
        </is>
      </c>
      <c r="H3789" t="inlineStr">
        <is>
          <t>7², 91²</t>
        </is>
      </c>
      <c r="I3789" t="n">
        <v>4</v>
      </c>
      <c r="J3789" t="inlineStr">
        <is>
          <t>2², 6⁴, 24¹, 72²</t>
        </is>
      </c>
      <c r="K3789">
        <f>HYPERLINK("CSG0.html#group13B0", "13B⁰"), =HYPERLINK("CSG6.html#group91A6", "91A⁶")</f>
        <v/>
      </c>
      <c r="L3789" t="inlineStr"/>
      <c r="M3789">
        <f>HYPERLINK("CSG0.html#group13A0", "13A⁰"), =HYPERLINK("CSG0.html#group13B0", "13B⁰"), =HYPERLINK("CSG6.html#group91A6", "91A⁶"), =HYPERLINK("CSG0.html#group1A0", "1A⁰"), =HYPERLINK("CSG0.html#group7A0", "7A⁰")</f>
        <v/>
      </c>
      <c r="N3789" t="inlineStr"/>
    </row>
    <row r="3790">
      <c r="A3790" t="inlineStr">
        <is>
          <t>96A¹⁴</t>
        </is>
      </c>
      <c r="B3790" t="inlineStr"/>
      <c r="C3790" t="inlineStr">
        <is>
          <t>192</t>
        </is>
      </c>
      <c r="D3790" t="inlineStr">
        <is>
          <t>2</t>
        </is>
      </c>
      <c r="E3790" t="inlineStr">
        <is>
          <t>96</t>
        </is>
      </c>
      <c r="F3790" t="inlineStr">
        <is>
          <t>0</t>
        </is>
      </c>
      <c r="G3790" t="inlineStr">
        <is>
          <t>0</t>
        </is>
      </c>
      <c r="H3790" t="inlineStr">
        <is>
          <t>8², 24², 32¹, 96¹</t>
        </is>
      </c>
      <c r="I3790" t="n">
        <v>6</v>
      </c>
      <c r="J3790" t="inlineStr">
        <is>
          <t>2⁴, 4⁸, 8¹¹, 16⁴</t>
        </is>
      </c>
      <c r="K3790">
        <f>HYPERLINK("CSG3.html#group32I3", "32I³"), =HYPERLINK("CSG6.html#group48D6", "48D⁶")</f>
        <v/>
      </c>
      <c r="L3790" t="inlineStr"/>
      <c r="M3790">
        <f>HYPERLINK("CSG0.html#group3B0", "3B⁰"), =HYPERLINK("CSG0.html#group8D0", "8D⁰"), =HYPERLINK("CSG1.html#group12F1", "12F¹"), =HYPERLINK("CSG6.html#group48D6", "48D⁶"), =HYPERLINK("CSG0.html#group4C0", "4C⁰"), =HYPERLINK("CSG3.html#group32I3", "32I³"), =HYPERLINK("CSG0.html#group2B0", "2B⁰"), =HYPERLINK("CSG0.html#group1A0", "1A⁰"), =HYPERLINK("CSG2.html#group24I2", "24I²"), =HYPERLINK("CSG1.html#group16C1", "16C¹"), =HYPERLINK("CSG0.html#group6F0", "6F⁰")</f>
        <v/>
      </c>
      <c r="N3790" t="inlineStr"/>
    </row>
    <row r="3791">
      <c r="A3791" t="inlineStr">
        <is>
          <t>99A¹⁴</t>
        </is>
      </c>
      <c r="B3791" t="inlineStr"/>
      <c r="C3791" t="inlineStr">
        <is>
          <t>198</t>
        </is>
      </c>
      <c r="D3791" t="inlineStr">
        <is>
          <t>2</t>
        </is>
      </c>
      <c r="E3791" t="inlineStr">
        <is>
          <t>198</t>
        </is>
      </c>
      <c r="F3791" t="inlineStr">
        <is>
          <t>6</t>
        </is>
      </c>
      <c r="G3791" t="inlineStr">
        <is>
          <t>0</t>
        </is>
      </c>
      <c r="H3791" t="inlineStr">
        <is>
          <t>33³, 99¹</t>
        </is>
      </c>
      <c r="I3791" t="n">
        <v>4</v>
      </c>
      <c r="J3791" t="inlineStr">
        <is>
          <t>2¹, 4¹, 6¹, 10², 12², 20², 30², 60⁴</t>
        </is>
      </c>
      <c r="K3791">
        <f>HYPERLINK("CSG0.html#group9E0", "9E⁰"), =HYPERLINK("CSG4.html#group33A4", "33A⁴")</f>
        <v/>
      </c>
      <c r="L3791" t="inlineStr"/>
      <c r="M3791">
        <f>HYPERLINK("CSG0.html#group11A0", "11A⁰"), =HYPERLINK("CSG0.html#group3C0", "3C⁰"), =HYPERLINK("CSG0.html#group9E0", "9E⁰"), =HYPERLINK("CSG0.html#group3A0", "3A⁰"), =HYPERLINK("CSG0.html#group1A0", "1A⁰"), =HYPERLINK("CSG1.html#group33A1", "33A¹"), =HYPERLINK("CSG4.html#group33A4", "33A⁴")</f>
        <v/>
      </c>
      <c r="N3791" t="inlineStr"/>
    </row>
    <row r="3792">
      <c r="A3792" t="inlineStr">
        <is>
          <t>100A¹⁴</t>
        </is>
      </c>
      <c r="B3792" t="inlineStr"/>
      <c r="C3792" t="inlineStr">
        <is>
          <t>180</t>
        </is>
      </c>
      <c r="D3792" t="inlineStr">
        <is>
          <t>1</t>
        </is>
      </c>
      <c r="E3792" t="inlineStr">
        <is>
          <t>90</t>
        </is>
      </c>
      <c r="F3792" t="inlineStr">
        <is>
          <t>0</t>
        </is>
      </c>
      <c r="G3792" t="inlineStr">
        <is>
          <t>0</t>
        </is>
      </c>
      <c r="H3792" t="inlineStr">
        <is>
          <t>10¹, 20¹, 50¹, 100¹</t>
        </is>
      </c>
      <c r="I3792" t="n">
        <v>4</v>
      </c>
      <c r="J3792" t="inlineStr">
        <is>
          <t>2⁶, 4¹², 20⁶</t>
        </is>
      </c>
      <c r="K3792">
        <f>HYPERLINK("CSG2.html#group20C2", "20C²"), =HYPERLINK("CSG6.html#group50A6", "50A⁶")</f>
        <v/>
      </c>
      <c r="L3792" t="inlineStr"/>
      <c r="M3792">
        <f>HYPERLINK("CSG0.html#group5B0", "5B⁰"), =HYPERLINK("CSG6.html#group50A6", "50A⁶"), =HYPERLINK("CSG0.html#group10C0", "10C⁰"), =HYPERLINK("CSG0.html#group2B0", "2B⁰"), =HYPERLINK("CSG2.html#group25A2", "25A²"), =HYPERLINK("CSG0.html#group1A0", "1A⁰"), =HYPERLINK("CSG2.html#group20C2", "20C²")</f>
        <v/>
      </c>
      <c r="N3792" t="inlineStr"/>
    </row>
    <row r="3793">
      <c r="A3793" t="inlineStr">
        <is>
          <t>100B¹⁴</t>
        </is>
      </c>
      <c r="B3793" t="inlineStr"/>
      <c r="C3793" t="inlineStr">
        <is>
          <t>180</t>
        </is>
      </c>
      <c r="D3793" t="inlineStr">
        <is>
          <t>1</t>
        </is>
      </c>
      <c r="E3793" t="inlineStr">
        <is>
          <t>90</t>
        </is>
      </c>
      <c r="F3793" t="inlineStr">
        <is>
          <t>0</t>
        </is>
      </c>
      <c r="G3793" t="inlineStr">
        <is>
          <t>0</t>
        </is>
      </c>
      <c r="H3793" t="inlineStr">
        <is>
          <t>10¹, 20¹, 50¹, 100¹</t>
        </is>
      </c>
      <c r="I3793" t="n">
        <v>4</v>
      </c>
      <c r="J3793" t="inlineStr">
        <is>
          <t>2⁶, 4¹², 20⁶</t>
        </is>
      </c>
      <c r="K3793">
        <f>HYPERLINK("CSG2.html#group20C2", "20C²"), =HYPERLINK("CSG6.html#group50B6", "50B⁶")</f>
        <v/>
      </c>
      <c r="L3793" t="inlineStr"/>
      <c r="M3793">
        <f>HYPERLINK("CSG0.html#group5B0", "5B⁰"), =HYPERLINK("CSG0.html#group10C0", "10C⁰"), =HYPERLINK("CSG0.html#group2B0", "2B⁰"), =HYPERLINK("CSG6.html#group50B6", "50B⁶"), =HYPERLINK("CSG0.html#group1A0", "1A⁰"), =HYPERLINK("CSG2.html#group20C2", "20C²"), =HYPERLINK("CSG2.html#group25B2", "25B²")</f>
        <v/>
      </c>
      <c r="N3793" t="inlineStr"/>
    </row>
    <row r="3794">
      <c r="A3794" t="inlineStr">
        <is>
          <t>100C¹⁴</t>
        </is>
      </c>
      <c r="B3794" t="inlineStr"/>
      <c r="C3794" t="inlineStr">
        <is>
          <t>180</t>
        </is>
      </c>
      <c r="D3794" t="inlineStr">
        <is>
          <t>1</t>
        </is>
      </c>
      <c r="E3794" t="inlineStr">
        <is>
          <t>90</t>
        </is>
      </c>
      <c r="F3794" t="inlineStr">
        <is>
          <t>0</t>
        </is>
      </c>
      <c r="G3794" t="inlineStr">
        <is>
          <t>0</t>
        </is>
      </c>
      <c r="H3794" t="inlineStr">
        <is>
          <t>10¹, 20¹, 50¹, 100¹</t>
        </is>
      </c>
      <c r="I3794" t="n">
        <v>4</v>
      </c>
      <c r="J3794" t="inlineStr">
        <is>
          <t>2⁶, 4¹², 20⁶</t>
        </is>
      </c>
      <c r="K3794">
        <f>HYPERLINK("CSG2.html#group20C2", "20C²"), =HYPERLINK("CSG6.html#group50C6", "50C⁶")</f>
        <v/>
      </c>
      <c r="L3794" t="inlineStr"/>
      <c r="M3794">
        <f>HYPERLINK("CSG0.html#group5B0", "5B⁰"), =HYPERLINK("CSG0.html#group10C0", "10C⁰"), =HYPERLINK("CSG0.html#group1A0", "1A⁰"), =HYPERLINK("CSG0.html#group2B0", "2B⁰"), =HYPERLINK("CSG6.html#group50C6", "50C⁶"), =HYPERLINK("CSG2.html#group25C2", "25C²"), =HYPERLINK("CSG2.html#group20C2", "20C²")</f>
        <v/>
      </c>
      <c r="N3794" t="inlineStr"/>
    </row>
    <row r="3795">
      <c r="A3795" t="inlineStr">
        <is>
          <t>100D¹⁴</t>
        </is>
      </c>
      <c r="B3795" t="inlineStr"/>
      <c r="C3795" t="inlineStr">
        <is>
          <t>180</t>
        </is>
      </c>
      <c r="D3795" t="inlineStr">
        <is>
          <t>1</t>
        </is>
      </c>
      <c r="E3795" t="inlineStr">
        <is>
          <t>90</t>
        </is>
      </c>
      <c r="F3795" t="inlineStr">
        <is>
          <t>0</t>
        </is>
      </c>
      <c r="G3795" t="inlineStr">
        <is>
          <t>0</t>
        </is>
      </c>
      <c r="H3795" t="inlineStr">
        <is>
          <t>10¹, 20¹, 50¹, 100¹</t>
        </is>
      </c>
      <c r="I3795" t="n">
        <v>4</v>
      </c>
      <c r="J3795" t="inlineStr">
        <is>
          <t>2⁶, 4¹², 20⁶</t>
        </is>
      </c>
      <c r="K3795">
        <f>HYPERLINK("CSG2.html#group20C2", "20C²"), =HYPERLINK("CSG6.html#group50D6", "50D⁶")</f>
        <v/>
      </c>
      <c r="L3795" t="inlineStr"/>
      <c r="M3795">
        <f>HYPERLINK("CSG0.html#group5B0", "5B⁰"), =HYPERLINK("CSG0.html#group10C0", "10C⁰"), =HYPERLINK("CSG0.html#group2B0", "2B⁰"), =HYPERLINK("CSG0.html#group1A0", "1A⁰"), =HYPERLINK("CSG6.html#group50D6", "50D⁶"), =HYPERLINK("CSG2.html#group20C2", "20C²"), =HYPERLINK("CSG2.html#group25D2", "25D²")</f>
        <v/>
      </c>
      <c r="N3795" t="inlineStr"/>
    </row>
    <row r="3796">
      <c r="A3796" t="inlineStr">
        <is>
          <t>100E¹⁴</t>
        </is>
      </c>
      <c r="B3796" t="inlineStr"/>
      <c r="C3796" t="inlineStr">
        <is>
          <t>200</t>
        </is>
      </c>
      <c r="D3796" t="inlineStr">
        <is>
          <t>1</t>
        </is>
      </c>
      <c r="E3796" t="inlineStr">
        <is>
          <t>200</t>
        </is>
      </c>
      <c r="F3796" t="inlineStr">
        <is>
          <t>4</t>
        </is>
      </c>
      <c r="G3796" t="inlineStr">
        <is>
          <t>5</t>
        </is>
      </c>
      <c r="H3796" t="inlineStr">
        <is>
          <t>100²</t>
        </is>
      </c>
      <c r="I3796" t="n">
        <v>2</v>
      </c>
      <c r="J3796" t="inlineStr">
        <is>
          <t>4², 8⁴, 40⁴</t>
        </is>
      </c>
      <c r="K3796">
        <f>HYPERLINK("CSG2.html#group20E2", "20E²"), =HYPERLINK("CSG2.html#group25E2", "25E²")</f>
        <v/>
      </c>
      <c r="L3796" t="inlineStr"/>
      <c r="M3796">
        <f>HYPERLINK("CSG0.html#group1A0", "1A⁰"), =HYPERLINK("CSG0.html#group4A0", "4A⁰"), =HYPERLINK("CSG0.html#group5C0", "5C⁰"), =HYPERLINK("CSG2.html#group20E2", "20E²"), =HYPERLINK("CSG2.html#group25E2", "25E²")</f>
        <v/>
      </c>
      <c r="N3796" t="inlineStr"/>
    </row>
    <row r="3797">
      <c r="A3797" t="inlineStr">
        <is>
          <t>105A¹⁴</t>
        </is>
      </c>
      <c r="B3797" t="inlineStr"/>
      <c r="C3797" t="inlineStr">
        <is>
          <t>210</t>
        </is>
      </c>
      <c r="D3797" t="inlineStr">
        <is>
          <t>2</t>
        </is>
      </c>
      <c r="E3797" t="inlineStr">
        <is>
          <t>35</t>
        </is>
      </c>
      <c r="F3797" t="inlineStr">
        <is>
          <t>6</t>
        </is>
      </c>
      <c r="G3797" t="inlineStr">
        <is>
          <t>6</t>
        </is>
      </c>
      <c r="H3797" t="inlineStr">
        <is>
          <t>105²</t>
        </is>
      </c>
      <c r="I3797" t="n">
        <v>2</v>
      </c>
      <c r="J3797" t="inlineStr">
        <is>
          <t>4¹, 12², 16¹, 48²</t>
        </is>
      </c>
      <c r="K3797">
        <f>HYPERLINK("CSG4.html#group35A4", "35A⁴"), =HYPERLINK("CSG6.html#group105A6", "105A⁶")</f>
        <v/>
      </c>
      <c r="L3797" t="inlineStr"/>
      <c r="M3797">
        <f>HYPERLINK("CSG6.html#group105A6", "105A⁶"), =HYPERLINK("CSG0.html#group5A0", "5A⁰"), =HYPERLINK("CSG4.html#group35A4", "35A⁴"), =HYPERLINK("CSG0.html#group7C0", "7C⁰"), =HYPERLINK("CSG0.html#group1A0", "1A⁰"), =HYPERLINK("CSG2.html#group35A2", "35A²"), =HYPERLINK("CSG0.html#group7A0", "7A⁰"), =HYPERLINK("CSG0.html#group15A0", "15A⁰")</f>
        <v/>
      </c>
      <c r="N3797" t="inlineStr"/>
    </row>
    <row r="3798">
      <c r="A3798" t="inlineStr">
        <is>
          <t>105B¹⁴</t>
        </is>
      </c>
      <c r="B3798" t="inlineStr"/>
      <c r="C3798" t="inlineStr">
        <is>
          <t>210</t>
        </is>
      </c>
      <c r="D3798" t="inlineStr">
        <is>
          <t>2</t>
        </is>
      </c>
      <c r="E3798" t="inlineStr">
        <is>
          <t>35</t>
        </is>
      </c>
      <c r="F3798" t="inlineStr">
        <is>
          <t>6</t>
        </is>
      </c>
      <c r="G3798" t="inlineStr">
        <is>
          <t>6</t>
        </is>
      </c>
      <c r="H3798" t="inlineStr">
        <is>
          <t>105²</t>
        </is>
      </c>
      <c r="I3798" t="n">
        <v>2</v>
      </c>
      <c r="J3798" t="inlineStr">
        <is>
          <t>4¹, 12², 16¹, 48²</t>
        </is>
      </c>
      <c r="K3798">
        <f>HYPERLINK("CSG4.html#group35A4", "35A⁴"), =HYPERLINK("CSG6.html#group105B6", "105B⁶")</f>
        <v/>
      </c>
      <c r="L3798" t="inlineStr"/>
      <c r="M3798">
        <f>HYPERLINK("CSG0.html#group5A0", "5A⁰"), =HYPERLINK("CSG6.html#group105B6", "105B⁶"), =HYPERLINK("CSG4.html#group35A4", "35A⁴"), =HYPERLINK("CSG0.html#group7C0", "7C⁰"), =HYPERLINK("CSG0.html#group1A0", "1A⁰"), =HYPERLINK("CSG2.html#group35A2", "35A²"), =HYPERLINK("CSG0.html#group7A0", "7A⁰"), =HYPERLINK("CSG0.html#group15A0", "15A⁰")</f>
        <v/>
      </c>
      <c r="N3798" t="inlineStr"/>
    </row>
    <row r="3799">
      <c r="A3799" t="inlineStr">
        <is>
          <t>105C¹⁴</t>
        </is>
      </c>
      <c r="B3799" t="inlineStr"/>
      <c r="C3799" t="inlineStr">
        <is>
          <t>210</t>
        </is>
      </c>
      <c r="D3799" t="inlineStr">
        <is>
          <t>2</t>
        </is>
      </c>
      <c r="E3799" t="inlineStr">
        <is>
          <t>70</t>
        </is>
      </c>
      <c r="F3799" t="inlineStr">
        <is>
          <t>6</t>
        </is>
      </c>
      <c r="G3799" t="inlineStr">
        <is>
          <t>6</t>
        </is>
      </c>
      <c r="H3799" t="inlineStr">
        <is>
          <t>105²</t>
        </is>
      </c>
      <c r="I3799" t="n">
        <v>2</v>
      </c>
      <c r="J3799" t="inlineStr">
        <is>
          <t>4¹, 12², 16¹, 48²</t>
        </is>
      </c>
      <c r="K3799">
        <f>HYPERLINK("CSG1.html#group21C1", "21C¹"), =HYPERLINK("CSG4.html#group35A4", "35A⁴")</f>
        <v/>
      </c>
      <c r="L3799" t="inlineStr"/>
      <c r="M3799">
        <f>HYPERLINK("CSG0.html#group5A0", "5A⁰"), =HYPERLINK("CSG0.html#group7C0", "7C⁰"), =HYPERLINK("CSG0.html#group1A0", "1A⁰"), =HYPERLINK("CSG2.html#group35A2", "35A²"), =HYPERLINK("CSG4.html#group35A4", "35A⁴"), =HYPERLINK("CSG0.html#group7A0", "7A⁰"), =HYPERLINK("CSG1.html#group21C1", "21C¹")</f>
        <v/>
      </c>
      <c r="N3799" t="inlineStr"/>
    </row>
    <row r="3800">
      <c r="A3800" t="inlineStr">
        <is>
          <t>105D¹⁴</t>
        </is>
      </c>
      <c r="B3800" t="inlineStr"/>
      <c r="C3800" t="inlineStr">
        <is>
          <t>252</t>
        </is>
      </c>
      <c r="D3800" t="inlineStr">
        <is>
          <t>2</t>
        </is>
      </c>
      <c r="E3800" t="inlineStr">
        <is>
          <t>42</t>
        </is>
      </c>
      <c r="F3800" t="inlineStr">
        <is>
          <t>24</t>
        </is>
      </c>
      <c r="G3800" t="inlineStr">
        <is>
          <t>0</t>
        </is>
      </c>
      <c r="H3800" t="inlineStr">
        <is>
          <t>21², 105²</t>
        </is>
      </c>
      <c r="I3800" t="n">
        <v>4</v>
      </c>
      <c r="J3800" t="inlineStr">
        <is>
          <t>2², 6⁴, 8¹, 24²</t>
        </is>
      </c>
      <c r="K3800">
        <f>HYPERLINK("CSG4.html#group35C4", "35C⁴"), =HYPERLINK("CSG6.html#group105C6", "105C⁶")</f>
        <v/>
      </c>
      <c r="L3800" t="inlineStr"/>
      <c r="M3800">
        <f>HYPERLINK("CSG2.html#group35C2", "35C²"), =HYPERLINK("CSG0.html#group15B0", "15B⁰"), =HYPERLINK("CSG4.html#group35C4", "35C⁴"), =HYPERLINK("CSG6.html#group105C6", "105C⁶"), =HYPERLINK("CSG0.html#group5B0", "5B⁰"), =HYPERLINK("CSG0.html#group21A0", "21A⁰"), =HYPERLINK("CSG0.html#group3A0", "3A⁰"), =HYPERLINK("CSG0.html#group1A0", "1A⁰"), =HYPERLINK("CSG0.html#group7A0", "7A⁰")</f>
        <v/>
      </c>
      <c r="N3800" t="inlineStr"/>
    </row>
    <row r="3801">
      <c r="A3801" t="inlineStr">
        <is>
          <t>105E¹⁴</t>
        </is>
      </c>
      <c r="B3801" t="inlineStr"/>
      <c r="C3801" t="inlineStr">
        <is>
          <t>252</t>
        </is>
      </c>
      <c r="D3801" t="inlineStr">
        <is>
          <t>2</t>
        </is>
      </c>
      <c r="E3801" t="inlineStr">
        <is>
          <t>126</t>
        </is>
      </c>
      <c r="F3801" t="inlineStr">
        <is>
          <t>24</t>
        </is>
      </c>
      <c r="G3801" t="inlineStr">
        <is>
          <t>0</t>
        </is>
      </c>
      <c r="H3801" t="inlineStr">
        <is>
          <t>21², 105²</t>
        </is>
      </c>
      <c r="I3801" t="n">
        <v>4</v>
      </c>
      <c r="J3801" t="inlineStr">
        <is>
          <t>2², 4², 6⁴, 8¹, 12⁴, 16¹, 24², 48²</t>
        </is>
      </c>
      <c r="K3801">
        <f>HYPERLINK("CSG0.html#group15C0", "15C⁰"), =HYPERLINK("CSG6.html#group105C6", "105C⁶")</f>
        <v/>
      </c>
      <c r="L3801" t="inlineStr"/>
      <c r="M3801">
        <f>HYPERLINK("CSG2.html#group35C2", "35C²"), =HYPERLINK("CSG0.html#group15B0", "15B⁰"), =HYPERLINK("CSG6.html#group105C6", "105C⁶"), =HYPERLINK("CSG0.html#group5B0", "5B⁰"), =HYPERLINK("CSG0.html#group21A0", "21A⁰"), =HYPERLINK("CSG0.html#group7A0", "7A⁰"), =HYPERLINK("CSG0.html#group3A0", "3A⁰"), =HYPERLINK("CSG0.html#group1A0", "1A⁰"), =HYPERLINK("CSG0.html#group15C0", "15C⁰")</f>
        <v/>
      </c>
      <c r="N3801" t="inlineStr"/>
    </row>
    <row r="3802">
      <c r="A3802" t="inlineStr">
        <is>
          <t>110A¹⁴</t>
        </is>
      </c>
      <c r="B3802" t="inlineStr"/>
      <c r="C3802" t="inlineStr">
        <is>
          <t>180</t>
        </is>
      </c>
      <c r="D3802" t="inlineStr">
        <is>
          <t>1</t>
        </is>
      </c>
      <c r="E3802" t="inlineStr">
        <is>
          <t>180</t>
        </is>
      </c>
      <c r="F3802" t="inlineStr">
        <is>
          <t>0</t>
        </is>
      </c>
      <c r="G3802" t="inlineStr">
        <is>
          <t>0</t>
        </is>
      </c>
      <c r="H3802" t="inlineStr">
        <is>
          <t>5¹, 10¹, 55¹, 110¹</t>
        </is>
      </c>
      <c r="I3802" t="n">
        <v>4</v>
      </c>
      <c r="J3802" t="inlineStr">
        <is>
          <t>1⁶, 4⁶, 10³, 40³</t>
        </is>
      </c>
      <c r="K3802">
        <f>HYPERLINK("CSG1.html#group10B1", "10B¹"), =HYPERLINK("CSG2.html#group22C2", "22C²"), =HYPERLINK("CSG5.html#group55A5", "55A⁵")</f>
        <v/>
      </c>
      <c r="L3802" t="inlineStr"/>
      <c r="M3802">
        <f>HYPERLINK("CSG0.html#group5A0", "5A⁰"), =HYPERLINK("CSG1.html#group11A1", "11A¹"), =HYPERLINK("CSG1.html#group10B1", "10B¹"), =HYPERLINK("CSG5.html#group55A5", "55A⁵"), =HYPERLINK("CSG0.html#group2B0", "2B⁰"), =HYPERLINK("CSG2.html#group22C2", "22C²"), =HYPERLINK("CSG0.html#group1A0", "1A⁰")</f>
        <v/>
      </c>
      <c r="N3802" t="inlineStr"/>
    </row>
    <row r="3803">
      <c r="A3803" t="inlineStr">
        <is>
          <t>110B¹⁴</t>
        </is>
      </c>
      <c r="B3803" t="inlineStr"/>
      <c r="C3803" t="inlineStr">
        <is>
          <t>198</t>
        </is>
      </c>
      <c r="D3803" t="inlineStr">
        <is>
          <t>2</t>
        </is>
      </c>
      <c r="E3803" t="inlineStr">
        <is>
          <t>198</t>
        </is>
      </c>
      <c r="F3803" t="inlineStr">
        <is>
          <t>6</t>
        </is>
      </c>
      <c r="G3803" t="inlineStr">
        <is>
          <t>0</t>
        </is>
      </c>
      <c r="H3803" t="inlineStr">
        <is>
          <t>11¹, 22¹, 55¹, 110¹</t>
        </is>
      </c>
      <c r="I3803" t="n">
        <v>4</v>
      </c>
      <c r="J3803" t="inlineStr">
        <is>
          <t>2⁶, 8³, 10¹², 40⁶</t>
        </is>
      </c>
      <c r="K3803">
        <f>HYPERLINK("CSG0.html#group10C0", "10C⁰"), =HYPERLINK("CSG2.html#group22B2", "22B²"), =HYPERLINK("CSG4.html#group55A4", "55A⁴")</f>
        <v/>
      </c>
      <c r="L3803" t="inlineStr"/>
      <c r="M3803">
        <f>HYPERLINK("CSG0.html#group11A0", "11A⁰"), =HYPERLINK("CSG4.html#group55A4", "55A⁴"), =HYPERLINK("CSG0.html#group5B0", "5B⁰"), =HYPERLINK("CSG0.html#group10C0", "10C⁰"), =HYPERLINK("CSG0.html#group2B0", "2B⁰"), =HYPERLINK("CSG2.html#group22B2", "22B²"), =HYPERLINK("CSG0.html#group1A0", "1A⁰")</f>
        <v/>
      </c>
      <c r="N3803" t="inlineStr"/>
    </row>
    <row r="3804">
      <c r="A3804" t="inlineStr">
        <is>
          <t>110C¹⁴</t>
        </is>
      </c>
      <c r="B3804" t="inlineStr"/>
      <c r="C3804" t="inlineStr">
        <is>
          <t>220</t>
        </is>
      </c>
      <c r="D3804" t="inlineStr">
        <is>
          <t>2</t>
        </is>
      </c>
      <c r="E3804" t="inlineStr">
        <is>
          <t>110</t>
        </is>
      </c>
      <c r="F3804" t="inlineStr">
        <is>
          <t>12</t>
        </is>
      </c>
      <c r="G3804" t="inlineStr">
        <is>
          <t>4</t>
        </is>
      </c>
      <c r="H3804" t="inlineStr">
        <is>
          <t>110²</t>
        </is>
      </c>
      <c r="I3804" t="n">
        <v>2</v>
      </c>
      <c r="J3804" t="inlineStr">
        <is>
          <t>4¹, 8², 20², 40⁴</t>
        </is>
      </c>
      <c r="K3804">
        <f>HYPERLINK("CSG0.html#group10D0", "10D⁰"), =HYPERLINK("CSG7.html#group55A7", "55A⁷")</f>
        <v/>
      </c>
      <c r="L3804" t="inlineStr"/>
      <c r="M3804">
        <f>HYPERLINK("CSG0.html#group11A0", "11A⁰"), =HYPERLINK("CSG7.html#group55A7", "55A⁷"), =HYPERLINK("CSG0.html#group1A0", "1A⁰"), =HYPERLINK("CSG0.html#group5C0", "5C⁰"), =HYPERLINK("CSG0.html#group10D0", "10D⁰")</f>
        <v/>
      </c>
      <c r="N3804" t="inlineStr"/>
    </row>
    <row r="3805">
      <c r="A3805" t="inlineStr">
        <is>
          <t>112A¹⁴</t>
        </is>
      </c>
      <c r="B3805" t="inlineStr"/>
      <c r="C3805" t="inlineStr">
        <is>
          <t>168</t>
        </is>
      </c>
      <c r="D3805" t="inlineStr">
        <is>
          <t>2</t>
        </is>
      </c>
      <c r="E3805" t="inlineStr">
        <is>
          <t>21</t>
        </is>
      </c>
      <c r="F3805" t="inlineStr">
        <is>
          <t>0</t>
        </is>
      </c>
      <c r="G3805" t="inlineStr">
        <is>
          <t>0</t>
        </is>
      </c>
      <c r="H3805" t="inlineStr">
        <is>
          <t>56¹, 112¹</t>
        </is>
      </c>
      <c r="I3805" t="n">
        <v>2</v>
      </c>
      <c r="J3805" t="inlineStr">
        <is>
          <t>2³, 6⁶</t>
        </is>
      </c>
      <c r="K3805">
        <f>HYPERLINK("CSG2.html#group16A2", "16A²"), =HYPERLINK("CSG4.html#group56B4", "56B⁴")</f>
        <v/>
      </c>
      <c r="L3805" t="inlineStr"/>
      <c r="M3805">
        <f>HYPERLINK("CSG2.html#group28C2", "28C²"), =HYPERLINK("CSG2.html#group16A2", "16A²"), =HYPERLINK("CSG1.html#group14B1", "14B¹"), =HYPERLINK("CSG0.html#group4C0", "4C⁰"), =HYPERLINK("CSG0.html#group8B0", "8B⁰"), =HYPERLINK("CSG0.html#group2B0", "2B⁰"), =HYPERLINK("CSG0.html#group1A0", "1A⁰"), =HYPERLINK("CSG0.html#group7A0", "7A⁰"), =HYPERLINK("CSG4.html#group56B4", "56B⁴")</f>
        <v/>
      </c>
      <c r="N3805" t="inlineStr"/>
    </row>
    <row r="3806">
      <c r="A3806" t="inlineStr">
        <is>
          <t>112B¹⁴</t>
        </is>
      </c>
      <c r="B3806" t="inlineStr"/>
      <c r="C3806" t="inlineStr">
        <is>
          <t>168</t>
        </is>
      </c>
      <c r="D3806" t="inlineStr">
        <is>
          <t>2</t>
        </is>
      </c>
      <c r="E3806" t="inlineStr">
        <is>
          <t>84</t>
        </is>
      </c>
      <c r="F3806" t="inlineStr">
        <is>
          <t>0</t>
        </is>
      </c>
      <c r="G3806" t="inlineStr">
        <is>
          <t>0</t>
        </is>
      </c>
      <c r="H3806" t="inlineStr">
        <is>
          <t>56¹, 112¹</t>
        </is>
      </c>
      <c r="I3806" t="n">
        <v>2</v>
      </c>
      <c r="J3806" t="inlineStr">
        <is>
          <t>2⁴, 4², 6⁸, 8¹, 12⁴, 24²</t>
        </is>
      </c>
      <c r="K3806">
        <f>HYPERLINK("CSG7.html#group56A7", "56A⁷")</f>
        <v/>
      </c>
      <c r="L3806" t="inlineStr"/>
      <c r="M3806">
        <f>HYPERLINK("CSG2.html#group28C2", "28C²"), =HYPERLINK("CSG1.html#group8A1", "8A¹"), =HYPERLINK("CSG7.html#group56A7", "56A⁷"), =HYPERLINK("CSG1.html#group14B1", "14B¹"), =HYPERLINK("CSG0.html#group4C0", "4C⁰"), =HYPERLINK("CSG0.html#group2B0", "2B⁰"), =HYPERLINK("CSG0.html#group1A0", "1A⁰"), =HYPERLINK("CSG0.html#group7A0", "7A⁰")</f>
        <v/>
      </c>
      <c r="N3806" t="inlineStr"/>
    </row>
    <row r="3807">
      <c r="A3807" t="inlineStr">
        <is>
          <t>112C¹⁴</t>
        </is>
      </c>
      <c r="B3807" t="inlineStr"/>
      <c r="C3807" t="inlineStr">
        <is>
          <t>168</t>
        </is>
      </c>
      <c r="D3807" t="inlineStr">
        <is>
          <t>2</t>
        </is>
      </c>
      <c r="E3807" t="inlineStr">
        <is>
          <t>84</t>
        </is>
      </c>
      <c r="F3807" t="inlineStr">
        <is>
          <t>0</t>
        </is>
      </c>
      <c r="G3807" t="inlineStr">
        <is>
          <t>0</t>
        </is>
      </c>
      <c r="H3807" t="inlineStr">
        <is>
          <t>56¹, 112¹</t>
        </is>
      </c>
      <c r="I3807" t="n">
        <v>2</v>
      </c>
      <c r="J3807" t="inlineStr">
        <is>
          <t>2⁴, 4², 6⁸, 8¹, 12⁴, 24²</t>
        </is>
      </c>
      <c r="K3807">
        <f>HYPERLINK("CSG2.html#group16B2", "16B²"), =HYPERLINK("CSG7.html#group56A7", "56A⁷")</f>
        <v/>
      </c>
      <c r="L3807" t="inlineStr"/>
      <c r="M3807">
        <f>HYPERLINK("CSG2.html#group28C2", "28C²"), =HYPERLINK("CSG2.html#group16B2", "16B²"), =HYPERLINK("CSG7.html#group56A7", "56A⁷"), =HYPERLINK("CSG1.html#group8A1", "8A¹"), =HYPERLINK("CSG1.html#group14B1", "14B¹"), =HYPERLINK("CSG0.html#group4C0", "4C⁰"), =HYPERLINK("CSG0.html#group2B0", "2B⁰"), =HYPERLINK("CSG0.html#group1A0", "1A⁰"), =HYPERLINK("CSG0.html#group7A0", "7A⁰")</f>
        <v/>
      </c>
      <c r="N3807" t="inlineStr"/>
    </row>
    <row r="3808">
      <c r="A3808" t="inlineStr">
        <is>
          <t>112D¹⁴</t>
        </is>
      </c>
      <c r="B3808" t="inlineStr"/>
      <c r="C3808" t="inlineStr">
        <is>
          <t>192</t>
        </is>
      </c>
      <c r="D3808" t="inlineStr">
        <is>
          <t>1</t>
        </is>
      </c>
      <c r="E3808" t="inlineStr">
        <is>
          <t>96</t>
        </is>
      </c>
      <c r="F3808" t="inlineStr">
        <is>
          <t>0</t>
        </is>
      </c>
      <c r="G3808" t="inlineStr">
        <is>
          <t>0</t>
        </is>
      </c>
      <c r="H3808" t="inlineStr">
        <is>
          <t>4², 16¹, 28², 112¹</t>
        </is>
      </c>
      <c r="I3808" t="n">
        <v>6</v>
      </c>
      <c r="J3808" t="inlineStr">
        <is>
          <t>1⁴, 2², 4⁴, 6², 12¹, 24²</t>
        </is>
      </c>
      <c r="K3808">
        <f>HYPERLINK("CSG1.html#group16C1", "16C¹"), =HYPERLINK("CSG6.html#group56E6", "56E⁶")</f>
        <v/>
      </c>
      <c r="L3808" t="inlineStr"/>
      <c r="M3808">
        <f>HYPERLINK("CSG0.html#group8D0", "8D⁰"), =HYPERLINK("CSG0.html#group7B0", "7B⁰"), =HYPERLINK("CSG1.html#group16C1", "16C¹"), =HYPERLINK("CSG0.html#group4C0", "4C⁰"), =HYPERLINK("CSG1.html#group14C1", "14C¹"), =HYPERLINK("CSG0.html#group1A0", "1A⁰"), =HYPERLINK("CSG0.html#group2B0", "2B⁰"), =HYPERLINK("CSG3.html#group28C3", "28C³"), =HYPERLINK("CSG6.html#group56E6", "56E⁶")</f>
        <v/>
      </c>
      <c r="N3808" t="inlineStr"/>
    </row>
    <row r="3809">
      <c r="A3809" t="inlineStr">
        <is>
          <t>112E¹⁴</t>
        </is>
      </c>
      <c r="B3809" t="inlineStr"/>
      <c r="C3809" t="inlineStr">
        <is>
          <t>224</t>
        </is>
      </c>
      <c r="D3809" t="inlineStr">
        <is>
          <t>2</t>
        </is>
      </c>
      <c r="E3809" t="inlineStr">
        <is>
          <t>56</t>
        </is>
      </c>
      <c r="F3809" t="inlineStr">
        <is>
          <t>8</t>
        </is>
      </c>
      <c r="G3809" t="inlineStr">
        <is>
          <t>8</t>
        </is>
      </c>
      <c r="H3809" t="inlineStr">
        <is>
          <t>112²</t>
        </is>
      </c>
      <c r="I3809" t="n">
        <v>2</v>
      </c>
      <c r="J3809" t="inlineStr">
        <is>
          <t>16², 48⁴</t>
        </is>
      </c>
      <c r="K3809">
        <f>HYPERLINK("CSG6.html#group56F6", "56F⁶"), =HYPERLINK("CSG7.html#group112A7", "112A⁷"), =HYPERLINK("CSG7.html#group112C7", "112C⁷")</f>
        <v/>
      </c>
      <c r="L3809" t="inlineStr"/>
      <c r="M3809">
        <f>HYPERLINK("CSG2.html#group28E2", "28E²"), =HYPERLINK("CSG7.html#group112C7", "112C⁷"), =HYPERLINK("CSG0.html#group14A0", "14A⁰"), =HYPERLINK("CSG0.html#group16A0", "16A⁰"), =HYPERLINK("CSG7.html#group112A7", "112A⁷"), =HYPERLINK("CSG0.html#group4A0", "4A⁰"), =HYPERLINK("CSG0.html#group8A0", "8A⁰"), =HYPERLINK("CSG3.html#group56C3", "56C³"), =HYPERLINK("CSG1.html#group28A1", "28A¹"), =HYPERLINK("CSG0.html#group1A0", "1A⁰"), =HYPERLINK("CSG6.html#group56F6", "56F⁶"), =HYPERLINK("CSG0.html#group7A0", "7A⁰"), =HYPERLINK("CSG3.html#group56A3", "56A³")</f>
        <v/>
      </c>
      <c r="N3809" t="inlineStr"/>
    </row>
    <row r="3810">
      <c r="A3810" t="inlineStr">
        <is>
          <t>112F¹⁴</t>
        </is>
      </c>
      <c r="B3810" t="inlineStr"/>
      <c r="C3810" t="inlineStr">
        <is>
          <t>224</t>
        </is>
      </c>
      <c r="D3810" t="inlineStr">
        <is>
          <t>2</t>
        </is>
      </c>
      <c r="E3810" t="inlineStr">
        <is>
          <t>56</t>
        </is>
      </c>
      <c r="F3810" t="inlineStr">
        <is>
          <t>8</t>
        </is>
      </c>
      <c r="G3810" t="inlineStr">
        <is>
          <t>8</t>
        </is>
      </c>
      <c r="H3810" t="inlineStr">
        <is>
          <t>112²</t>
        </is>
      </c>
      <c r="I3810" t="n">
        <v>2</v>
      </c>
      <c r="J3810" t="inlineStr">
        <is>
          <t>16², 48⁴</t>
        </is>
      </c>
      <c r="K3810">
        <f>HYPERLINK("CSG6.html#group56G6", "56G⁶"), =HYPERLINK("CSG7.html#group112B7", "112B⁷"), =HYPERLINK("CSG7.html#group112D7", "112D⁷")</f>
        <v/>
      </c>
      <c r="L3810" t="inlineStr"/>
      <c r="M3810">
        <f>HYPERLINK("CSG7.html#group112B7", "112B⁷"), =HYPERLINK("CSG2.html#group28E2", "28E²"), =HYPERLINK("CSG0.html#group14A0", "14A⁰"), =HYPERLINK("CSG3.html#group56D3", "56D³"), =HYPERLINK("CSG3.html#group56B3", "56B³"), =HYPERLINK("CSG0.html#group16A0", "16A⁰"), =HYPERLINK("CSG0.html#group4A0", "4A⁰"), =HYPERLINK("CSG0.html#group8A0", "8A⁰"), =HYPERLINK("CSG7.html#group112D7", "112D⁷"), =HYPERLINK("CSG1.html#group28A1", "28A¹"), =HYPERLINK("CSG0.html#group1A0", "1A⁰"), =HYPERLINK("CSG6.html#group56G6", "56G⁶"), =HYPERLINK("CSG0.html#group7A0", "7A⁰")</f>
        <v/>
      </c>
      <c r="N3810" t="inlineStr"/>
    </row>
    <row r="3811">
      <c r="A3811" t="inlineStr">
        <is>
          <t>114A¹⁴</t>
        </is>
      </c>
      <c r="B3811" t="inlineStr"/>
      <c r="C3811" t="inlineStr">
        <is>
          <t>180</t>
        </is>
      </c>
      <c r="D3811" t="inlineStr">
        <is>
          <t>1</t>
        </is>
      </c>
      <c r="E3811" t="inlineStr">
        <is>
          <t>60</t>
        </is>
      </c>
      <c r="F3811" t="inlineStr">
        <is>
          <t>0</t>
        </is>
      </c>
      <c r="G3811" t="inlineStr">
        <is>
          <t>0</t>
        </is>
      </c>
      <c r="H3811" t="inlineStr">
        <is>
          <t>3¹, 6¹, 57¹, 114¹</t>
        </is>
      </c>
      <c r="I3811" t="n">
        <v>4</v>
      </c>
      <c r="J3811" t="inlineStr">
        <is>
          <t>1⁶, 18³</t>
        </is>
      </c>
      <c r="K3811">
        <f>HYPERLINK("CSG0.html#group6D0", "6D⁰"), =HYPERLINK("CSG4.html#group38A4", "38A⁴"), =HYPERLINK("CSG5.html#group57A5", "57A⁵")</f>
        <v/>
      </c>
      <c r="L3811" t="inlineStr"/>
      <c r="M3811">
        <f>HYPERLINK("CSG1.html#group19A1", "19A¹"), =HYPERLINK("CSG4.html#group38A4", "38A⁴"), =HYPERLINK("CSG5.html#group57A5", "57A⁵"), =HYPERLINK("CSG0.html#group2B0", "2B⁰"), =HYPERLINK("CSG0.html#group3A0", "3A⁰"), =HYPERLINK("CSG0.html#group1A0", "1A⁰"), =HYPERLINK("CSG0.html#group6D0", "6D⁰")</f>
        <v/>
      </c>
      <c r="N3811" t="inlineStr"/>
    </row>
    <row r="3812">
      <c r="A3812" t="inlineStr">
        <is>
          <t>114B¹⁴</t>
        </is>
      </c>
      <c r="B3812" t="inlineStr"/>
      <c r="C3812" t="inlineStr">
        <is>
          <t>180</t>
        </is>
      </c>
      <c r="D3812" t="inlineStr">
        <is>
          <t>2</t>
        </is>
      </c>
      <c r="E3812" t="inlineStr">
        <is>
          <t>60</t>
        </is>
      </c>
      <c r="F3812" t="inlineStr">
        <is>
          <t>0</t>
        </is>
      </c>
      <c r="G3812" t="inlineStr">
        <is>
          <t>0</t>
        </is>
      </c>
      <c r="H3812" t="inlineStr">
        <is>
          <t>3¹, 6¹, 57¹, 114¹</t>
        </is>
      </c>
      <c r="I3812" t="n">
        <v>4</v>
      </c>
      <c r="J3812" t="inlineStr">
        <is>
          <t>2⁶, 36³</t>
        </is>
      </c>
      <c r="K3812">
        <f>HYPERLINK("CSG4.html#group38A4", "38A⁴"), =HYPERLINK("CSG5.html#group57B5", "57B⁵")</f>
        <v/>
      </c>
      <c r="L3812" t="inlineStr"/>
      <c r="M3812">
        <f>HYPERLINK("CSG1.html#group19A1", "19A¹"), =HYPERLINK("CSG0.html#group2B0", "2B⁰"), =HYPERLINK("CSG5.html#group57B5", "57B⁵"), =HYPERLINK("CSG0.html#group1A0", "1A⁰"), =HYPERLINK("CSG4.html#group38A4", "38A⁴")</f>
        <v/>
      </c>
      <c r="N3812" t="inlineStr"/>
    </row>
    <row r="3813">
      <c r="A3813" t="inlineStr">
        <is>
          <t>116A¹⁴</t>
        </is>
      </c>
      <c r="B3813" t="inlineStr"/>
      <c r="C3813" t="inlineStr">
        <is>
          <t>180</t>
        </is>
      </c>
      <c r="D3813" t="inlineStr">
        <is>
          <t>1</t>
        </is>
      </c>
      <c r="E3813" t="inlineStr">
        <is>
          <t>90</t>
        </is>
      </c>
      <c r="F3813" t="inlineStr">
        <is>
          <t>0</t>
        </is>
      </c>
      <c r="G3813" t="inlineStr">
        <is>
          <t>0</t>
        </is>
      </c>
      <c r="H3813" t="inlineStr">
        <is>
          <t>2¹, 4¹, 58¹, 116¹</t>
        </is>
      </c>
      <c r="I3813" t="n">
        <v>4</v>
      </c>
      <c r="J3813" t="inlineStr">
        <is>
          <t>1⁶, 28³</t>
        </is>
      </c>
      <c r="K3813">
        <f>HYPERLINK("CSG6.html#group58A6", "58A⁶")</f>
        <v/>
      </c>
      <c r="L3813" t="inlineStr"/>
      <c r="M3813">
        <f>HYPERLINK("CSG0.html#group1A0", "1A⁰"), =HYPERLINK("CSG2.html#group29A2", "29A²"), =HYPERLINK("CSG0.html#group2B0", "2B⁰"), =HYPERLINK("CSG6.html#group58A6", "58A⁶")</f>
        <v/>
      </c>
      <c r="N3813" t="inlineStr"/>
    </row>
    <row r="3814">
      <c r="A3814" t="inlineStr">
        <is>
          <t>118A¹⁴</t>
        </is>
      </c>
      <c r="B3814" t="inlineStr">
        <is>
          <t>Γ₀(118)</t>
        </is>
      </c>
      <c r="C3814" t="inlineStr">
        <is>
          <t>180</t>
        </is>
      </c>
      <c r="D3814" t="inlineStr">
        <is>
          <t>1</t>
        </is>
      </c>
      <c r="E3814" t="inlineStr">
        <is>
          <t>180</t>
        </is>
      </c>
      <c r="F3814" t="inlineStr">
        <is>
          <t>0</t>
        </is>
      </c>
      <c r="G3814" t="inlineStr">
        <is>
          <t>0</t>
        </is>
      </c>
      <c r="H3814" t="inlineStr">
        <is>
          <t>1¹, 2¹, 59¹, 118¹</t>
        </is>
      </c>
      <c r="I3814" t="n">
        <v>4</v>
      </c>
      <c r="J3814" t="inlineStr">
        <is>
          <t>1⁶, 58³</t>
        </is>
      </c>
      <c r="K3814">
        <f>HYPERLINK("CSG0.html#group2B0", "2B⁰"), =HYPERLINK("CSG5.html#group59A5", "59A⁵")</f>
        <v/>
      </c>
      <c r="L3814" t="inlineStr"/>
      <c r="M3814">
        <f>HYPERLINK("CSG5.html#group59A5", "59A⁵"), =HYPERLINK("CSG0.html#group1A0", "1A⁰"), =HYPERLINK("CSG0.html#group2B0", "2B⁰")</f>
        <v/>
      </c>
      <c r="N3814" t="inlineStr"/>
    </row>
    <row r="3815">
      <c r="A3815" t="inlineStr">
        <is>
          <t>120A¹⁴</t>
        </is>
      </c>
      <c r="B3815" t="inlineStr"/>
      <c r="C3815" t="inlineStr">
        <is>
          <t>180</t>
        </is>
      </c>
      <c r="D3815" t="inlineStr">
        <is>
          <t>1</t>
        </is>
      </c>
      <c r="E3815" t="inlineStr">
        <is>
          <t>30</t>
        </is>
      </c>
      <c r="F3815" t="inlineStr">
        <is>
          <t>0</t>
        </is>
      </c>
      <c r="G3815" t="inlineStr">
        <is>
          <t>0</t>
        </is>
      </c>
      <c r="H3815" t="inlineStr">
        <is>
          <t>15², 30¹, 120¹</t>
        </is>
      </c>
      <c r="I3815" t="n">
        <v>4</v>
      </c>
      <c r="J3815" t="inlineStr">
        <is>
          <t>1⁴, 2¹, 4⁴, 8¹</t>
        </is>
      </c>
      <c r="K3815">
        <f>HYPERLINK("CSG2.html#group24B2", "24B²"), =HYPERLINK("CSG4.html#group40B4", "40B⁴"), =HYPERLINK("CSG7.html#group60A7", "60A⁷")</f>
        <v/>
      </c>
      <c r="L3815" t="inlineStr"/>
      <c r="M3815">
        <f>HYPERLINK("CSG2.html#group20A2", "20A²"), =HYPERLINK("CSG0.html#group5A0", "5A⁰"), =HYPERLINK("CSG1.html#group15A1", "15A¹"), =HYPERLINK("CSG1.html#group10B1", "10B¹"), =HYPERLINK("CSG0.html#group8C0", "8C⁰"), =HYPERLINK("CSG0.html#group2B0", "2B⁰"), =HYPERLINK("CSG0.html#group4B0", "4B⁰"), =HYPERLINK("CSG4.html#group40B4", "40B⁴"), =HYPERLINK("CSG0.html#group1A0", "1A⁰"), =HYPERLINK("CSG7.html#group60A7", "60A⁷"), =HYPERLINK("CSG2.html#group24B2", "24B²"), =HYPERLINK("CSG3.html#group30D3", "30D³"), =HYPERLINK("CSG1.html#group12B1", "12B¹"), =HYPERLINK("CSG0.html#group3A0", "3A⁰"), =HYPERLINK("CSG0.html#group6D0", "6D⁰")</f>
        <v/>
      </c>
      <c r="N3815" t="inlineStr"/>
    </row>
    <row r="3816">
      <c r="A3816" t="inlineStr">
        <is>
          <t>120B¹⁴</t>
        </is>
      </c>
      <c r="B3816" t="inlineStr"/>
      <c r="C3816" t="inlineStr">
        <is>
          <t>180</t>
        </is>
      </c>
      <c r="D3816" t="inlineStr">
        <is>
          <t>1</t>
        </is>
      </c>
      <c r="E3816" t="inlineStr">
        <is>
          <t>45</t>
        </is>
      </c>
      <c r="F3816" t="inlineStr">
        <is>
          <t>4</t>
        </is>
      </c>
      <c r="G3816" t="inlineStr">
        <is>
          <t>0</t>
        </is>
      </c>
      <c r="H3816" t="inlineStr">
        <is>
          <t>60¹, 120¹</t>
        </is>
      </c>
      <c r="I3816" t="n">
        <v>2</v>
      </c>
      <c r="J3816" t="inlineStr">
        <is>
          <t>1³, 2³, 4³, 8³</t>
        </is>
      </c>
      <c r="K3816">
        <f>HYPERLINK("CSG2.html#group24C2", "24C²"), =HYPERLINK("CSG6.html#group60B6", "60B⁶")</f>
        <v/>
      </c>
      <c r="L3816" t="inlineStr"/>
      <c r="M3816">
        <f>HYPERLINK("CSG3.html#group30D3", "30D³"), =HYPERLINK("CSG0.html#group5A0", "5A⁰"), =HYPERLINK("CSG0.html#group12C0", "12C⁰"), =HYPERLINK("CSG1.html#group15A1", "15A¹"), =HYPERLINK("CSG1.html#group10B1", "10B¹"), =HYPERLINK("CSG2.html#group20B2", "20B²"), =HYPERLINK("CSG0.html#group4C0", "4C⁰"), =HYPERLINK("CSG6.html#group60B6", "60B⁶"), =HYPERLINK("CSG0.html#group2B0", "2B⁰"), =HYPERLINK("CSG2.html#group24C2", "24C²"), =HYPERLINK("CSG0.html#group3A0", "3A⁰"), =HYPERLINK("CSG0.html#group1A0", "1A⁰"), =HYPERLINK("CSG0.html#group6D0", "6D⁰")</f>
        <v/>
      </c>
      <c r="N3816" t="inlineStr"/>
    </row>
    <row r="3817">
      <c r="A3817" t="inlineStr">
        <is>
          <t>120C¹⁴</t>
        </is>
      </c>
      <c r="B3817" t="inlineStr"/>
      <c r="C3817" t="inlineStr">
        <is>
          <t>180</t>
        </is>
      </c>
      <c r="D3817" t="inlineStr">
        <is>
          <t>1</t>
        </is>
      </c>
      <c r="E3817" t="inlineStr">
        <is>
          <t>90</t>
        </is>
      </c>
      <c r="F3817" t="inlineStr">
        <is>
          <t>0</t>
        </is>
      </c>
      <c r="G3817" t="inlineStr">
        <is>
          <t>0</t>
        </is>
      </c>
      <c r="H3817" t="inlineStr">
        <is>
          <t>15², 30¹, 120¹</t>
        </is>
      </c>
      <c r="I3817" t="n">
        <v>4</v>
      </c>
      <c r="J3817" t="inlineStr">
        <is>
          <t>1⁴, 2⁵, 4⁵, 8⁵, 16¹</t>
        </is>
      </c>
      <c r="K3817">
        <f>HYPERLINK("CSG2.html#group24D2", "24D²"), =HYPERLINK("CSG7.html#group60A7", "60A⁷")</f>
        <v/>
      </c>
      <c r="L3817" t="inlineStr"/>
      <c r="M3817">
        <f>HYPERLINK("CSG2.html#group20A2", "20A²"), =HYPERLINK("CSG0.html#group5A0", "5A⁰"), =HYPERLINK("CSG1.html#group15A1", "15A¹"), =HYPERLINK("CSG1.html#group10B1", "10B¹"), =HYPERLINK("CSG0.html#group2B0", "2B⁰"), =HYPERLINK("CSG0.html#group4B0", "4B⁰"), =HYPERLINK("CSG0.html#group1A0", "1A⁰"), =HYPERLINK("CSG7.html#group60A7", "60A⁷"), =HYPERLINK("CSG3.html#group30D3", "30D³"), =HYPERLINK("CSG2.html#group24D2", "24D²"), =HYPERLINK("CSG1.html#group12B1", "12B¹"), =HYPERLINK("CSG0.html#group3A0", "3A⁰"), =HYPERLINK("CSG0.html#group6D0", "6D⁰")</f>
        <v/>
      </c>
      <c r="N3817" t="inlineStr"/>
    </row>
    <row r="3818">
      <c r="A3818" t="inlineStr">
        <is>
          <t>120D¹⁴</t>
        </is>
      </c>
      <c r="B3818" t="inlineStr"/>
      <c r="C3818" t="inlineStr">
        <is>
          <t>180</t>
        </is>
      </c>
      <c r="D3818" t="inlineStr">
        <is>
          <t>2</t>
        </is>
      </c>
      <c r="E3818" t="inlineStr">
        <is>
          <t>30</t>
        </is>
      </c>
      <c r="F3818" t="inlineStr">
        <is>
          <t>0</t>
        </is>
      </c>
      <c r="G3818" t="inlineStr">
        <is>
          <t>0</t>
        </is>
      </c>
      <c r="H3818" t="inlineStr">
        <is>
          <t>15², 30¹, 120¹</t>
        </is>
      </c>
      <c r="I3818" t="n">
        <v>4</v>
      </c>
      <c r="J3818" t="inlineStr">
        <is>
          <t>2⁴, 4¹, 8⁴, 16¹</t>
        </is>
      </c>
      <c r="K3818">
        <f>HYPERLINK("CSG4.html#group40B4", "40B⁴"), =HYPERLINK("CSG7.html#group60C7", "60C⁷")</f>
        <v/>
      </c>
      <c r="L3818" t="inlineStr"/>
      <c r="M3818">
        <f>HYPERLINK("CSG2.html#group20A2", "20A²"), =HYPERLINK("CSG0.html#group5A0", "5A⁰"), =HYPERLINK("CSG3.html#group30E3", "30E³"), =HYPERLINK("CSG1.html#group10B1", "10B¹"), =HYPERLINK("CSG0.html#group8C0", "8C⁰"), =HYPERLINK("CSG0.html#group2B0", "2B⁰"), =HYPERLINK("CSG0.html#group4B0", "4B⁰"), =HYPERLINK("CSG4.html#group40B4", "40B⁴"), =HYPERLINK("CSG0.html#group1A0", "1A⁰"), =HYPERLINK("CSG7.html#group60C7", "60C⁷"), =HYPERLINK("CSG0.html#group15A0", "15A⁰")</f>
        <v/>
      </c>
      <c r="N3818" t="inlineStr"/>
    </row>
    <row r="3819">
      <c r="A3819" t="inlineStr">
        <is>
          <t>122A¹⁴</t>
        </is>
      </c>
      <c r="B3819" t="inlineStr">
        <is>
          <t>Γ₀(122)</t>
        </is>
      </c>
      <c r="C3819" t="inlineStr">
        <is>
          <t>186</t>
        </is>
      </c>
      <c r="D3819" t="inlineStr">
        <is>
          <t>1</t>
        </is>
      </c>
      <c r="E3819" t="inlineStr">
        <is>
          <t>186</t>
        </is>
      </c>
      <c r="F3819" t="inlineStr">
        <is>
          <t>2</t>
        </is>
      </c>
      <c r="G3819" t="inlineStr">
        <is>
          <t>0</t>
        </is>
      </c>
      <c r="H3819" t="inlineStr">
        <is>
          <t>1¹, 2¹, 61¹, 122¹</t>
        </is>
      </c>
      <c r="I3819" t="n">
        <v>4</v>
      </c>
      <c r="J3819" t="inlineStr">
        <is>
          <t>1⁶, 60³</t>
        </is>
      </c>
      <c r="K3819">
        <f>HYPERLINK("CSG0.html#group2B0", "2B⁰"), =HYPERLINK("CSG4.html#group61A4", "61A⁴")</f>
        <v/>
      </c>
      <c r="L3819" t="inlineStr"/>
      <c r="M3819">
        <f>HYPERLINK("CSG0.html#group1A0", "1A⁰"), =HYPERLINK("CSG0.html#group2B0", "2B⁰"), =HYPERLINK("CSG4.html#group61A4", "61A⁴")</f>
        <v/>
      </c>
      <c r="N3819" t="inlineStr"/>
    </row>
    <row r="3820">
      <c r="A3820" t="inlineStr">
        <is>
          <t>124A¹⁴</t>
        </is>
      </c>
      <c r="B3820" t="inlineStr">
        <is>
          <t>Γ₀(124)</t>
        </is>
      </c>
      <c r="C3820" t="inlineStr">
        <is>
          <t>192</t>
        </is>
      </c>
      <c r="D3820" t="inlineStr">
        <is>
          <t>1</t>
        </is>
      </c>
      <c r="E3820" t="inlineStr">
        <is>
          <t>96</t>
        </is>
      </c>
      <c r="F3820" t="inlineStr">
        <is>
          <t>0</t>
        </is>
      </c>
      <c r="G3820" t="inlineStr">
        <is>
          <t>0</t>
        </is>
      </c>
      <c r="H3820" t="inlineStr">
        <is>
          <t>1², 4¹, 31², 124¹</t>
        </is>
      </c>
      <c r="I3820" t="n">
        <v>6</v>
      </c>
      <c r="J3820" t="inlineStr">
        <is>
          <t>1⁶, 30³</t>
        </is>
      </c>
      <c r="K3820">
        <f>HYPERLINK("CSG0.html#group4B0", "4B⁰"), =HYPERLINK("CSG7.html#group62A7", "62A⁷")</f>
        <v/>
      </c>
      <c r="L3820" t="inlineStr"/>
      <c r="M3820">
        <f>HYPERLINK("CSG2.html#group31A2", "31A²"), =HYPERLINK("CSG0.html#group2B0", "2B⁰"), =HYPERLINK("CSG0.html#group4B0", "4B⁰"), =HYPERLINK("CSG0.html#group1A0", "1A⁰"), =HYPERLINK("CSG7.html#group62A7", "62A⁷")</f>
        <v/>
      </c>
      <c r="N3820" t="inlineStr"/>
    </row>
    <row r="3821">
      <c r="A3821" t="inlineStr">
        <is>
          <t>126A¹⁴</t>
        </is>
      </c>
      <c r="B3821" t="inlineStr"/>
      <c r="C3821" t="inlineStr">
        <is>
          <t>168</t>
        </is>
      </c>
      <c r="D3821" t="inlineStr">
        <is>
          <t>2</t>
        </is>
      </c>
      <c r="E3821" t="inlineStr">
        <is>
          <t>28</t>
        </is>
      </c>
      <c r="F3821" t="inlineStr">
        <is>
          <t>0</t>
        </is>
      </c>
      <c r="G3821" t="inlineStr">
        <is>
          <t>0</t>
        </is>
      </c>
      <c r="H3821" t="inlineStr">
        <is>
          <t>42¹, 126¹</t>
        </is>
      </c>
      <c r="I3821" t="n">
        <v>2</v>
      </c>
      <c r="J3821" t="inlineStr">
        <is>
          <t>2², 4¹, 6⁴, 12²</t>
        </is>
      </c>
      <c r="K3821">
        <f>HYPERLINK("CSG4.html#group42D4", "42D⁴"), =HYPERLINK("CSG7.html#group63A7", "63A⁷")</f>
        <v/>
      </c>
      <c r="L3821" t="inlineStr"/>
      <c r="M3821">
        <f>HYPERLINK("CSG0.html#group3B0", "3B⁰"), =HYPERLINK("CSG0.html#group14A0", "14A⁰"), =HYPERLINK("CSG2.html#group21B2", "21B²"), =HYPERLINK("CSG4.html#group42D4", "42D⁴"), =HYPERLINK("CSG1.html#group9A1", "9A¹"), =HYPERLINK("CSG0.html#group1A0", "1A⁰"), =HYPERLINK("CSG7.html#group63A7", "63A⁷"), =HYPERLINK("CSG0.html#group7A0", "7A⁰")</f>
        <v/>
      </c>
      <c r="N3821" t="inlineStr"/>
    </row>
    <row r="3822">
      <c r="A3822" t="inlineStr">
        <is>
          <t>126B¹⁴</t>
        </is>
      </c>
      <c r="B3822" t="inlineStr"/>
      <c r="C3822" t="inlineStr">
        <is>
          <t>168</t>
        </is>
      </c>
      <c r="D3822" t="inlineStr">
        <is>
          <t>2</t>
        </is>
      </c>
      <c r="E3822" t="inlineStr">
        <is>
          <t>28</t>
        </is>
      </c>
      <c r="F3822" t="inlineStr">
        <is>
          <t>0</t>
        </is>
      </c>
      <c r="G3822" t="inlineStr">
        <is>
          <t>0</t>
        </is>
      </c>
      <c r="H3822" t="inlineStr">
        <is>
          <t>42¹, 126¹</t>
        </is>
      </c>
      <c r="I3822" t="n">
        <v>2</v>
      </c>
      <c r="J3822" t="inlineStr">
        <is>
          <t>2², 4¹, 6⁴, 12²</t>
        </is>
      </c>
      <c r="K3822">
        <f>HYPERLINK("CSG2.html#group18B2", "18B²"), =HYPERLINK("CSG4.html#group42E4", "42E⁴"), =HYPERLINK("CSG7.html#group63A7", "63A⁷")</f>
        <v/>
      </c>
      <c r="L3822" t="inlineStr"/>
      <c r="M3822">
        <f>HYPERLINK("CSG0.html#group3B0", "3B⁰"), =HYPERLINK("CSG0.html#group2A0", "2A⁰"), =HYPERLINK("CSG2.html#group18B2", "18B²"), =HYPERLINK("CSG2.html#group21B2", "21B²"), =HYPERLINK("CSG4.html#group42E4", "42E⁴"), =HYPERLINK("CSG0.html#group6C0", "6C⁰"), =HYPERLINK("CSG1.html#group9A1", "9A¹"), =HYPERLINK("CSG1.html#group14A1", "14A¹"), =HYPERLINK("CSG0.html#group1A0", "1A⁰"), =HYPERLINK("CSG7.html#group63A7", "63A⁷"), =HYPERLINK("CSG0.html#group7A0", "7A⁰")</f>
        <v/>
      </c>
      <c r="N3822" t="inlineStr"/>
    </row>
    <row r="3823">
      <c r="A3823" t="inlineStr">
        <is>
          <t>126C¹⁴</t>
        </is>
      </c>
      <c r="B3823" t="inlineStr"/>
      <c r="C3823" t="inlineStr">
        <is>
          <t>168</t>
        </is>
      </c>
      <c r="D3823" t="inlineStr">
        <is>
          <t>2</t>
        </is>
      </c>
      <c r="E3823" t="inlineStr">
        <is>
          <t>56</t>
        </is>
      </c>
      <c r="F3823" t="inlineStr">
        <is>
          <t>0</t>
        </is>
      </c>
      <c r="G3823" t="inlineStr">
        <is>
          <t>0</t>
        </is>
      </c>
      <c r="H3823" t="inlineStr">
        <is>
          <t>42¹, 126¹</t>
        </is>
      </c>
      <c r="I3823" t="n">
        <v>2</v>
      </c>
      <c r="J3823" t="inlineStr">
        <is>
          <t>4⁴, 12⁸</t>
        </is>
      </c>
      <c r="K3823">
        <f>HYPERLINK("CSG2.html#group18C2", "18C²"), =HYPERLINK("CSG4.html#group42E4", "42E⁴")</f>
        <v/>
      </c>
      <c r="L3823" t="inlineStr"/>
      <c r="M3823">
        <f>HYPERLINK("CSG0.html#group3B0", "3B⁰"), =HYPERLINK("CSG0.html#group2A0", "2A⁰"), =HYPERLINK("CSG2.html#group21B2", "21B²"), =HYPERLINK("CSG4.html#group42E4", "42E⁴"), =HYPERLINK("CSG0.html#group6C0", "6C⁰"), =HYPERLINK("CSG1.html#group14A1", "14A¹"), =HYPERLINK("CSG0.html#group1A0", "1A⁰"), =HYPERLINK("CSG0.html#group7A0", "7A⁰"), =HYPERLINK("CSG2.html#group18C2", "18C²")</f>
        <v/>
      </c>
      <c r="N3823" t="inlineStr"/>
    </row>
    <row r="3824">
      <c r="A3824" t="inlineStr">
        <is>
          <t>126D¹⁴</t>
        </is>
      </c>
      <c r="B3824" t="inlineStr"/>
      <c r="C3824" t="inlineStr">
        <is>
          <t>192</t>
        </is>
      </c>
      <c r="D3824" t="inlineStr">
        <is>
          <t>2</t>
        </is>
      </c>
      <c r="E3824" t="inlineStr">
        <is>
          <t>64</t>
        </is>
      </c>
      <c r="F3824" t="inlineStr">
        <is>
          <t>0</t>
        </is>
      </c>
      <c r="G3824" t="inlineStr">
        <is>
          <t>3</t>
        </is>
      </c>
      <c r="H3824" t="inlineStr">
        <is>
          <t>6¹, 18¹, 42¹, 126¹</t>
        </is>
      </c>
      <c r="I3824" t="n">
        <v>4</v>
      </c>
      <c r="J3824" t="inlineStr">
        <is>
          <t>2¹⁶, 12⁸</t>
        </is>
      </c>
      <c r="K3824">
        <f>HYPERLINK("CSG3.html#group42E3", "42E³")</f>
        <v/>
      </c>
      <c r="L3824" t="inlineStr"/>
      <c r="M3824">
        <f>HYPERLINK("CSG0.html#group3B0", "3B⁰"), =HYPERLINK("CSG0.html#group2A0", "2A⁰"), =HYPERLINK("CSG1.html#group21B1", "21B¹"), =HYPERLINK("CSG0.html#group7B0", "7B⁰"), =HYPERLINK("CSG3.html#group42E3", "42E³"), =HYPERLINK("CSG0.html#group6C0", "6C⁰"), =HYPERLINK("CSG0.html#group14B0", "14B⁰"), =HYPERLINK("CSG0.html#group1A0", "1A⁰")</f>
        <v/>
      </c>
      <c r="N3824" t="inlineStr"/>
    </row>
    <row r="3825">
      <c r="A3825" t="inlineStr">
        <is>
          <t>126E¹⁴</t>
        </is>
      </c>
      <c r="B3825" t="inlineStr"/>
      <c r="C3825" t="inlineStr">
        <is>
          <t>252</t>
        </is>
      </c>
      <c r="D3825" t="inlineStr">
        <is>
          <t>2</t>
        </is>
      </c>
      <c r="E3825" t="inlineStr">
        <is>
          <t>63</t>
        </is>
      </c>
      <c r="F3825" t="inlineStr">
        <is>
          <t>28</t>
        </is>
      </c>
      <c r="G3825" t="inlineStr">
        <is>
          <t>0</t>
        </is>
      </c>
      <c r="H3825" t="inlineStr">
        <is>
          <t>126²</t>
        </is>
      </c>
      <c r="I3825" t="n">
        <v>2</v>
      </c>
      <c r="J3825" t="inlineStr">
        <is>
          <t>4³, 12⁸, 36⁴</t>
        </is>
      </c>
      <c r="K3825">
        <f>HYPERLINK("CSG4.html#group42G4", "42G⁴"), =HYPERLINK("CSG5.html#group126B5", "126B⁵"), =HYPERLINK("CSG6.html#group63F6", "63F⁶"), =HYPERLINK("CSG7.html#group126A7", "126A⁷")</f>
        <v/>
      </c>
      <c r="L3825" t="inlineStr"/>
      <c r="M3825">
        <f>HYPERLINK("CSG7.html#group126A7", "126A⁷"), =HYPERLINK("CSG0.html#group6B0", "6B⁰"), =HYPERLINK("CSG2.html#group42A2", "42A²"), =HYPERLINK("CSG6.html#group63F6", "63F⁶"), =HYPERLINK("CSG4.html#group42G4", "42G⁴"), =HYPERLINK("CSG1.html#group21D1", "21D¹"), =HYPERLINK("CSG0.html#group9A0", "9A⁰"), =HYPERLINK("CSG2.html#group63A2", "63A²"), =HYPERLINK("CSG5.html#group126B5", "126B⁵"), =HYPERLINK("CSG0.html#group21A0", "21A⁰"), =HYPERLINK("CSG1.html#group42B1", "42B¹"), =HYPERLINK("CSG0.html#group3A0", "3A⁰"), =HYPERLINK("CSG0.html#group1A0", "1A⁰"), =HYPERLINK("CSG0.html#group18A0", "18A⁰"), =HYPERLINK("CSG0.html#group7A0", "7A⁰")</f>
        <v/>
      </c>
      <c r="N3825" t="inlineStr"/>
    </row>
    <row r="3826">
      <c r="A3826" t="inlineStr">
        <is>
          <t>126F¹⁴</t>
        </is>
      </c>
      <c r="B3826" t="inlineStr"/>
      <c r="C3826" t="inlineStr">
        <is>
          <t>252</t>
        </is>
      </c>
      <c r="D3826" t="inlineStr">
        <is>
          <t>2</t>
        </is>
      </c>
      <c r="E3826" t="inlineStr">
        <is>
          <t>63</t>
        </is>
      </c>
      <c r="F3826" t="inlineStr">
        <is>
          <t>28</t>
        </is>
      </c>
      <c r="G3826" t="inlineStr">
        <is>
          <t>0</t>
        </is>
      </c>
      <c r="H3826" t="inlineStr">
        <is>
          <t>126²</t>
        </is>
      </c>
      <c r="I3826" t="n">
        <v>2</v>
      </c>
      <c r="J3826" t="inlineStr">
        <is>
          <t>4³, 12⁸, 36⁴</t>
        </is>
      </c>
      <c r="K3826">
        <f>HYPERLINK("CSG4.html#group42H4", "42H⁴"), =HYPERLINK("CSG5.html#group126A5", "126A⁵"), =HYPERLINK("CSG6.html#group63G6", "63G⁶"), =HYPERLINK("CSG7.html#group126A7", "126A⁷")</f>
        <v/>
      </c>
      <c r="L3826" t="inlineStr"/>
      <c r="M3826">
        <f>HYPERLINK("CSG7.html#group126A7", "126A⁷"), =HYPERLINK("CSG0.html#group6B0", "6B⁰"), =HYPERLINK("CSG0.html#group3A0", "3A⁰"), =HYPERLINK("CSG2.html#group42A2", "42A²"), =HYPERLINK("CSG4.html#group42H4", "42H⁴"), =HYPERLINK("CSG1.html#group21D1", "21D¹"), =HYPERLINK("CSG0.html#group9A0", "9A⁰"), =HYPERLINK("CSG2.html#group63A2", "63A²"), =HYPERLINK("CSG0.html#group21A0", "21A⁰"), =HYPERLINK("CSG6.html#group63G6", "63G⁶"), =HYPERLINK("CSG1.html#group42B1", "42B¹"), =HYPERLINK("CSG5.html#group126A5", "126A⁵"), =HYPERLINK("CSG0.html#group1A0", "1A⁰"), =HYPERLINK("CSG0.html#group18A0", "18A⁰"), =HYPERLINK("CSG0.html#group7A0", "7A⁰")</f>
        <v/>
      </c>
      <c r="N3826" t="inlineStr"/>
    </row>
    <row r="3827">
      <c r="A3827" t="inlineStr">
        <is>
          <t>132A¹⁴</t>
        </is>
      </c>
      <c r="B3827" t="inlineStr"/>
      <c r="C3827" t="inlineStr">
        <is>
          <t>176</t>
        </is>
      </c>
      <c r="D3827" t="inlineStr">
        <is>
          <t>2</t>
        </is>
      </c>
      <c r="E3827" t="inlineStr">
        <is>
          <t>176</t>
        </is>
      </c>
      <c r="F3827" t="inlineStr">
        <is>
          <t>0</t>
        </is>
      </c>
      <c r="G3827" t="inlineStr">
        <is>
          <t>2</t>
        </is>
      </c>
      <c r="H3827" t="inlineStr">
        <is>
          <t>44¹, 132¹</t>
        </is>
      </c>
      <c r="I3827" t="n">
        <v>2</v>
      </c>
      <c r="J3827" t="inlineStr">
        <is>
          <t>4⁴, 8², 20⁸, 40⁴</t>
        </is>
      </c>
      <c r="K3827">
        <f>HYPERLINK("CSG1.html#group12A1", "12A¹"), =HYPERLINK("CSG2.html#group44A2", "44A²"), =HYPERLINK("CSG3.html#group33B3", "33B³")</f>
        <v/>
      </c>
      <c r="L3827" t="inlineStr"/>
      <c r="M3827">
        <f>HYPERLINK("CSG0.html#group11A0", "11A⁰"), =HYPERLINK("CSG0.html#group3B0", "3B⁰"), =HYPERLINK("CSG2.html#group44A2", "44A²"), =HYPERLINK("CSG3.html#group33B3", "33B³"), =HYPERLINK("CSG0.html#group4A0", "4A⁰"), =HYPERLINK("CSG1.html#group12A1", "12A¹"), =HYPERLINK("CSG0.html#group1A0", "1A⁰")</f>
        <v/>
      </c>
      <c r="N3827" t="inlineStr"/>
    </row>
    <row r="3828">
      <c r="A3828" t="inlineStr">
        <is>
          <t>135A¹⁴</t>
        </is>
      </c>
      <c r="B3828" t="inlineStr"/>
      <c r="C3828" t="inlineStr">
        <is>
          <t>180</t>
        </is>
      </c>
      <c r="D3828" t="inlineStr">
        <is>
          <t>1</t>
        </is>
      </c>
      <c r="E3828" t="inlineStr">
        <is>
          <t>60</t>
        </is>
      </c>
      <c r="F3828" t="inlineStr">
        <is>
          <t>0</t>
        </is>
      </c>
      <c r="G3828" t="inlineStr">
        <is>
          <t>0</t>
        </is>
      </c>
      <c r="H3828" t="inlineStr">
        <is>
          <t>15³, 135¹</t>
        </is>
      </c>
      <c r="I3828" t="n">
        <v>4</v>
      </c>
      <c r="J3828" t="inlineStr">
        <is>
          <t>1², 2², 4², 6¹, 8², 24¹</t>
        </is>
      </c>
      <c r="K3828">
        <f>HYPERLINK("CSG2.html#group27A2", "27A²"), =HYPERLINK("CSG4.html#group45A4", "45A⁴")</f>
        <v/>
      </c>
      <c r="L3828" t="inlineStr"/>
      <c r="M3828">
        <f>HYPERLINK("CSG0.html#group3B0", "3B⁰"), =HYPERLINK("CSG0.html#group9B0", "9B⁰"), =HYPERLINK("CSG1.html#group15B1", "15B¹"), =HYPERLINK("CSG0.html#group5A0", "5A⁰"), =HYPERLINK("CSG2.html#group27A2", "27A²"), =HYPERLINK("CSG4.html#group45A4", "45A⁴"), =HYPERLINK("CSG0.html#group1A0", "1A⁰")</f>
        <v/>
      </c>
      <c r="N3828" t="inlineStr"/>
    </row>
    <row r="3829">
      <c r="A3829" t="inlineStr">
        <is>
          <t>135B¹⁴</t>
        </is>
      </c>
      <c r="B3829" t="inlineStr"/>
      <c r="C3829" t="inlineStr">
        <is>
          <t>180</t>
        </is>
      </c>
      <c r="D3829" t="inlineStr">
        <is>
          <t>2</t>
        </is>
      </c>
      <c r="E3829" t="inlineStr">
        <is>
          <t>60</t>
        </is>
      </c>
      <c r="F3829" t="inlineStr">
        <is>
          <t>0</t>
        </is>
      </c>
      <c r="G3829" t="inlineStr">
        <is>
          <t>0</t>
        </is>
      </c>
      <c r="H3829" t="inlineStr">
        <is>
          <t>15³, 135¹</t>
        </is>
      </c>
      <c r="I3829" t="n">
        <v>4</v>
      </c>
      <c r="J3829" t="inlineStr">
        <is>
          <t>2², 4², 8⁶, 12¹, 24²</t>
        </is>
      </c>
      <c r="K3829">
        <f>HYPERLINK("CSG4.html#group45A4", "45A⁴")</f>
        <v/>
      </c>
      <c r="L3829" t="inlineStr"/>
      <c r="M3829">
        <f>HYPERLINK("CSG0.html#group3B0", "3B⁰"), =HYPERLINK("CSG0.html#group9B0", "9B⁰"), =HYPERLINK("CSG1.html#group15B1", "15B¹"), =HYPERLINK("CSG0.html#group5A0", "5A⁰"), =HYPERLINK("CSG4.html#group45A4", "45A⁴"), =HYPERLINK("CSG0.html#group1A0", "1A⁰")</f>
        <v/>
      </c>
      <c r="N3829" t="inlineStr"/>
    </row>
    <row r="3830">
      <c r="A3830" t="inlineStr">
        <is>
          <t>135C¹⁴</t>
        </is>
      </c>
      <c r="B3830" t="inlineStr"/>
      <c r="C3830" t="inlineStr">
        <is>
          <t>180</t>
        </is>
      </c>
      <c r="D3830" t="inlineStr">
        <is>
          <t>2</t>
        </is>
      </c>
      <c r="E3830" t="inlineStr">
        <is>
          <t>60</t>
        </is>
      </c>
      <c r="F3830" t="inlineStr">
        <is>
          <t>0</t>
        </is>
      </c>
      <c r="G3830" t="inlineStr">
        <is>
          <t>3</t>
        </is>
      </c>
      <c r="H3830" t="inlineStr">
        <is>
          <t>45¹, 135¹</t>
        </is>
      </c>
      <c r="I3830" t="n">
        <v>2</v>
      </c>
      <c r="J3830" t="inlineStr">
        <is>
          <t>2², 4², 8⁶, 12¹, 24²</t>
        </is>
      </c>
      <c r="K3830">
        <f>HYPERLINK("CSG3.html#group45B3", "45B³")</f>
        <v/>
      </c>
      <c r="L3830" t="inlineStr"/>
      <c r="M3830">
        <f>HYPERLINK("CSG1.html#group15B1", "15B¹"), =HYPERLINK("CSG0.html#group3B0", "3B⁰"), =HYPERLINK("CSG0.html#group5A0", "5A⁰"), =HYPERLINK("CSG3.html#group45B3", "45B³"), =HYPERLINK("CSG0.html#group9C0", "9C⁰"), =HYPERLINK("CSG0.html#group1A0", "1A⁰")</f>
        <v/>
      </c>
      <c r="N3830" t="inlineStr"/>
    </row>
    <row r="3831">
      <c r="A3831" t="inlineStr">
        <is>
          <t>144A¹⁴</t>
        </is>
      </c>
      <c r="B3831" t="inlineStr"/>
      <c r="C3831" t="inlineStr">
        <is>
          <t>216</t>
        </is>
      </c>
      <c r="D3831" t="inlineStr">
        <is>
          <t>1</t>
        </is>
      </c>
      <c r="E3831" t="inlineStr">
        <is>
          <t>27</t>
        </is>
      </c>
      <c r="F3831" t="inlineStr">
        <is>
          <t>16</t>
        </is>
      </c>
      <c r="G3831" t="inlineStr">
        <is>
          <t>0</t>
        </is>
      </c>
      <c r="H3831" t="inlineStr">
        <is>
          <t>72¹, 144¹</t>
        </is>
      </c>
      <c r="I3831" t="n">
        <v>2</v>
      </c>
      <c r="J3831" t="inlineStr">
        <is>
          <t>1³, 2³, 6³</t>
        </is>
      </c>
      <c r="K3831">
        <f>HYPERLINK("CSG2.html#group48A2", "48A²"), =HYPERLINK("CSG4.html#group72E4", "72E⁴")</f>
        <v/>
      </c>
      <c r="L3831" t="inlineStr"/>
      <c r="M3831">
        <f>HYPERLINK("CSG0.html#group12C0", "12C⁰"), =HYPERLINK("CSG0.html#group24A0", "24A⁰"), =HYPERLINK("CSG4.html#group72E4", "72E⁴"), =HYPERLINK("CSG0.html#group9A0", "9A⁰"), =HYPERLINK("CSG0.html#group4C0", "4C⁰"), =HYPERLINK("CSG2.html#group36B2", "36B²"), =HYPERLINK("CSG0.html#group8B0", "8B⁰"), =HYPERLINK("CSG2.html#group48A2", "48A²"), =HYPERLINK("CSG0.html#group2B0", "2B⁰"), =HYPERLINK("CSG1.html#group18E1", "18E¹"), =HYPERLINK("CSG0.html#group3A0", "3A⁰"), =HYPERLINK("CSG0.html#group1A0", "1A⁰"), =HYPERLINK("CSG0.html#group6D0", "6D⁰")</f>
        <v/>
      </c>
      <c r="N3831" t="inlineStr"/>
    </row>
    <row r="3832">
      <c r="A3832" t="inlineStr">
        <is>
          <t>144B¹⁴</t>
        </is>
      </c>
      <c r="B3832" t="inlineStr"/>
      <c r="C3832" t="inlineStr">
        <is>
          <t>216</t>
        </is>
      </c>
      <c r="D3832" t="inlineStr">
        <is>
          <t>1</t>
        </is>
      </c>
      <c r="E3832" t="inlineStr">
        <is>
          <t>108</t>
        </is>
      </c>
      <c r="F3832" t="inlineStr">
        <is>
          <t>10</t>
        </is>
      </c>
      <c r="G3832" t="inlineStr">
        <is>
          <t>0</t>
        </is>
      </c>
      <c r="H3832" t="inlineStr">
        <is>
          <t>18⁴, 144¹</t>
        </is>
      </c>
      <c r="I3832" t="n">
        <v>5</v>
      </c>
      <c r="J3832" t="inlineStr">
        <is>
          <t>1², 2³, 4³, 6², 8², 12¹, 24²</t>
        </is>
      </c>
      <c r="K3832">
        <f>HYPERLINK("CSG3.html#group48D3", "48D³"), =HYPERLINK("CSG6.html#group72C6", "72C⁶")</f>
        <v/>
      </c>
      <c r="L3832" t="inlineStr"/>
      <c r="M3832">
        <f>HYPERLINK("CSG6.html#group72C6", "72C⁶"), =HYPERLINK("CSG0.html#group16E0", "16E⁰"), =HYPERLINK("CSG0.html#group12C0", "12C⁰"), =HYPERLINK("CSG0.html#group8D0", "8D⁰"), =HYPERLINK("CSG0.html#group9A0", "9A⁰"), =HYPERLINK("CSG2.html#group36B2", "36B²"), =HYPERLINK("CSG0.html#group4C0", "4C⁰"), =HYPERLINK("CSG1.html#group24C1", "24C¹"), =HYPERLINK("CSG0.html#group2B0", "2B⁰"), =HYPERLINK("CSG3.html#group48D3", "48D³"), =HYPERLINK("CSG1.html#group18E1", "18E¹"), =HYPERLINK("CSG0.html#group3A0", "3A⁰"), =HYPERLINK("CSG0.html#group1A0", "1A⁰"), =HYPERLINK("CSG0.html#group6D0", "6D⁰")</f>
        <v/>
      </c>
      <c r="N3832" t="inlineStr"/>
    </row>
    <row r="3833">
      <c r="A3833" t="inlineStr">
        <is>
          <t>144C¹⁴</t>
        </is>
      </c>
      <c r="B3833" t="inlineStr"/>
      <c r="C3833" t="inlineStr">
        <is>
          <t>216</t>
        </is>
      </c>
      <c r="D3833" t="inlineStr">
        <is>
          <t>1</t>
        </is>
      </c>
      <c r="E3833" t="inlineStr">
        <is>
          <t>108</t>
        </is>
      </c>
      <c r="F3833" t="inlineStr">
        <is>
          <t>10</t>
        </is>
      </c>
      <c r="G3833" t="inlineStr">
        <is>
          <t>0</t>
        </is>
      </c>
      <c r="H3833" t="inlineStr">
        <is>
          <t>18⁴, 144¹</t>
        </is>
      </c>
      <c r="I3833" t="n">
        <v>5</v>
      </c>
      <c r="J3833" t="inlineStr">
        <is>
          <t>1², 2³, 4³, 6², 8², 12¹, 24²</t>
        </is>
      </c>
      <c r="K3833">
        <f>HYPERLINK("CSG3.html#group48G3", "48G³"), =HYPERLINK("CSG6.html#group72C6", "72C⁶")</f>
        <v/>
      </c>
      <c r="L3833" t="inlineStr"/>
      <c r="M3833">
        <f>HYPERLINK("CSG6.html#group72C6", "72C⁶"), =HYPERLINK("CSG0.html#group12C0", "12C⁰"), =HYPERLINK("CSG3.html#group48G3", "48G³"), =HYPERLINK("CSG0.html#group8D0", "8D⁰"), =HYPERLINK("CSG0.html#group9A0", "9A⁰"), =HYPERLINK("CSG2.html#group36B2", "36B²"), =HYPERLINK("CSG0.html#group4C0", "4C⁰"), =HYPERLINK("CSG1.html#group24C1", "24C¹"), =HYPERLINK("CSG0.html#group2B0", "2B⁰"), =HYPERLINK("CSG1.html#group18E1", "18E¹"), =HYPERLINK("CSG0.html#group3A0", "3A⁰"), =HYPERLINK("CSG0.html#group1A0", "1A⁰"), =HYPERLINK("CSG0.html#group6D0", "6D⁰")</f>
        <v/>
      </c>
      <c r="N3833" t="inlineStr"/>
    </row>
    <row r="3834">
      <c r="A3834" t="inlineStr">
        <is>
          <t>144D¹⁴</t>
        </is>
      </c>
      <c r="B3834" t="inlineStr"/>
      <c r="C3834" t="inlineStr">
        <is>
          <t>216</t>
        </is>
      </c>
      <c r="D3834" t="inlineStr">
        <is>
          <t>2</t>
        </is>
      </c>
      <c r="E3834" t="inlineStr">
        <is>
          <t>108</t>
        </is>
      </c>
      <c r="F3834" t="inlineStr">
        <is>
          <t>10</t>
        </is>
      </c>
      <c r="G3834" t="inlineStr">
        <is>
          <t>0</t>
        </is>
      </c>
      <c r="H3834" t="inlineStr">
        <is>
          <t>18⁴, 144¹</t>
        </is>
      </c>
      <c r="I3834" t="n">
        <v>5</v>
      </c>
      <c r="J3834" t="inlineStr">
        <is>
          <t>2⁶, 4³, 6⁴, 8⁶, 12², 24⁴</t>
        </is>
      </c>
      <c r="K3834">
        <f>HYPERLINK("CSG3.html#group48G3", "48G³"), =HYPERLINK("CSG6.html#group72C6", "72C⁶")</f>
        <v/>
      </c>
      <c r="L3834" t="inlineStr"/>
      <c r="M3834">
        <f>HYPERLINK("CSG6.html#group72C6", "72C⁶"), =HYPERLINK("CSG0.html#group12C0", "12C⁰"), =HYPERLINK("CSG3.html#group48G3", "48G³"), =HYPERLINK("CSG0.html#group8D0", "8D⁰"), =HYPERLINK("CSG0.html#group9A0", "9A⁰"), =HYPERLINK("CSG2.html#group36B2", "36B²"), =HYPERLINK("CSG0.html#group4C0", "4C⁰"), =HYPERLINK("CSG1.html#group24C1", "24C¹"), =HYPERLINK("CSG0.html#group2B0", "2B⁰"), =HYPERLINK("CSG1.html#group18E1", "18E¹"), =HYPERLINK("CSG0.html#group3A0", "3A⁰"), =HYPERLINK("CSG0.html#group1A0", "1A⁰"), =HYPERLINK("CSG0.html#group6D0", "6D⁰")</f>
        <v/>
      </c>
      <c r="N3834" t="inlineStr"/>
    </row>
    <row r="3835">
      <c r="A3835" t="inlineStr">
        <is>
          <t>150A¹⁴</t>
        </is>
      </c>
      <c r="B3835" t="inlineStr"/>
      <c r="C3835" t="inlineStr">
        <is>
          <t>180</t>
        </is>
      </c>
      <c r="D3835" t="inlineStr">
        <is>
          <t>1</t>
        </is>
      </c>
      <c r="E3835" t="inlineStr">
        <is>
          <t>90</t>
        </is>
      </c>
      <c r="F3835" t="inlineStr">
        <is>
          <t>4</t>
        </is>
      </c>
      <c r="G3835" t="inlineStr">
        <is>
          <t>0</t>
        </is>
      </c>
      <c r="H3835" t="inlineStr">
        <is>
          <t>30¹, 150¹</t>
        </is>
      </c>
      <c r="I3835" t="n">
        <v>2</v>
      </c>
      <c r="J3835" t="inlineStr">
        <is>
          <t>2², 4⁶, 8⁴, 20², 40²</t>
        </is>
      </c>
      <c r="K3835">
        <f>HYPERLINK("CSG2.html#group30C2", "30C²"), =HYPERLINK("CSG6.html#group75A6", "75A⁶")</f>
        <v/>
      </c>
      <c r="L3835" t="inlineStr"/>
      <c r="M3835">
        <f>HYPERLINK("CSG0.html#group5B0", "5B⁰"), =HYPERLINK("CSG0.html#group15B0", "15B⁰"), =HYPERLINK("CSG2.html#group25A2", "25A²"), =HYPERLINK("CSG0.html#group3A0", "3A⁰"), =HYPERLINK("CSG6.html#group75A6", "75A⁶"), =HYPERLINK("CSG0.html#group1A0", "1A⁰"), =HYPERLINK("CSG2.html#group30C2", "30C²")</f>
        <v/>
      </c>
      <c r="N3835" t="inlineStr"/>
    </row>
    <row r="3836">
      <c r="A3836" t="inlineStr">
        <is>
          <t>150B¹⁴</t>
        </is>
      </c>
      <c r="B3836" t="inlineStr"/>
      <c r="C3836" t="inlineStr">
        <is>
          <t>180</t>
        </is>
      </c>
      <c r="D3836" t="inlineStr">
        <is>
          <t>1</t>
        </is>
      </c>
      <c r="E3836" t="inlineStr">
        <is>
          <t>90</t>
        </is>
      </c>
      <c r="F3836" t="inlineStr">
        <is>
          <t>4</t>
        </is>
      </c>
      <c r="G3836" t="inlineStr">
        <is>
          <t>0</t>
        </is>
      </c>
      <c r="H3836" t="inlineStr">
        <is>
          <t>30¹, 150¹</t>
        </is>
      </c>
      <c r="I3836" t="n">
        <v>2</v>
      </c>
      <c r="J3836" t="inlineStr">
        <is>
          <t>2², 4⁶, 8⁴, 20², 40²</t>
        </is>
      </c>
      <c r="K3836">
        <f>HYPERLINK("CSG2.html#group30C2", "30C²"), =HYPERLINK("CSG6.html#group75B6", "75B⁶")</f>
        <v/>
      </c>
      <c r="L3836" t="inlineStr"/>
      <c r="M3836">
        <f>HYPERLINK("CSG0.html#group5B0", "5B⁰"), =HYPERLINK("CSG0.html#group1A0", "1A⁰"), =HYPERLINK("CSG0.html#group15B0", "15B⁰"), =HYPERLINK("CSG0.html#group3A0", "3A⁰"), =HYPERLINK("CSG6.html#group75B6", "75B⁶"), =HYPERLINK("CSG2.html#group25B2", "25B²"), =HYPERLINK("CSG2.html#group30C2", "30C²")</f>
        <v/>
      </c>
      <c r="N3836" t="inlineStr"/>
    </row>
    <row r="3837">
      <c r="A3837" t="inlineStr">
        <is>
          <t>150C¹⁴</t>
        </is>
      </c>
      <c r="B3837" t="inlineStr"/>
      <c r="C3837" t="inlineStr">
        <is>
          <t>180</t>
        </is>
      </c>
      <c r="D3837" t="inlineStr">
        <is>
          <t>1</t>
        </is>
      </c>
      <c r="E3837" t="inlineStr">
        <is>
          <t>90</t>
        </is>
      </c>
      <c r="F3837" t="inlineStr">
        <is>
          <t>4</t>
        </is>
      </c>
      <c r="G3837" t="inlineStr">
        <is>
          <t>0</t>
        </is>
      </c>
      <c r="H3837" t="inlineStr">
        <is>
          <t>30¹, 150¹</t>
        </is>
      </c>
      <c r="I3837" t="n">
        <v>2</v>
      </c>
      <c r="J3837" t="inlineStr">
        <is>
          <t>2², 4⁶, 8⁴, 20², 40²</t>
        </is>
      </c>
      <c r="K3837">
        <f>HYPERLINK("CSG2.html#group30C2", "30C²"), =HYPERLINK("CSG6.html#group75C6", "75C⁶")</f>
        <v/>
      </c>
      <c r="L3837" t="inlineStr"/>
      <c r="M3837">
        <f>HYPERLINK("CSG0.html#group5B0", "5B⁰"), =HYPERLINK("CSG0.html#group15B0", "15B⁰"), =HYPERLINK("CSG0.html#group3A0", "3A⁰"), =HYPERLINK("CSG0.html#group1A0", "1A⁰"), =HYPERLINK("CSG2.html#group25C2", "25C²"), =HYPERLINK("CSG6.html#group75C6", "75C⁶"), =HYPERLINK("CSG2.html#group30C2", "30C²")</f>
        <v/>
      </c>
      <c r="N3837" t="inlineStr"/>
    </row>
    <row r="3838">
      <c r="A3838" t="inlineStr">
        <is>
          <t>150D¹⁴</t>
        </is>
      </c>
      <c r="B3838" t="inlineStr"/>
      <c r="C3838" t="inlineStr">
        <is>
          <t>180</t>
        </is>
      </c>
      <c r="D3838" t="inlineStr">
        <is>
          <t>1</t>
        </is>
      </c>
      <c r="E3838" t="inlineStr">
        <is>
          <t>90</t>
        </is>
      </c>
      <c r="F3838" t="inlineStr">
        <is>
          <t>4</t>
        </is>
      </c>
      <c r="G3838" t="inlineStr">
        <is>
          <t>0</t>
        </is>
      </c>
      <c r="H3838" t="inlineStr">
        <is>
          <t>30¹, 150¹</t>
        </is>
      </c>
      <c r="I3838" t="n">
        <v>2</v>
      </c>
      <c r="J3838" t="inlineStr">
        <is>
          <t>2², 4⁶, 8⁴, 20², 40²</t>
        </is>
      </c>
      <c r="K3838">
        <f>HYPERLINK("CSG2.html#group30C2", "30C²"), =HYPERLINK("CSG6.html#group75D6", "75D⁶")</f>
        <v/>
      </c>
      <c r="L3838" t="inlineStr"/>
      <c r="M3838">
        <f>HYPERLINK("CSG0.html#group5B0", "5B⁰"), =HYPERLINK("CSG0.html#group15B0", "15B⁰"), =HYPERLINK("CSG6.html#group75D6", "75D⁶"), =HYPERLINK("CSG0.html#group3A0", "3A⁰"), =HYPERLINK("CSG0.html#group1A0", "1A⁰"), =HYPERLINK("CSG2.html#group25D2", "25D²"), =HYPERLINK("CSG2.html#group30C2", "30C²")</f>
        <v/>
      </c>
      <c r="N3838" t="inlineStr"/>
    </row>
    <row r="3839">
      <c r="A3839" t="inlineStr">
        <is>
          <t>154A¹⁴</t>
        </is>
      </c>
      <c r="B3839" t="inlineStr"/>
      <c r="C3839" t="inlineStr">
        <is>
          <t>168</t>
        </is>
      </c>
      <c r="D3839" t="inlineStr">
        <is>
          <t>2</t>
        </is>
      </c>
      <c r="E3839" t="inlineStr">
        <is>
          <t>84</t>
        </is>
      </c>
      <c r="F3839" t="inlineStr">
        <is>
          <t>0</t>
        </is>
      </c>
      <c r="G3839" t="inlineStr">
        <is>
          <t>0</t>
        </is>
      </c>
      <c r="H3839" t="inlineStr">
        <is>
          <t>14¹, 154¹</t>
        </is>
      </c>
      <c r="I3839" t="n">
        <v>2</v>
      </c>
      <c r="J3839" t="inlineStr">
        <is>
          <t>2², 6⁴, 20¹, 60²</t>
        </is>
      </c>
      <c r="K3839">
        <f>HYPERLINK("CSG7.html#group77A7", "77A⁷")</f>
        <v/>
      </c>
      <c r="L3839" t="inlineStr"/>
      <c r="M3839">
        <f>HYPERLINK("CSG0.html#group1A0", "1A⁰"), =HYPERLINK("CSG7.html#group77A7", "77A⁷"), =HYPERLINK("CSG1.html#group11A1", "11A¹"), =HYPERLINK("CSG0.html#group7A0", "7A⁰")</f>
        <v/>
      </c>
      <c r="N3839" t="inlineStr"/>
    </row>
    <row r="3840">
      <c r="A3840" t="inlineStr">
        <is>
          <t>154B¹⁴</t>
        </is>
      </c>
      <c r="B3840" t="inlineStr"/>
      <c r="C3840" t="inlineStr">
        <is>
          <t>168</t>
        </is>
      </c>
      <c r="D3840" t="inlineStr">
        <is>
          <t>2</t>
        </is>
      </c>
      <c r="E3840" t="inlineStr">
        <is>
          <t>84</t>
        </is>
      </c>
      <c r="F3840" t="inlineStr">
        <is>
          <t>0</t>
        </is>
      </c>
      <c r="G3840" t="inlineStr">
        <is>
          <t>0</t>
        </is>
      </c>
      <c r="H3840" t="inlineStr">
        <is>
          <t>14¹, 154¹</t>
        </is>
      </c>
      <c r="I3840" t="n">
        <v>2</v>
      </c>
      <c r="J3840" t="inlineStr">
        <is>
          <t>2², 6⁴, 20¹, 60²</t>
        </is>
      </c>
      <c r="K3840">
        <f>HYPERLINK("CSG2.html#group22A2", "22A²"), =HYPERLINK("CSG7.html#group77A7", "77A⁷")</f>
        <v/>
      </c>
      <c r="L3840" t="inlineStr"/>
      <c r="M3840">
        <f>HYPERLINK("CSG0.html#group2A0", "2A⁰"), =HYPERLINK("CSG7.html#group77A7", "77A⁷"), =HYPERLINK("CSG0.html#group1A0", "1A⁰"), =HYPERLINK("CSG1.html#group11A1", "11A¹"), =HYPERLINK("CSG2.html#group22A2", "22A²"), =HYPERLINK("CSG0.html#group7A0", "7A⁰")</f>
        <v/>
      </c>
      <c r="N3840" t="inlineStr"/>
    </row>
    <row r="3841">
      <c r="A3841" t="inlineStr">
        <is>
          <t>161A¹⁴</t>
        </is>
      </c>
      <c r="B3841" t="inlineStr"/>
      <c r="C3841" t="inlineStr">
        <is>
          <t>168</t>
        </is>
      </c>
      <c r="D3841" t="inlineStr">
        <is>
          <t>2</t>
        </is>
      </c>
      <c r="E3841" t="inlineStr">
        <is>
          <t>168</t>
        </is>
      </c>
      <c r="F3841" t="inlineStr">
        <is>
          <t>0</t>
        </is>
      </c>
      <c r="G3841" t="inlineStr">
        <is>
          <t>0</t>
        </is>
      </c>
      <c r="H3841" t="inlineStr">
        <is>
          <t>7¹, 161¹</t>
        </is>
      </c>
      <c r="I3841" t="n">
        <v>2</v>
      </c>
      <c r="J3841" t="inlineStr">
        <is>
          <t>2², 6⁴, 44¹, 132²</t>
        </is>
      </c>
      <c r="K3841">
        <f>HYPERLINK("CSG0.html#group7A0", "7A⁰"), =HYPERLINK("CSG2.html#group23A2", "23A²")</f>
        <v/>
      </c>
      <c r="L3841" t="inlineStr"/>
      <c r="M3841">
        <f>HYPERLINK("CSG0.html#group1A0", "1A⁰"), =HYPERLINK("CSG2.html#group23A2", "23A²"), =HYPERLINK("CSG0.html#group7A0", "7A⁰")</f>
        <v/>
      </c>
      <c r="N3841" t="inlineStr"/>
    </row>
    <row r="3842">
      <c r="A3842" t="inlineStr">
        <is>
          <t>166A¹⁴</t>
        </is>
      </c>
      <c r="B3842" t="inlineStr"/>
      <c r="C3842" t="inlineStr">
        <is>
          <t>168</t>
        </is>
      </c>
      <c r="D3842" t="inlineStr">
        <is>
          <t>1</t>
        </is>
      </c>
      <c r="E3842" t="inlineStr">
        <is>
          <t>84</t>
        </is>
      </c>
      <c r="F3842" t="inlineStr">
        <is>
          <t>0</t>
        </is>
      </c>
      <c r="G3842" t="inlineStr">
        <is>
          <t>0</t>
        </is>
      </c>
      <c r="H3842" t="inlineStr">
        <is>
          <t>2¹, 166¹</t>
        </is>
      </c>
      <c r="I3842" t="n">
        <v>2</v>
      </c>
      <c r="J3842" t="inlineStr">
        <is>
          <t>1², 82¹</t>
        </is>
      </c>
      <c r="K3842">
        <f>HYPERLINK("CSG0.html#group2A0", "2A⁰"), =HYPERLINK("CSG7.html#group83A7", "83A⁷")</f>
        <v/>
      </c>
      <c r="L3842" t="inlineStr"/>
      <c r="M3842">
        <f>HYPERLINK("CSG0.html#group2A0", "2A⁰"), =HYPERLINK("CSG0.html#group1A0", "1A⁰"), =HYPERLINK("CSG7.html#group83A7", "83A⁷")</f>
        <v/>
      </c>
      <c r="N3842" t="inlineStr"/>
    </row>
    <row r="3843">
      <c r="A3843" t="inlineStr">
        <is>
          <t>167A¹⁴</t>
        </is>
      </c>
      <c r="B3843" t="inlineStr">
        <is>
          <t>Γ₀(167)</t>
        </is>
      </c>
      <c r="C3843" t="inlineStr">
        <is>
          <t>168</t>
        </is>
      </c>
      <c r="D3843" t="inlineStr">
        <is>
          <t>1</t>
        </is>
      </c>
      <c r="E3843" t="inlineStr">
        <is>
          <t>168</t>
        </is>
      </c>
      <c r="F3843" t="inlineStr">
        <is>
          <t>0</t>
        </is>
      </c>
      <c r="G3843" t="inlineStr">
        <is>
          <t>0</t>
        </is>
      </c>
      <c r="H3843" t="inlineStr">
        <is>
          <t>1¹, 167¹</t>
        </is>
      </c>
      <c r="I3843" t="n">
        <v>2</v>
      </c>
      <c r="J3843" t="inlineStr">
        <is>
          <t>1², 166¹</t>
        </is>
      </c>
      <c r="K3843">
        <f>HYPERLINK("CSG0.html#group1A0", "1A⁰")</f>
        <v/>
      </c>
      <c r="L3843" t="inlineStr"/>
      <c r="M3843">
        <f>HYPERLINK("CSG0.html#group1A0", "1A⁰")</f>
        <v/>
      </c>
      <c r="N3843" t="inlineStr"/>
    </row>
    <row r="3844">
      <c r="A3844" t="inlineStr">
        <is>
          <t>168A¹⁴</t>
        </is>
      </c>
      <c r="B3844" t="inlineStr"/>
      <c r="C3844" t="inlineStr">
        <is>
          <t>192</t>
        </is>
      </c>
      <c r="D3844" t="inlineStr">
        <is>
          <t>2</t>
        </is>
      </c>
      <c r="E3844" t="inlineStr">
        <is>
          <t>32</t>
        </is>
      </c>
      <c r="F3844" t="inlineStr">
        <is>
          <t>0</t>
        </is>
      </c>
      <c r="G3844" t="inlineStr">
        <is>
          <t>6</t>
        </is>
      </c>
      <c r="H3844" t="inlineStr">
        <is>
          <t>24¹, 168¹</t>
        </is>
      </c>
      <c r="I3844" t="n">
        <v>2</v>
      </c>
      <c r="J3844" t="inlineStr">
        <is>
          <t>8⁴, 48²</t>
        </is>
      </c>
      <c r="K3844">
        <f>HYPERLINK("CSG4.html#group56A4", "56A⁴"), =HYPERLINK("CSG7.html#group84A7", "84A⁷")</f>
        <v/>
      </c>
      <c r="L3844" t="inlineStr"/>
      <c r="M3844">
        <f>HYPERLINK("CSG4.html#group56A4", "56A⁴"), =HYPERLINK("CSG0.html#group4A0", "4A⁰"), =HYPERLINK("CSG0.html#group7B0", "7B⁰"), =HYPERLINK("CSG0.html#group8A0", "8A⁰"), =HYPERLINK("CSG7.html#group84A7", "84A⁷"), =HYPERLINK("CSG0.html#group1A0", "1A⁰"), =HYPERLINK("CSG2.html#group28A2", "28A²"), =HYPERLINK("CSG1.html#group21A1", "21A¹")</f>
        <v/>
      </c>
      <c r="N3844" t="inlineStr"/>
    </row>
    <row r="3845">
      <c r="A3845" t="inlineStr">
        <is>
          <t>168B¹⁴</t>
        </is>
      </c>
      <c r="B3845" t="inlineStr"/>
      <c r="C3845" t="inlineStr">
        <is>
          <t>192</t>
        </is>
      </c>
      <c r="D3845" t="inlineStr">
        <is>
          <t>2</t>
        </is>
      </c>
      <c r="E3845" t="inlineStr">
        <is>
          <t>32</t>
        </is>
      </c>
      <c r="F3845" t="inlineStr">
        <is>
          <t>0</t>
        </is>
      </c>
      <c r="G3845" t="inlineStr">
        <is>
          <t>6</t>
        </is>
      </c>
      <c r="H3845" t="inlineStr">
        <is>
          <t>24¹, 168¹</t>
        </is>
      </c>
      <c r="I3845" t="n">
        <v>2</v>
      </c>
      <c r="J3845" t="inlineStr">
        <is>
          <t>8⁴, 48²</t>
        </is>
      </c>
      <c r="K3845">
        <f>HYPERLINK("CSG4.html#group56A4", "56A⁴"), =HYPERLINK("CSG7.html#group84A7", "84A⁷")</f>
        <v/>
      </c>
      <c r="L3845" t="inlineStr"/>
      <c r="M3845">
        <f>HYPERLINK("CSG4.html#group56A4", "56A⁴"), =HYPERLINK("CSG0.html#group4A0", "4A⁰"), =HYPERLINK("CSG0.html#group7B0", "7B⁰"), =HYPERLINK("CSG0.html#group8A0", "8A⁰"), =HYPERLINK("CSG7.html#group84A7", "84A⁷"), =HYPERLINK("CSG0.html#group1A0", "1A⁰"), =HYPERLINK("CSG2.html#group28A2", "28A²"), =HYPERLINK("CSG1.html#group21A1", "21A¹")</f>
        <v/>
      </c>
      <c r="N3845" t="inlineStr"/>
    </row>
    <row r="3846">
      <c r="A3846" t="inlineStr">
        <is>
          <t>172A¹⁴</t>
        </is>
      </c>
      <c r="B3846" t="inlineStr"/>
      <c r="C3846" t="inlineStr">
        <is>
          <t>176</t>
        </is>
      </c>
      <c r="D3846" t="inlineStr">
        <is>
          <t>1</t>
        </is>
      </c>
      <c r="E3846" t="inlineStr">
        <is>
          <t>176</t>
        </is>
      </c>
      <c r="F3846" t="inlineStr">
        <is>
          <t>0</t>
        </is>
      </c>
      <c r="G3846" t="inlineStr">
        <is>
          <t>2</t>
        </is>
      </c>
      <c r="H3846" t="inlineStr">
        <is>
          <t>4¹, 172¹</t>
        </is>
      </c>
      <c r="I3846" t="n">
        <v>2</v>
      </c>
      <c r="J3846" t="inlineStr">
        <is>
          <t>2⁴, 84²</t>
        </is>
      </c>
      <c r="K3846">
        <f>HYPERLINK("CSG0.html#group4A0", "4A⁰"), =HYPERLINK("CSG3.html#group43A3", "43A³")</f>
        <v/>
      </c>
      <c r="L3846" t="inlineStr"/>
      <c r="M3846">
        <f>HYPERLINK("CSG3.html#group43A3", "43A³"), =HYPERLINK("CSG0.html#group1A0", "1A⁰"), =HYPERLINK("CSG0.html#group4A0", "4A⁰")</f>
        <v/>
      </c>
      <c r="N3846" t="inlineStr"/>
    </row>
    <row r="3847">
      <c r="A3847" t="inlineStr">
        <is>
          <t>173A¹⁴</t>
        </is>
      </c>
      <c r="B3847" t="inlineStr">
        <is>
          <t>Γ₀(173)</t>
        </is>
      </c>
      <c r="C3847" t="inlineStr">
        <is>
          <t>174</t>
        </is>
      </c>
      <c r="D3847" t="inlineStr">
        <is>
          <t>1</t>
        </is>
      </c>
      <c r="E3847" t="inlineStr">
        <is>
          <t>174</t>
        </is>
      </c>
      <c r="F3847" t="inlineStr">
        <is>
          <t>2</t>
        </is>
      </c>
      <c r="G3847" t="inlineStr">
        <is>
          <t>0</t>
        </is>
      </c>
      <c r="H3847" t="inlineStr">
        <is>
          <t>1¹, 173¹</t>
        </is>
      </c>
      <c r="I3847" t="n">
        <v>2</v>
      </c>
      <c r="J3847" t="inlineStr">
        <is>
          <t>1², 172¹</t>
        </is>
      </c>
      <c r="K3847">
        <f>HYPERLINK("CSG0.html#group1A0", "1A⁰")</f>
        <v/>
      </c>
      <c r="L3847" t="inlineStr"/>
      <c r="M3847">
        <f>HYPERLINK("CSG0.html#group1A0", "1A⁰")</f>
        <v/>
      </c>
      <c r="N3847" t="inlineStr"/>
    </row>
    <row r="3848">
      <c r="A3848" t="inlineStr">
        <is>
          <t>174A¹⁴</t>
        </is>
      </c>
      <c r="B3848" t="inlineStr"/>
      <c r="C3848" t="inlineStr">
        <is>
          <t>180</t>
        </is>
      </c>
      <c r="D3848" t="inlineStr">
        <is>
          <t>1</t>
        </is>
      </c>
      <c r="E3848" t="inlineStr">
        <is>
          <t>90</t>
        </is>
      </c>
      <c r="F3848" t="inlineStr">
        <is>
          <t>4</t>
        </is>
      </c>
      <c r="G3848" t="inlineStr">
        <is>
          <t>0</t>
        </is>
      </c>
      <c r="H3848" t="inlineStr">
        <is>
          <t>6¹, 174¹</t>
        </is>
      </c>
      <c r="I3848" t="n">
        <v>2</v>
      </c>
      <c r="J3848" t="inlineStr">
        <is>
          <t>1², 2², 28¹, 56¹</t>
        </is>
      </c>
      <c r="K3848">
        <f>HYPERLINK("CSG6.html#group87A6", "87A⁶")</f>
        <v/>
      </c>
      <c r="L3848" t="inlineStr"/>
      <c r="M3848">
        <f>HYPERLINK("CSG6.html#group87A6", "87A⁶"), =HYPERLINK("CSG0.html#group1A0", "1A⁰"), =HYPERLINK("CSG2.html#group29A2", "29A²"), =HYPERLINK("CSG0.html#group3A0", "3A⁰")</f>
        <v/>
      </c>
      <c r="N3848" t="inlineStr"/>
    </row>
    <row r="3849">
      <c r="A3849" t="inlineStr">
        <is>
          <t>175A¹⁴</t>
        </is>
      </c>
      <c r="B3849" t="inlineStr"/>
      <c r="C3849" t="inlineStr">
        <is>
          <t>210</t>
        </is>
      </c>
      <c r="D3849" t="inlineStr">
        <is>
          <t>2</t>
        </is>
      </c>
      <c r="E3849" t="inlineStr">
        <is>
          <t>210</t>
        </is>
      </c>
      <c r="F3849" t="inlineStr">
        <is>
          <t>6</t>
        </is>
      </c>
      <c r="G3849" t="inlineStr">
        <is>
          <t>0</t>
        </is>
      </c>
      <c r="H3849" t="inlineStr">
        <is>
          <t>7⁵, 175¹</t>
        </is>
      </c>
      <c r="I3849" t="n">
        <v>6</v>
      </c>
      <c r="J3849" t="inlineStr">
        <is>
          <t>2², 6⁴, 8², 24⁴, 40¹, 120²</t>
        </is>
      </c>
      <c r="K3849">
        <f>HYPERLINK("CSG0.html#group25A0", "25A⁰"), =HYPERLINK("CSG2.html#group35C2", "35C²")</f>
        <v/>
      </c>
      <c r="L3849" t="inlineStr"/>
      <c r="M3849">
        <f>HYPERLINK("CSG0.html#group25A0", "25A⁰"), =HYPERLINK("CSG0.html#group5B0", "5B⁰"), =HYPERLINK("CSG2.html#group35C2", "35C²"), =HYPERLINK("CSG0.html#group1A0", "1A⁰"), =HYPERLINK("CSG0.html#group7A0", "7A⁰")</f>
        <v/>
      </c>
      <c r="N3849" t="inlineStr"/>
    </row>
    <row r="3850">
      <c r="A3850" t="inlineStr">
        <is>
          <t>181A¹⁴</t>
        </is>
      </c>
      <c r="B3850" t="inlineStr">
        <is>
          <t>Γ₀(181)</t>
        </is>
      </c>
      <c r="C3850" t="inlineStr">
        <is>
          <t>182</t>
        </is>
      </c>
      <c r="D3850" t="inlineStr">
        <is>
          <t>1</t>
        </is>
      </c>
      <c r="E3850" t="inlineStr">
        <is>
          <t>182</t>
        </is>
      </c>
      <c r="F3850" t="inlineStr">
        <is>
          <t>2</t>
        </is>
      </c>
      <c r="G3850" t="inlineStr">
        <is>
          <t>2</t>
        </is>
      </c>
      <c r="H3850" t="inlineStr">
        <is>
          <t>1¹, 181¹</t>
        </is>
      </c>
      <c r="I3850" t="n">
        <v>2</v>
      </c>
      <c r="J3850" t="inlineStr">
        <is>
          <t>1², 180¹</t>
        </is>
      </c>
      <c r="K3850">
        <f>HYPERLINK("CSG0.html#group1A0", "1A⁰")</f>
        <v/>
      </c>
      <c r="L3850" t="inlineStr"/>
      <c r="M3850">
        <f>HYPERLINK("CSG0.html#group1A0", "1A⁰")</f>
        <v/>
      </c>
      <c r="N3850" t="inlineStr"/>
    </row>
    <row r="3851">
      <c r="A3851" t="inlineStr">
        <is>
          <t>182A¹⁴</t>
        </is>
      </c>
      <c r="B3851" t="inlineStr"/>
      <c r="C3851" t="inlineStr">
        <is>
          <t>196</t>
        </is>
      </c>
      <c r="D3851" t="inlineStr">
        <is>
          <t>2</t>
        </is>
      </c>
      <c r="E3851" t="inlineStr">
        <is>
          <t>98</t>
        </is>
      </c>
      <c r="F3851" t="inlineStr">
        <is>
          <t>4</t>
        </is>
      </c>
      <c r="G3851" t="inlineStr">
        <is>
          <t>4</t>
        </is>
      </c>
      <c r="H3851" t="inlineStr">
        <is>
          <t>14¹, 182¹</t>
        </is>
      </c>
      <c r="I3851" t="n">
        <v>2</v>
      </c>
      <c r="J3851" t="inlineStr">
        <is>
          <t>2², 6⁴, 24¹, 72²</t>
        </is>
      </c>
      <c r="K3851">
        <f>HYPERLINK("CSG6.html#group91A6", "91A⁶")</f>
        <v/>
      </c>
      <c r="L3851" t="inlineStr"/>
      <c r="M3851">
        <f>HYPERLINK("CSG0.html#group13A0", "13A⁰"), =HYPERLINK("CSG0.html#group1A0", "1A⁰"), =HYPERLINK("CSG6.html#group91A6", "91A⁶"), =HYPERLINK("CSG0.html#group7A0", "7A⁰")</f>
        <v/>
      </c>
      <c r="N3851" t="inlineStr"/>
    </row>
    <row r="3852">
      <c r="A3852" t="inlineStr">
        <is>
          <t>183A¹⁴</t>
        </is>
      </c>
      <c r="B3852" t="inlineStr"/>
      <c r="C3852" t="inlineStr">
        <is>
          <t>186</t>
        </is>
      </c>
      <c r="D3852" t="inlineStr">
        <is>
          <t>1</t>
        </is>
      </c>
      <c r="E3852" t="inlineStr">
        <is>
          <t>62</t>
        </is>
      </c>
      <c r="F3852" t="inlineStr">
        <is>
          <t>6</t>
        </is>
      </c>
      <c r="G3852" t="inlineStr">
        <is>
          <t>0</t>
        </is>
      </c>
      <c r="H3852" t="inlineStr">
        <is>
          <t>3¹, 183¹</t>
        </is>
      </c>
      <c r="I3852" t="n">
        <v>2</v>
      </c>
      <c r="J3852" t="inlineStr">
        <is>
          <t>1², 60¹</t>
        </is>
      </c>
      <c r="K3852">
        <f>HYPERLINK("CSG0.html#group3A0", "3A⁰"), =HYPERLINK("CSG4.html#group61A4", "61A⁴")</f>
        <v/>
      </c>
      <c r="L3852" t="inlineStr"/>
      <c r="M3852">
        <f>HYPERLINK("CSG0.html#group3A0", "3A⁰"), =HYPERLINK("CSG0.html#group1A0", "1A⁰"), =HYPERLINK("CSG4.html#group61A4", "61A⁴")</f>
        <v/>
      </c>
      <c r="N3852" t="inlineStr"/>
    </row>
    <row r="3853">
      <c r="A3853" t="inlineStr">
        <is>
          <t>185A¹⁴</t>
        </is>
      </c>
      <c r="B3853" t="inlineStr"/>
      <c r="C3853" t="inlineStr">
        <is>
          <t>190</t>
        </is>
      </c>
      <c r="D3853" t="inlineStr">
        <is>
          <t>1</t>
        </is>
      </c>
      <c r="E3853" t="inlineStr">
        <is>
          <t>190</t>
        </is>
      </c>
      <c r="F3853" t="inlineStr">
        <is>
          <t>2</t>
        </is>
      </c>
      <c r="G3853" t="inlineStr">
        <is>
          <t>4</t>
        </is>
      </c>
      <c r="H3853" t="inlineStr">
        <is>
          <t>5¹, 185¹</t>
        </is>
      </c>
      <c r="I3853" t="n">
        <v>2</v>
      </c>
      <c r="J3853" t="inlineStr">
        <is>
          <t>1², 4², 36¹, 144¹</t>
        </is>
      </c>
      <c r="K3853">
        <f>HYPERLINK("CSG0.html#group5A0", "5A⁰"), =HYPERLINK("CSG2.html#group37A2", "37A²")</f>
        <v/>
      </c>
      <c r="L3853" t="inlineStr"/>
      <c r="M3853">
        <f>HYPERLINK("CSG2.html#group37A2", "37A²"), =HYPERLINK("CSG0.html#group1A0", "1A⁰"), =HYPERLINK("CSG0.html#group5A0", "5A⁰")</f>
        <v/>
      </c>
      <c r="N3853" t="inlineStr"/>
    </row>
    <row r="3854">
      <c r="A3854" t="inlineStr">
        <is>
          <t>186A¹⁴</t>
        </is>
      </c>
      <c r="B3854" t="inlineStr"/>
      <c r="C3854" t="inlineStr">
        <is>
          <t>192</t>
        </is>
      </c>
      <c r="D3854" t="inlineStr">
        <is>
          <t>1</t>
        </is>
      </c>
      <c r="E3854" t="inlineStr">
        <is>
          <t>64</t>
        </is>
      </c>
      <c r="F3854" t="inlineStr">
        <is>
          <t>0</t>
        </is>
      </c>
      <c r="G3854" t="inlineStr">
        <is>
          <t>6</t>
        </is>
      </c>
      <c r="H3854" t="inlineStr">
        <is>
          <t>6¹, 186¹</t>
        </is>
      </c>
      <c r="I3854" t="n">
        <v>2</v>
      </c>
      <c r="J3854" t="inlineStr">
        <is>
          <t>2², 60¹</t>
        </is>
      </c>
      <c r="K3854">
        <f>HYPERLINK("CSG0.html#group6A0", "6A⁰"), =HYPERLINK("CSG4.html#group62A4", "62A⁴")</f>
        <v/>
      </c>
      <c r="L3854" t="inlineStr"/>
      <c r="M3854">
        <f>HYPERLINK("CSG0.html#group2A0", "2A⁰"), =HYPERLINK("CSG2.html#group31A2", "31A²"), =HYPERLINK("CSG0.html#group6A0", "6A⁰"), =HYPERLINK("CSG0.html#group1A0", "1A⁰"), =HYPERLINK("CSG4.html#group62A4", "62A⁴")</f>
        <v/>
      </c>
      <c r="N3854" t="inlineStr"/>
    </row>
    <row r="3855">
      <c r="A3855" t="inlineStr">
        <is>
          <t>186B¹⁴</t>
        </is>
      </c>
      <c r="B3855" t="inlineStr"/>
      <c r="C3855" t="inlineStr">
        <is>
          <t>192</t>
        </is>
      </c>
      <c r="D3855" t="inlineStr">
        <is>
          <t>2</t>
        </is>
      </c>
      <c r="E3855" t="inlineStr">
        <is>
          <t>32</t>
        </is>
      </c>
      <c r="F3855" t="inlineStr">
        <is>
          <t>0</t>
        </is>
      </c>
      <c r="G3855" t="inlineStr">
        <is>
          <t>6</t>
        </is>
      </c>
      <c r="H3855" t="inlineStr">
        <is>
          <t>6¹, 186¹</t>
        </is>
      </c>
      <c r="I3855" t="n">
        <v>2</v>
      </c>
      <c r="J3855" t="inlineStr">
        <is>
          <t>2², 60¹</t>
        </is>
      </c>
      <c r="K3855">
        <f>HYPERLINK("CSG4.html#group62A4", "62A⁴"), =HYPERLINK("CSG7.html#group93A7", "93A⁷")</f>
        <v/>
      </c>
      <c r="L3855" t="inlineStr"/>
      <c r="M3855">
        <f>HYPERLINK("CSG7.html#group93A7", "93A⁷"), =HYPERLINK("CSG2.html#group31A2", "31A²"), =HYPERLINK("CSG0.html#group2A0", "2A⁰"), =HYPERLINK("CSG0.html#group1A0", "1A⁰"), =HYPERLINK("CSG4.html#group62A4", "62A⁴")</f>
        <v/>
      </c>
      <c r="N3855" t="inlineStr"/>
    </row>
    <row r="3856">
      <c r="A3856" t="inlineStr">
        <is>
          <t>190A¹⁴</t>
        </is>
      </c>
      <c r="B3856" t="inlineStr"/>
      <c r="C3856" t="inlineStr">
        <is>
          <t>200</t>
        </is>
      </c>
      <c r="D3856" t="inlineStr">
        <is>
          <t>1</t>
        </is>
      </c>
      <c r="E3856" t="inlineStr">
        <is>
          <t>100</t>
        </is>
      </c>
      <c r="F3856" t="inlineStr">
        <is>
          <t>0</t>
        </is>
      </c>
      <c r="G3856" t="inlineStr">
        <is>
          <t>8</t>
        </is>
      </c>
      <c r="H3856" t="inlineStr">
        <is>
          <t>10¹, 190¹</t>
        </is>
      </c>
      <c r="I3856" t="n">
        <v>2</v>
      </c>
      <c r="J3856" t="inlineStr">
        <is>
          <t>1², 4², 18¹, 72¹</t>
        </is>
      </c>
      <c r="K3856">
        <f>HYPERLINK("CSG0.html#group10A0", "10A⁰"), =HYPERLINK("CSG2.html#group38A2", "38A²"), =HYPERLINK("CSG7.html#group95A7", "95A⁷")</f>
        <v/>
      </c>
      <c r="L3856" t="inlineStr"/>
      <c r="M3856">
        <f>HYPERLINK("CSG0.html#group2A0", "2A⁰"), =HYPERLINK("CSG1.html#group19A1", "19A¹"), =HYPERLINK("CSG0.html#group5A0", "5A⁰"), =HYPERLINK("CSG0.html#group10A0", "10A⁰"), =HYPERLINK("CSG2.html#group38A2", "38A²"), =HYPERLINK("CSG7.html#group95A7", "95A⁷"), =HYPERLINK("CSG0.html#group1A0", "1A⁰")</f>
        <v/>
      </c>
      <c r="N3856" t="inlineStr"/>
    </row>
    <row r="3857">
      <c r="A3857" t="inlineStr">
        <is>
          <t>195A¹⁴</t>
        </is>
      </c>
      <c r="B3857" t="inlineStr"/>
      <c r="C3857" t="inlineStr">
        <is>
          <t>210</t>
        </is>
      </c>
      <c r="D3857" t="inlineStr">
        <is>
          <t>2</t>
        </is>
      </c>
      <c r="E3857" t="inlineStr">
        <is>
          <t>70</t>
        </is>
      </c>
      <c r="F3857" t="inlineStr">
        <is>
          <t>6</t>
        </is>
      </c>
      <c r="G3857" t="inlineStr">
        <is>
          <t>6</t>
        </is>
      </c>
      <c r="H3857" t="inlineStr">
        <is>
          <t>15¹, 195¹</t>
        </is>
      </c>
      <c r="I3857" t="n">
        <v>2</v>
      </c>
      <c r="J3857" t="inlineStr">
        <is>
          <t>2², 8², 24¹, 96¹</t>
        </is>
      </c>
      <c r="K3857">
        <f>HYPERLINK("CSG0.html#group15A0", "15A⁰"), =HYPERLINK("CSG4.html#group65A4", "65A⁴")</f>
        <v/>
      </c>
      <c r="L3857" t="inlineStr"/>
      <c r="M3857">
        <f>HYPERLINK("CSG0.html#group13A0", "13A⁰"), =HYPERLINK("CSG0.html#group5A0", "5A⁰"), =HYPERLINK("CSG0.html#group1A0", "1A⁰"), =HYPERLINK("CSG4.html#group65A4", "65A⁴"), =HYPERLINK("CSG0.html#group15A0", "15A⁰")</f>
        <v/>
      </c>
      <c r="N3857" t="inlineStr"/>
    </row>
    <row r="3858">
      <c r="A3858" t="inlineStr">
        <is>
          <t>195B¹⁴</t>
        </is>
      </c>
      <c r="B3858" t="inlineStr"/>
      <c r="C3858" t="inlineStr">
        <is>
          <t>210</t>
        </is>
      </c>
      <c r="D3858" t="inlineStr">
        <is>
          <t>2</t>
        </is>
      </c>
      <c r="E3858" t="inlineStr">
        <is>
          <t>70</t>
        </is>
      </c>
      <c r="F3858" t="inlineStr">
        <is>
          <t>6</t>
        </is>
      </c>
      <c r="G3858" t="inlineStr">
        <is>
          <t>6</t>
        </is>
      </c>
      <c r="H3858" t="inlineStr">
        <is>
          <t>15¹, 195¹</t>
        </is>
      </c>
      <c r="I3858" t="n">
        <v>2</v>
      </c>
      <c r="J3858" t="inlineStr">
        <is>
          <t>2², 8², 24¹, 96¹</t>
        </is>
      </c>
      <c r="K3858">
        <f>HYPERLINK("CSG1.html#group39A1", "39A¹"), =HYPERLINK("CSG4.html#group65A4", "65A⁴")</f>
        <v/>
      </c>
      <c r="L3858" t="inlineStr"/>
      <c r="M3858">
        <f>HYPERLINK("CSG0.html#group13A0", "13A⁰"), =HYPERLINK("CSG0.html#group5A0", "5A⁰"), =HYPERLINK("CSG1.html#group39A1", "39A¹"), =HYPERLINK("CSG0.html#group1A0", "1A⁰"), =HYPERLINK("CSG4.html#group65A4", "65A⁴")</f>
        <v/>
      </c>
      <c r="N3858" t="inlineStr"/>
    </row>
    <row r="3859">
      <c r="A3859" t="inlineStr">
        <is>
          <t>198A¹⁴</t>
        </is>
      </c>
      <c r="B3859" t="inlineStr"/>
      <c r="C3859" t="inlineStr">
        <is>
          <t>198</t>
        </is>
      </c>
      <c r="D3859" t="inlineStr">
        <is>
          <t>2</t>
        </is>
      </c>
      <c r="E3859" t="inlineStr">
        <is>
          <t>99</t>
        </is>
      </c>
      <c r="F3859" t="inlineStr">
        <is>
          <t>12</t>
        </is>
      </c>
      <c r="G3859" t="inlineStr">
        <is>
          <t>0</t>
        </is>
      </c>
      <c r="H3859" t="inlineStr">
        <is>
          <t>198¹</t>
        </is>
      </c>
      <c r="I3859" t="n">
        <v>1</v>
      </c>
      <c r="J3859" t="inlineStr">
        <is>
          <t>2¹, 4¹, 10², 12¹, 20², 60²</t>
        </is>
      </c>
      <c r="K3859">
        <f>HYPERLINK("CSG1.html#group18A1", "18A¹"), =HYPERLINK("CSG3.html#group66A3", "66A³"), =HYPERLINK("CSG5.html#group99A5", "99A⁵")</f>
        <v/>
      </c>
      <c r="L3859" t="inlineStr"/>
      <c r="M3859">
        <f>HYPERLINK("CSG0.html#group11A0", "11A⁰"), =HYPERLINK("CSG0.html#group6B0", "6B⁰"), =HYPERLINK("CSG3.html#group66A3", "66A³"), =HYPERLINK("CSG1.html#group33A1", "33A¹"), =HYPERLINK("CSG0.html#group9A0", "9A⁰"), =HYPERLINK("CSG5.html#group99A5", "99A⁵"), =HYPERLINK("CSG0.html#group3A0", "3A⁰"), =HYPERLINK("CSG0.html#group1A0", "1A⁰"), =HYPERLINK("CSG1.html#group18A1", "18A¹")</f>
        <v/>
      </c>
      <c r="N3859" t="inlineStr"/>
    </row>
    <row r="3860">
      <c r="A3860" t="inlineStr">
        <is>
          <t>198B¹⁴</t>
        </is>
      </c>
      <c r="B3860" t="inlineStr"/>
      <c r="C3860" t="inlineStr">
        <is>
          <t>198</t>
        </is>
      </c>
      <c r="D3860" t="inlineStr">
        <is>
          <t>2</t>
        </is>
      </c>
      <c r="E3860" t="inlineStr">
        <is>
          <t>198</t>
        </is>
      </c>
      <c r="F3860" t="inlineStr">
        <is>
          <t>12</t>
        </is>
      </c>
      <c r="G3860" t="inlineStr">
        <is>
          <t>0</t>
        </is>
      </c>
      <c r="H3860" t="inlineStr">
        <is>
          <t>198¹</t>
        </is>
      </c>
      <c r="I3860" t="n">
        <v>1</v>
      </c>
      <c r="J3860" t="inlineStr">
        <is>
          <t>4³, 12², 20⁶, 60⁴</t>
        </is>
      </c>
      <c r="K3860">
        <f>HYPERLINK("CSG1.html#group18B1", "18B¹"), =HYPERLINK("CSG3.html#group66A3", "66A³")</f>
        <v/>
      </c>
      <c r="L3860" t="inlineStr"/>
      <c r="M3860">
        <f>HYPERLINK("CSG0.html#group11A0", "11A⁰"), =HYPERLINK("CSG0.html#group6B0", "6B⁰"), =HYPERLINK("CSG3.html#group66A3", "66A³"), =HYPERLINK("CSG1.html#group33A1", "33A¹"), =HYPERLINK("CSG1.html#group18B1", "18B¹"), =HYPERLINK("CSG0.html#group3A0", "3A⁰"), =HYPERLINK("CSG0.html#group1A0", "1A⁰")</f>
        <v/>
      </c>
      <c r="N3860" t="inlineStr"/>
    </row>
    <row r="3861">
      <c r="A3861" t="inlineStr">
        <is>
          <t>252A¹⁴</t>
        </is>
      </c>
      <c r="B3861" t="inlineStr"/>
      <c r="C3861" t="inlineStr">
        <is>
          <t>252</t>
        </is>
      </c>
      <c r="D3861" t="inlineStr">
        <is>
          <t>2</t>
        </is>
      </c>
      <c r="E3861" t="inlineStr">
        <is>
          <t>252</t>
        </is>
      </c>
      <c r="F3861" t="inlineStr">
        <is>
          <t>30</t>
        </is>
      </c>
      <c r="G3861" t="inlineStr">
        <is>
          <t>0</t>
        </is>
      </c>
      <c r="H3861" t="inlineStr">
        <is>
          <t>252¹</t>
        </is>
      </c>
      <c r="I3861" t="n">
        <v>1</v>
      </c>
      <c r="J3861" t="inlineStr">
        <is>
          <t>4², 8², 12⁴, 24⁶, 72⁴</t>
        </is>
      </c>
      <c r="K3861">
        <f>HYPERLINK("CSG1.html#group36A1", "36A¹"), =HYPERLINK("CSG2.html#group63A2", "63A²"), =HYPERLINK("CSG3.html#group84A3", "84A³")</f>
        <v/>
      </c>
      <c r="L3861" t="inlineStr"/>
      <c r="M3861">
        <f>HYPERLINK("CSG1.html#group36A1", "36A¹"), =HYPERLINK("CSG3.html#group84A3", "84A³"), =HYPERLINK("CSG0.html#group12A0", "12A⁰"), =HYPERLINK("CSG0.html#group4A0", "4A⁰"), =HYPERLINK("CSG0.html#group9A0", "9A⁰"), =HYPERLINK("CSG0.html#group21A0", "21A⁰"), =HYPERLINK("CSG0.html#group7A0", "7A⁰"), =HYPERLINK("CSG0.html#group3A0", "3A⁰"), =HYPERLINK("CSG1.html#group28A1", "28A¹"), =HYPERLINK("CSG0.html#group1A0", "1A⁰"), =HYPERLINK("CSG2.html#group63A2", "63A²")</f>
        <v/>
      </c>
      <c r="N3861" t="inlineStr"/>
    </row>
    <row r="3862">
      <c r="A3862" t="inlineStr">
        <is>
          <t>14A¹⁵</t>
        </is>
      </c>
      <c r="B3862" t="inlineStr"/>
      <c r="C3862" t="inlineStr">
        <is>
          <t>336</t>
        </is>
      </c>
      <c r="D3862" t="inlineStr">
        <is>
          <t>1</t>
        </is>
      </c>
      <c r="E3862" t="inlineStr">
        <is>
          <t>56</t>
        </is>
      </c>
      <c r="F3862" t="inlineStr">
        <is>
          <t>0</t>
        </is>
      </c>
      <c r="G3862" t="inlineStr">
        <is>
          <t>6</t>
        </is>
      </c>
      <c r="H3862" t="inlineStr">
        <is>
          <t>14²⁴</t>
        </is>
      </c>
      <c r="I3862" t="n">
        <v>24</v>
      </c>
      <c r="J3862" t="inlineStr">
        <is>
          <t>1², 6⁹</t>
        </is>
      </c>
      <c r="K3862">
        <f>HYPERLINK("CSG0.html#group14C0", "14C⁰"), =HYPERLINK("CSG3.html#group14E3", "14E³"), =HYPERLINK("CSG5.html#group14E5", "14E⁵"), =HYPERLINK("CSG6.html#group14B6", "14B⁶")</f>
        <v/>
      </c>
      <c r="L3862" t="inlineStr"/>
      <c r="M3862">
        <f>HYPERLINK("CSG0.html#group2A0", "2A⁰"), =HYPERLINK("CSG0.html#group14A0", "14A⁰"), =HYPERLINK("CSG1.html#group14A1", "14A¹"), =HYPERLINK("CSG1.html#group14G1", "14G¹"), =HYPERLINK("CSG6.html#group14B6", "14B⁶"), =HYPERLINK("CSG0.html#group1A0", "1A⁰"), =HYPERLINK("CSG1.html#group14D1", "14D¹"), =HYPERLINK("CSG5.html#group14E5", "14E⁵"), =HYPERLINK("CSG1.html#group14F1", "14F¹"), =HYPERLINK("CSG3.html#group14E3", "14E³"), =HYPERLINK("CSG0.html#group7B0", "7B⁰"), =HYPERLINK("CSG0.html#group7C0", "7C⁰"), =HYPERLINK("CSG3.html#group14C3", "14C³"), =HYPERLINK("CSG0.html#group14B0", "14B⁰"), =HYPERLINK("CSG0.html#group7F0", "7F⁰"), =HYPERLINK("CSG0.html#group14C0", "14C⁰"), =HYPERLINK("CSG1.html#group7B1", "7B¹"), =HYPERLINK("CSG0.html#group7A0", "7A⁰")</f>
        <v/>
      </c>
      <c r="N3862" t="inlineStr"/>
    </row>
    <row r="3863">
      <c r="A3863" t="inlineStr">
        <is>
          <t>16A¹⁵</t>
        </is>
      </c>
      <c r="B3863" t="inlineStr"/>
      <c r="C3863" t="inlineStr">
        <is>
          <t>384</t>
        </is>
      </c>
      <c r="D3863" t="inlineStr">
        <is>
          <t>1</t>
        </is>
      </c>
      <c r="E3863" t="inlineStr">
        <is>
          <t>48</t>
        </is>
      </c>
      <c r="F3863" t="inlineStr">
        <is>
          <t>8</t>
        </is>
      </c>
      <c r="G3863" t="inlineStr">
        <is>
          <t>0</t>
        </is>
      </c>
      <c r="H3863" t="inlineStr">
        <is>
          <t>8¹⁶, 16¹⁶</t>
        </is>
      </c>
      <c r="I3863" t="n">
        <v>32</v>
      </c>
      <c r="J3863" t="inlineStr">
        <is>
          <t>4¹⁰, 8¹</t>
        </is>
      </c>
      <c r="K3863">
        <f>HYPERLINK("CSG7.html#group16D7", "16D⁷"), =HYPERLINK("CSG7.html#group16E7", "16E⁷")</f>
        <v/>
      </c>
      <c r="L3863" t="inlineStr"/>
      <c r="M3863">
        <f>HYPERLINK("CSG1.html#group16I1", "16I¹"), =HYPERLINK("CSG0.html#group4C0", "4C⁰"), =HYPERLINK("CSG2.html#group8C2", "8C²"), =HYPERLINK("CSG0.html#group8A0", "8A⁰"), =HYPERLINK("CSG3.html#group16S3", "16S³"), =HYPERLINK("CSG0.html#group8L0", "8L⁰"), =HYPERLINK("CSG0.html#group2B0", "2B⁰"), =HYPERLINK("CSG7.html#group16E7", "16E⁷"), =HYPERLINK("CSG0.html#group8K0", "8K⁰"), =HYPERLINK("CSG0.html#group1A0", "1A⁰"), =HYPERLINK("CSG1.html#group8H1", "8H¹"), =HYPERLINK("CSG2.html#group16E2", "16E²"), =HYPERLINK("CSG0.html#group16B0", "16B⁰"), =HYPERLINK("CSG0.html#group16E0", "16E⁰"), =HYPERLINK("CSG4.html#group16B4", "16B⁴"), =HYPERLINK("CSG1.html#group16D1", "16D¹"), =HYPERLINK("CSG7.html#group16D7", "16D⁷"), =HYPERLINK("CSG1.html#group16F1", "16F¹"), =HYPERLINK("CSG0.html#group8P0", "8P⁰"), =HYPERLINK("CSG0.html#group8M0", "8M⁰"), =HYPERLINK("CSG1.html#group16H1", "16H¹"), =HYPERLINK("CSG3.html#group16R3", "16R³"), =HYPERLINK("CSG0.html#group8D0", "8D⁰"), =HYPERLINK("CSG3.html#group16M3", "16M³"), =HYPERLINK("CSG0.html#group8B0", "8B⁰"), =HYPERLINK("CSG1.html#group16B1", "16B¹"), =HYPERLINK("CSG2.html#group16L2", "16L²"), =HYPERLINK("CSG1.html#group16J1", "16J¹"), =HYPERLINK("CSG1.html#group8D1", "8D¹"), =HYPERLINK("CSG0.html#group8H0", "8H⁰"), =HYPERLINK("CSG3.html#group16K3", "16K³"), =HYPERLINK("CSG0.html#group8F0", "8F⁰"), =HYPERLINK("CSG3.html#group16L3", "16L³"), =HYPERLINK("CSG2.html#group16F2", "16F²"), =HYPERLINK("CSG0.html#group4A0", "4A⁰"), =HYPERLINK("CSG1.html#group8I1", "8I¹"), =HYPERLINK("CSG1.html#group16C1", "16C¹"), =HYPERLINK("CSG4.html#group16C4", "16C⁴"), =HYPERLINK("CSG0.html#group4F0", "4F⁰")</f>
        <v/>
      </c>
      <c r="N3863" t="inlineStr"/>
    </row>
    <row r="3864">
      <c r="A3864" t="inlineStr">
        <is>
          <t>17A¹⁵</t>
        </is>
      </c>
      <c r="B3864" t="inlineStr"/>
      <c r="C3864" t="inlineStr">
        <is>
          <t>272</t>
        </is>
      </c>
      <c r="D3864" t="inlineStr">
        <is>
          <t>1</t>
        </is>
      </c>
      <c r="E3864" t="inlineStr">
        <is>
          <t>136</t>
        </is>
      </c>
      <c r="F3864" t="inlineStr">
        <is>
          <t>0</t>
        </is>
      </c>
      <c r="G3864" t="inlineStr">
        <is>
          <t>2</t>
        </is>
      </c>
      <c r="H3864" t="inlineStr">
        <is>
          <t>17¹⁶</t>
        </is>
      </c>
      <c r="I3864" t="n">
        <v>16</v>
      </c>
      <c r="J3864" t="inlineStr">
        <is>
          <t>8¹, 16⁸</t>
        </is>
      </c>
      <c r="K3864">
        <f>HYPERLINK("CSG6.html#group17A6", "17A⁶")</f>
        <v/>
      </c>
      <c r="L3864" t="inlineStr"/>
      <c r="M3864">
        <f>HYPERLINK("CSG0.html#group1A0", "1A⁰"), =HYPERLINK("CSG6.html#group17A6", "17A⁶")</f>
        <v/>
      </c>
      <c r="N3864" t="inlineStr"/>
    </row>
    <row r="3865">
      <c r="A3865" t="inlineStr">
        <is>
          <t>17B¹⁵</t>
        </is>
      </c>
      <c r="B3865" t="inlineStr"/>
      <c r="C3865" t="inlineStr">
        <is>
          <t>306</t>
        </is>
      </c>
      <c r="D3865" t="inlineStr">
        <is>
          <t>1</t>
        </is>
      </c>
      <c r="E3865" t="inlineStr">
        <is>
          <t>153</t>
        </is>
      </c>
      <c r="F3865" t="inlineStr">
        <is>
          <t>10</t>
        </is>
      </c>
      <c r="G3865" t="inlineStr">
        <is>
          <t>0</t>
        </is>
      </c>
      <c r="H3865" t="inlineStr">
        <is>
          <t>17¹⁸</t>
        </is>
      </c>
      <c r="I3865" t="n">
        <v>18</v>
      </c>
      <c r="J3865" t="inlineStr">
        <is>
          <t>2¹, 8², 16¹⁸</t>
        </is>
      </c>
      <c r="K3865">
        <f>HYPERLINK("CSG4.html#group17A4", "17A⁴"), =HYPERLINK("CSG7.html#group17A7", "17A⁷")</f>
        <v/>
      </c>
      <c r="L3865" t="inlineStr"/>
      <c r="M3865">
        <f>HYPERLINK("CSG0.html#group1A0", "1A⁰"), =HYPERLINK("CSG4.html#group17A4", "17A⁴"), =HYPERLINK("CSG7.html#group17A7", "17A⁷")</f>
        <v/>
      </c>
      <c r="N3865" t="inlineStr"/>
    </row>
    <row r="3866">
      <c r="A3866" t="inlineStr">
        <is>
          <t>17C¹⁵</t>
        </is>
      </c>
      <c r="B3866" t="inlineStr"/>
      <c r="C3866" t="inlineStr">
        <is>
          <t>306</t>
        </is>
      </c>
      <c r="D3866" t="inlineStr">
        <is>
          <t>1</t>
        </is>
      </c>
      <c r="E3866" t="inlineStr">
        <is>
          <t>153</t>
        </is>
      </c>
      <c r="F3866" t="inlineStr">
        <is>
          <t>10</t>
        </is>
      </c>
      <c r="G3866" t="inlineStr">
        <is>
          <t>0</t>
        </is>
      </c>
      <c r="H3866" t="inlineStr">
        <is>
          <t>17¹⁸</t>
        </is>
      </c>
      <c r="I3866" t="n">
        <v>18</v>
      </c>
      <c r="J3866" t="inlineStr">
        <is>
          <t>2¹, 8², 16¹⁸</t>
        </is>
      </c>
      <c r="K3866">
        <f>HYPERLINK("CSG4.html#group17B4", "17B⁴"), =HYPERLINK("CSG7.html#group17A7", "17A⁷")</f>
        <v/>
      </c>
      <c r="L3866" t="inlineStr"/>
      <c r="M3866">
        <f>HYPERLINK("CSG0.html#group1A0", "1A⁰"), =HYPERLINK("CSG4.html#group17B4", "17B⁴"), =HYPERLINK("CSG7.html#group17A7", "17A⁷")</f>
        <v/>
      </c>
      <c r="N3866" t="inlineStr"/>
    </row>
    <row r="3867">
      <c r="A3867" t="inlineStr">
        <is>
          <t>20A¹⁵</t>
        </is>
      </c>
      <c r="B3867" t="inlineStr"/>
      <c r="C3867" t="inlineStr">
        <is>
          <t>240</t>
        </is>
      </c>
      <c r="D3867" t="inlineStr">
        <is>
          <t>1</t>
        </is>
      </c>
      <c r="E3867" t="inlineStr">
        <is>
          <t>1</t>
        </is>
      </c>
      <c r="F3867" t="inlineStr">
        <is>
          <t>0</t>
        </is>
      </c>
      <c r="G3867" t="inlineStr">
        <is>
          <t>0</t>
        </is>
      </c>
      <c r="H3867" t="inlineStr">
        <is>
          <t>20¹²</t>
        </is>
      </c>
      <c r="I3867" t="n">
        <v>12</v>
      </c>
      <c r="J3867" t="inlineStr">
        <is>
          <t>1¹</t>
        </is>
      </c>
      <c r="K3867">
        <f>HYPERLINK("CSG3.html#group20A3", "20A³"), =HYPERLINK("CSG3.html#group20N3", "20N³"), =HYPERLINK("CSG5.html#group10A5", "10A⁵"), =HYPERLINK("CSG7.html#group20E7", "20E⁷")</f>
        <v/>
      </c>
      <c r="L3867" t="inlineStr"/>
      <c r="M3867">
        <f>HYPERLINK("CSG1.html#group10H1", "10H¹"), =HYPERLINK("CSG0.html#group2A0", "2A⁰"), =HYPERLINK("CSG0.html#group5A0", "5A⁰"), =HYPERLINK("CSG1.html#group20C1", "20C¹"), =HYPERLINK("CSG2.html#group10A2", "10A²"), =HYPERLINK("CSG5.html#group10A5", "10A⁵"), =HYPERLINK("CSG0.html#group10D0", "10D⁰"), =HYPERLINK("CSG0.html#group5B0", "5B⁰"), =HYPERLINK("CSG0.html#group5F0", "5F⁰"), =HYPERLINK("CSG0.html#group5D0", "5D⁰"), =HYPERLINK("CSG1.html#group10A1", "10A¹"), =HYPERLINK("CSG1.html#group10D1", "10D¹"), =HYPERLINK("CSG0.html#group1A0", "1A⁰"), =HYPERLINK("CSG3.html#group20A3", "20A³"), =HYPERLINK("CSG7.html#group20E7", "20E⁷"), =HYPERLINK("CSG0.html#group10A0", "10A⁰"), =HYPERLINK("CSG2.html#group10C2", "10C²"), =HYPERLINK("CSG0.html#group5G0", "5G⁰"), =HYPERLINK("CSG3.html#group20N3", "20N³"), =HYPERLINK("CSG1.html#group10E1", "10E¹"), =HYPERLINK("CSG0.html#group5H0", "5H⁰"), =HYPERLINK("CSG1.html#group20F1", "20F¹"), =HYPERLINK("CSG0.html#group10B0", "10B⁰"), =HYPERLINK("CSG3.html#group10B3", "10B³"), =HYPERLINK("CSG0.html#group5E0", "5E⁰"), =HYPERLINK("CSG1.html#group10C1", "10C¹"), =HYPERLINK("CSG0.html#group5C0", "5C⁰")</f>
        <v/>
      </c>
      <c r="N3867" t="inlineStr"/>
    </row>
    <row r="3868">
      <c r="A3868" t="inlineStr">
        <is>
          <t>20B¹⁵</t>
        </is>
      </c>
      <c r="B3868" t="inlineStr"/>
      <c r="C3868" t="inlineStr">
        <is>
          <t>240</t>
        </is>
      </c>
      <c r="D3868" t="inlineStr">
        <is>
          <t>1</t>
        </is>
      </c>
      <c r="E3868" t="inlineStr">
        <is>
          <t>4</t>
        </is>
      </c>
      <c r="F3868" t="inlineStr">
        <is>
          <t>0</t>
        </is>
      </c>
      <c r="G3868" t="inlineStr">
        <is>
          <t>0</t>
        </is>
      </c>
      <c r="H3868" t="inlineStr">
        <is>
          <t>20¹²</t>
        </is>
      </c>
      <c r="I3868" t="n">
        <v>12</v>
      </c>
      <c r="J3868" t="inlineStr">
        <is>
          <t>2²</t>
        </is>
      </c>
      <c r="K3868">
        <f>HYPERLINK("CSG0.html#group5H0", "5H⁰"), =HYPERLINK("CSG3.html#group20B3", "20B³"), =HYPERLINK("CSG5.html#group20B5", "20B⁵"), =HYPERLINK("CSG7.html#group20F7", "20F⁷")</f>
        <v/>
      </c>
      <c r="L3868" t="inlineStr"/>
      <c r="M3868">
        <f>HYPERLINK("CSG0.html#group5A0", "5A⁰"), =HYPERLINK("CSG0.html#group5B0", "5B⁰"), =HYPERLINK("CSG5.html#group20B5", "20B⁵"), =HYPERLINK("CSG1.html#group20A1", "20A¹"), =HYPERLINK("CSG0.html#group5D0", "5D⁰"), =HYPERLINK("CSG0.html#group5F0", "5F⁰"), =HYPERLINK("CSG7.html#group20F7", "20F⁷"), =HYPERLINK("CSG0.html#group1A0", "1A⁰"), =HYPERLINK("CSG0.html#group5H0", "5H⁰"), =HYPERLINK("CSG3.html#group20B3", "20B³"), =HYPERLINK("CSG1.html#group20B1", "20B¹"), =HYPERLINK("CSG0.html#group4A0", "4A⁰"), =HYPERLINK("CSG0.html#group5E0", "5E⁰"), =HYPERLINK("CSG0.html#group5C0", "5C⁰"), =HYPERLINK("CSG2.html#group20E2", "20E²"), =HYPERLINK("CSG0.html#group5G0", "5G⁰"), =HYPERLINK("CSG3.html#group20D3", "20D³")</f>
        <v/>
      </c>
      <c r="N3868" t="inlineStr"/>
    </row>
    <row r="3869">
      <c r="A3869" t="inlineStr">
        <is>
          <t>20C¹⁵</t>
        </is>
      </c>
      <c r="B3869" t="inlineStr"/>
      <c r="C3869" t="inlineStr">
        <is>
          <t>240</t>
        </is>
      </c>
      <c r="D3869" t="inlineStr">
        <is>
          <t>1</t>
        </is>
      </c>
      <c r="E3869" t="inlineStr">
        <is>
          <t>10</t>
        </is>
      </c>
      <c r="F3869" t="inlineStr">
        <is>
          <t>0</t>
        </is>
      </c>
      <c r="G3869" t="inlineStr">
        <is>
          <t>0</t>
        </is>
      </c>
      <c r="H3869" t="inlineStr">
        <is>
          <t>20¹²</t>
        </is>
      </c>
      <c r="I3869" t="n">
        <v>12</v>
      </c>
      <c r="J3869" t="inlineStr">
        <is>
          <t>2¹, 4²</t>
        </is>
      </c>
      <c r="K3869">
        <f>HYPERLINK("CSG3.html#group20N3", "20N³"), =HYPERLINK("CSG5.html#group10B5", "10B⁵"), =HYPERLINK("CSG7.html#group20I7", "20I⁷")</f>
        <v/>
      </c>
      <c r="L3869" t="inlineStr"/>
      <c r="M3869">
        <f>HYPERLINK("CSG1.html#group10H1", "10H¹"), =HYPERLINK("CSG0.html#group2A0", "2A⁰"), =HYPERLINK("CSG0.html#group5A0", "5A⁰"), =HYPERLINK("CSG0.html#group10D0", "10D⁰"), =HYPERLINK("CSG1.html#group10B1", "10B¹"), =HYPERLINK("CSG0.html#group5F0", "5F⁰"), =HYPERLINK("CSG3.html#group20N3", "20N³"), =HYPERLINK("CSG0.html#group2B0", "2B⁰"), =HYPERLINK("CSG7.html#group20I7", "20I⁷"), =HYPERLINK("CSG3.html#group10A3", "10A³"), =HYPERLINK("CSG2.html#group10B2", "10B²"), =HYPERLINK("CSG0.html#group1A0", "1A⁰"), =HYPERLINK("CSG2.html#group10D2", "10D²"), =HYPERLINK("CSG1.html#group20F1", "20F¹"), =HYPERLINK("CSG5.html#group10B5", "10B⁵"), =HYPERLINK("CSG1.html#group10F1", "10F¹"), =HYPERLINK("CSG0.html#group10A0", "10A⁰"), =HYPERLINK("CSG2.html#group10E2", "10E²"), =HYPERLINK("CSG1.html#group10C1", "10C¹"), =HYPERLINK("CSG0.html#group5C0", "5C⁰"), =HYPERLINK("CSG0.html#group2C0", "2C⁰")</f>
        <v/>
      </c>
      <c r="N3869" t="inlineStr"/>
    </row>
    <row r="3870">
      <c r="A3870" t="inlineStr">
        <is>
          <t>20D¹⁵</t>
        </is>
      </c>
      <c r="B3870" t="inlineStr"/>
      <c r="C3870" t="inlineStr">
        <is>
          <t>240</t>
        </is>
      </c>
      <c r="D3870" t="inlineStr">
        <is>
          <t>1</t>
        </is>
      </c>
      <c r="E3870" t="inlineStr">
        <is>
          <t>10</t>
        </is>
      </c>
      <c r="F3870" t="inlineStr">
        <is>
          <t>0</t>
        </is>
      </c>
      <c r="G3870" t="inlineStr">
        <is>
          <t>0</t>
        </is>
      </c>
      <c r="H3870" t="inlineStr">
        <is>
          <t>20¹²</t>
        </is>
      </c>
      <c r="I3870" t="n">
        <v>12</v>
      </c>
      <c r="J3870" t="inlineStr">
        <is>
          <t>2¹, 4²</t>
        </is>
      </c>
      <c r="K3870">
        <f>HYPERLINK("CSG0.html#group4G0", "4G⁰"), =HYPERLINK("CSG5.html#group20A5", "20A⁵"), =HYPERLINK("CSG7.html#group20C7", "20C⁷"), =HYPERLINK("CSG7.html#group20H7", "20H⁷")</f>
        <v/>
      </c>
      <c r="L3870" t="inlineStr"/>
      <c r="M3870">
        <f>HYPERLINK("CSG0.html#group2A0", "2A⁰"), =HYPERLINK("CSG0.html#group2C0", "2C⁰"), =HYPERLINK("CSG3.html#group20E3", "20E³"), =HYPERLINK("CSG0.html#group4C0", "4C⁰"), =HYPERLINK("CSG0.html#group4G0", "4G⁰"), =HYPERLINK("CSG0.html#group2B0", "2B⁰"), =HYPERLINK("CSG3.html#group10A3", "10A³"), =HYPERLINK("CSG0.html#group4E0", "4E⁰"), =HYPERLINK("CSG0.html#group4B0", "4B⁰"), =HYPERLINK("CSG5.html#group20A5", "20A⁵"), =HYPERLINK("CSG0.html#group1A0", "1A⁰"), =HYPERLINK("CSG3.html#group20F3", "20F³"), =HYPERLINK("CSG1.html#group10F1", "10F¹"), =HYPERLINK("CSG7.html#group20H7", "20H⁷"), =HYPERLINK("CSG0.html#group4A0", "4A⁰"), =HYPERLINK("CSG0.html#group4D0", "4D⁰"), =HYPERLINK("CSG7.html#group20C7", "20C⁷"), =HYPERLINK("CSG1.html#group10C1", "10C¹"), =HYPERLINK("CSG0.html#group4F0", "4F⁰"), =HYPERLINK("CSG0.html#group5C0", "5C⁰"), =HYPERLINK("CSG2.html#group20E2", "20E²")</f>
        <v/>
      </c>
      <c r="N3870" t="inlineStr"/>
    </row>
    <row r="3871">
      <c r="A3871" t="inlineStr">
        <is>
          <t>20E¹⁵</t>
        </is>
      </c>
      <c r="B3871" t="inlineStr"/>
      <c r="C3871" t="inlineStr">
        <is>
          <t>240</t>
        </is>
      </c>
      <c r="D3871" t="inlineStr">
        <is>
          <t>1</t>
        </is>
      </c>
      <c r="E3871" t="inlineStr">
        <is>
          <t>30</t>
        </is>
      </c>
      <c r="F3871" t="inlineStr">
        <is>
          <t>0</t>
        </is>
      </c>
      <c r="G3871" t="inlineStr">
        <is>
          <t>0</t>
        </is>
      </c>
      <c r="H3871" t="inlineStr">
        <is>
          <t>20¹²</t>
        </is>
      </c>
      <c r="I3871" t="n">
        <v>12</v>
      </c>
      <c r="J3871" t="inlineStr">
        <is>
          <t>2³, 4⁶</t>
        </is>
      </c>
      <c r="K3871">
        <f>HYPERLINK("CSG7.html#group20B7", "20B⁷"), =HYPERLINK("CSG7.html#group20C7", "20C⁷"), =HYPERLINK("CSG7.html#group20G7", "20G⁷")</f>
        <v/>
      </c>
      <c r="L3871" t="inlineStr"/>
      <c r="M3871">
        <f>HYPERLINK("CSG0.html#group2A0", "2A⁰"), =HYPERLINK("CSG7.html#group20B7", "20B⁷"), =HYPERLINK("CSG3.html#group20E3", "20E³"), =HYPERLINK("CSG0.html#group4C0", "4C⁰"), =HYPERLINK("CSG3.html#group10A3", "10A³"), =HYPERLINK("CSG0.html#group2B0", "2B⁰"), =HYPERLINK("CSG0.html#group4E0", "4E⁰"), =HYPERLINK("CSG2.html#group20F2", "20F²"), =HYPERLINK("CSG0.html#group4B0", "4B⁰"), =HYPERLINK("CSG0.html#group1A0", "1A⁰"), =HYPERLINK("CSG3.html#group20F3", "20F³"), =HYPERLINK("CSG1.html#group10F1", "10F¹"), =HYPERLINK("CSG7.html#group20G7", "20G⁷"), =HYPERLINK("CSG7.html#group20C7", "20C⁷"), =HYPERLINK("CSG1.html#group10C1", "10C¹"), =HYPERLINK("CSG4.html#group20B4", "20B⁴"), =HYPERLINK("CSG0.html#group5C0", "5C⁰"), =HYPERLINK("CSG0.html#group2C0", "2C⁰")</f>
        <v/>
      </c>
      <c r="N3871" t="inlineStr"/>
    </row>
    <row r="3872">
      <c r="A3872" t="inlineStr">
        <is>
          <t>20F¹⁵</t>
        </is>
      </c>
      <c r="B3872" t="inlineStr"/>
      <c r="C3872" t="inlineStr">
        <is>
          <t>240</t>
        </is>
      </c>
      <c r="D3872" t="inlineStr">
        <is>
          <t>1</t>
        </is>
      </c>
      <c r="E3872" t="inlineStr">
        <is>
          <t>60</t>
        </is>
      </c>
      <c r="F3872" t="inlineStr">
        <is>
          <t>0</t>
        </is>
      </c>
      <c r="G3872" t="inlineStr">
        <is>
          <t>0</t>
        </is>
      </c>
      <c r="H3872" t="inlineStr">
        <is>
          <t>20¹²</t>
        </is>
      </c>
      <c r="I3872" t="n">
        <v>12</v>
      </c>
      <c r="J3872" t="inlineStr">
        <is>
          <t>2², 4², 8⁶</t>
        </is>
      </c>
      <c r="K3872">
        <f>HYPERLINK("CSG3.html#group10B3", "10B³"), =HYPERLINK("CSG3.html#group20C3", "20C³"), =HYPERLINK("CSG5.html#group20A5", "20A⁵"), =HYPERLINK("CSG6.html#group20B6", "20B⁶"), =HYPERLINK("CSG7.html#group20F7", "20F⁷"), =HYPERLINK("CSG8.html#group20B8", "20B⁸")</f>
        <v/>
      </c>
      <c r="L3872" t="inlineStr"/>
      <c r="M3872">
        <f>HYPERLINK("CSG0.html#group2A0", "2A⁰"), =HYPERLINK("CSG0.html#group5A0", "5A⁰"), =HYPERLINK("CSG2.html#group10A2", "10A²"), =HYPERLINK("CSG6.html#group20B6", "20B⁶"), =HYPERLINK("CSG3.html#group20C3", "20C³"), =HYPERLINK("CSG0.html#group5B0", "5B⁰"), =HYPERLINK("CSG1.html#group10A1", "10A¹"), =HYPERLINK("CSG1.html#group20A1", "20A¹"), =HYPERLINK("CSG5.html#group20A5", "20A⁵"), =HYPERLINK("CSG1.html#group10E1", "10E¹"), =HYPERLINK("CSG7.html#group20F7", "20F⁷"), =HYPERLINK("CSG0.html#group1A0", "1A⁰"), =HYPERLINK("CSG8.html#group20B8", "20B⁸"), =HYPERLINK("CSG1.html#group20B1", "20B¹"), =HYPERLINK("CSG0.html#group10A0", "10A⁰"), =HYPERLINK("CSG2.html#group20D2", "20D²"), =HYPERLINK("CSG0.html#group4A0", "4A⁰"), =HYPERLINK("CSG0.html#group4D0", "4D⁰"), =HYPERLINK("CSG3.html#group10B3", "10B³"), =HYPERLINK("CSG0.html#group5E0", "5E⁰"), =HYPERLINK("CSG1.html#group10C1", "10C¹"), =HYPERLINK("CSG0.html#group5C0", "5C⁰"), =HYPERLINK("CSG2.html#group20E2", "20E²"), =HYPERLINK("CSG0.html#group5G0", "5G⁰"), =HYPERLINK("CSG3.html#group20D3", "20D³")</f>
        <v/>
      </c>
      <c r="N3872" t="inlineStr"/>
    </row>
    <row r="3873">
      <c r="A3873" t="inlineStr">
        <is>
          <t>20G¹⁵</t>
        </is>
      </c>
      <c r="B3873" t="inlineStr"/>
      <c r="C3873" t="inlineStr">
        <is>
          <t>240</t>
        </is>
      </c>
      <c r="D3873" t="inlineStr">
        <is>
          <t>1</t>
        </is>
      </c>
      <c r="E3873" t="inlineStr">
        <is>
          <t>60</t>
        </is>
      </c>
      <c r="F3873" t="inlineStr">
        <is>
          <t>0</t>
        </is>
      </c>
      <c r="G3873" t="inlineStr">
        <is>
          <t>0</t>
        </is>
      </c>
      <c r="H3873" t="inlineStr">
        <is>
          <t>20¹²</t>
        </is>
      </c>
      <c r="I3873" t="n">
        <v>12</v>
      </c>
      <c r="J3873" t="inlineStr">
        <is>
          <t>2², 4⁶, 8⁴</t>
        </is>
      </c>
      <c r="K3873">
        <f>HYPERLINK("CSG4.html#group20C4", "20C⁴"), =HYPERLINK("CSG5.html#group20B5", "20B⁵"), =HYPERLINK("CSG7.html#group20D7", "20D⁷"), =HYPERLINK("CSG7.html#group20G7", "20G⁷"), =HYPERLINK("CSG7.html#group20H7", "20H⁷")</f>
        <v/>
      </c>
      <c r="L3873" t="inlineStr"/>
      <c r="M3873">
        <f>HYPERLINK("CSG7.html#group20D7", "20D⁷"), =HYPERLINK("CSG0.html#group5A0", "5A⁰"), =HYPERLINK("CSG1.html#group10B1", "10B¹"), =HYPERLINK("CSG2.html#group20B2", "20B²"), =HYPERLINK("CSG0.html#group4C0", "4C⁰"), =HYPERLINK("CSG5.html#group20B5", "20B⁵"), =HYPERLINK("CSG0.html#group5F0", "5F⁰"), =HYPERLINK("CSG4.html#group20C4", "20C⁴"), =HYPERLINK("CSG0.html#group2B0", "2B⁰"), =HYPERLINK("CSG1.html#group20A1", "20A¹"), =HYPERLINK("CSG0.html#group1A0", "1A⁰"), =HYPERLINK("CSG2.html#group10D2", "10D²"), =HYPERLINK("CSG3.html#group20F3", "20F³"), =HYPERLINK("CSG1.html#group10F1", "10F¹"), =HYPERLINK("CSG7.html#group20H7", "20H⁷"), =HYPERLINK("CSG7.html#group20G7", "20G⁷"), =HYPERLINK("CSG0.html#group4A0", "4A⁰"), =HYPERLINK("CSG4.html#group20B4", "20B⁴"), =HYPERLINK("CSG0.html#group4F0", "4F⁰"), =HYPERLINK("CSG0.html#group5C0", "5C⁰"), =HYPERLINK("CSG2.html#group20E2", "20E²")</f>
        <v/>
      </c>
      <c r="N3873" t="inlineStr"/>
    </row>
    <row r="3874">
      <c r="A3874" t="inlineStr">
        <is>
          <t>20H¹⁵</t>
        </is>
      </c>
      <c r="B3874" t="inlineStr"/>
      <c r="C3874" t="inlineStr">
        <is>
          <t>240</t>
        </is>
      </c>
      <c r="D3874" t="inlineStr">
        <is>
          <t>2</t>
        </is>
      </c>
      <c r="E3874" t="inlineStr">
        <is>
          <t>30</t>
        </is>
      </c>
      <c r="F3874" t="inlineStr">
        <is>
          <t>0</t>
        </is>
      </c>
      <c r="G3874" t="inlineStr">
        <is>
          <t>0</t>
        </is>
      </c>
      <c r="H3874" t="inlineStr">
        <is>
          <t>20¹²</t>
        </is>
      </c>
      <c r="I3874" t="n">
        <v>12</v>
      </c>
      <c r="J3874" t="inlineStr">
        <is>
          <t>4³, 8⁶</t>
        </is>
      </c>
      <c r="K3874">
        <f>HYPERLINK("CSG5.html#group20G5", "20G⁵"), =HYPERLINK("CSG7.html#group20A7", "20A⁷"), =HYPERLINK("CSG7.html#group20I7", "20I⁷")</f>
        <v/>
      </c>
      <c r="L3874" t="inlineStr"/>
      <c r="M3874">
        <f>HYPERLINK("CSG2.html#group10E2", "10E²"), =HYPERLINK("CSG1.html#group20F1", "20F¹"), =HYPERLINK("CSG5.html#group20G5", "20G⁵"), =HYPERLINK("CSG0.html#group10D0", "10D⁰"), =HYPERLINK("CSG3.html#group20E3", "20E³"), =HYPERLINK("CSG7.html#group20A7", "20A⁷"), =HYPERLINK("CSG0.html#group5C0", "5C⁰"), =HYPERLINK("CSG4.html#group20B4", "20B⁴"), =HYPERLINK("CSG0.html#group2B0", "2B⁰"), =HYPERLINK("CSG7.html#group20I7", "20I⁷"), =HYPERLINK("CSG0.html#group4B0", "4B⁰"), =HYPERLINK("CSG0.html#group1A0", "1A⁰"), =HYPERLINK("CSG1.html#group10F1", "10F¹")</f>
        <v/>
      </c>
      <c r="N3874" t="inlineStr"/>
    </row>
    <row r="3875">
      <c r="A3875" t="inlineStr">
        <is>
          <t>20I¹⁵</t>
        </is>
      </c>
      <c r="B3875" t="inlineStr"/>
      <c r="C3875" t="inlineStr">
        <is>
          <t>360</t>
        </is>
      </c>
      <c r="D3875" t="inlineStr">
        <is>
          <t>1</t>
        </is>
      </c>
      <c r="E3875" t="inlineStr">
        <is>
          <t>90</t>
        </is>
      </c>
      <c r="F3875" t="inlineStr">
        <is>
          <t>4</t>
        </is>
      </c>
      <c r="G3875" t="inlineStr">
        <is>
          <t>0</t>
        </is>
      </c>
      <c r="H3875" t="inlineStr">
        <is>
          <t>10²⁴, 20⁶</t>
        </is>
      </c>
      <c r="I3875" t="n">
        <v>30</v>
      </c>
      <c r="J3875" t="inlineStr">
        <is>
          <t>2³, 4³, 8⁹</t>
        </is>
      </c>
      <c r="K3875">
        <f>HYPERLINK("CSG1.html#group20J1", "20J¹"), =HYPERLINK("CSG5.html#group20G5", "20G⁵"), =HYPERLINK("CSG6.html#group10A6", "10A⁶")</f>
        <v/>
      </c>
      <c r="L3875" t="inlineStr"/>
      <c r="M3875">
        <f>HYPERLINK("CSG0.html#group5A0", "5A⁰"), =HYPERLINK("CSG0.html#group10G0", "10G⁰"), =HYPERLINK("CSG0.html#group10D0", "10D⁰"), =HYPERLINK("CSG0.html#group5B0", "5B⁰"), =HYPERLINK("CSG0.html#group2B0", "2B⁰"), =HYPERLINK("CSG0.html#group1A0", "1A⁰"), =HYPERLINK("CSG1.html#group20J1", "20J¹"), =HYPERLINK("CSG1.html#group10J1", "10J¹"), =HYPERLINK("CSG1.html#group10I1", "10I¹"), =HYPERLINK("CSG2.html#group10F2", "10F²"), =HYPERLINK("CSG5.html#group20G5", "20G⁵"), =HYPERLINK("CSG2.html#group10C2", "10C²"), =HYPERLINK("CSG0.html#group10C0", "10C⁰"), =HYPERLINK("CSG0.html#group5G0", "5G⁰"), =HYPERLINK("CSG6.html#group10A6", "10A⁶"), =HYPERLINK("CSG1.html#group10B1", "10B¹"), =HYPERLINK("CSG1.html#group10E1", "10E¹"), =HYPERLINK("CSG1.html#group10F1", "10F¹"), =HYPERLINK("CSG0.html#group10B0", "10B⁰"), =HYPERLINK("CSG3.html#group10C3", "10C³"), =HYPERLINK("CSG2.html#group10E2", "10E²"), =HYPERLINK("CSG0.html#group5E0", "5E⁰"), =HYPERLINK("CSG0.html#group5C0", "5C⁰")</f>
        <v/>
      </c>
      <c r="N3875" t="inlineStr"/>
    </row>
    <row r="3876">
      <c r="A3876" t="inlineStr">
        <is>
          <t>21A¹⁵</t>
        </is>
      </c>
      <c r="B3876" t="inlineStr"/>
      <c r="C3876" t="inlineStr">
        <is>
          <t>252</t>
        </is>
      </c>
      <c r="D3876" t="inlineStr">
        <is>
          <t>1</t>
        </is>
      </c>
      <c r="E3876" t="inlineStr">
        <is>
          <t>63</t>
        </is>
      </c>
      <c r="F3876" t="inlineStr">
        <is>
          <t>4</t>
        </is>
      </c>
      <c r="G3876" t="inlineStr">
        <is>
          <t>0</t>
        </is>
      </c>
      <c r="H3876" t="inlineStr">
        <is>
          <t>21¹²</t>
        </is>
      </c>
      <c r="I3876" t="n">
        <v>12</v>
      </c>
      <c r="J3876" t="inlineStr">
        <is>
          <t>3¹, 6⁴, 12³</t>
        </is>
      </c>
      <c r="K3876">
        <f>HYPERLINK("CSG5.html#group21D5", "21D⁵"), =HYPERLINK("CSG7.html#group21A7", "21A⁷")</f>
        <v/>
      </c>
      <c r="L3876" t="inlineStr"/>
      <c r="M3876">
        <f>HYPERLINK("CSG5.html#group21D5", "21D⁵"), =HYPERLINK("CSG0.html#group7D0", "7D⁰"), =HYPERLINK("CSG1.html#group21E1", "21E¹"), =HYPERLINK("CSG1.html#group21D1", "21D¹"), =HYPERLINK("CSG1.html#group7A1", "7A¹"), =HYPERLINK("CSG0.html#group21A0", "21A⁰"), =HYPERLINK("CSG7.html#group21A7", "21A⁷"), =HYPERLINK("CSG0.html#group3A0", "3A⁰"), =HYPERLINK("CSG0.html#group1A0", "1A⁰"), =HYPERLINK("CSG0.html#group7A0", "7A⁰")</f>
        <v/>
      </c>
      <c r="N3876" t="inlineStr"/>
    </row>
    <row r="3877">
      <c r="A3877" t="inlineStr">
        <is>
          <t>21B¹⁵</t>
        </is>
      </c>
      <c r="B3877" t="inlineStr"/>
      <c r="C3877" t="inlineStr">
        <is>
          <t>252</t>
        </is>
      </c>
      <c r="D3877" t="inlineStr">
        <is>
          <t>1</t>
        </is>
      </c>
      <c r="E3877" t="inlineStr">
        <is>
          <t>63</t>
        </is>
      </c>
      <c r="F3877" t="inlineStr">
        <is>
          <t>4</t>
        </is>
      </c>
      <c r="G3877" t="inlineStr">
        <is>
          <t>0</t>
        </is>
      </c>
      <c r="H3877" t="inlineStr">
        <is>
          <t>21¹²</t>
        </is>
      </c>
      <c r="I3877" t="n">
        <v>12</v>
      </c>
      <c r="J3877" t="inlineStr">
        <is>
          <t>3¹, 6⁴, 12³</t>
        </is>
      </c>
      <c r="K3877">
        <f>HYPERLINK("CSG4.html#group21D4", "21D⁴"), =HYPERLINK("CSG6.html#group21C6", "21C⁶"), =HYPERLINK("CSG7.html#group21A7", "21A⁷")</f>
        <v/>
      </c>
      <c r="L3877" t="inlineStr"/>
      <c r="M3877">
        <f>HYPERLINK("CSG4.html#group21D4", "21D⁴"), =HYPERLINK("CSG2.html#group21D2", "21D²"), =HYPERLINK("CSG6.html#group21C6", "21C⁶"), =HYPERLINK("CSG0.html#group7D0", "7D⁰"), =HYPERLINK("CSG1.html#group21E1", "21E¹"), =HYPERLINK("CSG1.html#group7A1", "7A¹"), =HYPERLINK("CSG0.html#group21A0", "21A⁰"), =HYPERLINK("CSG7.html#group21A7", "21A⁷"), =HYPERLINK("CSG0.html#group3C0", "3C⁰"), =HYPERLINK("CSG0.html#group3A0", "3A⁰"), =HYPERLINK("CSG0.html#group1A0", "1A⁰"), =HYPERLINK("CSG0.html#group7A0", "7A⁰")</f>
        <v/>
      </c>
      <c r="N3877" t="inlineStr"/>
    </row>
    <row r="3878">
      <c r="A3878" t="inlineStr">
        <is>
          <t>23A¹⁵</t>
        </is>
      </c>
      <c r="B3878" t="inlineStr"/>
      <c r="C3878" t="inlineStr">
        <is>
          <t>276</t>
        </is>
      </c>
      <c r="D3878" t="inlineStr">
        <is>
          <t>1</t>
        </is>
      </c>
      <c r="E3878" t="inlineStr">
        <is>
          <t>276</t>
        </is>
      </c>
      <c r="F3878" t="inlineStr">
        <is>
          <t>12</t>
        </is>
      </c>
      <c r="G3878" t="inlineStr">
        <is>
          <t>0</t>
        </is>
      </c>
      <c r="H3878" t="inlineStr">
        <is>
          <t>23¹²</t>
        </is>
      </c>
      <c r="I3878" t="n">
        <v>12</v>
      </c>
      <c r="J3878" t="inlineStr">
        <is>
          <t>1¹, 11¹, 22¹²</t>
        </is>
      </c>
      <c r="K3878">
        <f>HYPERLINK("CSG0.html#group1A0", "1A⁰")</f>
        <v/>
      </c>
      <c r="L3878" t="inlineStr"/>
      <c r="M3878">
        <f>HYPERLINK("CSG0.html#group1A0", "1A⁰")</f>
        <v/>
      </c>
      <c r="N3878" t="inlineStr"/>
    </row>
    <row r="3879">
      <c r="A3879" t="inlineStr">
        <is>
          <t>24A¹⁵</t>
        </is>
      </c>
      <c r="B3879" t="inlineStr"/>
      <c r="C3879" t="inlineStr">
        <is>
          <t>288</t>
        </is>
      </c>
      <c r="D3879" t="inlineStr">
        <is>
          <t>1</t>
        </is>
      </c>
      <c r="E3879" t="inlineStr">
        <is>
          <t>9</t>
        </is>
      </c>
      <c r="F3879" t="inlineStr">
        <is>
          <t>0</t>
        </is>
      </c>
      <c r="G3879" t="inlineStr">
        <is>
          <t>0</t>
        </is>
      </c>
      <c r="H3879" t="inlineStr">
        <is>
          <t>12¹⁶, 24⁴</t>
        </is>
      </c>
      <c r="I3879" t="n">
        <v>20</v>
      </c>
      <c r="J3879" t="inlineStr">
        <is>
          <t>1³, 2³</t>
        </is>
      </c>
      <c r="K3879">
        <f>HYPERLINK("CSG6.html#group24E6", "24E⁶"), =HYPERLINK("CSG7.html#group12B7", "12B⁷"), =HYPERLINK("CSG7.html#group24V7", "24V⁷"), =HYPERLINK("CSG7.html#group24X7", "24X⁷"), =HYPERLINK("CSG8.html#group24C8", "24C⁸"), =HYPERLINK("CSG8.html#group24I8", "24I⁸")</f>
        <v/>
      </c>
      <c r="L3879" t="inlineStr"/>
      <c r="M3879">
        <f>HYPERLINK("CSG2.html#group12I2", "12I²"), =HYPERLINK("CSG0.html#group2A0", "2A⁰"), =HYPERLINK("CSG0.html#group12C0", "12C⁰"), =HYPERLINK("CSG1.html#group12K1", "12K¹"), =HYPERLINK("CSG2.html#group12D2", "12D²"), =HYPERLINK("CSG0.html#group4C0", "4C⁰"), =HYPERLINK("CSG1.html#group6C1", "6C¹"), =HYPERLINK("CSG7.html#group24X7", "24X⁷"), =HYPERLINK("CSG2.html#group12B2", "12B²"), =HYPERLINK("CSG2.html#group12E2", "12E²"), =HYPERLINK("CSG0.html#group4G0", "4G⁰"), =HYPERLINK("CSG1.html#group12M1", "12M¹"), =HYPERLINK("CSG0.html#group2B0", "2B⁰"), =HYPERLINK("CSG0.html#group4E0", "4E⁰"), =HYPERLINK("CSG0.html#group6G0", "6G⁰"), =HYPERLINK("CSG0.html#group4B0", "4B⁰"), =HYPERLINK("CSG3.html#group12G3", "12G³"), =HYPERLINK("CSG0.html#group1A0", "1A⁰"), =HYPERLINK("CSG8.html#group24I8", "24I⁸"), =HYPERLINK("CSG4.html#group12A4", "12A⁴"), =HYPERLINK("CSG1.html#group6B1", "6B¹"), =HYPERLINK("CSG4.html#group24N4", "24N⁴"), =HYPERLINK("CSG0.html#group4D0", "4D⁰"), =HYPERLINK("CSG7.html#group12B7", "12B⁷"), =HYPERLINK("CSG2.html#group12A2", "12A²"), =HYPERLINK("CSG0.html#group3C0", "3C⁰"), =HYPERLINK("CSG3.html#group24R3", "24R³"), =HYPERLINK("CSG1.html#group6A1", "6A¹"), =HYPERLINK("CSG1.html#group12B1", "12B¹"), =HYPERLINK("CSG0.html#group6H0", "6H⁰"), =HYPERLINK("CSG0.html#group3A0", "3A⁰"), =HYPERLINK("CSG1.html#group6E1", "6E¹"), =HYPERLINK("CSG1.html#group12G1", "12G¹"), =HYPERLINK("CSG0.html#group6B0", "6B⁰"), =HYPERLINK("CSG6.html#group24E6", "24E⁶"), =HYPERLINK("CSG7.html#group24V7", "24V⁷"), =HYPERLINK("CSG1.html#group12E1", "12E¹"), =HYPERLINK("CSG0.html#group12F0", "12F⁰"), =HYPERLINK("CSG3.html#group12C3", "12C³"), =HYPERLINK("CSG1.html#group12L1", "12L¹"), =HYPERLINK("CSG3.html#group12J3", "12J³"), =HYPERLINK("CSG0.html#group12A0", "12A⁰"), =HYPERLINK("CSG0.html#group6A0", "6A⁰"), =HYPERLINK("CSG8.html#group24C8", "24C⁸"), =HYPERLINK("CSG1.html#group12C1", "12C¹"), =HYPERLINK("CSG0.html#group4A0", "4A⁰"), =HYPERLINK("CSG1.html#group12J1", "12J¹"), =HYPERLINK("CSG0.html#group12D0", "12D⁰"), =HYPERLINK("CSG0.html#group4F0", "4F⁰"), =HYPERLINK("CSG4.html#group12C4", "12C⁴"), =HYPERLINK("CSG0.html#group12H0", "12H⁰"), =HYPERLINK("CSG0.html#group2C0", "2C⁰"), =HYPERLINK("CSG0.html#group6D0", "6D⁰")</f>
        <v/>
      </c>
      <c r="N3879" t="inlineStr"/>
    </row>
    <row r="3880">
      <c r="A3880" t="inlineStr">
        <is>
          <t>24B¹⁵</t>
        </is>
      </c>
      <c r="B3880" t="inlineStr"/>
      <c r="C3880" t="inlineStr">
        <is>
          <t>288</t>
        </is>
      </c>
      <c r="D3880" t="inlineStr">
        <is>
          <t>1</t>
        </is>
      </c>
      <c r="E3880" t="inlineStr">
        <is>
          <t>9</t>
        </is>
      </c>
      <c r="F3880" t="inlineStr">
        <is>
          <t>0</t>
        </is>
      </c>
      <c r="G3880" t="inlineStr">
        <is>
          <t>0</t>
        </is>
      </c>
      <c r="H3880" t="inlineStr">
        <is>
          <t>12¹⁶, 24⁴</t>
        </is>
      </c>
      <c r="I3880" t="n">
        <v>20</v>
      </c>
      <c r="J3880" t="inlineStr">
        <is>
          <t>1³, 2³</t>
        </is>
      </c>
      <c r="K3880">
        <f>HYPERLINK("CSG6.html#group24F6", "24F⁶"), =HYPERLINK("CSG7.html#group12B7", "12B⁷"), =HYPERLINK("CSG7.html#group24W7", "24W⁷"), =HYPERLINK("CSG7.html#group24Y7", "24Y⁷"), =HYPERLINK("CSG8.html#group24A8", "24A⁸"), =HYPERLINK("CSG8.html#group24C8", "24C⁸"), =HYPERLINK("CSG8.html#group24J8", "24J⁸")</f>
        <v/>
      </c>
      <c r="L3880" t="inlineStr"/>
      <c r="M3880">
        <f>HYPERLINK("CSG0.html#group2A0", "2A⁰"), =HYPERLINK("CSG2.html#group12I2", "12I²"), =HYPERLINK("CSG0.html#group12C0", "12C⁰"), =HYPERLINK("CSG1.html#group12K1", "12K¹"), =HYPERLINK("CSG2.html#group12D2", "12D²"), =HYPERLINK("CSG1.html#group6C1", "6C¹"), =HYPERLINK("CSG0.html#group4C0", "4C⁰"), =HYPERLINK("CSG2.html#group12B2", "12B²"), =HYPERLINK("CSG6.html#group24F6", "24F⁶"), =HYPERLINK("CSG2.html#group12E2", "12E²"), =HYPERLINK("CSG0.html#group4G0", "4G⁰"), =HYPERLINK("CSG0.html#group2B0", "2B⁰"), =HYPERLINK("CSG0.html#group4E0", "4E⁰"), =HYPERLINK("CSG1.html#group12M1", "12M¹"), =HYPERLINK("CSG0.html#group6G0", "6G⁰"), =HYPERLINK("CSG0.html#group4B0", "4B⁰"), =HYPERLINK("CSG3.html#group12G3", "12G³"), =HYPERLINK("CSG0.html#group1A0", "1A⁰"), =HYPERLINK("CSG0.html#group8K0", "8K⁰"), =HYPERLINK("CSG4.html#group12A4", "12A⁴"), =HYPERLINK("CSG1.html#group6B1", "6B¹"), =HYPERLINK("CSG4.html#group24N4", "24N⁴"), =HYPERLINK("CSG0.html#group4D0", "4D⁰"), =HYPERLINK("CSG8.html#group24J8", "24J⁸"), =HYPERLINK("CSG7.html#group12B7", "12B⁷"), =HYPERLINK("CSG2.html#group12A2", "12A²"), =HYPERLINK("CSG0.html#group3C0", "3C⁰"), =HYPERLINK("CSG3.html#group24R3", "24R³"), =HYPERLINK("CSG1.html#group6A1", "6A¹"), =HYPERLINK("CSG1.html#group12B1", "12B¹"), =HYPERLINK("CSG0.html#group6H0", "6H⁰"), =HYPERLINK("CSG0.html#group3A0", "3A⁰"), =HYPERLINK("CSG1.html#group12G1", "12G¹"), =HYPERLINK("CSG1.html#group6E1", "6E¹"), =HYPERLINK("CSG0.html#group8N0", "8N⁰"), =HYPERLINK("CSG0.html#group6B0", "6B⁰"), =HYPERLINK("CSG8.html#group24A8", "24A⁸"), =HYPERLINK("CSG0.html#group2C0", "2C⁰"), =HYPERLINK("CSG1.html#group12E1", "12E¹"), =HYPERLINK("CSG3.html#group12C3", "12C³"), =HYPERLINK("CSG0.html#group12F0", "12F⁰"), =HYPERLINK("CSG7.html#group24W7", "24W⁷"), =HYPERLINK("CSG1.html#group12L1", "12L¹"), =HYPERLINK("CSG3.html#group12J3", "12J³"), =HYPERLINK("CSG3.html#group24J3", "24J³"), =HYPERLINK("CSG0.html#group12A0", "12A⁰"), =HYPERLINK("CSG0.html#group6A0", "6A⁰"), =HYPERLINK("CSG8.html#group24C8", "24C⁸"), =HYPERLINK("CSG1.html#group12C1", "12C¹"), =HYPERLINK("CSG0.html#group4A0", "4A⁰"), =HYPERLINK("CSG1.html#group12J1", "12J¹"), =HYPERLINK("CSG0.html#group12D0", "12D⁰"), =HYPERLINK("CSG0.html#group4F0", "4F⁰"), =HYPERLINK("CSG4.html#group12C4", "12C⁴"), =HYPERLINK("CSG0.html#group12H0", "12H⁰"), =HYPERLINK("CSG0.html#group8J0", "8J⁰"), =HYPERLINK("CSG7.html#group24Y7", "24Y⁷"), =HYPERLINK("CSG0.html#group6D0", "6D⁰"), =HYPERLINK("CSG4.html#group24G4", "24G⁴")</f>
        <v/>
      </c>
      <c r="N3880" t="inlineStr"/>
    </row>
    <row r="3881">
      <c r="A3881" t="inlineStr">
        <is>
          <t>24C¹⁵</t>
        </is>
      </c>
      <c r="B3881" t="inlineStr"/>
      <c r="C3881" t="inlineStr">
        <is>
          <t>288</t>
        </is>
      </c>
      <c r="D3881" t="inlineStr">
        <is>
          <t>1</t>
        </is>
      </c>
      <c r="E3881" t="inlineStr">
        <is>
          <t>12</t>
        </is>
      </c>
      <c r="F3881" t="inlineStr">
        <is>
          <t>0</t>
        </is>
      </c>
      <c r="G3881" t="inlineStr">
        <is>
          <t>0</t>
        </is>
      </c>
      <c r="H3881" t="inlineStr">
        <is>
          <t>12¹⁶, 24⁴</t>
        </is>
      </c>
      <c r="I3881" t="n">
        <v>20</v>
      </c>
      <c r="J3881" t="inlineStr">
        <is>
          <t>2², 4²</t>
        </is>
      </c>
      <c r="K3881">
        <f>HYPERLINK("CSG4.html#group24R4", "24R⁴"), =HYPERLINK("CSG7.html#group12C7", "12C⁷"), =HYPERLINK("CSG7.html#group24X7", "24X⁷"), =HYPERLINK("CSG7.html#group24Y7", "24Y⁷")</f>
        <v/>
      </c>
      <c r="L3881" t="inlineStr"/>
      <c r="M3881">
        <f>HYPERLINK("CSG0.html#group12C0", "12C⁰"), =HYPERLINK("CSG0.html#group4C0", "4C⁰"), =HYPERLINK("CSG2.html#group12C2", "12C²"), =HYPERLINK("CSG7.html#group24X7", "24X⁷"), =HYPERLINK("CSG0.html#group6G0", "6G⁰"), =HYPERLINK("CSG1.html#group12M1", "12M¹"), =HYPERLINK("CSG0.html#group2B0", "2B⁰"), =HYPERLINK("CSG0.html#group1A0", "1A⁰"), =HYPERLINK("CSG0.html#group8K0", "8K⁰"), =HYPERLINK("CSG1.html#group12A1", "12A¹"), =HYPERLINK("CSG0.html#group3C0", "3C⁰"), =HYPERLINK("CSG0.html#group6K0", "6K⁰"), =HYPERLINK("CSG3.html#group24R3", "24R³"), =HYPERLINK("CSG0.html#group3A0", "3A⁰"), =HYPERLINK("CSG0.html#group6F0", "6F⁰"), =HYPERLINK("CSG1.html#group12G1", "12G¹"), =HYPERLINK("CSG0.html#group3B0", "3B⁰"), =HYPERLINK("CSG3.html#group12B3", "12B³"), =HYPERLINK("CSG1.html#group12F1", "12F¹"), =HYPERLINK("CSG1.html#group12L1", "12L¹"), =HYPERLINK("CSG3.html#group12J3", "12J³"), =HYPERLINK("CSG3.html#group24J3", "24J³"), =HYPERLINK("CSG0.html#group12A0", "12A⁰"), =HYPERLINK("CSG1.html#group12C1", "12C¹"), =HYPERLINK("CSG3.html#group12D3", "12D³"), =HYPERLINK("CSG3.html#group12I3", "12I³"), =HYPERLINK("CSG0.html#group4A0", "4A⁰"), =HYPERLINK("CSG4.html#group24R4", "24R⁴"), =HYPERLINK("CSG7.html#group12C7", "12C⁷"), =HYPERLINK("CSG1.html#group12J1", "12J¹"), =HYPERLINK("CSG0.html#group4F0", "4F⁰"), =HYPERLINK("CSG2.html#group12G2", "12G²"), =HYPERLINK("CSG0.html#group3D0", "3D⁰"), =HYPERLINK("CSG7.html#group24Y7", "24Y⁷"), =HYPERLINK("CSG0.html#group6D0", "6D⁰")</f>
        <v/>
      </c>
      <c r="N3881" t="inlineStr"/>
    </row>
    <row r="3882">
      <c r="A3882" t="inlineStr">
        <is>
          <t>24D¹⁵</t>
        </is>
      </c>
      <c r="B3882" t="inlineStr"/>
      <c r="C3882" t="inlineStr">
        <is>
          <t>288</t>
        </is>
      </c>
      <c r="D3882" t="inlineStr">
        <is>
          <t>1</t>
        </is>
      </c>
      <c r="E3882" t="inlineStr">
        <is>
          <t>18</t>
        </is>
      </c>
      <c r="F3882" t="inlineStr">
        <is>
          <t>0</t>
        </is>
      </c>
      <c r="G3882" t="inlineStr">
        <is>
          <t>0</t>
        </is>
      </c>
      <c r="H3882" t="inlineStr">
        <is>
          <t>6⁸, 12⁴, 24⁸</t>
        </is>
      </c>
      <c r="I3882" t="n">
        <v>20</v>
      </c>
      <c r="J3882" t="inlineStr">
        <is>
          <t>1⁴, 2⁵, 4¹</t>
        </is>
      </c>
      <c r="K3882">
        <f>HYPERLINK("CSG7.html#group24J7", "24J⁷"), =HYPERLINK("CSG7.html#group24T7", "24T⁷"), =HYPERLINK("CSG7.html#group24V7", "24V⁷"), =HYPERLINK("CSG8.html#group24D8", "24D⁸"), =HYPERLINK("CSG8.html#group24E8", "24E⁸"), =HYPERLINK("CSG8.html#group24G8", "24G⁸")</f>
        <v/>
      </c>
      <c r="L3882" t="inlineStr"/>
      <c r="M3882">
        <f>HYPERLINK("CSG0.html#group2A0", "2A⁰"), =HYPERLINK("CSG1.html#group24E1", "24E¹"), =HYPERLINK("CSG2.html#group24O2", "24O²"), =HYPERLINK("CSG0.html#group12C0", "12C⁰"), =HYPERLINK("CSG1.html#group12K1", "12K¹"), =HYPERLINK("CSG7.html#group24T7", "24T⁷"), =HYPERLINK("CSG2.html#group12D2", "12D²"), =HYPERLINK("CSG1.html#group6C1", "6C¹"), =HYPERLINK("CSG0.html#group4C0", "4C⁰"), =HYPERLINK("CSG2.html#group12B2", "12B²"), =HYPERLINK("CSG0.html#group6G0", "6G⁰"), =HYPERLINK("CSG2.html#group12E2", "12E²"), =HYPERLINK("CSG7.html#group24J7", "24J⁷"), =HYPERLINK("CSG0.html#group2B0", "2B⁰"), =HYPERLINK("CSG0.html#group4E0", "4E⁰"), =HYPERLINK("CSG0.html#group8C0", "8C⁰"), =HYPERLINK("CSG0.html#group4B0", "4B⁰"), =HYPERLINK("CSG3.html#group12G3", "12G³"), =HYPERLINK("CSG0.html#group1A0", "1A⁰"), =HYPERLINK("CSG3.html#group24O3", "24O³"), =HYPERLINK("CSG2.html#group24B2", "24B²"), =HYPERLINK("CSG1.html#group6B1", "6B¹"), =HYPERLINK("CSG0.html#group8G0", "8G⁰"), =HYPERLINK("CSG4.html#group24N4", "24N⁴"), =HYPERLINK("CSG4.html#group24M4", "24M⁴"), =HYPERLINK("CSG2.html#group24D2", "24D²"), =HYPERLINK("CSG8.html#group24E8", "24E⁸"), =HYPERLINK("CSG0.html#group3C0", "3C⁰"), =HYPERLINK("CSG1.html#group12B1", "12B¹"), =HYPERLINK("CSG1.html#group6A1", "6A¹"), =HYPERLINK("CSG0.html#group6H0", "6H⁰"), =HYPERLINK("CSG0.html#group3A0", "3A⁰"), =HYPERLINK("CSG1.html#group6E1", "6E¹"), =HYPERLINK("CSG0.html#group6B0", "6B⁰"), =HYPERLINK("CSG8.html#group24D8", "24D⁸"), =HYPERLINK("CSG0.html#group8D0", "8D⁰"), =HYPERLINK("CSG7.html#group24V7", "24V⁷"), =HYPERLINK("CSG4.html#group24J4", "24J⁴"), =HYPERLINK("CSG1.html#group12L1", "12L¹"), =HYPERLINK("CSG4.html#group24D4", "24D⁴"), =HYPERLINK("CSG8.html#group24G8", "24G⁸"), =HYPERLINK("CSG0.html#group6A0", "6A⁰"), =HYPERLINK("CSG1.html#group12C1", "12C¹"), =HYPERLINK("CSG1.html#group24C1", "24C¹"), =HYPERLINK("CSG4.html#group24E4", "24E⁴"), =HYPERLINK("CSG0.html#group12D0", "12D⁰"), =HYPERLINK("CSG0.html#group12H0", "12H⁰"), =HYPERLINK("CSG3.html#group24L3", "24L³"), =HYPERLINK("CSG0.html#group2C0", "2C⁰"), =HYPERLINK("CSG0.html#group6D0", "6D⁰")</f>
        <v/>
      </c>
      <c r="N3882" t="inlineStr"/>
    </row>
    <row r="3883">
      <c r="A3883" t="inlineStr">
        <is>
          <t>24E¹⁵</t>
        </is>
      </c>
      <c r="B3883" t="inlineStr"/>
      <c r="C3883" t="inlineStr">
        <is>
          <t>288</t>
        </is>
      </c>
      <c r="D3883" t="inlineStr">
        <is>
          <t>1</t>
        </is>
      </c>
      <c r="E3883" t="inlineStr">
        <is>
          <t>18</t>
        </is>
      </c>
      <c r="F3883" t="inlineStr">
        <is>
          <t>0</t>
        </is>
      </c>
      <c r="G3883" t="inlineStr">
        <is>
          <t>0</t>
        </is>
      </c>
      <c r="H3883" t="inlineStr">
        <is>
          <t>6⁸, 12⁴, 24⁸</t>
        </is>
      </c>
      <c r="I3883" t="n">
        <v>20</v>
      </c>
      <c r="J3883" t="inlineStr">
        <is>
          <t>1⁴, 2⁵, 4¹</t>
        </is>
      </c>
      <c r="K3883">
        <f>HYPERLINK("CSG7.html#group24J7", "24J⁷"), =HYPERLINK("CSG7.html#group24U7", "24U⁷"), =HYPERLINK("CSG7.html#group24W7", "24W⁷"), =HYPERLINK("CSG8.html#group24B8", "24B⁸"), =HYPERLINK("CSG8.html#group24D8", "24D⁸"), =HYPERLINK("CSG8.html#group24F8", "24F⁸"), =HYPERLINK("CSG8.html#group24H8", "24H⁸")</f>
        <v/>
      </c>
      <c r="L3883" t="inlineStr"/>
      <c r="M3883">
        <f>HYPERLINK("CSG0.html#group2A0", "2A⁰"), =HYPERLINK("CSG1.html#group24E1", "24E¹"), =HYPERLINK("CSG2.html#group24O2", "24O²"), =HYPERLINK("CSG1.html#group12K1", "12K¹"), =HYPERLINK("CSG0.html#group12C0", "12C⁰"), =HYPERLINK("CSG2.html#group12D2", "12D²"), =HYPERLINK("CSG1.html#group6C1", "6C¹"), =HYPERLINK("CSG0.html#group4C0", "4C⁰"), =HYPERLINK("CSG2.html#group12B2", "12B²"), =HYPERLINK("CSG0.html#group6G0", "6G⁰"), =HYPERLINK("CSG2.html#group12E2", "12E²"), =HYPERLINK("CSG7.html#group24J7", "24J⁷"), =HYPERLINK("CSG0.html#group2B0", "2B⁰"), =HYPERLINK("CSG0.html#group8C0", "8C⁰"), =HYPERLINK("CSG0.html#group4E0", "4E⁰"), =HYPERLINK("CSG0.html#group4B0", "4B⁰"), =HYPERLINK("CSG3.html#group12G3", "12G³"), =HYPERLINK("CSG0.html#group1A0", "1A⁰"), =HYPERLINK("CSG3.html#group24O3", "24O³"), =HYPERLINK("CSG2.html#group24B2", "24B²"), =HYPERLINK("CSG1.html#group6B1", "6B¹"), =HYPERLINK("CSG0.html#group8G0", "8G⁰"), =HYPERLINK("CSG4.html#group24N4", "24N⁴"), =HYPERLINK("CSG8.html#group24H8", "24H⁸"), =HYPERLINK("CSG4.html#group24M4", "24M⁴"), =HYPERLINK("CSG2.html#group24D2", "24D²"), =HYPERLINK("CSG0.html#group3C0", "3C⁰"), =HYPERLINK("CSG1.html#group12B1", "12B¹"), =HYPERLINK("CSG1.html#group6A1", "6A¹"), =HYPERLINK("CSG0.html#group6H0", "6H⁰"), =HYPERLINK("CSG0.html#group3A0", "3A⁰"), =HYPERLINK("CSG1.html#group6E1", "6E¹"), =HYPERLINK("CSG7.html#group24U7", "24U⁷"), =HYPERLINK("CSG4.html#group24F4", "24F⁴"), =HYPERLINK("CSG0.html#group6B0", "6B⁰"), =HYPERLINK("CSG8.html#group24D8", "24D⁸"), =HYPERLINK("CSG0.html#group8D0", "8D⁰"), =HYPERLINK("CSG8.html#group24B8", "24B⁸"), =HYPERLINK("CSG4.html#group24J4", "24J⁴"), =HYPERLINK("CSG0.html#group8I0", "8I⁰"), =HYPERLINK("CSG7.html#group24W7", "24W⁷"), =HYPERLINK("CSG1.html#group12L1", "12L¹"), =HYPERLINK("CSG4.html#group24D4", "24D⁴"), =HYPERLINK("CSG0.html#group6A0", "6A⁰"), =HYPERLINK("CSG1.html#group12C1", "12C¹"), =HYPERLINK("CSG8.html#group24F8", "24F⁸"), =HYPERLINK("CSG1.html#group24C1", "24C¹"), =HYPERLINK("CSG4.html#group24E4", "24E⁴"), =HYPERLINK("CSG0.html#group12D0", "12D⁰"), =HYPERLINK("CSG0.html#group12H0", "12H⁰"), =HYPERLINK("CSG3.html#group24L3", "24L³"), =HYPERLINK("CSG0.html#group8J0", "8J⁰"), =HYPERLINK("CSG0.html#group2C0", "2C⁰"), =HYPERLINK("CSG0.html#group6D0", "6D⁰"), =HYPERLINK("CSG4.html#group24G4", "24G⁴"), =HYPERLINK("CSG0.html#group8O0", "8O⁰")</f>
        <v/>
      </c>
      <c r="N3883" t="inlineStr"/>
    </row>
    <row r="3884">
      <c r="A3884" t="inlineStr">
        <is>
          <t>24F¹⁵</t>
        </is>
      </c>
      <c r="B3884" t="inlineStr"/>
      <c r="C3884" t="inlineStr">
        <is>
          <t>288</t>
        </is>
      </c>
      <c r="D3884" t="inlineStr">
        <is>
          <t>1</t>
        </is>
      </c>
      <c r="E3884" t="inlineStr">
        <is>
          <t>18</t>
        </is>
      </c>
      <c r="F3884" t="inlineStr">
        <is>
          <t>0</t>
        </is>
      </c>
      <c r="G3884" t="inlineStr">
        <is>
          <t>0</t>
        </is>
      </c>
      <c r="H3884" t="inlineStr">
        <is>
          <t>12¹⁶, 24⁴</t>
        </is>
      </c>
      <c r="I3884" t="n">
        <v>20</v>
      </c>
      <c r="J3884" t="inlineStr">
        <is>
          <t>2⁵, 4²</t>
        </is>
      </c>
      <c r="K3884">
        <f>HYPERLINK("CSG6.html#group24J6", "24J⁶"), =HYPERLINK("CSG7.html#group12D7", "12D⁷")</f>
        <v/>
      </c>
      <c r="L3884" t="inlineStr"/>
      <c r="M3884">
        <f>HYPERLINK("CSG0.html#group2A0", "2A⁰"), =HYPERLINK("CSG0.html#group12C0", "12C⁰"), =HYPERLINK("CSG1.html#group12K1", "12K¹"), =HYPERLINK("CSG2.html#group12D2", "12D²"), =HYPERLINK("CSG3.html#group12F3", "12F³"), =HYPERLINK("CSG0.html#group4C0", "4C⁰"), =HYPERLINK("CSG1.html#group6C1", "6C¹"), =HYPERLINK("CSG0.html#group6G0", "6G⁰"), =HYPERLINK("CSG2.html#group12E2", "12E²"), =HYPERLINK("CSG4.html#group12B4", "12B⁴"), =HYPERLINK("CSG1.html#group12M1", "12M¹"), =HYPERLINK("CSG0.html#group2B0", "2B⁰"), =HYPERLINK("CSG2.html#group12B2", "12B²"), =HYPERLINK("CSG1.html#group12N1", "12N¹"), =HYPERLINK("CSG0.html#group4E0", "4E⁰"), =HYPERLINK("CSG3.html#group12G3", "12G³"), =HYPERLINK("CSG0.html#group1A0", "1A⁰"), =HYPERLINK("CSG0.html#group4B0", "4B⁰"), =HYPERLINK("CSG2.html#group12H2", "12H²"), =HYPERLINK("CSG1.html#group6B1", "6B¹"), =HYPERLINK("CSG0.html#group3C0", "3C⁰"), =HYPERLINK("CSG1.html#group6A1", "6A¹"), =HYPERLINK("CSG1.html#group12B1", "12B¹"), =HYPERLINK("CSG0.html#group6H0", "6H⁰"), =HYPERLINK("CSG0.html#group3A0", "3A⁰"), =HYPERLINK("CSG1.html#group6E1", "6E¹"), =HYPERLINK("CSG0.html#group6B0", "6B⁰"), =HYPERLINK("CSG1.html#group12H1", "12H¹"), =HYPERLINK("CSG6.html#group24J6", "24J⁶"), =HYPERLINK("CSG1.html#group12L1", "12L¹"), =HYPERLINK("CSG0.html#group12G0", "12G⁰"), =HYPERLINK("CSG7.html#group12D7", "12D⁷"), =HYPERLINK("CSG1.html#group12C1", "12C¹"), =HYPERLINK("CSG0.html#group6A0", "6A⁰"), =HYPERLINK("CSG3.html#group12I3", "12I³"), =HYPERLINK("CSG0.html#group12D0", "12D⁰"), =HYPERLINK("CSG4.html#group12C4", "12C⁴"), =HYPERLINK("CSG0.html#group12H0", "12H⁰"), =HYPERLINK("CSG2.html#group12C2", "12C²"), =HYPERLINK("CSG0.html#group2C0", "2C⁰"), =HYPERLINK("CSG0.html#group6D0", "6D⁰")</f>
        <v/>
      </c>
      <c r="N3884" t="inlineStr"/>
    </row>
    <row r="3885">
      <c r="A3885" t="inlineStr">
        <is>
          <t>24G¹⁵</t>
        </is>
      </c>
      <c r="B3885" t="inlineStr"/>
      <c r="C3885" t="inlineStr">
        <is>
          <t>288</t>
        </is>
      </c>
      <c r="D3885" t="inlineStr">
        <is>
          <t>1</t>
        </is>
      </c>
      <c r="E3885" t="inlineStr">
        <is>
          <t>36</t>
        </is>
      </c>
      <c r="F3885" t="inlineStr">
        <is>
          <t>0</t>
        </is>
      </c>
      <c r="G3885" t="inlineStr">
        <is>
          <t>0</t>
        </is>
      </c>
      <c r="H3885" t="inlineStr">
        <is>
          <t>6⁸, 12⁴, 24⁸</t>
        </is>
      </c>
      <c r="I3885" t="n">
        <v>20</v>
      </c>
      <c r="J3885" t="inlineStr">
        <is>
          <t>2⁸, 4³, 8¹</t>
        </is>
      </c>
      <c r="K3885">
        <f>HYPERLINK("CSG7.html#group24N7", "24N⁷")</f>
        <v/>
      </c>
      <c r="L3885" t="inlineStr"/>
      <c r="M3885">
        <f>HYPERLINK("CSG4.html#group24I4", "24I⁴"), =HYPERLINK("CSG0.html#group6B0", "6B⁰"), =HYPERLINK("CSG1.html#group12K1", "12K¹"), =HYPERLINK("CSG2.html#group12D2", "12D²"), =HYPERLINK("CSG7.html#group24N7", "24N⁷"), =HYPERLINK("CSG4.html#group24J4", "24J⁴"), =HYPERLINK("CSG0.html#group6G0", "6G⁰"), =HYPERLINK("CSG0.html#group2B0", "2B⁰"), =HYPERLINK("CSG0.html#group8C0", "8C⁰"), =HYPERLINK("CSG1.html#group12N1", "12N¹"), =HYPERLINK("CSG0.html#group4B0", "4B⁰"), =HYPERLINK("CSG0.html#group1A0", "1A⁰"), =HYPERLINK("CSG2.html#group24B2", "24B²"), =HYPERLINK("CSG1.html#group12C1", "12C¹"), =HYPERLINK("CSG0.html#group6E0", "6E⁰"), =HYPERLINK("CSG0.html#group6L0", "6L⁰"), =HYPERLINK("CSG2.html#group24D2", "24D²"), =HYPERLINK("CSG3.html#group12E3", "12E³"), =HYPERLINK("CSG0.html#group3C0", "3C⁰"), =HYPERLINK("CSG1.html#group12B1", "12B¹"), =HYPERLINK("CSG3.html#group24K3", "24K³"), =HYPERLINK("CSG0.html#group12D0", "12D⁰"), =HYPERLINK("CSG0.html#group6H0", "6H⁰"), =HYPERLINK("CSG0.html#group3A0", "3A⁰"), =HYPERLINK("CSG3.html#group24L3", "24L³"), =HYPERLINK("CSG2.html#group12C2", "12C²"), =HYPERLINK("CSG0.html#group6D0", "6D⁰")</f>
        <v/>
      </c>
      <c r="N3885" t="inlineStr"/>
    </row>
    <row r="3886">
      <c r="A3886" t="inlineStr">
        <is>
          <t>24H¹⁵</t>
        </is>
      </c>
      <c r="B3886" t="inlineStr"/>
      <c r="C3886" t="inlineStr">
        <is>
          <t>288</t>
        </is>
      </c>
      <c r="D3886" t="inlineStr">
        <is>
          <t>1</t>
        </is>
      </c>
      <c r="E3886" t="inlineStr">
        <is>
          <t>36</t>
        </is>
      </c>
      <c r="F3886" t="inlineStr">
        <is>
          <t>0</t>
        </is>
      </c>
      <c r="G3886" t="inlineStr">
        <is>
          <t>0</t>
        </is>
      </c>
      <c r="H3886" t="inlineStr">
        <is>
          <t>6⁸, 12⁴, 24⁸</t>
        </is>
      </c>
      <c r="I3886" t="n">
        <v>20</v>
      </c>
      <c r="J3886" t="inlineStr">
        <is>
          <t>1⁴, 2⁶, 4³, 8¹</t>
        </is>
      </c>
      <c r="K3886">
        <f>HYPERLINK("CSG7.html#group24N7", "24N⁷"), =HYPERLINK("CSG7.html#group24T7", "24T⁷"), =HYPERLINK("CSG7.html#group24U7", "24U⁷"), =HYPERLINK("CSG8.html#group24E8", "24E⁸"), =HYPERLINK("CSG8.html#group24F8", "24F⁸")</f>
        <v/>
      </c>
      <c r="L3886" t="inlineStr"/>
      <c r="M3886">
        <f>HYPERLINK("CSG4.html#group24I4", "24I⁴"), =HYPERLINK("CSG1.html#group12K1", "12K¹"), =HYPERLINK("CSG7.html#group24T7", "24T⁷"), =HYPERLINK("CSG2.html#group12D2", "12D²"), =HYPERLINK("CSG0.html#group6G0", "6G⁰"), =HYPERLINK("CSG0.html#group2B0", "2B⁰"), =HYPERLINK("CSG0.html#group8C0", "8C⁰"), =HYPERLINK("CSG1.html#group12N1", "12N¹"), =HYPERLINK("CSG0.html#group4B0", "4B⁰"), =HYPERLINK("CSG0.html#group1A0", "1A⁰"), =HYPERLINK("CSG2.html#group24B2", "24B²"), =HYPERLINK("CSG4.html#group24M4", "24M⁴"), =HYPERLINK("CSG2.html#group24D2", "24D²"), =HYPERLINK("CSG8.html#group24E8", "24E⁸"), =HYPERLINK("CSG0.html#group3C0", "3C⁰"), =HYPERLINK("CSG1.html#group12B1", "12B¹"), =HYPERLINK("CSG3.html#group24K3", "24K³"), =HYPERLINK("CSG0.html#group6H0", "6H⁰"), =HYPERLINK("CSG0.html#group3A0", "3A⁰"), =HYPERLINK("CSG7.html#group24U7", "24U⁷"), =HYPERLINK("CSG4.html#group24F4", "24F⁴"), =HYPERLINK("CSG0.html#group6B0", "6B⁰"), =HYPERLINK("CSG7.html#group24N7", "24N⁷"), =HYPERLINK("CSG4.html#group24J4", "24J⁴"), =HYPERLINK("CSG0.html#group8I0", "8I⁰"), =HYPERLINK("CSG1.html#group12C1", "12C¹"), =HYPERLINK("CSG0.html#group6E0", "6E⁰"), =HYPERLINK("CSG0.html#group6L0", "6L⁰"), =HYPERLINK("CSG8.html#group24F8", "24F⁸"), =HYPERLINK("CSG3.html#group12E3", "12E³"), =HYPERLINK("CSG0.html#group12D0", "12D⁰"), =HYPERLINK("CSG3.html#group24L3", "24L³"), =HYPERLINK("CSG2.html#group12C2", "12C²"), =HYPERLINK("CSG0.html#group6D0", "6D⁰")</f>
        <v/>
      </c>
      <c r="N3886" t="inlineStr"/>
    </row>
    <row r="3887">
      <c r="A3887" t="inlineStr">
        <is>
          <t>24I¹⁵</t>
        </is>
      </c>
      <c r="B3887" t="inlineStr"/>
      <c r="C3887" t="inlineStr">
        <is>
          <t>288</t>
        </is>
      </c>
      <c r="D3887" t="inlineStr">
        <is>
          <t>1</t>
        </is>
      </c>
      <c r="E3887" t="inlineStr">
        <is>
          <t>36</t>
        </is>
      </c>
      <c r="F3887" t="inlineStr">
        <is>
          <t>0</t>
        </is>
      </c>
      <c r="G3887" t="inlineStr">
        <is>
          <t>0</t>
        </is>
      </c>
      <c r="H3887" t="inlineStr">
        <is>
          <t>6⁸, 12⁴, 24⁸</t>
        </is>
      </c>
      <c r="I3887" t="n">
        <v>20</v>
      </c>
      <c r="J3887" t="inlineStr">
        <is>
          <t>1⁸, 2¹⁰, 4²</t>
        </is>
      </c>
      <c r="K3887">
        <f>HYPERLINK("CSG7.html#group24I7", "24I⁷"), =HYPERLINK("CSG7.html#group24V7", "24V⁷"), =HYPERLINK("CSG7.html#group24W7", "24W⁷"), =HYPERLINK("CSG8.html#group24G8", "24G⁸"), =HYPERLINK("CSG8.html#group24H8", "24H⁸")</f>
        <v/>
      </c>
      <c r="L3887" t="inlineStr"/>
      <c r="M3887">
        <f>HYPERLINK("CSG4.html#group24I4", "24I⁴"), =HYPERLINK("CSG0.html#group2A0", "2A⁰"), =HYPERLINK("CSG1.html#group24E1", "24E¹"), =HYPERLINK("CSG0.html#group12C0", "12C⁰"), =HYPERLINK("CSG1.html#group12K1", "12K¹"), =HYPERLINK("CSG2.html#group12D2", "12D²"), =HYPERLINK("CSG1.html#group6C1", "6C¹"), =HYPERLINK("CSG0.html#group4C0", "4C⁰"), =HYPERLINK("CSG2.html#group12B2", "12B²"), =HYPERLINK("CSG2.html#group12E2", "12E²"), =HYPERLINK("CSG0.html#group6G0", "6G⁰"), =HYPERLINK("CSG0.html#group2B0", "2B⁰"), =HYPERLINK("CSG0.html#group4E0", "4E⁰"), =HYPERLINK("CSG0.html#group4B0", "4B⁰"), =HYPERLINK("CSG3.html#group12G3", "12G³"), =HYPERLINK("CSG0.html#group1A0", "1A⁰"), =HYPERLINK("CSG1.html#group6B1", "6B¹"), =HYPERLINK("CSG4.html#group24N4", "24N⁴"), =HYPERLINK("CSG8.html#group24H8", "24H⁸"), =HYPERLINK("CSG3.html#group24N3", "24N³"), =HYPERLINK("CSG2.html#group24D2", "24D²"), =HYPERLINK("CSG7.html#group24I7", "24I⁷"), =HYPERLINK("CSG0.html#group3C0", "3C⁰"), =HYPERLINK("CSG1.html#group12B1", "12B¹"), =HYPERLINK("CSG1.html#group6A1", "6A¹"), =HYPERLINK("CSG3.html#group24K3", "24K³"), =HYPERLINK("CSG0.html#group6H0", "6H⁰"), =HYPERLINK("CSG0.html#group3A0", "3A⁰"), =HYPERLINK("CSG1.html#group6E1", "6E¹"), =HYPERLINK("CSG0.html#group6B0", "6B⁰"), =HYPERLINK("CSG2.html#group24N2", "24N²"), =HYPERLINK("CSG7.html#group24V7", "24V⁷"), =HYPERLINK("CSG7.html#group24W7", "24W⁷"), =HYPERLINK("CSG1.html#group12L1", "12L¹"), =HYPERLINK("CSG8.html#group24G8", "24G⁸"), =HYPERLINK("CSG0.html#group6A0", "6A⁰"), =HYPERLINK("CSG1.html#group12C1", "12C¹"), =HYPERLINK("CSG4.html#group24E4", "24E⁴"), =HYPERLINK("CSG0.html#group12D0", "12D⁰"), =HYPERLINK("CSG0.html#group12H0", "12H⁰"), =HYPERLINK("CSG0.html#group8J0", "8J⁰"), =HYPERLINK("CSG0.html#group2C0", "2C⁰"), =HYPERLINK("CSG0.html#group6D0", "6D⁰"), =HYPERLINK("CSG4.html#group24G4", "24G⁴")</f>
        <v/>
      </c>
      <c r="N3887" t="inlineStr"/>
    </row>
    <row r="3888">
      <c r="A3888" t="inlineStr">
        <is>
          <t>24J¹⁵</t>
        </is>
      </c>
      <c r="B3888" t="inlineStr"/>
      <c r="C3888" t="inlineStr">
        <is>
          <t>288</t>
        </is>
      </c>
      <c r="D3888" t="inlineStr">
        <is>
          <t>1</t>
        </is>
      </c>
      <c r="E3888" t="inlineStr">
        <is>
          <t>36</t>
        </is>
      </c>
      <c r="F3888" t="inlineStr">
        <is>
          <t>0</t>
        </is>
      </c>
      <c r="G3888" t="inlineStr">
        <is>
          <t>0</t>
        </is>
      </c>
      <c r="H3888" t="inlineStr">
        <is>
          <t>12¹⁶, 24⁴</t>
        </is>
      </c>
      <c r="I3888" t="n">
        <v>20</v>
      </c>
      <c r="J3888" t="inlineStr">
        <is>
          <t>1⁸, 2¹⁰, 4²</t>
        </is>
      </c>
      <c r="K3888">
        <f>HYPERLINK("CSG7.html#group12D7", "12D⁷"), =HYPERLINK("CSG7.html#group24V7", "24V⁷"), =HYPERLINK("CSG7.html#group24W7", "24W⁷"), =HYPERLINK("CSG8.html#group24I8", "24I⁸"), =HYPERLINK("CSG8.html#group24J8", "24J⁸")</f>
        <v/>
      </c>
      <c r="L3888" t="inlineStr"/>
      <c r="M3888">
        <f>HYPERLINK("CSG0.html#group2A0", "2A⁰"), =HYPERLINK("CSG0.html#group12C0", "12C⁰"), =HYPERLINK("CSG1.html#group12K1", "12K¹"), =HYPERLINK("CSG2.html#group12D2", "12D²"), =HYPERLINK("CSG3.html#group12F3", "12F³"), =HYPERLINK("CSG0.html#group4C0", "4C⁰"), =HYPERLINK("CSG1.html#group6C1", "6C¹"), =HYPERLINK("CSG0.html#group6G0", "6G⁰"), =HYPERLINK("CSG2.html#group12E2", "12E²"), =HYPERLINK("CSG4.html#group12B4", "12B⁴"), =HYPERLINK("CSG1.html#group12M1", "12M¹"), =HYPERLINK("CSG0.html#group2B0", "2B⁰"), =HYPERLINK("CSG2.html#group12B2", "12B²"), =HYPERLINK("CSG1.html#group12N1", "12N¹"), =HYPERLINK("CSG0.html#group4E0", "4E⁰"), =HYPERLINK("CSG3.html#group12G3", "12G³"), =HYPERLINK("CSG0.html#group1A0", "1A⁰"), =HYPERLINK("CSG8.html#group24I8", "24I⁸"), =HYPERLINK("CSG0.html#group4B0", "4B⁰"), =HYPERLINK("CSG2.html#group12H2", "12H²"), =HYPERLINK("CSG1.html#group6B1", "6B¹"), =HYPERLINK("CSG4.html#group24N4", "24N⁴"), =HYPERLINK("CSG8.html#group24J8", "24J⁸"), =HYPERLINK("CSG0.html#group3C0", "3C⁰"), =HYPERLINK("CSG1.html#group6A1", "6A¹"), =HYPERLINK("CSG1.html#group12B1", "12B¹"), =HYPERLINK("CSG0.html#group6H0", "6H⁰"), =HYPERLINK("CSG0.html#group3A0", "3A⁰"), =HYPERLINK("CSG0.html#group8J0", "8J⁰"), =HYPERLINK("CSG1.html#group6E1", "6E¹"), =HYPERLINK("CSG0.html#group6B0", "6B⁰"), =HYPERLINK("CSG1.html#group12H1", "12H¹"), =HYPERLINK("CSG7.html#group24V7", "24V⁷"), =HYPERLINK("CSG7.html#group24W7", "24W⁷"), =HYPERLINK("CSG1.html#group12L1", "12L¹"), =HYPERLINK("CSG0.html#group12G0", "12G⁰"), =HYPERLINK("CSG7.html#group12D7", "12D⁷"), =HYPERLINK("CSG1.html#group12C1", "12C¹"), =HYPERLINK("CSG0.html#group6A0", "6A⁰"), =HYPERLINK("CSG3.html#group12I3", "12I³"), =HYPERLINK("CSG0.html#group12D0", "12D⁰"), =HYPERLINK("CSG4.html#group12C4", "12C⁴"), =HYPERLINK("CSG0.html#group12H0", "12H⁰"), =HYPERLINK("CSG2.html#group12C2", "12C²"), =HYPERLINK("CSG0.html#group2C0", "2C⁰"), =HYPERLINK("CSG0.html#group6D0", "6D⁰"), =HYPERLINK("CSG4.html#group24G4", "24G⁴")</f>
        <v/>
      </c>
      <c r="N3888" t="inlineStr"/>
    </row>
    <row r="3889">
      <c r="A3889" t="inlineStr">
        <is>
          <t>24K¹⁵</t>
        </is>
      </c>
      <c r="B3889" t="inlineStr"/>
      <c r="C3889" t="inlineStr">
        <is>
          <t>288</t>
        </is>
      </c>
      <c r="D3889" t="inlineStr">
        <is>
          <t>1</t>
        </is>
      </c>
      <c r="E3889" t="inlineStr">
        <is>
          <t>36</t>
        </is>
      </c>
      <c r="F3889" t="inlineStr">
        <is>
          <t>8</t>
        </is>
      </c>
      <c r="G3889" t="inlineStr">
        <is>
          <t>0</t>
        </is>
      </c>
      <c r="H3889" t="inlineStr">
        <is>
          <t>12⁸, 24⁸</t>
        </is>
      </c>
      <c r="I3889" t="n">
        <v>16</v>
      </c>
      <c r="J3889" t="inlineStr">
        <is>
          <t>2², 4⁸</t>
        </is>
      </c>
      <c r="K3889">
        <f>HYPERLINK("CSG5.html#group12C5", "12C⁵"), =HYPERLINK("CSG5.html#group24U5", "24U⁵"), =HYPERLINK("CSG7.html#group24S7", "24S⁷")</f>
        <v/>
      </c>
      <c r="L3889" t="inlineStr"/>
      <c r="M3889">
        <f>HYPERLINK("CSG1.html#group12T1", "12T¹"), =HYPERLINK("CSG4.html#group24Q4", "24Q⁴"), =HYPERLINK("CSG2.html#group24O2", "24O²"), =HYPERLINK("CSG1.html#group24E1", "24E¹"), =HYPERLINK("CSG1.html#group12D1", "12D¹"), =HYPERLINK("CSG0.html#group12C0", "12C⁰"), =HYPERLINK("CSG0.html#group4C0", "4C⁰"), =HYPERLINK("CSG0.html#group6G0", "6G⁰"), =HYPERLINK("CSG0.html#group2B0", "2B⁰"), =HYPERLINK("CSG1.html#group12N1", "12N¹"), =HYPERLINK("CSG0.html#group1A0", "1A⁰"), =HYPERLINK("CSG3.html#group24O3", "24O³"), =HYPERLINK("CSG5.html#group12C5", "12C⁵"), =HYPERLINK("CSG3.html#group24N3", "24N³"), =HYPERLINK("CSG5.html#group24U5", "24U⁵"), =HYPERLINK("CSG0.html#group3C0", "3C⁰"), =HYPERLINK("CSG0.html#group6H0", "6H⁰"), =HYPERLINK("CSG0.html#group3A0", "3A⁰"), =HYPERLINK("CSG3.html#group12H3", "12H³"), =HYPERLINK("CSG7.html#group24S7", "24S⁷"), =HYPERLINK("CSG1.html#group12U1", "12U¹"), =HYPERLINK("CSG0.html#group6B0", "6B⁰"), =HYPERLINK("CSG2.html#group24N2", "24N²"), =HYPERLINK("CSG0.html#group8D0", "8D⁰"), =HYPERLINK("CSG1.html#group12L1", "12L¹"), =HYPERLINK("CSG0.html#group12G0", "12G⁰"), =HYPERLINK("CSG1.html#group12C1", "12C¹"), =HYPERLINK("CSG0.html#group6E0", "6E⁰"), =HYPERLINK("CSG0.html#group6L0", "6L⁰"), =HYPERLINK("CSG1.html#group24C1", "24C¹"), =HYPERLINK("CSG0.html#group12D0", "12D⁰"), =HYPERLINK("CSG0.html#group12H0", "12H⁰"), =HYPERLINK("CSG0.html#group6D0", "6D⁰")</f>
        <v/>
      </c>
      <c r="N3889" t="inlineStr"/>
    </row>
    <row r="3890">
      <c r="A3890" t="inlineStr">
        <is>
          <t>24L¹⁵</t>
        </is>
      </c>
      <c r="B3890" t="inlineStr"/>
      <c r="C3890" t="inlineStr">
        <is>
          <t>288</t>
        </is>
      </c>
      <c r="D3890" t="inlineStr">
        <is>
          <t>1</t>
        </is>
      </c>
      <c r="E3890" t="inlineStr">
        <is>
          <t>36</t>
        </is>
      </c>
      <c r="F3890" t="inlineStr">
        <is>
          <t>8</t>
        </is>
      </c>
      <c r="G3890" t="inlineStr">
        <is>
          <t>0</t>
        </is>
      </c>
      <c r="H3890" t="inlineStr">
        <is>
          <t>12⁸, 24⁸</t>
        </is>
      </c>
      <c r="I3890" t="n">
        <v>16</v>
      </c>
      <c r="J3890" t="inlineStr">
        <is>
          <t>2², 4⁸</t>
        </is>
      </c>
      <c r="K3890">
        <f>HYPERLINK("CSG5.html#group12D5", "12D⁵"), =HYPERLINK("CSG5.html#group24T5", "24T⁵"), =HYPERLINK("CSG7.html#group24S7", "24S⁷")</f>
        <v/>
      </c>
      <c r="L3890" t="inlineStr"/>
      <c r="M3890">
        <f>HYPERLINK("CSG1.html#group12T1", "12T¹"), =HYPERLINK("CSG2.html#group12I2", "12I²"), =HYPERLINK("CSG4.html#group24Q4", "24Q⁴"), =HYPERLINK("CSG0.html#group12C0", "12C⁰"), =HYPERLINK("CSG0.html#group4C0", "4C⁰"), =HYPERLINK("CSG0.html#group6G0", "6G⁰"), =HYPERLINK("CSG3.html#group24M3", "24M³"), =HYPERLINK("CSG0.html#group2B0", "2B⁰"), =HYPERLINK("CSG1.html#group12M1", "12M¹"), =HYPERLINK("CSG1.html#group12N1", "12N¹"), =HYPERLINK("CSG0.html#group1A0", "1A⁰"), =HYPERLINK("CSG2.html#group12H2", "12H²"), =HYPERLINK("CSG1.html#group12Q1", "12Q¹"), =HYPERLINK("CSG0.html#group3C0", "3C⁰"), =HYPERLINK("CSG0.html#group6H0", "6H⁰"), =HYPERLINK("CSG0.html#group3A0", "3A⁰"), =HYPERLINK("CSG7.html#group24S7", "24S⁷"), =HYPERLINK("CSG1.html#group12G1", "12G¹"), =HYPERLINK("CSG0.html#group6B0", "6B⁰"), =HYPERLINK("CSG1.html#group24I1", "24I¹"), =HYPERLINK("CSG0.html#group12F0", "12F⁰"), =HYPERLINK("CSG5.html#group12D5", "12D⁵"), =HYPERLINK("CSG1.html#group12L1", "12L¹"), =HYPERLINK("CSG3.html#group12J3", "12J³"), =HYPERLINK("CSG0.html#group12G0", "12G⁰"), =HYPERLINK("CSG0.html#group12A0", "12A⁰"), =HYPERLINK("CSG1.html#group12C1", "12C¹"), =HYPERLINK("CSG3.html#group12I3", "12I³"), =HYPERLINK("CSG0.html#group6E0", "6E⁰"), =HYPERLINK("CSG5.html#group24T5", "24T⁵"), =HYPERLINK("CSG0.html#group6L0", "6L⁰"), =HYPERLINK("CSG0.html#group4A0", "4A⁰"), =HYPERLINK("CSG1.html#group12J1", "12J¹"), =HYPERLINK("CSG0.html#group12D0", "12D⁰"), =HYPERLINK("CSG0.html#group4F0", "4F⁰"), =HYPERLINK("CSG0.html#group12H0", "12H⁰"), =HYPERLINK("CSG0.html#group6D0", "6D⁰")</f>
        <v/>
      </c>
      <c r="N3890" t="inlineStr"/>
    </row>
    <row r="3891">
      <c r="A3891" t="inlineStr">
        <is>
          <t>24M¹⁵</t>
        </is>
      </c>
      <c r="B3891" t="inlineStr"/>
      <c r="C3891" t="inlineStr">
        <is>
          <t>288</t>
        </is>
      </c>
      <c r="D3891" t="inlineStr">
        <is>
          <t>1</t>
        </is>
      </c>
      <c r="E3891" t="inlineStr">
        <is>
          <t>36</t>
        </is>
      </c>
      <c r="F3891" t="inlineStr">
        <is>
          <t>8</t>
        </is>
      </c>
      <c r="G3891" t="inlineStr">
        <is>
          <t>0</t>
        </is>
      </c>
      <c r="H3891" t="inlineStr">
        <is>
          <t>12⁸, 24⁸</t>
        </is>
      </c>
      <c r="I3891" t="n">
        <v>16</v>
      </c>
      <c r="J3891" t="inlineStr">
        <is>
          <t>2⁶, 4⁶</t>
        </is>
      </c>
      <c r="K3891">
        <f>HYPERLINK("CSG6.html#group24D6", "24D⁶"), =HYPERLINK("CSG6.html#group24G6", "24G⁶"), =HYPERLINK("CSG6.html#group24K6", "24K⁶"), =HYPERLINK("CSG7.html#group24R7", "24R⁷"), =HYPERLINK("CSG7.html#group24AA7", "24AA⁷")</f>
        <v/>
      </c>
      <c r="L3891" t="inlineStr"/>
      <c r="M3891">
        <f>HYPERLINK("CSG1.html#group24E1", "24E¹"), =HYPERLINK("CSG6.html#group24D6", "24D⁶"), =HYPERLINK("CSG0.html#group12C0", "12C⁰"), =HYPERLINK("CSG7.html#group24AA7", "24AA⁷"), =HYPERLINK("CSG0.html#group4C0", "4C⁰"), =HYPERLINK("CSG3.html#group24I3", "24I³"), =HYPERLINK("CSG0.html#group6G0", "6G⁰"), =HYPERLINK("CSG2.html#group24Q2", "24Q²"), =HYPERLINK("CSG0.html#group8L0", "8L⁰"), =HYPERLINK("CSG0.html#group2B0", "2B⁰"), =HYPERLINK("CSG2.html#group24P2", "24P²"), =HYPERLINK("CSG1.html#group12M1", "12M¹"), =HYPERLINK("CSG2.html#group24C2", "24C²"), =HYPERLINK("CSG0.html#group1A0", "1A⁰"), =HYPERLINK("CSG3.html#group24O3", "24O³"), =HYPERLINK("CSG7.html#group24R7", "24R⁷"), =HYPERLINK("CSG0.html#group24A0", "24A⁰"), =HYPERLINK("CSG0.html#group3C0", "3C⁰"), =HYPERLINK("CSG6.html#group24K6", "24K⁶"), =HYPERLINK("CSG0.html#group3A0", "3A⁰"), =HYPERLINK("CSG0.html#group8P0", "8P⁰"), =HYPERLINK("CSG1.html#group12G1", "12G¹"), =HYPERLINK("CSG0.html#group8D0", "8D⁰"), =HYPERLINK("CSG0.html#group8B0", "8B⁰"), =HYPERLINK("CSG2.html#group24L2", "24L²"), =HYPERLINK("CSG1.html#group12L1", "12L¹"), =HYPERLINK("CSG3.html#group12J3", "12J³"), =HYPERLINK("CSG0.html#group8H0", "8H⁰"), =HYPERLINK("CSG6.html#group24G6", "24G⁶"), =HYPERLINK("CSG0.html#group12A0", "12A⁰"), =HYPERLINK("CSG1.html#group12C1", "12C¹"), =HYPERLINK("CSG0.html#group4A0", "4A⁰"), =HYPERLINK("CSG2.html#group24M2", "24M²"), =HYPERLINK("CSG4.html#group24K4", "24K⁴"), =HYPERLINK("CSG1.html#group24C1", "24C¹"), =HYPERLINK("CSG1.html#group12J1", "12J¹"), =HYPERLINK("CSG0.html#group4F0", "4F⁰"), =HYPERLINK("CSG4.html#group24L4", "24L⁴"), =HYPERLINK("CSG0.html#group6D0", "6D⁰")</f>
        <v/>
      </c>
      <c r="N3891" t="inlineStr"/>
    </row>
    <row r="3892">
      <c r="A3892" t="inlineStr">
        <is>
          <t>24N¹⁵</t>
        </is>
      </c>
      <c r="B3892" t="inlineStr"/>
      <c r="C3892" t="inlineStr">
        <is>
          <t>288</t>
        </is>
      </c>
      <c r="D3892" t="inlineStr">
        <is>
          <t>1</t>
        </is>
      </c>
      <c r="E3892" t="inlineStr">
        <is>
          <t>36</t>
        </is>
      </c>
      <c r="F3892" t="inlineStr">
        <is>
          <t>8</t>
        </is>
      </c>
      <c r="G3892" t="inlineStr">
        <is>
          <t>0</t>
        </is>
      </c>
      <c r="H3892" t="inlineStr">
        <is>
          <t>12⁸, 24⁸</t>
        </is>
      </c>
      <c r="I3892" t="n">
        <v>16</v>
      </c>
      <c r="J3892" t="inlineStr">
        <is>
          <t>2⁶, 4⁶</t>
        </is>
      </c>
      <c r="K3892">
        <f>HYPERLINK("CSG6.html#group24G6", "24G⁶"), =HYPERLINK("CSG6.html#group24H6", "24H⁶"), =HYPERLINK("CSG6.html#group24I6", "24I⁶"), =HYPERLINK("CSG7.html#group24R7", "24R⁷"), =HYPERLINK("CSG7.html#group24Z7", "24Z⁷")</f>
        <v/>
      </c>
      <c r="L3892" t="inlineStr"/>
      <c r="M3892">
        <f>HYPERLINK("CSG1.html#group24E1", "24E¹"), =HYPERLINK("CSG0.html#group12C0", "12C⁰"), =HYPERLINK("CSG0.html#group4C0", "4C⁰"), =HYPERLINK("CSG3.html#group24I3", "24I³"), =HYPERLINK("CSG0.html#group6G0", "6G⁰"), =HYPERLINK("CSG2.html#group24Q2", "24Q²"), =HYPERLINK("CSG2.html#group24P2", "24P²"), =HYPERLINK("CSG0.html#group2B0", "2B⁰"), =HYPERLINK("CSG1.html#group12M1", "12M¹"), =HYPERLINK("CSG2.html#group24C2", "24C²"), =HYPERLINK("CSG0.html#group1A0", "1A⁰"), =HYPERLINK("CSG3.html#group24O3", "24O³"), =HYPERLINK("CSG7.html#group24R7", "24R⁷"), =HYPERLINK("CSG0.html#group24A0", "24A⁰"), =HYPERLINK("CSG6.html#group24H6", "24H⁶"), =HYPERLINK("CSG0.html#group3C0", "3C⁰"), =HYPERLINK("CSG0.html#group3A0", "3A⁰"), =HYPERLINK("CSG1.html#group12G1", "12G¹"), =HYPERLINK("CSG6.html#group24I6", "24I⁶"), =HYPERLINK("CSG0.html#group8D0", "8D⁰"), =HYPERLINK("CSG7.html#group24Z7", "24Z⁷"), =HYPERLINK("CSG0.html#group8B0", "8B⁰"), =HYPERLINK("CSG2.html#group24L2", "24L²"), =HYPERLINK("CSG1.html#group12L1", "12L¹"), =HYPERLINK("CSG3.html#group12J3", "12J³"), =HYPERLINK("CSG0.html#group8H0", "8H⁰"), =HYPERLINK("CSG6.html#group24G6", "24G⁶"), =HYPERLINK("CSG0.html#group12A0", "12A⁰"), =HYPERLINK("CSG1.html#group12C1", "12C¹"), =HYPERLINK("CSG0.html#group4A0", "4A⁰"), =HYPERLINK("CSG4.html#group24K4", "24K⁴"), =HYPERLINK("CSG1.html#group24C1", "24C¹"), =HYPERLINK("CSG1.html#group12J1", "12J¹"), =HYPERLINK("CSG0.html#group4F0", "4F⁰"), =HYPERLINK("CSG4.html#group24L4", "24L⁴"), =HYPERLINK("CSG0.html#group6D0", "6D⁰")</f>
        <v/>
      </c>
      <c r="N3892" t="inlineStr"/>
    </row>
    <row r="3893">
      <c r="A3893" t="inlineStr">
        <is>
          <t>24O¹⁵</t>
        </is>
      </c>
      <c r="B3893" t="inlineStr"/>
      <c r="C3893" t="inlineStr">
        <is>
          <t>288</t>
        </is>
      </c>
      <c r="D3893" t="inlineStr">
        <is>
          <t>1</t>
        </is>
      </c>
      <c r="E3893" t="inlineStr">
        <is>
          <t>36</t>
        </is>
      </c>
      <c r="F3893" t="inlineStr">
        <is>
          <t>16</t>
        </is>
      </c>
      <c r="G3893" t="inlineStr">
        <is>
          <t>0</t>
        </is>
      </c>
      <c r="H3893" t="inlineStr">
        <is>
          <t>24¹²</t>
        </is>
      </c>
      <c r="I3893" t="n">
        <v>12</v>
      </c>
      <c r="J3893" t="inlineStr">
        <is>
          <t>2², 4⁴, 8²</t>
        </is>
      </c>
      <c r="K3893">
        <f>HYPERLINK("CSG5.html#group24W5", "24W⁵"), =HYPERLINK("CSG6.html#group24E6", "24E⁶"), =HYPERLINK("CSG7.html#group24AB7", "24AB⁷"), =HYPERLINK("CSG8.html#group24M8", "24M⁸"), =HYPERLINK("CSG8.html#group24P8", "24P⁸")</f>
        <v/>
      </c>
      <c r="L3893" t="inlineStr"/>
      <c r="M3893">
        <f>HYPERLINK("CSG4.html#group24O4", "24O⁴"), =HYPERLINK("CSG2.html#group12I2", "12I²"), =HYPERLINK("CSG1.html#group24E1", "24E¹"), =HYPERLINK("CSG2.html#group24O2", "24O²"), =HYPERLINK("CSG3.html#group24Q3", "24Q³"), =HYPERLINK("CSG0.html#group12C0", "12C⁰"), =HYPERLINK("CSG0.html#group4C0", "4C⁰"), =HYPERLINK("CSG2.html#group24P2", "24P²"), =HYPERLINK("CSG1.html#group12M1", "12M¹"), =HYPERLINK("CSG0.html#group2B0", "2B⁰"), =HYPERLINK("CSG3.html#group24P3", "24P³"), =HYPERLINK("CSG8.html#group24M8", "24M⁸"), =HYPERLINK("CSG5.html#group24W5", "24W⁵"), =HYPERLINK("CSG0.html#group1A0", "1A⁰"), =HYPERLINK("CSG0.html#group24A0", "24A⁰"), =HYPERLINK("CSG7.html#group24AB7", "24AB⁷"), =HYPERLINK("CSG3.html#group24R3", "24R³"), =HYPERLINK("CSG0.html#group6H0", "6H⁰"), =HYPERLINK("CSG0.html#group3A0", "3A⁰"), =HYPERLINK("CSG1.html#group24H1", "24H¹"), =HYPERLINK("CSG2.html#group24G2", "24G²"), =HYPERLINK("CSG2.html#group24H2", "24H²"), =HYPERLINK("CSG0.html#group6B0", "6B⁰"), =HYPERLINK("CSG6.html#group24E6", "24E⁶"), =HYPERLINK("CSG0.html#group8D0", "8D⁰"), =HYPERLINK("CSG1.html#group24D1", "24D¹"), =HYPERLINK("CSG0.html#group12F0", "12F⁰"), =HYPERLINK("CSG0.html#group8B0", "8B⁰"), =HYPERLINK("CSG1.html#group24B1", "24B¹"), =HYPERLINK("CSG8.html#group24P8", "24P⁸"), =HYPERLINK("CSG2.html#group24L2", "24L²"), =HYPERLINK("CSG0.html#group8H0", "8H⁰"), =HYPERLINK("CSG0.html#group12A0", "12A⁰"), =HYPERLINK("CSG0.html#group4A0", "4A⁰"), =HYPERLINK("CSG1.html#group24C1", "24C¹"), =HYPERLINK("CSG1.html#group12J1", "12J¹"), =HYPERLINK("CSG0.html#group12D0", "12D⁰"), =HYPERLINK("CSG0.html#group4F0", "4F⁰"), =HYPERLINK("CSG0.html#group12H0", "12H⁰"), =HYPERLINK("CSG0.html#group6D0", "6D⁰")</f>
        <v/>
      </c>
      <c r="N3893" t="inlineStr"/>
    </row>
    <row r="3894">
      <c r="A3894" t="inlineStr">
        <is>
          <t>24P¹⁵</t>
        </is>
      </c>
      <c r="B3894" t="inlineStr"/>
      <c r="C3894" t="inlineStr">
        <is>
          <t>288</t>
        </is>
      </c>
      <c r="D3894" t="inlineStr">
        <is>
          <t>1</t>
        </is>
      </c>
      <c r="E3894" t="inlineStr">
        <is>
          <t>36</t>
        </is>
      </c>
      <c r="F3894" t="inlineStr">
        <is>
          <t>16</t>
        </is>
      </c>
      <c r="G3894" t="inlineStr">
        <is>
          <t>0</t>
        </is>
      </c>
      <c r="H3894" t="inlineStr">
        <is>
          <t>24¹²</t>
        </is>
      </c>
      <c r="I3894" t="n">
        <v>12</v>
      </c>
      <c r="J3894" t="inlineStr">
        <is>
          <t>2², 4⁴, 8²</t>
        </is>
      </c>
      <c r="K3894">
        <f>HYPERLINK("CSG5.html#group24W5", "24W⁵"), =HYPERLINK("CSG6.html#group24F6", "24F⁶"), =HYPERLINK("CSG7.html#group24K7", "24K⁷"), =HYPERLINK("CSG7.html#group24AB7", "24AB⁷"), =HYPERLINK("CSG8.html#group24K8", "24K⁸"), =HYPERLINK("CSG8.html#group24L8", "24L⁸"), =HYPERLINK("CSG8.html#group24N8", "24N⁸")</f>
        <v/>
      </c>
      <c r="L3894" t="inlineStr"/>
      <c r="M3894">
        <f>HYPERLINK("CSG4.html#group24O4", "24O⁴"), =HYPERLINK("CSG2.html#group12I2", "12I²"), =HYPERLINK("CSG1.html#group24E1", "24E¹"), =HYPERLINK("CSG2.html#group24O2", "24O²"), =HYPERLINK("CSG3.html#group24Q3", "24Q³"), =HYPERLINK("CSG0.html#group12C0", "12C⁰"), =HYPERLINK("CSG0.html#group4C0", "4C⁰"), =HYPERLINK("CSG0.html#group8A0", "8A⁰"), =HYPERLINK("CSG6.html#group24F6", "24F⁶"), =HYPERLINK("CSG2.html#group24P2", "24P²"), =HYPERLINK("CSG0.html#group2B0", "2B⁰"), =HYPERLINK("CSG3.html#group24P3", "24P³"), =HYPERLINK("CSG1.html#group12M1", "12M¹"), =HYPERLINK("CSG0.html#group8K0", "8K⁰"), =HYPERLINK("CSG5.html#group24W5", "24W⁵"), =HYPERLINK("CSG0.html#group1A0", "1A⁰"), =HYPERLINK("CSG1.html#group8H1", "8H¹"), =HYPERLINK("CSG1.html#group24A1", "24A¹"), =HYPERLINK("CSG0.html#group24A0", "24A⁰"), =HYPERLINK("CSG8.html#group24N8", "24N⁸"), =HYPERLINK("CSG7.html#group24AB7", "24AB⁷"), =HYPERLINK("CSG3.html#group24R3", "24R³"), =HYPERLINK("CSG0.html#group6H0", "6H⁰"), =HYPERLINK("CSG0.html#group3A0", "3A⁰"), =HYPERLINK("CSG1.html#group24H1", "24H¹"), =HYPERLINK("CSG7.html#group24K7", "24K⁷"), =HYPERLINK("CSG0.html#group6B0", "6B⁰"), =HYPERLINK("CSG0.html#group8D0", "8D⁰"), =HYPERLINK("CSG1.html#group24D1", "24D¹"), =HYPERLINK("CSG0.html#group8B0", "8B⁰"), =HYPERLINK("CSG0.html#group12F0", "12F⁰"), =HYPERLINK("CSG1.html#group24B1", "24B¹"), =HYPERLINK("CSG2.html#group24L2", "24L²"), =HYPERLINK("CSG1.html#group8D1", "8D¹"), =HYPERLINK("CSG3.html#group24J3", "24J³"), =HYPERLINK("CSG0.html#group8H0", "8H⁰"), =HYPERLINK("CSG4.html#group24H4", "24H⁴"), =HYPERLINK("CSG0.html#group12A0", "12A⁰"), =HYPERLINK("CSG2.html#group24K2", "24K²"), =HYPERLINK("CSG0.html#group4A0", "4A⁰"), =HYPERLINK("CSG8.html#group24K8", "24K⁸"), =HYPERLINK("CSG8.html#group24L8", "24L⁸"), =HYPERLINK("CSG1.html#group24C1", "24C¹"), =HYPERLINK("CSG1.html#group12J1", "12J¹"), =HYPERLINK("CSG0.html#group12D0", "12D⁰"), =HYPERLINK("CSG0.html#group4F0", "4F⁰"), =HYPERLINK("CSG0.html#group12H0", "12H⁰"), =HYPERLINK("CSG0.html#group6D0", "6D⁰")</f>
        <v/>
      </c>
      <c r="N3894" t="inlineStr"/>
    </row>
    <row r="3895">
      <c r="A3895" t="inlineStr">
        <is>
          <t>24Q¹⁵</t>
        </is>
      </c>
      <c r="B3895" t="inlineStr"/>
      <c r="C3895" t="inlineStr">
        <is>
          <t>288</t>
        </is>
      </c>
      <c r="D3895" t="inlineStr">
        <is>
          <t>1</t>
        </is>
      </c>
      <c r="E3895" t="inlineStr">
        <is>
          <t>36</t>
        </is>
      </c>
      <c r="F3895" t="inlineStr">
        <is>
          <t>16</t>
        </is>
      </c>
      <c r="G3895" t="inlineStr">
        <is>
          <t>0</t>
        </is>
      </c>
      <c r="H3895" t="inlineStr">
        <is>
          <t>24¹²</t>
        </is>
      </c>
      <c r="I3895" t="n">
        <v>12</v>
      </c>
      <c r="J3895" t="inlineStr">
        <is>
          <t>2⁴, 4³, 8²</t>
        </is>
      </c>
      <c r="K3895">
        <f>HYPERLINK("CSG5.html#group24W5", "24W⁵"), =HYPERLINK("CSG7.html#group24AC7", "24AC⁷")</f>
        <v/>
      </c>
      <c r="L3895" t="inlineStr"/>
      <c r="M3895">
        <f>HYPERLINK("CSG2.html#group12I2", "12I²"), =HYPERLINK("CSG2.html#group24O2", "24O²"), =HYPERLINK("CSG3.html#group24Q3", "24Q³"), =HYPERLINK("CSG1.html#group24E1", "24E¹"), =HYPERLINK("CSG0.html#group12C0", "12C⁰"), =HYPERLINK("CSG7.html#group24AC7", "24AC⁷"), =HYPERLINK("CSG0.html#group4C0", "4C⁰"), =HYPERLINK("CSG2.html#group24P2", "24P²"), =HYPERLINK("CSG1.html#group12M1", "12M¹"), =HYPERLINK("CSG3.html#group24P3", "24P³"), =HYPERLINK("CSG0.html#group2B0", "2B⁰"), =HYPERLINK("CSG0.html#group1A0", "1A⁰"), =HYPERLINK("CSG5.html#group24W5", "24W⁵"), =HYPERLINK("CSG0.html#group24A0", "24A⁰"), =HYPERLINK("CSG0.html#group6H0", "6H⁰"), =HYPERLINK("CSG0.html#group3A0", "3A⁰"), =HYPERLINK("CSG1.html#group24H1", "24H¹"), =HYPERLINK("CSG0.html#group6B0", "6B⁰"), =HYPERLINK("CSG0.html#group8D0", "8D⁰"), =HYPERLINK("CSG1.html#group24D1", "24D¹"), =HYPERLINK("CSG0.html#group12F0", "12F⁰"), =HYPERLINK("CSG0.html#group8B0", "8B⁰"), =HYPERLINK("CSG2.html#group24L2", "24L²"), =HYPERLINK("CSG0.html#group8H0", "8H⁰"), =HYPERLINK("CSG0.html#group12A0", "12A⁰"), =HYPERLINK("CSG0.html#group4A0", "4A⁰"), =HYPERLINK("CSG1.html#group24C1", "24C¹"), =HYPERLINK("CSG1.html#group12J1", "12J¹"), =HYPERLINK("CSG0.html#group12D0", "12D⁰"), =HYPERLINK("CSG0.html#group4F0", "4F⁰"), =HYPERLINK("CSG0.html#group12H0", "12H⁰"), =HYPERLINK("CSG0.html#group6D0", "6D⁰")</f>
        <v/>
      </c>
      <c r="N3895" t="inlineStr"/>
    </row>
    <row r="3896">
      <c r="A3896" t="inlineStr">
        <is>
          <t>24R¹⁵</t>
        </is>
      </c>
      <c r="B3896" t="inlineStr"/>
      <c r="C3896" t="inlineStr">
        <is>
          <t>288</t>
        </is>
      </c>
      <c r="D3896" t="inlineStr">
        <is>
          <t>1</t>
        </is>
      </c>
      <c r="E3896" t="inlineStr">
        <is>
          <t>36</t>
        </is>
      </c>
      <c r="F3896" t="inlineStr">
        <is>
          <t>16</t>
        </is>
      </c>
      <c r="G3896" t="inlineStr">
        <is>
          <t>0</t>
        </is>
      </c>
      <c r="H3896" t="inlineStr">
        <is>
          <t>24¹²</t>
        </is>
      </c>
      <c r="I3896" t="n">
        <v>12</v>
      </c>
      <c r="J3896" t="inlineStr">
        <is>
          <t>1², 2³, 4³, 8²</t>
        </is>
      </c>
      <c r="K3896">
        <f>HYPERLINK("CSG3.html#group24AB3", "24AB³"), =HYPERLINK("CSG5.html#group24W5", "24W⁵"), =HYPERLINK("CSG7.html#group24L7", "24L⁷"), =HYPERLINK("CSG7.html#group24AC7", "24AC⁷")</f>
        <v/>
      </c>
      <c r="L3896" t="inlineStr"/>
      <c r="M3896">
        <f>HYPERLINK("CSG2.html#group12I2", "12I²"), =HYPERLINK("CSG2.html#group24O2", "24O²"), =HYPERLINK("CSG3.html#group24Q3", "24Q³"), =HYPERLINK("CSG1.html#group24E1", "24E¹"), =HYPERLINK("CSG0.html#group12C0", "12C⁰"), =HYPERLINK("CSG7.html#group24AC7", "24AC⁷"), =HYPERLINK("CSG0.html#group4C0", "4C⁰"), =HYPERLINK("CSG2.html#group24P2", "24P²"), =HYPERLINK("CSG0.html#group2B0", "2B⁰"), =HYPERLINK("CSG1.html#group12M1", "12M¹"), =HYPERLINK("CSG3.html#group24P3", "24P³"), =HYPERLINK("CSG0.html#group1A0", "1A⁰"), =HYPERLINK("CSG5.html#group24W5", "24W⁵"), =HYPERLINK("CSG0.html#group24A0", "24A⁰"), =HYPERLINK("CSG7.html#group24L7", "24L⁷"), =HYPERLINK("CSG0.html#group6H0", "6H⁰"), =HYPERLINK("CSG0.html#group3A0", "3A⁰"), =HYPERLINK("CSG1.html#group24H1", "24H¹"), =HYPERLINK("CSG0.html#group6B0", "6B⁰"), =HYPERLINK("CSG0.html#group8D0", "8D⁰"), =HYPERLINK("CSG1.html#group24D1", "24D¹"), =HYPERLINK("CSG0.html#group8B0", "8B⁰"), =HYPERLINK("CSG0.html#group12F0", "12F⁰"), =HYPERLINK("CSG2.html#group24L2", "24L²"), =HYPERLINK("CSG1.html#group24F1", "24F¹"), =HYPERLINK("CSG0.html#group8H0", "8H⁰"), =HYPERLINK("CSG0.html#group12A0", "12A⁰"), =HYPERLINK("CSG0.html#group8F0", "8F⁰"), =HYPERLINK("CSG0.html#group4A0", "4A⁰"), =HYPERLINK("CSG1.html#group8I1", "8I¹"), =HYPERLINK("CSG1.html#group24C1", "24C¹"), =HYPERLINK("CSG1.html#group12J1", "12J¹"), =HYPERLINK("CSG0.html#group12D0", "12D⁰"), =HYPERLINK("CSG0.html#group4F0", "4F⁰"), =HYPERLINK("CSG3.html#group24AB3", "24AB³"), =HYPERLINK("CSG0.html#group12H0", "12H⁰"), =HYPERLINK("CSG0.html#group6D0", "6D⁰")</f>
        <v/>
      </c>
      <c r="N3896" t="inlineStr"/>
    </row>
    <row r="3897">
      <c r="A3897" t="inlineStr">
        <is>
          <t>24S¹⁵</t>
        </is>
      </c>
      <c r="B3897" t="inlineStr"/>
      <c r="C3897" t="inlineStr">
        <is>
          <t>288</t>
        </is>
      </c>
      <c r="D3897" t="inlineStr">
        <is>
          <t>1</t>
        </is>
      </c>
      <c r="E3897" t="inlineStr">
        <is>
          <t>72</t>
        </is>
      </c>
      <c r="F3897" t="inlineStr">
        <is>
          <t>16</t>
        </is>
      </c>
      <c r="G3897" t="inlineStr">
        <is>
          <t>0</t>
        </is>
      </c>
      <c r="H3897" t="inlineStr">
        <is>
          <t>24¹²</t>
        </is>
      </c>
      <c r="I3897" t="n">
        <v>12</v>
      </c>
      <c r="J3897" t="inlineStr">
        <is>
          <t>4¹⁰, 8⁴</t>
        </is>
      </c>
      <c r="K3897">
        <f>HYPERLINK("CSG5.html#group24V5", "24V⁵")</f>
        <v/>
      </c>
      <c r="L3897" t="inlineStr"/>
      <c r="M3897">
        <f>HYPERLINK("CSG1.html#group24E1", "24E¹"), =HYPERLINK("CSG0.html#group6B0", "6B⁰"), =HYPERLINK("CSG0.html#group12C0", "12C⁰"), =HYPERLINK("CSG0.html#group3A0", "3A⁰"), =HYPERLINK("CSG2.html#group24N2", "24N²"), =HYPERLINK("CSG0.html#group4C0", "4C⁰"), =HYPERLINK("CSG1.html#group24D1", "24D¹"), =HYPERLINK("CSG0.html#group8B0", "8B⁰"), =HYPERLINK("CSG2.html#group24P2", "24P²"), =HYPERLINK("CSG1.html#group12M1", "12M¹"), =HYPERLINK("CSG0.html#group2B0", "2B⁰"), =HYPERLINK("CSG0.html#group1A0", "1A⁰"), =HYPERLINK("CSG2.html#group12H2", "12H²"), =HYPERLINK("CSG5.html#group24V5", "24V⁵"), =HYPERLINK("CSG0.html#group24A0", "24A⁰"), =HYPERLINK("CSG3.html#group24T3", "24T³"), =HYPERLINK("CSG0.html#group12D0", "12D⁰"), =HYPERLINK("CSG0.html#group6H0", "6H⁰"), =HYPERLINK("CSG0.html#group12H0", "12H⁰"), =HYPERLINK("CSG1.html#group24H1", "24H¹"), =HYPERLINK("CSG0.html#group6D0", "6D⁰")</f>
        <v/>
      </c>
      <c r="N3897" t="inlineStr"/>
    </row>
    <row r="3898">
      <c r="A3898" t="inlineStr">
        <is>
          <t>24T¹⁵</t>
        </is>
      </c>
      <c r="B3898" t="inlineStr"/>
      <c r="C3898" t="inlineStr">
        <is>
          <t>288</t>
        </is>
      </c>
      <c r="D3898" t="inlineStr">
        <is>
          <t>1</t>
        </is>
      </c>
      <c r="E3898" t="inlineStr">
        <is>
          <t>72</t>
        </is>
      </c>
      <c r="F3898" t="inlineStr">
        <is>
          <t>16</t>
        </is>
      </c>
      <c r="G3898" t="inlineStr">
        <is>
          <t>0</t>
        </is>
      </c>
      <c r="H3898" t="inlineStr">
        <is>
          <t>24¹²</t>
        </is>
      </c>
      <c r="I3898" t="n">
        <v>12</v>
      </c>
      <c r="J3898" t="inlineStr">
        <is>
          <t>4¹⁰, 8⁴</t>
        </is>
      </c>
      <c r="K3898">
        <f>HYPERLINK("CSG5.html#group24V5", "24V⁵"), =HYPERLINK("CSG6.html#group24J6", "24J⁶"), =HYPERLINK("CSG8.html#group24O8", "24O⁸")</f>
        <v/>
      </c>
      <c r="L3898" t="inlineStr"/>
      <c r="M3898">
        <f>HYPERLINK("CSG1.html#group24E1", "24E¹"), =HYPERLINK("CSG0.html#group6B0", "6B⁰"), =HYPERLINK("CSG0.html#group12C0", "12C⁰"), =HYPERLINK("CSG2.html#group24N2", "24N²"), =HYPERLINK("CSG0.html#group4C0", "4C⁰"), =HYPERLINK("CSG1.html#group24D1", "24D¹"), =HYPERLINK("CSG0.html#group8B0", "8B⁰"), =HYPERLINK("CSG2.html#group24P2", "24P²"), =HYPERLINK("CSG1.html#group12M1", "12M¹"), =HYPERLINK("CSG0.html#group2B0", "2B⁰"), =HYPERLINK("CSG6.html#group24J6", "24J⁶"), =HYPERLINK("CSG0.html#group12H0", "12H⁰"), =HYPERLINK("CSG0.html#group1A0", "1A⁰"), =HYPERLINK("CSG2.html#group12H2", "12H²"), =HYPERLINK("CSG5.html#group24V5", "24V⁵"), =HYPERLINK("CSG0.html#group24A0", "24A⁰"), =HYPERLINK("CSG8.html#group24O8", "24O⁸"), =HYPERLINK("CSG3.html#group24T3", "24T³"), =HYPERLINK("CSG0.html#group12D0", "12D⁰"), =HYPERLINK("CSG0.html#group6H0", "6H⁰"), =HYPERLINK("CSG0.html#group3A0", "3A⁰"), =HYPERLINK("CSG1.html#group24H1", "24H¹"), =HYPERLINK("CSG0.html#group6D0", "6D⁰")</f>
        <v/>
      </c>
      <c r="N3898" t="inlineStr"/>
    </row>
    <row r="3899">
      <c r="A3899" t="inlineStr">
        <is>
          <t>24U¹⁵</t>
        </is>
      </c>
      <c r="B3899" t="inlineStr"/>
      <c r="C3899" t="inlineStr">
        <is>
          <t>288</t>
        </is>
      </c>
      <c r="D3899" t="inlineStr">
        <is>
          <t>2</t>
        </is>
      </c>
      <c r="E3899" t="inlineStr">
        <is>
          <t>36</t>
        </is>
      </c>
      <c r="F3899" t="inlineStr">
        <is>
          <t>8</t>
        </is>
      </c>
      <c r="G3899" t="inlineStr">
        <is>
          <t>0</t>
        </is>
      </c>
      <c r="H3899" t="inlineStr">
        <is>
          <t>12⁸, 24⁸</t>
        </is>
      </c>
      <c r="I3899" t="n">
        <v>16</v>
      </c>
      <c r="J3899" t="inlineStr">
        <is>
          <t>2⁸, 4¹⁰, 8²</t>
        </is>
      </c>
      <c r="K3899">
        <f>HYPERLINK("CSG6.html#group24H6", "24H⁶"), =HYPERLINK("CSG6.html#group24I6", "24I⁶"), =HYPERLINK("CSG6.html#group24K6", "24K⁶"), =HYPERLINK("CSG7.html#group24O7", "24O⁷"), =HYPERLINK("CSG7.html#group24Z7", "24Z⁷"), =HYPERLINK("CSG7.html#group24AA7", "24AA⁷")</f>
        <v/>
      </c>
      <c r="L3899" t="inlineStr"/>
      <c r="M3899">
        <f>HYPERLINK("CSG1.html#group24E1", "24E¹"), =HYPERLINK("CSG6.html#group24I6", "24I⁶"), =HYPERLINK("CSG0.html#group12C0", "12C⁰"), =HYPERLINK("CSG7.html#group24AA7", "24AA⁷"), =HYPERLINK("CSG4.html#group24P4", "24P⁴"), =HYPERLINK("CSG7.html#group24O7", "24O⁷"), =HYPERLINK("CSG7.html#group24Z7", "24Z⁷"), =HYPERLINK("CSG0.html#group4C0", "4C⁰"), =HYPERLINK("CSG0.html#group8B0", "8B⁰"), =HYPERLINK("CSG3.html#group24I3", "24I³"), =HYPERLINK("CSG2.html#group24P2", "24P²"), =HYPERLINK("CSG2.html#group24Q2", "24Q²"), =HYPERLINK("CSG1.html#group12M1", "12M¹"), =HYPERLINK("CSG0.html#group2B0", "2B⁰"), =HYPERLINK("CSG0.html#group6G0", "6G⁰"), =HYPERLINK("CSG0.html#group8L0", "8L⁰"), =HYPERLINK("CSG2.html#group24C2", "24C²"), =HYPERLINK("CSG0.html#group1A0", "1A⁰"), =HYPERLINK("CSG1.html#group12L1", "12L¹"), =HYPERLINK("CSG1.html#group12C1", "12C¹"), =HYPERLINK("CSG0.html#group24A0", "24A⁰"), =HYPERLINK("CSG3.html#group12I3", "12I³"), =HYPERLINK("CSG3.html#group24N3", "24N³"), =HYPERLINK("CSG2.html#group24M2", "24M²"), =HYPERLINK("CSG6.html#group24H6", "24H⁶"), =HYPERLINK("CSG0.html#group3C0", "3C⁰"), =HYPERLINK("CSG6.html#group24K6", "24K⁶"), =HYPERLINK("CSG0.html#group3A0", "3A⁰"), =HYPERLINK("CSG0.html#group6D0", "6D⁰")</f>
        <v/>
      </c>
      <c r="N3899" t="inlineStr"/>
    </row>
    <row r="3900">
      <c r="A3900" t="inlineStr">
        <is>
          <t>26A¹⁵</t>
        </is>
      </c>
      <c r="B3900" t="inlineStr"/>
      <c r="C3900" t="inlineStr">
        <is>
          <t>273</t>
        </is>
      </c>
      <c r="D3900" t="inlineStr">
        <is>
          <t>1</t>
        </is>
      </c>
      <c r="E3900" t="inlineStr">
        <is>
          <t>273</t>
        </is>
      </c>
      <c r="F3900" t="inlineStr">
        <is>
          <t>7</t>
        </is>
      </c>
      <c r="G3900" t="inlineStr">
        <is>
          <t>0</t>
        </is>
      </c>
      <c r="H3900" t="inlineStr">
        <is>
          <t>13⁷, 26⁷</t>
        </is>
      </c>
      <c r="I3900" t="n">
        <v>14</v>
      </c>
      <c r="J3900" t="inlineStr">
        <is>
          <t>1³, 6³, 12²¹</t>
        </is>
      </c>
      <c r="K3900">
        <f>HYPERLINK("CSG0.html#group2B0", "2B⁰"), =HYPERLINK("CSG3.html#group13C3", "13C³")</f>
        <v/>
      </c>
      <c r="L3900" t="inlineStr"/>
      <c r="M3900">
        <f>HYPERLINK("CSG3.html#group13C3", "13C³"), =HYPERLINK("CSG0.html#group1A0", "1A⁰"), =HYPERLINK("CSG0.html#group2B0", "2B⁰")</f>
        <v/>
      </c>
      <c r="N3900" t="inlineStr"/>
    </row>
    <row r="3901">
      <c r="A3901" t="inlineStr">
        <is>
          <t>28A¹⁵</t>
        </is>
      </c>
      <c r="B3901" t="inlineStr"/>
      <c r="C3901" t="inlineStr">
        <is>
          <t>224</t>
        </is>
      </c>
      <c r="D3901" t="inlineStr">
        <is>
          <t>1</t>
        </is>
      </c>
      <c r="E3901" t="inlineStr">
        <is>
          <t>112</t>
        </is>
      </c>
      <c r="F3901" t="inlineStr">
        <is>
          <t>0</t>
        </is>
      </c>
      <c r="G3901" t="inlineStr">
        <is>
          <t>2</t>
        </is>
      </c>
      <c r="H3901" t="inlineStr">
        <is>
          <t>28⁸</t>
        </is>
      </c>
      <c r="I3901" t="n">
        <v>8</v>
      </c>
      <c r="J3901" t="inlineStr">
        <is>
          <t>2², 6², 12⁸</t>
        </is>
      </c>
      <c r="K3901">
        <f>HYPERLINK("CSG3.html#group14C3", "14C³"), =HYPERLINK("CSG4.html#group28A4", "28A⁴"), =HYPERLINK("CSG6.html#group28H6", "28H⁶")</f>
        <v/>
      </c>
      <c r="L3901" t="inlineStr"/>
      <c r="M3901">
        <f>HYPERLINK("CSG0.html#group2A0", "2A⁰"), =HYPERLINK("CSG6.html#group28H6", "28H⁶"), =HYPERLINK("CSG0.html#group4A0", "4A⁰"), =HYPERLINK("CSG4.html#group28A4", "28A⁴"), =HYPERLINK("CSG0.html#group4D0", "4D⁰"), =HYPERLINK("CSG3.html#group14C3", "14C³"), =HYPERLINK("CSG1.html#group14A1", "14A¹"), =HYPERLINK("CSG0.html#group7F0", "7F⁰"), =HYPERLINK("CSG1.html#group28A1", "28A¹"), =HYPERLINK("CSG0.html#group1A0", "1A⁰"), =HYPERLINK("CSG0.html#group7A0", "7A⁰")</f>
        <v/>
      </c>
      <c r="N3901" t="inlineStr"/>
    </row>
    <row r="3902">
      <c r="A3902" t="inlineStr">
        <is>
          <t>28B¹⁵</t>
        </is>
      </c>
      <c r="B3902" t="inlineStr"/>
      <c r="C3902" t="inlineStr">
        <is>
          <t>224</t>
        </is>
      </c>
      <c r="D3902" t="inlineStr">
        <is>
          <t>1</t>
        </is>
      </c>
      <c r="E3902" t="inlineStr">
        <is>
          <t>112</t>
        </is>
      </c>
      <c r="F3902" t="inlineStr">
        <is>
          <t>0</t>
        </is>
      </c>
      <c r="G3902" t="inlineStr">
        <is>
          <t>2</t>
        </is>
      </c>
      <c r="H3902" t="inlineStr">
        <is>
          <t>28⁸</t>
        </is>
      </c>
      <c r="I3902" t="n">
        <v>8</v>
      </c>
      <c r="J3902" t="inlineStr">
        <is>
          <t>2², 6², 12⁸</t>
        </is>
      </c>
      <c r="K3902">
        <f>HYPERLINK("CSG1.html#group7B1", "7B¹"), =HYPERLINK("CSG2.html#group28A2", "28A²"), =HYPERLINK("CSG3.html#group28D3", "28D³"), =HYPERLINK("CSG6.html#group28H6", "28H⁶")</f>
        <v/>
      </c>
      <c r="L3902" t="inlineStr"/>
      <c r="M3902">
        <f>HYPERLINK("CSG3.html#group28D3", "28D³"), =HYPERLINK("CSG6.html#group28H6", "28H⁶"), =HYPERLINK("CSG0.html#group4A0", "4A⁰"), =HYPERLINK("CSG0.html#group7B0", "7B⁰"), =HYPERLINK("CSG0.html#group7C0", "7C⁰"), =HYPERLINK("CSG0.html#group7F0", "7F⁰"), =HYPERLINK("CSG0.html#group7A0", "7A⁰"), =HYPERLINK("CSG1.html#group28A1", "28A¹"), =HYPERLINK("CSG0.html#group1A0", "1A⁰"), =HYPERLINK("CSG1.html#group7B1", "7B¹"), =HYPERLINK("CSG2.html#group28A2", "28A²")</f>
        <v/>
      </c>
      <c r="N3902" t="inlineStr"/>
    </row>
    <row r="3903">
      <c r="A3903" t="inlineStr">
        <is>
          <t>28C¹⁵</t>
        </is>
      </c>
      <c r="B3903" t="inlineStr"/>
      <c r="C3903" t="inlineStr">
        <is>
          <t>252</t>
        </is>
      </c>
      <c r="D3903" t="inlineStr">
        <is>
          <t>1</t>
        </is>
      </c>
      <c r="E3903" t="inlineStr">
        <is>
          <t>63</t>
        </is>
      </c>
      <c r="F3903" t="inlineStr">
        <is>
          <t>4</t>
        </is>
      </c>
      <c r="G3903" t="inlineStr">
        <is>
          <t>0</t>
        </is>
      </c>
      <c r="H3903" t="inlineStr">
        <is>
          <t>14⁶, 28⁶</t>
        </is>
      </c>
      <c r="I3903" t="n">
        <v>12</v>
      </c>
      <c r="J3903" t="inlineStr">
        <is>
          <t>3³, 6⁹</t>
        </is>
      </c>
      <c r="K3903">
        <f>HYPERLINK("CSG5.html#group14F5", "14F⁵"), =HYPERLINK("CSG7.html#group28C7", "28C⁷")</f>
        <v/>
      </c>
      <c r="L3903" t="inlineStr"/>
      <c r="M3903">
        <f>HYPERLINK("CSG0.html#group7D0", "7D⁰"), =HYPERLINK("CSG1.html#group14B1", "14B¹"), =HYPERLINK("CSG3.html#group28B3", "28B³"), =HYPERLINK("CSG1.html#group7A1", "7A¹"), =HYPERLINK("CSG2.html#group14F2", "14F²"), =HYPERLINK("CSG0.html#group2B0", "2B⁰"), =HYPERLINK("CSG7.html#group28C7", "28C⁷"), =HYPERLINK("CSG5.html#group14F5", "14F⁵"), =HYPERLINK("CSG0.html#group1A0", "1A⁰"), =HYPERLINK("CSG0.html#group7A0", "7A⁰")</f>
        <v/>
      </c>
      <c r="N3903" t="inlineStr"/>
    </row>
    <row r="3904">
      <c r="A3904" t="inlineStr">
        <is>
          <t>28D¹⁵</t>
        </is>
      </c>
      <c r="B3904" t="inlineStr"/>
      <c r="C3904" t="inlineStr">
        <is>
          <t>252</t>
        </is>
      </c>
      <c r="D3904" t="inlineStr">
        <is>
          <t>1</t>
        </is>
      </c>
      <c r="E3904" t="inlineStr">
        <is>
          <t>63</t>
        </is>
      </c>
      <c r="F3904" t="inlineStr">
        <is>
          <t>4</t>
        </is>
      </c>
      <c r="G3904" t="inlineStr">
        <is>
          <t>0</t>
        </is>
      </c>
      <c r="H3904" t="inlineStr">
        <is>
          <t>14⁶, 28⁶</t>
        </is>
      </c>
      <c r="I3904" t="n">
        <v>12</v>
      </c>
      <c r="J3904" t="inlineStr">
        <is>
          <t>3³, 6⁹</t>
        </is>
      </c>
      <c r="K3904">
        <f>HYPERLINK("CSG5.html#group14F5", "14F⁵"), =HYPERLINK("CSG6.html#group28I6", "28I⁶"), =HYPERLINK("CSG8.html#group28A8", "28A⁸")</f>
        <v/>
      </c>
      <c r="L3904" t="inlineStr"/>
      <c r="M3904">
        <f>HYPERLINK("CSG6.html#group28I6", "28I⁶"), =HYPERLINK("CSG2.html#group28C2", "28C²"), =HYPERLINK("CSG0.html#group7D0", "7D⁰"), =HYPERLINK("CSG1.html#group14B1", "14B¹"), =HYPERLINK("CSG8.html#group28A8", "28A⁸"), =HYPERLINK("CSG0.html#group4C0", "4C⁰"), =HYPERLINK("CSG1.html#group7A1", "7A¹"), =HYPERLINK("CSG2.html#group14F2", "14F²"), =HYPERLINK("CSG0.html#group2B0", "2B⁰"), =HYPERLINK("CSG5.html#group14F5", "14F⁵"), =HYPERLINK("CSG0.html#group1A0", "1A⁰"), =HYPERLINK("CSG0.html#group7A0", "7A⁰")</f>
        <v/>
      </c>
      <c r="N3904" t="inlineStr"/>
    </row>
    <row r="3905">
      <c r="A3905" t="inlineStr">
        <is>
          <t>28E¹⁵</t>
        </is>
      </c>
      <c r="B3905" t="inlineStr"/>
      <c r="C3905" t="inlineStr">
        <is>
          <t>252</t>
        </is>
      </c>
      <c r="D3905" t="inlineStr">
        <is>
          <t>1</t>
        </is>
      </c>
      <c r="E3905" t="inlineStr">
        <is>
          <t>126</t>
        </is>
      </c>
      <c r="F3905" t="inlineStr">
        <is>
          <t>10</t>
        </is>
      </c>
      <c r="G3905" t="inlineStr">
        <is>
          <t>0</t>
        </is>
      </c>
      <c r="H3905" t="inlineStr">
        <is>
          <t>28⁹</t>
        </is>
      </c>
      <c r="I3905" t="n">
        <v>9</v>
      </c>
      <c r="J3905" t="inlineStr">
        <is>
          <t>3², 6⁸, 12⁶</t>
        </is>
      </c>
      <c r="K3905">
        <f>HYPERLINK("CSG6.html#group28I6", "28I⁶")</f>
        <v/>
      </c>
      <c r="L3905" t="inlineStr"/>
      <c r="M3905">
        <f>HYPERLINK("CSG2.html#group28C2", "28C²"), =HYPERLINK("CSG0.html#group7D0", "7D⁰"), =HYPERLINK("CSG1.html#group14B1", "14B¹"), =HYPERLINK("CSG0.html#group4C0", "4C⁰"), =HYPERLINK("CSG2.html#group14F2", "14F²"), =HYPERLINK("CSG0.html#group2B0", "2B⁰"), =HYPERLINK("CSG6.html#group28I6", "28I⁶"), =HYPERLINK("CSG0.html#group1A0", "1A⁰"), =HYPERLINK("CSG0.html#group7A0", "7A⁰")</f>
        <v/>
      </c>
      <c r="N3905" t="inlineStr"/>
    </row>
    <row r="3906">
      <c r="A3906" t="inlineStr">
        <is>
          <t>28F¹⁵</t>
        </is>
      </c>
      <c r="B3906" t="inlineStr"/>
      <c r="C3906" t="inlineStr">
        <is>
          <t>252</t>
        </is>
      </c>
      <c r="D3906" t="inlineStr">
        <is>
          <t>1</t>
        </is>
      </c>
      <c r="E3906" t="inlineStr">
        <is>
          <t>126</t>
        </is>
      </c>
      <c r="F3906" t="inlineStr">
        <is>
          <t>10</t>
        </is>
      </c>
      <c r="G3906" t="inlineStr">
        <is>
          <t>0</t>
        </is>
      </c>
      <c r="H3906" t="inlineStr">
        <is>
          <t>28⁹</t>
        </is>
      </c>
      <c r="I3906" t="n">
        <v>9</v>
      </c>
      <c r="J3906" t="inlineStr">
        <is>
          <t>3², 6⁸, 12⁶</t>
        </is>
      </c>
      <c r="K3906">
        <f>HYPERLINK("CSG4.html#group28B4", "28B⁴"), =HYPERLINK("CSG5.html#group28D5", "28D⁵"), =HYPERLINK("CSG6.html#group28I6", "28I⁶")</f>
        <v/>
      </c>
      <c r="L3906" t="inlineStr"/>
      <c r="M3906">
        <f>HYPERLINK("CSG2.html#group28C2", "28C²"), =HYPERLINK("CSG0.html#group7D0", "7D⁰"), =HYPERLINK("CSG1.html#group14B1", "14B¹"), =HYPERLINK("CSG0.html#group4A0", "4A⁰"), =HYPERLINK("CSG5.html#group28D5", "28D⁵"), =HYPERLINK("CSG0.html#group4C0", "4C⁰"), =HYPERLINK("CSG2.html#group14F2", "14F²"), =HYPERLINK("CSG0.html#group2B0", "2B⁰"), =HYPERLINK("CSG4.html#group28B4", "28B⁴"), =HYPERLINK("CSG0.html#group4F0", "4F⁰"), =HYPERLINK("CSG6.html#group28I6", "28I⁶"), =HYPERLINK("CSG1.html#group28A1", "28A¹"), =HYPERLINK("CSG0.html#group1A0", "1A⁰"), =HYPERLINK("CSG0.html#group7A0", "7A⁰")</f>
        <v/>
      </c>
      <c r="N3906" t="inlineStr"/>
    </row>
    <row r="3907">
      <c r="A3907" t="inlineStr">
        <is>
          <t>28G¹⁵</t>
        </is>
      </c>
      <c r="B3907" t="inlineStr"/>
      <c r="C3907" t="inlineStr">
        <is>
          <t>252</t>
        </is>
      </c>
      <c r="D3907" t="inlineStr">
        <is>
          <t>2</t>
        </is>
      </c>
      <c r="E3907" t="inlineStr">
        <is>
          <t>63</t>
        </is>
      </c>
      <c r="F3907" t="inlineStr">
        <is>
          <t>4</t>
        </is>
      </c>
      <c r="G3907" t="inlineStr">
        <is>
          <t>0</t>
        </is>
      </c>
      <c r="H3907" t="inlineStr">
        <is>
          <t>14⁶, 28⁶</t>
        </is>
      </c>
      <c r="I3907" t="n">
        <v>12</v>
      </c>
      <c r="J3907" t="inlineStr">
        <is>
          <t>6²¹</t>
        </is>
      </c>
      <c r="K3907">
        <f>HYPERLINK("CSG4.html#group14A4", "14A⁴"), =HYPERLINK("CSG7.html#group28C7", "28C⁷"), =HYPERLINK("CSG8.html#group28A8", "28A⁸")</f>
        <v/>
      </c>
      <c r="L3907" t="inlineStr"/>
      <c r="M3907">
        <f>HYPERLINK("CSG4.html#group14A4", "14A⁴"), =HYPERLINK("CSG2.html#group14A2", "14A²"), =HYPERLINK("CSG0.html#group7D0", "7D⁰"), =HYPERLINK("CSG1.html#group14B1", "14B¹"), =HYPERLINK("CSG8.html#group28A8", "28A⁸"), =HYPERLINK("CSG0.html#group7C0", "7C⁰"), =HYPERLINK("CSG3.html#group28B3", "28B³"), =HYPERLINK("CSG2.html#group14F2", "14F²"), =HYPERLINK("CSG0.html#group2B0", "2B⁰"), =HYPERLINK("CSG0.html#group7G0", "7G⁰"), =HYPERLINK("CSG7.html#group28C7", "28C⁷"), =HYPERLINK("CSG0.html#group1A0", "1A⁰"), =HYPERLINK("CSG0.html#group7A0", "7A⁰")</f>
        <v/>
      </c>
      <c r="N3907" t="inlineStr"/>
    </row>
    <row r="3908">
      <c r="A3908" t="inlineStr">
        <is>
          <t>28H¹⁵</t>
        </is>
      </c>
      <c r="B3908" t="inlineStr"/>
      <c r="C3908" t="inlineStr">
        <is>
          <t>252</t>
        </is>
      </c>
      <c r="D3908" t="inlineStr">
        <is>
          <t>2</t>
        </is>
      </c>
      <c r="E3908" t="inlineStr">
        <is>
          <t>126</t>
        </is>
      </c>
      <c r="F3908" t="inlineStr">
        <is>
          <t>10</t>
        </is>
      </c>
      <c r="G3908" t="inlineStr">
        <is>
          <t>0</t>
        </is>
      </c>
      <c r="H3908" t="inlineStr">
        <is>
          <t>28⁹</t>
        </is>
      </c>
      <c r="I3908" t="n">
        <v>9</v>
      </c>
      <c r="J3908" t="inlineStr">
        <is>
          <t>6¹⁴, 12¹⁴</t>
        </is>
      </c>
      <c r="K3908">
        <f>HYPERLINK("CSG5.html#group28C5", "28C⁵"), =HYPERLINK("CSG6.html#group28I6", "28I⁶")</f>
        <v/>
      </c>
      <c r="L3908" t="inlineStr"/>
      <c r="M3908">
        <f>HYPERLINK("CSG2.html#group28C2", "28C²"), =HYPERLINK("CSG0.html#group7D0", "7D⁰"), =HYPERLINK("CSG1.html#group14B1", "14B¹"), =HYPERLINK("CSG0.html#group4C0", "4C⁰"), =HYPERLINK("CSG2.html#group14F2", "14F²"), =HYPERLINK("CSG5.html#group28C5", "28C⁵"), =HYPERLINK("CSG0.html#group2B0", "2B⁰"), =HYPERLINK("CSG6.html#group28I6", "28I⁶"), =HYPERLINK("CSG0.html#group1A0", "1A⁰"), =HYPERLINK("CSG0.html#group7A0", "7A⁰")</f>
        <v/>
      </c>
      <c r="N3908" t="inlineStr"/>
    </row>
    <row r="3909">
      <c r="A3909" t="inlineStr">
        <is>
          <t>30A¹⁵</t>
        </is>
      </c>
      <c r="B3909" t="inlineStr"/>
      <c r="C3909" t="inlineStr">
        <is>
          <t>240</t>
        </is>
      </c>
      <c r="D3909" t="inlineStr">
        <is>
          <t>1</t>
        </is>
      </c>
      <c r="E3909" t="inlineStr">
        <is>
          <t>40</t>
        </is>
      </c>
      <c r="F3909" t="inlineStr">
        <is>
          <t>0</t>
        </is>
      </c>
      <c r="G3909" t="inlineStr">
        <is>
          <t>0</t>
        </is>
      </c>
      <c r="H3909" t="inlineStr">
        <is>
          <t>10⁶, 30⁶</t>
        </is>
      </c>
      <c r="I3909" t="n">
        <v>12</v>
      </c>
      <c r="J3909" t="inlineStr">
        <is>
          <t>2², 4⁵, 8²</t>
        </is>
      </c>
      <c r="K3909">
        <f>HYPERLINK("CSG0.html#group6I0", "6I⁰"), =HYPERLINK("CSG3.html#group10A3", "10A³"), =HYPERLINK("CSG5.html#group30J5", "30J⁵"), =HYPERLINK("CSG7.html#group30L7", "30L⁷")</f>
        <v/>
      </c>
      <c r="L3909" t="inlineStr"/>
      <c r="M3909">
        <f>HYPERLINK("CSG5.html#group30J5", "30J⁵"), =HYPERLINK("CSG0.html#group2A0", "2A⁰"), =HYPERLINK("CSG0.html#group3B0", "3B⁰"), =HYPERLINK("CSG0.html#group6I0", "6I⁰"), =HYPERLINK("CSG0.html#group6C0", "6C⁰"), =HYPERLINK("CSG0.html#group5C0", "5C⁰"), =HYPERLINK("CSG3.html#group10A3", "10A³"), =HYPERLINK("CSG0.html#group2B0", "2B⁰"), =HYPERLINK("CSG7.html#group30L7", "30L⁷"), =HYPERLINK("CSG0.html#group1A0", "1A⁰"), =HYPERLINK("CSG1.html#group10F1", "10F¹"), =HYPERLINK("CSG1.html#group10C1", "10C¹"), =HYPERLINK("CSG2.html#group15C2", "15C²"), =HYPERLINK("CSG0.html#group6F0", "6F⁰"), =HYPERLINK("CSG0.html#group2C0", "2C⁰")</f>
        <v/>
      </c>
      <c r="N3909" t="inlineStr"/>
    </row>
    <row r="3910">
      <c r="A3910" t="inlineStr">
        <is>
          <t>30B¹⁵</t>
        </is>
      </c>
      <c r="B3910" t="inlineStr"/>
      <c r="C3910" t="inlineStr">
        <is>
          <t>240</t>
        </is>
      </c>
      <c r="D3910" t="inlineStr">
        <is>
          <t>1</t>
        </is>
      </c>
      <c r="E3910" t="inlineStr">
        <is>
          <t>60</t>
        </is>
      </c>
      <c r="F3910" t="inlineStr">
        <is>
          <t>0</t>
        </is>
      </c>
      <c r="G3910" t="inlineStr">
        <is>
          <t>0</t>
        </is>
      </c>
      <c r="H3910" t="inlineStr">
        <is>
          <t>10⁶, 30⁶</t>
        </is>
      </c>
      <c r="I3910" t="n">
        <v>12</v>
      </c>
      <c r="J3910" t="inlineStr">
        <is>
          <t>1², 2³, 4⁷, 8³</t>
        </is>
      </c>
      <c r="K3910">
        <f>HYPERLINK("CSG2.html#group10C2", "10C²"), =HYPERLINK("CSG3.html#group30F3", "30F³"), =HYPERLINK("CSG5.html#group15B5", "15B⁵"), =HYPERLINK("CSG5.html#group30I5", "30I⁵"), =HYPERLINK("CSG8.html#group30D8", "30D⁸")</f>
        <v/>
      </c>
      <c r="L3910" t="inlineStr"/>
      <c r="M3910">
        <f>HYPERLINK("CSG0.html#group3B0", "3B⁰"), =HYPERLINK("CSG0.html#group5A0", "5A⁰"), =HYPERLINK("CSG8.html#group30D8", "30D⁸"), =HYPERLINK("CSG0.html#group10D0", "10D⁰"), =HYPERLINK("CSG0.html#group5B0", "5B⁰"), =HYPERLINK("CSG1.html#group10E1", "10E¹"), =HYPERLINK("CSG0.html#group1A0", "1A⁰"), =HYPERLINK("CSG5.html#group30I5", "30I⁵"), =HYPERLINK("CSG0.html#group10B0", "10B⁰"), =HYPERLINK("CSG1.html#group15C1", "15C¹"), =HYPERLINK("CSG3.html#group15A3", "15A³"), =HYPERLINK("CSG3.html#group30F3", "30F³"), =HYPERLINK("CSG2.html#group10C2", "10C²"), =HYPERLINK("CSG0.html#group5E0", "5E⁰"), =HYPERLINK("CSG1.html#group15B1", "15B¹"), =HYPERLINK("CSG2.html#group15C2", "15C²"), =HYPERLINK("CSG0.html#group5C0", "5C⁰"), =HYPERLINK("CSG5.html#group15B5", "15B⁵"), =HYPERLINK("CSG0.html#group5G0", "5G⁰")</f>
        <v/>
      </c>
      <c r="N3910" t="inlineStr"/>
    </row>
    <row r="3911">
      <c r="A3911" t="inlineStr">
        <is>
          <t>30C¹⁵</t>
        </is>
      </c>
      <c r="B3911" t="inlineStr"/>
      <c r="C3911" t="inlineStr">
        <is>
          <t>240</t>
        </is>
      </c>
      <c r="D3911" t="inlineStr">
        <is>
          <t>1</t>
        </is>
      </c>
      <c r="E3911" t="inlineStr">
        <is>
          <t>60</t>
        </is>
      </c>
      <c r="F3911" t="inlineStr">
        <is>
          <t>0</t>
        </is>
      </c>
      <c r="G3911" t="inlineStr">
        <is>
          <t>0</t>
        </is>
      </c>
      <c r="H3911" t="inlineStr">
        <is>
          <t>10⁶, 30⁶</t>
        </is>
      </c>
      <c r="I3911" t="n">
        <v>12</v>
      </c>
      <c r="J3911" t="inlineStr">
        <is>
          <t>1², 2³, 4⁷, 8³</t>
        </is>
      </c>
      <c r="K3911">
        <f>HYPERLINK("CSG3.html#group10B3", "10B³"), =HYPERLINK("CSG3.html#group30G3", "30G³"), =HYPERLINK("CSG5.html#group15B5", "15B⁵"), =HYPERLINK("CSG5.html#group30J5", "30J⁵"), =HYPERLINK("CSG8.html#group30A8", "30A⁸"), =HYPERLINK("CSG8.html#group30D8", "30D⁸")</f>
        <v/>
      </c>
      <c r="L3911" t="inlineStr"/>
      <c r="M3911">
        <f>HYPERLINK("CSG5.html#group30J5", "30J⁵"), =HYPERLINK("CSG0.html#group2A0", "2A⁰"), =HYPERLINK("CSG0.html#group3B0", "3B⁰"), =HYPERLINK("CSG0.html#group5A0", "5A⁰"), =HYPERLINK("CSG2.html#group10A2", "10A²"), =HYPERLINK("CSG8.html#group30D8", "30D⁸"), =HYPERLINK("CSG0.html#group6C0", "6C⁰"), =HYPERLINK("CSG2.html#group30D2", "30D²"), =HYPERLINK("CSG0.html#group5B0", "5B⁰"), =HYPERLINK("CSG1.html#group10A1", "10A¹"), =HYPERLINK("CSG3.html#group30G3", "30G³"), =HYPERLINK("CSG1.html#group10E1", "10E¹"), =HYPERLINK("CSG0.html#group1A0", "1A⁰"), =HYPERLINK("CSG1.html#group15C1", "15C¹"), =HYPERLINK("CSG3.html#group15A3", "15A³"), =HYPERLINK("CSG8.html#group30A8", "30A⁸"), =HYPERLINK("CSG0.html#group10A0", "10A⁰"), =HYPERLINK("CSG3.html#group10B3", "10B³"), =HYPERLINK("CSG0.html#group5E0", "5E⁰"), =HYPERLINK("CSG1.html#group15B1", "15B¹"), =HYPERLINK("CSG1.html#group10C1", "10C¹"), =HYPERLINK("CSG2.html#group15C2", "15C²"), =HYPERLINK("CSG0.html#group5C0", "5C⁰"), =HYPERLINK("CSG5.html#group15B5", "15B⁵"), =HYPERLINK("CSG0.html#group5G0", "5G⁰")</f>
        <v/>
      </c>
      <c r="N3911" t="inlineStr"/>
    </row>
    <row r="3912">
      <c r="A3912" t="inlineStr">
        <is>
          <t>30D¹⁵</t>
        </is>
      </c>
      <c r="B3912" t="inlineStr"/>
      <c r="C3912" t="inlineStr">
        <is>
          <t>240</t>
        </is>
      </c>
      <c r="D3912" t="inlineStr">
        <is>
          <t>1</t>
        </is>
      </c>
      <c r="E3912" t="inlineStr">
        <is>
          <t>60</t>
        </is>
      </c>
      <c r="F3912" t="inlineStr">
        <is>
          <t>8</t>
        </is>
      </c>
      <c r="G3912" t="inlineStr">
        <is>
          <t>0</t>
        </is>
      </c>
      <c r="H3912" t="inlineStr">
        <is>
          <t>30⁸</t>
        </is>
      </c>
      <c r="I3912" t="n">
        <v>8</v>
      </c>
      <c r="J3912" t="inlineStr">
        <is>
          <t>4³, 8⁶</t>
        </is>
      </c>
      <c r="K3912">
        <f>HYPERLINK("CSG5.html#group15A5", "15A⁵")</f>
        <v/>
      </c>
      <c r="L3912" t="inlineStr"/>
      <c r="M3912">
        <f>HYPERLINK("CSG1.html#group15D1", "15D¹"), =HYPERLINK("CSG2.html#group15D2", "15D²"), =HYPERLINK("CSG5.html#group15A5", "15A⁵"), =HYPERLINK("CSG0.html#group3C0", "3C⁰"), =HYPERLINK("CSG0.html#group1A0", "1A⁰"), =HYPERLINK("CSG3.html#group15C3", "15C³"), =HYPERLINK("CSG0.html#group3A0", "3A⁰"), =HYPERLINK("CSG0.html#group5C0", "5C⁰")</f>
        <v/>
      </c>
      <c r="N3912" t="inlineStr"/>
    </row>
    <row r="3913">
      <c r="A3913" t="inlineStr">
        <is>
          <t>30E¹⁵</t>
        </is>
      </c>
      <c r="B3913" t="inlineStr"/>
      <c r="C3913" t="inlineStr">
        <is>
          <t>240</t>
        </is>
      </c>
      <c r="D3913" t="inlineStr">
        <is>
          <t>1</t>
        </is>
      </c>
      <c r="E3913" t="inlineStr">
        <is>
          <t>120</t>
        </is>
      </c>
      <c r="F3913" t="inlineStr">
        <is>
          <t>0</t>
        </is>
      </c>
      <c r="G3913" t="inlineStr">
        <is>
          <t>0</t>
        </is>
      </c>
      <c r="H3913" t="inlineStr">
        <is>
          <t>10⁶, 30⁶</t>
        </is>
      </c>
      <c r="I3913" t="n">
        <v>12</v>
      </c>
      <c r="J3913" t="inlineStr">
        <is>
          <t>2⁶, 4¹⁵, 8⁶</t>
        </is>
      </c>
      <c r="K3913">
        <f>HYPERLINK("CSG2.html#group10E2", "10E²"), =HYPERLINK("CSG5.html#group30I5", "30I⁵"), =HYPERLINK("CSG7.html#group30L7", "30L⁷")</f>
        <v/>
      </c>
      <c r="L3913" t="inlineStr"/>
      <c r="M3913">
        <f>HYPERLINK("CSG0.html#group3B0", "3B⁰"), =HYPERLINK("CSG2.html#group10E2", "10E²"), =HYPERLINK("CSG0.html#group10D0", "10D⁰"), =HYPERLINK("CSG0.html#group5C0", "5C⁰"), =HYPERLINK("CSG0.html#group6F0", "6F⁰"), =HYPERLINK("CSG0.html#group1A0", "1A⁰"), =HYPERLINK("CSG0.html#group2B0", "2B⁰"), =HYPERLINK("CSG2.html#group15C2", "15C²"), =HYPERLINK("CSG7.html#group30L7", "30L⁷"), =HYPERLINK("CSG5.html#group30I5", "30I⁵"), =HYPERLINK("CSG1.html#group10F1", "10F¹")</f>
        <v/>
      </c>
      <c r="N3913" t="inlineStr"/>
    </row>
    <row r="3914">
      <c r="A3914" t="inlineStr">
        <is>
          <t>30F¹⁵</t>
        </is>
      </c>
      <c r="B3914" t="inlineStr"/>
      <c r="C3914" t="inlineStr">
        <is>
          <t>270</t>
        </is>
      </c>
      <c r="D3914" t="inlineStr">
        <is>
          <t>1</t>
        </is>
      </c>
      <c r="E3914" t="inlineStr">
        <is>
          <t>135</t>
        </is>
      </c>
      <c r="F3914" t="inlineStr">
        <is>
          <t>10</t>
        </is>
      </c>
      <c r="G3914" t="inlineStr">
        <is>
          <t>0</t>
        </is>
      </c>
      <c r="H3914" t="inlineStr">
        <is>
          <t>15⁶, 30⁶</t>
        </is>
      </c>
      <c r="I3914" t="n">
        <v>12</v>
      </c>
      <c r="J3914" t="inlineStr">
        <is>
          <t>1³, 2⁶, 4¹², 8⁹</t>
        </is>
      </c>
      <c r="K3914">
        <f>HYPERLINK("CSG3.html#group15H3", "15H³"), =HYPERLINK("CSG7.html#group30P7", "30P⁷")</f>
        <v/>
      </c>
      <c r="L3914" t="inlineStr"/>
      <c r="M3914">
        <f>HYPERLINK("CSG7.html#group30P7", "30P⁷"), =HYPERLINK("CSG3.html#group30D3", "30D³"), =HYPERLINK("CSG0.html#group5A0", "5A⁰"), =HYPERLINK("CSG1.html#group10I1", "10I¹"), =HYPERLINK("CSG3.html#group30E3", "30E³"), =HYPERLINK("CSG1.html#group15A1", "15A¹"), =HYPERLINK("CSG1.html#group10B1", "10B¹"), =HYPERLINK("CSG0.html#group6D0", "6D⁰"), =HYPERLINK("CSG1.html#group15F1", "15F¹"), =HYPERLINK("CSG0.html#group5E0", "5E⁰"), =HYPERLINK("CSG0.html#group2B0", "2B⁰"), =HYPERLINK("CSG0.html#group3A0", "3A⁰"), =HYPERLINK("CSG0.html#group1A0", "1A⁰"), =HYPERLINK("CSG3.html#group15H3", "15H³"), =HYPERLINK("CSG0.html#group15A0", "15A⁰")</f>
        <v/>
      </c>
      <c r="N3914" t="inlineStr"/>
    </row>
    <row r="3915">
      <c r="A3915" t="inlineStr">
        <is>
          <t>34A¹⁵</t>
        </is>
      </c>
      <c r="B3915" t="inlineStr"/>
      <c r="C3915" t="inlineStr">
        <is>
          <t>272</t>
        </is>
      </c>
      <c r="D3915" t="inlineStr">
        <is>
          <t>1</t>
        </is>
      </c>
      <c r="E3915" t="inlineStr">
        <is>
          <t>136</t>
        </is>
      </c>
      <c r="F3915" t="inlineStr">
        <is>
          <t>16</t>
        </is>
      </c>
      <c r="G3915" t="inlineStr">
        <is>
          <t>2</t>
        </is>
      </c>
      <c r="H3915" t="inlineStr">
        <is>
          <t>34⁸</t>
        </is>
      </c>
      <c r="I3915" t="n">
        <v>8</v>
      </c>
      <c r="J3915" t="inlineStr">
        <is>
          <t>8¹, 16⁸</t>
        </is>
      </c>
      <c r="K3915">
        <f>HYPERLINK("CSG6.html#group17A6", "17A⁶")</f>
        <v/>
      </c>
      <c r="L3915" t="inlineStr"/>
      <c r="M3915">
        <f>HYPERLINK("CSG0.html#group1A0", "1A⁰"), =HYPERLINK("CSG6.html#group17A6", "17A⁶")</f>
        <v/>
      </c>
      <c r="N3915" t="inlineStr"/>
    </row>
    <row r="3916">
      <c r="A3916" t="inlineStr">
        <is>
          <t>35A¹⁵</t>
        </is>
      </c>
      <c r="B3916" t="inlineStr"/>
      <c r="C3916" t="inlineStr">
        <is>
          <t>210</t>
        </is>
      </c>
      <c r="D3916" t="inlineStr">
        <is>
          <t>1</t>
        </is>
      </c>
      <c r="E3916" t="inlineStr">
        <is>
          <t>105</t>
        </is>
      </c>
      <c r="F3916" t="inlineStr">
        <is>
          <t>2</t>
        </is>
      </c>
      <c r="G3916" t="inlineStr">
        <is>
          <t>0</t>
        </is>
      </c>
      <c r="H3916" t="inlineStr">
        <is>
          <t>35⁶</t>
        </is>
      </c>
      <c r="I3916" t="n">
        <v>6</v>
      </c>
      <c r="J3916" t="inlineStr">
        <is>
          <t>3¹, 6³, 12¹, 24³</t>
        </is>
      </c>
      <c r="K3916">
        <f>HYPERLINK("CSG1.html#group7A1", "7A¹"), =HYPERLINK("CSG7.html#group35A7", "35A⁷")</f>
        <v/>
      </c>
      <c r="L3916" t="inlineStr"/>
      <c r="M3916">
        <f>HYPERLINK("CSG7.html#group35A7", "35A⁷"), =HYPERLINK("CSG0.html#group5A0", "5A⁰"), =HYPERLINK("CSG0.html#group7D0", "7D⁰"), =HYPERLINK("CSG0.html#group1A0", "1A⁰"), =HYPERLINK("CSG2.html#group35A2", "35A²"), =HYPERLINK("CSG0.html#group7A0", "7A⁰"), =HYPERLINK("CSG1.html#group7A1", "7A¹")</f>
        <v/>
      </c>
      <c r="N3916" t="inlineStr"/>
    </row>
    <row r="3917">
      <c r="A3917" t="inlineStr">
        <is>
          <t>35B¹⁵</t>
        </is>
      </c>
      <c r="B3917" t="inlineStr"/>
      <c r="C3917" t="inlineStr">
        <is>
          <t>240</t>
        </is>
      </c>
      <c r="D3917" t="inlineStr">
        <is>
          <t>1</t>
        </is>
      </c>
      <c r="E3917" t="inlineStr">
        <is>
          <t>80</t>
        </is>
      </c>
      <c r="F3917" t="inlineStr">
        <is>
          <t>0</t>
        </is>
      </c>
      <c r="G3917" t="inlineStr">
        <is>
          <t>0</t>
        </is>
      </c>
      <c r="H3917" t="inlineStr">
        <is>
          <t>5⁶, 35⁶</t>
        </is>
      </c>
      <c r="I3917" t="n">
        <v>12</v>
      </c>
      <c r="J3917" t="inlineStr">
        <is>
          <t>2², 4⁴, 12¹, 24²</t>
        </is>
      </c>
      <c r="K3917">
        <f>HYPERLINK("CSG0.html#group7E0", "7E⁰"), =HYPERLINK("CSG5.html#group35A5", "35A⁵")</f>
        <v/>
      </c>
      <c r="L3917" t="inlineStr"/>
      <c r="M3917">
        <f>HYPERLINK("CSG5.html#group35A5", "35A⁵"), =HYPERLINK("CSG0.html#group7E0", "7E⁰"), =HYPERLINK("CSG0.html#group1A0", "1A⁰"), =HYPERLINK("CSG0.html#group5C0", "5C⁰"), =HYPERLINK("CSG0.html#group7B0", "7B⁰")</f>
        <v/>
      </c>
      <c r="N3917" t="inlineStr"/>
    </row>
    <row r="3918">
      <c r="A3918" t="inlineStr">
        <is>
          <t>35C¹⁵</t>
        </is>
      </c>
      <c r="B3918" t="inlineStr"/>
      <c r="C3918" t="inlineStr">
        <is>
          <t>240</t>
        </is>
      </c>
      <c r="D3918" t="inlineStr">
        <is>
          <t>1</t>
        </is>
      </c>
      <c r="E3918" t="inlineStr">
        <is>
          <t>120</t>
        </is>
      </c>
      <c r="F3918" t="inlineStr">
        <is>
          <t>0</t>
        </is>
      </c>
      <c r="G3918" t="inlineStr">
        <is>
          <t>0</t>
        </is>
      </c>
      <c r="H3918" t="inlineStr">
        <is>
          <t>5⁶, 35⁶</t>
        </is>
      </c>
      <c r="I3918" t="n">
        <v>12</v>
      </c>
      <c r="J3918" t="inlineStr">
        <is>
          <t>1², 2², 4⁶, 6¹, 12¹, 24³</t>
        </is>
      </c>
      <c r="K3918">
        <f>HYPERLINK("CSG0.html#group5G0", "5G⁰"), =HYPERLINK("CSG3.html#group35A3", "35A³"), =HYPERLINK("CSG5.html#group35A5", "35A⁵"), =HYPERLINK("CSG8.html#group35A8", "35A⁸")</f>
        <v/>
      </c>
      <c r="L3918" t="inlineStr"/>
      <c r="M3918">
        <f>HYPERLINK("CSG5.html#group35A5", "35A⁵"), =HYPERLINK("CSG0.html#group5A0", "5A⁰"), =HYPERLINK("CSG0.html#group7B0", "7B⁰"), =HYPERLINK("CSG0.html#group5C0", "5C⁰"), =HYPERLINK("CSG0.html#group5B0", "5B⁰"), =HYPERLINK("CSG0.html#group5E0", "5E⁰"), =HYPERLINK("CSG2.html#group35B2", "35B²"), =HYPERLINK("CSG8.html#group35A8", "35A⁸"), =HYPERLINK("CSG0.html#group1A0", "1A⁰"), =HYPERLINK("CSG3.html#group35A3", "35A³"), =HYPERLINK("CSG0.html#group5G0", "5G⁰")</f>
        <v/>
      </c>
      <c r="N3918" t="inlineStr"/>
    </row>
    <row r="3919">
      <c r="A3919" t="inlineStr">
        <is>
          <t>35D¹⁵</t>
        </is>
      </c>
      <c r="B3919" t="inlineStr"/>
      <c r="C3919" t="inlineStr">
        <is>
          <t>252</t>
        </is>
      </c>
      <c r="D3919" t="inlineStr">
        <is>
          <t>1</t>
        </is>
      </c>
      <c r="E3919" t="inlineStr">
        <is>
          <t>126</t>
        </is>
      </c>
      <c r="F3919" t="inlineStr">
        <is>
          <t>4</t>
        </is>
      </c>
      <c r="G3919" t="inlineStr">
        <is>
          <t>0</t>
        </is>
      </c>
      <c r="H3919" t="inlineStr">
        <is>
          <t>7⁶, 35⁶</t>
        </is>
      </c>
      <c r="I3919" t="n">
        <v>12</v>
      </c>
      <c r="J3919" t="inlineStr">
        <is>
          <t>3², 6⁶, 12¹, 24³</t>
        </is>
      </c>
      <c r="K3919">
        <f>HYPERLINK("CSG1.html#group7A1", "7A¹"), =HYPERLINK("CSG6.html#group35E6", "35E⁶")</f>
        <v/>
      </c>
      <c r="L3919" t="inlineStr"/>
      <c r="M3919">
        <f>HYPERLINK("CSG2.html#group35C2", "35C²"), =HYPERLINK("CSG0.html#group5B0", "5B⁰"), =HYPERLINK("CSG0.html#group7D0", "7D⁰"), =HYPERLINK("CSG0.html#group1A0", "1A⁰"), =HYPERLINK("CSG6.html#group35E6", "35E⁶"), =HYPERLINK("CSG0.html#group7A0", "7A⁰"), =HYPERLINK("CSG1.html#group7A1", "7A¹")</f>
        <v/>
      </c>
      <c r="N3919" t="inlineStr"/>
    </row>
    <row r="3920">
      <c r="A3920" t="inlineStr">
        <is>
          <t>36A¹⁵</t>
        </is>
      </c>
      <c r="B3920" t="inlineStr"/>
      <c r="C3920" t="inlineStr">
        <is>
          <t>216</t>
        </is>
      </c>
      <c r="D3920" t="inlineStr">
        <is>
          <t>1</t>
        </is>
      </c>
      <c r="E3920" t="inlineStr">
        <is>
          <t>9</t>
        </is>
      </c>
      <c r="F3920" t="inlineStr">
        <is>
          <t>0</t>
        </is>
      </c>
      <c r="G3920" t="inlineStr">
        <is>
          <t>0</t>
        </is>
      </c>
      <c r="H3920" t="inlineStr">
        <is>
          <t>18⁴, 36⁴</t>
        </is>
      </c>
      <c r="I3920" t="n">
        <v>8</v>
      </c>
      <c r="J3920" t="inlineStr">
        <is>
          <t>1³, 2³</t>
        </is>
      </c>
      <c r="K3920">
        <f>HYPERLINK("CSG3.html#group12D3", "12D³"), =HYPERLINK("CSG5.html#group36H5", "36H⁵"), =HYPERLINK("CSG6.html#group18A6", "18A⁶"), =HYPERLINK("CSG7.html#group36E7", "36E⁷"), =HYPERLINK("CSG8.html#group36A8", "36A⁸"), =HYPERLINK("CSG8.html#group36E8", "36E⁸")</f>
        <v/>
      </c>
      <c r="L3920" t="inlineStr"/>
      <c r="M3920">
        <f>HYPERLINK("CSG8.html#group36E8", "36E⁸"), =HYPERLINK("CSG0.html#group3B0", "3B⁰"), =HYPERLINK("CSG0.html#group12C0", "12C⁰"), =HYPERLINK("CSG3.html#group36E3", "36E³"), =HYPERLINK("CSG1.html#group12F1", "12F¹"), =HYPERLINK("CSG0.html#group4C0", "4C⁰"), =HYPERLINK("CSG2.html#group36B2", "36B²"), =HYPERLINK("CSG0.html#group6G0", "6G⁰"), =HYPERLINK("CSG4.html#group36E4", "36E⁴"), =HYPERLINK("CSG0.html#group2B0", "2B⁰"), =HYPERLINK("CSG5.html#group36H5", "36H⁵"), =HYPERLINK("CSG0.html#group1A0", "1A⁰"), =HYPERLINK("CSG1.html#group9B1", "9B¹"), =HYPERLINK("CSG1.html#group12L1", "12L¹"), =HYPERLINK("CSG3.html#group18E3", "18E³"), =HYPERLINK("CSG0.html#group3D0", "3D⁰"), =HYPERLINK("CSG8.html#group36A8", "36A⁸"), =HYPERLINK("CSG0.html#group9D0", "9D⁰"), =HYPERLINK("CSG3.html#group12D3", "12D³"), =HYPERLINK("CSG1.html#group12C1", "12C¹"), =HYPERLINK("CSG6.html#group18A6", "18A⁶"), =HYPERLINK("CSG2.html#group9A2", "9A²"), =HYPERLINK("CSG0.html#group9A0", "9A⁰"), =HYPERLINK("CSG7.html#group36E7", "36E⁷"), =HYPERLINK("CSG0.html#group6F0", "6F⁰"), =HYPERLINK("CSG0.html#group3C0", "3C⁰"), =HYPERLINK("CSG0.html#group6K0", "6K⁰"), =HYPERLINK("CSG1.html#group18E1", "18E¹"), =HYPERLINK("CSG0.html#group3A0", "3A⁰"), =HYPERLINK("CSG2.html#group12C2", "12C²"), =HYPERLINK("CSG2.html#group18I2", "18I²"), =HYPERLINK("CSG0.html#group6D0", "6D⁰")</f>
        <v/>
      </c>
      <c r="N3920" t="inlineStr"/>
    </row>
    <row r="3921">
      <c r="A3921" t="inlineStr">
        <is>
          <t>36B¹⁵</t>
        </is>
      </c>
      <c r="B3921" t="inlineStr"/>
      <c r="C3921" t="inlineStr">
        <is>
          <t>216</t>
        </is>
      </c>
      <c r="D3921" t="inlineStr">
        <is>
          <t>1</t>
        </is>
      </c>
      <c r="E3921" t="inlineStr">
        <is>
          <t>9</t>
        </is>
      </c>
      <c r="F3921" t="inlineStr">
        <is>
          <t>0</t>
        </is>
      </c>
      <c r="G3921" t="inlineStr">
        <is>
          <t>0</t>
        </is>
      </c>
      <c r="H3921" t="inlineStr">
        <is>
          <t>18⁴, 36⁴</t>
        </is>
      </c>
      <c r="I3921" t="n">
        <v>8</v>
      </c>
      <c r="J3921" t="inlineStr">
        <is>
          <t>1³, 2³</t>
        </is>
      </c>
      <c r="K3921">
        <f>HYPERLINK("CSG3.html#group12E3", "12E³"), =HYPERLINK("CSG4.html#group18L4", "18L⁴"), =HYPERLINK("CSG7.html#group36C7", "36C⁷"), =HYPERLINK("CSG7.html#group36F7", "36F⁷"), =HYPERLINK("CSG8.html#group36A8", "36A⁸"), =HYPERLINK("CSG8.html#group36F8", "36F⁸")</f>
        <v/>
      </c>
      <c r="L3921" t="inlineStr"/>
      <c r="M3921">
        <f>HYPERLINK("CSG1.html#group12K1", "12K¹"), =HYPERLINK("CSG2.html#group12D2", "12D²"), =HYPERLINK("CSG0.html#group6G0", "6G⁰"), =HYPERLINK("CSG4.html#group36E4", "36E⁴"), =HYPERLINK("CSG0.html#group2B0", "2B⁰"), =HYPERLINK("CSG1.html#group12N1", "12N¹"), =HYPERLINK("CSG0.html#group4B0", "4B⁰"), =HYPERLINK("CSG0.html#group1A0", "1A⁰"), =HYPERLINK("CSG0.html#group18A0", "18A⁰"), =HYPERLINK("CSG2.html#group18L2", "18L²"), =HYPERLINK("CSG0.html#group3C0", "3C⁰"), =HYPERLINK("CSG1.html#group12B1", "12B¹"), =HYPERLINK("CSG1.html#group18E1", "18E¹"), =HYPERLINK("CSG0.html#group3A0", "3A⁰"), =HYPERLINK("CSG0.html#group6H0", "6H⁰"), =HYPERLINK("CSG3.html#group36D3", "36D³"), =HYPERLINK("CSG0.html#group6B0", "6B⁰"), =HYPERLINK("CSG4.html#group18L4", "18L⁴"), =HYPERLINK("CSG7.html#group36F7", "36F⁷"), =HYPERLINK("CSG8.html#group36A8", "36A⁸"), =HYPERLINK("CSG7.html#group36C7", "36C⁷"), =HYPERLINK("CSG0.html#group9D0", "9D⁰"), =HYPERLINK("CSG1.html#group12C1", "12C¹"), =HYPERLINK("CSG0.html#group18D0", "18D⁰"), =HYPERLINK("CSG0.html#group6E0", "6E⁰"), =HYPERLINK("CSG0.html#group6L0", "6L⁰"), =HYPERLINK("CSG0.html#group9A0", "9A⁰"), =HYPERLINK("CSG4.html#group36D4", "36D⁴"), =HYPERLINK("CSG3.html#group12E3", "12E³"), =HYPERLINK("CSG8.html#group36F8", "36F⁸"), =HYPERLINK("CSG0.html#group12D0", "12D⁰"), =HYPERLINK("CSG2.html#group12C2", "12C²"), =HYPERLINK("CSG2.html#group18I2", "18I²"), =HYPERLINK("CSG0.html#group6D0", "6D⁰")</f>
        <v/>
      </c>
      <c r="N3921" t="inlineStr"/>
    </row>
    <row r="3922">
      <c r="A3922" t="inlineStr">
        <is>
          <t>36C¹⁵</t>
        </is>
      </c>
      <c r="B3922" t="inlineStr"/>
      <c r="C3922" t="inlineStr">
        <is>
          <t>216</t>
        </is>
      </c>
      <c r="D3922" t="inlineStr">
        <is>
          <t>1</t>
        </is>
      </c>
      <c r="E3922" t="inlineStr">
        <is>
          <t>9</t>
        </is>
      </c>
      <c r="F3922" t="inlineStr">
        <is>
          <t>0</t>
        </is>
      </c>
      <c r="G3922" t="inlineStr">
        <is>
          <t>0</t>
        </is>
      </c>
      <c r="H3922" t="inlineStr">
        <is>
          <t>18⁴, 36⁴</t>
        </is>
      </c>
      <c r="I3922" t="n">
        <v>8</v>
      </c>
      <c r="J3922" t="inlineStr">
        <is>
          <t>1³, 2³</t>
        </is>
      </c>
      <c r="K3922">
        <f>HYPERLINK("CSG3.html#group12F3", "12F³"), =HYPERLINK("CSG4.html#group36P4", "36P⁴"), =HYPERLINK("CSG7.html#group18A7", "18A⁷"), =HYPERLINK("CSG7.html#group36G7", "36G⁷"), =HYPERLINK("CSG8.html#group36A8", "36A⁸"), =HYPERLINK("CSG8.html#group36G8", "36G⁸")</f>
        <v/>
      </c>
      <c r="L3922" t="inlineStr"/>
      <c r="M3922">
        <f>HYPERLINK("CSG0.html#group2A0", "2A⁰"), =HYPERLINK("CSG7.html#group18A7", "18A⁷"), =HYPERLINK("CSG3.html#group12F3", "12F³"), =HYPERLINK("CSG1.html#group6C1", "6C¹"), =HYPERLINK("CSG3.html#group18A3", "18A³"), =HYPERLINK("CSG0.html#group6G0", "6G⁰"), =HYPERLINK("CSG4.html#group36E4", "36E⁴"), =HYPERLINK("CSG1.html#group18B1", "18B¹"), =HYPERLINK("CSG0.html#group2B0", "2B⁰"), =HYPERLINK("CSG2.html#group12E2", "12E²"), =HYPERLINK("CSG1.html#group12N1", "12N¹"), =HYPERLINK("CSG8.html#group36G8", "36G⁸"), =HYPERLINK("CSG0.html#group1A0", "1A⁰"), =HYPERLINK("CSG3.html#group18D3", "18D³"), =HYPERLINK("CSG1.html#group6B1", "6B¹"), =HYPERLINK("CSG4.html#group18A4", "18A⁴"), =HYPERLINK("CSG3.html#group18B3", "18B³"), =HYPERLINK("CSG0.html#group3C0", "3C⁰"), =HYPERLINK("CSG1.html#group6A1", "6A¹"), =HYPERLINK("CSG1.html#group18E1", "18E¹"), =HYPERLINK("CSG0.html#group3A0", "3A⁰"), =HYPERLINK("CSG0.html#group6H0", "6H⁰"), =HYPERLINK("CSG7.html#group36G7", "36G⁷"), =HYPERLINK("CSG1.html#group18A1", "18A¹"), =HYPERLINK("CSG1.html#group6E1", "6E¹"), =HYPERLINK("CSG0.html#group6B0", "6B⁰"), =HYPERLINK("CSG4.html#group36P4", "36P⁴"), =HYPERLINK("CSG2.html#group18A2", "18A²"), =HYPERLINK("CSG8.html#group36A8", "36A⁸"), =HYPERLINK("CSG0.html#group12G0", "12G⁰"), =HYPERLINK("CSG0.html#group9D0", "9D⁰"), =HYPERLINK("CSG1.html#group12C1", "12C¹"), =HYPERLINK("CSG0.html#group6A0", "6A⁰"), =HYPERLINK("CSG0.html#group9A0", "9A⁰"), =HYPERLINK("CSG0.html#group12D0", "12D⁰"), =HYPERLINK("CSG2.html#group12C2", "12C²"), =HYPERLINK("CSG0.html#group2C0", "2C⁰"), =HYPERLINK("CSG2.html#group18I2", "18I²"), =HYPERLINK("CSG0.html#group6D0", "6D⁰"), =HYPERLINK("CSG2.html#group36C2", "36C²")</f>
        <v/>
      </c>
      <c r="N3922" t="inlineStr"/>
    </row>
    <row r="3923">
      <c r="A3923" t="inlineStr">
        <is>
          <t>36D¹⁵</t>
        </is>
      </c>
      <c r="B3923" t="inlineStr"/>
      <c r="C3923" t="inlineStr">
        <is>
          <t>216</t>
        </is>
      </c>
      <c r="D3923" t="inlineStr">
        <is>
          <t>1</t>
        </is>
      </c>
      <c r="E3923" t="inlineStr">
        <is>
          <t>9</t>
        </is>
      </c>
      <c r="F3923" t="inlineStr">
        <is>
          <t>0</t>
        </is>
      </c>
      <c r="G3923" t="inlineStr">
        <is>
          <t>0</t>
        </is>
      </c>
      <c r="H3923" t="inlineStr">
        <is>
          <t>18⁴, 36⁴</t>
        </is>
      </c>
      <c r="I3923" t="n">
        <v>8</v>
      </c>
      <c r="J3923" t="inlineStr">
        <is>
          <t>1³, 2³</t>
        </is>
      </c>
      <c r="K3923">
        <f>HYPERLINK("CSG3.html#group12G3", "12G³"), =HYPERLINK("CSG5.html#group36H5", "36H⁵"), =HYPERLINK("CSG6.html#group36C6", "36C⁶"), =HYPERLINK("CSG7.html#group18A7", "18A⁷"), =HYPERLINK("CSG7.html#group36C7", "36C⁷"), =HYPERLINK("CSG8.html#group36B8", "36B⁸"), =HYPERLINK("CSG8.html#group36C8", "36C⁸"), =HYPERLINK("CSG8.html#group36D8", "36D⁸")</f>
        <v/>
      </c>
      <c r="L3923" t="inlineStr"/>
      <c r="M3923">
        <f>HYPERLINK("CSG0.html#group2A0", "2A⁰"), =HYPERLINK("CSG7.html#group18A7", "18A⁷"), =HYPERLINK("CSG1.html#group12K1", "12K¹"), =HYPERLINK("CSG8.html#group36C8", "36C⁸"), =HYPERLINK("CSG3.html#group36E3", "36E³"), =HYPERLINK("CSG0.html#group12C0", "12C⁰"), =HYPERLINK("CSG2.html#group12D2", "12D²"), =HYPERLINK("CSG1.html#group6C1", "6C¹"), =HYPERLINK("CSG2.html#group36B2", "36B²"), =HYPERLINK("CSG3.html#group18A3", "18A³"), =HYPERLINK("CSG0.html#group6G0", "6G⁰"), =HYPERLINK("CSG1.html#group18B1", "18B¹"), =HYPERLINK("CSG0.html#group4C0", "4C⁰"), =HYPERLINK("CSG0.html#group2B0", "2B⁰"), =HYPERLINK("CSG2.html#group12B2", "12B²"), =HYPERLINK("CSG0.html#group4E0", "4E⁰"), =HYPERLINK("CSG2.html#group12E2", "12E²"), =HYPERLINK("CSG0.html#group4B0", "4B⁰"), =HYPERLINK("CSG3.html#group12G3", "12G³"), =HYPERLINK("CSG0.html#group1A0", "1A⁰"), =HYPERLINK("CSG3.html#group18D3", "18D³"), =HYPERLINK("CSG1.html#group6B1", "6B¹"), =HYPERLINK("CSG4.html#group18A4", "18A⁴"), =HYPERLINK("CSG3.html#group18B3", "18B³"), =HYPERLINK("CSG0.html#group3C0", "3C⁰"), =HYPERLINK("CSG1.html#group12B1", "12B¹"), =HYPERLINK("CSG1.html#group6A1", "6A¹"), =HYPERLINK("CSG1.html#group18E1", "18E¹"), =HYPERLINK("CSG0.html#group3A0", "3A⁰"), =HYPERLINK("CSG0.html#group6H0", "6H⁰"), =HYPERLINK("CSG1.html#group18A1", "18A¹"), =HYPERLINK("CSG3.html#group36D3", "36D³"), =HYPERLINK("CSG1.html#group6E1", "6E¹"), =HYPERLINK("CSG0.html#group6B0", "6B⁰"), =HYPERLINK("CSG8.html#group36B8", "36B⁸"), =HYPERLINK("CSG5.html#group36H5", "36H⁵"), =HYPERLINK("CSG2.html#group18A2", "18A²"), =HYPERLINK("CSG1.html#group12L1", "12L¹"), =HYPERLINK("CSG8.html#group36D8", "36D⁸"), =HYPERLINK("CSG7.html#group36C7", "36C⁷"), =HYPERLINK("CSG0.html#group9D0", "9D⁰"), =HYPERLINK("CSG0.html#group6A0", "6A⁰"), =HYPERLINK("CSG1.html#group12C1", "12C¹"), =HYPERLINK("CSG6.html#group36C6", "36C⁶"), =HYPERLINK("CSG0.html#group9A0", "9A⁰"), =HYPERLINK("CSG4.html#group36D4", "36D⁴"), =HYPERLINK("CSG0.html#group12D0", "12D⁰"), =HYPERLINK("CSG0.html#group12H0", "12H⁰"), =HYPERLINK("CSG0.html#group2C0", "2C⁰"), =HYPERLINK("CSG2.html#group18I2", "18I²"), =HYPERLINK("CSG0.html#group6D0", "6D⁰")</f>
        <v/>
      </c>
      <c r="N3923" t="inlineStr"/>
    </row>
    <row r="3924">
      <c r="A3924" t="inlineStr">
        <is>
          <t>36E¹⁵</t>
        </is>
      </c>
      <c r="B3924" t="inlineStr"/>
      <c r="C3924" t="inlineStr">
        <is>
          <t>216</t>
        </is>
      </c>
      <c r="D3924" t="inlineStr">
        <is>
          <t>1</t>
        </is>
      </c>
      <c r="E3924" t="inlineStr">
        <is>
          <t>54</t>
        </is>
      </c>
      <c r="F3924" t="inlineStr">
        <is>
          <t>4</t>
        </is>
      </c>
      <c r="G3924" t="inlineStr">
        <is>
          <t>0</t>
        </is>
      </c>
      <c r="H3924" t="inlineStr">
        <is>
          <t>36⁶</t>
        </is>
      </c>
      <c r="I3924" t="n">
        <v>6</v>
      </c>
      <c r="J3924" t="inlineStr">
        <is>
          <t>6¹, 12⁴</t>
        </is>
      </c>
      <c r="K3924">
        <f>HYPERLINK("CSG4.html#group36H4", "36H⁴"), =HYPERLINK("CSG4.html#group36I4", "36I⁴"), =HYPERLINK("CSG5.html#group36C5", "36C⁵"), =HYPERLINK("CSG6.html#group18B6", "18B⁶")</f>
        <v/>
      </c>
      <c r="L3924" t="inlineStr"/>
      <c r="M3924">
        <f>HYPERLINK("CSG1.html#group12D1", "12D¹"), =HYPERLINK("CSG0.html#group6B0", "6B⁰"), =HYPERLINK("CSG4.html#group36I4", "36I⁴"), =HYPERLINK("CSG6.html#group18B6", "18B⁶"), =HYPERLINK("CSG0.html#group9G0", "9G⁰"), =HYPERLINK("CSG2.html#group18K2", "18K²"), =HYPERLINK("CSG2.html#group9B2", "9B²"), =HYPERLINK("CSG4.html#group36H4", "36H⁴"), =HYPERLINK("CSG0.html#group9E0", "9E⁰"), =HYPERLINK("CSG0.html#group1A0", "1A⁰"), =HYPERLINK("CSG0.html#group18A0", "18A⁰"), =HYPERLINK("CSG1.html#group9B1", "9B¹"), =HYPERLINK("CSG5.html#group36C5", "36C⁵"), =HYPERLINK("CSG0.html#group6E0", "6E⁰"), =HYPERLINK("CSG0.html#group9A0", "9A⁰"), =HYPERLINK("CSG0.html#group3C0", "3C⁰"), =HYPERLINK("CSG1.html#group18F1", "18F¹"), =HYPERLINK("CSG2.html#group18G2", "18G²"), =HYPERLINK("CSG0.html#group3A0", "3A⁰"), =HYPERLINK("CSG1.html#group18A1", "18A¹")</f>
        <v/>
      </c>
      <c r="N3924" t="inlineStr"/>
    </row>
    <row r="3925">
      <c r="A3925" t="inlineStr">
        <is>
          <t>36F¹⁵</t>
        </is>
      </c>
      <c r="B3925" t="inlineStr"/>
      <c r="C3925" t="inlineStr">
        <is>
          <t>216</t>
        </is>
      </c>
      <c r="D3925" t="inlineStr">
        <is>
          <t>1</t>
        </is>
      </c>
      <c r="E3925" t="inlineStr">
        <is>
          <t>108</t>
        </is>
      </c>
      <c r="F3925" t="inlineStr">
        <is>
          <t>4</t>
        </is>
      </c>
      <c r="G3925" t="inlineStr">
        <is>
          <t>0</t>
        </is>
      </c>
      <c r="H3925" t="inlineStr">
        <is>
          <t>36⁶</t>
        </is>
      </c>
      <c r="I3925" t="n">
        <v>6</v>
      </c>
      <c r="J3925" t="inlineStr">
        <is>
          <t>6², 12⁸</t>
        </is>
      </c>
      <c r="K3925">
        <f>HYPERLINK("CSG2.html#group9B2", "9B²"), =HYPERLINK("CSG4.html#group36M4", "36M⁴"), =HYPERLINK("CSG5.html#group36E5", "36E⁵"), =HYPERLINK("CSG5.html#group36J5", "36J⁵")</f>
        <v/>
      </c>
      <c r="L3925" t="inlineStr"/>
      <c r="M3925">
        <f>HYPERLINK("CSG1.html#group12G1", "12G¹"), =HYPERLINK("CSG5.html#group36J5", "36J⁵"), =HYPERLINK("CSG0.html#group9G0", "9G⁰"), =HYPERLINK("CSG2.html#group9B2", "9B²"), =HYPERLINK("CSG0.html#group9E0", "9E⁰"), =HYPERLINK("CSG0.html#group1A0", "1A⁰"), =HYPERLINK("CSG1.html#group9B1", "9B¹"), =HYPERLINK("CSG1.html#group36A1", "36A¹"), =HYPERLINK("CSG0.html#group12A0", "12A⁰"), =HYPERLINK("CSG0.html#group4A0", "4A⁰"), =HYPERLINK("CSG5.html#group36E5", "36E⁵"), =HYPERLINK("CSG0.html#group9A0", "9A⁰"), =HYPERLINK("CSG4.html#group36M4", "36M⁴"), =HYPERLINK("CSG0.html#group3C0", "3C⁰"), =HYPERLINK("CSG0.html#group3A0", "3A⁰")</f>
        <v/>
      </c>
      <c r="N3925" t="inlineStr"/>
    </row>
    <row r="3926">
      <c r="A3926" t="inlineStr">
        <is>
          <t>36G¹⁵</t>
        </is>
      </c>
      <c r="B3926" t="inlineStr"/>
      <c r="C3926" t="inlineStr">
        <is>
          <t>216</t>
        </is>
      </c>
      <c r="D3926" t="inlineStr">
        <is>
          <t>1</t>
        </is>
      </c>
      <c r="E3926" t="inlineStr">
        <is>
          <t>108</t>
        </is>
      </c>
      <c r="F3926" t="inlineStr">
        <is>
          <t>4</t>
        </is>
      </c>
      <c r="G3926" t="inlineStr">
        <is>
          <t>0</t>
        </is>
      </c>
      <c r="H3926" t="inlineStr">
        <is>
          <t>36⁶</t>
        </is>
      </c>
      <c r="I3926" t="n">
        <v>6</v>
      </c>
      <c r="J3926" t="inlineStr">
        <is>
          <t>6², 12¹⁷</t>
        </is>
      </c>
      <c r="K3926">
        <f>HYPERLINK("CSG4.html#group36H4", "36H⁴"), =HYPERLINK("CSG4.html#group36K4", "36K⁴"), =HYPERLINK("CSG5.html#group36D5", "36D⁵"), =HYPERLINK("CSG6.html#group18C6", "18C⁶")</f>
        <v/>
      </c>
      <c r="L3926" t="inlineStr"/>
      <c r="M3926">
        <f>HYPERLINK("CSG6.html#group18C6", "18C⁶"), =HYPERLINK("CSG4.html#group36K4", "36K⁴"), =HYPERLINK("CSG1.html#group12D1", "12D¹"), =HYPERLINK("CSG0.html#group6B0", "6B⁰"), =HYPERLINK("CSG2.html#group18H2", "18H²"), =HYPERLINK("CSG0.html#group6E0", "6E⁰"), =HYPERLINK("CSG5.html#group36D5", "36D⁵"), =HYPERLINK("CSG0.html#group9E0", "9E⁰"), =HYPERLINK("CSG1.html#group18B1", "18B¹"), =HYPERLINK("CSG0.html#group3C0", "3C⁰"), =HYPERLINK("CSG1.html#group18G1", "18G¹"), =HYPERLINK("CSG1.html#group18F1", "18F¹"), =HYPERLINK("CSG4.html#group36H4", "36H⁴"), =HYPERLINK("CSG0.html#group3A0", "3A⁰"), =HYPERLINK("CSG0.html#group1A0", "1A⁰")</f>
        <v/>
      </c>
      <c r="N3926" t="inlineStr"/>
    </row>
    <row r="3927">
      <c r="A3927" t="inlineStr">
        <is>
          <t>36H¹⁵</t>
        </is>
      </c>
      <c r="B3927" t="inlineStr"/>
      <c r="C3927" t="inlineStr">
        <is>
          <t>216</t>
        </is>
      </c>
      <c r="D3927" t="inlineStr">
        <is>
          <t>1</t>
        </is>
      </c>
      <c r="E3927" t="inlineStr">
        <is>
          <t>108</t>
        </is>
      </c>
      <c r="F3927" t="inlineStr">
        <is>
          <t>4</t>
        </is>
      </c>
      <c r="G3927" t="inlineStr">
        <is>
          <t>0</t>
        </is>
      </c>
      <c r="H3927" t="inlineStr">
        <is>
          <t>36⁶</t>
        </is>
      </c>
      <c r="I3927" t="n">
        <v>6</v>
      </c>
      <c r="J3927" t="inlineStr">
        <is>
          <t>6², 12¹⁷</t>
        </is>
      </c>
      <c r="K3927">
        <f>HYPERLINK("CSG4.html#group36I4", "36I⁴"), =HYPERLINK("CSG4.html#group36J4", "36J⁴"), =HYPERLINK("CSG5.html#group36D5", "36D⁵"), =HYPERLINK("CSG6.html#group18C6", "18C⁶")</f>
        <v/>
      </c>
      <c r="L3927" t="inlineStr"/>
      <c r="M3927">
        <f>HYPERLINK("CSG6.html#group18C6", "18C⁶"), =HYPERLINK("CSG4.html#group36J4", "36J⁴"), =HYPERLINK("CSG1.html#group12D1", "12D¹"), =HYPERLINK("CSG0.html#group6B0", "6B⁰"), =HYPERLINK("CSG4.html#group36I4", "36I⁴"), =HYPERLINK("CSG2.html#group18H2", "18H²"), =HYPERLINK("CSG0.html#group6E0", "6E⁰"), =HYPERLINK("CSG5.html#group36D5", "36D⁵"), =HYPERLINK("CSG1.html#group18B1", "18B¹"), =HYPERLINK("CSG0.html#group3C0", "3C⁰"), =HYPERLINK("CSG1.html#group18G1", "18G¹"), =HYPERLINK("CSG1.html#group18F1", "18F¹"), =HYPERLINK("CSG0.html#group9E0", "9E⁰"), =HYPERLINK("CSG0.html#group3A0", "3A⁰"), =HYPERLINK("CSG0.html#group1A0", "1A⁰")</f>
        <v/>
      </c>
      <c r="N3927" t="inlineStr"/>
    </row>
    <row r="3928">
      <c r="A3928" t="inlineStr">
        <is>
          <t>36I¹⁵</t>
        </is>
      </c>
      <c r="B3928" t="inlineStr"/>
      <c r="C3928" t="inlineStr">
        <is>
          <t>216</t>
        </is>
      </c>
      <c r="D3928" t="inlineStr">
        <is>
          <t>2</t>
        </is>
      </c>
      <c r="E3928" t="inlineStr">
        <is>
          <t>27</t>
        </is>
      </c>
      <c r="F3928" t="inlineStr">
        <is>
          <t>0</t>
        </is>
      </c>
      <c r="G3928" t="inlineStr">
        <is>
          <t>0</t>
        </is>
      </c>
      <c r="H3928" t="inlineStr">
        <is>
          <t>18⁴, 36⁴</t>
        </is>
      </c>
      <c r="I3928" t="n">
        <v>8</v>
      </c>
      <c r="J3928" t="inlineStr">
        <is>
          <t>2⁹, 6⁶</t>
        </is>
      </c>
      <c r="K3928">
        <f>HYPERLINK("CSG3.html#group12E3", "12E³"), =HYPERLINK("CSG5.html#group36K5", "36K⁵"), =HYPERLINK("CSG6.html#group18D6", "18D⁶"), =HYPERLINK("CSG7.html#group36D7", "36D⁷"), =HYPERLINK("CSG7.html#group36G7", "36G⁷"), =HYPERLINK("CSG8.html#group36C8", "36C⁸"), =HYPERLINK("CSG8.html#group36F8", "36F⁸"), =HYPERLINK("CSG8.html#group36E8", "36E⁸")</f>
        <v/>
      </c>
      <c r="L3928" t="inlineStr"/>
      <c r="M3928">
        <f>HYPERLINK("CSG8.html#group36E8", "36E⁸"), =HYPERLINK("CSG1.html#group12K1", "12K¹"), =HYPERLINK("CSG8.html#group36C8", "36C⁸"), =HYPERLINK("CSG3.html#group36E3", "36E³"), =HYPERLINK("CSG2.html#group12D2", "12D²"), =HYPERLINK("CSG0.html#group6G0", "6G⁰"), =HYPERLINK("CSG4.html#group36E4", "36E⁴"), =HYPERLINK("CSG1.html#group18B1", "18B¹"), =HYPERLINK("CSG0.html#group2B0", "2B⁰"), =HYPERLINK("CSG1.html#group12N1", "12N¹"), =HYPERLINK("CSG0.html#group4B0", "4B⁰"), =HYPERLINK("CSG0.html#group1A0", "1A⁰"), =HYPERLINK("CSG1.html#group9B1", "9B¹"), =HYPERLINK("CSG0.html#group18A0", "18A⁰"), =HYPERLINK("CSG2.html#group18L2", "18L²"), =HYPERLINK("CSG3.html#group18D3", "18D³"), =HYPERLINK("CSG0.html#group3C0", "3C⁰"), =HYPERLINK("CSG1.html#group12B1", "12B¹"), =HYPERLINK("CSG1.html#group18E1", "18E¹"), =HYPERLINK("CSG0.html#group3A0", "3A⁰"), =HYPERLINK("CSG0.html#group6H0", "6H⁰"), =HYPERLINK("CSG7.html#group36G7", "36G⁷"), =HYPERLINK("CSG0.html#group6B0", "6B⁰"), =HYPERLINK("CSG5.html#group36K5", "36K⁵"), =HYPERLINK("CSG7.html#group36D7", "36D⁷"), =HYPERLINK("CSG3.html#group18E3", "18E³"), =HYPERLINK("CSG6.html#group18D6", "18D⁶"), =HYPERLINK("CSG1.html#group12C1", "12C¹"), =HYPERLINK("CSG2.html#group18H2", "18H²"), =HYPERLINK("CSG0.html#group6E0", "6E⁰"), =HYPERLINK("CSG0.html#group6L0", "6L⁰"), =HYPERLINK("CSG0.html#group9A0", "9A⁰"), =HYPERLINK("CSG4.html#group36D4", "36D⁴"), =HYPERLINK("CSG3.html#group12E3", "12E³"), =HYPERLINK("CSG8.html#group36F8", "36F⁸"), =HYPERLINK("CSG0.html#group12D0", "12D⁰"), =HYPERLINK("CSG2.html#group18G2", "18G²"), =HYPERLINK("CSG2.html#group12C2", "12C²"), =HYPERLINK("CSG1.html#group18A1", "18A¹"), =HYPERLINK("CSG0.html#group6D0", "6D⁰"), =HYPERLINK("CSG2.html#group36C2", "36C²")</f>
        <v/>
      </c>
      <c r="N3928" t="inlineStr"/>
    </row>
    <row r="3929">
      <c r="A3929" t="inlineStr">
        <is>
          <t>36J¹⁵</t>
        </is>
      </c>
      <c r="B3929" t="inlineStr"/>
      <c r="C3929" t="inlineStr">
        <is>
          <t>216</t>
        </is>
      </c>
      <c r="D3929" t="inlineStr">
        <is>
          <t>2</t>
        </is>
      </c>
      <c r="E3929" t="inlineStr">
        <is>
          <t>27</t>
        </is>
      </c>
      <c r="F3929" t="inlineStr">
        <is>
          <t>0</t>
        </is>
      </c>
      <c r="G3929" t="inlineStr">
        <is>
          <t>0</t>
        </is>
      </c>
      <c r="H3929" t="inlineStr">
        <is>
          <t>18⁴, 36⁴</t>
        </is>
      </c>
      <c r="I3929" t="n">
        <v>8</v>
      </c>
      <c r="J3929" t="inlineStr">
        <is>
          <t>2⁹, 6⁶</t>
        </is>
      </c>
      <c r="K3929">
        <f>HYPERLINK("CSG3.html#group12F3", "12F³"), =HYPERLINK("CSG5.html#group36K5", "36K⁵"), =HYPERLINK("CSG6.html#group36H6", "36H⁶"), =HYPERLINK("CSG7.html#group18E7", "18E⁷"), =HYPERLINK("CSG7.html#group36F7", "36F⁷"), =HYPERLINK("CSG8.html#group36D8", "36D⁸"), =HYPERLINK("CSG8.html#group36E8", "36E⁸"), =HYPERLINK("CSG8.html#group36G8", "36G⁸")</f>
        <v/>
      </c>
      <c r="L3929" t="inlineStr"/>
      <c r="M3929">
        <f>HYPERLINK("CSG8.html#group36E8", "36E⁸"), =HYPERLINK("CSG0.html#group2A0", "2A⁰"), =HYPERLINK("CSG3.html#group36E3", "36E³"), =HYPERLINK("CSG7.html#group18E7", "18E⁷"), =HYPERLINK("CSG3.html#group12F3", "12F³"), =HYPERLINK("CSG1.html#group6C1", "6C¹"), =HYPERLINK("CSG0.html#group6G0", "6G⁰"), =HYPERLINK("CSG4.html#group36E4", "36E⁴"), =HYPERLINK("CSG2.html#group12E2", "12E²"), =HYPERLINK("CSG0.html#group2B0", "2B⁰"), =HYPERLINK("CSG1.html#group12N1", "12N¹"), =HYPERLINK("CSG8.html#group36G8", "36G⁸"), =HYPERLINK("CSG0.html#group1A0", "1A⁰"), =HYPERLINK("CSG1.html#group9B1", "9B¹"), =HYPERLINK("CSG0.html#group18A0", "18A⁰"), =HYPERLINK("CSG2.html#group18L2", "18L²"), =HYPERLINK("CSG6.html#group36H6", "36H⁶"), =HYPERLINK("CSG1.html#group6B1", "6B¹"), =HYPERLINK("CSG4.html#group18A4", "18A⁴"), =HYPERLINK("CSG0.html#group3C0", "3C⁰"), =HYPERLINK("CSG1.html#group6A1", "6A¹"), =HYPERLINK("CSG1.html#group18E1", "18E¹"), =HYPERLINK("CSG0.html#group3A0", "3A⁰"), =HYPERLINK("CSG0.html#group6H0", "6H⁰"), =HYPERLINK("CSG3.html#group36D3", "36D³"), =HYPERLINK("CSG1.html#group6E1", "6E¹"), =HYPERLINK("CSG0.html#group6B0", "6B⁰"), =HYPERLINK("CSG5.html#group36K5", "36K⁵"), =HYPERLINK("CSG2.html#group18A2", "18A²"), =HYPERLINK("CSG7.html#group36F7", "36F⁷"), =HYPERLINK("CSG8.html#group36D8", "36D⁸"), =HYPERLINK("CSG3.html#group18E3", "18E³"), =HYPERLINK("CSG0.html#group12G0", "12G⁰"), =HYPERLINK("CSG1.html#group12C1", "12C¹"), =HYPERLINK("CSG0.html#group6A0", "6A⁰"), =HYPERLINK("CSG0.html#group9A0", "9A⁰"), =HYPERLINK("CSG3.html#group18C3", "18C³"), =HYPERLINK("CSG0.html#group12D0", "12D⁰"), =HYPERLINK("CSG2.html#group12C2", "12C²"), =HYPERLINK("CSG0.html#group2C0", "2C⁰"), =HYPERLINK("CSG0.html#group6D0", "6D⁰"), =HYPERLINK("CSG2.html#group36C2", "36C²")</f>
        <v/>
      </c>
      <c r="N3929" t="inlineStr"/>
    </row>
    <row r="3930">
      <c r="A3930" t="inlineStr">
        <is>
          <t>36K¹⁵</t>
        </is>
      </c>
      <c r="B3930" t="inlineStr"/>
      <c r="C3930" t="inlineStr">
        <is>
          <t>216</t>
        </is>
      </c>
      <c r="D3930" t="inlineStr">
        <is>
          <t>2</t>
        </is>
      </c>
      <c r="E3930" t="inlineStr">
        <is>
          <t>27</t>
        </is>
      </c>
      <c r="F3930" t="inlineStr">
        <is>
          <t>0</t>
        </is>
      </c>
      <c r="G3930" t="inlineStr">
        <is>
          <t>0</t>
        </is>
      </c>
      <c r="H3930" t="inlineStr">
        <is>
          <t>18⁴, 36⁴</t>
        </is>
      </c>
      <c r="I3930" t="n">
        <v>8</v>
      </c>
      <c r="J3930" t="inlineStr">
        <is>
          <t>2⁹, 6⁶</t>
        </is>
      </c>
      <c r="K3930">
        <f>HYPERLINK("CSG3.html#group12G3", "12G³"), =HYPERLINK("CSG4.html#group36R4", "36R⁴"), =HYPERLINK("CSG7.html#group18E7", "18E⁷"), =HYPERLINK("CSG7.html#group36D7", "36D⁷"), =HYPERLINK("CSG7.html#group36E7", "36E⁷"), =HYPERLINK("CSG8.html#group36B8", "36B⁸"), =HYPERLINK("CSG8.html#group36F8", "36F⁸"), =HYPERLINK("CSG8.html#group36G8", "36G⁸")</f>
        <v/>
      </c>
      <c r="L3930" t="inlineStr"/>
      <c r="M3930">
        <f>HYPERLINK("CSG0.html#group2A0", "2A⁰"), =HYPERLINK("CSG0.html#group12C0", "12C⁰"), =HYPERLINK("CSG1.html#group12K1", "12K¹"), =HYPERLINK("CSG7.html#group18E7", "18E⁷"), =HYPERLINK("CSG2.html#group12D2", "12D²"), =HYPERLINK("CSG1.html#group6C1", "6C¹"), =HYPERLINK("CSG2.html#group36B2", "36B²"), =HYPERLINK("CSG0.html#group4C0", "4C⁰"), =HYPERLINK("CSG4.html#group36R4", "36R⁴"), =HYPERLINK("CSG0.html#group6G0", "6G⁰"), =HYPERLINK("CSG4.html#group36E4", "36E⁴"), =HYPERLINK("CSG0.html#group2B0", "2B⁰"), =HYPERLINK("CSG2.html#group12B2", "12B²"), =HYPERLINK("CSG0.html#group4E0", "4E⁰"), =HYPERLINK("CSG2.html#group12E2", "12E²"), =HYPERLINK("CSG8.html#group36G8", "36G⁸"), =HYPERLINK("CSG3.html#group12G3", "12G³"), =HYPERLINK("CSG0.html#group1A0", "1A⁰"), =HYPERLINK("CSG0.html#group18A0", "18A⁰"), =HYPERLINK("CSG1.html#group9B1", "9B¹"), =HYPERLINK("CSG2.html#group18L2", "18L²"), =HYPERLINK("CSG0.html#group4B0", "4B⁰"), =HYPERLINK("CSG1.html#group6B1", "6B¹"), =HYPERLINK("CSG4.html#group18A4", "18A⁴"), =HYPERLINK("CSG7.html#group36E7", "36E⁷"), =HYPERLINK("CSG0.html#group3C0", "3C⁰"), =HYPERLINK("CSG1.html#group6A1", "6A¹"), =HYPERLINK("CSG1.html#group12B1", "12B¹"), =HYPERLINK("CSG1.html#group18E1", "18E¹"), =HYPERLINK("CSG0.html#group6H0", "6H⁰"), =HYPERLINK("CSG0.html#group3A0", "3A⁰"), =HYPERLINK("CSG1.html#group6E1", "6E¹"), =HYPERLINK("CSG0.html#group6B0", "6B⁰"), =HYPERLINK("CSG8.html#group36B8", "36B⁸"), =HYPERLINK("CSG2.html#group18A2", "18A²"), =HYPERLINK("CSG7.html#group36D7", "36D⁷"), =HYPERLINK("CSG1.html#group12L1", "12L¹"), =HYPERLINK("CSG3.html#group18E3", "18E³"), =HYPERLINK("CSG0.html#group6A0", "6A⁰"), =HYPERLINK("CSG1.html#group12C1", "12C¹"), =HYPERLINK("CSG0.html#group9A0", "9A⁰"), =HYPERLINK("CSG3.html#group18C3", "18C³"), =HYPERLINK("CSG4.html#group36D4", "36D⁴"), =HYPERLINK("CSG8.html#group36F8", "36F⁸"), =HYPERLINK("CSG0.html#group12D0", "12D⁰"), =HYPERLINK("CSG0.html#group12H0", "12H⁰"), =HYPERLINK("CSG0.html#group2C0", "2C⁰"), =HYPERLINK("CSG0.html#group6D0", "6D⁰"), =HYPERLINK("CSG2.html#group36C2", "36C²")</f>
        <v/>
      </c>
      <c r="N3930" t="inlineStr"/>
    </row>
    <row r="3931">
      <c r="A3931" t="inlineStr">
        <is>
          <t>36L¹⁵</t>
        </is>
      </c>
      <c r="B3931" t="inlineStr"/>
      <c r="C3931" t="inlineStr">
        <is>
          <t>216</t>
        </is>
      </c>
      <c r="D3931" t="inlineStr">
        <is>
          <t>2</t>
        </is>
      </c>
      <c r="E3931" t="inlineStr">
        <is>
          <t>54</t>
        </is>
      </c>
      <c r="F3931" t="inlineStr">
        <is>
          <t>4</t>
        </is>
      </c>
      <c r="G3931" t="inlineStr">
        <is>
          <t>0</t>
        </is>
      </c>
      <c r="H3931" t="inlineStr">
        <is>
          <t>36⁶</t>
        </is>
      </c>
      <c r="I3931" t="n">
        <v>6</v>
      </c>
      <c r="J3931" t="inlineStr">
        <is>
          <t>4⁹, 12⁶</t>
        </is>
      </c>
      <c r="K3931">
        <f>HYPERLINK("CSG3.html#group12H3", "12H³"), =HYPERLINK("CSG5.html#group36C5", "36C⁵"), =HYPERLINK("CSG5.html#group36D5", "36D⁵"), =HYPERLINK("CSG6.html#group18D6", "18D⁶")</f>
        <v/>
      </c>
      <c r="L3931" t="inlineStr"/>
      <c r="M3931">
        <f>HYPERLINK("CSG1.html#group12D1", "12D¹"), =HYPERLINK("CSG0.html#group6B0", "6B⁰"), =HYPERLINK("CSG0.html#group6H0", "6H⁰"), =HYPERLINK("CSG1.html#group18B1", "18B¹"), =HYPERLINK("CSG0.html#group6G0", "6G⁰"), =HYPERLINK("CSG0.html#group2B0", "2B⁰"), =HYPERLINK("CSG0.html#group1A0", "1A⁰"), =HYPERLINK("CSG1.html#group9B1", "9B¹"), =HYPERLINK("CSG0.html#group18A0", "18A⁰"), =HYPERLINK("CSG2.html#group18L2", "18L²"), =HYPERLINK("CSG3.html#group18E3", "18E³"), =HYPERLINK("CSG6.html#group18D6", "18D⁶"), =HYPERLINK("CSG5.html#group36C5", "36C⁵"), =HYPERLINK("CSG3.html#group18D3", "18D³"), =HYPERLINK("CSG2.html#group18H2", "18H²"), =HYPERLINK("CSG0.html#group6E0", "6E⁰"), =HYPERLINK("CSG5.html#group36D5", "36D⁵"), =HYPERLINK("CSG0.html#group6L0", "6L⁰"), =HYPERLINK("CSG0.html#group9A0", "9A⁰"), =HYPERLINK("CSG0.html#group3C0", "3C⁰"), =HYPERLINK("CSG2.html#group18G2", "18G²"), =HYPERLINK("CSG1.html#group18E1", "18E¹"), =HYPERLINK("CSG0.html#group3A0", "3A⁰"), =HYPERLINK("CSG3.html#group12H3", "12H³"), =HYPERLINK("CSG1.html#group18A1", "18A¹"), =HYPERLINK("CSG0.html#group6D0", "6D⁰")</f>
        <v/>
      </c>
      <c r="N3931" t="inlineStr"/>
    </row>
    <row r="3932">
      <c r="A3932" t="inlineStr">
        <is>
          <t>36M¹⁵</t>
        </is>
      </c>
      <c r="B3932" t="inlineStr"/>
      <c r="C3932" t="inlineStr">
        <is>
          <t>216</t>
        </is>
      </c>
      <c r="D3932" t="inlineStr">
        <is>
          <t>2</t>
        </is>
      </c>
      <c r="E3932" t="inlineStr">
        <is>
          <t>54</t>
        </is>
      </c>
      <c r="F3932" t="inlineStr">
        <is>
          <t>4</t>
        </is>
      </c>
      <c r="G3932" t="inlineStr">
        <is>
          <t>0</t>
        </is>
      </c>
      <c r="H3932" t="inlineStr">
        <is>
          <t>36⁶</t>
        </is>
      </c>
      <c r="I3932" t="n">
        <v>6</v>
      </c>
      <c r="J3932" t="inlineStr">
        <is>
          <t>2⁶, 4⁶, 6⁴, 12⁴</t>
        </is>
      </c>
      <c r="K3932">
        <f>HYPERLINK("CSG3.html#group12I3", "12I³"), =HYPERLINK("CSG6.html#group36E6", "36E⁶"), =HYPERLINK("CSG6.html#group36I6", "36I⁶"), =HYPERLINK("CSG7.html#group36E7", "36E⁷")</f>
        <v/>
      </c>
      <c r="L3932" t="inlineStr"/>
      <c r="M3932">
        <f>HYPERLINK("CSG0.html#group12C0", "12C⁰"), =HYPERLINK("CSG6.html#group36E6", "36E⁶"), =HYPERLINK("CSG2.html#group36B2", "36B²"), =HYPERLINK("CSG0.html#group4C0", "4C⁰"), =HYPERLINK("CSG0.html#group6G0", "6G⁰"), =HYPERLINK("CSG4.html#group36E4", "36E⁴"), =HYPERLINK("CSG0.html#group2B0", "2B⁰"), =HYPERLINK("CSG1.html#group12M1", "12M¹"), =HYPERLINK("CSG0.html#group1A0", "1A⁰"), =HYPERLINK("CSG1.html#group12L1", "12L¹"), =HYPERLINK("CSG1.html#group9B1", "9B¹"), =HYPERLINK("CSG3.html#group18E3", "18E³"), =HYPERLINK("CSG6.html#group36I6", "36I⁶"), =HYPERLINK("CSG1.html#group12C1", "12C¹"), =HYPERLINK("CSG3.html#group12I3", "12I³"), =HYPERLINK("CSG0.html#group9A0", "9A⁰"), =HYPERLINK("CSG7.html#group36E7", "36E⁷"), =HYPERLINK("CSG0.html#group3C0", "3C⁰"), =HYPERLINK("CSG1.html#group18E1", "18E¹"), =HYPERLINK("CSG0.html#group3A0", "3A⁰"), =HYPERLINK("CSG0.html#group6D0", "6D⁰")</f>
        <v/>
      </c>
      <c r="N3932" t="inlineStr"/>
    </row>
    <row r="3933">
      <c r="A3933" t="inlineStr">
        <is>
          <t>36N¹⁵</t>
        </is>
      </c>
      <c r="B3933" t="inlineStr"/>
      <c r="C3933" t="inlineStr">
        <is>
          <t>216</t>
        </is>
      </c>
      <c r="D3933" t="inlineStr">
        <is>
          <t>2</t>
        </is>
      </c>
      <c r="E3933" t="inlineStr">
        <is>
          <t>54</t>
        </is>
      </c>
      <c r="F3933" t="inlineStr">
        <is>
          <t>4</t>
        </is>
      </c>
      <c r="G3933" t="inlineStr">
        <is>
          <t>0</t>
        </is>
      </c>
      <c r="H3933" t="inlineStr">
        <is>
          <t>36⁶</t>
        </is>
      </c>
      <c r="I3933" t="n">
        <v>6</v>
      </c>
      <c r="J3933" t="inlineStr">
        <is>
          <t>2⁶, 4⁶, 6⁴, 12⁴</t>
        </is>
      </c>
      <c r="K3933">
        <f>HYPERLINK("CSG3.html#group12J3", "12J³"), =HYPERLINK("CSG5.html#group36E5", "36E⁵"), =HYPERLINK("CSG6.html#group36F6", "36F⁶"), =HYPERLINK("CSG6.html#group36I6", "36I⁶"), =HYPERLINK("CSG7.html#group36E7", "36E⁷")</f>
        <v/>
      </c>
      <c r="L3933" t="inlineStr"/>
      <c r="M3933">
        <f>HYPERLINK("CSG1.html#group12G1", "12G¹"), =HYPERLINK("CSG0.html#group12C0", "12C⁰"), =HYPERLINK("CSG2.html#group36B2", "36B²"), =HYPERLINK("CSG0.html#group4C0", "4C⁰"), =HYPERLINK("CSG0.html#group6G0", "6G⁰"), =HYPERLINK("CSG4.html#group36E4", "36E⁴"), =HYPERLINK("CSG0.html#group2B0", "2B⁰"), =HYPERLINK("CSG1.html#group12M1", "12M¹"), =HYPERLINK("CSG0.html#group1A0", "1A⁰"), =HYPERLINK("CSG1.html#group9B1", "9B¹"), =HYPERLINK("CSG3.html#group12J3", "12J³"), =HYPERLINK("CSG1.html#group12L1", "12L¹"), =HYPERLINK("CSG3.html#group18E3", "18E³"), =HYPERLINK("CSG1.html#group36A1", "36A¹"), =HYPERLINK("CSG6.html#group36F6", "36F⁶"), =HYPERLINK("CSG0.html#group12A0", "12A⁰"), =HYPERLINK("CSG6.html#group36I6", "36I⁶"), =HYPERLINK("CSG1.html#group12C1", "12C¹"), =HYPERLINK("CSG0.html#group4A0", "4A⁰"), =HYPERLINK("CSG5.html#group36E5", "36E⁵"), =HYPERLINK("CSG0.html#group9A0", "9A⁰"), =HYPERLINK("CSG7.html#group36E7", "36E⁷"), =HYPERLINK("CSG0.html#group3C0", "3C⁰"), =HYPERLINK("CSG1.html#group12J1", "12J¹"), =HYPERLINK("CSG0.html#group4F0", "4F⁰"), =HYPERLINK("CSG1.html#group18E1", "18E¹"), =HYPERLINK("CSG0.html#group3A0", "3A⁰"), =HYPERLINK("CSG0.html#group6D0", "6D⁰")</f>
        <v/>
      </c>
      <c r="N3933" t="inlineStr"/>
    </row>
    <row r="3934">
      <c r="A3934" t="inlineStr">
        <is>
          <t>36O¹⁵</t>
        </is>
      </c>
      <c r="B3934" t="inlineStr"/>
      <c r="C3934" t="inlineStr">
        <is>
          <t>216</t>
        </is>
      </c>
      <c r="D3934" t="inlineStr">
        <is>
          <t>2</t>
        </is>
      </c>
      <c r="E3934" t="inlineStr">
        <is>
          <t>108</t>
        </is>
      </c>
      <c r="F3934" t="inlineStr">
        <is>
          <t>4</t>
        </is>
      </c>
      <c r="G3934" t="inlineStr">
        <is>
          <t>0</t>
        </is>
      </c>
      <c r="H3934" t="inlineStr">
        <is>
          <t>36⁶</t>
        </is>
      </c>
      <c r="I3934" t="n">
        <v>6</v>
      </c>
      <c r="J3934" t="inlineStr">
        <is>
          <t>12¹⁸</t>
        </is>
      </c>
      <c r="K3934">
        <f>HYPERLINK("CSG4.html#group36J4", "36J⁴"), =HYPERLINK("CSG4.html#group36K4", "36K⁴"), =HYPERLINK("CSG5.html#group36C5", "36C⁵"), =HYPERLINK("CSG5.html#group36D5", "36D⁵"), =HYPERLINK("CSG6.html#group18E6", "18E⁶")</f>
        <v/>
      </c>
      <c r="L3934" t="inlineStr"/>
      <c r="M3934">
        <f>HYPERLINK("CSG4.html#group36K4", "36K⁴"), =HYPERLINK("CSG4.html#group36J4", "36J⁴"), =HYPERLINK("CSG6.html#group18E6", "18E⁶"), =HYPERLINK("CSG1.html#group12D1", "12D¹"), =HYPERLINK("CSG0.html#group6B0", "6B⁰"), =HYPERLINK("CSG1.html#group18B1", "18B¹"), =HYPERLINK("CSG2.html#group18M2", "18M²"), =HYPERLINK("CSG0.html#group1A0", "1A⁰"), =HYPERLINK("CSG1.html#group9B1", "9B¹"), =HYPERLINK("CSG0.html#group18A0", "18A⁰"), =HYPERLINK("CSG5.html#group36C5", "36C⁵"), =HYPERLINK("CSG2.html#group18H2", "18H²"), =HYPERLINK("CSG0.html#group6E0", "6E⁰"), =HYPERLINK("CSG5.html#group36D5", "36D⁵"), =HYPERLINK("CSG0.html#group9A0", "9A⁰"), =HYPERLINK("CSG0.html#group3C0", "3C⁰"), =HYPERLINK("CSG1.html#group18G1", "18G¹"), =HYPERLINK("CSG2.html#group18G2", "18G²"), =HYPERLINK("CSG0.html#group3A0", "3A⁰"), =HYPERLINK("CSG1.html#group18A1", "18A¹")</f>
        <v/>
      </c>
      <c r="N3934" t="inlineStr"/>
    </row>
    <row r="3935">
      <c r="A3935" t="inlineStr">
        <is>
          <t>36P¹⁵</t>
        </is>
      </c>
      <c r="B3935" t="inlineStr"/>
      <c r="C3935" t="inlineStr">
        <is>
          <t>288</t>
        </is>
      </c>
      <c r="D3935" t="inlineStr">
        <is>
          <t>1</t>
        </is>
      </c>
      <c r="E3935" t="inlineStr">
        <is>
          <t>24</t>
        </is>
      </c>
      <c r="F3935" t="inlineStr">
        <is>
          <t>24</t>
        </is>
      </c>
      <c r="G3935" t="inlineStr">
        <is>
          <t>0</t>
        </is>
      </c>
      <c r="H3935" t="inlineStr">
        <is>
          <t>36⁸</t>
        </is>
      </c>
      <c r="I3935" t="n">
        <v>8</v>
      </c>
      <c r="J3935" t="inlineStr">
        <is>
          <t>4⁶</t>
        </is>
      </c>
      <c r="K3935">
        <f>HYPERLINK("CSG3.html#group12M3", "12M³"), =HYPERLINK("CSG3.html#group36F3", "36F³"), =HYPERLINK("CSG5.html#group36M5", "36M⁵")</f>
        <v/>
      </c>
      <c r="L3935" t="inlineStr"/>
      <c r="M3935">
        <f>HYPERLINK("CSG1.html#group12G1", "12G¹"), =HYPERLINK("CSG1.html#group12D1", "12D¹"), =HYPERLINK("CSG0.html#group6B0", "6B⁰"), =HYPERLINK("CSG2.html#group36D2", "36D²"), =HYPERLINK("CSG3.html#group36H3", "36H³"), =HYPERLINK("CSG0.html#group12F0", "12F⁰"), =HYPERLINK("CSG0.html#group1A0", "1A⁰"), =HYPERLINK("CSG0.html#group18A0", "18A⁰"), =HYPERLINK("CSG1.html#group36A1", "36A¹"), =HYPERLINK("CSG0.html#group12A0", "12A⁰"), =HYPERLINK("CSG0.html#group9D0", "9D⁰"), =HYPERLINK("CSG0.html#group18D0", "18D⁰"), =HYPERLINK("CSG0.html#group6E0", "6E⁰"), =HYPERLINK("CSG0.html#group4A0", "4A⁰"), =HYPERLINK("CSG0.html#group9A0", "9A⁰"), =HYPERLINK("CSG3.html#group12M3", "12M³"), =HYPERLINK("CSG5.html#group36M5", "36M⁵"), =HYPERLINK("CSG3.html#group36F3", "36F³"), =HYPERLINK("CSG1.html#group12Q1", "12Q¹"), =HYPERLINK("CSG0.html#group3C0", "3C⁰"), =HYPERLINK("CSG0.html#group3A0", "3A⁰")</f>
        <v/>
      </c>
      <c r="N3935" t="inlineStr"/>
    </row>
    <row r="3936">
      <c r="A3936" t="inlineStr">
        <is>
          <t>36Q¹⁵</t>
        </is>
      </c>
      <c r="B3936" t="inlineStr"/>
      <c r="C3936" t="inlineStr">
        <is>
          <t>288</t>
        </is>
      </c>
      <c r="D3936" t="inlineStr">
        <is>
          <t>1</t>
        </is>
      </c>
      <c r="E3936" t="inlineStr">
        <is>
          <t>72</t>
        </is>
      </c>
      <c r="F3936" t="inlineStr">
        <is>
          <t>8</t>
        </is>
      </c>
      <c r="G3936" t="inlineStr">
        <is>
          <t>0</t>
        </is>
      </c>
      <c r="H3936" t="inlineStr">
        <is>
          <t>12¹², 36⁴</t>
        </is>
      </c>
      <c r="I3936" t="n">
        <v>16</v>
      </c>
      <c r="J3936" t="inlineStr">
        <is>
          <t>4⁶, 12¹⁰</t>
        </is>
      </c>
      <c r="K3936">
        <f>HYPERLINK("CSG3.html#group12M3", "12M³"), =HYPERLINK("CSG4.html#group36H4", "36H⁴"), =HYPERLINK("CSG7.html#group36J7", "36J⁷")</f>
        <v/>
      </c>
      <c r="L3936" t="inlineStr"/>
      <c r="M3936">
        <f>HYPERLINK("CSG1.html#group12G1", "12G¹"), =HYPERLINK("CSG1.html#group12D1", "12D¹"), =HYPERLINK("CSG0.html#group6B0", "6B⁰"), =HYPERLINK("CSG7.html#group36J7", "36J⁷"), =HYPERLINK("CSG0.html#group12F0", "12F⁰"), =HYPERLINK("CSG4.html#group36H4", "36H⁴"), =HYPERLINK("CSG0.html#group9E0", "9E⁰"), =HYPERLINK("CSG0.html#group1A0", "1A⁰"), =HYPERLINK("CSG0.html#group12A0", "12A⁰"), =HYPERLINK("CSG0.html#group6E0", "6E⁰"), =HYPERLINK("CSG0.html#group4A0", "4A⁰"), =HYPERLINK("CSG3.html#group12M3", "12M³"), =HYPERLINK("CSG4.html#group36M4", "36M⁴"), =HYPERLINK("CSG1.html#group12Q1", "12Q¹"), =HYPERLINK("CSG0.html#group3C0", "3C⁰"), =HYPERLINK("CSG1.html#group18F1", "18F¹"), =HYPERLINK("CSG0.html#group3A0", "3A⁰")</f>
        <v/>
      </c>
      <c r="N3936" t="inlineStr"/>
    </row>
    <row r="3937">
      <c r="A3937" t="inlineStr">
        <is>
          <t>36R¹⁵</t>
        </is>
      </c>
      <c r="B3937" t="inlineStr"/>
      <c r="C3937" t="inlineStr">
        <is>
          <t>288</t>
        </is>
      </c>
      <c r="D3937" t="inlineStr">
        <is>
          <t>1</t>
        </is>
      </c>
      <c r="E3937" t="inlineStr">
        <is>
          <t>72</t>
        </is>
      </c>
      <c r="F3937" t="inlineStr">
        <is>
          <t>8</t>
        </is>
      </c>
      <c r="G3937" t="inlineStr">
        <is>
          <t>0</t>
        </is>
      </c>
      <c r="H3937" t="inlineStr">
        <is>
          <t>12¹², 36⁴</t>
        </is>
      </c>
      <c r="I3937" t="n">
        <v>16</v>
      </c>
      <c r="J3937" t="inlineStr">
        <is>
          <t>4⁶, 12¹⁰</t>
        </is>
      </c>
      <c r="K3937">
        <f>HYPERLINK("CSG3.html#group12M3", "12M³"), =HYPERLINK("CSG4.html#group36I4", "36I⁴"), =HYPERLINK("CSG7.html#group36J7", "36J⁷")</f>
        <v/>
      </c>
      <c r="L3937" t="inlineStr"/>
      <c r="M3937">
        <f>HYPERLINK("CSG1.html#group12G1", "12G¹"), =HYPERLINK("CSG1.html#group12D1", "12D¹"), =HYPERLINK("CSG0.html#group6B0", "6B⁰"), =HYPERLINK("CSG7.html#group36J7", "36J⁷"), =HYPERLINK("CSG4.html#group36I4", "36I⁴"), =HYPERLINK("CSG0.html#group12F0", "12F⁰"), =HYPERLINK("CSG0.html#group9E0", "9E⁰"), =HYPERLINK("CSG0.html#group1A0", "1A⁰"), =HYPERLINK("CSG0.html#group12A0", "12A⁰"), =HYPERLINK("CSG0.html#group6E0", "6E⁰"), =HYPERLINK("CSG0.html#group4A0", "4A⁰"), =HYPERLINK("CSG3.html#group12M3", "12M³"), =HYPERLINK("CSG4.html#group36M4", "36M⁴"), =HYPERLINK("CSG1.html#group12Q1", "12Q¹"), =HYPERLINK("CSG0.html#group3C0", "3C⁰"), =HYPERLINK("CSG1.html#group18F1", "18F¹"), =HYPERLINK("CSG0.html#group3A0", "3A⁰")</f>
        <v/>
      </c>
      <c r="N3937" t="inlineStr"/>
    </row>
    <row r="3938">
      <c r="A3938" t="inlineStr">
        <is>
          <t>36S¹⁵</t>
        </is>
      </c>
      <c r="B3938" t="inlineStr"/>
      <c r="C3938" t="inlineStr">
        <is>
          <t>288</t>
        </is>
      </c>
      <c r="D3938" t="inlineStr">
        <is>
          <t>1</t>
        </is>
      </c>
      <c r="E3938" t="inlineStr">
        <is>
          <t>144</t>
        </is>
      </c>
      <c r="F3938" t="inlineStr">
        <is>
          <t>8</t>
        </is>
      </c>
      <c r="G3938" t="inlineStr">
        <is>
          <t>0</t>
        </is>
      </c>
      <c r="H3938" t="inlineStr">
        <is>
          <t>12¹², 36⁴</t>
        </is>
      </c>
      <c r="I3938" t="n">
        <v>16</v>
      </c>
      <c r="J3938" t="inlineStr">
        <is>
          <t>4¹², 12²⁰</t>
        </is>
      </c>
      <c r="K3938">
        <f>HYPERLINK("CSG3.html#group12M3", "12M³"), =HYPERLINK("CSG4.html#group36J4", "36J⁴"), =HYPERLINK("CSG7.html#group36K7", "36K⁷")</f>
        <v/>
      </c>
      <c r="L3938" t="inlineStr"/>
      <c r="M3938">
        <f>HYPERLINK("CSG1.html#group12G1", "12G¹"), =HYPERLINK("CSG4.html#group36J4", "36J⁴"), =HYPERLINK("CSG1.html#group12D1", "12D¹"), =HYPERLINK("CSG0.html#group12A0", "12A⁰"), =HYPERLINK("CSG0.html#group6B0", "6B⁰"), =HYPERLINK("CSG0.html#group6E0", "6E⁰"), =HYPERLINK("CSG0.html#group4A0", "4A⁰"), =HYPERLINK("CSG3.html#group12M3", "12M³"), =HYPERLINK("CSG0.html#group12F0", "12F⁰"), =HYPERLINK("CSG7.html#group36K7", "36K⁷"), =HYPERLINK("CSG1.html#group12Q1", "12Q¹"), =HYPERLINK("CSG0.html#group3C0", "3C⁰"), =HYPERLINK("CSG1.html#group18G1", "18G¹"), =HYPERLINK("CSG0.html#group3A0", "3A⁰"), =HYPERLINK("CSG0.html#group1A0", "1A⁰")</f>
        <v/>
      </c>
      <c r="N3938" t="inlineStr"/>
    </row>
    <row r="3939">
      <c r="A3939" t="inlineStr">
        <is>
          <t>36T¹⁵</t>
        </is>
      </c>
      <c r="B3939" t="inlineStr"/>
      <c r="C3939" t="inlineStr">
        <is>
          <t>288</t>
        </is>
      </c>
      <c r="D3939" t="inlineStr">
        <is>
          <t>1</t>
        </is>
      </c>
      <c r="E3939" t="inlineStr">
        <is>
          <t>144</t>
        </is>
      </c>
      <c r="F3939" t="inlineStr">
        <is>
          <t>8</t>
        </is>
      </c>
      <c r="G3939" t="inlineStr">
        <is>
          <t>0</t>
        </is>
      </c>
      <c r="H3939" t="inlineStr">
        <is>
          <t>12¹², 36⁴</t>
        </is>
      </c>
      <c r="I3939" t="n">
        <v>16</v>
      </c>
      <c r="J3939" t="inlineStr">
        <is>
          <t>4¹², 12²⁰</t>
        </is>
      </c>
      <c r="K3939">
        <f>HYPERLINK("CSG3.html#group12M3", "12M³"), =HYPERLINK("CSG4.html#group36K4", "36K⁴"), =HYPERLINK("CSG7.html#group36K7", "36K⁷")</f>
        <v/>
      </c>
      <c r="L3939" t="inlineStr"/>
      <c r="M3939">
        <f>HYPERLINK("CSG1.html#group12G1", "12G¹"), =HYPERLINK("CSG4.html#group36K4", "36K⁴"), =HYPERLINK("CSG1.html#group12D1", "12D¹"), =HYPERLINK("CSG0.html#group12A0", "12A⁰"), =HYPERLINK("CSG0.html#group6B0", "6B⁰"), =HYPERLINK("CSG0.html#group6E0", "6E⁰"), =HYPERLINK("CSG0.html#group4A0", "4A⁰"), =HYPERLINK("CSG3.html#group12M3", "12M³"), =HYPERLINK("CSG0.html#group12F0", "12F⁰"), =HYPERLINK("CSG7.html#group36K7", "36K⁷"), =HYPERLINK("CSG1.html#group12Q1", "12Q¹"), =HYPERLINK("CSG0.html#group3C0", "3C⁰"), =HYPERLINK("CSG1.html#group18G1", "18G¹"), =HYPERLINK("CSG0.html#group3A0", "3A⁰"), =HYPERLINK("CSG0.html#group1A0", "1A⁰")</f>
        <v/>
      </c>
      <c r="N3939" t="inlineStr"/>
    </row>
    <row r="3940">
      <c r="A3940" t="inlineStr">
        <is>
          <t>39A¹⁵</t>
        </is>
      </c>
      <c r="B3940" t="inlineStr"/>
      <c r="C3940" t="inlineStr">
        <is>
          <t>273</t>
        </is>
      </c>
      <c r="D3940" t="inlineStr">
        <is>
          <t>1</t>
        </is>
      </c>
      <c r="E3940" t="inlineStr">
        <is>
          <t>91</t>
        </is>
      </c>
      <c r="F3940" t="inlineStr">
        <is>
          <t>21</t>
        </is>
      </c>
      <c r="G3940" t="inlineStr">
        <is>
          <t>0</t>
        </is>
      </c>
      <c r="H3940" t="inlineStr">
        <is>
          <t>39⁷</t>
        </is>
      </c>
      <c r="I3940" t="n">
        <v>7</v>
      </c>
      <c r="J3940" t="inlineStr">
        <is>
          <t>1¹, 6¹, 12⁷</t>
        </is>
      </c>
      <c r="K3940">
        <f>HYPERLINK("CSG0.html#group3A0", "3A⁰"), =HYPERLINK("CSG3.html#group13C3", "13C³")</f>
        <v/>
      </c>
      <c r="L3940" t="inlineStr"/>
      <c r="M3940">
        <f>HYPERLINK("CSG0.html#group3A0", "3A⁰"), =HYPERLINK("CSG3.html#group13C3", "13C³"), =HYPERLINK("CSG0.html#group1A0", "1A⁰")</f>
        <v/>
      </c>
      <c r="N3940" t="inlineStr"/>
    </row>
    <row r="3941">
      <c r="A3941" t="inlineStr">
        <is>
          <t>40A¹⁵</t>
        </is>
      </c>
      <c r="B3941" t="inlineStr"/>
      <c r="C3941" t="inlineStr">
        <is>
          <t>240</t>
        </is>
      </c>
      <c r="D3941" t="inlineStr">
        <is>
          <t>1</t>
        </is>
      </c>
      <c r="E3941" t="inlineStr">
        <is>
          <t>30</t>
        </is>
      </c>
      <c r="F3941" t="inlineStr">
        <is>
          <t>0</t>
        </is>
      </c>
      <c r="G3941" t="inlineStr">
        <is>
          <t>0</t>
        </is>
      </c>
      <c r="H3941" t="inlineStr">
        <is>
          <t>10⁸, 40⁴</t>
        </is>
      </c>
      <c r="I3941" t="n">
        <v>12</v>
      </c>
      <c r="J3941" t="inlineStr">
        <is>
          <t>2³, 4⁶</t>
        </is>
      </c>
      <c r="K3941">
        <f>HYPERLINK("CSG5.html#group20E5", "20E⁵"), =HYPERLINK("CSG7.html#group40J7", "40J⁷")</f>
        <v/>
      </c>
      <c r="L3941" t="inlineStr"/>
      <c r="M3941">
        <f>HYPERLINK("CSG2.html#group20A2", "20A²"), =HYPERLINK("CSG0.html#group5A0", "5A⁰"), =HYPERLINK("CSG5.html#group20E5", "20E⁵"), =HYPERLINK("CSG3.html#group20E3", "20E³"), =HYPERLINK("CSG1.html#group10B1", "10B¹"), =HYPERLINK("CSG0.html#group5F0", "5F⁰"), =HYPERLINK("CSG7.html#group40J7", "40J⁷"), =HYPERLINK("CSG0.html#group2B0", "2B⁰"), =HYPERLINK("CSG2.html#group20F2", "20F²"), =HYPERLINK("CSG0.html#group4B0", "4B⁰"), =HYPERLINK("CSG0.html#group1A0", "1A⁰"), =HYPERLINK("CSG2.html#group10D2", "10D²"), =HYPERLINK("CSG1.html#group10F1", "10F¹"), =HYPERLINK("CSG0.html#group5C0", "5C⁰")</f>
        <v/>
      </c>
      <c r="N3941" t="inlineStr"/>
    </row>
    <row r="3942">
      <c r="A3942" t="inlineStr">
        <is>
          <t>40B¹⁵</t>
        </is>
      </c>
      <c r="B3942" t="inlineStr"/>
      <c r="C3942" t="inlineStr">
        <is>
          <t>240</t>
        </is>
      </c>
      <c r="D3942" t="inlineStr">
        <is>
          <t>1</t>
        </is>
      </c>
      <c r="E3942" t="inlineStr">
        <is>
          <t>30</t>
        </is>
      </c>
      <c r="F3942" t="inlineStr">
        <is>
          <t>0</t>
        </is>
      </c>
      <c r="G3942" t="inlineStr">
        <is>
          <t>0</t>
        </is>
      </c>
      <c r="H3942" t="inlineStr">
        <is>
          <t>10⁸, 40⁴</t>
        </is>
      </c>
      <c r="I3942" t="n">
        <v>12</v>
      </c>
      <c r="J3942" t="inlineStr">
        <is>
          <t>2³, 4⁶</t>
        </is>
      </c>
      <c r="K3942">
        <f>HYPERLINK("CSG7.html#group20C7", "20C⁷"), =HYPERLINK("CSG7.html#group40F7", "40F⁷"), =HYPERLINK("CSG7.html#group40H7", "40H⁷")</f>
        <v/>
      </c>
      <c r="L3942" t="inlineStr"/>
      <c r="M3942">
        <f>HYPERLINK("CSG0.html#group2A0", "2A⁰"), =HYPERLINK("CSG3.html#group20E3", "20E³"), =HYPERLINK("CSG0.html#group4C0", "4C⁰"), =HYPERLINK("CSG3.html#group10A3", "10A³"), =HYPERLINK("CSG0.html#group2B0", "2B⁰"), =HYPERLINK("CSG0.html#group4E0", "4E⁰"), =HYPERLINK("CSG0.html#group4B0", "4B⁰"), =HYPERLINK("CSG0.html#group1A0", "1A⁰"), =HYPERLINK("CSG3.html#group20F3", "20F³"), =HYPERLINK("CSG7.html#group40F7", "40F⁷"), =HYPERLINK("CSG1.html#group10F1", "10F¹"), =HYPERLINK("CSG7.html#group40H7", "40H⁷"), =HYPERLINK("CSG7.html#group20C7", "20C⁷"), =HYPERLINK("CSG1.html#group10C1", "10C¹"), =HYPERLINK("CSG0.html#group5C0", "5C⁰"), =HYPERLINK("CSG0.html#group2C0", "2C⁰")</f>
        <v/>
      </c>
      <c r="N3942" t="inlineStr"/>
    </row>
    <row r="3943">
      <c r="A3943" t="inlineStr">
        <is>
          <t>40C¹⁵</t>
        </is>
      </c>
      <c r="B3943" t="inlineStr"/>
      <c r="C3943" t="inlineStr">
        <is>
          <t>240</t>
        </is>
      </c>
      <c r="D3943" t="inlineStr">
        <is>
          <t>1</t>
        </is>
      </c>
      <c r="E3943" t="inlineStr">
        <is>
          <t>30</t>
        </is>
      </c>
      <c r="F3943" t="inlineStr">
        <is>
          <t>0</t>
        </is>
      </c>
      <c r="G3943" t="inlineStr">
        <is>
          <t>0</t>
        </is>
      </c>
      <c r="H3943" t="inlineStr">
        <is>
          <t>10⁸, 40⁴</t>
        </is>
      </c>
      <c r="I3943" t="n">
        <v>12</v>
      </c>
      <c r="J3943" t="inlineStr">
        <is>
          <t>2³, 4⁶</t>
        </is>
      </c>
      <c r="K3943">
        <f>HYPERLINK("CSG0.html#group8G0", "8G⁰"), =HYPERLINK("CSG7.html#group20C7", "20C⁷"), =HYPERLINK("CSG7.html#group40G7", "40G⁷"), =HYPERLINK("CSG7.html#group40I7", "40I⁷")</f>
        <v/>
      </c>
      <c r="L3943" t="inlineStr"/>
      <c r="M3943">
        <f>HYPERLINK("CSG0.html#group2A0", "2A⁰"), =HYPERLINK("CSG7.html#group40G7", "40G⁷"), =HYPERLINK("CSG7.html#group40I7", "40I⁷"), =HYPERLINK("CSG0.html#group8D0", "8D⁰"), =HYPERLINK("CSG3.html#group20E3", "20E³"), =HYPERLINK("CSG0.html#group4C0", "4C⁰"), =HYPERLINK("CSG3.html#group10A3", "10A³"), =HYPERLINK("CSG0.html#group2B0", "2B⁰"), =HYPERLINK("CSG0.html#group8C0", "8C⁰"), =HYPERLINK("CSG0.html#group4E0", "4E⁰"), =HYPERLINK("CSG0.html#group4B0", "4B⁰"), =HYPERLINK("CSG0.html#group1A0", "1A⁰"), =HYPERLINK("CSG3.html#group20F3", "20F³"), =HYPERLINK("CSG1.html#group10F1", "10F¹"), =HYPERLINK("CSG0.html#group8G0", "8G⁰"), =HYPERLINK("CSG7.html#group20C7", "20C⁷"), =HYPERLINK("CSG1.html#group10C1", "10C¹"), =HYPERLINK("CSG0.html#group5C0", "5C⁰"), =HYPERLINK("CSG0.html#group2C0", "2C⁰")</f>
        <v/>
      </c>
      <c r="N3943" t="inlineStr"/>
    </row>
    <row r="3944">
      <c r="A3944" t="inlineStr">
        <is>
          <t>40D¹⁵</t>
        </is>
      </c>
      <c r="B3944" t="inlineStr"/>
      <c r="C3944" t="inlineStr">
        <is>
          <t>240</t>
        </is>
      </c>
      <c r="D3944" t="inlineStr">
        <is>
          <t>1</t>
        </is>
      </c>
      <c r="E3944" t="inlineStr">
        <is>
          <t>60</t>
        </is>
      </c>
      <c r="F3944" t="inlineStr">
        <is>
          <t>0</t>
        </is>
      </c>
      <c r="G3944" t="inlineStr">
        <is>
          <t>0</t>
        </is>
      </c>
      <c r="H3944" t="inlineStr">
        <is>
          <t>10⁸, 40⁴</t>
        </is>
      </c>
      <c r="I3944" t="n">
        <v>12</v>
      </c>
      <c r="J3944" t="inlineStr">
        <is>
          <t>2², 4⁶, 8⁴</t>
        </is>
      </c>
      <c r="K3944">
        <f>HYPERLINK("CSG4.html#group40C4", "40C⁴"), =HYPERLINK("CSG7.html#group20D7", "20D⁷"), =HYPERLINK("CSG7.html#group40H7", "40H⁷"), =HYPERLINK("CSG7.html#group40I7", "40I⁷")</f>
        <v/>
      </c>
      <c r="L3944" t="inlineStr"/>
      <c r="M3944">
        <f>HYPERLINK("CSG7.html#group20D7", "20D⁷"), =HYPERLINK("CSG0.html#group5A0", "5A⁰"), =HYPERLINK("CSG7.html#group40I7", "40I⁷"), =HYPERLINK("CSG0.html#group8D0", "8D⁰"), =HYPERLINK("CSG1.html#group10B1", "10B¹"), =HYPERLINK("CSG2.html#group20B2", "20B²"), =HYPERLINK("CSG0.html#group4C0", "4C⁰"), =HYPERLINK("CSG0.html#group5F0", "5F⁰"), =HYPERLINK("CSG0.html#group2B0", "2B⁰"), =HYPERLINK("CSG0.html#group1A0", "1A⁰"), =HYPERLINK("CSG3.html#group20F3", "20F³"), =HYPERLINK("CSG2.html#group10D2", "10D²"), =HYPERLINK("CSG1.html#group10F1", "10F¹"), =HYPERLINK("CSG4.html#group40C4", "40C⁴"), =HYPERLINK("CSG7.html#group40H7", "40H⁷"), =HYPERLINK("CSG4.html#group20B4", "20B⁴"), =HYPERLINK("CSG0.html#group5C0", "5C⁰")</f>
        <v/>
      </c>
      <c r="N3944" t="inlineStr"/>
    </row>
    <row r="3945">
      <c r="A3945" t="inlineStr">
        <is>
          <t>40E¹⁵</t>
        </is>
      </c>
      <c r="B3945" t="inlineStr"/>
      <c r="C3945" t="inlineStr">
        <is>
          <t>240</t>
        </is>
      </c>
      <c r="D3945" t="inlineStr">
        <is>
          <t>1</t>
        </is>
      </c>
      <c r="E3945" t="inlineStr">
        <is>
          <t>60</t>
        </is>
      </c>
      <c r="F3945" t="inlineStr">
        <is>
          <t>0</t>
        </is>
      </c>
      <c r="G3945" t="inlineStr">
        <is>
          <t>0</t>
        </is>
      </c>
      <c r="H3945" t="inlineStr">
        <is>
          <t>10⁸, 40⁴</t>
        </is>
      </c>
      <c r="I3945" t="n">
        <v>12</v>
      </c>
      <c r="J3945" t="inlineStr">
        <is>
          <t>2⁴, 4⁹, 8²</t>
        </is>
      </c>
      <c r="K3945">
        <f>HYPERLINK("CSG7.html#group20A7", "20A⁷"), =HYPERLINK("CSG7.html#group40F7", "40F⁷"), =HYPERLINK("CSG7.html#group40G7", "40G⁷")</f>
        <v/>
      </c>
      <c r="L3945" t="inlineStr"/>
      <c r="M3945">
        <f>HYPERLINK("CSG7.html#group40G7", "40G⁷"), =HYPERLINK("CSG2.html#group10E2", "10E²"), =HYPERLINK("CSG3.html#group20E3", "20E³"), =HYPERLINK("CSG0.html#group10D0", "10D⁰"), =HYPERLINK("CSG7.html#group20A7", "20A⁷"), =HYPERLINK("CSG0.html#group1A0", "1A⁰"), =HYPERLINK("CSG0.html#group8C0", "8C⁰"), =HYPERLINK("CSG0.html#group2B0", "2B⁰"), =HYPERLINK("CSG4.html#group20B4", "20B⁴"), =HYPERLINK("CSG0.html#group4B0", "4B⁰"), =HYPERLINK("CSG0.html#group5C0", "5C⁰"), =HYPERLINK("CSG7.html#group40F7", "40F⁷"), =HYPERLINK("CSG1.html#group10F1", "10F¹")</f>
        <v/>
      </c>
      <c r="N3945" t="inlineStr"/>
    </row>
    <row r="3946">
      <c r="A3946" t="inlineStr">
        <is>
          <t>40F¹⁵</t>
        </is>
      </c>
      <c r="B3946" t="inlineStr"/>
      <c r="C3946" t="inlineStr">
        <is>
          <t>240</t>
        </is>
      </c>
      <c r="D3946" t="inlineStr">
        <is>
          <t>1</t>
        </is>
      </c>
      <c r="E3946" t="inlineStr">
        <is>
          <t>60</t>
        </is>
      </c>
      <c r="F3946" t="inlineStr">
        <is>
          <t>8</t>
        </is>
      </c>
      <c r="G3946" t="inlineStr">
        <is>
          <t>0</t>
        </is>
      </c>
      <c r="H3946" t="inlineStr">
        <is>
          <t>20⁴, 40⁴</t>
        </is>
      </c>
      <c r="I3946" t="n">
        <v>8</v>
      </c>
      <c r="J3946" t="inlineStr">
        <is>
          <t>2², 4⁶, 8⁴</t>
        </is>
      </c>
      <c r="K3946">
        <f>HYPERLINK("CSG7.html#group20G7", "20G⁷"), =HYPERLINK("CSG7.html#group40D7", "40D⁷"), =HYPERLINK("CSG7.html#group40I7", "40I⁷")</f>
        <v/>
      </c>
      <c r="L3946" t="inlineStr"/>
      <c r="M3946">
        <f>HYPERLINK("CSG7.html#group40I7", "40I⁷"), =HYPERLINK("CSG0.html#group8D0", "8D⁰"), =HYPERLINK("CSG7.html#group20G7", "20G⁷"), =HYPERLINK("CSG0.html#group4C0", "4C⁰"), =HYPERLINK("CSG1.html#group10F1", "10F¹"), =HYPERLINK("CSG0.html#group1A0", "1A⁰"), =HYPERLINK("CSG0.html#group2B0", "2B⁰"), =HYPERLINK("CSG0.html#group5C0", "5C⁰"), =HYPERLINK("CSG3.html#group20F3", "20F³"), =HYPERLINK("CSG7.html#group40D7", "40D⁷")</f>
        <v/>
      </c>
      <c r="N3946" t="inlineStr"/>
    </row>
    <row r="3947">
      <c r="A3947" t="inlineStr">
        <is>
          <t>40G¹⁵</t>
        </is>
      </c>
      <c r="B3947" t="inlineStr"/>
      <c r="C3947" t="inlineStr">
        <is>
          <t>240</t>
        </is>
      </c>
      <c r="D3947" t="inlineStr">
        <is>
          <t>1</t>
        </is>
      </c>
      <c r="E3947" t="inlineStr">
        <is>
          <t>60</t>
        </is>
      </c>
      <c r="F3947" t="inlineStr">
        <is>
          <t>8</t>
        </is>
      </c>
      <c r="G3947" t="inlineStr">
        <is>
          <t>0</t>
        </is>
      </c>
      <c r="H3947" t="inlineStr">
        <is>
          <t>20⁴, 40⁴</t>
        </is>
      </c>
      <c r="I3947" t="n">
        <v>8</v>
      </c>
      <c r="J3947" t="inlineStr">
        <is>
          <t>2², 4⁶, 8⁴</t>
        </is>
      </c>
      <c r="K3947">
        <f>HYPERLINK("CSG7.html#group20G7", "20G⁷"), =HYPERLINK("CSG7.html#group40E7", "40E⁷"), =HYPERLINK("CSG7.html#group40H7", "40H⁷")</f>
        <v/>
      </c>
      <c r="L3947" t="inlineStr"/>
      <c r="M3947">
        <f>HYPERLINK("CSG7.html#group40E7", "40E⁷"), =HYPERLINK("CSG7.html#group20G7", "20G⁷"), =HYPERLINK("CSG0.html#group5C0", "5C⁰"), =HYPERLINK("CSG0.html#group4C0", "4C⁰"), =HYPERLINK("CSG7.html#group40H7", "40H⁷"), =HYPERLINK("CSG0.html#group8B0", "8B⁰"), =HYPERLINK("CSG0.html#group2B0", "2B⁰"), =HYPERLINK("CSG0.html#group1A0", "1A⁰"), =HYPERLINK("CSG3.html#group20F3", "20F³"), =HYPERLINK("CSG1.html#group10F1", "10F¹")</f>
        <v/>
      </c>
      <c r="N3947" t="inlineStr"/>
    </row>
    <row r="3948">
      <c r="A3948" t="inlineStr">
        <is>
          <t>40H¹⁵</t>
        </is>
      </c>
      <c r="B3948" t="inlineStr"/>
      <c r="C3948" t="inlineStr">
        <is>
          <t>240</t>
        </is>
      </c>
      <c r="D3948" t="inlineStr">
        <is>
          <t>1</t>
        </is>
      </c>
      <c r="E3948" t="inlineStr">
        <is>
          <t>60</t>
        </is>
      </c>
      <c r="F3948" t="inlineStr">
        <is>
          <t>8</t>
        </is>
      </c>
      <c r="G3948" t="inlineStr">
        <is>
          <t>0</t>
        </is>
      </c>
      <c r="H3948" t="inlineStr">
        <is>
          <t>20⁴, 40⁴</t>
        </is>
      </c>
      <c r="I3948" t="n">
        <v>8</v>
      </c>
      <c r="J3948" t="inlineStr">
        <is>
          <t>2², 4⁶, 8⁴</t>
        </is>
      </c>
      <c r="K3948">
        <f>HYPERLINK("CSG7.html#group20H7", "20H⁷"), =HYPERLINK("CSG7.html#group40D7", "40D⁷"), =HYPERLINK("CSG7.html#group40H7", "40H⁷")</f>
        <v/>
      </c>
      <c r="L3948" t="inlineStr"/>
      <c r="M3948">
        <f>HYPERLINK("CSG7.html#group20H7", "20H⁷"), =HYPERLINK("CSG0.html#group4A0", "4A⁰"), =HYPERLINK("CSG0.html#group4C0", "4C⁰"), =HYPERLINK("CSG0.html#group5C0", "5C⁰"), =HYPERLINK("CSG7.html#group40H7", "40H⁷"), =HYPERLINK("CSG1.html#group10F1", "10F¹"), =HYPERLINK("CSG0.html#group2B0", "2B⁰"), =HYPERLINK("CSG0.html#group4F0", "4F⁰"), =HYPERLINK("CSG0.html#group1A0", "1A⁰"), =HYPERLINK("CSG2.html#group20E2", "20E²"), =HYPERLINK("CSG3.html#group20F3", "20F³"), =HYPERLINK("CSG7.html#group40D7", "40D⁷")</f>
        <v/>
      </c>
      <c r="N3948" t="inlineStr"/>
    </row>
    <row r="3949">
      <c r="A3949" t="inlineStr">
        <is>
          <t>40I¹⁵</t>
        </is>
      </c>
      <c r="B3949" t="inlineStr"/>
      <c r="C3949" t="inlineStr">
        <is>
          <t>240</t>
        </is>
      </c>
      <c r="D3949" t="inlineStr">
        <is>
          <t>1</t>
        </is>
      </c>
      <c r="E3949" t="inlineStr">
        <is>
          <t>60</t>
        </is>
      </c>
      <c r="F3949" t="inlineStr">
        <is>
          <t>8</t>
        </is>
      </c>
      <c r="G3949" t="inlineStr">
        <is>
          <t>0</t>
        </is>
      </c>
      <c r="H3949" t="inlineStr">
        <is>
          <t>20⁴, 40⁴</t>
        </is>
      </c>
      <c r="I3949" t="n">
        <v>8</v>
      </c>
      <c r="J3949" t="inlineStr">
        <is>
          <t>2², 4⁶, 8⁴</t>
        </is>
      </c>
      <c r="K3949">
        <f>HYPERLINK("CSG0.html#group8H0", "8H⁰"), =HYPERLINK("CSG7.html#group20H7", "20H⁷"), =HYPERLINK("CSG7.html#group40E7", "40E⁷"), =HYPERLINK("CSG7.html#group40I7", "40I⁷")</f>
        <v/>
      </c>
      <c r="L3949" t="inlineStr"/>
      <c r="M3949">
        <f>HYPERLINK("CSG7.html#group40I7", "40I⁷"), =HYPERLINK("CSG0.html#group8D0", "8D⁰"), =HYPERLINK("CSG0.html#group4C0", "4C⁰"), =HYPERLINK("CSG0.html#group8B0", "8B⁰"), =HYPERLINK("CSG0.html#group2B0", "2B⁰"), =HYPERLINK("CSG0.html#group1A0", "1A⁰"), =HYPERLINK("CSG3.html#group20F3", "20F³"), =HYPERLINK("CSG1.html#group10F1", "10F¹"), =HYPERLINK("CSG0.html#group8H0", "8H⁰"), =HYPERLINK("CSG7.html#group40E7", "40E⁷"), =HYPERLINK("CSG7.html#group20H7", "20H⁷"), =HYPERLINK("CSG0.html#group4A0", "4A⁰"), =HYPERLINK("CSG0.html#group4F0", "4F⁰"), =HYPERLINK("CSG0.html#group5C0", "5C⁰"), =HYPERLINK("CSG2.html#group20E2", "20E²")</f>
        <v/>
      </c>
      <c r="N3949" t="inlineStr"/>
    </row>
    <row r="3950">
      <c r="A3950" t="inlineStr">
        <is>
          <t>40J¹⁵</t>
        </is>
      </c>
      <c r="B3950" t="inlineStr"/>
      <c r="C3950" t="inlineStr">
        <is>
          <t>240</t>
        </is>
      </c>
      <c r="D3950" t="inlineStr">
        <is>
          <t>1</t>
        </is>
      </c>
      <c r="E3950" t="inlineStr">
        <is>
          <t>60</t>
        </is>
      </c>
      <c r="F3950" t="inlineStr">
        <is>
          <t>8</t>
        </is>
      </c>
      <c r="G3950" t="inlineStr">
        <is>
          <t>0</t>
        </is>
      </c>
      <c r="H3950" t="inlineStr">
        <is>
          <t>20⁴, 40⁴</t>
        </is>
      </c>
      <c r="I3950" t="n">
        <v>8</v>
      </c>
      <c r="J3950" t="inlineStr">
        <is>
          <t>2⁴, 4⁹, 8²</t>
        </is>
      </c>
      <c r="K3950">
        <f>HYPERLINK("CSG5.html#group20F5", "20F⁵")</f>
        <v/>
      </c>
      <c r="L3950" t="inlineStr"/>
      <c r="M3950">
        <f>HYPERLINK("CSG2.html#group10E2", "10E²"), =HYPERLINK("CSG5.html#group20F5", "20F⁵"), =HYPERLINK("CSG0.html#group10D0", "10D⁰"), =HYPERLINK("CSG0.html#group4C0", "4C⁰"), =HYPERLINK("CSG0.html#group5C0", "5C⁰"), =HYPERLINK("CSG0.html#group2B0", "2B⁰"), =HYPERLINK("CSG2.html#group20F2", "20F²"), =HYPERLINK("CSG0.html#group1A0", "1A⁰"), =HYPERLINK("CSG3.html#group20F3", "20F³"), =HYPERLINK("CSG1.html#group10F1", "10F¹")</f>
        <v/>
      </c>
      <c r="N3950" t="inlineStr"/>
    </row>
    <row r="3951">
      <c r="A3951" t="inlineStr">
        <is>
          <t>40K¹⁵</t>
        </is>
      </c>
      <c r="B3951" t="inlineStr"/>
      <c r="C3951" t="inlineStr">
        <is>
          <t>240</t>
        </is>
      </c>
      <c r="D3951" t="inlineStr">
        <is>
          <t>1</t>
        </is>
      </c>
      <c r="E3951" t="inlineStr">
        <is>
          <t>80</t>
        </is>
      </c>
      <c r="F3951" t="inlineStr">
        <is>
          <t>12</t>
        </is>
      </c>
      <c r="G3951" t="inlineStr">
        <is>
          <t>0</t>
        </is>
      </c>
      <c r="H3951" t="inlineStr">
        <is>
          <t>40⁶</t>
        </is>
      </c>
      <c r="I3951" t="n">
        <v>6</v>
      </c>
      <c r="J3951" t="inlineStr">
        <is>
          <t>4⁴, 16⁴</t>
        </is>
      </c>
      <c r="K3951">
        <f>HYPERLINK("CSG3.html#group20D3", "20D³"), =HYPERLINK("CSG5.html#group40D5", "40D⁵")</f>
        <v/>
      </c>
      <c r="L3951" t="inlineStr"/>
      <c r="M3951">
        <f>HYPERLINK("CSG0.html#group5A0", "5A⁰"), =HYPERLINK("CSG0.html#group8F0", "8F⁰"), =HYPERLINK("CSG0.html#group4A0", "4A⁰"), =HYPERLINK("CSG0.html#group5E0", "5E⁰"), =HYPERLINK("CSG1.html#group20A1", "20A¹"), =HYPERLINK("CSG0.html#group1A0", "1A⁰"), =HYPERLINK("CSG5.html#group40D5", "40D⁵"), =HYPERLINK("CSG3.html#group20D3", "20D³")</f>
        <v/>
      </c>
      <c r="N3951" t="inlineStr"/>
    </row>
    <row r="3952">
      <c r="A3952" t="inlineStr">
        <is>
          <t>40L¹⁵</t>
        </is>
      </c>
      <c r="B3952" t="inlineStr"/>
      <c r="C3952" t="inlineStr">
        <is>
          <t>240</t>
        </is>
      </c>
      <c r="D3952" t="inlineStr">
        <is>
          <t>1</t>
        </is>
      </c>
      <c r="E3952" t="inlineStr">
        <is>
          <t>120</t>
        </is>
      </c>
      <c r="F3952" t="inlineStr">
        <is>
          <t>0</t>
        </is>
      </c>
      <c r="G3952" t="inlineStr">
        <is>
          <t>0</t>
        </is>
      </c>
      <c r="H3952" t="inlineStr">
        <is>
          <t>5⁴, 10², 20², 40⁴</t>
        </is>
      </c>
      <c r="I3952" t="n">
        <v>12</v>
      </c>
      <c r="J3952" t="inlineStr">
        <is>
          <t>2⁴, 4¹⁰, 8⁵, 16²</t>
        </is>
      </c>
      <c r="K3952">
        <f>HYPERLINK("CSG7.html#group40G7", "40G⁷")</f>
        <v/>
      </c>
      <c r="L3952" t="inlineStr"/>
      <c r="M3952">
        <f>HYPERLINK("CSG7.html#group40G7", "40G⁷"), =HYPERLINK("CSG3.html#group20E3", "20E³"), =HYPERLINK("CSG0.html#group1A0", "1A⁰"), =HYPERLINK("CSG0.html#group8C0", "8C⁰"), =HYPERLINK("CSG0.html#group2B0", "2B⁰"), =HYPERLINK("CSG0.html#group4B0", "4B⁰"), =HYPERLINK("CSG0.html#group5C0", "5C⁰"), =HYPERLINK("CSG1.html#group10F1", "10F¹")</f>
        <v/>
      </c>
      <c r="N3952" t="inlineStr"/>
    </row>
    <row r="3953">
      <c r="A3953" t="inlineStr">
        <is>
          <t>40M¹⁵</t>
        </is>
      </c>
      <c r="B3953" t="inlineStr"/>
      <c r="C3953" t="inlineStr">
        <is>
          <t>240</t>
        </is>
      </c>
      <c r="D3953" t="inlineStr">
        <is>
          <t>1</t>
        </is>
      </c>
      <c r="E3953" t="inlineStr">
        <is>
          <t>120</t>
        </is>
      </c>
      <c r="F3953" t="inlineStr">
        <is>
          <t>0</t>
        </is>
      </c>
      <c r="G3953" t="inlineStr">
        <is>
          <t>0</t>
        </is>
      </c>
      <c r="H3953" t="inlineStr">
        <is>
          <t>5⁴, 10², 20², 40⁴</t>
        </is>
      </c>
      <c r="I3953" t="n">
        <v>12</v>
      </c>
      <c r="J3953" t="inlineStr">
        <is>
          <t>2⁴, 4¹⁰, 8⁵, 16²</t>
        </is>
      </c>
      <c r="K3953">
        <f>HYPERLINK("CSG0.html#group8I0", "8I⁰"), =HYPERLINK("CSG7.html#group40G7", "40G⁷")</f>
        <v/>
      </c>
      <c r="L3953" t="inlineStr"/>
      <c r="M3953">
        <f>HYPERLINK("CSG7.html#group40G7", "40G⁷"), =HYPERLINK("CSG3.html#group20E3", "20E³"), =HYPERLINK("CSG0.html#group1A0", "1A⁰"), =HYPERLINK("CSG0.html#group8C0", "8C⁰"), =HYPERLINK("CSG0.html#group2B0", "2B⁰"), =HYPERLINK("CSG0.html#group8I0", "8I⁰"), =HYPERLINK("CSG0.html#group4B0", "4B⁰"), =HYPERLINK("CSG0.html#group5C0", "5C⁰"), =HYPERLINK("CSG1.html#group10F1", "10F¹")</f>
        <v/>
      </c>
      <c r="N3953" t="inlineStr"/>
    </row>
    <row r="3954">
      <c r="A3954" t="inlineStr">
        <is>
          <t>40N¹⁵</t>
        </is>
      </c>
      <c r="B3954" t="inlineStr"/>
      <c r="C3954" t="inlineStr">
        <is>
          <t>240</t>
        </is>
      </c>
      <c r="D3954" t="inlineStr">
        <is>
          <t>1</t>
        </is>
      </c>
      <c r="E3954" t="inlineStr">
        <is>
          <t>120</t>
        </is>
      </c>
      <c r="F3954" t="inlineStr">
        <is>
          <t>0</t>
        </is>
      </c>
      <c r="G3954" t="inlineStr">
        <is>
          <t>0</t>
        </is>
      </c>
      <c r="H3954" t="inlineStr">
        <is>
          <t>10⁴, 20⁶, 40²</t>
        </is>
      </c>
      <c r="I3954" t="n">
        <v>12</v>
      </c>
      <c r="J3954" t="inlineStr">
        <is>
          <t>2⁸, 4¹⁸, 8⁴</t>
        </is>
      </c>
      <c r="K3954">
        <f>HYPERLINK("CSG7.html#group20C7", "20C⁷")</f>
        <v/>
      </c>
      <c r="L3954" t="inlineStr"/>
      <c r="M3954">
        <f>HYPERLINK("CSG0.html#group2A0", "2A⁰"), =HYPERLINK("CSG3.html#group20E3", "20E³"), =HYPERLINK("CSG0.html#group4C0", "4C⁰"), =HYPERLINK("CSG0.html#group5C0", "5C⁰"), =HYPERLINK("CSG7.html#group20C7", "20C⁷"), =HYPERLINK("CSG3.html#group10A3", "10A³"), =HYPERLINK("CSG1.html#group10C1", "10C¹"), =HYPERLINK("CSG0.html#group4E0", "4E⁰"), =HYPERLINK("CSG0.html#group2B0", "2B⁰"), =HYPERLINK("CSG0.html#group4B0", "4B⁰"), =HYPERLINK("CSG0.html#group1A0", "1A⁰"), =HYPERLINK("CSG0.html#group2C0", "2C⁰"), =HYPERLINK("CSG3.html#group20F3", "20F³"), =HYPERLINK("CSG1.html#group10F1", "10F¹")</f>
        <v/>
      </c>
      <c r="N3954" t="inlineStr"/>
    </row>
    <row r="3955">
      <c r="A3955" t="inlineStr">
        <is>
          <t>40O¹⁵</t>
        </is>
      </c>
      <c r="B3955" t="inlineStr"/>
      <c r="C3955" t="inlineStr">
        <is>
          <t>240</t>
        </is>
      </c>
      <c r="D3955" t="inlineStr">
        <is>
          <t>1</t>
        </is>
      </c>
      <c r="E3955" t="inlineStr">
        <is>
          <t>120</t>
        </is>
      </c>
      <c r="F3955" t="inlineStr">
        <is>
          <t>0</t>
        </is>
      </c>
      <c r="G3955" t="inlineStr">
        <is>
          <t>0</t>
        </is>
      </c>
      <c r="H3955" t="inlineStr">
        <is>
          <t>10⁴, 20⁶, 40²</t>
        </is>
      </c>
      <c r="I3955" t="n">
        <v>12</v>
      </c>
      <c r="J3955" t="inlineStr">
        <is>
          <t>2⁸, 4¹⁸, 8⁴</t>
        </is>
      </c>
      <c r="K3955">
        <f>HYPERLINK("CSG0.html#group8J0", "8J⁰"), =HYPERLINK("CSG7.html#group20C7", "20C⁷")</f>
        <v/>
      </c>
      <c r="L3955" t="inlineStr"/>
      <c r="M3955">
        <f>HYPERLINK("CSG0.html#group2A0", "2A⁰"), =HYPERLINK("CSG3.html#group20E3", "20E³"), =HYPERLINK("CSG0.html#group4C0", "4C⁰"), =HYPERLINK("CSG0.html#group5C0", "5C⁰"), =HYPERLINK("CSG3.html#group10A3", "10A³"), =HYPERLINK("CSG0.html#group2B0", "2B⁰"), =HYPERLINK("CSG0.html#group4E0", "4E⁰"), =HYPERLINK("CSG0.html#group4B0", "4B⁰"), =HYPERLINK("CSG0.html#group1A0", "1A⁰"), =HYPERLINK("CSG3.html#group20F3", "20F³"), =HYPERLINK("CSG1.html#group10F1", "10F¹"), =HYPERLINK("CSG7.html#group20C7", "20C⁷"), =HYPERLINK("CSG1.html#group10C1", "10C¹"), =HYPERLINK("CSG0.html#group8J0", "8J⁰"), =HYPERLINK("CSG0.html#group2C0", "2C⁰")</f>
        <v/>
      </c>
      <c r="N3955" t="inlineStr"/>
    </row>
    <row r="3956">
      <c r="A3956" t="inlineStr">
        <is>
          <t>40P¹⁵</t>
        </is>
      </c>
      <c r="B3956" t="inlineStr"/>
      <c r="C3956" t="inlineStr">
        <is>
          <t>240</t>
        </is>
      </c>
      <c r="D3956" t="inlineStr">
        <is>
          <t>1</t>
        </is>
      </c>
      <c r="E3956" t="inlineStr">
        <is>
          <t>120</t>
        </is>
      </c>
      <c r="F3956" t="inlineStr">
        <is>
          <t>4</t>
        </is>
      </c>
      <c r="G3956" t="inlineStr">
        <is>
          <t>0</t>
        </is>
      </c>
      <c r="H3956" t="inlineStr">
        <is>
          <t>20⁸, 40²</t>
        </is>
      </c>
      <c r="I3956" t="n">
        <v>10</v>
      </c>
      <c r="J3956" t="inlineStr">
        <is>
          <t>4², 8⁶, 16⁴</t>
        </is>
      </c>
      <c r="K3956">
        <f>HYPERLINK("CSG7.html#group20H7", "20H⁷")</f>
        <v/>
      </c>
      <c r="L3956" t="inlineStr"/>
      <c r="M3956">
        <f>HYPERLINK("CSG7.html#group20H7", "20H⁷"), =HYPERLINK("CSG0.html#group4A0", "4A⁰"), =HYPERLINK("CSG0.html#group4C0", "4C⁰"), =HYPERLINK("CSG0.html#group5C0", "5C⁰"), =HYPERLINK("CSG0.html#group2B0", "2B⁰"), =HYPERLINK("CSG0.html#group4F0", "4F⁰"), =HYPERLINK("CSG0.html#group1A0", "1A⁰"), =HYPERLINK("CSG2.html#group20E2", "20E²"), =HYPERLINK("CSG3.html#group20F3", "20F³"), =HYPERLINK("CSG1.html#group10F1", "10F¹")</f>
        <v/>
      </c>
      <c r="N3956" t="inlineStr"/>
    </row>
    <row r="3957">
      <c r="A3957" t="inlineStr">
        <is>
          <t>40Q¹⁵</t>
        </is>
      </c>
      <c r="B3957" t="inlineStr"/>
      <c r="C3957" t="inlineStr">
        <is>
          <t>240</t>
        </is>
      </c>
      <c r="D3957" t="inlineStr">
        <is>
          <t>1</t>
        </is>
      </c>
      <c r="E3957" t="inlineStr">
        <is>
          <t>120</t>
        </is>
      </c>
      <c r="F3957" t="inlineStr">
        <is>
          <t>4</t>
        </is>
      </c>
      <c r="G3957" t="inlineStr">
        <is>
          <t>0</t>
        </is>
      </c>
      <c r="H3957" t="inlineStr">
        <is>
          <t>20⁸, 40²</t>
        </is>
      </c>
      <c r="I3957" t="n">
        <v>10</v>
      </c>
      <c r="J3957" t="inlineStr">
        <is>
          <t>4², 8⁶, 16⁴</t>
        </is>
      </c>
      <c r="K3957">
        <f>HYPERLINK("CSG0.html#group8K0", "8K⁰"), =HYPERLINK("CSG7.html#group20H7", "20H⁷")</f>
        <v/>
      </c>
      <c r="L3957" t="inlineStr"/>
      <c r="M3957">
        <f>HYPERLINK("CSG7.html#group20H7", "20H⁷"), =HYPERLINK("CSG0.html#group4A0", "4A⁰"), =HYPERLINK("CSG0.html#group4C0", "4C⁰"), =HYPERLINK("CSG0.html#group5C0", "5C⁰"), =HYPERLINK("CSG0.html#group1A0", "1A⁰"), =HYPERLINK("CSG0.html#group2B0", "2B⁰"), =HYPERLINK("CSG0.html#group4F0", "4F⁰"), =HYPERLINK("CSG0.html#group8K0", "8K⁰"), =HYPERLINK("CSG2.html#group20E2", "20E²"), =HYPERLINK("CSG3.html#group20F3", "20F³"), =HYPERLINK("CSG1.html#group10F1", "10F¹")</f>
        <v/>
      </c>
      <c r="N3957" t="inlineStr"/>
    </row>
    <row r="3958">
      <c r="A3958" t="inlineStr">
        <is>
          <t>40R¹⁵</t>
        </is>
      </c>
      <c r="B3958" t="inlineStr"/>
      <c r="C3958" t="inlineStr">
        <is>
          <t>240</t>
        </is>
      </c>
      <c r="D3958" t="inlineStr">
        <is>
          <t>1</t>
        </is>
      </c>
      <c r="E3958" t="inlineStr">
        <is>
          <t>120</t>
        </is>
      </c>
      <c r="F3958" t="inlineStr">
        <is>
          <t>8</t>
        </is>
      </c>
      <c r="G3958" t="inlineStr">
        <is>
          <t>0</t>
        </is>
      </c>
      <c r="H3958" t="inlineStr">
        <is>
          <t>20⁴, 40⁴</t>
        </is>
      </c>
      <c r="I3958" t="n">
        <v>8</v>
      </c>
      <c r="J3958" t="inlineStr">
        <is>
          <t>2⁴, 4¹⁰, 8⁵, 16²</t>
        </is>
      </c>
      <c r="K3958">
        <f>HYPERLINK("CSG7.html#group40E7", "40E⁷")</f>
        <v/>
      </c>
      <c r="L3958" t="inlineStr"/>
      <c r="M3958">
        <f>HYPERLINK("CSG7.html#group40E7", "40E⁷"), =HYPERLINK("CSG0.html#group4C0", "4C⁰"), =HYPERLINK("CSG0.html#group8B0", "8B⁰"), =HYPERLINK("CSG0.html#group1A0", "1A⁰"), =HYPERLINK("CSG0.html#group2B0", "2B⁰"), =HYPERLINK("CSG0.html#group5C0", "5C⁰"), =HYPERLINK("CSG3.html#group20F3", "20F³"), =HYPERLINK("CSG1.html#group10F1", "10F¹")</f>
        <v/>
      </c>
      <c r="N3958" t="inlineStr"/>
    </row>
    <row r="3959">
      <c r="A3959" t="inlineStr">
        <is>
          <t>40S¹⁵</t>
        </is>
      </c>
      <c r="B3959" t="inlineStr"/>
      <c r="C3959" t="inlineStr">
        <is>
          <t>240</t>
        </is>
      </c>
      <c r="D3959" t="inlineStr">
        <is>
          <t>1</t>
        </is>
      </c>
      <c r="E3959" t="inlineStr">
        <is>
          <t>120</t>
        </is>
      </c>
      <c r="F3959" t="inlineStr">
        <is>
          <t>8</t>
        </is>
      </c>
      <c r="G3959" t="inlineStr">
        <is>
          <t>0</t>
        </is>
      </c>
      <c r="H3959" t="inlineStr">
        <is>
          <t>20⁴, 40⁴</t>
        </is>
      </c>
      <c r="I3959" t="n">
        <v>8</v>
      </c>
      <c r="J3959" t="inlineStr">
        <is>
          <t>2⁴, 4¹⁰, 8⁵, 16²</t>
        </is>
      </c>
      <c r="K3959">
        <f>HYPERLINK("CSG0.html#group8L0", "8L⁰"), =HYPERLINK("CSG7.html#group40E7", "40E⁷")</f>
        <v/>
      </c>
      <c r="L3959" t="inlineStr"/>
      <c r="M3959">
        <f>HYPERLINK("CSG7.html#group40E7", "40E⁷"), =HYPERLINK("CSG0.html#group4C0", "4C⁰"), =HYPERLINK("CSG0.html#group5C0", "5C⁰"), =HYPERLINK("CSG0.html#group8B0", "8B⁰"), =HYPERLINK("CSG0.html#group8L0", "8L⁰"), =HYPERLINK("CSG0.html#group2B0", "2B⁰"), =HYPERLINK("CSG0.html#group1A0", "1A⁰"), =HYPERLINK("CSG3.html#group20F3", "20F³"), =HYPERLINK("CSG1.html#group10F1", "10F¹")</f>
        <v/>
      </c>
      <c r="N3959" t="inlineStr"/>
    </row>
    <row r="3960">
      <c r="A3960" t="inlineStr">
        <is>
          <t>40T¹⁵</t>
        </is>
      </c>
      <c r="B3960" t="inlineStr"/>
      <c r="C3960" t="inlineStr">
        <is>
          <t>240</t>
        </is>
      </c>
      <c r="D3960" t="inlineStr">
        <is>
          <t>2</t>
        </is>
      </c>
      <c r="E3960" t="inlineStr">
        <is>
          <t>30</t>
        </is>
      </c>
      <c r="F3960" t="inlineStr">
        <is>
          <t>0</t>
        </is>
      </c>
      <c r="G3960" t="inlineStr">
        <is>
          <t>0</t>
        </is>
      </c>
      <c r="H3960" t="inlineStr">
        <is>
          <t>10⁸, 40⁴</t>
        </is>
      </c>
      <c r="I3960" t="n">
        <v>12</v>
      </c>
      <c r="J3960" t="inlineStr">
        <is>
          <t>4³, 8⁶</t>
        </is>
      </c>
      <c r="K3960">
        <f>HYPERLINK("CSG5.html#group40K5", "40K⁵"), =HYPERLINK("CSG7.html#group20B7", "20B⁷"), =HYPERLINK("CSG7.html#group40J7", "40J⁷")</f>
        <v/>
      </c>
      <c r="L3960" t="inlineStr"/>
      <c r="M3960">
        <f>HYPERLINK("CSG0.html#group2A0", "2A⁰"), =HYPERLINK("CSG7.html#group20B7", "20B⁷"), =HYPERLINK("CSG0.html#group2C0", "2C⁰"), =HYPERLINK("CSG0.html#group5C0", "5C⁰"), =HYPERLINK("CSG7.html#group40J7", "40J⁷"), =HYPERLINK("CSG0.html#group2B0", "2B⁰"), =HYPERLINK("CSG4.html#group20B4", "20B⁴"), =HYPERLINK("CSG3.html#group10A3", "10A³"), =HYPERLINK("CSG2.html#group20F2", "20F²"), =HYPERLINK("CSG1.html#group10C1", "10C¹"), =HYPERLINK("CSG0.html#group1A0", "1A⁰"), =HYPERLINK("CSG5.html#group40K5", "40K⁵"), =HYPERLINK("CSG1.html#group10F1", "10F¹")</f>
        <v/>
      </c>
      <c r="N3960" t="inlineStr"/>
    </row>
    <row r="3961">
      <c r="A3961" t="inlineStr">
        <is>
          <t>40U¹⁵</t>
        </is>
      </c>
      <c r="B3961" t="inlineStr"/>
      <c r="C3961" t="inlineStr">
        <is>
          <t>288</t>
        </is>
      </c>
      <c r="D3961" t="inlineStr">
        <is>
          <t>1</t>
        </is>
      </c>
      <c r="E3961" t="inlineStr">
        <is>
          <t>18</t>
        </is>
      </c>
      <c r="F3961" t="inlineStr">
        <is>
          <t>0</t>
        </is>
      </c>
      <c r="G3961" t="inlineStr">
        <is>
          <t>0</t>
        </is>
      </c>
      <c r="H3961" t="inlineStr">
        <is>
          <t>4⁸, 8², 20⁸, 40²</t>
        </is>
      </c>
      <c r="I3961" t="n">
        <v>20</v>
      </c>
      <c r="J3961" t="inlineStr">
        <is>
          <t>1⁶, 4³</t>
        </is>
      </c>
      <c r="K3961">
        <f>HYPERLINK("CSG7.html#group20K7", "20K⁷"), =HYPERLINK("CSG7.html#group40W7", "40W⁷"), =HYPERLINK("CSG7.html#group40Y7", "40Y⁷")</f>
        <v/>
      </c>
      <c r="L3961" t="inlineStr"/>
      <c r="M3961">
        <f>HYPERLINK("CSG1.html#group20E1", "20E¹"), =HYPERLINK("CSG0.html#group2A0", "2A⁰"), =HYPERLINK("CSG7.html#group40W7", "40W⁷"), =HYPERLINK("CSG0.html#group4C0", "4C⁰"), =HYPERLINK("CSG3.html#group20C3", "20C³"), =HYPERLINK("CSG0.html#group5B0", "5B⁰"), =HYPERLINK("CSG1.html#group10A1", "10A¹"), =HYPERLINK("CSG0.html#group4G0", "4G⁰"), =HYPERLINK("CSG1.html#group20D1", "20D¹"), =HYPERLINK("CSG0.html#group4E0", "4E⁰"), =HYPERLINK("CSG0.html#group2B0", "2B⁰"), =HYPERLINK("CSG0.html#group4B0", "4B⁰"), =HYPERLINK("CSG0.html#group1A0", "1A⁰"), =HYPERLINK("CSG3.html#group20L3", "20L³"), =HYPERLINK("CSG1.html#group20B1", "20B¹"), =HYPERLINK("CSG7.html#group20K7", "20K⁷"), =HYPERLINK("CSG0.html#group4A0", "4A⁰"), =HYPERLINK("CSG0.html#group4D0", "4D⁰"), =HYPERLINK("CSG0.html#group10C0", "10C⁰"), =HYPERLINK("CSG7.html#group40Y7", "40Y⁷"), =HYPERLINK("CSG0.html#group4F0", "4F⁰"), =HYPERLINK("CSG3.html#group20J3", "20J³"), =HYPERLINK("CSG0.html#group2C0", "2C⁰"), =HYPERLINK("CSG1.html#group10G1", "10G¹")</f>
        <v/>
      </c>
      <c r="N3961" t="inlineStr"/>
    </row>
    <row r="3962">
      <c r="A3962" t="inlineStr">
        <is>
          <t>40V¹⁵</t>
        </is>
      </c>
      <c r="B3962" t="inlineStr"/>
      <c r="C3962" t="inlineStr">
        <is>
          <t>288</t>
        </is>
      </c>
      <c r="D3962" t="inlineStr">
        <is>
          <t>1</t>
        </is>
      </c>
      <c r="E3962" t="inlineStr">
        <is>
          <t>18</t>
        </is>
      </c>
      <c r="F3962" t="inlineStr">
        <is>
          <t>0</t>
        </is>
      </c>
      <c r="G3962" t="inlineStr">
        <is>
          <t>0</t>
        </is>
      </c>
      <c r="H3962" t="inlineStr">
        <is>
          <t>4⁸, 8², 20⁸, 40²</t>
        </is>
      </c>
      <c r="I3962" t="n">
        <v>20</v>
      </c>
      <c r="J3962" t="inlineStr">
        <is>
          <t>1⁶, 4³</t>
        </is>
      </c>
      <c r="K3962">
        <f>HYPERLINK("CSG0.html#group8N0", "8N⁰"), =HYPERLINK("CSG7.html#group20K7", "20K⁷"), =HYPERLINK("CSG7.html#group40X7", "40X⁷"), =HYPERLINK("CSG7.html#group40Z7", "40Z⁷")</f>
        <v/>
      </c>
      <c r="L3962" t="inlineStr"/>
      <c r="M3962">
        <f>HYPERLINK("CSG0.html#group2A0", "2A⁰"), =HYPERLINK("CSG1.html#group20E1", "20E¹"), =HYPERLINK("CSG0.html#group8N0", "8N⁰"), =HYPERLINK("CSG0.html#group4C0", "4C⁰"), =HYPERLINK("CSG3.html#group20C3", "20C³"), =HYPERLINK("CSG7.html#group40X7", "40X⁷"), =HYPERLINK("CSG0.html#group5B0", "5B⁰"), =HYPERLINK("CSG1.html#group10A1", "10A¹"), =HYPERLINK("CSG0.html#group4G0", "4G⁰"), =HYPERLINK("CSG0.html#group2B0", "2B⁰"), =HYPERLINK("CSG0.html#group4E0", "4E⁰"), =HYPERLINK("CSG1.html#group20D1", "20D¹"), =HYPERLINK("CSG0.html#group4B0", "4B⁰"), =HYPERLINK("CSG0.html#group8J0", "8J⁰"), =HYPERLINK("CSG0.html#group1A0", "1A⁰"), =HYPERLINK("CSG0.html#group8K0", "8K⁰"), =HYPERLINK("CSG1.html#group20B1", "20B¹"), =HYPERLINK("CSG3.html#group20L3", "20L³"), =HYPERLINK("CSG7.html#group20K7", "20K⁷"), =HYPERLINK("CSG0.html#group4A0", "4A⁰"), =HYPERLINK("CSG0.html#group4D0", "4D⁰"), =HYPERLINK("CSG0.html#group10C0", "10C⁰"), =HYPERLINK("CSG0.html#group4F0", "4F⁰"), =HYPERLINK("CSG7.html#group40Z7", "40Z⁷"), =HYPERLINK("CSG3.html#group20J3", "20J³"), =HYPERLINK("CSG0.html#group2C0", "2C⁰"), =HYPERLINK("CSG1.html#group10G1", "10G¹")</f>
        <v/>
      </c>
      <c r="N3962" t="inlineStr"/>
    </row>
    <row r="3963">
      <c r="A3963" t="inlineStr">
        <is>
          <t>40W¹⁵</t>
        </is>
      </c>
      <c r="B3963" t="inlineStr"/>
      <c r="C3963" t="inlineStr">
        <is>
          <t>288</t>
        </is>
      </c>
      <c r="D3963" t="inlineStr">
        <is>
          <t>1</t>
        </is>
      </c>
      <c r="E3963" t="inlineStr">
        <is>
          <t>36</t>
        </is>
      </c>
      <c r="F3963" t="inlineStr">
        <is>
          <t>0</t>
        </is>
      </c>
      <c r="G3963" t="inlineStr">
        <is>
          <t>0</t>
        </is>
      </c>
      <c r="H3963" t="inlineStr">
        <is>
          <t>2⁴, 4², 8⁴, 10⁴, 20², 40⁴</t>
        </is>
      </c>
      <c r="I3963" t="n">
        <v>20</v>
      </c>
      <c r="J3963" t="inlineStr">
        <is>
          <t>1⁸, 2², 4⁴, 8¹</t>
        </is>
      </c>
      <c r="K3963">
        <f>HYPERLINK("CSG7.html#group40M7", "40M⁷"), =HYPERLINK("CSG7.html#group40U7", "40U⁷"), =HYPERLINK("CSG7.html#group40W7", "40W⁷")</f>
        <v/>
      </c>
      <c r="L3963" t="inlineStr"/>
      <c r="M3963">
        <f>HYPERLINK("CSG1.html#group20E1", "20E¹"), =HYPERLINK("CSG0.html#group2A0", "2A⁰"), =HYPERLINK("CSG7.html#group40U7", "40U⁷"), =HYPERLINK("CSG3.html#group40H3", "40H³"), =HYPERLINK("CSG7.html#group40W7", "40W⁷"), =HYPERLINK("CSG0.html#group8D0", "8D⁰"), =HYPERLINK("CSG0.html#group4C0", "4C⁰"), =HYPERLINK("CSG0.html#group5B0", "5B⁰"), =HYPERLINK("CSG1.html#group10A1", "10A¹"), =HYPERLINK("CSG1.html#group20D1", "20D¹"), =HYPERLINK("CSG0.html#group8C0", "8C⁰"), =HYPERLINK("CSG0.html#group2B0", "2B⁰"), =HYPERLINK("CSG0.html#group4E0", "4E⁰"), =HYPERLINK("CSG0.html#group4B0", "4B⁰"), =HYPERLINK("CSG0.html#group1A0", "1A⁰"), =HYPERLINK("CSG3.html#group40F3", "40F³"), =HYPERLINK("CSG7.html#group40M7", "40M⁷"), =HYPERLINK("CSG0.html#group8G0", "8G⁰"), =HYPERLINK("CSG0.html#group10C0", "10C⁰"), =HYPERLINK("CSG3.html#group20J3", "20J³"), =HYPERLINK("CSG0.html#group2C0", "2C⁰"), =HYPERLINK("CSG1.html#group10G1", "10G¹")</f>
        <v/>
      </c>
      <c r="N3963" t="inlineStr"/>
    </row>
    <row r="3964">
      <c r="A3964" t="inlineStr">
        <is>
          <t>40X¹⁵</t>
        </is>
      </c>
      <c r="B3964" t="inlineStr"/>
      <c r="C3964" t="inlineStr">
        <is>
          <t>288</t>
        </is>
      </c>
      <c r="D3964" t="inlineStr">
        <is>
          <t>1</t>
        </is>
      </c>
      <c r="E3964" t="inlineStr">
        <is>
          <t>36</t>
        </is>
      </c>
      <c r="F3964" t="inlineStr">
        <is>
          <t>0</t>
        </is>
      </c>
      <c r="G3964" t="inlineStr">
        <is>
          <t>0</t>
        </is>
      </c>
      <c r="H3964" t="inlineStr">
        <is>
          <t>2⁴, 4², 8⁴, 10⁴, 20², 40⁴</t>
        </is>
      </c>
      <c r="I3964" t="n">
        <v>20</v>
      </c>
      <c r="J3964" t="inlineStr">
        <is>
          <t>1⁸, 2², 4⁴, 8¹</t>
        </is>
      </c>
      <c r="K3964">
        <f>HYPERLINK("CSG0.html#group8O0", "8O⁰"), =HYPERLINK("CSG7.html#group40M7", "40M⁷"), =HYPERLINK("CSG7.html#group40V7", "40V⁷"), =HYPERLINK("CSG7.html#group40X7", "40X⁷")</f>
        <v/>
      </c>
      <c r="L3964" t="inlineStr"/>
      <c r="M3964">
        <f>HYPERLINK("CSG0.html#group2A0", "2A⁰"), =HYPERLINK("CSG1.html#group20E1", "20E¹"), =HYPERLINK("CSG3.html#group40H3", "40H³"), =HYPERLINK("CSG0.html#group8D0", "8D⁰"), =HYPERLINK("CSG0.html#group4C0", "4C⁰"), =HYPERLINK("CSG7.html#group40X7", "40X⁷"), =HYPERLINK("CSG0.html#group5B0", "5B⁰"), =HYPERLINK("CSG1.html#group10A1", "10A¹"), =HYPERLINK("CSG0.html#group2B0", "2B⁰"), =HYPERLINK("CSG0.html#group4E0", "4E⁰"), =HYPERLINK("CSG1.html#group20D1", "20D¹"), =HYPERLINK("CSG0.html#group8C0", "8C⁰"), =HYPERLINK("CSG0.html#group4B0", "4B⁰"), =HYPERLINK("CSG0.html#group8J0", "8J⁰"), =HYPERLINK("CSG0.html#group1A0", "1A⁰"), =HYPERLINK("CSG0.html#group8I0", "8I⁰"), =HYPERLINK("CSG7.html#group40V7", "40V⁷"), =HYPERLINK("CSG3.html#group40F3", "40F³"), =HYPERLINK("CSG7.html#group40M7", "40M⁷"), =HYPERLINK("CSG0.html#group8G0", "8G⁰"), =HYPERLINK("CSG0.html#group10C0", "10C⁰"), =HYPERLINK("CSG3.html#group20J3", "20J³"), =HYPERLINK("CSG0.html#group2C0", "2C⁰"), =HYPERLINK("CSG1.html#group10G1", "10G¹"), =HYPERLINK("CSG0.html#group8O0", "8O⁰")</f>
        <v/>
      </c>
      <c r="N3964" t="inlineStr"/>
    </row>
    <row r="3965">
      <c r="A3965" t="inlineStr">
        <is>
          <t>40Y¹⁵</t>
        </is>
      </c>
      <c r="B3965" t="inlineStr"/>
      <c r="C3965" t="inlineStr">
        <is>
          <t>288</t>
        </is>
      </c>
      <c r="D3965" t="inlineStr">
        <is>
          <t>1</t>
        </is>
      </c>
      <c r="E3965" t="inlineStr">
        <is>
          <t>36</t>
        </is>
      </c>
      <c r="F3965" t="inlineStr">
        <is>
          <t>0</t>
        </is>
      </c>
      <c r="G3965" t="inlineStr">
        <is>
          <t>0</t>
        </is>
      </c>
      <c r="H3965" t="inlineStr">
        <is>
          <t>4⁸, 8², 20⁸, 40²</t>
        </is>
      </c>
      <c r="I3965" t="n">
        <v>20</v>
      </c>
      <c r="J3965" t="inlineStr">
        <is>
          <t>1⁴, 2⁴, 4², 8²</t>
        </is>
      </c>
      <c r="K3965">
        <f>HYPERLINK("CSG7.html#group20L7", "20L⁷")</f>
        <v/>
      </c>
      <c r="L3965" t="inlineStr"/>
      <c r="M3965">
        <f>HYPERLINK("CSG0.html#group2A0", "2A⁰"), =HYPERLINK("CSG1.html#group20E1", "20E¹"), =HYPERLINK("CSG7.html#group20L7", "20L⁷"), =HYPERLINK("CSG0.html#group4C0", "4C⁰"), =HYPERLINK("CSG0.html#group5B0", "5B⁰"), =HYPERLINK("CSG1.html#group10A1", "10A¹"), =HYPERLINK("CSG0.html#group2B0", "2B⁰"), =HYPERLINK("CSG1.html#group20D1", "20D¹"), =HYPERLINK("CSG0.html#group4E0", "4E⁰"), =HYPERLINK("CSG3.html#group20K3", "20K³"), =HYPERLINK("CSG0.html#group4B0", "4B⁰"), =HYPERLINK("CSG0.html#group1A0", "1A⁰"), =HYPERLINK("CSG0.html#group20A0", "20A⁰"), =HYPERLINK("CSG0.html#group10C0", "10C⁰"), =HYPERLINK("CSG3.html#group20I3", "20I³"), =HYPERLINK("CSG3.html#group20J3", "20J³"), =HYPERLINK("CSG0.html#group2C0", "2C⁰"), =HYPERLINK("CSG2.html#group20C2", "20C²"), =HYPERLINK("CSG1.html#group10G1", "10G¹")</f>
        <v/>
      </c>
      <c r="N3965" t="inlineStr"/>
    </row>
    <row r="3966">
      <c r="A3966" t="inlineStr">
        <is>
          <t>40Z¹⁵</t>
        </is>
      </c>
      <c r="B3966" t="inlineStr"/>
      <c r="C3966" t="inlineStr">
        <is>
          <t>288</t>
        </is>
      </c>
      <c r="D3966" t="inlineStr">
        <is>
          <t>1</t>
        </is>
      </c>
      <c r="E3966" t="inlineStr">
        <is>
          <t>72</t>
        </is>
      </c>
      <c r="F3966" t="inlineStr">
        <is>
          <t>0</t>
        </is>
      </c>
      <c r="G3966" t="inlineStr">
        <is>
          <t>0</t>
        </is>
      </c>
      <c r="H3966" t="inlineStr">
        <is>
          <t>2⁴, 4², 8⁴, 10⁴, 20², 40⁴</t>
        </is>
      </c>
      <c r="I3966" t="n">
        <v>20</v>
      </c>
      <c r="J3966" t="inlineStr">
        <is>
          <t>1⁸, 2⁴, 4⁶, 8², 16¹</t>
        </is>
      </c>
      <c r="K3966">
        <f>HYPERLINK("CSG7.html#group40O7", "40O⁷")</f>
        <v/>
      </c>
      <c r="L3966" t="inlineStr"/>
      <c r="M3966">
        <f>HYPERLINK("CSG3.html#group20H3", "20H³"), =HYPERLINK("CSG0.html#group10G0", "10G⁰"), =HYPERLINK("CSG3.html#group40F3", "40F³"), =HYPERLINK("CSG7.html#group40O7", "40O⁷"), =HYPERLINK("CSG0.html#group5B0", "5B⁰"), =HYPERLINK("CSG0.html#group10C0", "10C⁰"), =HYPERLINK("CSG3.html#group40E3", "40E³"), =HYPERLINK("CSG1.html#group20D1", "20D¹"), =HYPERLINK("CSG0.html#group8C0", "8C⁰"), =HYPERLINK("CSG0.html#group2B0", "2B⁰"), =HYPERLINK("CSG0.html#group4B0", "4B⁰"), =HYPERLINK("CSG0.html#group1A0", "1A⁰"), =HYPERLINK("CSG2.html#group20C2", "20C²"), =HYPERLINK("CSG0.html#group10B0", "10B⁰")</f>
        <v/>
      </c>
      <c r="N3966" t="inlineStr"/>
    </row>
    <row r="3967">
      <c r="A3967" t="inlineStr">
        <is>
          <t>40AA¹⁵</t>
        </is>
      </c>
      <c r="B3967" t="inlineStr"/>
      <c r="C3967" t="inlineStr">
        <is>
          <t>288</t>
        </is>
      </c>
      <c r="D3967" t="inlineStr">
        <is>
          <t>1</t>
        </is>
      </c>
      <c r="E3967" t="inlineStr">
        <is>
          <t>72</t>
        </is>
      </c>
      <c r="F3967" t="inlineStr">
        <is>
          <t>0</t>
        </is>
      </c>
      <c r="G3967" t="inlineStr">
        <is>
          <t>0</t>
        </is>
      </c>
      <c r="H3967" t="inlineStr">
        <is>
          <t>2⁴, 4², 8⁴, 10⁴, 20², 40⁴</t>
        </is>
      </c>
      <c r="I3967" t="n">
        <v>20</v>
      </c>
      <c r="J3967" t="inlineStr">
        <is>
          <t>1⁸, 2⁴, 4⁶, 8², 16¹</t>
        </is>
      </c>
      <c r="K3967">
        <f>HYPERLINK("CSG7.html#group40O7", "40O⁷"), =HYPERLINK("CSG7.html#group40U7", "40U⁷"), =HYPERLINK("CSG7.html#group40V7", "40V⁷")</f>
        <v/>
      </c>
      <c r="L3967" t="inlineStr"/>
      <c r="M3967">
        <f>HYPERLINK("CSG7.html#group40U7", "40U⁷"), =HYPERLINK("CSG0.html#group10G0", "10G⁰"), =HYPERLINK("CSG7.html#group40O7", "40O⁷"), =HYPERLINK("CSG0.html#group5B0", "5B⁰"), =HYPERLINK("CSG1.html#group20D1", "20D¹"), =HYPERLINK("CSG0.html#group8C0", "8C⁰"), =HYPERLINK("CSG0.html#group2B0", "2B⁰"), =HYPERLINK("CSG0.html#group8I0", "8I⁰"), =HYPERLINK("CSG0.html#group4B0", "4B⁰"), =HYPERLINK("CSG0.html#group1A0", "1A⁰"), =HYPERLINK("CSG3.html#group20H3", "20H³"), =HYPERLINK("CSG7.html#group40V7", "40V⁷"), =HYPERLINK("CSG0.html#group10B0", "10B⁰"), =HYPERLINK("CSG3.html#group40F3", "40F³"), =HYPERLINK("CSG0.html#group10C0", "10C⁰"), =HYPERLINK("CSG3.html#group40E3", "40E³"), =HYPERLINK("CSG2.html#group20C2", "20C²")</f>
        <v/>
      </c>
      <c r="N3967" t="inlineStr"/>
    </row>
    <row r="3968">
      <c r="A3968" t="inlineStr">
        <is>
          <t>40AB¹⁵</t>
        </is>
      </c>
      <c r="B3968" t="inlineStr"/>
      <c r="C3968" t="inlineStr">
        <is>
          <t>288</t>
        </is>
      </c>
      <c r="D3968" t="inlineStr">
        <is>
          <t>1</t>
        </is>
      </c>
      <c r="E3968" t="inlineStr">
        <is>
          <t>72</t>
        </is>
      </c>
      <c r="F3968" t="inlineStr">
        <is>
          <t>0</t>
        </is>
      </c>
      <c r="G3968" t="inlineStr">
        <is>
          <t>0</t>
        </is>
      </c>
      <c r="H3968" t="inlineStr">
        <is>
          <t>2⁴, 4², 8⁴, 10⁴, 20², 40⁴</t>
        </is>
      </c>
      <c r="I3968" t="n">
        <v>20</v>
      </c>
      <c r="J3968" t="inlineStr">
        <is>
          <t>1¹⁶, 2⁴, 4⁸, 8²</t>
        </is>
      </c>
      <c r="K3968">
        <f>HYPERLINK("CSG7.html#group40L7", "40L⁷"), =HYPERLINK("CSG7.html#group40W7", "40W⁷"), =HYPERLINK("CSG7.html#group40X7", "40X⁷")</f>
        <v/>
      </c>
      <c r="L3968" t="inlineStr"/>
      <c r="M3968">
        <f>HYPERLINK("CSG0.html#group2A0", "2A⁰"), =HYPERLINK("CSG1.html#group20E1", "20E¹"), =HYPERLINK("CSG7.html#group40L7", "40L⁷"), =HYPERLINK("CSG7.html#group40W7", "40W⁷"), =HYPERLINK("CSG0.html#group4C0", "4C⁰"), =HYPERLINK("CSG7.html#group40X7", "40X⁷"), =HYPERLINK("CSG0.html#group5B0", "5B⁰"), =HYPERLINK("CSG1.html#group10A1", "10A¹"), =HYPERLINK("CSG0.html#group2B0", "2B⁰"), =HYPERLINK("CSG0.html#group4E0", "4E⁰"), =HYPERLINK("CSG1.html#group20D1", "20D¹"), =HYPERLINK("CSG0.html#group4B0", "4B⁰"), =HYPERLINK("CSG0.html#group8J0", "8J⁰"), =HYPERLINK("CSG0.html#group1A0", "1A⁰"), =HYPERLINK("CSG0.html#group10C0", "10C⁰"), =HYPERLINK("CSG3.html#group40E3", "40E³"), =HYPERLINK("CSG3.html#group20J3", "20J³"), =HYPERLINK("CSG0.html#group2C0", "2C⁰"), =HYPERLINK("CSG1.html#group10G1", "10G¹"), =HYPERLINK("CSG3.html#group40G3", "40G³")</f>
        <v/>
      </c>
      <c r="N3968" t="inlineStr"/>
    </row>
    <row r="3969">
      <c r="A3969" t="inlineStr">
        <is>
          <t>40AC¹⁵</t>
        </is>
      </c>
      <c r="B3969" t="inlineStr"/>
      <c r="C3969" t="inlineStr">
        <is>
          <t>288</t>
        </is>
      </c>
      <c r="D3969" t="inlineStr">
        <is>
          <t>1</t>
        </is>
      </c>
      <c r="E3969" t="inlineStr">
        <is>
          <t>72</t>
        </is>
      </c>
      <c r="F3969" t="inlineStr">
        <is>
          <t>0</t>
        </is>
      </c>
      <c r="G3969" t="inlineStr">
        <is>
          <t>0</t>
        </is>
      </c>
      <c r="H3969" t="inlineStr">
        <is>
          <t>4⁸, 8², 20⁸, 40²</t>
        </is>
      </c>
      <c r="I3969" t="n">
        <v>20</v>
      </c>
      <c r="J3969" t="inlineStr">
        <is>
          <t>2⁴, 4⁴, 8², 16²</t>
        </is>
      </c>
      <c r="K3969">
        <f>HYPERLINK("CSG7.html#group20M7", "20M⁷"), =HYPERLINK("CSG7.html#group40Y7", "40Y⁷"), =HYPERLINK("CSG7.html#group40Z7", "40Z⁷")</f>
        <v/>
      </c>
      <c r="L3969" t="inlineStr"/>
      <c r="M3969">
        <f>HYPERLINK("CSG1.html#group20E1", "20E¹"), =HYPERLINK("CSG7.html#group20M7", "20M⁷"), =HYPERLINK("CSG0.html#group4C0", "4C⁰"), =HYPERLINK("CSG3.html#group20G3", "20G³"), =HYPERLINK("CSG0.html#group5B0", "5B⁰"), =HYPERLINK("CSG0.html#group5D0", "5D⁰"), =HYPERLINK("CSG0.html#group2B0", "2B⁰"), =HYPERLINK("CSG3.html#group20K3", "20K³"), =HYPERLINK("CSG0.html#group8K0", "8K⁰"), =HYPERLINK("CSG0.html#group1A0", "1A⁰"), =HYPERLINK("CSG3.html#group20B3", "20B³"), =HYPERLINK("CSG1.html#group20B1", "20B¹"), =HYPERLINK("CSG0.html#group10F0", "10F⁰"), =HYPERLINK("CSG0.html#group4A0", "4A⁰"), =HYPERLINK("CSG0.html#group10C0", "10C⁰"), =HYPERLINK("CSG7.html#group40Y7", "40Y⁷"), =HYPERLINK("CSG0.html#group4F0", "4F⁰"), =HYPERLINK("CSG7.html#group40Z7", "40Z⁷"), =HYPERLINK("CSG3.html#group20L3", "20L³"), =HYPERLINK("CSG2.html#group20C2", "20C²")</f>
        <v/>
      </c>
      <c r="N3969" t="inlineStr"/>
    </row>
    <row r="3970">
      <c r="A3970" t="inlineStr">
        <is>
          <t>40AD¹⁵</t>
        </is>
      </c>
      <c r="B3970" t="inlineStr"/>
      <c r="C3970" t="inlineStr">
        <is>
          <t>288</t>
        </is>
      </c>
      <c r="D3970" t="inlineStr">
        <is>
          <t>1</t>
        </is>
      </c>
      <c r="E3970" t="inlineStr">
        <is>
          <t>72</t>
        </is>
      </c>
      <c r="F3970" t="inlineStr">
        <is>
          <t>0</t>
        </is>
      </c>
      <c r="G3970" t="inlineStr">
        <is>
          <t>0</t>
        </is>
      </c>
      <c r="H3970" t="inlineStr">
        <is>
          <t>4⁸, 8², 20⁸, 40²</t>
        </is>
      </c>
      <c r="I3970" t="n">
        <v>20</v>
      </c>
      <c r="J3970" t="inlineStr">
        <is>
          <t>1¹⁶, 2⁴, 4⁸, 8²</t>
        </is>
      </c>
      <c r="K3970">
        <f>HYPERLINK("CSG7.html#group20L7", "20L⁷"), =HYPERLINK("CSG7.html#group40W7", "40W⁷"), =HYPERLINK("CSG7.html#group40X7", "40X⁷")</f>
        <v/>
      </c>
      <c r="L3970" t="inlineStr"/>
      <c r="M3970">
        <f>HYPERLINK("CSG0.html#group2A0", "2A⁰"), =HYPERLINK("CSG1.html#group20E1", "20E¹"), =HYPERLINK("CSG7.html#group20L7", "20L⁷"), =HYPERLINK("CSG7.html#group40W7", "40W⁷"), =HYPERLINK("CSG0.html#group4C0", "4C⁰"), =HYPERLINK("CSG7.html#group40X7", "40X⁷"), =HYPERLINK("CSG0.html#group5B0", "5B⁰"), =HYPERLINK("CSG1.html#group10A1", "10A¹"), =HYPERLINK("CSG0.html#group2B0", "2B⁰"), =HYPERLINK("CSG0.html#group4E0", "4E⁰"), =HYPERLINK("CSG1.html#group20D1", "20D¹"), =HYPERLINK("CSG0.html#group4B0", "4B⁰"), =HYPERLINK("CSG0.html#group8J0", "8J⁰"), =HYPERLINK("CSG0.html#group1A0", "1A⁰"), =HYPERLINK("CSG3.html#group20K3", "20K³"), =HYPERLINK("CSG0.html#group20A0", "20A⁰"), =HYPERLINK("CSG0.html#group10C0", "10C⁰"), =HYPERLINK("CSG3.html#group20I3", "20I³"), =HYPERLINK("CSG3.html#group20J3", "20J³"), =HYPERLINK("CSG0.html#group2C0", "2C⁰"), =HYPERLINK("CSG2.html#group20C2", "20C²"), =HYPERLINK("CSG1.html#group10G1", "10G¹")</f>
        <v/>
      </c>
      <c r="N3970" t="inlineStr"/>
    </row>
    <row r="3971">
      <c r="A3971" t="inlineStr">
        <is>
          <t>40AE¹⁵</t>
        </is>
      </c>
      <c r="B3971" t="inlineStr"/>
      <c r="C3971" t="inlineStr">
        <is>
          <t>288</t>
        </is>
      </c>
      <c r="D3971" t="inlineStr">
        <is>
          <t>1</t>
        </is>
      </c>
      <c r="E3971" t="inlineStr">
        <is>
          <t>72</t>
        </is>
      </c>
      <c r="F3971" t="inlineStr">
        <is>
          <t>8</t>
        </is>
      </c>
      <c r="G3971" t="inlineStr">
        <is>
          <t>0</t>
        </is>
      </c>
      <c r="H3971" t="inlineStr">
        <is>
          <t>4⁴, 8⁴, 20⁴, 40⁴</t>
        </is>
      </c>
      <c r="I3971" t="n">
        <v>16</v>
      </c>
      <c r="J3971" t="inlineStr">
        <is>
          <t>2¹², 8⁶</t>
        </is>
      </c>
      <c r="K3971">
        <f>HYPERLINK("CSG7.html#group40S7", "40S⁷"), =HYPERLINK("CSG7.html#group40AA7", "40AA⁷")</f>
        <v/>
      </c>
      <c r="L3971" t="inlineStr"/>
      <c r="M3971">
        <f>HYPERLINK("CSG1.html#group20E1", "20E¹"), =HYPERLINK("CSG3.html#group40H3", "40H³"), =HYPERLINK("CSG0.html#group8D0", "8D⁰"), =HYPERLINK("CSG0.html#group4C0", "4C⁰"), =HYPERLINK("CSG0.html#group8B0", "8B⁰"), =HYPERLINK("CSG0.html#group5B0", "5B⁰"), =HYPERLINK("CSG0.html#group2B0", "2B⁰"), =HYPERLINK("CSG0.html#group1A0", "1A⁰"), =HYPERLINK("CSG7.html#group40S7", "40S⁷"), =HYPERLINK("CSG1.html#group20B1", "20B¹"), =HYPERLINK("CSG0.html#group8H0", "8H⁰"), =HYPERLINK("CSG7.html#group40AA7", "40AA⁷"), =HYPERLINK("CSG0.html#group4A0", "4A⁰"), =HYPERLINK("CSG0.html#group10C0", "10C⁰"), =HYPERLINK("CSG0.html#group4F0", "4F⁰"), =HYPERLINK("CSG3.html#group40D3", "40D³"), =HYPERLINK("CSG3.html#group20L3", "20L³")</f>
        <v/>
      </c>
      <c r="N3971" t="inlineStr"/>
    </row>
    <row r="3972">
      <c r="A3972" t="inlineStr">
        <is>
          <t>40AF¹⁵</t>
        </is>
      </c>
      <c r="B3972" t="inlineStr"/>
      <c r="C3972" t="inlineStr">
        <is>
          <t>288</t>
        </is>
      </c>
      <c r="D3972" t="inlineStr">
        <is>
          <t>1</t>
        </is>
      </c>
      <c r="E3972" t="inlineStr">
        <is>
          <t>72</t>
        </is>
      </c>
      <c r="F3972" t="inlineStr">
        <is>
          <t>8</t>
        </is>
      </c>
      <c r="G3972" t="inlineStr">
        <is>
          <t>0</t>
        </is>
      </c>
      <c r="H3972" t="inlineStr">
        <is>
          <t>4⁴, 8⁴, 20⁴, 40⁴</t>
        </is>
      </c>
      <c r="I3972" t="n">
        <v>16</v>
      </c>
      <c r="J3972" t="inlineStr">
        <is>
          <t>2¹², 8⁶</t>
        </is>
      </c>
      <c r="K3972">
        <f>HYPERLINK("CSG0.html#group8P0", "8P⁰"), =HYPERLINK("CSG7.html#group40S7", "40S⁷"), =HYPERLINK("CSG7.html#group40AB7", "40AB⁷")</f>
        <v/>
      </c>
      <c r="L3972" t="inlineStr"/>
      <c r="M3972">
        <f>HYPERLINK("CSG1.html#group20E1", "20E¹"), =HYPERLINK("CSG3.html#group40H3", "40H³"), =HYPERLINK("CSG0.html#group8D0", "8D⁰"), =HYPERLINK("CSG0.html#group4C0", "4C⁰"), =HYPERLINK("CSG0.html#group8B0", "8B⁰"), =HYPERLINK("CSG0.html#group5B0", "5B⁰"), =HYPERLINK("CSG0.html#group8L0", "8L⁰"), =HYPERLINK("CSG0.html#group2B0", "2B⁰"), =HYPERLINK("CSG0.html#group1A0", "1A⁰"), =HYPERLINK("CSG7.html#group40S7", "40S⁷"), =HYPERLINK("CSG1.html#group20B1", "20B¹"), =HYPERLINK("CSG0.html#group8H0", "8H⁰"), =HYPERLINK("CSG0.html#group4A0", "4A⁰"), =HYPERLINK("CSG0.html#group10C0", "10C⁰"), =HYPERLINK("CSG0.html#group4F0", "4F⁰"), =HYPERLINK("CSG0.html#group8P0", "8P⁰"), =HYPERLINK("CSG3.html#group40D3", "40D³"), =HYPERLINK("CSG7.html#group40AB7", "40AB⁷"), =HYPERLINK("CSG3.html#group20L3", "20L³")</f>
        <v/>
      </c>
      <c r="N3972" t="inlineStr"/>
    </row>
    <row r="3973">
      <c r="A3973" t="inlineStr">
        <is>
          <t>40AG¹⁵</t>
        </is>
      </c>
      <c r="B3973" t="inlineStr"/>
      <c r="C3973" t="inlineStr">
        <is>
          <t>288</t>
        </is>
      </c>
      <c r="D3973" t="inlineStr">
        <is>
          <t>2</t>
        </is>
      </c>
      <c r="E3973" t="inlineStr">
        <is>
          <t>36</t>
        </is>
      </c>
      <c r="F3973" t="inlineStr">
        <is>
          <t>8</t>
        </is>
      </c>
      <c r="G3973" t="inlineStr">
        <is>
          <t>0</t>
        </is>
      </c>
      <c r="H3973" t="inlineStr">
        <is>
          <t>4⁴, 8⁴, 20⁴, 40⁴</t>
        </is>
      </c>
      <c r="I3973" t="n">
        <v>16</v>
      </c>
      <c r="J3973" t="inlineStr">
        <is>
          <t>2¹², 8⁶</t>
        </is>
      </c>
      <c r="K3973">
        <f>HYPERLINK("CSG5.html#group20J5", "20J⁵"), =HYPERLINK("CSG5.html#group40O5", "40O⁵"), =HYPERLINK("CSG7.html#group40T7", "40T⁷")</f>
        <v/>
      </c>
      <c r="L3973" t="inlineStr"/>
      <c r="M3973">
        <f>HYPERLINK("CSG1.html#group20E1", "20E¹"), =HYPERLINK("CSG1.html#group40A1", "40A¹"), =HYPERLINK("CSG0.html#group10G0", "10G⁰"), =HYPERLINK("CSG5.html#group20J5", "20J⁵"), =HYPERLINK("CSG5.html#group40O5", "40O⁵"), =HYPERLINK("CSG7.html#group40T7", "40T⁷"), =HYPERLINK("CSG0.html#group4C0", "4C⁰"), =HYPERLINK("CSG0.html#group5B0", "5B⁰"), =HYPERLINK("CSG0.html#group2B0", "2B⁰"), =HYPERLINK("CSG3.html#group20K3", "20K³"), =HYPERLINK("CSG0.html#group1A0", "1A⁰"), =HYPERLINK("CSG1.html#group20B1", "20B¹"), =HYPERLINK("CSG0.html#group10B0", "10B⁰"), =HYPERLINK("CSG0.html#group20A0", "20A⁰"), =HYPERLINK("CSG1.html#group20I1", "20I¹"), =HYPERLINK("CSG3.html#group40I3", "40I³"), =HYPERLINK("CSG0.html#group4A0", "4A⁰"), =HYPERLINK("CSG1.html#group20G1", "20G¹"), =HYPERLINK("CSG0.html#group10C0", "10C⁰"), =HYPERLINK("CSG0.html#group4F0", "4F⁰"), =HYPERLINK("CSG3.html#group20L3", "20L³")</f>
        <v/>
      </c>
      <c r="N3973" t="inlineStr"/>
    </row>
    <row r="3974">
      <c r="A3974" t="inlineStr">
        <is>
          <t>40AH¹⁵</t>
        </is>
      </c>
      <c r="B3974" t="inlineStr"/>
      <c r="C3974" t="inlineStr">
        <is>
          <t>288</t>
        </is>
      </c>
      <c r="D3974" t="inlineStr">
        <is>
          <t>2</t>
        </is>
      </c>
      <c r="E3974" t="inlineStr">
        <is>
          <t>36</t>
        </is>
      </c>
      <c r="F3974" t="inlineStr">
        <is>
          <t>8</t>
        </is>
      </c>
      <c r="G3974" t="inlineStr">
        <is>
          <t>0</t>
        </is>
      </c>
      <c r="H3974" t="inlineStr">
        <is>
          <t>4⁴, 8⁴, 20⁴, 40⁴</t>
        </is>
      </c>
      <c r="I3974" t="n">
        <v>16</v>
      </c>
      <c r="J3974" t="inlineStr">
        <is>
          <t>2¹², 8⁶</t>
        </is>
      </c>
      <c r="K3974">
        <f>HYPERLINK("CSG5.html#group20K5", "20K⁵"), =HYPERLINK("CSG5.html#group40N5", "40N⁵"), =HYPERLINK("CSG7.html#group40T7", "40T⁷")</f>
        <v/>
      </c>
      <c r="L3974" t="inlineStr"/>
      <c r="M3974">
        <f>HYPERLINK("CSG1.html#group20E1", "20E¹"), =HYPERLINK("CSG1.html#group20C1", "20C¹"), =HYPERLINK("CSG3.html#group20M3", "20M³"), =HYPERLINK("CSG0.html#group10G0", "10G⁰"), =HYPERLINK("CSG3.html#group40H3", "40H³"), =HYPERLINK("CSG0.html#group8D0", "8D⁰"), =HYPERLINK("CSG7.html#group40T7", "40T⁷"), =HYPERLINK("CSG0.html#group4C0", "4C⁰"), =HYPERLINK("CSG0.html#group5B0", "5B⁰"), =HYPERLINK("CSG0.html#group2B0", "2B⁰"), =HYPERLINK("CSG0.html#group1A0", "1A⁰"), =HYPERLINK("CSG1.html#group20J1", "20J¹"), =HYPERLINK("CSG0.html#group10B0", "10B⁰"), =HYPERLINK("CSG0.html#group20A0", "20A⁰"), =HYPERLINK("CSG5.html#group20K5", "20K⁵"), =HYPERLINK("CSG1.html#group20I1", "20I¹"), =HYPERLINK("CSG0.html#group10C0", "10C⁰"), =HYPERLINK("CSG5.html#group40N5", "40N⁵"), =HYPERLINK("CSG3.html#group40G3", "40G³")</f>
        <v/>
      </c>
      <c r="N3974" t="inlineStr"/>
    </row>
    <row r="3975">
      <c r="A3975" t="inlineStr">
        <is>
          <t>40AI¹⁵</t>
        </is>
      </c>
      <c r="B3975" t="inlineStr"/>
      <c r="C3975" t="inlineStr">
        <is>
          <t>288</t>
        </is>
      </c>
      <c r="D3975" t="inlineStr">
        <is>
          <t>2</t>
        </is>
      </c>
      <c r="E3975" t="inlineStr">
        <is>
          <t>72</t>
        </is>
      </c>
      <c r="F3975" t="inlineStr">
        <is>
          <t>8</t>
        </is>
      </c>
      <c r="G3975" t="inlineStr">
        <is>
          <t>0</t>
        </is>
      </c>
      <c r="H3975" t="inlineStr">
        <is>
          <t>4⁴, 8⁴, 20⁴, 40⁴</t>
        </is>
      </c>
      <c r="I3975" t="n">
        <v>16</v>
      </c>
      <c r="J3975" t="inlineStr">
        <is>
          <t>2¹⁶, 4⁴, 8⁸, 16²</t>
        </is>
      </c>
      <c r="K3975">
        <f>HYPERLINK("CSG7.html#group40Q7", "40Q⁷"), =HYPERLINK("CSG7.html#group40AA7", "40AA⁷"), =HYPERLINK("CSG7.html#group40AB7", "40AB⁷")</f>
        <v/>
      </c>
      <c r="L3975" t="inlineStr"/>
      <c r="M3975">
        <f>HYPERLINK("CSG1.html#group20E1", "20E¹"), =HYPERLINK("CSG3.html#group40D3", "40D³"), =HYPERLINK("CSG7.html#group40AA7", "40AA⁷"), =HYPERLINK("CSG7.html#group40Q7", "40Q⁷"), =HYPERLINK("CSG0.html#group4C0", "4C⁰"), =HYPERLINK("CSG0.html#group8B0", "8B⁰"), =HYPERLINK("CSG0.html#group5B0", "5B⁰"), =HYPERLINK("CSG0.html#group10C0", "10C⁰"), =HYPERLINK("CSG0.html#group8L0", "8L⁰"), =HYPERLINK("CSG0.html#group2B0", "2B⁰"), =HYPERLINK("CSG3.html#group20K3", "20K³"), =HYPERLINK("CSG0.html#group1A0", "1A⁰"), =HYPERLINK("CSG7.html#group40AB7", "40AB⁷"), =HYPERLINK("CSG3.html#group40G3", "40G³")</f>
        <v/>
      </c>
      <c r="N3975" t="inlineStr"/>
    </row>
    <row r="3976">
      <c r="A3976" t="inlineStr">
        <is>
          <t>40AJ¹⁵</t>
        </is>
      </c>
      <c r="B3976" t="inlineStr"/>
      <c r="C3976" t="inlineStr">
        <is>
          <t>360</t>
        </is>
      </c>
      <c r="D3976" t="inlineStr">
        <is>
          <t>1</t>
        </is>
      </c>
      <c r="E3976" t="inlineStr">
        <is>
          <t>90</t>
        </is>
      </c>
      <c r="F3976" t="inlineStr">
        <is>
          <t>4</t>
        </is>
      </c>
      <c r="G3976" t="inlineStr">
        <is>
          <t>0</t>
        </is>
      </c>
      <c r="H3976" t="inlineStr">
        <is>
          <t>5²⁴, 40⁶</t>
        </is>
      </c>
      <c r="I3976" t="n">
        <v>30</v>
      </c>
      <c r="J3976" t="inlineStr">
        <is>
          <t>2³, 4³, 8⁹</t>
        </is>
      </c>
      <c r="K3976">
        <f>HYPERLINK("CSG1.html#group40A1", "40A¹"), =HYPERLINK("CSG5.html#group40K5", "40K⁵"), =HYPERLINK("CSG6.html#group20D6", "20D⁶")</f>
        <v/>
      </c>
      <c r="L3976" t="inlineStr"/>
      <c r="M3976">
        <f>HYPERLINK("CSG0.html#group5A0", "5A⁰"), =HYPERLINK("CSG1.html#group40A1", "40A¹"), =HYPERLINK("CSG1.html#group10B1", "10B¹"), =HYPERLINK("CSG0.html#group5B0", "5B⁰"), =HYPERLINK("CSG0.html#group2B0", "2B⁰"), =HYPERLINK("CSG2.html#group20F2", "20F²"), =HYPERLINK("CSG0.html#group1A0", "1A⁰"), =HYPERLINK("CSG1.html#group10F1", "10F¹"), =HYPERLINK("CSG6.html#group20D6", "20D⁶"), =HYPERLINK("CSG0.html#group20A0", "20A⁰"), =HYPERLINK("CSG1.html#group10I1", "10I¹"), =HYPERLINK("CSG2.html#group10F2", "10F²"), =HYPERLINK("CSG0.html#group5E0", "5E⁰"), =HYPERLINK("CSG3.html#group20P3", "20P³"), =HYPERLINK("CSG0.html#group10C0", "10C⁰"), =HYPERLINK("CSG0.html#group5C0", "5C⁰"), =HYPERLINK("CSG5.html#group40K5", "40K⁵"), =HYPERLINK("CSG0.html#group5G0", "5G⁰")</f>
        <v/>
      </c>
      <c r="N3976" t="inlineStr"/>
    </row>
    <row r="3977">
      <c r="A3977" t="inlineStr">
        <is>
          <t>42A¹⁵</t>
        </is>
      </c>
      <c r="B3977" t="inlineStr"/>
      <c r="C3977" t="inlineStr">
        <is>
          <t>224</t>
        </is>
      </c>
      <c r="D3977" t="inlineStr">
        <is>
          <t>1</t>
        </is>
      </c>
      <c r="E3977" t="inlineStr">
        <is>
          <t>112</t>
        </is>
      </c>
      <c r="F3977" t="inlineStr">
        <is>
          <t>0</t>
        </is>
      </c>
      <c r="G3977" t="inlineStr">
        <is>
          <t>2</t>
        </is>
      </c>
      <c r="H3977" t="inlineStr">
        <is>
          <t>14⁴, 42⁴</t>
        </is>
      </c>
      <c r="I3977" t="n">
        <v>8</v>
      </c>
      <c r="J3977" t="inlineStr">
        <is>
          <t>1², 2¹, 3², 6⁹, 12⁴</t>
        </is>
      </c>
      <c r="K3977">
        <f>HYPERLINK("CSG1.html#group14G1", "14G¹"), =HYPERLINK("CSG4.html#group42D4", "42D⁴"), =HYPERLINK("CSG6.html#group21B6", "21B⁶")</f>
        <v/>
      </c>
      <c r="L3977" t="inlineStr"/>
      <c r="M3977">
        <f>HYPERLINK("CSG0.html#group3B0", "3B⁰"), =HYPERLINK("CSG0.html#group14A0", "14A⁰"), =HYPERLINK("CSG2.html#group21B2", "21B²"), =HYPERLINK("CSG4.html#group42D4", "42D⁴"), =HYPERLINK("CSG0.html#group7F0", "7F⁰"), =HYPERLINK("CSG0.html#group1A0", "1A⁰"), =HYPERLINK("CSG1.html#group14G1", "14G¹"), =HYPERLINK("CSG6.html#group21B6", "21B⁶"), =HYPERLINK("CSG0.html#group7A0", "7A⁰")</f>
        <v/>
      </c>
      <c r="N3977" t="inlineStr"/>
    </row>
    <row r="3978">
      <c r="A3978" t="inlineStr">
        <is>
          <t>42B¹⁵</t>
        </is>
      </c>
      <c r="B3978" t="inlineStr"/>
      <c r="C3978" t="inlineStr">
        <is>
          <t>224</t>
        </is>
      </c>
      <c r="D3978" t="inlineStr">
        <is>
          <t>1</t>
        </is>
      </c>
      <c r="E3978" t="inlineStr">
        <is>
          <t>112</t>
        </is>
      </c>
      <c r="F3978" t="inlineStr">
        <is>
          <t>0</t>
        </is>
      </c>
      <c r="G3978" t="inlineStr">
        <is>
          <t>2</t>
        </is>
      </c>
      <c r="H3978" t="inlineStr">
        <is>
          <t>14⁴, 42⁴</t>
        </is>
      </c>
      <c r="I3978" t="n">
        <v>8</v>
      </c>
      <c r="J3978" t="inlineStr">
        <is>
          <t>1², 2¹, 3², 6⁹, 12⁴</t>
        </is>
      </c>
      <c r="K3978">
        <f>HYPERLINK("CSG3.html#group14C3", "14C³"), =HYPERLINK("CSG4.html#group42E4", "42E⁴"), =HYPERLINK("CSG6.html#group21B6", "21B⁶")</f>
        <v/>
      </c>
      <c r="L3978" t="inlineStr"/>
      <c r="M3978">
        <f>HYPERLINK("CSG0.html#group3B0", "3B⁰"), =HYPERLINK("CSG0.html#group2A0", "2A⁰"), =HYPERLINK("CSG2.html#group21B2", "21B²"), =HYPERLINK("CSG4.html#group42E4", "42E⁴"), =HYPERLINK("CSG3.html#group14C3", "14C³"), =HYPERLINK("CSG0.html#group6C0", "6C⁰"), =HYPERLINK("CSG0.html#group7F0", "7F⁰"), =HYPERLINK("CSG1.html#group14A1", "14A¹"), =HYPERLINK("CSG0.html#group1A0", "1A⁰"), =HYPERLINK("CSG6.html#group21B6", "21B⁶"), =HYPERLINK("CSG0.html#group7A0", "7A⁰")</f>
        <v/>
      </c>
      <c r="N3978" t="inlineStr"/>
    </row>
    <row r="3979">
      <c r="A3979" t="inlineStr">
        <is>
          <t>42C¹⁵</t>
        </is>
      </c>
      <c r="B3979" t="inlineStr"/>
      <c r="C3979" t="inlineStr">
        <is>
          <t>252</t>
        </is>
      </c>
      <c r="D3979" t="inlineStr">
        <is>
          <t>1</t>
        </is>
      </c>
      <c r="E3979" t="inlineStr">
        <is>
          <t>63</t>
        </is>
      </c>
      <c r="F3979" t="inlineStr">
        <is>
          <t>16</t>
        </is>
      </c>
      <c r="G3979" t="inlineStr">
        <is>
          <t>0</t>
        </is>
      </c>
      <c r="H3979" t="inlineStr">
        <is>
          <t>42⁶</t>
        </is>
      </c>
      <c r="I3979" t="n">
        <v>6</v>
      </c>
      <c r="J3979" t="inlineStr">
        <is>
          <t>3¹, 6⁴, 12³</t>
        </is>
      </c>
      <c r="K3979">
        <f>HYPERLINK("CSG4.html#group42I4", "42I⁴"), =HYPERLINK("CSG6.html#group21C6", "21C⁶"), =HYPERLINK("CSG7.html#group42G7", "42G⁷")</f>
        <v/>
      </c>
      <c r="L3979" t="inlineStr"/>
      <c r="M3979">
        <f>HYPERLINK("CSG1.html#group14E1", "14E¹"), =HYPERLINK("CSG4.html#group42I4", "42I⁴"), =HYPERLINK("CSG2.html#group21D2", "21D²"), =HYPERLINK("CSG6.html#group21C6", "21C⁶"), =HYPERLINK("CSG0.html#group7D0", "7D⁰"), =HYPERLINK("CSG1.html#group21E1", "21E¹"), =HYPERLINK("CSG7.html#group42G7", "42G⁷"), =HYPERLINK("CSG0.html#group21A0", "21A⁰"), =HYPERLINK("CSG0.html#group3C0", "3C⁰"), =HYPERLINK("CSG0.html#group3A0", "3A⁰"), =HYPERLINK("CSG0.html#group1A0", "1A⁰"), =HYPERLINK("CSG0.html#group7A0", "7A⁰")</f>
        <v/>
      </c>
      <c r="N3979" t="inlineStr"/>
    </row>
    <row r="3980">
      <c r="A3980" t="inlineStr">
        <is>
          <t>42D¹⁵</t>
        </is>
      </c>
      <c r="B3980" t="inlineStr"/>
      <c r="C3980" t="inlineStr">
        <is>
          <t>252</t>
        </is>
      </c>
      <c r="D3980" t="inlineStr">
        <is>
          <t>1</t>
        </is>
      </c>
      <c r="E3980" t="inlineStr">
        <is>
          <t>84</t>
        </is>
      </c>
      <c r="F3980" t="inlineStr">
        <is>
          <t>12</t>
        </is>
      </c>
      <c r="G3980" t="inlineStr">
        <is>
          <t>0</t>
        </is>
      </c>
      <c r="H3980" t="inlineStr">
        <is>
          <t>21⁴, 42⁴</t>
        </is>
      </c>
      <c r="I3980" t="n">
        <v>8</v>
      </c>
      <c r="J3980" t="inlineStr">
        <is>
          <t>1³, 3³, 6¹²</t>
        </is>
      </c>
      <c r="K3980">
        <f>HYPERLINK("CSG3.html#group14D3", "14D³"), =HYPERLINK("CSG3.html#group21C3", "21C³"), =HYPERLINK("CSG3.html#group42C3", "42C³")</f>
        <v/>
      </c>
      <c r="L3980" t="inlineStr"/>
      <c r="M3980">
        <f>HYPERLINK("CSG1.html#group14B1", "14B¹"), =HYPERLINK("CSG3.html#group21C3", "21C³"), =HYPERLINK("CSG0.html#group7F0", "7F⁰"), =HYPERLINK("CSG0.html#group21A0", "21A⁰"), =HYPERLINK("CSG0.html#group2B0", "2B⁰"), =HYPERLINK("CSG0.html#group3A0", "3A⁰"), =HYPERLINK("CSG0.html#group1A0", "1A⁰"), =HYPERLINK("CSG3.html#group42C3", "42C³"), =HYPERLINK("CSG0.html#group6D0", "6D⁰"), =HYPERLINK("CSG0.html#group7A0", "7A⁰"), =HYPERLINK("CSG3.html#group14D3", "14D³")</f>
        <v/>
      </c>
      <c r="N3980" t="inlineStr"/>
    </row>
    <row r="3981">
      <c r="A3981" t="inlineStr">
        <is>
          <t>42E¹⁵</t>
        </is>
      </c>
      <c r="B3981" t="inlineStr"/>
      <c r="C3981" t="inlineStr">
        <is>
          <t>252</t>
        </is>
      </c>
      <c r="D3981" t="inlineStr">
        <is>
          <t>2</t>
        </is>
      </c>
      <c r="E3981" t="inlineStr">
        <is>
          <t>63</t>
        </is>
      </c>
      <c r="F3981" t="inlineStr">
        <is>
          <t>16</t>
        </is>
      </c>
      <c r="G3981" t="inlineStr">
        <is>
          <t>0</t>
        </is>
      </c>
      <c r="H3981" t="inlineStr">
        <is>
          <t>42⁶</t>
        </is>
      </c>
      <c r="I3981" t="n">
        <v>6</v>
      </c>
      <c r="J3981" t="inlineStr">
        <is>
          <t>6⁷, 12⁷</t>
        </is>
      </c>
      <c r="K3981">
        <f>HYPERLINK("CSG4.html#group21D4", "21D⁴"), =HYPERLINK("CSG6.html#group42D6", "42D⁶"), =HYPERLINK("CSG7.html#group42H7", "42H⁷")</f>
        <v/>
      </c>
      <c r="L3981" t="inlineStr"/>
      <c r="M3981">
        <f>HYPERLINK("CSG0.html#group14A0", "14A⁰"), =HYPERLINK("CSG4.html#group21D4", "21D⁴"), =HYPERLINK("CSG2.html#group42A2", "42A²"), =HYPERLINK("CSG2.html#group14B2", "14B²"), =HYPERLINK("CSG0.html#group7D0", "7D⁰"), =HYPERLINK("CSG1.html#group42A1", "42A¹"), =HYPERLINK("CSG7.html#group42H7", "42H⁷"), =HYPERLINK("CSG1.html#group21E1", "21E¹"), =HYPERLINK("CSG0.html#group21A0", "21A⁰"), =HYPERLINK("CSG6.html#group42D6", "42D⁶"), =HYPERLINK("CSG0.html#group3A0", "3A⁰"), =HYPERLINK("CSG0.html#group1A0", "1A⁰"), =HYPERLINK("CSG0.html#group7A0", "7A⁰")</f>
        <v/>
      </c>
      <c r="N3981" t="inlineStr"/>
    </row>
    <row r="3982">
      <c r="A3982" t="inlineStr">
        <is>
          <t>42F¹⁵</t>
        </is>
      </c>
      <c r="B3982" t="inlineStr"/>
      <c r="C3982" t="inlineStr">
        <is>
          <t>252</t>
        </is>
      </c>
      <c r="D3982" t="inlineStr">
        <is>
          <t>2</t>
        </is>
      </c>
      <c r="E3982" t="inlineStr">
        <is>
          <t>63</t>
        </is>
      </c>
      <c r="F3982" t="inlineStr">
        <is>
          <t>16</t>
        </is>
      </c>
      <c r="G3982" t="inlineStr">
        <is>
          <t>0</t>
        </is>
      </c>
      <c r="H3982" t="inlineStr">
        <is>
          <t>42⁶</t>
        </is>
      </c>
      <c r="I3982" t="n">
        <v>6</v>
      </c>
      <c r="J3982" t="inlineStr">
        <is>
          <t>6⁷, 12⁷</t>
        </is>
      </c>
      <c r="K3982">
        <f>HYPERLINK("CSG4.html#group21E4", "21E⁴"), =HYPERLINK("CSG6.html#group42D6", "42D⁶"), =HYPERLINK("CSG7.html#group42G7", "42G⁷")</f>
        <v/>
      </c>
      <c r="L3982" t="inlineStr"/>
      <c r="M3982">
        <f>HYPERLINK("CSG2.html#group42A2", "42A²"), =HYPERLINK("CSG0.html#group7D0", "7D⁰"), =HYPERLINK("CSG1.html#group21E1", "21E¹"), =HYPERLINK("CSG0.html#group7C0", "7C⁰"), =HYPERLINK("CSG1.html#group21C1", "21C¹"), =HYPERLINK("CSG7.html#group42G7", "42G⁷"), =HYPERLINK("CSG0.html#group21A0", "21A⁰"), =HYPERLINK("CSG6.html#group42D6", "42D⁶"), =HYPERLINK("CSG2.html#group21C2", "21C²"), =HYPERLINK("CSG0.html#group7G0", "7G⁰"), =HYPERLINK("CSG0.html#group3A0", "3A⁰"), =HYPERLINK("CSG0.html#group1A0", "1A⁰"), =HYPERLINK("CSG4.html#group21E4", "21E⁴"), =HYPERLINK("CSG0.html#group7A0", "7A⁰")</f>
        <v/>
      </c>
      <c r="N3982" t="inlineStr"/>
    </row>
    <row r="3983">
      <c r="A3983" t="inlineStr">
        <is>
          <t>42G¹⁵</t>
        </is>
      </c>
      <c r="B3983" t="inlineStr"/>
      <c r="C3983" t="inlineStr">
        <is>
          <t>252</t>
        </is>
      </c>
      <c r="D3983" t="inlineStr">
        <is>
          <t>2</t>
        </is>
      </c>
      <c r="E3983" t="inlineStr">
        <is>
          <t>63</t>
        </is>
      </c>
      <c r="F3983" t="inlineStr">
        <is>
          <t>16</t>
        </is>
      </c>
      <c r="G3983" t="inlineStr">
        <is>
          <t>0</t>
        </is>
      </c>
      <c r="H3983" t="inlineStr">
        <is>
          <t>42⁶</t>
        </is>
      </c>
      <c r="I3983" t="n">
        <v>6</v>
      </c>
      <c r="J3983" t="inlineStr">
        <is>
          <t>6⁷, 12⁷</t>
        </is>
      </c>
      <c r="K3983">
        <f>HYPERLINK("CSG3.html#group42F3", "42F³"), =HYPERLINK("CSG5.html#group21D5", "21D⁵"), =HYPERLINK("CSG5.html#group42H5", "42H⁵"), =HYPERLINK("CSG7.html#group42H7", "42H⁷")</f>
        <v/>
      </c>
      <c r="L3983" t="inlineStr"/>
      <c r="M3983">
        <f>HYPERLINK("CSG0.html#group14A0", "14A⁰"), =HYPERLINK("CSG0.html#group6B0", "6B⁰"), =HYPERLINK("CSG2.html#group14B2", "14B²"), =HYPERLINK("CSG1.html#group42A1", "42A¹"), =HYPERLINK("CSG0.html#group7D0", "7D⁰"), =HYPERLINK("CSG7.html#group42H7", "42H⁷"), =HYPERLINK("CSG1.html#group21D1", "21D¹"), =HYPERLINK("CSG0.html#group21A0", "21A⁰"), =HYPERLINK("CSG0.html#group1A0", "1A⁰"), =HYPERLINK("CSG5.html#group21D5", "21D⁵"), =HYPERLINK("CSG1.html#group21E1", "21E¹"), =HYPERLINK("CSG5.html#group42H5", "42H⁵"), =HYPERLINK("CSG1.html#group42B1", "42B¹"), =HYPERLINK("CSG0.html#group3A0", "3A⁰"), =HYPERLINK("CSG3.html#group42F3", "42F³"), =HYPERLINK("CSG0.html#group7A0", "7A⁰")</f>
        <v/>
      </c>
      <c r="N3983" t="inlineStr"/>
    </row>
    <row r="3984">
      <c r="A3984" t="inlineStr">
        <is>
          <t>42H¹⁵</t>
        </is>
      </c>
      <c r="B3984" t="inlineStr"/>
      <c r="C3984" t="inlineStr">
        <is>
          <t>252</t>
        </is>
      </c>
      <c r="D3984" t="inlineStr">
        <is>
          <t>2</t>
        </is>
      </c>
      <c r="E3984" t="inlineStr">
        <is>
          <t>63</t>
        </is>
      </c>
      <c r="F3984" t="inlineStr">
        <is>
          <t>16</t>
        </is>
      </c>
      <c r="G3984" t="inlineStr">
        <is>
          <t>0</t>
        </is>
      </c>
      <c r="H3984" t="inlineStr">
        <is>
          <t>42⁶</t>
        </is>
      </c>
      <c r="I3984" t="n">
        <v>6</v>
      </c>
      <c r="J3984" t="inlineStr">
        <is>
          <t>2³, 4³, 6⁶, 12⁶</t>
        </is>
      </c>
      <c r="K3984">
        <f>HYPERLINK("CSG3.html#group42F3", "42F³"), =HYPERLINK("CSG7.html#group42I7", "42I⁷"), =HYPERLINK("CSG7.html#group42K7", "42K⁷"), =HYPERLINK("CSG7.html#group42L7", "42L⁷")</f>
        <v/>
      </c>
      <c r="L3984" t="inlineStr"/>
      <c r="M3984">
        <f>HYPERLINK("CSG0.html#group14A0", "14A⁰"), =HYPERLINK("CSG0.html#group6B0", "6B⁰"), =HYPERLINK("CSG1.html#group42A1", "42A¹"), =HYPERLINK("CSG1.html#group14B1", "14B¹"), =HYPERLINK("CSG1.html#group21D1", "21D¹"), =HYPERLINK("CSG0.html#group6H0", "6H⁰"), =HYPERLINK("CSG2.html#group14C2", "14C²"), =HYPERLINK("CSG0.html#group21A0", "21A⁰"), =HYPERLINK("CSG7.html#group42K7", "42K⁷"), =HYPERLINK("CSG0.html#group2B0", "2B⁰"), =HYPERLINK("CSG0.html#group1A0", "1A⁰"), =HYPERLINK("CSG7.html#group42I7", "42I⁷"), =HYPERLINK("CSG3.html#group42F3", "42F³"), =HYPERLINK("CSG7.html#group42L7", "42L⁷"), =HYPERLINK("CSG1.html#group42B1", "42B¹"), =HYPERLINK("CSG0.html#group3A0", "3A⁰"), =HYPERLINK("CSG3.html#group42C3", "42C³"), =HYPERLINK("CSG0.html#group6D0", "6D⁰"), =HYPERLINK("CSG0.html#group7A0", "7A⁰")</f>
        <v/>
      </c>
      <c r="N3984" t="inlineStr"/>
    </row>
    <row r="3985">
      <c r="A3985" t="inlineStr">
        <is>
          <t>42I¹⁵</t>
        </is>
      </c>
      <c r="B3985" t="inlineStr"/>
      <c r="C3985" t="inlineStr">
        <is>
          <t>252</t>
        </is>
      </c>
      <c r="D3985" t="inlineStr">
        <is>
          <t>2</t>
        </is>
      </c>
      <c r="E3985" t="inlineStr">
        <is>
          <t>126</t>
        </is>
      </c>
      <c r="F3985" t="inlineStr">
        <is>
          <t>16</t>
        </is>
      </c>
      <c r="G3985" t="inlineStr">
        <is>
          <t>0</t>
        </is>
      </c>
      <c r="H3985" t="inlineStr">
        <is>
          <t>42⁶</t>
        </is>
      </c>
      <c r="I3985" t="n">
        <v>6</v>
      </c>
      <c r="J3985" t="inlineStr">
        <is>
          <t>6¹⁴, 12¹⁴</t>
        </is>
      </c>
      <c r="K3985">
        <f>HYPERLINK("CSG3.html#group42F3", "42F³"), =HYPERLINK("CSG7.html#group42J7", "42J⁷")</f>
        <v/>
      </c>
      <c r="L3985" t="inlineStr"/>
      <c r="M3985">
        <f>HYPERLINK("CSG0.html#group14A0", "14A⁰"), =HYPERLINK("CSG7.html#group42J7", "42J⁷"), =HYPERLINK("CSG0.html#group6B0", "6B⁰"), =HYPERLINK("CSG1.html#group42A1", "42A¹"), =HYPERLINK("CSG1.html#group14F1", "14F¹"), =HYPERLINK("CSG1.html#group21D1", "21D¹"), =HYPERLINK("CSG0.html#group21A0", "21A⁰"), =HYPERLINK("CSG1.html#group42B1", "42B¹"), =HYPERLINK("CSG0.html#group3A0", "3A⁰"), =HYPERLINK("CSG0.html#group1A0", "1A⁰"), =HYPERLINK("CSG3.html#group42F3", "42F³"), =HYPERLINK("CSG0.html#group7A0", "7A⁰")</f>
        <v/>
      </c>
      <c r="N3985" t="inlineStr"/>
    </row>
    <row r="3986">
      <c r="A3986" t="inlineStr">
        <is>
          <t>43A¹⁵</t>
        </is>
      </c>
      <c r="B3986" t="inlineStr"/>
      <c r="C3986" t="inlineStr">
        <is>
          <t>308</t>
        </is>
      </c>
      <c r="D3986" t="inlineStr">
        <is>
          <t>1</t>
        </is>
      </c>
      <c r="E3986" t="inlineStr">
        <is>
          <t>44</t>
        </is>
      </c>
      <c r="F3986" t="inlineStr">
        <is>
          <t>0</t>
        </is>
      </c>
      <c r="G3986" t="inlineStr">
        <is>
          <t>14</t>
        </is>
      </c>
      <c r="H3986" t="inlineStr">
        <is>
          <t>1⁷, 43⁷</t>
        </is>
      </c>
      <c r="I3986" t="n">
        <v>14</v>
      </c>
      <c r="J3986" t="inlineStr">
        <is>
          <t>1², 42¹</t>
        </is>
      </c>
      <c r="K3986">
        <f>HYPERLINK("CSG3.html#group43A3", "43A³")</f>
        <v/>
      </c>
      <c r="L3986" t="inlineStr"/>
      <c r="M3986">
        <f>HYPERLINK("CSG0.html#group1A0", "1A⁰"), =HYPERLINK("CSG3.html#group43A3", "43A³")</f>
        <v/>
      </c>
      <c r="N3986" t="inlineStr"/>
    </row>
    <row r="3987">
      <c r="A3987" t="inlineStr">
        <is>
          <t>45A¹⁵</t>
        </is>
      </c>
      <c r="B3987" t="inlineStr"/>
      <c r="C3987" t="inlineStr">
        <is>
          <t>216</t>
        </is>
      </c>
      <c r="D3987" t="inlineStr">
        <is>
          <t>1</t>
        </is>
      </c>
      <c r="E3987" t="inlineStr">
        <is>
          <t>18</t>
        </is>
      </c>
      <c r="F3987" t="inlineStr">
        <is>
          <t>0</t>
        </is>
      </c>
      <c r="G3987" t="inlineStr">
        <is>
          <t>0</t>
        </is>
      </c>
      <c r="H3987" t="inlineStr">
        <is>
          <t>9⁴, 45⁴</t>
        </is>
      </c>
      <c r="I3987" t="n">
        <v>8</v>
      </c>
      <c r="J3987" t="inlineStr">
        <is>
          <t>1², 2², 4¹, 8¹</t>
        </is>
      </c>
      <c r="K3987">
        <f>HYPERLINK("CSG2.html#group9A2", "9A²"), =HYPERLINK("CSG3.html#group15E3", "15E³"), =HYPERLINK("CSG5.html#group45F5", "45F⁵"), =HYPERLINK("CSG7.html#group45B7", "45B⁷")</f>
        <v/>
      </c>
      <c r="L3987" t="inlineStr"/>
      <c r="M3987">
        <f>HYPERLINK("CSG0.html#group3B0", "3B⁰"), =HYPERLINK("CSG2.html#group45A2", "45A²"), =HYPERLINK("CSG5.html#group45F5", "45F⁵"), =HYPERLINK("CSG0.html#group5B0", "5B⁰"), =HYPERLINK("CSG0.html#group1A0", "1A⁰"), =HYPERLINK("CSG1.html#group9B1", "9B¹"), =HYPERLINK("CSG1.html#group15C1", "15C¹"), =HYPERLINK("CSG0.html#group15B0", "15B⁰"), =HYPERLINK("CSG0.html#group9D0", "9D⁰"), =HYPERLINK("CSG2.html#group9A2", "9A²"), =HYPERLINK("CSG3.html#group15E3", "15E³"), =HYPERLINK("CSG0.html#group9A0", "9A⁰"), =HYPERLINK("CSG7.html#group45B7", "45B⁷"), =HYPERLINK("CSG0.html#group3C0", "3C⁰"), =HYPERLINK("CSG0.html#group3A0", "3A⁰"), =HYPERLINK("CSG0.html#group3D0", "3D⁰"), =HYPERLINK("CSG1.html#group15E1", "15E¹")</f>
        <v/>
      </c>
      <c r="N3987" t="inlineStr"/>
    </row>
    <row r="3988">
      <c r="A3988" t="inlineStr">
        <is>
          <t>45B¹⁵</t>
        </is>
      </c>
      <c r="B3988" t="inlineStr"/>
      <c r="C3988" t="inlineStr">
        <is>
          <t>216</t>
        </is>
      </c>
      <c r="D3988" t="inlineStr">
        <is>
          <t>1</t>
        </is>
      </c>
      <c r="E3988" t="inlineStr">
        <is>
          <t>18</t>
        </is>
      </c>
      <c r="F3988" t="inlineStr">
        <is>
          <t>0</t>
        </is>
      </c>
      <c r="G3988" t="inlineStr">
        <is>
          <t>0</t>
        </is>
      </c>
      <c r="H3988" t="inlineStr">
        <is>
          <t>9⁴, 45⁴</t>
        </is>
      </c>
      <c r="I3988" t="n">
        <v>8</v>
      </c>
      <c r="J3988" t="inlineStr">
        <is>
          <t>1², 2², 4¹, 8¹</t>
        </is>
      </c>
      <c r="K3988">
        <f>HYPERLINK("CSG3.html#group15F3", "15F³"), =HYPERLINK("CSG5.html#group45F5", "45F⁵"), =HYPERLINK("CSG6.html#group45D6", "45D⁶"), =HYPERLINK("CSG8.html#group45A8", "45A⁸")</f>
        <v/>
      </c>
      <c r="L3988" t="inlineStr"/>
      <c r="M3988">
        <f>HYPERLINK("CSG2.html#group45A2", "45A²"), =HYPERLINK("CSG5.html#group45F5", "45F⁵"), =HYPERLINK("CSG6.html#group45D6", "45D⁶"), =HYPERLINK("CSG8.html#group45A8", "45A⁸"), =HYPERLINK("CSG0.html#group5B0", "5B⁰"), =HYPERLINK("CSG0.html#group5D0", "5D⁰"), =HYPERLINK("CSG3.html#group15F3", "15F³"), =HYPERLINK("CSG0.html#group1A0", "1A⁰"), =HYPERLINK("CSG0.html#group15B0", "15B⁰"), =HYPERLINK("CSG0.html#group9D0", "9D⁰"), =HYPERLINK("CSG1.html#group15E1", "15E¹"), =HYPERLINK("CSG0.html#group9A0", "9A⁰"), =HYPERLINK("CSG2.html#group15B2", "15B²"), =HYPERLINK("CSG0.html#group3C0", "3C⁰"), =HYPERLINK("CSG0.html#group3A0", "3A⁰"), =HYPERLINK("CSG0.html#group15C0", "15C⁰")</f>
        <v/>
      </c>
      <c r="N3988" t="inlineStr"/>
    </row>
    <row r="3989">
      <c r="A3989" t="inlineStr">
        <is>
          <t>45C¹⁵</t>
        </is>
      </c>
      <c r="B3989" t="inlineStr"/>
      <c r="C3989" t="inlineStr">
        <is>
          <t>216</t>
        </is>
      </c>
      <c r="D3989" t="inlineStr">
        <is>
          <t>2</t>
        </is>
      </c>
      <c r="E3989" t="inlineStr">
        <is>
          <t>54</t>
        </is>
      </c>
      <c r="F3989" t="inlineStr">
        <is>
          <t>0</t>
        </is>
      </c>
      <c r="G3989" t="inlineStr">
        <is>
          <t>0</t>
        </is>
      </c>
      <c r="H3989" t="inlineStr">
        <is>
          <t>9⁴, 45⁴</t>
        </is>
      </c>
      <c r="I3989" t="n">
        <v>8</v>
      </c>
      <c r="J3989" t="inlineStr">
        <is>
          <t>2⁶, 6⁴, 8³, 24²</t>
        </is>
      </c>
      <c r="K3989">
        <f>HYPERLINK("CSG3.html#group15F3", "15F³"), =HYPERLINK("CSG4.html#group45C4", "45C⁴"), =HYPERLINK("CSG7.html#group45B7", "45B⁷"), =HYPERLINK("CSG8.html#group45A8", "45A⁸")</f>
        <v/>
      </c>
      <c r="L3989" t="inlineStr"/>
      <c r="M3989">
        <f>HYPERLINK("CSG2.html#group45A2", "45A²"), =HYPERLINK("CSG8.html#group45A8", "45A⁸"), =HYPERLINK("CSG0.html#group5B0", "5B⁰"), =HYPERLINK("CSG0.html#group5D0", "5D⁰"), =HYPERLINK("CSG3.html#group15F3", "15F³"), =HYPERLINK("CSG0.html#group1A0", "1A⁰"), =HYPERLINK("CSG1.html#group9B1", "9B¹"), =HYPERLINK("CSG0.html#group15B0", "15B⁰"), =HYPERLINK("CSG1.html#group15E1", "15E¹"), =HYPERLINK("CSG0.html#group9A0", "9A⁰"), =HYPERLINK("CSG4.html#group45C4", "45C⁴"), =HYPERLINK("CSG7.html#group45B7", "45B⁷"), =HYPERLINK("CSG2.html#group15B2", "15B²"), =HYPERLINK("CSG0.html#group3C0", "3C⁰"), =HYPERLINK("CSG0.html#group3A0", "3A⁰"), =HYPERLINK("CSG0.html#group15C0", "15C⁰")</f>
        <v/>
      </c>
      <c r="N3989" t="inlineStr"/>
    </row>
    <row r="3990">
      <c r="A3990" t="inlineStr">
        <is>
          <t>45D¹⁵</t>
        </is>
      </c>
      <c r="B3990" t="inlineStr"/>
      <c r="C3990" t="inlineStr">
        <is>
          <t>240</t>
        </is>
      </c>
      <c r="D3990" t="inlineStr">
        <is>
          <t>1</t>
        </is>
      </c>
      <c r="E3990" t="inlineStr">
        <is>
          <t>40</t>
        </is>
      </c>
      <c r="F3990" t="inlineStr">
        <is>
          <t>0</t>
        </is>
      </c>
      <c r="G3990" t="inlineStr">
        <is>
          <t>6</t>
        </is>
      </c>
      <c r="H3990" t="inlineStr">
        <is>
          <t>15⁴, 45⁴</t>
        </is>
      </c>
      <c r="I3990" t="n">
        <v>8</v>
      </c>
      <c r="J3990" t="inlineStr">
        <is>
          <t>2², 4⁵, 8²</t>
        </is>
      </c>
      <c r="K3990">
        <f>HYPERLINK("CSG3.html#group15G3", "15G³"), =HYPERLINK("CSG3.html#group45B3", "45B³"), =HYPERLINK("CSG8.html#group45B8", "45B⁸")</f>
        <v/>
      </c>
      <c r="L3990" t="inlineStr"/>
      <c r="M3990">
        <f>HYPERLINK("CSG0.html#group3B0", "3B⁰"), =HYPERLINK("CSG0.html#group5A0", "5A⁰"), =HYPERLINK("CSG3.html#group45B3", "45B³"), =HYPERLINK("CSG8.html#group45B8", "45B⁸"), =HYPERLINK("CSG3.html#group15G3", "15G³"), =HYPERLINK("CSG0.html#group5C0", "5C⁰"), =HYPERLINK("CSG1.html#group15B1", "15B¹"), =HYPERLINK("CSG0.html#group5F0", "5F⁰"), =HYPERLINK("CSG2.html#group15C2", "15C²"), =HYPERLINK("CSG0.html#group9C0", "9C⁰"), =HYPERLINK("CSG0.html#group1A0", "1A⁰")</f>
        <v/>
      </c>
      <c r="N3990" t="inlineStr"/>
    </row>
    <row r="3991">
      <c r="A3991" t="inlineStr">
        <is>
          <t>48A¹⁵</t>
        </is>
      </c>
      <c r="B3991" t="inlineStr"/>
      <c r="C3991" t="inlineStr">
        <is>
          <t>192</t>
        </is>
      </c>
      <c r="D3991" t="inlineStr">
        <is>
          <t>1</t>
        </is>
      </c>
      <c r="E3991" t="inlineStr">
        <is>
          <t>12</t>
        </is>
      </c>
      <c r="F3991" t="inlineStr">
        <is>
          <t>0</t>
        </is>
      </c>
      <c r="G3991" t="inlineStr">
        <is>
          <t>0</t>
        </is>
      </c>
      <c r="H3991" t="inlineStr">
        <is>
          <t>48⁴</t>
        </is>
      </c>
      <c r="I3991" t="n">
        <v>4</v>
      </c>
      <c r="J3991" t="inlineStr">
        <is>
          <t>2², 4²</t>
        </is>
      </c>
      <c r="K3991">
        <f>HYPERLINK("CSG6.html#group48G6", "48G⁶"), =HYPERLINK("CSG7.html#group24B7", "24B⁷"), =HYPERLINK("CSG7.html#group48I7", "48I⁷"), =HYPERLINK("CSG8.html#group48B8", "48B⁸")</f>
        <v/>
      </c>
      <c r="L3991" t="inlineStr"/>
      <c r="M3991">
        <f>HYPERLINK("CSG7.html#group48I7", "48I⁷"), =HYPERLINK("CSG1.html#group12G1", "12G¹"), =HYPERLINK("CSG0.html#group2A0", "2A⁰"), =HYPERLINK("CSG0.html#group6B0", "6B⁰"), =HYPERLINK("CSG0.html#group8A0", "8A⁰"), =HYPERLINK("CSG0.html#group12F0", "12F⁰"), =HYPERLINK("CSG4.html#group24A4", "24A⁴"), =HYPERLINK("CSG0.html#group8E0", "8E⁰"), =HYPERLINK("CSG3.html#group12C3", "12C³"), =HYPERLINK("CSG1.html#group24B1", "24B¹"), =HYPERLINK("CSG0.html#group1A0", "1A⁰"), =HYPERLINK("CSG6.html#group48G6", "48G⁶"), =HYPERLINK("CSG3.html#group24E3", "24E³"), =HYPERLINK("CSG0.html#group12A0", "12A⁰"), =HYPERLINK("CSG1.html#group24A1", "24A¹"), =HYPERLINK("CSG2.html#group24K2", "24K²"), =HYPERLINK("CSG1.html#group6B1", "6B¹"), =HYPERLINK("CSG0.html#group4A0", "4A⁰"), =HYPERLINK("CSG0.html#group4D0", "4D⁰"), =HYPERLINK("CSG4.html#group24B4", "24B⁴"), =HYPERLINK("CSG2.html#group12A2", "12A²"), =HYPERLINK("CSG0.html#group3C0", "3C⁰"), =HYPERLINK("CSG1.html#group6A1", "6A¹"), =HYPERLINK("CSG0.html#group3A0", "3A⁰"), =HYPERLINK("CSG8.html#group48B8", "48B⁸"), =HYPERLINK("CSG7.html#group24B7", "24B⁷"), =HYPERLINK("CSG3.html#group48B3", "48B³")</f>
        <v/>
      </c>
      <c r="N3991" t="inlineStr"/>
    </row>
    <row r="3992">
      <c r="A3992" t="inlineStr">
        <is>
          <t>48B¹⁵</t>
        </is>
      </c>
      <c r="B3992" t="inlineStr"/>
      <c r="C3992" t="inlineStr">
        <is>
          <t>192</t>
        </is>
      </c>
      <c r="D3992" t="inlineStr">
        <is>
          <t>1</t>
        </is>
      </c>
      <c r="E3992" t="inlineStr">
        <is>
          <t>12</t>
        </is>
      </c>
      <c r="F3992" t="inlineStr">
        <is>
          <t>0</t>
        </is>
      </c>
      <c r="G3992" t="inlineStr">
        <is>
          <t>0</t>
        </is>
      </c>
      <c r="H3992" t="inlineStr">
        <is>
          <t>48⁴</t>
        </is>
      </c>
      <c r="I3992" t="n">
        <v>4</v>
      </c>
      <c r="J3992" t="inlineStr">
        <is>
          <t>2², 4²</t>
        </is>
      </c>
      <c r="K3992">
        <f>HYPERLINK("CSG6.html#group48H6", "48H⁶"), =HYPERLINK("CSG7.html#group24B7", "24B⁷"), =HYPERLINK("CSG7.html#group48J7", "48J⁷"), =HYPERLINK("CSG8.html#group48A8", "48A⁸"), =HYPERLINK("CSG8.html#group48B8", "48B⁸")</f>
        <v/>
      </c>
      <c r="L3992" t="inlineStr"/>
      <c r="M3992">
        <f>HYPERLINK("CSG0.html#group2A0", "2A⁰"), =HYPERLINK("CSG8.html#group48A8", "48A⁸"), =HYPERLINK("CSG0.html#group8A0", "8A⁰"), =HYPERLINK("CSG0.html#group1A0", "1A⁰"), =HYPERLINK("CSG3.html#group48A3", "48A³"), =HYPERLINK("CSG1.html#group24A1", "24A¹"), =HYPERLINK("CSG1.html#group6B1", "6B¹"), =HYPERLINK("CSG0.html#group4D0", "4D⁰"), =HYPERLINK("CSG4.html#group24B4", "24B⁴"), =HYPERLINK("CSG2.html#group12A2", "12A²"), =HYPERLINK("CSG0.html#group3C0", "3C⁰"), =HYPERLINK("CSG1.html#group6A1", "6A¹"), =HYPERLINK("CSG0.html#group3A0", "3A⁰"), =HYPERLINK("CSG3.html#group48B3", "48B³"), =HYPERLINK("CSG1.html#group12G1", "12G¹"), =HYPERLINK("CSG0.html#group6B0", "6B⁰"), =HYPERLINK("CSG0.html#group16A0", "16A⁰"), =HYPERLINK("CSG6.html#group48H6", "48H⁶"), =HYPERLINK("CSG0.html#group12F0", "12F⁰"), =HYPERLINK("CSG4.html#group24A4", "24A⁴"), =HYPERLINK("CSG0.html#group8E0", "8E⁰"), =HYPERLINK("CSG3.html#group12C3", "12C³"), =HYPERLINK("CSG1.html#group24B1", "24B¹"), =HYPERLINK("CSG3.html#group24E3", "24E³"), =HYPERLINK("CSG0.html#group12A0", "12A⁰"), =HYPERLINK("CSG2.html#group24K2", "24K²"), =HYPERLINK("CSG7.html#group48J7", "48J⁷"), =HYPERLINK("CSG0.html#group4A0", "4A⁰"), =HYPERLINK("CSG0.html#group16F0", "16F⁰"), =HYPERLINK("CSG8.html#group48B8", "48B⁸"), =HYPERLINK("CSG7.html#group24B7", "24B⁷")</f>
        <v/>
      </c>
      <c r="N3992" t="inlineStr"/>
    </row>
    <row r="3993">
      <c r="A3993" t="inlineStr">
        <is>
          <t>48C¹⁵</t>
        </is>
      </c>
      <c r="B3993" t="inlineStr"/>
      <c r="C3993" t="inlineStr">
        <is>
          <t>192</t>
        </is>
      </c>
      <c r="D3993" t="inlineStr">
        <is>
          <t>1</t>
        </is>
      </c>
      <c r="E3993" t="inlineStr">
        <is>
          <t>24</t>
        </is>
      </c>
      <c r="F3993" t="inlineStr">
        <is>
          <t>0</t>
        </is>
      </c>
      <c r="G3993" t="inlineStr">
        <is>
          <t>0</t>
        </is>
      </c>
      <c r="H3993" t="inlineStr">
        <is>
          <t>48⁴</t>
        </is>
      </c>
      <c r="I3993" t="n">
        <v>4</v>
      </c>
      <c r="J3993" t="inlineStr">
        <is>
          <t>4⁶</t>
        </is>
      </c>
      <c r="K3993">
        <f>HYPERLINK("CSG6.html#group48E6", "48E⁶"), =HYPERLINK("CSG6.html#group48F6", "48F⁶"), =HYPERLINK("CSG7.html#group24A7", "24A⁷")</f>
        <v/>
      </c>
      <c r="L3993" t="inlineStr"/>
      <c r="M3993">
        <f>HYPERLINK("CSG1.html#group12G1", "12G¹"), =HYPERLINK("CSG0.html#group2A0", "2A⁰"), =HYPERLINK("CSG0.html#group6B0", "6B⁰"), =HYPERLINK("CSG3.html#group24D3", "24D³"), =HYPERLINK("CSG0.html#group12F0", "12F⁰"), =HYPERLINK("CSG3.html#group12C3", "12C³"), =HYPERLINK("CSG6.html#group48E6", "48E⁶"), =HYPERLINK("CSG1.html#group24B1", "24B¹"), =HYPERLINK("CSG7.html#group24A7", "24A⁷"), =HYPERLINK("CSG0.html#group1A0", "1A⁰"), =HYPERLINK("CSG6.html#group48F6", "48F⁶"), =HYPERLINK("CSG0.html#group12A0", "12A⁰"), =HYPERLINK("CSG1.html#group6B1", "6B¹"), =HYPERLINK("CSG0.html#group4A0", "4A⁰"), =HYPERLINK("CSG0.html#group4D0", "4D⁰"), =HYPERLINK("CSG4.html#group24B4", "24B⁴"), =HYPERLINK("CSG2.html#group12A2", "12A²"), =HYPERLINK("CSG0.html#group3C0", "3C⁰"), =HYPERLINK("CSG1.html#group6A1", "6A¹"), =HYPERLINK("CSG0.html#group3A0", "3A⁰"), =HYPERLINK("CSG2.html#group24G2", "24G²"), =HYPERLINK("CSG2.html#group24H2", "24H²")</f>
        <v/>
      </c>
      <c r="N3993" t="inlineStr"/>
    </row>
    <row r="3994">
      <c r="A3994" t="inlineStr">
        <is>
          <t>48D¹⁵</t>
        </is>
      </c>
      <c r="B3994" t="inlineStr"/>
      <c r="C3994" t="inlineStr">
        <is>
          <t>192</t>
        </is>
      </c>
      <c r="D3994" t="inlineStr">
        <is>
          <t>2</t>
        </is>
      </c>
      <c r="E3994" t="inlineStr">
        <is>
          <t>8</t>
        </is>
      </c>
      <c r="F3994" t="inlineStr">
        <is>
          <t>0</t>
        </is>
      </c>
      <c r="G3994" t="inlineStr">
        <is>
          <t>0</t>
        </is>
      </c>
      <c r="H3994" t="inlineStr">
        <is>
          <t>48⁴</t>
        </is>
      </c>
      <c r="I3994" t="n">
        <v>4</v>
      </c>
      <c r="J3994" t="inlineStr">
        <is>
          <t>8²</t>
        </is>
      </c>
      <c r="K3994">
        <f>HYPERLINK("CSG4.html#group48A4", "48A⁴"), =HYPERLINK("CSG7.html#group24D7", "24D⁷"), =HYPERLINK("CSG7.html#group48I7", "48I⁷"), =HYPERLINK("CSG7.html#group48J7", "48J⁷")</f>
        <v/>
      </c>
      <c r="L3994" t="inlineStr"/>
      <c r="M3994">
        <f>HYPERLINK("CSG7.html#group48I7", "48I⁷"), =HYPERLINK("CSG1.html#group12G1", "12G¹"), =HYPERLINK("CSG0.html#group3B0", "3B⁰"), =HYPERLINK("CSG0.html#group16A0", "16A⁰"), =HYPERLINK("CSG3.html#group24D3", "24D³"), =HYPERLINK("CSG3.html#group12B3", "12B³"), =HYPERLINK("CSG2.html#group24A2", "24A²"), =HYPERLINK("CSG0.html#group8A0", "8A⁰"), =HYPERLINK("CSG7.html#group24D7", "24D⁷"), =HYPERLINK("CSG1.html#group24B1", "24B¹"), =HYPERLINK("CSG0.html#group1A0", "1A⁰"), =HYPERLINK("CSG3.html#group24E3", "24E³"), =HYPERLINK("CSG0.html#group12A0", "12A⁰"), =HYPERLINK("CSG1.html#group24A1", "24A¹"), =HYPERLINK("CSG3.html#group48A3", "48A³"), =HYPERLINK("CSG7.html#group48J7", "48J⁷"), =HYPERLINK("CSG0.html#group4A0", "4A⁰"), =HYPERLINK("CSG1.html#group12A1", "12A¹"), =HYPERLINK("CSG0.html#group3C0", "3C⁰"), =HYPERLINK("CSG4.html#group48A4", "48A⁴"), =HYPERLINK("CSG0.html#group3A0", "3A⁰"), =HYPERLINK("CSG0.html#group3D0", "3D⁰"), =HYPERLINK("CSG3.html#group48B3", "48B³")</f>
        <v/>
      </c>
      <c r="N3994" t="inlineStr"/>
    </row>
    <row r="3995">
      <c r="A3995" t="inlineStr">
        <is>
          <t>48E¹⁵</t>
        </is>
      </c>
      <c r="B3995" t="inlineStr"/>
      <c r="C3995" t="inlineStr">
        <is>
          <t>288</t>
        </is>
      </c>
      <c r="D3995" t="inlineStr">
        <is>
          <t>1</t>
        </is>
      </c>
      <c r="E3995" t="inlineStr">
        <is>
          <t>9</t>
        </is>
      </c>
      <c r="F3995" t="inlineStr">
        <is>
          <t>0</t>
        </is>
      </c>
      <c r="G3995" t="inlineStr">
        <is>
          <t>0</t>
        </is>
      </c>
      <c r="H3995" t="inlineStr">
        <is>
          <t>6¹⁶, 48⁴</t>
        </is>
      </c>
      <c r="I3995" t="n">
        <v>20</v>
      </c>
      <c r="J3995" t="inlineStr">
        <is>
          <t>1³, 2³</t>
        </is>
      </c>
      <c r="K3995">
        <f>HYPERLINK("CSG6.html#group48I6", "48I⁶"), =HYPERLINK("CSG7.html#group24J7", "24J⁷"), =HYPERLINK("CSG7.html#group48X7", "48X⁷"), =HYPERLINK("CSG7.html#group48Z7", "48Z⁷"), =HYPERLINK("CSG8.html#group48D8", "48D⁸"), =HYPERLINK("CSG8.html#group48L8", "48L⁸")</f>
        <v/>
      </c>
      <c r="L3995" t="inlineStr"/>
      <c r="M3995">
        <f>HYPERLINK("CSG2.html#group24O2", "24O²"), =HYPERLINK("CSG1.html#group24E1", "24E¹"), =HYPERLINK("CSG0.html#group2A0", "2A⁰"), =HYPERLINK("CSG0.html#group12C0", "12C⁰"), =HYPERLINK("CSG3.html#group48G3", "48G³"), =HYPERLINK("CSG1.html#group12K1", "12K¹"), =HYPERLINK("CSG2.html#group12D2", "12D²"), =HYPERLINK("CSG0.html#group4C0", "4C⁰"), =HYPERLINK("CSG1.html#group6C1", "6C¹"), =HYPERLINK("CSG2.html#group12B2", "12B²"), =HYPERLINK("CSG0.html#group6G0", "6G⁰"), =HYPERLINK("CSG2.html#group12E2", "12E²"), =HYPERLINK("CSG7.html#group24J7", "24J⁷"), =HYPERLINK("CSG0.html#group8C0", "8C⁰"), =HYPERLINK("CSG0.html#group2B0", "2B⁰"), =HYPERLINK("CSG0.html#group4E0", "4E⁰"), =HYPERLINK("CSG0.html#group4B0", "4B⁰"), =HYPERLINK("CSG3.html#group12G3", "12G³"), =HYPERLINK("CSG0.html#group1A0", "1A⁰"), =HYPERLINK("CSG3.html#group24O3", "24O³"), =HYPERLINK("CSG2.html#group24B2", "24B²"), =HYPERLINK("CSG8.html#group48L8", "48L⁸"), =HYPERLINK("CSG1.html#group6B1", "6B¹"), =HYPERLINK("CSG0.html#group8G0", "8G⁰"), =HYPERLINK("CSG2.html#group24D2", "24D²"), =HYPERLINK("CSG0.html#group3C0", "3C⁰"), =HYPERLINK("CSG1.html#group12B1", "12B¹"), =HYPERLINK("CSG1.html#group6A1", "6A¹"), =HYPERLINK("CSG0.html#group6H0", "6H⁰"), =HYPERLINK("CSG0.html#group3A0", "3A⁰"), =HYPERLINK("CSG7.html#group48X7", "48X⁷"), =HYPERLINK("CSG1.html#group6E1", "6E¹"), =HYPERLINK("CSG0.html#group6B0", "6B⁰"), =HYPERLINK("CSG6.html#group48I6", "48I⁶"), =HYPERLINK("CSG0.html#group8D0", "8D⁰"), =HYPERLINK("CSG4.html#group24J4", "24J⁴"), =HYPERLINK("CSG7.html#group48Z7", "48Z⁷"), =HYPERLINK("CSG1.html#group12L1", "12L¹"), =HYPERLINK("CSG4.html#group48G4", "48G⁴"), =HYPERLINK("CSG4.html#group24D4", "24D⁴"), =HYPERLINK("CSG1.html#group12C1", "12C¹"), =HYPERLINK("CSG0.html#group6A0", "6A⁰"), =HYPERLINK("CSG8.html#group48D8", "48D⁸"), =HYPERLINK("CSG1.html#group24C1", "24C¹"), =HYPERLINK("CSG4.html#group24E4", "24E⁴"), =HYPERLINK("CSG0.html#group12D0", "12D⁰"), =HYPERLINK("CSG0.html#group12H0", "12H⁰"), =HYPERLINK("CSG3.html#group24L3", "24L³"), =HYPERLINK("CSG0.html#group2C0", "2C⁰"), =HYPERLINK("CSG0.html#group6D0", "6D⁰")</f>
        <v/>
      </c>
      <c r="N3995" t="inlineStr"/>
    </row>
    <row r="3996">
      <c r="A3996" t="inlineStr">
        <is>
          <t>48F¹⁵</t>
        </is>
      </c>
      <c r="B3996" t="inlineStr"/>
      <c r="C3996" t="inlineStr">
        <is>
          <t>288</t>
        </is>
      </c>
      <c r="D3996" t="inlineStr">
        <is>
          <t>1</t>
        </is>
      </c>
      <c r="E3996" t="inlineStr">
        <is>
          <t>9</t>
        </is>
      </c>
      <c r="F3996" t="inlineStr">
        <is>
          <t>0</t>
        </is>
      </c>
      <c r="G3996" t="inlineStr">
        <is>
          <t>0</t>
        </is>
      </c>
      <c r="H3996" t="inlineStr">
        <is>
          <t>6¹⁶, 48⁴</t>
        </is>
      </c>
      <c r="I3996" t="n">
        <v>20</v>
      </c>
      <c r="J3996" t="inlineStr">
        <is>
          <t>1³, 2³</t>
        </is>
      </c>
      <c r="K3996">
        <f>HYPERLINK("CSG6.html#group48J6", "48J⁶"), =HYPERLINK("CSG7.html#group24J7", "24J⁷"), =HYPERLINK("CSG7.html#group48Y7", "48Y⁷"), =HYPERLINK("CSG7.html#group48AA7", "48AA⁷"), =HYPERLINK("CSG8.html#group48C8", "48C⁸"), =HYPERLINK("CSG8.html#group48D8", "48D⁸"), =HYPERLINK("CSG8.html#group48M8", "48M⁸")</f>
        <v/>
      </c>
      <c r="L3996" t="inlineStr"/>
      <c r="M3996">
        <f>HYPERLINK("CSG2.html#group24O2", "24O²"), =HYPERLINK("CSG1.html#group24E1", "24E¹"), =HYPERLINK("CSG0.html#group2A0", "2A⁰"), =HYPERLINK("CSG0.html#group16G0", "16G⁰"), =HYPERLINK("CSG1.html#group12K1", "12K¹"), =HYPERLINK("CSG0.html#group12C0", "12C⁰"), =HYPERLINK("CSG3.html#group48G3", "48G³"), =HYPERLINK("CSG2.html#group12D2", "12D²"), =HYPERLINK("CSG0.html#group4C0", "4C⁰"), =HYPERLINK("CSG1.html#group6C1", "6C¹"), =HYPERLINK("CSG2.html#group12B2", "12B²"), =HYPERLINK("CSG0.html#group6G0", "6G⁰"), =HYPERLINK("CSG2.html#group12E2", "12E²"), =HYPERLINK("CSG7.html#group24J7", "24J⁷"), =HYPERLINK("CSG0.html#group2B0", "2B⁰"), =HYPERLINK("CSG0.html#group8C0", "8C⁰"), =HYPERLINK("CSG0.html#group4E0", "4E⁰"), =HYPERLINK("CSG0.html#group4B0", "4B⁰"), =HYPERLINK("CSG0.html#group12H0", "12H⁰"), =HYPERLINK("CSG0.html#group1A0", "1A⁰"), =HYPERLINK("CSG3.html#group12G3", "12G³"), =HYPERLINK("CSG3.html#group24O3", "24O³"), =HYPERLINK("CSG7.html#group48Y7", "48Y⁷"), =HYPERLINK("CSG2.html#group24B2", "24B²"), =HYPERLINK("CSG0.html#group16E0", "16E⁰"), =HYPERLINK("CSG1.html#group6B1", "6B¹"), =HYPERLINK("CSG0.html#group8G0", "8G⁰"), =HYPERLINK("CSG2.html#group24D2", "24D²"), =HYPERLINK("CSG8.html#group48M8", "48M⁸"), =HYPERLINK("CSG0.html#group3C0", "3C⁰"), =HYPERLINK("CSG1.html#group12B1", "12B¹"), =HYPERLINK("CSG1.html#group6A1", "6A¹"), =HYPERLINK("CSG3.html#group48D3", "48D³"), =HYPERLINK("CSG0.html#group6H0", "6H⁰"), =HYPERLINK("CSG0.html#group3A0", "3A⁰"), =HYPERLINK("CSG4.html#group48D4", "48D⁴"), =HYPERLINK("CSG1.html#group6E1", "6E¹"), =HYPERLINK("CSG0.html#group6B0", "6B⁰"), =HYPERLINK("CSG0.html#group8D0", "8D⁰"), =HYPERLINK("CSG4.html#group24J4", "24J⁴"), =HYPERLINK("CSG1.html#group12L1", "12L¹"), =HYPERLINK("CSG4.html#group48G4", "48G⁴"), =HYPERLINK("CSG4.html#group24D4", "24D⁴"), =HYPERLINK("CSG0.html#group6A0", "6A⁰"), =HYPERLINK("CSG1.html#group12C1", "12C¹"), =HYPERLINK("CSG6.html#group48J6", "48J⁶"), =HYPERLINK("CSG0.html#group16D0", "16D⁰"), =HYPERLINK("CSG8.html#group48D8", "48D⁸"), =HYPERLINK("CSG8.html#group48C8", "48C⁸"), =HYPERLINK("CSG1.html#group24C1", "24C¹"), =HYPERLINK("CSG4.html#group24E4", "24E⁴"), =HYPERLINK("CSG0.html#group12D0", "12D⁰"), =HYPERLINK("CSG7.html#group48AA7", "48AA⁷"), =HYPERLINK("CSG3.html#group24L3", "24L³"), =HYPERLINK("CSG0.html#group2C0", "2C⁰"), =HYPERLINK("CSG0.html#group6D0", "6D⁰")</f>
        <v/>
      </c>
      <c r="N3996" t="inlineStr"/>
    </row>
    <row r="3997">
      <c r="A3997" t="inlineStr">
        <is>
          <t>48G¹⁵</t>
        </is>
      </c>
      <c r="B3997" t="inlineStr"/>
      <c r="C3997" t="inlineStr">
        <is>
          <t>288</t>
        </is>
      </c>
      <c r="D3997" t="inlineStr">
        <is>
          <t>1</t>
        </is>
      </c>
      <c r="E3997" t="inlineStr">
        <is>
          <t>12</t>
        </is>
      </c>
      <c r="F3997" t="inlineStr">
        <is>
          <t>0</t>
        </is>
      </c>
      <c r="G3997" t="inlineStr">
        <is>
          <t>0</t>
        </is>
      </c>
      <c r="H3997" t="inlineStr">
        <is>
          <t>6¹⁶, 48⁴</t>
        </is>
      </c>
      <c r="I3997" t="n">
        <v>20</v>
      </c>
      <c r="J3997" t="inlineStr">
        <is>
          <t>1², 2¹, 4²</t>
        </is>
      </c>
      <c r="K3997">
        <f>HYPERLINK("CSG4.html#group48J4", "48J⁴"), =HYPERLINK("CSG7.html#group24H7", "24H⁷"), =HYPERLINK("CSG7.html#group48Z7", "48Z⁷"), =HYPERLINK("CSG7.html#group48AA7", "48AA⁷")</f>
        <v/>
      </c>
      <c r="L3997" t="inlineStr"/>
      <c r="M3997">
        <f>HYPERLINK("CSG1.html#group24E1", "24E¹"), =HYPERLINK("CSG0.html#group12C0", "12C⁰"), =HYPERLINK("CSG3.html#group48G3", "48G³"), =HYPERLINK("CSG0.html#group4C0", "4C⁰"), =HYPERLINK("CSG2.html#group12C2", "12C²"), =HYPERLINK("CSG0.html#group6G0", "6G⁰"), =HYPERLINK("CSG0.html#group2B0", "2B⁰"), =HYPERLINK("CSG0.html#group1A0", "1A⁰"), =HYPERLINK("CSG3.html#group24O3", "24O³"), =HYPERLINK("CSG0.html#group16E0", "16E⁰"), =HYPERLINK("CSG3.html#group24N3", "24N³"), =HYPERLINK("CSG0.html#group3C0", "3C⁰"), =HYPERLINK("CSG0.html#group6K0", "6K⁰"), =HYPERLINK("CSG3.html#group48D3", "48D³"), =HYPERLINK("CSG0.html#group3A0", "3A⁰"), =HYPERLINK("CSG0.html#group6F0", "6F⁰"), =HYPERLINK("CSG0.html#group3B0", "3B⁰"), =HYPERLINK("CSG0.html#group8D0", "8D⁰"), =HYPERLINK("CSG1.html#group12F1", "12F¹"), =HYPERLINK("CSG7.html#group48Z7", "48Z⁷"), =HYPERLINK("CSG1.html#group12L1", "12L¹"), =HYPERLINK("CSG1.html#group12C1", "12C¹"), =HYPERLINK("CSG3.html#group12D3", "12D³"), =HYPERLINK("CSG2.html#group24I2", "24I²"), =HYPERLINK("CSG4.html#group48J4", "48J⁴"), =HYPERLINK("CSG1.html#group24C1", "24C¹"), =HYPERLINK("CSG7.html#group48AA7", "48AA⁷"), =HYPERLINK("CSG7.html#group24H7", "24H⁷"), =HYPERLINK("CSG0.html#group3D0", "3D⁰"), =HYPERLINK("CSG0.html#group6D0", "6D⁰")</f>
        <v/>
      </c>
      <c r="N3997" t="inlineStr"/>
    </row>
    <row r="3998">
      <c r="A3998" t="inlineStr">
        <is>
          <t>48H¹⁵</t>
        </is>
      </c>
      <c r="B3998" t="inlineStr"/>
      <c r="C3998" t="inlineStr">
        <is>
          <t>288</t>
        </is>
      </c>
      <c r="D3998" t="inlineStr">
        <is>
          <t>1</t>
        </is>
      </c>
      <c r="E3998" t="inlineStr">
        <is>
          <t>12</t>
        </is>
      </c>
      <c r="F3998" t="inlineStr">
        <is>
          <t>24</t>
        </is>
      </c>
      <c r="G3998" t="inlineStr">
        <is>
          <t>0</t>
        </is>
      </c>
      <c r="H3998" t="inlineStr">
        <is>
          <t>24⁴, 48⁴</t>
        </is>
      </c>
      <c r="I3998" t="n">
        <v>8</v>
      </c>
      <c r="J3998" t="inlineStr">
        <is>
          <t>2², 4²</t>
        </is>
      </c>
      <c r="K3998">
        <f>HYPERLINK("CSG3.html#group16K3", "16K³"), =HYPERLINK("CSG5.html#group48E5", "48E⁵"), =HYPERLINK("CSG7.html#group24K7", "24K⁷"), =HYPERLINK("CSG7.html#group48O7", "48O⁷")</f>
        <v/>
      </c>
      <c r="L3998" t="inlineStr"/>
      <c r="M3998">
        <f>HYPERLINK("CSG0.html#group12C0", "12C⁰"), =HYPERLINK("CSG0.html#group4C0", "4C⁰"), =HYPERLINK("CSG0.html#group8A0", "8A⁰"), =HYPERLINK("CSG0.html#group2B0", "2B⁰"), =HYPERLINK("CSG0.html#group8K0", "8K⁰"), =HYPERLINK("CSG0.html#group1A0", "1A⁰"), =HYPERLINK("CSG1.html#group8H1", "8H¹"), =HYPERLINK("CSG0.html#group16B0", "16B⁰"), =HYPERLINK("CSG1.html#group24A1", "24A¹"), =HYPERLINK("CSG0.html#group24A0", "24A⁰"), =HYPERLINK("CSG1.html#group16F1", "16F¹"), =HYPERLINK("CSG0.html#group3A0", "3A⁰"), =HYPERLINK("CSG1.html#group16H1", "16H¹"), =HYPERLINK("CSG7.html#group24K7", "24K⁷"), =HYPERLINK("CSG5.html#group48E5", "48E⁵"), =HYPERLINK("CSG0.html#group8D0", "8D⁰"), =HYPERLINK("CSG0.html#group8B0", "8B⁰"), =HYPERLINK("CSG1.html#group16B1", "16B¹"), =HYPERLINK("CSG0.html#group48A0", "48A⁰"), =HYPERLINK("CSG2.html#group24L2", "24L²"), =HYPERLINK("CSG1.html#group8D1", "8D¹"), =HYPERLINK("CSG3.html#group24J3", "24J³"), =HYPERLINK("CSG0.html#group8H0", "8H⁰"), =HYPERLINK("CSG3.html#group48C3", "48C³"), =HYPERLINK("CSG3.html#group16K3", "16K³"), =HYPERLINK("CSG4.html#group24H4", "24H⁴"), =HYPERLINK("CSG0.html#group12A0", "12A⁰"), =HYPERLINK("CSG0.html#group4A0", "4A⁰"), =HYPERLINK("CSG1.html#group24C1", "24C¹"), =HYPERLINK("CSG1.html#group12J1", "12J¹"), =HYPERLINK("CSG0.html#group4F0", "4F⁰"), =HYPERLINK("CSG7.html#group48O7", "48O⁷"), =HYPERLINK("CSG0.html#group6D0", "6D⁰")</f>
        <v/>
      </c>
      <c r="N3998" t="inlineStr"/>
    </row>
    <row r="3999">
      <c r="A3999" t="inlineStr">
        <is>
          <t>48I¹⁵</t>
        </is>
      </c>
      <c r="B3999" t="inlineStr"/>
      <c r="C3999" t="inlineStr">
        <is>
          <t>288</t>
        </is>
      </c>
      <c r="D3999" t="inlineStr">
        <is>
          <t>1</t>
        </is>
      </c>
      <c r="E3999" t="inlineStr">
        <is>
          <t>12</t>
        </is>
      </c>
      <c r="F3999" t="inlineStr">
        <is>
          <t>24</t>
        </is>
      </c>
      <c r="G3999" t="inlineStr">
        <is>
          <t>0</t>
        </is>
      </c>
      <c r="H3999" t="inlineStr">
        <is>
          <t>24⁴, 48⁴</t>
        </is>
      </c>
      <c r="I3999" t="n">
        <v>8</v>
      </c>
      <c r="J3999" t="inlineStr">
        <is>
          <t>1², 2¹, 4²</t>
        </is>
      </c>
      <c r="K3999">
        <f>HYPERLINK("CSG3.html#group16L3", "16L³"), =HYPERLINK("CSG5.html#group48E5", "48E⁵"), =HYPERLINK("CSG7.html#group24L7", "24L⁷"), =HYPERLINK("CSG7.html#group48P7", "48P⁷")</f>
        <v/>
      </c>
      <c r="L3999" t="inlineStr"/>
      <c r="M3999">
        <f>HYPERLINK("CSG5.html#group48E5", "48E⁵"), =HYPERLINK("CSG0.html#group12C0", "12C⁰"), =HYPERLINK("CSG1.html#group16I1", "16I¹"), =HYPERLINK("CSG0.html#group8D0", "8D⁰"), =HYPERLINK("CSG0.html#group4C0", "4C⁰"), =HYPERLINK("CSG7.html#group48P7", "48P⁷"), =HYPERLINK("CSG0.html#group8B0", "8B⁰"), =HYPERLINK("CSG1.html#group16B1", "16B¹"), =HYPERLINK("CSG0.html#group48A0", "48A⁰"), =HYPERLINK("CSG0.html#group2B0", "2B⁰"), =HYPERLINK("CSG2.html#group24L2", "24L²"), =HYPERLINK("CSG0.html#group1A0", "1A⁰"), =HYPERLINK("CSG1.html#group24F1", "24F¹"), =HYPERLINK("CSG0.html#group8H0", "8H⁰"), =HYPERLINK("CSG0.html#group16B0", "16B⁰"), =HYPERLINK("CSG3.html#group48C3", "48C³"), =HYPERLINK("CSG0.html#group16E0", "16E⁰"), =HYPERLINK("CSG0.html#group12A0", "12A⁰"), =HYPERLINK("CSG0.html#group8F0", "8F⁰"), =HYPERLINK("CSG3.html#group16L3", "16L³"), =HYPERLINK("CSG4.html#group48E4", "48E⁴"), =HYPERLINK("CSG0.html#group24A0", "24A⁰"), =HYPERLINK("CSG0.html#group4A0", "4A⁰"), =HYPERLINK("CSG1.html#group8I1", "8I¹"), =HYPERLINK("CSG1.html#group16C1", "16C¹"), =HYPERLINK("CSG1.html#group24C1", "24C¹"), =HYPERLINK("CSG7.html#group24L7", "24L⁷"), =HYPERLINK("CSG1.html#group12J1", "12J¹"), =HYPERLINK("CSG0.html#group4F0", "4F⁰"), =HYPERLINK("CSG1.html#group16F1", "16F¹"), =HYPERLINK("CSG0.html#group3A0", "3A⁰"), =HYPERLINK("CSG3.html#group48D3", "48D³"), =HYPERLINK("CSG0.html#group6D0", "6D⁰")</f>
        <v/>
      </c>
      <c r="N3999" t="inlineStr"/>
    </row>
    <row r="4000">
      <c r="A4000" t="inlineStr">
        <is>
          <t>48J¹⁵</t>
        </is>
      </c>
      <c r="B4000" t="inlineStr"/>
      <c r="C4000" t="inlineStr">
        <is>
          <t>288</t>
        </is>
      </c>
      <c r="D4000" t="inlineStr">
        <is>
          <t>1</t>
        </is>
      </c>
      <c r="E4000" t="inlineStr">
        <is>
          <t>12</t>
        </is>
      </c>
      <c r="F4000" t="inlineStr">
        <is>
          <t>24</t>
        </is>
      </c>
      <c r="G4000" t="inlineStr">
        <is>
          <t>0</t>
        </is>
      </c>
      <c r="H4000" t="inlineStr">
        <is>
          <t>24⁴, 48⁴</t>
        </is>
      </c>
      <c r="I4000" t="n">
        <v>8</v>
      </c>
      <c r="J4000" t="inlineStr">
        <is>
          <t>2⁶</t>
        </is>
      </c>
      <c r="K4000">
        <f>HYPERLINK("CSG3.html#group16M3", "16M³"), =HYPERLINK("CSG5.html#group48E5", "48E⁵"), =HYPERLINK("CSG5.html#group48F5", "48F⁵"), =HYPERLINK("CSG6.html#group24D6", "24D⁶"), =HYPERLINK("CSG8.html#group48F8", "48F⁸"), =HYPERLINK("CSG8.html#group48X8", "48X⁸")</f>
        <v/>
      </c>
      <c r="L4000" t="inlineStr"/>
      <c r="M4000">
        <f>HYPERLINK("CSG6.html#group24D6", "24D⁶"), =HYPERLINK("CSG8.html#group48F8", "48F⁸"), =HYPERLINK("CSG0.html#group12C0", "12C⁰"), =HYPERLINK("CSG8.html#group48X8", "48X⁸"), =HYPERLINK("CSG0.html#group4C0", "4C⁰"), =HYPERLINK("CSG0.html#group8L0", "8L⁰"), =HYPERLINK("CSG0.html#group2B0", "2B⁰"), =HYPERLINK("CSG0.html#group1A0", "1A⁰"), =HYPERLINK("CSG2.html#group16E2", "16E²"), =HYPERLINK("CSG0.html#group16B0", "16B⁰"), =HYPERLINK("CSG1.html#group16D1", "16D¹"), =HYPERLINK("CSG0.html#group24A0", "24A⁰"), =HYPERLINK("CSG1.html#group16F1", "16F¹"), =HYPERLINK("CSG0.html#group3A0", "3A⁰"), =HYPERLINK("CSG0.html#group8P0", "8P⁰"), =HYPERLINK("CSG5.html#group48F5", "48F⁵"), =HYPERLINK("CSG5.html#group48E5", "48E⁵"), =HYPERLINK("CSG0.html#group8D0", "8D⁰"), =HYPERLINK("CSG3.html#group16M3", "16M³"), =HYPERLINK("CSG0.html#group8B0", "8B⁰"), =HYPERLINK("CSG1.html#group16B1", "16B¹"), =HYPERLINK("CSG0.html#group48A0", "48A⁰"), =HYPERLINK("CSG2.html#group24L2", "24L²"), =HYPERLINK("CSG1.html#group16J1", "16J¹"), =HYPERLINK("CSG0.html#group8H0", "8H⁰"), =HYPERLINK("CSG3.html#group48C3", "48C³"), =HYPERLINK("CSG0.html#group12A0", "12A⁰"), =HYPERLINK("CSG3.html#group48E3", "48E³"), =HYPERLINK("CSG2.html#group16F2", "16F²"), =HYPERLINK("CSG0.html#group4A0", "4A⁰"), =HYPERLINK("CSG2.html#group24M2", "24M²"), =HYPERLINK("CSG1.html#group24C1", "24C¹"), =HYPERLINK("CSG1.html#group12J1", "12J¹"), =HYPERLINK("CSG0.html#group4F0", "4F⁰"), =HYPERLINK("CSG0.html#group6D0", "6D⁰")</f>
        <v/>
      </c>
      <c r="N4000" t="inlineStr"/>
    </row>
    <row r="4001">
      <c r="A4001" t="inlineStr">
        <is>
          <t>48K¹⁵</t>
        </is>
      </c>
      <c r="B4001" t="inlineStr"/>
      <c r="C4001" t="inlineStr">
        <is>
          <t>288</t>
        </is>
      </c>
      <c r="D4001" t="inlineStr">
        <is>
          <t>1</t>
        </is>
      </c>
      <c r="E4001" t="inlineStr">
        <is>
          <t>18</t>
        </is>
      </c>
      <c r="F4001" t="inlineStr">
        <is>
          <t>0</t>
        </is>
      </c>
      <c r="G4001" t="inlineStr">
        <is>
          <t>0</t>
        </is>
      </c>
      <c r="H4001" t="inlineStr">
        <is>
          <t>6¹⁶, 48⁴</t>
        </is>
      </c>
      <c r="I4001" t="n">
        <v>20</v>
      </c>
      <c r="J4001" t="inlineStr">
        <is>
          <t>2³, 4³</t>
        </is>
      </c>
      <c r="K4001">
        <f>HYPERLINK("CSG6.html#group48K6", "48K⁶"), =HYPERLINK("CSG7.html#group24I7", "24I⁷")</f>
        <v/>
      </c>
      <c r="L4001" t="inlineStr"/>
      <c r="M4001">
        <f>HYPERLINK("CSG4.html#group24I4", "24I⁴"), =HYPERLINK("CSG0.html#group2A0", "2A⁰"), =HYPERLINK("CSG1.html#group24E1", "24E¹"), =HYPERLINK("CSG0.html#group12C0", "12C⁰"), =HYPERLINK("CSG1.html#group12K1", "12K¹"), =HYPERLINK("CSG2.html#group12D2", "12D²"), =HYPERLINK("CSG0.html#group4C0", "4C⁰"), =HYPERLINK("CSG1.html#group6C1", "6C¹"), =HYPERLINK("CSG2.html#group12B2", "12B²"), =HYPERLINK("CSG0.html#group6G0", "6G⁰"), =HYPERLINK("CSG2.html#group12E2", "12E²"), =HYPERLINK("CSG0.html#group2B0", "2B⁰"), =HYPERLINK("CSG0.html#group4E0", "4E⁰"), =HYPERLINK("CSG6.html#group48K6", "48K⁶"), =HYPERLINK("CSG0.html#group4B0", "4B⁰"), =HYPERLINK("CSG0.html#group1A0", "1A⁰"), =HYPERLINK("CSG3.html#group12G3", "12G³"), =HYPERLINK("CSG1.html#group6B1", "6B¹"), =HYPERLINK("CSG3.html#group24N3", "24N³"), =HYPERLINK("CSG2.html#group24D2", "24D²"), =HYPERLINK("CSG7.html#group24I7", "24I⁷"), =HYPERLINK("CSG0.html#group3C0", "3C⁰"), =HYPERLINK("CSG1.html#group12B1", "12B¹"), =HYPERLINK("CSG3.html#group24K3", "24K³"), =HYPERLINK("CSG1.html#group6A1", "6A¹"), =HYPERLINK("CSG0.html#group6H0", "6H⁰"), =HYPERLINK("CSG0.html#group3A0", "3A⁰"), =HYPERLINK("CSG1.html#group6E1", "6E¹"), =HYPERLINK("CSG0.html#group6B0", "6B⁰"), =HYPERLINK("CSG2.html#group24N2", "24N²"), =HYPERLINK("CSG1.html#group12L1", "12L¹"), =HYPERLINK("CSG1.html#group12C1", "12C¹"), =HYPERLINK("CSG0.html#group6A0", "6A⁰"), =HYPERLINK("CSG4.html#group24E4", "24E⁴"), =HYPERLINK("CSG0.html#group12D0", "12D⁰"), =HYPERLINK("CSG0.html#group12H0", "12H⁰"), =HYPERLINK("CSG0.html#group2C0", "2C⁰"), =HYPERLINK("CSG0.html#group6D0", "6D⁰")</f>
        <v/>
      </c>
      <c r="N4001" t="inlineStr"/>
    </row>
    <row r="4002">
      <c r="A4002" t="inlineStr">
        <is>
          <t>48L¹⁵</t>
        </is>
      </c>
      <c r="B4002" t="inlineStr"/>
      <c r="C4002" t="inlineStr">
        <is>
          <t>288</t>
        </is>
      </c>
      <c r="D4002" t="inlineStr">
        <is>
          <t>1</t>
        </is>
      </c>
      <c r="E4002" t="inlineStr">
        <is>
          <t>24</t>
        </is>
      </c>
      <c r="F4002" t="inlineStr">
        <is>
          <t>24</t>
        </is>
      </c>
      <c r="G4002" t="inlineStr">
        <is>
          <t>0</t>
        </is>
      </c>
      <c r="H4002" t="inlineStr">
        <is>
          <t>24⁴, 48⁴</t>
        </is>
      </c>
      <c r="I4002" t="n">
        <v>8</v>
      </c>
      <c r="J4002" t="inlineStr">
        <is>
          <t>2⁸, 8¹</t>
        </is>
      </c>
      <c r="K4002">
        <f>HYPERLINK("CSG3.html#group16R3", "16R³"), =HYPERLINK("CSG5.html#group48F5", "48F⁵")</f>
        <v/>
      </c>
      <c r="L4002" t="inlineStr"/>
      <c r="M4002">
        <f>HYPERLINK("CSG5.html#group48F5", "48F⁵"), =HYPERLINK("CSG0.html#group12C0", "12C⁰"), =HYPERLINK("CSG0.html#group4C0", "4C⁰"), =HYPERLINK("CSG0.html#group8B0", "8B⁰"), =HYPERLINK("CSG0.html#group48A0", "48A⁰"), =HYPERLINK("CSG0.html#group8L0", "8L⁰"), =HYPERLINK("CSG0.html#group2B0", "2B⁰"), =HYPERLINK("CSG1.html#group16J1", "16J¹"), =HYPERLINK("CSG0.html#group1A0", "1A⁰"), =HYPERLINK("CSG0.html#group16B0", "16B⁰"), =HYPERLINK("CSG1.html#group16D1", "16D¹"), =HYPERLINK("CSG3.html#group48E3", "48E³"), =HYPERLINK("CSG0.html#group24A0", "24A⁰"), =HYPERLINK("CSG2.html#group24M2", "24M²"), =HYPERLINK("CSG3.html#group16R3", "16R³"), =HYPERLINK("CSG0.html#group3A0", "3A⁰"), =HYPERLINK("CSG0.html#group6D0", "6D⁰")</f>
        <v/>
      </c>
      <c r="N4002" t="inlineStr"/>
    </row>
    <row r="4003">
      <c r="A4003" t="inlineStr">
        <is>
          <t>48M¹⁵</t>
        </is>
      </c>
      <c r="B4003" t="inlineStr"/>
      <c r="C4003" t="inlineStr">
        <is>
          <t>288</t>
        </is>
      </c>
      <c r="D4003" t="inlineStr">
        <is>
          <t>1</t>
        </is>
      </c>
      <c r="E4003" t="inlineStr">
        <is>
          <t>24</t>
        </is>
      </c>
      <c r="F4003" t="inlineStr">
        <is>
          <t>24</t>
        </is>
      </c>
      <c r="G4003" t="inlineStr">
        <is>
          <t>0</t>
        </is>
      </c>
      <c r="H4003" t="inlineStr">
        <is>
          <t>24⁴, 48⁴</t>
        </is>
      </c>
      <c r="I4003" t="n">
        <v>8</v>
      </c>
      <c r="J4003" t="inlineStr">
        <is>
          <t>2⁸, 8¹</t>
        </is>
      </c>
      <c r="K4003">
        <f>HYPERLINK("CSG3.html#group16S3", "16S³"), =HYPERLINK("CSG5.html#group48F5", "48F⁵")</f>
        <v/>
      </c>
      <c r="L4003" t="inlineStr"/>
      <c r="M4003">
        <f>HYPERLINK("CSG5.html#group48F5", "48F⁵"), =HYPERLINK("CSG0.html#group12C0", "12C⁰"), =HYPERLINK("CSG0.html#group4C0", "4C⁰"), =HYPERLINK("CSG0.html#group8B0", "8B⁰"), =HYPERLINK("CSG3.html#group16S3", "16S³"), =HYPERLINK("CSG0.html#group48A0", "48A⁰"), =HYPERLINK("CSG0.html#group8L0", "8L⁰"), =HYPERLINK("CSG0.html#group2B0", "2B⁰"), =HYPERLINK("CSG1.html#group16J1", "16J¹"), =HYPERLINK("CSG0.html#group1A0", "1A⁰"), =HYPERLINK("CSG0.html#group16B0", "16B⁰"), =HYPERLINK("CSG1.html#group16D1", "16D¹"), =HYPERLINK("CSG3.html#group48E3", "48E³"), =HYPERLINK("CSG0.html#group24A0", "24A⁰"), =HYPERLINK("CSG2.html#group24M2", "24M²"), =HYPERLINK("CSG0.html#group3A0", "3A⁰"), =HYPERLINK("CSG0.html#group6D0", "6D⁰")</f>
        <v/>
      </c>
      <c r="N4003" t="inlineStr"/>
    </row>
    <row r="4004">
      <c r="A4004" t="inlineStr">
        <is>
          <t>48N¹⁵</t>
        </is>
      </c>
      <c r="B4004" t="inlineStr"/>
      <c r="C4004" t="inlineStr">
        <is>
          <t>288</t>
        </is>
      </c>
      <c r="D4004" t="inlineStr">
        <is>
          <t>1</t>
        </is>
      </c>
      <c r="E4004" t="inlineStr">
        <is>
          <t>36</t>
        </is>
      </c>
      <c r="F4004" t="inlineStr">
        <is>
          <t>0</t>
        </is>
      </c>
      <c r="G4004" t="inlineStr">
        <is>
          <t>0</t>
        </is>
      </c>
      <c r="H4004" t="inlineStr">
        <is>
          <t>3⁸, 6⁴, 12⁴, 48⁴</t>
        </is>
      </c>
      <c r="I4004" t="n">
        <v>20</v>
      </c>
      <c r="J4004" t="inlineStr">
        <is>
          <t>1⁴, 2⁶, 4³, 8¹</t>
        </is>
      </c>
      <c r="K4004">
        <f>HYPERLINK("CSG7.html#group24T7", "24T⁷"), =HYPERLINK("CSG7.html#group48Q7", "48Q⁷"), =HYPERLINK("CSG7.html#group48Y7", "48Y⁷"), =HYPERLINK("CSG8.html#group48K8", "48K⁸"), =HYPERLINK("CSG8.html#group48Y8", "48Y⁸")</f>
        <v/>
      </c>
      <c r="L4004" t="inlineStr"/>
      <c r="M4004">
        <f>HYPERLINK("CSG1.html#group12K1", "12K¹"), =HYPERLINK("CSG7.html#group24T7", "24T⁷"), =HYPERLINK("CSG8.html#group48K8", "48K⁸"), =HYPERLINK("CSG4.html#group48F4", "48F⁴"), =HYPERLINK("CSG0.html#group6G0", "6G⁰"), =HYPERLINK("CSG8.html#group48Y8", "48Y⁸"), =HYPERLINK("CSG0.html#group2B0", "2B⁰"), =HYPERLINK("CSG0.html#group8C0", "8C⁰"), =HYPERLINK("CSG0.html#group4B0", "4B⁰"), =HYPERLINK("CSG0.html#group1A0", "1A⁰"), =HYPERLINK("CSG4.html#group48G4", "48G⁴"), =HYPERLINK("CSG7.html#group48Y7", "48Y⁷"), =HYPERLINK("CSG7.html#group48Q7", "48Q⁷"), =HYPERLINK("CSG2.html#group24B2", "24B²"), =HYPERLINK("CSG0.html#group16D0", "16D⁰"), =HYPERLINK("CSG4.html#group24M4", "24M⁴"),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"6D⁰"), =HYPERLINK("CSG4.html#group48D4", "48D⁴")</f>
        <v/>
      </c>
      <c r="N4004" t="inlineStr"/>
    </row>
    <row r="4005">
      <c r="A4005" t="inlineStr">
        <is>
          <t>48O¹⁵</t>
        </is>
      </c>
      <c r="B4005" t="inlineStr"/>
      <c r="C4005" t="inlineStr">
        <is>
          <t>288</t>
        </is>
      </c>
      <c r="D4005" t="inlineStr">
        <is>
          <t>1</t>
        </is>
      </c>
      <c r="E4005" t="inlineStr">
        <is>
          <t>36</t>
        </is>
      </c>
      <c r="F4005" t="inlineStr">
        <is>
          <t>0</t>
        </is>
      </c>
      <c r="G4005" t="inlineStr">
        <is>
          <t>0</t>
        </is>
      </c>
      <c r="H4005" t="inlineStr">
        <is>
          <t>3⁸, 6⁴, 12⁴, 48⁴</t>
        </is>
      </c>
      <c r="I4005" t="n">
        <v>20</v>
      </c>
      <c r="J4005" t="inlineStr">
        <is>
          <t>1⁴, 2⁶, 4³, 8¹</t>
        </is>
      </c>
      <c r="K4005">
        <f>HYPERLINK("CSG7.html#group24T7", "24T⁷"), =HYPERLINK("CSG7.html#group48R7", "48R⁷"), =HYPERLINK("CSG7.html#group48X7", "48X⁷"), =HYPERLINK("CSG8.html#group48J8", "48J⁸"), =HYPERLINK("CSG8.html#group48Y8", "48Y⁸")</f>
        <v/>
      </c>
      <c r="L4005" t="inlineStr"/>
      <c r="M4005">
        <f>HYPERLINK("CSG1.html#group12K1", "12K¹"), =HYPERLINK("CSG7.html#group24T7", "24T⁷"), =HYPERLINK("CSG4.html#group48F4", "48F⁴"), =HYPERLINK("CSG0.html#group6G0", "6G⁰"), =HYPERLINK("CSG8.html#group48Y8", "48Y⁸"), =HYPERLINK("CSG0.html#group8C0", "8C⁰"), =HYPERLINK("CSG0.html#group2B0", "2B⁰"), =HYPERLINK("CSG0.html#group4B0", "4B⁰"), =HYPERLINK("CSG0.html#group1A0", "1A⁰"), =HYPERLINK("CSG4.html#group48G4", "48G⁴"), =HYPERLINK("CSG4.html#group48B4", "48B⁴"), =HYPERLINK("CSG2.html#group24B2", "24B²"), =HYPERLINK("CSG7.html#group48R7", "48R⁷"), =HYPERLINK("CSG0.html#group16C0", "16C⁰"), =HYPERLINK("CSG0.html#group6D0", "6D⁰"), =HYPERLINK("CSG4.html#group24M4", "24M⁴"), =HYPERLINK("CSG2.html#group24D2", "24D²"), =HYPERLINK("CSG0.html#group3C0", "3C⁰"), =HYPERLINK("CSG1.html#group12B1", "12B¹"), =HYPERLINK("CSG8.html#group48J8", "48J⁸"), =HYPERLINK("CSG0.html#group12D0", "12D⁰"), =HYPERLINK("CSG0.html#group3A0", "3A⁰"), =HYPERLINK("CSG3.html#group24L3", "24L³"), =HYPERLINK("CSG7.html#group48X7", "48X⁷")</f>
        <v/>
      </c>
      <c r="N4005" t="inlineStr"/>
    </row>
    <row r="4006">
      <c r="A4006" t="inlineStr">
        <is>
          <t>48P¹⁵</t>
        </is>
      </c>
      <c r="B4006" t="inlineStr"/>
      <c r="C4006" t="inlineStr">
        <is>
          <t>288</t>
        </is>
      </c>
      <c r="D4006" t="inlineStr">
        <is>
          <t>1</t>
        </is>
      </c>
      <c r="E4006" t="inlineStr">
        <is>
          <t>36</t>
        </is>
      </c>
      <c r="F4006" t="inlineStr">
        <is>
          <t>0</t>
        </is>
      </c>
      <c r="G4006" t="inlineStr">
        <is>
          <t>0</t>
        </is>
      </c>
      <c r="H4006" t="inlineStr">
        <is>
          <t>3⁸, 6⁴, 12⁴, 48⁴</t>
        </is>
      </c>
      <c r="I4006" t="n">
        <v>20</v>
      </c>
      <c r="J4006" t="inlineStr">
        <is>
          <t>1⁴, 2⁶, 4³, 8¹</t>
        </is>
      </c>
      <c r="K4006">
        <f>HYPERLINK("CSG7.html#group24U7", "24U⁷"), =HYPERLINK("CSG7.html#group48Q7", "48Q⁷"), =HYPERLINK("CSG7.html#group48X7", "48X⁷"), =HYPERLINK("CSG8.html#group48I8", "48I⁸"), =HYPERLINK("CSG8.html#group48Y8", "48Y⁸")</f>
        <v/>
      </c>
      <c r="L4006" t="inlineStr"/>
      <c r="M4006">
        <f>HYPERLINK("CSG7.html#group24U7", "24U⁷"), =HYPERLINK("CSG8.html#group48I8", "48I⁸"), =HYPERLINK("CSG4.html#group24F4", "24F⁴"), =HYPERLINK("CSG1.html#group12K1", "12K¹"), =HYPERLINK("CSG4.html#group48F4", "48F⁴"), =HYPERLINK("CSG0.html#group6G0", "6G⁰"), =HYPERLINK("CSG8.html#group48Y8", "48Y⁸"), =HYPERLINK("CSG0.html#group8C0", "8C⁰"), =HYPERLINK("CSG0.html#group2B0", "2B⁰"), =HYPERLINK("CSG0.html#group8I0", "8I⁰"), =HYPERLINK("CSG0.html#group4B0", "4B⁰"), =HYPERLINK("CSG0.html#group1A0", "1A⁰"), =HYPERLINK("CSG4.html#group48G4", "48G⁴"), =HYPERLINK("CSG7.html#group48Q7", "48Q⁷"), =HYPERLINK("CSG2.html#group24B2", "24B²"), =HYPERLINK("CSG0.html#group6D0", "6D⁰"), =HYPERLINK("CSG4.html#group24M4", "24M⁴"),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=HYPERLINK("CSG7.html#group48X7", "48X⁷")</f>
        <v/>
      </c>
      <c r="N4006" t="inlineStr"/>
    </row>
    <row r="4007">
      <c r="A4007" t="inlineStr">
        <is>
          <t>48Q¹⁵</t>
        </is>
      </c>
      <c r="B4007" t="inlineStr"/>
      <c r="C4007" t="inlineStr">
        <is>
          <t>288</t>
        </is>
      </c>
      <c r="D4007" t="inlineStr">
        <is>
          <t>1</t>
        </is>
      </c>
      <c r="E4007" t="inlineStr">
        <is>
          <t>36</t>
        </is>
      </c>
      <c r="F4007" t="inlineStr">
        <is>
          <t>0</t>
        </is>
      </c>
      <c r="G4007" t="inlineStr">
        <is>
          <t>0</t>
        </is>
      </c>
      <c r="H4007" t="inlineStr">
        <is>
          <t>3⁸, 6⁴, 12⁴, 48⁴</t>
        </is>
      </c>
      <c r="I4007" t="n">
        <v>20</v>
      </c>
      <c r="J4007" t="inlineStr">
        <is>
          <t>1⁴, 2⁶, 4³, 8¹</t>
        </is>
      </c>
      <c r="K4007">
        <f>HYPERLINK("CSG7.html#group24U7", "24U⁷"), =HYPERLINK("CSG7.html#group48R7", "48R⁷"), =HYPERLINK("CSG7.html#group48Y7", "48Y⁷"), =HYPERLINK("CSG8.html#group48E8", "48E⁸"), =HYPERLINK("CSG8.html#group48I8", "48I⁸"), =HYPERLINK("CSG8.html#group48J8", "48J⁸"), =HYPERLINK("CSG8.html#group48K8", "48K⁸")</f>
        <v/>
      </c>
      <c r="L4007" t="inlineStr"/>
      <c r="M4007">
        <f>HYPERLINK("CSG7.html#group24U7", "24U⁷"), =HYPERLINK("CSG8.html#group48I8", "48I⁸"), =HYPERLINK("CSG4.html#group24F4", "24F⁴"), =HYPERLINK("CSG1.html#group12K1", "12K¹"), =HYPERLINK("CSG8.html#group48K8", "48K⁸"), =HYPERLINK("CSG4.html#group48F4", "48F⁴"), =HYPERLINK("CSG0.html#group6G0", "6G⁰"), =HYPERLINK("CSG0.html#group2B0", "2B⁰"), =HYPERLINK("CSG0.html#group8C0", "8C⁰"), =HYPERLINK("CSG0.html#group8I0", "8I⁰"), =HYPERLINK("CSG0.html#group4B0", "4B⁰"), =HYPERLINK("CSG0.html#group1A0", "1A⁰"), =HYPERLINK("CSG4.html#group48G4", "48G⁴"), =HYPERLINK("CSG4.html#group48B4", "48B⁴"), =HYPERLINK("CSG0.html#group16H0", "16H⁰"), =HYPERLINK("CSG7.html#group48Y7", "48Y⁷"), =HYPERLINK("CSG2.html#group24B2", "24B²"), =HYPERLINK("CSG7.html#group48R7", "48R⁷"), =HYPERLINK("CSG8.html#group48E8", "48E⁸"), =HYPERLINK("CSG0.html#group16D0", "16D⁰"), =HYPERLINK("CSG4.html#group24M4", "24M⁴"), =HYPERLINK("CSG0.html#group16C0", "16C⁰"), =HYPERLINK("CSG2.html#group24D2", "24D²"), =HYPERLINK("CSG0.html#group3C0", "3C⁰"), =HYPERLINK("CSG1.html#group12B1", "12B¹"), =HYPERLINK("CSG8.html#group48J8", "48J⁸"), =HYPERLINK("CSG0.html#group12D0", "12D⁰"), =HYPERLINK("CSG0.html#group3A0", "3A⁰"), =HYPERLINK("CSG3.html#group24L3", "24L³"), =HYPERLINK("CSG0.html#group6D0", "6D⁰"), =HYPERLINK("CSG4.html#group48D4", "48D⁴")</f>
        <v/>
      </c>
      <c r="N4007" t="inlineStr"/>
    </row>
    <row r="4008">
      <c r="A4008" t="inlineStr">
        <is>
          <t>48R¹⁵</t>
        </is>
      </c>
      <c r="B4008" t="inlineStr"/>
      <c r="C4008" t="inlineStr">
        <is>
          <t>288</t>
        </is>
      </c>
      <c r="D4008" t="inlineStr">
        <is>
          <t>1</t>
        </is>
      </c>
      <c r="E4008" t="inlineStr">
        <is>
          <t>36</t>
        </is>
      </c>
      <c r="F4008" t="inlineStr">
        <is>
          <t>0</t>
        </is>
      </c>
      <c r="G4008" t="inlineStr">
        <is>
          <t>0</t>
        </is>
      </c>
      <c r="H4008" t="inlineStr">
        <is>
          <t>6¹⁶, 48⁴</t>
        </is>
      </c>
      <c r="I4008" t="n">
        <v>20</v>
      </c>
      <c r="J4008" t="inlineStr">
        <is>
          <t>1⁴, 2⁶, 4³, 8¹</t>
        </is>
      </c>
      <c r="K4008">
        <f>HYPERLINK("CSG7.html#group24N7", "24N⁷"), =HYPERLINK("CSG7.html#group48X7", "48X⁷"), =HYPERLINK("CSG7.html#group48Y7", "48Y⁷"), =HYPERLINK("CSG8.html#group48L8", "48L⁸"), =HYPERLINK("CSG8.html#group48M8", "48M⁸")</f>
        <v/>
      </c>
      <c r="L4008" t="inlineStr"/>
      <c r="M4008">
        <f>HYPERLINK("CSG4.html#group24I4", "24I⁴"), =HYPERLINK("CSG1.html#group12K1", "12K¹"), =HYPERLINK("CSG2.html#group12D2", "12D²"), =HYPERLINK("CSG0.html#group6G0", "6G⁰"), =HYPERLINK("CSG0.html#group2B0", "2B⁰"), =HYPERLINK("CSG0.html#group8C0", "8C⁰"), =HYPERLINK("CSG1.html#group12N1", "12N¹"), =HYPERLINK("CSG0.html#group4B0", "4B⁰"), =HYPERLINK("CSG0.html#group1A0", "1A⁰"), =HYPERLINK("CSG7.html#group48Y7", "48Y⁷"), =HYPERLINK("CSG2.html#group24B2", "24B²"), =HYPERLINK("CSG8.html#group48L8", "48L⁸"), =HYPERLINK("CSG2.html#group24D2", "24D²"), =HYPERLINK("CSG8.html#group48M8", "48M⁸"), =HYPERLINK("CSG0.html#group3C0", "3C⁰"), =HYPERLINK("CSG1.html#group12B1", "12B¹"), =HYPERLINK("CSG3.html#group24K3", "24K³"), =HYPERLINK("CSG0.html#group6H0", "6H⁰"), =HYPERLINK("CSG0.html#group3A0", "3A⁰"), =HYPERLINK("CSG7.html#group48X7", "48X⁷"), =HYPERLINK("CSG4.html#group48D4", "48D⁴"), =HYPERLINK("CSG0.html#group6B0", "6B⁰"), =HYPERLINK("CSG7.html#group24N7", "24N⁷"), =HYPERLINK("CSG4.html#group24J4", "24J⁴"), =HYPERLINK("CSG4.html#group48G4", "48G⁴"), =HYPERLINK("CSG1.html#group12C1", "12C¹"), =HYPERLINK("CSG0.html#group6E0", "6E⁰"), =HYPERLINK("CSG0.html#group6L0", "6L⁰"), =HYPERLINK("CSG0.html#group16D0", "16D⁰"), =HYPERLINK("CSG3.html#group12E3", "12E³"), =HYPERLINK("CSG0.html#group12D0", "12D⁰"), =HYPERLINK("CSG3.html#group24L3", "24L³"), =HYPERLINK("CSG2.html#group12C2", "12C²"), =HYPERLINK("CSG0.html#group6D0", "6D⁰")</f>
        <v/>
      </c>
      <c r="N4008" t="inlineStr"/>
    </row>
    <row r="4009">
      <c r="A4009" t="inlineStr">
        <is>
          <t>48S¹⁵</t>
        </is>
      </c>
      <c r="B4009" t="inlineStr"/>
      <c r="C4009" t="inlineStr">
        <is>
          <t>288</t>
        </is>
      </c>
      <c r="D4009" t="inlineStr">
        <is>
          <t>1</t>
        </is>
      </c>
      <c r="E4009" t="inlineStr">
        <is>
          <t>36</t>
        </is>
      </c>
      <c r="F4009" t="inlineStr">
        <is>
          <t>16</t>
        </is>
      </c>
      <c r="G4009" t="inlineStr">
        <is>
          <t>0</t>
        </is>
      </c>
      <c r="H4009" t="inlineStr">
        <is>
          <t>12⁸, 48⁴</t>
        </is>
      </c>
      <c r="I4009" t="n">
        <v>12</v>
      </c>
      <c r="J4009" t="inlineStr">
        <is>
          <t>2², 4⁴, 8²</t>
        </is>
      </c>
      <c r="K4009">
        <f>HYPERLINK("CSG5.html#group24W5", "24W⁵"), =HYPERLINK("CSG7.html#group48AB7", "48AB⁷")</f>
        <v/>
      </c>
      <c r="L4009" t="inlineStr"/>
      <c r="M4009">
        <f>HYPERLINK("CSG2.html#group12I2", "12I²"), =HYPERLINK("CSG2.html#group24O2", "24O²"), =HYPERLINK("CSG3.html#group24Q3", "24Q³"), =HYPERLINK("CSG1.html#group24E1", "24E¹"), =HYPERLINK("CSG0.html#group12C0", "12C⁰"), =HYPERLINK("CSG0.html#group4C0", "4C⁰"), =HYPERLINK("CSG2.html#group24P2", "24P²"), =HYPERLINK("CSG1.html#group12M1", "12M¹"), =HYPERLINK("CSG3.html#group24P3", "24P³"), =HYPERLINK("CSG0.html#group2B0", "2B⁰"), =HYPERLINK("CSG0.html#group1A0", "1A⁰"), =HYPERLINK("CSG5.html#group24W5", "24W⁵"), =HYPERLINK("CSG0.html#group24A0", "24A⁰"), =HYPERLINK("CSG0.html#group6H0", "6H⁰"), =HYPERLINK("CSG0.html#group3A0", "3A⁰"), =HYPERLINK("CSG1.html#group24H1", "24H¹"), =HYPERLINK("CSG0.html#group6B0", "6B⁰"), =HYPERLINK("CSG0.html#group8D0", "8D⁰"), =HYPERLINK("CSG1.html#group24D1", "24D¹"), =HYPERLINK("CSG0.html#group12F0", "12F⁰"), =HYPERLINK("CSG0.html#group8B0", "8B⁰"), =HYPERLINK("CSG2.html#group24L2", "24L²"), =HYPERLINK("CSG0.html#group8H0", "8H⁰"), =HYPERLINK("CSG7.html#group48AB7", "48AB⁷"), =HYPERLINK("CSG0.html#group12A0", "12A⁰"), =HYPERLINK("CSG0.html#group4A0", "4A⁰"), =HYPERLINK("CSG1.html#group24C1", "24C¹"), =HYPERLINK("CSG1.html#group12J1", "12J¹"), =HYPERLINK("CSG0.html#group12D0", "12D⁰"), =HYPERLINK("CSG0.html#group4F0", "4F⁰"), =HYPERLINK("CSG0.html#group12H0", "12H⁰"), =HYPERLINK("CSG0.html#group6D0", "6D⁰")</f>
        <v/>
      </c>
      <c r="N4009" t="inlineStr"/>
    </row>
    <row r="4010">
      <c r="A4010" t="inlineStr">
        <is>
          <t>48T¹⁵</t>
        </is>
      </c>
      <c r="B4010" t="inlineStr"/>
      <c r="C4010" t="inlineStr">
        <is>
          <t>288</t>
        </is>
      </c>
      <c r="D4010" t="inlineStr">
        <is>
          <t>1</t>
        </is>
      </c>
      <c r="E4010" t="inlineStr">
        <is>
          <t>36</t>
        </is>
      </c>
      <c r="F4010" t="inlineStr">
        <is>
          <t>16</t>
        </is>
      </c>
      <c r="G4010" t="inlineStr">
        <is>
          <t>0</t>
        </is>
      </c>
      <c r="H4010" t="inlineStr">
        <is>
          <t>12⁸, 48⁴</t>
        </is>
      </c>
      <c r="I4010" t="n">
        <v>12</v>
      </c>
      <c r="J4010" t="inlineStr">
        <is>
          <t>2², 4⁴, 8²</t>
        </is>
      </c>
      <c r="K4010">
        <f>HYPERLINK("CSG5.html#group24W5", "24W⁵"), =HYPERLINK("CSG7.html#group48O7", "48O⁷"), =HYPERLINK("CSG7.html#group48AB7", "48AB⁷")</f>
        <v/>
      </c>
      <c r="L4010" t="inlineStr"/>
      <c r="M4010">
        <f>HYPERLINK("CSG2.html#group12I2", "12I²"), =HYPERLINK("CSG2.html#group24O2", "24O²"), =HYPERLINK("CSG3.html#group24Q3", "24Q³"), =HYPERLINK("CSG1.html#group24E1", "24E¹"), =HYPERLINK("CSG0.html#group12C0", "12C⁰"), =HYPERLINK("CSG0.html#group4C0", "4C⁰"), =HYPERLINK("CSG2.html#group24P2", "24P²"), =HYPERLINK("CSG0.html#group2B0", "2B⁰"), =HYPERLINK("CSG1.html#group12M1", "12M¹"), =HYPERLINK("CSG3.html#group24P3", "24P³"), =HYPERLINK("CSG0.html#group1A0", "1A⁰"), =HYPERLINK("CSG5.html#group24W5", "24W⁵"), =HYPERLINK("CSG0.html#group24A0", "24A⁰"), =HYPERLINK("CSG0.html#group6H0", "6H⁰"), =HYPERLINK("CSG0.html#group3A0", "3A⁰"), =HYPERLINK("CSG1.html#group24H1", "24H¹"), =HYPERLINK("CSG1.html#group16H1", "16H¹"), =HYPERLINK("CSG0.html#group6B0", "6B⁰"), =HYPERLINK("CSG0.html#group8D0", "8D⁰"), =HYPERLINK("CSG1.html#group24D1", "24D¹"), =HYPERLINK("CSG0.html#group8B0", "8B⁰"), =HYPERLINK("CSG0.html#group12F0", "12F⁰"), =HYPERLINK("CSG2.html#group24L2", "24L²"), =HYPERLINK("CSG0.html#group8H0", "8H⁰"), =HYPERLINK("CSG7.html#group48AB7", "48AB⁷"), =HYPERLINK("CSG0.html#group12A0", "12A⁰"), =HYPERLINK("CSG0.html#group4A0", "4A⁰"), =HYPERLINK("CSG1.html#group24C1", "24C¹"), =HYPERLINK("CSG1.html#group12J1", "12J¹"), =HYPERLINK("CSG0.html#group12D0", "12D⁰"), =HYPERLINK("CSG0.html#group4F0", "4F⁰"), =HYPERLINK("CSG0.html#group12H0", "12H⁰"), =HYPERLINK("CSG7.html#group48O7", "48O⁷"), =HYPERLINK("CSG0.html#group6D0", "6D⁰")</f>
        <v/>
      </c>
      <c r="N4010" t="inlineStr"/>
    </row>
    <row r="4011">
      <c r="A4011" t="inlineStr">
        <is>
          <t>48U¹⁵</t>
        </is>
      </c>
      <c r="B4011" t="inlineStr"/>
      <c r="C4011" t="inlineStr">
        <is>
          <t>288</t>
        </is>
      </c>
      <c r="D4011" t="inlineStr">
        <is>
          <t>1</t>
        </is>
      </c>
      <c r="E4011" t="inlineStr">
        <is>
          <t>36</t>
        </is>
      </c>
      <c r="F4011" t="inlineStr">
        <is>
          <t>16</t>
        </is>
      </c>
      <c r="G4011" t="inlineStr">
        <is>
          <t>0</t>
        </is>
      </c>
      <c r="H4011" t="inlineStr">
        <is>
          <t>12⁸, 48⁴</t>
        </is>
      </c>
      <c r="I4011" t="n">
        <v>12</v>
      </c>
      <c r="J4011" t="inlineStr">
        <is>
          <t>2⁴, 4³, 8²</t>
        </is>
      </c>
      <c r="K4011">
        <f>HYPERLINK("CSG5.html#group24W5", "24W⁵"), =HYPERLINK("CSG6.html#group48I6", "48I⁶"), =HYPERLINK("CSG7.html#group48AC7", "48AC⁷"), =HYPERLINK("CSG8.html#group48N8", "48N⁸"), =HYPERLINK("CSG8.html#group48Z8", "48Z⁸")</f>
        <v/>
      </c>
      <c r="L4011" t="inlineStr"/>
      <c r="M4011">
        <f>HYPERLINK("CSG2.html#group24O2", "24O²"), =HYPERLINK("CSG1.html#group24E1", "24E¹"), =HYPERLINK("CSG3.html#group24Q3", "24Q³"), =HYPERLINK("CSG2.html#group12I2", "12I²"), =HYPERLINK("CSG0.html#group12C0", "12C⁰"), =HYPERLINK("CSG3.html#group48G3", "48G³"), =HYPERLINK("CSG7.html#group48AC7", "48AC⁷"), =HYPERLINK("CSG8.html#group48Z8", "48Z⁸"), =HYPERLINK("CSG0.html#group4C0", "4C⁰"), =HYPERLINK("CSG2.html#group24P2", "24P²"), =HYPERLINK("CSG0.html#group2B0", "2B⁰"), =HYPERLINK("CSG1.html#group12M1", "12M¹"), =HYPERLINK("CSG3.html#group24P3", "24P³"), =HYPERLINK("CSG0.html#group1A0", "1A⁰"), =HYPERLINK("CSG5.html#group24W5", "24W⁵"), =HYPERLINK("CSG0.html#group24A0", "24A⁰"), =HYPERLINK("CSG8.html#group48N8", "48N⁸"), =HYPERLINK("CSG0.html#group6H0", "6H⁰"), =HYPERLINK("CSG0.html#group3A0", "3A⁰"), =HYPERLINK("CSG1.html#group24H1", "24H¹"), =HYPERLINK("CSG0.html#group6B0", "6B⁰"), =HYPERLINK("CSG6.html#group48I6", "48I⁶"), =HYPERLINK("CSG0.html#group8D0", "8D⁰"), =HYPERLINK("CSG4.html#group48H4", "48H⁴"), =HYPERLINK("CSG1.html#group24D1", "24D¹"), =HYPERLINK("CSG0.html#group8B0", "8B⁰"), =HYPERLINK("CSG0.html#group12F0", "12F⁰"), =HYPERLINK("CSG2.html#group24L2", "24L²"), =HYPERLINK("CSG0.html#group8H0", "8H⁰"), =HYPERLINK("CSG0.html#group12A0", "12A⁰"), =HYPERLINK("CSG0.html#group4A0", "4A⁰"), =HYPERLINK("CSG1.html#group24C1", "24C¹"), =HYPERLINK("CSG1.html#group12J1", "12J¹"), =HYPERLINK("CSG0.html#group12D0", "12D⁰"), =HYPERLINK("CSG0.html#group4F0", "4F⁰"), =HYPERLINK("CSG0.html#group12H0", "12H⁰"), =HYPERLINK("CSG0.html#group6D0", "6D⁰")</f>
        <v/>
      </c>
      <c r="N4011" t="inlineStr"/>
    </row>
    <row r="4012">
      <c r="A4012" t="inlineStr">
        <is>
          <t>48V¹⁵</t>
        </is>
      </c>
      <c r="B4012" t="inlineStr"/>
      <c r="C4012" t="inlineStr">
        <is>
          <t>288</t>
        </is>
      </c>
      <c r="D4012" t="inlineStr">
        <is>
          <t>1</t>
        </is>
      </c>
      <c r="E4012" t="inlineStr">
        <is>
          <t>36</t>
        </is>
      </c>
      <c r="F4012" t="inlineStr">
        <is>
          <t>16</t>
        </is>
      </c>
      <c r="G4012" t="inlineStr">
        <is>
          <t>0</t>
        </is>
      </c>
      <c r="H4012" t="inlineStr">
        <is>
          <t>12⁸, 48⁴</t>
        </is>
      </c>
      <c r="I4012" t="n">
        <v>12</v>
      </c>
      <c r="J4012" t="inlineStr">
        <is>
          <t>1², 2³, 4³, 8²</t>
        </is>
      </c>
      <c r="K4012">
        <f>HYPERLINK("CSG5.html#group24W5", "24W⁵"), =HYPERLINK("CSG6.html#group48J6", "48J⁶"), =HYPERLINK("CSG7.html#group48P7", "48P⁷"), =HYPERLINK("CSG7.html#group48AC7", "48AC⁷"), =HYPERLINK("CSG8.html#group48O8", "48O⁸"), =HYPERLINK("CSG8.html#group48P8", "48P⁸"), =HYPERLINK("CSG8.html#group48Q8", "48Q⁸")</f>
        <v/>
      </c>
      <c r="L4012" t="inlineStr"/>
      <c r="M4012">
        <f>HYPERLINK("CSG2.html#group24O2", "24O²"), =HYPERLINK("CSG1.html#group24E1", "24E¹"), =HYPERLINK("CSG3.html#group24Q3", "24Q³"), =HYPERLINK("CSG2.html#group12I2", "12I²"), =HYPERLINK("CSG0.html#group12C0", "12C⁰"), =HYPERLINK("CSG3.html#group48G3", "48G³"), =HYPERLINK("CSG1.html#group16I1", "16I¹"), =HYPERLINK("CSG7.html#group48AC7", "48AC⁷"), =HYPERLINK("CSG8.html#group48O8", "48O⁸"), =HYPERLINK("CSG7.html#group48P7", "48P⁷"), =HYPERLINK("CSG0.html#group4C0", "4C⁰"), =HYPERLINK("CSG2.html#group24P2", "24P²"), =HYPERLINK("CSG0.html#group2B0", "2B⁰"), =HYPERLINK("CSG1.html#group12M1", "12M¹"), =HYPERLINK("CSG3.html#group24P3", "24P³"), =HYPERLINK("CSG0.html#group1A0", "1A⁰"), =HYPERLINK("CSG5.html#group24W5", "24W⁵"), =HYPERLINK("CSG0.html#group16E0", "16E⁰"), =HYPERLINK("CSG4.html#group48E4", "48E⁴"), =HYPERLINK("CSG0.html#group24A0", "24A⁰"), =HYPERLINK("CSG3.html#group48D3", "48D³"), =HYPERLINK("CSG0.html#group6H0", "6H⁰"), =HYPERLINK("CSG0.html#group3A0", "3A⁰"), =HYPERLINK("CSG1.html#group24H1", "24H¹"), =HYPERLINK("CSG0.html#group6B0", "6B⁰"), =HYPERLINK("CSG4.html#group48H4", "48H⁴"), =HYPERLINK("CSG0.html#group8D0", "8D⁰"), =HYPERLINK("CSG1.html#group24D1", "24D¹"), =HYPERLINK("CSG0.html#group8B0", "8B⁰"), =HYPERLINK("CSG0.html#group12F0", "12F⁰"), =HYPERLINK("CSG8.html#group48P8", "48P⁸"), =HYPERLINK("CSG8.html#group48Q8", "48Q⁸"), =HYPERLINK("CSG2.html#group24L2", "24L²"), =HYPERLINK("CSG0.html#group8H0", "8H⁰"), =HYPERLINK("CSG0.html#group12A0", "12A⁰"), =HYPERLINK("CSG0.html#group4A0", "4A⁰"), =HYPERLINK("CSG6.html#group48J6", "48J⁶"), =HYPERLINK("CSG1.html#group16C1", "16C¹"), =HYPERLINK("CSG1.html#group24C1", "24C¹"), =HYPERLINK("CSG1.html#group12J1", "12J¹"), =HYPERLINK("CSG0.html#group12D0", "12D⁰"), =HYPERLINK("CSG0.html#group4F0", "4F⁰"), =HYPERLINK("CSG0.html#group12H0", "12H⁰"), =HYPERLINK("CSG0.html#group6D0", "6D⁰")</f>
        <v/>
      </c>
      <c r="N4012" t="inlineStr"/>
    </row>
    <row r="4013">
      <c r="A4013" t="inlineStr">
        <is>
          <t>48W¹⁵</t>
        </is>
      </c>
      <c r="B4013" t="inlineStr"/>
      <c r="C4013" t="inlineStr">
        <is>
          <t>288</t>
        </is>
      </c>
      <c r="D4013" t="inlineStr">
        <is>
          <t>1</t>
        </is>
      </c>
      <c r="E4013" t="inlineStr">
        <is>
          <t>36</t>
        </is>
      </c>
      <c r="F4013" t="inlineStr">
        <is>
          <t>24</t>
        </is>
      </c>
      <c r="G4013" t="inlineStr">
        <is>
          <t>0</t>
        </is>
      </c>
      <c r="H4013" t="inlineStr">
        <is>
          <t>24⁴, 48⁴</t>
        </is>
      </c>
      <c r="I4013" t="n">
        <v>8</v>
      </c>
      <c r="J4013" t="inlineStr">
        <is>
          <t>2², 4⁴, 8²</t>
        </is>
      </c>
      <c r="K4013">
        <f>HYPERLINK("CSG5.html#group48E5", "48E⁵"), =HYPERLINK("CSG7.html#group24AB7", "24AB⁷"), =HYPERLINK("CSG7.html#group48AB7", "48AB⁷")</f>
        <v/>
      </c>
      <c r="L4013" t="inlineStr"/>
      <c r="M4013">
        <f>HYPERLINK("CSG4.html#group24O4", "24O⁴"), =HYPERLINK("CSG5.html#group48E5", "48E⁵"), =HYPERLINK("CSG0.html#group12C0", "12C⁰"), =HYPERLINK("CSG0.html#group8D0", "8D⁰"), =HYPERLINK("CSG0.html#group4C0", "4C⁰"), =HYPERLINK("CSG0.html#group8B0", "8B⁰"), =HYPERLINK("CSG1.html#group16F1", "16F¹"), =HYPERLINK("CSG1.html#group16B1", "16B¹"), =HYPERLINK("CSG0.html#group48A0", "48A⁰"), =HYPERLINK("CSG0.html#group2B0", "2B⁰"), =HYPERLINK("CSG1.html#group24B1", "24B¹"), =HYPERLINK("CSG2.html#group24L2", "24L²"), =HYPERLINK("CSG0.html#group1A0", "1A⁰"), =HYPERLINK("CSG0.html#group8H0", "8H⁰"), =HYPERLINK("CSG0.html#group16B0", "16B⁰"), =HYPERLINK("CSG3.html#group48C3", "48C³"), =HYPERLINK("CSG7.html#group48AB7", "48AB⁷"), =HYPERLINK("CSG0.html#group12A0", "12A⁰"), =HYPERLINK("CSG0.html#group24A0", "24A⁰"), =HYPERLINK("CSG0.html#group4A0", "4A⁰"), =HYPERLINK("CSG1.html#group24C1", "24C¹"), =HYPERLINK("CSG7.html#group24AB7", "24AB⁷"), =HYPERLINK("CSG3.html#group24R3", "24R³"), =HYPERLINK("CSG1.html#group12J1", "12J¹"), =HYPERLINK("CSG0.html#group4F0", "4F⁰"), =HYPERLINK("CSG0.html#group3A0", "3A⁰"), =HYPERLINK("CSG0.html#group6D0", "6D⁰")</f>
        <v/>
      </c>
      <c r="N4013" t="inlineStr"/>
    </row>
    <row r="4014">
      <c r="A4014" t="inlineStr">
        <is>
          <t>48X¹⁵</t>
        </is>
      </c>
      <c r="B4014" t="inlineStr"/>
      <c r="C4014" t="inlineStr">
        <is>
          <t>288</t>
        </is>
      </c>
      <c r="D4014" t="inlineStr">
        <is>
          <t>1</t>
        </is>
      </c>
      <c r="E4014" t="inlineStr">
        <is>
          <t>36</t>
        </is>
      </c>
      <c r="F4014" t="inlineStr">
        <is>
          <t>24</t>
        </is>
      </c>
      <c r="G4014" t="inlineStr">
        <is>
          <t>0</t>
        </is>
      </c>
      <c r="H4014" t="inlineStr">
        <is>
          <t>24⁴, 48⁴</t>
        </is>
      </c>
      <c r="I4014" t="n">
        <v>8</v>
      </c>
      <c r="J4014" t="inlineStr">
        <is>
          <t>1², 2³, 4³, 8²</t>
        </is>
      </c>
      <c r="K4014">
        <f>HYPERLINK("CSG5.html#group48E5", "48E⁵"), =HYPERLINK("CSG7.html#group24AC7", "24AC⁷"), =HYPERLINK("CSG7.html#group48AC7", "48AC⁷")</f>
        <v/>
      </c>
      <c r="L4014" t="inlineStr"/>
      <c r="M4014">
        <f>HYPERLINK("CSG5.html#group48E5", "48E⁵"), =HYPERLINK("CSG0.html#group12C0", "12C⁰"), =HYPERLINK("CSG7.html#group24AC7", "24AC⁷"), =HYPERLINK("CSG3.html#group48G3", "48G³"), =HYPERLINK("CSG7.html#group48AC7", "48AC⁷"), =HYPERLINK("CSG4.html#group48H4", "48H⁴"), =HYPERLINK("CSG0.html#group8D0", "8D⁰"), =HYPERLINK("CSG0.html#group4C0", "4C⁰"), =HYPERLINK("CSG0.html#group8B0", "8B⁰"), =HYPERLINK("CSG1.html#group16B1", "16B¹"), =HYPERLINK("CSG0.html#group48A0", "48A⁰"), =HYPERLINK("CSG0.html#group2B0", "2B⁰"), =HYPERLINK("CSG2.html#group24L2", "24L²"), =HYPERLINK("CSG0.html#group1A0", "1A⁰"), =HYPERLINK("CSG0.html#group8H0", "8H⁰"), =HYPERLINK("CSG0.html#group16B0", "16B⁰"), =HYPERLINK("CSG3.html#group48C3", "48C³"),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=HYPERLINK("CSG1.html#group16F1", "16F¹"), =HYPERLINK("CSG0.html#group3A0", "3A⁰"), =HYPERLINK("CSG0.html#group6D0", "6D⁰")</f>
        <v/>
      </c>
      <c r="N4014" t="inlineStr"/>
    </row>
    <row r="4015">
      <c r="A4015" t="inlineStr">
        <is>
          <t>48Y¹⁵</t>
        </is>
      </c>
      <c r="B4015" t="inlineStr"/>
      <c r="C4015" t="inlineStr">
        <is>
          <t>288</t>
        </is>
      </c>
      <c r="D4015" t="inlineStr">
        <is>
          <t>1</t>
        </is>
      </c>
      <c r="E4015" t="inlineStr">
        <is>
          <t>36</t>
        </is>
      </c>
      <c r="F4015" t="inlineStr">
        <is>
          <t>24</t>
        </is>
      </c>
      <c r="G4015" t="inlineStr">
        <is>
          <t>0</t>
        </is>
      </c>
      <c r="H4015" t="inlineStr">
        <is>
          <t>24⁴, 48⁴</t>
        </is>
      </c>
      <c r="I4015" t="n">
        <v>8</v>
      </c>
      <c r="J4015" t="inlineStr">
        <is>
          <t>2⁶, 4⁶</t>
        </is>
      </c>
      <c r="K4015">
        <f>HYPERLINK("CSG5.html#group48E5", "48E⁵"), =HYPERLINK("CSG5.html#group48H5", "48H⁵"), =HYPERLINK("CSG6.html#group24G6", "24G⁶"), =HYPERLINK("CSG8.html#group48R8", "48R⁸"), =HYPERLINK("CSG8.html#group48AC8", "48AC⁸")</f>
        <v/>
      </c>
      <c r="L4015" t="inlineStr"/>
      <c r="M4015">
        <f>HYPERLINK("CSG5.html#group48E5", "48E⁵"), =HYPERLINK("CSG0.html#group12C0", "12C⁰"), =HYPERLINK("CSG8.html#group48R8", "48R⁸"), =HYPERLINK("CSG0.html#group8D0", "8D⁰"), =HYPERLINK("CSG0.html#group4C0", "4C⁰"), =HYPERLINK("CSG0.html#group8B0", "8B⁰"), =HYPERLINK("CSG1.html#group16F1", "16F¹"), =HYPERLINK("CSG2.html#group24Q2", "24Q²"), =HYPERLINK("CSG5.html#group48H5", "48H⁵"), =HYPERLINK("CSG0.html#group2B0", "2B⁰"), =HYPERLINK("CSG1.html#group16B1", "16B¹"), =HYPERLINK("CSG0.html#group48A0", "48A⁰"), =HYPERLINK("CSG2.html#group24L2", "24L²"), =HYPERLINK("CSG0.html#group1A0", "1A⁰"), =HYPERLINK("CSG3.html#group48H3", "48H³"), =HYPERLINK("CSG0.html#group8H0", "8H⁰"), =HYPERLINK("CSG0.html#group16B0", "16B⁰"), =HYPERLINK("CSG6.html#group24G6", "24G⁶"), =HYPERLINK("CSG3.html#group48C3", "48C³"),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=HYPERLINK("CSG8.html#group48AC8", "48AC⁸"), =HYPERLINK("CSG0.html#group3A0", "3A⁰"), =HYPERLINK("CSG0.html#group6D0", "6D⁰")</f>
        <v/>
      </c>
      <c r="N4015" t="inlineStr"/>
    </row>
    <row r="4016">
      <c r="A4016" t="inlineStr">
        <is>
          <t>48Z¹⁵</t>
        </is>
      </c>
      <c r="B4016" t="inlineStr"/>
      <c r="C4016" t="inlineStr">
        <is>
          <t>288</t>
        </is>
      </c>
      <c r="D4016" t="inlineStr">
        <is>
          <t>1</t>
        </is>
      </c>
      <c r="E4016" t="inlineStr">
        <is>
          <t>36</t>
        </is>
      </c>
      <c r="F4016" t="inlineStr">
        <is>
          <t>24</t>
        </is>
      </c>
      <c r="G4016" t="inlineStr">
        <is>
          <t>0</t>
        </is>
      </c>
      <c r="H4016" t="inlineStr">
        <is>
          <t>24⁴, 48⁴</t>
        </is>
      </c>
      <c r="I4016" t="n">
        <v>8</v>
      </c>
      <c r="J4016" t="inlineStr">
        <is>
          <t>4¹⁴, 8²</t>
        </is>
      </c>
      <c r="K4016">
        <f>HYPERLINK("CSG5.html#group48G5", "48G⁵"), =HYPERLINK("CSG5.html#group48H5", "48H⁵"), =HYPERLINK("CSG6.html#group24H6", "24H⁶"), =HYPERLINK("CSG8.html#group48S8", "48S⁸"), =HYPERLINK("CSG8.html#group48AE8", "48AE⁸")</f>
        <v/>
      </c>
      <c r="L4016" t="inlineStr"/>
      <c r="M4016">
        <f>HYPERLINK("CSG1.html#group24E1", "24E¹"), =HYPERLINK("CSG0.html#group12C0", "12C⁰"), =HYPERLINK("CSG0.html#group4C0", "4C⁰"), =HYPERLINK("CSG0.html#group8B0", "8B⁰"), =HYPERLINK("CSG2.html#group24P2", "24P²"), =HYPERLINK("CSG5.html#group48H5", "48H⁵"), =HYPERLINK("CSG2.html#group24Q2", "24Q²"), =HYPERLINK("CSG1.html#group12M1", "12M¹"), =HYPERLINK("CSG0.html#group2B0", "2B⁰"), =HYPERLINK("CSG0.html#group48A0", "48A⁰"), =HYPERLINK("CSG5.html#group48G5", "48G⁵"), =HYPERLINK("CSG0.html#group1A0", "1A⁰"), =HYPERLINK("CSG8.html#group48AE8", "48AE⁸"), =HYPERLINK("CSG3.html#group48H3", "48H³"), =HYPERLINK("CSG8.html#group48S8", "48S⁸"), =HYPERLINK("CSG0.html#group16B0", "16B⁰"), =HYPERLINK("CSG0.html#group24A0", "24A⁰"), =HYPERLINK("CSG6.html#group24H6", "24H⁶"), =HYPERLINK("CSG3.html#group48F3", "48F³"), =HYPERLINK("CSG0.html#group3A0", "3A⁰"), =HYPERLINK("CSG0.html#group6D0", "6D⁰")</f>
        <v/>
      </c>
      <c r="N4016" t="inlineStr"/>
    </row>
    <row r="4017">
      <c r="A4017" t="inlineStr">
        <is>
          <t>48AA¹⁵</t>
        </is>
      </c>
      <c r="B4017" t="inlineStr"/>
      <c r="C4017" t="inlineStr">
        <is>
          <t>288</t>
        </is>
      </c>
      <c r="D4017" t="inlineStr">
        <is>
          <t>1</t>
        </is>
      </c>
      <c r="E4017" t="inlineStr">
        <is>
          <t>36</t>
        </is>
      </c>
      <c r="F4017" t="inlineStr">
        <is>
          <t>24</t>
        </is>
      </c>
      <c r="G4017" t="inlineStr">
        <is>
          <t>0</t>
        </is>
      </c>
      <c r="H4017" t="inlineStr">
        <is>
          <t>24⁴, 48⁴</t>
        </is>
      </c>
      <c r="I4017" t="n">
        <v>8</v>
      </c>
      <c r="J4017" t="inlineStr">
        <is>
          <t>4¹⁴, 8²</t>
        </is>
      </c>
      <c r="K4017">
        <f>HYPERLINK("CSG5.html#group48G5", "48G⁵"), =HYPERLINK("CSG5.html#group48H5", "48H⁵"), =HYPERLINK("CSG6.html#group24I6", "24I⁶"), =HYPERLINK("CSG8.html#group48T8", "48T⁸"), =HYPERLINK("CSG8.html#group48AF8", "48AF⁸")</f>
        <v/>
      </c>
      <c r="L4017" t="inlineStr"/>
      <c r="M4017">
        <f>HYPERLINK("CSG1.html#group24E1", "24E¹"), =HYPERLINK("CSG6.html#group24I6", "24I⁶"), =HYPERLINK("CSG0.html#group12C0", "12C⁰"), =HYPERLINK("CSG8.html#group48AF8", "48AF⁸"), =HYPERLINK("CSG0.html#group4C0", "4C⁰"), =HYPERLINK("CSG0.html#group8B0", "8B⁰"), =HYPERLINK("CSG8.html#group48T8", "48T⁸"), =HYPERLINK("CSG2.html#group24P2", "24P²"), =HYPERLINK("CSG5.html#group48H5", "48H⁵"), =HYPERLINK("CSG2.html#group24Q2", "24Q²"), =HYPERLINK("CSG1.html#group12M1", "12M¹"), =HYPERLINK("CSG0.html#group2B0", "2B⁰"), =HYPERLINK("CSG0.html#group48A0", "48A⁰"), =HYPERLINK("CSG5.html#group48G5", "48G⁵"), =HYPERLINK("CSG0.html#group1A0", "1A⁰"), =HYPERLINK("CSG3.html#group48H3", "48H³"), =HYPERLINK("CSG0.html#group16B0", "16B⁰"), =HYPERLINK("CSG0.html#group24A0", "24A⁰"), =HYPERLINK("CSG3.html#group48F3", "48F³"), =HYPERLINK("CSG0.html#group3A0", "3A⁰"), =HYPERLINK("CSG0.html#group6D0", "6D⁰")</f>
        <v/>
      </c>
      <c r="N4017" t="inlineStr"/>
    </row>
    <row r="4018">
      <c r="A4018" t="inlineStr">
        <is>
          <t>48AB¹⁵</t>
        </is>
      </c>
      <c r="B4018" t="inlineStr"/>
      <c r="C4018" t="inlineStr">
        <is>
          <t>288</t>
        </is>
      </c>
      <c r="D4018" t="inlineStr">
        <is>
          <t>1</t>
        </is>
      </c>
      <c r="E4018" t="inlineStr">
        <is>
          <t>72</t>
        </is>
      </c>
      <c r="F4018" t="inlineStr">
        <is>
          <t>16</t>
        </is>
      </c>
      <c r="G4018" t="inlineStr">
        <is>
          <t>0</t>
        </is>
      </c>
      <c r="H4018" t="inlineStr">
        <is>
          <t>12⁸, 48⁴</t>
        </is>
      </c>
      <c r="I4018" t="n">
        <v>12</v>
      </c>
      <c r="J4018" t="inlineStr">
        <is>
          <t>4¹⁰, 8⁴</t>
        </is>
      </c>
      <c r="K4018">
        <f>HYPERLINK("CSG5.html#group24V5", "24V⁵")</f>
        <v/>
      </c>
      <c r="L4018" t="inlineStr"/>
      <c r="M4018">
        <f>HYPERLINK("CSG1.html#group24E1", "24E¹"), =HYPERLINK("CSG0.html#group6B0", "6B⁰"), =HYPERLINK("CSG0.html#group12C0", "12C⁰"), =HYPERLINK("CSG0.html#group3A0", "3A⁰"), =HYPERLINK("CSG2.html#group24N2", "24N²"), =HYPERLINK("CSG0.html#group4C0", "4C⁰"), =HYPERLINK("CSG1.html#group24D1", "24D¹"), =HYPERLINK("CSG0.html#group8B0", "8B⁰"), =HYPERLINK("CSG2.html#group24P2", "24P²"), =HYPERLINK("CSG1.html#group12M1", "12M¹"), =HYPERLINK("CSG0.html#group2B0", "2B⁰"), =HYPERLINK("CSG0.html#group1A0", "1A⁰"), =HYPERLINK("CSG2.html#group12H2", "12H²"), =HYPERLINK("CSG5.html#group24V5", "24V⁵"), =HYPERLINK("CSG0.html#group24A0", "24A⁰"), =HYPERLINK("CSG3.html#group24T3", "24T³"), =HYPERLINK("CSG0.html#group12D0", "12D⁰"), =HYPERLINK("CSG0.html#group6H0", "6H⁰"), =HYPERLINK("CSG0.html#group12H0", "12H⁰"), =HYPERLINK("CSG1.html#group24H1", "24H¹"), =HYPERLINK("CSG0.html#group6D0", "6D⁰")</f>
        <v/>
      </c>
      <c r="N4018" t="inlineStr"/>
    </row>
    <row r="4019">
      <c r="A4019" t="inlineStr">
        <is>
          <t>48AC¹⁵</t>
        </is>
      </c>
      <c r="B4019" t="inlineStr"/>
      <c r="C4019" t="inlineStr">
        <is>
          <t>288</t>
        </is>
      </c>
      <c r="D4019" t="inlineStr">
        <is>
          <t>1</t>
        </is>
      </c>
      <c r="E4019" t="inlineStr">
        <is>
          <t>72</t>
        </is>
      </c>
      <c r="F4019" t="inlineStr">
        <is>
          <t>16</t>
        </is>
      </c>
      <c r="G4019" t="inlineStr">
        <is>
          <t>0</t>
        </is>
      </c>
      <c r="H4019" t="inlineStr">
        <is>
          <t>12⁸, 48⁴</t>
        </is>
      </c>
      <c r="I4019" t="n">
        <v>12</v>
      </c>
      <c r="J4019" t="inlineStr">
        <is>
          <t>4¹⁰, 8⁴</t>
        </is>
      </c>
      <c r="K4019">
        <f>HYPERLINK("CSG5.html#group24V5", "24V⁵"), =HYPERLINK("CSG6.html#group48K6", "48K⁶"), =HYPERLINK("CSG8.html#group48W8", "48W⁸")</f>
        <v/>
      </c>
      <c r="L4019" t="inlineStr"/>
      <c r="M4019">
        <f>HYPERLINK("CSG1.html#group24E1", "24E¹"), =HYPERLINK("CSG0.html#group6B0", "6B⁰"), =HYPERLINK("CSG0.html#group12C0", "12C⁰"), =HYPERLINK("CSG2.html#group24N2", "24N²"), =HYPERLINK("CSG8.html#group48W8", "48W⁸"), =HYPERLINK("CSG0.html#group4C0", "4C⁰"), =HYPERLINK("CSG1.html#group24D1", "24D¹"), =HYPERLINK("CSG0.html#group8B0", "8B⁰"), =HYPERLINK("CSG2.html#group24P2", "24P²"), =HYPERLINK("CSG0.html#group2B0", "2B⁰"), =HYPERLINK("CSG1.html#group12M1", "12M¹"), =HYPERLINK("CSG0.html#group12H0", "12H⁰"), =HYPERLINK("CSG6.html#group48K6", "48K⁶"), =HYPERLINK("CSG0.html#group1A0", "1A⁰"), =HYPERLINK("CSG2.html#group12H2", "12H²"), =HYPERLINK("CSG5.html#group24V5", "24V⁵"), =HYPERLINK("CSG0.html#group24A0", "24A⁰"), =HYPERLINK("CSG3.html#group24T3", "24T³"), =HYPERLINK("CSG0.html#group12D0", "12D⁰"), =HYPERLINK("CSG0.html#group6H0", "6H⁰"), =HYPERLINK("CSG0.html#group3A0", "3A⁰"), =HYPERLINK("CSG1.html#group24H1", "24H¹"), =HYPERLINK("CSG0.html#group6D0", "6D⁰")</f>
        <v/>
      </c>
      <c r="N4019" t="inlineStr"/>
    </row>
    <row r="4020">
      <c r="A4020" t="inlineStr">
        <is>
          <t>48AD¹⁵</t>
        </is>
      </c>
      <c r="B4020" t="inlineStr"/>
      <c r="C4020" t="inlineStr">
        <is>
          <t>288</t>
        </is>
      </c>
      <c r="D4020" t="inlineStr">
        <is>
          <t>1</t>
        </is>
      </c>
      <c r="E4020" t="inlineStr">
        <is>
          <t>72</t>
        </is>
      </c>
      <c r="F4020" t="inlineStr">
        <is>
          <t>24</t>
        </is>
      </c>
      <c r="G4020" t="inlineStr">
        <is>
          <t>0</t>
        </is>
      </c>
      <c r="H4020" t="inlineStr">
        <is>
          <t>24⁴, 48⁴</t>
        </is>
      </c>
      <c r="I4020" t="n">
        <v>8</v>
      </c>
      <c r="J4020" t="inlineStr">
        <is>
          <t>2⁸, 4⁸, 8¹, 16¹</t>
        </is>
      </c>
      <c r="K4020">
        <f>HYPERLINK("CSG5.html#group48F5", "48F⁵")</f>
        <v/>
      </c>
      <c r="L4020" t="inlineStr"/>
      <c r="M4020">
        <f>HYPERLINK("CSG5.html#group48F5", "48F⁵"), =HYPERLINK("CSG0.html#group12C0", "12C⁰"), =HYPERLINK("CSG0.html#group4C0", "4C⁰"), =HYPERLINK("CSG0.html#group8B0", "8B⁰"), =HYPERLINK("CSG0.html#group48A0", "48A⁰"), =HYPERLINK("CSG0.html#group8L0", "8L⁰"), =HYPERLINK("CSG0.html#group2B0", "2B⁰"), =HYPERLINK("CSG1.html#group16J1", "16J¹"), =HYPERLINK("CSG0.html#group1A0", "1A⁰"), =HYPERLINK("CSG0.html#group16B0", "16B⁰"), =HYPERLINK("CSG1.html#group16D1", "16D¹"), =HYPERLINK("CSG3.html#group48E3", "48E³"), =HYPERLINK("CSG0.html#group24A0", "24A⁰"), =HYPERLINK("CSG2.html#group24M2", "24M²"), =HYPERLINK("CSG0.html#group3A0", "3A⁰"), =HYPERLINK("CSG0.html#group6D0", "6D⁰")</f>
        <v/>
      </c>
      <c r="N4020" t="inlineStr"/>
    </row>
    <row r="4021">
      <c r="A4021" t="inlineStr">
        <is>
          <t>48AE¹⁵</t>
        </is>
      </c>
      <c r="B4021" t="inlineStr"/>
      <c r="C4021" t="inlineStr">
        <is>
          <t>288</t>
        </is>
      </c>
      <c r="D4021" t="inlineStr">
        <is>
          <t>1</t>
        </is>
      </c>
      <c r="E4021" t="inlineStr">
        <is>
          <t>72</t>
        </is>
      </c>
      <c r="F4021" t="inlineStr">
        <is>
          <t>24</t>
        </is>
      </c>
      <c r="G4021" t="inlineStr">
        <is>
          <t>0</t>
        </is>
      </c>
      <c r="H4021" t="inlineStr">
        <is>
          <t>24⁴, 48⁴</t>
        </is>
      </c>
      <c r="I4021" t="n">
        <v>8</v>
      </c>
      <c r="J4021" t="inlineStr">
        <is>
          <t>2⁸, 4⁸, 8¹, 16¹</t>
        </is>
      </c>
      <c r="K4021">
        <f>HYPERLINK("CSG5.html#group48F5", "48F⁵")</f>
        <v/>
      </c>
      <c r="L4021" t="inlineStr"/>
      <c r="M4021">
        <f>HYPERLINK("CSG5.html#group48F5", "48F⁵"), =HYPERLINK("CSG0.html#group12C0", "12C⁰"), =HYPERLINK("CSG0.html#group4C0", "4C⁰"), =HYPERLINK("CSG0.html#group8B0", "8B⁰"), =HYPERLINK("CSG0.html#group48A0", "48A⁰"), =HYPERLINK("CSG0.html#group8L0", "8L⁰"), =HYPERLINK("CSG0.html#group2B0", "2B⁰"), =HYPERLINK("CSG1.html#group16J1", "16J¹"), =HYPERLINK("CSG0.html#group1A0", "1A⁰"), =HYPERLINK("CSG0.html#group16B0", "16B⁰"), =HYPERLINK("CSG1.html#group16D1", "16D¹"), =HYPERLINK("CSG3.html#group48E3", "48E³"), =HYPERLINK("CSG0.html#group24A0", "24A⁰"), =HYPERLINK("CSG2.html#group24M2", "24M²"), =HYPERLINK("CSG0.html#group3A0", "3A⁰"), =HYPERLINK("CSG0.html#group6D0", "6D⁰")</f>
        <v/>
      </c>
      <c r="N4021" t="inlineStr"/>
    </row>
    <row r="4022">
      <c r="A4022" t="inlineStr">
        <is>
          <t>48AF¹⁵</t>
        </is>
      </c>
      <c r="B4022" t="inlineStr"/>
      <c r="C4022" t="inlineStr">
        <is>
          <t>288</t>
        </is>
      </c>
      <c r="D4022" t="inlineStr">
        <is>
          <t>2</t>
        </is>
      </c>
      <c r="E4022" t="inlineStr">
        <is>
          <t>36</t>
        </is>
      </c>
      <c r="F4022" t="inlineStr">
        <is>
          <t>24</t>
        </is>
      </c>
      <c r="G4022" t="inlineStr">
        <is>
          <t>0</t>
        </is>
      </c>
      <c r="H4022" t="inlineStr">
        <is>
          <t>24⁴, 48⁴</t>
        </is>
      </c>
      <c r="I4022" t="n">
        <v>8</v>
      </c>
      <c r="J4022" t="inlineStr">
        <is>
          <t>2⁸, 4¹⁰, 8²</t>
        </is>
      </c>
      <c r="K4022">
        <f>HYPERLINK("CSG5.html#group48F5", "48F⁵"), =HYPERLINK("CSG5.html#group48G5", "48G⁵"), =HYPERLINK("CSG5.html#group48H5", "48H⁵"), =HYPERLINK("CSG6.html#group24K6", "24K⁶"), =HYPERLINK("CSG8.html#group48AA8", "48AA⁸"), =HYPERLINK("CSG8.html#group48AB8", "48AB⁸"), =HYPERLINK("CSG8.html#group48AD8", "48AD⁸")</f>
        <v/>
      </c>
      <c r="L4022" t="inlineStr"/>
      <c r="M4022">
        <f>HYPERLINK("CSG8.html#group48AB8", "48AB⁸"), =HYPERLINK("CSG5.html#group48F5", "48F⁵"), =HYPERLINK("CSG1.html#group24E1", "24E¹"), =HYPERLINK("CSG0.html#group12C0", "12C⁰"), =HYPERLINK("CSG0.html#group4C0", "4C⁰"), =HYPERLINK("CSG0.html#group8B0", "8B⁰"), =HYPERLINK("CSG2.html#group24P2", "24P²"), =HYPERLINK("CSG5.html#group48H5", "48H⁵"), =HYPERLINK("CSG0.html#group2B0", "2B⁰"), =HYPERLINK("CSG1.html#group12M1", "12M¹"), =HYPERLINK("CSG0.html#group48A0", "48A⁰"), =HYPERLINK("CSG0.html#group8L0", "8L⁰"), =HYPERLINK("CSG1.html#group16J1", "16J¹"), =HYPERLINK("CSG5.html#group48G5", "48G⁵"), =HYPERLINK("CSG0.html#group1A0", "1A⁰"), =HYPERLINK("CSG8.html#group48AD8", "48AD⁸"), =HYPERLINK("CSG3.html#group48H3", "48H³"), =HYPERLINK("CSG2.html#group24Q2", "24Q²"), =HYPERLINK("CSG0.html#group16B0", "16B⁰"), =HYPERLINK("CSG1.html#group16D1", "16D¹"), =HYPERLINK("CSG3.html#group48E3", "48E³"), =HYPERLINK("CSG0.html#group24A0", "24A⁰"), =HYPERLINK("CSG0.html#group6D0", "6D⁰"), =HYPERLINK("CSG2.html#group24M2", "24M²"), =HYPERLINK("CSG6.html#group24K6", "24K⁶"), =HYPERLINK("CSG3.html#group48F3", "48F³"), =HYPERLINK("CSG0.html#group3A0", "3A⁰"), =HYPERLINK("CSG8.html#group48AA8", "48AA⁸")</f>
        <v/>
      </c>
      <c r="N4022" t="inlineStr"/>
    </row>
    <row r="4023">
      <c r="A4023" t="inlineStr">
        <is>
          <t>51A¹⁵</t>
        </is>
      </c>
      <c r="B4023" t="inlineStr"/>
      <c r="C4023" t="inlineStr">
        <is>
          <t>216</t>
        </is>
      </c>
      <c r="D4023" t="inlineStr">
        <is>
          <t>1</t>
        </is>
      </c>
      <c r="E4023" t="inlineStr">
        <is>
          <t>18</t>
        </is>
      </c>
      <c r="F4023" t="inlineStr">
        <is>
          <t>0</t>
        </is>
      </c>
      <c r="G4023" t="inlineStr">
        <is>
          <t>0</t>
        </is>
      </c>
      <c r="H4023" t="inlineStr">
        <is>
          <t>3⁴, 51⁴</t>
        </is>
      </c>
      <c r="I4023" t="n">
        <v>8</v>
      </c>
      <c r="J4023" t="inlineStr">
        <is>
          <t>1², 16¹</t>
        </is>
      </c>
      <c r="K4023">
        <f>HYPERLINK("CSG0.html#group3D0", "3D⁰"), =HYPERLINK("CSG5.html#group51A5", "51A⁵"), =HYPERLINK("CSG7.html#group51B7", "51B⁷")</f>
        <v/>
      </c>
      <c r="L4023" t="inlineStr"/>
      <c r="M4023">
        <f>HYPERLINK("CSG0.html#group3B0", "3B⁰"), =HYPERLINK("CSG5.html#group51A5", "51A⁵"), =HYPERLINK("CSG3.html#group51A3", "51A³"), =HYPERLINK("CSG7.html#group51B7", "51B⁷"), =HYPERLINK("CSG0.html#group3C0", "3C⁰"), =HYPERLINK("CSG1.html#group17A1", "17A¹"), =HYPERLINK("CSG0.html#group1A0", "1A⁰"), =HYPERLINK("CSG0.html#group3A0", "3A⁰"), =HYPERLINK("CSG0.html#group3D0", "3D⁰")</f>
        <v/>
      </c>
      <c r="N4023" t="inlineStr"/>
    </row>
    <row r="4024">
      <c r="A4024" t="inlineStr">
        <is>
          <t>51B¹⁵</t>
        </is>
      </c>
      <c r="B4024" t="inlineStr"/>
      <c r="C4024" t="inlineStr">
        <is>
          <t>216</t>
        </is>
      </c>
      <c r="D4024" t="inlineStr">
        <is>
          <t>1</t>
        </is>
      </c>
      <c r="E4024" t="inlineStr">
        <is>
          <t>54</t>
        </is>
      </c>
      <c r="F4024" t="inlineStr">
        <is>
          <t>0</t>
        </is>
      </c>
      <c r="G4024" t="inlineStr">
        <is>
          <t>0</t>
        </is>
      </c>
      <c r="H4024" t="inlineStr">
        <is>
          <t>3⁴, 51⁴</t>
        </is>
      </c>
      <c r="I4024" t="n">
        <v>8</v>
      </c>
      <c r="J4024" t="inlineStr">
        <is>
          <t>1², 2², 16¹, 32¹</t>
        </is>
      </c>
      <c r="K4024">
        <f>HYPERLINK("CSG7.html#group51A7", "51A⁷"), =HYPERLINK("CSG7.html#group51B7", "51B⁷")</f>
        <v/>
      </c>
      <c r="L4024" t="inlineStr"/>
      <c r="M4024">
        <f>HYPERLINK("CSG7.html#group51B7", "51B⁷"), =HYPERLINK("CSG0.html#group3C0", "3C⁰"), =HYPERLINK("CSG1.html#group17A1", "17A¹"), =HYPERLINK("CSG0.html#group1A0", "1A⁰"), =HYPERLINK("CSG0.html#group3A0", "3A⁰"), =HYPERLINK("CSG3.html#group51A3", "51A³"), =HYPERLINK("CSG7.html#group51A7", "51A⁷")</f>
        <v/>
      </c>
      <c r="N4024" t="inlineStr"/>
    </row>
    <row r="4025">
      <c r="A4025" t="inlineStr">
        <is>
          <t>52A¹⁵</t>
        </is>
      </c>
      <c r="B4025" t="inlineStr"/>
      <c r="C4025" t="inlineStr">
        <is>
          <t>336</t>
        </is>
      </c>
      <c r="D4025" t="inlineStr">
        <is>
          <t>1</t>
        </is>
      </c>
      <c r="E4025" t="inlineStr">
        <is>
          <t>28</t>
        </is>
      </c>
      <c r="F4025" t="inlineStr">
        <is>
          <t>0</t>
        </is>
      </c>
      <c r="G4025" t="inlineStr">
        <is>
          <t>24</t>
        </is>
      </c>
      <c r="H4025" t="inlineStr">
        <is>
          <t>4⁶, 52⁶</t>
        </is>
      </c>
      <c r="I4025" t="n">
        <v>12</v>
      </c>
      <c r="J4025" t="inlineStr">
        <is>
          <t>1⁴, 12²</t>
        </is>
      </c>
      <c r="K4025">
        <f>HYPERLINK("CSG3.html#group52B3", "52B³"), =HYPERLINK("CSG5.html#group26C5", "26C⁵")</f>
        <v/>
      </c>
      <c r="L4025" t="inlineStr"/>
      <c r="M4025">
        <f>HYPERLINK("CSG3.html#group52B3", "52B³"), =HYPERLINK("CSG0.html#group2A0", "2A⁰"), =HYPERLINK("CSG1.html#group26B1", "26B¹"), =HYPERLINK("CSG1.html#group26A1", "26A¹"), =HYPERLINK("CSG5.html#group26C5", "26C⁵"), =HYPERLINK("CSG0.html#group13A0", "13A⁰"), =HYPERLINK("CSG3.html#group26A3", "26A³"), =HYPERLINK("CSG0.html#group26A0", "26A⁰"), =HYPERLINK("CSG0.html#group13B0", "13B⁰"), =HYPERLINK("CSG1.html#group52A1", "52A¹"), =HYPERLINK("CSG0.html#group1A0", "1A⁰")</f>
        <v/>
      </c>
      <c r="N4025" t="inlineStr"/>
    </row>
    <row r="4026">
      <c r="A4026" t="inlineStr">
        <is>
          <t>54A¹⁵</t>
        </is>
      </c>
      <c r="B4026" t="inlineStr"/>
      <c r="C4026" t="inlineStr">
        <is>
          <t>243</t>
        </is>
      </c>
      <c r="D4026" t="inlineStr">
        <is>
          <t>2</t>
        </is>
      </c>
      <c r="E4026" t="inlineStr">
        <is>
          <t>243</t>
        </is>
      </c>
      <c r="F4026" t="inlineStr">
        <is>
          <t>13</t>
        </is>
      </c>
      <c r="G4026" t="inlineStr">
        <is>
          <t>0</t>
        </is>
      </c>
      <c r="H4026" t="inlineStr">
        <is>
          <t>27³, 54³</t>
        </is>
      </c>
      <c r="I4026" t="n">
        <v>6</v>
      </c>
      <c r="J4026" t="inlineStr">
        <is>
          <t>6²⁷, 18¹⁸</t>
        </is>
      </c>
      <c r="K4026">
        <f>HYPERLINK("CSG3.html#group18J3", "18J³"), =HYPERLINK("CSG3.html#group27B3", "27B³")</f>
        <v/>
      </c>
      <c r="L4026" t="inlineStr"/>
      <c r="M4026">
        <f>HYPERLINK("CSG3.html#group18J3", "18J³"), =HYPERLINK("CSG0.html#group9A0", "9A⁰"), =HYPERLINK("CSG0.html#group9G0", "9G⁰"), =HYPERLINK("CSG3.html#group27B3", "27B³"), =HYPERLINK("CSG0.html#group2B0", "2B⁰"), =HYPERLINK("CSG1.html#group18E1", "18E¹"), =HYPERLINK("CSG0.html#group3A0", "3A⁰"), =HYPERLINK("CSG0.html#group1A0", "1A⁰"), =HYPERLINK("CSG0.html#group6D0", "6D⁰")</f>
        <v/>
      </c>
      <c r="N4026" t="inlineStr"/>
    </row>
    <row r="4027">
      <c r="A4027" t="inlineStr">
        <is>
          <t>56A¹⁵</t>
        </is>
      </c>
      <c r="B4027" t="inlineStr"/>
      <c r="C4027" t="inlineStr">
        <is>
          <t>224</t>
        </is>
      </c>
      <c r="D4027" t="inlineStr">
        <is>
          <t>2</t>
        </is>
      </c>
      <c r="E4027" t="inlineStr">
        <is>
          <t>28</t>
        </is>
      </c>
      <c r="F4027" t="inlineStr">
        <is>
          <t>0</t>
        </is>
      </c>
      <c r="G4027" t="inlineStr">
        <is>
          <t>8</t>
        </is>
      </c>
      <c r="H4027" t="inlineStr">
        <is>
          <t>56⁴</t>
        </is>
      </c>
      <c r="I4027" t="n">
        <v>4</v>
      </c>
      <c r="J4027" t="inlineStr">
        <is>
          <t>4², 12⁴</t>
        </is>
      </c>
      <c r="K4027">
        <f>HYPERLINK("CSG6.html#group56F6", "56F⁶"), =HYPERLINK("CSG6.html#group56G6", "56G⁶"), =HYPERLINK("CSG7.html#group28A7", "28A⁷"), =HYPERLINK("CSG7.html#group56E7", "56E⁷"), =HYPERLINK("CSG7.html#group56D7", "56D⁷"), =HYPERLINK("CSG8.html#group56A8", "56A⁸"), =HYPERLINK("CSG8.html#group56B8", "56B⁸")</f>
        <v/>
      </c>
      <c r="L4027" t="inlineStr"/>
      <c r="M4027">
        <f>HYPERLINK("CSG3.html#group28D3", "28D³"), =HYPERLINK("CSG0.html#group2A0", "2A⁰"), =HYPERLINK("CSG2.html#group28E2", "28E²"), =HYPERLINK("CSG3.html#group56D3", "56D³"), =HYPERLINK("CSG3.html#group56B3", "56B³"), =HYPERLINK("CSG0.html#group14A0", "14A⁰"), =HYPERLINK("CSG8.html#group56A8", "56A⁸"), =HYPERLINK("CSG1.html#group14A1", "14A¹"), =HYPERLINK("CSG0.html#group8A0", "8A⁰"), =HYPERLINK("CSG0.html#group8E0", "8E⁰"), =HYPERLINK("CSG0.html#group1A0", "1A⁰"), =HYPERLINK("CSG1.html#group14D1", "14D¹"), =HYPERLINK("CSG6.html#group56G6", "56G⁶"), =HYPERLINK("CSG7.html#group56E7", "56E⁷"), =HYPERLINK("CSG7.html#group56D7", "56D⁷"), =HYPERLINK("CSG0.html#group4A0", "4A⁰"), =HYPERLINK("CSG0.html#group7C0", "7C⁰"), =HYPERLINK("CSG4.html#group28A4", "28A⁴"), =HYPERLINK("CSG8.html#group56B8", "56B⁸"), =HYPERLINK("CSG0.html#group4D0", "4D⁰"), =HYPERLINK("CSG7.html#group28A7", "28A⁷"), =HYPERLINK("CSG3.html#group56C3", "56C³"), =HYPERLINK("CSG1.html#group28A1", "28A¹"), =HYPERLINK("CSG6.html#group56F6", "56F⁶"), =HYPERLINK("CSG0.html#group7A0", "7A⁰"), =HYPERLINK("CSG3.html#group56A3", "56A³")</f>
        <v/>
      </c>
      <c r="N4027" t="inlineStr"/>
    </row>
    <row r="4028">
      <c r="A4028" t="inlineStr">
        <is>
          <t>56B¹⁵</t>
        </is>
      </c>
      <c r="B4028" t="inlineStr"/>
      <c r="C4028" t="inlineStr">
        <is>
          <t>224</t>
        </is>
      </c>
      <c r="D4028" t="inlineStr">
        <is>
          <t>2</t>
        </is>
      </c>
      <c r="E4028" t="inlineStr">
        <is>
          <t>112</t>
        </is>
      </c>
      <c r="F4028" t="inlineStr">
        <is>
          <t>8</t>
        </is>
      </c>
      <c r="G4028" t="inlineStr">
        <is>
          <t>2</t>
        </is>
      </c>
      <c r="H4028" t="inlineStr">
        <is>
          <t>56⁴</t>
        </is>
      </c>
      <c r="I4028" t="n">
        <v>4</v>
      </c>
      <c r="J4028" t="inlineStr">
        <is>
          <t>4², 12², 24⁸</t>
        </is>
      </c>
      <c r="K4028">
        <f>HYPERLINK("CSG3.html#group56A3", "56A³"), =HYPERLINK("CSG3.html#group56B3", "56B³"), =HYPERLINK("CSG6.html#group28H6", "28H⁶")</f>
        <v/>
      </c>
      <c r="L4028" t="inlineStr"/>
      <c r="M4028">
        <f>HYPERLINK("CSG6.html#group28H6", "28H⁶"), =HYPERLINK("CSG3.html#group56B3", "56B³"), =HYPERLINK("CSG0.html#group4A0", "4A⁰"), =HYPERLINK("CSG0.html#group7F0", "7F⁰"), =HYPERLINK("CSG1.html#group28A1", "28A¹"), =HYPERLINK("CSG0.html#group1A0", "1A⁰"), =HYPERLINK("CSG0.html#group7A0", "7A⁰"), =HYPERLINK("CSG3.html#group56A3", "56A³")</f>
        <v/>
      </c>
      <c r="N4028" t="inlineStr"/>
    </row>
    <row r="4029">
      <c r="A4029" t="inlineStr">
        <is>
          <t>56C¹⁵</t>
        </is>
      </c>
      <c r="B4029" t="inlineStr"/>
      <c r="C4029" t="inlineStr">
        <is>
          <t>224</t>
        </is>
      </c>
      <c r="D4029" t="inlineStr">
        <is>
          <t>2</t>
        </is>
      </c>
      <c r="E4029" t="inlineStr">
        <is>
          <t>112</t>
        </is>
      </c>
      <c r="F4029" t="inlineStr">
        <is>
          <t>8</t>
        </is>
      </c>
      <c r="G4029" t="inlineStr">
        <is>
          <t>2</t>
        </is>
      </c>
      <c r="H4029" t="inlineStr">
        <is>
          <t>56⁴</t>
        </is>
      </c>
      <c r="I4029" t="n">
        <v>4</v>
      </c>
      <c r="J4029" t="inlineStr">
        <is>
          <t>4², 12², 24⁸</t>
        </is>
      </c>
      <c r="K4029">
        <f>HYPERLINK("CSG3.html#group56C3", "56C³"), =HYPERLINK("CSG3.html#group56D3", "56D³"), =HYPERLINK("CSG6.html#group28H6", "28H⁶")</f>
        <v/>
      </c>
      <c r="L4029" t="inlineStr"/>
      <c r="M4029">
        <f>HYPERLINK("CSG6.html#group28H6", "28H⁶"), =HYPERLINK("CSG3.html#group56D3", "56D³"), =HYPERLINK("CSG0.html#group4A0", "4A⁰"), =HYPERLINK("CSG0.html#group7F0", "7F⁰"), =HYPERLINK("CSG0.html#group8A0", "8A⁰"), =HYPERLINK("CSG3.html#group56C3", "56C³"), =HYPERLINK("CSG1.html#group28A1", "28A¹"), =HYPERLINK("CSG0.html#group1A0", "1A⁰"), =HYPERLINK("CSG0.html#group7A0", "7A⁰")</f>
        <v/>
      </c>
      <c r="N4029" t="inlineStr"/>
    </row>
    <row r="4030">
      <c r="A4030" t="inlineStr">
        <is>
          <t>56D¹⁵</t>
        </is>
      </c>
      <c r="B4030" t="inlineStr"/>
      <c r="C4030" t="inlineStr">
        <is>
          <t>224</t>
        </is>
      </c>
      <c r="D4030" t="inlineStr">
        <is>
          <t>2</t>
        </is>
      </c>
      <c r="E4030" t="inlineStr">
        <is>
          <t>112</t>
        </is>
      </c>
      <c r="F4030" t="inlineStr">
        <is>
          <t>8</t>
        </is>
      </c>
      <c r="G4030" t="inlineStr">
        <is>
          <t>2</t>
        </is>
      </c>
      <c r="H4030" t="inlineStr">
        <is>
          <t>56⁴</t>
        </is>
      </c>
      <c r="I4030" t="n">
        <v>4</v>
      </c>
      <c r="J4030" t="inlineStr">
        <is>
          <t>8⁴, 24⁸</t>
        </is>
      </c>
      <c r="K4030">
        <f>HYPERLINK("CSG3.html#group28D3", "28D³"), =HYPERLINK("CSG6.html#group56H6", "56H⁶")</f>
        <v/>
      </c>
      <c r="L4030" t="inlineStr"/>
      <c r="M4030">
        <f>HYPERLINK("CSG3.html#group28D3", "28D³"), =HYPERLINK("CSG0.html#group8F0", "8F⁰"), =HYPERLINK("CSG0.html#group4A0", "4A⁰"), =HYPERLINK("CSG0.html#group7C0", "7C⁰"), =HYPERLINK("CSG6.html#group56H6", "56H⁶"), =HYPERLINK("CSG1.html#group28A1", "28A¹"), =HYPERLINK("CSG0.html#group1A0", "1A⁰"), =HYPERLINK("CSG0.html#group7A0", "7A⁰")</f>
        <v/>
      </c>
      <c r="N4030" t="inlineStr"/>
    </row>
    <row r="4031">
      <c r="A4031" t="inlineStr">
        <is>
          <t>56E¹⁵</t>
        </is>
      </c>
      <c r="B4031" t="inlineStr"/>
      <c r="C4031" t="inlineStr">
        <is>
          <t>252</t>
        </is>
      </c>
      <c r="D4031" t="inlineStr">
        <is>
          <t>1</t>
        </is>
      </c>
      <c r="E4031" t="inlineStr">
        <is>
          <t>63</t>
        </is>
      </c>
      <c r="F4031" t="inlineStr">
        <is>
          <t>16</t>
        </is>
      </c>
      <c r="G4031" t="inlineStr">
        <is>
          <t>0</t>
        </is>
      </c>
      <c r="H4031" t="inlineStr">
        <is>
          <t>28³, 56³</t>
        </is>
      </c>
      <c r="I4031" t="n">
        <v>6</v>
      </c>
      <c r="J4031" t="inlineStr">
        <is>
          <t>3³, 6⁹</t>
        </is>
      </c>
      <c r="K4031">
        <f>HYPERLINK("CSG6.html#group28I6", "28I⁶")</f>
        <v/>
      </c>
      <c r="L4031" t="inlineStr"/>
      <c r="M4031">
        <f>HYPERLINK("CSG2.html#group28C2", "28C²"), =HYPERLINK("CSG0.html#group7D0", "7D⁰"), =HYPERLINK("CSG1.html#group14B1", "14B¹"), =HYPERLINK("CSG0.html#group4C0", "4C⁰"), =HYPERLINK("CSG2.html#group14F2", "14F²"), =HYPERLINK("CSG0.html#group2B0", "2B⁰"), =HYPERLINK("CSG6.html#group28I6", "28I⁶"), =HYPERLINK("CSG0.html#group1A0", "1A⁰"), =HYPERLINK("CSG0.html#group7A0", "7A⁰")</f>
        <v/>
      </c>
      <c r="N4031" t="inlineStr"/>
    </row>
    <row r="4032">
      <c r="A4032" t="inlineStr">
        <is>
          <t>56F¹⁵</t>
        </is>
      </c>
      <c r="B4032" t="inlineStr"/>
      <c r="C4032" t="inlineStr">
        <is>
          <t>252</t>
        </is>
      </c>
      <c r="D4032" t="inlineStr">
        <is>
          <t>1</t>
        </is>
      </c>
      <c r="E4032" t="inlineStr">
        <is>
          <t>126</t>
        </is>
      </c>
      <c r="F4032" t="inlineStr">
        <is>
          <t>10</t>
        </is>
      </c>
      <c r="G4032" t="inlineStr">
        <is>
          <t>0</t>
        </is>
      </c>
      <c r="H4032" t="inlineStr">
        <is>
          <t>14⁶, 56³</t>
        </is>
      </c>
      <c r="I4032" t="n">
        <v>9</v>
      </c>
      <c r="J4032" t="inlineStr">
        <is>
          <t>3², 6⁸, 12⁶</t>
        </is>
      </c>
      <c r="K4032">
        <f>HYPERLINK("CSG6.html#group28I6", "28I⁶")</f>
        <v/>
      </c>
      <c r="L4032" t="inlineStr"/>
      <c r="M4032">
        <f>HYPERLINK("CSG2.html#group28C2", "28C²"), =HYPERLINK("CSG0.html#group7D0", "7D⁰"), =HYPERLINK("CSG1.html#group14B1", "14B¹"), =HYPERLINK("CSG0.html#group4C0", "4C⁰"), =HYPERLINK("CSG2.html#group14F2", "14F²"), =HYPERLINK("CSG0.html#group2B0", "2B⁰"), =HYPERLINK("CSG6.html#group28I6", "28I⁶"), =HYPERLINK("CSG0.html#group1A0", "1A⁰"), =HYPERLINK("CSG0.html#group7A0", "7A⁰")</f>
        <v/>
      </c>
      <c r="N4032" t="inlineStr"/>
    </row>
    <row r="4033">
      <c r="A4033" t="inlineStr">
        <is>
          <t>56G¹⁵</t>
        </is>
      </c>
      <c r="B4033" t="inlineStr"/>
      <c r="C4033" t="inlineStr">
        <is>
          <t>252</t>
        </is>
      </c>
      <c r="D4033" t="inlineStr">
        <is>
          <t>1</t>
        </is>
      </c>
      <c r="E4033" t="inlineStr">
        <is>
          <t>126</t>
        </is>
      </c>
      <c r="F4033" t="inlineStr">
        <is>
          <t>10</t>
        </is>
      </c>
      <c r="G4033" t="inlineStr">
        <is>
          <t>0</t>
        </is>
      </c>
      <c r="H4033" t="inlineStr">
        <is>
          <t>14⁶, 56³</t>
        </is>
      </c>
      <c r="I4033" t="n">
        <v>9</v>
      </c>
      <c r="J4033" t="inlineStr">
        <is>
          <t>3², 6⁸, 12⁶</t>
        </is>
      </c>
      <c r="K4033">
        <f>HYPERLINK("CSG5.html#group56C5", "56C⁵"), =HYPERLINK("CSG6.html#group28I6", "28I⁶")</f>
        <v/>
      </c>
      <c r="L4033" t="inlineStr"/>
      <c r="M4033">
        <f>HYPERLINK("CSG2.html#group28C2", "28C²"), =HYPERLINK("CSG5.html#group56C5", "56C⁵"), =HYPERLINK("CSG0.html#group7D0", "7D⁰"), =HYPERLINK("CSG1.html#group14B1", "14B¹"), =HYPERLINK("CSG0.html#group8D0", "8D⁰"), =HYPERLINK("CSG0.html#group4C0", "4C⁰"), =HYPERLINK("CSG2.html#group14F2", "14F²"), =HYPERLINK("CSG0.html#group2B0", "2B⁰"), =HYPERLINK("CSG6.html#group28I6", "28I⁶"), =HYPERLINK("CSG0.html#group1A0", "1A⁰"), =HYPERLINK("CSG0.html#group7A0", "7A⁰")</f>
        <v/>
      </c>
      <c r="N4033" t="inlineStr"/>
    </row>
    <row r="4034">
      <c r="A4034" t="inlineStr">
        <is>
          <t>56H¹⁵</t>
        </is>
      </c>
      <c r="B4034" t="inlineStr"/>
      <c r="C4034" t="inlineStr">
        <is>
          <t>252</t>
        </is>
      </c>
      <c r="D4034" t="inlineStr">
        <is>
          <t>2</t>
        </is>
      </c>
      <c r="E4034" t="inlineStr">
        <is>
          <t>126</t>
        </is>
      </c>
      <c r="F4034" t="inlineStr">
        <is>
          <t>10</t>
        </is>
      </c>
      <c r="G4034" t="inlineStr">
        <is>
          <t>0</t>
        </is>
      </c>
      <c r="H4034" t="inlineStr">
        <is>
          <t>14⁶, 56³</t>
        </is>
      </c>
      <c r="I4034" t="n">
        <v>9</v>
      </c>
      <c r="J4034" t="inlineStr">
        <is>
          <t>6¹⁴, 12¹⁴</t>
        </is>
      </c>
      <c r="K4034">
        <f>HYPERLINK("CSG5.html#group56B5", "56B⁵"), =HYPERLINK("CSG6.html#group28I6", "28I⁶")</f>
        <v/>
      </c>
      <c r="L4034" t="inlineStr"/>
      <c r="M4034">
        <f>HYPERLINK("CSG2.html#group28C2", "28C²"), =HYPERLINK("CSG5.html#group56B5", "56B⁵"), =HYPERLINK("CSG0.html#group7D0", "7D⁰"), =HYPERLINK("CSG1.html#group14B1", "14B¹"), =HYPERLINK("CSG0.html#group4C0", "4C⁰"), =HYPERLINK("CSG2.html#group14F2", "14F²"), =HYPERLINK("CSG0.html#group2B0", "2B⁰"), =HYPERLINK("CSG6.html#group28I6", "28I⁶"), =HYPERLINK("CSG0.html#group1A0", "1A⁰"), =HYPERLINK("CSG0.html#group7A0", "7A⁰")</f>
        <v/>
      </c>
      <c r="N4034" t="inlineStr"/>
    </row>
    <row r="4035">
      <c r="A4035" t="inlineStr">
        <is>
          <t>60A¹⁵</t>
        </is>
      </c>
      <c r="B4035" t="inlineStr"/>
      <c r="C4035" t="inlineStr">
        <is>
          <t>216</t>
        </is>
      </c>
      <c r="D4035" t="inlineStr">
        <is>
          <t>1</t>
        </is>
      </c>
      <c r="E4035" t="inlineStr">
        <is>
          <t>18</t>
        </is>
      </c>
      <c r="F4035" t="inlineStr">
        <is>
          <t>0</t>
        </is>
      </c>
      <c r="G4035" t="inlineStr">
        <is>
          <t>0</t>
        </is>
      </c>
      <c r="H4035" t="inlineStr">
        <is>
          <t>6², 12², 30², 60²</t>
        </is>
      </c>
      <c r="I4035" t="n">
        <v>8</v>
      </c>
      <c r="J4035" t="inlineStr">
        <is>
          <t>1⁶, 4³</t>
        </is>
      </c>
      <c r="K4035">
        <f>HYPERLINK("CSG3.html#group20G3", "20G³"), =HYPERLINK("CSG5.html#group60A5", "60A⁵"), =HYPERLINK("CSG6.html#group30C6", "30C⁶"), =HYPERLINK("CSG8.html#group60A8", "60A⁸")</f>
        <v/>
      </c>
      <c r="L4035" t="inlineStr"/>
      <c r="M4035">
        <f>HYPERLINK("CSG1.html#group20E1", "20E¹"), =HYPERLINK("CSG0.html#group12C0", "12C⁰"), =HYPERLINK("CSG3.html#group20G3", "20G³"), =HYPERLINK("CSG0.html#group4C0", "4C⁰"), =HYPERLINK("CSG6.html#group30C6", "30C⁶"), =HYPERLINK("CSG0.html#group5B0", "5B⁰"), =HYPERLINK("CSG0.html#group5D0", "5D⁰"), =HYPERLINK("CSG0.html#group2B0", "2B⁰"), =HYPERLINK("CSG0.html#group1A0", "1A⁰"), =HYPERLINK("CSG2.html#group20C2", "20C²"), =HYPERLINK("CSG0.html#group10F0", "10F⁰"), =HYPERLINK("CSG0.html#group15B0", "15B⁰"), =HYPERLINK("CSG2.html#group30E2", "30E²"), =HYPERLINK("CSG5.html#group60A5", "60A⁵"), =HYPERLINK("CSG2.html#group15B2", "15B²"), =HYPERLINK("CSG0.html#group10C0", "10C⁰"), =HYPERLINK("CSG0.html#group3A0", "3A⁰"), =HYPERLINK("CSG8.html#group60A8", "60A⁸"), =HYPERLINK("CSG0.html#group6D0", "6D⁰")</f>
        <v/>
      </c>
      <c r="N4035" t="inlineStr"/>
    </row>
    <row r="4036">
      <c r="A4036" t="inlineStr">
        <is>
          <t>60B¹⁵</t>
        </is>
      </c>
      <c r="B4036" t="inlineStr"/>
      <c r="C4036" t="inlineStr">
        <is>
          <t>216</t>
        </is>
      </c>
      <c r="D4036" t="inlineStr">
        <is>
          <t>1</t>
        </is>
      </c>
      <c r="E4036" t="inlineStr">
        <is>
          <t>18</t>
        </is>
      </c>
      <c r="F4036" t="inlineStr">
        <is>
          <t>0</t>
        </is>
      </c>
      <c r="G4036" t="inlineStr">
        <is>
          <t>0</t>
        </is>
      </c>
      <c r="H4036" t="inlineStr">
        <is>
          <t>6², 12², 30², 60²</t>
        </is>
      </c>
      <c r="I4036" t="n">
        <v>8</v>
      </c>
      <c r="J4036" t="inlineStr">
        <is>
          <t>1⁶, 4³</t>
        </is>
      </c>
      <c r="K4036">
        <f>HYPERLINK("CSG3.html#group20H3", "20H³"), =HYPERLINK("CSG4.html#group30H4", "30H⁴"), =HYPERLINK("CSG7.html#group60H7", "60H⁷"), =HYPERLINK("CSG8.html#group60A8", "60A⁸")</f>
        <v/>
      </c>
      <c r="L4036" t="inlineStr"/>
      <c r="M4036">
        <f>HYPERLINK("CSG0.html#group30A0", "30A⁰"), =HYPERLINK("CSG0.html#group10G0", "10G⁰"), =HYPERLINK("CSG7.html#group60H7", "60H⁷"), =HYPERLINK("CSG0.html#group5B0", "5B⁰"), =HYPERLINK("CSG0.html#group2B0", "2B⁰"), =HYPERLINK("CSG1.html#group20D1", "20D¹"), =HYPERLINK("CSG0.html#group4B0", "4B⁰"), =HYPERLINK("CSG0.html#group1A0", "1A⁰"), =HYPERLINK("CSG3.html#group20H3", "20H³"), =HYPERLINK("CSG0.html#group10B0", "10B⁰"), =HYPERLINK("CSG0.html#group15B0", "15B⁰"), =HYPERLINK("CSG8.html#group60A8", "60A⁸"), =HYPERLINK("CSG2.html#group30E2", "30E²"), =HYPERLINK("CSG0.html#group10C0", "10C⁰"), =HYPERLINK("CSG1.html#group12B1", "12B¹"), =HYPERLINK("CSG4.html#group30H4", "30H⁴"), =HYPERLINK("CSG0.html#group3A0", "3A⁰"), =HYPERLINK("CSG2.html#group20C2", "20C²"), =HYPERLINK("CSG0.html#group6D0", "6D⁰")</f>
        <v/>
      </c>
      <c r="N4036" t="inlineStr"/>
    </row>
    <row r="4037">
      <c r="A4037" t="inlineStr">
        <is>
          <t>60C¹⁵</t>
        </is>
      </c>
      <c r="B4037" t="inlineStr"/>
      <c r="C4037" t="inlineStr">
        <is>
          <t>216</t>
        </is>
      </c>
      <c r="D4037" t="inlineStr">
        <is>
          <t>1</t>
        </is>
      </c>
      <c r="E4037" t="inlineStr">
        <is>
          <t>18</t>
        </is>
      </c>
      <c r="F4037" t="inlineStr">
        <is>
          <t>0</t>
        </is>
      </c>
      <c r="G4037" t="inlineStr">
        <is>
          <t>0</t>
        </is>
      </c>
      <c r="H4037" t="inlineStr">
        <is>
          <t>6², 12², 30², 60²</t>
        </is>
      </c>
      <c r="I4037" t="n">
        <v>8</v>
      </c>
      <c r="J4037" t="inlineStr">
        <is>
          <t>1⁶, 4³</t>
        </is>
      </c>
      <c r="K4037">
        <f>HYPERLINK("CSG3.html#group20I3", "20I³"), =HYPERLINK("CSG4.html#group60C4", "60C⁴"), =HYPERLINK("CSG7.html#group30F7", "30F⁷"), =HYPERLINK("CSG8.html#group60A8", "60A⁸")</f>
        <v/>
      </c>
      <c r="L4037" t="inlineStr"/>
      <c r="M4037">
        <f>HYPERLINK("CSG0.html#group2A0", "2A⁰"), =HYPERLINK("CSG0.html#group3A0", "3A⁰"), =HYPERLINK("CSG3.html#group30C3", "30C³"), =HYPERLINK("CSG1.html#group6C1", "6C¹"), =HYPERLINK("CSG0.html#group5B0", "5B⁰"), =HYPERLINK("CSG4.html#group60C4", "60C⁴"), =HYPERLINK("CSG1.html#group10A1", "10A¹"), =HYPERLINK("CSG0.html#group2B0", "2B⁰"), =HYPERLINK("CSG0.html#group1A0", "1A⁰"), =HYPERLINK("CSG3.html#group30B3", "30B³"), =HYPERLINK("CSG0.html#group20A0", "20A⁰"), =HYPERLINK("CSG8.html#group60A8", "60A⁸"), =HYPERLINK("CSG0.html#group15B0", "15B⁰"), =HYPERLINK("CSG2.html#group30E2", "30E²"), =HYPERLINK("CSG0.html#group6A0", "6A⁰"), =HYPERLINK("CSG7.html#group30F7", "30F⁷"), =HYPERLINK("CSG0.html#group10C0", "10C⁰"), =HYPERLINK("CSG1.html#group6A1", "6A¹"), =HYPERLINK("CSG3.html#group20I3", "20I³"), =HYPERLINK("CSG0.html#group2C0", "2C⁰"), =HYPERLINK("CSG2.html#group20C2", "20C²"), =HYPERLINK("CSG0.html#group6D0", "6D⁰"), =HYPERLINK("CSG1.html#group10G1", "10G¹")</f>
        <v/>
      </c>
      <c r="N4037" t="inlineStr"/>
    </row>
    <row r="4038">
      <c r="A4038" t="inlineStr">
        <is>
          <t>60D¹⁵</t>
        </is>
      </c>
      <c r="B4038" t="inlineStr"/>
      <c r="C4038" t="inlineStr">
        <is>
          <t>216</t>
        </is>
      </c>
      <c r="D4038" t="inlineStr">
        <is>
          <t>1</t>
        </is>
      </c>
      <c r="E4038" t="inlineStr">
        <is>
          <t>18</t>
        </is>
      </c>
      <c r="F4038" t="inlineStr">
        <is>
          <t>0</t>
        </is>
      </c>
      <c r="G4038" t="inlineStr">
        <is>
          <t>0</t>
        </is>
      </c>
      <c r="H4038" t="inlineStr">
        <is>
          <t>6², 12², 30², 60²</t>
        </is>
      </c>
      <c r="I4038" t="n">
        <v>8</v>
      </c>
      <c r="J4038" t="inlineStr">
        <is>
          <t>1⁶, 4³</t>
        </is>
      </c>
      <c r="K4038">
        <f>HYPERLINK("CSG2.html#group12B2", "12B²"), =HYPERLINK("CSG3.html#group20J3", "20J³"), =HYPERLINK("CSG5.html#group60A5", "60A⁵"), =HYPERLINK("CSG7.html#group30F7", "30F⁷"), =HYPERLINK("CSG7.html#group60H7", "60H⁷")</f>
        <v/>
      </c>
      <c r="L4038" t="inlineStr"/>
      <c r="M4038">
        <f>HYPERLINK("CSG1.html#group20E1", "20E¹"), =HYPERLINK("CSG0.html#group2A0", "2A⁰"), =HYPERLINK("CSG0.html#group12C0", "12C⁰"), =HYPERLINK("CSG7.html#group60H7", "60H⁷"), =HYPERLINK("CSG3.html#group30C3", "30C³"), =HYPERLINK("CSG0.html#group4C0", "4C⁰"), =HYPERLINK("CSG1.html#group6C1", "6C¹"), =HYPERLINK("CSG2.html#group12B2", "12B²"), =HYPERLINK("CSG0.html#group5B0", "5B⁰"), =HYPERLINK("CSG1.html#group10A1", "10A¹"), =HYPERLINK("CSG0.html#group2B0", "2B⁰"), =HYPERLINK("CSG1.html#group20D1", "20D¹"), =HYPERLINK("CSG0.html#group4E0", "4E⁰"), =HYPERLINK("CSG0.html#group4B0", "4B⁰"), =HYPERLINK("CSG0.html#group1A0", "1A⁰"), =HYPERLINK("CSG3.html#group30B3", "30B³"), =HYPERLINK("CSG0.html#group15B0", "15B⁰"), =HYPERLINK("CSG2.html#group30E2", "30E²"), =HYPERLINK("CSG0.html#group6A0", "6A⁰"), =HYPERLINK("CSG7.html#group30F7", "30F⁷"), =HYPERLINK("CSG5.html#group60A5", "60A⁵"), =HYPERLINK("CSG0.html#group10C0", "10C⁰"), =HYPERLINK("CSG1.html#group6A1", "6A¹"), =HYPERLINK("CSG1.html#group12B1", "12B¹"), =HYPERLINK("CSG0.html#group3A0", "3A⁰"), =HYPERLINK("CSG3.html#group20J3", "20J³"), =HYPERLINK("CSG0.html#group2C0", "2C⁰"), =HYPERLINK("CSG0.html#group6D0", "6D⁰"), =HYPERLINK("CSG1.html#group10G1", "10G¹")</f>
        <v/>
      </c>
      <c r="N4038" t="inlineStr"/>
    </row>
    <row r="4039">
      <c r="A4039" t="inlineStr">
        <is>
          <t>60E¹⁵</t>
        </is>
      </c>
      <c r="B4039" t="inlineStr"/>
      <c r="C4039" t="inlineStr">
        <is>
          <t>216</t>
        </is>
      </c>
      <c r="D4039" t="inlineStr">
        <is>
          <t>1</t>
        </is>
      </c>
      <c r="E4039" t="inlineStr">
        <is>
          <t>54</t>
        </is>
      </c>
      <c r="F4039" t="inlineStr">
        <is>
          <t>0</t>
        </is>
      </c>
      <c r="G4039" t="inlineStr">
        <is>
          <t>0</t>
        </is>
      </c>
      <c r="H4039" t="inlineStr">
        <is>
          <t>6², 12², 30², 60²</t>
        </is>
      </c>
      <c r="I4039" t="n">
        <v>8</v>
      </c>
      <c r="J4039" t="inlineStr">
        <is>
          <t>1⁶, 2⁶, 4³, 8³</t>
        </is>
      </c>
      <c r="K4039">
        <f>HYPERLINK("CSG2.html#group12C2", "12C²"), =HYPERLINK("CSG5.html#group30O5", "30O⁵"), =HYPERLINK("CSG7.html#group60I7", "60I⁷")</f>
        <v/>
      </c>
      <c r="L4039" t="inlineStr"/>
      <c r="M4039">
        <f>HYPERLINK("CSG0.html#group5B0", "5B⁰"), =HYPERLINK("CSG0.html#group6G0", "6G⁰"), =HYPERLINK("CSG0.html#group2B0", "2B⁰"), =HYPERLINK("CSG5.html#group30O5", "30O⁵"), =HYPERLINK("CSG0.html#group1A0", "1A⁰"), =HYPERLINK("CSG0.html#group15B0", "15B⁰"), =HYPERLINK("CSG2.html#group30E2", "30E²"), =HYPERLINK("CSG1.html#group12C1", "12C¹"), =HYPERLINK("CSG7.html#group60I7", "60I⁷"), =HYPERLINK("CSG0.html#group10C0", "10C⁰"), =HYPERLINK("CSG0.html#group3C0", "3C⁰"), =HYPERLINK("CSG0.html#group3A0", "3A⁰"), =HYPERLINK("CSG2.html#group12C2", "12C²"), =HYPERLINK("CSG0.html#group6D0", "6D⁰"), =HYPERLINK("CSG1.html#group15E1", "15E¹")</f>
        <v/>
      </c>
      <c r="N4039" t="inlineStr"/>
    </row>
    <row r="4040">
      <c r="A4040" t="inlineStr">
        <is>
          <t>60F¹⁵</t>
        </is>
      </c>
      <c r="B4040" t="inlineStr"/>
      <c r="C4040" t="inlineStr">
        <is>
          <t>216</t>
        </is>
      </c>
      <c r="D4040" t="inlineStr">
        <is>
          <t>1</t>
        </is>
      </c>
      <c r="E4040" t="inlineStr">
        <is>
          <t>54</t>
        </is>
      </c>
      <c r="F4040" t="inlineStr">
        <is>
          <t>0</t>
        </is>
      </c>
      <c r="G4040" t="inlineStr">
        <is>
          <t>0</t>
        </is>
      </c>
      <c r="H4040" t="inlineStr">
        <is>
          <t>6², 12², 30², 60²</t>
        </is>
      </c>
      <c r="I4040" t="n">
        <v>8</v>
      </c>
      <c r="J4040" t="inlineStr">
        <is>
          <t>1⁶, 2⁶, 4³, 8³</t>
        </is>
      </c>
      <c r="K4040">
        <f>HYPERLINK("CSG4.html#group30I4", "30I⁴"), =HYPERLINK("CSG7.html#group60I7", "60I⁷"), =HYPERLINK("CSG8.html#group60A8", "60A⁸")</f>
        <v/>
      </c>
      <c r="L4040" t="inlineStr"/>
      <c r="M4040">
        <f>HYPERLINK("CSG0.html#group15B0", "15B⁰"), =HYPERLINK("CSG2.html#group20C2", "20C²"), =HYPERLINK("CSG2.html#group30E2", "30E²"), =HYPERLINK("CSG1.html#group12C1", "12C¹"), =HYPERLINK("CSG7.html#group60I7", "60I⁷"), =HYPERLINK("CSG4.html#group30I4", "30I⁴"), =HYPERLINK("CSG0.html#group5B0", "5B⁰"), =HYPERLINK("CSG0.html#group10C0", "10C⁰"), =HYPERLINK("CSG0.html#group2B0", "2B⁰"), =HYPERLINK("CSG0.html#group3A0", "3A⁰"), =HYPERLINK("CSG0.html#group1A0", "1A⁰"), =HYPERLINK("CSG8.html#group60A8", "60A⁸"), =HYPERLINK("CSG0.html#group6D0", "6D⁰"), =HYPERLINK("CSG0.html#group15C0", "15C⁰")</f>
        <v/>
      </c>
      <c r="N4040" t="inlineStr"/>
    </row>
    <row r="4041">
      <c r="A4041" t="inlineStr">
        <is>
          <t>60G¹⁵</t>
        </is>
      </c>
      <c r="B4041" t="inlineStr"/>
      <c r="C4041" t="inlineStr">
        <is>
          <t>216</t>
        </is>
      </c>
      <c r="D4041" t="inlineStr">
        <is>
          <t>1</t>
        </is>
      </c>
      <c r="E4041" t="inlineStr">
        <is>
          <t>54</t>
        </is>
      </c>
      <c r="F4041" t="inlineStr">
        <is>
          <t>0</t>
        </is>
      </c>
      <c r="G4041" t="inlineStr">
        <is>
          <t>0</t>
        </is>
      </c>
      <c r="H4041" t="inlineStr">
        <is>
          <t>6², 12², 30², 60²</t>
        </is>
      </c>
      <c r="I4041" t="n">
        <v>8</v>
      </c>
      <c r="J4041" t="inlineStr">
        <is>
          <t>1⁶, 2⁶, 4³, 8³</t>
        </is>
      </c>
      <c r="K4041">
        <f>HYPERLINK("CSG5.html#group30O5", "30O⁵"), =HYPERLINK("CSG6.html#group60F6", "60F⁶"), =HYPERLINK("CSG8.html#group60A8", "60A⁸")</f>
        <v/>
      </c>
      <c r="L4041" t="inlineStr"/>
      <c r="M4041">
        <f>HYPERLINK("CSG6.html#group60F6", "60F⁶"), =HYPERLINK("CSG0.html#group5B0", "5B⁰"), =HYPERLINK("CSG0.html#group6G0", "6G⁰"), =HYPERLINK("CSG0.html#group2B0", "2B⁰"), =HYPERLINK("CSG5.html#group30O5", "30O⁵"), =HYPERLINK("CSG0.html#group1A0", "1A⁰"), =HYPERLINK("CSG0.html#group15B0", "15B⁰"), =HYPERLINK("CSG8.html#group60A8", "60A⁸"), =HYPERLINK("CSG2.html#group30E2", "30E²"), =HYPERLINK("CSG0.html#group10C0", "10C⁰"), =HYPERLINK("CSG0.html#group3C0", "3C⁰"), =HYPERLINK("CSG0.html#group3A0", "3A⁰"), =HYPERLINK("CSG2.html#group20C2", "20C²"), =HYPERLINK("CSG0.html#group6D0", "6D⁰"), =HYPERLINK("CSG1.html#group15E1", "15E¹")</f>
        <v/>
      </c>
      <c r="N4041" t="inlineStr"/>
    </row>
    <row r="4042">
      <c r="A4042" t="inlineStr">
        <is>
          <t>60H¹⁵</t>
        </is>
      </c>
      <c r="B4042" t="inlineStr"/>
      <c r="C4042" t="inlineStr">
        <is>
          <t>216</t>
        </is>
      </c>
      <c r="D4042" t="inlineStr">
        <is>
          <t>1</t>
        </is>
      </c>
      <c r="E4042" t="inlineStr">
        <is>
          <t>54</t>
        </is>
      </c>
      <c r="F4042" t="inlineStr">
        <is>
          <t>0</t>
        </is>
      </c>
      <c r="G4042" t="inlineStr">
        <is>
          <t>0</t>
        </is>
      </c>
      <c r="H4042" t="inlineStr">
        <is>
          <t>6², 12², 30², 60²</t>
        </is>
      </c>
      <c r="I4042" t="n">
        <v>8</v>
      </c>
      <c r="J4042" t="inlineStr">
        <is>
          <t>1⁶, 2⁶, 4³, 8³</t>
        </is>
      </c>
      <c r="K4042">
        <f>HYPERLINK("CSG5.html#group30P5", "30P⁵"), =HYPERLINK("CSG6.html#group60E6", "60E⁶"), =HYPERLINK("CSG8.html#group60A8", "60A⁸")</f>
        <v/>
      </c>
      <c r="L4042" t="inlineStr"/>
      <c r="M4042">
        <f>HYPERLINK("CSG0.html#group15B0", "15B⁰"), =HYPERLINK("CSG6.html#group60E6", "60E⁶"), =HYPERLINK("CSG0.html#group6B0", "6B⁰"), =HYPERLINK("CSG2.html#group30E2", "30E²"), =HYPERLINK("CSG2.html#group20C2", "20C²"), =HYPERLINK("CSG0.html#group5B0", "5B⁰"), =HYPERLINK("CSG0.html#group10C0", "10C⁰"), =HYPERLINK("CSG0.html#group2B0", "2B⁰"), =HYPERLINK("CSG0.html#group6H0", "6H⁰"), =HYPERLINK("CSG0.html#group3A0", "3A⁰"), =HYPERLINK("CSG0.html#group1A0", "1A⁰"), =HYPERLINK("CSG5.html#group30P5", "30P⁵"), =HYPERLINK("CSG8.html#group60A8", "60A⁸"), =HYPERLINK("CSG0.html#group6D0", "6D⁰"), =HYPERLINK("CSG1.html#group30C1", "30C¹")</f>
        <v/>
      </c>
      <c r="N4042" t="inlineStr"/>
    </row>
    <row r="4043">
      <c r="A4043" t="inlineStr">
        <is>
          <t>60I¹⁵</t>
        </is>
      </c>
      <c r="B4043" t="inlineStr"/>
      <c r="C4043" t="inlineStr">
        <is>
          <t>216</t>
        </is>
      </c>
      <c r="D4043" t="inlineStr">
        <is>
          <t>1</t>
        </is>
      </c>
      <c r="E4043" t="inlineStr">
        <is>
          <t>54</t>
        </is>
      </c>
      <c r="F4043" t="inlineStr">
        <is>
          <t>0</t>
        </is>
      </c>
      <c r="G4043" t="inlineStr">
        <is>
          <t>0</t>
        </is>
      </c>
      <c r="H4043" t="inlineStr">
        <is>
          <t>6², 12², 30², 60²</t>
        </is>
      </c>
      <c r="I4043" t="n">
        <v>8</v>
      </c>
      <c r="J4043" t="inlineStr">
        <is>
          <t>1⁶, 2⁶, 4³, 8³</t>
        </is>
      </c>
      <c r="K4043">
        <f>HYPERLINK("CSG5.html#group60B5", "60B⁵"), =HYPERLINK("CSG6.html#group30D6", "30D⁶"), =HYPERLINK("CSG8.html#group60A8", "60A⁸")</f>
        <v/>
      </c>
      <c r="L4043" t="inlineStr"/>
      <c r="M4043">
        <f>HYPERLINK("CSG0.html#group15B0", "15B⁰"), =HYPERLINK("CSG2.html#group20C2", "20C²"), =HYPERLINK("CSG6.html#group30D6", "30D⁶"), =HYPERLINK("CSG2.html#group30E2", "30E²"), =HYPERLINK("CSG0.html#group5B0", "5B⁰"), =HYPERLINK("CSG0.html#group10C0", "10C⁰"), =HYPERLINK("CSG0.html#group2B0", "2B⁰"), =HYPERLINK("CSG0.html#group12D0", "12D⁰"), =HYPERLINK("CSG0.html#group3A0", "3A⁰"), =HYPERLINK("CSG0.html#group1A0", "1A⁰"), =HYPERLINK("CSG8.html#group60A8", "60A⁸"), =HYPERLINK("CSG0.html#group6D0", "6D⁰"), =HYPERLINK("CSG5.html#group60B5", "60B⁵"), =HYPERLINK("CSG2.html#group30C2", "30C²")</f>
        <v/>
      </c>
      <c r="N4043" t="inlineStr"/>
    </row>
    <row r="4044">
      <c r="A4044" t="inlineStr">
        <is>
          <t>60J¹⁵</t>
        </is>
      </c>
      <c r="B4044" t="inlineStr"/>
      <c r="C4044" t="inlineStr">
        <is>
          <t>216</t>
        </is>
      </c>
      <c r="D4044" t="inlineStr">
        <is>
          <t>1</t>
        </is>
      </c>
      <c r="E4044" t="inlineStr">
        <is>
          <t>54</t>
        </is>
      </c>
      <c r="F4044" t="inlineStr">
        <is>
          <t>0</t>
        </is>
      </c>
      <c r="G4044" t="inlineStr">
        <is>
          <t>0</t>
        </is>
      </c>
      <c r="H4044" t="inlineStr">
        <is>
          <t>6², 12², 30², 60²</t>
        </is>
      </c>
      <c r="I4044" t="n">
        <v>8</v>
      </c>
      <c r="J4044" t="inlineStr">
        <is>
          <t>1⁶, 2⁶, 4³, 8³</t>
        </is>
      </c>
      <c r="K4044">
        <f>HYPERLINK("CSG6.html#group30C6", "30C⁶"), =HYPERLINK("CSG6.html#group60F6", "60F⁶"), =HYPERLINK("CSG7.html#group60I7", "60I⁷")</f>
        <v/>
      </c>
      <c r="L4044" t="inlineStr"/>
      <c r="M4044">
        <f>HYPERLINK("CSG0.html#group15B0", "15B⁰"), =HYPERLINK("CSG6.html#group60F6", "60F⁶"), =HYPERLINK("CSG2.html#group30E2", "30E²"), =HYPERLINK("CSG1.html#group12C1", "12C¹"), =HYPERLINK("CSG7.html#group60I7", "60I⁷"), =HYPERLINK("CSG6.html#group30C6", "30C⁶"), =HYPERLINK("CSG2.html#group15B2", "15B²"), =HYPERLINK("CSG0.html#group5B0", "5B⁰"), =HYPERLINK("CSG0.html#group5D0", "5D⁰"), =HYPERLINK("CSG0.html#group10C0", "10C⁰"), =HYPERLINK("CSG0.html#group2B0", "2B⁰"), =HYPERLINK("CSG0.html#group3A0", "3A⁰"), =HYPERLINK("CSG0.html#group1A0", "1A⁰"), =HYPERLINK("CSG0.html#group10F0", "10F⁰"), =HYPERLINK("CSG0.html#group6D0", "6D⁰")</f>
        <v/>
      </c>
      <c r="N4044" t="inlineStr"/>
    </row>
    <row r="4045">
      <c r="A4045" t="inlineStr">
        <is>
          <t>60K¹⁵</t>
        </is>
      </c>
      <c r="B4045" t="inlineStr"/>
      <c r="C4045" t="inlineStr">
        <is>
          <t>216</t>
        </is>
      </c>
      <c r="D4045" t="inlineStr">
        <is>
          <t>1</t>
        </is>
      </c>
      <c r="E4045" t="inlineStr">
        <is>
          <t>54</t>
        </is>
      </c>
      <c r="F4045" t="inlineStr">
        <is>
          <t>0</t>
        </is>
      </c>
      <c r="G4045" t="inlineStr">
        <is>
          <t>0</t>
        </is>
      </c>
      <c r="H4045" t="inlineStr">
        <is>
          <t>6², 12², 30², 60²</t>
        </is>
      </c>
      <c r="I4045" t="n">
        <v>8</v>
      </c>
      <c r="J4045" t="inlineStr">
        <is>
          <t>1⁶, 2⁶, 4³, 8³</t>
        </is>
      </c>
      <c r="K4045">
        <f>HYPERLINK("CSG6.html#group30D6", "30D⁶"), =HYPERLINK("CSG6.html#group60F6", "60F⁶"), =HYPERLINK("CSG7.html#group60H7", "60H⁷")</f>
        <v/>
      </c>
      <c r="L4045" t="inlineStr"/>
      <c r="M4045">
        <f>HYPERLINK("CSG0.html#group15B0", "15B⁰"), =HYPERLINK("CSG6.html#group60F6", "60F⁶"), =HYPERLINK("CSG6.html#group30D6", "30D⁶"), =HYPERLINK("CSG2.html#group30E2", "30E²"), =HYPERLINK("CSG7.html#group60H7", "60H⁷"), =HYPERLINK("CSG0.html#group4B0", "4B⁰"), =HYPERLINK("CSG0.html#group5B0", "5B⁰"), =HYPERLINK("CSG0.html#group10C0", "10C⁰"), =HYPERLINK("CSG1.html#group20D1", "20D¹"), =HYPERLINK("CSG1.html#group12B1", "12B¹"), =HYPERLINK("CSG0.html#group2B0", "2B⁰"), =HYPERLINK("CSG0.html#group3A0", "3A⁰"), =HYPERLINK("CSG0.html#group1A0", "1A⁰"), =HYPERLINK("CSG0.html#group6D0", "6D⁰"), =HYPERLINK("CSG2.html#group30C2", "30C²")</f>
        <v/>
      </c>
      <c r="N4045" t="inlineStr"/>
    </row>
    <row r="4046">
      <c r="A4046" t="inlineStr">
        <is>
          <t>60L¹⁵</t>
        </is>
      </c>
      <c r="B4046" t="inlineStr"/>
      <c r="C4046" t="inlineStr">
        <is>
          <t>216</t>
        </is>
      </c>
      <c r="D4046" t="inlineStr">
        <is>
          <t>1</t>
        </is>
      </c>
      <c r="E4046" t="inlineStr">
        <is>
          <t>54</t>
        </is>
      </c>
      <c r="F4046" t="inlineStr">
        <is>
          <t>0</t>
        </is>
      </c>
      <c r="G4046" t="inlineStr">
        <is>
          <t>0</t>
        </is>
      </c>
      <c r="H4046" t="inlineStr">
        <is>
          <t>6², 12², 30², 60²</t>
        </is>
      </c>
      <c r="I4046" t="n">
        <v>8</v>
      </c>
      <c r="J4046" t="inlineStr">
        <is>
          <t>1⁶, 2⁶, 4³, 8³</t>
        </is>
      </c>
      <c r="K4046">
        <f>HYPERLINK("CSG6.html#group60E6", "60E⁶"), =HYPERLINK("CSG6.html#group60F6", "60F⁶"), =HYPERLINK("CSG7.html#group30F7", "30F⁷")</f>
        <v/>
      </c>
      <c r="L4046" t="inlineStr"/>
      <c r="M4046">
        <f>HYPERLINK("CSG0.html#group2A0", "2A⁰"), =HYPERLINK("CSG6.html#group60E6", "60E⁶"), =HYPERLINK("CSG6.html#group60F6", "60F⁶"), =HYPERLINK("CSG3.html#group30C3", "30C³"), =HYPERLINK("CSG1.html#group6C1", "6C¹"), =HYPERLINK("CSG0.html#group5B0", "5B⁰"), =HYPERLINK("CSG1.html#group10A1", "10A¹"), =HYPERLINK("CSG0.html#group2B0", "2B⁰"), =HYPERLINK("CSG0.html#group1A0", "1A⁰"), =HYPERLINK("CSG3.html#group30B3", "30B³"), =HYPERLINK("CSG0.html#group15B0", "15B⁰"), =HYPERLINK("CSG2.html#group30E2", "30E²"), =HYPERLINK("CSG0.html#group6A0", "6A⁰"), =HYPERLINK("CSG7.html#group30F7", "30F⁷"), =HYPERLINK("CSG0.html#group10C0", "10C⁰"), =HYPERLINK("CSG1.html#group6A1", "6A¹"), =HYPERLINK("CSG0.html#group3A0", "3A⁰"), =HYPERLINK("CSG0.html#group2C0", "2C⁰"), =HYPERLINK("CSG0.html#group6D0", "6D⁰"), =HYPERLINK("CSG1.html#group10G1", "10G¹")</f>
        <v/>
      </c>
      <c r="N4046" t="inlineStr"/>
    </row>
    <row r="4047">
      <c r="A4047" t="inlineStr">
        <is>
          <t>60M¹⁵</t>
        </is>
      </c>
      <c r="B4047" t="inlineStr"/>
      <c r="C4047" t="inlineStr">
        <is>
          <t>216</t>
        </is>
      </c>
      <c r="D4047" t="inlineStr">
        <is>
          <t>1</t>
        </is>
      </c>
      <c r="E4047" t="inlineStr">
        <is>
          <t>54</t>
        </is>
      </c>
      <c r="F4047" t="inlineStr">
        <is>
          <t>0</t>
        </is>
      </c>
      <c r="G4047" t="inlineStr">
        <is>
          <t>0</t>
        </is>
      </c>
      <c r="H4047" t="inlineStr">
        <is>
          <t>6², 12², 30², 60²</t>
        </is>
      </c>
      <c r="I4047" t="n">
        <v>8</v>
      </c>
      <c r="J4047" t="inlineStr">
        <is>
          <t>1⁶, 2⁶, 4³, 8³</t>
        </is>
      </c>
      <c r="K4047">
        <f>HYPERLINK("CSG2.html#group12D2", "12D²"), =HYPERLINK("CSG5.html#group30P5", "30P⁵"), =HYPERLINK("CSG7.html#group60H7", "60H⁷"), =HYPERLINK("CSG7.html#group60I7", "60I⁷")</f>
        <v/>
      </c>
      <c r="L4047" t="inlineStr"/>
      <c r="M4047">
        <f>HYPERLINK("CSG0.html#group6B0", "6B⁰"), =HYPERLINK("CSG7.html#group60H7", "60H⁷"), =HYPERLINK("CSG2.html#group12D2", "12D²"), =HYPERLINK("CSG0.html#group5B0", "5B⁰"), =HYPERLINK("CSG1.html#group20D1", "20D¹"), =HYPERLINK("CSG0.html#group2B0", "2B⁰"), =HYPERLINK("CSG0.html#group4B0", "4B⁰"), =HYPERLINK("CSG0.html#group1A0", "1A⁰"), =HYPERLINK("CSG5.html#group30P5", "30P⁵"), =HYPERLINK("CSG0.html#group15B0", "15B⁰"), =HYPERLINK("CSG2.html#group30E2", "30E²"), =HYPERLINK("CSG1.html#group12C1", "12C¹"), =HYPERLINK("CSG7.html#group60I7", "60I⁷"), =HYPERLINK("CSG0.html#group10C0", "10C⁰"), =HYPERLINK("CSG1.html#group12B1", "12B¹"), =HYPERLINK("CSG0.html#group6H0", "6H⁰"), =HYPERLINK("CSG0.html#group3A0", "3A⁰"), =HYPERLINK("CSG0.html#group6D0", "6D⁰"), =HYPERLINK("CSG1.html#group30C1", "30C¹")</f>
        <v/>
      </c>
      <c r="N4047" t="inlineStr"/>
    </row>
    <row r="4048">
      <c r="A4048" t="inlineStr">
        <is>
          <t>60N¹⁵</t>
        </is>
      </c>
      <c r="B4048" t="inlineStr"/>
      <c r="C4048" t="inlineStr">
        <is>
          <t>216</t>
        </is>
      </c>
      <c r="D4048" t="inlineStr">
        <is>
          <t>1</t>
        </is>
      </c>
      <c r="E4048" t="inlineStr">
        <is>
          <t>54</t>
        </is>
      </c>
      <c r="F4048" t="inlineStr">
        <is>
          <t>0</t>
        </is>
      </c>
      <c r="G4048" t="inlineStr">
        <is>
          <t>0</t>
        </is>
      </c>
      <c r="H4048" t="inlineStr">
        <is>
          <t>6², 12², 30², 60²</t>
        </is>
      </c>
      <c r="I4048" t="n">
        <v>8</v>
      </c>
      <c r="J4048" t="inlineStr">
        <is>
          <t>1⁶, 2⁶, 4³, 8³</t>
        </is>
      </c>
      <c r="K4048">
        <f>HYPERLINK("CSG2.html#group12E2", "12E²"), =HYPERLINK("CSG5.html#group60B5", "60B⁵"), =HYPERLINK("CSG7.html#group30F7", "30F⁷"), =HYPERLINK("CSG7.html#group60I7", "60I⁷")</f>
        <v/>
      </c>
      <c r="L4048" t="inlineStr"/>
      <c r="M4048">
        <f>HYPERLINK("CSG0.html#group2A0", "2A⁰"), =HYPERLINK("CSG3.html#group30C3", "30C³"), =HYPERLINK("CSG1.html#group6C1", "6C¹"), =HYPERLINK("CSG0.html#group5B0", "5B⁰"), =HYPERLINK("CSG2.html#group12E2", "12E²"), =HYPERLINK("CSG1.html#group10A1", "10A¹"), =HYPERLINK("CSG0.html#group2B0", "2B⁰"), =HYPERLINK("CSG0.html#group1A0", "1A⁰"), =HYPERLINK("CSG3.html#group30B3", "30B³"), =HYPERLINK("CSG1.html#group10G1", "10G¹"), =HYPERLINK("CSG7.html#group60I7", "60I⁷"), =HYPERLINK("CSG0.html#group10C0", "10C⁰"), =HYPERLINK("CSG1.html#group6A1", "6A¹"), =HYPERLINK("CSG0.html#group3A0", "3A⁰"), =HYPERLINK("CSG0.html#group15B0", "15B⁰"), =HYPERLINK("CSG1.html#group12C1", "12C¹"), =HYPERLINK("CSG0.html#group6A0", "6A⁰"), =HYPERLINK("CSG7.html#group30F7", "30F⁷"), =HYPERLINK("CSG2.html#group30E2", "30E²"), =HYPERLINK("CSG0.html#group12D0", "12D⁰"), =HYPERLINK("CSG0.html#group2C0", "2C⁰"), =HYPERLINK("CSG0.html#group6D0", "6D⁰"), =HYPERLINK("CSG5.html#group60B5", "60B⁵")</f>
        <v/>
      </c>
      <c r="N4048" t="inlineStr"/>
    </row>
    <row r="4049">
      <c r="A4049" t="inlineStr">
        <is>
          <t>60O¹⁵</t>
        </is>
      </c>
      <c r="B4049" t="inlineStr"/>
      <c r="C4049" t="inlineStr">
        <is>
          <t>216</t>
        </is>
      </c>
      <c r="D4049" t="inlineStr">
        <is>
          <t>2</t>
        </is>
      </c>
      <c r="E4049" t="inlineStr">
        <is>
          <t>54</t>
        </is>
      </c>
      <c r="F4049" t="inlineStr">
        <is>
          <t>0</t>
        </is>
      </c>
      <c r="G4049" t="inlineStr">
        <is>
          <t>0</t>
        </is>
      </c>
      <c r="H4049" t="inlineStr">
        <is>
          <t>6², 12², 30², 60²</t>
        </is>
      </c>
      <c r="I4049" t="n">
        <v>8</v>
      </c>
      <c r="J4049" t="inlineStr">
        <is>
          <t>2¹⁸, 8⁹</t>
        </is>
      </c>
      <c r="K4049">
        <f>HYPERLINK("CSG6.html#group30D6", "30D⁶"), =HYPERLINK("CSG6.html#group60E6", "60E⁶"), =HYPERLINK("CSG7.html#group60I7", "60I⁷")</f>
        <v/>
      </c>
      <c r="L4049" t="inlineStr"/>
      <c r="M4049">
        <f>HYPERLINK("CSG0.html#group15B0", "15B⁰"), =HYPERLINK("CSG6.html#group60E6", "60E⁶"), =HYPERLINK("CSG6.html#group30D6", "30D⁶"), =HYPERLINK("CSG2.html#group30E2", "30E²"), =HYPERLINK("CSG7.html#group60I7", "60I⁷"), =HYPERLINK("CSG1.html#group12C1", "12C¹"), =HYPERLINK("CSG0.html#group5B0", "5B⁰"), =HYPERLINK("CSG0.html#group10C0", "10C⁰"), =HYPERLINK("CSG0.html#group2B0", "2B⁰"), =HYPERLINK("CSG0.html#group3A0", "3A⁰"), =HYPERLINK("CSG0.html#group1A0", "1A⁰"), =HYPERLINK("CSG0.html#group6D0", "6D⁰"), =HYPERLINK("CSG2.html#group30C2", "30C²")</f>
        <v/>
      </c>
      <c r="N4049" t="inlineStr"/>
    </row>
    <row r="4050">
      <c r="A4050" t="inlineStr">
        <is>
          <t>60P¹⁵</t>
        </is>
      </c>
      <c r="B4050" t="inlineStr"/>
      <c r="C4050" t="inlineStr">
        <is>
          <t>240</t>
        </is>
      </c>
      <c r="D4050" t="inlineStr">
        <is>
          <t>1</t>
        </is>
      </c>
      <c r="E4050" t="inlineStr">
        <is>
          <t>20</t>
        </is>
      </c>
      <c r="F4050" t="inlineStr">
        <is>
          <t>0</t>
        </is>
      </c>
      <c r="G4050" t="inlineStr">
        <is>
          <t>12</t>
        </is>
      </c>
      <c r="H4050" t="inlineStr">
        <is>
          <t>60⁴</t>
        </is>
      </c>
      <c r="I4050" t="n">
        <v>4</v>
      </c>
      <c r="J4050" t="inlineStr">
        <is>
          <t>4¹, 8²</t>
        </is>
      </c>
      <c r="K4050">
        <f>HYPERLINK("CSG3.html#group20N3", "20N³"), =HYPERLINK("CSG7.html#group30G7", "30G⁷")</f>
        <v/>
      </c>
      <c r="L4050" t="inlineStr"/>
      <c r="M4050">
        <f>HYPERLINK("CSG1.html#group10H1", "10H¹"), =HYPERLINK("CSG0.html#group2A0", "2A⁰"), =HYPERLINK("CSG7.html#group30G7", "30G⁷"), =HYPERLINK("CSG0.html#group5A0", "5A⁰"), =HYPERLINK("CSG4.html#group30B4", "30B⁴"), =HYPERLINK("CSG0.html#group10D0", "10D⁰"), =HYPERLINK("CSG0.html#group5F0", "5F⁰"), =HYPERLINK("CSG3.html#group20N3", "20N³"), =HYPERLINK("CSG0.html#group1A0", "1A⁰"), =HYPERLINK("CSG1.html#group20F1", "20F¹"), =HYPERLINK("CSG1.html#group30A1", "30A¹"), =HYPERLINK("CSG0.html#group10A0", "10A⁰"), =HYPERLINK("CSG0.html#group6A0", "6A⁰"), =HYPERLINK("CSG1.html#group10C1", "10C¹"), =HYPERLINK("CSG0.html#group5C0", "5C⁰")</f>
        <v/>
      </c>
      <c r="N4050" t="inlineStr"/>
    </row>
    <row r="4051">
      <c r="A4051" t="inlineStr">
        <is>
          <t>60Q¹⁵</t>
        </is>
      </c>
      <c r="B4051" t="inlineStr"/>
      <c r="C4051" t="inlineStr">
        <is>
          <t>240</t>
        </is>
      </c>
      <c r="D4051" t="inlineStr">
        <is>
          <t>1</t>
        </is>
      </c>
      <c r="E4051" t="inlineStr">
        <is>
          <t>20</t>
        </is>
      </c>
      <c r="F4051" t="inlineStr">
        <is>
          <t>0</t>
        </is>
      </c>
      <c r="G4051" t="inlineStr">
        <is>
          <t>12</t>
        </is>
      </c>
      <c r="H4051" t="inlineStr">
        <is>
          <t>60⁴</t>
        </is>
      </c>
      <c r="I4051" t="n">
        <v>4</v>
      </c>
      <c r="J4051" t="inlineStr">
        <is>
          <t>4¹, 8²</t>
        </is>
      </c>
      <c r="K4051">
        <f>HYPERLINK("CSG3.html#group20N3", "20N³"), =HYPERLINK("CSG7.html#group30H7", "30H⁷")</f>
        <v/>
      </c>
      <c r="L4051" t="inlineStr"/>
      <c r="M4051">
        <f>HYPERLINK("CSG1.html#group10H1", "10H¹"), =HYPERLINK("CSG0.html#group2A0", "2A⁰"), =HYPERLINK("CSG0.html#group5A0", "5A⁰"), =HYPERLINK("CSG0.html#group10D0", "10D⁰"), =HYPERLINK("CSG0.html#group5F0", "5F⁰"), =HYPERLINK("CSG3.html#group20N3", "20N³"), =HYPERLINK("CSG0.html#group1A0", "1A⁰"), =HYPERLINK("CSG1.html#group20F1", "20F¹"), =HYPERLINK("CSG0.html#group10A0", "10A⁰"), =HYPERLINK("CSG7.html#group30H7", "30H⁷"), =HYPERLINK("CSG1.html#group30B1", "30B¹"), =HYPERLINK("CSG1.html#group10C1", "10C¹"), =HYPERLINK("CSG3.html#group15B3", "15B³"), =HYPERLINK("CSG0.html#group5C0", "5C⁰"), =HYPERLINK("CSG0.html#group15A0", "15A⁰")</f>
        <v/>
      </c>
      <c r="N4051" t="inlineStr"/>
    </row>
    <row r="4052">
      <c r="A4052" t="inlineStr">
        <is>
          <t>60R¹⁵</t>
        </is>
      </c>
      <c r="B4052" t="inlineStr"/>
      <c r="C4052" t="inlineStr">
        <is>
          <t>240</t>
        </is>
      </c>
      <c r="D4052" t="inlineStr">
        <is>
          <t>1</t>
        </is>
      </c>
      <c r="E4052" t="inlineStr">
        <is>
          <t>30</t>
        </is>
      </c>
      <c r="F4052" t="inlineStr">
        <is>
          <t>16</t>
        </is>
      </c>
      <c r="G4052" t="inlineStr">
        <is>
          <t>0</t>
        </is>
      </c>
      <c r="H4052" t="inlineStr">
        <is>
          <t>60⁴</t>
        </is>
      </c>
      <c r="I4052" t="n">
        <v>4</v>
      </c>
      <c r="J4052" t="inlineStr">
        <is>
          <t>4¹, 8³, 16²</t>
        </is>
      </c>
      <c r="K4052">
        <f>HYPERLINK("CSG5.html#group30Q5", "30Q⁵"), =HYPERLINK("CSG7.html#group60L7", "60L⁷")</f>
        <v/>
      </c>
      <c r="L4052" t="inlineStr"/>
      <c r="M4052">
        <f>HYPERLINK("CSG5.html#group30Q5", "30Q⁵"), =HYPERLINK("CSG1.html#group15D1", "15D¹"), =HYPERLINK("CSG0.html#group6B0", "6B⁰"), =HYPERLINK("CSG3.html#group30H3", "30H³"), =HYPERLINK("CSG2.html#group30F2", "30F²"), =HYPERLINK("CSG0.html#group10D0", "10D⁰"), =HYPERLINK("CSG2.html#group15D2", "15D²"), =HYPERLINK("CSG0.html#group1A0", "1A⁰"), =HYPERLINK("CSG0.html#group3A0", "3A⁰"), =HYPERLINK("CSG0.html#group5C0", "5C⁰"), =HYPERLINK("CSG7.html#group60L7", "60L⁷")</f>
        <v/>
      </c>
      <c r="N4052" t="inlineStr"/>
    </row>
    <row r="4053">
      <c r="A4053" t="inlineStr">
        <is>
          <t>60S¹⁵</t>
        </is>
      </c>
      <c r="B4053" t="inlineStr"/>
      <c r="C4053" t="inlineStr">
        <is>
          <t>240</t>
        </is>
      </c>
      <c r="D4053" t="inlineStr">
        <is>
          <t>1</t>
        </is>
      </c>
      <c r="E4053" t="inlineStr">
        <is>
          <t>30</t>
        </is>
      </c>
      <c r="F4053" t="inlineStr">
        <is>
          <t>16</t>
        </is>
      </c>
      <c r="G4053" t="inlineStr">
        <is>
          <t>0</t>
        </is>
      </c>
      <c r="H4053" t="inlineStr">
        <is>
          <t>60⁴</t>
        </is>
      </c>
      <c r="I4053" t="n">
        <v>4</v>
      </c>
      <c r="J4053" t="inlineStr">
        <is>
          <t>4¹, 8³, 16²</t>
        </is>
      </c>
      <c r="K4053">
        <f>HYPERLINK("CSG5.html#group30Q5", "30Q⁵"), =HYPERLINK("CSG7.html#group60L7", "60L⁷")</f>
        <v/>
      </c>
      <c r="L4053" t="inlineStr"/>
      <c r="M4053">
        <f>HYPERLINK("CSG5.html#group30Q5", "30Q⁵"), =HYPERLINK("CSG1.html#group15D1", "15D¹"), =HYPERLINK("CSG0.html#group6B0", "6B⁰"), =HYPERLINK("CSG3.html#group30H3", "30H³"), =HYPERLINK("CSG2.html#group30F2", "30F²"), =HYPERLINK("CSG0.html#group10D0", "10D⁰"), =HYPERLINK("CSG2.html#group15D2", "15D²"), =HYPERLINK("CSG0.html#group1A0", "1A⁰"), =HYPERLINK("CSG0.html#group3A0", "3A⁰"), =HYPERLINK("CSG0.html#group5C0", "5C⁰"), =HYPERLINK("CSG7.html#group60L7", "60L⁷")</f>
        <v/>
      </c>
      <c r="N4053" t="inlineStr"/>
    </row>
    <row r="4054">
      <c r="A4054" t="inlineStr">
        <is>
          <t>60T¹⁵</t>
        </is>
      </c>
      <c r="B4054" t="inlineStr"/>
      <c r="C4054" t="inlineStr">
        <is>
          <t>240</t>
        </is>
      </c>
      <c r="D4054" t="inlineStr">
        <is>
          <t>1</t>
        </is>
      </c>
      <c r="E4054" t="inlineStr">
        <is>
          <t>40</t>
        </is>
      </c>
      <c r="F4054" t="inlineStr">
        <is>
          <t>0</t>
        </is>
      </c>
      <c r="G4054" t="inlineStr">
        <is>
          <t>12</t>
        </is>
      </c>
      <c r="H4054" t="inlineStr">
        <is>
          <t>60⁴</t>
        </is>
      </c>
      <c r="I4054" t="n">
        <v>4</v>
      </c>
      <c r="J4054" t="inlineStr">
        <is>
          <t>2⁴, 8⁴</t>
        </is>
      </c>
      <c r="K4054">
        <f>HYPERLINK("CSG1.html#group12O1", "12O¹"), =HYPERLINK("CSG4.html#group60B4", "60B⁴"), =HYPERLINK("CSG7.html#group30K7", "30K⁷")</f>
        <v/>
      </c>
      <c r="L4054" t="inlineStr"/>
      <c r="M4054">
        <f>HYPERLINK("CSG0.html#group3B0", "3B⁰"), =HYPERLINK("CSG0.html#group2A0", "2A⁰"), =HYPERLINK("CSG1.html#group30A1", "30A¹"), =HYPERLINK("CSG0.html#group5A0", "5A⁰"), =HYPERLINK("CSG0.html#group10A0", "10A⁰"), =HYPERLINK("CSG0.html#group6A0", "6A⁰"), =HYPERLINK("CSG2.html#group30D2", "30D²"), =HYPERLINK("CSG7.html#group30K7", "30K⁷"), =HYPERLINK("CSG4.html#group60B4", "60B⁴"), =HYPERLINK("CSG0.html#group6C0", "6C⁰"), =HYPERLINK("CSG0.html#group6J0", "6J⁰"), =HYPERLINK("CSG1.html#group15B1", "15B¹"), =HYPERLINK("CSG1.html#group12O1", "12O¹"), =HYPERLINK("CSG0.html#group1A0", "1A⁰"), =HYPERLINK("CSG0.html#group12B0", "12B⁰")</f>
        <v/>
      </c>
      <c r="N4054" t="inlineStr"/>
    </row>
    <row r="4055">
      <c r="A4055" t="inlineStr">
        <is>
          <t>60U¹⁵</t>
        </is>
      </c>
      <c r="B4055" t="inlineStr"/>
      <c r="C4055" t="inlineStr">
        <is>
          <t>240</t>
        </is>
      </c>
      <c r="D4055" t="inlineStr">
        <is>
          <t>1</t>
        </is>
      </c>
      <c r="E4055" t="inlineStr">
        <is>
          <t>120</t>
        </is>
      </c>
      <c r="F4055" t="inlineStr">
        <is>
          <t>0</t>
        </is>
      </c>
      <c r="G4055" t="inlineStr">
        <is>
          <t>0</t>
        </is>
      </c>
      <c r="H4055" t="inlineStr">
        <is>
          <t>5⁴, 15⁴, 20², 60²</t>
        </is>
      </c>
      <c r="I4055" t="n">
        <v>12</v>
      </c>
      <c r="J4055" t="inlineStr">
        <is>
          <t>2⁶, 4¹⁵, 8⁶</t>
        </is>
      </c>
      <c r="K4055">
        <f>HYPERLINK("CSG2.html#group20F2", "20F²"), =HYPERLINK("CSG7.html#group30L7", "30L⁷")</f>
        <v/>
      </c>
      <c r="L4055" t="inlineStr"/>
      <c r="M4055">
        <f>HYPERLINK("CSG0.html#group3B0", "3B⁰"), =HYPERLINK("CSG0.html#group6F0", "6F⁰"), =HYPERLINK("CSG0.html#group1A0", "1A⁰"), =HYPERLINK("CSG0.html#group2B0", "2B⁰"), =HYPERLINK("CSG2.html#group15C2", "15C²"), =HYPERLINK("CSG7.html#group30L7", "30L⁷"), =HYPERLINK("CSG2.html#group20F2", "20F²"), =HYPERLINK("CSG0.html#group5C0", "5C⁰"), =HYPERLINK("CSG1.html#group10F1", "10F¹")</f>
        <v/>
      </c>
      <c r="N4055" t="inlineStr"/>
    </row>
    <row r="4056">
      <c r="A4056" t="inlineStr">
        <is>
          <t>60V¹⁵</t>
        </is>
      </c>
      <c r="B4056" t="inlineStr"/>
      <c r="C4056" t="inlineStr">
        <is>
          <t>240</t>
        </is>
      </c>
      <c r="D4056" t="inlineStr">
        <is>
          <t>1</t>
        </is>
      </c>
      <c r="E4056" t="inlineStr">
        <is>
          <t>120</t>
        </is>
      </c>
      <c r="F4056" t="inlineStr">
        <is>
          <t>0</t>
        </is>
      </c>
      <c r="G4056" t="inlineStr">
        <is>
          <t>0</t>
        </is>
      </c>
      <c r="H4056" t="inlineStr">
        <is>
          <t>5⁴, 15⁴, 20², 60²</t>
        </is>
      </c>
      <c r="I4056" t="n">
        <v>12</v>
      </c>
      <c r="J4056" t="inlineStr">
        <is>
          <t>2⁶, 4¹⁵, 8⁶</t>
        </is>
      </c>
      <c r="K4056">
        <f>HYPERLINK("CSG0.html#group12E0", "12E⁰"), =HYPERLINK("CSG3.html#group20E3", "20E³"), =HYPERLINK("CSG7.html#group30L7", "30L⁷")</f>
        <v/>
      </c>
      <c r="L4056" t="inlineStr"/>
      <c r="M4056">
        <f>HYPERLINK("CSG0.html#group3B0", "3B⁰"), =HYPERLINK("CSG3.html#group20E3", "20E³"), =HYPERLINK("CSG0.html#group5C0", "5C⁰"), =HYPERLINK("CSG0.html#group6F0", "6F⁰"), =HYPERLINK("CSG0.html#group2B0", "2B⁰"), =HYPERLINK("CSG2.html#group15C2", "15C²"), =HYPERLINK("CSG7.html#group30L7", "30L⁷"), =HYPERLINK("CSG0.html#group4B0", "4B⁰"), =HYPERLINK("CSG0.html#group1A0", "1A⁰"), =HYPERLINK("CSG0.html#group12E0", "12E⁰"), =HYPERLINK("CSG1.html#group10F1", "10F¹")</f>
        <v/>
      </c>
      <c r="N4056" t="inlineStr"/>
    </row>
    <row r="4057">
      <c r="A4057" t="inlineStr">
        <is>
          <t>60W¹⁵</t>
        </is>
      </c>
      <c r="B4057" t="inlineStr"/>
      <c r="C4057" t="inlineStr">
        <is>
          <t>240</t>
        </is>
      </c>
      <c r="D4057" t="inlineStr">
        <is>
          <t>1</t>
        </is>
      </c>
      <c r="E4057" t="inlineStr">
        <is>
          <t>120</t>
        </is>
      </c>
      <c r="F4057" t="inlineStr">
        <is>
          <t>16</t>
        </is>
      </c>
      <c r="G4057" t="inlineStr">
        <is>
          <t>0</t>
        </is>
      </c>
      <c r="H4057" t="inlineStr">
        <is>
          <t>60⁴</t>
        </is>
      </c>
      <c r="I4057" t="n">
        <v>4</v>
      </c>
      <c r="J4057" t="inlineStr">
        <is>
          <t>4², 8⁶, 16⁴</t>
        </is>
      </c>
      <c r="K4057">
        <f>HYPERLINK("CSG2.html#group15D2", "15D²"), =HYPERLINK("CSG7.html#group60J7", "60J⁷")</f>
        <v/>
      </c>
      <c r="L4057" t="inlineStr"/>
      <c r="M4057">
        <f>HYPERLINK("CSG7.html#group60J7", "60J⁷"), =HYPERLINK("CSG1.html#group15D1", "15D¹"), =HYPERLINK("CSG0.html#group12A0", "12A⁰"), =HYPERLINK("CSG0.html#group4A0", "4A⁰"), =HYPERLINK("CSG0.html#group5C0", "5C⁰"), =HYPERLINK("CSG2.html#group15D2", "15D²"), =HYPERLINK("CSG0.html#group3A0", "3A⁰"), =HYPERLINK("CSG0.html#group1A0", "1A⁰"), =HYPERLINK("CSG2.html#group20E2", "20E²")</f>
        <v/>
      </c>
      <c r="N4057" t="inlineStr"/>
    </row>
    <row r="4058">
      <c r="A4058" t="inlineStr">
        <is>
          <t>60X¹⁵</t>
        </is>
      </c>
      <c r="B4058" t="inlineStr"/>
      <c r="C4058" t="inlineStr">
        <is>
          <t>240</t>
        </is>
      </c>
      <c r="D4058" t="inlineStr">
        <is>
          <t>1</t>
        </is>
      </c>
      <c r="E4058" t="inlineStr">
        <is>
          <t>120</t>
        </is>
      </c>
      <c r="F4058" t="inlineStr">
        <is>
          <t>16</t>
        </is>
      </c>
      <c r="G4058" t="inlineStr">
        <is>
          <t>0</t>
        </is>
      </c>
      <c r="H4058" t="inlineStr">
        <is>
          <t>60⁴</t>
        </is>
      </c>
      <c r="I4058" t="n">
        <v>4</v>
      </c>
      <c r="J4058" t="inlineStr">
        <is>
          <t>4², 8⁶, 16⁴</t>
        </is>
      </c>
      <c r="K4058">
        <f>HYPERLINK("CSG0.html#group12F0", "12F⁰"), =HYPERLINK("CSG3.html#group30H3", "30H³"), =HYPERLINK("CSG7.html#group60J7", "60J⁷")</f>
        <v/>
      </c>
      <c r="L4058" t="inlineStr"/>
      <c r="M4058">
        <f>HYPERLINK("CSG7.html#group60J7", "60J⁷"), =HYPERLINK("CSG1.html#group15D1", "15D¹"), =HYPERLINK("CSG0.html#group12A0", "12A⁰"), =HYPERLINK("CSG0.html#group6B0", "6B⁰"), =HYPERLINK("CSG0.html#group3A0", "3A⁰"), =HYPERLINK("CSG0.html#group4A0", "4A⁰"), =HYPERLINK("CSG0.html#group5C0", "5C⁰"), =HYPERLINK("CSG0.html#group12F0", "12F⁰"), =HYPERLINK("CSG3.html#group30H3", "30H³"), =HYPERLINK("CSG0.html#group1A0", "1A⁰"), =HYPERLINK("CSG2.html#group20E2", "20E²")</f>
        <v/>
      </c>
      <c r="N4058" t="inlineStr"/>
    </row>
    <row r="4059">
      <c r="A4059" t="inlineStr">
        <is>
          <t>60Y¹⁵</t>
        </is>
      </c>
      <c r="B4059" t="inlineStr"/>
      <c r="C4059" t="inlineStr">
        <is>
          <t>240</t>
        </is>
      </c>
      <c r="D4059" t="inlineStr">
        <is>
          <t>2</t>
        </is>
      </c>
      <c r="E4059" t="inlineStr">
        <is>
          <t>20</t>
        </is>
      </c>
      <c r="F4059" t="inlineStr">
        <is>
          <t>0</t>
        </is>
      </c>
      <c r="G4059" t="inlineStr">
        <is>
          <t>12</t>
        </is>
      </c>
      <c r="H4059" t="inlineStr">
        <is>
          <t>60⁴</t>
        </is>
      </c>
      <c r="I4059" t="n">
        <v>4</v>
      </c>
      <c r="J4059" t="inlineStr">
        <is>
          <t>2², 4¹, 8⁴</t>
        </is>
      </c>
      <c r="K4059">
        <f>HYPERLINK("CSG4.html#group60B4", "60B⁴"), =HYPERLINK("CSG7.html#group30M7", "30M⁷")</f>
        <v/>
      </c>
      <c r="L4059" t="inlineStr"/>
      <c r="M4059">
        <f>HYPERLINK("CSG0.html#group3B0", "3B⁰"), =HYPERLINK("CSG0.html#group2A0", "2A⁰"), =HYPERLINK("CSG0.html#group5A0", "5A⁰"), =HYPERLINK("CSG0.html#group10A0", "10A⁰"), =HYPERLINK("CSG3.html#group15D3", "15D³"), =HYPERLINK("CSG1.html#group30B1", "30B¹"), =HYPERLINK("CSG2.html#group30D2", "30D²"), =HYPERLINK("CSG4.html#group60B4", "60B⁴"), =HYPERLINK("CSG0.html#group6C0", "6C⁰"), =HYPERLINK("CSG1.html#group15B1", "15B¹"), =HYPERLINK("CSG7.html#group30M7", "30M⁷"), =HYPERLINK("CSG0.html#group12B0", "12B⁰"), =HYPERLINK("CSG0.html#group1A0", "1A⁰"), =HYPERLINK("CSG0.html#group15A0", "15A⁰")</f>
        <v/>
      </c>
      <c r="N4059" t="inlineStr"/>
    </row>
    <row r="4060">
      <c r="A4060" t="inlineStr">
        <is>
          <t>60Z¹⁵</t>
        </is>
      </c>
      <c r="B4060" t="inlineStr"/>
      <c r="C4060" t="inlineStr">
        <is>
          <t>240</t>
        </is>
      </c>
      <c r="D4060" t="inlineStr">
        <is>
          <t>2</t>
        </is>
      </c>
      <c r="E4060" t="inlineStr">
        <is>
          <t>30</t>
        </is>
      </c>
      <c r="F4060" t="inlineStr">
        <is>
          <t>16</t>
        </is>
      </c>
      <c r="G4060" t="inlineStr">
        <is>
          <t>0</t>
        </is>
      </c>
      <c r="H4060" t="inlineStr">
        <is>
          <t>60⁴</t>
        </is>
      </c>
      <c r="I4060" t="n">
        <v>4</v>
      </c>
      <c r="J4060" t="inlineStr">
        <is>
          <t>4¹, 8³, 16²</t>
        </is>
      </c>
      <c r="K4060">
        <f>HYPERLINK("CSG5.html#group30Q5", "30Q⁵"), =HYPERLINK("CSG7.html#group60K7", "60K⁷"), =HYPERLINK("CSG7.html#group60L7", "60L⁷")</f>
        <v/>
      </c>
      <c r="L4060" t="inlineStr"/>
      <c r="M4060">
        <f>HYPERLINK("CSG5.html#group30Q5", "30Q⁵"), =HYPERLINK("CSG1.html#group15D1", "15D¹"), =HYPERLINK("CSG2.html#group30F2", "30F²"), =HYPERLINK("CSG0.html#group6B0", "6B⁰"), =HYPERLINK("CSG3.html#group30H3", "30H³"), =HYPERLINK("CSG0.html#group10D0", "10D⁰"), =HYPERLINK("CSG0.html#group5C0", "5C⁰"), =HYPERLINK("CSG7.html#group60K7", "60K⁷"), =HYPERLINK("CSG2.html#group15D2", "15D²"), =HYPERLINK("CSG0.html#group3A0", "3A⁰"), =HYPERLINK("CSG0.html#group1A0", "1A⁰"), =HYPERLINK("CSG7.html#group60L7", "60L⁷"), =HYPERLINK("CSG1.html#group20F1", "20F¹")</f>
        <v/>
      </c>
      <c r="N4060" t="inlineStr"/>
    </row>
    <row r="4061">
      <c r="A4061" t="inlineStr">
        <is>
          <t>60AA¹⁵</t>
        </is>
      </c>
      <c r="B4061" t="inlineStr"/>
      <c r="C4061" t="inlineStr">
        <is>
          <t>288</t>
        </is>
      </c>
      <c r="D4061" t="inlineStr">
        <is>
          <t>1</t>
        </is>
      </c>
      <c r="E4061" t="inlineStr">
        <is>
          <t>72</t>
        </is>
      </c>
      <c r="F4061" t="inlineStr">
        <is>
          <t>0</t>
        </is>
      </c>
      <c r="G4061" t="inlineStr">
        <is>
          <t>0</t>
        </is>
      </c>
      <c r="H4061" t="inlineStr">
        <is>
          <t>2⁴, 4¹, 6⁴, 10⁴, 12¹, 20¹, 30⁴, 60¹</t>
        </is>
      </c>
      <c r="I4061" t="n">
        <v>20</v>
      </c>
      <c r="J4061" t="inlineStr">
        <is>
          <t>1¹², 2⁶, 4⁶, 8³</t>
        </is>
      </c>
      <c r="K4061">
        <f>HYPERLINK("CSG7.html#group30Q7", "30Q⁷")</f>
        <v/>
      </c>
      <c r="L4061" t="inlineStr"/>
      <c r="M4061">
        <f>HYPERLINK("CSG7.html#group30Q7", "30Q⁷"), =HYPERLINK("CSG0.html#group3B0", "3B⁰"), =HYPERLINK("CSG0.html#group2A0", "2A⁰"), =HYPERLINK("CSG0.html#group6I0", "6I⁰"), =HYPERLINK("CSG0.html#group6C0", "6C⁰"), =HYPERLINK("CSG0.html#group5B0", "5B⁰"), =HYPERLINK("CSG1.html#group10A1", "10A¹"), =HYPERLINK("CSG0.html#group2B0", "2B⁰"), =HYPERLINK("CSG3.html#group30G3", "30G³"), =HYPERLINK("CSG0.html#group1A0", "1A⁰"), =HYPERLINK("CSG1.html#group15C1", "15C¹"), =HYPERLINK("CSG0.html#group10C0", "10C⁰"), =HYPERLINK("CSG3.html#group30K3", "30K³"), =HYPERLINK("CSG0.html#group6F0", "6F⁰"), =HYPERLINK("CSG0.html#group2C0", "2C⁰"), =HYPERLINK("CSG1.html#group10G1", "10G¹")</f>
        <v/>
      </c>
      <c r="N4061" t="inlineStr"/>
    </row>
    <row r="4062">
      <c r="A4062" t="inlineStr">
        <is>
          <t>60AB¹⁵</t>
        </is>
      </c>
      <c r="B4062" t="inlineStr"/>
      <c r="C4062" t="inlineStr">
        <is>
          <t>288</t>
        </is>
      </c>
      <c r="D4062" t="inlineStr">
        <is>
          <t>1</t>
        </is>
      </c>
      <c r="E4062" t="inlineStr">
        <is>
          <t>72</t>
        </is>
      </c>
      <c r="F4062" t="inlineStr">
        <is>
          <t>0</t>
        </is>
      </c>
      <c r="G4062" t="inlineStr">
        <is>
          <t>0</t>
        </is>
      </c>
      <c r="H4062" t="inlineStr">
        <is>
          <t>2⁴, 4¹, 6⁴, 10⁴, 12¹, 20¹, 30⁴, 60¹</t>
        </is>
      </c>
      <c r="I4062" t="n">
        <v>20</v>
      </c>
      <c r="J4062" t="inlineStr">
        <is>
          <t>1¹², 2⁶, 4⁶, 8³</t>
        </is>
      </c>
      <c r="K4062">
        <f>HYPERLINK("CSG0.html#group12I0", "12I⁰"), =HYPERLINK("CSG7.html#group30Q7", "30Q⁷")</f>
        <v/>
      </c>
      <c r="L4062" t="inlineStr"/>
      <c r="M4062">
        <f>HYPERLINK("CSG7.html#group30Q7", "30Q⁷"), =HYPERLINK("CSG0.html#group3B0", "3B⁰"), =HYPERLINK("CSG0.html#group2A0", "2A⁰"), =HYPERLINK("CSG0.html#group6I0", "6I⁰"), =HYPERLINK("CSG0.html#group6C0", "6C⁰"), =HYPERLINK("CSG0.html#group12I0", "12I⁰"), =HYPERLINK("CSG0.html#group5B0", "5B⁰"), =HYPERLINK("CSG1.html#group10A1", "10A¹"), =HYPERLINK("CSG0.html#group2B0", "2B⁰"), =HYPERLINK("CSG3.html#group30G3", "30G³"), =HYPERLINK("CSG0.html#group1A0", "1A⁰"), =HYPERLINK("CSG1.html#group15C1", "15C¹"), =HYPERLINK("CSG0.html#group10C0", "10C⁰"), =HYPERLINK("CSG3.html#group30K3", "30K³"), =HYPERLINK("CSG0.html#group6F0", "6F⁰"), =HYPERLINK("CSG0.html#group2C0", "2C⁰"), =HYPERLINK("CSG1.html#group10G1", "10G¹")</f>
        <v/>
      </c>
      <c r="N4062" t="inlineStr"/>
    </row>
    <row r="4063">
      <c r="A4063" t="inlineStr">
        <is>
          <t>60AC¹⁵</t>
        </is>
      </c>
      <c r="B4063" t="inlineStr"/>
      <c r="C4063" t="inlineStr">
        <is>
          <t>288</t>
        </is>
      </c>
      <c r="D4063" t="inlineStr">
        <is>
          <t>1</t>
        </is>
      </c>
      <c r="E4063" t="inlineStr">
        <is>
          <t>144</t>
        </is>
      </c>
      <c r="F4063" t="inlineStr">
        <is>
          <t>0</t>
        </is>
      </c>
      <c r="G4063" t="inlineStr">
        <is>
          <t>0</t>
        </is>
      </c>
      <c r="H4063" t="inlineStr">
        <is>
          <t>1², 2¹, 3², 4², 5², 6¹, 10¹, 12², 15², 20², 30¹, 60²</t>
        </is>
      </c>
      <c r="I4063" t="n">
        <v>20</v>
      </c>
      <c r="J4063" t="inlineStr">
        <is>
          <t>1¹⁶, 2¹², 4¹⁰, 8⁶, 16¹</t>
        </is>
      </c>
      <c r="K4063">
        <f>HYPERLINK("CSG7.html#group60P7", "60P⁷")</f>
        <v/>
      </c>
      <c r="L4063" t="inlineStr"/>
      <c r="M4063">
        <f>HYPERLINK("CSG1.html#group15C1", "15C¹"), =HYPERLINK("CSG0.html#group3B0", "3B⁰"), =HYPERLINK("CSG0.html#group5B0", "5B⁰"), =HYPERLINK("CSG0.html#group10C0", "10C⁰"), =HYPERLINK("CSG0.html#group6F0", "6F⁰"), =HYPERLINK("CSG1.html#group20D1", "20D¹"), =HYPERLINK("CSG7.html#group60P7", "60P⁷"), =HYPERLINK("CSG3.html#group30K3", "30K³"), =HYPERLINK("CSG0.html#group2B0", "2B⁰"), =HYPERLINK("CSG0.html#group4B0", "4B⁰"), =HYPERLINK("CSG0.html#group1A0", "1A⁰"), =HYPERLINK("CSG0.html#group12E0", "12E⁰")</f>
        <v/>
      </c>
      <c r="N4063" t="inlineStr"/>
    </row>
    <row r="4064">
      <c r="A4064" t="inlineStr">
        <is>
          <t>60AD¹⁵</t>
        </is>
      </c>
      <c r="B4064" t="inlineStr"/>
      <c r="C4064" t="inlineStr">
        <is>
          <t>288</t>
        </is>
      </c>
      <c r="D4064" t="inlineStr">
        <is>
          <t>1</t>
        </is>
      </c>
      <c r="E4064" t="inlineStr">
        <is>
          <t>144</t>
        </is>
      </c>
      <c r="F4064" t="inlineStr">
        <is>
          <t>0</t>
        </is>
      </c>
      <c r="G4064" t="inlineStr">
        <is>
          <t>0</t>
        </is>
      </c>
      <c r="H4064" t="inlineStr">
        <is>
          <t>1², 2¹, 3², 4², 5², 6¹, 10¹, 12², 15², 20², 30¹, 60²</t>
        </is>
      </c>
      <c r="I4064" t="n">
        <v>20</v>
      </c>
      <c r="J4064" t="inlineStr">
        <is>
          <t>1¹⁶, 2¹², 4¹⁰, 8⁶, 16¹</t>
        </is>
      </c>
      <c r="K4064">
        <f>HYPERLINK("CSG0.html#group12J0", "12J⁰"), =HYPERLINK("CSG7.html#group60P7", "60P⁷")</f>
        <v/>
      </c>
      <c r="L4064" t="inlineStr"/>
      <c r="M4064">
        <f>HYPERLINK("CSG0.html#group3B0", "3B⁰"), =HYPERLINK("CSG0.html#group5B0", "5B⁰"), =HYPERLINK("CSG0.html#group12J0", "12J⁰"), =HYPERLINK("CSG0.html#group2B0", "2B⁰"), =HYPERLINK("CSG1.html#group20D1", "20D¹"), =HYPERLINK("CSG0.html#group4B0", "4B⁰"), =HYPERLINK("CSG0.html#group1A0", "1A⁰"), =HYPERLINK("CSG1.html#group15C1", "15C¹"), =HYPERLINK("CSG0.html#group10C0", "10C⁰"), =HYPERLINK("CSG7.html#group60P7", "60P⁷"), =HYPERLINK("CSG3.html#group30K3", "30K³"), =HYPERLINK("CSG0.html#group6F0", "6F⁰"), =HYPERLINK("CSG0.html#group12E0", "12E⁰")</f>
        <v/>
      </c>
      <c r="N4064" t="inlineStr"/>
    </row>
    <row r="4065">
      <c r="A4065" t="inlineStr">
        <is>
          <t>60AE¹⁵</t>
        </is>
      </c>
      <c r="B4065" t="inlineStr"/>
      <c r="C4065" t="inlineStr">
        <is>
          <t>288</t>
        </is>
      </c>
      <c r="D4065" t="inlineStr">
        <is>
          <t>2</t>
        </is>
      </c>
      <c r="E4065" t="inlineStr">
        <is>
          <t>24</t>
        </is>
      </c>
      <c r="F4065" t="inlineStr">
        <is>
          <t>24</t>
        </is>
      </c>
      <c r="G4065" t="inlineStr">
        <is>
          <t>0</t>
        </is>
      </c>
      <c r="H4065" t="inlineStr">
        <is>
          <t>12⁴, 60⁴</t>
        </is>
      </c>
      <c r="I4065" t="n">
        <v>8</v>
      </c>
      <c r="J4065" t="inlineStr">
        <is>
          <t>2⁸, 8⁴</t>
        </is>
      </c>
      <c r="K4065">
        <f>HYPERLINK("CSG3.html#group20Q3", "20Q³"), =HYPERLINK("CSG3.html#group60C3", "60C³"), =HYPERLINK("CSG5.html#group60C5", "60C⁵")</f>
        <v/>
      </c>
      <c r="L4065" t="inlineStr"/>
      <c r="M4065">
        <f>HYPERLINK("CSG0.html#group30A0", "30A⁰"), =HYPERLINK("CSG1.html#group20C1", "20C¹"), =HYPERLINK("CSG0.html#group15B0", "15B⁰"), =HYPERLINK("CSG3.html#group60C3", "60C³"), =HYPERLINK("CSG0.html#group12A0", "12A⁰"), =HYPERLINK("CSG5.html#group60C5", "60C⁵"), =HYPERLINK("CSG0.html#group4A0", "4A⁰"), =HYPERLINK("CSG1.html#group20G1", "20G¹"), =HYPERLINK("CSG0.html#group5B0", "5B⁰"), =HYPERLINK("CSG3.html#group60B3", "60B³"), =HYPERLINK("CSG0.html#group3A0", "3A⁰"), =HYPERLINK("CSG0.html#group1A0", "1A⁰"), =HYPERLINK("CSG3.html#group20Q3", "20Q³"), =HYPERLINK("CSG1.html#group20B1", "20B¹"), =HYPERLINK("CSG0.html#group10B0", "10B⁰")</f>
        <v/>
      </c>
      <c r="N4065" t="inlineStr"/>
    </row>
    <row r="4066">
      <c r="A4066" t="inlineStr">
        <is>
          <t>60AF¹⁵</t>
        </is>
      </c>
      <c r="B4066" t="inlineStr"/>
      <c r="C4066" t="inlineStr">
        <is>
          <t>288</t>
        </is>
      </c>
      <c r="D4066" t="inlineStr">
        <is>
          <t>2</t>
        </is>
      </c>
      <c r="E4066" t="inlineStr">
        <is>
          <t>72</t>
        </is>
      </c>
      <c r="F4066" t="inlineStr">
        <is>
          <t>0</t>
        </is>
      </c>
      <c r="G4066" t="inlineStr">
        <is>
          <t>0</t>
        </is>
      </c>
      <c r="H4066" t="inlineStr">
        <is>
          <t>2⁴, 4¹, 6⁴, 10⁴, 12¹, 20¹, 30⁴, 60¹</t>
        </is>
      </c>
      <c r="I4066" t="n">
        <v>20</v>
      </c>
      <c r="J4066" t="inlineStr">
        <is>
          <t>2¹², 4⁶, 8⁶, 16³</t>
        </is>
      </c>
      <c r="K4066">
        <f>HYPERLINK("CSG1.html#group20J1", "20J¹"), =HYPERLINK("CSG7.html#group30S7", "30S⁷")</f>
        <v/>
      </c>
      <c r="L4066" t="inlineStr"/>
      <c r="M4066">
        <f>HYPERLINK("CSG0.html#group3B0", "3B⁰"), =HYPERLINK("CSG0.html#group10G0", "10G⁰"), =HYPERLINK("CSG0.html#group5B0", "5B⁰"), =HYPERLINK("CSG0.html#group2B0", "2B⁰"), =HYPERLINK("CSG7.html#group30S7", "30S⁷"), =HYPERLINK("CSG0.html#group1A0", "1A⁰"), =HYPERLINK("CSG1.html#group20J1", "20J¹"), =HYPERLINK("CSG0.html#group10B0", "10B⁰"), =HYPERLINK("CSG1.html#group15C1", "15C¹"), =HYPERLINK("CSG3.html#group30F3", "30F³"), =HYPERLINK("CSG0.html#group10C0", "10C⁰"), =HYPERLINK("CSG3.html#group30K3", "30K³"), =HYPERLINK("CSG0.html#group6F0", "6F⁰")</f>
        <v/>
      </c>
      <c r="N4066" t="inlineStr"/>
    </row>
    <row r="4067">
      <c r="A4067" t="inlineStr">
        <is>
          <t>60AG¹⁵</t>
        </is>
      </c>
      <c r="B4067" t="inlineStr"/>
      <c r="C4067" t="inlineStr">
        <is>
          <t>288</t>
        </is>
      </c>
      <c r="D4067" t="inlineStr">
        <is>
          <t>2</t>
        </is>
      </c>
      <c r="E4067" t="inlineStr">
        <is>
          <t>72</t>
        </is>
      </c>
      <c r="F4067" t="inlineStr">
        <is>
          <t>24</t>
        </is>
      </c>
      <c r="G4067" t="inlineStr">
        <is>
          <t>0</t>
        </is>
      </c>
      <c r="H4067" t="inlineStr">
        <is>
          <t>12⁴, 60⁴</t>
        </is>
      </c>
      <c r="I4067" t="n">
        <v>8</v>
      </c>
      <c r="J4067" t="inlineStr">
        <is>
          <t>2⁸, 4⁸, 8⁴, 16⁴</t>
        </is>
      </c>
      <c r="K4067">
        <f>HYPERLINK("CSG3.html#group60D3", "60D³"), =HYPERLINK("CSG5.html#group60C5", "60C⁵")</f>
        <v/>
      </c>
      <c r="L4067" t="inlineStr"/>
      <c r="M4067">
        <f>HYPERLINK("CSG0.html#group30A0", "30A⁰"), =HYPERLINK("CSG0.html#group15B0", "15B⁰"), =HYPERLINK("CSG0.html#group12A0", "12A⁰"), =HYPERLINK("CSG5.html#group60C5", "60C⁵"), =HYPERLINK("CSG0.html#group4A0", "4A⁰"), =HYPERLINK("CSG1.html#group20G1", "20G¹"), =HYPERLINK("CSG0.html#group5B0", "5B⁰"), =HYPERLINK("CSG3.html#group60B3", "60B³"), =HYPERLINK("CSG3.html#group60D3", "60D³"), =HYPERLINK("CSG0.html#group3A0", "3A⁰"), =HYPERLINK("CSG0.html#group1A0", "1A⁰"), =HYPERLINK("CSG1.html#group20B1", "20B¹"), =HYPERLINK("CSG0.html#group10B0", "10B⁰")</f>
        <v/>
      </c>
      <c r="N4067" t="inlineStr"/>
    </row>
    <row r="4068">
      <c r="A4068" t="inlineStr">
        <is>
          <t>63A¹⁵</t>
        </is>
      </c>
      <c r="B4068" t="inlineStr"/>
      <c r="C4068" t="inlineStr">
        <is>
          <t>252</t>
        </is>
      </c>
      <c r="D4068" t="inlineStr">
        <is>
          <t>1</t>
        </is>
      </c>
      <c r="E4068" t="inlineStr">
        <is>
          <t>252</t>
        </is>
      </c>
      <c r="F4068" t="inlineStr">
        <is>
          <t>20</t>
        </is>
      </c>
      <c r="G4068" t="inlineStr">
        <is>
          <t>0</t>
        </is>
      </c>
      <c r="H4068" t="inlineStr">
        <is>
          <t>63⁴</t>
        </is>
      </c>
      <c r="I4068" t="n">
        <v>4</v>
      </c>
      <c r="J4068" t="inlineStr">
        <is>
          <t>1¹, 2¹, 3¹, 6⁶, 12⁴, 18¹, 36⁴</t>
        </is>
      </c>
      <c r="K4068">
        <f>HYPERLINK("CSG2.html#group63A2", "63A²"), =HYPERLINK("CSG3.html#group21C3", "21C³")</f>
        <v/>
      </c>
      <c r="L4068" t="inlineStr"/>
      <c r="M4068">
        <f>HYPERLINK("CSG0.html#group9A0", "9A⁰"), =HYPERLINK("CSG2.html#group63A2", "63A²"), =HYPERLINK("CSG0.html#group7F0", "7F⁰"), =HYPERLINK("CSG0.html#group21A0", "21A⁰"), =HYPERLINK("CSG0.html#group3A0", "3A⁰"), =HYPERLINK("CSG0.html#group1A0", "1A⁰"), =HYPERLINK("CSG3.html#group21C3", "21C³"), =HYPERLINK("CSG0.html#group7A0", "7A⁰")</f>
        <v/>
      </c>
      <c r="N4068" t="inlineStr"/>
    </row>
    <row r="4069">
      <c r="A4069" t="inlineStr">
        <is>
          <t>64A¹⁵</t>
        </is>
      </c>
      <c r="B4069" t="inlineStr"/>
      <c r="C4069" t="inlineStr">
        <is>
          <t>192</t>
        </is>
      </c>
      <c r="D4069" t="inlineStr">
        <is>
          <t>1</t>
        </is>
      </c>
      <c r="E4069" t="inlineStr">
        <is>
          <t>12</t>
        </is>
      </c>
      <c r="F4069" t="inlineStr">
        <is>
          <t>0</t>
        </is>
      </c>
      <c r="G4069" t="inlineStr">
        <is>
          <t>0</t>
        </is>
      </c>
      <c r="H4069" t="inlineStr">
        <is>
          <t>32², 64²</t>
        </is>
      </c>
      <c r="I4069" t="n">
        <v>4</v>
      </c>
      <c r="J4069" t="inlineStr">
        <is>
          <t>2⁴, 4⁴</t>
        </is>
      </c>
      <c r="K4069">
        <f>HYPERLINK("CSG7.html#group32B7", "32B⁷"), =HYPERLINK("CSG7.html#group64G7", "64G⁷")</f>
        <v/>
      </c>
      <c r="L4069" t="inlineStr"/>
      <c r="M4069">
        <f>HYPERLINK("CSG0.html#group2A0", "2A⁰"), =HYPERLINK("CSG3.html#group16D3", "16D³"), =HYPERLINK("CSG1.html#group8A1", "8A¹"), =HYPERLINK("CSG0.html#group4C0", "4C⁰"), =HYPERLINK("CSG0.html#group8B0", "8B⁰"), =HYPERLINK("CSG0.html#group2B0", "2B⁰"), =HYPERLINK("CSG1.html#group8B1", "8B¹"), =HYPERLINK("CSG0.html#group4E0", "4E⁰"), =HYPERLINK("CSG0.html#group4B0", "4B⁰"), =HYPERLINK("CSG0.html#group1A0", "1A⁰"), =HYPERLINK("CSG7.html#group64G7", "64G⁷"), =HYPERLINK("CSG1.html#group16D1", "16D¹"), =HYPERLINK("CSG2.html#group16B2", "16B²"), =HYPERLINK("CSG3.html#group32E3", "32E³"), =HYPERLINK("CSG7.html#group32B7", "32B⁷"), =HYPERLINK("CSG0.html#group2C0", "2C⁰")</f>
        <v/>
      </c>
      <c r="N4069" t="inlineStr"/>
    </row>
    <row r="4070">
      <c r="A4070" t="inlineStr">
        <is>
          <t>64B¹⁵</t>
        </is>
      </c>
      <c r="B4070" t="inlineStr"/>
      <c r="C4070" t="inlineStr">
        <is>
          <t>192</t>
        </is>
      </c>
      <c r="D4070" t="inlineStr">
        <is>
          <t>1</t>
        </is>
      </c>
      <c r="E4070" t="inlineStr">
        <is>
          <t>12</t>
        </is>
      </c>
      <c r="F4070" t="inlineStr">
        <is>
          <t>0</t>
        </is>
      </c>
      <c r="G4070" t="inlineStr">
        <is>
          <t>0</t>
        </is>
      </c>
      <c r="H4070" t="inlineStr">
        <is>
          <t>32², 64²</t>
        </is>
      </c>
      <c r="I4070" t="n">
        <v>4</v>
      </c>
      <c r="J4070" t="inlineStr">
        <is>
          <t>2⁴, 4⁴</t>
        </is>
      </c>
      <c r="K4070">
        <f>HYPERLINK("CSG7.html#group32B7", "32B⁷"), =HYPERLINK("CSG7.html#group64H7", "64H⁷")</f>
        <v/>
      </c>
      <c r="L4070" t="inlineStr"/>
      <c r="M4070">
        <f>HYPERLINK("CSG0.html#group2A0", "2A⁰"), =HYPERLINK("CSG3.html#group16D3", "16D³"), =HYPERLINK("CSG1.html#group8A1", "8A¹"), =HYPERLINK("CSG0.html#group4C0", "4C⁰"), =HYPERLINK("CSG0.html#group8B0", "8B⁰"), =HYPERLINK("CSG0.html#group2B0", "2B⁰"), =HYPERLINK("CSG1.html#group8B1", "8B¹"), =HYPERLINK("CSG0.html#group4E0", "4E⁰"), =HYPERLINK("CSG0.html#group4B0", "4B⁰"), =HYPERLINK("CSG7.html#group64H7", "64H⁷"), =HYPERLINK("CSG0.html#group1A0", "1A⁰"), =HYPERLINK("CSG1.html#group16D1", "16D¹"), =HYPERLINK("CSG2.html#group16B2", "16B²"), =HYPERLINK("CSG3.html#group32E3", "32E³"), =HYPERLINK("CSG7.html#group32B7", "32B⁷"), =HYPERLINK("CSG0.html#group2C0", "2C⁰")</f>
        <v/>
      </c>
      <c r="N4070" t="inlineStr"/>
    </row>
    <row r="4071">
      <c r="A4071" t="inlineStr">
        <is>
          <t>64C¹⁵</t>
        </is>
      </c>
      <c r="B4071" t="inlineStr"/>
      <c r="C4071" t="inlineStr">
        <is>
          <t>192</t>
        </is>
      </c>
      <c r="D4071" t="inlineStr">
        <is>
          <t>1</t>
        </is>
      </c>
      <c r="E4071" t="inlineStr">
        <is>
          <t>12</t>
        </is>
      </c>
      <c r="F4071" t="inlineStr">
        <is>
          <t>0</t>
        </is>
      </c>
      <c r="G4071" t="inlineStr">
        <is>
          <t>0</t>
        </is>
      </c>
      <c r="H4071" t="inlineStr">
        <is>
          <t>32², 64²</t>
        </is>
      </c>
      <c r="I4071" t="n">
        <v>4</v>
      </c>
      <c r="J4071" t="inlineStr">
        <is>
          <t>2⁴, 4⁴</t>
        </is>
      </c>
      <c r="K4071">
        <f>HYPERLINK("CSG7.html#group32C7", "32C⁷"), =HYPERLINK("CSG7.html#group64I7", "64I⁷")</f>
        <v/>
      </c>
      <c r="L4071" t="inlineStr"/>
      <c r="M4071">
        <f>HYPERLINK("CSG0.html#group2A0", "2A⁰"), =HYPERLINK("CSG3.html#group16D3", "16D³"), =HYPERLINK("CSG1.html#group8A1", "8A¹"), =HYPERLINK("CSG0.html#group2C0", "2C⁰"), =HYPERLINK("CSG0.html#group4C0", "4C⁰"), =HYPERLINK("CSG0.html#group8B0", "8B⁰"), =HYPERLINK("CSG7.html#group32C7", "32C⁷"), =HYPERLINK("CSG0.html#group2B0", "2B⁰"), =HYPERLINK("CSG3.html#group32G3", "32G³"), =HYPERLINK("CSG1.html#group8B1", "8B¹"), =HYPERLINK("CSG0.html#group4E0", "4E⁰"), =HYPERLINK("CSG0.html#group4B0", "4B⁰"), =HYPERLINK("CSG0.html#group1A0", "1A⁰"), =HYPERLINK("CSG1.html#group16D1", "16D¹"), =HYPERLINK("CSG2.html#group16B2", "16B²"), =HYPERLINK("CSG7.html#group64I7", "64I⁷")</f>
        <v/>
      </c>
      <c r="N4071" t="inlineStr"/>
    </row>
    <row r="4072">
      <c r="A4072" t="inlineStr">
        <is>
          <t>64D¹⁵</t>
        </is>
      </c>
      <c r="B4072" t="inlineStr"/>
      <c r="C4072" t="inlineStr">
        <is>
          <t>192</t>
        </is>
      </c>
      <c r="D4072" t="inlineStr">
        <is>
          <t>1</t>
        </is>
      </c>
      <c r="E4072" t="inlineStr">
        <is>
          <t>12</t>
        </is>
      </c>
      <c r="F4072" t="inlineStr">
        <is>
          <t>0</t>
        </is>
      </c>
      <c r="G4072" t="inlineStr">
        <is>
          <t>0</t>
        </is>
      </c>
      <c r="H4072" t="inlineStr">
        <is>
          <t>32², 64²</t>
        </is>
      </c>
      <c r="I4072" t="n">
        <v>4</v>
      </c>
      <c r="J4072" t="inlineStr">
        <is>
          <t>2⁴, 4⁴</t>
        </is>
      </c>
      <c r="K4072">
        <f>HYPERLINK("CSG7.html#group32C7", "32C⁷"), =HYPERLINK("CSG7.html#group64J7", "64J⁷")</f>
        <v/>
      </c>
      <c r="L4072" t="inlineStr"/>
      <c r="M4072">
        <f>HYPERLINK("CSG0.html#group2A0", "2A⁰"), =HYPERLINK("CSG3.html#group16D3", "16D³"), =HYPERLINK("CSG1.html#group8A1", "8A¹"), =HYPERLINK("CSG0.html#group4C0", "4C⁰"), =HYPERLINK("CSG0.html#group8B0", "8B⁰"), =HYPERLINK("CSG7.html#group32C7", "32C⁷"), =HYPERLINK("CSG0.html#group2B0", "2B⁰"), =HYPERLINK("CSG1.html#group8B1", "8B¹"), =HYPERLINK("CSG3.html#group32G3", "32G³"), =HYPERLINK("CSG0.html#group4E0", "4E⁰"), =HYPERLINK("CSG0.html#group4B0", "4B⁰"), =HYPERLINK("CSG0.html#group1A0", "1A⁰"), =HYPERLINK("CSG1.html#group16D1", "16D¹"), =HYPERLINK("CSG2.html#group16B2", "16B²"), =HYPERLINK("CSG7.html#group64J7", "64J⁷"), =HYPERLINK("CSG0.html#group2C0", "2C⁰")</f>
        <v/>
      </c>
      <c r="N4072" t="inlineStr"/>
    </row>
    <row r="4073">
      <c r="A4073" t="inlineStr">
        <is>
          <t>64E¹⁵</t>
        </is>
      </c>
      <c r="B4073" t="inlineStr"/>
      <c r="C4073" t="inlineStr">
        <is>
          <t>192</t>
        </is>
      </c>
      <c r="D4073" t="inlineStr">
        <is>
          <t>1</t>
        </is>
      </c>
      <c r="E4073" t="inlineStr">
        <is>
          <t>24</t>
        </is>
      </c>
      <c r="F4073" t="inlineStr">
        <is>
          <t>0</t>
        </is>
      </c>
      <c r="G4073" t="inlineStr">
        <is>
          <t>0</t>
        </is>
      </c>
      <c r="H4073" t="inlineStr">
        <is>
          <t>32², 64²</t>
        </is>
      </c>
      <c r="I4073" t="n">
        <v>4</v>
      </c>
      <c r="J4073" t="inlineStr">
        <is>
          <t>2⁴, 4⁴</t>
        </is>
      </c>
      <c r="K4073">
        <f>HYPERLINK("CSG7.html#group32D7", "32D⁷")</f>
        <v/>
      </c>
      <c r="L4073" t="inlineStr"/>
      <c r="M4073">
        <f>HYPERLINK("CSG0.html#group2A0", "2A⁰"), =HYPERLINK("CSG3.html#group16D3", "16D³"), =HYPERLINK("CSG1.html#group8A1", "8A¹"), =HYPERLINK("CSG0.html#group4C0", "4C⁰"), =HYPERLINK("CSG0.html#group8B0", "8B⁰"), =HYPERLINK("CSG0.html#group2B0", "2B⁰"), =HYPERLINK("CSG1.html#group8B1", "8B¹"), =HYPERLINK("CSG0.html#group4E0", "4E⁰"), =HYPERLINK("CSG3.html#group32F3", "32F³"), =HYPERLINK("CSG4.html#group32A4", "32A⁴"), =HYPERLINK("CSG0.html#group4B0", "4B⁰"), =HYPERLINK("CSG0.html#group1A0", "1A⁰"), =HYPERLINK("CSG1.html#group16D1", "16D¹"), =HYPERLINK("CSG2.html#group16B2", "16B²"), =HYPERLINK("CSG7.html#group32D7", "32D⁷"), =HYPERLINK("CSG0.html#group2C0", "2C⁰")</f>
        <v/>
      </c>
      <c r="N4073" t="inlineStr"/>
    </row>
    <row r="4074">
      <c r="A4074" t="inlineStr">
        <is>
          <t>64F¹⁵</t>
        </is>
      </c>
      <c r="B4074" t="inlineStr"/>
      <c r="C4074" t="inlineStr">
        <is>
          <t>192</t>
        </is>
      </c>
      <c r="D4074" t="inlineStr">
        <is>
          <t>1</t>
        </is>
      </c>
      <c r="E4074" t="inlineStr">
        <is>
          <t>24</t>
        </is>
      </c>
      <c r="F4074" t="inlineStr">
        <is>
          <t>0</t>
        </is>
      </c>
      <c r="G4074" t="inlineStr">
        <is>
          <t>0</t>
        </is>
      </c>
      <c r="H4074" t="inlineStr">
        <is>
          <t>32², 64²</t>
        </is>
      </c>
      <c r="I4074" t="n">
        <v>4</v>
      </c>
      <c r="J4074" t="inlineStr">
        <is>
          <t>2⁴, 4⁴</t>
        </is>
      </c>
      <c r="K4074">
        <f>HYPERLINK("CSG7.html#group32E7", "32E⁷")</f>
        <v/>
      </c>
      <c r="L4074" t="inlineStr"/>
      <c r="M4074">
        <f>HYPERLINK("CSG0.html#group2A0", "2A⁰"), =HYPERLINK("CSG3.html#group16D3", "16D³"), =HYPERLINK("CSG1.html#group8A1", "8A¹"), =HYPERLINK("CSG7.html#group32E7", "32E⁷"), =HYPERLINK("CSG0.html#group4C0", "4C⁰"), =HYPERLINK("CSG0.html#group8B0", "8B⁰"), =HYPERLINK("CSG0.html#group2B0", "2B⁰"), =HYPERLINK("CSG1.html#group8B1", "8B¹"), =HYPERLINK("CSG0.html#group4E0", "4E⁰"), =HYPERLINK("CSG0.html#group4B0", "4B⁰"), =HYPERLINK("CSG0.html#group1A0", "1A⁰"), =HYPERLINK("CSG4.html#group32B4", "32B⁴"), =HYPERLINK("CSG1.html#group16D1", "16D¹"), =HYPERLINK("CSG2.html#group16B2", "16B²"), =HYPERLINK("CSG0.html#group2C0", "2C⁰"), =HYPERLINK("CSG3.html#group32H3", "32H³")</f>
        <v/>
      </c>
      <c r="N4074" t="inlineStr"/>
    </row>
    <row r="4075">
      <c r="A4075" t="inlineStr">
        <is>
          <t>64G¹⁵</t>
        </is>
      </c>
      <c r="B4075" t="inlineStr"/>
      <c r="C4075" t="inlineStr">
        <is>
          <t>192</t>
        </is>
      </c>
      <c r="D4075" t="inlineStr">
        <is>
          <t>1</t>
        </is>
      </c>
      <c r="E4075" t="inlineStr">
        <is>
          <t>48</t>
        </is>
      </c>
      <c r="F4075" t="inlineStr">
        <is>
          <t>0</t>
        </is>
      </c>
      <c r="G4075" t="inlineStr">
        <is>
          <t>0</t>
        </is>
      </c>
      <c r="H4075" t="inlineStr">
        <is>
          <t>32², 64²</t>
        </is>
      </c>
      <c r="I4075" t="n">
        <v>4</v>
      </c>
      <c r="J4075" t="inlineStr">
        <is>
          <t>4¹², 8², 16²</t>
        </is>
      </c>
      <c r="K4075">
        <f>HYPERLINK("CSG7.html#group32I7", "32I⁷"), =HYPERLINK("CSG7.html#group64G7", "64G⁷")</f>
        <v/>
      </c>
      <c r="L4075" t="inlineStr"/>
      <c r="M4075">
        <f>HYPERLINK("CSG1.html#group16D1", "16D¹"), =HYPERLINK("CSG7.html#group32I7", "32I⁷"), =HYPERLINK("CSG3.html#group16F3", "16F³"), =HYPERLINK("CSG0.html#group4C0", "4C⁰"), =HYPERLINK("CSG0.html#group8B0", "8B⁰"), =HYPERLINK("CSG3.html#group32E3", "32E³"), =HYPERLINK("CSG0.html#group2B0", "2B⁰"), =HYPERLINK("CSG0.html#group8L0", "8L⁰"), =HYPERLINK("CSG3.html#group32F3", "32F³"), =HYPERLINK("CSG0.html#group1A0", "1A⁰"), =HYPERLINK("CSG7.html#group64G7", "64G⁷"), =HYPERLINK("CSG2.html#group16A2", "16A²")</f>
        <v/>
      </c>
      <c r="N4075" t="inlineStr"/>
    </row>
    <row r="4076">
      <c r="A4076" t="inlineStr">
        <is>
          <t>64H¹⁵</t>
        </is>
      </c>
      <c r="B4076" t="inlineStr"/>
      <c r="C4076" t="inlineStr">
        <is>
          <t>192</t>
        </is>
      </c>
      <c r="D4076" t="inlineStr">
        <is>
          <t>1</t>
        </is>
      </c>
      <c r="E4076" t="inlineStr">
        <is>
          <t>48</t>
        </is>
      </c>
      <c r="F4076" t="inlineStr">
        <is>
          <t>0</t>
        </is>
      </c>
      <c r="G4076" t="inlineStr">
        <is>
          <t>0</t>
        </is>
      </c>
      <c r="H4076" t="inlineStr">
        <is>
          <t>32², 64²</t>
        </is>
      </c>
      <c r="I4076" t="n">
        <v>4</v>
      </c>
      <c r="J4076" t="inlineStr">
        <is>
          <t>4¹², 8², 16²</t>
        </is>
      </c>
      <c r="K4076">
        <f>HYPERLINK("CSG7.html#group32I7", "32I⁷"), =HYPERLINK("CSG7.html#group64H7", "64H⁷")</f>
        <v/>
      </c>
      <c r="L4076" t="inlineStr"/>
      <c r="M4076">
        <f>HYPERLINK("CSG1.html#group16D1", "16D¹"), =HYPERLINK("CSG7.html#group32I7", "32I⁷"), =HYPERLINK("CSG3.html#group16F3", "16F³"), =HYPERLINK("CSG0.html#group4C0", "4C⁰"), =HYPERLINK("CSG0.html#group8B0", "8B⁰"), =HYPERLINK("CSG3.html#group32E3", "32E³"), =HYPERLINK("CSG0.html#group2B0", "2B⁰"), =HYPERLINK("CSG0.html#group8L0", "8L⁰"), =HYPERLINK("CSG3.html#group32F3", "32F³"), =HYPERLINK("CSG7.html#group64H7", "64H⁷"), =HYPERLINK("CSG0.html#group1A0", "1A⁰"), =HYPERLINK("CSG2.html#group16A2", "16A²")</f>
        <v/>
      </c>
      <c r="N4076" t="inlineStr"/>
    </row>
    <row r="4077">
      <c r="A4077" t="inlineStr">
        <is>
          <t>64I¹⁵</t>
        </is>
      </c>
      <c r="B4077" t="inlineStr"/>
      <c r="C4077" t="inlineStr">
        <is>
          <t>192</t>
        </is>
      </c>
      <c r="D4077" t="inlineStr">
        <is>
          <t>1</t>
        </is>
      </c>
      <c r="E4077" t="inlineStr">
        <is>
          <t>48</t>
        </is>
      </c>
      <c r="F4077" t="inlineStr">
        <is>
          <t>0</t>
        </is>
      </c>
      <c r="G4077" t="inlineStr">
        <is>
          <t>0</t>
        </is>
      </c>
      <c r="H4077" t="inlineStr">
        <is>
          <t>32², 64²</t>
        </is>
      </c>
      <c r="I4077" t="n">
        <v>4</v>
      </c>
      <c r="J4077" t="inlineStr">
        <is>
          <t>4¹², 8², 16²</t>
        </is>
      </c>
      <c r="K4077">
        <f>HYPERLINK("CSG7.html#group32J7", "32J⁷"), =HYPERLINK("CSG7.html#group64I7", "64I⁷")</f>
        <v/>
      </c>
      <c r="L4077" t="inlineStr"/>
      <c r="M4077">
        <f>HYPERLINK("CSG1.html#group16D1", "16D¹"), =HYPERLINK("CSG3.html#group16F3", "16F³"), =HYPERLINK("CSG0.html#group4C0", "4C⁰"), =HYPERLINK("CSG0.html#group8B0", "8B⁰"), =HYPERLINK("CSG7.html#group32J7", "32J⁷"), =HYPERLINK("CSG0.html#group8L0", "8L⁰"), =HYPERLINK("CSG0.html#group2B0", "2B⁰"), =HYPERLINK("CSG3.html#group32G3", "32G³"), =HYPERLINK("CSG0.html#group1A0", "1A⁰"), =HYPERLINK("CSG7.html#group64I7", "64I⁷"), =HYPERLINK("CSG3.html#group32H3", "32H³"), =HYPERLINK("CSG2.html#group16A2", "16A²")</f>
        <v/>
      </c>
      <c r="N4077" t="inlineStr"/>
    </row>
    <row r="4078">
      <c r="A4078" t="inlineStr">
        <is>
          <t>64J¹⁵</t>
        </is>
      </c>
      <c r="B4078" t="inlineStr"/>
      <c r="C4078" t="inlineStr">
        <is>
          <t>192</t>
        </is>
      </c>
      <c r="D4078" t="inlineStr">
        <is>
          <t>1</t>
        </is>
      </c>
      <c r="E4078" t="inlineStr">
        <is>
          <t>48</t>
        </is>
      </c>
      <c r="F4078" t="inlineStr">
        <is>
          <t>0</t>
        </is>
      </c>
      <c r="G4078" t="inlineStr">
        <is>
          <t>0</t>
        </is>
      </c>
      <c r="H4078" t="inlineStr">
        <is>
          <t>32², 64²</t>
        </is>
      </c>
      <c r="I4078" t="n">
        <v>4</v>
      </c>
      <c r="J4078" t="inlineStr">
        <is>
          <t>4¹², 8², 16²</t>
        </is>
      </c>
      <c r="K4078">
        <f>HYPERLINK("CSG7.html#group32J7", "32J⁷"), =HYPERLINK("CSG7.html#group64J7", "64J⁷")</f>
        <v/>
      </c>
      <c r="L4078" t="inlineStr"/>
      <c r="M4078">
        <f>HYPERLINK("CSG1.html#group16D1", "16D¹"), =HYPERLINK("CSG7.html#group64J7", "64J⁷"), =HYPERLINK("CSG3.html#group16F3", "16F³"), =HYPERLINK("CSG0.html#group4C0", "4C⁰"), =HYPERLINK("CSG0.html#group8B0", "8B⁰"), =HYPERLINK("CSG7.html#group32J7", "32J⁷"), =HYPERLINK("CSG0.html#group8L0", "8L⁰"), =HYPERLINK("CSG0.html#group2B0", "2B⁰"), =HYPERLINK("CSG3.html#group32G3", "32G³"), =HYPERLINK("CSG0.html#group1A0", "1A⁰"), =HYPERLINK("CSG3.html#group32H3", "32H³"), =HYPERLINK("CSG2.html#group16A2", "16A²")</f>
        <v/>
      </c>
      <c r="N4078" t="inlineStr"/>
    </row>
    <row r="4079">
      <c r="A4079" t="inlineStr">
        <is>
          <t>64K¹⁵</t>
        </is>
      </c>
      <c r="B4079" t="inlineStr"/>
      <c r="C4079" t="inlineStr">
        <is>
          <t>192</t>
        </is>
      </c>
      <c r="D4079" t="inlineStr">
        <is>
          <t>2</t>
        </is>
      </c>
      <c r="E4079" t="inlineStr">
        <is>
          <t>48</t>
        </is>
      </c>
      <c r="F4079" t="inlineStr">
        <is>
          <t>0</t>
        </is>
      </c>
      <c r="G4079" t="inlineStr">
        <is>
          <t>0</t>
        </is>
      </c>
      <c r="H4079" t="inlineStr">
        <is>
          <t>32², 64²</t>
        </is>
      </c>
      <c r="I4079" t="n">
        <v>4</v>
      </c>
      <c r="J4079" t="inlineStr">
        <is>
          <t>2⁸, 4⁴, 8⁴, 16²</t>
        </is>
      </c>
      <c r="K4079">
        <f>HYPERLINK("CSG7.html#group32K7", "32K⁷")</f>
        <v/>
      </c>
      <c r="L4079" t="inlineStr"/>
      <c r="M4079">
        <f>HYPERLINK("CSG2.html#group16B2", "16B²"), =HYPERLINK("CSG1.html#group8A1", "8A¹"), =HYPERLINK("CSG1.html#group8C1", "8C¹"), =HYPERLINK("CSG0.html#group8D0", "8D⁰"), =HYPERLINK("CSG0.html#group4A0", "4A⁰"), =HYPERLINK("CSG7.html#group32K7", "32K⁷"), =HYPERLINK("CSG0.html#group4C0", "4C⁰"), =HYPERLINK("CSG0.html#group2B0", "2B⁰"), =HYPERLINK("CSG0.html#group4F0", "4F⁰"), =HYPERLINK("CSG4.html#group32A4", "32A⁴"), =HYPERLINK("CSG0.html#group1A0", "1A⁰"), =HYPERLINK("CSG4.html#group32B4", "32B⁴"), =HYPERLINK("CSG3.html#group16E3", "16E³")</f>
        <v/>
      </c>
      <c r="N4079" t="inlineStr"/>
    </row>
    <row r="4080">
      <c r="A4080" t="inlineStr">
        <is>
          <t>64L¹⁵</t>
        </is>
      </c>
      <c r="B4080" t="inlineStr"/>
      <c r="C4080" t="inlineStr">
        <is>
          <t>192</t>
        </is>
      </c>
      <c r="D4080" t="inlineStr">
        <is>
          <t>2</t>
        </is>
      </c>
      <c r="E4080" t="inlineStr">
        <is>
          <t>48</t>
        </is>
      </c>
      <c r="F4080" t="inlineStr">
        <is>
          <t>0</t>
        </is>
      </c>
      <c r="G4080" t="inlineStr">
        <is>
          <t>0</t>
        </is>
      </c>
      <c r="H4080" t="inlineStr">
        <is>
          <t>32², 64²</t>
        </is>
      </c>
      <c r="I4080" t="n">
        <v>4</v>
      </c>
      <c r="J4080" t="inlineStr">
        <is>
          <t>2⁸, 4⁴, 8⁴, 16²</t>
        </is>
      </c>
      <c r="K4080">
        <f>HYPERLINK("CSG7.html#group32K7", "32K⁷")</f>
        <v/>
      </c>
      <c r="L4080" t="inlineStr"/>
      <c r="M4080">
        <f>HYPERLINK("CSG2.html#group16B2", "16B²"), =HYPERLINK("CSG1.html#group8A1", "8A¹"), =HYPERLINK("CSG1.html#group8C1", "8C¹"), =HYPERLINK("CSG0.html#group8D0", "8D⁰"), =HYPERLINK("CSG0.html#group4A0", "4A⁰"), =HYPERLINK("CSG7.html#group32K7", "32K⁷"), =HYPERLINK("CSG0.html#group4C0", "4C⁰"), =HYPERLINK("CSG0.html#group2B0", "2B⁰"), =HYPERLINK("CSG0.html#group4F0", "4F⁰"), =HYPERLINK("CSG4.html#group32A4", "32A⁴"), =HYPERLINK("CSG0.html#group1A0", "1A⁰"), =HYPERLINK("CSG4.html#group32B4", "32B⁴"), =HYPERLINK("CSG3.html#group16E3", "16E³")</f>
        <v/>
      </c>
      <c r="N4080" t="inlineStr"/>
    </row>
    <row r="4081">
      <c r="A4081" t="inlineStr">
        <is>
          <t>66A¹⁵</t>
        </is>
      </c>
      <c r="B4081" t="inlineStr"/>
      <c r="C4081" t="inlineStr">
        <is>
          <t>216</t>
        </is>
      </c>
      <c r="D4081" t="inlineStr">
        <is>
          <t>1</t>
        </is>
      </c>
      <c r="E4081" t="inlineStr">
        <is>
          <t>108</t>
        </is>
      </c>
      <c r="F4081" t="inlineStr">
        <is>
          <t>0</t>
        </is>
      </c>
      <c r="G4081" t="inlineStr">
        <is>
          <t>0</t>
        </is>
      </c>
      <c r="H4081" t="inlineStr">
        <is>
          <t>3², 6², 33², 66²</t>
        </is>
      </c>
      <c r="I4081" t="n">
        <v>8</v>
      </c>
      <c r="J4081" t="inlineStr">
        <is>
          <t>1⁶, 2⁶, 10³, 20³</t>
        </is>
      </c>
      <c r="K4081">
        <f>HYPERLINK("CSG0.html#group6G0", "6G⁰"), =HYPERLINK("CSG5.html#group33A5", "33A⁵"), =HYPERLINK("CSG8.html#group66A8", "66A⁸")</f>
        <v/>
      </c>
      <c r="L4081" t="inlineStr"/>
      <c r="M4081">
        <f>HYPERLINK("CSG8.html#group66A8", "66A⁸"), =HYPERLINK("CSG1.html#group11A1", "11A¹"), =HYPERLINK("CSG3.html#group33A3", "33A³"), =HYPERLINK("CSG5.html#group33A5", "33A⁵"), =HYPERLINK("CSG0.html#group6G0", "6G⁰"), =HYPERLINK("CSG0.html#group3C0", "3C⁰"), =HYPERLINK("CSG0.html#group2B0", "2B⁰"), =HYPERLINK("CSG0.html#group3A0", "3A⁰"), =HYPERLINK("CSG2.html#group22C2", "22C²"), =HYPERLINK("CSG0.html#group1A0", "1A⁰"), =HYPERLINK("CSG0.html#group6D0", "6D⁰")</f>
        <v/>
      </c>
      <c r="N4081" t="inlineStr"/>
    </row>
    <row r="4082">
      <c r="A4082" t="inlineStr">
        <is>
          <t>67A¹⁵</t>
        </is>
      </c>
      <c r="B4082" t="inlineStr"/>
      <c r="C4082" t="inlineStr">
        <is>
          <t>204</t>
        </is>
      </c>
      <c r="D4082" t="inlineStr">
        <is>
          <t>1</t>
        </is>
      </c>
      <c r="E4082" t="inlineStr">
        <is>
          <t>68</t>
        </is>
      </c>
      <c r="F4082" t="inlineStr">
        <is>
          <t>0</t>
        </is>
      </c>
      <c r="G4082" t="inlineStr">
        <is>
          <t>0</t>
        </is>
      </c>
      <c r="H4082" t="inlineStr">
        <is>
          <t>1³, 67³</t>
        </is>
      </c>
      <c r="I4082" t="n">
        <v>6</v>
      </c>
      <c r="J4082" t="inlineStr">
        <is>
          <t>1², 66¹</t>
        </is>
      </c>
      <c r="K4082">
        <f>HYPERLINK("CSG5.html#group67A5", "67A⁵")</f>
        <v/>
      </c>
      <c r="L4082" t="inlineStr"/>
      <c r="M4082">
        <f>HYPERLINK("CSG0.html#group1A0", "1A⁰"), =HYPERLINK("CSG5.html#group67A5", "67A⁵")</f>
        <v/>
      </c>
      <c r="N4082" t="inlineStr"/>
    </row>
    <row r="4083">
      <c r="A4083" t="inlineStr">
        <is>
          <t>68A¹⁵</t>
        </is>
      </c>
      <c r="B4083" t="inlineStr"/>
      <c r="C4083" t="inlineStr">
        <is>
          <t>216</t>
        </is>
      </c>
      <c r="D4083" t="inlineStr">
        <is>
          <t>1</t>
        </is>
      </c>
      <c r="E4083" t="inlineStr">
        <is>
          <t>54</t>
        </is>
      </c>
      <c r="F4083" t="inlineStr">
        <is>
          <t>0</t>
        </is>
      </c>
      <c r="G4083" t="inlineStr">
        <is>
          <t>0</t>
        </is>
      </c>
      <c r="H4083" t="inlineStr">
        <is>
          <t>2², 4², 34², 68²</t>
        </is>
      </c>
      <c r="I4083" t="n">
        <v>8</v>
      </c>
      <c r="J4083" t="inlineStr">
        <is>
          <t>1⁶, 16³</t>
        </is>
      </c>
      <c r="K4083">
        <f>HYPERLINK("CSG7.html#group34A7", "34A⁷"), =HYPERLINK("CSG7.html#group68A7", "68A⁷"), =HYPERLINK("CSG7.html#group68C7", "68C⁷")</f>
        <v/>
      </c>
      <c r="L4083" t="inlineStr"/>
      <c r="M4083">
        <f>HYPERLINK("CSG0.html#group2A0", "2A⁰"), =HYPERLINK("CSG7.html#group68C7", "68C⁷"), =HYPERLINK("CSG3.html#group34C3", "34C³"), =HYPERLINK("CSG7.html#group34A7", "34A⁷"), =HYPERLINK("CSG7.html#group68A7", "68A⁷"), =HYPERLINK("CSG1.html#group17A1", "17A¹"), =HYPERLINK("CSG0.html#group2B0", "2B⁰"), =HYPERLINK("CSG3.html#group34B3", "34B³"), =HYPERLINK("CSG0.html#group1A0", "1A⁰"), =HYPERLINK("CSG0.html#group2C0", "2C⁰")</f>
        <v/>
      </c>
      <c r="N4083" t="inlineStr"/>
    </row>
    <row r="4084">
      <c r="A4084" t="inlineStr">
        <is>
          <t>68B¹⁵</t>
        </is>
      </c>
      <c r="B4084" t="inlineStr"/>
      <c r="C4084" t="inlineStr">
        <is>
          <t>216</t>
        </is>
      </c>
      <c r="D4084" t="inlineStr">
        <is>
          <t>1</t>
        </is>
      </c>
      <c r="E4084" t="inlineStr">
        <is>
          <t>54</t>
        </is>
      </c>
      <c r="F4084" t="inlineStr">
        <is>
          <t>0</t>
        </is>
      </c>
      <c r="G4084" t="inlineStr">
        <is>
          <t>0</t>
        </is>
      </c>
      <c r="H4084" t="inlineStr">
        <is>
          <t>2², 4², 34², 68²</t>
        </is>
      </c>
      <c r="I4084" t="n">
        <v>8</v>
      </c>
      <c r="J4084" t="inlineStr">
        <is>
          <t>1⁶, 16³</t>
        </is>
      </c>
      <c r="K4084">
        <f>HYPERLINK("CSG7.html#group34B7", "34B⁷"), =HYPERLINK("CSG7.html#group68A7", "68A⁷"), =HYPERLINK("CSG7.html#group68D7", "68D⁷")</f>
        <v/>
      </c>
      <c r="L4084" t="inlineStr"/>
      <c r="M4084">
        <f>HYPERLINK("CSG3.html#group34C3", "34C³"), =HYPERLINK("CSG0.html#group4C0", "4C⁰"), =HYPERLINK("CSG7.html#group68A7", "68A⁷"), =HYPERLINK("CSG7.html#group34B7", "34B⁷"), =HYPERLINK("CSG1.html#group17A1", "17A¹"), =HYPERLINK("CSG0.html#group2B0", "2B⁰"), =HYPERLINK("CSG0.html#group1A0", "1A⁰"), =HYPERLINK("CSG3.html#group34A3", "34A³"), =HYPERLINK("CSG7.html#group68D7", "68D⁷")</f>
        <v/>
      </c>
      <c r="N4084" t="inlineStr"/>
    </row>
    <row r="4085">
      <c r="A4085" t="inlineStr">
        <is>
          <t>68C¹⁵</t>
        </is>
      </c>
      <c r="B4085" t="inlineStr"/>
      <c r="C4085" t="inlineStr">
        <is>
          <t>216</t>
        </is>
      </c>
      <c r="D4085" t="inlineStr">
        <is>
          <t>1</t>
        </is>
      </c>
      <c r="E4085" t="inlineStr">
        <is>
          <t>54</t>
        </is>
      </c>
      <c r="F4085" t="inlineStr">
        <is>
          <t>0</t>
        </is>
      </c>
      <c r="G4085" t="inlineStr">
        <is>
          <t>0</t>
        </is>
      </c>
      <c r="H4085" t="inlineStr">
        <is>
          <t>2², 4², 34², 68²</t>
        </is>
      </c>
      <c r="I4085" t="n">
        <v>8</v>
      </c>
      <c r="J4085" t="inlineStr">
        <is>
          <t>1⁶, 16³</t>
        </is>
      </c>
      <c r="K4085">
        <f>HYPERLINK("CSG7.html#group34B7", "34B⁷"), =HYPERLINK("CSG7.html#group68B7", "68B⁷"), =HYPERLINK("CSG7.html#group68C7", "68C⁷")</f>
        <v/>
      </c>
      <c r="L4085" t="inlineStr"/>
      <c r="M4085">
        <f>HYPERLINK("CSG7.html#group68C7", "68C⁷"), =HYPERLINK("CSG7.html#group68B7", "68B⁷"), =HYPERLINK("CSG3.html#group34C3", "34C³"), =HYPERLINK("CSG7.html#group34B7", "34B⁷"), =HYPERLINK("CSG1.html#group17A1", "17A¹"), =HYPERLINK("CSG0.html#group2B0", "2B⁰"), =HYPERLINK("CSG0.html#group4B0", "4B⁰"), =HYPERLINK("CSG0.html#group1A0", "1A⁰"), =HYPERLINK("CSG3.html#group34A3", "34A³")</f>
        <v/>
      </c>
      <c r="N4085" t="inlineStr"/>
    </row>
    <row r="4086">
      <c r="A4086" t="inlineStr">
        <is>
          <t>68D¹⁵</t>
        </is>
      </c>
      <c r="B4086" t="inlineStr"/>
      <c r="C4086" t="inlineStr">
        <is>
          <t>216</t>
        </is>
      </c>
      <c r="D4086" t="inlineStr">
        <is>
          <t>1</t>
        </is>
      </c>
      <c r="E4086" t="inlineStr">
        <is>
          <t>54</t>
        </is>
      </c>
      <c r="F4086" t="inlineStr">
        <is>
          <t>0</t>
        </is>
      </c>
      <c r="G4086" t="inlineStr">
        <is>
          <t>0</t>
        </is>
      </c>
      <c r="H4086" t="inlineStr">
        <is>
          <t>2², 4², 34², 68²</t>
        </is>
      </c>
      <c r="I4086" t="n">
        <v>8</v>
      </c>
      <c r="J4086" t="inlineStr">
        <is>
          <t>1⁶, 16³</t>
        </is>
      </c>
      <c r="K4086">
        <f>HYPERLINK("CSG0.html#group4E0", "4E⁰"), =HYPERLINK("CSG7.html#group34A7", "34A⁷"), =HYPERLINK("CSG7.html#group68B7", "68B⁷"), =HYPERLINK("CSG7.html#group68D7", "68D⁷")</f>
        <v/>
      </c>
      <c r="L4086" t="inlineStr"/>
      <c r="M4086">
        <f>HYPERLINK("CSG0.html#group2A0", "2A⁰"), =HYPERLINK("CSG7.html#group68B7", "68B⁷"), =HYPERLINK("CSG3.html#group34C3", "34C³"), =HYPERLINK("CSG7.html#group34A7", "34A⁷"), =HYPERLINK("CSG0.html#group4C0", "4C⁰"), =HYPERLINK("CSG1.html#group17A1", "17A¹"), =HYPERLINK("CSG0.html#group2B0", "2B⁰"), =HYPERLINK("CSG0.html#group4E0", "4E⁰"), =HYPERLINK("CSG0.html#group4B0", "4B⁰"), =HYPERLINK("CSG3.html#group34B3", "34B³"), =HYPERLINK("CSG0.html#group1A0", "1A⁰"), =HYPERLINK("CSG0.html#group2C0", "2C⁰"), =HYPERLINK("CSG7.html#group68D7", "68D⁷")</f>
        <v/>
      </c>
      <c r="N4086" t="inlineStr"/>
    </row>
    <row r="4087">
      <c r="A4087" t="inlineStr">
        <is>
          <t>68E¹⁵</t>
        </is>
      </c>
      <c r="B4087" t="inlineStr"/>
      <c r="C4087" t="inlineStr">
        <is>
          <t>216</t>
        </is>
      </c>
      <c r="D4087" t="inlineStr">
        <is>
          <t>1</t>
        </is>
      </c>
      <c r="E4087" t="inlineStr">
        <is>
          <t>108</t>
        </is>
      </c>
      <c r="F4087" t="inlineStr">
        <is>
          <t>4</t>
        </is>
      </c>
      <c r="G4087" t="inlineStr">
        <is>
          <t>0</t>
        </is>
      </c>
      <c r="H4087" t="inlineStr">
        <is>
          <t>4³, 68³</t>
        </is>
      </c>
      <c r="I4087" t="n">
        <v>6</v>
      </c>
      <c r="J4087" t="inlineStr">
        <is>
          <t>1⁴, 2⁴, 16², 32²</t>
        </is>
      </c>
      <c r="K4087">
        <f>HYPERLINK("CSG7.html#group68D7", "68D⁷")</f>
        <v/>
      </c>
      <c r="L4087" t="inlineStr"/>
      <c r="M4087">
        <f>HYPERLINK("CSG1.html#group17A1", "17A¹"), =HYPERLINK("CSG0.html#group2B0", "2B⁰"), =HYPERLINK("CSG3.html#group34C3", "34C³"), =HYPERLINK("CSG0.html#group1A0", "1A⁰"), =HYPERLINK("CSG0.html#group4C0", "4C⁰"), =HYPERLINK("CSG7.html#group68D7", "68D⁷")</f>
        <v/>
      </c>
      <c r="N4087" t="inlineStr"/>
    </row>
    <row r="4088">
      <c r="A4088" t="inlineStr">
        <is>
          <t>68F¹⁵</t>
        </is>
      </c>
      <c r="B4088" t="inlineStr"/>
      <c r="C4088" t="inlineStr">
        <is>
          <t>216</t>
        </is>
      </c>
      <c r="D4088" t="inlineStr">
        <is>
          <t>1</t>
        </is>
      </c>
      <c r="E4088" t="inlineStr">
        <is>
          <t>108</t>
        </is>
      </c>
      <c r="F4088" t="inlineStr">
        <is>
          <t>4</t>
        </is>
      </c>
      <c r="G4088" t="inlineStr">
        <is>
          <t>0</t>
        </is>
      </c>
      <c r="H4088" t="inlineStr">
        <is>
          <t>4³, 68³</t>
        </is>
      </c>
      <c r="I4088" t="n">
        <v>6</v>
      </c>
      <c r="J4088" t="inlineStr">
        <is>
          <t>1⁴, 2⁴, 16², 32²</t>
        </is>
      </c>
      <c r="K4088">
        <f>HYPERLINK("CSG0.html#group4F0", "4F⁰"), =HYPERLINK("CSG5.html#group68A5", "68A⁵"), =HYPERLINK("CSG7.html#group68D7", "68D⁷")</f>
        <v/>
      </c>
      <c r="L4088" t="inlineStr"/>
      <c r="M4088">
        <f>HYPERLINK("CSG3.html#group34C3", "34C³"), =HYPERLINK("CSG0.html#group4A0", "4A⁰"), =HYPERLINK("CSG0.html#group4C0", "4C⁰"), =HYPERLINK("CSG5.html#group68A5", "68A⁵"), =HYPERLINK("CSG1.html#group17A1", "17A¹"), =HYPERLINK("CSG0.html#group2B0", "2B⁰"), =HYPERLINK("CSG0.html#group4F0", "4F⁰"), =HYPERLINK("CSG0.html#group1A0", "1A⁰"), =HYPERLINK("CSG7.html#group68D7", "68D⁷")</f>
        <v/>
      </c>
      <c r="N4088" t="inlineStr"/>
    </row>
    <row r="4089">
      <c r="A4089" t="inlineStr">
        <is>
          <t>70A¹⁵</t>
        </is>
      </c>
      <c r="B4089" t="inlineStr"/>
      <c r="C4089" t="inlineStr">
        <is>
          <t>210</t>
        </is>
      </c>
      <c r="D4089" t="inlineStr">
        <is>
          <t>1</t>
        </is>
      </c>
      <c r="E4089" t="inlineStr">
        <is>
          <t>105</t>
        </is>
      </c>
      <c r="F4089" t="inlineStr">
        <is>
          <t>8</t>
        </is>
      </c>
      <c r="G4089" t="inlineStr">
        <is>
          <t>0</t>
        </is>
      </c>
      <c r="H4089" t="inlineStr">
        <is>
          <t>70³</t>
        </is>
      </c>
      <c r="I4089" t="n">
        <v>3</v>
      </c>
      <c r="J4089" t="inlineStr">
        <is>
          <t>3¹, 6³, 12¹, 24³</t>
        </is>
      </c>
      <c r="K4089">
        <f>HYPERLINK("CSG1.html#group14E1", "14E¹"), =HYPERLINK("CSG7.html#group35A7", "35A⁷")</f>
        <v/>
      </c>
      <c r="L4089" t="inlineStr"/>
      <c r="M4089">
        <f>HYPERLINK("CSG7.html#group35A7", "35A⁷"), =HYPERLINK("CSG0.html#group5A0", "5A⁰"), =HYPERLINK("CSG0.html#group1A0", "1A⁰"), =HYPERLINK("CSG0.html#group7D0", "7D⁰"), =HYPERLINK("CSG1.html#group14E1", "14E¹"), =HYPERLINK("CSG2.html#group35A2", "35A²"), =HYPERLINK("CSG0.html#group7A0", "7A⁰")</f>
        <v/>
      </c>
      <c r="N4089" t="inlineStr"/>
    </row>
    <row r="4090">
      <c r="A4090" t="inlineStr">
        <is>
          <t>70B¹⁵</t>
        </is>
      </c>
      <c r="B4090" t="inlineStr"/>
      <c r="C4090" t="inlineStr">
        <is>
          <t>210</t>
        </is>
      </c>
      <c r="D4090" t="inlineStr">
        <is>
          <t>2</t>
        </is>
      </c>
      <c r="E4090" t="inlineStr">
        <is>
          <t>70</t>
        </is>
      </c>
      <c r="F4090" t="inlineStr">
        <is>
          <t>0</t>
        </is>
      </c>
      <c r="G4090" t="inlineStr">
        <is>
          <t>6</t>
        </is>
      </c>
      <c r="H4090" t="inlineStr">
        <is>
          <t>70³</t>
        </is>
      </c>
      <c r="I4090" t="n">
        <v>3</v>
      </c>
      <c r="J4090" t="inlineStr">
        <is>
          <t>4¹, 8², 12², 24⁴</t>
        </is>
      </c>
      <c r="K4090">
        <f>HYPERLINK("CSG0.html#group10E0", "10E⁰"), =HYPERLINK("CSG5.html#group70A5", "70A⁵")</f>
        <v/>
      </c>
      <c r="L4090" t="inlineStr"/>
      <c r="M4090">
        <f>HYPERLINK("CSG0.html#group2A0", "2A⁰"), =HYPERLINK("CSG0.html#group5A0", "5A⁰"), =HYPERLINK("CSG0.html#group10A0", "10A⁰"), =HYPERLINK("CSG0.html#group10E0", "10E⁰"), =HYPERLINK("CSG1.html#group14A1", "14A¹"), =HYPERLINK("CSG5.html#group70A5", "70A⁵"), =HYPERLINK("CSG0.html#group1A0", "1A⁰"), =HYPERLINK("CSG2.html#group35A2", "35A²"), =HYPERLINK("CSG0.html#group7A0", "7A⁰")</f>
        <v/>
      </c>
      <c r="N4090" t="inlineStr"/>
    </row>
    <row r="4091">
      <c r="A4091" t="inlineStr">
        <is>
          <t>70C¹⁵</t>
        </is>
      </c>
      <c r="B4091" t="inlineStr"/>
      <c r="C4091" t="inlineStr">
        <is>
          <t>210</t>
        </is>
      </c>
      <c r="D4091" t="inlineStr">
        <is>
          <t>2</t>
        </is>
      </c>
      <c r="E4091" t="inlineStr">
        <is>
          <t>105</t>
        </is>
      </c>
      <c r="F4091" t="inlineStr">
        <is>
          <t>8</t>
        </is>
      </c>
      <c r="G4091" t="inlineStr">
        <is>
          <t>0</t>
        </is>
      </c>
      <c r="H4091" t="inlineStr">
        <is>
          <t>70³</t>
        </is>
      </c>
      <c r="I4091" t="n">
        <v>3</v>
      </c>
      <c r="J4091" t="inlineStr">
        <is>
          <t>2¹, 4¹, 6², 8³, 12², 24⁶</t>
        </is>
      </c>
      <c r="K4091">
        <f>HYPERLINK("CSG6.html#group35B6", "35B⁶")</f>
        <v/>
      </c>
      <c r="L4091" t="inlineStr"/>
      <c r="M4091">
        <f>HYPERLINK("CSG0.html#group5E0", "5E⁰"), =HYPERLINK("CSG0.html#group5A0", "5A⁰"), =HYPERLINK("CSG6.html#group35B6", "35B⁶"), =HYPERLINK("CSG0.html#group1A0", "1A⁰"), =HYPERLINK("CSG2.html#group35A2", "35A²"), =HYPERLINK("CSG0.html#group7A0", "7A⁰")</f>
        <v/>
      </c>
      <c r="N4091" t="inlineStr"/>
    </row>
    <row r="4092">
      <c r="A4092" t="inlineStr">
        <is>
          <t>70D¹⁵</t>
        </is>
      </c>
      <c r="B4092" t="inlineStr"/>
      <c r="C4092" t="inlineStr">
        <is>
          <t>210</t>
        </is>
      </c>
      <c r="D4092" t="inlineStr">
        <is>
          <t>2</t>
        </is>
      </c>
      <c r="E4092" t="inlineStr">
        <is>
          <t>210</t>
        </is>
      </c>
      <c r="F4092" t="inlineStr">
        <is>
          <t>6</t>
        </is>
      </c>
      <c r="G4092" t="inlineStr">
        <is>
          <t>0</t>
        </is>
      </c>
      <c r="H4092" t="inlineStr">
        <is>
          <t>35², 70²</t>
        </is>
      </c>
      <c r="I4092" t="n">
        <v>4</v>
      </c>
      <c r="J4092" t="inlineStr">
        <is>
          <t>4³, 8⁶, 12⁶, 24¹²</t>
        </is>
      </c>
      <c r="K4092">
        <f>HYPERLINK("CSG1.html#group10F1", "10F¹"), =HYPERLINK("CSG1.html#group14B1", "14B¹"), =HYPERLINK("CSG4.html#group35B4", "35B⁴")</f>
        <v/>
      </c>
      <c r="L4092" t="inlineStr"/>
      <c r="M4092">
        <f>HYPERLINK("CSG1.html#group14B1", "14B¹"), =HYPERLINK("CSG4.html#group35B4", "35B⁴"), =HYPERLINK("CSG0.html#group5C0", "5C⁰"), =HYPERLINK("CSG0.html#group2B0", "2B⁰"), =HYPERLINK("CSG0.html#group1A0", "1A⁰"), =HYPERLINK("CSG0.html#group7A0", "7A⁰"), =HYPERLINK("CSG1.html#group10F1", "10F¹")</f>
        <v/>
      </c>
      <c r="N4092" t="inlineStr"/>
    </row>
    <row r="4093">
      <c r="A4093" t="inlineStr">
        <is>
          <t>70E¹⁵</t>
        </is>
      </c>
      <c r="B4093" t="inlineStr"/>
      <c r="C4093" t="inlineStr">
        <is>
          <t>252</t>
        </is>
      </c>
      <c r="D4093" t="inlineStr">
        <is>
          <t>1</t>
        </is>
      </c>
      <c r="E4093" t="inlineStr">
        <is>
          <t>126</t>
        </is>
      </c>
      <c r="F4093" t="inlineStr">
        <is>
          <t>16</t>
        </is>
      </c>
      <c r="G4093" t="inlineStr">
        <is>
          <t>0</t>
        </is>
      </c>
      <c r="H4093" t="inlineStr">
        <is>
          <t>14³, 70³</t>
        </is>
      </c>
      <c r="I4093" t="n">
        <v>6</v>
      </c>
      <c r="J4093" t="inlineStr">
        <is>
          <t>3², 6⁶, 12¹, 24³</t>
        </is>
      </c>
      <c r="K4093">
        <f>HYPERLINK("CSG1.html#group14E1", "14E¹"), =HYPERLINK("CSG6.html#group35E6", "35E⁶")</f>
        <v/>
      </c>
      <c r="L4093" t="inlineStr"/>
      <c r="M4093">
        <f>HYPERLINK("CSG2.html#group35C2", "35C²"), =HYPERLINK("CSG1.html#group14E1", "14E¹"), =HYPERLINK("CSG0.html#group7D0", "7D⁰"), =HYPERLINK("CSG6.html#group35E6", "35E⁶"), =HYPERLINK("CSG0.html#group5B0", "5B⁰"), =HYPERLINK("CSG0.html#group1A0", "1A⁰"), =HYPERLINK("CSG0.html#group7A0", "7A⁰")</f>
        <v/>
      </c>
      <c r="N4093" t="inlineStr"/>
    </row>
    <row r="4094">
      <c r="A4094" t="inlineStr">
        <is>
          <t>72A¹⁵</t>
        </is>
      </c>
      <c r="B4094" t="inlineStr"/>
      <c r="C4094" t="inlineStr">
        <is>
          <t>192</t>
        </is>
      </c>
      <c r="D4094" t="inlineStr">
        <is>
          <t>1</t>
        </is>
      </c>
      <c r="E4094" t="inlineStr">
        <is>
          <t>16</t>
        </is>
      </c>
      <c r="F4094" t="inlineStr">
        <is>
          <t>0</t>
        </is>
      </c>
      <c r="G4094" t="inlineStr">
        <is>
          <t>0</t>
        </is>
      </c>
      <c r="H4094" t="inlineStr">
        <is>
          <t>24², 72²</t>
        </is>
      </c>
      <c r="I4094" t="n">
        <v>4</v>
      </c>
      <c r="J4094" t="inlineStr">
        <is>
          <t>2⁴, 4²</t>
        </is>
      </c>
      <c r="K4094">
        <f>HYPERLINK("CSG3.html#group24F3", "24F³"), =HYPERLINK("CSG7.html#group36A7", "36A⁷")</f>
        <v/>
      </c>
      <c r="L4094" t="inlineStr"/>
      <c r="M4094">
        <f>HYPERLINK("CSG0.html#group3B0", "3B⁰"), =HYPERLINK("CSG0.html#group2A0", "2A⁰"), =HYPERLINK("CSG2.html#group18B2", "18B²"), =HYPERLINK("CSG1.html#group12I1", "12I¹"), =HYPERLINK("CSG0.html#group4A0", "4A⁰"), =HYPERLINK("CSG0.html#group4D0", "4D⁰"), =HYPERLINK("CSG1.html#group12A1", "12A¹"), =HYPERLINK("CSG0.html#group6C0", "6C⁰"), =HYPERLINK("CSG1.html#group9A1", "9A¹"), =HYPERLINK("CSG4.html#group36C4", "36C⁴"), =HYPERLINK("CSG0.html#group1A0", "1A⁰"), =HYPERLINK("CSG3.html#group24F3", "24F³"), =HYPERLINK("CSG7.html#group36A7", "36A⁷")</f>
        <v/>
      </c>
      <c r="N4094" t="inlineStr"/>
    </row>
    <row r="4095">
      <c r="A4095" t="inlineStr">
        <is>
          <t>72B¹⁵</t>
        </is>
      </c>
      <c r="B4095" t="inlineStr"/>
      <c r="C4095" t="inlineStr">
        <is>
          <t>192</t>
        </is>
      </c>
      <c r="D4095" t="inlineStr">
        <is>
          <t>1</t>
        </is>
      </c>
      <c r="E4095" t="inlineStr">
        <is>
          <t>16</t>
        </is>
      </c>
      <c r="F4095" t="inlineStr">
        <is>
          <t>0</t>
        </is>
      </c>
      <c r="G4095" t="inlineStr">
        <is>
          <t>0</t>
        </is>
      </c>
      <c r="H4095" t="inlineStr">
        <is>
          <t>24², 72²</t>
        </is>
      </c>
      <c r="I4095" t="n">
        <v>4</v>
      </c>
      <c r="J4095" t="inlineStr">
        <is>
          <t>2⁴, 4²</t>
        </is>
      </c>
      <c r="K4095">
        <f>HYPERLINK("CSG3.html#group24G3", "24G³"), =HYPERLINK("CSG7.html#group36A7", "36A⁷"), =HYPERLINK("CSG8.html#group72A8", "72A⁸")</f>
        <v/>
      </c>
      <c r="L4095" t="inlineStr"/>
      <c r="M4095">
        <f>HYPERLINK("CSG0.html#group3B0", "3B⁰"), =HYPERLINK("CSG0.html#group2A0", "2A⁰"), =HYPERLINK("CSG1.html#group12I1", "12I¹"), =HYPERLINK("CSG2.html#group24A2", "24A²"), =HYPERLINK("CSG0.html#group6C0", "6C⁰"), =HYPERLINK("CSG0.html#group8A0", "8A⁰"), =HYPERLINK("CSG8.html#group72A8", "72A⁸"), =HYPERLINK("CSG0.html#group8E0", "8E⁰"), =HYPERLINK("CSG3.html#group24G3", "24G³"), =HYPERLINK("CSG0.html#group1A0", "1A⁰"), =HYPERLINK("CSG7.html#group36A7", "36A⁷"), =HYPERLINK("CSG2.html#group18B2", "18B²"), =HYPERLINK("CSG0.html#group4A0", "4A⁰"), =HYPERLINK("CSG0.html#group4D0", "4D⁰"), =HYPERLINK("CSG1.html#group12A1", "12A¹"), =HYPERLINK("CSG1.html#group9A1", "9A¹"), =HYPERLINK("CSG4.html#group36C4", "36C⁴")</f>
        <v/>
      </c>
      <c r="N4095" t="inlineStr"/>
    </row>
    <row r="4096">
      <c r="A4096" t="inlineStr">
        <is>
          <t>72C¹⁵</t>
        </is>
      </c>
      <c r="B4096" t="inlineStr"/>
      <c r="C4096" t="inlineStr">
        <is>
          <t>192</t>
        </is>
      </c>
      <c r="D4096" t="inlineStr">
        <is>
          <t>1</t>
        </is>
      </c>
      <c r="E4096" t="inlineStr">
        <is>
          <t>32</t>
        </is>
      </c>
      <c r="F4096" t="inlineStr">
        <is>
          <t>0</t>
        </is>
      </c>
      <c r="G4096" t="inlineStr">
        <is>
          <t>0</t>
        </is>
      </c>
      <c r="H4096" t="inlineStr">
        <is>
          <t>24², 72²</t>
        </is>
      </c>
      <c r="I4096" t="n">
        <v>4</v>
      </c>
      <c r="J4096" t="inlineStr">
        <is>
          <t>4⁸</t>
        </is>
      </c>
      <c r="K4096">
        <f>HYPERLINK("CSG3.html#group24F3", "24F³"), =HYPERLINK("CSG7.html#group36B7", "36B⁷")</f>
        <v/>
      </c>
      <c r="L4096" t="inlineStr"/>
      <c r="M4096">
        <f>HYPERLINK("CSG0.html#group2A0", "2A⁰"), =HYPERLINK("CSG0.html#group3B0", "3B⁰"), =HYPERLINK("CSG1.html#group12I1", "12I¹"), =HYPERLINK("CSG0.html#group4A0", "4A⁰"), =HYPERLINK("CSG7.html#group36B7", "36B⁷"), =HYPERLINK("CSG0.html#group4D0", "4D⁰"), =HYPERLINK("CSG1.html#group12A1", "12A¹"), =HYPERLINK("CSG0.html#group6C0", "6C⁰"), =HYPERLINK("CSG2.html#group18C2", "18C²"), =HYPERLINK("CSG0.html#group1A0", "1A⁰"), =HYPERLINK("CSG3.html#group24F3", "24F³")</f>
        <v/>
      </c>
      <c r="N4096" t="inlineStr"/>
    </row>
    <row r="4097">
      <c r="A4097" t="inlineStr">
        <is>
          <t>72D¹⁵</t>
        </is>
      </c>
      <c r="B4097" t="inlineStr"/>
      <c r="C4097" t="inlineStr">
        <is>
          <t>192</t>
        </is>
      </c>
      <c r="D4097" t="inlineStr">
        <is>
          <t>1</t>
        </is>
      </c>
      <c r="E4097" t="inlineStr">
        <is>
          <t>32</t>
        </is>
      </c>
      <c r="F4097" t="inlineStr">
        <is>
          <t>0</t>
        </is>
      </c>
      <c r="G4097" t="inlineStr">
        <is>
          <t>0</t>
        </is>
      </c>
      <c r="H4097" t="inlineStr">
        <is>
          <t>24², 72²</t>
        </is>
      </c>
      <c r="I4097" t="n">
        <v>4</v>
      </c>
      <c r="J4097" t="inlineStr">
        <is>
          <t>4⁸</t>
        </is>
      </c>
      <c r="K4097">
        <f>HYPERLINK("CSG3.html#group24G3", "24G³"), =HYPERLINK("CSG7.html#group36B7", "36B⁷")</f>
        <v/>
      </c>
      <c r="L4097" t="inlineStr"/>
      <c r="M4097">
        <f>HYPERLINK("CSG0.html#group2A0", "2A⁰"), =HYPERLINK("CSG0.html#group3B0", "3B⁰"), =HYPERLINK("CSG1.html#group12I1", "12I¹"), =HYPERLINK("CSG2.html#group24A2", "24A²"), =HYPERLINK("CSG0.html#group4A0", "4A⁰"), =HYPERLINK("CSG7.html#group36B7", "36B⁷"), =HYPERLINK("CSG0.html#group4D0", "4D⁰"), =HYPERLINK("CSG1.html#group12A1", "12A¹"), =HYPERLINK("CSG0.html#group6C0", "6C⁰"), =HYPERLINK("CSG0.html#group8A0", "8A⁰"), =HYPERLINK("CSG0.html#group8E0", "8E⁰"), =HYPERLINK("CSG3.html#group24G3", "24G³"), =HYPERLINK("CSG0.html#group1A0", "1A⁰"), =HYPERLINK("CSG2.html#group18C2", "18C²")</f>
        <v/>
      </c>
      <c r="N4097" t="inlineStr"/>
    </row>
    <row r="4098">
      <c r="A4098" t="inlineStr">
        <is>
          <t>72E¹⁵</t>
        </is>
      </c>
      <c r="B4098" t="inlineStr"/>
      <c r="C4098" t="inlineStr">
        <is>
          <t>192</t>
        </is>
      </c>
      <c r="D4098" t="inlineStr">
        <is>
          <t>1</t>
        </is>
      </c>
      <c r="E4098" t="inlineStr">
        <is>
          <t>64</t>
        </is>
      </c>
      <c r="F4098" t="inlineStr">
        <is>
          <t>0</t>
        </is>
      </c>
      <c r="G4098" t="inlineStr">
        <is>
          <t>0</t>
        </is>
      </c>
      <c r="H4098" t="inlineStr">
        <is>
          <t>24², 72²</t>
        </is>
      </c>
      <c r="I4098" t="n">
        <v>4</v>
      </c>
      <c r="J4098" t="inlineStr">
        <is>
          <t>4⁸, 8⁴</t>
        </is>
      </c>
      <c r="K4098">
        <f>HYPERLINK("CSG4.html#group24C4", "24C⁴"), =HYPERLINK("CSG4.html#group36C4", "36C⁴")</f>
        <v/>
      </c>
      <c r="L4098" t="inlineStr"/>
      <c r="M4098">
        <f>HYPERLINK("CSG4.html#group24C4", "24C⁴"), =HYPERLINK("CSG0.html#group3B0", "3B⁰"), =HYPERLINK("CSG0.html#group8F0", "8F⁰"), =HYPERLINK("CSG0.html#group4A0", "4A⁰"), =HYPERLINK("CSG1.html#group12A1", "12A¹"), =HYPERLINK("CSG1.html#group9A1", "9A¹"), =HYPERLINK("CSG4.html#group36C4", "36C⁴"), =HYPERLINK("CSG0.html#group1A0", "1A⁰")</f>
        <v/>
      </c>
      <c r="N4098" t="inlineStr"/>
    </row>
    <row r="4099">
      <c r="A4099" t="inlineStr">
        <is>
          <t>72F¹⁵</t>
        </is>
      </c>
      <c r="B4099" t="inlineStr"/>
      <c r="C4099" t="inlineStr">
        <is>
          <t>216</t>
        </is>
      </c>
      <c r="D4099" t="inlineStr">
        <is>
          <t>1</t>
        </is>
      </c>
      <c r="E4099" t="inlineStr">
        <is>
          <t>18</t>
        </is>
      </c>
      <c r="F4099" t="inlineStr">
        <is>
          <t>0</t>
        </is>
      </c>
      <c r="G4099" t="inlineStr">
        <is>
          <t>0</t>
        </is>
      </c>
      <c r="H4099" t="inlineStr">
        <is>
          <t>9⁴, 18², 72²</t>
        </is>
      </c>
      <c r="I4099" t="n">
        <v>8</v>
      </c>
      <c r="J4099" t="inlineStr">
        <is>
          <t>1⁴, 2⁵, 4¹</t>
        </is>
      </c>
      <c r="K4099">
        <f>HYPERLINK("CSG3.html#group24K3", "24K³"), =HYPERLINK("CSG7.html#group36C7", "36C⁷"), =HYPERLINK("CSG8.html#group72E8", "72E⁸")</f>
        <v/>
      </c>
      <c r="L4099" t="inlineStr"/>
      <c r="M4099">
        <f>HYPERLINK("CSG8.html#group72E8", "72E⁸"), =HYPERLINK("CSG1.html#group12K1", "12K¹"), =HYPERLINK("CSG0.html#group6G0", "6G⁰"), =HYPERLINK("CSG0.html#group2B0", "2B⁰"), =HYPERLINK("CSG0.html#group4B0", "4B⁰"), =HYPERLINK("CSG0.html#group1A0", "1A⁰"), =HYPERLINK("CSG7.html#group36C7", "36C⁷"), =HYPERLINK("CSG0.html#group9D0", "9D⁰"), =HYPERLINK("CSG0.html#group9A0", "9A⁰"), =HYPERLINK("CSG4.html#group36D4", "36D⁴"), =HYPERLINK("CSG2.html#group24D2", "24D²"), =HYPERLINK("CSG0.html#group3C0", "3C⁰"), =HYPERLINK("CSG1.html#group12B1", "12B¹"), =HYPERLINK("CSG3.html#group24K3", "24K³"), =HYPERLINK("CSG0.html#group12D0", "12D⁰"), =HYPERLINK("CSG1.html#group18E1", "18E¹"), =HYPERLINK("CSG0.html#group3A0", "3A⁰"), =HYPERLINK("CSG3.html#group36D3", "36D³"), =HYPERLINK("CSG2.html#group18I2", "18I²"), =HYPERLINK("CSG0.html#group6D0", "6D⁰")</f>
        <v/>
      </c>
      <c r="N4099" t="inlineStr"/>
    </row>
    <row r="4100">
      <c r="A4100" t="inlineStr">
        <is>
          <t>72G¹⁵</t>
        </is>
      </c>
      <c r="B4100" t="inlineStr"/>
      <c r="C4100" t="inlineStr">
        <is>
          <t>216</t>
        </is>
      </c>
      <c r="D4100" t="inlineStr">
        <is>
          <t>1</t>
        </is>
      </c>
      <c r="E4100" t="inlineStr">
        <is>
          <t>18</t>
        </is>
      </c>
      <c r="F4100" t="inlineStr">
        <is>
          <t>0</t>
        </is>
      </c>
      <c r="G4100" t="inlineStr">
        <is>
          <t>0</t>
        </is>
      </c>
      <c r="H4100" t="inlineStr">
        <is>
          <t>9⁴, 18², 72²</t>
        </is>
      </c>
      <c r="I4100" t="n">
        <v>8</v>
      </c>
      <c r="J4100" t="inlineStr">
        <is>
          <t>1⁴, 2⁵, 4¹</t>
        </is>
      </c>
      <c r="K4100">
        <f>HYPERLINK("CSG3.html#group24L3", "24L³"), =HYPERLINK("CSG7.html#group36C7", "36C⁷"), =HYPERLINK("CSG8.html#group72B8", "72B⁸"), =HYPERLINK("CSG8.html#group72C8", "72C⁸")</f>
        <v/>
      </c>
      <c r="L4100" t="inlineStr"/>
      <c r="M4100">
        <f>HYPERLINK("CSG1.html#group12K1", "12K¹"), =HYPERLINK("CSG8.html#group72B8", "72B⁸"), =HYPERLINK("CSG0.html#group6G0", "6G⁰"), =HYPERLINK("CSG0.html#group2B0", "2B⁰"), =HYPERLINK("CSG0.html#group8C0", "8C⁰"), =HYPERLINK("CSG0.html#group4B0", "4B⁰"), =HYPERLINK("CSG0.html#group1A0", "1A⁰"), =HYPERLINK("CSG2.html#group24B2", "24B²"), =HYPERLINK("CSG7.html#group36C7", "36C⁷"), =HYPERLINK("CSG0.html#group9D0", "9D⁰"), =HYPERLINK("CSG8.html#group72C8", "72C⁸"), =HYPERLINK("CSG0.html#group9A0", "9A⁰"), =HYPERLINK("CSG2.html#group24D2", "24D²"), =HYPERLINK("CSG4.html#group36D4", "36D⁴"), =HYPERLINK("CSG0.html#group3C0", "3C⁰"), =HYPERLINK("CSG1.html#group12B1", "12B¹"), =HYPERLINK("CSG0.html#group12D0", "12D⁰"), =HYPERLINK("CSG1.html#group18E1", "18E¹"), =HYPERLINK("CSG0.html#group3A0", "3A⁰"), =HYPERLINK("CSG3.html#group24L3", "24L³"), =HYPERLINK("CSG3.html#group36D3", "36D³"), =HYPERLINK("CSG2.html#group18I2", "18I²"), =HYPERLINK("CSG0.html#group6D0", "6D⁰")</f>
        <v/>
      </c>
      <c r="N4100" t="inlineStr"/>
    </row>
    <row r="4101">
      <c r="A4101" t="inlineStr">
        <is>
          <t>72H¹⁵</t>
        </is>
      </c>
      <c r="B4101" t="inlineStr"/>
      <c r="C4101" t="inlineStr">
        <is>
          <t>216</t>
        </is>
      </c>
      <c r="D4101" t="inlineStr">
        <is>
          <t>1</t>
        </is>
      </c>
      <c r="E4101" t="inlineStr">
        <is>
          <t>54</t>
        </is>
      </c>
      <c r="F4101" t="inlineStr">
        <is>
          <t>0</t>
        </is>
      </c>
      <c r="G4101" t="inlineStr">
        <is>
          <t>0</t>
        </is>
      </c>
      <c r="H4101" t="inlineStr">
        <is>
          <t>12³, 24³, 36¹, 72¹</t>
        </is>
      </c>
      <c r="I4101" t="n">
        <v>8</v>
      </c>
      <c r="J4101" t="inlineStr">
        <is>
          <t>1³, 2³, 3³, 6⁶</t>
        </is>
      </c>
      <c r="K4101">
        <f>HYPERLINK("CSG5.html#group24C5", "24C⁵"), =HYPERLINK("CSG5.html#group36I5", "36I⁵")</f>
        <v/>
      </c>
      <c r="L4101" t="inlineStr"/>
      <c r="M4101">
        <f>HYPERLINK("CSG5.html#group36I5", "36I⁵"), =HYPERLINK("CSG0.html#group12C0", "12C⁰"), =HYPERLINK("CSG1.html#group12C1", "12C¹"), =HYPERLINK("CSG5.html#group24C5", "24C⁵"), =HYPERLINK("CSG1.html#group18I1", "18I¹"), =HYPERLINK("CSG1.html#group12L1", "12L¹"), =HYPERLINK("CSG0.html#group4C0", "4C⁰"), =HYPERLINK("CSG0.html#group6G0", "6G⁰"), =HYPERLINK("CSG0.html#group3C0", "3C⁰"), =HYPERLINK("CSG0.html#group2B0", "2B⁰"), =HYPERLINK("CSG2.html#group24C2", "24C²"), =HYPERLINK("CSG0.html#group9E0", "9E⁰"), =HYPERLINK("CSG0.html#group3A0", "3A⁰"), =HYPERLINK("CSG0.html#group1A0", "1A⁰"), =HYPERLINK("CSG0.html#group6D0", "6D⁰")</f>
        <v/>
      </c>
      <c r="N4101" t="inlineStr"/>
    </row>
    <row r="4102">
      <c r="A4102" t="inlineStr">
        <is>
          <t>72I¹⁵</t>
        </is>
      </c>
      <c r="B4102" t="inlineStr"/>
      <c r="C4102" t="inlineStr">
        <is>
          <t>216</t>
        </is>
      </c>
      <c r="D4102" t="inlineStr">
        <is>
          <t>1</t>
        </is>
      </c>
      <c r="E4102" t="inlineStr">
        <is>
          <t>54</t>
        </is>
      </c>
      <c r="F4102" t="inlineStr">
        <is>
          <t>0</t>
        </is>
      </c>
      <c r="G4102" t="inlineStr">
        <is>
          <t>0</t>
        </is>
      </c>
      <c r="H4102" t="inlineStr">
        <is>
          <t>12³, 24³, 36¹, 72¹</t>
        </is>
      </c>
      <c r="I4102" t="n">
        <v>8</v>
      </c>
      <c r="J4102" t="inlineStr">
        <is>
          <t>1³, 2³, 3³, 6⁶</t>
        </is>
      </c>
      <c r="K4102">
        <f>HYPERLINK("CSG5.html#group24E5", "24E⁵"), =HYPERLINK("CSG5.html#group36I5", "36I⁵")</f>
        <v/>
      </c>
      <c r="L4102" t="inlineStr"/>
      <c r="M4102">
        <f>HYPERLINK("CSG5.html#group36I5", "36I⁵"), =HYPERLINK("CSG3.html#group24A3", "24A³"), =HYPERLINK("CSG0.html#group12C0", "12C⁰"), =HYPERLINK("CSG1.html#group8A1", "8A¹"), =HYPERLINK("CSG1.html#group18I1", "18I¹"), =HYPERLINK("CSG0.html#group4C0", "4C⁰"), =HYPERLINK("CSG1.html#group24D1", "24D¹"), =HYPERLINK("CSG0.html#group6G0", "6G⁰"), =HYPERLINK("CSG0.html#group2B0", "2B⁰"), =HYPERLINK("CSG0.html#group9E0", "9E⁰"), =HYPERLINK("CSG5.html#group24E5", "24E⁵"), =HYPERLINK("CSG1.html#group12L1", "12L¹"), =HYPERLINK("CSG0.html#group1A0", "1A⁰"), =HYPERLINK("CSG1.html#group12C1", "12C¹"), =HYPERLINK("CSG0.html#group3C0", "3C⁰"), =HYPERLINK("CSG0.html#group3A0", "3A⁰"), =HYPERLINK("CSG0.html#group6D0", "6D⁰")</f>
        <v/>
      </c>
      <c r="N4102" t="inlineStr"/>
    </row>
    <row r="4103">
      <c r="A4103" t="inlineStr">
        <is>
          <t>72J¹⁵</t>
        </is>
      </c>
      <c r="B4103" t="inlineStr"/>
      <c r="C4103" t="inlineStr">
        <is>
          <t>216</t>
        </is>
      </c>
      <c r="D4103" t="inlineStr">
        <is>
          <t>1</t>
        </is>
      </c>
      <c r="E4103" t="inlineStr">
        <is>
          <t>54</t>
        </is>
      </c>
      <c r="F4103" t="inlineStr">
        <is>
          <t>8</t>
        </is>
      </c>
      <c r="G4103" t="inlineStr">
        <is>
          <t>0</t>
        </is>
      </c>
      <c r="H4103" t="inlineStr">
        <is>
          <t>36², 72²</t>
        </is>
      </c>
      <c r="I4103" t="n">
        <v>4</v>
      </c>
      <c r="J4103" t="inlineStr">
        <is>
          <t>1², 2⁴, 4², 6², 12²</t>
        </is>
      </c>
      <c r="K4103">
        <f>HYPERLINK("CSG3.html#group24P3", "24P³"), =HYPERLINK("CSG6.html#group36F6", "36F⁶"), =HYPERLINK("CSG6.html#group72D6", "72D⁶"), =HYPERLINK("CSG7.html#group72B7", "72B⁷")</f>
        <v/>
      </c>
      <c r="L4103" t="inlineStr"/>
      <c r="M4103">
        <f>HYPERLINK("CSG1.html#group24E1", "24E¹"), =HYPERLINK("CSG0.html#group12C0", "12C⁰"), =HYPERLINK("CSG2.html#group36B2", "36B²"), =HYPERLINK("CSG1.html#group24D1", "24D¹"), =HYPERLINK("CSG0.html#group4C0", "4C⁰"), =HYPERLINK("CSG0.html#group2B0", "2B⁰"), =HYPERLINK("CSG3.html#group24P3", "24P³"), =HYPERLINK("CSG0.html#group1A0", "1A⁰"), =HYPERLINK("CSG1.html#group36A1", "36A¹"), =HYPERLINK("CSG6.html#group36F6", "36F⁶"), =HYPERLINK("CSG0.html#group12A0", "12A⁰"), =HYPERLINK("CSG6.html#group72D6", "72D⁶"), =HYPERLINK("CSG0.html#group4A0", "4A⁰"), =HYPERLINK("CSG0.html#group9A0", "9A⁰"), =HYPERLINK("CSG7.html#group72B7", "72B⁷"), =HYPERLINK("CSG1.html#group12J1", "12J¹"), =HYPERLINK("CSG0.html#group4F0", "4F⁰"), =HYPERLINK("CSG1.html#group18E1", "18E¹"), =HYPERLINK("CSG0.html#group3A0", "3A⁰"), =HYPERLINK("CSG0.html#group6D0", "6D⁰")</f>
        <v/>
      </c>
      <c r="N4103" t="inlineStr"/>
    </row>
    <row r="4104">
      <c r="A4104" t="inlineStr">
        <is>
          <t>72K¹⁵</t>
        </is>
      </c>
      <c r="B4104" t="inlineStr"/>
      <c r="C4104" t="inlineStr">
        <is>
          <t>216</t>
        </is>
      </c>
      <c r="D4104" t="inlineStr">
        <is>
          <t>1</t>
        </is>
      </c>
      <c r="E4104" t="inlineStr">
        <is>
          <t>54</t>
        </is>
      </c>
      <c r="F4104" t="inlineStr">
        <is>
          <t>8</t>
        </is>
      </c>
      <c r="G4104" t="inlineStr">
        <is>
          <t>0</t>
        </is>
      </c>
      <c r="H4104" t="inlineStr">
        <is>
          <t>36², 72²</t>
        </is>
      </c>
      <c r="I4104" t="n">
        <v>4</v>
      </c>
      <c r="J4104" t="inlineStr">
        <is>
          <t>1², 2⁴, 4², 6², 12²</t>
        </is>
      </c>
      <c r="K4104">
        <f>HYPERLINK("CSG3.html#group24Q3", "24Q³"), =HYPERLINK("CSG6.html#group36E6", "36E⁶"), =HYPERLINK("CSG6.html#group72C6", "72C⁶"), =HYPERLINK("CSG7.html#group72B7", "72B⁷")</f>
        <v/>
      </c>
      <c r="L4104" t="inlineStr"/>
      <c r="M4104">
        <f>HYPERLINK("CSG3.html#group24Q3", "24Q³"), =HYPERLINK("CSG0.html#group12C0", "12C⁰"), =HYPERLINK("CSG6.html#group36E6", "36E⁶"), =HYPERLINK("CSG0.html#group8D0", "8D⁰"), =HYPERLINK("CSG2.html#group36B2", "36B²"), =HYPERLINK("CSG1.html#group24D1", "24D¹"), =HYPERLINK("CSG0.html#group4C0", "4C⁰"), =HYPERLINK("CSG0.html#group2B0", "2B⁰"), =HYPERLINK("CSG1.html#group12M1", "12M¹"), =HYPERLINK("CSG0.html#group1A0", "1A⁰"), =HYPERLINK("CSG6.html#group72C6", "72C⁶"), =HYPERLINK("CSG0.html#group9A0", "9A⁰"), =HYPERLINK("CSG7.html#group72B7", "72B⁷"), =HYPERLINK("CSG1.html#group24C1", "24C¹"), =HYPERLINK("CSG1.html#group18E1", "18E¹"), =HYPERLINK("CSG0.html#group3A0", "3A⁰"), =HYPERLINK("CSG0.html#group6D0", "6D⁰")</f>
        <v/>
      </c>
      <c r="N4104" t="inlineStr"/>
    </row>
    <row r="4105">
      <c r="A4105" t="inlineStr">
        <is>
          <t>72L¹⁵</t>
        </is>
      </c>
      <c r="B4105" t="inlineStr"/>
      <c r="C4105" t="inlineStr">
        <is>
          <t>216</t>
        </is>
      </c>
      <c r="D4105" t="inlineStr">
        <is>
          <t>1</t>
        </is>
      </c>
      <c r="E4105" t="inlineStr">
        <is>
          <t>108</t>
        </is>
      </c>
      <c r="F4105" t="inlineStr">
        <is>
          <t>10</t>
        </is>
      </c>
      <c r="G4105" t="inlineStr">
        <is>
          <t>0</t>
        </is>
      </c>
      <c r="H4105" t="inlineStr">
        <is>
          <t>72³</t>
        </is>
      </c>
      <c r="I4105" t="n">
        <v>3</v>
      </c>
      <c r="J4105" t="inlineStr">
        <is>
          <t>2², 4⁴, 8², 12², 24²</t>
        </is>
      </c>
      <c r="K4105">
        <f>HYPERLINK("CSG4.html#group24H4", "24H⁴"), =HYPERLINK("CSG4.html#group72A4", "72A⁴"), =HYPERLINK("CSG6.html#group36F6", "36F⁶")</f>
        <v/>
      </c>
      <c r="L4105" t="inlineStr"/>
      <c r="M4105">
        <f>HYPERLINK("CSG0.html#group12C0", "12C⁰"), =HYPERLINK("CSG2.html#group36B2", "36B²"), =HYPERLINK("CSG0.html#group4C0", "4C⁰"), =HYPERLINK("CSG0.html#group8A0", "8A⁰"), =HYPERLINK("CSG0.html#group2B0", "2B⁰"), =HYPERLINK("CSG0.html#group1A0", "1A⁰"), =HYPERLINK("CSG1.html#group8D1", "8D¹"), =HYPERLINK("CSG4.html#group72A4", "72A⁴"), =HYPERLINK("CSG1.html#group36A1", "36A¹"), =HYPERLINK("CSG6.html#group36F6", "36F⁶"), =HYPERLINK("CSG4.html#group24H4", "24H⁴"), =HYPERLINK("CSG0.html#group12A0", "12A⁰"), =HYPERLINK("CSG1.html#group24A1", "24A¹"), =HYPERLINK("CSG0.html#group4A0", "4A⁰"), =HYPERLINK("CSG0.html#group9A0", "9A⁰"), =HYPERLINK("CSG1.html#group12J1", "12J¹"), =HYPERLINK("CSG0.html#group4F0", "4F⁰"), =HYPERLINK("CSG1.html#group18E1", "18E¹"), =HYPERLINK("CSG0.html#group3A0", "3A⁰"), =HYPERLINK("CSG0.html#group6D0", "6D⁰")</f>
        <v/>
      </c>
      <c r="N4105" t="inlineStr"/>
    </row>
    <row r="4106">
      <c r="A4106" t="inlineStr">
        <is>
          <t>72M¹⁵</t>
        </is>
      </c>
      <c r="B4106" t="inlineStr"/>
      <c r="C4106" t="inlineStr">
        <is>
          <t>216</t>
        </is>
      </c>
      <c r="D4106" t="inlineStr">
        <is>
          <t>1</t>
        </is>
      </c>
      <c r="E4106" t="inlineStr">
        <is>
          <t>108</t>
        </is>
      </c>
      <c r="F4106" t="inlineStr">
        <is>
          <t>10</t>
        </is>
      </c>
      <c r="G4106" t="inlineStr">
        <is>
          <t>0</t>
        </is>
      </c>
      <c r="H4106" t="inlineStr">
        <is>
          <t>72³</t>
        </is>
      </c>
      <c r="I4106" t="n">
        <v>3</v>
      </c>
      <c r="J4106" t="inlineStr">
        <is>
          <t>2², 4⁴, 8², 12², 24²</t>
        </is>
      </c>
      <c r="K4106">
        <f>HYPERLINK("CSG4.html#group24O4", "24O⁴"), =HYPERLINK("CSG4.html#group72B4", "72B⁴"), =HYPERLINK("CSG6.html#group36F6", "36F⁶")</f>
        <v/>
      </c>
      <c r="L4106" t="inlineStr"/>
      <c r="M4106">
        <f>HYPERLINK("CSG4.html#group24O4", "24O⁴"), =HYPERLINK("CSG0.html#group12C0", "12C⁰"), =HYPERLINK("CSG4.html#group72B4", "72B⁴"), =HYPERLINK("CSG0.html#group4C0", "4C⁰"), =HYPERLINK("CSG2.html#group36B2", "36B²"), =HYPERLINK("CSG0.html#group2B0", "2B⁰"), =HYPERLINK("CSG1.html#group24B1", "24B¹"), =HYPERLINK("CSG0.html#group1A0", "1A⁰"), =HYPERLINK("CSG1.html#group36A1", "36A¹"), =HYPERLINK("CSG6.html#group36F6", "36F⁶"), =HYPERLINK("CSG0.html#group12A0", "12A⁰"), =HYPERLINK("CSG0.html#group4A0", "4A⁰"), =HYPERLINK("CSG0.html#group9A0", "9A⁰"), =HYPERLINK("CSG1.html#group12J1", "12J¹"), =HYPERLINK("CSG0.html#group4F0", "4F⁰"), =HYPERLINK("CSG1.html#group18E1", "18E¹"), =HYPERLINK("CSG0.html#group3A0", "3A⁰"), =HYPERLINK("CSG0.html#group6D0", "6D⁰")</f>
        <v/>
      </c>
      <c r="N4106" t="inlineStr"/>
    </row>
    <row r="4107">
      <c r="A4107" t="inlineStr">
        <is>
          <t>72N¹⁵</t>
        </is>
      </c>
      <c r="B4107" t="inlineStr"/>
      <c r="C4107" t="inlineStr">
        <is>
          <t>216</t>
        </is>
      </c>
      <c r="D4107" t="inlineStr">
        <is>
          <t>2</t>
        </is>
      </c>
      <c r="E4107" t="inlineStr">
        <is>
          <t>27</t>
        </is>
      </c>
      <c r="F4107" t="inlineStr">
        <is>
          <t>8</t>
        </is>
      </c>
      <c r="G4107" t="inlineStr">
        <is>
          <t>0</t>
        </is>
      </c>
      <c r="H4107" t="inlineStr">
        <is>
          <t>36², 72²</t>
        </is>
      </c>
      <c r="I4107" t="n">
        <v>4</v>
      </c>
      <c r="J4107" t="inlineStr">
        <is>
          <t>2⁹, 6⁶</t>
        </is>
      </c>
      <c r="K4107">
        <f>HYPERLINK("CSG3.html#group24H3", "24H³"), =HYPERLINK("CSG5.html#group72A5", "72A⁵"), =HYPERLINK("CSG7.html#group36E7", "36E⁷"), =HYPERLINK("CSG7.html#group72B7", "72B⁷")</f>
        <v/>
      </c>
      <c r="L4107" t="inlineStr"/>
      <c r="M4107">
        <f>HYPERLINK("CSG0.html#group12C0", "12C⁰"), =HYPERLINK("CSG0.html#group4C0", "4C⁰"), =HYPERLINK("CSG1.html#group24D1", "24D¹"), =HYPERLINK("CSG2.html#group36B2", "36B²"), =HYPERLINK("CSG0.html#group6G0", "6G⁰"), =HYPERLINK("CSG4.html#group36E4", "36E⁴"), =HYPERLINK("CSG5.html#group72A5", "72A⁵"), =HYPERLINK("CSG0.html#group2B0", "2B⁰"), =HYPERLINK("CSG1.html#group12L1", "12L¹"), =HYPERLINK("CSG0.html#group1A0", "1A⁰"), =HYPERLINK("CSG1.html#group9B1", "9B¹"), =HYPERLINK("CSG3.html#group18E3", "18E³"), =HYPERLINK("CSG1.html#group12C1", "12C¹"), =HYPERLINK("CSG3.html#group24H3", "24H³"), =HYPERLINK("CSG0.html#group9A0", "9A⁰"), =HYPERLINK("CSG7.html#group36E7", "36E⁷"), =HYPERLINK("CSG7.html#group72B7", "72B⁷"), =HYPERLINK("CSG0.html#group3C0", "3C⁰"), =HYPERLINK("CSG1.html#group18E1", "18E¹"), =HYPERLINK("CSG0.html#group3A0", "3A⁰"), =HYPERLINK("CSG0.html#group6D0", "6D⁰")</f>
        <v/>
      </c>
      <c r="N4107" t="inlineStr"/>
    </row>
    <row r="4108">
      <c r="A4108" t="inlineStr">
        <is>
          <t>72O¹⁵</t>
        </is>
      </c>
      <c r="B4108" t="inlineStr"/>
      <c r="C4108" t="inlineStr">
        <is>
          <t>216</t>
        </is>
      </c>
      <c r="D4108" t="inlineStr">
        <is>
          <t>2</t>
        </is>
      </c>
      <c r="E4108" t="inlineStr">
        <is>
          <t>27</t>
        </is>
      </c>
      <c r="F4108" t="inlineStr">
        <is>
          <t>8</t>
        </is>
      </c>
      <c r="G4108" t="inlineStr">
        <is>
          <t>0</t>
        </is>
      </c>
      <c r="H4108" t="inlineStr">
        <is>
          <t>36², 72²</t>
        </is>
      </c>
      <c r="I4108" t="n">
        <v>4</v>
      </c>
      <c r="J4108" t="inlineStr">
        <is>
          <t>2⁹, 6⁶</t>
        </is>
      </c>
      <c r="K4108">
        <f>HYPERLINK("CSG3.html#group24I3", "24I³"), =HYPERLINK("CSG4.html#group72E4", "72E⁴"), =HYPERLINK("CSG7.html#group36E7", "36E⁷"), =HYPERLINK("CSG8.html#group72D8", "72D⁸")</f>
        <v/>
      </c>
      <c r="L4108" t="inlineStr"/>
      <c r="M4108">
        <f>HYPERLINK("CSG0.html#group12C0", "12C⁰"), =HYPERLINK("CSG4.html#group72E4", "72E⁴"), =HYPERLINK("CSG0.html#group4C0", "4C⁰"), =HYPERLINK("CSG2.html#group36B2", "36B²"), =HYPERLINK("CSG3.html#group24I3", "24I³"), =HYPERLINK("CSG0.html#group8B0", "8B⁰"), =HYPERLINK("CSG0.html#group6G0", "6G⁰"), =HYPERLINK("CSG4.html#group36E4", "36E⁴"), =HYPERLINK("CSG0.html#group2B0", "2B⁰"), =HYPERLINK("CSG2.html#group24C2", "24C²"), =HYPERLINK("CSG0.html#group1A0", "1A⁰"), =HYPERLINK("CSG1.html#group12L1", "12L¹"), =HYPERLINK("CSG1.html#group9B1", "9B¹"), =HYPERLINK("CSG3.html#group18E3", "18E³"), =HYPERLINK("CSG1.html#group12C1", "12C¹"), =HYPERLINK("CSG0.html#group24A0", "24A⁰"), =HYPERLINK("CSG0.html#group9A0", "9A⁰"), =HYPERLINK("CSG7.html#group36E7", "36E⁷"), =HYPERLINK("CSG0.html#group3C0", "3C⁰"), =HYPERLINK("CSG8.html#group72D8", "72D⁸"), =HYPERLINK("CSG1.html#group18E1", "18E¹"), =HYPERLINK("CSG0.html#group3A0", "3A⁰"), =HYPERLINK("CSG0.html#group6D0", "6D⁰")</f>
        <v/>
      </c>
      <c r="N4108" t="inlineStr"/>
    </row>
    <row r="4109">
      <c r="A4109" t="inlineStr">
        <is>
          <t>72P¹⁵</t>
        </is>
      </c>
      <c r="B4109" t="inlineStr"/>
      <c r="C4109" t="inlineStr">
        <is>
          <t>216</t>
        </is>
      </c>
      <c r="D4109" t="inlineStr">
        <is>
          <t>2</t>
        </is>
      </c>
      <c r="E4109" t="inlineStr">
        <is>
          <t>27</t>
        </is>
      </c>
      <c r="F4109" t="inlineStr">
        <is>
          <t>8</t>
        </is>
      </c>
      <c r="G4109" t="inlineStr">
        <is>
          <t>0</t>
        </is>
      </c>
      <c r="H4109" t="inlineStr">
        <is>
          <t>36², 72²</t>
        </is>
      </c>
      <c r="I4109" t="n">
        <v>4</v>
      </c>
      <c r="J4109" t="inlineStr">
        <is>
          <t>2⁹, 6⁶</t>
        </is>
      </c>
      <c r="K4109">
        <f>HYPERLINK("CSG3.html#group24S3", "24S³"), =HYPERLINK("CSG4.html#group36R4", "36R⁴"), =HYPERLINK("CSG7.html#group72B7", "72B⁷"), =HYPERLINK("CSG8.html#group72D8", "72D⁸")</f>
        <v/>
      </c>
      <c r="L4109" t="inlineStr"/>
      <c r="M4109">
        <f>HYPERLINK("CSG0.html#group6B0", "6B⁰"), =HYPERLINK("CSG0.html#group12C0", "12C⁰"), =HYPERLINK("CSG0.html#group6H0", "6H⁰"), =HYPERLINK("CSG2.html#group36B2", "36B²"), =HYPERLINK("CSG1.html#group24D1", "24D¹"), =HYPERLINK("CSG0.html#group4C0", "4C⁰"), =HYPERLINK("CSG4.html#group36R4", "36R⁴"), =HYPERLINK("CSG0.html#group2B0", "2B⁰"), =HYPERLINK("CSG2.html#group24C2", "24C²"), =HYPERLINK("CSG0.html#group12H0", "12H⁰"), =HYPERLINK("CSG0.html#group1A0", "1A⁰"), =HYPERLINK("CSG0.html#group18A0", "18A⁰"), =HYPERLINK("CSG2.html#group18L2", "18L²"), =HYPERLINK("CSG3.html#group24S3", "24S³"), =HYPERLINK("CSG0.html#group9A0", "9A⁰"), =HYPERLINK("CSG7.html#group72B7", "72B⁷"), =HYPERLINK("CSG8.html#group72D8", "72D⁸"), =HYPERLINK("CSG0.html#group12D0", "12D⁰"), =HYPERLINK("CSG1.html#group18E1", "18E¹"), =HYPERLINK("CSG0.html#group3A0", "3A⁰"), =HYPERLINK("CSG0.html#group6D0", "6D⁰"), =HYPERLINK("CSG2.html#group36C2", "36C²")</f>
        <v/>
      </c>
      <c r="N4109" t="inlineStr"/>
    </row>
    <row r="4110">
      <c r="A4110" t="inlineStr">
        <is>
          <t>72Q¹⁵</t>
        </is>
      </c>
      <c r="B4110" t="inlineStr"/>
      <c r="C4110" t="inlineStr">
        <is>
          <t>216</t>
        </is>
      </c>
      <c r="D4110" t="inlineStr">
        <is>
          <t>2</t>
        </is>
      </c>
      <c r="E4110" t="inlineStr">
        <is>
          <t>27</t>
        </is>
      </c>
      <c r="F4110" t="inlineStr">
        <is>
          <t>8</t>
        </is>
      </c>
      <c r="G4110" t="inlineStr">
        <is>
          <t>0</t>
        </is>
      </c>
      <c r="H4110" t="inlineStr">
        <is>
          <t>36², 72²</t>
        </is>
      </c>
      <c r="I4110" t="n">
        <v>4</v>
      </c>
      <c r="J4110" t="inlineStr">
        <is>
          <t>2⁹, 6⁶</t>
        </is>
      </c>
      <c r="K4110">
        <f>HYPERLINK("CSG3.html#group24S3", "24S³"), =HYPERLINK("CSG5.html#group72A5", "72A⁵"), =HYPERLINK("CSG6.html#group36C6", "36C⁶"), =HYPERLINK("CSG8.html#group72D8", "72D⁸")</f>
        <v/>
      </c>
      <c r="L4110" t="inlineStr"/>
      <c r="M4110">
        <f>HYPERLINK("CSG0.html#group6B0", "6B⁰"), =HYPERLINK("CSG0.html#group12C0", "12C⁰"), =HYPERLINK("CSG0.html#group6H0", "6H⁰"), =HYPERLINK("CSG2.html#group36B2", "36B²"), =HYPERLINK("CSG0.html#group4C0", "4C⁰"), =HYPERLINK("CSG1.html#group24D1", "24D¹"), =HYPERLINK("CSG1.html#group18B1", "18B¹"), =HYPERLINK("CSG5.html#group72A5", "72A⁵"), =HYPERLINK("CSG0.html#group2B0", "2B⁰"), =HYPERLINK("CSG2.html#group24C2", "24C²"), =HYPERLINK("CSG0.html#group12H0", "12H⁰"), =HYPERLINK("CSG0.html#group1A0", "1A⁰"), =HYPERLINK("CSG3.html#group18D3", "18D³"), =HYPERLINK("CSG3.html#group24S3", "24S³"), =HYPERLINK("CSG6.html#group36C6", "36C⁶"), =HYPERLINK("CSG0.html#group9A0", "9A⁰"), =HYPERLINK("CSG8.html#group72D8", "72D⁸"), =HYPERLINK("CSG0.html#group12D0", "12D⁰"), =HYPERLINK("CSG1.html#group18E1", "18E¹"), =HYPERLINK("CSG0.html#group3A0", "3A⁰"), =HYPERLINK("CSG3.html#group36D3", "36D³"), =HYPERLINK("CSG1.html#group18A1", "18A¹"), =HYPERLINK("CSG0.html#group6D0", "6D⁰")</f>
        <v/>
      </c>
      <c r="N4110" t="inlineStr"/>
    </row>
    <row r="4111">
      <c r="A4111" t="inlineStr">
        <is>
          <t>72R¹⁵</t>
        </is>
      </c>
      <c r="B4111" t="inlineStr"/>
      <c r="C4111" t="inlineStr">
        <is>
          <t>216</t>
        </is>
      </c>
      <c r="D4111" t="inlineStr">
        <is>
          <t>2</t>
        </is>
      </c>
      <c r="E4111" t="inlineStr">
        <is>
          <t>54</t>
        </is>
      </c>
      <c r="F4111" t="inlineStr">
        <is>
          <t>0</t>
        </is>
      </c>
      <c r="G4111" t="inlineStr">
        <is>
          <t>0</t>
        </is>
      </c>
      <c r="H4111" t="inlineStr">
        <is>
          <t>9⁴, 18², 72²</t>
        </is>
      </c>
      <c r="I4111" t="n">
        <v>8</v>
      </c>
      <c r="J4111" t="inlineStr">
        <is>
          <t>2¹², 4³, 6⁸, 12²</t>
        </is>
      </c>
      <c r="K4111">
        <f>HYPERLINK("CSG3.html#group24K3", "24K³"), =HYPERLINK("CSG7.html#group36D7", "36D⁷"), =HYPERLINK("CSG8.html#group72C8", "72C⁸"), =HYPERLINK("CSG8.html#group72E8", "72E⁸")</f>
        <v/>
      </c>
      <c r="L4111" t="inlineStr"/>
      <c r="M4111">
        <f>HYPERLINK("CSG8.html#group72E8", "72E⁸"), =HYPERLINK("CSG1.html#group12K1", "12K¹"), =HYPERLINK("CSG0.html#group6G0", "6G⁰"), =HYPERLINK("CSG0.html#group2B0", "2B⁰"), =HYPERLINK("CSG0.html#group4B0", "4B⁰"), =HYPERLINK("CSG7.html#group36D7", "36D⁷"), =HYPERLINK("CSG0.html#group1A0", "1A⁰"), =HYPERLINK("CSG1.html#group9B1", "9B¹"), =HYPERLINK("CSG3.html#group18E3", "18E³"), =HYPERLINK("CSG8.html#group72C8", "72C⁸"), =HYPERLINK("CSG0.html#group9A0", "9A⁰"), =HYPERLINK("CSG4.html#group36D4", "36D⁴"), =HYPERLINK("CSG2.html#group24D2", "24D²"), =HYPERLINK("CSG0.html#group3C0", "3C⁰"), =HYPERLINK("CSG1.html#group12B1", "12B¹"), =HYPERLINK("CSG3.html#group24K3", "24K³"), =HYPERLINK("CSG0.html#group12D0", "12D⁰"), =HYPERLINK("CSG1.html#group18E1", "18E¹"), =HYPERLINK("CSG0.html#group3A0", "3A⁰"), =HYPERLINK("CSG0.html#group6D0", "6D⁰"), =HYPERLINK("CSG2.html#group36C2", "36C²")</f>
        <v/>
      </c>
      <c r="N4111" t="inlineStr"/>
    </row>
    <row r="4112">
      <c r="A4112" t="inlineStr">
        <is>
          <t>72S¹⁵</t>
        </is>
      </c>
      <c r="B4112" t="inlineStr"/>
      <c r="C4112" t="inlineStr">
        <is>
          <t>216</t>
        </is>
      </c>
      <c r="D4112" t="inlineStr">
        <is>
          <t>2</t>
        </is>
      </c>
      <c r="E4112" t="inlineStr">
        <is>
          <t>54</t>
        </is>
      </c>
      <c r="F4112" t="inlineStr">
        <is>
          <t>0</t>
        </is>
      </c>
      <c r="G4112" t="inlineStr">
        <is>
          <t>0</t>
        </is>
      </c>
      <c r="H4112" t="inlineStr">
        <is>
          <t>9⁴, 18², 72²</t>
        </is>
      </c>
      <c r="I4112" t="n">
        <v>8</v>
      </c>
      <c r="J4112" t="inlineStr">
        <is>
          <t>2¹², 4³, 6⁸, 12²</t>
        </is>
      </c>
      <c r="K4112">
        <f>HYPERLINK("CSG3.html#group24L3", "24L³"), =HYPERLINK("CSG7.html#group36D7", "36D⁷"), =HYPERLINK("CSG8.html#group72B8", "72B⁸"), =HYPERLINK("CSG8.html#group72E8", "72E⁸")</f>
        <v/>
      </c>
      <c r="L4112" t="inlineStr"/>
      <c r="M4112">
        <f>HYPERLINK("CSG8.html#group72E8", "72E⁸"), =HYPERLINK("CSG1.html#group12K1", "12K¹"), =HYPERLINK("CSG8.html#group72B8", "72B⁸"), =HYPERLINK("CSG0.html#group6G0", "6G⁰"), =HYPERLINK("CSG0.html#group2B0", "2B⁰"), =HYPERLINK("CSG0.html#group8C0", "8C⁰"), =HYPERLINK("CSG0.html#group4B0", "4B⁰"), =HYPERLINK("CSG7.html#group36D7", "36D⁷"), =HYPERLINK("CSG0.html#group1A0", "1A⁰"), =HYPERLINK("CSG1.html#group9B1", "9B¹"), =HYPERLINK("CSG3.html#group18E3", "18E³"), =HYPERLINK("CSG2.html#group24B2", "24B²"), =HYPERLINK("CSG0.html#group9A0", "9A⁰"), =HYPERLINK("CSG4.html#group36D4", "36D⁴"), =HYPERLINK("CSG2.html#group24D2", "24D²"), =HYPERLINK("CSG0.html#group3C0", "3C⁰"), =HYPERLINK("CSG1.html#group12B1", "12B¹"), =HYPERLINK("CSG0.html#group12D0", "12D⁰"), =HYPERLINK("CSG1.html#group18E1", "18E¹"), =HYPERLINK("CSG0.html#group3A0", "3A⁰"), =HYPERLINK("CSG3.html#group24L3", "24L³"), =HYPERLINK("CSG0.html#group6D0", "6D⁰"), =HYPERLINK("CSG2.html#group36C2", "36C²")</f>
        <v/>
      </c>
      <c r="N4112" t="inlineStr"/>
    </row>
    <row r="4113">
      <c r="A4113" t="inlineStr">
        <is>
          <t>72T¹⁵</t>
        </is>
      </c>
      <c r="B4113" t="inlineStr"/>
      <c r="C4113" t="inlineStr">
        <is>
          <t>216</t>
        </is>
      </c>
      <c r="D4113" t="inlineStr">
        <is>
          <t>2</t>
        </is>
      </c>
      <c r="E4113" t="inlineStr">
        <is>
          <t>54</t>
        </is>
      </c>
      <c r="F4113" t="inlineStr">
        <is>
          <t>4</t>
        </is>
      </c>
      <c r="G4113" t="inlineStr">
        <is>
          <t>0</t>
        </is>
      </c>
      <c r="H4113" t="inlineStr">
        <is>
          <t>18⁴, 72²</t>
        </is>
      </c>
      <c r="I4113" t="n">
        <v>6</v>
      </c>
      <c r="J4113" t="inlineStr">
        <is>
          <t>4⁹, 12⁶</t>
        </is>
      </c>
      <c r="K4113">
        <f>HYPERLINK("CSG3.html#group24M3", "24M³"), =HYPERLINK("CSG6.html#group36H6", "36H⁶")</f>
        <v/>
      </c>
      <c r="L4113" t="inlineStr"/>
      <c r="M4113">
        <f>HYPERLINK("CSG0.html#group6G0", "6G⁰"), =HYPERLINK("CSG3.html#group24M3", "24M³"), =HYPERLINK("CSG0.html#group2B0", "2B⁰"), =HYPERLINK("CSG0.html#group1A0", "1A⁰"), =HYPERLINK("CSG1.html#group9B1", "9B¹"), =HYPERLINK("CSG3.html#group18E3", "18E³"), =HYPERLINK("CSG6.html#group36H6", "36H⁶"), =HYPERLINK("CSG0.html#group12G0", "12G⁰"), =HYPERLINK("CSG0.html#group9A0", "9A⁰"), =HYPERLINK("CSG0.html#group3C0", "3C⁰"), =HYPERLINK("CSG0.html#group12D0", "12D⁰"), =HYPERLINK("CSG1.html#group18E1", "18E¹"), =HYPERLINK("CSG0.html#group3A0", "3A⁰"), =HYPERLINK("CSG3.html#group36D3", "36D³"), =HYPERLINK("CSG0.html#group6D0", "6D⁰"), =HYPERLINK("CSG2.html#group36C2", "36C²")</f>
        <v/>
      </c>
      <c r="N4113" t="inlineStr"/>
    </row>
    <row r="4114">
      <c r="A4114" t="inlineStr">
        <is>
          <t>72U¹⁵</t>
        </is>
      </c>
      <c r="B4114" t="inlineStr"/>
      <c r="C4114" t="inlineStr">
        <is>
          <t>216</t>
        </is>
      </c>
      <c r="D4114" t="inlineStr">
        <is>
          <t>2</t>
        </is>
      </c>
      <c r="E4114" t="inlineStr">
        <is>
          <t>54</t>
        </is>
      </c>
      <c r="F4114" t="inlineStr">
        <is>
          <t>4</t>
        </is>
      </c>
      <c r="G4114" t="inlineStr">
        <is>
          <t>0</t>
        </is>
      </c>
      <c r="H4114" t="inlineStr">
        <is>
          <t>18⁴, 72²</t>
        </is>
      </c>
      <c r="I4114" t="n">
        <v>6</v>
      </c>
      <c r="J4114" t="inlineStr">
        <is>
          <t>2⁶, 4⁶, 6⁴, 12⁴</t>
        </is>
      </c>
      <c r="K4114">
        <f>HYPERLINK("CSG3.html#group24N3", "24N³"), =HYPERLINK("CSG6.html#group72D6", "72D⁶"), =HYPERLINK("CSG6.html#group72E6", "72E⁶"), =HYPERLINK("CSG7.html#group36E7", "36E⁷")</f>
        <v/>
      </c>
      <c r="L4114" t="inlineStr"/>
      <c r="M4114">
        <f>HYPERLINK("CSG1.html#group24E1", "24E¹"), =HYPERLINK("CSG0.html#group12C0", "12C⁰"), =HYPERLINK("CSG2.html#group36B2", "36B²"), =HYPERLINK("CSG0.html#group4C0", "4C⁰"), =HYPERLINK("CSG0.html#group6G0", "6G⁰"), =HYPERLINK("CSG4.html#group36E4", "36E⁴"), =HYPERLINK("CSG0.html#group2B0", "2B⁰"), =HYPERLINK("CSG0.html#group1A0", "1A⁰"), =HYPERLINK("CSG1.html#group12L1", "12L¹"), =HYPERLINK("CSG1.html#group9B1", "9B¹"), =HYPERLINK("CSG3.html#group18E3", "18E³"), =HYPERLINK("CSG6.html#group72E6", "72E⁶"), =HYPERLINK("CSG1.html#group12C1", "12C¹"), =HYPERLINK("CSG6.html#group72D6", "72D⁶"), =HYPERLINK("CSG3.html#group24N3", "24N³"), =HYPERLINK("CSG0.html#group9A0", "9A⁰"), =HYPERLINK("CSG7.html#group36E7", "36E⁷"), =HYPERLINK("CSG0.html#group3C0", "3C⁰"), =HYPERLINK("CSG1.html#group18E1", "18E¹"), =HYPERLINK("CSG0.html#group3A0", "3A⁰"), =HYPERLINK("CSG0.html#group6D0", "6D⁰")</f>
        <v/>
      </c>
      <c r="N4114" t="inlineStr"/>
    </row>
    <row r="4115">
      <c r="A4115" t="inlineStr">
        <is>
          <t>72V¹⁵</t>
        </is>
      </c>
      <c r="B4115" t="inlineStr"/>
      <c r="C4115" t="inlineStr">
        <is>
          <t>216</t>
        </is>
      </c>
      <c r="D4115" t="inlineStr">
        <is>
          <t>2</t>
        </is>
      </c>
      <c r="E4115" t="inlineStr">
        <is>
          <t>54</t>
        </is>
      </c>
      <c r="F4115" t="inlineStr">
        <is>
          <t>4</t>
        </is>
      </c>
      <c r="G4115" t="inlineStr">
        <is>
          <t>0</t>
        </is>
      </c>
      <c r="H4115" t="inlineStr">
        <is>
          <t>18⁴, 72²</t>
        </is>
      </c>
      <c r="I4115" t="n">
        <v>6</v>
      </c>
      <c r="J4115" t="inlineStr">
        <is>
          <t>2⁶, 4⁶, 6⁴, 12⁴</t>
        </is>
      </c>
      <c r="K4115">
        <f>HYPERLINK("CSG3.html#group24O3", "24O³"), =HYPERLINK("CSG6.html#group72C6", "72C⁶"), =HYPERLINK("CSG6.html#group72E6", "72E⁶"), =HYPERLINK("CSG7.html#group36E7", "36E⁷")</f>
        <v/>
      </c>
      <c r="L4115" t="inlineStr"/>
      <c r="M4115">
        <f>HYPERLINK("CSG1.html#group24E1", "24E¹"), =HYPERLINK("CSG0.html#group12C0", "12C⁰"), =HYPERLINK("CSG0.html#group8D0", "8D⁰"), =HYPERLINK("CSG2.html#group36B2", "36B²"), =HYPERLINK("CSG0.html#group4C0", "4C⁰"), =HYPERLINK("CSG0.html#group6G0", "6G⁰"), =HYPERLINK("CSG4.html#group36E4", "36E⁴"), =HYPERLINK("CSG0.html#group2B0", "2B⁰"), =HYPERLINK("CSG0.html#group1A0", "1A⁰"), =HYPERLINK("CSG3.html#group24O3", "24O³"), =HYPERLINK("CSG1.html#group12L1", "12L¹"), =HYPERLINK("CSG1.html#group9B1", "9B¹"), =HYPERLINK("CSG3.html#group18E3", "18E³"), =HYPERLINK("CSG6.html#group72C6", "72C⁶"), =HYPERLINK("CSG6.html#group72E6", "72E⁶"), =HYPERLINK("CSG1.html#group12C1", "12C¹"), =HYPERLINK("CSG0.html#group9A0", "9A⁰"), =HYPERLINK("CSG7.html#group36E7", "36E⁷"), =HYPERLINK("CSG1.html#group24C1", "24C¹"), =HYPERLINK("CSG0.html#group3C0", "3C⁰"), =HYPERLINK("CSG1.html#group18E1", "18E¹"), =HYPERLINK("CSG0.html#group3A0", "3A⁰"), =HYPERLINK("CSG0.html#group6D0", "6D⁰")</f>
        <v/>
      </c>
      <c r="N4115" t="inlineStr"/>
    </row>
    <row r="4116">
      <c r="A4116" t="inlineStr">
        <is>
          <t>72W¹⁵</t>
        </is>
      </c>
      <c r="B4116" t="inlineStr"/>
      <c r="C4116" t="inlineStr">
        <is>
          <t>216</t>
        </is>
      </c>
      <c r="D4116" t="inlineStr">
        <is>
          <t>2</t>
        </is>
      </c>
      <c r="E4116" t="inlineStr">
        <is>
          <t>54</t>
        </is>
      </c>
      <c r="F4116" t="inlineStr">
        <is>
          <t>8</t>
        </is>
      </c>
      <c r="G4116" t="inlineStr">
        <is>
          <t>0</t>
        </is>
      </c>
      <c r="H4116" t="inlineStr">
        <is>
          <t>36², 72²</t>
        </is>
      </c>
      <c r="I4116" t="n">
        <v>4</v>
      </c>
      <c r="J4116" t="inlineStr">
        <is>
          <t>2⁶, 4⁶, 6⁴, 12⁴</t>
        </is>
      </c>
      <c r="K4116">
        <f>HYPERLINK("CSG3.html#group24T3", "24T³"), =HYPERLINK("CSG6.html#group36I6", "36I⁶"), =HYPERLINK("CSG6.html#group72E6", "72E⁶"), =HYPERLINK("CSG7.html#group72B7", "72B⁷")</f>
        <v/>
      </c>
      <c r="L4116" t="inlineStr"/>
      <c r="M4116">
        <f>HYPERLINK("CSG1.html#group24E1", "24E¹"), =HYPERLINK("CSG0.html#group12C0", "12C⁰"), =HYPERLINK("CSG6.html#group72E6", "72E⁶"), =HYPERLINK("CSG6.html#group36I6", "36I⁶"), =HYPERLINK("CSG0.html#group9A0", "9A⁰"), =HYPERLINK("CSG2.html#group36B2", "36B²"), =HYPERLINK("CSG1.html#group24D1", "24D¹"), =HYPERLINK("CSG7.html#group72B7", "72B⁷"), =HYPERLINK("CSG3.html#group24T3", "24T³"), =HYPERLINK("CSG0.html#group4C0", "4C⁰"), =HYPERLINK("CSG0.html#group2B0", "2B⁰"), =HYPERLINK("CSG1.html#group12M1", "12M¹"), =HYPERLINK("CSG1.html#group18E1", "18E¹"), =HYPERLINK("CSG0.html#group3A0", "3A⁰"), =HYPERLINK("CSG0.html#group1A0", "1A⁰"), =HYPERLINK("CSG0.html#group6D0", "6D⁰")</f>
        <v/>
      </c>
      <c r="N4116" t="inlineStr"/>
    </row>
    <row r="4117">
      <c r="A4117" t="inlineStr">
        <is>
          <t>72X¹⁵</t>
        </is>
      </c>
      <c r="B4117" t="inlineStr"/>
      <c r="C4117" t="inlineStr">
        <is>
          <t>216</t>
        </is>
      </c>
      <c r="D4117" t="inlineStr">
        <is>
          <t>2</t>
        </is>
      </c>
      <c r="E4117" t="inlineStr">
        <is>
          <t>108</t>
        </is>
      </c>
      <c r="F4117" t="inlineStr">
        <is>
          <t>10</t>
        </is>
      </c>
      <c r="G4117" t="inlineStr">
        <is>
          <t>0</t>
        </is>
      </c>
      <c r="H4117" t="inlineStr">
        <is>
          <t>72³</t>
        </is>
      </c>
      <c r="I4117" t="n">
        <v>3</v>
      </c>
      <c r="J4117" t="inlineStr">
        <is>
          <t>4⁶, 8⁶, 12⁴, 24⁴</t>
        </is>
      </c>
      <c r="K4117">
        <f>HYPERLINK("CSG4.html#group24O4", "24O⁴"), =HYPERLINK("CSG4.html#group72C4", "72C⁴"), =HYPERLINK("CSG4.html#group72D4", "72D⁴"), =HYPERLINK("CSG6.html#group36F6", "36F⁶")</f>
        <v/>
      </c>
      <c r="L4117" t="inlineStr"/>
      <c r="M4117">
        <f>HYPERLINK("CSG4.html#group24O4", "24O⁴"), =HYPERLINK("CSG0.html#group12C0", "12C⁰"), =HYPERLINK("CSG0.html#group4C0", "4C⁰"), =HYPERLINK("CSG2.html#group36B2", "36B²"), =HYPERLINK("CSG4.html#group72C4", "72C⁴"), =HYPERLINK("CSG0.html#group2B0", "2B⁰"), =HYPERLINK("CSG1.html#group24B1", "24B¹"), =HYPERLINK("CSG4.html#group72D4", "72D⁴"), =HYPERLINK("CSG0.html#group1A0", "1A⁰"), =HYPERLINK("CSG1.html#group36A1", "36A¹"), =HYPERLINK("CSG6.html#group36F6", "36F⁶"), =HYPERLINK("CSG0.html#group12A0", "12A⁰"), =HYPERLINK("CSG0.html#group4A0", "4A⁰"), =HYPERLINK("CSG0.html#group9A0", "9A⁰"), =HYPERLINK("CSG1.html#group12J1", "12J¹"), =HYPERLINK("CSG0.html#group4F0", "4F⁰"), =HYPERLINK("CSG1.html#group18E1", "18E¹"), =HYPERLINK("CSG0.html#group3A0", "3A⁰"), =HYPERLINK("CSG0.html#group6D0", "6D⁰")</f>
        <v/>
      </c>
      <c r="N4117" t="inlineStr"/>
    </row>
    <row r="4118">
      <c r="A4118" t="inlineStr">
        <is>
          <t>72Y¹⁵</t>
        </is>
      </c>
      <c r="B4118" t="inlineStr"/>
      <c r="C4118" t="inlineStr">
        <is>
          <t>288</t>
        </is>
      </c>
      <c r="D4118" t="inlineStr">
        <is>
          <t>1</t>
        </is>
      </c>
      <c r="E4118" t="inlineStr">
        <is>
          <t>48</t>
        </is>
      </c>
      <c r="F4118" t="inlineStr">
        <is>
          <t>0</t>
        </is>
      </c>
      <c r="G4118" t="inlineStr">
        <is>
          <t>0</t>
        </is>
      </c>
      <c r="H4118" t="inlineStr">
        <is>
          <t>4¹², 8³, 36⁴, 72¹</t>
        </is>
      </c>
      <c r="I4118" t="n">
        <v>20</v>
      </c>
      <c r="J4118" t="inlineStr">
        <is>
          <t>2⁴, 4⁶, 8²</t>
        </is>
      </c>
      <c r="K4118">
        <f>HYPERLINK("CSG4.html#group24R4", "24R⁴"), =HYPERLINK("CSG7.html#group36I7", "36I⁷")</f>
        <v/>
      </c>
      <c r="L4118" t="inlineStr"/>
      <c r="M4118">
        <f>HYPERLINK("CSG0.html#group3B0", "3B⁰"), =HYPERLINK("CSG1.html#group12F1", "12F¹"), =HYPERLINK("CSG0.html#group4C0", "4C⁰"), =HYPERLINK("CSG0.html#group9B0", "9B⁰"), =HYPERLINK("CSG0.html#group2B0", "2B⁰"), =HYPERLINK("CSG0.html#group1A0", "1A⁰"), =HYPERLINK("CSG0.html#group8K0", "8K⁰"), =HYPERLINK("CSG7.html#group36I7", "36I⁷"), =HYPERLINK("CSG0.html#group18E0", "18E⁰"), =HYPERLINK("CSG0.html#group4A0", "4A⁰"), =HYPERLINK("CSG1.html#group12A1", "12A¹"), =HYPERLINK("CSG4.html#group24R4", "24R⁴"), =HYPERLINK("CSG2.html#group12G2", "12G²"), =HYPERLINK("CSG0.html#group4F0", "4F⁰"), =HYPERLINK("CSG3.html#group36B3", "36B³"), =HYPERLINK("CSG0.html#group6F0", "6F⁰"), =HYPERLINK("CSG3.html#group36G3", "36G³")</f>
        <v/>
      </c>
      <c r="N4118" t="inlineStr"/>
    </row>
    <row r="4119">
      <c r="A4119" t="inlineStr">
        <is>
          <t>72Z¹⁵</t>
        </is>
      </c>
      <c r="B4119" t="inlineStr"/>
      <c r="C4119" t="inlineStr">
        <is>
          <t>288</t>
        </is>
      </c>
      <c r="D4119" t="inlineStr">
        <is>
          <t>2</t>
        </is>
      </c>
      <c r="E4119" t="inlineStr">
        <is>
          <t>144</t>
        </is>
      </c>
      <c r="F4119" t="inlineStr">
        <is>
          <t>32</t>
        </is>
      </c>
      <c r="G4119" t="inlineStr">
        <is>
          <t>0</t>
        </is>
      </c>
      <c r="H4119" t="inlineStr">
        <is>
          <t>72⁴</t>
        </is>
      </c>
      <c r="I4119" t="n">
        <v>4</v>
      </c>
      <c r="J4119" t="inlineStr">
        <is>
          <t>8¹², 24⁸</t>
        </is>
      </c>
      <c r="K4119">
        <f>HYPERLINK("CSG2.html#group36D2", "36D²"), =HYPERLINK("CSG3.html#group24AB3", "24AB³"), =HYPERLINK("CSG7.html#group72E7", "72E⁷")</f>
        <v/>
      </c>
      <c r="L4119" t="inlineStr"/>
      <c r="M4119">
        <f>HYPERLINK("CSG1.html#group36A1", "36A¹"), =HYPERLINK("CSG1.html#group24F1", "24F¹"), =HYPERLINK("CSG2.html#group36D2", "36D²"), =HYPERLINK("CSG0.html#group12A0", "12A⁰"), =HYPERLINK("CSG0.html#group6B0", "6B⁰"), =HYPERLINK("CSG0.html#group8F0", "8F⁰"), =HYPERLINK("CSG0.html#group4A0", "4A⁰"), =HYPERLINK("CSG0.html#group9A0", "9A⁰"), =HYPERLINK("CSG0.html#group12F0", "12F⁰"), =HYPERLINK("CSG3.html#group24AB3", "24AB³"), =HYPERLINK("CSG0.html#group3A0", "3A⁰"), =HYPERLINK("CSG0.html#group1A0", "1A⁰"), =HYPERLINK("CSG0.html#group18A0", "18A⁰"), =HYPERLINK("CSG7.html#group72E7", "72E⁷")</f>
        <v/>
      </c>
      <c r="N4119" t="inlineStr"/>
    </row>
    <row r="4120">
      <c r="A4120" t="inlineStr">
        <is>
          <t>76A¹⁵</t>
        </is>
      </c>
      <c r="B4120" t="inlineStr"/>
      <c r="C4120" t="inlineStr">
        <is>
          <t>228</t>
        </is>
      </c>
      <c r="D4120" t="inlineStr">
        <is>
          <t>2</t>
        </is>
      </c>
      <c r="E4120" t="inlineStr">
        <is>
          <t>228</t>
        </is>
      </c>
      <c r="F4120" t="inlineStr">
        <is>
          <t>10</t>
        </is>
      </c>
      <c r="G4120" t="inlineStr">
        <is>
          <t>3</t>
        </is>
      </c>
      <c r="H4120" t="inlineStr">
        <is>
          <t>76³</t>
        </is>
      </c>
      <c r="I4120" t="n">
        <v>3</v>
      </c>
      <c r="J4120" t="inlineStr">
        <is>
          <t>12², 36¹²</t>
        </is>
      </c>
      <c r="K4120">
        <f>HYPERLINK("CSG0.html#group4A0", "4A⁰"), =HYPERLINK("CSG2.html#group19A2", "19A²")</f>
        <v/>
      </c>
      <c r="L4120" t="inlineStr"/>
      <c r="M4120">
        <f>HYPERLINK("CSG2.html#group19A2", "19A²"), =HYPERLINK("CSG0.html#group1A0", "1A⁰"), =HYPERLINK("CSG0.html#group4A0", "4A⁰")</f>
        <v/>
      </c>
      <c r="N4120" t="inlineStr"/>
    </row>
    <row r="4121">
      <c r="A4121" t="inlineStr">
        <is>
          <t>77A¹⁵</t>
        </is>
      </c>
      <c r="B4121" t="inlineStr"/>
      <c r="C4121" t="inlineStr">
        <is>
          <t>231</t>
        </is>
      </c>
      <c r="D4121" t="inlineStr">
        <is>
          <t>2</t>
        </is>
      </c>
      <c r="E4121" t="inlineStr">
        <is>
          <t>231</t>
        </is>
      </c>
      <c r="F4121" t="inlineStr">
        <is>
          <t>15</t>
        </is>
      </c>
      <c r="G4121" t="inlineStr">
        <is>
          <t>0</t>
        </is>
      </c>
      <c r="H4121" t="inlineStr">
        <is>
          <t>77³</t>
        </is>
      </c>
      <c r="I4121" t="n">
        <v>3</v>
      </c>
      <c r="J4121" t="inlineStr">
        <is>
          <t>6¹, 12³, 30², 60⁶</t>
        </is>
      </c>
      <c r="K4121">
        <f>HYPERLINK("CSG0.html#group7D0", "7D⁰"), =HYPERLINK("CSG4.html#group77A4", "77A⁴"), =HYPERLINK("CSG4.html#group77B4", "77B⁴")</f>
        <v/>
      </c>
      <c r="L4121" t="inlineStr"/>
      <c r="M4121">
        <f>HYPERLINK("CSG0.html#group11A0", "11A⁰"), =HYPERLINK("CSG0.html#group7D0", "7D⁰"), =HYPERLINK("CSG4.html#group77B4", "77B⁴"), =HYPERLINK("CSG0.html#group1A0", "1A⁰"), =HYPERLINK("CSG0.html#group7A0", "7A⁰"), =HYPERLINK("CSG4.html#group77A4", "77A⁴")</f>
        <v/>
      </c>
      <c r="N4121" t="inlineStr"/>
    </row>
    <row r="4122">
      <c r="A4122" t="inlineStr">
        <is>
          <t>80A¹⁵</t>
        </is>
      </c>
      <c r="B4122" t="inlineStr"/>
      <c r="C4122" t="inlineStr">
        <is>
          <t>192</t>
        </is>
      </c>
      <c r="D4122" t="inlineStr">
        <is>
          <t>1</t>
        </is>
      </c>
      <c r="E4122" t="inlineStr">
        <is>
          <t>24</t>
        </is>
      </c>
      <c r="F4122" t="inlineStr">
        <is>
          <t>0</t>
        </is>
      </c>
      <c r="G4122" t="inlineStr">
        <is>
          <t>0</t>
        </is>
      </c>
      <c r="H4122" t="inlineStr">
        <is>
          <t>16², 80²</t>
        </is>
      </c>
      <c r="I4122" t="n">
        <v>4</v>
      </c>
      <c r="J4122" t="inlineStr">
        <is>
          <t>2⁴, 8²</t>
        </is>
      </c>
      <c r="K4122">
        <f>HYPERLINK("CSG7.html#group40B7", "40B⁷"), =HYPERLINK("CSG7.html#group80A7", "80A⁷")</f>
        <v/>
      </c>
      <c r="L4122" t="inlineStr"/>
      <c r="M4122">
        <f>HYPERLINK("CSG0.html#group2A0", "2A⁰"), =HYPERLINK("CSG3.html#group20C3", "20C³"), =HYPERLINK("CSG0.html#group8A0", "8A⁰"), =HYPERLINK("CSG0.html#group5B0", "5B⁰"), =HYPERLINK("CSG0.html#group8E0", "8E⁰"), =HYPERLINK("CSG1.html#group10A1", "10A¹"), =HYPERLINK("CSG0.html#group1A0", "1A⁰"), =HYPERLINK("CSG1.html#group20B1", "20B¹"), =HYPERLINK("CSG7.html#group80A7", "80A⁷"), =HYPERLINK("CSG0.html#group4A0", "4A⁰"), =HYPERLINK("CSG0.html#group4D0", "4D⁰"), =HYPERLINK("CSG7.html#group40B7", "40B⁷"), =HYPERLINK("CSG3.html#group40B3", "40B³")</f>
        <v/>
      </c>
      <c r="N4122" t="inlineStr"/>
    </row>
    <row r="4123">
      <c r="A4123" t="inlineStr">
        <is>
          <t>80B¹⁵</t>
        </is>
      </c>
      <c r="B4123" t="inlineStr"/>
      <c r="C4123" t="inlineStr">
        <is>
          <t>192</t>
        </is>
      </c>
      <c r="D4123" t="inlineStr">
        <is>
          <t>1</t>
        </is>
      </c>
      <c r="E4123" t="inlineStr">
        <is>
          <t>24</t>
        </is>
      </c>
      <c r="F4123" t="inlineStr">
        <is>
          <t>0</t>
        </is>
      </c>
      <c r="G4123" t="inlineStr">
        <is>
          <t>0</t>
        </is>
      </c>
      <c r="H4123" t="inlineStr">
        <is>
          <t>16², 80²</t>
        </is>
      </c>
      <c r="I4123" t="n">
        <v>4</v>
      </c>
      <c r="J4123" t="inlineStr">
        <is>
          <t>2⁴, 8²</t>
        </is>
      </c>
      <c r="K4123">
        <f>HYPERLINK("CSG0.html#group16F0", "16F⁰"), =HYPERLINK("CSG7.html#group40B7", "40B⁷"), =HYPERLINK("CSG7.html#group80B7", "80B⁷")</f>
        <v/>
      </c>
      <c r="L4123" t="inlineStr"/>
      <c r="M4123">
        <f>HYPERLINK("CSG0.html#group2A0", "2A⁰"), =HYPERLINK("CSG0.html#group16A0", "16A⁰"), =HYPERLINK("CSG7.html#group80B7", "80B⁷"), =HYPERLINK("CSG3.html#group20C3", "20C³"), =HYPERLINK("CSG0.html#group8A0", "8A⁰"), =HYPERLINK("CSG0.html#group5B0", "5B⁰"), =HYPERLINK("CSG0.html#group8E0", "8E⁰"), =HYPERLINK("CSG1.html#group10A1", "10A¹"), =HYPERLINK("CSG0.html#group1A0", "1A⁰"), =HYPERLINK("CSG1.html#group20B1", "20B¹"), =HYPERLINK("CSG0.html#group4A0", "4A⁰"), =HYPERLINK("CSG0.html#group4D0", "4D⁰"), =HYPERLINK("CSG0.html#group16F0", "16F⁰"), =HYPERLINK("CSG7.html#group40B7", "40B⁷"), =HYPERLINK("CSG3.html#group40B3", "40B³")</f>
        <v/>
      </c>
      <c r="N4123" t="inlineStr"/>
    </row>
    <row r="4124">
      <c r="A4124" t="inlineStr">
        <is>
          <t>80C¹⁵</t>
        </is>
      </c>
      <c r="B4124" t="inlineStr"/>
      <c r="C4124" t="inlineStr">
        <is>
          <t>192</t>
        </is>
      </c>
      <c r="D4124" t="inlineStr">
        <is>
          <t>1</t>
        </is>
      </c>
      <c r="E4124" t="inlineStr">
        <is>
          <t>48</t>
        </is>
      </c>
      <c r="F4124" t="inlineStr">
        <is>
          <t>0</t>
        </is>
      </c>
      <c r="G4124" t="inlineStr">
        <is>
          <t>0</t>
        </is>
      </c>
      <c r="H4124" t="inlineStr">
        <is>
          <t>16², 80²</t>
        </is>
      </c>
      <c r="I4124" t="n">
        <v>4</v>
      </c>
      <c r="J4124" t="inlineStr">
        <is>
          <t>2⁸, 8⁴</t>
        </is>
      </c>
      <c r="K4124">
        <f>HYPERLINK("CSG7.html#group40A7", "40A⁷")</f>
        <v/>
      </c>
      <c r="L4124" t="inlineStr"/>
      <c r="M4124">
        <f>HYPERLINK("CSG7.html#group40A7", "40A⁷"), =HYPERLINK("CSG0.html#group2A0", "2A⁰"), =HYPERLINK("CSG3.html#group40A3", "40A³"), =HYPERLINK("CSG0.html#group4A0", "4A⁰"), =HYPERLINK("CSG0.html#group4D0", "4D⁰"), =HYPERLINK("CSG3.html#group20C3", "20C³"), =HYPERLINK("CSG0.html#group5B0", "5B⁰"), =HYPERLINK("CSG1.html#group10A1", "10A¹"), =HYPERLINK("CSG0.html#group1A0", "1A⁰"), =HYPERLINK("CSG1.html#group20B1", "20B¹")</f>
        <v/>
      </c>
      <c r="N4124" t="inlineStr"/>
    </row>
    <row r="4125">
      <c r="A4125" t="inlineStr">
        <is>
          <t>80D¹⁵</t>
        </is>
      </c>
      <c r="B4125" t="inlineStr"/>
      <c r="C4125" t="inlineStr">
        <is>
          <t>192</t>
        </is>
      </c>
      <c r="D4125" t="inlineStr">
        <is>
          <t>2</t>
        </is>
      </c>
      <c r="E4125" t="inlineStr">
        <is>
          <t>48</t>
        </is>
      </c>
      <c r="F4125" t="inlineStr">
        <is>
          <t>0</t>
        </is>
      </c>
      <c r="G4125" t="inlineStr">
        <is>
          <t>0</t>
        </is>
      </c>
      <c r="H4125" t="inlineStr">
        <is>
          <t>16², 80²</t>
        </is>
      </c>
      <c r="I4125" t="n">
        <v>4</v>
      </c>
      <c r="J4125" t="inlineStr">
        <is>
          <t>8⁴, 32²</t>
        </is>
      </c>
      <c r="K4125">
        <f>HYPERLINK("CSG7.html#group40C7", "40C⁷"), =HYPERLINK("CSG7.html#group80A7", "80A⁷"), =HYPERLINK("CSG7.html#group80B7", "80B⁷")</f>
        <v/>
      </c>
      <c r="L4125" t="inlineStr"/>
      <c r="M4125">
        <f>HYPERLINK("CSG3.html#group40A3", "40A³"), =HYPERLINK("CSG7.html#group80A7", "80A⁷"), =HYPERLINK("CSG0.html#group16A0", "16A⁰"), =HYPERLINK("CSG7.html#group40C7", "40C⁷"), =HYPERLINK("CSG7.html#group80B7", "80B⁷"), =HYPERLINK("CSG0.html#group4A0", "4A⁰"), =HYPERLINK("CSG3.html#group40B3", "40B³"), =HYPERLINK("CSG0.html#group5B0", "5B⁰"), =HYPERLINK("CSG0.html#group8A0", "8A⁰"), =HYPERLINK("CSG0.html#group5D0", "5D⁰"), =HYPERLINK("CSG0.html#group1A0", "1A⁰"), =HYPERLINK("CSG3.html#group20B3", "20B³"), =HYPERLINK("CSG1.html#group20B1", "20B¹")</f>
        <v/>
      </c>
      <c r="N4125" t="inlineStr"/>
    </row>
    <row r="4126">
      <c r="A4126" t="inlineStr">
        <is>
          <t>80E¹⁵</t>
        </is>
      </c>
      <c r="B4126" t="inlineStr"/>
      <c r="C4126" t="inlineStr">
        <is>
          <t>240</t>
        </is>
      </c>
      <c r="D4126" t="inlineStr">
        <is>
          <t>1</t>
        </is>
      </c>
      <c r="E4126" t="inlineStr">
        <is>
          <t>30</t>
        </is>
      </c>
      <c r="F4126" t="inlineStr">
        <is>
          <t>16</t>
        </is>
      </c>
      <c r="G4126" t="inlineStr">
        <is>
          <t>0</t>
        </is>
      </c>
      <c r="H4126" t="inlineStr">
        <is>
          <t>40², 80²</t>
        </is>
      </c>
      <c r="I4126" t="n">
        <v>4</v>
      </c>
      <c r="J4126" t="inlineStr">
        <is>
          <t>2³, 4⁶</t>
        </is>
      </c>
      <c r="K4126">
        <f>HYPERLINK("CSG7.html#group40E7", "40E⁷")</f>
        <v/>
      </c>
      <c r="L4126" t="inlineStr"/>
      <c r="M4126">
        <f>HYPERLINK("CSG7.html#group40E7", "40E⁷"), =HYPERLINK("CSG0.html#group4C0", "4C⁰"), =HYPERLINK("CSG0.html#group8B0", "8B⁰"), =HYPERLINK("CSG0.html#group1A0", "1A⁰"), =HYPERLINK("CSG0.html#group2B0", "2B⁰"), =HYPERLINK("CSG0.html#group5C0", "5C⁰"), =HYPERLINK("CSG3.html#group20F3", "20F³"), =HYPERLINK("CSG1.html#group10F1", "10F¹")</f>
        <v/>
      </c>
      <c r="N4126" t="inlineStr"/>
    </row>
    <row r="4127">
      <c r="A4127" t="inlineStr">
        <is>
          <t>80F¹⁵</t>
        </is>
      </c>
      <c r="B4127" t="inlineStr"/>
      <c r="C4127" t="inlineStr">
        <is>
          <t>240</t>
        </is>
      </c>
      <c r="D4127" t="inlineStr">
        <is>
          <t>1</t>
        </is>
      </c>
      <c r="E4127" t="inlineStr">
        <is>
          <t>30</t>
        </is>
      </c>
      <c r="F4127" t="inlineStr">
        <is>
          <t>16</t>
        </is>
      </c>
      <c r="G4127" t="inlineStr">
        <is>
          <t>0</t>
        </is>
      </c>
      <c r="H4127" t="inlineStr">
        <is>
          <t>40², 80²</t>
        </is>
      </c>
      <c r="I4127" t="n">
        <v>4</v>
      </c>
      <c r="J4127" t="inlineStr">
        <is>
          <t>2³, 4⁶</t>
        </is>
      </c>
      <c r="K4127">
        <f>HYPERLINK("CSG0.html#group16B0", "16B⁰"), =HYPERLINK("CSG7.html#group40E7", "40E⁷")</f>
        <v/>
      </c>
      <c r="L4127" t="inlineStr"/>
      <c r="M4127">
        <f>HYPERLINK("CSG0.html#group16B0", "16B⁰"), =HYPERLINK("CSG7.html#group40E7", "40E⁷"), =HYPERLINK("CSG0.html#group4C0", "4C⁰"), =HYPERLINK("CSG0.html#group5C0", "5C⁰"), =HYPERLINK("CSG0.html#group8B0", "8B⁰"), =HYPERLINK("CSG0.html#group2B0", "2B⁰"), =HYPERLINK("CSG0.html#group1A0", "1A⁰"), =HYPERLINK("CSG3.html#group20F3", "20F³"), =HYPERLINK("CSG1.html#group10F1", "10F¹")</f>
        <v/>
      </c>
      <c r="N4127" t="inlineStr"/>
    </row>
    <row r="4128">
      <c r="A4128" t="inlineStr">
        <is>
          <t>80G¹⁵</t>
        </is>
      </c>
      <c r="B4128" t="inlineStr"/>
      <c r="C4128" t="inlineStr">
        <is>
          <t>240</t>
        </is>
      </c>
      <c r="D4128" t="inlineStr">
        <is>
          <t>1</t>
        </is>
      </c>
      <c r="E4128" t="inlineStr">
        <is>
          <t>60</t>
        </is>
      </c>
      <c r="F4128" t="inlineStr">
        <is>
          <t>0</t>
        </is>
      </c>
      <c r="G4128" t="inlineStr">
        <is>
          <t>0</t>
        </is>
      </c>
      <c r="H4128" t="inlineStr">
        <is>
          <t>5⁸, 20², 80²</t>
        </is>
      </c>
      <c r="I4128" t="n">
        <v>12</v>
      </c>
      <c r="J4128" t="inlineStr">
        <is>
          <t>2⁴, 4⁹, 8²</t>
        </is>
      </c>
      <c r="K4128">
        <f>HYPERLINK("CSG7.html#group40G7", "40G⁷")</f>
        <v/>
      </c>
      <c r="L4128" t="inlineStr"/>
      <c r="M4128">
        <f>HYPERLINK("CSG7.html#group40G7", "40G⁷"), =HYPERLINK("CSG3.html#group20E3", "20E³"), =HYPERLINK("CSG0.html#group1A0", "1A⁰"), =HYPERLINK("CSG0.html#group8C0", "8C⁰"), =HYPERLINK("CSG0.html#group2B0", "2B⁰"), =HYPERLINK("CSG0.html#group4B0", "4B⁰"), =HYPERLINK("CSG0.html#group5C0", "5C⁰"), =HYPERLINK("CSG1.html#group10F1", "10F¹")</f>
        <v/>
      </c>
      <c r="N4128" t="inlineStr"/>
    </row>
    <row r="4129">
      <c r="A4129" t="inlineStr">
        <is>
          <t>80H¹⁵</t>
        </is>
      </c>
      <c r="B4129" t="inlineStr"/>
      <c r="C4129" t="inlineStr">
        <is>
          <t>240</t>
        </is>
      </c>
      <c r="D4129" t="inlineStr">
        <is>
          <t>1</t>
        </is>
      </c>
      <c r="E4129" t="inlineStr">
        <is>
          <t>60</t>
        </is>
      </c>
      <c r="F4129" t="inlineStr">
        <is>
          <t>0</t>
        </is>
      </c>
      <c r="G4129" t="inlineStr">
        <is>
          <t>0</t>
        </is>
      </c>
      <c r="H4129" t="inlineStr">
        <is>
          <t>5⁸, 20², 80²</t>
        </is>
      </c>
      <c r="I4129" t="n">
        <v>12</v>
      </c>
      <c r="J4129" t="inlineStr">
        <is>
          <t>2⁴, 4⁹, 8²</t>
        </is>
      </c>
      <c r="K4129">
        <f>HYPERLINK("CSG0.html#group16C0", "16C⁰"), =HYPERLINK("CSG7.html#group40G7", "40G⁷")</f>
        <v/>
      </c>
      <c r="L4129" t="inlineStr"/>
      <c r="M4129">
        <f>HYPERLINK("CSG7.html#group40G7", "40G⁷"), =HYPERLINK("CSG0.html#group16C0", "16C⁰"), =HYPERLINK("CSG3.html#group20E3", "20E³"), =HYPERLINK("CSG0.html#group1A0", "1A⁰"), =HYPERLINK("CSG0.html#group8C0", "8C⁰"), =HYPERLINK("CSG0.html#group2B0", "2B⁰"), =HYPERLINK("CSG0.html#group4B0", "4B⁰"), =HYPERLINK("CSG0.html#group5C0", "5C⁰"), =HYPERLINK("CSG1.html#group10F1", "10F¹")</f>
        <v/>
      </c>
      <c r="N4129" t="inlineStr"/>
    </row>
    <row r="4130">
      <c r="A4130" t="inlineStr">
        <is>
          <t>80I¹⁵</t>
        </is>
      </c>
      <c r="B4130" t="inlineStr"/>
      <c r="C4130" t="inlineStr">
        <is>
          <t>240</t>
        </is>
      </c>
      <c r="D4130" t="inlineStr">
        <is>
          <t>1</t>
        </is>
      </c>
      <c r="E4130" t="inlineStr">
        <is>
          <t>120</t>
        </is>
      </c>
      <c r="F4130" t="inlineStr">
        <is>
          <t>0</t>
        </is>
      </c>
      <c r="G4130" t="inlineStr">
        <is>
          <t>0</t>
        </is>
      </c>
      <c r="H4130" t="inlineStr">
        <is>
          <t>5⁴, 10⁶, 80²</t>
        </is>
      </c>
      <c r="I4130" t="n">
        <v>12</v>
      </c>
      <c r="J4130" t="inlineStr">
        <is>
          <t>2⁴, 4¹⁰, 8⁵, 16²</t>
        </is>
      </c>
      <c r="K4130">
        <f>HYPERLINK("CSG7.html#group40G7", "40G⁷")</f>
        <v/>
      </c>
      <c r="L4130" t="inlineStr"/>
      <c r="M4130">
        <f>HYPERLINK("CSG7.html#group40G7", "40G⁷"), =HYPERLINK("CSG3.html#group20E3", "20E³"), =HYPERLINK("CSG0.html#group1A0", "1A⁰"), =HYPERLINK("CSG0.html#group8C0", "8C⁰"), =HYPERLINK("CSG0.html#group2B0", "2B⁰"), =HYPERLINK("CSG0.html#group4B0", "4B⁰"), =HYPERLINK("CSG0.html#group5C0", "5C⁰"), =HYPERLINK("CSG1.html#group10F1", "10F¹")</f>
        <v/>
      </c>
      <c r="N4130" t="inlineStr"/>
    </row>
    <row r="4131">
      <c r="A4131" t="inlineStr">
        <is>
          <t>80J¹⁵</t>
        </is>
      </c>
      <c r="B4131" t="inlineStr"/>
      <c r="C4131" t="inlineStr">
        <is>
          <t>240</t>
        </is>
      </c>
      <c r="D4131" t="inlineStr">
        <is>
          <t>1</t>
        </is>
      </c>
      <c r="E4131" t="inlineStr">
        <is>
          <t>120</t>
        </is>
      </c>
      <c r="F4131" t="inlineStr">
        <is>
          <t>0</t>
        </is>
      </c>
      <c r="G4131" t="inlineStr">
        <is>
          <t>0</t>
        </is>
      </c>
      <c r="H4131" t="inlineStr">
        <is>
          <t>5⁴, 10⁶, 80²</t>
        </is>
      </c>
      <c r="I4131" t="n">
        <v>12</v>
      </c>
      <c r="J4131" t="inlineStr">
        <is>
          <t>2⁴, 4¹⁰, 8⁵, 16²</t>
        </is>
      </c>
      <c r="K4131">
        <f>HYPERLINK("CSG0.html#group16D0", "16D⁰"), =HYPERLINK("CSG7.html#group40G7", "40G⁷")</f>
        <v/>
      </c>
      <c r="L4131" t="inlineStr"/>
      <c r="M4131">
        <f>HYPERLINK("CSG7.html#group40G7", "40G⁷"), =HYPERLINK("CSG3.html#group20E3", "20E³"), =HYPERLINK("CSG0.html#group16D0", "16D⁰"), =HYPERLINK("CSG0.html#group1A0", "1A⁰"), =HYPERLINK("CSG0.html#group8C0", "8C⁰"), =HYPERLINK("CSG0.html#group2B0", "2B⁰"), =HYPERLINK("CSG0.html#group4B0", "4B⁰"), =HYPERLINK("CSG0.html#group5C0", "5C⁰"), =HYPERLINK("CSG1.html#group10F1", "10F¹")</f>
        <v/>
      </c>
      <c r="N4131" t="inlineStr"/>
    </row>
    <row r="4132">
      <c r="A4132" t="inlineStr">
        <is>
          <t>80K¹⁵</t>
        </is>
      </c>
      <c r="B4132" t="inlineStr"/>
      <c r="C4132" t="inlineStr">
        <is>
          <t>240</t>
        </is>
      </c>
      <c r="D4132" t="inlineStr">
        <is>
          <t>1</t>
        </is>
      </c>
      <c r="E4132" t="inlineStr">
        <is>
          <t>120</t>
        </is>
      </c>
      <c r="F4132" t="inlineStr">
        <is>
          <t>4</t>
        </is>
      </c>
      <c r="G4132" t="inlineStr">
        <is>
          <t>0</t>
        </is>
      </c>
      <c r="H4132" t="inlineStr">
        <is>
          <t>10⁸, 80²</t>
        </is>
      </c>
      <c r="I4132" t="n">
        <v>10</v>
      </c>
      <c r="J4132" t="inlineStr">
        <is>
          <t>2², 4⁵, 8⁴, 16⁴</t>
        </is>
      </c>
      <c r="K4132">
        <f>HYPERLINK("CSG7.html#group40I7", "40I⁷")</f>
        <v/>
      </c>
      <c r="L4132" t="inlineStr"/>
      <c r="M4132">
        <f>HYPERLINK("CSG7.html#group40I7", "40I⁷"), =HYPERLINK("CSG0.html#group8D0", "8D⁰"), =HYPERLINK("CSG0.html#group4C0", "4C⁰"), =HYPERLINK("CSG0.html#group1A0", "1A⁰"), =HYPERLINK("CSG0.html#group2B0", "2B⁰"), =HYPERLINK("CSG0.html#group5C0", "5C⁰"), =HYPERLINK("CSG3.html#group20F3", "20F³"), =HYPERLINK("CSG1.html#group10F1", "10F¹")</f>
        <v/>
      </c>
      <c r="N4132" t="inlineStr"/>
    </row>
    <row r="4133">
      <c r="A4133" t="inlineStr">
        <is>
          <t>80L¹⁵</t>
        </is>
      </c>
      <c r="B4133" t="inlineStr"/>
      <c r="C4133" t="inlineStr">
        <is>
          <t>240</t>
        </is>
      </c>
      <c r="D4133" t="inlineStr">
        <is>
          <t>1</t>
        </is>
      </c>
      <c r="E4133" t="inlineStr">
        <is>
          <t>120</t>
        </is>
      </c>
      <c r="F4133" t="inlineStr">
        <is>
          <t>4</t>
        </is>
      </c>
      <c r="G4133" t="inlineStr">
        <is>
          <t>0</t>
        </is>
      </c>
      <c r="H4133" t="inlineStr">
        <is>
          <t>10⁸, 80²</t>
        </is>
      </c>
      <c r="I4133" t="n">
        <v>10</v>
      </c>
      <c r="J4133" t="inlineStr">
        <is>
          <t>2², 4⁵, 8⁴, 16⁴</t>
        </is>
      </c>
      <c r="K4133">
        <f>HYPERLINK("CSG0.html#group16E0", "16E⁰"), =HYPERLINK("CSG7.html#group40I7", "40I⁷")</f>
        <v/>
      </c>
      <c r="L4133" t="inlineStr"/>
      <c r="M4133">
        <f>HYPERLINK("CSG0.html#group16E0", "16E⁰"), =HYPERLINK("CSG7.html#group40I7", "40I⁷"), =HYPERLINK("CSG0.html#group8D0", "8D⁰"), =HYPERLINK("CSG0.html#group4C0", "4C⁰"), =HYPERLINK("CSG0.html#group1A0", "1A⁰"), =HYPERLINK("CSG0.html#group2B0", "2B⁰"), =HYPERLINK("CSG0.html#group5C0", "5C⁰"), =HYPERLINK("CSG3.html#group20F3", "20F³"), =HYPERLINK("CSG1.html#group10F1", "10F¹")</f>
        <v/>
      </c>
      <c r="N4133" t="inlineStr"/>
    </row>
    <row r="4134">
      <c r="A4134" t="inlineStr">
        <is>
          <t>80M¹⁵</t>
        </is>
      </c>
      <c r="B4134" t="inlineStr"/>
      <c r="C4134" t="inlineStr">
        <is>
          <t>240</t>
        </is>
      </c>
      <c r="D4134" t="inlineStr">
        <is>
          <t>2</t>
        </is>
      </c>
      <c r="E4134" t="inlineStr">
        <is>
          <t>60</t>
        </is>
      </c>
      <c r="F4134" t="inlineStr">
        <is>
          <t>0</t>
        </is>
      </c>
      <c r="G4134" t="inlineStr">
        <is>
          <t>0</t>
        </is>
      </c>
      <c r="H4134" t="inlineStr">
        <is>
          <t>5⁸, 20², 80²</t>
        </is>
      </c>
      <c r="I4134" t="n">
        <v>12</v>
      </c>
      <c r="J4134" t="inlineStr">
        <is>
          <t>4⁶, 8¹²</t>
        </is>
      </c>
      <c r="K4134">
        <f>HYPERLINK("CSG7.html#group40F7", "40F⁷")</f>
        <v/>
      </c>
      <c r="L4134" t="inlineStr"/>
      <c r="M4134">
        <f>HYPERLINK("CSG0.html#group2B0", "2B⁰"), =HYPERLINK("CSG0.html#group4B0", "4B⁰"), =HYPERLINK("CSG0.html#group1A0", "1A⁰"), =HYPERLINK("CSG3.html#group20E3", "20E³"), =HYPERLINK("CSG7.html#group40F7", "40F⁷"), =HYPERLINK("CSG0.html#group5C0", "5C⁰"), =HYPERLINK("CSG1.html#group10F1", "10F¹")</f>
        <v/>
      </c>
      <c r="N4134" t="inlineStr"/>
    </row>
    <row r="4135">
      <c r="A4135" t="inlineStr">
        <is>
          <t>80N¹⁵</t>
        </is>
      </c>
      <c r="B4135" t="inlineStr"/>
      <c r="C4135" t="inlineStr">
        <is>
          <t>288</t>
        </is>
      </c>
      <c r="D4135" t="inlineStr">
        <is>
          <t>1</t>
        </is>
      </c>
      <c r="E4135" t="inlineStr">
        <is>
          <t>18</t>
        </is>
      </c>
      <c r="F4135" t="inlineStr">
        <is>
          <t>0</t>
        </is>
      </c>
      <c r="G4135" t="inlineStr">
        <is>
          <t>0</t>
        </is>
      </c>
      <c r="H4135" t="inlineStr">
        <is>
          <t>2⁸, 10⁸, 16², 80²</t>
        </is>
      </c>
      <c r="I4135" t="n">
        <v>20</v>
      </c>
      <c r="J4135" t="inlineStr">
        <is>
          <t>1⁶, 4³</t>
        </is>
      </c>
      <c r="K4135">
        <f>HYPERLINK("CSG7.html#group40M7", "40M⁷"), =HYPERLINK("CSG7.html#group80G7", "80G⁷"), =HYPERLINK("CSG7.html#group80I7", "80I⁷")</f>
        <v/>
      </c>
      <c r="L4135" t="inlineStr"/>
      <c r="M4135">
        <f>HYPERLINK("CSG1.html#group20E1", "20E¹"), =HYPERLINK("CSG0.html#group2A0", "2A⁰"), =HYPERLINK("CSG3.html#group40H3", "40H³"), =HYPERLINK("CSG0.html#group8D0", "8D⁰"), =HYPERLINK("CSG0.html#group4C0", "4C⁰"), =HYPERLINK("CSG0.html#group5B0", "5B⁰"), =HYPERLINK("CSG1.html#group10A1", "10A¹"), =HYPERLINK("CSG1.html#group20D1", "20D¹"), =HYPERLINK("CSG0.html#group8C0", "8C⁰"), =HYPERLINK("CSG0.html#group2B0", "2B⁰"), =HYPERLINK("CSG7.html#group80G7", "80G⁷"), =HYPERLINK("CSG0.html#group4E0", "4E⁰"), =HYPERLINK("CSG0.html#group4B0", "4B⁰"), =HYPERLINK("CSG0.html#group1A0", "1A⁰"), =HYPERLINK("CSG3.html#group40F3", "40F³"), =HYPERLINK("CSG7.html#group40M7", "40M⁷"), =HYPERLINK("CSG7.html#group80I7", "80I⁷"), =HYPERLINK("CSG0.html#group8G0", "8G⁰"), =HYPERLINK("CSG0.html#group10C0", "10C⁰"), =HYPERLINK("CSG3.html#group20J3", "20J³"), =HYPERLINK("CSG0.html#group2C0", "2C⁰"), =HYPERLINK("CSG1.html#group10G1", "10G¹")</f>
        <v/>
      </c>
      <c r="N4135" t="inlineStr"/>
    </row>
    <row r="4136">
      <c r="A4136" t="inlineStr">
        <is>
          <t>80O¹⁵</t>
        </is>
      </c>
      <c r="B4136" t="inlineStr"/>
      <c r="C4136" t="inlineStr">
        <is>
          <t>288</t>
        </is>
      </c>
      <c r="D4136" t="inlineStr">
        <is>
          <t>1</t>
        </is>
      </c>
      <c r="E4136" t="inlineStr">
        <is>
          <t>18</t>
        </is>
      </c>
      <c r="F4136" t="inlineStr">
        <is>
          <t>0</t>
        </is>
      </c>
      <c r="G4136" t="inlineStr">
        <is>
          <t>0</t>
        </is>
      </c>
      <c r="H4136" t="inlineStr">
        <is>
          <t>2⁸, 10⁸, 16², 80²</t>
        </is>
      </c>
      <c r="I4136" t="n">
        <v>20</v>
      </c>
      <c r="J4136" t="inlineStr">
        <is>
          <t>1⁶, 4³</t>
        </is>
      </c>
      <c r="K4136">
        <f>HYPERLINK("CSG0.html#group16G0", "16G⁰"), =HYPERLINK("CSG7.html#group40M7", "40M⁷"), =HYPERLINK("CSG7.html#group80H7", "80H⁷"), =HYPERLINK("CSG7.html#group80J7", "80J⁷")</f>
        <v/>
      </c>
      <c r="L4136" t="inlineStr"/>
      <c r="M4136">
        <f>HYPERLINK("CSG0.html#group16G0", "16G⁰"), =HYPERLINK("CSG1.html#group20E1", "20E¹"), =HYPERLINK("CSG0.html#group2A0", "2A⁰"), =HYPERLINK("CSG3.html#group40H3", "40H³"), =HYPERLINK("CSG0.html#group8D0", "8D⁰"), =HYPERLINK("CSG0.html#group4C0", "4C⁰"), =HYPERLINK("CSG7.html#group80H7", "80H⁷"), =HYPERLINK("CSG0.html#group5B0", "5B⁰"), =HYPERLINK("CSG7.html#group80J7", "80J⁷"), =HYPERLINK("CSG1.html#group10A1", "10A¹"), =HYPERLINK("CSG1.html#group20D1", "20D¹"), =HYPERLINK("CSG0.html#group8C0", "8C⁰"), =HYPERLINK("CSG0.html#group2B0", "2B⁰"), =HYPERLINK("CSG0.html#group4E0", "4E⁰"), =HYPERLINK("CSG0.html#group4B0", "4B⁰"), =HYPERLINK("CSG0.html#group1A0", "1A⁰"), =HYPERLINK("CSG0.html#group16E0", "16E⁰"), =HYPERLINK("CSG3.html#group40F3", "40F³"), =HYPERLINK("CSG7.html#group40M7", "40M⁷"), =HYPERLINK("CSG0.html#group8G0", "8G⁰"), =HYPERLINK("CSG0.html#group16D0", "16D⁰"), =HYPERLINK("CSG0.html#group10C0", "10C⁰"), =HYPERLINK("CSG3.html#group20J3", "20J³"), =HYPERLINK("CSG0.html#group2C0", "2C⁰"), =HYPERLINK("CSG1.html#group10G1", "10G¹")</f>
        <v/>
      </c>
      <c r="N4136" t="inlineStr"/>
    </row>
    <row r="4137">
      <c r="A4137" t="inlineStr">
        <is>
          <t>80P¹⁵</t>
        </is>
      </c>
      <c r="B4137" t="inlineStr"/>
      <c r="C4137" t="inlineStr">
        <is>
          <t>288</t>
        </is>
      </c>
      <c r="D4137" t="inlineStr">
        <is>
          <t>1</t>
        </is>
      </c>
      <c r="E4137" t="inlineStr">
        <is>
          <t>36</t>
        </is>
      </c>
      <c r="F4137" t="inlineStr">
        <is>
          <t>0</t>
        </is>
      </c>
      <c r="G4137" t="inlineStr">
        <is>
          <t>0</t>
        </is>
      </c>
      <c r="H4137" t="inlineStr">
        <is>
          <t>2⁸, 10⁸, 16², 80²</t>
        </is>
      </c>
      <c r="I4137" t="n">
        <v>20</v>
      </c>
      <c r="J4137" t="inlineStr">
        <is>
          <t>2⁶, 8³</t>
        </is>
      </c>
      <c r="K4137">
        <f>HYPERLINK("CSG7.html#group40L7", "40L⁷")</f>
        <v/>
      </c>
      <c r="L4137" t="inlineStr"/>
      <c r="M4137">
        <f>HYPERLINK("CSG1.html#group20E1", "20E¹"), =HYPERLINK("CSG0.html#group2A0", "2A⁰"), =HYPERLINK("CSG7.html#group40L7", "40L⁷"), =HYPERLINK("CSG0.html#group4C0", "4C⁰"), =HYPERLINK("CSG0.html#group5B0", "5B⁰"), =HYPERLINK("CSG1.html#group10A1", "10A¹"), =HYPERLINK("CSG1.html#group20D1", "20D¹"), =HYPERLINK("CSG0.html#group4E0", "4E⁰"), =HYPERLINK("CSG0.html#group2B0", "2B⁰"), =HYPERLINK("CSG0.html#group4B0", "4B⁰"), =HYPERLINK("CSG0.html#group1A0", "1A⁰"), =HYPERLINK("CSG0.html#group10C0", "10C⁰"), =HYPERLINK("CSG3.html#group40E3", "40E³"), =HYPERLINK("CSG3.html#group20J3", "20J³"), =HYPERLINK("CSG0.html#group2C0", "2C⁰"), =HYPERLINK("CSG1.html#group10G1", "10G¹"), =HYPERLINK("CSG3.html#group40G3", "40G³")</f>
        <v/>
      </c>
      <c r="N4137" t="inlineStr"/>
    </row>
    <row r="4138">
      <c r="A4138" t="inlineStr">
        <is>
          <t>80Q¹⁵</t>
        </is>
      </c>
      <c r="B4138" t="inlineStr"/>
      <c r="C4138" t="inlineStr">
        <is>
          <t>288</t>
        </is>
      </c>
      <c r="D4138" t="inlineStr">
        <is>
          <t>1</t>
        </is>
      </c>
      <c r="E4138" t="inlineStr">
        <is>
          <t>72</t>
        </is>
      </c>
      <c r="F4138" t="inlineStr">
        <is>
          <t>0</t>
        </is>
      </c>
      <c r="G4138" t="inlineStr">
        <is>
          <t>0</t>
        </is>
      </c>
      <c r="H4138" t="inlineStr">
        <is>
          <t>1⁴, 2², 4², 5⁴, 10², 16², 20², 80²</t>
        </is>
      </c>
      <c r="I4138" t="n">
        <v>20</v>
      </c>
      <c r="J4138" t="inlineStr">
        <is>
          <t>1⁸, 2⁴, 4⁶, 8², 16¹</t>
        </is>
      </c>
      <c r="K4138">
        <f>HYPERLINK("CSG7.html#group40U7", "40U⁷"), =HYPERLINK("CSG7.html#group80E7", "80E⁷"), =HYPERLINK("CSG7.html#group80H7", "80H⁷")</f>
        <v/>
      </c>
      <c r="L4138" t="inlineStr"/>
      <c r="M4138">
        <f>HYPERLINK("CSG7.html#group40U7", "40U⁷"), =HYPERLINK("CSG3.html#group40F3", "40F³"), =HYPERLINK("CSG0.html#group16D0", "16D⁰"), =HYPERLINK("CSG7.html#group80H7", "80H⁷"), =HYPERLINK("CSG0.html#group5B0", "5B⁰"), =HYPERLINK("CSG7.html#group80E7", "80E⁷"),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4138" t="inlineStr"/>
    </row>
    <row r="4139">
      <c r="A4139" t="inlineStr">
        <is>
          <t>80R¹⁵</t>
        </is>
      </c>
      <c r="B4139" t="inlineStr"/>
      <c r="C4139" t="inlineStr">
        <is>
          <t>288</t>
        </is>
      </c>
      <c r="D4139" t="inlineStr">
        <is>
          <t>1</t>
        </is>
      </c>
      <c r="E4139" t="inlineStr">
        <is>
          <t>72</t>
        </is>
      </c>
      <c r="F4139" t="inlineStr">
        <is>
          <t>0</t>
        </is>
      </c>
      <c r="G4139" t="inlineStr">
        <is>
          <t>0</t>
        </is>
      </c>
      <c r="H4139" t="inlineStr">
        <is>
          <t>1⁴, 2², 4², 5⁴, 10², 16², 20², 80²</t>
        </is>
      </c>
      <c r="I4139" t="n">
        <v>20</v>
      </c>
      <c r="J4139" t="inlineStr">
        <is>
          <t>1⁸, 2⁴, 4⁶, 8², 16¹</t>
        </is>
      </c>
      <c r="K4139">
        <f>HYPERLINK("CSG7.html#group40U7", "40U⁷"), =HYPERLINK("CSG7.html#group80F7", "80F⁷"), =HYPERLINK("CSG7.html#group80G7", "80G⁷")</f>
        <v/>
      </c>
      <c r="L4139" t="inlineStr"/>
      <c r="M4139">
        <f>HYPERLINK("CSG7.html#group40U7", "40U⁷"), =HYPERLINK("CSG7.html#group80F7", "80F⁷"), =HYPERLINK("CSG3.html#group40F3", "40F³"), =HYPERLINK("CSG0.html#group16C0", "16C⁰"), =HYPERLINK("CSG0.html#group5B0", "5B⁰"), =HYPERLINK("CSG0.html#group10C0", "10C⁰"), =HYPERLINK("CSG1.html#group20D1", "20D¹"), =HYPERLINK("CSG0.html#group8C0", "8C⁰"), =HYPERLINK("CSG0.html#group2B0", "2B⁰"), =HYPERLINK("CSG7.html#group80G7", "80G⁷"), =HYPERLINK("CSG0.html#group4B0", "4B⁰"), =HYPERLINK("CSG0.html#group1A0", "1A⁰")</f>
        <v/>
      </c>
      <c r="N4139" t="inlineStr"/>
    </row>
    <row r="4140">
      <c r="A4140" t="inlineStr">
        <is>
          <t>80S¹⁵</t>
        </is>
      </c>
      <c r="B4140" t="inlineStr"/>
      <c r="C4140" t="inlineStr">
        <is>
          <t>288</t>
        </is>
      </c>
      <c r="D4140" t="inlineStr">
        <is>
          <t>1</t>
        </is>
      </c>
      <c r="E4140" t="inlineStr">
        <is>
          <t>72</t>
        </is>
      </c>
      <c r="F4140" t="inlineStr">
        <is>
          <t>0</t>
        </is>
      </c>
      <c r="G4140" t="inlineStr">
        <is>
          <t>0</t>
        </is>
      </c>
      <c r="H4140" t="inlineStr">
        <is>
          <t>1⁴, 2², 4², 5⁴, 10², 16², 20², 80²</t>
        </is>
      </c>
      <c r="I4140" t="n">
        <v>20</v>
      </c>
      <c r="J4140" t="inlineStr">
        <is>
          <t>1⁸, 2⁴, 4⁶, 8², 16¹</t>
        </is>
      </c>
      <c r="K4140">
        <f>HYPERLINK("CSG7.html#group40V7", "40V⁷"), =HYPERLINK("CSG7.html#group80E7", "80E⁷"), =HYPERLINK("CSG7.html#group80G7", "80G⁷")</f>
        <v/>
      </c>
      <c r="L4140" t="inlineStr"/>
      <c r="M4140">
        <f>HYPERLINK("CSG3.html#group40F3", "40F³"), =HYPERLINK("CSG0.html#group5B0", "5B⁰"), =HYPERLINK("CSG7.html#group80E7", "80E⁷"), =HYPERLINK("CSG0.html#group10C0", "10C⁰"), =HYPERLINK("CSG1.html#group20D1", "20D¹"), =HYPERLINK("CSG0.html#group8C0", "8C⁰"), =HYPERLINK("CSG0.html#group2B0", "2B⁰"), =HYPERLINK("CSG7.html#group80G7", "80G⁷"), =HYPERLINK("CSG0.html#group4B0", "4B⁰"), =HYPERLINK("CSG0.html#group8I0", "8I⁰"), =HYPERLINK("CSG0.html#group1A0", "1A⁰"), =HYPERLINK("CSG7.html#group40V7", "40V⁷")</f>
        <v/>
      </c>
      <c r="N4140" t="inlineStr"/>
    </row>
    <row r="4141">
      <c r="A4141" t="inlineStr">
        <is>
          <t>80T¹⁵</t>
        </is>
      </c>
      <c r="B4141" t="inlineStr"/>
      <c r="C4141" t="inlineStr">
        <is>
          <t>288</t>
        </is>
      </c>
      <c r="D4141" t="inlineStr">
        <is>
          <t>1</t>
        </is>
      </c>
      <c r="E4141" t="inlineStr">
        <is>
          <t>72</t>
        </is>
      </c>
      <c r="F4141" t="inlineStr">
        <is>
          <t>0</t>
        </is>
      </c>
      <c r="G4141" t="inlineStr">
        <is>
          <t>0</t>
        </is>
      </c>
      <c r="H4141" t="inlineStr">
        <is>
          <t>1⁴, 2², 4², 5⁴, 10², 16², 20², 80²</t>
        </is>
      </c>
      <c r="I4141" t="n">
        <v>20</v>
      </c>
      <c r="J4141" t="inlineStr">
        <is>
          <t>1⁸, 2⁴, 4⁶, 8², 16¹</t>
        </is>
      </c>
      <c r="K4141">
        <f>HYPERLINK("CSG0.html#group16H0", "16H⁰"), =HYPERLINK("CSG7.html#group40V7", "40V⁷"), =HYPERLINK("CSG7.html#group80F7", "80F⁷"), =HYPERLINK("CSG7.html#group80H7", "80H⁷")</f>
        <v/>
      </c>
      <c r="L4141" t="inlineStr"/>
      <c r="M4141">
        <f>HYPERLINK("CSG7.html#group80F7", "80F⁷"), =HYPERLINK("CSG3.html#group40F3", "40F³"), =HYPERLINK("CSG0.html#group16C0", "16C⁰"), =HYPERLINK("CSG0.html#group16D0", "16D⁰"), =HYPERLINK("CSG7.html#group80H7", "80H⁷"), =HYPERLINK("CSG0.html#group5B0", "5B⁰"), =HYPERLINK("CSG0.html#group10C0", "10C⁰"), =HYPERLINK("CSG1.html#group20D1", "20D¹"), =HYPERLINK("CSG0.html#group8C0", "8C⁰"), =HYPERLINK("CSG0.html#group2B0", "2B⁰"), =HYPERLINK("CSG0.html#group8I0", "8I⁰"), =HYPERLINK("CSG0.html#group4B0", "4B⁰"), =HYPERLINK("CSG0.html#group1A0", "1A⁰"), =HYPERLINK("CSG7.html#group40V7", "40V⁷"), =HYPERLINK("CSG0.html#group16H0", "16H⁰")</f>
        <v/>
      </c>
      <c r="N4141" t="inlineStr"/>
    </row>
    <row r="4142">
      <c r="A4142" t="inlineStr">
        <is>
          <t>80U¹⁵</t>
        </is>
      </c>
      <c r="B4142" t="inlineStr"/>
      <c r="C4142" t="inlineStr">
        <is>
          <t>288</t>
        </is>
      </c>
      <c r="D4142" t="inlineStr">
        <is>
          <t>1</t>
        </is>
      </c>
      <c r="E4142" t="inlineStr">
        <is>
          <t>72</t>
        </is>
      </c>
      <c r="F4142" t="inlineStr">
        <is>
          <t>0</t>
        </is>
      </c>
      <c r="G4142" t="inlineStr">
        <is>
          <t>0</t>
        </is>
      </c>
      <c r="H4142" t="inlineStr">
        <is>
          <t>2⁸, 10⁸, 16², 80²</t>
        </is>
      </c>
      <c r="I4142" t="n">
        <v>20</v>
      </c>
      <c r="J4142" t="inlineStr">
        <is>
          <t>1⁴, 2², 4⁶, 8¹, 16²</t>
        </is>
      </c>
      <c r="K4142">
        <f>HYPERLINK("CSG7.html#group40N7", "40N⁷"), =HYPERLINK("CSG7.html#group80I7", "80I⁷"), =HYPERLINK("CSG7.html#group80J7", "80J⁷")</f>
        <v/>
      </c>
      <c r="L4142" t="inlineStr"/>
      <c r="M4142">
        <f>HYPERLINK("CSG1.html#group20E1", "20E¹"), =HYPERLINK("CSG3.html#group40H3", "40H³"), =HYPERLINK("CSG0.html#group8D0", "8D⁰"), =HYPERLINK("CSG3.html#group20G3", "20G³"), =HYPERLINK("CSG0.html#group4C0", "4C⁰"), =HYPERLINK("CSG0.html#group5B0", "5B⁰"), =HYPERLINK("CSG7.html#group80J7", "80J⁷"), =HYPERLINK("CSG0.html#group5D0", "5D⁰"), =HYPERLINK("CSG0.html#group2B0", "2B⁰"), =HYPERLINK("CSG0.html#group1A0", "1A⁰"), =HYPERLINK("CSG0.html#group10F0", "10F⁰"), =HYPERLINK("CSG7.html#group40N7", "40N⁷"), =HYPERLINK("CSG0.html#group16E0", "16E⁰"), =HYPERLINK("CSG7.html#group80I7", "80I⁷"), =HYPERLINK("CSG0.html#group10C0", "10C⁰"), =HYPERLINK("CSG2.html#group20C2", "20C²"), =HYPERLINK("CSG3.html#group40G3", "40G³")</f>
        <v/>
      </c>
      <c r="N4142" t="inlineStr"/>
    </row>
    <row r="4143">
      <c r="A4143" t="inlineStr">
        <is>
          <t>80V¹⁵</t>
        </is>
      </c>
      <c r="B4143" t="inlineStr"/>
      <c r="C4143" t="inlineStr">
        <is>
          <t>288</t>
        </is>
      </c>
      <c r="D4143" t="inlineStr">
        <is>
          <t>1</t>
        </is>
      </c>
      <c r="E4143" t="inlineStr">
        <is>
          <t>72</t>
        </is>
      </c>
      <c r="F4143" t="inlineStr">
        <is>
          <t>0</t>
        </is>
      </c>
      <c r="G4143" t="inlineStr">
        <is>
          <t>0</t>
        </is>
      </c>
      <c r="H4143" t="inlineStr">
        <is>
          <t>2⁸, 10⁸, 16², 80²</t>
        </is>
      </c>
      <c r="I4143" t="n">
        <v>20</v>
      </c>
      <c r="J4143" t="inlineStr">
        <is>
          <t>1⁸, 2⁴, 4⁶, 8², 16¹</t>
        </is>
      </c>
      <c r="K4143">
        <f>HYPERLINK("CSG7.html#group40O7", "40O⁷"), =HYPERLINK("CSG7.html#group80G7", "80G⁷"), =HYPERLINK("CSG7.html#group80H7", "80H⁷")</f>
        <v/>
      </c>
      <c r="L4143" t="inlineStr"/>
      <c r="M4143">
        <f>HYPERLINK("CSG0.html#group10G0", "10G⁰"), =HYPERLINK("CSG7.html#group40O7", "40O⁷"), =HYPERLINK("CSG7.html#group80H7", "80H⁷"), =HYPERLINK("CSG0.html#group5B0", "5B⁰"), =HYPERLINK("CSG1.html#group20D1", "20D¹"), =HYPERLINK("CSG0.html#group8C0", "8C⁰"), =HYPERLINK("CSG0.html#group2B0", "2B⁰"), =HYPERLINK("CSG7.html#group80G7", "80G⁷"), =HYPERLINK("CSG0.html#group4B0", "4B⁰"), =HYPERLINK("CSG0.html#group1A0", "1A⁰"), =HYPERLINK("CSG3.html#group20H3", "20H³"), =HYPERLINK("CSG0.html#group10B0", "10B⁰"), =HYPERLINK("CSG3.html#group40F3", "40F³"), =HYPERLINK("CSG0.html#group16D0", "16D⁰"), =HYPERLINK("CSG0.html#group10C0", "10C⁰"), =HYPERLINK("CSG3.html#group40E3", "40E³"), =HYPERLINK("CSG2.html#group20C2", "20C²")</f>
        <v/>
      </c>
      <c r="N4143" t="inlineStr"/>
    </row>
    <row r="4144">
      <c r="A4144" t="inlineStr">
        <is>
          <t>84A¹⁵</t>
        </is>
      </c>
      <c r="B4144" t="inlineStr"/>
      <c r="C4144" t="inlineStr">
        <is>
          <t>192</t>
        </is>
      </c>
      <c r="D4144" t="inlineStr">
        <is>
          <t>1</t>
        </is>
      </c>
      <c r="E4144" t="inlineStr">
        <is>
          <t>24</t>
        </is>
      </c>
      <c r="F4144" t="inlineStr">
        <is>
          <t>0</t>
        </is>
      </c>
      <c r="G4144" t="inlineStr">
        <is>
          <t>0</t>
        </is>
      </c>
      <c r="H4144" t="inlineStr">
        <is>
          <t>12², 84²</t>
        </is>
      </c>
      <c r="I4144" t="n">
        <v>4</v>
      </c>
      <c r="J4144" t="inlineStr">
        <is>
          <t>1², 2², 6¹, 12¹</t>
        </is>
      </c>
      <c r="K4144">
        <f>HYPERLINK("CSG7.html#group42E7", "42E⁷"), =HYPERLINK("CSG8.html#group84B8", "84B⁸")</f>
        <v/>
      </c>
      <c r="L4144" t="inlineStr"/>
      <c r="M4144">
        <f>HYPERLINK("CSG7.html#group42E7", "42E⁷"), =HYPERLINK("CSG0.html#group2A0", "2A⁰"), =HYPERLINK("CSG0.html#group6B0", "6B⁰"), =HYPERLINK("CSG0.html#group3A0", "3A⁰"), =HYPERLINK("CSG2.html#group21A2", "21A²"), =HYPERLINK("CSG4.html#group42B4", "42B⁴"), =HYPERLINK("CSG1.html#group6B1", "6B¹"), =HYPERLINK("CSG0.html#group7B0", "7B⁰"), =HYPERLINK("CSG0.html#group14B0", "14B⁰"), =HYPERLINK("CSG0.html#group3C0", "3C⁰"), =HYPERLINK("CSG1.html#group6A1", "6A¹"), =HYPERLINK("CSG4.html#group42C4", "42C⁴"), =HYPERLINK("CSG8.html#group84B8", "84B⁸"), =HYPERLINK("CSG0.html#group1A0", "1A⁰"), =HYPERLINK("CSG3.html#group21A3", "21A³")</f>
        <v/>
      </c>
      <c r="N4144" t="inlineStr"/>
    </row>
    <row r="4145">
      <c r="A4145" t="inlineStr">
        <is>
          <t>84B¹⁵</t>
        </is>
      </c>
      <c r="B4145" t="inlineStr"/>
      <c r="C4145" t="inlineStr">
        <is>
          <t>192</t>
        </is>
      </c>
      <c r="D4145" t="inlineStr">
        <is>
          <t>1</t>
        </is>
      </c>
      <c r="E4145" t="inlineStr">
        <is>
          <t>24</t>
        </is>
      </c>
      <c r="F4145" t="inlineStr">
        <is>
          <t>0</t>
        </is>
      </c>
      <c r="G4145" t="inlineStr">
        <is>
          <t>0</t>
        </is>
      </c>
      <c r="H4145" t="inlineStr">
        <is>
          <t>12², 84²</t>
        </is>
      </c>
      <c r="I4145" t="n">
        <v>4</v>
      </c>
      <c r="J4145" t="inlineStr">
        <is>
          <t>1², 2², 6¹, 12¹</t>
        </is>
      </c>
      <c r="K4145">
        <f>HYPERLINK("CSG7.html#group42E7", "42E⁷"), =HYPERLINK("CSG8.html#group84A8", "84A⁸"), =HYPERLINK("CSG8.html#group84B8", "84B⁸")</f>
        <v/>
      </c>
      <c r="L4145" t="inlineStr"/>
      <c r="M4145">
        <f>HYPERLINK("CSG7.html#group42E7", "42E⁷"), =HYPERLINK("CSG0.html#group2A0", "2A⁰"), =HYPERLINK("CSG0.html#group6B0", "6B⁰"), =HYPERLINK("CSG0.html#group3A0", "3A⁰"), =HYPERLINK("CSG0.html#group28A0", "28A⁰"), =HYPERLINK("CSG4.html#group42C4", "42C⁴"), =HYPERLINK("CSG0.html#group1A0", "1A⁰"), =HYPERLINK("CSG3.html#group21A3", "21A³"), =HYPERLINK("CSG8.html#group84A8", "84A⁸"), =HYPERLINK("CSG2.html#group21A2", "21A²"), =HYPERLINK("CSG4.html#group42B4", "42B⁴"), =HYPERLINK("CSG1.html#group6B1", "6B¹"), =HYPERLINK("CSG0.html#group7B0", "7B⁰"), =HYPERLINK("CSG0.html#group14B0", "14B⁰"), =HYPERLINK("CSG0.html#group3C0", "3C⁰"), =HYPERLINK("CSG1.html#group6A1", "6A¹"), =HYPERLINK("CSG8.html#group84B8", "84B⁸")</f>
        <v/>
      </c>
      <c r="N4145" t="inlineStr"/>
    </row>
    <row r="4146">
      <c r="A4146" t="inlineStr">
        <is>
          <t>84C¹⁵</t>
        </is>
      </c>
      <c r="B4146" t="inlineStr"/>
      <c r="C4146" t="inlineStr">
        <is>
          <t>192</t>
        </is>
      </c>
      <c r="D4146" t="inlineStr">
        <is>
          <t>1</t>
        </is>
      </c>
      <c r="E4146" t="inlineStr">
        <is>
          <t>32</t>
        </is>
      </c>
      <c r="F4146" t="inlineStr">
        <is>
          <t>0</t>
        </is>
      </c>
      <c r="G4146" t="inlineStr">
        <is>
          <t>0</t>
        </is>
      </c>
      <c r="H4146" t="inlineStr">
        <is>
          <t>12², 84²</t>
        </is>
      </c>
      <c r="I4146" t="n">
        <v>4</v>
      </c>
      <c r="J4146" t="inlineStr">
        <is>
          <t>2⁴, 12²</t>
        </is>
      </c>
      <c r="K4146">
        <f>HYPERLINK("CSG2.html#group12A2", "12A²"), =HYPERLINK("CSG3.html#group28E3", "28E³"), =HYPERLINK("CSG4.html#group42B4", "42B⁴"), =HYPERLINK("CSG8.html#group84C8", "84C⁸")</f>
        <v/>
      </c>
      <c r="L4146" t="inlineStr"/>
      <c r="M4146">
        <f>HYPERLINK("CSG0.html#group2A0", "2A⁰"), =HYPERLINK("CSG3.html#group28E3", "28E³"), =HYPERLINK("CSG0.html#group1A0", "1A⁰"), =HYPERLINK("CSG2.html#group28A2", "28A²"), =HYPERLINK("CSG0.html#group12A0", "12A⁰"), =HYPERLINK("CSG2.html#group21A2", "21A²"), =HYPERLINK("CSG4.html#group42B4", "42B⁴"), =HYPERLINK("CSG8.html#group84C8", "84C⁸"), =HYPERLINK("CSG0.html#group4A0", "4A⁰"), =HYPERLINK("CSG0.html#group4D0", "4D⁰"), =HYPERLINK("CSG0.html#group7B0", "7B⁰"), =HYPERLINK("CSG0.html#group14B0", "14B⁰"), =HYPERLINK("CSG2.html#group12A2", "12A²"), =HYPERLINK("CSG1.html#group6A1", "6A¹"), =HYPERLINK("CSG0.html#group3A0", "3A⁰")</f>
        <v/>
      </c>
      <c r="N4146" t="inlineStr"/>
    </row>
    <row r="4147">
      <c r="A4147" t="inlineStr">
        <is>
          <t>84D¹⁵</t>
        </is>
      </c>
      <c r="B4147" t="inlineStr"/>
      <c r="C4147" t="inlineStr">
        <is>
          <t>192</t>
        </is>
      </c>
      <c r="D4147" t="inlineStr">
        <is>
          <t>1</t>
        </is>
      </c>
      <c r="E4147" t="inlineStr">
        <is>
          <t>48</t>
        </is>
      </c>
      <c r="F4147" t="inlineStr">
        <is>
          <t>0</t>
        </is>
      </c>
      <c r="G4147" t="inlineStr">
        <is>
          <t>0</t>
        </is>
      </c>
      <c r="H4147" t="inlineStr">
        <is>
          <t>12², 84²</t>
        </is>
      </c>
      <c r="I4147" t="n">
        <v>4</v>
      </c>
      <c r="J4147" t="inlineStr">
        <is>
          <t>2², 4², 12¹, 24¹</t>
        </is>
      </c>
      <c r="K4147">
        <f>HYPERLINK("CSG1.html#group12D1", "12D¹"), =HYPERLINK("CSG7.html#group42D7", "42D⁷")</f>
        <v/>
      </c>
      <c r="L4147" t="inlineStr"/>
      <c r="M4147">
        <f>HYPERLINK("CSG7.html#group42D7", "42D⁷"), =HYPERLINK("CSG1.html#group12D1", "12D¹"), =HYPERLINK("CSG0.html#group6B0", "6B⁰"), =HYPERLINK("CSG2.html#group21A2", "21A²"), =HYPERLINK("CSG0.html#group6E0", "6E⁰"), =HYPERLINK("CSG0.html#group7B0", "7B⁰"), =HYPERLINK("CSG0.html#group3C0", "3C⁰"), =HYPERLINK("CSG4.html#group42C4", "42C⁴"), =HYPERLINK("CSG0.html#group3A0", "3A⁰"), =HYPERLINK("CSG0.html#group1A0", "1A⁰"), =HYPERLINK("CSG3.html#group21A3", "21A³")</f>
        <v/>
      </c>
      <c r="N4147" t="inlineStr"/>
    </row>
    <row r="4148">
      <c r="A4148" t="inlineStr">
        <is>
          <t>84E¹⁵</t>
        </is>
      </c>
      <c r="B4148" t="inlineStr"/>
      <c r="C4148" t="inlineStr">
        <is>
          <t>192</t>
        </is>
      </c>
      <c r="D4148" t="inlineStr">
        <is>
          <t>1</t>
        </is>
      </c>
      <c r="E4148" t="inlineStr">
        <is>
          <t>96</t>
        </is>
      </c>
      <c r="F4148" t="inlineStr">
        <is>
          <t>0</t>
        </is>
      </c>
      <c r="G4148" t="inlineStr">
        <is>
          <t>0</t>
        </is>
      </c>
      <c r="H4148" t="inlineStr">
        <is>
          <t>12², 84²</t>
        </is>
      </c>
      <c r="I4148" t="n">
        <v>4</v>
      </c>
      <c r="J4148" t="inlineStr">
        <is>
          <t>2⁴, 4⁴, 12², 24²</t>
        </is>
      </c>
      <c r="K4148">
        <f>HYPERLINK("CSG0.html#group12F0", "12F⁰"), =HYPERLINK("CSG4.html#group42C4", "42C⁴"), =HYPERLINK("CSG8.html#group84C8", "84C⁸")</f>
        <v/>
      </c>
      <c r="L4148" t="inlineStr"/>
      <c r="M4148">
        <f>HYPERLINK("CSG0.html#group12A0", "12A⁰"), =HYPERLINK("CSG0.html#group6B0", "6B⁰"), =HYPERLINK("CSG2.html#group21A2", "21A²"), =HYPERLINK("CSG8.html#group84C8", "84C⁸"), =HYPERLINK("CSG0.html#group4A0", "4A⁰"), =HYPERLINK("CSG0.html#group7B0", "7B⁰"), =HYPERLINK("CSG0.html#group12F0", "12F⁰"), =HYPERLINK("CSG4.html#group42C4", "42C⁴"), =HYPERLINK("CSG0.html#group3A0", "3A⁰"), =HYPERLINK("CSG0.html#group1A0", "1A⁰"), =HYPERLINK("CSG2.html#group28A2", "28A²")</f>
        <v/>
      </c>
      <c r="N4148" t="inlineStr"/>
    </row>
    <row r="4149">
      <c r="A4149" t="inlineStr">
        <is>
          <t>84F¹⁵</t>
        </is>
      </c>
      <c r="B4149" t="inlineStr"/>
      <c r="C4149" t="inlineStr">
        <is>
          <t>192</t>
        </is>
      </c>
      <c r="D4149" t="inlineStr">
        <is>
          <t>1</t>
        </is>
      </c>
      <c r="E4149" t="inlineStr">
        <is>
          <t>96</t>
        </is>
      </c>
      <c r="F4149" t="inlineStr">
        <is>
          <t>0</t>
        </is>
      </c>
      <c r="G4149" t="inlineStr">
        <is>
          <t>0</t>
        </is>
      </c>
      <c r="H4149" t="inlineStr">
        <is>
          <t>12², 84²</t>
        </is>
      </c>
      <c r="I4149" t="n">
        <v>4</v>
      </c>
      <c r="J4149" t="inlineStr">
        <is>
          <t>2⁴, 4⁴, 12², 24²</t>
        </is>
      </c>
      <c r="K4149">
        <f>HYPERLINK("CSG1.html#group12G1", "12G¹"), =HYPERLINK("CSG3.html#group21A3", "21A³"), =HYPERLINK("CSG8.html#group84C8", "84C⁸")</f>
        <v/>
      </c>
      <c r="L4149" t="inlineStr"/>
      <c r="M4149">
        <f>HYPERLINK("CSG1.html#group12G1", "12G¹"), =HYPERLINK("CSG0.html#group12A0", "12A⁰"), =HYPERLINK("CSG2.html#group21A2", "21A²"), =HYPERLINK("CSG8.html#group84C8", "84C⁸"), =HYPERLINK("CSG0.html#group4A0", "4A⁰"), =HYPERLINK("CSG0.html#group7B0", "7B⁰"), =HYPERLINK("CSG0.html#group3C0", "3C⁰"), =HYPERLINK("CSG0.html#group3A0", "3A⁰"), =HYPERLINK("CSG0.html#group1A0", "1A⁰"), =HYPERLINK("CSG3.html#group21A3", "21A³"), =HYPERLINK("CSG2.html#group28A2", "28A²")</f>
        <v/>
      </c>
      <c r="N4149" t="inlineStr"/>
    </row>
    <row r="4150">
      <c r="A4150" t="inlineStr">
        <is>
          <t>84G¹⁵</t>
        </is>
      </c>
      <c r="B4150" t="inlineStr"/>
      <c r="C4150" t="inlineStr">
        <is>
          <t>224</t>
        </is>
      </c>
      <c r="D4150" t="inlineStr">
        <is>
          <t>2</t>
        </is>
      </c>
      <c r="E4150" t="inlineStr">
        <is>
          <t>28</t>
        </is>
      </c>
      <c r="F4150" t="inlineStr">
        <is>
          <t>0</t>
        </is>
      </c>
      <c r="G4150" t="inlineStr">
        <is>
          <t>8</t>
        </is>
      </c>
      <c r="H4150" t="inlineStr">
        <is>
          <t>28², 84²</t>
        </is>
      </c>
      <c r="I4150" t="n">
        <v>4</v>
      </c>
      <c r="J4150" t="inlineStr">
        <is>
          <t>2², 4¹, 6⁴, 12²</t>
        </is>
      </c>
      <c r="K4150">
        <f>HYPERLINK("CSG7.html#group42F7", "42F⁷"), =HYPERLINK("CSG8.html#group84D8", "84D⁸"), =HYPERLINK("CSG8.html#group84E8", "84E⁸")</f>
        <v/>
      </c>
      <c r="L4150" t="inlineStr"/>
      <c r="M4150">
        <f>HYPERLINK("CSG8.html#group84D8", "84D⁸"), =HYPERLINK("CSG0.html#group3B0", "3B⁰"), =HYPERLINK("CSG0.html#group2A0", "2A⁰"), =HYPERLINK("CSG3.html#group21B3", "21B³"), =HYPERLINK("CSG0.html#group14A0", "14A⁰"), =HYPERLINK("CSG0.html#group6C0", "6C⁰"), =HYPERLINK("CSG7.html#group42F7", "42F⁷"), =HYPERLINK("CSG1.html#group14A1", "14A¹"), =HYPERLINK("CSG8.html#group84E8", "84E⁸"), =HYPERLINK("CSG0.html#group1A0", "1A⁰"), =HYPERLINK("CSG1.html#group14D1", "14D¹"), =HYPERLINK("CSG2.html#group21B2", "21B²"), =HYPERLINK("CSG4.html#group42E4", "42E⁴"), =HYPERLINK("CSG0.html#group7C0", "7C⁰"), =HYPERLINK("CSG4.html#group42D4", "42D⁴"), =HYPERLINK("CSG0.html#group7A0", "7A⁰"), =HYPERLINK("CSG0.html#group12B0", "12B⁰")</f>
        <v/>
      </c>
      <c r="N4150" t="inlineStr"/>
    </row>
    <row r="4151">
      <c r="A4151" t="inlineStr">
        <is>
          <t>84H¹⁵</t>
        </is>
      </c>
      <c r="B4151" t="inlineStr"/>
      <c r="C4151" t="inlineStr">
        <is>
          <t>252</t>
        </is>
      </c>
      <c r="D4151" t="inlineStr">
        <is>
          <t>2</t>
        </is>
      </c>
      <c r="E4151" t="inlineStr">
        <is>
          <t>63</t>
        </is>
      </c>
      <c r="F4151" t="inlineStr">
        <is>
          <t>16</t>
        </is>
      </c>
      <c r="G4151" t="inlineStr">
        <is>
          <t>0</t>
        </is>
      </c>
      <c r="H4151" t="inlineStr">
        <is>
          <t>21⁴, 84²</t>
        </is>
      </c>
      <c r="I4151" t="n">
        <v>6</v>
      </c>
      <c r="J4151" t="inlineStr">
        <is>
          <t>2³, 4³, 6⁶, 12⁶</t>
        </is>
      </c>
      <c r="K4151">
        <f>HYPERLINK("CSG7.html#group42K7", "42K⁷"), =HYPERLINK("CSG7.html#group84B7", "84B⁷"), =HYPERLINK("CSG7.html#group84C7", "84C⁷")</f>
        <v/>
      </c>
      <c r="L4151" t="inlineStr"/>
      <c r="M4151">
        <f>HYPERLINK("CSG7.html#group84B7", "84B⁷"), =HYPERLINK("CSG2.html#group28B2", "28B²"), =HYPERLINK("CSG1.html#group14B1", "14B¹"), =HYPERLINK("CSG7.html#group84C7", "84C⁷"), =HYPERLINK("CSG1.html#group21D1", "21D¹"), =HYPERLINK("CSG0.html#group21A0", "21A⁰"), =HYPERLINK("CSG7.html#group42K7", "42K⁷"), =HYPERLINK("CSG0.html#group2B0", "2B⁰"), =HYPERLINK("CSG0.html#group12D0", "12D⁰"), =HYPERLINK("CSG0.html#group3A0", "3A⁰"), =HYPERLINK("CSG0.html#group1A0", "1A⁰"), =HYPERLINK("CSG3.html#group42C3", "42C³"), =HYPERLINK("CSG0.html#group6D0", "6D⁰"), =HYPERLINK("CSG0.html#group7A0", "7A⁰")</f>
        <v/>
      </c>
      <c r="N4151" t="inlineStr"/>
    </row>
    <row r="4152">
      <c r="A4152" t="inlineStr">
        <is>
          <t>84I¹⁵</t>
        </is>
      </c>
      <c r="B4152" t="inlineStr"/>
      <c r="C4152" t="inlineStr">
        <is>
          <t>252</t>
        </is>
      </c>
      <c r="D4152" t="inlineStr">
        <is>
          <t>2</t>
        </is>
      </c>
      <c r="E4152" t="inlineStr">
        <is>
          <t>63</t>
        </is>
      </c>
      <c r="F4152" t="inlineStr">
        <is>
          <t>20</t>
        </is>
      </c>
      <c r="G4152" t="inlineStr">
        <is>
          <t>0</t>
        </is>
      </c>
      <c r="H4152" t="inlineStr">
        <is>
          <t>42², 84²</t>
        </is>
      </c>
      <c r="I4152" t="n">
        <v>4</v>
      </c>
      <c r="J4152" t="inlineStr">
        <is>
          <t>2³, 4³, 6⁶, 12⁶</t>
        </is>
      </c>
      <c r="K4152">
        <f>HYPERLINK("CSG6.html#group84B6", "84B⁶"), =HYPERLINK("CSG7.html#group42K7", "42K⁷"), =HYPERLINK("CSG8.html#group84G8", "84G⁸")</f>
        <v/>
      </c>
      <c r="L4152" t="inlineStr"/>
      <c r="M4152">
        <f>HYPERLINK("CSG0.html#group12C0", "12C⁰"), =HYPERLINK("CSG1.html#group14B1", "14B¹"), =HYPERLINK("CSG1.html#group21D1", "21D¹"), =HYPERLINK("CSG8.html#group84G8", "84G⁸"), =HYPERLINK("CSG0.html#group4C0", "4C⁰"), =HYPERLINK("CSG0.html#group21A0", "21A⁰"), =HYPERLINK("CSG7.html#group42K7", "42K⁷"), =HYPERLINK("CSG0.html#group2B0", "2B⁰"), =HYPERLINK("CSG0.html#group1A0", "1A⁰"), =HYPERLINK("CSG2.html#group28C2", "28C²"), =HYPERLINK("CSG0.html#group3A0", "3A⁰"), =HYPERLINK("CSG3.html#group42C3", "42C³"), =HYPERLINK("CSG6.html#group84B6", "84B⁶"), =HYPERLINK("CSG0.html#group6D0", "6D⁰"), =HYPERLINK("CSG0.html#group7A0", "7A⁰")</f>
        <v/>
      </c>
      <c r="N4152" t="inlineStr"/>
    </row>
    <row r="4153">
      <c r="A4153" t="inlineStr">
        <is>
          <t>85A¹⁵</t>
        </is>
      </c>
      <c r="B4153" t="inlineStr"/>
      <c r="C4153" t="inlineStr">
        <is>
          <t>216</t>
        </is>
      </c>
      <c r="D4153" t="inlineStr">
        <is>
          <t>1</t>
        </is>
      </c>
      <c r="E4153" t="inlineStr">
        <is>
          <t>108</t>
        </is>
      </c>
      <c r="F4153" t="inlineStr">
        <is>
          <t>0</t>
        </is>
      </c>
      <c r="G4153" t="inlineStr">
        <is>
          <t>0</t>
        </is>
      </c>
      <c r="H4153" t="inlineStr">
        <is>
          <t>1², 5², 17², 85²</t>
        </is>
      </c>
      <c r="I4153" t="n">
        <v>8</v>
      </c>
      <c r="J4153" t="inlineStr">
        <is>
          <t>1⁴, 4², 16², 64¹</t>
        </is>
      </c>
      <c r="K4153">
        <f>HYPERLINK("CSG7.html#group85B7", "85B⁷")</f>
        <v/>
      </c>
      <c r="L4153" t="inlineStr"/>
      <c r="M4153">
        <f>HYPERLINK("CSG7.html#group85B7", "85B⁷"), =HYPERLINK("CSG0.html#group5B0", "5B⁰"), =HYPERLINK("CSG0.html#group1A0", "1A⁰"), =HYPERLINK("CSG1.html#group17A1", "17A¹")</f>
        <v/>
      </c>
      <c r="N4153" t="inlineStr"/>
    </row>
    <row r="4154">
      <c r="A4154" t="inlineStr">
        <is>
          <t>85B¹⁵</t>
        </is>
      </c>
      <c r="B4154" t="inlineStr"/>
      <c r="C4154" t="inlineStr">
        <is>
          <t>216</t>
        </is>
      </c>
      <c r="D4154" t="inlineStr">
        <is>
          <t>1</t>
        </is>
      </c>
      <c r="E4154" t="inlineStr">
        <is>
          <t>108</t>
        </is>
      </c>
      <c r="F4154" t="inlineStr">
        <is>
          <t>0</t>
        </is>
      </c>
      <c r="G4154" t="inlineStr">
        <is>
          <t>0</t>
        </is>
      </c>
      <c r="H4154" t="inlineStr">
        <is>
          <t>1², 5², 17², 85²</t>
        </is>
      </c>
      <c r="I4154" t="n">
        <v>8</v>
      </c>
      <c r="J4154" t="inlineStr">
        <is>
          <t>1⁴, 4², 16², 64¹</t>
        </is>
      </c>
      <c r="K4154">
        <f>HYPERLINK("CSG0.html#group5D0", "5D⁰"), =HYPERLINK("CSG7.html#group85B7", "85B⁷")</f>
        <v/>
      </c>
      <c r="L4154" t="inlineStr"/>
      <c r="M4154">
        <f>HYPERLINK("CSG0.html#group5B0", "5B⁰"), =HYPERLINK("CSG0.html#group5D0", "5D⁰"), =HYPERLINK("CSG1.html#group17A1", "17A¹"), =HYPERLINK("CSG7.html#group85B7", "85B⁷"), =HYPERLINK("CSG0.html#group1A0", "1A⁰")</f>
        <v/>
      </c>
      <c r="N4154" t="inlineStr"/>
    </row>
    <row r="4155">
      <c r="A4155" t="inlineStr">
        <is>
          <t>88A¹⁵</t>
        </is>
      </c>
      <c r="B4155" t="inlineStr"/>
      <c r="C4155" t="inlineStr">
        <is>
          <t>192</t>
        </is>
      </c>
      <c r="D4155" t="inlineStr">
        <is>
          <t>1</t>
        </is>
      </c>
      <c r="E4155" t="inlineStr">
        <is>
          <t>48</t>
        </is>
      </c>
      <c r="F4155" t="inlineStr">
        <is>
          <t>0</t>
        </is>
      </c>
      <c r="G4155" t="inlineStr">
        <is>
          <t>0</t>
        </is>
      </c>
      <c r="H4155" t="inlineStr">
        <is>
          <t>8², 88²</t>
        </is>
      </c>
      <c r="I4155" t="n">
        <v>4</v>
      </c>
      <c r="J4155" t="inlineStr">
        <is>
          <t>2⁴, 20²</t>
        </is>
      </c>
      <c r="K4155">
        <f>HYPERLINK("CSG7.html#group44A7", "44A⁷")</f>
        <v/>
      </c>
      <c r="L4155" t="inlineStr"/>
      <c r="M4155">
        <f>HYPERLINK("CSG0.html#group2A0", "2A⁰"), =HYPERLINK("CSG1.html#group11A1", "11A¹"), =HYPERLINK("CSG2.html#group22A2", "22A²"), =HYPERLINK("CSG4.html#group44B4", "44B⁴"), =HYPERLINK("CSG0.html#group4D0", "4D⁰"), =HYPERLINK("CSG0.html#group4A0", "4A⁰"), =HYPERLINK("CSG7.html#group44A7", "44A⁷"), =HYPERLINK("CSG0.html#group1A0", "1A⁰")</f>
        <v/>
      </c>
      <c r="N4155" t="inlineStr"/>
    </row>
    <row r="4156">
      <c r="A4156" t="inlineStr">
        <is>
          <t>88B¹⁵</t>
        </is>
      </c>
      <c r="B4156" t="inlineStr"/>
      <c r="C4156" t="inlineStr">
        <is>
          <t>192</t>
        </is>
      </c>
      <c r="D4156" t="inlineStr">
        <is>
          <t>1</t>
        </is>
      </c>
      <c r="E4156" t="inlineStr">
        <is>
          <t>48</t>
        </is>
      </c>
      <c r="F4156" t="inlineStr">
        <is>
          <t>0</t>
        </is>
      </c>
      <c r="G4156" t="inlineStr">
        <is>
          <t>0</t>
        </is>
      </c>
      <c r="H4156" t="inlineStr">
        <is>
          <t>8², 88²</t>
        </is>
      </c>
      <c r="I4156" t="n">
        <v>4</v>
      </c>
      <c r="J4156" t="inlineStr">
        <is>
          <t>2⁴, 20²</t>
        </is>
      </c>
      <c r="K4156">
        <f>HYPERLINK("CSG0.html#group8E0", "8E⁰"), =HYPERLINK("CSG7.html#group44A7", "44A⁷"), =HYPERLINK("CSG8.html#group88A8", "88A⁸")</f>
        <v/>
      </c>
      <c r="L4156" t="inlineStr"/>
      <c r="M4156">
        <f>HYPERLINK("CSG0.html#group2A0", "2A⁰"), =HYPERLINK("CSG0.html#group4A0", "4A⁰"), =HYPERLINK("CSG0.html#group4D0", "4D⁰"), =HYPERLINK("CSG1.html#group11A1", "11A¹"), =HYPERLINK("CSG2.html#group22A2", "22A²"), =HYPERLINK("CSG4.html#group44B4", "44B⁴"), =HYPERLINK("CSG0.html#group8A0", "8A⁰"), =HYPERLINK("CSG0.html#group8E0", "8E⁰"), =HYPERLINK("CSG7.html#group44A7", "44A⁷"), =HYPERLINK("CSG8.html#group88A8", "88A⁸"), =HYPERLINK("CSG0.html#group1A0", "1A⁰")</f>
        <v/>
      </c>
      <c r="N4156" t="inlineStr"/>
    </row>
    <row r="4157">
      <c r="A4157" t="inlineStr">
        <is>
          <t>88C¹⁵</t>
        </is>
      </c>
      <c r="B4157" t="inlineStr"/>
      <c r="C4157" t="inlineStr">
        <is>
          <t>192</t>
        </is>
      </c>
      <c r="D4157" t="inlineStr">
        <is>
          <t>1</t>
        </is>
      </c>
      <c r="E4157" t="inlineStr">
        <is>
          <t>192</t>
        </is>
      </c>
      <c r="F4157" t="inlineStr">
        <is>
          <t>0</t>
        </is>
      </c>
      <c r="G4157" t="inlineStr">
        <is>
          <t>0</t>
        </is>
      </c>
      <c r="H4157" t="inlineStr">
        <is>
          <t>8², 88²</t>
        </is>
      </c>
      <c r="I4157" t="n">
        <v>4</v>
      </c>
      <c r="J4157" t="inlineStr">
        <is>
          <t>4⁸, 40⁴</t>
        </is>
      </c>
      <c r="K4157">
        <f>HYPERLINK("CSG0.html#group8F0", "8F⁰"), =HYPERLINK("CSG4.html#group44B4", "44B⁴")</f>
        <v/>
      </c>
      <c r="L4157" t="inlineStr"/>
      <c r="M4157">
        <f>HYPERLINK("CSG0.html#group8F0", "8F⁰"), =HYPERLINK("CSG0.html#group1A0", "1A⁰"), =HYPERLINK("CSG0.html#group4A0", "4A⁰"), =HYPERLINK("CSG4.html#group44B4", "44B⁴"), =HYPERLINK("CSG1.html#group11A1", "11A¹")</f>
        <v/>
      </c>
      <c r="N4157" t="inlineStr"/>
    </row>
    <row r="4158">
      <c r="A4158" t="inlineStr">
        <is>
          <t>90A¹⁵</t>
        </is>
      </c>
      <c r="B4158" t="inlineStr"/>
      <c r="C4158" t="inlineStr">
        <is>
          <t>180</t>
        </is>
      </c>
      <c r="D4158" t="inlineStr">
        <is>
          <t>1</t>
        </is>
      </c>
      <c r="E4158" t="inlineStr">
        <is>
          <t>15</t>
        </is>
      </c>
      <c r="F4158" t="inlineStr">
        <is>
          <t>0</t>
        </is>
      </c>
      <c r="G4158" t="inlineStr">
        <is>
          <t>0</t>
        </is>
      </c>
      <c r="H4158" t="inlineStr">
        <is>
          <t>90²</t>
        </is>
      </c>
      <c r="I4158" t="n">
        <v>2</v>
      </c>
      <c r="J4158" t="inlineStr">
        <is>
          <t>1¹, 2¹, 4¹, 8¹</t>
        </is>
      </c>
      <c r="K4158">
        <f>HYPERLINK("CSG3.html#group18A3", "18A³"), =HYPERLINK("CSG5.html#group30B5", "30B⁵"), =HYPERLINK("CSG6.html#group45A6", "45A⁶"), =HYPERLINK("CSG7.html#group90A7", "90A⁷"), =HYPERLINK("CSG8.html#group90A8", "90A⁸")</f>
        <v/>
      </c>
      <c r="L4158" t="inlineStr"/>
      <c r="M4158">
        <f>HYPERLINK("CSG0.html#group2A0", "2A⁰"), =HYPERLINK("CSG3.html#group30A3", "30A³"), =HYPERLINK("CSG0.html#group5A0", "5A⁰"), =HYPERLINK("CSG0.html#group6B0", "6B⁰"), =HYPERLINK("CSG6.html#group45A6", "45A⁶"), =HYPERLINK("CSG3.html#group18A3", "18A³"), =HYPERLINK("CSG8.html#group90A8", "90A⁸"), =HYPERLINK("CSG2.html#group18A2", "18A²"), =HYPERLINK("CSG0.html#group1A0", "1A⁰"), =HYPERLINK("CSG5.html#group30B5", "30B⁵"), =HYPERLINK("CSG2.html#group30A2", "30A²"), =HYPERLINK("CSG0.html#group9D0", "9D⁰"), =HYPERLINK("CSG0.html#group10A0", "10A⁰"), =HYPERLINK("CSG7.html#group90A7", "90A⁷"), =HYPERLINK("CSG2.html#group15A2", "15A²"), =HYPERLINK("CSG1.html#group6B1", "6B¹"), =HYPERLINK("CSG0.html#group9A0", "9A⁰"), =HYPERLINK("CSG0.html#group3C0", "3C⁰"), =HYPERLINK("CSG1.html#group6A1", "6A¹"), =HYPERLINK("CSG0.html#group3A0", "3A⁰"), =HYPERLINK("CSG1.html#group18A1", "18A¹"), =HYPERLINK("CSG1.html#group15A1", "15A¹"), =HYPERLINK("CSG3.html#group45A3", "45A³")</f>
        <v/>
      </c>
      <c r="N4158" t="inlineStr"/>
    </row>
    <row r="4159">
      <c r="A4159" t="inlineStr">
        <is>
          <t>90B¹⁵</t>
        </is>
      </c>
      <c r="B4159" t="inlineStr"/>
      <c r="C4159" t="inlineStr">
        <is>
          <t>180</t>
        </is>
      </c>
      <c r="D4159" t="inlineStr">
        <is>
          <t>1</t>
        </is>
      </c>
      <c r="E4159" t="inlineStr">
        <is>
          <t>30</t>
        </is>
      </c>
      <c r="F4159" t="inlineStr">
        <is>
          <t>0</t>
        </is>
      </c>
      <c r="G4159" t="inlineStr">
        <is>
          <t>0</t>
        </is>
      </c>
      <c r="H4159" t="inlineStr">
        <is>
          <t>90²</t>
        </is>
      </c>
      <c r="I4159" t="n">
        <v>2</v>
      </c>
      <c r="J4159" t="inlineStr">
        <is>
          <t>2¹, 4¹, 8³</t>
        </is>
      </c>
      <c r="K4159">
        <f>HYPERLINK("CSG5.html#group30B5", "30B⁵"), =HYPERLINK("CSG6.html#group45B6", "45B⁶")</f>
        <v/>
      </c>
      <c r="L4159" t="inlineStr"/>
      <c r="M4159">
        <f>HYPERLINK("CSG0.html#group2A0", "2A⁰"), =HYPERLINK("CSG3.html#group30A3", "30A³"), =HYPERLINK("CSG0.html#group5A0", "5A⁰"), =HYPERLINK("CSG0.html#group6B0", "6B⁰"), =HYPERLINK("CSG0.html#group1A0", "1A⁰"), =HYPERLINK("CSG5.html#group30B5", "30B⁵"), =HYPERLINK("CSG6.html#group45B6", "45B⁶"), =HYPERLINK("CSG2.html#group30A2", "30A²"), =HYPERLINK("CSG0.html#group10A0", "10A⁰"), =HYPERLINK("CSG2.html#group15A2", "15A²"), =HYPERLINK("CSG1.html#group6B1", "6B¹"), =HYPERLINK("CSG0.html#group3C0", "3C⁰"), =HYPERLINK("CSG1.html#group6A1", "6A¹"), =HYPERLINK("CSG0.html#group3A0", "3A⁰"), =HYPERLINK("CSG1.html#group15A1", "15A¹")</f>
        <v/>
      </c>
      <c r="N4159" t="inlineStr"/>
    </row>
    <row r="4160">
      <c r="A4160" t="inlineStr">
        <is>
          <t>90C¹⁵</t>
        </is>
      </c>
      <c r="B4160" t="inlineStr"/>
      <c r="C4160" t="inlineStr">
        <is>
          <t>180</t>
        </is>
      </c>
      <c r="D4160" t="inlineStr">
        <is>
          <t>1</t>
        </is>
      </c>
      <c r="E4160" t="inlineStr">
        <is>
          <t>30</t>
        </is>
      </c>
      <c r="F4160" t="inlineStr">
        <is>
          <t>0</t>
        </is>
      </c>
      <c r="G4160" t="inlineStr">
        <is>
          <t>0</t>
        </is>
      </c>
      <c r="H4160" t="inlineStr">
        <is>
          <t>90²</t>
        </is>
      </c>
      <c r="I4160" t="n">
        <v>2</v>
      </c>
      <c r="J4160" t="inlineStr">
        <is>
          <t>2³, 8³</t>
        </is>
      </c>
      <c r="K4160">
        <f>HYPERLINK("CSG3.html#group18B3", "18B³"), =HYPERLINK("CSG5.html#group30B5", "30B⁵"), =HYPERLINK("CSG7.html#group90B7", "90B⁷")</f>
        <v/>
      </c>
      <c r="L4160" t="inlineStr"/>
      <c r="M4160">
        <f>HYPERLINK("CSG0.html#group2A0", "2A⁰"), =HYPERLINK("CSG3.html#group30A3", "30A³"), =HYPERLINK("CSG0.html#group5A0", "5A⁰"), =HYPERLINK("CSG0.html#group6B0", "6B⁰"), =HYPERLINK("CSG7.html#group90B7", "90B⁷"), =HYPERLINK("CSG1.html#group18B1", "18B¹"), =HYPERLINK("CSG0.html#group1A0", "1A⁰"), =HYPERLINK("CSG5.html#group30B5", "30B⁵"), =HYPERLINK("CSG2.html#group30A2", "30A²"), =HYPERLINK("CSG0.html#group10A0", "10A⁰"), =HYPERLINK("CSG2.html#group15A2", "15A²"), =HYPERLINK("CSG1.html#group6B1", "6B¹"), =HYPERLINK("CSG3.html#group18B3", "18B³"), =HYPERLINK("CSG0.html#group3C0", "3C⁰"), =HYPERLINK("CSG1.html#group6A1", "6A¹"), =HYPERLINK("CSG0.html#group3A0", "3A⁰"), =HYPERLINK("CSG1.html#group15A1", "15A¹")</f>
        <v/>
      </c>
      <c r="N4160" t="inlineStr"/>
    </row>
    <row r="4161">
      <c r="A4161" t="inlineStr">
        <is>
          <t>90D¹⁵</t>
        </is>
      </c>
      <c r="B4161" t="inlineStr"/>
      <c r="C4161" t="inlineStr">
        <is>
          <t>180</t>
        </is>
      </c>
      <c r="D4161" t="inlineStr">
        <is>
          <t>1</t>
        </is>
      </c>
      <c r="E4161" t="inlineStr">
        <is>
          <t>60</t>
        </is>
      </c>
      <c r="F4161" t="inlineStr">
        <is>
          <t>0</t>
        </is>
      </c>
      <c r="G4161" t="inlineStr">
        <is>
          <t>0</t>
        </is>
      </c>
      <c r="H4161" t="inlineStr">
        <is>
          <t>90²</t>
        </is>
      </c>
      <c r="I4161" t="n">
        <v>2</v>
      </c>
      <c r="J4161" t="inlineStr">
        <is>
          <t>4³, 8⁶</t>
        </is>
      </c>
      <c r="K4161">
        <f>HYPERLINK("CSG5.html#group30B5", "30B⁵")</f>
        <v/>
      </c>
      <c r="L4161" t="inlineStr"/>
      <c r="M4161">
        <f>HYPERLINK("CSG0.html#group2A0", "2A⁰"), =HYPERLINK("CSG3.html#group30A3", "30A³"), =HYPERLINK("CSG0.html#group5A0", "5A⁰"), =HYPERLINK("CSG2.html#group30A2", "30A²"), =HYPERLINK("CSG0.html#group6B0", "6B⁰"), =HYPERLINK("CSG0.html#group10A0", "10A⁰"), =HYPERLINK("CSG2.html#group15A2", "15A²"), =HYPERLINK("CSG1.html#group6B1", "6B¹"), =HYPERLINK("CSG0.html#group3C0", "3C⁰"), =HYPERLINK("CSG1.html#group6A1", "6A¹"), =HYPERLINK("CSG0.html#group3A0", "3A⁰"), =HYPERLINK("CSG0.html#group1A0", "1A⁰"), =HYPERLINK("CSG1.html#group15A1", "15A¹"), =HYPERLINK("CSG5.html#group30B5", "30B⁵")</f>
        <v/>
      </c>
      <c r="N4161" t="inlineStr"/>
    </row>
    <row r="4162">
      <c r="A4162" t="inlineStr">
        <is>
          <t>90E¹⁵</t>
        </is>
      </c>
      <c r="B4162" t="inlineStr"/>
      <c r="C4162" t="inlineStr">
        <is>
          <t>180</t>
        </is>
      </c>
      <c r="D4162" t="inlineStr">
        <is>
          <t>1</t>
        </is>
      </c>
      <c r="E4162" t="inlineStr">
        <is>
          <t>90</t>
        </is>
      </c>
      <c r="F4162" t="inlineStr">
        <is>
          <t>0</t>
        </is>
      </c>
      <c r="G4162" t="inlineStr">
        <is>
          <t>0</t>
        </is>
      </c>
      <c r="H4162" t="inlineStr">
        <is>
          <t>90²</t>
        </is>
      </c>
      <c r="I4162" t="n">
        <v>2</v>
      </c>
      <c r="J4162" t="inlineStr">
        <is>
          <t>2¹, 4³, 8², 12¹, 24²</t>
        </is>
      </c>
      <c r="K4162">
        <f>HYPERLINK("CSG2.html#group18A2", "18A²"), =HYPERLINK("CSG5.html#group30A5", "30A⁵"), =HYPERLINK("CSG5.html#group45E5", "45E⁵")</f>
        <v/>
      </c>
      <c r="L4162" t="inlineStr"/>
      <c r="M4162">
        <f>HYPERLINK("CSG0.html#group2A0", "2A⁰"), =HYPERLINK("CSG1.html#group15D1", "15D¹"), =HYPERLINK("CSG5.html#group45E5", "45E⁵"), =HYPERLINK("CSG0.html#group9A0", "9A⁰"), =HYPERLINK("CSG0.html#group5C0", "5C⁰"), =HYPERLINK("CSG1.html#group10C1", "10C¹"), =HYPERLINK("CSG1.html#group6A1", "6A¹"), =HYPERLINK("CSG2.html#group18A2", "18A²"), =HYPERLINK("CSG5.html#group30A5", "30A⁵"), =HYPERLINK("CSG0.html#group3A0", "3A⁰"), =HYPERLINK("CSG0.html#group1A0", "1A⁰")</f>
        <v/>
      </c>
      <c r="N4162" t="inlineStr"/>
    </row>
    <row r="4163">
      <c r="A4163" t="inlineStr">
        <is>
          <t>90F¹⁵</t>
        </is>
      </c>
      <c r="B4163" t="inlineStr"/>
      <c r="C4163" t="inlineStr">
        <is>
          <t>180</t>
        </is>
      </c>
      <c r="D4163" t="inlineStr">
        <is>
          <t>2</t>
        </is>
      </c>
      <c r="E4163" t="inlineStr">
        <is>
          <t>45</t>
        </is>
      </c>
      <c r="F4163" t="inlineStr">
        <is>
          <t>0</t>
        </is>
      </c>
      <c r="G4163" t="inlineStr">
        <is>
          <t>0</t>
        </is>
      </c>
      <c r="H4163" t="inlineStr">
        <is>
          <t>90²</t>
        </is>
      </c>
      <c r="I4163" t="n">
        <v>2</v>
      </c>
      <c r="J4163" t="inlineStr">
        <is>
          <t>2³, 6², 8³, 24²</t>
        </is>
      </c>
      <c r="K4163">
        <f>HYPERLINK("CSG3.html#group18C3", "18C³"), =HYPERLINK("CSG5.html#group30B5", "30B⁵"), =HYPERLINK("CSG6.html#group90A6", "90A⁶"), =HYPERLINK("CSG7.html#group45A7", "45A⁷"), =HYPERLINK("CSG8.html#group90A8", "90A⁸")</f>
        <v/>
      </c>
      <c r="L4163" t="inlineStr"/>
      <c r="M4163">
        <f>HYPERLINK("CSG0.html#group2A0", "2A⁰"), =HYPERLINK("CSG3.html#group30A3", "30A³"), =HYPERLINK("CSG0.html#group5A0", "5A⁰"), =HYPERLINK("CSG6.html#group90A6", "90A⁶"), =HYPERLINK("CSG0.html#group6B0", "6B⁰"), =HYPERLINK("CSG7.html#group45A7", "45A⁷"), =HYPERLINK("CSG8.html#group90A8", "90A⁸"), =HYPERLINK("CSG2.html#group18A2", "18A²"), =HYPERLINK("CSG0.html#group1A0", "1A⁰"), =HYPERLINK("CSG0.html#group18A0", "18A⁰"), =HYPERLINK("CSG1.html#group9B1", "9B¹"), =HYPERLINK("CSG5.html#group30B5", "30B⁵"), =HYPERLINK("CSG2.html#group30A2", "30A²"), =HYPERLINK("CSG0.html#group10A0", "10A⁰"), =HYPERLINK("CSG2.html#group15A2", "15A²"), =HYPERLINK("CSG1.html#group6B1", "6B¹"), =HYPERLINK("CSG0.html#group9A0", "9A⁰"), =HYPERLINK("CSG3.html#group18C3", "18C³"), =HYPERLINK("CSG0.html#group3C0", "3C⁰"), =HYPERLINK("CSG1.html#group6A1", "6A¹"), =HYPERLINK("CSG0.html#group3A0", "3A⁰"), =HYPERLINK("CSG1.html#group15A1", "15A¹"), =HYPERLINK("CSG3.html#group45A3", "45A³")</f>
        <v/>
      </c>
      <c r="N4163" t="inlineStr"/>
    </row>
    <row r="4164">
      <c r="A4164" t="inlineStr">
        <is>
          <t>90G¹⁵</t>
        </is>
      </c>
      <c r="B4164" t="inlineStr"/>
      <c r="C4164" t="inlineStr">
        <is>
          <t>216</t>
        </is>
      </c>
      <c r="D4164" t="inlineStr">
        <is>
          <t>1</t>
        </is>
      </c>
      <c r="E4164" t="inlineStr">
        <is>
          <t>72</t>
        </is>
      </c>
      <c r="F4164" t="inlineStr">
        <is>
          <t>0</t>
        </is>
      </c>
      <c r="G4164" t="inlineStr">
        <is>
          <t>0</t>
        </is>
      </c>
      <c r="H4164" t="inlineStr">
        <is>
          <t>3¹, 6¹, 9¹, 15¹, 18¹, 30¹, 45¹, 90¹</t>
        </is>
      </c>
      <c r="I4164" t="n">
        <v>8</v>
      </c>
      <c r="J4164" t="inlineStr">
        <is>
          <t>1¹², 2⁶, 4⁶, 8³</t>
        </is>
      </c>
      <c r="K4164">
        <f>HYPERLINK("CSG2.html#group18D2", "18D²"), =HYPERLINK("CSG3.html#group30K3", "30K³"), =HYPERLINK("CSG5.html#group45C5", "45C⁵")</f>
        <v/>
      </c>
      <c r="L4164" t="inlineStr"/>
      <c r="M4164">
        <f>HYPERLINK("CSG5.html#group45C5", "45C⁵"), =HYPERLINK("CSG1.html#group15C1", "15C¹"), =HYPERLINK("CSG0.html#group3B0", "3B⁰"), =HYPERLINK("CSG0.html#group5B0", "5B⁰"), =HYPERLINK("CSG0.html#group6F0", "6F⁰"), =HYPERLINK("CSG2.html#group18D2", "18D²"), =HYPERLINK("CSG0.html#group10C0", "10C⁰"), =HYPERLINK("CSG0.html#group2B0", "2B⁰"), =HYPERLINK("CSG3.html#group30K3", "30K³"), =HYPERLINK("CSG0.html#group9C0", "9C⁰"), =HYPERLINK("CSG0.html#group1A0", "1A⁰")</f>
        <v/>
      </c>
      <c r="N4164" t="inlineStr"/>
    </row>
    <row r="4165">
      <c r="A4165" t="inlineStr">
        <is>
          <t>90H¹⁵</t>
        </is>
      </c>
      <c r="B4165" t="inlineStr"/>
      <c r="C4165" t="inlineStr">
        <is>
          <t>216</t>
        </is>
      </c>
      <c r="D4165" t="inlineStr">
        <is>
          <t>1</t>
        </is>
      </c>
      <c r="E4165" t="inlineStr">
        <is>
          <t>72</t>
        </is>
      </c>
      <c r="F4165" t="inlineStr">
        <is>
          <t>0</t>
        </is>
      </c>
      <c r="G4165" t="inlineStr">
        <is>
          <t>0</t>
        </is>
      </c>
      <c r="H4165" t="inlineStr">
        <is>
          <t>3¹, 6¹, 9¹, 15¹, 18¹, 30¹, 45¹, 90¹</t>
        </is>
      </c>
      <c r="I4165" t="n">
        <v>8</v>
      </c>
      <c r="J4165" t="inlineStr">
        <is>
          <t>1¹², 2⁶, 4⁶, 8³</t>
        </is>
      </c>
      <c r="K4165">
        <f>HYPERLINK("CSG2.html#group18E2", "18E²"), =HYPERLINK("CSG3.html#group30K3", "30K³"), =HYPERLINK("CSG5.html#group45D5", "45D⁵")</f>
        <v/>
      </c>
      <c r="L4165" t="inlineStr"/>
      <c r="M4165">
        <f>HYPERLINK("CSG1.html#group15C1", "15C¹"), =HYPERLINK("CSG0.html#group3B0", "3B⁰"), =HYPERLINK("CSG1.html#group9A1", "9A¹"), =HYPERLINK("CSG2.html#group18E2", "18E²"), =HYPERLINK("CSG0.html#group5B0", "5B⁰"), =HYPERLINK("CSG0.html#group10C0", "10C⁰"), =HYPERLINK("CSG0.html#group1A0", "1A⁰"), =HYPERLINK("CSG0.html#group2B0", "2B⁰"), =HYPERLINK("CSG3.html#group30K3", "30K³"), =HYPERLINK("CSG0.html#group6F0", "6F⁰"), =HYPERLINK("CSG5.html#group45D5", "45D⁵")</f>
        <v/>
      </c>
      <c r="N4165" t="inlineStr"/>
    </row>
    <row r="4166">
      <c r="A4166" t="inlineStr">
        <is>
          <t>90I¹⁵</t>
        </is>
      </c>
      <c r="B4166" t="inlineStr"/>
      <c r="C4166" t="inlineStr">
        <is>
          <t>216</t>
        </is>
      </c>
      <c r="D4166" t="inlineStr">
        <is>
          <t>1</t>
        </is>
      </c>
      <c r="E4166" t="inlineStr">
        <is>
          <t>108</t>
        </is>
      </c>
      <c r="F4166" t="inlineStr">
        <is>
          <t>0</t>
        </is>
      </c>
      <c r="G4166" t="inlineStr">
        <is>
          <t>0</t>
        </is>
      </c>
      <c r="H4166" t="inlineStr">
        <is>
          <t>6³, 18¹, 30³, 90¹</t>
        </is>
      </c>
      <c r="I4166" t="n">
        <v>8</v>
      </c>
      <c r="J4166" t="inlineStr">
        <is>
          <t>1², 2², 3², 4¹, 6⁴, 8¹, 12¹, 24²</t>
        </is>
      </c>
      <c r="K4166">
        <f>HYPERLINK("CSG5.html#group30E5", "30E⁵"), =HYPERLINK("CSG5.html#group45G5", "45G⁵")</f>
        <v/>
      </c>
      <c r="L4166" t="inlineStr"/>
      <c r="M4166">
        <f>HYPERLINK("CSG0.html#group15B0", "15B⁰"), =HYPERLINK("CSG5.html#group30E5", "30E⁵"), =HYPERLINK("CSG5.html#group45G5", "45G⁵"), =HYPERLINK("CSG0.html#group5B0", "5B⁰"), =HYPERLINK("CSG0.html#group3C0", "3C⁰"), =HYPERLINK("CSG0.html#group9E0", "9E⁰"), =HYPERLINK("CSG0.html#group3A0", "3A⁰"), =HYPERLINK("CSG0.html#group1A0", "1A⁰"), =HYPERLINK("CSG1.html#group15E1", "15E¹"), =HYPERLINK("CSG2.html#group30C2", "30C²")</f>
        <v/>
      </c>
      <c r="N4166" t="inlineStr"/>
    </row>
    <row r="4167">
      <c r="A4167" t="inlineStr">
        <is>
          <t>90J¹⁵</t>
        </is>
      </c>
      <c r="B4167" t="inlineStr"/>
      <c r="C4167" t="inlineStr">
        <is>
          <t>216</t>
        </is>
      </c>
      <c r="D4167" t="inlineStr">
        <is>
          <t>1</t>
        </is>
      </c>
      <c r="E4167" t="inlineStr">
        <is>
          <t>108</t>
        </is>
      </c>
      <c r="F4167" t="inlineStr">
        <is>
          <t>0</t>
        </is>
      </c>
      <c r="G4167" t="inlineStr">
        <is>
          <t>0</t>
        </is>
      </c>
      <c r="H4167" t="inlineStr">
        <is>
          <t>6³, 18¹, 30³, 90¹</t>
        </is>
      </c>
      <c r="I4167" t="n">
        <v>8</v>
      </c>
      <c r="J4167" t="inlineStr">
        <is>
          <t>1², 2², 3², 4¹, 6⁴, 8¹, 12¹, 24²</t>
        </is>
      </c>
      <c r="K4167">
        <f>HYPERLINK("CSG2.html#group18F2", "18F²"), =HYPERLINK("CSG5.html#group30H5", "30H⁵"), =HYPERLINK("CSG5.html#group45G5", "45G⁵")</f>
        <v/>
      </c>
      <c r="L4167" t="inlineStr"/>
      <c r="M4167">
        <f>HYPERLINK("CSG2.html#group18F2", "18F²"), =HYPERLINK("CSG0.html#group2A0", "2A⁰"), =HYPERLINK("CSG0.html#group6B0", "6B⁰"), =HYPERLINK("CSG1.html#group30C1", "30C¹"), =HYPERLINK("CSG5.html#group45G5", "45G⁵"), =HYPERLINK("CSG0.html#group5B0", "5B⁰"), =HYPERLINK("CSG1.html#group10A1", "10A¹"), =HYPERLINK("CSG0.html#group9E0", "9E⁰"), =HYPERLINK("CSG0.html#group1A0", "1A⁰"), =HYPERLINK("CSG3.html#group30B3", "30B³"), =HYPERLINK("CSG5.html#group30H5", "30H⁵"), =HYPERLINK("CSG0.html#group15B0", "15B⁰"), =HYPERLINK("CSG1.html#group6B1", "6B¹"), =HYPERLINK("CSG0.html#group3C0", "3C⁰"), =HYPERLINK("CSG1.html#group6A1", "6A¹"), =HYPERLINK("CSG0.html#group3A0", "3A⁰"), =HYPERLINK("CSG1.html#group15E1", "15E¹")</f>
        <v/>
      </c>
      <c r="N4167" t="inlineStr"/>
    </row>
    <row r="4168">
      <c r="A4168" t="inlineStr">
        <is>
          <t>90K¹⁵</t>
        </is>
      </c>
      <c r="B4168" t="inlineStr"/>
      <c r="C4168" t="inlineStr">
        <is>
          <t>216</t>
        </is>
      </c>
      <c r="D4168" t="inlineStr">
        <is>
          <t>2</t>
        </is>
      </c>
      <c r="E4168" t="inlineStr">
        <is>
          <t>54</t>
        </is>
      </c>
      <c r="F4168" t="inlineStr">
        <is>
          <t>8</t>
        </is>
      </c>
      <c r="G4168" t="inlineStr">
        <is>
          <t>0</t>
        </is>
      </c>
      <c r="H4168" t="inlineStr">
        <is>
          <t>18², 90²</t>
        </is>
      </c>
      <c r="I4168" t="n">
        <v>4</v>
      </c>
      <c r="J4168" t="inlineStr">
        <is>
          <t>2⁶, 6⁴, 8³, 24²</t>
        </is>
      </c>
      <c r="K4168">
        <f>HYPERLINK("CSG3.html#group30J3", "30J³"), =HYPERLINK("CSG4.html#group90A4", "90A⁴"), =HYPERLINK("CSG7.html#group45B7", "45B⁷"), =HYPERLINK("CSG8.html#group90B8", "90B⁸")</f>
        <v/>
      </c>
      <c r="L4168" t="inlineStr"/>
      <c r="M4168">
        <f>HYPERLINK("CSG0.html#group30A0", "30A⁰"), =HYPERLINK("CSG2.html#group45A2", "45A²"), =HYPERLINK("CSG4.html#group90A4", "90A⁴"), =HYPERLINK("CSG3.html#group30J3", "30J³"), =HYPERLINK("CSG0.html#group5B0", "5B⁰"), =HYPERLINK("CSG0.html#group1A0", "1A⁰"), =HYPERLINK("CSG1.html#group9B1", "9B¹"), =HYPERLINK("CSG0.html#group10B0", "10B⁰"), =HYPERLINK("CSG8.html#group90B8", "90B⁸"), =HYPERLINK("CSG0.html#group15B0", "15B⁰"), =HYPERLINK("CSG0.html#group9A0", "9A⁰"), =HYPERLINK("CSG7.html#group45B7", "45B⁷"), =HYPERLINK("CSG0.html#group3C0", "3C⁰"), =HYPERLINK("CSG0.html#group3A0", "3A⁰"), =HYPERLINK("CSG1.html#group15E1", "15E¹"), =HYPERLINK("CSG2.html#group30C2", "30C²")</f>
        <v/>
      </c>
      <c r="N4168" t="inlineStr"/>
    </row>
    <row r="4169">
      <c r="A4169" t="inlineStr">
        <is>
          <t>90L¹⁵</t>
        </is>
      </c>
      <c r="B4169" t="inlineStr"/>
      <c r="C4169" t="inlineStr">
        <is>
          <t>216</t>
        </is>
      </c>
      <c r="D4169" t="inlineStr">
        <is>
          <t>2</t>
        </is>
      </c>
      <c r="E4169" t="inlineStr">
        <is>
          <t>54</t>
        </is>
      </c>
      <c r="F4169" t="inlineStr">
        <is>
          <t>8</t>
        </is>
      </c>
      <c r="G4169" t="inlineStr">
        <is>
          <t>0</t>
        </is>
      </c>
      <c r="H4169" t="inlineStr">
        <is>
          <t>18², 90²</t>
        </is>
      </c>
      <c r="I4169" t="n">
        <v>4</v>
      </c>
      <c r="J4169" t="inlineStr">
        <is>
          <t>2⁶, 6⁴, 8³, 24²</t>
        </is>
      </c>
      <c r="K4169">
        <f>HYPERLINK("CSG3.html#group30L3", "30L³"), =HYPERLINK("CSG4.html#group45C4", "45C⁴"), =HYPERLINK("CSG7.html#group90C7", "90C⁷"), =HYPERLINK("CSG8.html#group90B8", "90B⁸")</f>
        <v/>
      </c>
      <c r="L4169" t="inlineStr"/>
      <c r="M4169">
        <f>HYPERLINK("CSG2.html#group45A2", "45A²"), =HYPERLINK("CSG8.html#group90B8", "90B⁸"), =HYPERLINK("CSG3.html#group30L3", "30L³"), =HYPERLINK("CSG0.html#group15B0", "15B⁰"), =HYPERLINK("CSG0.html#group6B0", "6B⁰"), =HYPERLINK("CSG7.html#group90C7", "90C⁷"), =HYPERLINK("CSG1.html#group30C1", "30C¹"), =HYPERLINK("CSG0.html#group9A0", "9A⁰"), =HYPERLINK("CSG4.html#group45C4", "45C⁴"), =HYPERLINK("CSG0.html#group5B0", "5B⁰"), =HYPERLINK("CSG0.html#group3A0", "3A⁰"), =HYPERLINK("CSG0.html#group1A0", "1A⁰"), =HYPERLINK("CSG1.html#group18A1", "18A¹"), =HYPERLINK("CSG0.html#group15C0", "15C⁰"), =HYPERLINK("CSG2.html#group30C2", "30C²")</f>
        <v/>
      </c>
      <c r="N4169" t="inlineStr"/>
    </row>
    <row r="4170">
      <c r="A4170" t="inlineStr">
        <is>
          <t>90M¹⁵</t>
        </is>
      </c>
      <c r="B4170" t="inlineStr"/>
      <c r="C4170" t="inlineStr">
        <is>
          <t>216</t>
        </is>
      </c>
      <c r="D4170" t="inlineStr">
        <is>
          <t>2</t>
        </is>
      </c>
      <c r="E4170" t="inlineStr">
        <is>
          <t>54</t>
        </is>
      </c>
      <c r="F4170" t="inlineStr">
        <is>
          <t>8</t>
        </is>
      </c>
      <c r="G4170" t="inlineStr">
        <is>
          <t>0</t>
        </is>
      </c>
      <c r="H4170" t="inlineStr">
        <is>
          <t>18², 90²</t>
        </is>
      </c>
      <c r="I4170" t="n">
        <v>4</v>
      </c>
      <c r="J4170" t="inlineStr">
        <is>
          <t>2⁶, 6⁴, 8³, 24²</t>
        </is>
      </c>
      <c r="K4170">
        <f>HYPERLINK("CSG3.html#group30L3", "30L³"), =HYPERLINK("CSG5.html#group90A5", "90A⁵"), =HYPERLINK("CSG6.html#group45D6", "45D⁶"), =HYPERLINK("CSG8.html#group90B8", "90B⁸")</f>
        <v/>
      </c>
      <c r="L4170" t="inlineStr"/>
      <c r="M4170">
        <f>HYPERLINK("CSG2.html#group45A2", "45A²"), =HYPERLINK("CSG3.html#group30L3", "30L³"), =HYPERLINK("CSG0.html#group6B0", "6B⁰"), =HYPERLINK("CSG6.html#group45D6", "45D⁶"), =HYPERLINK("CSG1.html#group30C1", "30C¹"), =HYPERLINK("CSG0.html#group5B0", "5B⁰"), =HYPERLINK("CSG5.html#group90A5", "90A⁵"), =HYPERLINK("CSG0.html#group1A0", "1A⁰"), =HYPERLINK("CSG0.html#group18A0", "18A⁰"), =HYPERLINK("CSG8.html#group90B8", "90B⁸"), =HYPERLINK("CSG0.html#group15B0", "15B⁰"), =HYPERLINK("CSG0.html#group9A0", "9A⁰"), =HYPERLINK("CSG0.html#group3A0", "3A⁰"), =HYPERLINK("CSG0.html#group15C0", "15C⁰"), =HYPERLINK("CSG2.html#group30C2", "30C²")</f>
        <v/>
      </c>
      <c r="N4170" t="inlineStr"/>
    </row>
    <row r="4171">
      <c r="A4171" t="inlineStr">
        <is>
          <t>90N¹⁵</t>
        </is>
      </c>
      <c r="B4171" t="inlineStr"/>
      <c r="C4171" t="inlineStr">
        <is>
          <t>216</t>
        </is>
      </c>
      <c r="D4171" t="inlineStr">
        <is>
          <t>2</t>
        </is>
      </c>
      <c r="E4171" t="inlineStr">
        <is>
          <t>54</t>
        </is>
      </c>
      <c r="F4171" t="inlineStr">
        <is>
          <t>8</t>
        </is>
      </c>
      <c r="G4171" t="inlineStr">
        <is>
          <t>0</t>
        </is>
      </c>
      <c r="H4171" t="inlineStr">
        <is>
          <t>18², 90²</t>
        </is>
      </c>
      <c r="I4171" t="n">
        <v>4</v>
      </c>
      <c r="J4171" t="inlineStr">
        <is>
          <t>2⁶, 6⁴, 8³, 24²</t>
        </is>
      </c>
      <c r="K4171">
        <f>HYPERLINK("CSG2.html#group18G2", "18G²"), =HYPERLINK("CSG3.html#group30I3", "30I³"), =HYPERLINK("CSG5.html#group90A5", "90A⁵"), =HYPERLINK("CSG7.html#group45B7", "45B⁷"), =HYPERLINK("CSG7.html#group90C7", "90C⁷")</f>
        <v/>
      </c>
      <c r="L4171" t="inlineStr"/>
      <c r="M4171">
        <f>HYPERLINK("CSG2.html#group45A2", "45A²"), =HYPERLINK("CSG0.html#group6B0", "6B⁰"), =HYPERLINK("CSG3.html#group30I3", "30I³"), =HYPERLINK("CSG1.html#group30C1", "30C¹"), =HYPERLINK("CSG0.html#group5B0", "5B⁰"), =HYPERLINK("CSG5.html#group90A5", "90A⁵"), =HYPERLINK("CSG0.html#group1A0", "1A⁰"), =HYPERLINK("CSG1.html#group9B1", "9B¹"), =HYPERLINK("CSG0.html#group18A0", "18A⁰"), =HYPERLINK("CSG0.html#group15B0", "15B⁰"), =HYPERLINK("CSG0.html#group6E0", "6E⁰"), =HYPERLINK("CSG7.html#group90C7", "90C⁷"), =HYPERLINK("CSG0.html#group9A0", "9A⁰"), =HYPERLINK("CSG7.html#group45B7", "45B⁷"), =HYPERLINK("CSG0.html#group3C0", "3C⁰"), =HYPERLINK("CSG2.html#group18G2", "18G²"), =HYPERLINK("CSG0.html#group3A0", "3A⁰"), =HYPERLINK("CSG1.html#group18A1", "18A¹"), =HYPERLINK("CSG1.html#group15E1", "15E¹")</f>
        <v/>
      </c>
      <c r="N4171" t="inlineStr"/>
    </row>
    <row r="4172">
      <c r="A4172" t="inlineStr">
        <is>
          <t>90O¹⁵</t>
        </is>
      </c>
      <c r="B4172" t="inlineStr"/>
      <c r="C4172" t="inlineStr">
        <is>
          <t>216</t>
        </is>
      </c>
      <c r="D4172" t="inlineStr">
        <is>
          <t>2</t>
        </is>
      </c>
      <c r="E4172" t="inlineStr">
        <is>
          <t>108</t>
        </is>
      </c>
      <c r="F4172" t="inlineStr">
        <is>
          <t>8</t>
        </is>
      </c>
      <c r="G4172" t="inlineStr">
        <is>
          <t>0</t>
        </is>
      </c>
      <c r="H4172" t="inlineStr">
        <is>
          <t>18², 90²</t>
        </is>
      </c>
      <c r="I4172" t="n">
        <v>4</v>
      </c>
      <c r="J4172" t="inlineStr">
        <is>
          <t>2¹², 6⁸, 8⁶, 24⁴</t>
        </is>
      </c>
      <c r="K4172">
        <f>HYPERLINK("CSG3.html#group30L3", "30L³"), =HYPERLINK("CSG7.html#group90D7", "90D⁷")</f>
        <v/>
      </c>
      <c r="L4172" t="inlineStr"/>
      <c r="M4172">
        <f>HYPERLINK("CSG3.html#group30L3", "30L³"), =HYPERLINK("CSG7.html#group90D7", "90D⁷"), =HYPERLINK("CSG0.html#group15B0", "15B⁰"), =HYPERLINK("CSG0.html#group6B0", "6B⁰"), =HYPERLINK("CSG1.html#group30C1", "30C¹"), =HYPERLINK("CSG0.html#group5B0", "5B⁰"), =HYPERLINK("CSG1.html#group18B1", "18B¹"), =HYPERLINK("CSG0.html#group3A0", "3A⁰"), =HYPERLINK("CSG0.html#group1A0", "1A⁰"), =HYPERLINK("CSG0.html#group15C0", "15C⁰"), =HYPERLINK("CSG2.html#group30C2", "30C²")</f>
        <v/>
      </c>
      <c r="N4172" t="inlineStr"/>
    </row>
    <row r="4173">
      <c r="A4173" t="inlineStr">
        <is>
          <t>90P¹⁵</t>
        </is>
      </c>
      <c r="B4173" t="inlineStr"/>
      <c r="C4173" t="inlineStr">
        <is>
          <t>216</t>
        </is>
      </c>
      <c r="D4173" t="inlineStr">
        <is>
          <t>2</t>
        </is>
      </c>
      <c r="E4173" t="inlineStr">
        <is>
          <t>108</t>
        </is>
      </c>
      <c r="F4173" t="inlineStr">
        <is>
          <t>8</t>
        </is>
      </c>
      <c r="G4173" t="inlineStr">
        <is>
          <t>0</t>
        </is>
      </c>
      <c r="H4173" t="inlineStr">
        <is>
          <t>18², 90²</t>
        </is>
      </c>
      <c r="I4173" t="n">
        <v>4</v>
      </c>
      <c r="J4173" t="inlineStr">
        <is>
          <t>2¹², 6⁸, 8⁶, 24⁴</t>
        </is>
      </c>
      <c r="K4173">
        <f>HYPERLINK("CSG2.html#group18H2", "18H²"), =HYPERLINK("CSG3.html#group30I3", "30I³"), =HYPERLINK("CSG7.html#group90D7", "90D⁷")</f>
        <v/>
      </c>
      <c r="L4173" t="inlineStr"/>
      <c r="M4173">
        <f>HYPERLINK("CSG7.html#group90D7", "90D⁷"), =HYPERLINK("CSG0.html#group6B0", "6B⁰"), =HYPERLINK("CSG3.html#group30I3", "30I³"), =HYPERLINK("CSG0.html#group15B0", "15B⁰"), =HYPERLINK("CSG2.html#group18H2", "18H²"), =HYPERLINK("CSG0.html#group6E0", "6E⁰"), =HYPERLINK("CSG1.html#group15E1", "15E¹"), =HYPERLINK("CSG0.html#group5B0", "5B⁰"), =HYPERLINK("CSG1.html#group18B1", "18B¹"), =HYPERLINK("CSG0.html#group3C0", "3C⁰"), =HYPERLINK("CSG0.html#group3A0", "3A⁰"), =HYPERLINK("CSG0.html#group1A0", "1A⁰"), =HYPERLINK("CSG1.html#group30C1", "30C¹")</f>
        <v/>
      </c>
      <c r="N4173" t="inlineStr"/>
    </row>
    <row r="4174">
      <c r="A4174" t="inlineStr">
        <is>
          <t>92A¹⁵</t>
        </is>
      </c>
      <c r="B4174" t="inlineStr"/>
      <c r="C4174" t="inlineStr">
        <is>
          <t>192</t>
        </is>
      </c>
      <c r="D4174" t="inlineStr">
        <is>
          <t>1</t>
        </is>
      </c>
      <c r="E4174" t="inlineStr">
        <is>
          <t>96</t>
        </is>
      </c>
      <c r="F4174" t="inlineStr">
        <is>
          <t>0</t>
        </is>
      </c>
      <c r="G4174" t="inlineStr">
        <is>
          <t>0</t>
        </is>
      </c>
      <c r="H4174" t="inlineStr">
        <is>
          <t>4², 92²</t>
        </is>
      </c>
      <c r="I4174" t="n">
        <v>4</v>
      </c>
      <c r="J4174" t="inlineStr">
        <is>
          <t>2⁴, 44²</t>
        </is>
      </c>
      <c r="K4174">
        <f>HYPERLINK("CSG0.html#group4D0", "4D⁰"), =HYPERLINK("CSG4.html#group46A4", "46A⁴"), =HYPERLINK("CSG8.html#group92B8", "92B⁸")</f>
        <v/>
      </c>
      <c r="L4174" t="inlineStr"/>
      <c r="M4174">
        <f>HYPERLINK("CSG0.html#group2A0", "2A⁰"), =HYPERLINK("CSG0.html#group4A0", "4A⁰"), =HYPERLINK("CSG0.html#group4D0", "4D⁰"), =HYPERLINK("CSG8.html#group92B8", "92B⁸"), =HYPERLINK("CSG2.html#group23A2", "23A²"), =HYPERLINK("CSG0.html#group1A0", "1A⁰"), =HYPERLINK("CSG4.html#group46A4", "46A⁴")</f>
        <v/>
      </c>
      <c r="N4174" t="inlineStr"/>
    </row>
    <row r="4175">
      <c r="A4175" t="inlineStr">
        <is>
          <t>93A¹⁵</t>
        </is>
      </c>
      <c r="B4175" t="inlineStr"/>
      <c r="C4175" t="inlineStr">
        <is>
          <t>192</t>
        </is>
      </c>
      <c r="D4175" t="inlineStr">
        <is>
          <t>1</t>
        </is>
      </c>
      <c r="E4175" t="inlineStr">
        <is>
          <t>96</t>
        </is>
      </c>
      <c r="F4175" t="inlineStr">
        <is>
          <t>0</t>
        </is>
      </c>
      <c r="G4175" t="inlineStr">
        <is>
          <t>0</t>
        </is>
      </c>
      <c r="H4175" t="inlineStr">
        <is>
          <t>3², 93²</t>
        </is>
      </c>
      <c r="I4175" t="n">
        <v>4</v>
      </c>
      <c r="J4175" t="inlineStr">
        <is>
          <t>1², 2², 30¹, 60¹</t>
        </is>
      </c>
      <c r="K4175">
        <f>HYPERLINK("CSG0.html#group3C0", "3C⁰"), =HYPERLINK("CSG8.html#group93A8", "93A⁸")</f>
        <v/>
      </c>
      <c r="L4175" t="inlineStr"/>
      <c r="M4175">
        <f>HYPERLINK("CSG0.html#group3C0", "3C⁰"), =HYPERLINK("CSG2.html#group31A2", "31A²"), =HYPERLINK("CSG8.html#group93A8", "93A⁸"), =HYPERLINK("CSG0.html#group3A0", "3A⁰"), =HYPERLINK("CSG0.html#group1A0", "1A⁰")</f>
        <v/>
      </c>
      <c r="N4175" t="inlineStr"/>
    </row>
    <row r="4176">
      <c r="A4176" t="inlineStr">
        <is>
          <t>95A¹⁵</t>
        </is>
      </c>
      <c r="B4176" t="inlineStr"/>
      <c r="C4176" t="inlineStr">
        <is>
          <t>200</t>
        </is>
      </c>
      <c r="D4176" t="inlineStr">
        <is>
          <t>1</t>
        </is>
      </c>
      <c r="E4176" t="inlineStr">
        <is>
          <t>200</t>
        </is>
      </c>
      <c r="F4176" t="inlineStr">
        <is>
          <t>0</t>
        </is>
      </c>
      <c r="G4176" t="inlineStr">
        <is>
          <t>2</t>
        </is>
      </c>
      <c r="H4176" t="inlineStr">
        <is>
          <t>5², 95²</t>
        </is>
      </c>
      <c r="I4176" t="n">
        <v>4</v>
      </c>
      <c r="J4176" t="inlineStr">
        <is>
          <t>2², 4⁴, 36¹, 72²</t>
        </is>
      </c>
      <c r="K4176">
        <f>HYPERLINK("CSG0.html#group5C0", "5C⁰"), =HYPERLINK("CSG1.html#group19A1", "19A¹")</f>
        <v/>
      </c>
      <c r="L4176" t="inlineStr"/>
      <c r="M4176">
        <f>HYPERLINK("CSG1.html#group19A1", "19A¹"), =HYPERLINK("CSG0.html#group5C0", "5C⁰"), =HYPERLINK("CSG0.html#group1A0", "1A⁰")</f>
        <v/>
      </c>
      <c r="N4176" t="inlineStr"/>
    </row>
    <row r="4177">
      <c r="A4177" t="inlineStr">
        <is>
          <t>96A¹⁵</t>
        </is>
      </c>
      <c r="B4177" t="inlineStr"/>
      <c r="C4177" t="inlineStr">
        <is>
          <t>192</t>
        </is>
      </c>
      <c r="D4177" t="inlineStr">
        <is>
          <t>1</t>
        </is>
      </c>
      <c r="E4177" t="inlineStr">
        <is>
          <t>48</t>
        </is>
      </c>
      <c r="F4177" t="inlineStr">
        <is>
          <t>0</t>
        </is>
      </c>
      <c r="G4177" t="inlineStr">
        <is>
          <t>0</t>
        </is>
      </c>
      <c r="H4177" t="inlineStr">
        <is>
          <t>16¹, 32¹, 48¹, 96¹</t>
        </is>
      </c>
      <c r="I4177" t="n">
        <v>4</v>
      </c>
      <c r="J4177" t="inlineStr">
        <is>
          <t>2¹², 4⁶</t>
        </is>
      </c>
      <c r="K4177">
        <f>HYPERLINK("CSG7.html#group48D7", "48D⁷")</f>
        <v/>
      </c>
      <c r="L4177" t="inlineStr"/>
      <c r="M4177">
        <f>HYPERLINK("CSG7.html#group48D7", "48D⁷"), =HYPERLINK("CSG0.html#group3B0", "3B⁰"), =HYPERLINK("CSG3.html#group24B3", "24B³"), =HYPERLINK("CSG1.html#group12F1", "12F¹"), =HYPERLINK("CSG0.html#group4C0", "4C⁰"), =HYPERLINK("CSG0.html#group8B0", "8B⁰"), =HYPERLINK("CSG0.html#group6F0", "6F⁰"), =HYPERLINK("CSG0.html#group2B0", "2B⁰"), =HYPERLINK("CSG0.html#group1A0", "1A⁰"), =HYPERLINK("CSG2.html#group16A2", "16A²")</f>
        <v/>
      </c>
      <c r="N4177" t="inlineStr"/>
    </row>
    <row r="4178">
      <c r="A4178" t="inlineStr">
        <is>
          <t>96B¹⁵</t>
        </is>
      </c>
      <c r="B4178" t="inlineStr"/>
      <c r="C4178" t="inlineStr">
        <is>
          <t>192</t>
        </is>
      </c>
      <c r="D4178" t="inlineStr">
        <is>
          <t>1</t>
        </is>
      </c>
      <c r="E4178" t="inlineStr">
        <is>
          <t>48</t>
        </is>
      </c>
      <c r="F4178" t="inlineStr">
        <is>
          <t>0</t>
        </is>
      </c>
      <c r="G4178" t="inlineStr">
        <is>
          <t>0</t>
        </is>
      </c>
      <c r="H4178" t="inlineStr">
        <is>
          <t>16¹, 32¹, 48¹, 96¹</t>
        </is>
      </c>
      <c r="I4178" t="n">
        <v>4</v>
      </c>
      <c r="J4178" t="inlineStr">
        <is>
          <t>2¹², 4⁶</t>
        </is>
      </c>
      <c r="K4178">
        <f>HYPERLINK("CSG7.html#group48D7", "48D⁷")</f>
        <v/>
      </c>
      <c r="L4178" t="inlineStr"/>
      <c r="M4178">
        <f>HYPERLINK("CSG7.html#group48D7", "48D⁷"), =HYPERLINK("CSG0.html#group3B0", "3B⁰"), =HYPERLINK("CSG3.html#group24B3", "24B³"), =HYPERLINK("CSG1.html#group12F1", "12F¹"), =HYPERLINK("CSG0.html#group4C0", "4C⁰"), =HYPERLINK("CSG0.html#group8B0", "8B⁰"), =HYPERLINK("CSG0.html#group6F0", "6F⁰"), =HYPERLINK("CSG0.html#group2B0", "2B⁰"), =HYPERLINK("CSG0.html#group1A0", "1A⁰"), =HYPERLINK("CSG2.html#group16A2", "16A²")</f>
        <v/>
      </c>
      <c r="N4178" t="inlineStr"/>
    </row>
    <row r="4179">
      <c r="A4179" t="inlineStr">
        <is>
          <t>96C¹⁵</t>
        </is>
      </c>
      <c r="B4179" t="inlineStr"/>
      <c r="C4179" t="inlineStr">
        <is>
          <t>192</t>
        </is>
      </c>
      <c r="D4179" t="inlineStr">
        <is>
          <t>1</t>
        </is>
      </c>
      <c r="E4179" t="inlineStr">
        <is>
          <t>48</t>
        </is>
      </c>
      <c r="F4179" t="inlineStr">
        <is>
          <t>0</t>
        </is>
      </c>
      <c r="G4179" t="inlineStr">
        <is>
          <t>0</t>
        </is>
      </c>
      <c r="H4179" t="inlineStr">
        <is>
          <t>16¹, 32¹, 48¹, 96¹</t>
        </is>
      </c>
      <c r="I4179" t="n">
        <v>4</v>
      </c>
      <c r="J4179" t="inlineStr">
        <is>
          <t>2¹², 4⁶</t>
        </is>
      </c>
      <c r="K4179">
        <f>HYPERLINK("CSG1.html#group32B1", "32B¹"), =HYPERLINK("CSG7.html#group48C7", "48C⁷")</f>
        <v/>
      </c>
      <c r="L4179" t="inlineStr"/>
      <c r="M4179">
        <f>HYPERLINK("CSG0.html#group16B0", "16B⁰"), =HYPERLINK("CSG0.html#group3B0", "3B⁰"), =HYPERLINK("CSG3.html#group24B3", "24B³"), =HYPERLINK("CSG1.html#group12F1", "12F¹"), =HYPERLINK("CSG0.html#group4C0", "4C⁰"), =HYPERLINK("CSG0.html#group8B0", "8B⁰"), =HYPERLINK("CSG0.html#group1A0", "1A⁰"), =HYPERLINK("CSG1.html#group32B1", "32B¹"), =HYPERLINK("CSG0.html#group2B0", "2B⁰"), =HYPERLINK("CSG7.html#group48C7", "48C⁷"), =HYPERLINK("CSG0.html#group6F0", "6F⁰")</f>
        <v/>
      </c>
      <c r="N4179" t="inlineStr"/>
    </row>
    <row r="4180">
      <c r="A4180" t="inlineStr">
        <is>
          <t>96D¹⁵</t>
        </is>
      </c>
      <c r="B4180" t="inlineStr"/>
      <c r="C4180" t="inlineStr">
        <is>
          <t>192</t>
        </is>
      </c>
      <c r="D4180" t="inlineStr">
        <is>
          <t>1</t>
        </is>
      </c>
      <c r="E4180" t="inlineStr">
        <is>
          <t>48</t>
        </is>
      </c>
      <c r="F4180" t="inlineStr">
        <is>
          <t>0</t>
        </is>
      </c>
      <c r="G4180" t="inlineStr">
        <is>
          <t>0</t>
        </is>
      </c>
      <c r="H4180" t="inlineStr">
        <is>
          <t>16¹, 32¹, 48¹, 96¹</t>
        </is>
      </c>
      <c r="I4180" t="n">
        <v>4</v>
      </c>
      <c r="J4180" t="inlineStr">
        <is>
          <t>2¹², 4⁶</t>
        </is>
      </c>
      <c r="K4180">
        <f>HYPERLINK("CSG3.html#group32D3", "32D³"), =HYPERLINK("CSG7.html#group48C7", "48C⁷")</f>
        <v/>
      </c>
      <c r="L4180" t="inlineStr"/>
      <c r="M4180">
        <f>HYPERLINK("CSG0.html#group16B0", "16B⁰"), =HYPERLINK("CSG0.html#group3B0", "3B⁰"), =HYPERLINK("CSG3.html#group24B3", "24B³"), =HYPERLINK("CSG1.html#group12F1", "12F¹"), =HYPERLINK("CSG0.html#group4C0", "4C⁰"), =HYPERLINK("CSG0.html#group8B0", "8B⁰"), =HYPERLINK("CSG3.html#group32D3", "32D³"), =HYPERLINK("CSG0.html#group2B0", "2B⁰"), =HYPERLINK("CSG0.html#group1A0", "1A⁰"), =HYPERLINK("CSG7.html#group48C7", "48C⁷"), =HYPERLINK("CSG0.html#group6F0", "6F⁰")</f>
        <v/>
      </c>
      <c r="N4180" t="inlineStr"/>
    </row>
    <row r="4181">
      <c r="A4181" t="inlineStr">
        <is>
          <t>96E¹⁵</t>
        </is>
      </c>
      <c r="B4181" t="inlineStr"/>
      <c r="C4181" t="inlineStr">
        <is>
          <t>192</t>
        </is>
      </c>
      <c r="D4181" t="inlineStr">
        <is>
          <t>1</t>
        </is>
      </c>
      <c r="E4181" t="inlineStr">
        <is>
          <t>96</t>
        </is>
      </c>
      <c r="F4181" t="inlineStr">
        <is>
          <t>0</t>
        </is>
      </c>
      <c r="G4181" t="inlineStr">
        <is>
          <t>0</t>
        </is>
      </c>
      <c r="H4181" t="inlineStr">
        <is>
          <t>16¹, 32¹, 48¹, 96¹</t>
        </is>
      </c>
      <c r="I4181" t="n">
        <v>4</v>
      </c>
      <c r="J4181" t="inlineStr">
        <is>
          <t>2¹⁶, 4⁸, 8², 16¹</t>
        </is>
      </c>
      <c r="K4181">
        <f>HYPERLINK("CSG7.html#group48H7", "48H⁷")</f>
        <v/>
      </c>
      <c r="L4181" t="inlineStr"/>
      <c r="M4181">
        <f>HYPERLINK("CSG3.html#group24C3", "24C³"), =HYPERLINK("CSG0.html#group3B0", "3B⁰"), =HYPERLINK("CSG2.html#group16B2", "16B²"), =HYPERLINK("CSG1.html#group8A1", "8A¹"), =HYPERLINK("CSG7.html#group48H7", "48H⁷"), =HYPERLINK("CSG1.html#group12F1", "12F¹"), =HYPERLINK("CSG0.html#group4C0", "4C⁰"), =HYPERLINK("CSG0.html#group6F0", "6F⁰"), =HYPERLINK("CSG0.html#group2B0", "2B⁰"), =HYPERLINK("CSG0.html#group1A0", "1A⁰")</f>
        <v/>
      </c>
      <c r="N4181" t="inlineStr"/>
    </row>
    <row r="4182">
      <c r="A4182" t="inlineStr">
        <is>
          <t>96F¹⁵</t>
        </is>
      </c>
      <c r="B4182" t="inlineStr"/>
      <c r="C4182" t="inlineStr">
        <is>
          <t>192</t>
        </is>
      </c>
      <c r="D4182" t="inlineStr">
        <is>
          <t>1</t>
        </is>
      </c>
      <c r="E4182" t="inlineStr">
        <is>
          <t>96</t>
        </is>
      </c>
      <c r="F4182" t="inlineStr">
        <is>
          <t>0</t>
        </is>
      </c>
      <c r="G4182" t="inlineStr">
        <is>
          <t>0</t>
        </is>
      </c>
      <c r="H4182" t="inlineStr">
        <is>
          <t>16¹, 32¹, 48¹, 96¹</t>
        </is>
      </c>
      <c r="I4182" t="n">
        <v>4</v>
      </c>
      <c r="J4182" t="inlineStr">
        <is>
          <t>2¹⁶, 4⁸, 8², 16¹</t>
        </is>
      </c>
      <c r="K4182">
        <f>HYPERLINK("CSG7.html#group48H7", "48H⁷")</f>
        <v/>
      </c>
      <c r="L4182" t="inlineStr"/>
      <c r="M4182">
        <f>HYPERLINK("CSG3.html#group24C3", "24C³"), =HYPERLINK("CSG0.html#group3B0", "3B⁰"), =HYPERLINK("CSG2.html#group16B2", "16B²"), =HYPERLINK("CSG1.html#group8A1", "8A¹"), =HYPERLINK("CSG7.html#group48H7", "48H⁷"), =HYPERLINK("CSG1.html#group12F1", "12F¹"), =HYPERLINK("CSG0.html#group4C0", "4C⁰"), =HYPERLINK("CSG0.html#group6F0", "6F⁰"), =HYPERLINK("CSG0.html#group2B0", "2B⁰"), =HYPERLINK("CSG0.html#group1A0", "1A⁰")</f>
        <v/>
      </c>
      <c r="N4182" t="inlineStr"/>
    </row>
    <row r="4183">
      <c r="A4183" t="inlineStr">
        <is>
          <t>96G¹⁵</t>
        </is>
      </c>
      <c r="B4183" t="inlineStr"/>
      <c r="C4183" t="inlineStr">
        <is>
          <t>192</t>
        </is>
      </c>
      <c r="D4183" t="inlineStr">
        <is>
          <t>1</t>
        </is>
      </c>
      <c r="E4183" t="inlineStr">
        <is>
          <t>96</t>
        </is>
      </c>
      <c r="F4183" t="inlineStr">
        <is>
          <t>0</t>
        </is>
      </c>
      <c r="G4183" t="inlineStr">
        <is>
          <t>0</t>
        </is>
      </c>
      <c r="H4183" t="inlineStr">
        <is>
          <t>16¹, 32¹, 48¹, 96¹</t>
        </is>
      </c>
      <c r="I4183" t="n">
        <v>4</v>
      </c>
      <c r="J4183" t="inlineStr">
        <is>
          <t>2¹⁶, 4⁸, 8², 16¹</t>
        </is>
      </c>
      <c r="K4183">
        <f>HYPERLINK("CSG3.html#group32E3", "32E³"), =HYPERLINK("CSG7.html#group48G7", "48G⁷")</f>
        <v/>
      </c>
      <c r="L4183" t="inlineStr"/>
      <c r="M4183">
        <f>HYPERLINK("CSG0.html#group3B0", "3B⁰"), =HYPERLINK("CSG1.html#group16D1", "16D¹"), =HYPERLINK("CSG3.html#group24B3", "24B³"), =HYPERLINK("CSG7.html#group48G7", "48G⁷"), =HYPERLINK("CSG1.html#group12F1", "12F¹"), =HYPERLINK("CSG0.html#group4C0", "4C⁰"), =HYPERLINK("CSG0.html#group8B0", "8B⁰"), =HYPERLINK("CSG0.html#group6F0", "6F⁰"), =HYPERLINK("CSG3.html#group32E3", "32E³"), =HYPERLINK("CSG0.html#group2B0", "2B⁰"), =HYPERLINK("CSG0.html#group1A0", "1A⁰")</f>
        <v/>
      </c>
      <c r="N4183" t="inlineStr"/>
    </row>
    <row r="4184">
      <c r="A4184" t="inlineStr">
        <is>
          <t>96H¹⁵</t>
        </is>
      </c>
      <c r="B4184" t="inlineStr"/>
      <c r="C4184" t="inlineStr">
        <is>
          <t>192</t>
        </is>
      </c>
      <c r="D4184" t="inlineStr">
        <is>
          <t>1</t>
        </is>
      </c>
      <c r="E4184" t="inlineStr">
        <is>
          <t>96</t>
        </is>
      </c>
      <c r="F4184" t="inlineStr">
        <is>
          <t>0</t>
        </is>
      </c>
      <c r="G4184" t="inlineStr">
        <is>
          <t>0</t>
        </is>
      </c>
      <c r="H4184" t="inlineStr">
        <is>
          <t>16¹, 32¹, 48¹, 96¹</t>
        </is>
      </c>
      <c r="I4184" t="n">
        <v>4</v>
      </c>
      <c r="J4184" t="inlineStr">
        <is>
          <t>2¹⁶, 4⁸, 8², 16¹</t>
        </is>
      </c>
      <c r="K4184">
        <f>HYPERLINK("CSG3.html#group32F3", "32F³"), =HYPERLINK("CSG7.html#group48G7", "48G⁷")</f>
        <v/>
      </c>
      <c r="L4184" t="inlineStr"/>
      <c r="M4184">
        <f>HYPERLINK("CSG0.html#group3B0", "3B⁰"), =HYPERLINK("CSG1.html#group16D1", "16D¹"), =HYPERLINK("CSG3.html#group24B3", "24B³"), =HYPERLINK("CSG7.html#group48G7", "48G⁷"), =HYPERLINK("CSG1.html#group12F1", "12F¹"), =HYPERLINK("CSG0.html#group4C0", "4C⁰"), =HYPERLINK("CSG0.html#group8B0", "8B⁰"), =HYPERLINK("CSG0.html#group6F0", "6F⁰"), =HYPERLINK("CSG0.html#group2B0", "2B⁰"), =HYPERLINK("CSG3.html#group32F3", "32F³"), =HYPERLINK("CSG0.html#group1A0", "1A⁰")</f>
        <v/>
      </c>
      <c r="N4184" t="inlineStr"/>
    </row>
    <row r="4185">
      <c r="A4185" t="inlineStr">
        <is>
          <t>96I¹⁵</t>
        </is>
      </c>
      <c r="B4185" t="inlineStr"/>
      <c r="C4185" t="inlineStr">
        <is>
          <t>192</t>
        </is>
      </c>
      <c r="D4185" t="inlineStr">
        <is>
          <t>1</t>
        </is>
      </c>
      <c r="E4185" t="inlineStr">
        <is>
          <t>96</t>
        </is>
      </c>
      <c r="F4185" t="inlineStr">
        <is>
          <t>0</t>
        </is>
      </c>
      <c r="G4185" t="inlineStr">
        <is>
          <t>0</t>
        </is>
      </c>
      <c r="H4185" t="inlineStr">
        <is>
          <t>16¹, 32¹, 48¹, 96¹</t>
        </is>
      </c>
      <c r="I4185" t="n">
        <v>4</v>
      </c>
      <c r="J4185" t="inlineStr">
        <is>
          <t>2¹⁶, 4⁸, 8², 16¹</t>
        </is>
      </c>
      <c r="K4185">
        <f>HYPERLINK("CSG3.html#group32G3", "32G³"), =HYPERLINK("CSG7.html#group48G7", "48G⁷")</f>
        <v/>
      </c>
      <c r="L4185" t="inlineStr"/>
      <c r="M4185">
        <f>HYPERLINK("CSG0.html#group3B0", "3B⁰"), =HYPERLINK("CSG1.html#group16D1", "16D¹"), =HYPERLINK("CSG3.html#group24B3", "24B³"), =HYPERLINK("CSG7.html#group48G7", "48G⁷"), =HYPERLINK("CSG1.html#group12F1", "12F¹"), =HYPERLINK("CSG0.html#group4C0", "4C⁰"), =HYPERLINK("CSG0.html#group8B0", "8B⁰"), =HYPERLINK("CSG0.html#group6F0", "6F⁰"), =HYPERLINK("CSG0.html#group2B0", "2B⁰"), =HYPERLINK("CSG3.html#group32G3", "32G³"), =HYPERLINK("CSG0.html#group1A0", "1A⁰")</f>
        <v/>
      </c>
      <c r="N4185" t="inlineStr"/>
    </row>
    <row r="4186">
      <c r="A4186" t="inlineStr">
        <is>
          <t>96J¹⁵</t>
        </is>
      </c>
      <c r="B4186" t="inlineStr"/>
      <c r="C4186" t="inlineStr">
        <is>
          <t>192</t>
        </is>
      </c>
      <c r="D4186" t="inlineStr">
        <is>
          <t>1</t>
        </is>
      </c>
      <c r="E4186" t="inlineStr">
        <is>
          <t>96</t>
        </is>
      </c>
      <c r="F4186" t="inlineStr">
        <is>
          <t>0</t>
        </is>
      </c>
      <c r="G4186" t="inlineStr">
        <is>
          <t>0</t>
        </is>
      </c>
      <c r="H4186" t="inlineStr">
        <is>
          <t>16¹, 32¹, 48¹, 96¹</t>
        </is>
      </c>
      <c r="I4186" t="n">
        <v>4</v>
      </c>
      <c r="J4186" t="inlineStr">
        <is>
          <t>2¹⁶, 4⁸, 8², 16¹</t>
        </is>
      </c>
      <c r="K4186">
        <f>HYPERLINK("CSG3.html#group32H3", "32H³"), =HYPERLINK("CSG7.html#group48G7", "48G⁷")</f>
        <v/>
      </c>
      <c r="L4186" t="inlineStr"/>
      <c r="M4186">
        <f>HYPERLINK("CSG0.html#group3B0", "3B⁰"), =HYPERLINK("CSG1.html#group16D1", "16D¹"), =HYPERLINK("CSG3.html#group24B3", "24B³"), =HYPERLINK("CSG7.html#group48G7", "48G⁷"), =HYPERLINK("CSG1.html#group12F1", "12F¹"), =HYPERLINK("CSG0.html#group4C0", "4C⁰"), =HYPERLINK("CSG0.html#group8B0", "8B⁰"), =HYPERLINK("CSG0.html#group6F0", "6F⁰"), =HYPERLINK("CSG0.html#group2B0", "2B⁰"), =HYPERLINK("CSG0.html#group1A0", "1A⁰"), =HYPERLINK("CSG3.html#group32H3", "32H³")</f>
        <v/>
      </c>
      <c r="N4186" t="inlineStr"/>
    </row>
    <row r="4187">
      <c r="A4187" t="inlineStr">
        <is>
          <t>96K¹⁵</t>
        </is>
      </c>
      <c r="B4187" t="inlineStr"/>
      <c r="C4187" t="inlineStr">
        <is>
          <t>192</t>
        </is>
      </c>
      <c r="D4187" t="inlineStr">
        <is>
          <t>1</t>
        </is>
      </c>
      <c r="E4187" t="inlineStr">
        <is>
          <t>96</t>
        </is>
      </c>
      <c r="F4187" t="inlineStr">
        <is>
          <t>0</t>
        </is>
      </c>
      <c r="G4187" t="inlineStr">
        <is>
          <t>0</t>
        </is>
      </c>
      <c r="H4187" t="inlineStr">
        <is>
          <t>16¹, 32¹, 48¹, 96¹</t>
        </is>
      </c>
      <c r="I4187" t="n">
        <v>4</v>
      </c>
      <c r="J4187" t="inlineStr">
        <is>
          <t>2¹⁶, 4⁸, 8², 16¹</t>
        </is>
      </c>
      <c r="K4187">
        <f>HYPERLINK("CSG4.html#group32A4", "32A⁴"), =HYPERLINK("CSG7.html#group48H7", "48H⁷")</f>
        <v/>
      </c>
      <c r="L4187" t="inlineStr"/>
      <c r="M4187">
        <f>HYPERLINK("CSG0.html#group3B0", "3B⁰"), =HYPERLINK("CSG1.html#group8A1", "8A¹"), =HYPERLINK("CSG7.html#group48H7", "48H⁷"), =HYPERLINK("CSG1.html#group12F1", "12F¹"), =HYPERLINK("CSG0.html#group4C0", "4C⁰"), =HYPERLINK("CSG0.html#group2B0", "2B⁰"), =HYPERLINK("CSG4.html#group32A4", "32A⁴"), =HYPERLINK("CSG0.html#group1A0", "1A⁰"), =HYPERLINK("CSG3.html#group24C3", "24C³"), =HYPERLINK("CSG2.html#group16B2", "16B²"), =HYPERLINK("CSG0.html#group6F0", "6F⁰")</f>
        <v/>
      </c>
      <c r="N4187" t="inlineStr"/>
    </row>
    <row r="4188">
      <c r="A4188" t="inlineStr">
        <is>
          <t>96L¹⁵</t>
        </is>
      </c>
      <c r="B4188" t="inlineStr"/>
      <c r="C4188" t="inlineStr">
        <is>
          <t>192</t>
        </is>
      </c>
      <c r="D4188" t="inlineStr">
        <is>
          <t>1</t>
        </is>
      </c>
      <c r="E4188" t="inlineStr">
        <is>
          <t>96</t>
        </is>
      </c>
      <c r="F4188" t="inlineStr">
        <is>
          <t>0</t>
        </is>
      </c>
      <c r="G4188" t="inlineStr">
        <is>
          <t>0</t>
        </is>
      </c>
      <c r="H4188" t="inlineStr">
        <is>
          <t>16¹, 32¹, 48¹, 96¹</t>
        </is>
      </c>
      <c r="I4188" t="n">
        <v>4</v>
      </c>
      <c r="J4188" t="inlineStr">
        <is>
          <t>2¹⁶, 4⁸, 8², 16¹</t>
        </is>
      </c>
      <c r="K4188">
        <f>HYPERLINK("CSG4.html#group32B4", "32B⁴"), =HYPERLINK("CSG7.html#group48H7", "48H⁷")</f>
        <v/>
      </c>
      <c r="L4188" t="inlineStr"/>
      <c r="M4188">
        <f>HYPERLINK("CSG3.html#group24C3", "24C³"), =HYPERLINK("CSG0.html#group3B0", "3B⁰"), =HYPERLINK("CSG2.html#group16B2", "16B²"), =HYPERLINK("CSG1.html#group8A1", "8A¹"), =HYPERLINK("CSG7.html#group48H7", "48H⁷"), =HYPERLINK("CSG1.html#group12F1", "12F¹"), =HYPERLINK("CSG0.html#group4C0", "4C⁰"), =HYPERLINK("CSG0.html#group6F0", "6F⁰"), =HYPERLINK("CSG0.html#group2B0", "2B⁰"), =HYPERLINK("CSG0.html#group1A0", "1A⁰"), =HYPERLINK("CSG4.html#group32B4", "32B⁴")</f>
        <v/>
      </c>
      <c r="N4188" t="inlineStr"/>
    </row>
    <row r="4189">
      <c r="A4189" t="inlineStr">
        <is>
          <t>96M¹⁵</t>
        </is>
      </c>
      <c r="B4189" t="inlineStr"/>
      <c r="C4189" t="inlineStr">
        <is>
          <t>288</t>
        </is>
      </c>
      <c r="D4189" t="inlineStr">
        <is>
          <t>1</t>
        </is>
      </c>
      <c r="E4189" t="inlineStr">
        <is>
          <t>18</t>
        </is>
      </c>
      <c r="F4189" t="inlineStr">
        <is>
          <t>0</t>
        </is>
      </c>
      <c r="G4189" t="inlineStr">
        <is>
          <t>0</t>
        </is>
      </c>
      <c r="H4189" t="inlineStr">
        <is>
          <t>3¹⁶, 24², 96²</t>
        </is>
      </c>
      <c r="I4189" t="n">
        <v>20</v>
      </c>
      <c r="J4189" t="inlineStr">
        <is>
          <t>1⁴, 2⁵, 4¹</t>
        </is>
      </c>
      <c r="K4189">
        <f>HYPERLINK("CSG7.html#group48R7", "48R⁷"), =HYPERLINK("CSG8.html#group96B8", "96B⁸")</f>
        <v/>
      </c>
      <c r="L4189" t="inlineStr"/>
      <c r="M4189">
        <f>HYPERLINK("CSG1.html#group12K1", "12K¹"), =HYPERLINK("CSG4.html#group48F4", "48F⁴"), =HYPERLINK("CSG0.html#group6G0", "6G⁰"), =HYPERLINK("CSG0.html#group8C0", "8C⁰"), =HYPERLINK("CSG0.html#group2B0", "2B⁰"), =HYPERLINK("CSG0.html#group4B0", "4B⁰"), =HYPERLINK("CSG0.html#group1A0", "1A⁰"), =HYPERLINK("CSG4.html#group48B4", "48B⁴"), =HYPERLINK("CSG2.html#group24B2", "24B²"), =HYPERLINK("CSG7.html#group48R7", "48R⁷"), =HYPERLINK("CSG8.html#group96B8", "96B⁸"), =HYPERLINK("CSG0.html#group16C0", "16C⁰"),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</f>
        <v/>
      </c>
      <c r="N4189" t="inlineStr"/>
    </row>
    <row r="4190">
      <c r="A4190" t="inlineStr">
        <is>
          <t>96N¹⁵</t>
        </is>
      </c>
      <c r="B4190" t="inlineStr"/>
      <c r="C4190" t="inlineStr">
        <is>
          <t>288</t>
        </is>
      </c>
      <c r="D4190" t="inlineStr">
        <is>
          <t>1</t>
        </is>
      </c>
      <c r="E4190" t="inlineStr">
        <is>
          <t>18</t>
        </is>
      </c>
      <c r="F4190" t="inlineStr">
        <is>
          <t>0</t>
        </is>
      </c>
      <c r="G4190" t="inlineStr">
        <is>
          <t>0</t>
        </is>
      </c>
      <c r="H4190" t="inlineStr">
        <is>
          <t>3¹⁶, 24², 96²</t>
        </is>
      </c>
      <c r="I4190" t="n">
        <v>20</v>
      </c>
      <c r="J4190" t="inlineStr">
        <is>
          <t>1⁴, 2⁵, 4¹</t>
        </is>
      </c>
      <c r="K4190">
        <f>HYPERLINK("CSG7.html#group48R7", "48R⁷"), =HYPERLINK("CSG8.html#group96A8", "96A⁸"), =HYPERLINK("CSG8.html#group96B8", "96B⁸")</f>
        <v/>
      </c>
      <c r="L4190" t="inlineStr"/>
      <c r="M4190">
        <f>HYPERLINK("CSG1.html#group12K1", "12K¹"), =HYPERLINK("CSG4.html#group48F4", "48F⁴"), =HYPERLINK("CSG0.html#group6G0", "6G⁰"), =HYPERLINK("CSG0.html#group8C0", "8C⁰"), =HYPERLINK("CSG0.html#group2B0", "2B⁰"), =HYPERLINK("CSG0.html#group4B0", "4B⁰"), =HYPERLINK("CSG0.html#group1A0", "1A⁰"), =HYPERLINK("CSG4.html#group48B4", "48B⁴"), =HYPERLINK("CSG2.html#group24B2", "24B²"), =HYPERLINK("CSG7.html#group48R7", "48R⁷"), =HYPERLINK("CSG8.html#group96B8", "96B⁸"), =HYPERLINK("CSG0.html#group16C0", "16C⁰"), =HYPERLINK("CSG0.html#group32A0", "32A⁰"), =HYPERLINK("CSG2.html#group24D2", "24D²"), =HYPERLINK("CSG0.html#group3C0", "3C⁰"), =HYPERLINK("CSG1.html#group12B1", "12B¹"), =HYPERLINK("CSG0.html#group12D0", "12D⁰"), =HYPERLINK("CSG8.html#group96A8", "96A⁸"), =HYPERLINK("CSG0.html#group3A0", "3A⁰"), =HYPERLINK("CSG3.html#group24L3", "24L³"), =HYPERLINK("CSG0.html#group6D0", "6D⁰")</f>
        <v/>
      </c>
      <c r="N4190" t="inlineStr"/>
    </row>
    <row r="4191">
      <c r="A4191" t="inlineStr">
        <is>
          <t>96O¹⁵</t>
        </is>
      </c>
      <c r="B4191" t="inlineStr"/>
      <c r="C4191" t="inlineStr">
        <is>
          <t>288</t>
        </is>
      </c>
      <c r="D4191" t="inlineStr">
        <is>
          <t>1</t>
        </is>
      </c>
      <c r="E4191" t="inlineStr">
        <is>
          <t>18</t>
        </is>
      </c>
      <c r="F4191" t="inlineStr">
        <is>
          <t>32</t>
        </is>
      </c>
      <c r="G4191" t="inlineStr">
        <is>
          <t>0</t>
        </is>
      </c>
      <c r="H4191" t="inlineStr">
        <is>
          <t>48², 96²</t>
        </is>
      </c>
      <c r="I4191" t="n">
        <v>4</v>
      </c>
      <c r="J4191" t="inlineStr">
        <is>
          <t>1², 2⁴, 4²</t>
        </is>
      </c>
      <c r="K4191">
        <f>HYPERLINK("CSG5.html#group48E5", "48E⁵"), =HYPERLINK("CSG5.html#group96A5", "96A⁵")</f>
        <v/>
      </c>
      <c r="L4191" t="inlineStr"/>
      <c r="M4191">
        <f>HYPERLINK("CSG5.html#group48E5", "48E⁵"), =HYPERLINK("CSG0.html#group12C0", "12C⁰"), =HYPERLINK("CSG0.html#group8D0", "8D⁰"), =HYPERLINK("CSG5.html#group96A5", "96A⁵"), =HYPERLINK("CSG0.html#group4C0", "4C⁰"), =HYPERLINK("CSG0.html#group8B0", "8B⁰"), =HYPERLINK("CSG1.html#group16B1", "16B¹"), =HYPERLINK("CSG0.html#group48A0", "48A⁰"), =HYPERLINK("CSG0.html#group2B0", "2B⁰"), =HYPERLINK("CSG2.html#group24L2", "24L²"), =HYPERLINK("CSG0.html#group1A0", "1A⁰"), =HYPERLINK("CSG0.html#group8H0", "8H⁰"), =HYPERLINK("CSG3.html#group48C3", "48C³"), =HYPERLINK("CSG0.html#group16B0", "16B⁰"),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=HYPERLINK("CSG1.html#group16F1", "16F¹"), =HYPERLINK("CSG0.html#group3A0", "3A⁰"), =HYPERLINK("CSG0.html#group6D0", "6D⁰")</f>
        <v/>
      </c>
      <c r="N4191" t="inlineStr"/>
    </row>
    <row r="4192">
      <c r="A4192" t="inlineStr">
        <is>
          <t>96P¹⁵</t>
        </is>
      </c>
      <c r="B4192" t="inlineStr"/>
      <c r="C4192" t="inlineStr">
        <is>
          <t>288</t>
        </is>
      </c>
      <c r="D4192" t="inlineStr">
        <is>
          <t>1</t>
        </is>
      </c>
      <c r="E4192" t="inlineStr">
        <is>
          <t>36</t>
        </is>
      </c>
      <c r="F4192" t="inlineStr">
        <is>
          <t>0</t>
        </is>
      </c>
      <c r="G4192" t="inlineStr">
        <is>
          <t>0</t>
        </is>
      </c>
      <c r="H4192" t="inlineStr">
        <is>
          <t>3¹⁶, 24², 96²</t>
        </is>
      </c>
      <c r="I4192" t="n">
        <v>20</v>
      </c>
      <c r="J4192" t="inlineStr">
        <is>
          <t>2⁴, 4⁷</t>
        </is>
      </c>
      <c r="K4192">
        <f>HYPERLINK("CSG7.html#group48Q7", "48Q⁷")</f>
        <v/>
      </c>
      <c r="L4192" t="inlineStr"/>
      <c r="M4192">
        <f>HYPERLINK("CSG1.html#group12K1", "12K¹"), =HYPERLINK("CSG4.html#group48F4", "48F⁴"), =HYPERLINK("CSG0.html#group6G0", "6G⁰"), =HYPERLINK("CSG0.html#group8C0", "8C⁰"), =HYPERLINK("CSG0.html#group2B0", "2B⁰"), =HYPERLINK("CSG0.html#group4B0", "4B⁰"), =HYPERLINK("CSG0.html#group1A0", "1A⁰"), =HYPERLINK("CSG7.html#group48Q7", "48Q⁷"), =HYPERLINK("CSG2.html#group24B2", "24B²"),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</f>
        <v/>
      </c>
      <c r="N4192" t="inlineStr"/>
    </row>
    <row r="4193">
      <c r="A4193" t="inlineStr">
        <is>
          <t>96Q¹⁵</t>
        </is>
      </c>
      <c r="B4193" t="inlineStr"/>
      <c r="C4193" t="inlineStr">
        <is>
          <t>288</t>
        </is>
      </c>
      <c r="D4193" t="inlineStr">
        <is>
          <t>1</t>
        </is>
      </c>
      <c r="E4193" t="inlineStr">
        <is>
          <t>36</t>
        </is>
      </c>
      <c r="F4193" t="inlineStr">
        <is>
          <t>32</t>
        </is>
      </c>
      <c r="G4193" t="inlineStr">
        <is>
          <t>0</t>
        </is>
      </c>
      <c r="H4193" t="inlineStr">
        <is>
          <t>48², 96²</t>
        </is>
      </c>
      <c r="I4193" t="n">
        <v>4</v>
      </c>
      <c r="J4193" t="inlineStr">
        <is>
          <t>2², 4⁸</t>
        </is>
      </c>
      <c r="K4193">
        <f>HYPERLINK("CSG5.html#group48G5", "48G⁵"), =HYPERLINK("CSG5.html#group96A5", "96A⁵")</f>
        <v/>
      </c>
      <c r="L4193" t="inlineStr"/>
      <c r="M4193">
        <f>HYPERLINK("CSG1.html#group24E1", "24E¹"), =HYPERLINK("CSG0.html#group12C0", "12C⁰"), =HYPERLINK("CSG5.html#group96A5", "96A⁵"), =HYPERLINK("CSG0.html#group4C0", "4C⁰"), =HYPERLINK("CSG0.html#group8B0", "8B⁰"), =HYPERLINK("CSG2.html#group24P2", "24P²"), =HYPERLINK("CSG0.html#group48A0", "48A⁰"), =HYPERLINK("CSG1.html#group12M1", "12M¹"), =HYPERLINK("CSG0.html#group2B0", "2B⁰"), =HYPERLINK("CSG5.html#group48G5", "48G⁵"), =HYPERLINK("CSG0.html#group1A0", "1A⁰"), =HYPERLINK("CSG0.html#group16B0", "16B⁰"), =HYPERLINK("CSG0.html#group24A0", "24A⁰"), =HYPERLINK("CSG3.html#group48F3", "48F³"), =HYPERLINK("CSG0.html#group3A0", "3A⁰"), =HYPERLINK("CSG0.html#group6D0", "6D⁰")</f>
        <v/>
      </c>
      <c r="N4193" t="inlineStr"/>
    </row>
    <row r="4194">
      <c r="A4194" t="inlineStr">
        <is>
          <t>96R¹⁵</t>
        </is>
      </c>
      <c r="B4194" t="inlineStr"/>
      <c r="C4194" t="inlineStr">
        <is>
          <t>288</t>
        </is>
      </c>
      <c r="D4194" t="inlineStr">
        <is>
          <t>1</t>
        </is>
      </c>
      <c r="E4194" t="inlineStr">
        <is>
          <t>36</t>
        </is>
      </c>
      <c r="F4194" t="inlineStr">
        <is>
          <t>32</t>
        </is>
      </c>
      <c r="G4194" t="inlineStr">
        <is>
          <t>0</t>
        </is>
      </c>
      <c r="H4194" t="inlineStr">
        <is>
          <t>48², 96²</t>
        </is>
      </c>
      <c r="I4194" t="n">
        <v>4</v>
      </c>
      <c r="J4194" t="inlineStr">
        <is>
          <t>2⁶, 4⁶</t>
        </is>
      </c>
      <c r="K4194">
        <f>HYPERLINK("CSG3.html#group96A3", "96A³"), =HYPERLINK("CSG5.html#group48G5", "48G⁵"), =HYPERLINK("CSG7.html#group96A7", "96A⁷")</f>
        <v/>
      </c>
      <c r="L4194" t="inlineStr"/>
      <c r="M4194">
        <f>HYPERLINK("CSG1.html#group24E1", "24E¹"), =HYPERLINK("CSG0.html#group12C0", "12C⁰"), =HYPERLINK("CSG0.html#group4C0", "4C⁰"), =HYPERLINK("CSG0.html#group8B0", "8B⁰"), =HYPERLINK("CSG2.html#group24P2", "24P²"), =HYPERLINK("CSG0.html#group48A0", "48A⁰"), =HYPERLINK("CSG1.html#group12M1", "12M¹"), =HYPERLINK("CSG0.html#group2B0", "2B⁰"), =HYPERLINK("CSG5.html#group48G5", "48G⁵"), =HYPERLINK("CSG0.html#group1A0", "1A⁰"), =HYPERLINK("CSG0.html#group16B0", "16B⁰"), =HYPERLINK("CSG0.html#group24A0", "24A⁰"), =HYPERLINK("CSG7.html#group96A7", "96A⁷"), =HYPERLINK("CSG1.html#group32B1", "32B¹"), =HYPERLINK("CSG3.html#group48F3", "48F³"), =HYPERLINK("CSG0.html#group3A0", "3A⁰"), =HYPERLINK("CSG3.html#group96A3", "96A³"), =HYPERLINK("CSG0.html#group6D0", "6D⁰")</f>
        <v/>
      </c>
      <c r="N4194" t="inlineStr"/>
    </row>
    <row r="4195">
      <c r="A4195" t="inlineStr">
        <is>
          <t>96S¹⁵</t>
        </is>
      </c>
      <c r="B4195" t="inlineStr"/>
      <c r="C4195" t="inlineStr">
        <is>
          <t>288</t>
        </is>
      </c>
      <c r="D4195" t="inlineStr">
        <is>
          <t>1</t>
        </is>
      </c>
      <c r="E4195" t="inlineStr">
        <is>
          <t>36</t>
        </is>
      </c>
      <c r="F4195" t="inlineStr">
        <is>
          <t>32</t>
        </is>
      </c>
      <c r="G4195" t="inlineStr">
        <is>
          <t>0</t>
        </is>
      </c>
      <c r="H4195" t="inlineStr">
        <is>
          <t>48², 96²</t>
        </is>
      </c>
      <c r="I4195" t="n">
        <v>4</v>
      </c>
      <c r="J4195" t="inlineStr">
        <is>
          <t>1⁴, 2⁶, 4³, 8¹</t>
        </is>
      </c>
      <c r="K4195">
        <f>HYPERLINK("CSG5.html#group48F5", "48F⁵"), =HYPERLINK("CSG5.html#group96A5", "96A⁵")</f>
        <v/>
      </c>
      <c r="L4195" t="inlineStr"/>
      <c r="M4195">
        <f>HYPERLINK("CSG5.html#group48F5", "48F⁵"), =HYPERLINK("CSG0.html#group12C0", "12C⁰"), =HYPERLINK("CSG5.html#group96A5", "96A⁵"), =HYPERLINK("CSG0.html#group4C0", "4C⁰"), =HYPERLINK("CSG0.html#group8B0", "8B⁰"), =HYPERLINK("CSG0.html#group48A0", "48A⁰"), =HYPERLINK("CSG0.html#group8L0", "8L⁰"), =HYPERLINK("CSG0.html#group2B0", "2B⁰"), =HYPERLINK("CSG1.html#group16J1", "16J¹"), =HYPERLINK("CSG0.html#group1A0", "1A⁰"), =HYPERLINK("CSG0.html#group16B0", "16B⁰"), =HYPERLINK("CSG1.html#group16D1", "16D¹"), =HYPERLINK("CSG3.html#group48E3", "48E³"), =HYPERLINK("CSG0.html#group24A0", "24A⁰"), =HYPERLINK("CSG2.html#group24M2", "24M²"), =HYPERLINK("CSG0.html#group3A0", "3A⁰"), =HYPERLINK("CSG0.html#group6D0", "6D⁰")</f>
        <v/>
      </c>
      <c r="N4195" t="inlineStr"/>
    </row>
    <row r="4196">
      <c r="A4196" t="inlineStr">
        <is>
          <t>96T¹⁵</t>
        </is>
      </c>
      <c r="B4196" t="inlineStr"/>
      <c r="C4196" t="inlineStr">
        <is>
          <t>288</t>
        </is>
      </c>
      <c r="D4196" t="inlineStr">
        <is>
          <t>1</t>
        </is>
      </c>
      <c r="E4196" t="inlineStr">
        <is>
          <t>36</t>
        </is>
      </c>
      <c r="F4196" t="inlineStr">
        <is>
          <t>32</t>
        </is>
      </c>
      <c r="G4196" t="inlineStr">
        <is>
          <t>0</t>
        </is>
      </c>
      <c r="H4196" t="inlineStr">
        <is>
          <t>48², 96²</t>
        </is>
      </c>
      <c r="I4196" t="n">
        <v>4</v>
      </c>
      <c r="J4196" t="inlineStr">
        <is>
          <t>2⁴, 4¹⁰, 8³</t>
        </is>
      </c>
      <c r="K4196">
        <f>HYPERLINK("CSG5.html#group48H5", "48H⁵"), =HYPERLINK("CSG5.html#group96A5", "96A⁵")</f>
        <v/>
      </c>
      <c r="L4196" t="inlineStr"/>
      <c r="M4196">
        <f>HYPERLINK("CSG0.html#group16B0", "16B⁰"), =HYPERLINK("CSG0.html#group12C0", "12C⁰"), =HYPERLINK("CSG0.html#group24A0", "24A⁰"), =HYPERLINK("CSG5.html#group96A5", "96A⁵"), =HYPERLINK("CSG0.html#group4C0", "4C⁰"), =HYPERLINK("CSG0.html#group8B0", "8B⁰"), =HYPERLINK("CSG2.html#group24Q2", "24Q²"), =HYPERLINK("CSG5.html#group48H5", "48H⁵"), =HYPERLINK("CSG0.html#group48A0", "48A⁰"), =HYPERLINK("CSG0.html#group2B0", "2B⁰"), =HYPERLINK("CSG0.html#group3A0", "3A⁰"), =HYPERLINK("CSG0.html#group1A0", "1A⁰"), =HYPERLINK("CSG3.html#group48H3", "48H³"), =HYPERLINK("CSG0.html#group6D0", "6D⁰")</f>
        <v/>
      </c>
      <c r="N4196" t="inlineStr"/>
    </row>
    <row r="4197">
      <c r="A4197" t="inlineStr">
        <is>
          <t>96U¹⁵</t>
        </is>
      </c>
      <c r="B4197" t="inlineStr"/>
      <c r="C4197" t="inlineStr">
        <is>
          <t>288</t>
        </is>
      </c>
      <c r="D4197" t="inlineStr">
        <is>
          <t>1</t>
        </is>
      </c>
      <c r="E4197" t="inlineStr">
        <is>
          <t>36</t>
        </is>
      </c>
      <c r="F4197" t="inlineStr">
        <is>
          <t>32</t>
        </is>
      </c>
      <c r="G4197" t="inlineStr">
        <is>
          <t>0</t>
        </is>
      </c>
      <c r="H4197" t="inlineStr">
        <is>
          <t>48², 96²</t>
        </is>
      </c>
      <c r="I4197" t="n">
        <v>4</v>
      </c>
      <c r="J4197" t="inlineStr">
        <is>
          <t>2⁴, 4¹⁰, 8³</t>
        </is>
      </c>
      <c r="K4197">
        <f>HYPERLINK("CSG5.html#group48H5", "48H⁵"), =HYPERLINK("CSG5.html#group96A5", "96A⁵")</f>
        <v/>
      </c>
      <c r="L4197" t="inlineStr"/>
      <c r="M4197">
        <f>HYPERLINK("CSG0.html#group16B0", "16B⁰"), =HYPERLINK("CSG0.html#group12C0", "12C⁰"), =HYPERLINK("CSG0.html#group24A0", "24A⁰"), =HYPERLINK("CSG5.html#group96A5", "96A⁵"), =HYPERLINK("CSG0.html#group4C0", "4C⁰"), =HYPERLINK("CSG0.html#group8B0", "8B⁰"), =HYPERLINK("CSG2.html#group24Q2", "24Q²"), =HYPERLINK("CSG5.html#group48H5", "48H⁵"), =HYPERLINK("CSG0.html#group48A0", "48A⁰"), =HYPERLINK("CSG0.html#group2B0", "2B⁰"), =HYPERLINK("CSG0.html#group3A0", "3A⁰"), =HYPERLINK("CSG0.html#group1A0", "1A⁰"), =HYPERLINK("CSG3.html#group48H3", "48H³"), =HYPERLINK("CSG0.html#group6D0", "6D⁰")</f>
        <v/>
      </c>
      <c r="N4197" t="inlineStr"/>
    </row>
    <row r="4198">
      <c r="A4198" t="inlineStr">
        <is>
          <t>96V¹⁵</t>
        </is>
      </c>
      <c r="B4198" t="inlineStr"/>
      <c r="C4198" t="inlineStr">
        <is>
          <t>288</t>
        </is>
      </c>
      <c r="D4198" t="inlineStr">
        <is>
          <t>2</t>
        </is>
      </c>
      <c r="E4198" t="inlineStr">
        <is>
          <t>36</t>
        </is>
      </c>
      <c r="F4198" t="inlineStr">
        <is>
          <t>32</t>
        </is>
      </c>
      <c r="G4198" t="inlineStr">
        <is>
          <t>0</t>
        </is>
      </c>
      <c r="H4198" t="inlineStr">
        <is>
          <t>48², 96²</t>
        </is>
      </c>
      <c r="I4198" t="n">
        <v>4</v>
      </c>
      <c r="J4198" t="inlineStr">
        <is>
          <t>4¹⁸</t>
        </is>
      </c>
      <c r="K4198">
        <f>HYPERLINK("CSG3.html#group48M3", "48M³"), =HYPERLINK("CSG5.html#group96A5", "96A⁵"), =HYPERLINK("CSG7.html#group96A7", "96A⁷")</f>
        <v/>
      </c>
      <c r="L4198" t="inlineStr"/>
      <c r="M4198">
        <f>HYPERLINK("CSG0.html#group6B0", "6B⁰"), =HYPERLINK("CSG0.html#group12C0", "12C⁰"), =HYPERLINK("CSG0.html#group3A0", "3A⁰"), =HYPERLINK("CSG5.html#group96A5", "96A⁵"), =HYPERLINK("CSG0.html#group4C0", "4C⁰"), =HYPERLINK("CSG1.html#group24D1", "24D¹"), =HYPERLINK("CSG0.html#group8B0", "8B⁰"), =HYPERLINK("CSG0.html#group48A0", "48A⁰"), =HYPERLINK("CSG0.html#group2B0", "2B⁰"), =HYPERLINK("CSG0.html#group1A0", "1A⁰"), =HYPERLINK("CSG0.html#group16B0", "16B⁰"), =HYPERLINK("CSG3.html#group48M3", "48M³"), =HYPERLINK("CSG0.html#group24A0", "24A⁰"), =HYPERLINK("CSG7.html#group96A7", "96A⁷"), =HYPERLINK("CSG2.html#group48A2", "48A²"), =HYPERLINK("CSG0.html#group12D0", "12D⁰"), =HYPERLINK("CSG0.html#group6H0", "6H⁰"), =HYPERLINK("CSG0.html#group12H0", "12H⁰"), =HYPERLINK("CSG1.html#group24H1", "24H¹"), =HYPERLINK("CSG0.html#group6D0", "6D⁰")</f>
        <v/>
      </c>
      <c r="N4198" t="inlineStr"/>
    </row>
    <row r="4199">
      <c r="A4199" t="inlineStr">
        <is>
          <t>96W¹⁵</t>
        </is>
      </c>
      <c r="B4199" t="inlineStr"/>
      <c r="C4199" t="inlineStr">
        <is>
          <t>288</t>
        </is>
      </c>
      <c r="D4199" t="inlineStr">
        <is>
          <t>2</t>
        </is>
      </c>
      <c r="E4199" t="inlineStr">
        <is>
          <t>36</t>
        </is>
      </c>
      <c r="F4199" t="inlineStr">
        <is>
          <t>32</t>
        </is>
      </c>
      <c r="G4199" t="inlineStr">
        <is>
          <t>0</t>
        </is>
      </c>
      <c r="H4199" t="inlineStr">
        <is>
          <t>48², 96²</t>
        </is>
      </c>
      <c r="I4199" t="n">
        <v>4</v>
      </c>
      <c r="J4199" t="inlineStr">
        <is>
          <t>2⁸, 4¹⁰, 8²</t>
        </is>
      </c>
      <c r="K4199">
        <f>HYPERLINK("CSG3.html#group96A3", "96A³"), =HYPERLINK("CSG5.html#group48H5", "48H⁵"), =HYPERLINK("CSG7.html#group96A7", "96A⁷")</f>
        <v/>
      </c>
      <c r="L4199" t="inlineStr"/>
      <c r="M4199">
        <f>HYPERLINK("CSG0.html#group16B0", "16B⁰"), =HYPERLINK("CSG0.html#group12C0", "12C⁰"), =HYPERLINK("CSG0.html#group24A0", "24A⁰"), =HYPERLINK("CSG7.html#group96A7", "96A⁷"), =HYPERLINK("CSG0.html#group4C0", "4C⁰"), =HYPERLINK("CSG0.html#group8B0", "8B⁰"), =HYPERLINK("CSG2.html#group24Q2", "24Q²"), =HYPERLINK("CSG5.html#group48H5", "48H⁵"), =HYPERLINK("CSG0.html#group48A0", "48A⁰"), =HYPERLINK("CSG1.html#group32B1", "32B¹"), =HYPERLINK("CSG0.html#group2B0", "2B⁰"), =HYPERLINK("CSG0.html#group1A0", "1A⁰"), =HYPERLINK("CSG0.html#group3A0", "3A⁰"), =HYPERLINK("CSG3.html#group96A3", "96A³"), =HYPERLINK("CSG3.html#group48H3", "48H³"), =HYPERLINK("CSG0.html#group6D0", "6D⁰")</f>
        <v/>
      </c>
      <c r="N4199" t="inlineStr"/>
    </row>
    <row r="4200">
      <c r="A4200" t="inlineStr">
        <is>
          <t>98A¹⁵</t>
        </is>
      </c>
      <c r="B4200" t="inlineStr"/>
      <c r="C4200" t="inlineStr">
        <is>
          <t>336</t>
        </is>
      </c>
      <c r="D4200" t="inlineStr">
        <is>
          <t>1</t>
        </is>
      </c>
      <c r="E4200" t="inlineStr">
        <is>
          <t>112</t>
        </is>
      </c>
      <c r="F4200" t="inlineStr">
        <is>
          <t>0</t>
        </is>
      </c>
      <c r="G4200" t="inlineStr">
        <is>
          <t>6</t>
        </is>
      </c>
      <c r="H4200" t="inlineStr">
        <is>
          <t>2²¹, 98³</t>
        </is>
      </c>
      <c r="I4200" t="n">
        <v>24</v>
      </c>
      <c r="J4200" t="inlineStr">
        <is>
          <t>1⁴, 6⁴, 42²</t>
        </is>
      </c>
      <c r="K4200">
        <f>HYPERLINK("CSG0.html#group14C0", "14C⁰"), =HYPERLINK("CSG5.html#group98A5", "98A⁵")</f>
        <v/>
      </c>
      <c r="L4200" t="inlineStr"/>
      <c r="M4200">
        <f>HYPERLINK("CSG0.html#group2A0", "2A⁰"), =HYPERLINK("CSG5.html#group98A5", "98A⁵"), =HYPERLINK("CSG0.html#group7B0", "7B⁰"), =HYPERLINK("CSG0.html#group14B0", "14B⁰"), =HYPERLINK("CSG1.html#group49A1", "49A¹"), =HYPERLINK("CSG0.html#group14C0", "14C⁰"), =HYPERLINK("CSG0.html#group1A0", "1A⁰")</f>
        <v/>
      </c>
      <c r="N4200" t="inlineStr"/>
    </row>
    <row r="4201">
      <c r="A4201" t="inlineStr">
        <is>
          <t>99A¹⁵</t>
        </is>
      </c>
      <c r="B4201" t="inlineStr"/>
      <c r="C4201" t="inlineStr">
        <is>
          <t>198</t>
        </is>
      </c>
      <c r="D4201" t="inlineStr">
        <is>
          <t>2</t>
        </is>
      </c>
      <c r="E4201" t="inlineStr">
        <is>
          <t>99</t>
        </is>
      </c>
      <c r="F4201" t="inlineStr">
        <is>
          <t>6</t>
        </is>
      </c>
      <c r="G4201" t="inlineStr">
        <is>
          <t>0</t>
        </is>
      </c>
      <c r="H4201" t="inlineStr">
        <is>
          <t>99²</t>
        </is>
      </c>
      <c r="I4201" t="n">
        <v>2</v>
      </c>
      <c r="J4201" t="inlineStr">
        <is>
          <t>4³, 12², 20⁶, 60⁴</t>
        </is>
      </c>
      <c r="K4201">
        <f>HYPERLINK("CSG1.html#group9B1", "9B¹"), =HYPERLINK("CSG4.html#group33A4", "33A⁴"), =HYPERLINK("CSG5.html#group99A5", "99A⁵")</f>
        <v/>
      </c>
      <c r="L4201" t="inlineStr"/>
      <c r="M4201">
        <f>HYPERLINK("CSG0.html#group11A0", "11A⁰"), =HYPERLINK("CSG0.html#group9A0", "9A⁰"), =HYPERLINK("CSG1.html#group33A1", "33A¹"), =HYPERLINK("CSG5.html#group99A5", "99A⁵"), =HYPERLINK("CSG0.html#group3C0", "3C⁰"), =HYPERLINK("CSG0.html#group3A0", "3A⁰"), =HYPERLINK("CSG0.html#group1A0", "1A⁰"), =HYPERLINK("CSG1.html#group9B1", "9B¹"), =HYPERLINK("CSG4.html#group33A4", "33A⁴")</f>
        <v/>
      </c>
      <c r="N4201" t="inlineStr"/>
    </row>
    <row r="4202">
      <c r="A4202" t="inlineStr">
        <is>
          <t>99B¹⁵</t>
        </is>
      </c>
      <c r="B4202" t="inlineStr"/>
      <c r="C4202" t="inlineStr">
        <is>
          <t>198</t>
        </is>
      </c>
      <c r="D4202" t="inlineStr">
        <is>
          <t>2</t>
        </is>
      </c>
      <c r="E4202" t="inlineStr">
        <is>
          <t>99</t>
        </is>
      </c>
      <c r="F4202" t="inlineStr">
        <is>
          <t>6</t>
        </is>
      </c>
      <c r="G4202" t="inlineStr">
        <is>
          <t>0</t>
        </is>
      </c>
      <c r="H4202" t="inlineStr">
        <is>
          <t>99²</t>
        </is>
      </c>
      <c r="I4202" t="n">
        <v>2</v>
      </c>
      <c r="J4202" t="inlineStr">
        <is>
          <t>4³, 12², 20⁶, 60⁴</t>
        </is>
      </c>
      <c r="K4202">
        <f>HYPERLINK("CSG1.html#group9B1", "9B¹"), =HYPERLINK("CSG4.html#group33A4", "33A⁴"), =HYPERLINK("CSG5.html#group99A5", "99A⁵")</f>
        <v/>
      </c>
      <c r="L4202" t="inlineStr"/>
      <c r="M4202">
        <f>HYPERLINK("CSG0.html#group11A0", "11A⁰"), =HYPERLINK("CSG0.html#group9A0", "9A⁰"), =HYPERLINK("CSG1.html#group33A1", "33A¹"), =HYPERLINK("CSG5.html#group99A5", "99A⁵"), =HYPERLINK("CSG0.html#group3C0", "3C⁰"), =HYPERLINK("CSG0.html#group3A0", "3A⁰"), =HYPERLINK("CSG0.html#group1A0", "1A⁰"), =HYPERLINK("CSG1.html#group9B1", "9B¹"), =HYPERLINK("CSG4.html#group33A4", "33A⁴")</f>
        <v/>
      </c>
      <c r="N4202" t="inlineStr"/>
    </row>
    <row r="4203">
      <c r="A4203" t="inlineStr">
        <is>
          <t>99C¹⁵</t>
        </is>
      </c>
      <c r="B4203" t="inlineStr"/>
      <c r="C4203" t="inlineStr">
        <is>
          <t>216</t>
        </is>
      </c>
      <c r="D4203" t="inlineStr">
        <is>
          <t>1</t>
        </is>
      </c>
      <c r="E4203" t="inlineStr">
        <is>
          <t>216</t>
        </is>
      </c>
      <c r="F4203" t="inlineStr">
        <is>
          <t>0</t>
        </is>
      </c>
      <c r="G4203" t="inlineStr">
        <is>
          <t>0</t>
        </is>
      </c>
      <c r="H4203" t="inlineStr">
        <is>
          <t>3³, 9¹, 33³, 99¹</t>
        </is>
      </c>
      <c r="I4203" t="n">
        <v>8</v>
      </c>
      <c r="J4203" t="inlineStr">
        <is>
          <t>1², 2², 3², 6⁴, 10¹, 20¹, 30¹, 60²</t>
        </is>
      </c>
      <c r="K4203">
        <f>HYPERLINK("CSG0.html#group9E0", "9E⁰"), =HYPERLINK("CSG5.html#group33A5", "33A⁵")</f>
        <v/>
      </c>
      <c r="L4203" t="inlineStr"/>
      <c r="M4203">
        <f>HYPERLINK("CSG0.html#group3C0", "3C⁰"), =HYPERLINK("CSG0.html#group9E0", "9E⁰"), =HYPERLINK("CSG0.html#group3A0", "3A⁰"), =HYPERLINK("CSG3.html#group33A3", "33A³"), =HYPERLINK("CSG0.html#group1A0", "1A⁰"), =HYPERLINK("CSG1.html#group11A1", "11A¹"), =HYPERLINK("CSG5.html#group33A5", "33A⁵")</f>
        <v/>
      </c>
      <c r="N4203" t="inlineStr"/>
    </row>
    <row r="4204">
      <c r="A4204" t="inlineStr">
        <is>
          <t>100A¹⁵</t>
        </is>
      </c>
      <c r="B4204" t="inlineStr"/>
      <c r="C4204" t="inlineStr">
        <is>
          <t>240</t>
        </is>
      </c>
      <c r="D4204" t="inlineStr">
        <is>
          <t>1</t>
        </is>
      </c>
      <c r="E4204" t="inlineStr">
        <is>
          <t>6</t>
        </is>
      </c>
      <c r="F4204" t="inlineStr">
        <is>
          <t>0</t>
        </is>
      </c>
      <c r="G4204" t="inlineStr">
        <is>
          <t>0</t>
        </is>
      </c>
      <c r="H4204" t="inlineStr">
        <is>
          <t>4¹⁰, 100²</t>
        </is>
      </c>
      <c r="I4204" t="n">
        <v>12</v>
      </c>
      <c r="J4204" t="inlineStr">
        <is>
          <t>1², 4¹</t>
        </is>
      </c>
      <c r="K4204">
        <f>HYPERLINK("CSG3.html#group20A3", "20A³"), =HYPERLINK("CSG5.html#group50F5", "50F⁵"), =HYPERLINK("CSG7.html#group100B7", "100B⁷")</f>
        <v/>
      </c>
      <c r="L4204" t="inlineStr"/>
      <c r="M4204">
        <f>HYPERLINK("CSG0.html#group2A0", "2A⁰"), =HYPERLINK("CSG1.html#group20C1", "20C¹"), =HYPERLINK("CSG7.html#group100B7", "100B⁷"), =HYPERLINK("CSG0.html#group5B0", "5B⁰"), =HYPERLINK("CSG3.html#group50A3", "50A³"), =HYPERLINK("CSG0.html#group5D0", "5D⁰"), =HYPERLINK("CSG1.html#group10A1", "10A¹"), =HYPERLINK("CSG1.html#group10D1", "10D¹"), =HYPERLINK("CSG0.html#group1A0", "1A⁰"), =HYPERLINK("CSG3.html#group20A3", "20A³"), =HYPERLINK("CSG0.html#group10B0", "10B⁰"), =HYPERLINK("CSG2.html#group50A2", "50A²"), =HYPERLINK("CSG0.html#group25A0", "25A⁰"), =HYPERLINK("CSG0.html#group25B0", "25B⁰"), =HYPERLINK("CSG5.html#group50F5", "50F⁵")</f>
        <v/>
      </c>
      <c r="N4204" t="inlineStr"/>
    </row>
    <row r="4205">
      <c r="A4205" t="inlineStr">
        <is>
          <t>100B¹⁵</t>
        </is>
      </c>
      <c r="B4205" t="inlineStr"/>
      <c r="C4205" t="inlineStr">
        <is>
          <t>240</t>
        </is>
      </c>
      <c r="D4205" t="inlineStr">
        <is>
          <t>1</t>
        </is>
      </c>
      <c r="E4205" t="inlineStr">
        <is>
          <t>24</t>
        </is>
      </c>
      <c r="F4205" t="inlineStr">
        <is>
          <t>0</t>
        </is>
      </c>
      <c r="G4205" t="inlineStr">
        <is>
          <t>0</t>
        </is>
      </c>
      <c r="H4205" t="inlineStr">
        <is>
          <t>4¹⁰, 100²</t>
        </is>
      </c>
      <c r="I4205" t="n">
        <v>12</v>
      </c>
      <c r="J4205" t="inlineStr">
        <is>
          <t>2⁴, 8²</t>
        </is>
      </c>
      <c r="K4205">
        <f>HYPERLINK("CSG0.html#group25B0", "25B⁰"), =HYPERLINK("CSG3.html#group20B3", "20B³"), =HYPERLINK("CSG7.html#group100A7", "100A⁷")</f>
        <v/>
      </c>
      <c r="L4205" t="inlineStr"/>
      <c r="M4205">
        <f>HYPERLINK("CSG7.html#group100A7", "100A⁷"), =HYPERLINK("CSG0.html#group4A0", "4A⁰"), =HYPERLINK("CSG0.html#group5B0", "5B⁰"), =HYPERLINK("CSG0.html#group25A0", "25A⁰"), =HYPERLINK("CSG0.html#group5D0", "5D⁰"), =HYPERLINK("CSG0.html#group1A0", "1A⁰"), =HYPERLINK("CSG3.html#group20B3", "20B³"), =HYPERLINK("CSG1.html#group20B1", "20B¹"), =HYPERLINK("CSG0.html#group25B0", "25B⁰")</f>
        <v/>
      </c>
      <c r="N4205" t="inlineStr"/>
    </row>
    <row r="4206">
      <c r="A4206" t="inlineStr">
        <is>
          <t>100C¹⁵</t>
        </is>
      </c>
      <c r="B4206" t="inlineStr"/>
      <c r="C4206" t="inlineStr">
        <is>
          <t>240</t>
        </is>
      </c>
      <c r="D4206" t="inlineStr">
        <is>
          <t>1</t>
        </is>
      </c>
      <c r="E4206" t="inlineStr">
        <is>
          <t>120</t>
        </is>
      </c>
      <c r="F4206" t="inlineStr">
        <is>
          <t>0</t>
        </is>
      </c>
      <c r="G4206" t="inlineStr">
        <is>
          <t>0</t>
        </is>
      </c>
      <c r="H4206" t="inlineStr">
        <is>
          <t>4¹⁰, 100²</t>
        </is>
      </c>
      <c r="I4206" t="n">
        <v>12</v>
      </c>
      <c r="J4206" t="inlineStr">
        <is>
          <t>2⁴, 8⁴, 40²</t>
        </is>
      </c>
      <c r="K4206">
        <f>HYPERLINK("CSG3.html#group20C3", "20C³"), =HYPERLINK("CSG3.html#group50A3", "50A³"), =HYPERLINK("CSG7.html#group100A7", "100A⁷")</f>
        <v/>
      </c>
      <c r="L4206" t="inlineStr"/>
      <c r="M4206">
        <f>HYPERLINK("CSG0.html#group2A0", "2A⁰"), =HYPERLINK("CSG7.html#group100A7", "100A⁷"), =HYPERLINK("CSG0.html#group4A0", "4A⁰"), =HYPERLINK("CSG0.html#group4D0", "4D⁰"), =HYPERLINK("CSG3.html#group20C3", "20C³"), =HYPERLINK("CSG3.html#group50A3", "50A³"), =HYPERLINK("CSG0.html#group25A0", "25A⁰"), =HYPERLINK("CSG0.html#group5B0", "5B⁰"), =HYPERLINK("CSG1.html#group10A1", "10A¹"), =HYPERLINK("CSG0.html#group1A0", "1A⁰"), =HYPERLINK("CSG1.html#group20B1", "20B¹")</f>
        <v/>
      </c>
      <c r="N4206" t="inlineStr"/>
    </row>
    <row r="4207">
      <c r="A4207" t="inlineStr">
        <is>
          <t>100D¹⁵</t>
        </is>
      </c>
      <c r="B4207" t="inlineStr"/>
      <c r="C4207" t="inlineStr">
        <is>
          <t>360</t>
        </is>
      </c>
      <c r="D4207" t="inlineStr">
        <is>
          <t>2</t>
        </is>
      </c>
      <c r="E4207" t="inlineStr">
        <is>
          <t>90</t>
        </is>
      </c>
      <c r="F4207" t="inlineStr">
        <is>
          <t>4</t>
        </is>
      </c>
      <c r="G4207" t="inlineStr">
        <is>
          <t>0</t>
        </is>
      </c>
      <c r="H4207" t="inlineStr">
        <is>
          <t>2²⁰, 4⁵, 50⁴, 100¹</t>
        </is>
      </c>
      <c r="I4207" t="n">
        <v>30</v>
      </c>
      <c r="J4207" t="inlineStr">
        <is>
          <t>2⁶, 8⁶, 40³</t>
        </is>
      </c>
      <c r="K4207">
        <f>HYPERLINK("CSG1.html#group20J1", "20J¹"), =HYPERLINK("CSG6.html#group50E6", "50E⁶")</f>
        <v/>
      </c>
      <c r="L4207" t="inlineStr"/>
      <c r="M4207">
        <f>HYPERLINK("CSG0.html#group10G0", "10G⁰"), =HYPERLINK("CSG6.html#group50E6", "50E⁶"), =HYPERLINK("CSG2.html#group50A2", "50A²"), =HYPERLINK("CSG0.html#group5B0", "5B⁰"), =HYPERLINK("CSG0.html#group10C0", "10C⁰"), =HYPERLINK("CSG0.html#group25A0", "25A⁰"), =HYPERLINK("CSG0.html#group1A0", "1A⁰"), =HYPERLINK("CSG0.html#group2B0", "2B⁰"), =HYPERLINK("CSG2.html#group50B2", "50B²"), =HYPERLINK("CSG1.html#group20J1", "20J¹"), =HYPERLINK("CSG0.html#group10B0", "10B⁰")</f>
        <v/>
      </c>
      <c r="N4207" t="inlineStr"/>
    </row>
    <row r="4208">
      <c r="A4208" t="inlineStr">
        <is>
          <t>102A¹⁵</t>
        </is>
      </c>
      <c r="B4208" t="inlineStr"/>
      <c r="C4208" t="inlineStr">
        <is>
          <t>216</t>
        </is>
      </c>
      <c r="D4208" t="inlineStr">
        <is>
          <t>1</t>
        </is>
      </c>
      <c r="E4208" t="inlineStr">
        <is>
          <t>54</t>
        </is>
      </c>
      <c r="F4208" t="inlineStr">
        <is>
          <t>8</t>
        </is>
      </c>
      <c r="G4208" t="inlineStr">
        <is>
          <t>0</t>
        </is>
      </c>
      <c r="H4208" t="inlineStr">
        <is>
          <t>6², 102²</t>
        </is>
      </c>
      <c r="I4208" t="n">
        <v>4</v>
      </c>
      <c r="J4208" t="inlineStr">
        <is>
          <t>1², 2², 16¹, 32¹</t>
        </is>
      </c>
      <c r="K4208">
        <f>HYPERLINK("CSG7.html#group51B7", "51B⁷"), =HYPERLINK("CSG7.html#group102A7", "102A⁷")</f>
        <v/>
      </c>
      <c r="L4208" t="inlineStr"/>
      <c r="M4208">
        <f>HYPERLINK("CSG7.html#group51B7", "51B⁷"), =HYPERLINK("CSG0.html#group3C0", "3C⁰"), =HYPERLINK("CSG1.html#group17A1", "17A¹"), =HYPERLINK("CSG0.html#group1A0", "1A⁰"), =HYPERLINK("CSG7.html#group102A7", "102A⁷"), =HYPERLINK("CSG0.html#group3A0", "3A⁰"), =HYPERLINK("CSG3.html#group51A3", "51A³")</f>
        <v/>
      </c>
      <c r="N4208" t="inlineStr"/>
    </row>
    <row r="4209">
      <c r="A4209" t="inlineStr">
        <is>
          <t>102B¹⁵</t>
        </is>
      </c>
      <c r="B4209" t="inlineStr"/>
      <c r="C4209" t="inlineStr">
        <is>
          <t>216</t>
        </is>
      </c>
      <c r="D4209" t="inlineStr">
        <is>
          <t>1</t>
        </is>
      </c>
      <c r="E4209" t="inlineStr">
        <is>
          <t>54</t>
        </is>
      </c>
      <c r="F4209" t="inlineStr">
        <is>
          <t>8</t>
        </is>
      </c>
      <c r="G4209" t="inlineStr">
        <is>
          <t>0</t>
        </is>
      </c>
      <c r="H4209" t="inlineStr">
        <is>
          <t>6², 102²</t>
        </is>
      </c>
      <c r="I4209" t="n">
        <v>4</v>
      </c>
      <c r="J4209" t="inlineStr">
        <is>
          <t>1², 2², 16¹, 32¹</t>
        </is>
      </c>
      <c r="K4209">
        <f>HYPERLINK("CSG0.html#group6E0", "6E⁰"), =HYPERLINK("CSG7.html#group51B7", "51B⁷"), =HYPERLINK("CSG7.html#group102B7", "102B⁷")</f>
        <v/>
      </c>
      <c r="L4209" t="inlineStr"/>
      <c r="M4209">
        <f>HYPERLINK("CSG0.html#group6B0", "6B⁰"), =HYPERLINK("CSG0.html#group6E0", "6E⁰"), =HYPERLINK("CSG3.html#group51A3", "51A³"), =HYPERLINK("CSG7.html#group102B7", "102B⁷"), =HYPERLINK("CSG7.html#group51B7", "51B⁷"), =HYPERLINK("CSG0.html#group3C0", "3C⁰"), =HYPERLINK("CSG1.html#group17A1", "17A¹"), =HYPERLINK("CSG0.html#group3A0", "3A⁰"), =HYPERLINK("CSG0.html#group1A0", "1A⁰")</f>
        <v/>
      </c>
      <c r="N4209" t="inlineStr"/>
    </row>
    <row r="4210">
      <c r="A4210" t="inlineStr">
        <is>
          <t>102C¹⁵</t>
        </is>
      </c>
      <c r="B4210" t="inlineStr">
        <is>
          <t>Γ₀(102)</t>
        </is>
      </c>
      <c r="C4210" t="inlineStr">
        <is>
          <t>216</t>
        </is>
      </c>
      <c r="D4210" t="inlineStr">
        <is>
          <t>1</t>
        </is>
      </c>
      <c r="E4210" t="inlineStr">
        <is>
          <t>216</t>
        </is>
      </c>
      <c r="F4210" t="inlineStr">
        <is>
          <t>0</t>
        </is>
      </c>
      <c r="G4210" t="inlineStr">
        <is>
          <t>0</t>
        </is>
      </c>
      <c r="H4210" t="inlineStr">
        <is>
          <t>1¹, 2¹, 3¹, 6¹, 17¹, 34¹, 51¹, 102¹</t>
        </is>
      </c>
      <c r="I4210" t="n">
        <v>8</v>
      </c>
      <c r="J4210" t="inlineStr">
        <is>
          <t>1¹², 2⁶, 16⁶, 32³</t>
        </is>
      </c>
      <c r="K4210">
        <f>HYPERLINK("CSG0.html#group6F0", "6F⁰"), =HYPERLINK("CSG3.html#group34C3", "34C³"), =HYPERLINK("CSG5.html#group51A5", "51A⁵")</f>
        <v/>
      </c>
      <c r="L4210" t="inlineStr"/>
      <c r="M4210">
        <f>HYPERLINK("CSG0.html#group3B0", "3B⁰"), =HYPERLINK("CSG5.html#group51A5", "51A⁵"), =HYPERLINK("CSG3.html#group34C3", "34C³"), =HYPERLINK("CSG0.html#group6F0", "6F⁰"), =HYPERLINK("CSG1.html#group17A1", "17A¹"), =HYPERLINK("CSG0.html#group2B0", "2B⁰"), =HYPERLINK("CSG0.html#group1A0", "1A⁰")</f>
        <v/>
      </c>
      <c r="N4210" t="inlineStr"/>
    </row>
    <row r="4211">
      <c r="A4211" t="inlineStr">
        <is>
          <t>102D¹⁵</t>
        </is>
      </c>
      <c r="B4211" t="inlineStr"/>
      <c r="C4211" t="inlineStr">
        <is>
          <t>216</t>
        </is>
      </c>
      <c r="D4211" t="inlineStr">
        <is>
          <t>2</t>
        </is>
      </c>
      <c r="E4211" t="inlineStr">
        <is>
          <t>54</t>
        </is>
      </c>
      <c r="F4211" t="inlineStr">
        <is>
          <t>8</t>
        </is>
      </c>
      <c r="G4211" t="inlineStr">
        <is>
          <t>0</t>
        </is>
      </c>
      <c r="H4211" t="inlineStr">
        <is>
          <t>6², 102²</t>
        </is>
      </c>
      <c r="I4211" t="n">
        <v>4</v>
      </c>
      <c r="J4211" t="inlineStr">
        <is>
          <t>2⁶, 32³</t>
        </is>
      </c>
      <c r="K4211">
        <f>HYPERLINK("CSG7.html#group51A7", "51A⁷"), =HYPERLINK("CSG7.html#group102A7", "102A⁷"), =HYPERLINK("CSG7.html#group102B7", "102B⁷")</f>
        <v/>
      </c>
      <c r="L4211" t="inlineStr"/>
      <c r="M4211">
        <f>HYPERLINK("CSG0.html#group6B0", "6B⁰"), =HYPERLINK("CSG3.html#group51A3", "51A³"), =HYPERLINK("CSG7.html#group102B7", "102B⁷"), =HYPERLINK("CSG7.html#group51A7", "51A⁷"), =HYPERLINK("CSG1.html#group17A1", "17A¹"), =HYPERLINK("CSG7.html#group102A7", "102A⁷"), =HYPERLINK("CSG0.html#group3A0", "3A⁰"), =HYPERLINK("CSG0.html#group1A0", "1A⁰")</f>
        <v/>
      </c>
      <c r="N4211" t="inlineStr"/>
    </row>
    <row r="4212">
      <c r="A4212" t="inlineStr">
        <is>
          <t>104A¹⁵</t>
        </is>
      </c>
      <c r="B4212" t="inlineStr"/>
      <c r="C4212" t="inlineStr">
        <is>
          <t>224</t>
        </is>
      </c>
      <c r="D4212" t="inlineStr">
        <is>
          <t>1</t>
        </is>
      </c>
      <c r="E4212" t="inlineStr">
        <is>
          <t>56</t>
        </is>
      </c>
      <c r="F4212" t="inlineStr">
        <is>
          <t>0</t>
        </is>
      </c>
      <c r="G4212" t="inlineStr">
        <is>
          <t>8</t>
        </is>
      </c>
      <c r="H4212" t="inlineStr">
        <is>
          <t>8², 104²</t>
        </is>
      </c>
      <c r="I4212" t="n">
        <v>4</v>
      </c>
      <c r="J4212" t="inlineStr">
        <is>
          <t>2⁴, 24²</t>
        </is>
      </c>
      <c r="K4212">
        <f>HYPERLINK("CSG7.html#group52B7", "52B⁷"), =HYPERLINK("CSG7.html#group104A7", "104A⁷")</f>
        <v/>
      </c>
      <c r="L4212" t="inlineStr"/>
      <c r="M4212">
        <f>HYPERLINK("CSG0.html#group2A0", "2A⁰"), =HYPERLINK("CSG1.html#group26A1", "26A¹"), =HYPERLINK("CSG3.html#group52A3", "52A³"), =HYPERLINK("CSG0.html#group4A0", "4A⁰"), =HYPERLINK("CSG0.html#group4D0", "4D⁰"), =HYPERLINK("CSG0.html#group13A0", "13A⁰"), =HYPERLINK("CSG7.html#group104A7", "104A⁷"), =HYPERLINK("CSG7.html#group52B7", "52B⁷"), =HYPERLINK("CSG0.html#group1A0", "1A⁰")</f>
        <v/>
      </c>
      <c r="N4212" t="inlineStr"/>
    </row>
    <row r="4213">
      <c r="A4213" t="inlineStr">
        <is>
          <t>104B¹⁵</t>
        </is>
      </c>
      <c r="B4213" t="inlineStr"/>
      <c r="C4213" t="inlineStr">
        <is>
          <t>224</t>
        </is>
      </c>
      <c r="D4213" t="inlineStr">
        <is>
          <t>1</t>
        </is>
      </c>
      <c r="E4213" t="inlineStr">
        <is>
          <t>56</t>
        </is>
      </c>
      <c r="F4213" t="inlineStr">
        <is>
          <t>0</t>
        </is>
      </c>
      <c r="G4213" t="inlineStr">
        <is>
          <t>8</t>
        </is>
      </c>
      <c r="H4213" t="inlineStr">
        <is>
          <t>8², 104²</t>
        </is>
      </c>
      <c r="I4213" t="n">
        <v>4</v>
      </c>
      <c r="J4213" t="inlineStr">
        <is>
          <t>2⁴, 24²</t>
        </is>
      </c>
      <c r="K4213">
        <f>HYPERLINK("CSG0.html#group8E0", "8E⁰"), =HYPERLINK("CSG7.html#group52B7", "52B⁷"), =HYPERLINK("CSG7.html#group104B7", "104B⁷")</f>
        <v/>
      </c>
      <c r="L4213" t="inlineStr"/>
      <c r="M4213">
        <f>HYPERLINK("CSG0.html#group2A0", "2A⁰"), =HYPERLINK("CSG1.html#group26A1", "26A¹"), =HYPERLINK("CSG3.html#group52A3", "52A³"), =HYPERLINK("CSG7.html#group104B7", "104B⁷"), =HYPERLINK("CSG0.html#group4A0", "4A⁰"), =HYPERLINK("CSG0.html#group4D0", "4D⁰"), =HYPERLINK("CSG0.html#group8A0", "8A⁰"), =HYPERLINK("CSG0.html#group13A0", "13A⁰"), =HYPERLINK("CSG0.html#group8E0", "8E⁰"), =HYPERLINK("CSG7.html#group52B7", "52B⁷"), =HYPERLINK("CSG0.html#group1A0", "1A⁰")</f>
        <v/>
      </c>
      <c r="N4213" t="inlineStr"/>
    </row>
    <row r="4214">
      <c r="A4214" t="inlineStr">
        <is>
          <t>104C¹⁵</t>
        </is>
      </c>
      <c r="B4214" t="inlineStr"/>
      <c r="C4214" t="inlineStr">
        <is>
          <t>224</t>
        </is>
      </c>
      <c r="D4214" t="inlineStr">
        <is>
          <t>1</t>
        </is>
      </c>
      <c r="E4214" t="inlineStr">
        <is>
          <t>224</t>
        </is>
      </c>
      <c r="F4214" t="inlineStr">
        <is>
          <t>8</t>
        </is>
      </c>
      <c r="G4214" t="inlineStr">
        <is>
          <t>2</t>
        </is>
      </c>
      <c r="H4214" t="inlineStr">
        <is>
          <t>8², 104²</t>
        </is>
      </c>
      <c r="I4214" t="n">
        <v>4</v>
      </c>
      <c r="J4214" t="inlineStr">
        <is>
          <t>4⁸, 48⁴</t>
        </is>
      </c>
      <c r="K4214">
        <f>HYPERLINK("CSG0.html#group8F0", "8F⁰"), =HYPERLINK("CSG3.html#group52A3", "52A³")</f>
        <v/>
      </c>
      <c r="L4214" t="inlineStr"/>
      <c r="M4214">
        <f>HYPERLINK("CSG0.html#group13A0", "13A⁰"), =HYPERLINK("CSG0.html#group8F0", "8F⁰"), =HYPERLINK("CSG3.html#group52A3", "52A³"), =HYPERLINK("CSG0.html#group1A0", "1A⁰"), =HYPERLINK("CSG0.html#group4A0", "4A⁰")</f>
        <v/>
      </c>
      <c r="N4214" t="inlineStr"/>
    </row>
    <row r="4215">
      <c r="A4215" t="inlineStr">
        <is>
          <t>104D¹⁵</t>
        </is>
      </c>
      <c r="B4215" t="inlineStr"/>
      <c r="C4215" t="inlineStr">
        <is>
          <t>224</t>
        </is>
      </c>
      <c r="D4215" t="inlineStr">
        <is>
          <t>2</t>
        </is>
      </c>
      <c r="E4215" t="inlineStr">
        <is>
          <t>56</t>
        </is>
      </c>
      <c r="F4215" t="inlineStr">
        <is>
          <t>0</t>
        </is>
      </c>
      <c r="G4215" t="inlineStr">
        <is>
          <t>8</t>
        </is>
      </c>
      <c r="H4215" t="inlineStr">
        <is>
          <t>8², 104²</t>
        </is>
      </c>
      <c r="I4215" t="n">
        <v>4</v>
      </c>
      <c r="J4215" t="inlineStr">
        <is>
          <t>4⁴, 48²</t>
        </is>
      </c>
      <c r="K4215">
        <f>HYPERLINK("CSG7.html#group52A7", "52A⁷"), =HYPERLINK("CSG7.html#group104A7", "104A⁷"), =HYPERLINK("CSG7.html#group104B7", "104B⁷")</f>
        <v/>
      </c>
      <c r="L4215" t="inlineStr"/>
      <c r="M4215">
        <f>HYPERLINK("CSG7.html#group52A7", "52A⁷"), =HYPERLINK("CSG3.html#group52A3", "52A³"), =HYPERLINK("CSG7.html#group104B7", "104B⁷"), =HYPERLINK("CSG0.html#group4A0", "4A⁰"), =HYPERLINK("CSG0.html#group8A0", "8A⁰"), =HYPERLINK("CSG0.html#group13A0", "13A⁰"), =HYPERLINK("CSG7.html#group104A7", "104A⁷"), =HYPERLINK("CSG0.html#group13B0", "13B⁰"), =HYPERLINK("CSG0.html#group1A0", "1A⁰")</f>
        <v/>
      </c>
      <c r="N4215" t="inlineStr"/>
    </row>
    <row r="4216">
      <c r="A4216" t="inlineStr">
        <is>
          <t>105A¹⁵</t>
        </is>
      </c>
      <c r="B4216" t="inlineStr"/>
      <c r="C4216" t="inlineStr">
        <is>
          <t>210</t>
        </is>
      </c>
      <c r="D4216" t="inlineStr">
        <is>
          <t>2</t>
        </is>
      </c>
      <c r="E4216" t="inlineStr">
        <is>
          <t>70</t>
        </is>
      </c>
      <c r="F4216" t="inlineStr">
        <is>
          <t>6</t>
        </is>
      </c>
      <c r="G4216" t="inlineStr">
        <is>
          <t>3</t>
        </is>
      </c>
      <c r="H4216" t="inlineStr">
        <is>
          <t>105²</t>
        </is>
      </c>
      <c r="I4216" t="n">
        <v>2</v>
      </c>
      <c r="J4216" t="inlineStr">
        <is>
          <t>8¹, 16², 24², 48⁴</t>
        </is>
      </c>
      <c r="K4216">
        <f>HYPERLINK("CSG4.html#group35A4", "35A⁴")</f>
        <v/>
      </c>
      <c r="L4216" t="inlineStr"/>
      <c r="M4216">
        <f>HYPERLINK("CSG0.html#group5A0", "5A⁰"), =HYPERLINK("CSG0.html#group1A0", "1A⁰"), =HYPERLINK("CSG2.html#group35A2", "35A²"), =HYPERLINK("CSG4.html#group35A4", "35A⁴"), =HYPERLINK("CSG0.html#group7A0", "7A⁰"), =HYPERLINK("CSG0.html#group7C0", "7C⁰")</f>
        <v/>
      </c>
      <c r="N4216" t="inlineStr"/>
    </row>
    <row r="4217">
      <c r="A4217" t="inlineStr">
        <is>
          <t>105B¹⁵</t>
        </is>
      </c>
      <c r="B4217" t="inlineStr"/>
      <c r="C4217" t="inlineStr">
        <is>
          <t>210</t>
        </is>
      </c>
      <c r="D4217" t="inlineStr">
        <is>
          <t>2</t>
        </is>
      </c>
      <c r="E4217" t="inlineStr">
        <is>
          <t>70</t>
        </is>
      </c>
      <c r="F4217" t="inlineStr">
        <is>
          <t>6</t>
        </is>
      </c>
      <c r="G4217" t="inlineStr">
        <is>
          <t>3</t>
        </is>
      </c>
      <c r="H4217" t="inlineStr">
        <is>
          <t>105²</t>
        </is>
      </c>
      <c r="I4217" t="n">
        <v>2</v>
      </c>
      <c r="J4217" t="inlineStr">
        <is>
          <t>8¹, 16², 24², 48⁴</t>
        </is>
      </c>
      <c r="K4217">
        <f>HYPERLINK("CSG4.html#group35A4", "35A⁴")</f>
        <v/>
      </c>
      <c r="L4217" t="inlineStr"/>
      <c r="M4217">
        <f>HYPERLINK("CSG0.html#group5A0", "5A⁰"), =HYPERLINK("CSG0.html#group1A0", "1A⁰"), =HYPERLINK("CSG2.html#group35A2", "35A²"), =HYPERLINK("CSG4.html#group35A4", "35A⁴"), =HYPERLINK("CSG0.html#group7A0", "7A⁰"), =HYPERLINK("CSG0.html#group7C0", "7C⁰")</f>
        <v/>
      </c>
      <c r="N4217" t="inlineStr"/>
    </row>
    <row r="4218">
      <c r="A4218" t="inlineStr">
        <is>
          <t>105C¹⁵</t>
        </is>
      </c>
      <c r="B4218" t="inlineStr"/>
      <c r="C4218" t="inlineStr">
        <is>
          <t>210</t>
        </is>
      </c>
      <c r="D4218" t="inlineStr">
        <is>
          <t>2</t>
        </is>
      </c>
      <c r="E4218" t="inlineStr">
        <is>
          <t>105</t>
        </is>
      </c>
      <c r="F4218" t="inlineStr">
        <is>
          <t>10</t>
        </is>
      </c>
      <c r="G4218" t="inlineStr">
        <is>
          <t>0</t>
        </is>
      </c>
      <c r="H4218" t="inlineStr">
        <is>
          <t>105²</t>
        </is>
      </c>
      <c r="I4218" t="n">
        <v>2</v>
      </c>
      <c r="J4218" t="inlineStr">
        <is>
          <t>2¹, 4¹, 6², 8¹, 12², 16¹, 24², 48²</t>
        </is>
      </c>
      <c r="K4218">
        <f>HYPERLINK("CSG1.html#group21D1", "21D¹"), =HYPERLINK("CSG7.html#group105A7", "105A⁷")</f>
        <v/>
      </c>
      <c r="L4218" t="inlineStr"/>
      <c r="M4218">
        <f>HYPERLINK("CSG0.html#group5A0", "5A⁰"), =HYPERLINK("CSG1.html#group21D1", "21D¹"), =HYPERLINK("CSG0.html#group21A0", "21A⁰"), =HYPERLINK("CSG2.html#group35A2", "35A²"), =HYPERLINK("CSG0.html#group3A0", "3A⁰"), =HYPERLINK("CSG0.html#group1A0", "1A⁰"), =HYPERLINK("CSG7.html#group105A7", "105A⁷"), =HYPERLINK("CSG1.html#group15A1", "15A¹"), =HYPERLINK("CSG0.html#group7A0", "7A⁰")</f>
        <v/>
      </c>
      <c r="N4218" t="inlineStr"/>
    </row>
    <row r="4219">
      <c r="A4219" t="inlineStr">
        <is>
          <t>105D¹⁵</t>
        </is>
      </c>
      <c r="B4219" t="inlineStr"/>
      <c r="C4219" t="inlineStr">
        <is>
          <t>252</t>
        </is>
      </c>
      <c r="D4219" t="inlineStr">
        <is>
          <t>2</t>
        </is>
      </c>
      <c r="E4219" t="inlineStr">
        <is>
          <t>126</t>
        </is>
      </c>
      <c r="F4219" t="inlineStr">
        <is>
          <t>20</t>
        </is>
      </c>
      <c r="G4219" t="inlineStr">
        <is>
          <t>0</t>
        </is>
      </c>
      <c r="H4219" t="inlineStr">
        <is>
          <t>21², 105²</t>
        </is>
      </c>
      <c r="I4219" t="n">
        <v>4</v>
      </c>
      <c r="J4219" t="inlineStr">
        <is>
          <t>2², 4², 6⁴, 8¹, 12⁴, 16¹, 24², 48²</t>
        </is>
      </c>
      <c r="K4219">
        <f>HYPERLINK("CSG1.html#group21D1", "21D¹"), =HYPERLINK("CSG6.html#group105C6", "105C⁶")</f>
        <v/>
      </c>
      <c r="L4219" t="inlineStr"/>
      <c r="M4219">
        <f>HYPERLINK("CSG2.html#group35C2", "35C²"), =HYPERLINK("CSG0.html#group15B0", "15B⁰"), =HYPERLINK("CSG6.html#group105C6", "105C⁶"), =HYPERLINK("CSG1.html#group21D1", "21D¹"), =HYPERLINK("CSG0.html#group5B0", "5B⁰"), =HYPERLINK("CSG0.html#group21A0", "21A⁰"), =HYPERLINK("CSG0.html#group3A0", "3A⁰"), =HYPERLINK("CSG0.html#group1A0", "1A⁰"), =HYPERLINK("CSG0.html#group7A0", "7A⁰")</f>
        <v/>
      </c>
      <c r="N4219" t="inlineStr"/>
    </row>
    <row r="4220">
      <c r="A4220" t="inlineStr">
        <is>
          <t>108A¹⁵</t>
        </is>
      </c>
      <c r="B4220" t="inlineStr"/>
      <c r="C4220" t="inlineStr">
        <is>
          <t>216</t>
        </is>
      </c>
      <c r="D4220" t="inlineStr">
        <is>
          <t>1</t>
        </is>
      </c>
      <c r="E4220" t="inlineStr">
        <is>
          <t>36</t>
        </is>
      </c>
      <c r="F4220" t="inlineStr">
        <is>
          <t>0</t>
        </is>
      </c>
      <c r="G4220" t="inlineStr">
        <is>
          <t>0</t>
        </is>
      </c>
      <c r="H4220" t="inlineStr">
        <is>
          <t>6³, 12³, 54¹, 108¹</t>
        </is>
      </c>
      <c r="I4220" t="n">
        <v>8</v>
      </c>
      <c r="J4220" t="inlineStr">
        <is>
          <t>1⁶, 2⁶, 6³</t>
        </is>
      </c>
      <c r="K4220">
        <f>HYPERLINK("CSG3.html#group36G3", "36G³"), =HYPERLINK("CSG6.html#group54B6", "54B⁶")</f>
        <v/>
      </c>
      <c r="L4220" t="inlineStr"/>
      <c r="M4220">
        <f>HYPERLINK("CSG0.html#group3B0", "3B⁰"), =HYPERLINK("CSG0.html#group18E0", "18E⁰"), =HYPERLINK("CSG2.html#group27A2", "27A²"), =HYPERLINK("CSG6.html#group54B6", "54B⁶"), =HYPERLINK("CSG1.html#group12F1", "12F¹"), =HYPERLINK("CSG0.html#group4C0", "4C⁰"), =HYPERLINK("CSG0.html#group9B0", "9B⁰"), =HYPERLINK("CSG0.html#group1A0", "1A⁰"), =HYPERLINK("CSG0.html#group2B0", "2B⁰"), =HYPERLINK("CSG0.html#group6F0", "6F⁰"), =HYPERLINK("CSG3.html#group36G3", "36G³")</f>
        <v/>
      </c>
      <c r="N4220" t="inlineStr"/>
    </row>
    <row r="4221">
      <c r="A4221" t="inlineStr">
        <is>
          <t>110A¹⁵</t>
        </is>
      </c>
      <c r="B4221" t="inlineStr">
        <is>
          <t>Γ₀(110)</t>
        </is>
      </c>
      <c r="C4221" t="inlineStr">
        <is>
          <t>216</t>
        </is>
      </c>
      <c r="D4221" t="inlineStr">
        <is>
          <t>1</t>
        </is>
      </c>
      <c r="E4221" t="inlineStr">
        <is>
          <t>216</t>
        </is>
      </c>
      <c r="F4221" t="inlineStr">
        <is>
          <t>0</t>
        </is>
      </c>
      <c r="G4221" t="inlineStr">
        <is>
          <t>0</t>
        </is>
      </c>
      <c r="H4221" t="inlineStr">
        <is>
          <t>1¹, 2¹, 5¹, 10¹, 11¹, 22¹, 55¹, 110¹</t>
        </is>
      </c>
      <c r="I4221" t="n">
        <v>8</v>
      </c>
      <c r="J4221" t="inlineStr">
        <is>
          <t>1¹², 4⁶, 10⁶, 40³</t>
        </is>
      </c>
      <c r="K4221">
        <f>HYPERLINK("CSG0.html#group10C0", "10C⁰"), =HYPERLINK("CSG2.html#group22C2", "22C²"), =HYPERLINK("CSG5.html#group55B5", "55B⁵")</f>
        <v/>
      </c>
      <c r="L4221" t="inlineStr"/>
      <c r="M4221">
        <f>HYPERLINK("CSG5.html#group55B5", "55B⁵"), =HYPERLINK("CSG1.html#group11A1", "11A¹"), =HYPERLINK("CSG0.html#group5B0", "5B⁰"), =HYPERLINK("CSG0.html#group10C0", "10C⁰"), =HYPERLINK("CSG0.html#group2B0", "2B⁰"), =HYPERLINK("CSG2.html#group22C2", "22C²"), =HYPERLINK("CSG0.html#group1A0", "1A⁰")</f>
        <v/>
      </c>
      <c r="N4221" t="inlineStr"/>
    </row>
    <row r="4222">
      <c r="A4222" t="inlineStr">
        <is>
          <t>112A¹⁵</t>
        </is>
      </c>
      <c r="B4222" t="inlineStr"/>
      <c r="C4222" t="inlineStr">
        <is>
          <t>192</t>
        </is>
      </c>
      <c r="D4222" t="inlineStr">
        <is>
          <t>1</t>
        </is>
      </c>
      <c r="E4222" t="inlineStr">
        <is>
          <t>24</t>
        </is>
      </c>
      <c r="F4222" t="inlineStr">
        <is>
          <t>0</t>
        </is>
      </c>
      <c r="G4222" t="inlineStr">
        <is>
          <t>0</t>
        </is>
      </c>
      <c r="H4222" t="inlineStr">
        <is>
          <t>8¹, 16¹, 56¹, 112¹</t>
        </is>
      </c>
      <c r="I4222" t="n">
        <v>4</v>
      </c>
      <c r="J4222" t="inlineStr">
        <is>
          <t>1⁶, 6³</t>
        </is>
      </c>
      <c r="K4222">
        <f>HYPERLINK("CSG7.html#group56C7", "56C⁷")</f>
        <v/>
      </c>
      <c r="L4222" t="inlineStr"/>
      <c r="M4222">
        <f>HYPERLINK("CSG1.html#group8A1", "8A¹"), =HYPERLINK("CSG0.html#group7B0", "7B⁰"), =HYPERLINK("CSG0.html#group4C0", "4C⁰"), =HYPERLINK("CSG1.html#group14C1", "14C¹"), =HYPERLINK("CSG0.html#group2B0", "2B⁰"), =HYPERLINK("CSG7.html#group56C7", "56C⁷"), =HYPERLINK("CSG3.html#group28C3", "28C³"), =HYPERLINK("CSG0.html#group1A0", "1A⁰")</f>
        <v/>
      </c>
      <c r="N4222" t="inlineStr"/>
    </row>
    <row r="4223">
      <c r="A4223" t="inlineStr">
        <is>
          <t>112B¹⁵</t>
        </is>
      </c>
      <c r="B4223" t="inlineStr"/>
      <c r="C4223" t="inlineStr">
        <is>
          <t>192</t>
        </is>
      </c>
      <c r="D4223" t="inlineStr">
        <is>
          <t>1</t>
        </is>
      </c>
      <c r="E4223" t="inlineStr">
        <is>
          <t>24</t>
        </is>
      </c>
      <c r="F4223" t="inlineStr">
        <is>
          <t>0</t>
        </is>
      </c>
      <c r="G4223" t="inlineStr">
        <is>
          <t>0</t>
        </is>
      </c>
      <c r="H4223" t="inlineStr">
        <is>
          <t>8¹, 16¹, 56¹, 112¹</t>
        </is>
      </c>
      <c r="I4223" t="n">
        <v>4</v>
      </c>
      <c r="J4223" t="inlineStr">
        <is>
          <t>1⁶, 6³</t>
        </is>
      </c>
      <c r="K4223">
        <f>HYPERLINK("CSG7.html#group56C7", "56C⁷")</f>
        <v/>
      </c>
      <c r="L4223" t="inlineStr"/>
      <c r="M4223">
        <f>HYPERLINK("CSG1.html#group8A1", "8A¹"), =HYPERLINK("CSG0.html#group7B0", "7B⁰"), =HYPERLINK("CSG0.html#group4C0", "4C⁰"), =HYPERLINK("CSG1.html#group14C1", "14C¹"), =HYPERLINK("CSG0.html#group2B0", "2B⁰"), =HYPERLINK("CSG7.html#group56C7", "56C⁷"), =HYPERLINK("CSG3.html#group28C3", "28C³"), =HYPERLINK("CSG0.html#group1A0", "1A⁰")</f>
        <v/>
      </c>
      <c r="N4223" t="inlineStr"/>
    </row>
    <row r="4224">
      <c r="A4224" t="inlineStr">
        <is>
          <t>112C¹⁵</t>
        </is>
      </c>
      <c r="B4224" t="inlineStr"/>
      <c r="C4224" t="inlineStr">
        <is>
          <t>192</t>
        </is>
      </c>
      <c r="D4224" t="inlineStr">
        <is>
          <t>1</t>
        </is>
      </c>
      <c r="E4224" t="inlineStr">
        <is>
          <t>24</t>
        </is>
      </c>
      <c r="F4224" t="inlineStr">
        <is>
          <t>0</t>
        </is>
      </c>
      <c r="G4224" t="inlineStr">
        <is>
          <t>0</t>
        </is>
      </c>
      <c r="H4224" t="inlineStr">
        <is>
          <t>8¹, 16¹, 56¹, 112¹</t>
        </is>
      </c>
      <c r="I4224" t="n">
        <v>4</v>
      </c>
      <c r="J4224" t="inlineStr">
        <is>
          <t>1⁶, 6³</t>
        </is>
      </c>
      <c r="K4224">
        <f>HYPERLINK("CSG0.html#group16B0", "16B⁰"), =HYPERLINK("CSG7.html#group56B7", "56B⁷")</f>
        <v/>
      </c>
      <c r="L4224" t="inlineStr"/>
      <c r="M4224">
        <f>HYPERLINK("CSG0.html#group16B0", "16B⁰"), =HYPERLINK("CSG0.html#group7B0", "7B⁰"), =HYPERLINK("CSG0.html#group4C0", "4C⁰"), =HYPERLINK("CSG1.html#group14C1", "14C¹"), =HYPERLINK("CSG0.html#group8B0", "8B⁰"), =HYPERLINK("CSG0.html#group2B0", "2B⁰"), =HYPERLINK("CSG3.html#group28C3", "28C³"), =HYPERLINK("CSG0.html#group1A0", "1A⁰"), =HYPERLINK("CSG7.html#group56B7", "56B⁷")</f>
        <v/>
      </c>
      <c r="N4224" t="inlineStr"/>
    </row>
    <row r="4225">
      <c r="A4225" t="inlineStr">
        <is>
          <t>112D¹⁵</t>
        </is>
      </c>
      <c r="B4225" t="inlineStr"/>
      <c r="C4225" t="inlineStr">
        <is>
          <t>192</t>
        </is>
      </c>
      <c r="D4225" t="inlineStr">
        <is>
          <t>1</t>
        </is>
      </c>
      <c r="E4225" t="inlineStr">
        <is>
          <t>24</t>
        </is>
      </c>
      <c r="F4225" t="inlineStr">
        <is>
          <t>0</t>
        </is>
      </c>
      <c r="G4225" t="inlineStr">
        <is>
          <t>0</t>
        </is>
      </c>
      <c r="H4225" t="inlineStr">
        <is>
          <t>8¹, 16¹, 56¹, 112¹</t>
        </is>
      </c>
      <c r="I4225" t="n">
        <v>4</v>
      </c>
      <c r="J4225" t="inlineStr">
        <is>
          <t>1⁶, 6³</t>
        </is>
      </c>
      <c r="K4225">
        <f>HYPERLINK("CSG2.html#group16A2", "16A²"), =HYPERLINK("CSG7.html#group56B7", "56B⁷")</f>
        <v/>
      </c>
      <c r="L4225" t="inlineStr"/>
      <c r="M4225">
        <f>HYPERLINK("CSG2.html#group16A2", "16A²"), =HYPERLINK("CSG0.html#group7B0", "7B⁰"), =HYPERLINK("CSG0.html#group4C0", "4C⁰"), =HYPERLINK("CSG1.html#group14C1", "14C¹"), =HYPERLINK("CSG0.html#group8B0", "8B⁰"), =HYPERLINK("CSG0.html#group2B0", "2B⁰"), =HYPERLINK("CSG3.html#group28C3", "28C³"), =HYPERLINK("CSG0.html#group1A0", "1A⁰"), =HYPERLINK("CSG7.html#group56B7", "56B⁷")</f>
        <v/>
      </c>
      <c r="N4225" t="inlineStr"/>
    </row>
    <row r="4226">
      <c r="A4226" t="inlineStr">
        <is>
          <t>112E¹⁵</t>
        </is>
      </c>
      <c r="B4226" t="inlineStr"/>
      <c r="C4226" t="inlineStr">
        <is>
          <t>192</t>
        </is>
      </c>
      <c r="D4226" t="inlineStr">
        <is>
          <t>1</t>
        </is>
      </c>
      <c r="E4226" t="inlineStr">
        <is>
          <t>48</t>
        </is>
      </c>
      <c r="F4226" t="inlineStr">
        <is>
          <t>0</t>
        </is>
      </c>
      <c r="G4226" t="inlineStr">
        <is>
          <t>0</t>
        </is>
      </c>
      <c r="H4226" t="inlineStr">
        <is>
          <t>8¹, 16¹, 56¹, 112¹</t>
        </is>
      </c>
      <c r="I4226" t="n">
        <v>4</v>
      </c>
      <c r="J4226" t="inlineStr">
        <is>
          <t>1⁴, 2⁴, 6², 12²</t>
        </is>
      </c>
      <c r="K4226">
        <f>HYPERLINK("CSG7.html#group56C7", "56C⁷")</f>
        <v/>
      </c>
      <c r="L4226" t="inlineStr"/>
      <c r="M4226">
        <f>HYPERLINK("CSG1.html#group8A1", "8A¹"), =HYPERLINK("CSG0.html#group7B0", "7B⁰"), =HYPERLINK("CSG0.html#group4C0", "4C⁰"), =HYPERLINK("CSG1.html#group14C1", "14C¹"), =HYPERLINK("CSG0.html#group2B0", "2B⁰"), =HYPERLINK("CSG7.html#group56C7", "56C⁷"), =HYPERLINK("CSG3.html#group28C3", "28C³"), =HYPERLINK("CSG0.html#group1A0", "1A⁰")</f>
        <v/>
      </c>
      <c r="N4226" t="inlineStr"/>
    </row>
    <row r="4227">
      <c r="A4227" t="inlineStr">
        <is>
          <t>112F¹⁵</t>
        </is>
      </c>
      <c r="B4227" t="inlineStr"/>
      <c r="C4227" t="inlineStr">
        <is>
          <t>192</t>
        </is>
      </c>
      <c r="D4227" t="inlineStr">
        <is>
          <t>1</t>
        </is>
      </c>
      <c r="E4227" t="inlineStr">
        <is>
          <t>48</t>
        </is>
      </c>
      <c r="F4227" t="inlineStr">
        <is>
          <t>0</t>
        </is>
      </c>
      <c r="G4227" t="inlineStr">
        <is>
          <t>0</t>
        </is>
      </c>
      <c r="H4227" t="inlineStr">
        <is>
          <t>8¹, 16¹, 56¹, 112¹</t>
        </is>
      </c>
      <c r="I4227" t="n">
        <v>4</v>
      </c>
      <c r="J4227" t="inlineStr">
        <is>
          <t>1⁴, 2⁴, 6², 12²</t>
        </is>
      </c>
      <c r="K4227">
        <f>HYPERLINK("CSG1.html#group16B1", "16B¹"), =HYPERLINK("CSG7.html#group56B7", "56B⁷")</f>
        <v/>
      </c>
      <c r="L4227" t="inlineStr"/>
      <c r="M4227">
        <f>HYPERLINK("CSG0.html#group7B0", "7B⁰"), =HYPERLINK("CSG0.html#group4C0", "4C⁰"), =HYPERLINK("CSG1.html#group14C1", "14C¹"), =HYPERLINK("CSG0.html#group8B0", "8B⁰"), =HYPERLINK("CSG1.html#group16B1", "16B¹"), =HYPERLINK("CSG0.html#group2B0", "2B⁰"), =HYPERLINK("CSG3.html#group28C3", "28C³"), =HYPERLINK("CSG0.html#group1A0", "1A⁰"), =HYPERLINK("CSG7.html#group56B7", "56B⁷")</f>
        <v/>
      </c>
      <c r="N4227" t="inlineStr"/>
    </row>
    <row r="4228">
      <c r="A4228" t="inlineStr">
        <is>
          <t>112G¹⁵</t>
        </is>
      </c>
      <c r="B4228" t="inlineStr"/>
      <c r="C4228" t="inlineStr">
        <is>
          <t>192</t>
        </is>
      </c>
      <c r="D4228" t="inlineStr">
        <is>
          <t>1</t>
        </is>
      </c>
      <c r="E4228" t="inlineStr">
        <is>
          <t>96</t>
        </is>
      </c>
      <c r="F4228" t="inlineStr">
        <is>
          <t>0</t>
        </is>
      </c>
      <c r="G4228" t="inlineStr">
        <is>
          <t>0</t>
        </is>
      </c>
      <c r="H4228" t="inlineStr">
        <is>
          <t>8¹, 16¹, 56¹, 112¹</t>
        </is>
      </c>
      <c r="I4228" t="n">
        <v>4</v>
      </c>
      <c r="J4228" t="inlineStr">
        <is>
          <t>1⁸, 2⁴, 4², 6⁴, 12², 24¹</t>
        </is>
      </c>
      <c r="K4228">
        <f>HYPERLINK("CSG1.html#group16D1", "16D¹"), =HYPERLINK("CSG7.html#group56B7", "56B⁷")</f>
        <v/>
      </c>
      <c r="L4228" t="inlineStr"/>
      <c r="M4228">
        <f>HYPERLINK("CSG1.html#group16D1", "16D¹"), =HYPERLINK("CSG0.html#group7B0", "7B⁰"), =HYPERLINK("CSG0.html#group4C0", "4C⁰"), =HYPERLINK("CSG1.html#group14C1", "14C¹"), =HYPERLINK("CSG0.html#group8B0", "8B⁰"), =HYPERLINK("CSG0.html#group2B0", "2B⁰"), =HYPERLINK("CSG3.html#group28C3", "28C³"), =HYPERLINK("CSG0.html#group1A0", "1A⁰"), =HYPERLINK("CSG7.html#group56B7", "56B⁷")</f>
        <v/>
      </c>
      <c r="N4228" t="inlineStr"/>
    </row>
    <row r="4229">
      <c r="A4229" t="inlineStr">
        <is>
          <t>112H¹⁵</t>
        </is>
      </c>
      <c r="B4229" t="inlineStr"/>
      <c r="C4229" t="inlineStr">
        <is>
          <t>192</t>
        </is>
      </c>
      <c r="D4229" t="inlineStr">
        <is>
          <t>1</t>
        </is>
      </c>
      <c r="E4229" t="inlineStr">
        <is>
          <t>96</t>
        </is>
      </c>
      <c r="F4229" t="inlineStr">
        <is>
          <t>0</t>
        </is>
      </c>
      <c r="G4229" t="inlineStr">
        <is>
          <t>0</t>
        </is>
      </c>
      <c r="H4229" t="inlineStr">
        <is>
          <t>8¹, 16¹, 56¹, 112¹</t>
        </is>
      </c>
      <c r="I4229" t="n">
        <v>4</v>
      </c>
      <c r="J4229" t="inlineStr">
        <is>
          <t>1⁸, 2⁴, 4², 6⁴, 12², 24¹</t>
        </is>
      </c>
      <c r="K4229">
        <f>HYPERLINK("CSG2.html#group16B2", "16B²"), =HYPERLINK("CSG7.html#group56C7", "56C⁷")</f>
        <v/>
      </c>
      <c r="L4229" t="inlineStr"/>
      <c r="M4229">
        <f>HYPERLINK("CSG2.html#group16B2", "16B²"), =HYPERLINK("CSG1.html#group8A1", "8A¹"), =HYPERLINK("CSG0.html#group7B0", "7B⁰"), =HYPERLINK("CSG0.html#group4C0", "4C⁰"), =HYPERLINK("CSG1.html#group14C1", "14C¹"), =HYPERLINK("CSG0.html#group2B0", "2B⁰"), =HYPERLINK("CSG7.html#group56C7", "56C⁷"), =HYPERLINK("CSG3.html#group28C3", "28C³"), =HYPERLINK("CSG0.html#group1A0", "1A⁰")</f>
        <v/>
      </c>
      <c r="N4229" t="inlineStr"/>
    </row>
    <row r="4230">
      <c r="A4230" t="inlineStr">
        <is>
          <t>112I¹⁵</t>
        </is>
      </c>
      <c r="B4230" t="inlineStr"/>
      <c r="C4230" t="inlineStr">
        <is>
          <t>224</t>
        </is>
      </c>
      <c r="D4230" t="inlineStr">
        <is>
          <t>2</t>
        </is>
      </c>
      <c r="E4230" t="inlineStr">
        <is>
          <t>56</t>
        </is>
      </c>
      <c r="F4230" t="inlineStr">
        <is>
          <t>4</t>
        </is>
      </c>
      <c r="G4230" t="inlineStr">
        <is>
          <t>8</t>
        </is>
      </c>
      <c r="H4230" t="inlineStr">
        <is>
          <t>112²</t>
        </is>
      </c>
      <c r="I4230" t="n">
        <v>2</v>
      </c>
      <c r="J4230" t="inlineStr">
        <is>
          <t>16², 48⁴</t>
        </is>
      </c>
      <c r="K4230">
        <f>HYPERLINK("CSG7.html#group56D7", "56D⁷"), =HYPERLINK("CSG7.html#group112B7", "112B⁷"), =HYPERLINK("CSG7.html#group112D7", "112D⁷")</f>
        <v/>
      </c>
      <c r="L4230" t="inlineStr"/>
      <c r="M4230">
        <f>HYPERLINK("CSG7.html#group112B7", "112B⁷"), =HYPERLINK("CSG3.html#group28D3", "28D³"), =HYPERLINK("CSG3.html#group56D3", "56D³"), =HYPERLINK("CSG0.html#group16A0", "16A⁰"), =HYPERLINK("CSG7.html#group56D7", "56D⁷"), =HYPERLINK("CSG0.html#group4A0", "4A⁰"), =HYPERLINK("CSG0.html#group7C0", "7C⁰"), =HYPERLINK("CSG0.html#group8A0", "8A⁰"), =HYPERLINK("CSG7.html#group112D7", "112D⁷"), =HYPERLINK("CSG1.html#group28A1", "28A¹"), =HYPERLINK("CSG0.html#group1A0", "1A⁰"), =HYPERLINK("CSG0.html#group7A0", "7A⁰"), =HYPERLINK("CSG3.html#group56A3", "56A³")</f>
        <v/>
      </c>
      <c r="N4230" t="inlineStr"/>
    </row>
    <row r="4231">
      <c r="A4231" t="inlineStr">
        <is>
          <t>112J¹⁵</t>
        </is>
      </c>
      <c r="B4231" t="inlineStr"/>
      <c r="C4231" t="inlineStr">
        <is>
          <t>224</t>
        </is>
      </c>
      <c r="D4231" t="inlineStr">
        <is>
          <t>2</t>
        </is>
      </c>
      <c r="E4231" t="inlineStr">
        <is>
          <t>56</t>
        </is>
      </c>
      <c r="F4231" t="inlineStr">
        <is>
          <t>4</t>
        </is>
      </c>
      <c r="G4231" t="inlineStr">
        <is>
          <t>8</t>
        </is>
      </c>
      <c r="H4231" t="inlineStr">
        <is>
          <t>112²</t>
        </is>
      </c>
      <c r="I4231" t="n">
        <v>2</v>
      </c>
      <c r="J4231" t="inlineStr">
        <is>
          <t>16², 48⁴</t>
        </is>
      </c>
      <c r="K4231">
        <f>HYPERLINK("CSG7.html#group56E7", "56E⁷"), =HYPERLINK("CSG7.html#group112A7", "112A⁷"), =HYPERLINK("CSG7.html#group112C7", "112C⁷")</f>
        <v/>
      </c>
      <c r="L4231" t="inlineStr"/>
      <c r="M4231">
        <f>HYPERLINK("CSG3.html#group28D3", "28D³"), =HYPERLINK("CSG7.html#group112C7", "112C⁷"), =HYPERLINK("CSG7.html#group56E7", "56E⁷"), =HYPERLINK("CSG0.html#group16A0", "16A⁰"), =HYPERLINK("CSG3.html#group56B3", "56B³"), =HYPERLINK("CSG7.html#group112A7", "112A⁷"), =HYPERLINK("CSG0.html#group4A0", "4A⁰"), =HYPERLINK("CSG0.html#group7C0", "7C⁰"), =HYPERLINK("CSG0.html#group8A0", "8A⁰"), =HYPERLINK("CSG3.html#group56C3", "56C³"), =HYPERLINK("CSG1.html#group28A1", "28A¹"), =HYPERLINK("CSG0.html#group1A0", "1A⁰"), =HYPERLINK("CSG0.html#group7A0", "7A⁰")</f>
        <v/>
      </c>
      <c r="N4231" t="inlineStr"/>
    </row>
    <row r="4232">
      <c r="A4232" t="inlineStr">
        <is>
          <t>112K¹⁵</t>
        </is>
      </c>
      <c r="B4232" t="inlineStr"/>
      <c r="C4232" t="inlineStr">
        <is>
          <t>256</t>
        </is>
      </c>
      <c r="D4232" t="inlineStr">
        <is>
          <t>1</t>
        </is>
      </c>
      <c r="E4232" t="inlineStr">
        <is>
          <t>32</t>
        </is>
      </c>
      <c r="F4232" t="inlineStr">
        <is>
          <t>0</t>
        </is>
      </c>
      <c r="G4232" t="inlineStr">
        <is>
          <t>16</t>
        </is>
      </c>
      <c r="H4232" t="inlineStr">
        <is>
          <t>16², 112²</t>
        </is>
      </c>
      <c r="I4232" t="n">
        <v>4</v>
      </c>
      <c r="J4232" t="inlineStr">
        <is>
          <t>2⁴, 12²</t>
        </is>
      </c>
      <c r="K4232">
        <f>HYPERLINK("CSG7.html#group56G7", "56G⁷")</f>
        <v/>
      </c>
      <c r="L4232" t="inlineStr"/>
      <c r="M4232">
        <f>HYPERLINK("CSG7.html#group56G7", "56G⁷"), =HYPERLINK("CSG4.html#group56A4", "56A⁴"), =HYPERLINK("CSG0.html#group2A0", "2A⁰"), =HYPERLINK("CSG0.html#group7B0", "7B⁰"), =HYPERLINK("CSG0.html#group4A0", "4A⁰"), =HYPERLINK("CSG0.html#group4D0", "4D⁰"), =HYPERLINK("CSG0.html#group14B0", "14B⁰"), =HYPERLINK("CSG0.html#group8A0", "8A⁰"), =HYPERLINK("CSG0.html#group8E0", "8E⁰"), =HYPERLINK("CSG3.html#group28E3", "28E³"), =HYPERLINK("CSG0.html#group1A0", "1A⁰"), =HYPERLINK("CSG2.html#group28A2", "28A²")</f>
        <v/>
      </c>
      <c r="N4232" t="inlineStr"/>
    </row>
    <row r="4233">
      <c r="A4233" t="inlineStr">
        <is>
          <t>112L¹⁵</t>
        </is>
      </c>
      <c r="B4233" t="inlineStr"/>
      <c r="C4233" t="inlineStr">
        <is>
          <t>256</t>
        </is>
      </c>
      <c r="D4233" t="inlineStr">
        <is>
          <t>1</t>
        </is>
      </c>
      <c r="E4233" t="inlineStr">
        <is>
          <t>32</t>
        </is>
      </c>
      <c r="F4233" t="inlineStr">
        <is>
          <t>0</t>
        </is>
      </c>
      <c r="G4233" t="inlineStr">
        <is>
          <t>16</t>
        </is>
      </c>
      <c r="H4233" t="inlineStr">
        <is>
          <t>16², 112²</t>
        </is>
      </c>
      <c r="I4233" t="n">
        <v>4</v>
      </c>
      <c r="J4233" t="inlineStr">
        <is>
          <t>2⁴, 12²</t>
        </is>
      </c>
      <c r="K4233">
        <f>HYPERLINK("CSG0.html#group16F0", "16F⁰"), =HYPERLINK("CSG7.html#group56G7", "56G⁷"), =HYPERLINK("CSG8.html#group112A8", "112A⁸")</f>
        <v/>
      </c>
      <c r="L4233" t="inlineStr"/>
      <c r="M4233">
        <f>HYPERLINK("CSG0.html#group2A0", "2A⁰"), =HYPERLINK("CSG0.html#group16A0", "16A⁰"), =HYPERLINK("CSG8.html#group112A8", "112A⁸"), =HYPERLINK("CSG0.html#group8A0", "8A⁰"), =HYPERLINK("CSG0.html#group8E0", "8E⁰"), =HYPERLINK("CSG3.html#group28E3", "28E³"), =HYPERLINK("CSG0.html#group1A0", "1A⁰"), =HYPERLINK("CSG2.html#group28A2", "28A²"), =HYPERLINK("CSG7.html#group56G7", "56G⁷"), =HYPERLINK("CSG4.html#group56A4", "56A⁴"), =HYPERLINK("CSG0.html#group4A0", "4A⁰"), =HYPERLINK("CSG0.html#group7B0", "7B⁰"), =HYPERLINK("CSG0.html#group16F0", "16F⁰"), =HYPERLINK("CSG0.html#group4D0", "4D⁰"), =HYPERLINK("CSG0.html#group14B0", "14B⁰")</f>
        <v/>
      </c>
      <c r="N4233" t="inlineStr"/>
    </row>
    <row r="4234">
      <c r="A4234" t="inlineStr">
        <is>
          <t>120A¹⁵</t>
        </is>
      </c>
      <c r="B4234" t="inlineStr"/>
      <c r="C4234" t="inlineStr">
        <is>
          <t>180</t>
        </is>
      </c>
      <c r="D4234" t="inlineStr">
        <is>
          <t>1</t>
        </is>
      </c>
      <c r="E4234" t="inlineStr">
        <is>
          <t>15</t>
        </is>
      </c>
      <c r="F4234" t="inlineStr">
        <is>
          <t>0</t>
        </is>
      </c>
      <c r="G4234" t="inlineStr">
        <is>
          <t>0</t>
        </is>
      </c>
      <c r="H4234" t="inlineStr">
        <is>
          <t>60¹, 120¹</t>
        </is>
      </c>
      <c r="I4234" t="n">
        <v>2</v>
      </c>
      <c r="J4234" t="inlineStr">
        <is>
          <t>1³, 4³</t>
        </is>
      </c>
      <c r="K4234">
        <f>HYPERLINK("CSG3.html#group24A3", "24A³"), =HYPERLINK("CSG5.html#group40A5", "40A⁵"), =HYPERLINK("CSG6.html#group60B6", "60B⁶")</f>
        <v/>
      </c>
      <c r="L4234" t="inlineStr"/>
      <c r="M4234">
        <f>HYPERLINK("CSG3.html#group30D3", "30D³"), =HYPERLINK("CSG3.html#group24A3", "24A³"), =HYPERLINK("CSG0.html#group5A0", "5A⁰"), =HYPERLINK("CSG0.html#group12C0", "12C⁰"), =HYPERLINK("CSG1.html#group8A1", "8A¹"), =HYPERLINK("CSG1.html#group15A1", "15A¹"), =HYPERLINK("CSG1.html#group10B1", "10B¹"), =HYPERLINK("CSG2.html#group20B2", "20B²"), =HYPERLINK("CSG0.html#group4C0", "4C⁰"), =HYPERLINK("CSG6.html#group60B6", "60B⁶"), =HYPERLINK("CSG0.html#group2B0", "2B⁰"), =HYPERLINK("CSG0.html#group3A0", "3A⁰"), =HYPERLINK("CSG5.html#group40A5", "40A⁵"), =HYPERLINK("CSG0.html#group1A0", "1A⁰"), =HYPERLINK("CSG0.html#group6D0", "6D⁰")</f>
        <v/>
      </c>
      <c r="N4234" t="inlineStr"/>
    </row>
    <row r="4235">
      <c r="A4235" t="inlineStr">
        <is>
          <t>120B¹⁵</t>
        </is>
      </c>
      <c r="B4235" t="inlineStr"/>
      <c r="C4235" t="inlineStr">
        <is>
          <t>180</t>
        </is>
      </c>
      <c r="D4235" t="inlineStr">
        <is>
          <t>2</t>
        </is>
      </c>
      <c r="E4235" t="inlineStr">
        <is>
          <t>15</t>
        </is>
      </c>
      <c r="F4235" t="inlineStr">
        <is>
          <t>0</t>
        </is>
      </c>
      <c r="G4235" t="inlineStr">
        <is>
          <t>0</t>
        </is>
      </c>
      <c r="H4235" t="inlineStr">
        <is>
          <t>60¹, 120¹</t>
        </is>
      </c>
      <c r="I4235" t="n">
        <v>2</v>
      </c>
      <c r="J4235" t="inlineStr">
        <is>
          <t>2³, 8³</t>
        </is>
      </c>
      <c r="K4235">
        <f>HYPERLINK("CSG5.html#group40A5", "40A⁵"), =HYPERLINK("CSG6.html#group60D6", "60D⁶")</f>
        <v/>
      </c>
      <c r="L4235" t="inlineStr"/>
      <c r="M4235">
        <f>HYPERLINK("CSG0.html#group5A0", "5A⁰"), =HYPERLINK("CSG6.html#group60D6", "60D⁶"), =HYPERLINK("CSG1.html#group8A1", "8A¹"), =HYPERLINK("CSG3.html#group30E3", "30E³"), =HYPERLINK("CSG1.html#group10B1", "10B¹"), =HYPERLINK("CSG2.html#group20B2", "20B²"), =HYPERLINK("CSG0.html#group4C0", "4C⁰"), =HYPERLINK("CSG0.html#group2B0", "2B⁰"), =HYPERLINK("CSG5.html#group40A5", "40A⁵"), =HYPERLINK("CSG0.html#group1A0", "1A⁰"), =HYPERLINK("CSG0.html#group15A0", "15A⁰")</f>
        <v/>
      </c>
      <c r="N4235" t="inlineStr"/>
    </row>
    <row r="4236">
      <c r="A4236" t="inlineStr">
        <is>
          <t>120C¹⁵</t>
        </is>
      </c>
      <c r="B4236" t="inlineStr"/>
      <c r="C4236" t="inlineStr">
        <is>
          <t>192</t>
        </is>
      </c>
      <c r="D4236" t="inlineStr">
        <is>
          <t>2</t>
        </is>
      </c>
      <c r="E4236" t="inlineStr">
        <is>
          <t>96</t>
        </is>
      </c>
      <c r="F4236" t="inlineStr">
        <is>
          <t>0</t>
        </is>
      </c>
      <c r="G4236" t="inlineStr">
        <is>
          <t>0</t>
        </is>
      </c>
      <c r="H4236" t="inlineStr">
        <is>
          <t>8¹, 24¹, 40¹, 120¹</t>
        </is>
      </c>
      <c r="I4236" t="n">
        <v>4</v>
      </c>
      <c r="J4236" t="inlineStr">
        <is>
          <t>4⁸, 8⁴, 16⁴, 32²</t>
        </is>
      </c>
      <c r="K4236">
        <f>HYPERLINK("CSG3.html#group40A3", "40A³"), =HYPERLINK("CSG7.html#group60F7", "60F⁷")</f>
        <v/>
      </c>
      <c r="L4236" t="inlineStr"/>
      <c r="M4236">
        <f>HYPERLINK("CSG1.html#group15C1", "15C¹"), =HYPERLINK("CSG0.html#group3B0", "3B⁰"), =HYPERLINK("CSG3.html#group40A3", "40A³"), =HYPERLINK("CSG7.html#group60F7", "60F⁷"), =HYPERLINK("CSG0.html#group4A0", "4A⁰"), =HYPERLINK("CSG1.html#group12A1", "12A¹"), =HYPERLINK("CSG0.html#group5B0", "5B⁰"), =HYPERLINK("CSG0.html#group1A0", "1A⁰"), =HYPERLINK("CSG1.html#group20B1", "20B¹")</f>
        <v/>
      </c>
      <c r="N4236" t="inlineStr"/>
    </row>
    <row r="4237">
      <c r="A4237" t="inlineStr">
        <is>
          <t>120D¹⁵</t>
        </is>
      </c>
      <c r="B4237" t="inlineStr"/>
      <c r="C4237" t="inlineStr">
        <is>
          <t>192</t>
        </is>
      </c>
      <c r="D4237" t="inlineStr">
        <is>
          <t>2</t>
        </is>
      </c>
      <c r="E4237" t="inlineStr">
        <is>
          <t>96</t>
        </is>
      </c>
      <c r="F4237" t="inlineStr">
        <is>
          <t>0</t>
        </is>
      </c>
      <c r="G4237" t="inlineStr">
        <is>
          <t>0</t>
        </is>
      </c>
      <c r="H4237" t="inlineStr">
        <is>
          <t>8¹, 24¹, 40¹, 120¹</t>
        </is>
      </c>
      <c r="I4237" t="n">
        <v>4</v>
      </c>
      <c r="J4237" t="inlineStr">
        <is>
          <t>4⁸, 8⁴, 16⁴, 32²</t>
        </is>
      </c>
      <c r="K4237">
        <f>HYPERLINK("CSG2.html#group24A2", "24A²"), =HYPERLINK("CSG3.html#group40B3", "40B³"), =HYPERLINK("CSG7.html#group60F7", "60F⁷")</f>
        <v/>
      </c>
      <c r="L4237" t="inlineStr"/>
      <c r="M4237">
        <f>HYPERLINK("CSG0.html#group3B0", "3B⁰"), =HYPERLINK("CSG1.html#group15C1", "15C¹"), =HYPERLINK("CSG2.html#group24A2", "24A²"), =HYPERLINK("CSG7.html#group60F7", "60F⁷"), =HYPERLINK("CSG0.html#group4A0", "4A⁰"), =HYPERLINK("CSG1.html#group12A1", "12A¹"), =HYPERLINK("CSG3.html#group40B3", "40B³"), =HYPERLINK("CSG0.html#group8A0", "8A⁰"), =HYPERLINK("CSG0.html#group5B0", "5B⁰"), =HYPERLINK("CSG0.html#group1A0", "1A⁰"), =HYPERLINK("CSG1.html#group20B1", "20B¹")</f>
        <v/>
      </c>
      <c r="N4237" t="inlineStr"/>
    </row>
    <row r="4238">
      <c r="A4238" t="inlineStr">
        <is>
          <t>120E¹⁵</t>
        </is>
      </c>
      <c r="B4238" t="inlineStr"/>
      <c r="C4238" t="inlineStr">
        <is>
          <t>216</t>
        </is>
      </c>
      <c r="D4238" t="inlineStr">
        <is>
          <t>1</t>
        </is>
      </c>
      <c r="E4238" t="inlineStr">
        <is>
          <t>36</t>
        </is>
      </c>
      <c r="F4238" t="inlineStr">
        <is>
          <t>0</t>
        </is>
      </c>
      <c r="G4238" t="inlineStr">
        <is>
          <t>0</t>
        </is>
      </c>
      <c r="H4238" t="inlineStr">
        <is>
          <t>3², 6¹, 15², 24¹, 30¹, 120¹</t>
        </is>
      </c>
      <c r="I4238" t="n">
        <v>8</v>
      </c>
      <c r="J4238" t="inlineStr">
        <is>
          <t>1⁸, 2², 4⁴, 8¹</t>
        </is>
      </c>
      <c r="K4238">
        <f>HYPERLINK("CSG3.html#group40E3", "40E³"), =HYPERLINK("CSG7.html#group60H7", "60H⁷")</f>
        <v/>
      </c>
      <c r="L4238" t="inlineStr"/>
      <c r="M4238">
        <f>HYPERLINK("CSG0.html#group15B0", "15B⁰"), =HYPERLINK("CSG2.html#group30E2", "30E²"), =HYPERLINK("CSG7.html#group60H7", "60H⁷"), =HYPERLINK("CSG0.html#group4B0", "4B⁰"), =HYPERLINK("CSG0.html#group5B0", "5B⁰"), =HYPERLINK("CSG0.html#group10C0", "10C⁰"), =HYPERLINK("CSG3.html#group40E3", "40E³"), =HYPERLINK("CSG1.html#group20D1", "20D¹"), =HYPERLINK("CSG1.html#group12B1", "12B¹"), =HYPERLINK("CSG0.html#group2B0", "2B⁰"), =HYPERLINK("CSG0.html#group3A0", "3A⁰"), =HYPERLINK("CSG0.html#group1A0", "1A⁰"), =HYPERLINK("CSG0.html#group6D0", "6D⁰")</f>
        <v/>
      </c>
      <c r="N4238" t="inlineStr"/>
    </row>
    <row r="4239">
      <c r="A4239" t="inlineStr">
        <is>
          <t>120F¹⁵</t>
        </is>
      </c>
      <c r="B4239" t="inlineStr"/>
      <c r="C4239" t="inlineStr">
        <is>
          <t>216</t>
        </is>
      </c>
      <c r="D4239" t="inlineStr">
        <is>
          <t>1</t>
        </is>
      </c>
      <c r="E4239" t="inlineStr">
        <is>
          <t>36</t>
        </is>
      </c>
      <c r="F4239" t="inlineStr">
        <is>
          <t>0</t>
        </is>
      </c>
      <c r="G4239" t="inlineStr">
        <is>
          <t>0</t>
        </is>
      </c>
      <c r="H4239" t="inlineStr">
        <is>
          <t>3², 6¹, 15², 24¹, 30¹, 120¹</t>
        </is>
      </c>
      <c r="I4239" t="n">
        <v>8</v>
      </c>
      <c r="J4239" t="inlineStr">
        <is>
          <t>1⁸, 2², 4⁴, 8¹</t>
        </is>
      </c>
      <c r="K4239">
        <f>HYPERLINK("CSG2.html#group24B2", "24B²"), =HYPERLINK("CSG3.html#group40F3", "40F³"), =HYPERLINK("CSG7.html#group60H7", "60H⁷")</f>
        <v/>
      </c>
      <c r="L4239" t="inlineStr"/>
      <c r="M4239">
        <f>HYPERLINK("CSG7.html#group60H7", "60H⁷"), =HYPERLINK("CSG0.html#group5B0", "5B⁰"), =HYPERLINK("CSG1.html#group20D1", "20D¹"), =HYPERLINK("CSG0.html#group8C0", "8C⁰"), =HYPERLINK("CSG0.html#group2B0", "2B⁰"), =HYPERLINK("CSG0.html#group4B0", "4B⁰"), =HYPERLINK("CSG0.html#group1A0", "1A⁰"), =HYPERLINK("CSG2.html#group24B2", "24B²"), =HYPERLINK("CSG0.html#group15B0", "15B⁰"), =HYPERLINK("CSG2.html#group30E2", "30E²"), =HYPERLINK("CSG3.html#group40F3", "40F³"), =HYPERLINK("CSG0.html#group10C0", "10C⁰"), =HYPERLINK("CSG1.html#group12B1", "12B¹"), =HYPERLINK("CSG0.html#group3A0", "3A⁰"), =HYPERLINK("CSG0.html#group6D0", "6D⁰")</f>
        <v/>
      </c>
      <c r="N4239" t="inlineStr"/>
    </row>
    <row r="4240">
      <c r="A4240" t="inlineStr">
        <is>
          <t>120G¹⁵</t>
        </is>
      </c>
      <c r="B4240" t="inlineStr"/>
      <c r="C4240" t="inlineStr">
        <is>
          <t>216</t>
        </is>
      </c>
      <c r="D4240" t="inlineStr">
        <is>
          <t>1</t>
        </is>
      </c>
      <c r="E4240" t="inlineStr">
        <is>
          <t>54</t>
        </is>
      </c>
      <c r="F4240" t="inlineStr">
        <is>
          <t>8</t>
        </is>
      </c>
      <c r="G4240" t="inlineStr">
        <is>
          <t>0</t>
        </is>
      </c>
      <c r="H4240" t="inlineStr">
        <is>
          <t>12¹, 24¹, 60¹, 120¹</t>
        </is>
      </c>
      <c r="I4240" t="n">
        <v>4</v>
      </c>
      <c r="J4240" t="inlineStr">
        <is>
          <t>1⁶, 2⁶, 4³, 8³</t>
        </is>
      </c>
      <c r="K4240">
        <f>HYPERLINK("CSG5.html#group60A5", "60A⁵")</f>
        <v/>
      </c>
      <c r="L4240" t="inlineStr"/>
      <c r="M4240">
        <f>HYPERLINK("CSG1.html#group20E1", "20E¹"), =HYPERLINK("CSG0.html#group15B0", "15B⁰"), =HYPERLINK("CSG0.html#group12C0", "12C⁰"), =HYPERLINK("CSG2.html#group30E2", "30E²"), =HYPERLINK("CSG5.html#group60A5", "60A⁵"), =HYPERLINK("CSG0.html#group4C0", "4C⁰"), =HYPERLINK("CSG0.html#group5B0", "5B⁰"), =HYPERLINK("CSG0.html#group10C0", "10C⁰"), =HYPERLINK("CSG0.html#group2B0", "2B⁰"), =HYPERLINK("CSG0.html#group3A0", "3A⁰"), =HYPERLINK("CSG0.html#group1A0", "1A⁰"), =HYPERLINK("CSG0.html#group6D0", "6D⁰")</f>
        <v/>
      </c>
      <c r="N4240" t="inlineStr"/>
    </row>
    <row r="4241">
      <c r="A4241" t="inlineStr">
        <is>
          <t>120H¹⁵</t>
        </is>
      </c>
      <c r="B4241" t="inlineStr"/>
      <c r="C4241" t="inlineStr">
        <is>
          <t>216</t>
        </is>
      </c>
      <c r="D4241" t="inlineStr">
        <is>
          <t>1</t>
        </is>
      </c>
      <c r="E4241" t="inlineStr">
        <is>
          <t>54</t>
        </is>
      </c>
      <c r="F4241" t="inlineStr">
        <is>
          <t>8</t>
        </is>
      </c>
      <c r="G4241" t="inlineStr">
        <is>
          <t>0</t>
        </is>
      </c>
      <c r="H4241" t="inlineStr">
        <is>
          <t>12¹, 24¹, 60¹, 120¹</t>
        </is>
      </c>
      <c r="I4241" t="n">
        <v>4</v>
      </c>
      <c r="J4241" t="inlineStr">
        <is>
          <t>1⁶, 2⁶, 4³, 8³</t>
        </is>
      </c>
      <c r="K4241">
        <f>HYPERLINK("CSG2.html#group24C2", "24C²"), =HYPERLINK("CSG5.html#group60A5", "60A⁵")</f>
        <v/>
      </c>
      <c r="L4241" t="inlineStr"/>
      <c r="M4241">
        <f>HYPERLINK("CSG1.html#group20E1", "20E¹"), =HYPERLINK("CSG0.html#group15B0", "15B⁰"), =HYPERLINK("CSG0.html#group12C0", "12C⁰"), =HYPERLINK("CSG2.html#group30E2", "30E²"), =HYPERLINK("CSG5.html#group60A5", "60A⁵"), =HYPERLINK("CSG0.html#group4C0", "4C⁰"), =HYPERLINK("CSG0.html#group5B0", "5B⁰"), =HYPERLINK("CSG0.html#group10C0", "10C⁰"), =HYPERLINK("CSG0.html#group2B0", "2B⁰"), =HYPERLINK("CSG2.html#group24C2", "24C²"), =HYPERLINK("CSG0.html#group3A0", "3A⁰"), =HYPERLINK("CSG0.html#group1A0", "1A⁰"), =HYPERLINK("CSG0.html#group6D0", "6D⁰")</f>
        <v/>
      </c>
      <c r="N4241" t="inlineStr"/>
    </row>
    <row r="4242">
      <c r="A4242" t="inlineStr">
        <is>
          <t>120I¹⁵</t>
        </is>
      </c>
      <c r="B4242" t="inlineStr"/>
      <c r="C4242" t="inlineStr">
        <is>
          <t>216</t>
        </is>
      </c>
      <c r="D4242" t="inlineStr">
        <is>
          <t>1</t>
        </is>
      </c>
      <c r="E4242" t="inlineStr">
        <is>
          <t>108</t>
        </is>
      </c>
      <c r="F4242" t="inlineStr">
        <is>
          <t>0</t>
        </is>
      </c>
      <c r="G4242" t="inlineStr">
        <is>
          <t>0</t>
        </is>
      </c>
      <c r="H4242" t="inlineStr">
        <is>
          <t>3², 6¹, 15², 24¹, 30¹, 120¹</t>
        </is>
      </c>
      <c r="I4242" t="n">
        <v>8</v>
      </c>
      <c r="J4242" t="inlineStr">
        <is>
          <t>1⁸, 2¹⁰, 4⁶, 8⁵, 16¹</t>
        </is>
      </c>
      <c r="K4242">
        <f>HYPERLINK("CSG7.html#group60H7", "60H⁷")</f>
        <v/>
      </c>
      <c r="L4242" t="inlineStr"/>
      <c r="M4242">
        <f>HYPERLINK("CSG0.html#group15B0", "15B⁰"), =HYPERLINK("CSG2.html#group30E2", "30E²"), =HYPERLINK("CSG7.html#group60H7", "60H⁷"), =HYPERLINK("CSG0.html#group4B0", "4B⁰"), =HYPERLINK("CSG0.html#group5B0", "5B⁰"), =HYPERLINK("CSG0.html#group10C0", "10C⁰"), =HYPERLINK("CSG1.html#group20D1", "20D¹"), =HYPERLINK("CSG1.html#group12B1", "12B¹"), =HYPERLINK("CSG0.html#group2B0", "2B⁰"), =HYPERLINK("CSG0.html#group3A0", "3A⁰"), =HYPERLINK("CSG0.html#group1A0", "1A⁰"), =HYPERLINK("CSG0.html#group6D0", "6D⁰")</f>
        <v/>
      </c>
      <c r="N4242" t="inlineStr"/>
    </row>
    <row r="4243">
      <c r="A4243" t="inlineStr">
        <is>
          <t>120J¹⁵</t>
        </is>
      </c>
      <c r="B4243" t="inlineStr"/>
      <c r="C4243" t="inlineStr">
        <is>
          <t>216</t>
        </is>
      </c>
      <c r="D4243" t="inlineStr">
        <is>
          <t>1</t>
        </is>
      </c>
      <c r="E4243" t="inlineStr">
        <is>
          <t>108</t>
        </is>
      </c>
      <c r="F4243" t="inlineStr">
        <is>
          <t>0</t>
        </is>
      </c>
      <c r="G4243" t="inlineStr">
        <is>
          <t>0</t>
        </is>
      </c>
      <c r="H4243" t="inlineStr">
        <is>
          <t>3², 6¹, 15², 24¹, 30¹, 120¹</t>
        </is>
      </c>
      <c r="I4243" t="n">
        <v>8</v>
      </c>
      <c r="J4243" t="inlineStr">
        <is>
          <t>1⁸, 2¹⁰, 4⁶, 8⁵, 16¹</t>
        </is>
      </c>
      <c r="K4243">
        <f>HYPERLINK("CSG2.html#group24D2", "24D²"), =HYPERLINK("CSG7.html#group60H7", "60H⁷")</f>
        <v/>
      </c>
      <c r="L4243" t="inlineStr"/>
      <c r="M4243">
        <f>HYPERLINK("CSG7.html#group60H7", "60H⁷"), =HYPERLINK("CSG0.html#group5B0", "5B⁰"), =HYPERLINK("CSG0.html#group2B0", "2B⁰"), =HYPERLINK("CSG1.html#group20D1", "20D¹"), =HYPERLINK("CSG0.html#group4B0", "4B⁰"), =HYPERLINK("CSG0.html#group1A0", "1A⁰"), =HYPERLINK("CSG0.html#group15B0", "15B⁰"), =HYPERLINK("CSG2.html#group30E2", "30E²"), =HYPERLINK("CSG2.html#group24D2", "24D²"), =HYPERLINK("CSG0.html#group10C0", "10C⁰"), =HYPERLINK("CSG1.html#group12B1", "12B¹"), =HYPERLINK("CSG0.html#group3A0", "3A⁰"), =HYPERLINK("CSG0.html#group6D0", "6D⁰")</f>
        <v/>
      </c>
      <c r="N4243" t="inlineStr"/>
    </row>
    <row r="4244">
      <c r="A4244" t="inlineStr">
        <is>
          <t>120K¹⁵</t>
        </is>
      </c>
      <c r="B4244" t="inlineStr"/>
      <c r="C4244" t="inlineStr">
        <is>
          <t>288</t>
        </is>
      </c>
      <c r="D4244" t="inlineStr">
        <is>
          <t>1</t>
        </is>
      </c>
      <c r="E4244" t="inlineStr">
        <is>
          <t>72</t>
        </is>
      </c>
      <c r="F4244" t="inlineStr">
        <is>
          <t>0</t>
        </is>
      </c>
      <c r="G4244" t="inlineStr">
        <is>
          <t>0</t>
        </is>
      </c>
      <c r="H4244" t="inlineStr">
        <is>
          <t>1⁴, 3⁴, 5⁴, 8¹, 15⁴, 24¹, 40¹, 120¹</t>
        </is>
      </c>
      <c r="I4244" t="n">
        <v>20</v>
      </c>
      <c r="J4244" t="inlineStr">
        <is>
          <t>1¹², 2⁶, 4⁶, 8³</t>
        </is>
      </c>
      <c r="K4244">
        <f>HYPERLINK("CSG7.html#group60P7", "60P⁷")</f>
        <v/>
      </c>
      <c r="L4244" t="inlineStr"/>
      <c r="M4244">
        <f>HYPERLINK("CSG1.html#group15C1", "15C¹"), =HYPERLINK("CSG0.html#group3B0", "3B⁰"), =HYPERLINK("CSG0.html#group5B0", "5B⁰"), =HYPERLINK("CSG0.html#group10C0", "10C⁰"), =HYPERLINK("CSG0.html#group6F0", "6F⁰"), =HYPERLINK("CSG1.html#group20D1", "20D¹"), =HYPERLINK("CSG7.html#group60P7", "60P⁷"), =HYPERLINK("CSG3.html#group30K3", "30K³"), =HYPERLINK("CSG0.html#group2B0", "2B⁰"), =HYPERLINK("CSG0.html#group4B0", "4B⁰"), =HYPERLINK("CSG0.html#group1A0", "1A⁰"), =HYPERLINK("CSG0.html#group12E0", "12E⁰")</f>
        <v/>
      </c>
      <c r="N4244" t="inlineStr"/>
    </row>
    <row r="4245">
      <c r="A4245" t="inlineStr">
        <is>
          <t>120L¹⁵</t>
        </is>
      </c>
      <c r="B4245" t="inlineStr"/>
      <c r="C4245" t="inlineStr">
        <is>
          <t>288</t>
        </is>
      </c>
      <c r="D4245" t="inlineStr">
        <is>
          <t>1</t>
        </is>
      </c>
      <c r="E4245" t="inlineStr">
        <is>
          <t>72</t>
        </is>
      </c>
      <c r="F4245" t="inlineStr">
        <is>
          <t>0</t>
        </is>
      </c>
      <c r="G4245" t="inlineStr">
        <is>
          <t>0</t>
        </is>
      </c>
      <c r="H4245" t="inlineStr">
        <is>
          <t>1⁴, 3⁴, 5⁴, 8¹, 15⁴, 24¹, 40¹, 120¹</t>
        </is>
      </c>
      <c r="I4245" t="n">
        <v>20</v>
      </c>
      <c r="J4245" t="inlineStr">
        <is>
          <t>1¹², 2⁶, 4⁶, 8³</t>
        </is>
      </c>
      <c r="K4245">
        <f>HYPERLINK("CSG0.html#group24B0", "24B⁰"), =HYPERLINK("CSG7.html#group60P7", "60P⁷")</f>
        <v/>
      </c>
      <c r="L4245" t="inlineStr"/>
      <c r="M4245">
        <f>HYPERLINK("CSG0.html#group3B0", "3B⁰"), =HYPERLINK("CSG0.html#group5B0", "5B⁰"), =HYPERLINK("CSG0.html#group2B0", "2B⁰"), =HYPERLINK("CSG1.html#group20D1", "20D¹"), =HYPERLINK("CSG0.html#group4B0", "4B⁰"), =HYPERLINK("CSG0.html#group1A0", "1A⁰"), =HYPERLINK("CSG1.html#group15C1", "15C¹"), =HYPERLINK("CSG0.html#group24B0", "24B⁰"), =HYPERLINK("CSG0.html#group10C0", "10C⁰"), =HYPERLINK("CSG7.html#group60P7", "60P⁷"), =HYPERLINK("CSG3.html#group30K3", "30K³"), =HYPERLINK("CSG0.html#group6F0", "6F⁰"), =HYPERLINK("CSG0.html#group12E0", "12E⁰")</f>
        <v/>
      </c>
      <c r="N4245" t="inlineStr"/>
    </row>
    <row r="4246">
      <c r="A4246" t="inlineStr">
        <is>
          <t>120M¹⁵</t>
        </is>
      </c>
      <c r="B4246" t="inlineStr"/>
      <c r="C4246" t="inlineStr">
        <is>
          <t>288</t>
        </is>
      </c>
      <c r="D4246" t="inlineStr">
        <is>
          <t>2</t>
        </is>
      </c>
      <c r="E4246" t="inlineStr">
        <is>
          <t>72</t>
        </is>
      </c>
      <c r="F4246" t="inlineStr">
        <is>
          <t>0</t>
        </is>
      </c>
      <c r="G4246" t="inlineStr">
        <is>
          <t>0</t>
        </is>
      </c>
      <c r="H4246" t="inlineStr">
        <is>
          <t>1⁴, 3⁴, 5⁴, 8¹, 15⁴, 24¹, 40¹, 120¹</t>
        </is>
      </c>
      <c r="I4246" t="n">
        <v>20</v>
      </c>
      <c r="J4246" t="inlineStr">
        <is>
          <t>2¹², 4⁶, 8⁶, 16³</t>
        </is>
      </c>
      <c r="K4246">
        <f>HYPERLINK("CSG1.html#group40A1", "40A¹"), =HYPERLINK("CSG7.html#group60O7", "60O⁷")</f>
        <v/>
      </c>
      <c r="L4246" t="inlineStr"/>
      <c r="M4246">
        <f>HYPERLINK("CSG1.html#group15C1", "15C¹"), =HYPERLINK("CSG0.html#group20A0", "20A⁰"), =HYPERLINK("CSG0.html#group3B0", "3B⁰"), =HYPERLINK("CSG1.html#group40A1", "40A¹"), =HYPERLINK("CSG0.html#group5B0", "5B⁰"), =HYPERLINK("CSG0.html#group10C0", "10C⁰"), =HYPERLINK("CSG0.html#group1A0", "1A⁰"), =HYPERLINK("CSG7.html#group60O7", "60O⁷"), =HYPERLINK("CSG0.html#group2B0", "2B⁰"), =HYPERLINK("CSG3.html#group30K3", "30K³"), =HYPERLINK("CSG0.html#group6F0", "6F⁰")</f>
        <v/>
      </c>
      <c r="N4246" t="inlineStr"/>
    </row>
    <row r="4247">
      <c r="A4247" t="inlineStr">
        <is>
          <t>124A¹⁵</t>
        </is>
      </c>
      <c r="B4247" t="inlineStr"/>
      <c r="C4247" t="inlineStr">
        <is>
          <t>192</t>
        </is>
      </c>
      <c r="D4247" t="inlineStr">
        <is>
          <t>1</t>
        </is>
      </c>
      <c r="E4247" t="inlineStr">
        <is>
          <t>96</t>
        </is>
      </c>
      <c r="F4247" t="inlineStr">
        <is>
          <t>0</t>
        </is>
      </c>
      <c r="G4247" t="inlineStr">
        <is>
          <t>0</t>
        </is>
      </c>
      <c r="H4247" t="inlineStr">
        <is>
          <t>2¹, 4¹, 62¹, 124¹</t>
        </is>
      </c>
      <c r="I4247" t="n">
        <v>4</v>
      </c>
      <c r="J4247" t="inlineStr">
        <is>
          <t>1⁶, 30³</t>
        </is>
      </c>
      <c r="K4247">
        <f>HYPERLINK("CSG0.html#group4C0", "4C⁰"), =HYPERLINK("CSG7.html#group62A7", "62A⁷")</f>
        <v/>
      </c>
      <c r="L4247" t="inlineStr"/>
      <c r="M4247">
        <f>HYPERLINK("CSG2.html#group31A2", "31A²"), =HYPERLINK("CSG0.html#group2B0", "2B⁰"), =HYPERLINK("CSG0.html#group1A0", "1A⁰"), =HYPERLINK("CSG7.html#group62A7", "62A⁷"), =HYPERLINK("CSG0.html#group4C0", "4C⁰")</f>
        <v/>
      </c>
      <c r="N4247" t="inlineStr"/>
    </row>
    <row r="4248">
      <c r="A4248" t="inlineStr">
        <is>
          <t>126A¹⁵</t>
        </is>
      </c>
      <c r="B4248" t="inlineStr"/>
      <c r="C4248" t="inlineStr">
        <is>
          <t>192</t>
        </is>
      </c>
      <c r="D4248" t="inlineStr">
        <is>
          <t>1</t>
        </is>
      </c>
      <c r="E4248" t="inlineStr">
        <is>
          <t>32</t>
        </is>
      </c>
      <c r="F4248" t="inlineStr">
        <is>
          <t>0</t>
        </is>
      </c>
      <c r="G4248" t="inlineStr">
        <is>
          <t>0</t>
        </is>
      </c>
      <c r="H4248" t="inlineStr">
        <is>
          <t>6¹, 18¹, 42¹, 126¹</t>
        </is>
      </c>
      <c r="I4248" t="n">
        <v>4</v>
      </c>
      <c r="J4248" t="inlineStr">
        <is>
          <t>1⁴, 2², 6², 12¹</t>
        </is>
      </c>
      <c r="K4248">
        <f>HYPERLINK("CSG3.html#group42D3", "42D³"), =HYPERLINK("CSG7.html#group63B7", "63B⁷")</f>
        <v/>
      </c>
      <c r="L4248" t="inlineStr"/>
      <c r="M4248">
        <f>HYPERLINK("CSG0.html#group3B0", "3B⁰"), =HYPERLINK("CSG1.html#group21B1", "21B¹"), =HYPERLINK("CSG0.html#group7B0", "7B⁰"), =HYPERLINK("CSG1.html#group9A1", "9A¹"), =HYPERLINK("CSG3.html#group42D3", "42D³"), =HYPERLINK("CSG7.html#group63B7", "63B⁷"), =HYPERLINK("CSG0.html#group1A0", "1A⁰")</f>
        <v/>
      </c>
      <c r="N4248" t="inlineStr"/>
    </row>
    <row r="4249">
      <c r="A4249" t="inlineStr">
        <is>
          <t>126B¹⁵</t>
        </is>
      </c>
      <c r="B4249" t="inlineStr"/>
      <c r="C4249" t="inlineStr">
        <is>
          <t>192</t>
        </is>
      </c>
      <c r="D4249" t="inlineStr">
        <is>
          <t>1</t>
        </is>
      </c>
      <c r="E4249" t="inlineStr">
        <is>
          <t>32</t>
        </is>
      </c>
      <c r="F4249" t="inlineStr">
        <is>
          <t>0</t>
        </is>
      </c>
      <c r="G4249" t="inlineStr">
        <is>
          <t>0</t>
        </is>
      </c>
      <c r="H4249" t="inlineStr">
        <is>
          <t>6¹, 18¹, 42¹, 126¹</t>
        </is>
      </c>
      <c r="I4249" t="n">
        <v>4</v>
      </c>
      <c r="J4249" t="inlineStr">
        <is>
          <t>1⁴, 2², 6², 12¹</t>
        </is>
      </c>
      <c r="K4249">
        <f>HYPERLINK("CSG2.html#group18B2", "18B²"), =HYPERLINK("CSG3.html#group42E3", "42E³"), =HYPERLINK("CSG7.html#group63B7", "63B⁷")</f>
        <v/>
      </c>
      <c r="L4249" t="inlineStr"/>
      <c r="M4249">
        <f>HYPERLINK("CSG0.html#group3B0", "3B⁰"), =HYPERLINK("CSG0.html#group2A0", "2A⁰"), =HYPERLINK("CSG2.html#group18B2", "18B²"), =HYPERLINK("CSG1.html#group21B1", "21B¹"), =HYPERLINK("CSG0.html#group7B0", "7B⁰"), =HYPERLINK("CSG3.html#group42E3", "42E³"), =HYPERLINK("CSG0.html#group6C0", "6C⁰"), =HYPERLINK("CSG1.html#group9A1", "9A¹"), =HYPERLINK("CSG0.html#group14B0", "14B⁰"), =HYPERLINK("CSG7.html#group63B7", "63B⁷"), =HYPERLINK("CSG0.html#group1A0", "1A⁰")</f>
        <v/>
      </c>
      <c r="N4249" t="inlineStr"/>
    </row>
    <row r="4250">
      <c r="A4250" t="inlineStr">
        <is>
          <t>126C¹⁵</t>
        </is>
      </c>
      <c r="B4250" t="inlineStr"/>
      <c r="C4250" t="inlineStr">
        <is>
          <t>192</t>
        </is>
      </c>
      <c r="D4250" t="inlineStr">
        <is>
          <t>1</t>
        </is>
      </c>
      <c r="E4250" t="inlineStr">
        <is>
          <t>64</t>
        </is>
      </c>
      <c r="F4250" t="inlineStr">
        <is>
          <t>0</t>
        </is>
      </c>
      <c r="G4250" t="inlineStr">
        <is>
          <t>0</t>
        </is>
      </c>
      <c r="H4250" t="inlineStr">
        <is>
          <t>6¹, 18¹, 42¹, 126¹</t>
        </is>
      </c>
      <c r="I4250" t="n">
        <v>4</v>
      </c>
      <c r="J4250" t="inlineStr">
        <is>
          <t>2⁸, 12⁴</t>
        </is>
      </c>
      <c r="K4250">
        <f>HYPERLINK("CSG2.html#group18C2", "18C²"), =HYPERLINK("CSG3.html#group42E3", "42E³")</f>
        <v/>
      </c>
      <c r="L4250" t="inlineStr"/>
      <c r="M4250">
        <f>HYPERLINK("CSG0.html#group3B0", "3B⁰"), =HYPERLINK("CSG0.html#group2A0", "2A⁰"), =HYPERLINK("CSG1.html#group21B1", "21B¹"), =HYPERLINK("CSG0.html#group7B0", "7B⁰"), =HYPERLINK("CSG3.html#group42E3", "42E³"), =HYPERLINK("CSG0.html#group6C0", "6C⁰"), =HYPERLINK("CSG0.html#group14B0", "14B⁰"), =HYPERLINK("CSG0.html#group1A0", "1A⁰"), =HYPERLINK("CSG2.html#group18C2", "18C²")</f>
        <v/>
      </c>
      <c r="N4250" t="inlineStr"/>
    </row>
    <row r="4251">
      <c r="A4251" t="inlineStr">
        <is>
          <t>126D¹⁵</t>
        </is>
      </c>
      <c r="B4251" t="inlineStr"/>
      <c r="C4251" t="inlineStr">
        <is>
          <t>192</t>
        </is>
      </c>
      <c r="D4251" t="inlineStr">
        <is>
          <t>2</t>
        </is>
      </c>
      <c r="E4251" t="inlineStr">
        <is>
          <t>32</t>
        </is>
      </c>
      <c r="F4251" t="inlineStr">
        <is>
          <t>0</t>
        </is>
      </c>
      <c r="G4251" t="inlineStr">
        <is>
          <t>0</t>
        </is>
      </c>
      <c r="H4251" t="inlineStr">
        <is>
          <t>6¹, 18¹, 42¹, 126¹</t>
        </is>
      </c>
      <c r="I4251" t="n">
        <v>4</v>
      </c>
      <c r="J4251" t="inlineStr">
        <is>
          <t>2⁸, 12⁴</t>
        </is>
      </c>
      <c r="K4251">
        <f>HYPERLINK("CSG3.html#group42D3", "42D³"), =HYPERLINK("CSG7.html#group63C7", "63C⁷")</f>
        <v/>
      </c>
      <c r="L4251" t="inlineStr"/>
      <c r="M4251">
        <f>HYPERLINK("CSG0.html#group3B0", "3B⁰"), =HYPERLINK("CSG7.html#group63C7", "63C⁷"), =HYPERLINK("CSG3.html#group42D3", "42D³"), =HYPERLINK("CSG1.html#group21B1", "21B¹"), =HYPERLINK("CSG0.html#group1A0", "1A⁰"), =HYPERLINK("CSG0.html#group7B0", "7B⁰")</f>
        <v/>
      </c>
      <c r="N4251" t="inlineStr"/>
    </row>
    <row r="4252">
      <c r="A4252" t="inlineStr">
        <is>
          <t>126E¹⁵</t>
        </is>
      </c>
      <c r="B4252" t="inlineStr"/>
      <c r="C4252" t="inlineStr">
        <is>
          <t>192</t>
        </is>
      </c>
      <c r="D4252" t="inlineStr">
        <is>
          <t>2</t>
        </is>
      </c>
      <c r="E4252" t="inlineStr">
        <is>
          <t>32</t>
        </is>
      </c>
      <c r="F4252" t="inlineStr">
        <is>
          <t>0</t>
        </is>
      </c>
      <c r="G4252" t="inlineStr">
        <is>
          <t>0</t>
        </is>
      </c>
      <c r="H4252" t="inlineStr">
        <is>
          <t>6¹, 18¹, 42¹, 126¹</t>
        </is>
      </c>
      <c r="I4252" t="n">
        <v>4</v>
      </c>
      <c r="J4252" t="inlineStr">
        <is>
          <t>2⁸, 12⁴</t>
        </is>
      </c>
      <c r="K4252">
        <f>HYPERLINK("CSG3.html#group42E3", "42E³"), =HYPERLINK("CSG7.html#group63C7", "63C⁷")</f>
        <v/>
      </c>
      <c r="L4252" t="inlineStr"/>
      <c r="M4252">
        <f>HYPERLINK("CSG0.html#group3B0", "3B⁰"), =HYPERLINK("CSG0.html#group2A0", "2A⁰"), =HYPERLINK("CSG7.html#group63C7", "63C⁷"), =HYPERLINK("CSG1.html#group21B1", "21B¹"), =HYPERLINK("CSG0.html#group7B0", "7B⁰"), =HYPERLINK("CSG3.html#group42E3", "42E³"), =HYPERLINK("CSG0.html#group6C0", "6C⁰"), =HYPERLINK("CSG0.html#group14B0", "14B⁰"), =HYPERLINK("CSG0.html#group1A0", "1A⁰")</f>
        <v/>
      </c>
      <c r="N4252" t="inlineStr"/>
    </row>
    <row r="4253">
      <c r="A4253" t="inlineStr">
        <is>
          <t>126F¹⁵</t>
        </is>
      </c>
      <c r="B4253" t="inlineStr"/>
      <c r="C4253" t="inlineStr">
        <is>
          <t>252</t>
        </is>
      </c>
      <c r="D4253" t="inlineStr">
        <is>
          <t>2</t>
        </is>
      </c>
      <c r="E4253" t="inlineStr">
        <is>
          <t>21</t>
        </is>
      </c>
      <c r="F4253" t="inlineStr">
        <is>
          <t>24</t>
        </is>
      </c>
      <c r="G4253" t="inlineStr">
        <is>
          <t>0</t>
        </is>
      </c>
      <c r="H4253" t="inlineStr">
        <is>
          <t>126²</t>
        </is>
      </c>
      <c r="I4253" t="n">
        <v>2</v>
      </c>
      <c r="J4253" t="inlineStr">
        <is>
          <t>2¹, 4¹, 6², 12²</t>
        </is>
      </c>
      <c r="K4253">
        <f>HYPERLINK("CSG5.html#group42E5", "42E⁵"), =HYPERLINK("CSG6.html#group63E6", "63E⁶"), =HYPERLINK("CSG6.html#group126A6", "126A⁶"), =HYPERLINK("CSG7.html#group126A7", "126A⁷")</f>
        <v/>
      </c>
      <c r="L4253" t="inlineStr"/>
      <c r="M4253">
        <f>HYPERLINK("CSG0.html#group14A0", "14A⁰"), =HYPERLINK("CSG2.html#group21D2", "21D²"), =HYPERLINK("CSG7.html#group126A7", "126A⁷"), =HYPERLINK("CSG1.html#group42A1", "42A¹"), =HYPERLINK("CSG6.html#group63E6", "63E⁶"), =HYPERLINK("CSG0.html#group21A0", "21A⁰"), =HYPERLINK("CSG0.html#group1A0", "1A⁰"), =HYPERLINK("CSG2.html#group63A2", "63A²"), =HYPERLINK("CSG0.html#group9D0", "9D⁰"), =HYPERLINK("CSG2.html#group42A2", "42A²"), =HYPERLINK("CSG5.html#group42E5", "42E⁵"), =HYPERLINK("CSG6.html#group126A6", "126A⁶"), =HYPERLINK("CSG0.html#group9A0", "9A⁰"), =HYPERLINK("CSG0.html#group3C0", "3C⁰"), =HYPERLINK("CSG0.html#group3A0", "3A⁰"), =HYPERLINK("CSG0.html#group7A0", "7A⁰")</f>
        <v/>
      </c>
      <c r="N4253" t="inlineStr"/>
    </row>
    <row r="4254">
      <c r="A4254" t="inlineStr">
        <is>
          <t>128A¹⁵</t>
        </is>
      </c>
      <c r="B4254" t="inlineStr"/>
      <c r="C4254" t="inlineStr">
        <is>
          <t>192</t>
        </is>
      </c>
      <c r="D4254" t="inlineStr">
        <is>
          <t>1</t>
        </is>
      </c>
      <c r="E4254" t="inlineStr">
        <is>
          <t>24</t>
        </is>
      </c>
      <c r="F4254" t="inlineStr">
        <is>
          <t>0</t>
        </is>
      </c>
      <c r="G4254" t="inlineStr">
        <is>
          <t>0</t>
        </is>
      </c>
      <c r="H4254" t="inlineStr">
        <is>
          <t>16², 32¹, 128¹</t>
        </is>
      </c>
      <c r="I4254" t="n">
        <v>4</v>
      </c>
      <c r="J4254" t="inlineStr">
        <is>
          <t>2⁴, 4⁶, 8²</t>
        </is>
      </c>
      <c r="K4254">
        <f>HYPERLINK("CSG7.html#group64A7", "64A⁷")</f>
        <v/>
      </c>
      <c r="L4254" t="inlineStr"/>
      <c r="M4254">
        <f>HYPERLINK("CSG1.html#group16A1", "16A¹"), =HYPERLINK("CSG0.html#group8C0", "8C⁰"), =HYPERLINK("CSG0.html#group2B0", "2B⁰"), =HYPERLINK("CSG0.html#group1A0", "1A⁰"), =HYPERLINK("CSG0.html#group4B0", "4B⁰"), =HYPERLINK("CSG7.html#group64A7", "64A⁷"), =HYPERLINK("CSG3.html#group32C3", "32C³")</f>
        <v/>
      </c>
      <c r="N4254" t="inlineStr"/>
    </row>
    <row r="4255">
      <c r="A4255" t="inlineStr">
        <is>
          <t>128B¹⁵</t>
        </is>
      </c>
      <c r="B4255" t="inlineStr"/>
      <c r="C4255" t="inlineStr">
        <is>
          <t>192</t>
        </is>
      </c>
      <c r="D4255" t="inlineStr">
        <is>
          <t>1</t>
        </is>
      </c>
      <c r="E4255" t="inlineStr">
        <is>
          <t>24</t>
        </is>
      </c>
      <c r="F4255" t="inlineStr">
        <is>
          <t>0</t>
        </is>
      </c>
      <c r="G4255" t="inlineStr">
        <is>
          <t>0</t>
        </is>
      </c>
      <c r="H4255" t="inlineStr">
        <is>
          <t>16², 32¹, 128¹</t>
        </is>
      </c>
      <c r="I4255" t="n">
        <v>4</v>
      </c>
      <c r="J4255" t="inlineStr">
        <is>
          <t>2⁴, 4⁶, 8²</t>
        </is>
      </c>
      <c r="K4255">
        <f>HYPERLINK("CSG7.html#group64A7", "64A⁷")</f>
        <v/>
      </c>
      <c r="L4255" t="inlineStr"/>
      <c r="M4255">
        <f>HYPERLINK("CSG1.html#group16A1", "16A¹"), =HYPERLINK("CSG0.html#group8C0", "8C⁰"), =HYPERLINK("CSG0.html#group2B0", "2B⁰"), =HYPERLINK("CSG0.html#group1A0", "1A⁰"), =HYPERLINK("CSG0.html#group4B0", "4B⁰"), =HYPERLINK("CSG7.html#group64A7", "64A⁷"), =HYPERLINK("CSG3.html#group32C3", "32C³")</f>
        <v/>
      </c>
      <c r="N4255" t="inlineStr"/>
    </row>
    <row r="4256">
      <c r="A4256" t="inlineStr">
        <is>
          <t>128C¹⁵</t>
        </is>
      </c>
      <c r="B4256" t="inlineStr"/>
      <c r="C4256" t="inlineStr">
        <is>
          <t>192</t>
        </is>
      </c>
      <c r="D4256" t="inlineStr">
        <is>
          <t>1</t>
        </is>
      </c>
      <c r="E4256" t="inlineStr">
        <is>
          <t>24</t>
        </is>
      </c>
      <c r="F4256" t="inlineStr">
        <is>
          <t>0</t>
        </is>
      </c>
      <c r="G4256" t="inlineStr">
        <is>
          <t>0</t>
        </is>
      </c>
      <c r="H4256" t="inlineStr">
        <is>
          <t>16², 32¹, 128¹</t>
        </is>
      </c>
      <c r="I4256" t="n">
        <v>4</v>
      </c>
      <c r="J4256" t="inlineStr">
        <is>
          <t>2⁴, 4⁶, 8²</t>
        </is>
      </c>
      <c r="K4256">
        <f>HYPERLINK("CSG7.html#group64B7", "64B⁷")</f>
        <v/>
      </c>
      <c r="L4256" t="inlineStr"/>
      <c r="M4256">
        <f>HYPERLINK("CSG1.html#group16A1", "16A¹"), =HYPERLINK("CSG0.html#group8C0", "8C⁰"), =HYPERLINK("CSG0.html#group2B0", "2B⁰"), =HYPERLINK("CSG7.html#group64B7", "64B⁷"), =HYPERLINK("CSG0.html#group4B0", "4B⁰"), =HYPERLINK("CSG0.html#group1A0", "1A⁰"), =HYPERLINK("CSG3.html#group32C3", "32C³")</f>
        <v/>
      </c>
      <c r="N4256" t="inlineStr"/>
    </row>
    <row r="4257">
      <c r="A4257" t="inlineStr">
        <is>
          <t>128D¹⁵</t>
        </is>
      </c>
      <c r="B4257" t="inlineStr"/>
      <c r="C4257" t="inlineStr">
        <is>
          <t>192</t>
        </is>
      </c>
      <c r="D4257" t="inlineStr">
        <is>
          <t>1</t>
        </is>
      </c>
      <c r="E4257" t="inlineStr">
        <is>
          <t>24</t>
        </is>
      </c>
      <c r="F4257" t="inlineStr">
        <is>
          <t>0</t>
        </is>
      </c>
      <c r="G4257" t="inlineStr">
        <is>
          <t>0</t>
        </is>
      </c>
      <c r="H4257" t="inlineStr">
        <is>
          <t>16², 32¹, 128¹</t>
        </is>
      </c>
      <c r="I4257" t="n">
        <v>4</v>
      </c>
      <c r="J4257" t="inlineStr">
        <is>
          <t>2⁴, 4⁶, 8²</t>
        </is>
      </c>
      <c r="K4257">
        <f>HYPERLINK("CSG7.html#group64B7", "64B⁷")</f>
        <v/>
      </c>
      <c r="L4257" t="inlineStr"/>
      <c r="M4257">
        <f>HYPERLINK("CSG1.html#group16A1", "16A¹"), =HYPERLINK("CSG0.html#group8C0", "8C⁰"), =HYPERLINK("CSG0.html#group2B0", "2B⁰"), =HYPERLINK("CSG7.html#group64B7", "64B⁷"), =HYPERLINK("CSG0.html#group4B0", "4B⁰"), =HYPERLINK("CSG0.html#group1A0", "1A⁰"), =HYPERLINK("CSG3.html#group32C3", "32C³")</f>
        <v/>
      </c>
      <c r="N4257" t="inlineStr"/>
    </row>
    <row r="4258">
      <c r="A4258" t="inlineStr">
        <is>
          <t>128E¹⁵</t>
        </is>
      </c>
      <c r="B4258" t="inlineStr"/>
      <c r="C4258" t="inlineStr">
        <is>
          <t>192</t>
        </is>
      </c>
      <c r="D4258" t="inlineStr">
        <is>
          <t>1</t>
        </is>
      </c>
      <c r="E4258" t="inlineStr">
        <is>
          <t>24</t>
        </is>
      </c>
      <c r="F4258" t="inlineStr">
        <is>
          <t>0</t>
        </is>
      </c>
      <c r="G4258" t="inlineStr">
        <is>
          <t>0</t>
        </is>
      </c>
      <c r="H4258" t="inlineStr">
        <is>
          <t>16², 32¹, 128¹</t>
        </is>
      </c>
      <c r="I4258" t="n">
        <v>4</v>
      </c>
      <c r="J4258" t="inlineStr">
        <is>
          <t>2⁴, 4⁶, 8²</t>
        </is>
      </c>
      <c r="K4258">
        <f>HYPERLINK("CSG7.html#group64C7", "64C⁷")</f>
        <v/>
      </c>
      <c r="L4258" t="inlineStr"/>
      <c r="M4258">
        <f>HYPERLINK("CSG1.html#group16A1", "16A¹"), =HYPERLINK("CSG0.html#group8C0", "8C⁰"), =HYPERLINK("CSG0.html#group2B0", "2B⁰"), =HYPERLINK("CSG0.html#group4B0", "4B⁰"), =HYPERLINK("CSG0.html#group1A0", "1A⁰"), =HYPERLINK("CSG3.html#group32C3", "32C³"), =HYPERLINK("CSG7.html#group64C7", "64C⁷")</f>
        <v/>
      </c>
      <c r="N4258" t="inlineStr"/>
    </row>
    <row r="4259">
      <c r="A4259" t="inlineStr">
        <is>
          <t>128F¹⁵</t>
        </is>
      </c>
      <c r="B4259" t="inlineStr"/>
      <c r="C4259" t="inlineStr">
        <is>
          <t>192</t>
        </is>
      </c>
      <c r="D4259" t="inlineStr">
        <is>
          <t>1</t>
        </is>
      </c>
      <c r="E4259" t="inlineStr">
        <is>
          <t>24</t>
        </is>
      </c>
      <c r="F4259" t="inlineStr">
        <is>
          <t>0</t>
        </is>
      </c>
      <c r="G4259" t="inlineStr">
        <is>
          <t>0</t>
        </is>
      </c>
      <c r="H4259" t="inlineStr">
        <is>
          <t>16², 32¹, 128¹</t>
        </is>
      </c>
      <c r="I4259" t="n">
        <v>4</v>
      </c>
      <c r="J4259" t="inlineStr">
        <is>
          <t>2⁴, 4⁶, 8²</t>
        </is>
      </c>
      <c r="K4259">
        <f>HYPERLINK("CSG7.html#group64C7", "64C⁷")</f>
        <v/>
      </c>
      <c r="L4259" t="inlineStr"/>
      <c r="M4259">
        <f>HYPERLINK("CSG1.html#group16A1", "16A¹"), =HYPERLINK("CSG0.html#group8C0", "8C⁰"), =HYPERLINK("CSG0.html#group2B0", "2B⁰"), =HYPERLINK("CSG0.html#group4B0", "4B⁰"), =HYPERLINK("CSG0.html#group1A0", "1A⁰"), =HYPERLINK("CSG3.html#group32C3", "32C³"), =HYPERLINK("CSG7.html#group64C7", "64C⁷")</f>
        <v/>
      </c>
      <c r="N4259" t="inlineStr"/>
    </row>
    <row r="4260">
      <c r="A4260" t="inlineStr">
        <is>
          <t>128G¹⁵</t>
        </is>
      </c>
      <c r="B4260" t="inlineStr"/>
      <c r="C4260" t="inlineStr">
        <is>
          <t>192</t>
        </is>
      </c>
      <c r="D4260" t="inlineStr">
        <is>
          <t>1</t>
        </is>
      </c>
      <c r="E4260" t="inlineStr">
        <is>
          <t>24</t>
        </is>
      </c>
      <c r="F4260" t="inlineStr">
        <is>
          <t>0</t>
        </is>
      </c>
      <c r="G4260" t="inlineStr">
        <is>
          <t>0</t>
        </is>
      </c>
      <c r="H4260" t="inlineStr">
        <is>
          <t>16², 32¹, 128¹</t>
        </is>
      </c>
      <c r="I4260" t="n">
        <v>4</v>
      </c>
      <c r="J4260" t="inlineStr">
        <is>
          <t>2⁴, 4⁶, 8²</t>
        </is>
      </c>
      <c r="K4260">
        <f>HYPERLINK("CSG7.html#group64D7", "64D⁷")</f>
        <v/>
      </c>
      <c r="L4260" t="inlineStr"/>
      <c r="M4260">
        <f>HYPERLINK("CSG7.html#group64D7", "64D⁷"), =HYPERLINK("CSG1.html#group16A1", "16A¹"), =HYPERLINK("CSG0.html#group8C0", "8C⁰"), =HYPERLINK("CSG0.html#group2B0", "2B⁰"), =HYPERLINK("CSG0.html#group4B0", "4B⁰"), =HYPERLINK("CSG0.html#group1A0", "1A⁰"), =HYPERLINK("CSG3.html#group32C3", "32C³")</f>
        <v/>
      </c>
      <c r="N4260" t="inlineStr"/>
    </row>
    <row r="4261">
      <c r="A4261" t="inlineStr">
        <is>
          <t>128H¹⁵</t>
        </is>
      </c>
      <c r="B4261" t="inlineStr"/>
      <c r="C4261" t="inlineStr">
        <is>
          <t>192</t>
        </is>
      </c>
      <c r="D4261" t="inlineStr">
        <is>
          <t>1</t>
        </is>
      </c>
      <c r="E4261" t="inlineStr">
        <is>
          <t>24</t>
        </is>
      </c>
      <c r="F4261" t="inlineStr">
        <is>
          <t>0</t>
        </is>
      </c>
      <c r="G4261" t="inlineStr">
        <is>
          <t>0</t>
        </is>
      </c>
      <c r="H4261" t="inlineStr">
        <is>
          <t>16², 32¹, 128¹</t>
        </is>
      </c>
      <c r="I4261" t="n">
        <v>4</v>
      </c>
      <c r="J4261" t="inlineStr">
        <is>
          <t>2⁴, 4⁶, 8²</t>
        </is>
      </c>
      <c r="K4261">
        <f>HYPERLINK("CSG7.html#group64D7", "64D⁷")</f>
        <v/>
      </c>
      <c r="L4261" t="inlineStr"/>
      <c r="M4261">
        <f>HYPERLINK("CSG7.html#group64D7", "64D⁷"), =HYPERLINK("CSG1.html#group16A1", "16A¹"), =HYPERLINK("CSG0.html#group8C0", "8C⁰"), =HYPERLINK("CSG0.html#group2B0", "2B⁰"), =HYPERLINK("CSG0.html#group4B0", "4B⁰"), =HYPERLINK("CSG0.html#group1A0", "1A⁰"), =HYPERLINK("CSG3.html#group32C3", "32C³")</f>
        <v/>
      </c>
      <c r="N4261" t="inlineStr"/>
    </row>
    <row r="4262">
      <c r="A4262" t="inlineStr">
        <is>
          <t>132A¹⁵</t>
        </is>
      </c>
      <c r="B4262" t="inlineStr"/>
      <c r="C4262" t="inlineStr">
        <is>
          <t>192</t>
        </is>
      </c>
      <c r="D4262" t="inlineStr">
        <is>
          <t>1</t>
        </is>
      </c>
      <c r="E4262" t="inlineStr">
        <is>
          <t>48</t>
        </is>
      </c>
      <c r="F4262" t="inlineStr">
        <is>
          <t>0</t>
        </is>
      </c>
      <c r="G4262" t="inlineStr">
        <is>
          <t>0</t>
        </is>
      </c>
      <c r="H4262" t="inlineStr">
        <is>
          <t>4¹, 12¹, 44¹, 132¹</t>
        </is>
      </c>
      <c r="I4262" t="n">
        <v>4</v>
      </c>
      <c r="J4262" t="inlineStr">
        <is>
          <t>1⁴, 2², 10², 20¹</t>
        </is>
      </c>
      <c r="K4262">
        <f>HYPERLINK("CSG0.html#group12B0", "12B⁰"), =HYPERLINK("CSG7.html#group66B7", "66B⁷")</f>
        <v/>
      </c>
      <c r="L4262" t="inlineStr"/>
      <c r="M4262">
        <f>HYPERLINK("CSG0.html#group2A0", "2A⁰"), =HYPERLINK("CSG0.html#group3B0", "3B⁰"), =HYPERLINK("CSG1.html#group11A1", "11A¹"), =HYPERLINK("CSG2.html#group22A2", "22A²"), =HYPERLINK("CSG0.html#group6C0", "6C⁰"), =HYPERLINK("CSG0.html#group1A0", "1A⁰"), =HYPERLINK("CSG3.html#group33C3", "33C³"), =HYPERLINK("CSG7.html#group66B7", "66B⁷"), =HYPERLINK("CSG0.html#group12B0", "12B⁰")</f>
        <v/>
      </c>
      <c r="N4262" t="inlineStr"/>
    </row>
    <row r="4263">
      <c r="A4263" t="inlineStr">
        <is>
          <t>132B¹⁵</t>
        </is>
      </c>
      <c r="B4263" t="inlineStr"/>
      <c r="C4263" t="inlineStr">
        <is>
          <t>192</t>
        </is>
      </c>
      <c r="D4263" t="inlineStr">
        <is>
          <t>1</t>
        </is>
      </c>
      <c r="E4263" t="inlineStr">
        <is>
          <t>48</t>
        </is>
      </c>
      <c r="F4263" t="inlineStr">
        <is>
          <t>0</t>
        </is>
      </c>
      <c r="G4263" t="inlineStr">
        <is>
          <t>0</t>
        </is>
      </c>
      <c r="H4263" t="inlineStr">
        <is>
          <t>4¹, 12¹, 44¹, 132¹</t>
        </is>
      </c>
      <c r="I4263" t="n">
        <v>4</v>
      </c>
      <c r="J4263" t="inlineStr">
        <is>
          <t>1⁴, 2², 10², 20¹</t>
        </is>
      </c>
      <c r="K4263">
        <f>HYPERLINK("CSG4.html#group44A4", "44A⁴"), =HYPERLINK("CSG7.html#group66B7", "66B⁷")</f>
        <v/>
      </c>
      <c r="L4263" t="inlineStr"/>
      <c r="M4263">
        <f>HYPERLINK("CSG0.html#group2A0", "2A⁰"), =HYPERLINK("CSG0.html#group3B0", "3B⁰"), =HYPERLINK("CSG4.html#group44A4", "44A⁴"), =HYPERLINK("CSG1.html#group11A1", "11A¹"), =HYPERLINK("CSG2.html#group22A2", "22A²"), =HYPERLINK("CSG0.html#group6C0", "6C⁰"), =HYPERLINK("CSG0.html#group1A0", "1A⁰"), =HYPERLINK("CSG7.html#group66B7", "66B⁷"), =HYPERLINK("CSG3.html#group33C3", "33C³")</f>
        <v/>
      </c>
      <c r="N4263" t="inlineStr"/>
    </row>
    <row r="4264">
      <c r="A4264" t="inlineStr">
        <is>
          <t>132C¹⁵</t>
        </is>
      </c>
      <c r="B4264" t="inlineStr"/>
      <c r="C4264" t="inlineStr">
        <is>
          <t>192</t>
        </is>
      </c>
      <c r="D4264" t="inlineStr">
        <is>
          <t>1</t>
        </is>
      </c>
      <c r="E4264" t="inlineStr">
        <is>
          <t>192</t>
        </is>
      </c>
      <c r="F4264" t="inlineStr">
        <is>
          <t>0</t>
        </is>
      </c>
      <c r="G4264" t="inlineStr">
        <is>
          <t>0</t>
        </is>
      </c>
      <c r="H4264" t="inlineStr">
        <is>
          <t>4¹, 12¹, 44¹, 132¹</t>
        </is>
      </c>
      <c r="I4264" t="n">
        <v>4</v>
      </c>
      <c r="J4264" t="inlineStr">
        <is>
          <t>2⁸, 4⁴, 20⁴, 40²</t>
        </is>
      </c>
      <c r="K4264">
        <f>HYPERLINK("CSG1.html#group12A1", "12A¹"), =HYPERLINK("CSG3.html#group33C3", "33C³"), =HYPERLINK("CSG4.html#group44B4", "44B⁴")</f>
        <v/>
      </c>
      <c r="L4264" t="inlineStr"/>
      <c r="M4264">
        <f>HYPERLINK("CSG0.html#group3B0", "3B⁰"), =HYPERLINK("CSG0.html#group4A0", "4A⁰"), =HYPERLINK("CSG1.html#group11A1", "11A¹"), =HYPERLINK("CSG1.html#group12A1", "12A¹"), =HYPERLINK("CSG4.html#group44B4", "44B⁴"), =HYPERLINK("CSG0.html#group1A0", "1A⁰"), =HYPERLINK("CSG3.html#group33C3", "33C³")</f>
        <v/>
      </c>
      <c r="N4264" t="inlineStr"/>
    </row>
    <row r="4265">
      <c r="A4265" t="inlineStr">
        <is>
          <t>132D¹⁵</t>
        </is>
      </c>
      <c r="B4265" t="inlineStr"/>
      <c r="C4265" t="inlineStr">
        <is>
          <t>198</t>
        </is>
      </c>
      <c r="D4265" t="inlineStr">
        <is>
          <t>2</t>
        </is>
      </c>
      <c r="E4265" t="inlineStr">
        <is>
          <t>99</t>
        </is>
      </c>
      <c r="F4265" t="inlineStr">
        <is>
          <t>6</t>
        </is>
      </c>
      <c r="G4265" t="inlineStr">
        <is>
          <t>0</t>
        </is>
      </c>
      <c r="H4265" t="inlineStr">
        <is>
          <t>66¹, 132¹</t>
        </is>
      </c>
      <c r="I4265" t="n">
        <v>2</v>
      </c>
      <c r="J4265" t="inlineStr">
        <is>
          <t>2³, 4³, 10⁶, 20⁶</t>
        </is>
      </c>
      <c r="K4265">
        <f>HYPERLINK("CSG1.html#group12C1", "12C¹"), =HYPERLINK("CSG6.html#group66F6", "66F⁶")</f>
        <v/>
      </c>
      <c r="L4265" t="inlineStr"/>
      <c r="M4265">
        <f>HYPERLINK("CSG0.html#group11A0", "11A⁰"), =HYPERLINK("CSG1.html#group12C1", "12C¹"), =HYPERLINK("CSG1.html#group33A1", "33A¹"), =HYPERLINK("CSG0.html#group2B0", "2B⁰"), =HYPERLINK("CSG6.html#group66F6", "66F⁶"), =HYPERLINK("CSG2.html#group22B2", "22B²"), =HYPERLINK("CSG0.html#group3A0", "3A⁰"), =HYPERLINK("CSG0.html#group1A0", "1A⁰"), =HYPERLINK("CSG0.html#group6D0", "6D⁰")</f>
        <v/>
      </c>
      <c r="N4265" t="inlineStr"/>
    </row>
    <row r="4266">
      <c r="A4266" t="inlineStr">
        <is>
          <t>135A¹⁵</t>
        </is>
      </c>
      <c r="B4266" t="inlineStr"/>
      <c r="C4266" t="inlineStr">
        <is>
          <t>180</t>
        </is>
      </c>
      <c r="D4266" t="inlineStr">
        <is>
          <t>1</t>
        </is>
      </c>
      <c r="E4266" t="inlineStr">
        <is>
          <t>60</t>
        </is>
      </c>
      <c r="F4266" t="inlineStr">
        <is>
          <t>0</t>
        </is>
      </c>
      <c r="G4266" t="inlineStr">
        <is>
          <t>0</t>
        </is>
      </c>
      <c r="H4266" t="inlineStr">
        <is>
          <t>45¹, 135¹</t>
        </is>
      </c>
      <c r="I4266" t="n">
        <v>2</v>
      </c>
      <c r="J4266" t="inlineStr">
        <is>
          <t>1², 2², 4², 6¹, 8², 24¹</t>
        </is>
      </c>
      <c r="K4266">
        <f>HYPERLINK("CSG3.html#group27A3", "27A³"), =HYPERLINK("CSG3.html#group45B3", "45B³")</f>
        <v/>
      </c>
      <c r="L4266" t="inlineStr"/>
      <c r="M4266">
        <f>HYPERLINK("CSG1.html#group15B1", "15B¹"), =HYPERLINK("CSG0.html#group3B0", "3B⁰"), =HYPERLINK("CSG0.html#group5A0", "5A⁰"), =HYPERLINK("CSG3.html#group45B3", "45B³"), =HYPERLINK("CSG0.html#group9C0", "9C⁰"), =HYPERLINK("CSG0.html#group1A0", "1A⁰"), =HYPERLINK("CSG3.html#group27A3", "27A³")</f>
        <v/>
      </c>
      <c r="N4266" t="inlineStr"/>
    </row>
    <row r="4267">
      <c r="A4267" t="inlineStr">
        <is>
          <t>135B¹⁵</t>
        </is>
      </c>
      <c r="B4267" t="inlineStr"/>
      <c r="C4267" t="inlineStr">
        <is>
          <t>216</t>
        </is>
      </c>
      <c r="D4267" t="inlineStr">
        <is>
          <t>1</t>
        </is>
      </c>
      <c r="E4267" t="inlineStr">
        <is>
          <t>72</t>
        </is>
      </c>
      <c r="F4267" t="inlineStr">
        <is>
          <t>0</t>
        </is>
      </c>
      <c r="G4267" t="inlineStr">
        <is>
          <t>0</t>
        </is>
      </c>
      <c r="H4267" t="inlineStr">
        <is>
          <t>3³, 15³, 27¹, 135¹</t>
        </is>
      </c>
      <c r="I4267" t="n">
        <v>8</v>
      </c>
      <c r="J4267" t="inlineStr">
        <is>
          <t>1⁴, 2⁴, 4², 6², 8², 24¹</t>
        </is>
      </c>
      <c r="K4267">
        <f>HYPERLINK("CSG2.html#group27A2", "27A²"), =HYPERLINK("CSG3.html#group45D3", "45D³")</f>
        <v/>
      </c>
      <c r="L4267" t="inlineStr"/>
      <c r="M4267">
        <f>HYPERLINK("CSG0.html#group5B0", "5B⁰"), =HYPERLINK("CSG0.html#group3B0", "3B⁰"), =HYPERLINK("CSG3.html#group45D3", "45D³"), =HYPERLINK("CSG0.html#group9B0", "9B⁰"), =HYPERLINK("CSG1.html#group15C1", "15C¹"), =HYPERLINK("CSG2.html#group27A2", "27A²"), =HYPERLINK("CSG0.html#group1A0", "1A⁰")</f>
        <v/>
      </c>
      <c r="N4267" t="inlineStr"/>
    </row>
    <row r="4268">
      <c r="A4268" t="inlineStr">
        <is>
          <t>136A¹⁵</t>
        </is>
      </c>
      <c r="B4268" t="inlineStr"/>
      <c r="C4268" t="inlineStr">
        <is>
          <t>216</t>
        </is>
      </c>
      <c r="D4268" t="inlineStr">
        <is>
          <t>1</t>
        </is>
      </c>
      <c r="E4268" t="inlineStr">
        <is>
          <t>54</t>
        </is>
      </c>
      <c r="F4268" t="inlineStr">
        <is>
          <t>8</t>
        </is>
      </c>
      <c r="G4268" t="inlineStr">
        <is>
          <t>0</t>
        </is>
      </c>
      <c r="H4268" t="inlineStr">
        <is>
          <t>4¹, 8¹, 68¹, 136¹</t>
        </is>
      </c>
      <c r="I4268" t="n">
        <v>4</v>
      </c>
      <c r="J4268" t="inlineStr">
        <is>
          <t>1⁶, 16³</t>
        </is>
      </c>
      <c r="K4268">
        <f>HYPERLINK("CSG7.html#group68D7", "68D⁷")</f>
        <v/>
      </c>
      <c r="L4268" t="inlineStr"/>
      <c r="M4268">
        <f>HYPERLINK("CSG1.html#group17A1", "17A¹"), =HYPERLINK("CSG0.html#group2B0", "2B⁰"), =HYPERLINK("CSG3.html#group34C3", "34C³"), =HYPERLINK("CSG0.html#group1A0", "1A⁰"), =HYPERLINK("CSG0.html#group4C0", "4C⁰"), =HYPERLINK("CSG7.html#group68D7", "68D⁷")</f>
        <v/>
      </c>
      <c r="N4268" t="inlineStr"/>
    </row>
    <row r="4269">
      <c r="A4269" t="inlineStr">
        <is>
          <t>136B¹⁵</t>
        </is>
      </c>
      <c r="B4269" t="inlineStr"/>
      <c r="C4269" t="inlineStr">
        <is>
          <t>216</t>
        </is>
      </c>
      <c r="D4269" t="inlineStr">
        <is>
          <t>1</t>
        </is>
      </c>
      <c r="E4269" t="inlineStr">
        <is>
          <t>54</t>
        </is>
      </c>
      <c r="F4269" t="inlineStr">
        <is>
          <t>8</t>
        </is>
      </c>
      <c r="G4269" t="inlineStr">
        <is>
          <t>0</t>
        </is>
      </c>
      <c r="H4269" t="inlineStr">
        <is>
          <t>4¹, 8¹, 68¹, 136¹</t>
        </is>
      </c>
      <c r="I4269" t="n">
        <v>4</v>
      </c>
      <c r="J4269" t="inlineStr">
        <is>
          <t>1⁶, 16³</t>
        </is>
      </c>
      <c r="K4269">
        <f>HYPERLINK("CSG0.html#group8B0", "8B⁰"), =HYPERLINK("CSG7.html#group68D7", "68D⁷")</f>
        <v/>
      </c>
      <c r="L4269" t="inlineStr"/>
      <c r="M4269">
        <f>HYPERLINK("CSG3.html#group34C3", "34C³"), =HYPERLINK("CSG0.html#group4C0", "4C⁰"), =HYPERLINK("CSG0.html#group8B0", "8B⁰"), =HYPERLINK("CSG1.html#group17A1", "17A¹"), =HYPERLINK("CSG0.html#group2B0", "2B⁰"), =HYPERLINK("CSG0.html#group1A0", "1A⁰"), =HYPERLINK("CSG7.html#group68D7", "68D⁷")</f>
        <v/>
      </c>
      <c r="N4269" t="inlineStr"/>
    </row>
    <row r="4270">
      <c r="A4270" t="inlineStr">
        <is>
          <t>136C¹⁵</t>
        </is>
      </c>
      <c r="B4270" t="inlineStr"/>
      <c r="C4270" t="inlineStr">
        <is>
          <t>216</t>
        </is>
      </c>
      <c r="D4270" t="inlineStr">
        <is>
          <t>1</t>
        </is>
      </c>
      <c r="E4270" t="inlineStr">
        <is>
          <t>108</t>
        </is>
      </c>
      <c r="F4270" t="inlineStr">
        <is>
          <t>0</t>
        </is>
      </c>
      <c r="G4270" t="inlineStr">
        <is>
          <t>0</t>
        </is>
      </c>
      <c r="H4270" t="inlineStr">
        <is>
          <t>1², 2¹, 8¹, 17², 34¹, 136¹</t>
        </is>
      </c>
      <c r="I4270" t="n">
        <v>8</v>
      </c>
      <c r="J4270" t="inlineStr">
        <is>
          <t>1⁸, 2², 16⁴, 32¹</t>
        </is>
      </c>
      <c r="K4270">
        <f>HYPERLINK("CSG7.html#group68B7", "68B⁷")</f>
        <v/>
      </c>
      <c r="L4270" t="inlineStr"/>
      <c r="M4270">
        <f>HYPERLINK("CSG1.html#group17A1", "17A¹"), =HYPERLINK("CSG0.html#group2B0", "2B⁰"), =HYPERLINK("CSG7.html#group68B7", "68B⁷"), =HYPERLINK("CSG0.html#group4B0", "4B⁰"), =HYPERLINK("CSG3.html#group34C3", "34C³"), =HYPERLINK("CSG0.html#group1A0", "1A⁰")</f>
        <v/>
      </c>
      <c r="N4270" t="inlineStr"/>
    </row>
    <row r="4271">
      <c r="A4271" t="inlineStr">
        <is>
          <t>136D¹⁵</t>
        </is>
      </c>
      <c r="B4271" t="inlineStr">
        <is>
          <t>Γ₀(136)</t>
        </is>
      </c>
      <c r="C4271" t="inlineStr">
        <is>
          <t>216</t>
        </is>
      </c>
      <c r="D4271" t="inlineStr">
        <is>
          <t>1</t>
        </is>
      </c>
      <c r="E4271" t="inlineStr">
        <is>
          <t>108</t>
        </is>
      </c>
      <c r="F4271" t="inlineStr">
        <is>
          <t>0</t>
        </is>
      </c>
      <c r="G4271" t="inlineStr">
        <is>
          <t>0</t>
        </is>
      </c>
      <c r="H4271" t="inlineStr">
        <is>
          <t>1², 2¹, 8¹, 17², 34¹, 136¹</t>
        </is>
      </c>
      <c r="I4271" t="n">
        <v>8</v>
      </c>
      <c r="J4271" t="inlineStr">
        <is>
          <t>1⁸, 2², 16⁴, 32¹</t>
        </is>
      </c>
      <c r="K4271">
        <f>HYPERLINK("CSG0.html#group8C0", "8C⁰"), =HYPERLINK("CSG7.html#group68B7", "68B⁷")</f>
        <v/>
      </c>
      <c r="L4271" t="inlineStr"/>
      <c r="M4271">
        <f>HYPERLINK("CSG7.html#group68B7", "68B⁷"), =HYPERLINK("CSG3.html#group34C3", "34C³"), =HYPERLINK("CSG1.html#group17A1", "17A¹"), =HYPERLINK("CSG0.html#group8C0", "8C⁰"), =HYPERLINK("CSG0.html#group2B0", "2B⁰"), =HYPERLINK("CSG0.html#group4B0", "4B⁰"), =HYPERLINK("CSG0.html#group1A0", "1A⁰")</f>
        <v/>
      </c>
      <c r="N4271" t="inlineStr"/>
    </row>
    <row r="4272">
      <c r="A4272" t="inlineStr">
        <is>
          <t>136E¹⁵</t>
        </is>
      </c>
      <c r="B4272" t="inlineStr"/>
      <c r="C4272" t="inlineStr">
        <is>
          <t>216</t>
        </is>
      </c>
      <c r="D4272" t="inlineStr">
        <is>
          <t>1</t>
        </is>
      </c>
      <c r="E4272" t="inlineStr">
        <is>
          <t>108</t>
        </is>
      </c>
      <c r="F4272" t="inlineStr">
        <is>
          <t>4</t>
        </is>
      </c>
      <c r="G4272" t="inlineStr">
        <is>
          <t>0</t>
        </is>
      </c>
      <c r="H4272" t="inlineStr">
        <is>
          <t>2², 8¹, 34², 136¹</t>
        </is>
      </c>
      <c r="I4272" t="n">
        <v>6</v>
      </c>
      <c r="J4272" t="inlineStr">
        <is>
          <t>1⁴, 2⁴, 16², 32²</t>
        </is>
      </c>
      <c r="K4272">
        <f>HYPERLINK("CSG7.html#group68D7", "68D⁷")</f>
        <v/>
      </c>
      <c r="L4272" t="inlineStr"/>
      <c r="M4272">
        <f>HYPERLINK("CSG1.html#group17A1", "17A¹"), =HYPERLINK("CSG0.html#group2B0", "2B⁰"), =HYPERLINK("CSG3.html#group34C3", "34C³"), =HYPERLINK("CSG0.html#group1A0", "1A⁰"), =HYPERLINK("CSG0.html#group4C0", "4C⁰"), =HYPERLINK("CSG7.html#group68D7", "68D⁷")</f>
        <v/>
      </c>
      <c r="N4272" t="inlineStr"/>
    </row>
    <row r="4273">
      <c r="A4273" t="inlineStr">
        <is>
          <t>136F¹⁵</t>
        </is>
      </c>
      <c r="B4273" t="inlineStr"/>
      <c r="C4273" t="inlineStr">
        <is>
          <t>216</t>
        </is>
      </c>
      <c r="D4273" t="inlineStr">
        <is>
          <t>1</t>
        </is>
      </c>
      <c r="E4273" t="inlineStr">
        <is>
          <t>108</t>
        </is>
      </c>
      <c r="F4273" t="inlineStr">
        <is>
          <t>4</t>
        </is>
      </c>
      <c r="G4273" t="inlineStr">
        <is>
          <t>0</t>
        </is>
      </c>
      <c r="H4273" t="inlineStr">
        <is>
          <t>2², 8¹, 34², 136¹</t>
        </is>
      </c>
      <c r="I4273" t="n">
        <v>6</v>
      </c>
      <c r="J4273" t="inlineStr">
        <is>
          <t>1⁴, 2⁴, 16², 32²</t>
        </is>
      </c>
      <c r="K4273">
        <f>HYPERLINK("CSG0.html#group8D0", "8D⁰"), =HYPERLINK("CSG7.html#group68D7", "68D⁷")</f>
        <v/>
      </c>
      <c r="L4273" t="inlineStr"/>
      <c r="M4273">
        <f>HYPERLINK("CSG3.html#group34C3", "34C³"), =HYPERLINK("CSG0.html#group8D0", "8D⁰"), =HYPERLINK("CSG0.html#group4C0", "4C⁰"), =HYPERLINK("CSG1.html#group17A1", "17A¹"), =HYPERLINK("CSG0.html#group2B0", "2B⁰"), =HYPERLINK("CSG0.html#group1A0", "1A⁰"), =HYPERLINK("CSG7.html#group68D7", "68D⁷")</f>
        <v/>
      </c>
      <c r="N4273" t="inlineStr"/>
    </row>
    <row r="4274">
      <c r="A4274" t="inlineStr">
        <is>
          <t>136G¹⁵</t>
        </is>
      </c>
      <c r="B4274" t="inlineStr"/>
      <c r="C4274" t="inlineStr">
        <is>
          <t>216</t>
        </is>
      </c>
      <c r="D4274" t="inlineStr">
        <is>
          <t>2</t>
        </is>
      </c>
      <c r="E4274" t="inlineStr">
        <is>
          <t>54</t>
        </is>
      </c>
      <c r="F4274" t="inlineStr">
        <is>
          <t>8</t>
        </is>
      </c>
      <c r="G4274" t="inlineStr">
        <is>
          <t>0</t>
        </is>
      </c>
      <c r="H4274" t="inlineStr">
        <is>
          <t>4¹, 8¹, 68¹, 136¹</t>
        </is>
      </c>
      <c r="I4274" t="n">
        <v>4</v>
      </c>
      <c r="J4274" t="inlineStr">
        <is>
          <t>2⁶, 32³</t>
        </is>
      </c>
      <c r="K4274">
        <f>HYPERLINK("CSG7.html#group68C7", "68C⁷")</f>
        <v/>
      </c>
      <c r="L4274" t="inlineStr"/>
      <c r="M4274">
        <f>HYPERLINK("CSG7.html#group68C7", "68C⁷"), =HYPERLINK("CSG1.html#group17A1", "17A¹"), =HYPERLINK("CSG0.html#group2B0", "2B⁰"), =HYPERLINK("CSG3.html#group34C3", "34C³"), =HYPERLINK("CSG0.html#group1A0", "1A⁰")</f>
        <v/>
      </c>
      <c r="N4274" t="inlineStr"/>
    </row>
    <row r="4275">
      <c r="A4275" t="inlineStr">
        <is>
          <t>138A¹⁵</t>
        </is>
      </c>
      <c r="B4275" t="inlineStr"/>
      <c r="C4275" t="inlineStr">
        <is>
          <t>192</t>
        </is>
      </c>
      <c r="D4275" t="inlineStr">
        <is>
          <t>1</t>
        </is>
      </c>
      <c r="E4275" t="inlineStr">
        <is>
          <t>96</t>
        </is>
      </c>
      <c r="F4275" t="inlineStr">
        <is>
          <t>0</t>
        </is>
      </c>
      <c r="G4275" t="inlineStr">
        <is>
          <t>0</t>
        </is>
      </c>
      <c r="H4275" t="inlineStr">
        <is>
          <t>2¹, 6¹, 46¹, 138¹</t>
        </is>
      </c>
      <c r="I4275" t="n">
        <v>4</v>
      </c>
      <c r="J4275" t="inlineStr">
        <is>
          <t>1⁴, 2², 22², 44¹</t>
        </is>
      </c>
      <c r="K4275">
        <f>HYPERLINK("CSG7.html#group69A7", "69A⁷")</f>
        <v/>
      </c>
      <c r="L4275" t="inlineStr"/>
      <c r="M4275">
        <f>HYPERLINK("CSG0.html#group3B0", "3B⁰"), =HYPERLINK("CSG7.html#group69A7", "69A⁷"), =HYPERLINK("CSG0.html#group1A0", "1A⁰"), =HYPERLINK("CSG2.html#group23A2", "23A²")</f>
        <v/>
      </c>
      <c r="N4275" t="inlineStr"/>
    </row>
    <row r="4276">
      <c r="A4276" t="inlineStr">
        <is>
          <t>138B¹⁵</t>
        </is>
      </c>
      <c r="B4276" t="inlineStr"/>
      <c r="C4276" t="inlineStr">
        <is>
          <t>192</t>
        </is>
      </c>
      <c r="D4276" t="inlineStr">
        <is>
          <t>1</t>
        </is>
      </c>
      <c r="E4276" t="inlineStr">
        <is>
          <t>96</t>
        </is>
      </c>
      <c r="F4276" t="inlineStr">
        <is>
          <t>0</t>
        </is>
      </c>
      <c r="G4276" t="inlineStr">
        <is>
          <t>0</t>
        </is>
      </c>
      <c r="H4276" t="inlineStr">
        <is>
          <t>2¹, 6¹, 46¹, 138¹</t>
        </is>
      </c>
      <c r="I4276" t="n">
        <v>4</v>
      </c>
      <c r="J4276" t="inlineStr">
        <is>
          <t>1⁴, 2², 22², 44¹</t>
        </is>
      </c>
      <c r="K4276">
        <f>HYPERLINK("CSG0.html#group6C0", "6C⁰"), =HYPERLINK("CSG4.html#group46A4", "46A⁴"), =HYPERLINK("CSG7.html#group69A7", "69A⁷")</f>
        <v/>
      </c>
      <c r="L4276" t="inlineStr"/>
      <c r="M4276">
        <f>HYPERLINK("CSG0.html#group2A0", "2A⁰"), =HYPERLINK("CSG0.html#group3B0", "3B⁰"), =HYPERLINK("CSG0.html#group6C0", "6C⁰"), =HYPERLINK("CSG7.html#group69A7", "69A⁷"), =HYPERLINK("CSG2.html#group23A2", "23A²"), =HYPERLINK("CSG0.html#group1A0", "1A⁰"), =HYPERLINK("CSG4.html#group46A4", "46A⁴")</f>
        <v/>
      </c>
      <c r="N4276" t="inlineStr"/>
    </row>
    <row r="4277">
      <c r="A4277" t="inlineStr">
        <is>
          <t>140A¹⁵</t>
        </is>
      </c>
      <c r="B4277" t="inlineStr"/>
      <c r="C4277" t="inlineStr">
        <is>
          <t>192</t>
        </is>
      </c>
      <c r="D4277" t="inlineStr">
        <is>
          <t>1</t>
        </is>
      </c>
      <c r="E4277" t="inlineStr">
        <is>
          <t>48</t>
        </is>
      </c>
      <c r="F4277" t="inlineStr">
        <is>
          <t>0</t>
        </is>
      </c>
      <c r="G4277" t="inlineStr">
        <is>
          <t>0</t>
        </is>
      </c>
      <c r="H4277" t="inlineStr">
        <is>
          <t>4¹, 20¹, 28¹, 140¹</t>
        </is>
      </c>
      <c r="I4277" t="n">
        <v>4</v>
      </c>
      <c r="J4277" t="inlineStr">
        <is>
          <t>1⁴, 4², 6², 24¹</t>
        </is>
      </c>
      <c r="K4277">
        <f>HYPERLINK("CSG7.html#group70C7", "70C⁷")</f>
        <v/>
      </c>
      <c r="L4277" t="inlineStr"/>
      <c r="M4277">
        <f>HYPERLINK("CSG0.html#group2A0", "2A⁰"), =HYPERLINK("CSG0.html#group7B0", "7B⁰"), =HYPERLINK("CSG0.html#group14B0", "14B⁰"), =HYPERLINK("CSG0.html#group5B0", "5B⁰"), =HYPERLINK("CSG7.html#group70C7", "70C⁷"), =HYPERLINK("CSG1.html#group10A1", "10A¹"), =HYPERLINK("CSG0.html#group1A0", "1A⁰"), =HYPERLINK("CSG3.html#group35A3", "35A³")</f>
        <v/>
      </c>
      <c r="N4277" t="inlineStr"/>
    </row>
    <row r="4278">
      <c r="A4278" t="inlineStr">
        <is>
          <t>140B¹⁵</t>
        </is>
      </c>
      <c r="B4278" t="inlineStr"/>
      <c r="C4278" t="inlineStr">
        <is>
          <t>192</t>
        </is>
      </c>
      <c r="D4278" t="inlineStr">
        <is>
          <t>1</t>
        </is>
      </c>
      <c r="E4278" t="inlineStr">
        <is>
          <t>48</t>
        </is>
      </c>
      <c r="F4278" t="inlineStr">
        <is>
          <t>0</t>
        </is>
      </c>
      <c r="G4278" t="inlineStr">
        <is>
          <t>0</t>
        </is>
      </c>
      <c r="H4278" t="inlineStr">
        <is>
          <t>4¹, 20¹, 28¹, 140¹</t>
        </is>
      </c>
      <c r="I4278" t="n">
        <v>4</v>
      </c>
      <c r="J4278" t="inlineStr">
        <is>
          <t>1⁴, 4², 6², 24¹</t>
        </is>
      </c>
      <c r="K4278">
        <f>HYPERLINK("CSG0.html#group28A0", "28A⁰"), =HYPERLINK("CSG7.html#group70C7", "70C⁷")</f>
        <v/>
      </c>
      <c r="L4278" t="inlineStr"/>
      <c r="M4278">
        <f>HYPERLINK("CSG0.html#group2A0", "2A⁰"), =HYPERLINK("CSG0.html#group28A0", "28A⁰"), =HYPERLINK("CSG0.html#group7B0", "7B⁰"), =HYPERLINK("CSG0.html#group14B0", "14B⁰"), =HYPERLINK("CSG0.html#group5B0", "5B⁰"), =HYPERLINK("CSG7.html#group70C7", "70C⁷"), =HYPERLINK("CSG1.html#group10A1", "10A¹"), =HYPERLINK("CSG0.html#group1A0", "1A⁰"), =HYPERLINK("CSG3.html#group35A3", "35A³")</f>
        <v/>
      </c>
      <c r="N4278" t="inlineStr"/>
    </row>
    <row r="4279">
      <c r="A4279" t="inlineStr">
        <is>
          <t>140C¹⁵</t>
        </is>
      </c>
      <c r="B4279" t="inlineStr"/>
      <c r="C4279" t="inlineStr">
        <is>
          <t>192</t>
        </is>
      </c>
      <c r="D4279" t="inlineStr">
        <is>
          <t>1</t>
        </is>
      </c>
      <c r="E4279" t="inlineStr">
        <is>
          <t>192</t>
        </is>
      </c>
      <c r="F4279" t="inlineStr">
        <is>
          <t>0</t>
        </is>
      </c>
      <c r="G4279" t="inlineStr">
        <is>
          <t>0</t>
        </is>
      </c>
      <c r="H4279" t="inlineStr">
        <is>
          <t>4¹, 20¹, 28¹, 140¹</t>
        </is>
      </c>
      <c r="I4279" t="n">
        <v>4</v>
      </c>
      <c r="J4279" t="inlineStr">
        <is>
          <t>2⁸, 8⁴, 12⁴, 48²</t>
        </is>
      </c>
      <c r="K4279">
        <f>HYPERLINK("CSG1.html#group20B1", "20B¹"), =HYPERLINK("CSG2.html#group28A2", "28A²"), =HYPERLINK("CSG3.html#group35A3", "35A³")</f>
        <v/>
      </c>
      <c r="L4279" t="inlineStr"/>
      <c r="M4279">
        <f>HYPERLINK("CSG0.html#group7B0", "7B⁰"), =HYPERLINK("CSG0.html#group4A0", "4A⁰"), =HYPERLINK("CSG0.html#group5B0", "5B⁰"), =HYPERLINK("CSG0.html#group1A0", "1A⁰"), =HYPERLINK("CSG3.html#group35A3", "35A³"), =HYPERLINK("CSG1.html#group20B1", "20B¹"), =HYPERLINK("CSG2.html#group28A2", "28A²")</f>
        <v/>
      </c>
      <c r="N4279" t="inlineStr"/>
    </row>
    <row r="4280">
      <c r="A4280" t="inlineStr">
        <is>
          <t>140D¹⁵</t>
        </is>
      </c>
      <c r="B4280" t="inlineStr"/>
      <c r="C4280" t="inlineStr">
        <is>
          <t>192</t>
        </is>
      </c>
      <c r="D4280" t="inlineStr">
        <is>
          <t>2</t>
        </is>
      </c>
      <c r="E4280" t="inlineStr">
        <is>
          <t>48</t>
        </is>
      </c>
      <c r="F4280" t="inlineStr">
        <is>
          <t>0</t>
        </is>
      </c>
      <c r="G4280" t="inlineStr">
        <is>
          <t>0</t>
        </is>
      </c>
      <c r="H4280" t="inlineStr">
        <is>
          <t>4¹, 20¹, 28¹, 140¹</t>
        </is>
      </c>
      <c r="I4280" t="n">
        <v>4</v>
      </c>
      <c r="J4280" t="inlineStr">
        <is>
          <t>2⁴, 8², 12², 48¹</t>
        </is>
      </c>
      <c r="K4280">
        <f>HYPERLINK("CSG1.html#group20C1", "20C¹"), =HYPERLINK("CSG7.html#group70B7", "70B⁷")</f>
        <v/>
      </c>
      <c r="L4280" t="inlineStr"/>
      <c r="M4280">
        <f>HYPERLINK("CSG1.html#group20C1", "20C¹"), =HYPERLINK("CSG0.html#group7B0", "7B⁰"), =HYPERLINK("CSG0.html#group5B0", "5B⁰"), =HYPERLINK("CSG7.html#group70B7", "70B⁷"), =HYPERLINK("CSG0.html#group1A0", "1A⁰"), =HYPERLINK("CSG3.html#group35A3", "35A³"), =HYPERLINK("CSG0.html#group10B0", "10B⁰")</f>
        <v/>
      </c>
      <c r="N4280" t="inlineStr"/>
    </row>
    <row r="4281">
      <c r="A4281" t="inlineStr">
        <is>
          <t>141A¹⁵</t>
        </is>
      </c>
      <c r="B4281" t="inlineStr">
        <is>
          <t>Γ₀(141)</t>
        </is>
      </c>
      <c r="C4281" t="inlineStr">
        <is>
          <t>192</t>
        </is>
      </c>
      <c r="D4281" t="inlineStr">
        <is>
          <t>1</t>
        </is>
      </c>
      <c r="E4281" t="inlineStr">
        <is>
          <t>192</t>
        </is>
      </c>
      <c r="F4281" t="inlineStr">
        <is>
          <t>0</t>
        </is>
      </c>
      <c r="G4281" t="inlineStr">
        <is>
          <t>0</t>
        </is>
      </c>
      <c r="H4281" t="inlineStr">
        <is>
          <t>1¹, 3¹, 47¹, 141¹</t>
        </is>
      </c>
      <c r="I4281" t="n">
        <v>4</v>
      </c>
      <c r="J4281" t="inlineStr">
        <is>
          <t>1⁴, 2², 46², 92¹</t>
        </is>
      </c>
      <c r="K4281">
        <f>HYPERLINK("CSG0.html#group3B0", "3B⁰"), =HYPERLINK("CSG4.html#group47A4", "47A⁴")</f>
        <v/>
      </c>
      <c r="L4281" t="inlineStr"/>
      <c r="M4281">
        <f>HYPERLINK("CSG4.html#group47A4", "47A⁴"), =HYPERLINK("CSG0.html#group3B0", "3B⁰"), =HYPERLINK("CSG0.html#group1A0", "1A⁰")</f>
        <v/>
      </c>
      <c r="N4281" t="inlineStr"/>
    </row>
    <row r="4282">
      <c r="A4282" t="inlineStr">
        <is>
          <t>144A¹⁵</t>
        </is>
      </c>
      <c r="B4282" t="inlineStr"/>
      <c r="C4282" t="inlineStr">
        <is>
          <t>192</t>
        </is>
      </c>
      <c r="D4282" t="inlineStr">
        <is>
          <t>2</t>
        </is>
      </c>
      <c r="E4282" t="inlineStr">
        <is>
          <t>32</t>
        </is>
      </c>
      <c r="F4282" t="inlineStr">
        <is>
          <t>0</t>
        </is>
      </c>
      <c r="G4282" t="inlineStr">
        <is>
          <t>0</t>
        </is>
      </c>
      <c r="H4282" t="inlineStr">
        <is>
          <t>16³, 144¹</t>
        </is>
      </c>
      <c r="I4282" t="n">
        <v>4</v>
      </c>
      <c r="J4282" t="inlineStr">
        <is>
          <t>8⁴, 16²</t>
        </is>
      </c>
      <c r="K4282">
        <f>HYPERLINK("CSG4.html#group48A4", "48A⁴"), =HYPERLINK("CSG7.html#group72A7", "72A⁷")</f>
        <v/>
      </c>
      <c r="L4282" t="inlineStr"/>
      <c r="M4282">
        <f>HYPERLINK("CSG0.html#group3B0", "3B⁰"), =HYPERLINK("CSG7.html#group72A7", "72A⁷"), =HYPERLINK("CSG0.html#group16A0", "16A⁰"), =HYPERLINK("CSG2.html#group24A2", "24A²"), =HYPERLINK("CSG0.html#group4A0", "4A⁰"), =HYPERLINK("CSG1.html#group12A1", "12A¹"), =HYPERLINK("CSG0.html#group8A0", "8A⁰"), =HYPERLINK("CSG0.html#group9B0", "9B⁰"), =HYPERLINK("CSG4.html#group48A4", "48A⁴"), =HYPERLINK("CSG3.html#group36B3", "36B³"), =HYPERLINK("CSG0.html#group1A0", "1A⁰")</f>
        <v/>
      </c>
      <c r="N4282" t="inlineStr"/>
    </row>
    <row r="4283">
      <c r="A4283" t="inlineStr">
        <is>
          <t>144B¹⁵</t>
        </is>
      </c>
      <c r="B4283" t="inlineStr"/>
      <c r="C4283" t="inlineStr">
        <is>
          <t>216</t>
        </is>
      </c>
      <c r="D4283" t="inlineStr">
        <is>
          <t>1</t>
        </is>
      </c>
      <c r="E4283" t="inlineStr">
        <is>
          <t>108</t>
        </is>
      </c>
      <c r="F4283" t="inlineStr">
        <is>
          <t>10</t>
        </is>
      </c>
      <c r="G4283" t="inlineStr">
        <is>
          <t>0</t>
        </is>
      </c>
      <c r="H4283" t="inlineStr">
        <is>
          <t>36², 144¹</t>
        </is>
      </c>
      <c r="I4283" t="n">
        <v>3</v>
      </c>
      <c r="J4283" t="inlineStr">
        <is>
          <t>1², 2³, 4³, 6², 8², 12¹, 24²</t>
        </is>
      </c>
      <c r="K4283">
        <f>HYPERLINK("CSG4.html#group48E4", "48E⁴"), =HYPERLINK("CSG6.html#group72C6", "72C⁶")</f>
        <v/>
      </c>
      <c r="L4283" t="inlineStr"/>
      <c r="M4283">
        <f>HYPERLINK("CSG6.html#group72C6", "72C⁶"), =HYPERLINK("CSG4.html#group48E4", "48E⁴"), =HYPERLINK("CSG0.html#group12C0", "12C⁰"), =HYPERLINK("CSG0.html#group8D0", "8D⁰"), =HYPERLINK("CSG0.html#group9A0", "9A⁰"), =HYPERLINK("CSG2.html#group36B2", "36B²"), =HYPERLINK("CSG0.html#group4C0", "4C⁰"), =HYPERLINK("CSG1.html#group16C1", "16C¹"), =HYPERLINK("CSG1.html#group24C1", "24C¹"), =HYPERLINK("CSG0.html#group2B0", "2B⁰"), =HYPERLINK("CSG1.html#group18E1", "18E¹"), =HYPERLINK("CSG0.html#group3A0", "3A⁰"), =HYPERLINK("CSG0.html#group1A0", "1A⁰"), =HYPERLINK("CSG0.html#group6D0", "6D⁰")</f>
        <v/>
      </c>
      <c r="N4283" t="inlineStr"/>
    </row>
    <row r="4284">
      <c r="A4284" t="inlineStr">
        <is>
          <t>144C¹⁵</t>
        </is>
      </c>
      <c r="B4284" t="inlineStr"/>
      <c r="C4284" t="inlineStr">
        <is>
          <t>216</t>
        </is>
      </c>
      <c r="D4284" t="inlineStr">
        <is>
          <t>1</t>
        </is>
      </c>
      <c r="E4284" t="inlineStr">
        <is>
          <t>108</t>
        </is>
      </c>
      <c r="F4284" t="inlineStr">
        <is>
          <t>10</t>
        </is>
      </c>
      <c r="G4284" t="inlineStr">
        <is>
          <t>0</t>
        </is>
      </c>
      <c r="H4284" t="inlineStr">
        <is>
          <t>36², 144¹</t>
        </is>
      </c>
      <c r="I4284" t="n">
        <v>3</v>
      </c>
      <c r="J4284" t="inlineStr">
        <is>
          <t>1², 2³, 4³, 6², 8², 12¹, 24²</t>
        </is>
      </c>
      <c r="K4284">
        <f>HYPERLINK("CSG4.html#group48H4", "48H⁴"), =HYPERLINK("CSG6.html#group72C6", "72C⁶")</f>
        <v/>
      </c>
      <c r="L4284" t="inlineStr"/>
      <c r="M4284">
        <f>HYPERLINK("CSG6.html#group72C6", "72C⁶"), =HYPERLINK("CSG0.html#group12C0", "12C⁰"), =HYPERLINK("CSG4.html#group48H4", "48H⁴"), =HYPERLINK("CSG0.html#group8D0", "8D⁰"), =HYPERLINK("CSG0.html#group9A0", "9A⁰"), =HYPERLINK("CSG2.html#group36B2", "36B²"), =HYPERLINK("CSG0.html#group4C0", "4C⁰"), =HYPERLINK("CSG1.html#group24C1", "24C¹"), =HYPERLINK("CSG0.html#group2B0", "2B⁰"), =HYPERLINK("CSG1.html#group18E1", "18E¹"), =HYPERLINK("CSG0.html#group3A0", "3A⁰"), =HYPERLINK("CSG0.html#group1A0", "1A⁰"), =HYPERLINK("CSG0.html#group6D0", "6D⁰")</f>
        <v/>
      </c>
      <c r="N4284" t="inlineStr"/>
    </row>
    <row r="4285">
      <c r="A4285" t="inlineStr">
        <is>
          <t>144D¹⁵</t>
        </is>
      </c>
      <c r="B4285" t="inlineStr"/>
      <c r="C4285" t="inlineStr">
        <is>
          <t>216</t>
        </is>
      </c>
      <c r="D4285" t="inlineStr">
        <is>
          <t>2</t>
        </is>
      </c>
      <c r="E4285" t="inlineStr">
        <is>
          <t>108</t>
        </is>
      </c>
      <c r="F4285" t="inlineStr">
        <is>
          <t>10</t>
        </is>
      </c>
      <c r="G4285" t="inlineStr">
        <is>
          <t>0</t>
        </is>
      </c>
      <c r="H4285" t="inlineStr">
        <is>
          <t>36², 144¹</t>
        </is>
      </c>
      <c r="I4285" t="n">
        <v>3</v>
      </c>
      <c r="J4285" t="inlineStr">
        <is>
          <t>2⁶, 4³, 6⁴, 8⁶, 12², 24⁴</t>
        </is>
      </c>
      <c r="K4285">
        <f>HYPERLINK("CSG4.html#group48H4", "48H⁴"), =HYPERLINK("CSG6.html#group72C6", "72C⁶")</f>
        <v/>
      </c>
      <c r="L4285" t="inlineStr"/>
      <c r="M4285">
        <f>HYPERLINK("CSG6.html#group72C6", "72C⁶"), =HYPERLINK("CSG0.html#group12C0", "12C⁰"), =HYPERLINK("CSG4.html#group48H4", "48H⁴"), =HYPERLINK("CSG0.html#group8D0", "8D⁰"), =HYPERLINK("CSG0.html#group9A0", "9A⁰"), =HYPERLINK("CSG2.html#group36B2", "36B²"), =HYPERLINK("CSG0.html#group4C0", "4C⁰"), =HYPERLINK("CSG1.html#group24C1", "24C¹"), =HYPERLINK("CSG0.html#group2B0", "2B⁰"), =HYPERLINK("CSG1.html#group18E1", "18E¹"), =HYPERLINK("CSG0.html#group3A0", "3A⁰"), =HYPERLINK("CSG0.html#group1A0", "1A⁰"), =HYPERLINK("CSG0.html#group6D0", "6D⁰")</f>
        <v/>
      </c>
      <c r="N4285" t="inlineStr"/>
    </row>
    <row r="4286">
      <c r="A4286" t="inlineStr">
        <is>
          <t>144E¹⁵</t>
        </is>
      </c>
      <c r="B4286" t="inlineStr"/>
      <c r="C4286" t="inlineStr">
        <is>
          <t>288</t>
        </is>
      </c>
      <c r="D4286" t="inlineStr">
        <is>
          <t>1</t>
        </is>
      </c>
      <c r="E4286" t="inlineStr">
        <is>
          <t>48</t>
        </is>
      </c>
      <c r="F4286" t="inlineStr">
        <is>
          <t>0</t>
        </is>
      </c>
      <c r="G4286" t="inlineStr">
        <is>
          <t>0</t>
        </is>
      </c>
      <c r="H4286" t="inlineStr">
        <is>
          <t>2¹², 16³, 18⁴, 144¹</t>
        </is>
      </c>
      <c r="I4286" t="n">
        <v>20</v>
      </c>
      <c r="J4286" t="inlineStr">
        <is>
          <t>1⁴, 2⁴, 4⁵, 8²</t>
        </is>
      </c>
      <c r="K4286">
        <f>HYPERLINK("CSG4.html#group48J4", "48J⁴"), =HYPERLINK("CSG7.html#group72D7", "72D⁷")</f>
        <v/>
      </c>
      <c r="L4286" t="inlineStr"/>
      <c r="M4286">
        <f>HYPERLINK("CSG0.html#group3B0", "3B⁰"), =HYPERLINK("CSG0.html#group16E0", "16E⁰"), =HYPERLINK("CSG0.html#group18E0", "18E⁰"), =HYPERLINK("CSG2.html#group24I2", "24I²"), =HYPERLINK("CSG0.html#group8D0", "8D⁰"), =HYPERLINK("CSG1.html#group12F1", "12F¹"), =HYPERLINK("CSG4.html#group48J4", "48J⁴"), =HYPERLINK("CSG0.html#group4C0", "4C⁰"), =HYPERLINK("CSG0.html#group9B0", "9B⁰"), =HYPERLINK("CSG7.html#group72D7", "72D⁷"), =HYPERLINK("CSG0.html#group1A0", "1A⁰"), =HYPERLINK("CSG0.html#group2B0", "2B⁰"), =HYPERLINK("CSG0.html#group6F0", "6F⁰"), =HYPERLINK("CSG3.html#group36G3", "36G³")</f>
        <v/>
      </c>
      <c r="N4286" t="inlineStr"/>
    </row>
    <row r="4287">
      <c r="A4287" t="inlineStr">
        <is>
          <t>150A¹⁵</t>
        </is>
      </c>
      <c r="B4287" t="inlineStr"/>
      <c r="C4287" t="inlineStr">
        <is>
          <t>180</t>
        </is>
      </c>
      <c r="D4287" t="inlineStr">
        <is>
          <t>1</t>
        </is>
      </c>
      <c r="E4287" t="inlineStr">
        <is>
          <t>30</t>
        </is>
      </c>
      <c r="F4287" t="inlineStr">
        <is>
          <t>0</t>
        </is>
      </c>
      <c r="G4287" t="inlineStr">
        <is>
          <t>0</t>
        </is>
      </c>
      <c r="H4287" t="inlineStr">
        <is>
          <t>30¹, 150¹</t>
        </is>
      </c>
      <c r="I4287" t="n">
        <v>2</v>
      </c>
      <c r="J4287" t="inlineStr">
        <is>
          <t>2², 4⁴, 20²</t>
        </is>
      </c>
      <c r="K4287">
        <f>HYPERLINK("CSG3.html#group30B3", "30B³"), =HYPERLINK("CSG5.html#group50A5", "50A⁵"), =HYPERLINK("CSG6.html#group75A6", "75A⁶")</f>
        <v/>
      </c>
      <c r="L4287" t="inlineStr"/>
      <c r="M4287">
        <f>HYPERLINK("CSG0.html#group2A0", "2A⁰"), =HYPERLINK("CSG0.html#group15B0", "15B⁰"), =HYPERLINK("CSG2.html#group25A2", "25A²"), =HYPERLINK("CSG0.html#group3A0", "3A⁰"), =HYPERLINK("CSG5.html#group50A5", "50A⁵"), =HYPERLINK("CSG0.html#group5B0", "5B⁰"), =HYPERLINK("CSG1.html#group10A1", "10A¹"), =HYPERLINK("CSG1.html#group6A1", "6A¹"), =HYPERLINK("CSG6.html#group75A6", "75A⁶"), =HYPERLINK("CSG0.html#group1A0", "1A⁰"), =HYPERLINK("CSG3.html#group30B3", "30B³")</f>
        <v/>
      </c>
      <c r="N4287" t="inlineStr"/>
    </row>
    <row r="4288">
      <c r="A4288" t="inlineStr">
        <is>
          <t>150B¹⁵</t>
        </is>
      </c>
      <c r="B4288" t="inlineStr"/>
      <c r="C4288" t="inlineStr">
        <is>
          <t>180</t>
        </is>
      </c>
      <c r="D4288" t="inlineStr">
        <is>
          <t>1</t>
        </is>
      </c>
      <c r="E4288" t="inlineStr">
        <is>
          <t>30</t>
        </is>
      </c>
      <c r="F4288" t="inlineStr">
        <is>
          <t>0</t>
        </is>
      </c>
      <c r="G4288" t="inlineStr">
        <is>
          <t>0</t>
        </is>
      </c>
      <c r="H4288" t="inlineStr">
        <is>
          <t>30¹, 150¹</t>
        </is>
      </c>
      <c r="I4288" t="n">
        <v>2</v>
      </c>
      <c r="J4288" t="inlineStr">
        <is>
          <t>2², 4⁴, 20²</t>
        </is>
      </c>
      <c r="K4288">
        <f>HYPERLINK("CSG3.html#group30B3", "30B³"), =HYPERLINK("CSG5.html#group50B5", "50B⁵"), =HYPERLINK("CSG6.html#group75B6", "75B⁶")</f>
        <v/>
      </c>
      <c r="L4288" t="inlineStr"/>
      <c r="M4288">
        <f>HYPERLINK("CSG0.html#group2A0", "2A⁰"), =HYPERLINK("CSG0.html#group15B0", "15B⁰"), =HYPERLINK("CSG5.html#group50B5", "50B⁵"), =HYPERLINK("CSG2.html#group25B2", "25B²"), =HYPERLINK("CSG0.html#group5B0", "5B⁰"), =HYPERLINK("CSG1.html#group10A1", "10A¹"), =HYPERLINK("CSG0.html#group1A0", "1A⁰"), =HYPERLINK("CSG1.html#group6A1", "6A¹"), =HYPERLINK("CSG0.html#group3A0", "3A⁰"), =HYPERLINK("CSG6.html#group75B6", "75B⁶"), =HYPERLINK("CSG3.html#group30B3", "30B³")</f>
        <v/>
      </c>
      <c r="N4288" t="inlineStr"/>
    </row>
    <row r="4289">
      <c r="A4289" t="inlineStr">
        <is>
          <t>150C¹⁵</t>
        </is>
      </c>
      <c r="B4289" t="inlineStr"/>
      <c r="C4289" t="inlineStr">
        <is>
          <t>180</t>
        </is>
      </c>
      <c r="D4289" t="inlineStr">
        <is>
          <t>1</t>
        </is>
      </c>
      <c r="E4289" t="inlineStr">
        <is>
          <t>30</t>
        </is>
      </c>
      <c r="F4289" t="inlineStr">
        <is>
          <t>0</t>
        </is>
      </c>
      <c r="G4289" t="inlineStr">
        <is>
          <t>0</t>
        </is>
      </c>
      <c r="H4289" t="inlineStr">
        <is>
          <t>30¹, 150¹</t>
        </is>
      </c>
      <c r="I4289" t="n">
        <v>2</v>
      </c>
      <c r="J4289" t="inlineStr">
        <is>
          <t>2², 4⁴, 20²</t>
        </is>
      </c>
      <c r="K4289">
        <f>HYPERLINK("CSG3.html#group30B3", "30B³"), =HYPERLINK("CSG5.html#group50C5", "50C⁵"), =HYPERLINK("CSG6.html#group75C6", "75C⁶")</f>
        <v/>
      </c>
      <c r="L4289" t="inlineStr"/>
      <c r="M4289">
        <f>HYPERLINK("CSG0.html#group2A0", "2A⁰"), =HYPERLINK("CSG0.html#group15B0", "15B⁰"), =HYPERLINK("CSG6.html#group75C6", "75C⁶"), =HYPERLINK("CSG0.html#group5B0", "5B⁰"), =HYPERLINK("CSG5.html#group50C5", "50C⁵"), =HYPERLINK("CSG1.html#group10A1", "10A¹"), =HYPERLINK("CSG1.html#group6A1", "6A¹"), =HYPERLINK("CSG0.html#group3A0", "3A⁰"), =HYPERLINK("CSG0.html#group1A0", "1A⁰"), =HYPERLINK("CSG2.html#group25C2", "25C²"), =HYPERLINK("CSG3.html#group30B3", "30B³")</f>
        <v/>
      </c>
      <c r="N4289" t="inlineStr"/>
    </row>
    <row r="4290">
      <c r="A4290" t="inlineStr">
        <is>
          <t>150D¹⁵</t>
        </is>
      </c>
      <c r="B4290" t="inlineStr"/>
      <c r="C4290" t="inlineStr">
        <is>
          <t>180</t>
        </is>
      </c>
      <c r="D4290" t="inlineStr">
        <is>
          <t>1</t>
        </is>
      </c>
      <c r="E4290" t="inlineStr">
        <is>
          <t>30</t>
        </is>
      </c>
      <c r="F4290" t="inlineStr">
        <is>
          <t>0</t>
        </is>
      </c>
      <c r="G4290" t="inlineStr">
        <is>
          <t>0</t>
        </is>
      </c>
      <c r="H4290" t="inlineStr">
        <is>
          <t>30¹, 150¹</t>
        </is>
      </c>
      <c r="I4290" t="n">
        <v>2</v>
      </c>
      <c r="J4290" t="inlineStr">
        <is>
          <t>2², 4⁴, 20²</t>
        </is>
      </c>
      <c r="K4290">
        <f>HYPERLINK("CSG3.html#group30B3", "30B³"), =HYPERLINK("CSG5.html#group50D5", "50D⁵"), =HYPERLINK("CSG6.html#group75D6", "75D⁶")</f>
        <v/>
      </c>
      <c r="L4290" t="inlineStr"/>
      <c r="M4290">
        <f>HYPERLINK("CSG0.html#group2A0", "2A⁰"), =HYPERLINK("CSG0.html#group15B0", "15B⁰"), =HYPERLINK("CSG2.html#group25D2", "25D²"), =HYPERLINK("CSG0.html#group5B0", "5B⁰"), =HYPERLINK("CSG5.html#group50D5", "50D⁵"), =HYPERLINK("CSG1.html#group10A1", "10A¹"), =HYPERLINK("CSG1.html#group6A1", "6A¹"), =HYPERLINK("CSG6.html#group75D6", "75D⁶"), =HYPERLINK("CSG0.html#group3A0", "3A⁰"), =HYPERLINK("CSG0.html#group1A0", "1A⁰"), =HYPERLINK("CSG3.html#group30B3", "30B³")</f>
        <v/>
      </c>
      <c r="N4290" t="inlineStr"/>
    </row>
    <row r="4291">
      <c r="A4291" t="inlineStr">
        <is>
          <t>150E¹⁵</t>
        </is>
      </c>
      <c r="B4291" t="inlineStr"/>
      <c r="C4291" t="inlineStr">
        <is>
          <t>180</t>
        </is>
      </c>
      <c r="D4291" t="inlineStr">
        <is>
          <t>1</t>
        </is>
      </c>
      <c r="E4291" t="inlineStr">
        <is>
          <t>60</t>
        </is>
      </c>
      <c r="F4291" t="inlineStr">
        <is>
          <t>0</t>
        </is>
      </c>
      <c r="G4291" t="inlineStr">
        <is>
          <t>0</t>
        </is>
      </c>
      <c r="H4291" t="inlineStr">
        <is>
          <t>30¹, 150¹</t>
        </is>
      </c>
      <c r="I4291" t="n">
        <v>2</v>
      </c>
      <c r="J4291" t="inlineStr">
        <is>
          <t>4², 8⁴, 40²</t>
        </is>
      </c>
      <c r="K4291">
        <f>HYPERLINK("CSG3.html#group30C3", "30C³"), =HYPERLINK("CSG5.html#group50A5", "50A⁵")</f>
        <v/>
      </c>
      <c r="L4291" t="inlineStr"/>
      <c r="M4291">
        <f>HYPERLINK("CSG0.html#group2A0", "2A⁰"), =HYPERLINK("CSG2.html#group25A2", "25A²"), =HYPERLINK("CSG0.html#group6A0", "6A⁰"), =HYPERLINK("CSG5.html#group50A5", "50A⁵"), =HYPERLINK("CSG3.html#group30C3", "30C³"), =HYPERLINK("CSG0.html#group5B0", "5B⁰"), =HYPERLINK("CSG1.html#group10A1", "10A¹"), =HYPERLINK("CSG0.html#group1A0", "1A⁰")</f>
        <v/>
      </c>
      <c r="N4291" t="inlineStr"/>
    </row>
    <row r="4292">
      <c r="A4292" t="inlineStr">
        <is>
          <t>150F¹⁵</t>
        </is>
      </c>
      <c r="B4292" t="inlineStr"/>
      <c r="C4292" t="inlineStr">
        <is>
          <t>180</t>
        </is>
      </c>
      <c r="D4292" t="inlineStr">
        <is>
          <t>1</t>
        </is>
      </c>
      <c r="E4292" t="inlineStr">
        <is>
          <t>60</t>
        </is>
      </c>
      <c r="F4292" t="inlineStr">
        <is>
          <t>0</t>
        </is>
      </c>
      <c r="G4292" t="inlineStr">
        <is>
          <t>0</t>
        </is>
      </c>
      <c r="H4292" t="inlineStr">
        <is>
          <t>30¹, 150¹</t>
        </is>
      </c>
      <c r="I4292" t="n">
        <v>2</v>
      </c>
      <c r="J4292" t="inlineStr">
        <is>
          <t>4², 8⁴, 40²</t>
        </is>
      </c>
      <c r="K4292">
        <f>HYPERLINK("CSG3.html#group30C3", "30C³"), =HYPERLINK("CSG5.html#group50B5", "50B⁵")</f>
        <v/>
      </c>
      <c r="L4292" t="inlineStr"/>
      <c r="M4292">
        <f>HYPERLINK("CSG0.html#group2A0", "2A⁰"), =HYPERLINK("CSG0.html#group6A0", "6A⁰"), =HYPERLINK("CSG5.html#group50B5", "50B⁵"), =HYPERLINK("CSG3.html#group30C3", "30C³"), =HYPERLINK("CSG0.html#group5B0", "5B⁰"), =HYPERLINK("CSG1.html#group10A1", "10A¹"), =HYPERLINK("CSG0.html#group1A0", "1A⁰"), =HYPERLINK("CSG2.html#group25B2", "25B²")</f>
        <v/>
      </c>
      <c r="N4292" t="inlineStr"/>
    </row>
    <row r="4293">
      <c r="A4293" t="inlineStr">
        <is>
          <t>150G¹⁵</t>
        </is>
      </c>
      <c r="B4293" t="inlineStr"/>
      <c r="C4293" t="inlineStr">
        <is>
          <t>180</t>
        </is>
      </c>
      <c r="D4293" t="inlineStr">
        <is>
          <t>1</t>
        </is>
      </c>
      <c r="E4293" t="inlineStr">
        <is>
          <t>60</t>
        </is>
      </c>
      <c r="F4293" t="inlineStr">
        <is>
          <t>0</t>
        </is>
      </c>
      <c r="G4293" t="inlineStr">
        <is>
          <t>0</t>
        </is>
      </c>
      <c r="H4293" t="inlineStr">
        <is>
          <t>30¹, 150¹</t>
        </is>
      </c>
      <c r="I4293" t="n">
        <v>2</v>
      </c>
      <c r="J4293" t="inlineStr">
        <is>
          <t>4², 8⁴, 40²</t>
        </is>
      </c>
      <c r="K4293">
        <f>HYPERLINK("CSG3.html#group30C3", "30C³"), =HYPERLINK("CSG5.html#group50C5", "50C⁵")</f>
        <v/>
      </c>
      <c r="L4293" t="inlineStr"/>
      <c r="M4293">
        <f>HYPERLINK("CSG0.html#group2A0", "2A⁰"), =HYPERLINK("CSG0.html#group6A0", "6A⁰"), =HYPERLINK("CSG3.html#group30C3", "30C³"), =HYPERLINK("CSG0.html#group5B0", "5B⁰"), =HYPERLINK("CSG5.html#group50C5", "50C⁵"), =HYPERLINK("CSG1.html#group10A1", "10A¹"), =HYPERLINK("CSG0.html#group1A0", "1A⁰"), =HYPERLINK("CSG2.html#group25C2", "25C²")</f>
        <v/>
      </c>
      <c r="N4293" t="inlineStr"/>
    </row>
    <row r="4294">
      <c r="A4294" t="inlineStr">
        <is>
          <t>150H¹⁵</t>
        </is>
      </c>
      <c r="B4294" t="inlineStr"/>
      <c r="C4294" t="inlineStr">
        <is>
          <t>180</t>
        </is>
      </c>
      <c r="D4294" t="inlineStr">
        <is>
          <t>1</t>
        </is>
      </c>
      <c r="E4294" t="inlineStr">
        <is>
          <t>60</t>
        </is>
      </c>
      <c r="F4294" t="inlineStr">
        <is>
          <t>0</t>
        </is>
      </c>
      <c r="G4294" t="inlineStr">
        <is>
          <t>0</t>
        </is>
      </c>
      <c r="H4294" t="inlineStr">
        <is>
          <t>30¹, 150¹</t>
        </is>
      </c>
      <c r="I4294" t="n">
        <v>2</v>
      </c>
      <c r="J4294" t="inlineStr">
        <is>
          <t>4², 8⁴, 40²</t>
        </is>
      </c>
      <c r="K4294">
        <f>HYPERLINK("CSG3.html#group30C3", "30C³"), =HYPERLINK("CSG5.html#group50D5", "50D⁵")</f>
        <v/>
      </c>
      <c r="L4294" t="inlineStr"/>
      <c r="M4294">
        <f>HYPERLINK("CSG0.html#group2A0", "2A⁰"), =HYPERLINK("CSG0.html#group6A0", "6A⁰"), =HYPERLINK("CSG3.html#group30C3", "30C³"), =HYPERLINK("CSG0.html#group5B0", "5B⁰"), =HYPERLINK("CSG5.html#group50D5", "50D⁵"), =HYPERLINK("CSG1.html#group10A1", "10A¹"), =HYPERLINK("CSG0.html#group1A0", "1A⁰"), =HYPERLINK("CSG2.html#group25D2", "25D²")</f>
        <v/>
      </c>
      <c r="N4294" t="inlineStr"/>
    </row>
    <row r="4295">
      <c r="A4295" t="inlineStr">
        <is>
          <t>150I¹⁵</t>
        </is>
      </c>
      <c r="B4295" t="inlineStr"/>
      <c r="C4295" t="inlineStr">
        <is>
          <t>240</t>
        </is>
      </c>
      <c r="D4295" t="inlineStr">
        <is>
          <t>1</t>
        </is>
      </c>
      <c r="E4295" t="inlineStr">
        <is>
          <t>120</t>
        </is>
      </c>
      <c r="F4295" t="inlineStr">
        <is>
          <t>0</t>
        </is>
      </c>
      <c r="G4295" t="inlineStr">
        <is>
          <t>0</t>
        </is>
      </c>
      <c r="H4295" t="inlineStr">
        <is>
          <t>2⁵, 6⁵, 50¹, 150¹</t>
        </is>
      </c>
      <c r="I4295" t="n">
        <v>12</v>
      </c>
      <c r="J4295" t="inlineStr">
        <is>
          <t>1⁴, 2², 4⁴, 8², 20², 40¹</t>
        </is>
      </c>
      <c r="K4295">
        <f>HYPERLINK("CSG2.html#group50A2", "50A²"), =HYPERLINK("CSG3.html#group30F3", "30F³"), =HYPERLINK("CSG5.html#group75A5", "75A⁵")</f>
        <v/>
      </c>
      <c r="L4295" t="inlineStr"/>
      <c r="M4295">
        <f>HYPERLINK("CSG1.html#group15C1", "15C¹"), =HYPERLINK("CSG0.html#group3B0", "3B⁰"), =HYPERLINK("CSG3.html#group30F3", "30F³"), =HYPERLINK("CSG5.html#group75A5", "75A⁵"), =HYPERLINK("CSG2.html#group50A2", "50A²"), =HYPERLINK("CSG0.html#group25A0", "25A⁰"), =HYPERLINK("CSG0.html#group5B0", "5B⁰"), =HYPERLINK("CSG0.html#group1A0", "1A⁰"), =HYPERLINK("CSG0.html#group10B0", "10B⁰")</f>
        <v/>
      </c>
      <c r="N4295" t="inlineStr"/>
    </row>
    <row r="4296">
      <c r="A4296" t="inlineStr">
        <is>
          <t>150J¹⁵</t>
        </is>
      </c>
      <c r="B4296" t="inlineStr"/>
      <c r="C4296" t="inlineStr">
        <is>
          <t>240</t>
        </is>
      </c>
      <c r="D4296" t="inlineStr">
        <is>
          <t>1</t>
        </is>
      </c>
      <c r="E4296" t="inlineStr">
        <is>
          <t>120</t>
        </is>
      </c>
      <c r="F4296" t="inlineStr">
        <is>
          <t>0</t>
        </is>
      </c>
      <c r="G4296" t="inlineStr">
        <is>
          <t>0</t>
        </is>
      </c>
      <c r="H4296" t="inlineStr">
        <is>
          <t>2⁵, 6⁵, 50¹, 150¹</t>
        </is>
      </c>
      <c r="I4296" t="n">
        <v>12</v>
      </c>
      <c r="J4296" t="inlineStr">
        <is>
          <t>1⁴, 2², 4⁴, 8², 20², 40¹</t>
        </is>
      </c>
      <c r="K4296">
        <f>HYPERLINK("CSG3.html#group30G3", "30G³"), =HYPERLINK("CSG3.html#group50A3", "50A³"), =HYPERLINK("CSG5.html#group75A5", "75A⁵")</f>
        <v/>
      </c>
      <c r="L4296" t="inlineStr"/>
      <c r="M4296">
        <f>HYPERLINK("CSG0.html#group2A0", "2A⁰"), =HYPERLINK("CSG1.html#group15C1", "15C¹"), =HYPERLINK("CSG0.html#group3B0", "3B⁰"), =HYPERLINK("CSG5.html#group75A5", "75A⁵"), =HYPERLINK("CSG0.html#group6C0", "6C⁰"), =HYPERLINK("CSG3.html#group50A3", "50A³"), =HYPERLINK("CSG0.html#group25A0", "25A⁰"), =HYPERLINK("CSG0.html#group5B0", "5B⁰"), =HYPERLINK("CSG1.html#group10A1", "10A¹"), =HYPERLINK("CSG3.html#group30G3", "30G³"), =HYPERLINK("CSG0.html#group1A0", "1A⁰")</f>
        <v/>
      </c>
      <c r="N4296" t="inlineStr"/>
    </row>
    <row r="4297">
      <c r="A4297" t="inlineStr">
        <is>
          <t>153A¹⁵</t>
        </is>
      </c>
      <c r="B4297" t="inlineStr">
        <is>
          <t>Γ₀(153)</t>
        </is>
      </c>
      <c r="C4297" t="inlineStr">
        <is>
          <t>216</t>
        </is>
      </c>
      <c r="D4297" t="inlineStr">
        <is>
          <t>1</t>
        </is>
      </c>
      <c r="E4297" t="inlineStr">
        <is>
          <t>72</t>
        </is>
      </c>
      <c r="F4297" t="inlineStr">
        <is>
          <t>0</t>
        </is>
      </c>
      <c r="G4297" t="inlineStr">
        <is>
          <t>0</t>
        </is>
      </c>
      <c r="H4297" t="inlineStr">
        <is>
          <t>1³, 9¹, 17³, 153¹</t>
        </is>
      </c>
      <c r="I4297" t="n">
        <v>8</v>
      </c>
      <c r="J4297" t="inlineStr">
        <is>
          <t>1⁴, 2², 16², 32¹</t>
        </is>
      </c>
      <c r="K4297">
        <f>HYPERLINK("CSG0.html#group9B0", "9B⁰"), =HYPERLINK("CSG5.html#group51A5", "51A⁵")</f>
        <v/>
      </c>
      <c r="L4297" t="inlineStr"/>
      <c r="M4297">
        <f>HYPERLINK("CSG0.html#group3B0", "3B⁰"), =HYPERLINK("CSG0.html#group9B0", "9B⁰"), =HYPERLINK("CSG1.html#group17A1", "17A¹"), =HYPERLINK("CSG5.html#group51A5", "51A⁵"), =HYPERLINK("CSG0.html#group1A0", "1A⁰")</f>
        <v/>
      </c>
      <c r="N4297" t="inlineStr"/>
    </row>
    <row r="4298">
      <c r="A4298" t="inlineStr">
        <is>
          <t>154A¹⁵</t>
        </is>
      </c>
      <c r="B4298" t="inlineStr"/>
      <c r="C4298" t="inlineStr">
        <is>
          <t>192</t>
        </is>
      </c>
      <c r="D4298" t="inlineStr">
        <is>
          <t>1</t>
        </is>
      </c>
      <c r="E4298" t="inlineStr">
        <is>
          <t>96</t>
        </is>
      </c>
      <c r="F4298" t="inlineStr">
        <is>
          <t>0</t>
        </is>
      </c>
      <c r="G4298" t="inlineStr">
        <is>
          <t>0</t>
        </is>
      </c>
      <c r="H4298" t="inlineStr">
        <is>
          <t>2¹, 14¹, 22¹, 154¹</t>
        </is>
      </c>
      <c r="I4298" t="n">
        <v>4</v>
      </c>
      <c r="J4298" t="inlineStr">
        <is>
          <t>1⁴, 6², 10², 60¹</t>
        </is>
      </c>
      <c r="K4298">
        <f>HYPERLINK("CSG7.html#group77B7", "77B⁷")</f>
        <v/>
      </c>
      <c r="L4298" t="inlineStr"/>
      <c r="M4298">
        <f>HYPERLINK("CSG0.html#group1A0", "1A⁰"), =HYPERLINK("CSG0.html#group7B0", "7B⁰"), =HYPERLINK("CSG7.html#group77B7", "77B⁷"), =HYPERLINK("CSG1.html#group11A1", "11A¹")</f>
        <v/>
      </c>
      <c r="N4298" t="inlineStr"/>
    </row>
    <row r="4299">
      <c r="A4299" t="inlineStr">
        <is>
          <t>154B¹⁵</t>
        </is>
      </c>
      <c r="B4299" t="inlineStr"/>
      <c r="C4299" t="inlineStr">
        <is>
          <t>192</t>
        </is>
      </c>
      <c r="D4299" t="inlineStr">
        <is>
          <t>1</t>
        </is>
      </c>
      <c r="E4299" t="inlineStr">
        <is>
          <t>96</t>
        </is>
      </c>
      <c r="F4299" t="inlineStr">
        <is>
          <t>0</t>
        </is>
      </c>
      <c r="G4299" t="inlineStr">
        <is>
          <t>0</t>
        </is>
      </c>
      <c r="H4299" t="inlineStr">
        <is>
          <t>2¹, 14¹, 22¹, 154¹</t>
        </is>
      </c>
      <c r="I4299" t="n">
        <v>4</v>
      </c>
      <c r="J4299" t="inlineStr">
        <is>
          <t>1⁴, 6², 10², 60¹</t>
        </is>
      </c>
      <c r="K4299">
        <f>HYPERLINK("CSG2.html#group22A2", "22A²"), =HYPERLINK("CSG7.html#group77B7", "77B⁷")</f>
        <v/>
      </c>
      <c r="L4299" t="inlineStr"/>
      <c r="M4299">
        <f>HYPERLINK("CSG0.html#group2A0", "2A⁰"), =HYPERLINK("CSG0.html#group7B0", "7B⁰"), =HYPERLINK("CSG7.html#group77B7", "77B⁷"), =HYPERLINK("CSG0.html#group1A0", "1A⁰"), =HYPERLINK("CSG1.html#group11A1", "11A¹"), =HYPERLINK("CSG2.html#group22A2", "22A²")</f>
        <v/>
      </c>
      <c r="N4299" t="inlineStr"/>
    </row>
    <row r="4300">
      <c r="A4300" t="inlineStr">
        <is>
          <t>155A¹⁵</t>
        </is>
      </c>
      <c r="B4300" t="inlineStr">
        <is>
          <t>Γ₀(155)</t>
        </is>
      </c>
      <c r="C4300" t="inlineStr">
        <is>
          <t>192</t>
        </is>
      </c>
      <c r="D4300" t="inlineStr">
        <is>
          <t>1</t>
        </is>
      </c>
      <c r="E4300" t="inlineStr">
        <is>
          <t>192</t>
        </is>
      </c>
      <c r="F4300" t="inlineStr">
        <is>
          <t>0</t>
        </is>
      </c>
      <c r="G4300" t="inlineStr">
        <is>
          <t>0</t>
        </is>
      </c>
      <c r="H4300" t="inlineStr">
        <is>
          <t>1¹, 5¹, 31¹, 155¹</t>
        </is>
      </c>
      <c r="I4300" t="n">
        <v>4</v>
      </c>
      <c r="J4300" t="inlineStr">
        <is>
          <t>1⁴, 4², 30², 120¹</t>
        </is>
      </c>
      <c r="K4300">
        <f>HYPERLINK("CSG0.html#group5B0", "5B⁰"), =HYPERLINK("CSG2.html#group31A2", "31A²")</f>
        <v/>
      </c>
      <c r="L4300" t="inlineStr"/>
      <c r="M4300">
        <f>HYPERLINK("CSG0.html#group5B0", "5B⁰"), =HYPERLINK("CSG2.html#group31A2", "31A²"), =HYPERLINK("CSG0.html#group1A0", "1A⁰")</f>
        <v/>
      </c>
      <c r="N4300" t="inlineStr"/>
    </row>
    <row r="4301">
      <c r="A4301" t="inlineStr">
        <is>
          <t>156A¹⁵</t>
        </is>
      </c>
      <c r="B4301" t="inlineStr"/>
      <c r="C4301" t="inlineStr">
        <is>
          <t>224</t>
        </is>
      </c>
      <c r="D4301" t="inlineStr">
        <is>
          <t>1</t>
        </is>
      </c>
      <c r="E4301" t="inlineStr">
        <is>
          <t>56</t>
        </is>
      </c>
      <c r="F4301" t="inlineStr">
        <is>
          <t>0</t>
        </is>
      </c>
      <c r="G4301" t="inlineStr">
        <is>
          <t>8</t>
        </is>
      </c>
      <c r="H4301" t="inlineStr">
        <is>
          <t>4¹, 12¹, 52¹, 156¹</t>
        </is>
      </c>
      <c r="I4301" t="n">
        <v>4</v>
      </c>
      <c r="J4301" t="inlineStr">
        <is>
          <t>1⁴, 2², 12², 24¹</t>
        </is>
      </c>
      <c r="K4301">
        <f>HYPERLINK("CSG7.html#group78C7", "78C⁷")</f>
        <v/>
      </c>
      <c r="L4301" t="inlineStr"/>
      <c r="M4301">
        <f>HYPERLINK("CSG0.html#group2A0", "2A⁰"), =HYPERLINK("CSG0.html#group3B0", "3B⁰"), =HYPERLINK("CSG1.html#group26A1", "26A¹"), =HYPERLINK("CSG3.html#group39A3", "39A³"), =HYPERLINK("CSG7.html#group78C7", "78C⁷"), =HYPERLINK("CSG0.html#group6C0", "6C⁰"), =HYPERLINK("CSG0.html#group13A0", "13A⁰"), =HYPERLINK("CSG0.html#group1A0", "1A⁰")</f>
        <v/>
      </c>
      <c r="N4301" t="inlineStr"/>
    </row>
    <row r="4302">
      <c r="A4302" t="inlineStr">
        <is>
          <t>156B¹⁵</t>
        </is>
      </c>
      <c r="B4302" t="inlineStr"/>
      <c r="C4302" t="inlineStr">
        <is>
          <t>224</t>
        </is>
      </c>
      <c r="D4302" t="inlineStr">
        <is>
          <t>1</t>
        </is>
      </c>
      <c r="E4302" t="inlineStr">
        <is>
          <t>56</t>
        </is>
      </c>
      <c r="F4302" t="inlineStr">
        <is>
          <t>0</t>
        </is>
      </c>
      <c r="G4302" t="inlineStr">
        <is>
          <t>8</t>
        </is>
      </c>
      <c r="H4302" t="inlineStr">
        <is>
          <t>4¹, 12¹, 52¹, 156¹</t>
        </is>
      </c>
      <c r="I4302" t="n">
        <v>4</v>
      </c>
      <c r="J4302" t="inlineStr">
        <is>
          <t>1⁴, 2², 12², 24¹</t>
        </is>
      </c>
      <c r="K4302">
        <f>HYPERLINK("CSG0.html#group12B0", "12B⁰"), =HYPERLINK("CSG7.html#group78C7", "78C⁷")</f>
        <v/>
      </c>
      <c r="L4302" t="inlineStr"/>
      <c r="M4302">
        <f>HYPERLINK("CSG0.html#group2A0", "2A⁰"), =HYPERLINK("CSG0.html#group3B0", "3B⁰"), =HYPERLINK("CSG1.html#group26A1", "26A¹"), =HYPERLINK("CSG3.html#group39A3", "39A³"), =HYPERLINK("CSG7.html#group78C7", "78C⁷"), =HYPERLINK("CSG0.html#group6C0", "6C⁰"), =HYPERLINK("CSG0.html#group13A0", "13A⁰"), =HYPERLINK("CSG0.html#group1A0", "1A⁰"), =HYPERLINK("CSG0.html#group12B0", "12B⁰")</f>
        <v/>
      </c>
      <c r="N4302" t="inlineStr"/>
    </row>
    <row r="4303">
      <c r="A4303" t="inlineStr">
        <is>
          <t>156C¹⁵</t>
        </is>
      </c>
      <c r="B4303" t="inlineStr"/>
      <c r="C4303" t="inlineStr">
        <is>
          <t>224</t>
        </is>
      </c>
      <c r="D4303" t="inlineStr">
        <is>
          <t>2</t>
        </is>
      </c>
      <c r="E4303" t="inlineStr">
        <is>
          <t>56</t>
        </is>
      </c>
      <c r="F4303" t="inlineStr">
        <is>
          <t>0</t>
        </is>
      </c>
      <c r="G4303" t="inlineStr">
        <is>
          <t>8</t>
        </is>
      </c>
      <c r="H4303" t="inlineStr">
        <is>
          <t>4¹, 12¹, 52¹, 156¹</t>
        </is>
      </c>
      <c r="I4303" t="n">
        <v>4</v>
      </c>
      <c r="J4303" t="inlineStr">
        <is>
          <t>2⁴, 4², 24², 48¹</t>
        </is>
      </c>
      <c r="K4303">
        <f>HYPERLINK("CSG1.html#group52A1", "52A¹"), =HYPERLINK("CSG7.html#group78B7", "78B⁷")</f>
        <v/>
      </c>
      <c r="L4303" t="inlineStr"/>
      <c r="M4303">
        <f>HYPERLINK("CSG0.html#group3B0", "3B⁰"), =HYPERLINK("CSG3.html#group39A3", "39A³"), =HYPERLINK("CSG0.html#group13A0", "13A⁰"), =HYPERLINK("CSG7.html#group78B7", "78B⁷"), =HYPERLINK("CSG0.html#group26A0", "26A⁰"), =HYPERLINK("CSG1.html#group52A1", "52A¹"), =HYPERLINK("CSG0.html#group1A0", "1A⁰")</f>
        <v/>
      </c>
      <c r="N4303" t="inlineStr"/>
    </row>
    <row r="4304">
      <c r="A4304" t="inlineStr">
        <is>
          <t>160A¹⁵</t>
        </is>
      </c>
      <c r="B4304" t="inlineStr"/>
      <c r="C4304" t="inlineStr">
        <is>
          <t>288</t>
        </is>
      </c>
      <c r="D4304" t="inlineStr">
        <is>
          <t>1</t>
        </is>
      </c>
      <c r="E4304" t="inlineStr">
        <is>
          <t>36</t>
        </is>
      </c>
      <c r="F4304" t="inlineStr">
        <is>
          <t>0</t>
        </is>
      </c>
      <c r="G4304" t="inlineStr">
        <is>
          <t>0</t>
        </is>
      </c>
      <c r="H4304" t="inlineStr">
        <is>
          <t>1⁸, 5⁸, 8¹, 32¹, 40¹, 160¹</t>
        </is>
      </c>
      <c r="I4304" t="n">
        <v>20</v>
      </c>
      <c r="J4304" t="inlineStr">
        <is>
          <t>1⁸, 2², 4⁴, 8¹</t>
        </is>
      </c>
      <c r="K4304">
        <f>HYPERLINK("CSG7.html#group80F7", "80F⁷")</f>
        <v/>
      </c>
      <c r="L4304" t="inlineStr"/>
      <c r="M4304">
        <f>HYPERLINK("CSG7.html#group80F7", "80F⁷"), =HYPERLINK("CSG3.html#group40F3", "40F³"), =HYPERLINK("CSG0.html#group16C0", "16C⁰"), =HYPERLINK("CSG0.html#group5B0", "5B⁰"),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4304" t="inlineStr"/>
    </row>
    <row r="4305">
      <c r="A4305" t="inlineStr">
        <is>
          <t>160B¹⁵</t>
        </is>
      </c>
      <c r="B4305" t="inlineStr"/>
      <c r="C4305" t="inlineStr">
        <is>
          <t>288</t>
        </is>
      </c>
      <c r="D4305" t="inlineStr">
        <is>
          <t>1</t>
        </is>
      </c>
      <c r="E4305" t="inlineStr">
        <is>
          <t>36</t>
        </is>
      </c>
      <c r="F4305" t="inlineStr">
        <is>
          <t>0</t>
        </is>
      </c>
      <c r="G4305" t="inlineStr">
        <is>
          <t>0</t>
        </is>
      </c>
      <c r="H4305" t="inlineStr">
        <is>
          <t>1⁸, 5⁸, 8¹, 32¹, 40¹, 160¹</t>
        </is>
      </c>
      <c r="I4305" t="n">
        <v>20</v>
      </c>
      <c r="J4305" t="inlineStr">
        <is>
          <t>1⁸, 2², 4⁴, 8¹</t>
        </is>
      </c>
      <c r="K4305">
        <f>HYPERLINK("CSG0.html#group32A0", "32A⁰"), =HYPERLINK("CSG7.html#group80F7", "80F⁷")</f>
        <v/>
      </c>
      <c r="L4305" t="inlineStr"/>
      <c r="M4305">
        <f>HYPERLINK("CSG7.html#group80F7", "80F⁷"), =HYPERLINK("CSG3.html#group40F3", "40F³"), =HYPERLINK("CSG0.html#group16C0", "16C⁰"), =HYPERLINK("CSG0.html#group32A0", "32A⁰"), =HYPERLINK("CSG0.html#group5B0", "5B⁰"),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4305" t="inlineStr"/>
    </row>
    <row r="4306">
      <c r="A4306" t="inlineStr">
        <is>
          <t>160C¹⁵</t>
        </is>
      </c>
      <c r="B4306" t="inlineStr"/>
      <c r="C4306" t="inlineStr">
        <is>
          <t>288</t>
        </is>
      </c>
      <c r="D4306" t="inlineStr">
        <is>
          <t>2</t>
        </is>
      </c>
      <c r="E4306" t="inlineStr">
        <is>
          <t>36</t>
        </is>
      </c>
      <c r="F4306" t="inlineStr">
        <is>
          <t>0</t>
        </is>
      </c>
      <c r="G4306" t="inlineStr">
        <is>
          <t>0</t>
        </is>
      </c>
      <c r="H4306" t="inlineStr">
        <is>
          <t>1⁸, 5⁸, 8¹, 32¹, 40¹, 160¹</t>
        </is>
      </c>
      <c r="I4306" t="n">
        <v>20</v>
      </c>
      <c r="J4306" t="inlineStr">
        <is>
          <t>2¹², 8⁶</t>
        </is>
      </c>
      <c r="K4306">
        <f>HYPERLINK("CSG7.html#group80E7", "80E⁷")</f>
        <v/>
      </c>
      <c r="L4306" t="inlineStr"/>
      <c r="M4306">
        <f>HYPERLINK("CSG3.html#group40F3", "40F³"), =HYPERLINK("CSG0.html#group5B0", "5B⁰"), =HYPERLINK("CSG7.html#group80E7", "80E⁷"),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4306" t="inlineStr"/>
    </row>
    <row r="4307">
      <c r="A4307" t="inlineStr">
        <is>
          <t>161A¹⁵</t>
        </is>
      </c>
      <c r="B4307" t="inlineStr">
        <is>
          <t>Γ₀(161)</t>
        </is>
      </c>
      <c r="C4307" t="inlineStr">
        <is>
          <t>192</t>
        </is>
      </c>
      <c r="D4307" t="inlineStr">
        <is>
          <t>1</t>
        </is>
      </c>
      <c r="E4307" t="inlineStr">
        <is>
          <t>192</t>
        </is>
      </c>
      <c r="F4307" t="inlineStr">
        <is>
          <t>0</t>
        </is>
      </c>
      <c r="G4307" t="inlineStr">
        <is>
          <t>0</t>
        </is>
      </c>
      <c r="H4307" t="inlineStr">
        <is>
          <t>1¹, 7¹, 23¹, 161¹</t>
        </is>
      </c>
      <c r="I4307" t="n">
        <v>4</v>
      </c>
      <c r="J4307" t="inlineStr">
        <is>
          <t>1⁴, 6², 22², 132¹</t>
        </is>
      </c>
      <c r="K4307">
        <f>HYPERLINK("CSG0.html#group7B0", "7B⁰"), =HYPERLINK("CSG2.html#group23A2", "23A²")</f>
        <v/>
      </c>
      <c r="L4307" t="inlineStr"/>
      <c r="M4307">
        <f>HYPERLINK("CSG0.html#group1A0", "1A⁰"), =HYPERLINK("CSG0.html#group7B0", "7B⁰"), =HYPERLINK("CSG2.html#group23A2", "23A²")</f>
        <v/>
      </c>
      <c r="N4307" t="inlineStr"/>
    </row>
    <row r="4308">
      <c r="A4308" t="inlineStr">
        <is>
          <t>165A¹⁵</t>
        </is>
      </c>
      <c r="B4308" t="inlineStr"/>
      <c r="C4308" t="inlineStr">
        <is>
          <t>180</t>
        </is>
      </c>
      <c r="D4308" t="inlineStr">
        <is>
          <t>1</t>
        </is>
      </c>
      <c r="E4308" t="inlineStr">
        <is>
          <t>60</t>
        </is>
      </c>
      <c r="F4308" t="inlineStr">
        <is>
          <t>0</t>
        </is>
      </c>
      <c r="G4308" t="inlineStr">
        <is>
          <t>0</t>
        </is>
      </c>
      <c r="H4308" t="inlineStr">
        <is>
          <t>15¹, 165¹</t>
        </is>
      </c>
      <c r="I4308" t="n">
        <v>2</v>
      </c>
      <c r="J4308" t="inlineStr">
        <is>
          <t>1², 4², 10¹, 40¹</t>
        </is>
      </c>
      <c r="K4308">
        <f>HYPERLINK("CSG1.html#group15A1", "15A¹"), =HYPERLINK("CSG3.html#group33A3", "33A³"), =HYPERLINK("CSG5.html#group55A5", "55A⁵")</f>
        <v/>
      </c>
      <c r="L4308" t="inlineStr"/>
      <c r="M4308">
        <f>HYPERLINK("CSG0.html#group5A0", "5A⁰"), =HYPERLINK("CSG1.html#group11A1", "11A¹"), =HYPERLINK("CSG3.html#group33A3", "33A³"), =HYPERLINK("CSG0.html#group3A0", "3A⁰"), =HYPERLINK("CSG5.html#group55A5", "55A⁵"), =HYPERLINK("CSG0.html#group1A0", "1A⁰"), =HYPERLINK("CSG1.html#group15A1", "15A¹")</f>
        <v/>
      </c>
      <c r="N4308" t="inlineStr"/>
    </row>
    <row r="4309">
      <c r="A4309" t="inlineStr">
        <is>
          <t>165B¹⁵</t>
        </is>
      </c>
      <c r="B4309" t="inlineStr"/>
      <c r="C4309" t="inlineStr">
        <is>
          <t>180</t>
        </is>
      </c>
      <c r="D4309" t="inlineStr">
        <is>
          <t>2</t>
        </is>
      </c>
      <c r="E4309" t="inlineStr">
        <is>
          <t>60</t>
        </is>
      </c>
      <c r="F4309" t="inlineStr">
        <is>
          <t>0</t>
        </is>
      </c>
      <c r="G4309" t="inlineStr">
        <is>
          <t>0</t>
        </is>
      </c>
      <c r="H4309" t="inlineStr">
        <is>
          <t>15¹, 165¹</t>
        </is>
      </c>
      <c r="I4309" t="n">
        <v>2</v>
      </c>
      <c r="J4309" t="inlineStr">
        <is>
          <t>2², 8², 20¹, 80¹</t>
        </is>
      </c>
      <c r="K4309">
        <f>HYPERLINK("CSG0.html#group15A0", "15A⁰"), =HYPERLINK("CSG5.html#group55A5", "55A⁵")</f>
        <v/>
      </c>
      <c r="L4309" t="inlineStr"/>
      <c r="M4309">
        <f>HYPERLINK("CSG0.html#group5A0", "5A⁰"), =HYPERLINK("CSG5.html#group55A5", "55A⁵"), =HYPERLINK("CSG0.html#group1A0", "1A⁰"), =HYPERLINK("CSG1.html#group11A1", "11A¹"), =HYPERLINK("CSG0.html#group15A0", "15A⁰")</f>
        <v/>
      </c>
      <c r="N4309" t="inlineStr"/>
    </row>
    <row r="4310">
      <c r="A4310" t="inlineStr">
        <is>
          <t>168A¹⁵</t>
        </is>
      </c>
      <c r="B4310" t="inlineStr"/>
      <c r="C4310" t="inlineStr">
        <is>
          <t>252</t>
        </is>
      </c>
      <c r="D4310" t="inlineStr">
        <is>
          <t>2</t>
        </is>
      </c>
      <c r="E4310" t="inlineStr">
        <is>
          <t>21</t>
        </is>
      </c>
      <c r="F4310" t="inlineStr">
        <is>
          <t>24</t>
        </is>
      </c>
      <c r="G4310" t="inlineStr">
        <is>
          <t>0</t>
        </is>
      </c>
      <c r="H4310" t="inlineStr">
        <is>
          <t>84¹, 168¹</t>
        </is>
      </c>
      <c r="I4310" t="n">
        <v>2</v>
      </c>
      <c r="J4310" t="inlineStr">
        <is>
          <t>2³, 6⁶</t>
        </is>
      </c>
      <c r="K4310">
        <f>HYPERLINK("CSG5.html#group56A5", "56A⁵"), =HYPERLINK("CSG6.html#group84B6", "84B⁶")</f>
        <v/>
      </c>
      <c r="L4310" t="inlineStr"/>
      <c r="M4310">
        <f>HYPERLINK("CSG2.html#group28C2", "28C²"), =HYPERLINK("CSG0.html#group12C0", "12C⁰"), =HYPERLINK("CSG1.html#group14B1", "14B¹"), =HYPERLINK("CSG0.html#group4C0", "4C⁰"), =HYPERLINK("CSG0.html#group21A0", "21A⁰"), =HYPERLINK("CSG0.html#group2B0", "2B⁰"), =HYPERLINK("CSG5.html#group56A5", "56A⁵"), =HYPERLINK("CSG0.html#group3A0", "3A⁰"), =HYPERLINK("CSG0.html#group1A0", "1A⁰"), =HYPERLINK("CSG3.html#group42C3", "42C³"), =HYPERLINK("CSG6.html#group84B6", "84B⁶"), =HYPERLINK("CSG0.html#group6D0", "6D⁰"), =HYPERLINK("CSG0.html#group7A0", "7A⁰")</f>
        <v/>
      </c>
      <c r="N4310" t="inlineStr"/>
    </row>
    <row r="4311">
      <c r="A4311" t="inlineStr">
        <is>
          <t>168B¹⁵</t>
        </is>
      </c>
      <c r="B4311" t="inlineStr"/>
      <c r="C4311" t="inlineStr">
        <is>
          <t>252</t>
        </is>
      </c>
      <c r="D4311" t="inlineStr">
        <is>
          <t>2</t>
        </is>
      </c>
      <c r="E4311" t="inlineStr">
        <is>
          <t>63</t>
        </is>
      </c>
      <c r="F4311" t="inlineStr">
        <is>
          <t>24</t>
        </is>
      </c>
      <c r="G4311" t="inlineStr">
        <is>
          <t>0</t>
        </is>
      </c>
      <c r="H4311" t="inlineStr">
        <is>
          <t>84¹, 168¹</t>
        </is>
      </c>
      <c r="I4311" t="n">
        <v>2</v>
      </c>
      <c r="J4311" t="inlineStr">
        <is>
          <t>2³, 4³, 6⁶, 12⁶</t>
        </is>
      </c>
      <c r="K4311">
        <f>HYPERLINK("CSG1.html#group24D1", "24D¹"), =HYPERLINK("CSG6.html#group84B6", "84B⁶")</f>
        <v/>
      </c>
      <c r="L4311" t="inlineStr"/>
      <c r="M4311">
        <f>HYPERLINK("CSG2.html#group28C2", "28C²"), =HYPERLINK("CSG0.html#group12C0", "12C⁰"), =HYPERLINK("CSG1.html#group14B1", "14B¹"), =HYPERLINK("CSG0.html#group4C0", "4C⁰"), =HYPERLINK("CSG1.html#group24D1", "24D¹"), =HYPERLINK("CSG0.html#group21A0", "21A⁰"), =HYPERLINK("CSG0.html#group2B0", "2B⁰"), =HYPERLINK("CSG0.html#group3A0", "3A⁰"), =HYPERLINK("CSG0.html#group1A0", "1A⁰"), =HYPERLINK("CSG3.html#group42C3", "42C³"), =HYPERLINK("CSG6.html#group84B6", "84B⁶"), =HYPERLINK("CSG0.html#group6D0", "6D⁰"), =HYPERLINK("CSG0.html#group7A0", "7A⁰")</f>
        <v/>
      </c>
      <c r="N4311" t="inlineStr"/>
    </row>
    <row r="4312">
      <c r="A4312" t="inlineStr">
        <is>
          <t>170A¹⁵</t>
        </is>
      </c>
      <c r="B4312" t="inlineStr"/>
      <c r="C4312" t="inlineStr">
        <is>
          <t>180</t>
        </is>
      </c>
      <c r="D4312" t="inlineStr">
        <is>
          <t>1</t>
        </is>
      </c>
      <c r="E4312" t="inlineStr">
        <is>
          <t>90</t>
        </is>
      </c>
      <c r="F4312" t="inlineStr">
        <is>
          <t>0</t>
        </is>
      </c>
      <c r="G4312" t="inlineStr">
        <is>
          <t>0</t>
        </is>
      </c>
      <c r="H4312" t="inlineStr">
        <is>
          <t>10¹, 170¹</t>
        </is>
      </c>
      <c r="I4312" t="n">
        <v>2</v>
      </c>
      <c r="J4312" t="inlineStr">
        <is>
          <t>1², 4², 16¹, 64¹</t>
        </is>
      </c>
      <c r="K4312">
        <f>HYPERLINK("CSG3.html#group34A3", "34A³"), =HYPERLINK("CSG7.html#group85A7", "85A⁷")</f>
        <v/>
      </c>
      <c r="L4312" t="inlineStr"/>
      <c r="M4312">
        <f>HYPERLINK("CSG7.html#group85A7", "85A⁷"), =HYPERLINK("CSG1.html#group17A1", "17A¹"), =HYPERLINK("CSG0.html#group5A0", "5A⁰"), =HYPERLINK("CSG0.html#group1A0", "1A⁰"), =HYPERLINK("CSG3.html#group34A3", "34A³")</f>
        <v/>
      </c>
      <c r="N4312" t="inlineStr"/>
    </row>
    <row r="4313">
      <c r="A4313" t="inlineStr">
        <is>
          <t>170B¹⁵</t>
        </is>
      </c>
      <c r="B4313" t="inlineStr"/>
      <c r="C4313" t="inlineStr">
        <is>
          <t>180</t>
        </is>
      </c>
      <c r="D4313" t="inlineStr">
        <is>
          <t>1</t>
        </is>
      </c>
      <c r="E4313" t="inlineStr">
        <is>
          <t>90</t>
        </is>
      </c>
      <c r="F4313" t="inlineStr">
        <is>
          <t>0</t>
        </is>
      </c>
      <c r="G4313" t="inlineStr">
        <is>
          <t>0</t>
        </is>
      </c>
      <c r="H4313" t="inlineStr">
        <is>
          <t>10¹, 170¹</t>
        </is>
      </c>
      <c r="I4313" t="n">
        <v>2</v>
      </c>
      <c r="J4313" t="inlineStr">
        <is>
          <t>1², 4², 16¹, 64¹</t>
        </is>
      </c>
      <c r="K4313">
        <f>HYPERLINK("CSG0.html#group10A0", "10A⁰"), =HYPERLINK("CSG3.html#group34B3", "34B³"), =HYPERLINK("CSG7.html#group85A7", "85A⁷")</f>
        <v/>
      </c>
      <c r="L4313" t="inlineStr"/>
      <c r="M4313">
        <f>HYPERLINK("CSG0.html#group2A0", "2A⁰"), =HYPERLINK("CSG7.html#group85A7", "85A⁷"), =HYPERLINK("CSG0.html#group5A0", "5A⁰"), =HYPERLINK("CSG0.html#group10A0", "10A⁰"), =HYPERLINK("CSG1.html#group17A1", "17A¹"), =HYPERLINK("CSG3.html#group34B3", "34B³"), =HYPERLINK("CSG0.html#group1A0", "1A⁰")</f>
        <v/>
      </c>
      <c r="N4313" t="inlineStr"/>
    </row>
    <row r="4314">
      <c r="A4314" t="inlineStr">
        <is>
          <t>170C¹⁵</t>
        </is>
      </c>
      <c r="B4314" t="inlineStr"/>
      <c r="C4314" t="inlineStr">
        <is>
          <t>216</t>
        </is>
      </c>
      <c r="D4314" t="inlineStr">
        <is>
          <t>1</t>
        </is>
      </c>
      <c r="E4314" t="inlineStr">
        <is>
          <t>108</t>
        </is>
      </c>
      <c r="F4314" t="inlineStr">
        <is>
          <t>8</t>
        </is>
      </c>
      <c r="G4314" t="inlineStr">
        <is>
          <t>0</t>
        </is>
      </c>
      <c r="H4314" t="inlineStr">
        <is>
          <t>2¹, 10¹, 34¹, 170¹</t>
        </is>
      </c>
      <c r="I4314" t="n">
        <v>4</v>
      </c>
      <c r="J4314" t="inlineStr">
        <is>
          <t>1⁴, 4², 16², 64¹</t>
        </is>
      </c>
      <c r="K4314">
        <f>HYPERLINK("CSG7.html#group85B7", "85B⁷")</f>
        <v/>
      </c>
      <c r="L4314" t="inlineStr"/>
      <c r="M4314">
        <f>HYPERLINK("CSG7.html#group85B7", "85B⁷"), =HYPERLINK("CSG0.html#group5B0", "5B⁰"), =HYPERLINK("CSG0.html#group1A0", "1A⁰"), =HYPERLINK("CSG1.html#group17A1", "17A¹")</f>
        <v/>
      </c>
      <c r="N4314" t="inlineStr"/>
    </row>
    <row r="4315">
      <c r="A4315" t="inlineStr">
        <is>
          <t>170D¹⁵</t>
        </is>
      </c>
      <c r="B4315" t="inlineStr"/>
      <c r="C4315" t="inlineStr">
        <is>
          <t>216</t>
        </is>
      </c>
      <c r="D4315" t="inlineStr">
        <is>
          <t>1</t>
        </is>
      </c>
      <c r="E4315" t="inlineStr">
        <is>
          <t>108</t>
        </is>
      </c>
      <c r="F4315" t="inlineStr">
        <is>
          <t>8</t>
        </is>
      </c>
      <c r="G4315" t="inlineStr">
        <is>
          <t>0</t>
        </is>
      </c>
      <c r="H4315" t="inlineStr">
        <is>
          <t>2¹, 10¹, 34¹, 170¹</t>
        </is>
      </c>
      <c r="I4315" t="n">
        <v>4</v>
      </c>
      <c r="J4315" t="inlineStr">
        <is>
          <t>1⁴, 4², 16², 64¹</t>
        </is>
      </c>
      <c r="K4315">
        <f>HYPERLINK("CSG0.html#group10B0", "10B⁰"), =HYPERLINK("CSG7.html#group85B7", "85B⁷")</f>
        <v/>
      </c>
      <c r="L4315" t="inlineStr"/>
      <c r="M4315">
        <f>HYPERLINK("CSG0.html#group5B0", "5B⁰"), =HYPERLINK("CSG1.html#group17A1", "17A¹"), =HYPERLINK("CSG7.html#group85B7", "85B⁷"), =HYPERLINK("CSG0.html#group1A0", "1A⁰"), =HYPERLINK("CSG0.html#group10B0", "10B⁰")</f>
        <v/>
      </c>
      <c r="N4315" t="inlineStr"/>
    </row>
    <row r="4316">
      <c r="A4316" t="inlineStr">
        <is>
          <t>171A¹⁵</t>
        </is>
      </c>
      <c r="B4316" t="inlineStr"/>
      <c r="C4316" t="inlineStr">
        <is>
          <t>180</t>
        </is>
      </c>
      <c r="D4316" t="inlineStr">
        <is>
          <t>1</t>
        </is>
      </c>
      <c r="E4316" t="inlineStr">
        <is>
          <t>180</t>
        </is>
      </c>
      <c r="F4316" t="inlineStr">
        <is>
          <t>0</t>
        </is>
      </c>
      <c r="G4316" t="inlineStr">
        <is>
          <t>0</t>
        </is>
      </c>
      <c r="H4316" t="inlineStr">
        <is>
          <t>9¹, 171¹</t>
        </is>
      </c>
      <c r="I4316" t="n">
        <v>2</v>
      </c>
      <c r="J4316" t="inlineStr">
        <is>
          <t>1², 2², 6², 18¹, 36¹, 108¹</t>
        </is>
      </c>
      <c r="K4316">
        <f>HYPERLINK("CSG0.html#group9A0", "9A⁰"), =HYPERLINK("CSG5.html#group57A5", "57A⁵")</f>
        <v/>
      </c>
      <c r="L4316" t="inlineStr"/>
      <c r="M4316">
        <f>HYPERLINK("CSG1.html#group19A1", "19A¹"), =HYPERLINK("CSG5.html#group57A5", "57A⁵"), =HYPERLINK("CSG0.html#group3A0", "3A⁰"), =HYPERLINK("CSG0.html#group1A0", "1A⁰"), =HYPERLINK("CSG0.html#group9A0", "9A⁰")</f>
        <v/>
      </c>
      <c r="N4316" t="inlineStr"/>
    </row>
    <row r="4317">
      <c r="A4317" t="inlineStr">
        <is>
          <t>174A¹⁵</t>
        </is>
      </c>
      <c r="B4317" t="inlineStr"/>
      <c r="C4317" t="inlineStr">
        <is>
          <t>180</t>
        </is>
      </c>
      <c r="D4317" t="inlineStr">
        <is>
          <t>1</t>
        </is>
      </c>
      <c r="E4317" t="inlineStr">
        <is>
          <t>30</t>
        </is>
      </c>
      <c r="F4317" t="inlineStr">
        <is>
          <t>0</t>
        </is>
      </c>
      <c r="G4317" t="inlineStr">
        <is>
          <t>0</t>
        </is>
      </c>
      <c r="H4317" t="inlineStr">
        <is>
          <t>6¹, 174¹</t>
        </is>
      </c>
      <c r="I4317" t="n">
        <v>2</v>
      </c>
      <c r="J4317" t="inlineStr">
        <is>
          <t>1², 28¹</t>
        </is>
      </c>
      <c r="K4317">
        <f>HYPERLINK("CSG1.html#group6A1", "6A¹"), =HYPERLINK("CSG5.html#group58A5", "58A⁵"), =HYPERLINK("CSG6.html#group87A6", "87A⁶")</f>
        <v/>
      </c>
      <c r="L4317" t="inlineStr"/>
      <c r="M4317">
        <f>HYPERLINK("CSG0.html#group2A0", "2A⁰"), =HYPERLINK("CSG2.html#group29A2", "29A²"), =HYPERLINK("CSG6.html#group87A6", "87A⁶"), =HYPERLINK("CSG1.html#group6A1", "6A¹"), =HYPERLINK("CSG5.html#group58A5", "58A⁵"), =HYPERLINK("CSG0.html#group3A0", "3A⁰"), =HYPERLINK("CSG0.html#group1A0", "1A⁰")</f>
        <v/>
      </c>
      <c r="N4317" t="inlineStr"/>
    </row>
    <row r="4318">
      <c r="A4318" t="inlineStr">
        <is>
          <t>174B¹⁵</t>
        </is>
      </c>
      <c r="B4318" t="inlineStr"/>
      <c r="C4318" t="inlineStr">
        <is>
          <t>180</t>
        </is>
      </c>
      <c r="D4318" t="inlineStr">
        <is>
          <t>1</t>
        </is>
      </c>
      <c r="E4318" t="inlineStr">
        <is>
          <t>60</t>
        </is>
      </c>
      <c r="F4318" t="inlineStr">
        <is>
          <t>0</t>
        </is>
      </c>
      <c r="G4318" t="inlineStr">
        <is>
          <t>0</t>
        </is>
      </c>
      <c r="H4318" t="inlineStr">
        <is>
          <t>6¹, 174¹</t>
        </is>
      </c>
      <c r="I4318" t="n">
        <v>2</v>
      </c>
      <c r="J4318" t="inlineStr">
        <is>
          <t>2², 56¹</t>
        </is>
      </c>
      <c r="K4318">
        <f>HYPERLINK("CSG0.html#group6A0", "6A⁰"), =HYPERLINK("CSG5.html#group58A5", "58A⁵")</f>
        <v/>
      </c>
      <c r="L4318" t="inlineStr"/>
      <c r="M4318">
        <f>HYPERLINK("CSG0.html#group2A0", "2A⁰"), =HYPERLINK("CSG5.html#group58A5", "58A⁵"), =HYPERLINK("CSG0.html#group1A0", "1A⁰"), =HYPERLINK("CSG2.html#group29A2", "29A²"), =HYPERLINK("CSG0.html#group6A0", "6A⁰")</f>
        <v/>
      </c>
      <c r="N4318" t="inlineStr"/>
    </row>
    <row r="4319">
      <c r="A4319" t="inlineStr">
        <is>
          <t>175A¹⁵</t>
        </is>
      </c>
      <c r="B4319" t="inlineStr">
        <is>
          <t>Γ₀(175)</t>
        </is>
      </c>
      <c r="C4319" t="inlineStr">
        <is>
          <t>240</t>
        </is>
      </c>
      <c r="D4319" t="inlineStr">
        <is>
          <t>1</t>
        </is>
      </c>
      <c r="E4319" t="inlineStr">
        <is>
          <t>240</t>
        </is>
      </c>
      <c r="F4319" t="inlineStr">
        <is>
          <t>0</t>
        </is>
      </c>
      <c r="G4319" t="inlineStr">
        <is>
          <t>0</t>
        </is>
      </c>
      <c r="H4319" t="inlineStr">
        <is>
          <t>1⁵, 7⁵, 25¹, 175¹</t>
        </is>
      </c>
      <c r="I4319" t="n">
        <v>12</v>
      </c>
      <c r="J4319" t="inlineStr">
        <is>
          <t>1⁴, 4⁴, 6², 20², 24², 120¹</t>
        </is>
      </c>
      <c r="K4319">
        <f>HYPERLINK("CSG0.html#group25A0", "25A⁰"), =HYPERLINK("CSG3.html#group35A3", "35A³")</f>
        <v/>
      </c>
      <c r="L4319" t="inlineStr"/>
      <c r="M4319">
        <f>HYPERLINK("CSG0.html#group25A0", "25A⁰"), =HYPERLINK("CSG0.html#group5B0", "5B⁰"), =HYPERLINK("CSG0.html#group7B0", "7B⁰"), =HYPERLINK("CSG0.html#group1A0", "1A⁰"), =HYPERLINK("CSG3.html#group35A3", "35A³")</f>
        <v/>
      </c>
      <c r="N4319" t="inlineStr"/>
    </row>
    <row r="4320">
      <c r="A4320" t="inlineStr">
        <is>
          <t>177A¹⁵</t>
        </is>
      </c>
      <c r="B4320" t="inlineStr"/>
      <c r="C4320" t="inlineStr">
        <is>
          <t>180</t>
        </is>
      </c>
      <c r="D4320" t="inlineStr">
        <is>
          <t>1</t>
        </is>
      </c>
      <c r="E4320" t="inlineStr">
        <is>
          <t>60</t>
        </is>
      </c>
      <c r="F4320" t="inlineStr">
        <is>
          <t>0</t>
        </is>
      </c>
      <c r="G4320" t="inlineStr">
        <is>
          <t>0</t>
        </is>
      </c>
      <c r="H4320" t="inlineStr">
        <is>
          <t>3¹, 177¹</t>
        </is>
      </c>
      <c r="I4320" t="n">
        <v>2</v>
      </c>
      <c r="J4320" t="inlineStr">
        <is>
          <t>1², 58¹</t>
        </is>
      </c>
      <c r="K4320">
        <f>HYPERLINK("CSG0.html#group3A0", "3A⁰"), =HYPERLINK("CSG5.html#group59A5", "59A⁵")</f>
        <v/>
      </c>
      <c r="L4320" t="inlineStr"/>
      <c r="M4320">
        <f>HYPERLINK("CSG0.html#group3A0", "3A⁰"), =HYPERLINK("CSG0.html#group1A0", "1A⁰"), =HYPERLINK("CSG5.html#group59A5", "59A⁵")</f>
        <v/>
      </c>
      <c r="N4320" t="inlineStr"/>
    </row>
    <row r="4321">
      <c r="A4321" t="inlineStr">
        <is>
          <t>178A¹⁵</t>
        </is>
      </c>
      <c r="B4321" t="inlineStr"/>
      <c r="C4321" t="inlineStr">
        <is>
          <t>180</t>
        </is>
      </c>
      <c r="D4321" t="inlineStr">
        <is>
          <t>1</t>
        </is>
      </c>
      <c r="E4321" t="inlineStr">
        <is>
          <t>90</t>
        </is>
      </c>
      <c r="F4321" t="inlineStr">
        <is>
          <t>0</t>
        </is>
      </c>
      <c r="G4321" t="inlineStr">
        <is>
          <t>0</t>
        </is>
      </c>
      <c r="H4321" t="inlineStr">
        <is>
          <t>2¹, 178¹</t>
        </is>
      </c>
      <c r="I4321" t="n">
        <v>2</v>
      </c>
      <c r="J4321" t="inlineStr">
        <is>
          <t>1², 88¹</t>
        </is>
      </c>
      <c r="K4321">
        <f>HYPERLINK("CSG7.html#group89A7", "89A⁷")</f>
        <v/>
      </c>
      <c r="L4321" t="inlineStr"/>
      <c r="M4321">
        <f>HYPERLINK("CSG7.html#group89A7", "89A⁷"), =HYPERLINK("CSG0.html#group1A0", "1A⁰")</f>
        <v/>
      </c>
      <c r="N4321" t="inlineStr"/>
    </row>
    <row r="4322">
      <c r="A4322" t="inlineStr">
        <is>
          <t>178B¹⁵</t>
        </is>
      </c>
      <c r="B4322" t="inlineStr"/>
      <c r="C4322" t="inlineStr">
        <is>
          <t>180</t>
        </is>
      </c>
      <c r="D4322" t="inlineStr">
        <is>
          <t>1</t>
        </is>
      </c>
      <c r="E4322" t="inlineStr">
        <is>
          <t>90</t>
        </is>
      </c>
      <c r="F4322" t="inlineStr">
        <is>
          <t>0</t>
        </is>
      </c>
      <c r="G4322" t="inlineStr">
        <is>
          <t>0</t>
        </is>
      </c>
      <c r="H4322" t="inlineStr">
        <is>
          <t>2¹, 178¹</t>
        </is>
      </c>
      <c r="I4322" t="n">
        <v>2</v>
      </c>
      <c r="J4322" t="inlineStr">
        <is>
          <t>1², 88¹</t>
        </is>
      </c>
      <c r="K4322">
        <f>HYPERLINK("CSG0.html#group2A0", "2A⁰"), =HYPERLINK("CSG7.html#group89A7", "89A⁷")</f>
        <v/>
      </c>
      <c r="L4322" t="inlineStr"/>
      <c r="M4322">
        <f>HYPERLINK("CSG7.html#group89A7", "89A⁷"), =HYPERLINK("CSG0.html#group2A0", "2A⁰"), =HYPERLINK("CSG0.html#group1A0", "1A⁰")</f>
        <v/>
      </c>
      <c r="N4322" t="inlineStr"/>
    </row>
    <row r="4323">
      <c r="A4323" t="inlineStr">
        <is>
          <t>179A¹⁵</t>
        </is>
      </c>
      <c r="B4323" t="inlineStr">
        <is>
          <t>Γ₀(179)</t>
        </is>
      </c>
      <c r="C4323" t="inlineStr">
        <is>
          <t>180</t>
        </is>
      </c>
      <c r="D4323" t="inlineStr">
        <is>
          <t>1</t>
        </is>
      </c>
      <c r="E4323" t="inlineStr">
        <is>
          <t>180</t>
        </is>
      </c>
      <c r="F4323" t="inlineStr">
        <is>
          <t>0</t>
        </is>
      </c>
      <c r="G4323" t="inlineStr">
        <is>
          <t>0</t>
        </is>
      </c>
      <c r="H4323" t="inlineStr">
        <is>
          <t>1¹, 179¹</t>
        </is>
      </c>
      <c r="I4323" t="n">
        <v>2</v>
      </c>
      <c r="J4323" t="inlineStr">
        <is>
          <t>1², 178¹</t>
        </is>
      </c>
      <c r="K4323">
        <f>HYPERLINK("CSG0.html#group1A0", "1A⁰")</f>
        <v/>
      </c>
      <c r="L4323" t="inlineStr"/>
      <c r="M4323">
        <f>HYPERLINK("CSG0.html#group1A0", "1A⁰")</f>
        <v/>
      </c>
      <c r="N4323" t="inlineStr"/>
    </row>
    <row r="4324">
      <c r="A4324" t="inlineStr">
        <is>
          <t>180A¹⁵</t>
        </is>
      </c>
      <c r="B4324" t="inlineStr"/>
      <c r="C4324" t="inlineStr">
        <is>
          <t>240</t>
        </is>
      </c>
      <c r="D4324" t="inlineStr">
        <is>
          <t>1</t>
        </is>
      </c>
      <c r="E4324" t="inlineStr">
        <is>
          <t>40</t>
        </is>
      </c>
      <c r="F4324" t="inlineStr">
        <is>
          <t>0</t>
        </is>
      </c>
      <c r="G4324" t="inlineStr">
        <is>
          <t>12</t>
        </is>
      </c>
      <c r="H4324" t="inlineStr">
        <is>
          <t>20³, 180¹</t>
        </is>
      </c>
      <c r="I4324" t="n">
        <v>4</v>
      </c>
      <c r="J4324" t="inlineStr">
        <is>
          <t>2⁴, 8⁴</t>
        </is>
      </c>
      <c r="K4324">
        <f>HYPERLINK("CSG1.html#group36B1", "36B¹"), =HYPERLINK("CSG4.html#group60B4", "60B⁴"), =HYPERLINK("CSG7.html#group90E7", "90E⁷")</f>
        <v/>
      </c>
      <c r="L4324" t="inlineStr"/>
      <c r="M4324">
        <f>HYPERLINK("CSG0.html#group18C0", "18C⁰"), =HYPERLINK("CSG0.html#group3B0", "3B⁰"), =HYPERLINK("CSG7.html#group90E7", "90E⁷"), =HYPERLINK("CSG0.html#group2A0", "2A⁰"), =HYPERLINK("CSG0.html#group5A0", "5A⁰"), =HYPERLINK("CSG0.html#group10A0", "10A⁰"), =HYPERLINK("CSG0.html#group6C0", "6C⁰"), =HYPERLINK("CSG4.html#group60B4", "60B⁴"), =HYPERLINK("CSG1.html#group36B1", "36B¹"), =HYPERLINK("CSG2.html#group30D2", "30D²"), =HYPERLINK("CSG1.html#group15B1", "15B¹"), =HYPERLINK("CSG0.html#group1A0", "1A⁰"), =HYPERLINK("CSG0.html#group12B0", "12B⁰")</f>
        <v/>
      </c>
      <c r="N4324" t="inlineStr"/>
    </row>
    <row r="4325">
      <c r="A4325" t="inlineStr">
        <is>
          <t>180B¹⁵</t>
        </is>
      </c>
      <c r="B4325" t="inlineStr"/>
      <c r="C4325" t="inlineStr">
        <is>
          <t>240</t>
        </is>
      </c>
      <c r="D4325" t="inlineStr">
        <is>
          <t>2</t>
        </is>
      </c>
      <c r="E4325" t="inlineStr">
        <is>
          <t>20</t>
        </is>
      </c>
      <c r="F4325" t="inlineStr">
        <is>
          <t>0</t>
        </is>
      </c>
      <c r="G4325" t="inlineStr">
        <is>
          <t>12</t>
        </is>
      </c>
      <c r="H4325" t="inlineStr">
        <is>
          <t>20³, 180¹</t>
        </is>
      </c>
      <c r="I4325" t="n">
        <v>4</v>
      </c>
      <c r="J4325" t="inlineStr">
        <is>
          <t>2², 4¹, 8⁴</t>
        </is>
      </c>
      <c r="K4325">
        <f>HYPERLINK("CSG4.html#group60B4", "60B⁴"), =HYPERLINK("CSG7.html#group90F7", "90F⁷")</f>
        <v/>
      </c>
      <c r="L4325" t="inlineStr"/>
      <c r="M4325">
        <f>HYPERLINK("CSG0.html#group3B0", "3B⁰"), =HYPERLINK("CSG0.html#group2A0", "2A⁰"), =HYPERLINK("CSG3.html#group45C3", "45C³"), =HYPERLINK("CSG0.html#group5A0", "5A⁰"), =HYPERLINK("CSG0.html#group10A0", "10A⁰"), =HYPERLINK("CSG2.html#group30D2", "30D²"), =HYPERLINK("CSG4.html#group60B4", "60B⁴"), =HYPERLINK("CSG0.html#group6C0", "6C⁰"), =HYPERLINK("CSG1.html#group15B1", "15B¹"), =HYPERLINK("CSG0.html#group1A0", "1A⁰"), =HYPERLINK("CSG7.html#group90F7", "90F⁷"), =HYPERLINK("CSG0.html#group12B0", "12B⁰")</f>
        <v/>
      </c>
      <c r="N4325" t="inlineStr"/>
    </row>
    <row r="4326">
      <c r="A4326" t="inlineStr">
        <is>
          <t>182A¹⁵</t>
        </is>
      </c>
      <c r="B4326" t="inlineStr"/>
      <c r="C4326" t="inlineStr">
        <is>
          <t>196</t>
        </is>
      </c>
      <c r="D4326" t="inlineStr">
        <is>
          <t>2</t>
        </is>
      </c>
      <c r="E4326" t="inlineStr">
        <is>
          <t>98</t>
        </is>
      </c>
      <c r="F4326" t="inlineStr">
        <is>
          <t>0</t>
        </is>
      </c>
      <c r="G4326" t="inlineStr">
        <is>
          <t>4</t>
        </is>
      </c>
      <c r="H4326" t="inlineStr">
        <is>
          <t>14¹, 182¹</t>
        </is>
      </c>
      <c r="I4326" t="n">
        <v>2</v>
      </c>
      <c r="J4326" t="inlineStr">
        <is>
          <t>2², 6⁴, 24¹, 72²</t>
        </is>
      </c>
      <c r="K4326">
        <f>HYPERLINK("CSG1.html#group14A1", "14A¹"), =HYPERLINK("CSG1.html#group26A1", "26A¹"), =HYPERLINK("CSG6.html#group91A6", "91A⁶")</f>
        <v/>
      </c>
      <c r="L4326" t="inlineStr"/>
      <c r="M4326">
        <f>HYPERLINK("CSG0.html#group2A0", "2A⁰"), =HYPERLINK("CSG1.html#group26A1", "26A¹"), =HYPERLINK("CSG1.html#group14A1", "14A¹"), =HYPERLINK("CSG0.html#group13A0", "13A⁰"), =HYPERLINK("CSG6.html#group91A6", "91A⁶"), =HYPERLINK("CSG0.html#group1A0", "1A⁰"), =HYPERLINK("CSG0.html#group7A0", "7A⁰")</f>
        <v/>
      </c>
      <c r="N4326" t="inlineStr"/>
    </row>
    <row r="4327">
      <c r="A4327" t="inlineStr">
        <is>
          <t>182B¹⁵</t>
        </is>
      </c>
      <c r="B4327" t="inlineStr"/>
      <c r="C4327" t="inlineStr">
        <is>
          <t>224</t>
        </is>
      </c>
      <c r="D4327" t="inlineStr">
        <is>
          <t>1</t>
        </is>
      </c>
      <c r="E4327" t="inlineStr">
        <is>
          <t>112</t>
        </is>
      </c>
      <c r="F4327" t="inlineStr">
        <is>
          <t>0</t>
        </is>
      </c>
      <c r="G4327" t="inlineStr">
        <is>
          <t>8</t>
        </is>
      </c>
      <c r="H4327" t="inlineStr">
        <is>
          <t>2¹, 14¹, 26¹, 182¹</t>
        </is>
      </c>
      <c r="I4327" t="n">
        <v>4</v>
      </c>
      <c r="J4327" t="inlineStr">
        <is>
          <t>1⁴, 6², 12², 72¹</t>
        </is>
      </c>
      <c r="K4327">
        <f>HYPERLINK("CSG0.html#group26A0", "26A⁰"), =HYPERLINK("CSG7.html#group91A7", "91A⁷")</f>
        <v/>
      </c>
      <c r="L4327" t="inlineStr"/>
      <c r="M4327">
        <f>HYPERLINK("CSG0.html#group13A0", "13A⁰"), =HYPERLINK("CSG0.html#group26A0", "26A⁰"), =HYPERLINK("CSG7.html#group91A7", "91A⁷"), =HYPERLINK("CSG0.html#group1A0", "1A⁰"), =HYPERLINK("CSG0.html#group7B0", "7B⁰")</f>
        <v/>
      </c>
      <c r="N4327" t="inlineStr"/>
    </row>
    <row r="4328">
      <c r="A4328" t="inlineStr">
        <is>
          <t>182C¹⁵</t>
        </is>
      </c>
      <c r="B4328" t="inlineStr"/>
      <c r="C4328" t="inlineStr">
        <is>
          <t>224</t>
        </is>
      </c>
      <c r="D4328" t="inlineStr">
        <is>
          <t>1</t>
        </is>
      </c>
      <c r="E4328" t="inlineStr">
        <is>
          <t>112</t>
        </is>
      </c>
      <c r="F4328" t="inlineStr">
        <is>
          <t>0</t>
        </is>
      </c>
      <c r="G4328" t="inlineStr">
        <is>
          <t>8</t>
        </is>
      </c>
      <c r="H4328" t="inlineStr">
        <is>
          <t>2¹, 14¹, 26¹, 182¹</t>
        </is>
      </c>
      <c r="I4328" t="n">
        <v>4</v>
      </c>
      <c r="J4328" t="inlineStr">
        <is>
          <t>1⁴, 6², 12², 72¹</t>
        </is>
      </c>
      <c r="K4328">
        <f>HYPERLINK("CSG0.html#group14B0", "14B⁰"), =HYPERLINK("CSG1.html#group26A1", "26A¹"), =HYPERLINK("CSG7.html#group91A7", "91A⁷")</f>
        <v/>
      </c>
      <c r="L4328" t="inlineStr"/>
      <c r="M4328">
        <f>HYPERLINK("CSG0.html#group2A0", "2A⁰"), =HYPERLINK("CSG1.html#group26A1", "26A¹"), =HYPERLINK("CSG0.html#group7B0", "7B⁰"), =HYPERLINK("CSG0.html#group14B0", "14B⁰"), =HYPERLINK("CSG0.html#group13A0", "13A⁰"), =HYPERLINK("CSG7.html#group91A7", "91A⁷"), =HYPERLINK("CSG0.html#group1A0", "1A⁰")</f>
        <v/>
      </c>
      <c r="N4328" t="inlineStr"/>
    </row>
    <row r="4329">
      <c r="A4329" t="inlineStr">
        <is>
          <t>186A¹⁵</t>
        </is>
      </c>
      <c r="B4329" t="inlineStr"/>
      <c r="C4329" t="inlineStr">
        <is>
          <t>192</t>
        </is>
      </c>
      <c r="D4329" t="inlineStr">
        <is>
          <t>2</t>
        </is>
      </c>
      <c r="E4329" t="inlineStr">
        <is>
          <t>64</t>
        </is>
      </c>
      <c r="F4329" t="inlineStr">
        <is>
          <t>0</t>
        </is>
      </c>
      <c r="G4329" t="inlineStr">
        <is>
          <t>3</t>
        </is>
      </c>
      <c r="H4329" t="inlineStr">
        <is>
          <t>6¹, 186¹</t>
        </is>
      </c>
      <c r="I4329" t="n">
        <v>2</v>
      </c>
      <c r="J4329" t="inlineStr">
        <is>
          <t>2⁴, 60²</t>
        </is>
      </c>
      <c r="K4329">
        <f>HYPERLINK("CSG4.html#group62A4", "62A⁴")</f>
        <v/>
      </c>
      <c r="L4329" t="inlineStr"/>
      <c r="M4329">
        <f>HYPERLINK("CSG0.html#group2A0", "2A⁰"), =HYPERLINK("CSG2.html#group31A2", "31A²"), =HYPERLINK("CSG0.html#group1A0", "1A⁰"), =HYPERLINK("CSG4.html#group62A4", "62A⁴")</f>
        <v/>
      </c>
      <c r="N4329" t="inlineStr"/>
    </row>
    <row r="4330">
      <c r="A4330" t="inlineStr">
        <is>
          <t>187A¹⁵</t>
        </is>
      </c>
      <c r="B4330" t="inlineStr"/>
      <c r="C4330" t="inlineStr">
        <is>
          <t>198</t>
        </is>
      </c>
      <c r="D4330" t="inlineStr">
        <is>
          <t>2</t>
        </is>
      </c>
      <c r="E4330" t="inlineStr">
        <is>
          <t>198</t>
        </is>
      </c>
      <c r="F4330" t="inlineStr">
        <is>
          <t>6</t>
        </is>
      </c>
      <c r="G4330" t="inlineStr">
        <is>
          <t>0</t>
        </is>
      </c>
      <c r="H4330" t="inlineStr">
        <is>
          <t>11¹, 187¹</t>
        </is>
      </c>
      <c r="I4330" t="n">
        <v>2</v>
      </c>
      <c r="J4330" t="inlineStr">
        <is>
          <t>2², 10⁴, 32¹, 160²</t>
        </is>
      </c>
      <c r="K4330">
        <f>HYPERLINK("CSG0.html#group11A0", "11A⁰"), =HYPERLINK("CSG1.html#group17A1", "17A¹")</f>
        <v/>
      </c>
      <c r="L4330" t="inlineStr"/>
      <c r="M4330">
        <f>HYPERLINK("CSG0.html#group11A0", "11A⁰"), =HYPERLINK("CSG0.html#group1A0", "1A⁰"), =HYPERLINK("CSG1.html#group17A1", "17A¹")</f>
        <v/>
      </c>
      <c r="N4330" t="inlineStr"/>
    </row>
    <row r="4331">
      <c r="A4331" t="inlineStr">
        <is>
          <t>193A¹⁵</t>
        </is>
      </c>
      <c r="B4331" t="inlineStr">
        <is>
          <t>Γ₀(193)</t>
        </is>
      </c>
      <c r="C4331" t="inlineStr">
        <is>
          <t>194</t>
        </is>
      </c>
      <c r="D4331" t="inlineStr">
        <is>
          <t>1</t>
        </is>
      </c>
      <c r="E4331" t="inlineStr">
        <is>
          <t>194</t>
        </is>
      </c>
      <c r="F4331" t="inlineStr">
        <is>
          <t>2</t>
        </is>
      </c>
      <c r="G4331" t="inlineStr">
        <is>
          <t>2</t>
        </is>
      </c>
      <c r="H4331" t="inlineStr">
        <is>
          <t>1¹, 193¹</t>
        </is>
      </c>
      <c r="I4331" t="n">
        <v>2</v>
      </c>
      <c r="J4331" t="inlineStr">
        <is>
          <t>1², 192¹</t>
        </is>
      </c>
      <c r="K4331">
        <f>HYPERLINK("CSG0.html#group1A0", "1A⁰")</f>
        <v/>
      </c>
      <c r="L4331" t="inlineStr"/>
      <c r="M4331">
        <f>HYPERLINK("CSG0.html#group1A0", "1A⁰")</f>
        <v/>
      </c>
      <c r="N4331" t="inlineStr"/>
    </row>
    <row r="4332">
      <c r="A4332" t="inlineStr">
        <is>
          <t>194A¹⁵</t>
        </is>
      </c>
      <c r="B4332" t="inlineStr"/>
      <c r="C4332" t="inlineStr">
        <is>
          <t>196</t>
        </is>
      </c>
      <c r="D4332" t="inlineStr">
        <is>
          <t>1</t>
        </is>
      </c>
      <c r="E4332" t="inlineStr">
        <is>
          <t>98</t>
        </is>
      </c>
      <c r="F4332" t="inlineStr">
        <is>
          <t>0</t>
        </is>
      </c>
      <c r="G4332" t="inlineStr">
        <is>
          <t>4</t>
        </is>
      </c>
      <c r="H4332" t="inlineStr">
        <is>
          <t>2¹, 194¹</t>
        </is>
      </c>
      <c r="I4332" t="n">
        <v>2</v>
      </c>
      <c r="J4332" t="inlineStr">
        <is>
          <t>1², 96¹</t>
        </is>
      </c>
      <c r="K4332">
        <f>HYPERLINK("CSG7.html#group97A7", "97A⁷")</f>
        <v/>
      </c>
      <c r="L4332" t="inlineStr"/>
      <c r="M4332">
        <f>HYPERLINK("CSG0.html#group1A0", "1A⁰"), =HYPERLINK("CSG7.html#group97A7", "97A⁷")</f>
        <v/>
      </c>
      <c r="N4332" t="inlineStr"/>
    </row>
    <row r="4333">
      <c r="A4333" t="inlineStr">
        <is>
          <t>194B¹⁵</t>
        </is>
      </c>
      <c r="B4333" t="inlineStr"/>
      <c r="C4333" t="inlineStr">
        <is>
          <t>196</t>
        </is>
      </c>
      <c r="D4333" t="inlineStr">
        <is>
          <t>1</t>
        </is>
      </c>
      <c r="E4333" t="inlineStr">
        <is>
          <t>98</t>
        </is>
      </c>
      <c r="F4333" t="inlineStr">
        <is>
          <t>0</t>
        </is>
      </c>
      <c r="G4333" t="inlineStr">
        <is>
          <t>4</t>
        </is>
      </c>
      <c r="H4333" t="inlineStr">
        <is>
          <t>2¹, 194¹</t>
        </is>
      </c>
      <c r="I4333" t="n">
        <v>2</v>
      </c>
      <c r="J4333" t="inlineStr">
        <is>
          <t>1², 96¹</t>
        </is>
      </c>
      <c r="K4333">
        <f>HYPERLINK("CSG0.html#group2A0", "2A⁰"), =HYPERLINK("CSG7.html#group97A7", "97A⁷")</f>
        <v/>
      </c>
      <c r="L4333" t="inlineStr"/>
      <c r="M4333">
        <f>HYPERLINK("CSG0.html#group2A0", "2A⁰"), =HYPERLINK("CSG0.html#group1A0", "1A⁰"), =HYPERLINK("CSG7.html#group97A7", "97A⁷")</f>
        <v/>
      </c>
      <c r="N4333" t="inlineStr"/>
    </row>
    <row r="4334">
      <c r="A4334" t="inlineStr">
        <is>
          <t>195A¹⁵</t>
        </is>
      </c>
      <c r="B4334" t="inlineStr"/>
      <c r="C4334" t="inlineStr">
        <is>
          <t>210</t>
        </is>
      </c>
      <c r="D4334" t="inlineStr">
        <is>
          <t>2</t>
        </is>
      </c>
      <c r="E4334" t="inlineStr">
        <is>
          <t>70</t>
        </is>
      </c>
      <c r="F4334" t="inlineStr">
        <is>
          <t>6</t>
        </is>
      </c>
      <c r="G4334" t="inlineStr">
        <is>
          <t>3</t>
        </is>
      </c>
      <c r="H4334" t="inlineStr">
        <is>
          <t>15¹, 195¹</t>
        </is>
      </c>
      <c r="I4334" t="n">
        <v>2</v>
      </c>
      <c r="J4334" t="inlineStr">
        <is>
          <t>4², 8⁴, 48¹, 96²</t>
        </is>
      </c>
      <c r="K4334">
        <f>HYPERLINK("CSG4.html#group65A4", "65A⁴")</f>
        <v/>
      </c>
      <c r="L4334" t="inlineStr"/>
      <c r="M4334">
        <f>HYPERLINK("CSG0.html#group13A0", "13A⁰"), =HYPERLINK("CSG0.html#group1A0", "1A⁰"), =HYPERLINK("CSG4.html#group65A4", "65A⁴"), =HYPERLINK("CSG0.html#group5A0", "5A⁰")</f>
        <v/>
      </c>
      <c r="N4334" t="inlineStr"/>
    </row>
    <row r="4335">
      <c r="A4335" t="inlineStr">
        <is>
          <t>195B¹⁵</t>
        </is>
      </c>
      <c r="B4335" t="inlineStr"/>
      <c r="C4335" t="inlineStr">
        <is>
          <t>210</t>
        </is>
      </c>
      <c r="D4335" t="inlineStr">
        <is>
          <t>2</t>
        </is>
      </c>
      <c r="E4335" t="inlineStr">
        <is>
          <t>70</t>
        </is>
      </c>
      <c r="F4335" t="inlineStr">
        <is>
          <t>6</t>
        </is>
      </c>
      <c r="G4335" t="inlineStr">
        <is>
          <t>3</t>
        </is>
      </c>
      <c r="H4335" t="inlineStr">
        <is>
          <t>15¹, 195¹</t>
        </is>
      </c>
      <c r="I4335" t="n">
        <v>2</v>
      </c>
      <c r="J4335" t="inlineStr">
        <is>
          <t>4², 8⁴, 48¹, 96²</t>
        </is>
      </c>
      <c r="K4335">
        <f>HYPERLINK("CSG4.html#group65A4", "65A⁴")</f>
        <v/>
      </c>
      <c r="L4335" t="inlineStr"/>
      <c r="M4335">
        <f>HYPERLINK("CSG0.html#group13A0", "13A⁰"), =HYPERLINK("CSG0.html#group1A0", "1A⁰"), =HYPERLINK("CSG4.html#group65A4", "65A⁴"), =HYPERLINK("CSG0.html#group5A0", "5A⁰")</f>
        <v/>
      </c>
      <c r="N4335" t="inlineStr"/>
    </row>
    <row r="4336">
      <c r="A4336" t="inlineStr">
        <is>
          <t>196A¹⁵</t>
        </is>
      </c>
      <c r="B4336" t="inlineStr"/>
      <c r="C4336" t="inlineStr">
        <is>
          <t>224</t>
        </is>
      </c>
      <c r="D4336" t="inlineStr">
        <is>
          <t>1</t>
        </is>
      </c>
      <c r="E4336" t="inlineStr">
        <is>
          <t>224</t>
        </is>
      </c>
      <c r="F4336" t="inlineStr">
        <is>
          <t>0</t>
        </is>
      </c>
      <c r="G4336" t="inlineStr">
        <is>
          <t>2</t>
        </is>
      </c>
      <c r="H4336" t="inlineStr">
        <is>
          <t>4⁷, 196¹</t>
        </is>
      </c>
      <c r="I4336" t="n">
        <v>8</v>
      </c>
      <c r="J4336" t="inlineStr">
        <is>
          <t>2⁴, 12⁴, 84²</t>
        </is>
      </c>
      <c r="K4336">
        <f>HYPERLINK("CSG1.html#group49A1", "49A¹"), =HYPERLINK("CSG2.html#group28A2", "28A²")</f>
        <v/>
      </c>
      <c r="L4336" t="inlineStr"/>
      <c r="M4336">
        <f>HYPERLINK("CSG1.html#group49A1", "49A¹"), =HYPERLINK("CSG0.html#group4A0", "4A⁰"), =HYPERLINK("CSG0.html#group1A0", "1A⁰"), =HYPERLINK("CSG0.html#group7B0", "7B⁰"), =HYPERLINK("CSG2.html#group28A2", "28A²")</f>
        <v/>
      </c>
      <c r="N4336" t="inlineStr"/>
    </row>
    <row r="4337">
      <c r="A4337" t="inlineStr">
        <is>
          <t>200A¹⁵</t>
        </is>
      </c>
      <c r="B4337" t="inlineStr"/>
      <c r="C4337" t="inlineStr">
        <is>
          <t>360</t>
        </is>
      </c>
      <c r="D4337" t="inlineStr">
        <is>
          <t>2</t>
        </is>
      </c>
      <c r="E4337" t="inlineStr">
        <is>
          <t>90</t>
        </is>
      </c>
      <c r="F4337" t="inlineStr">
        <is>
          <t>4</t>
        </is>
      </c>
      <c r="G4337" t="inlineStr">
        <is>
          <t>0</t>
        </is>
      </c>
      <c r="H4337" t="inlineStr">
        <is>
          <t>1²⁰, 8⁵, 25⁴, 200¹</t>
        </is>
      </c>
      <c r="I4337" t="n">
        <v>30</v>
      </c>
      <c r="J4337" t="inlineStr">
        <is>
          <t>2⁶, 8⁶, 40³</t>
        </is>
      </c>
      <c r="K4337">
        <f>HYPERLINK("CSG1.html#group40A1", "40A¹"), =HYPERLINK("CSG6.html#group100A6", "100A⁶")</f>
        <v/>
      </c>
      <c r="L4337" t="inlineStr"/>
      <c r="M4337">
        <f>HYPERLINK("CSG0.html#group20A0", "20A⁰"), =HYPERLINK("CSG6.html#group100A6", "100A⁶"), =HYPERLINK("CSG1.html#group40A1", "40A¹"), =HYPERLINK("CSG0.html#group25A0", "25A⁰"), =HYPERLINK("CSG0.html#group10C0", "10C⁰"), =HYPERLINK("CSG0.html#group5B0", "5B⁰"), =HYPERLINK("CSG0.html#group2B0", "2B⁰"), =HYPERLINK("CSG2.html#group50B2", "50B²"), =HYPERLINK("CSG0.html#group1A0", "1A⁰")</f>
        <v/>
      </c>
      <c r="N4337" t="inlineStr"/>
    </row>
    <row r="4338">
      <c r="A4338" t="inlineStr">
        <is>
          <t>204A¹⁵</t>
        </is>
      </c>
      <c r="B4338" t="inlineStr"/>
      <c r="C4338" t="inlineStr">
        <is>
          <t>216</t>
        </is>
      </c>
      <c r="D4338" t="inlineStr">
        <is>
          <t>1</t>
        </is>
      </c>
      <c r="E4338" t="inlineStr">
        <is>
          <t>72</t>
        </is>
      </c>
      <c r="F4338" t="inlineStr">
        <is>
          <t>12</t>
        </is>
      </c>
      <c r="G4338" t="inlineStr">
        <is>
          <t>0</t>
        </is>
      </c>
      <c r="H4338" t="inlineStr">
        <is>
          <t>12¹, 204¹</t>
        </is>
      </c>
      <c r="I4338" t="n">
        <v>2</v>
      </c>
      <c r="J4338" t="inlineStr">
        <is>
          <t>2⁴, 32²</t>
        </is>
      </c>
      <c r="K4338">
        <f>HYPERLINK("CSG0.html#group12A0", "12A⁰"), =HYPERLINK("CSG3.html#group51A3", "51A³"), =HYPERLINK("CSG5.html#group68A5", "68A⁵")</f>
        <v/>
      </c>
      <c r="L4338" t="inlineStr"/>
      <c r="M4338">
        <f>HYPERLINK("CSG0.html#group12A0", "12A⁰"), =HYPERLINK("CSG3.html#group51A3", "51A³"), =HYPERLINK("CSG0.html#group4A0", "4A⁰"), =HYPERLINK("CSG5.html#group68A5", "68A⁵"), =HYPERLINK("CSG1.html#group17A1", "17A¹"), =HYPERLINK("CSG0.html#group3A0", "3A⁰"), =HYPERLINK("CSG0.html#group1A0", "1A⁰")</f>
        <v/>
      </c>
      <c r="N4338" t="inlineStr"/>
    </row>
    <row r="4339">
      <c r="A4339" t="inlineStr">
        <is>
          <t>208A¹⁵</t>
        </is>
      </c>
      <c r="B4339" t="inlineStr"/>
      <c r="C4339" t="inlineStr">
        <is>
          <t>224</t>
        </is>
      </c>
      <c r="D4339" t="inlineStr">
        <is>
          <t>2</t>
        </is>
      </c>
      <c r="E4339" t="inlineStr">
        <is>
          <t>112</t>
        </is>
      </c>
      <c r="F4339" t="inlineStr">
        <is>
          <t>4</t>
        </is>
      </c>
      <c r="G4339" t="inlineStr">
        <is>
          <t>8</t>
        </is>
      </c>
      <c r="H4339" t="inlineStr">
        <is>
          <t>16¹, 208¹</t>
        </is>
      </c>
      <c r="I4339" t="n">
        <v>2</v>
      </c>
      <c r="J4339" t="inlineStr">
        <is>
          <t>8⁴, 96²</t>
        </is>
      </c>
      <c r="K4339">
        <f>HYPERLINK("CSG7.html#group104B7", "104B⁷")</f>
        <v/>
      </c>
      <c r="L4339" t="inlineStr"/>
      <c r="M4339">
        <f>HYPERLINK("CSG0.html#group8A0", "8A⁰"), =HYPERLINK("CSG0.html#group13A0", "13A⁰"), =HYPERLINK("CSG3.html#group52A3", "52A³"), =HYPERLINK("CSG7.html#group104B7", "104B⁷"), =HYPERLINK("CSG0.html#group1A0", "1A⁰"), =HYPERLINK("CSG0.html#group4A0", "4A⁰")</f>
        <v/>
      </c>
      <c r="N4339" t="inlineStr"/>
    </row>
    <row r="4340">
      <c r="A4340" t="inlineStr">
        <is>
          <t>208B¹⁵</t>
        </is>
      </c>
      <c r="B4340" t="inlineStr"/>
      <c r="C4340" t="inlineStr">
        <is>
          <t>224</t>
        </is>
      </c>
      <c r="D4340" t="inlineStr">
        <is>
          <t>2</t>
        </is>
      </c>
      <c r="E4340" t="inlineStr">
        <is>
          <t>112</t>
        </is>
      </c>
      <c r="F4340" t="inlineStr">
        <is>
          <t>4</t>
        </is>
      </c>
      <c r="G4340" t="inlineStr">
        <is>
          <t>8</t>
        </is>
      </c>
      <c r="H4340" t="inlineStr">
        <is>
          <t>16¹, 208¹</t>
        </is>
      </c>
      <c r="I4340" t="n">
        <v>2</v>
      </c>
      <c r="J4340" t="inlineStr">
        <is>
          <t>8⁴, 96²</t>
        </is>
      </c>
      <c r="K4340">
        <f>HYPERLINK("CSG0.html#group16A0", "16A⁰"), =HYPERLINK("CSG7.html#group104B7", "104B⁷")</f>
        <v/>
      </c>
      <c r="L4340" t="inlineStr"/>
      <c r="M4340">
        <f>HYPERLINK("CSG0.html#group8A0", "8A⁰"), =HYPERLINK("CSG0.html#group13A0", "13A⁰"), =HYPERLINK("CSG0.html#group16A0", "16A⁰"), =HYPERLINK("CSG3.html#group52A3", "52A³"), =HYPERLINK("CSG7.html#group104B7", "104B⁷"), =HYPERLINK("CSG0.html#group1A0", "1A⁰"), =HYPERLINK("CSG0.html#group4A0", "4A⁰")</f>
        <v/>
      </c>
      <c r="N4340" t="inlineStr"/>
    </row>
    <row r="4341">
      <c r="A4341" t="inlineStr">
        <is>
          <t>210A¹⁵</t>
        </is>
      </c>
      <c r="B4341" t="inlineStr"/>
      <c r="C4341" t="inlineStr">
        <is>
          <t>210</t>
        </is>
      </c>
      <c r="D4341" t="inlineStr">
        <is>
          <t>2</t>
        </is>
      </c>
      <c r="E4341" t="inlineStr">
        <is>
          <t>35</t>
        </is>
      </c>
      <c r="F4341" t="inlineStr">
        <is>
          <t>12</t>
        </is>
      </c>
      <c r="G4341" t="inlineStr">
        <is>
          <t>0</t>
        </is>
      </c>
      <c r="H4341" t="inlineStr">
        <is>
          <t>210¹</t>
        </is>
      </c>
      <c r="I4341" t="n">
        <v>1</v>
      </c>
      <c r="J4341" t="inlineStr">
        <is>
          <t>2¹, 6², 8¹, 24²</t>
        </is>
      </c>
      <c r="K4341">
        <f>HYPERLINK("CSG1.html#group42A1", "42A¹"), =HYPERLINK("CSG4.html#group70A4", "70A⁴"), =HYPERLINK("CSG7.html#group105A7", "105A⁷")</f>
        <v/>
      </c>
      <c r="L4341" t="inlineStr"/>
      <c r="M4341">
        <f>HYPERLINK("CSG0.html#group14A0", "14A⁰"), =HYPERLINK("CSG0.html#group5A0", "5A⁰"), =HYPERLINK("CSG4.html#group70A4", "70A⁴"), =HYPERLINK("CSG1.html#group42A1", "42A¹"), =HYPERLINK("CSG0.html#group21A0", "21A⁰"), =HYPERLINK("CSG2.html#group35A2", "35A²"), =HYPERLINK("CSG0.html#group3A0", "3A⁰"), =HYPERLINK("CSG0.html#group1A0", "1A⁰"), =HYPERLINK("CSG7.html#group105A7", "105A⁷"), =HYPERLINK("CSG1.html#group15A1", "15A¹"), =HYPERLINK("CSG0.html#group7A0", "7A⁰")</f>
        <v/>
      </c>
      <c r="N4341" t="inlineStr"/>
    </row>
    <row r="4342">
      <c r="A4342" t="inlineStr">
        <is>
          <t>210B¹⁵</t>
        </is>
      </c>
      <c r="B4342" t="inlineStr"/>
      <c r="C4342" t="inlineStr">
        <is>
          <t>210</t>
        </is>
      </c>
      <c r="D4342" t="inlineStr">
        <is>
          <t>2</t>
        </is>
      </c>
      <c r="E4342" t="inlineStr">
        <is>
          <t>105</t>
        </is>
      </c>
      <c r="F4342" t="inlineStr">
        <is>
          <t>12</t>
        </is>
      </c>
      <c r="G4342" t="inlineStr">
        <is>
          <t>0</t>
        </is>
      </c>
      <c r="H4342" t="inlineStr">
        <is>
          <t>210¹</t>
        </is>
      </c>
      <c r="I4342" t="n">
        <v>1</v>
      </c>
      <c r="J4342" t="inlineStr">
        <is>
          <t>2¹, 4¹, 6², 8¹, 12², 16¹, 24², 48²</t>
        </is>
      </c>
      <c r="K4342">
        <f>HYPERLINK("CSG1.html#group42B1", "42B¹"), =HYPERLINK("CSG2.html#group30A2", "30A²"), =HYPERLINK("CSG7.html#group105A7", "105A⁷")</f>
        <v/>
      </c>
      <c r="L4342" t="inlineStr"/>
      <c r="M4342">
        <f>HYPERLINK("CSG0.html#group5A0", "5A⁰"), =HYPERLINK("CSG2.html#group30A2", "30A²"), =HYPERLINK("CSG0.html#group6B0", "6B⁰"), =HYPERLINK("CSG0.html#group21A0", "21A⁰"), =HYPERLINK("CSG2.html#group35A2", "35A²"), =HYPERLINK("CSG1.html#group42B1", "42B¹"), =HYPERLINK("CSG0.html#group3A0", "3A⁰"), =HYPERLINK("CSG0.html#group1A0", "1A⁰"), =HYPERLINK("CSG7.html#group105A7", "105A⁷"), =HYPERLINK("CSG1.html#group15A1", "15A¹"), =HYPERLINK("CSG0.html#group7A0", "7A⁰")</f>
        <v/>
      </c>
      <c r="N4342" t="inlineStr"/>
    </row>
    <row r="4343">
      <c r="A4343" t="inlineStr">
        <is>
          <t>210C¹⁵</t>
        </is>
      </c>
      <c r="B4343" t="inlineStr"/>
      <c r="C4343" t="inlineStr">
        <is>
          <t>252</t>
        </is>
      </c>
      <c r="D4343" t="inlineStr">
        <is>
          <t>2</t>
        </is>
      </c>
      <c r="E4343" t="inlineStr">
        <is>
          <t>42</t>
        </is>
      </c>
      <c r="F4343" t="inlineStr">
        <is>
          <t>24</t>
        </is>
      </c>
      <c r="G4343" t="inlineStr">
        <is>
          <t>0</t>
        </is>
      </c>
      <c r="H4343" t="inlineStr">
        <is>
          <t>42¹, 210¹</t>
        </is>
      </c>
      <c r="I4343" t="n">
        <v>2</v>
      </c>
      <c r="J4343" t="inlineStr">
        <is>
          <t>2², 6⁴, 8¹, 24²</t>
        </is>
      </c>
      <c r="K4343">
        <f>HYPERLINK("CSG1.html#group42A1", "42A¹"), =HYPERLINK("CSG5.html#group70B5", "70B⁵"), =HYPERLINK("CSG6.html#group105C6", "105C⁶")</f>
        <v/>
      </c>
      <c r="L4343" t="inlineStr"/>
      <c r="M4343">
        <f>HYPERLINK("CSG2.html#group35C2", "35C²"), =HYPERLINK("CSG0.html#group14A0", "14A⁰"), =HYPERLINK("CSG0.html#group15B0", "15B⁰"), =HYPERLINK("CSG1.html#group42A1", "42A¹"), =HYPERLINK("CSG6.html#group105C6", "105C⁶"), =HYPERLINK("CSG0.html#group5B0", "5B⁰"), =HYPERLINK("CSG0.html#group21A0", "21A⁰"), =HYPERLINK("CSG5.html#group70B5", "70B⁵"), =HYPERLINK("CSG0.html#group3A0", "3A⁰"), =HYPERLINK("CSG0.html#group1A0", "1A⁰"), =HYPERLINK("CSG0.html#group7A0", "7A⁰")</f>
        <v/>
      </c>
      <c r="N4343" t="inlineStr"/>
    </row>
    <row r="4344">
      <c r="A4344" t="inlineStr">
        <is>
          <t>210D¹⁵</t>
        </is>
      </c>
      <c r="B4344" t="inlineStr"/>
      <c r="C4344" t="inlineStr">
        <is>
          <t>252</t>
        </is>
      </c>
      <c r="D4344" t="inlineStr">
        <is>
          <t>2</t>
        </is>
      </c>
      <c r="E4344" t="inlineStr">
        <is>
          <t>126</t>
        </is>
      </c>
      <c r="F4344" t="inlineStr">
        <is>
          <t>24</t>
        </is>
      </c>
      <c r="G4344" t="inlineStr">
        <is>
          <t>0</t>
        </is>
      </c>
      <c r="H4344" t="inlineStr">
        <is>
          <t>42¹, 210¹</t>
        </is>
      </c>
      <c r="I4344" t="n">
        <v>2</v>
      </c>
      <c r="J4344" t="inlineStr">
        <is>
          <t>2², 4², 6⁴, 8¹, 12⁴, 16¹, 24², 48²</t>
        </is>
      </c>
      <c r="K4344">
        <f>HYPERLINK("CSG1.html#group30C1", "30C¹"), =HYPERLINK("CSG1.html#group42B1", "42B¹"), =HYPERLINK("CSG6.html#group105C6", "105C⁶")</f>
        <v/>
      </c>
      <c r="L4344" t="inlineStr"/>
      <c r="M4344">
        <f>HYPERLINK("CSG2.html#group35C2", "35C²"), =HYPERLINK("CSG0.html#group15B0", "15B⁰"), =HYPERLINK("CSG0.html#group6B0", "6B⁰"), =HYPERLINK("CSG6.html#group105C6", "105C⁶"), =HYPERLINK("CSG0.html#group7A0", "7A⁰"), =HYPERLINK("CSG0.html#group5B0", "5B⁰"), =HYPERLINK("CSG0.html#group21A0", "21A⁰"), =HYPERLINK("CSG1.html#group42B1", "42B¹"), =HYPERLINK("CSG0.html#group3A0", "3A⁰"), =HYPERLINK("CSG0.html#group1A0", "1A⁰"), =HYPERLINK("CSG1.html#group30C1", "30C¹")</f>
        <v/>
      </c>
      <c r="N4344" t="inlineStr"/>
    </row>
    <row r="4345">
      <c r="A4345" t="inlineStr">
        <is>
          <t>240A¹⁵</t>
        </is>
      </c>
      <c r="B4345" t="inlineStr"/>
      <c r="C4345" t="inlineStr">
        <is>
          <t>240</t>
        </is>
      </c>
      <c r="D4345" t="inlineStr">
        <is>
          <t>2</t>
        </is>
      </c>
      <c r="E4345" t="inlineStr">
        <is>
          <t>40</t>
        </is>
      </c>
      <c r="F4345" t="inlineStr">
        <is>
          <t>6</t>
        </is>
      </c>
      <c r="G4345" t="inlineStr">
        <is>
          <t>12</t>
        </is>
      </c>
      <c r="H4345" t="inlineStr">
        <is>
          <t>240¹</t>
        </is>
      </c>
      <c r="I4345" t="n">
        <v>1</v>
      </c>
      <c r="J4345" t="inlineStr">
        <is>
          <t>16², 64²</t>
        </is>
      </c>
      <c r="K4345">
        <f>HYPERLINK("CSG4.html#group80A4", "80A⁴"), =HYPERLINK("CSG7.html#group120A7", "120A⁷")</f>
        <v/>
      </c>
      <c r="L4345" t="inlineStr"/>
      <c r="M4345">
        <f>HYPERLINK("CSG7.html#group120A7", "120A⁷"), =HYPERLINK("CSG0.html#group5A0", "5A⁰"), =HYPERLINK("CSG3.html#group60A3", "60A³"), =HYPERLINK("CSG4.html#group80A4", "80A⁴"), =HYPERLINK("CSG0.html#group16A0", "16A⁰"), =HYPERLINK("CSG0.html#group4A0", "4A⁰"), =HYPERLINK("CSG0.html#group8A0", "8A⁰"), =HYPERLINK("CSG1.html#group20A1", "20A¹"), =HYPERLINK("CSG0.html#group1A0", "1A⁰"), =HYPERLINK("CSG2.html#group40A2", "40A²"), =HYPERLINK("CSG0.html#group15A0", "15A⁰")</f>
        <v/>
      </c>
      <c r="N4345" t="inlineStr"/>
    </row>
    <row r="4346">
      <c r="A4346" t="inlineStr">
        <is>
          <t>240B¹⁵</t>
        </is>
      </c>
      <c r="B4346" t="inlineStr"/>
      <c r="C4346" t="inlineStr">
        <is>
          <t>240</t>
        </is>
      </c>
      <c r="D4346" t="inlineStr">
        <is>
          <t>2</t>
        </is>
      </c>
      <c r="E4346" t="inlineStr">
        <is>
          <t>40</t>
        </is>
      </c>
      <c r="F4346" t="inlineStr">
        <is>
          <t>6</t>
        </is>
      </c>
      <c r="G4346" t="inlineStr">
        <is>
          <t>12</t>
        </is>
      </c>
      <c r="H4346" t="inlineStr">
        <is>
          <t>240¹</t>
        </is>
      </c>
      <c r="I4346" t="n">
        <v>1</v>
      </c>
      <c r="J4346" t="inlineStr">
        <is>
          <t>16², 64²</t>
        </is>
      </c>
      <c r="K4346">
        <f>HYPERLINK("CSG4.html#group80A4", "80A⁴"), =HYPERLINK("CSG7.html#group120B7", "120B⁷")</f>
        <v/>
      </c>
      <c r="L4346" t="inlineStr"/>
      <c r="M4346">
        <f>HYPERLINK("CSG0.html#group5A0", "5A⁰"), =HYPERLINK("CSG3.html#group60A3", "60A³"), =HYPERLINK("CSG4.html#group80A4", "80A⁴"), =HYPERLINK("CSG0.html#group16A0", "16A⁰"), =HYPERLINK("CSG7.html#group120B7", "120B⁷"), =HYPERLINK("CSG0.html#group4A0", "4A⁰"), =HYPERLINK("CSG0.html#group8A0", "8A⁰"), =HYPERLINK("CSG1.html#group20A1", "20A¹"), =HYPERLINK("CSG0.html#group1A0", "1A⁰"), =HYPERLINK("CSG2.html#group40A2", "40A²"), =HYPERLINK("CSG0.html#group15A0", "15A⁰")</f>
        <v/>
      </c>
      <c r="N4346" t="inlineStr"/>
    </row>
    <row r="4347">
      <c r="A4347" t="inlineStr">
        <is>
          <t>13A¹⁶</t>
        </is>
      </c>
      <c r="B4347" t="inlineStr"/>
      <c r="C4347" t="inlineStr">
        <is>
          <t>364</t>
        </is>
      </c>
      <c r="D4347" t="inlineStr">
        <is>
          <t>1</t>
        </is>
      </c>
      <c r="E4347" t="inlineStr">
        <is>
          <t>91</t>
        </is>
      </c>
      <c r="F4347" t="inlineStr">
        <is>
          <t>0</t>
        </is>
      </c>
      <c r="G4347" t="inlineStr">
        <is>
          <t>4</t>
        </is>
      </c>
      <c r="H4347" t="inlineStr">
        <is>
          <t>13²⁸</t>
        </is>
      </c>
      <c r="I4347" t="n">
        <v>28</v>
      </c>
      <c r="J4347" t="inlineStr">
        <is>
          <t>1¹, 6¹, 12⁷</t>
        </is>
      </c>
      <c r="K4347">
        <f>HYPERLINK("CSG0.html#group13B0", "13B⁰"), =HYPERLINK("CSG3.html#group13B3", "13B³"), =HYPERLINK("CSG7.html#group13A7", "13A⁷"), =HYPERLINK("CSG7.html#group13B7", "13B⁷"), =HYPERLINK("CSG8.html#group13B8", "13B⁸")</f>
        <v/>
      </c>
      <c r="L4347" t="inlineStr"/>
      <c r="M4347">
        <f>HYPERLINK("CSG7.html#group13B7", "13B⁷"), =HYPERLINK("CSG8.html#group13B8", "13B⁸"), =HYPERLINK("CSG7.html#group13A7", "13A⁷"), =HYPERLINK("CSG3.html#group13B3", "13B³"), =HYPERLINK("CSG0.html#group13A0", "13A⁰"), =HYPERLINK("CSG3.html#group13C3", "13C³"), =HYPERLINK("CSG0.html#group13B0", "13B⁰"), =HYPERLINK("CSG0.html#group1A0", "1A⁰")</f>
        <v/>
      </c>
      <c r="N4347" t="inlineStr"/>
    </row>
    <row r="4348">
      <c r="A4348" t="inlineStr">
        <is>
          <t>15A¹⁶</t>
        </is>
      </c>
      <c r="B4348" t="inlineStr"/>
      <c r="C4348" t="inlineStr">
        <is>
          <t>360</t>
        </is>
      </c>
      <c r="D4348" t="inlineStr">
        <is>
          <t>2</t>
        </is>
      </c>
      <c r="E4348" t="inlineStr">
        <is>
          <t>60</t>
        </is>
      </c>
      <c r="F4348" t="inlineStr">
        <is>
          <t>12</t>
        </is>
      </c>
      <c r="G4348" t="inlineStr">
        <is>
          <t>0</t>
        </is>
      </c>
      <c r="H4348" t="inlineStr">
        <is>
          <t>15²⁴</t>
        </is>
      </c>
      <c r="I4348" t="n">
        <v>24</v>
      </c>
      <c r="J4348" t="inlineStr">
        <is>
          <t>8¹⁵</t>
        </is>
      </c>
      <c r="K4348">
        <f>HYPERLINK("CSG4.html#group15E4", "15E⁴"), =HYPERLINK("CSG7.html#group15C7", "15C⁷")</f>
        <v/>
      </c>
      <c r="L4348" t="inlineStr"/>
      <c r="M4348">
        <f>HYPERLINK("CSG7.html#group15C7", "15C⁷"), =HYPERLINK("CSG2.html#group15E2", "15E²"), =HYPERLINK("CSG0.html#group5A0", "5A⁰"), =HYPERLINK("CSG4.html#group15E4", "15E⁴"), =HYPERLINK("CSG1.html#group15F1", "15F¹"), =HYPERLINK("CSG0.html#group5E0", "5E⁰"), =HYPERLINK("CSG3.html#group15H3", "15H³"), =HYPERLINK("CSG0.html#group3A0", "3A⁰"), =HYPERLINK("CSG0.html#group1A0", "1A⁰"), =HYPERLINK("CSG1.html#group15A1", "15A¹"), =HYPERLINK("CSG0.html#group15A0", "15A⁰")</f>
        <v/>
      </c>
      <c r="N4348" t="inlineStr"/>
    </row>
    <row r="4349">
      <c r="A4349" t="inlineStr">
        <is>
          <t>18A¹⁶</t>
        </is>
      </c>
      <c r="B4349" t="inlineStr"/>
      <c r="C4349" t="inlineStr">
        <is>
          <t>324</t>
        </is>
      </c>
      <c r="D4349" t="inlineStr">
        <is>
          <t>1</t>
        </is>
      </c>
      <c r="E4349" t="inlineStr">
        <is>
          <t>9</t>
        </is>
      </c>
      <c r="F4349" t="inlineStr">
        <is>
          <t>0</t>
        </is>
      </c>
      <c r="G4349" t="inlineStr">
        <is>
          <t>0</t>
        </is>
      </c>
      <c r="H4349" t="inlineStr">
        <is>
          <t>9¹², 18¹²</t>
        </is>
      </c>
      <c r="I4349" t="n">
        <v>24</v>
      </c>
      <c r="J4349" t="inlineStr">
        <is>
          <t>1³, 2³</t>
        </is>
      </c>
      <c r="K4349">
        <f>HYPERLINK("CSG2.html#group18P2", "18P²"), =HYPERLINK("CSG4.html#group9A4", "9A⁴"), =HYPERLINK("CSG6.html#group18A6", "18A⁶"), =HYPERLINK("CSG7.html#group18M7", "18M⁷"), =HYPERLINK("CSG8.html#group18A8", "18A⁸")</f>
        <v/>
      </c>
      <c r="L4349" t="inlineStr"/>
      <c r="M4349">
        <f>HYPERLINK("CSG0.html#group3B0", "3B⁰"), =HYPERLINK("CSG1.html#group18I1", "18I¹"), =HYPERLINK("CSG0.html#group9G0", "9G⁰"), =HYPERLINK("CSG7.html#group18M7", "18M⁷"), =HYPERLINK("CSG0.html#group6G0", "6G⁰"), =HYPERLINK("CSG0.html#group2B0", "2B⁰"), =HYPERLINK("CSG2.html#group9B2", "9B²"), =HYPERLINK("CSG0.html#group9E0", "9E⁰"), =HYPERLINK("CSG0.html#group1A0", "1A⁰"), =HYPERLINK("CSG1.html#group9B1", "9B¹"), =HYPERLINK("CSG3.html#group18E3", "18E³"), =HYPERLINK("CSG8.html#group18A8", "18A⁸"), =HYPERLINK("CSG0.html#group3D0", "3D⁰"), =HYPERLINK("CSG0.html#group9D0", "9D⁰"), =HYPERLINK("CSG2.html#group9A2", "9A²"), =HYPERLINK("CSG6.html#group18A6", "18A⁶"), =HYPERLINK("CSG3.html#group18J3", "18J³"), =HYPERLINK("CSG0.html#group9A0", "9A⁰"), =HYPERLINK("CSG1.html#group18E1", "18E¹"), =HYPERLINK("CSG2.html#group18P2", "18P²"), =HYPERLINK("CSG0.html#group3C0", "3C⁰"), =HYPERLINK("CSG0.html#group6K0", "6K⁰"), =HYPERLINK("CSG0.html#group9H0", "9H⁰"), =HYPERLINK("CSG4.html#group9A4", "9A⁴"), =HYPERLINK("CSG0.html#group3A0", "3A⁰"), =HYPERLINK("CSG0.html#group6F0", "6F⁰"), =HYPERLINK("CSG2.html#group18I2", "18I²"), =HYPERLINK("CSG0.html#group6D0", "6D⁰"), =HYPERLINK("CSG1.html#group9F1", "9F¹")</f>
        <v/>
      </c>
      <c r="N4349" t="inlineStr"/>
    </row>
    <row r="4350">
      <c r="A4350" t="inlineStr">
        <is>
          <t>18B¹⁶</t>
        </is>
      </c>
      <c r="B4350" t="inlineStr"/>
      <c r="C4350" t="inlineStr">
        <is>
          <t>324</t>
        </is>
      </c>
      <c r="D4350" t="inlineStr">
        <is>
          <t>1</t>
        </is>
      </c>
      <c r="E4350" t="inlineStr">
        <is>
          <t>18</t>
        </is>
      </c>
      <c r="F4350" t="inlineStr">
        <is>
          <t>0</t>
        </is>
      </c>
      <c r="G4350" t="inlineStr">
        <is>
          <t>0</t>
        </is>
      </c>
      <c r="H4350" t="inlineStr">
        <is>
          <t>9¹², 18¹²</t>
        </is>
      </c>
      <c r="I4350" t="n">
        <v>24</v>
      </c>
      <c r="J4350" t="inlineStr">
        <is>
          <t>1⁶, 2⁶</t>
        </is>
      </c>
      <c r="K4350">
        <f>HYPERLINK("CSG2.html#group18P2", "18P²"), =HYPERLINK("CSG4.html#group9B4", "9B⁴"), =HYPERLINK("CSG4.html#group18M4", "18M⁴"), =HYPERLINK("CSG6.html#group18A6", "18A⁶"), =HYPERLINK("CSG7.html#group18I7", "18I⁷")</f>
        <v/>
      </c>
      <c r="L4350" t="inlineStr"/>
      <c r="M4350">
        <f>HYPERLINK("CSG2.html#group18E2", "18E²"), =HYPERLINK("CSG0.html#group6G0", "6G⁰"), =HYPERLINK("CSG2.html#group18D2", "18D²"), =HYPERLINK("CSG7.html#group18I7", "18I⁷"), =HYPERLINK("CSG0.html#group2B0", "2B⁰"), =HYPERLINK("CSG0.html#group9C0", "9C⁰"), =HYPERLINK("CSG0.html#group9E0", "9E⁰"), =HYPERLINK("CSG0.html#group1A0", "1A⁰"), =HYPERLINK("CSG1.html#group9B1", "9B¹"), =HYPERLINK("CSG2.html#group9A2", "9A²"), =HYPERLINK("CSG0.html#group3C0", "3C⁰"), =HYPERLINK("CSG0.html#group6K0", "6K⁰"), =HYPERLINK("CSG1.html#group18E1", "18E¹"), =HYPERLINK("CSG0.html#group3A0", "3A⁰"), =HYPERLINK("CSG0.html#group6F0", "6F⁰"), =HYPERLINK("CSG0.html#group3B0", "3B⁰"), =HYPERLINK("CSG1.html#group18I1", "18I¹"), =HYPERLINK("CSG0.html#group9B0", "9B⁰"), =HYPERLINK("CSG1.html#group9E1", "9E¹"), =HYPERLINK("CSG3.html#group18E3", "18E³"), =HYPERLINK("CSG0.html#group9D0", "9D⁰"), =HYPERLINK("CSG0.html#group18E0", "18E⁰"), =HYPERLINK("CSG4.html#group9B4", "9B⁴"), =HYPERLINK("CSG6.html#group18A6", "18A⁶"), =HYPERLINK("CSG0.html#group9A0", "9A⁰"), =HYPERLINK("CSG1.html#group9A1", "9A¹"), =HYPERLINK("CSG2.html#group18P2", "18P²"), =HYPERLINK("CSG1.html#group9C1", "9C¹"), =HYPERLINK("CSG0.html#group9H0", "9H⁰"), =HYPERLINK("CSG4.html#group18M4", "18M⁴"), =HYPERLINK("CSG0.html#group3D0", "3D⁰"), =HYPERLINK("CSG2.html#group18I2", "18I²"), =HYPERLINK("CSG0.html#group6D0", "6D⁰")</f>
        <v/>
      </c>
      <c r="N4350" t="inlineStr"/>
    </row>
    <row r="4351">
      <c r="A4351" t="inlineStr">
        <is>
          <t>18C¹⁶</t>
        </is>
      </c>
      <c r="B4351" t="inlineStr"/>
      <c r="C4351" t="inlineStr">
        <is>
          <t>324</t>
        </is>
      </c>
      <c r="D4351" t="inlineStr">
        <is>
          <t>1</t>
        </is>
      </c>
      <c r="E4351" t="inlineStr">
        <is>
          <t>27</t>
        </is>
      </c>
      <c r="F4351" t="inlineStr">
        <is>
          <t>12</t>
        </is>
      </c>
      <c r="G4351" t="inlineStr">
        <is>
          <t>0</t>
        </is>
      </c>
      <c r="H4351" t="inlineStr">
        <is>
          <t>18¹⁸</t>
        </is>
      </c>
      <c r="I4351" t="n">
        <v>18</v>
      </c>
      <c r="J4351" t="inlineStr">
        <is>
          <t>3¹, 6⁴</t>
        </is>
      </c>
      <c r="K4351">
        <f>HYPERLINK("CSG4.html#group9C4", "9C⁴"), =HYPERLINK("CSG4.html#group18O4", "18O⁴"), =HYPERLINK("CSG4.html#group18S4", "18S⁴"), =HYPERLINK("CSG6.html#group18B6", "18B⁶"), =HYPERLINK("CSG7.html#group18J7", "18J⁷")</f>
        <v/>
      </c>
      <c r="L4351" t="inlineStr"/>
      <c r="M4351">
        <f>HYPERLINK("CSG4.html#group18S4", "18S⁴"), =HYPERLINK("CSG0.html#group6B0", "6B⁰"), =HYPERLINK("CSG0.html#group3A0", "3A⁰"), =HYPERLINK("CSG1.html#group18H1", "18H¹"), =HYPERLINK("CSG6.html#group18B6", "18B⁶"), =HYPERLINK("CSG0.html#group9G0", "9G⁰"), =HYPERLINK("CSG2.html#group18K2", "18K²"), =HYPERLINK("CSG0.html#group9F0", "9F⁰"), =HYPERLINK("CSG1.html#group9E1", "9E¹"), =HYPERLINK("CSG2.html#group9B2", "9B²"), =HYPERLINK("CSG0.html#group9E0", "9E⁰"), =HYPERLINK("CSG0.html#group1A0", "1A⁰"), =HYPERLINK("CSG0.html#group18A0", "18A⁰"), =HYPERLINK("CSG1.html#group9B1", "9B¹"), =HYPERLINK("CSG0.html#group9D0", "9D⁰"), =HYPERLINK("CSG4.html#group9C4", "9C⁴"), =HYPERLINK("CSG0.html#group18D0", "18D⁰"), =HYPERLINK("CSG0.html#group6E0", "6E⁰"), =HYPERLINK("CSG0.html#group9A0", "9A⁰"), =HYPERLINK("CSG0.html#group3C0", "3C⁰"), =HYPERLINK("CSG1.html#group9G1", "9G¹"), =HYPERLINK("CSG1.html#group18F1", "18F¹"), =HYPERLINK("CSG2.html#group18G2", "18G²"), =HYPERLINK("CSG4.html#group18O4", "18O⁴"), =HYPERLINK("CSG1.html#group18A1", "18A¹"), =HYPERLINK("CSG7.html#group18J7", "18J⁷"), =HYPERLINK("CSG1.html#group9F1", "9F¹")</f>
        <v/>
      </c>
      <c r="N4351" t="inlineStr"/>
    </row>
    <row r="4352">
      <c r="A4352" t="inlineStr">
        <is>
          <t>18D¹⁶</t>
        </is>
      </c>
      <c r="B4352" t="inlineStr"/>
      <c r="C4352" t="inlineStr">
        <is>
          <t>324</t>
        </is>
      </c>
      <c r="D4352" t="inlineStr">
        <is>
          <t>1</t>
        </is>
      </c>
      <c r="E4352" t="inlineStr">
        <is>
          <t>54</t>
        </is>
      </c>
      <c r="F4352" t="inlineStr">
        <is>
          <t>12</t>
        </is>
      </c>
      <c r="G4352" t="inlineStr">
        <is>
          <t>0</t>
        </is>
      </c>
      <c r="H4352" t="inlineStr">
        <is>
          <t>18¹⁸</t>
        </is>
      </c>
      <c r="I4352" t="n">
        <v>18</v>
      </c>
      <c r="J4352" t="inlineStr">
        <is>
          <t>1³, 2³, 3³, 6⁶</t>
        </is>
      </c>
      <c r="K4352">
        <f>HYPERLINK("CSG3.html#group18K3", "18K³"), =HYPERLINK("CSG4.html#group18L4", "18L⁴"), =HYPERLINK("CSG4.html#group18O4", "18O⁴"), =HYPERLINK("CSG4.html#group18R4", "18R⁴"), =HYPERLINK("CSG7.html#group18I7", "18I⁷")</f>
        <v/>
      </c>
      <c r="L4352" t="inlineStr"/>
      <c r="M4352">
        <f>HYPERLINK("CSG0.html#group6B0", "6B⁰"), =HYPERLINK("CSG0.html#group3A0", "3A⁰"), =HYPERLINK("CSG4.html#group18L4", "18L⁴"), =HYPERLINK("CSG1.html#group18I1", "18I¹"), =HYPERLINK("CSG0.html#group6H0", "6H⁰"), =HYPERLINK("CSG0.html#group6G0", "6G⁰"), =HYPERLINK("CSG4.html#group18R4", "18R⁴"), =HYPERLINK("CSG7.html#group18I7", "18I⁷"), =HYPERLINK("CSG0.html#group2B0", "2B⁰"), =HYPERLINK("CSG1.html#group9E1", "9E¹"), =HYPERLINK("CSG0.html#group9E0", "9E⁰"), =HYPERLINK("CSG0.html#group1A0", "1A⁰"), =HYPERLINK("CSG0.html#group18A0", "18A⁰"), =HYPERLINK("CSG2.html#group18L2", "18L²"), =HYPERLINK("CSG0.html#group9D0", "9D⁰"), =HYPERLINK("CSG0.html#group18D0", "18D⁰"), =HYPERLINK("CSG0.html#group6E0", "6E⁰"), =HYPERLINK("CSG0.html#group6L0", "6L⁰"), =HYPERLINK("CSG0.html#group9A0", "9A⁰"), =HYPERLINK("CSG0.html#group3C0", "3C⁰"), =HYPERLINK("CSG3.html#group18K3", "18K³"), =HYPERLINK("CSG1.html#group18G1", "18G¹"), =HYPERLINK("CSG1.html#group18F1", "18F¹"), =HYPERLINK("CSG1.html#group18E1", "18E¹"), =HYPERLINK("CSG4.html#group18O4", "18O⁴"), =HYPERLINK("CSG2.html#group18I2", "18I²"), =HYPERLINK("CSG0.html#group6D0", "6D⁰")</f>
        <v/>
      </c>
      <c r="N4352" t="inlineStr"/>
    </row>
    <row r="4353">
      <c r="A4353" t="inlineStr">
        <is>
          <t>18E¹⁶</t>
        </is>
      </c>
      <c r="B4353" t="inlineStr"/>
      <c r="C4353" t="inlineStr">
        <is>
          <t>324</t>
        </is>
      </c>
      <c r="D4353" t="inlineStr">
        <is>
          <t>1</t>
        </is>
      </c>
      <c r="E4353" t="inlineStr">
        <is>
          <t>108</t>
        </is>
      </c>
      <c r="F4353" t="inlineStr">
        <is>
          <t>0</t>
        </is>
      </c>
      <c r="G4353" t="inlineStr">
        <is>
          <t>0</t>
        </is>
      </c>
      <c r="H4353" t="inlineStr">
        <is>
          <t>9¹², 18¹²</t>
        </is>
      </c>
      <c r="I4353" t="n">
        <v>24</v>
      </c>
      <c r="J4353" t="inlineStr">
        <is>
          <t>3⁶, 6¹⁵</t>
        </is>
      </c>
      <c r="K4353">
        <f>HYPERLINK("CSG3.html#group9A3", "9A³"), =HYPERLINK("CSG4.html#group18K4", "18K⁴"), =HYPERLINK("CSG4.html#group18P4", "18P⁴")</f>
        <v/>
      </c>
      <c r="L4353" t="inlineStr"/>
      <c r="M4353">
        <f>HYPERLINK("CSG0.html#group3B0", "3B⁰"), =HYPERLINK("CSG4.html#group18P4", "18P⁴"), =HYPERLINK("CSG0.html#group9J0", "9J⁰"), =HYPERLINK("CSG0.html#group6F0", "6F⁰"), =HYPERLINK("CSG3.html#group9A3", "9A³"), =HYPERLINK("CSG2.html#group18D2", "18D²"), =HYPERLINK("CSG0.html#group1A0", "1A⁰"), =HYPERLINK("CSG0.html#group2B0", "2B⁰"), =HYPERLINK("CSG0.html#group9C0", "9C⁰"), =HYPERLINK("CSG0.html#group9F0", "9F⁰"), =HYPERLINK("CSG4.html#group18K4", "18K⁴")</f>
        <v/>
      </c>
      <c r="N4353" t="inlineStr"/>
    </row>
    <row r="4354">
      <c r="A4354" t="inlineStr">
        <is>
          <t>18F¹⁶</t>
        </is>
      </c>
      <c r="B4354" t="inlineStr"/>
      <c r="C4354" t="inlineStr">
        <is>
          <t>324</t>
        </is>
      </c>
      <c r="D4354" t="inlineStr">
        <is>
          <t>1</t>
        </is>
      </c>
      <c r="E4354" t="inlineStr">
        <is>
          <t>108</t>
        </is>
      </c>
      <c r="F4354" t="inlineStr">
        <is>
          <t>12</t>
        </is>
      </c>
      <c r="G4354" t="inlineStr">
        <is>
          <t>0</t>
        </is>
      </c>
      <c r="H4354" t="inlineStr">
        <is>
          <t>18¹⁸</t>
        </is>
      </c>
      <c r="I4354" t="n">
        <v>18</v>
      </c>
      <c r="J4354" t="inlineStr">
        <is>
          <t>3², 6¹⁷</t>
        </is>
      </c>
      <c r="K4354">
        <f>HYPERLINK("CSG4.html#group18O4", "18O⁴"), =HYPERLINK("CSG4.html#group18R4", "18R⁴"), =HYPERLINK("CSG4.html#group18T4", "18T⁴"), =HYPERLINK("CSG6.html#group18C6", "18C⁶")</f>
        <v/>
      </c>
      <c r="L4354" t="inlineStr"/>
      <c r="M4354">
        <f>HYPERLINK("CSG0.html#group6B0", "6B⁰"), =HYPERLINK("CSG0.html#group3A0", "3A⁰"), =HYPERLINK("CSG1.html#group18B1", "18B¹"), =HYPERLINK("CSG4.html#group18R4", "18R⁴"), =HYPERLINK("CSG1.html#group9E1", "9E¹"), =HYPERLINK("CSG0.html#group9E0", "9E⁰"), =HYPERLINK("CSG2.html#group18M2", "18M²"), =HYPERLINK("CSG0.html#group1A0", "1A⁰"), =HYPERLINK("CSG0.html#group18A0", "18A⁰"), =HYPERLINK("CSG6.html#group18C6", "18C⁶"), =HYPERLINK("CSG0.html#group9D0", "9D⁰"), =HYPERLINK("CSG0.html#group18D0", "18D⁰"), =HYPERLINK("CSG2.html#group18H2", "18H²"), =HYPERLINK("CSG0.html#group6E0", "6E⁰"), =HYPERLINK("CSG0.html#group9A0", "9A⁰"), =HYPERLINK("CSG0.html#group3C0", "3C⁰"), =HYPERLINK("CSG4.html#group18T4", "18T⁴"), =HYPERLINK("CSG1.html#group18F1", "18F¹"), =HYPERLINK("CSG1.html#group18G1", "18G¹"), =HYPERLINK("CSG4.html#group18O4", "18O⁴")</f>
        <v/>
      </c>
      <c r="N4354" t="inlineStr"/>
    </row>
    <row r="4355">
      <c r="A4355" t="inlineStr">
        <is>
          <t>18G¹⁶</t>
        </is>
      </c>
      <c r="B4355" t="inlineStr"/>
      <c r="C4355" t="inlineStr">
        <is>
          <t>324</t>
        </is>
      </c>
      <c r="D4355" t="inlineStr">
        <is>
          <t>2</t>
        </is>
      </c>
      <c r="E4355" t="inlineStr">
        <is>
          <t>27</t>
        </is>
      </c>
      <c r="F4355" t="inlineStr">
        <is>
          <t>12</t>
        </is>
      </c>
      <c r="G4355" t="inlineStr">
        <is>
          <t>0</t>
        </is>
      </c>
      <c r="H4355" t="inlineStr">
        <is>
          <t>18¹⁸</t>
        </is>
      </c>
      <c r="I4355" t="n">
        <v>18</v>
      </c>
      <c r="J4355" t="inlineStr">
        <is>
          <t>2⁹, 6⁶</t>
        </is>
      </c>
      <c r="K4355">
        <f>HYPERLINK("CSG4.html#group18L4", "18L⁴"), =HYPERLINK("CSG4.html#group18S4", "18S⁴"), =HYPERLINK("CSG4.html#group18T4", "18T⁴"), =HYPERLINK("CSG6.html#group18D6", "18D⁶"), =HYPERLINK("CSG7.html#group18K7", "18K⁷"), =HYPERLINK("CSG7.html#group18M7", "18M⁷"), =HYPERLINK("CSG8.html#group18B8", "18B⁸")</f>
        <v/>
      </c>
      <c r="L4355" t="inlineStr"/>
      <c r="M4355">
        <f>HYPERLINK("CSG4.html#group18S4", "18S⁴"), =HYPERLINK("CSG2.html#group18K2", "18K²"), =HYPERLINK("CSG1.html#group18B1", "18B¹"), =HYPERLINK("CSG0.html#group6G0", "6G⁰"), =HYPERLINK("CSG0.html#group2B0", "2B⁰"), =HYPERLINK("CSG2.html#group18I2", "18I²"), =HYPERLINK("CSG0.html#group1A0", "1A⁰"), =HYPERLINK("CSG1.html#group9B1", "9B¹"), =HYPERLINK("CSG0.html#group18A0", "18A⁰"), =HYPERLINK("CSG2.html#group18L2", "18L²"), =HYPERLINK("CSG3.html#group18D3", "18D³"), =HYPERLINK("CSG0.html#group3C0", "3C⁰"), =HYPERLINK("CSG4.html#group18T4", "18T⁴"), =HYPERLINK("CSG8.html#group18B8", "18B⁸"), =HYPERLINK("CSG0.html#group6H0", "6H⁰"), =HYPERLINK("CSG1.html#group18E1", "18E¹"), =HYPERLINK("CSG0.html#group3A0", "3A⁰"), =HYPERLINK("CSG1.html#group9F1", "9F¹"), =HYPERLINK("CSG0.html#group6B0", "6B⁰"), =HYPERLINK("CSG7.html#group18K7", "18K⁷"), =HYPERLINK("CSG4.html#group18L4", "18L⁴"), =HYPERLINK("CSG1.html#group18H1", "18H¹"), =HYPERLINK("CSG0.html#group9G0", "9G⁰"), =HYPERLINK("CSG7.html#group18M7", "18M⁷"), =HYPERLINK("CSG2.html#group18M2", "18M²"), =HYPERLINK("CSG3.html#group18E3", "18E³"), =HYPERLINK("CSG6.html#group18D6", "18D⁶"), =HYPERLINK("CSG0.html#group9D0", "9D⁰"), =HYPERLINK("CSG0.html#group18D0", "18D⁰"), =HYPERLINK("CSG2.html#group18H2", "18H²"), =HYPERLINK("CSG0.html#group6E0", "6E⁰"), =HYPERLINK("CSG0.html#group6L0", "6L⁰"), =HYPERLINK("CSG3.html#group18J3", "18J³"), =HYPERLINK("CSG0.html#group9A0", "9A⁰"), =HYPERLINK("CSG2.html#group18G2", "18G²"), =HYPERLINK("CSG1.html#group18A1", "18A¹"), =HYPERLINK("CSG0.html#group6D0", "6D⁰")</f>
        <v/>
      </c>
      <c r="N4355" t="inlineStr"/>
    </row>
    <row r="4356">
      <c r="A4356" t="inlineStr">
        <is>
          <t>18H¹⁶</t>
        </is>
      </c>
      <c r="B4356" t="inlineStr"/>
      <c r="C4356" t="inlineStr">
        <is>
          <t>324</t>
        </is>
      </c>
      <c r="D4356" t="inlineStr">
        <is>
          <t>2</t>
        </is>
      </c>
      <c r="E4356" t="inlineStr">
        <is>
          <t>54</t>
        </is>
      </c>
      <c r="F4356" t="inlineStr">
        <is>
          <t>12</t>
        </is>
      </c>
      <c r="G4356" t="inlineStr">
        <is>
          <t>0</t>
        </is>
      </c>
      <c r="H4356" t="inlineStr">
        <is>
          <t>18¹⁸</t>
        </is>
      </c>
      <c r="I4356" t="n">
        <v>18</v>
      </c>
      <c r="J4356" t="inlineStr">
        <is>
          <t>6¹⁸</t>
        </is>
      </c>
      <c r="K4356">
        <f>HYPERLINK("CSG4.html#group18R4", "18R⁴"), =HYPERLINK("CSG4.html#group18S4", "18S⁴"), =HYPERLINK("CSG4.html#group18T4", "18T⁴"), =HYPERLINK("CSG6.html#group18E6", "18E⁶"), =HYPERLINK("CSG7.html#group18L7", "18L⁷")</f>
        <v/>
      </c>
      <c r="L4356" t="inlineStr"/>
      <c r="M4356">
        <f>HYPERLINK("CSG4.html#group18S4", "18S⁴"), =HYPERLINK("CSG6.html#group18E6", "18E⁶"), =HYPERLINK("CSG0.html#group6B0", "6B⁰"), =HYPERLINK("CSG1.html#group18H1", "18H¹"), =HYPERLINK("CSG0.html#group9G0", "9G⁰"), =HYPERLINK("CSG2.html#group18K2", "18K²"), =HYPERLINK("CSG1.html#group18B1", "18B¹"), =HYPERLINK("CSG4.html#group18R4", "18R⁴"), =HYPERLINK("CSG2.html#group18M2", "18M²"), =HYPERLINK("CSG0.html#group1A0", "1A⁰"), =HYPERLINK("CSG0.html#group18A0", "18A⁰"), =HYPERLINK("CSG7.html#group18L7", "18L⁷"), =HYPERLINK("CSG1.html#group9B1", "9B¹"), =HYPERLINK("CSG0.html#group9D0", "9D⁰"), =HYPERLINK("CSG0.html#group18D0", "18D⁰"), =HYPERLINK("CSG2.html#group18H2", "18H²"), =HYPERLINK("CSG0.html#group6E0", "6E⁰"), =HYPERLINK("CSG0.html#group9A0", "9A⁰"), =HYPERLINK("CSG0.html#group3C0", "3C⁰"), =HYPERLINK("CSG4.html#group18T4", "18T⁴"), =HYPERLINK("CSG1.html#group18G1", "18G¹"), =HYPERLINK("CSG2.html#group18G2", "18G²"), =HYPERLINK("CSG0.html#group3A0", "3A⁰"), =HYPERLINK("CSG1.html#group18A1", "18A¹"), =HYPERLINK("CSG1.html#group9F1", "9F¹")</f>
        <v/>
      </c>
      <c r="N4356" t="inlineStr"/>
    </row>
    <row r="4357">
      <c r="A4357" t="inlineStr">
        <is>
          <t>21A¹⁶</t>
        </is>
      </c>
      <c r="B4357" t="inlineStr"/>
      <c r="C4357" t="inlineStr">
        <is>
          <t>252</t>
        </is>
      </c>
      <c r="D4357" t="inlineStr">
        <is>
          <t>1</t>
        </is>
      </c>
      <c r="E4357" t="inlineStr">
        <is>
          <t>21</t>
        </is>
      </c>
      <c r="F4357" t="inlineStr">
        <is>
          <t>0</t>
        </is>
      </c>
      <c r="G4357" t="inlineStr">
        <is>
          <t>0</t>
        </is>
      </c>
      <c r="H4357" t="inlineStr">
        <is>
          <t>21¹²</t>
        </is>
      </c>
      <c r="I4357" t="n">
        <v>12</v>
      </c>
      <c r="J4357" t="inlineStr">
        <is>
          <t>3¹, 6³</t>
        </is>
      </c>
      <c r="K4357">
        <f>HYPERLINK("CSG5.html#group21A5", "21A⁵"), =HYPERLINK("CSG6.html#group21A6", "21A⁶"), =HYPERLINK("CSG6.html#group21C6", "21C⁶")</f>
        <v/>
      </c>
      <c r="L4357" t="inlineStr"/>
      <c r="M4357">
        <f>HYPERLINK("CSG0.html#group3B0", "3B⁰"), =HYPERLINK("CSG2.html#group21D2", "21D²"), =HYPERLINK("CSG6.html#group21C6", "21C⁶"), =HYPERLINK("CSG2.html#group21B2", "21B²"), =HYPERLINK("CSG0.html#group7D0", "7D⁰"), =HYPERLINK("CSG0.html#group3A0", "3A⁰"), =HYPERLINK("CSG0.html#group3D0", "3D⁰"), =HYPERLINK("CSG1.html#group21E1", "21E¹"), =HYPERLINK("CSG0.html#group21A0", "21A⁰"), =HYPERLINK("CSG0.html#group3C0", "3C⁰"), =HYPERLINK("CSG0.html#group1A0", "1A⁰"), =HYPERLINK("CSG5.html#group21A5", "21A⁵"), =HYPERLINK("CSG6.html#group21A6", "21A⁶"), =HYPERLINK("CSG0.html#group7A0", "7A⁰")</f>
        <v/>
      </c>
      <c r="N4357" t="inlineStr"/>
    </row>
    <row r="4358">
      <c r="A4358" t="inlineStr">
        <is>
          <t>22A¹⁶</t>
        </is>
      </c>
      <c r="B4358" t="inlineStr"/>
      <c r="C4358" t="inlineStr">
        <is>
          <t>360</t>
        </is>
      </c>
      <c r="D4358" t="inlineStr">
        <is>
          <t>1</t>
        </is>
      </c>
      <c r="E4358" t="inlineStr">
        <is>
          <t>12</t>
        </is>
      </c>
      <c r="F4358" t="inlineStr">
        <is>
          <t>0</t>
        </is>
      </c>
      <c r="G4358" t="inlineStr">
        <is>
          <t>0</t>
        </is>
      </c>
      <c r="H4358" t="inlineStr">
        <is>
          <t>2¹⁵, 22¹⁵</t>
        </is>
      </c>
      <c r="I4358" t="n">
        <v>30</v>
      </c>
      <c r="J4358" t="inlineStr">
        <is>
          <t>1², 10¹</t>
        </is>
      </c>
      <c r="K4358">
        <f>HYPERLINK("CSG4.html#group22A4", "22A⁴"), =HYPERLINK("CSG6.html#group22A6", "22A⁶"), =HYPERLINK("CSG6.html#group22C6", "22C⁶")</f>
        <v/>
      </c>
      <c r="L4358" t="inlineStr"/>
      <c r="M4358">
        <f>HYPERLINK("CSG0.html#group2A0", "2A⁰"), =HYPERLINK("CSG1.html#group11A1", "11A¹"), =HYPERLINK("CSG0.html#group2C0", "2C⁰"), =HYPERLINK("CSG2.html#group22A2", "22A²"), =HYPERLINK("CSG6.html#group22C6", "22C⁶"), =HYPERLINK("CSG6.html#group22A6", "22A⁶"), =HYPERLINK("CSG0.html#group2B0", "2B⁰"), =HYPERLINK("CSG2.html#group22C2", "22C²"), =HYPERLINK("CSG0.html#group1A0", "1A⁰"), =HYPERLINK("CSG4.html#group22A4", "22A⁴"), =HYPERLINK("CSG1.html#group11D1", "11D¹")</f>
        <v/>
      </c>
      <c r="N4358" t="inlineStr"/>
    </row>
    <row r="4359">
      <c r="A4359" t="inlineStr">
        <is>
          <t>24A¹⁶</t>
        </is>
      </c>
      <c r="B4359" t="inlineStr"/>
      <c r="C4359" t="inlineStr">
        <is>
          <t>288</t>
        </is>
      </c>
      <c r="D4359" t="inlineStr">
        <is>
          <t>1</t>
        </is>
      </c>
      <c r="E4359" t="inlineStr">
        <is>
          <t>24</t>
        </is>
      </c>
      <c r="F4359" t="inlineStr">
        <is>
          <t>12</t>
        </is>
      </c>
      <c r="G4359" t="inlineStr">
        <is>
          <t>0</t>
        </is>
      </c>
      <c r="H4359" t="inlineStr">
        <is>
          <t>24¹²</t>
        </is>
      </c>
      <c r="I4359" t="n">
        <v>12</v>
      </c>
      <c r="J4359" t="inlineStr">
        <is>
          <t>2², 4⁵</t>
        </is>
      </c>
      <c r="K4359">
        <f>HYPERLINK("CSG2.html#group8C2", "8C²"), =HYPERLINK("CSG4.html#group24S4", "24S⁴"), =HYPERLINK("CSG6.html#group24D6", "24D⁶"), =HYPERLINK("CSG7.html#group24K7", "24K⁷"), =HYPERLINK("CSG7.html#group24L7", "24L⁷")</f>
        <v/>
      </c>
      <c r="L4359" t="inlineStr"/>
      <c r="M4359">
        <f>HYPERLINK("CSG6.html#group24D6", "24D⁶"), =HYPERLINK("CSG0.html#group12C0", "12C⁰"), =HYPERLINK("CSG4.html#group24S4", "24S⁴"), =HYPERLINK("CSG0.html#group4C0", "4C⁰"), =HYPERLINK("CSG2.html#group8C2", "8C²"), =HYPERLINK("CSG0.html#group8A0", "8A⁰"), =HYPERLINK("CSG0.html#group8L0", "8L⁰"), =HYPERLINK("CSG0.html#group2B0", "2B⁰"), =HYPERLINK("CSG0.html#group8K0", "8K⁰"), =HYPERLINK("CSG0.html#group1A0", "1A⁰"), =HYPERLINK("CSG1.html#group8H1", "8H¹"), =HYPERLINK("CSG1.html#group24A1", "24A¹"), =HYPERLINK("CSG0.html#group24A0", "24A⁰"), =HYPERLINK("CSG7.html#group24L7", "24L⁷"), =HYPERLINK("CSG0.html#group3A0", "3A⁰"), =HYPERLINK("CSG0.html#group8P0", "8P⁰"), =HYPERLINK("CSG0.html#group8M0", "8M⁰"), =HYPERLINK("CSG7.html#group24K7", "24K⁷"), =HYPERLINK("CSG0.html#group8D0", "8D⁰"), =HYPERLINK("CSG0.html#group8B0", "8B⁰"), =HYPERLINK("CSG2.html#group24L2", "24L²"), =HYPERLINK("CSG1.html#group8D1", "8D¹"), =HYPERLINK("CSG3.html#group24J3", "24J³"), =HYPERLINK("CSG0.html#group8H0", "8H⁰"), =HYPERLINK("CSG1.html#group24F1", "24F¹"), =HYPERLINK("CSG4.html#group24H4", "24H⁴"), =HYPERLINK("CSG0.html#group12A0", "12A⁰"), =HYPERLINK("CSG0.html#group8F0", "8F⁰"), =HYPERLINK("CSG0.html#group4A0", "4A⁰"), =HYPERLINK("CSG1.html#group8I1", "8I¹"), =HYPERLINK("CSG2.html#group24M2", "24M²"), =HYPERLINK("CSG1.html#group24C1", "24C¹"), =HYPERLINK("CSG1.html#group12J1", "12J¹"), =HYPERLINK("CSG0.html#group4F0", "4F⁰"), =HYPERLINK("CSG0.html#group6D0", "6D⁰")</f>
        <v/>
      </c>
      <c r="N4359" t="inlineStr"/>
    </row>
    <row r="4360">
      <c r="A4360" t="inlineStr">
        <is>
          <t>24B¹⁶</t>
        </is>
      </c>
      <c r="B4360" t="inlineStr"/>
      <c r="C4360" t="inlineStr">
        <is>
          <t>288</t>
        </is>
      </c>
      <c r="D4360" t="inlineStr">
        <is>
          <t>1</t>
        </is>
      </c>
      <c r="E4360" t="inlineStr">
        <is>
          <t>72</t>
        </is>
      </c>
      <c r="F4360" t="inlineStr">
        <is>
          <t>12</t>
        </is>
      </c>
      <c r="G4360" t="inlineStr">
        <is>
          <t>0</t>
        </is>
      </c>
      <c r="H4360" t="inlineStr">
        <is>
          <t>24¹²</t>
        </is>
      </c>
      <c r="I4360" t="n">
        <v>12</v>
      </c>
      <c r="J4360" t="inlineStr">
        <is>
          <t>2², 4⁷, 8⁵</t>
        </is>
      </c>
      <c r="K4360">
        <f>HYPERLINK("CSG6.html#group24D6", "24D⁶"), =HYPERLINK("CSG7.html#group24AB7", "24AB⁷"), =HYPERLINK("CSG7.html#group24AC7", "24AC⁷")</f>
        <v/>
      </c>
      <c r="L4360" t="inlineStr"/>
      <c r="M4360">
        <f>HYPERLINK("CSG4.html#group24O4", "24O⁴"), =HYPERLINK("CSG6.html#group24D6", "24D⁶"), =HYPERLINK("CSG0.html#group12C0", "12C⁰"), =HYPERLINK("CSG7.html#group24AC7", "24AC⁷"), =HYPERLINK("CSG0.html#group8D0", "8D⁰"), =HYPERLINK("CSG0.html#group4C0", "4C⁰"), =HYPERLINK("CSG0.html#group8B0", "8B⁰"), =HYPERLINK("CSG0.html#group8L0", "8L⁰"), =HYPERLINK("CSG0.html#group2B0", "2B⁰"), =HYPERLINK("CSG1.html#group24B1", "24B¹"), =HYPERLINK("CSG2.html#group24L2", "24L²"), =HYPERLINK("CSG0.html#group1A0", "1A⁰"), =HYPERLINK("CSG0.html#group8H0", "8H⁰"), =HYPERLINK("CSG0.html#group12A0", "12A⁰"), =HYPERLINK("CSG0.html#group24A0", "24A⁰"), =HYPERLINK("CSG0.html#group4A0", "4A⁰"), =HYPERLINK("CSG2.html#group24M2", "24M²"), =HYPERLINK("CSG1.html#group24C1", "24C¹"), =HYPERLINK("CSG7.html#group24AB7", "24AB⁷"), =HYPERLINK("CSG3.html#group24R3", "24R³"), =HYPERLINK("CSG1.html#group12J1", "12J¹"), =HYPERLINK("CSG0.html#group4F0", "4F⁰"), =HYPERLINK("CSG0.html#group3A0", "3A⁰"), =HYPERLINK("CSG0.html#group8P0", "8P⁰"), =HYPERLINK("CSG0.html#group6D0", "6D⁰")</f>
        <v/>
      </c>
      <c r="N4360" t="inlineStr"/>
    </row>
    <row r="4361">
      <c r="A4361" t="inlineStr">
        <is>
          <t>24C¹⁶</t>
        </is>
      </c>
      <c r="B4361" t="inlineStr"/>
      <c r="C4361" t="inlineStr">
        <is>
          <t>288</t>
        </is>
      </c>
      <c r="D4361" t="inlineStr">
        <is>
          <t>1</t>
        </is>
      </c>
      <c r="E4361" t="inlineStr">
        <is>
          <t>72</t>
        </is>
      </c>
      <c r="F4361" t="inlineStr">
        <is>
          <t>12</t>
        </is>
      </c>
      <c r="G4361" t="inlineStr">
        <is>
          <t>0</t>
        </is>
      </c>
      <c r="H4361" t="inlineStr">
        <is>
          <t>24¹²</t>
        </is>
      </c>
      <c r="I4361" t="n">
        <v>12</v>
      </c>
      <c r="J4361" t="inlineStr">
        <is>
          <t>2², 4⁷, 8⁵</t>
        </is>
      </c>
      <c r="K4361">
        <f>HYPERLINK("CSG6.html#group24G6", "24G⁶"), =HYPERLINK("CSG7.html#group24K7", "24K⁷"), =HYPERLINK("CSG7.html#group24AC7", "24AC⁷")</f>
        <v/>
      </c>
      <c r="L4361" t="inlineStr"/>
      <c r="M4361">
        <f>HYPERLINK("CSG7.html#group24K7", "24K⁷"), =HYPERLINK("CSG0.html#group12C0", "12C⁰"), =HYPERLINK("CSG7.html#group24AC7", "24AC⁷"), =HYPERLINK("CSG0.html#group8D0", "8D⁰"), =HYPERLINK("CSG0.html#group4C0", "4C⁰"), =HYPERLINK("CSG0.html#group8B0", "8B⁰"), =HYPERLINK("CSG0.html#group8A0", "8A⁰"), =HYPERLINK("CSG2.html#group24Q2", "24Q²"), =HYPERLINK("CSG0.html#group2B0", "2B⁰"), =HYPERLINK("CSG2.html#group24L2", "24L²"), =HYPERLINK("CSG0.html#group8K0", "8K⁰"), =HYPERLINK("CSG0.html#group1A0", "1A⁰"), =HYPERLINK("CSG1.html#group8D1", "8D¹"), =HYPERLINK("CSG1.html#group8H1", "8H¹"), =HYPERLINK("CSG3.html#group24J3", "24J³"), =HYPERLINK("CSG0.html#group8H0", "8H⁰"), =HYPERLINK("CSG6.html#group24G6", "24G⁶"), =HYPERLINK("CSG4.html#group24H4", "24H⁴"), =HYPERLINK("CSG0.html#group12A0", "12A⁰"), =HYPERLINK("CSG1.html#group24A1", "24A¹"),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4361" t="inlineStr"/>
    </row>
    <row r="4362">
      <c r="A4362" t="inlineStr">
        <is>
          <t>24D¹⁶</t>
        </is>
      </c>
      <c r="B4362" t="inlineStr"/>
      <c r="C4362" t="inlineStr">
        <is>
          <t>288</t>
        </is>
      </c>
      <c r="D4362" t="inlineStr">
        <is>
          <t>1</t>
        </is>
      </c>
      <c r="E4362" t="inlineStr">
        <is>
          <t>72</t>
        </is>
      </c>
      <c r="F4362" t="inlineStr">
        <is>
          <t>12</t>
        </is>
      </c>
      <c r="G4362" t="inlineStr">
        <is>
          <t>0</t>
        </is>
      </c>
      <c r="H4362" t="inlineStr">
        <is>
          <t>24¹²</t>
        </is>
      </c>
      <c r="I4362" t="n">
        <v>12</v>
      </c>
      <c r="J4362" t="inlineStr">
        <is>
          <t>2², 4⁷, 8⁵</t>
        </is>
      </c>
      <c r="K4362">
        <f>HYPERLINK("CSG4.html#group24T4", "24T⁴"), =HYPERLINK("CSG6.html#group24G6", "24G⁶"), =HYPERLINK("CSG7.html#group24L7", "24L⁷"), =HYPERLINK("CSG7.html#group24AB7", "24AB⁷")</f>
        <v/>
      </c>
      <c r="L4362" t="inlineStr"/>
      <c r="M4362">
        <f>HYPERLINK("CSG4.html#group24O4", "24O⁴"), =HYPERLINK("CSG0.html#group12C0", "12C⁰"), =HYPERLINK("CSG0.html#group8D0", "8D⁰"), =HYPERLINK("CSG0.html#group4C0", "4C⁰"), =HYPERLINK("CSG0.html#group8B0", "8B⁰"), =HYPERLINK("CSG2.html#group24Q2", "24Q²"), =HYPERLINK("CSG0.html#group2B0", "2B⁰"), =HYPERLINK("CSG1.html#group24B1", "24B¹"), =HYPERLINK("CSG2.html#group24L2", "24L²"), =HYPERLINK("CSG0.html#group1A0", "1A⁰"), =HYPERLINK("CSG1.html#group24F1", "24F¹"), =HYPERLINK("CSG0.html#group8H0", "8H⁰"), =HYPERLINK("CSG6.html#group24G6", "24G⁶"), =HYPERLINK("CSG0.html#group12A0", "12A⁰"), =HYPERLINK("CSG0.html#group8F0", "8F⁰"), =HYPERLINK("CSG0.html#group24A0", "24A⁰"), =HYPERLINK("CSG0.html#group4A0", "4A⁰"), =HYPERLINK("CSG1.html#group8I1", "8I¹"), =HYPERLINK("CSG1.html#group24C1", "24C¹"), =HYPERLINK("CSG7.html#group24L7", "24L⁷"), =HYPERLINK("CSG7.html#group24AB7", "24AB⁷"), =HYPERLINK("CSG1.html#group12J1", "12J¹"), =HYPERLINK("CSG0.html#group4F0", "4F⁰"), =HYPERLINK("CSG3.html#group24R3", "24R³"), =HYPERLINK("CSG0.html#group3A0", "3A⁰"), =HYPERLINK("CSG4.html#group24T4", "24T⁴"), =HYPERLINK("CSG0.html#group6D0", "6D⁰")</f>
        <v/>
      </c>
      <c r="N4362" t="inlineStr"/>
    </row>
    <row r="4363">
      <c r="A4363" t="inlineStr">
        <is>
          <t>24E¹⁶</t>
        </is>
      </c>
      <c r="B4363" t="inlineStr"/>
      <c r="C4363" t="inlineStr">
        <is>
          <t>288</t>
        </is>
      </c>
      <c r="D4363" t="inlineStr">
        <is>
          <t>2</t>
        </is>
      </c>
      <c r="E4363" t="inlineStr">
        <is>
          <t>72</t>
        </is>
      </c>
      <c r="F4363" t="inlineStr">
        <is>
          <t>12</t>
        </is>
      </c>
      <c r="G4363" t="inlineStr">
        <is>
          <t>0</t>
        </is>
      </c>
      <c r="H4363" t="inlineStr">
        <is>
          <t>24¹²</t>
        </is>
      </c>
      <c r="I4363" t="n">
        <v>12</v>
      </c>
      <c r="J4363" t="inlineStr">
        <is>
          <t>4⁶, 8¹⁵</t>
        </is>
      </c>
      <c r="K4363">
        <f>HYPERLINK("CSG6.html#group24G6", "24G⁶"), =HYPERLINK("CSG7.html#group24AB7", "24AB⁷"), =HYPERLINK("CSG7.html#group24AC7", "24AC⁷")</f>
        <v/>
      </c>
      <c r="L4363" t="inlineStr"/>
      <c r="M4363">
        <f>HYPERLINK("CSG4.html#group24O4", "24O⁴"), =HYPERLINK("CSG0.html#group12C0", "12C⁰"), =HYPERLINK("CSG7.html#group24AC7", "24AC⁷"), =HYPERLINK("CSG0.html#group8D0", "8D⁰"), =HYPERLINK("CSG0.html#group4C0", "4C⁰"), =HYPERLINK("CSG0.html#group8B0", "8B⁰"), =HYPERLINK("CSG2.html#group24Q2", "24Q²"), =HYPERLINK("CSG0.html#group2B0", "2B⁰"), =HYPERLINK("CSG1.html#group24B1", "24B¹"), =HYPERLINK("CSG2.html#group24L2", "24L²"), =HYPERLINK("CSG0.html#group1A0", "1A⁰"), =HYPERLINK("CSG0.html#group8H0", "8H⁰"), =HYPERLINK("CSG6.html#group24G6", "24G⁶"), =HYPERLINK("CSG0.html#group12A0", "12A⁰"), =HYPERLINK("CSG0.html#group24A0", "24A⁰"), =HYPERLINK("CSG0.html#group4A0", "4A⁰"), =HYPERLINK("CSG1.html#group24C1", "24C¹"), =HYPERLINK("CSG7.html#group24AB7", "24AB⁷"), =HYPERLINK("CSG1.html#group12J1", "12J¹"), =HYPERLINK("CSG0.html#group4F0", "4F⁰"), =HYPERLINK("CSG3.html#group24R3", "24R³"), =HYPERLINK("CSG0.html#group3A0", "3A⁰"), =HYPERLINK("CSG0.html#group6D0", "6D⁰")</f>
        <v/>
      </c>
      <c r="N4363" t="inlineStr"/>
    </row>
    <row r="4364">
      <c r="A4364" t="inlineStr">
        <is>
          <t>25A¹⁶</t>
        </is>
      </c>
      <c r="B4364" t="inlineStr"/>
      <c r="C4364" t="inlineStr">
        <is>
          <t>300</t>
        </is>
      </c>
      <c r="D4364" t="inlineStr">
        <is>
          <t>1</t>
        </is>
      </c>
      <c r="E4364" t="inlineStr">
        <is>
          <t>6</t>
        </is>
      </c>
      <c r="F4364" t="inlineStr">
        <is>
          <t>0</t>
        </is>
      </c>
      <c r="G4364" t="inlineStr">
        <is>
          <t>0</t>
        </is>
      </c>
      <c r="H4364" t="inlineStr">
        <is>
          <t>5¹⁰, 25¹⁰</t>
        </is>
      </c>
      <c r="I4364" t="n">
        <v>20</v>
      </c>
      <c r="J4364" t="inlineStr">
        <is>
          <t>1², 4¹</t>
        </is>
      </c>
      <c r="K4364">
        <f>HYPERLINK("CSG0.html#group5H0", "5H⁰"), =HYPERLINK("CSG0.html#group25B0", "25B⁰"), =HYPERLINK("CSG4.html#group25C4", "25C⁴"), =HYPERLINK("CSG4.html#group25B4", "25B⁴"), =HYPERLINK("CSG4.html#group25D4", "25D⁴"), =HYPERLINK("CSG4.html#group25A4", "25A⁴"), =HYPERLINK("CSG8.html#group25A8", "25A⁸")</f>
        <v/>
      </c>
      <c r="L4364" t="inlineStr"/>
      <c r="M4364">
        <f>HYPERLINK("CSG0.html#group5A0", "5A⁰"), =HYPERLINK("CSG4.html#group25B4", "25B⁴"), =HYPERLINK("CSG0.html#group5B0", "5B⁰"), =HYPERLINK("CSG0.html#group5D0", "5D⁰"), =HYPERLINK("CSG0.html#group5F0", "5F⁰"), =HYPERLINK("CSG4.html#group25D4", "25D⁴"), =HYPERLINK("CSG0.html#group1A0", "1A⁰"), =HYPERLINK("CSG0.html#group5H0", "5H⁰"), =HYPERLINK("CSG2.html#group25C2", "25C²"), =HYPERLINK("CSG4.html#group25A4", "25A⁴"), =HYPERLINK("CSG2.html#group25D2", "25D²"), =HYPERLINK("CSG2.html#group25B2", "25B²"), =HYPERLINK("CSG8.html#group25A8", "25A⁸"), =HYPERLINK("CSG2.html#group25A2", "25A²"), =HYPERLINK("CSG0.html#group25A0", "25A⁰"), =HYPERLINK("CSG0.html#group5E0", "5E⁰"), =HYPERLINK("CSG0.html#group5C0", "5C⁰"), =HYPERLINK("CSG0.html#group25B0", "25B⁰"), =HYPERLINK("CSG0.html#group5G0", "5G⁰"), =HYPERLINK("CSG4.html#group25C4", "25C⁴")</f>
        <v/>
      </c>
      <c r="N4364" t="inlineStr"/>
    </row>
    <row r="4365">
      <c r="A4365" t="inlineStr">
        <is>
          <t>25B¹⁶</t>
        </is>
      </c>
      <c r="B4365" t="inlineStr"/>
      <c r="C4365" t="inlineStr">
        <is>
          <t>300</t>
        </is>
      </c>
      <c r="D4365" t="inlineStr">
        <is>
          <t>1</t>
        </is>
      </c>
      <c r="E4365" t="inlineStr">
        <is>
          <t>30</t>
        </is>
      </c>
      <c r="F4365" t="inlineStr">
        <is>
          <t>0</t>
        </is>
      </c>
      <c r="G4365" t="inlineStr">
        <is>
          <t>0</t>
        </is>
      </c>
      <c r="H4365" t="inlineStr">
        <is>
          <t>5¹⁰, 25¹⁰</t>
        </is>
      </c>
      <c r="I4365" t="n">
        <v>20</v>
      </c>
      <c r="J4365" t="inlineStr">
        <is>
          <t>2², 4⁴, 20²</t>
        </is>
      </c>
      <c r="K4365">
        <f>HYPERLINK("CSG4.html#group25A4", "25A⁴"), =HYPERLINK("CSG6.html#group25A6", "25A⁶")</f>
        <v/>
      </c>
      <c r="L4365" t="inlineStr"/>
      <c r="M4365">
        <f>HYPERLINK("CSG0.html#group5B0", "5B⁰"), =HYPERLINK("CSG0.html#group5D0", "5D⁰"), =HYPERLINK("CSG2.html#group25A2", "25A²"), =HYPERLINK("CSG0.html#group1A0", "1A⁰"), =HYPERLINK("CSG4.html#group25A4", "25A⁴"), =HYPERLINK("CSG6.html#group25A6", "25A⁶")</f>
        <v/>
      </c>
      <c r="N4365" t="inlineStr"/>
    </row>
    <row r="4366">
      <c r="A4366" t="inlineStr">
        <is>
          <t>25C¹⁶</t>
        </is>
      </c>
      <c r="B4366" t="inlineStr"/>
      <c r="C4366" t="inlineStr">
        <is>
          <t>300</t>
        </is>
      </c>
      <c r="D4366" t="inlineStr">
        <is>
          <t>1</t>
        </is>
      </c>
      <c r="E4366" t="inlineStr">
        <is>
          <t>30</t>
        </is>
      </c>
      <c r="F4366" t="inlineStr">
        <is>
          <t>0</t>
        </is>
      </c>
      <c r="G4366" t="inlineStr">
        <is>
          <t>0</t>
        </is>
      </c>
      <c r="H4366" t="inlineStr">
        <is>
          <t>5¹⁰, 25¹⁰</t>
        </is>
      </c>
      <c r="I4366" t="n">
        <v>20</v>
      </c>
      <c r="J4366" t="inlineStr">
        <is>
          <t>2², 4⁴, 20²</t>
        </is>
      </c>
      <c r="K4366">
        <f>HYPERLINK("CSG4.html#group25B4", "25B⁴"), =HYPERLINK("CSG6.html#group25B6", "25B⁶")</f>
        <v/>
      </c>
      <c r="L4366" t="inlineStr"/>
      <c r="M4366">
        <f>HYPERLINK("CSG0.html#group5B0", "5B⁰"), =HYPERLINK("CSG0.html#group5D0", "5D⁰"), =HYPERLINK("CSG6.html#group25B6", "25B⁶"), =HYPERLINK("CSG4.html#group25B4", "25B⁴"), =HYPERLINK("CSG0.html#group1A0", "1A⁰"), =HYPERLINK("CSG2.html#group25B2", "25B²")</f>
        <v/>
      </c>
      <c r="N4366" t="inlineStr"/>
    </row>
    <row r="4367">
      <c r="A4367" t="inlineStr">
        <is>
          <t>25D¹⁶</t>
        </is>
      </c>
      <c r="B4367" t="inlineStr"/>
      <c r="C4367" t="inlineStr">
        <is>
          <t>300</t>
        </is>
      </c>
      <c r="D4367" t="inlineStr">
        <is>
          <t>1</t>
        </is>
      </c>
      <c r="E4367" t="inlineStr">
        <is>
          <t>30</t>
        </is>
      </c>
      <c r="F4367" t="inlineStr">
        <is>
          <t>0</t>
        </is>
      </c>
      <c r="G4367" t="inlineStr">
        <is>
          <t>0</t>
        </is>
      </c>
      <c r="H4367" t="inlineStr">
        <is>
          <t>5¹⁰, 25¹⁰</t>
        </is>
      </c>
      <c r="I4367" t="n">
        <v>20</v>
      </c>
      <c r="J4367" t="inlineStr">
        <is>
          <t>2², 4⁴, 20²</t>
        </is>
      </c>
      <c r="K4367">
        <f>HYPERLINK("CSG4.html#group25C4", "25C⁴"), =HYPERLINK("CSG6.html#group25C6", "25C⁶")</f>
        <v/>
      </c>
      <c r="L4367" t="inlineStr"/>
      <c r="M4367">
        <f>HYPERLINK("CSG0.html#group5B0", "5B⁰"), =HYPERLINK("CSG0.html#group5D0", "5D⁰"), =HYPERLINK("CSG6.html#group25C6", "25C⁶"), =HYPERLINK("CSG0.html#group1A0", "1A⁰"), =HYPERLINK("CSG2.html#group25C2", "25C²"), =HYPERLINK("CSG4.html#group25C4", "25C⁴")</f>
        <v/>
      </c>
      <c r="N4367" t="inlineStr"/>
    </row>
    <row r="4368">
      <c r="A4368" t="inlineStr">
        <is>
          <t>25E¹⁶</t>
        </is>
      </c>
      <c r="B4368" t="inlineStr"/>
      <c r="C4368" t="inlineStr">
        <is>
          <t>300</t>
        </is>
      </c>
      <c r="D4368" t="inlineStr">
        <is>
          <t>1</t>
        </is>
      </c>
      <c r="E4368" t="inlineStr">
        <is>
          <t>30</t>
        </is>
      </c>
      <c r="F4368" t="inlineStr">
        <is>
          <t>0</t>
        </is>
      </c>
      <c r="G4368" t="inlineStr">
        <is>
          <t>0</t>
        </is>
      </c>
      <c r="H4368" t="inlineStr">
        <is>
          <t>5¹⁰, 25¹⁰</t>
        </is>
      </c>
      <c r="I4368" t="n">
        <v>20</v>
      </c>
      <c r="J4368" t="inlineStr">
        <is>
          <t>2², 4⁴, 20²</t>
        </is>
      </c>
      <c r="K4368">
        <f>HYPERLINK("CSG4.html#group25D4", "25D⁴"), =HYPERLINK("CSG6.html#group25D6", "25D⁶")</f>
        <v/>
      </c>
      <c r="L4368" t="inlineStr"/>
      <c r="M4368">
        <f>HYPERLINK("CSG0.html#group5B0", "5B⁰"), =HYPERLINK("CSG0.html#group5D0", "5D⁰"), =HYPERLINK("CSG2.html#group25D2", "25D²"), =HYPERLINK("CSG4.html#group25D4", "25D⁴"), =HYPERLINK("CSG0.html#group1A0", "1A⁰"), =HYPERLINK("CSG6.html#group25D6", "25D⁶")</f>
        <v/>
      </c>
      <c r="N4368" t="inlineStr"/>
    </row>
    <row r="4369">
      <c r="A4369" t="inlineStr">
        <is>
          <t>26A¹⁶</t>
        </is>
      </c>
      <c r="B4369" t="inlineStr"/>
      <c r="C4369" t="inlineStr">
        <is>
          <t>273</t>
        </is>
      </c>
      <c r="D4369" t="inlineStr">
        <is>
          <t>1</t>
        </is>
      </c>
      <c r="E4369" t="inlineStr">
        <is>
          <t>273</t>
        </is>
      </c>
      <c r="F4369" t="inlineStr">
        <is>
          <t>3</t>
        </is>
      </c>
      <c r="G4369" t="inlineStr">
        <is>
          <t>0</t>
        </is>
      </c>
      <c r="H4369" t="inlineStr">
        <is>
          <t>13⁷, 26⁷</t>
        </is>
      </c>
      <c r="I4369" t="n">
        <v>14</v>
      </c>
      <c r="J4369" t="inlineStr">
        <is>
          <t>3³, 4³, 12²¹</t>
        </is>
      </c>
      <c r="K4369">
        <f>HYPERLINK("CSG0.html#group2B0", "2B⁰"), =HYPERLINK("CSG3.html#group13B3", "13B³")</f>
        <v/>
      </c>
      <c r="L4369" t="inlineStr"/>
      <c r="M4369">
        <f>HYPERLINK("CSG0.html#group1A0", "1A⁰"), =HYPERLINK("CSG0.html#group2B0", "2B⁰"), =HYPERLINK("CSG3.html#group13B3", "13B³")</f>
        <v/>
      </c>
      <c r="N4369" t="inlineStr"/>
    </row>
    <row r="4370">
      <c r="A4370" t="inlineStr">
        <is>
          <t>27A¹⁶</t>
        </is>
      </c>
      <c r="B4370" t="inlineStr"/>
      <c r="C4370" t="inlineStr">
        <is>
          <t>324</t>
        </is>
      </c>
      <c r="D4370" t="inlineStr">
        <is>
          <t>1</t>
        </is>
      </c>
      <c r="E4370" t="inlineStr">
        <is>
          <t>18</t>
        </is>
      </c>
      <c r="F4370" t="inlineStr">
        <is>
          <t>0</t>
        </is>
      </c>
      <c r="G4370" t="inlineStr">
        <is>
          <t>0</t>
        </is>
      </c>
      <c r="H4370" t="inlineStr">
        <is>
          <t>9¹⁸, 27⁶</t>
        </is>
      </c>
      <c r="I4370" t="n">
        <v>24</v>
      </c>
      <c r="J4370" t="inlineStr">
        <is>
          <t>1¹, 2¹, 3¹, 6²</t>
        </is>
      </c>
      <c r="K4370">
        <f>HYPERLINK("CSG4.html#group9A4", "9A⁴"), =HYPERLINK("CSG8.html#group27A8", "27A⁸")</f>
        <v/>
      </c>
      <c r="L4370" t="inlineStr"/>
      <c r="M4370">
        <f>HYPERLINK("CSG0.html#group3B0", "3B⁰"), =HYPERLINK("CSG0.html#group9G0", "9G⁰"), =HYPERLINK("CSG8.html#group27A8", "27A⁸"), =HYPERLINK("CSG2.html#group9B2", "9B²"), =HYPERLINK("CSG0.html#group9E0", "9E⁰"), =HYPERLINK("CSG0.html#group1A0", "1A⁰"), =HYPERLINK("CSG1.html#group9B1", "9B¹"), =HYPERLINK("CSG0.html#group9D0", "9D⁰"), =HYPERLINK("CSG2.html#group9A2", "9A²"), =HYPERLINK("CSG0.html#group9A0", "9A⁰"), =HYPERLINK("CSG0.html#group3C0", "3C⁰"), =HYPERLINK("CSG0.html#group9H0", "9H⁰"), =HYPERLINK("CSG4.html#group9A4", "9A⁴"), =HYPERLINK("CSG0.html#group3A0", "3A⁰"), =HYPERLINK("CSG0.html#group3D0", "3D⁰"), =HYPERLINK("CSG1.html#group9F1", "9F¹")</f>
        <v/>
      </c>
      <c r="N4370" t="inlineStr"/>
    </row>
    <row r="4371">
      <c r="A4371" t="inlineStr">
        <is>
          <t>27B¹⁶</t>
        </is>
      </c>
      <c r="B4371" t="inlineStr"/>
      <c r="C4371" t="inlineStr">
        <is>
          <t>324</t>
        </is>
      </c>
      <c r="D4371" t="inlineStr">
        <is>
          <t>1</t>
        </is>
      </c>
      <c r="E4371" t="inlineStr">
        <is>
          <t>18</t>
        </is>
      </c>
      <c r="F4371" t="inlineStr">
        <is>
          <t>0</t>
        </is>
      </c>
      <c r="G4371" t="inlineStr">
        <is>
          <t>0</t>
        </is>
      </c>
      <c r="H4371" t="inlineStr">
        <is>
          <t>9¹⁸, 27⁶</t>
        </is>
      </c>
      <c r="I4371" t="n">
        <v>24</v>
      </c>
      <c r="J4371" t="inlineStr">
        <is>
          <t>1², 2², 6²</t>
        </is>
      </c>
      <c r="K4371">
        <f>HYPERLINK("CSG4.html#group9B4", "9B⁴"), =HYPERLINK("CSG7.html#group27G7", "27G⁷")</f>
        <v/>
      </c>
      <c r="L4371" t="inlineStr"/>
      <c r="M4371">
        <f>HYPERLINK("CSG0.html#group3B0", "3B⁰"), =HYPERLINK("CSG7.html#group27G7", "27G⁷"), =HYPERLINK("CSG0.html#group9B0", "9B⁰"), =HYPERLINK("CSG1.html#group9E1", "9E¹"), =HYPERLINK("CSG0.html#group9C0", "9C⁰"), =HYPERLINK("CSG0.html#group9E0", "9E⁰"), =HYPERLINK("CSG0.html#group1A0", "1A⁰"), =HYPERLINK("CSG1.html#group9B1", "9B¹"), =HYPERLINK("CSG0.html#group9D0", "9D⁰"), =HYPERLINK("CSG4.html#group9B4", "9B⁴"), =HYPERLINK("CSG2.html#group9A2", "9A²"), =HYPERLINK("CSG0.html#group9A0", "9A⁰"), =HYPERLINK("CSG1.html#group9A1", "9A¹"), =HYPERLINK("CSG0.html#group3C0", "3C⁰"), =HYPERLINK("CSG1.html#group9C1", "9C¹"), =HYPERLINK("CSG0.html#group9H0", "9H⁰"), =HYPERLINK("CSG0.html#group3A0", "3A⁰"), =HYPERLINK("CSG0.html#group3D0", "3D⁰")</f>
        <v/>
      </c>
      <c r="N4371" t="inlineStr"/>
    </row>
    <row r="4372">
      <c r="A4372" t="inlineStr">
        <is>
          <t>27C¹⁶</t>
        </is>
      </c>
      <c r="B4372" t="inlineStr"/>
      <c r="C4372" t="inlineStr">
        <is>
          <t>324</t>
        </is>
      </c>
      <c r="D4372" t="inlineStr">
        <is>
          <t>1</t>
        </is>
      </c>
      <c r="E4372" t="inlineStr">
        <is>
          <t>36</t>
        </is>
      </c>
      <c r="F4372" t="inlineStr">
        <is>
          <t>0</t>
        </is>
      </c>
      <c r="G4372" t="inlineStr">
        <is>
          <t>0</t>
        </is>
      </c>
      <c r="H4372" t="inlineStr">
        <is>
          <t>3⁹, 9⁶, 27⁹</t>
        </is>
      </c>
      <c r="I4372" t="n">
        <v>24</v>
      </c>
      <c r="J4372" t="inlineStr">
        <is>
          <t>1², 2², 6², 18¹</t>
        </is>
      </c>
      <c r="K4372">
        <f>HYPERLINK("CSG4.html#group27A4", "27A⁴")</f>
        <v/>
      </c>
      <c r="L4372" t="inlineStr"/>
      <c r="M4372">
        <f>HYPERLINK("CSG0.html#group9I0", "9I⁰"), =HYPERLINK("CSG0.html#group27A0", "27A⁰"), =HYPERLINK("CSG0.html#group3B0", "3B⁰"), =HYPERLINK("CSG0.html#group9B0", "9B⁰"), =HYPERLINK("CSG2.html#group27A2", "27A²"), =HYPERLINK("CSG0.html#group1A0", "1A⁰"), =HYPERLINK("CSG4.html#group27A4", "27A⁴")</f>
        <v/>
      </c>
      <c r="N4372" t="inlineStr"/>
    </row>
    <row r="4373">
      <c r="A4373" t="inlineStr">
        <is>
          <t>27D¹⁶</t>
        </is>
      </c>
      <c r="B4373" t="inlineStr"/>
      <c r="C4373" t="inlineStr">
        <is>
          <t>324</t>
        </is>
      </c>
      <c r="D4373" t="inlineStr">
        <is>
          <t>1</t>
        </is>
      </c>
      <c r="E4373" t="inlineStr">
        <is>
          <t>36</t>
        </is>
      </c>
      <c r="F4373" t="inlineStr">
        <is>
          <t>0</t>
        </is>
      </c>
      <c r="G4373" t="inlineStr">
        <is>
          <t>0</t>
        </is>
      </c>
      <c r="H4373" t="inlineStr">
        <is>
          <t>3⁹, 9⁶, 27⁹</t>
        </is>
      </c>
      <c r="I4373" t="n">
        <v>24</v>
      </c>
      <c r="J4373" t="inlineStr">
        <is>
          <t>1², 2², 6², 18¹</t>
        </is>
      </c>
      <c r="K4373">
        <f>HYPERLINK("CSG4.html#group27B4", "27B⁴")</f>
        <v/>
      </c>
      <c r="L4373" t="inlineStr"/>
      <c r="M4373">
        <f>HYPERLINK("CSG4.html#group27B4", "27B⁴"), =HYPERLINK("CSG0.html#group9I0", "9I⁰"), =HYPERLINK("CSG0.html#group3B0", "3B⁰"), =HYPERLINK("CSG0.html#group9B0", "9B⁰"), =HYPERLINK("CSG1.html#group27A1", "27A¹"), =HYPERLINK("CSG2.html#group27A2", "27A²"), =HYPERLINK("CSG0.html#group1A0", "1A⁰")</f>
        <v/>
      </c>
      <c r="N4373" t="inlineStr"/>
    </row>
    <row r="4374">
      <c r="A4374" t="inlineStr">
        <is>
          <t>27E¹⁶</t>
        </is>
      </c>
      <c r="B4374" t="inlineStr"/>
      <c r="C4374" t="inlineStr">
        <is>
          <t>324</t>
        </is>
      </c>
      <c r="D4374" t="inlineStr">
        <is>
          <t>1</t>
        </is>
      </c>
      <c r="E4374" t="inlineStr">
        <is>
          <t>36</t>
        </is>
      </c>
      <c r="F4374" t="inlineStr">
        <is>
          <t>0</t>
        </is>
      </c>
      <c r="G4374" t="inlineStr">
        <is>
          <t>9</t>
        </is>
      </c>
      <c r="H4374" t="inlineStr">
        <is>
          <t>9⁹, 27⁹</t>
        </is>
      </c>
      <c r="I4374" t="n">
        <v>18</v>
      </c>
      <c r="J4374" t="inlineStr">
        <is>
          <t>3², 6⁵</t>
        </is>
      </c>
      <c r="K4374">
        <f>HYPERLINK("CSG3.html#group9A3", "9A³"), =HYPERLINK("CSG3.html#group27C3", "27C³"), =HYPERLINK("CSG4.html#group27D4", "27D⁴"), =HYPERLINK("CSG6.html#group27A6", "27A⁶")</f>
        <v/>
      </c>
      <c r="L4374" t="inlineStr"/>
      <c r="M4374">
        <f>HYPERLINK("CSG0.html#group3B0", "3B⁰"), =HYPERLINK("CSG3.html#group27C3", "27C³"), =HYPERLINK("CSG0.html#group9J0", "9J⁰"), =HYPERLINK("CSG4.html#group27D4", "27D⁴"), =HYPERLINK("CSG2.html#group27B2", "27B²"), =HYPERLINK("CSG6.html#group27A6", "27A⁶"), =HYPERLINK("CSG3.html#group9A3", "9A³"), =HYPERLINK("CSG1.html#group27B1", "27B¹"), =HYPERLINK("CSG0.html#group9C0", "9C⁰"), =HYPERLINK("CSG0.html#group9F0", "9F⁰"), =HYPERLINK("CSG0.html#group1A0", "1A⁰")</f>
        <v/>
      </c>
      <c r="N4374" t="inlineStr"/>
    </row>
    <row r="4375">
      <c r="A4375" t="inlineStr">
        <is>
          <t>28A¹⁶</t>
        </is>
      </c>
      <c r="B4375" t="inlineStr"/>
      <c r="C4375" t="inlineStr">
        <is>
          <t>252</t>
        </is>
      </c>
      <c r="D4375" t="inlineStr">
        <is>
          <t>1</t>
        </is>
      </c>
      <c r="E4375" t="inlineStr">
        <is>
          <t>63</t>
        </is>
      </c>
      <c r="F4375" t="inlineStr">
        <is>
          <t>0</t>
        </is>
      </c>
      <c r="G4375" t="inlineStr">
        <is>
          <t>0</t>
        </is>
      </c>
      <c r="H4375" t="inlineStr">
        <is>
          <t>14⁶, 28⁶</t>
        </is>
      </c>
      <c r="I4375" t="n">
        <v>12</v>
      </c>
      <c r="J4375" t="inlineStr">
        <is>
          <t>3³, 6⁹</t>
        </is>
      </c>
      <c r="K4375">
        <f>HYPERLINK("CSG5.html#group14G5", "14G⁵"), =HYPERLINK("CSG7.html#group28B7", "28B⁷"), =HYPERLINK("CSG8.html#group28A8", "28A⁸")</f>
        <v/>
      </c>
      <c r="L4375" t="inlineStr"/>
      <c r="M4375">
        <f>HYPERLINK("CSG1.html#group14E1", "14E¹"), =HYPERLINK("CSG5.html#group14G5", "14G⁵"), =HYPERLINK("CSG0.html#group7D0", "7D⁰"), =HYPERLINK("CSG1.html#group14B1", "14B¹"), =HYPERLINK("CSG8.html#group28A8", "28A⁸"), =HYPERLINK("CSG7.html#group28B7", "28B⁷"), =HYPERLINK("CSG2.html#group14F2", "14F²"), =HYPERLINK("CSG3.html#group28A3", "28A³"), =HYPERLINK("CSG0.html#group2B0", "2B⁰"), =HYPERLINK("CSG0.html#group4B0", "4B⁰"), =HYPERLINK("CSG0.html#group1A0", "1A⁰"), =HYPERLINK("CSG0.html#group7A0", "7A⁰")</f>
        <v/>
      </c>
      <c r="N4375" t="inlineStr"/>
    </row>
    <row r="4376">
      <c r="A4376" t="inlineStr">
        <is>
          <t>28B¹⁶</t>
        </is>
      </c>
      <c r="B4376" t="inlineStr"/>
      <c r="C4376" t="inlineStr">
        <is>
          <t>252</t>
        </is>
      </c>
      <c r="D4376" t="inlineStr">
        <is>
          <t>1</t>
        </is>
      </c>
      <c r="E4376" t="inlineStr">
        <is>
          <t>63</t>
        </is>
      </c>
      <c r="F4376" t="inlineStr">
        <is>
          <t>0</t>
        </is>
      </c>
      <c r="G4376" t="inlineStr">
        <is>
          <t>0</t>
        </is>
      </c>
      <c r="H4376" t="inlineStr">
        <is>
          <t>14⁶, 28⁶</t>
        </is>
      </c>
      <c r="I4376" t="n">
        <v>12</v>
      </c>
      <c r="J4376" t="inlineStr">
        <is>
          <t>3³, 6⁹</t>
        </is>
      </c>
      <c r="K4376">
        <f>HYPERLINK("CSG5.html#group28H5", "28H⁵"), =HYPERLINK("CSG7.html#group14A7", "14A⁷"), =HYPERLINK("CSG8.html#group28A8", "28A⁸")</f>
        <v/>
      </c>
      <c r="L4376" t="inlineStr"/>
      <c r="M4376">
        <f>HYPERLINK("CSG0.html#group2A0", "2A⁰"), =HYPERLINK("CSG0.html#group7D0", "7D⁰"), =HYPERLINK("CSG1.html#group14B1", "14B¹"), =HYPERLINK("CSG3.html#group14B3", "14B³"), =HYPERLINK("CSG8.html#group28A8", "28A⁸"), =HYPERLINK("CSG1.html#group14A1", "14A¹"), =HYPERLINK("CSG0.html#group2B0", "2B⁰"), =HYPERLINK("CSG0.html#group1A0", "1A⁰"), =HYPERLINK("CSG7.html#group14A7", "14A⁷"), =HYPERLINK("CSG3.html#group14A3", "14A³"), =HYPERLINK("CSG5.html#group28H5", "28H⁵"), =HYPERLINK("CSG2.html#group14F2", "14F²"), =HYPERLINK("CSG0.html#group2C0", "2C⁰"), =HYPERLINK("CSG0.html#group7A0", "7A⁰")</f>
        <v/>
      </c>
      <c r="N4376" t="inlineStr"/>
    </row>
    <row r="4377">
      <c r="A4377" t="inlineStr">
        <is>
          <t>28C¹⁶</t>
        </is>
      </c>
      <c r="B4377" t="inlineStr"/>
      <c r="C4377" t="inlineStr">
        <is>
          <t>252</t>
        </is>
      </c>
      <c r="D4377" t="inlineStr">
        <is>
          <t>1</t>
        </is>
      </c>
      <c r="E4377" t="inlineStr">
        <is>
          <t>63</t>
        </is>
      </c>
      <c r="F4377" t="inlineStr">
        <is>
          <t>0</t>
        </is>
      </c>
      <c r="G4377" t="inlineStr">
        <is>
          <t>0</t>
        </is>
      </c>
      <c r="H4377" t="inlineStr">
        <is>
          <t>14⁶, 28⁶</t>
        </is>
      </c>
      <c r="I4377" t="n">
        <v>12</v>
      </c>
      <c r="J4377" t="inlineStr">
        <is>
          <t>3³, 6⁹</t>
        </is>
      </c>
      <c r="K4377">
        <f>HYPERLINK("CSG6.html#group28C6", "28C⁶"), =HYPERLINK("CSG6.html#group28I6", "28I⁶"), =HYPERLINK("CSG7.html#group14A7", "14A⁷"), =HYPERLINK("CSG7.html#group28B7", "28B⁷")</f>
        <v/>
      </c>
      <c r="L4377" t="inlineStr"/>
      <c r="M4377">
        <f>HYPERLINK("CSG0.html#group2A0", "2A⁰"), =HYPERLINK("CSG0.html#group7D0", "7D⁰"), =HYPERLINK("CSG1.html#group14B1", "14B¹"), =HYPERLINK("CSG3.html#group14B3", "14B³"), =HYPERLINK("CSG0.html#group4C0", "4C⁰"), =HYPERLINK("CSG1.html#group14A1", "14A¹"), =HYPERLINK("CSG3.html#group28A3", "28A³"), =HYPERLINK("CSG0.html#group2B0", "2B⁰"), =HYPERLINK("CSG0.html#group4E0", "4E⁰"), =HYPERLINK("CSG0.html#group4B0", "4B⁰"), =HYPERLINK("CSG6.html#group28I6", "28I⁶"), =HYPERLINK("CSG0.html#group1A0", "1A⁰"), =HYPERLINK("CSG7.html#group14A7", "14A⁷"), =HYPERLINK("CSG2.html#group28C2", "28C²"), =HYPERLINK("CSG3.html#group14A3", "14A³"), =HYPERLINK("CSG7.html#group28B7", "28B⁷"), =HYPERLINK("CSG2.html#group14F2", "14F²"), =HYPERLINK("CSG6.html#group28C6", "28C⁶"), =HYPERLINK("CSG0.html#group2C0", "2C⁰"), =HYPERLINK("CSG0.html#group7A0", "7A⁰")</f>
        <v/>
      </c>
      <c r="N4377" t="inlineStr"/>
    </row>
    <row r="4378">
      <c r="A4378" t="inlineStr">
        <is>
          <t>28D¹⁶</t>
        </is>
      </c>
      <c r="B4378" t="inlineStr"/>
      <c r="C4378" t="inlineStr">
        <is>
          <t>252</t>
        </is>
      </c>
      <c r="D4378" t="inlineStr">
        <is>
          <t>2</t>
        </is>
      </c>
      <c r="E4378" t="inlineStr">
        <is>
          <t>63</t>
        </is>
      </c>
      <c r="F4378" t="inlineStr">
        <is>
          <t>0</t>
        </is>
      </c>
      <c r="G4378" t="inlineStr">
        <is>
          <t>0</t>
        </is>
      </c>
      <c r="H4378" t="inlineStr">
        <is>
          <t>14⁶, 28⁶</t>
        </is>
      </c>
      <c r="I4378" t="n">
        <v>12</v>
      </c>
      <c r="J4378" t="inlineStr">
        <is>
          <t>6²¹</t>
        </is>
      </c>
      <c r="K4378">
        <f>HYPERLINK("CSG6.html#group14A6", "14A⁶"), =HYPERLINK("CSG6.html#group28J6", "28J⁶"), =HYPERLINK("CSG8.html#group28A8", "28A⁸")</f>
        <v/>
      </c>
      <c r="L4378" t="inlineStr"/>
      <c r="M4378">
        <f>HYPERLINK("CSG6.html#group28J6", "28J⁶"), =HYPERLINK("CSG0.html#group14A0", "14A⁰"), =HYPERLINK("CSG2.html#group14B2", "14B²"), =HYPERLINK("CSG1.html#group14F1", "14F¹"), =HYPERLINK("CSG0.html#group7D0", "7D⁰"), =HYPERLINK("CSG1.html#group14B1", "14B¹"), =HYPERLINK("CSG8.html#group28A8", "28A⁸"), =HYPERLINK("CSG2.html#group14C2", "14C²"), =HYPERLINK("CSG2.html#group14F2", "14F²"), =HYPERLINK("CSG0.html#group2B0", "2B⁰"), =HYPERLINK("CSG0.html#group1A0", "1A⁰"), =HYPERLINK("CSG6.html#group14A6", "14A⁶"), =HYPERLINK("CSG2.html#group28B2", "28B²"), =HYPERLINK("CSG0.html#group7A0", "7A⁰")</f>
        <v/>
      </c>
      <c r="N4378" t="inlineStr"/>
    </row>
    <row r="4379">
      <c r="A4379" t="inlineStr">
        <is>
          <t>28E¹⁶</t>
        </is>
      </c>
      <c r="B4379" t="inlineStr"/>
      <c r="C4379" t="inlineStr">
        <is>
          <t>252</t>
        </is>
      </c>
      <c r="D4379" t="inlineStr">
        <is>
          <t>2</t>
        </is>
      </c>
      <c r="E4379" t="inlineStr">
        <is>
          <t>63</t>
        </is>
      </c>
      <c r="F4379" t="inlineStr">
        <is>
          <t>0</t>
        </is>
      </c>
      <c r="G4379" t="inlineStr">
        <is>
          <t>0</t>
        </is>
      </c>
      <c r="H4379" t="inlineStr">
        <is>
          <t>14⁶, 28⁶</t>
        </is>
      </c>
      <c r="I4379" t="n">
        <v>12</v>
      </c>
      <c r="J4379" t="inlineStr">
        <is>
          <t>6²¹</t>
        </is>
      </c>
      <c r="K4379">
        <f>HYPERLINK("CSG6.html#group14A6", "14A⁶"), =HYPERLINK("CSG6.html#group28A6", "28A⁶"), =HYPERLINK("CSG7.html#group28B7", "28B⁷"), =HYPERLINK("CSG7.html#group28C7", "28C⁷")</f>
        <v/>
      </c>
      <c r="L4379" t="inlineStr"/>
      <c r="M4379">
        <f>HYPERLINK("CSG0.html#group14A0", "14A⁰"), =HYPERLINK("CSG2.html#group14B2", "14B²"), =HYPERLINK("CSG0.html#group7D0", "7D⁰"), =HYPERLINK("CSG1.html#group14B1", "14B¹"), =HYPERLINK("CSG3.html#group28B3", "28B³"), =HYPERLINK("CSG2.html#group14C2", "14C²"), =HYPERLINK("CSG3.html#group28A3", "28A³"), =HYPERLINK("CSG0.html#group2B0", "2B⁰"), =HYPERLINK("CSG0.html#group4B0", "4B⁰"), =HYPERLINK("CSG0.html#group1A0", "1A⁰"), =HYPERLINK("CSG6.html#group14A6", "14A⁶"), =HYPERLINK("CSG1.html#group14F1", "14F¹"), =HYPERLINK("CSG6.html#group28A6", "28A⁶"), =HYPERLINK("CSG7.html#group28B7", "28B⁷"), =HYPERLINK("CSG2.html#group14F2", "14F²"), =HYPERLINK("CSG7.html#group28C7", "28C⁷"), =HYPERLINK("CSG0.html#group7A0", "7A⁰")</f>
        <v/>
      </c>
      <c r="N4379" t="inlineStr"/>
    </row>
    <row r="4380">
      <c r="A4380" t="inlineStr">
        <is>
          <t>28F¹⁶</t>
        </is>
      </c>
      <c r="B4380" t="inlineStr"/>
      <c r="C4380" t="inlineStr">
        <is>
          <t>252</t>
        </is>
      </c>
      <c r="D4380" t="inlineStr">
        <is>
          <t>2</t>
        </is>
      </c>
      <c r="E4380" t="inlineStr">
        <is>
          <t>63</t>
        </is>
      </c>
      <c r="F4380" t="inlineStr">
        <is>
          <t>0</t>
        </is>
      </c>
      <c r="G4380" t="inlineStr">
        <is>
          <t>0</t>
        </is>
      </c>
      <c r="H4380" t="inlineStr">
        <is>
          <t>14⁶, 28⁶</t>
        </is>
      </c>
      <c r="I4380" t="n">
        <v>12</v>
      </c>
      <c r="J4380" t="inlineStr">
        <is>
          <t>6²¹</t>
        </is>
      </c>
      <c r="K4380">
        <f>HYPERLINK("CSG6.html#group28B6", "28B⁶"), =HYPERLINK("CSG6.html#group28J6", "28J⁶"), =HYPERLINK("CSG7.html#group14A7", "14A⁷"), =HYPERLINK("CSG7.html#group28C7", "28C⁷")</f>
        <v/>
      </c>
      <c r="L4380" t="inlineStr"/>
      <c r="M4380">
        <f>HYPERLINK("CSG0.html#group2A0", "2A⁰"), =HYPERLINK("CSG6.html#group28B6", "28B⁶"), =HYPERLINK("CSG0.html#group7D0", "7D⁰"), =HYPERLINK("CSG1.html#group14B1", "14B¹"), =HYPERLINK("CSG3.html#group14B3", "14B³"), =HYPERLINK("CSG1.html#group14A1", "14A¹"), =HYPERLINK("CSG0.html#group2B0", "2B⁰"), =HYPERLINK("CSG0.html#group1A0", "1A⁰"), =HYPERLINK("CSG7.html#group14A7", "14A⁷"), =HYPERLINK("CSG6.html#group28J6", "28J⁶"), =HYPERLINK("CSG7.html#group28C7", "28C⁷"), =HYPERLINK("CSG3.html#group14A3", "14A³"), =HYPERLINK("CSG2.html#group14F2", "14F²"), =HYPERLINK("CSG3.html#group28B3", "28B³"), =HYPERLINK("CSG0.html#group2C0", "2C⁰"), =HYPERLINK("CSG2.html#group28B2", "28B²"), =HYPERLINK("CSG0.html#group7A0", "7A⁰")</f>
        <v/>
      </c>
      <c r="N4380" t="inlineStr"/>
    </row>
    <row r="4381">
      <c r="A4381" t="inlineStr">
        <is>
          <t>28G¹⁶</t>
        </is>
      </c>
      <c r="B4381" t="inlineStr"/>
      <c r="C4381" t="inlineStr">
        <is>
          <t>288</t>
        </is>
      </c>
      <c r="D4381" t="inlineStr">
        <is>
          <t>1</t>
        </is>
      </c>
      <c r="E4381" t="inlineStr">
        <is>
          <t>8</t>
        </is>
      </c>
      <c r="F4381" t="inlineStr">
        <is>
          <t>0</t>
        </is>
      </c>
      <c r="G4381" t="inlineStr">
        <is>
          <t>0</t>
        </is>
      </c>
      <c r="H4381" t="inlineStr">
        <is>
          <t>4⁹, 28⁹</t>
        </is>
      </c>
      <c r="I4381" t="n">
        <v>18</v>
      </c>
      <c r="J4381" t="inlineStr">
        <is>
          <t>1², 6¹</t>
        </is>
      </c>
      <c r="K4381">
        <f>HYPERLINK("CSG2.html#group28F2", "28F²"), =HYPERLINK("CSG4.html#group14B4", "14B⁴"), =HYPERLINK("CSG6.html#group28E6", "28E⁶"), =HYPERLINK("CSG6.html#group28D6", "28D⁶")</f>
        <v/>
      </c>
      <c r="L4381" t="inlineStr"/>
      <c r="M4381">
        <f>HYPERLINK("CSG0.html#group2A0", "2A⁰"), =HYPERLINK("CSG0.html#group28A0", "28A⁰"), =HYPERLINK("CSG6.html#group28D6", "28D⁶"), =HYPERLINK("CSG2.html#group14D2", "14D²"), =HYPERLINK("CSG4.html#group14B4", "14B⁴"), =HYPERLINK("CSG0.html#group2B0", "2B⁰"), =HYPERLINK("CSG6.html#group28E6", "28E⁶"), =HYPERLINK("CSG0.html#group7E0", "7E⁰"), =HYPERLINK("CSG2.html#group14E2", "14E²"), =HYPERLINK("CSG0.html#group1A0", "1A⁰"), =HYPERLINK("CSG0.html#group7B0", "7B⁰"), =HYPERLINK("CSG1.html#group14H1", "14H¹"), =HYPERLINK("CSG0.html#group14B0", "14B⁰"), =HYPERLINK("CSG1.html#group14C1", "14C¹"), =HYPERLINK("CSG0.html#group14C0", "14C⁰"), =HYPERLINK("CSG2.html#group28F2", "28F²"), =HYPERLINK("CSG0.html#group2C0", "2C⁰")</f>
        <v/>
      </c>
      <c r="N4381" t="inlineStr"/>
    </row>
    <row r="4382">
      <c r="A4382" t="inlineStr">
        <is>
          <t>28H¹⁶</t>
        </is>
      </c>
      <c r="B4382" t="inlineStr"/>
      <c r="C4382" t="inlineStr">
        <is>
          <t>288</t>
        </is>
      </c>
      <c r="D4382" t="inlineStr">
        <is>
          <t>1</t>
        </is>
      </c>
      <c r="E4382" t="inlineStr">
        <is>
          <t>48</t>
        </is>
      </c>
      <c r="F4382" t="inlineStr">
        <is>
          <t>0</t>
        </is>
      </c>
      <c r="G4382" t="inlineStr">
        <is>
          <t>0</t>
        </is>
      </c>
      <c r="H4382" t="inlineStr">
        <is>
          <t>4⁹, 28⁹</t>
        </is>
      </c>
      <c r="I4382" t="n">
        <v>18</v>
      </c>
      <c r="J4382" t="inlineStr">
        <is>
          <t>1⁴, 2⁴, 6², 12²</t>
        </is>
      </c>
      <c r="K4382">
        <f>HYPERLINK("CSG6.html#group28F6", "28F⁶"), =HYPERLINK("CSG6.html#group28G6", "28G⁶"), =HYPERLINK("CSG7.html#group28D7", "28D⁷")</f>
        <v/>
      </c>
      <c r="L4382" t="inlineStr"/>
      <c r="M4382">
        <f>HYPERLINK("CSG6.html#group28F6", "28F⁶"), =HYPERLINK("CSG0.html#group7B0", "7B⁰"), =HYPERLINK("CSG0.html#group4A0", "4A⁰"), =HYPERLINK("CSG0.html#group4C0", "4C⁰"), =HYPERLINK("CSG1.html#group14H1", "14H¹"), =HYPERLINK("CSG1.html#group14C1", "14C¹"), =HYPERLINK("CSG0.html#group2B0", "2B⁰"), =HYPERLINK("CSG0.html#group7E0", "7E⁰"), =HYPERLINK("CSG0.html#group4F0", "4F⁰"), =HYPERLINK("CSG6.html#group28G6", "28G⁶"), =HYPERLINK("CSG3.html#group28C3", "28C³"), =HYPERLINK("CSG0.html#group1A0", "1A⁰"), =HYPERLINK("CSG7.html#group28D7", "28D⁷"), =HYPERLINK("CSG2.html#group28A2", "28A²")</f>
        <v/>
      </c>
      <c r="N4382" t="inlineStr"/>
    </row>
    <row r="4383">
      <c r="A4383" t="inlineStr">
        <is>
          <t>30A¹⁶</t>
        </is>
      </c>
      <c r="B4383" t="inlineStr"/>
      <c r="C4383" t="inlineStr">
        <is>
          <t>240</t>
        </is>
      </c>
      <c r="D4383" t="inlineStr">
        <is>
          <t>1</t>
        </is>
      </c>
      <c r="E4383" t="inlineStr">
        <is>
          <t>80</t>
        </is>
      </c>
      <c r="F4383" t="inlineStr">
        <is>
          <t>0</t>
        </is>
      </c>
      <c r="G4383" t="inlineStr">
        <is>
          <t>3</t>
        </is>
      </c>
      <c r="H4383" t="inlineStr">
        <is>
          <t>30⁸</t>
        </is>
      </c>
      <c r="I4383" t="n">
        <v>8</v>
      </c>
      <c r="J4383" t="inlineStr">
        <is>
          <t>4⁴, 8⁸</t>
        </is>
      </c>
      <c r="K4383">
        <f>HYPERLINK("CSG0.html#group6J0", "6J⁰"), =HYPERLINK("CSG4.html#group30B4", "30B⁴"), =HYPERLINK("CSG5.html#group30J5", "30J⁵")</f>
        <v/>
      </c>
      <c r="L4383" t="inlineStr"/>
      <c r="M4383">
        <f>HYPERLINK("CSG5.html#group30J5", "30J⁵"), =HYPERLINK("CSG0.html#group3B0", "3B⁰"), =HYPERLINK("CSG0.html#group2A0", "2A⁰"), =HYPERLINK("CSG4.html#group30B4", "30B⁴"), =HYPERLINK("CSG0.html#group6A0", "6A⁰"), =HYPERLINK("CSG0.html#group6C0", "6C⁰"), =HYPERLINK("CSG0.html#group5C0", "5C⁰"), =HYPERLINK("CSG0.html#group6J0", "6J⁰"), =HYPERLINK("CSG1.html#group10C1", "10C¹"), =HYPERLINK("CSG2.html#group15C2", "15C²"), =HYPERLINK("CSG0.html#group1A0", "1A⁰")</f>
        <v/>
      </c>
      <c r="N4383" t="inlineStr"/>
    </row>
    <row r="4384">
      <c r="A4384" t="inlineStr">
        <is>
          <t>30B¹⁶</t>
        </is>
      </c>
      <c r="B4384" t="inlineStr"/>
      <c r="C4384" t="inlineStr">
        <is>
          <t>270</t>
        </is>
      </c>
      <c r="D4384" t="inlineStr">
        <is>
          <t>1</t>
        </is>
      </c>
      <c r="E4384" t="inlineStr">
        <is>
          <t>45</t>
        </is>
      </c>
      <c r="F4384" t="inlineStr">
        <is>
          <t>6</t>
        </is>
      </c>
      <c r="G4384" t="inlineStr">
        <is>
          <t>0</t>
        </is>
      </c>
      <c r="H4384" t="inlineStr">
        <is>
          <t>15⁶, 30⁶</t>
        </is>
      </c>
      <c r="I4384" t="n">
        <v>12</v>
      </c>
      <c r="J4384" t="inlineStr">
        <is>
          <t>1³, 2³, 4³, 8³</t>
        </is>
      </c>
      <c r="K4384">
        <f>HYPERLINK("CSG4.html#group15C4", "15C⁴"), =HYPERLINK("CSG6.html#group30A6", "30A⁶"), =HYPERLINK("CSG7.html#group30P7", "30P⁷")</f>
        <v/>
      </c>
      <c r="L4384" t="inlineStr"/>
      <c r="M4384">
        <f>HYPERLINK("CSG0.html#group5A0", "5A⁰"), =HYPERLINK("CSG1.html#group10B1", "10B¹"), =HYPERLINK("CSG1.html#group15F1", "15F¹"), =HYPERLINK("CSG0.html#group6G0", "6G⁰"), =HYPERLINK("CSG0.html#group2B0", "2B⁰"), =HYPERLINK("CSG0.html#group1A0", "1A⁰"), =HYPERLINK("CSG4.html#group15C4", "15C⁴"), =HYPERLINK("CSG7.html#group30P7", "30P⁷"), =HYPERLINK("CSG3.html#group30D3", "30D³"), =HYPERLINK("CSG1.html#group10I1", "10I¹"), =HYPERLINK("CSG2.html#group15A2", "15A²"), =HYPERLINK("CSG3.html#group30E3", "30E³"), =HYPERLINK("CSG0.html#group6D0", "6D⁰"), =HYPERLINK("CSG0.html#group5E0", "5E⁰"), =HYPERLINK("CSG0.html#group3C0", "3C⁰"), =HYPERLINK("CSG6.html#group30A6", "30A⁶"), =HYPERLINK("CSG0.html#group3A0", "3A⁰"), =HYPERLINK("CSG1.html#group15A1", "15A¹"), =HYPERLINK("CSG0.html#group15A0", "15A⁰")</f>
        <v/>
      </c>
      <c r="N4384" t="inlineStr"/>
    </row>
    <row r="4385">
      <c r="A4385" t="inlineStr">
        <is>
          <t>30C¹⁶</t>
        </is>
      </c>
      <c r="B4385" t="inlineStr"/>
      <c r="C4385" t="inlineStr">
        <is>
          <t>270</t>
        </is>
      </c>
      <c r="D4385" t="inlineStr">
        <is>
          <t>1</t>
        </is>
      </c>
      <c r="E4385" t="inlineStr">
        <is>
          <t>45</t>
        </is>
      </c>
      <c r="F4385" t="inlineStr">
        <is>
          <t>6</t>
        </is>
      </c>
      <c r="G4385" t="inlineStr">
        <is>
          <t>0</t>
        </is>
      </c>
      <c r="H4385" t="inlineStr">
        <is>
          <t>15⁶, 30⁶</t>
        </is>
      </c>
      <c r="I4385" t="n">
        <v>12</v>
      </c>
      <c r="J4385" t="inlineStr">
        <is>
          <t>1³, 2³, 4⁹</t>
        </is>
      </c>
      <c r="K4385">
        <f>HYPERLINK("CSG2.html#group10F2", "10F²"), =HYPERLINK("CSG2.html#group30E2", "30E²"), =HYPERLINK("CSG4.html#group15D4", "15D⁴"), =HYPERLINK("CSG5.html#group30K5", "30K⁵"), =HYPERLINK("CSG7.html#group30P7", "30P⁷")</f>
        <v/>
      </c>
      <c r="L4385" t="inlineStr"/>
      <c r="M4385">
        <f>HYPERLINK("CSG0.html#group5A0", "5A⁰"), =HYPERLINK("CSG4.html#group15D4", "15D⁴"), =HYPERLINK("CSG1.html#group15A1", "15A¹"), =HYPERLINK("CSG1.html#group10B1", "10B¹"), =HYPERLINK("CSG1.html#group15F1", "15F¹"), =HYPERLINK("CSG0.html#group5B0", "5B⁰"), =HYPERLINK("CSG0.html#group2B0", "2B⁰"), =HYPERLINK("CSG0.html#group1A0", "1A⁰"), =HYPERLINK("CSG1.html#group10F1", "10F¹"), =HYPERLINK("CSG5.html#group30K5", "30K⁵"), =HYPERLINK("CSG7.html#group30P7", "30P⁷"), =HYPERLINK("CSG3.html#group30D3", "30D³"), =HYPERLINK("CSG1.html#group15D1", "15D¹"), =HYPERLINK("CSG0.html#group15B0", "15B⁰"), =HYPERLINK("CSG1.html#group10I1", "10I¹"), =HYPERLINK("CSG2.html#group30E2", "30E²"), =HYPERLINK("CSG3.html#group30E3", "30E³"), =HYPERLINK("CSG2.html#group10F2", "10F²"), =HYPERLINK("CSG0.html#group5E0", "5E⁰"), =HYPERLINK("CSG0.html#group10C0", "10C⁰"), =HYPERLINK("CSG0.html#group3A0", "3A⁰"), =HYPERLINK("CSG0.html#group5C0", "5C⁰"), =HYPERLINK("CSG0.html#group5G0", "5G⁰"), =HYPERLINK("CSG0.html#group6D0", "6D⁰"), =HYPERLINK("CSG0.html#group15A0", "15A⁰")</f>
        <v/>
      </c>
      <c r="N4385" t="inlineStr"/>
    </row>
    <row r="4386">
      <c r="A4386" t="inlineStr">
        <is>
          <t>30D¹⁶</t>
        </is>
      </c>
      <c r="B4386" t="inlineStr"/>
      <c r="C4386" t="inlineStr">
        <is>
          <t>270</t>
        </is>
      </c>
      <c r="D4386" t="inlineStr">
        <is>
          <t>1</t>
        </is>
      </c>
      <c r="E4386" t="inlineStr">
        <is>
          <t>45</t>
        </is>
      </c>
      <c r="F4386" t="inlineStr">
        <is>
          <t>12</t>
        </is>
      </c>
      <c r="G4386" t="inlineStr">
        <is>
          <t>0</t>
        </is>
      </c>
      <c r="H4386" t="inlineStr">
        <is>
          <t>30⁹</t>
        </is>
      </c>
      <c r="I4386" t="n">
        <v>9</v>
      </c>
      <c r="J4386" t="inlineStr">
        <is>
          <t>1³, 2³, 4³, 8³</t>
        </is>
      </c>
      <c r="K4386">
        <f>HYPERLINK("CSG4.html#group30E4", "30E⁴"), =HYPERLINK("CSG6.html#group30B6", "30B⁶"), =HYPERLINK("CSG7.html#group30P7", "30P⁷")</f>
        <v/>
      </c>
      <c r="L4386" t="inlineStr"/>
      <c r="M4386">
        <f>HYPERLINK("CSG0.html#group5A0", "5A⁰"), =HYPERLINK("CSG0.html#group6B0", "6B⁰"), =HYPERLINK("CSG1.html#group15A1", "15A¹"), =HYPERLINK("CSG1.html#group10B1", "10B¹"), =HYPERLINK("CSG1.html#group15F1", "15F¹"), =HYPERLINK("CSG0.html#group2B0", "2B⁰"), =HYPERLINK("CSG6.html#group30B6", "30B⁶"), =HYPERLINK("CSG0.html#group1A0", "1A⁰"), =HYPERLINK("CSG7.html#group30P7", "30P⁷"), =HYPERLINK("CSG3.html#group30D3", "30D³"), =HYPERLINK("CSG2.html#group30A2", "30A²"), =HYPERLINK("CSG4.html#group30E4", "30E⁴"), =HYPERLINK("CSG1.html#group10I1", "10I¹"), =HYPERLINK("CSG3.html#group30E3", "30E³"), =HYPERLINK("CSG0.html#group5E0", "5E⁰"), =HYPERLINK("CSG0.html#group6H0", "6H⁰"), =HYPERLINK("CSG0.html#group3A0", "3A⁰"), =HYPERLINK("CSG0.html#group6D0", "6D⁰"), =HYPERLINK("CSG0.html#group15A0", "15A⁰")</f>
        <v/>
      </c>
      <c r="N4386" t="inlineStr"/>
    </row>
    <row r="4387">
      <c r="A4387" t="inlineStr">
        <is>
          <t>30E¹⁶</t>
        </is>
      </c>
      <c r="B4387" t="inlineStr"/>
      <c r="C4387" t="inlineStr">
        <is>
          <t>270</t>
        </is>
      </c>
      <c r="D4387" t="inlineStr">
        <is>
          <t>1</t>
        </is>
      </c>
      <c r="E4387" t="inlineStr">
        <is>
          <t>45</t>
        </is>
      </c>
      <c r="F4387" t="inlineStr">
        <is>
          <t>12</t>
        </is>
      </c>
      <c r="G4387" t="inlineStr">
        <is>
          <t>0</t>
        </is>
      </c>
      <c r="H4387" t="inlineStr">
        <is>
          <t>30⁹</t>
        </is>
      </c>
      <c r="I4387" t="n">
        <v>9</v>
      </c>
      <c r="J4387" t="inlineStr">
        <is>
          <t>1³, 2³, 4⁹</t>
        </is>
      </c>
      <c r="K4387">
        <f>HYPERLINK("CSG3.html#group10C3", "10C³"), =HYPERLINK("CSG4.html#group30F4", "30F⁴"), =HYPERLINK("CSG7.html#group30P7", "30P⁷")</f>
        <v/>
      </c>
      <c r="L4387" t="inlineStr"/>
      <c r="M4387">
        <f>HYPERLINK("CSG0.html#group5A0", "5A⁰"), =HYPERLINK("CSG1.html#group15A1", "15A¹"), =HYPERLINK("CSG1.html#group10B1", "10B¹"), =HYPERLINK("CSG1.html#group15F1", "15F¹"), =HYPERLINK("CSG0.html#group2B0", "2B⁰"), =HYPERLINK("CSG1.html#group10E1", "10E¹"), =HYPERLINK("CSG0.html#group1A0", "1A⁰"), =HYPERLINK("CSG7.html#group30P7", "30P⁷"), =HYPERLINK("CSG3.html#group10C3", "10C³"), =HYPERLINK("CSG3.html#group30D3", "30D³"), =HYPERLINK("CSG4.html#group30F4", "30F⁴"), =HYPERLINK("CSG1.html#group10I1", "10I¹"), =HYPERLINK("CSG3.html#group30E3", "30E³"), =HYPERLINK("CSG0.html#group5E0", "5E⁰"), =HYPERLINK("CSG0.html#group3A0", "3A⁰"), =HYPERLINK("CSG0.html#group6D0", "6D⁰"), =HYPERLINK("CSG0.html#group15A0", "15A⁰")</f>
        <v/>
      </c>
      <c r="N4387" t="inlineStr"/>
    </row>
    <row r="4388">
      <c r="A4388" t="inlineStr">
        <is>
          <t>35A¹⁶</t>
        </is>
      </c>
      <c r="B4388" t="inlineStr"/>
      <c r="C4388" t="inlineStr">
        <is>
          <t>252</t>
        </is>
      </c>
      <c r="D4388" t="inlineStr">
        <is>
          <t>1</t>
        </is>
      </c>
      <c r="E4388" t="inlineStr">
        <is>
          <t>126</t>
        </is>
      </c>
      <c r="F4388" t="inlineStr">
        <is>
          <t>0</t>
        </is>
      </c>
      <c r="G4388" t="inlineStr">
        <is>
          <t>0</t>
        </is>
      </c>
      <c r="H4388" t="inlineStr">
        <is>
          <t>7⁶, 35⁶</t>
        </is>
      </c>
      <c r="I4388" t="n">
        <v>12</v>
      </c>
      <c r="J4388" t="inlineStr">
        <is>
          <t>3², 6⁶, 12¹, 24³</t>
        </is>
      </c>
      <c r="K4388">
        <f>HYPERLINK("CSG6.html#group35A6", "35A⁶"), =HYPERLINK("CSG6.html#group35E6", "35E⁶")</f>
        <v/>
      </c>
      <c r="L4388" t="inlineStr"/>
      <c r="M4388">
        <f>HYPERLINK("CSG2.html#group35C2", "35C²"), =HYPERLINK("CSG0.html#group7D0", "7D⁰"), =HYPERLINK("CSG6.html#group35E6", "35E⁶"), =HYPERLINK("CSG0.html#group5B0", "5B⁰"), =HYPERLINK("CSG0.html#group5D0", "5D⁰"), =HYPERLINK("CSG0.html#group1A0", "1A⁰"), =HYPERLINK("CSG6.html#group35A6", "35A⁶"), =HYPERLINK("CSG0.html#group7A0", "7A⁰")</f>
        <v/>
      </c>
      <c r="N4388" t="inlineStr"/>
    </row>
    <row r="4389">
      <c r="A4389" t="inlineStr">
        <is>
          <t>36A¹⁶</t>
        </is>
      </c>
      <c r="B4389" t="inlineStr"/>
      <c r="C4389" t="inlineStr">
        <is>
          <t>216</t>
        </is>
      </c>
      <c r="D4389" t="inlineStr">
        <is>
          <t>1</t>
        </is>
      </c>
      <c r="E4389" t="inlineStr">
        <is>
          <t>9</t>
        </is>
      </c>
      <c r="F4389" t="inlineStr">
        <is>
          <t>0</t>
        </is>
      </c>
      <c r="G4389" t="inlineStr">
        <is>
          <t>0</t>
        </is>
      </c>
      <c r="H4389" t="inlineStr">
        <is>
          <t>36⁶</t>
        </is>
      </c>
      <c r="I4389" t="n">
        <v>6</v>
      </c>
      <c r="J4389" t="inlineStr">
        <is>
          <t>1¹, 2¹, 6¹</t>
        </is>
      </c>
      <c r="K4389">
        <f>HYPERLINK("CSG4.html#group12A4", "12A⁴"), =HYPERLINK("CSG6.html#group36A6", "36A⁶"), =HYPERLINK("CSG6.html#group36F6", "36F⁶"), =HYPERLINK("CSG8.html#group36B8", "36B⁸")</f>
        <v/>
      </c>
      <c r="L4389" t="inlineStr"/>
      <c r="M4389">
        <f>HYPERLINK("CSG0.html#group2A0", "2A⁰"), =HYPERLINK("CSG0.html#group12C0", "12C⁰"), =HYPERLINK("CSG1.html#group6C1", "6C¹"), =HYPERLINK("CSG0.html#group4C0", "4C⁰"), =HYPERLINK("CSG2.html#group12B2", "12B²"), =HYPERLINK("CSG2.html#group36B2", "36B²"), =HYPERLINK("CSG0.html#group4G0", "4G⁰"), =HYPERLINK("CSG0.html#group2B0", "2B⁰"), =HYPERLINK("CSG0.html#group4E0", "4E⁰"), =HYPERLINK("CSG6.html#group36A6", "36A⁶"), =HYPERLINK("CSG0.html#group4B0", "4B⁰"), =HYPERLINK("CSG0.html#group1A0", "1A⁰"), =HYPERLINK("CSG4.html#group12A4", "12A⁴"), =HYPERLINK("CSG6.html#group36F6", "36F⁶"), =HYPERLINK("CSG0.html#group4D0", "4D⁰"), =HYPERLINK("CSG4.html#group18A4", "18A⁴"), =HYPERLINK("CSG2.html#group12A2", "12A²"), =HYPERLINK("CSG1.html#group6A1", "6A¹"), =HYPERLINK("CSG1.html#group12B1", "12B¹"), =HYPERLINK("CSG1.html#group18E1", "18E¹"), =HYPERLINK("CSG0.html#group3A0", "3A⁰"), =HYPERLINK("CSG1.html#group12E1", "12E¹"), =HYPERLINK("CSG8.html#group36B8", "36B⁸"), =HYPERLINK("CSG2.html#group18A2", "18A²"), =HYPERLINK("CSG1.html#group36A1", "36A¹"), =HYPERLINK("CSG0.html#group12A0", "12A⁰"), =HYPERLINK("CSG0.html#group6A0", "6A⁰"), =HYPERLINK("CSG0.html#group4A0", "4A⁰"), =HYPERLINK("CSG0.html#group9A0", "9A⁰"), =HYPERLINK("CSG4.html#group36D4", "36D⁴"), =HYPERLINK("CSG1.html#group12J1", "12J¹"), =HYPERLINK("CSG0.html#group4F0", "4F⁰"), =HYPERLINK("CSG0.html#group2C0", "2C⁰"), =HYPERLINK("CSG0.html#group6D0", "6D⁰")</f>
        <v/>
      </c>
      <c r="N4389" t="inlineStr"/>
    </row>
    <row r="4390">
      <c r="A4390" t="inlineStr">
        <is>
          <t>36B¹⁶</t>
        </is>
      </c>
      <c r="B4390" t="inlineStr"/>
      <c r="C4390" t="inlineStr">
        <is>
          <t>216</t>
        </is>
      </c>
      <c r="D4390" t="inlineStr">
        <is>
          <t>1</t>
        </is>
      </c>
      <c r="E4390" t="inlineStr">
        <is>
          <t>27</t>
        </is>
      </c>
      <c r="F4390" t="inlineStr">
        <is>
          <t>0</t>
        </is>
      </c>
      <c r="G4390" t="inlineStr">
        <is>
          <t>0</t>
        </is>
      </c>
      <c r="H4390" t="inlineStr">
        <is>
          <t>36⁶</t>
        </is>
      </c>
      <c r="I4390" t="n">
        <v>6</v>
      </c>
      <c r="J4390" t="inlineStr">
        <is>
          <t>1³, 2³, 6³</t>
        </is>
      </c>
      <c r="K4390">
        <f>HYPERLINK("CSG4.html#group12C4", "12C⁴"), =HYPERLINK("CSG6.html#group36E6", "36E⁶"), =HYPERLINK("CSG8.html#group36B8", "36B⁸"), =HYPERLINK("CSG8.html#group36D8", "36D⁸")</f>
        <v/>
      </c>
      <c r="L4390" t="inlineStr"/>
      <c r="M4390">
        <f>HYPERLINK("CSG0.html#group2A0", "2A⁰"), =HYPERLINK("CSG0.html#group12C0", "12C⁰"), =HYPERLINK("CSG6.html#group36E6", "36E⁶"), =HYPERLINK("CSG3.html#group36E3", "36E³"), =HYPERLINK("CSG2.html#group36B2", "36B²"), =HYPERLINK("CSG1.html#group6C1", "6C¹"), =HYPERLINK("CSG2.html#group12B2", "12B²"), =HYPERLINK("CSG0.html#group4C0", "4C⁰"), =HYPERLINK("CSG2.html#group12E2", "12E²"), =HYPERLINK("CSG8.html#group36B8", "36B⁸"), =HYPERLINK("CSG0.html#group2B0", "2B⁰"), =HYPERLINK("CSG0.html#group4E0", "4E⁰"), =HYPERLINK("CSG2.html#group18A2", "18A²"), =HYPERLINK("CSG0.html#group4B0", "4B⁰"), =HYPERLINK("CSG1.html#group12M1", "12M¹"), =HYPERLINK("CSG0.html#group1A0", "1A⁰"), =HYPERLINK("CSG8.html#group36D8", "36D⁸"), =HYPERLINK("CSG0.html#group6A0", "6A⁰"), =HYPERLINK("CSG1.html#group12C1", "12C¹"), =HYPERLINK("CSG4.html#group18A4", "18A⁴"), =HYPERLINK("CSG0.html#group9A0", "9A⁰"), =HYPERLINK("CSG3.html#group36D3", "36D³"), =HYPERLINK("CSG4.html#group36D4", "36D⁴"), =HYPERLINK("CSG1.html#group18E1", "18E¹"), =HYPERLINK("CSG1.html#group12B1", "12B¹"), =HYPERLINK("CSG1.html#group6A1", "6A¹"), =HYPERLINK("CSG0.html#group12D0", "12D⁰"), =HYPERLINK("CSG4.html#group12C4", "12C⁴"), =HYPERLINK("CSG0.html#group3A0", "3A⁰"), =HYPERLINK("CSG0.html#group2C0", "2C⁰"), =HYPERLINK("CSG0.html#group6D0", "6D⁰")</f>
        <v/>
      </c>
      <c r="N4390" t="inlineStr"/>
    </row>
    <row r="4391">
      <c r="A4391" t="inlineStr">
        <is>
          <t>36C¹⁶</t>
        </is>
      </c>
      <c r="B4391" t="inlineStr"/>
      <c r="C4391" t="inlineStr">
        <is>
          <t>216</t>
        </is>
      </c>
      <c r="D4391" t="inlineStr">
        <is>
          <t>1</t>
        </is>
      </c>
      <c r="E4391" t="inlineStr">
        <is>
          <t>54</t>
        </is>
      </c>
      <c r="F4391" t="inlineStr">
        <is>
          <t>0</t>
        </is>
      </c>
      <c r="G4391" t="inlineStr">
        <is>
          <t>0</t>
        </is>
      </c>
      <c r="H4391" t="inlineStr">
        <is>
          <t>36⁶</t>
        </is>
      </c>
      <c r="I4391" t="n">
        <v>6</v>
      </c>
      <c r="J4391" t="inlineStr">
        <is>
          <t>2⁹, 6⁶</t>
        </is>
      </c>
      <c r="K4391">
        <f>HYPERLINK("CSG4.html#group12B4", "12B⁴"), =HYPERLINK("CSG8.html#group36D8", "36D⁸"), =HYPERLINK("CSG8.html#group36G8", "36G⁸")</f>
        <v/>
      </c>
      <c r="L4391" t="inlineStr"/>
      <c r="M4391">
        <f>HYPERLINK("CSG0.html#group2A0", "2A⁰"), =HYPERLINK("CSG1.html#group12H1", "12H¹"), =HYPERLINK("CSG3.html#group36E3", "36E³"), =HYPERLINK("CSG1.html#group6C1", "6C¹"), =HYPERLINK("CSG2.html#group12E2", "12E²"), =HYPERLINK("CSG4.html#group36E4", "36E⁴"), =HYPERLINK("CSG4.html#group12B4", "12B⁴"), =HYPERLINK("CSG0.html#group2B0", "2B⁰"), =HYPERLINK("CSG2.html#group18A2", "18A²"), =HYPERLINK("CSG8.html#group36G8", "36G⁸"), =HYPERLINK("CSG0.html#group1A0", "1A⁰"), =HYPERLINK("CSG8.html#group36D8", "36D⁸"), =HYPERLINK("CSG1.html#group12C1", "12C¹"), =HYPERLINK("CSG0.html#group6A0", "6A⁰"), =HYPERLINK("CSG4.html#group18A4", "18A⁴"), =HYPERLINK("CSG0.html#group9A0", "9A⁰"), =HYPERLINK("CSG3.html#group36D3", "36D³"), =HYPERLINK("CSG1.html#group6A1", "6A¹"), =HYPERLINK("CSG0.html#group12D0", "12D⁰"), =HYPERLINK("CSG1.html#group18E1", "18E¹"), =HYPERLINK("CSG0.html#group3A0", "3A⁰"), =HYPERLINK("CSG0.html#group2C0", "2C⁰"), =HYPERLINK("CSG0.html#group6D0", "6D⁰"), =HYPERLINK("CSG2.html#group36C2", "36C²")</f>
        <v/>
      </c>
      <c r="N4391" t="inlineStr"/>
    </row>
    <row r="4392">
      <c r="A4392" t="inlineStr">
        <is>
          <t>36D¹⁶</t>
        </is>
      </c>
      <c r="B4392" t="inlineStr"/>
      <c r="C4392" t="inlineStr">
        <is>
          <t>216</t>
        </is>
      </c>
      <c r="D4392" t="inlineStr">
        <is>
          <t>1</t>
        </is>
      </c>
      <c r="E4392" t="inlineStr">
        <is>
          <t>108</t>
        </is>
      </c>
      <c r="F4392" t="inlineStr">
        <is>
          <t>0</t>
        </is>
      </c>
      <c r="G4392" t="inlineStr">
        <is>
          <t>0</t>
        </is>
      </c>
      <c r="H4392" t="inlineStr">
        <is>
          <t>36⁶</t>
        </is>
      </c>
      <c r="I4392" t="n">
        <v>6</v>
      </c>
      <c r="J4392" t="inlineStr">
        <is>
          <t>6², 12⁸</t>
        </is>
      </c>
      <c r="K4392">
        <f>HYPERLINK("CSG4.html#group18B4", "18B⁴"), =HYPERLINK("CSG5.html#group36J5", "36J⁵"), =HYPERLINK("CSG6.html#group36A6", "36A⁶")</f>
        <v/>
      </c>
      <c r="L4392" t="inlineStr"/>
      <c r="M4392">
        <f>HYPERLINK("CSG1.html#group36A1", "36A¹"), =HYPERLINK("CSG0.html#group2A0", "2A⁰"), =HYPERLINK("CSG5.html#group36J5", "36J⁵"), =HYPERLINK("CSG0.html#group12A0", "12A⁰"), =HYPERLINK("CSG4.html#group18B4", "18B⁴"), =HYPERLINK("CSG0.html#group3A0", "3A⁰"), =HYPERLINK("CSG0.html#group4A0", "4A⁰"), =HYPERLINK("CSG0.html#group4D0", "4D⁰"), =HYPERLINK("CSG0.html#group9A0", "9A⁰"), =HYPERLINK("CSG0.html#group9G0", "9G⁰"), =HYPERLINK("CSG2.html#group12A2", "12A²"), =HYPERLINK("CSG1.html#group6A1", "6A¹"), =HYPERLINK("CSG2.html#group18A2", "18A²"), =HYPERLINK("CSG6.html#group36A6", "36A⁶"), =HYPERLINK("CSG0.html#group1A0", "1A⁰")</f>
        <v/>
      </c>
      <c r="N4392" t="inlineStr"/>
    </row>
    <row r="4393">
      <c r="A4393" t="inlineStr">
        <is>
          <t>36E¹⁶</t>
        </is>
      </c>
      <c r="B4393" t="inlineStr"/>
      <c r="C4393" t="inlineStr">
        <is>
          <t>216</t>
        </is>
      </c>
      <c r="D4393" t="inlineStr">
        <is>
          <t>2</t>
        </is>
      </c>
      <c r="E4393" t="inlineStr">
        <is>
          <t>27</t>
        </is>
      </c>
      <c r="F4393" t="inlineStr">
        <is>
          <t>0</t>
        </is>
      </c>
      <c r="G4393" t="inlineStr">
        <is>
          <t>0</t>
        </is>
      </c>
      <c r="H4393" t="inlineStr">
        <is>
          <t>36⁶</t>
        </is>
      </c>
      <c r="I4393" t="n">
        <v>6</v>
      </c>
      <c r="J4393" t="inlineStr">
        <is>
          <t>2⁹, 6⁶</t>
        </is>
      </c>
      <c r="K4393">
        <f>HYPERLINK("CSG4.html#group12C4", "12C⁴"), =HYPERLINK("CSG6.html#group36I6", "36I⁶"), =HYPERLINK("CSG8.html#group36B8", "36B⁸"), =HYPERLINK("CSG8.html#group36G8", "36G⁸")</f>
        <v/>
      </c>
      <c r="L4393" t="inlineStr"/>
      <c r="M4393">
        <f>HYPERLINK("CSG0.html#group2A0", "2A⁰"), =HYPERLINK("CSG0.html#group12C0", "12C⁰"), =HYPERLINK("CSG1.html#group6C1", "6C¹"), =HYPERLINK("CSG2.html#group36B2", "36B²"), =HYPERLINK("CSG2.html#group12B2", "12B²"), =HYPERLINK("CSG2.html#group12E2", "12E²"), =HYPERLINK("CSG4.html#group36E4", "36E⁴"), =HYPERLINK("CSG0.html#group4C0", "4C⁰"), =HYPERLINK("CSG8.html#group36B8", "36B⁸"), =HYPERLINK("CSG0.html#group2B0", "2B⁰"), =HYPERLINK("CSG2.html#group18A2", "18A²"), =HYPERLINK("CSG0.html#group4E0", "4E⁰"), =HYPERLINK("CSG8.html#group36G8", "36G⁸"), =HYPERLINK("CSG0.html#group4B0", "4B⁰"), =HYPERLINK("CSG0.html#group1A0", "1A⁰"), =HYPERLINK("CSG1.html#group12M1", "12M¹"), =HYPERLINK("CSG6.html#group36I6", "36I⁶"), =HYPERLINK("CSG1.html#group12C1", "12C¹"), =HYPERLINK("CSG0.html#group6A0", "6A⁰"), =HYPERLINK("CSG4.html#group18A4", "18A⁴"), =HYPERLINK("CSG0.html#group9A0", "9A⁰"), =HYPERLINK("CSG4.html#group36D4", "36D⁴"), =HYPERLINK("CSG1.html#group18E1", "18E¹"), =HYPERLINK("CSG1.html#group6A1", "6A¹"), =HYPERLINK("CSG0.html#group12D0", "12D⁰"), =HYPERLINK("CSG1.html#group12B1", "12B¹"), =HYPERLINK("CSG4.html#group12C4", "12C⁴"), =HYPERLINK("CSG0.html#group3A0", "3A⁰"), =HYPERLINK("CSG0.html#group2C0", "2C⁰"), =HYPERLINK("CSG0.html#group6D0", "6D⁰"), =HYPERLINK("CSG2.html#group36C2", "36C²")</f>
        <v/>
      </c>
      <c r="N4393" t="inlineStr"/>
    </row>
    <row r="4394">
      <c r="A4394" t="inlineStr">
        <is>
          <t>36F¹⁶</t>
        </is>
      </c>
      <c r="B4394" t="inlineStr"/>
      <c r="C4394" t="inlineStr">
        <is>
          <t>288</t>
        </is>
      </c>
      <c r="D4394" t="inlineStr">
        <is>
          <t>1</t>
        </is>
      </c>
      <c r="E4394" t="inlineStr">
        <is>
          <t>32</t>
        </is>
      </c>
      <c r="F4394" t="inlineStr">
        <is>
          <t>0</t>
        </is>
      </c>
      <c r="G4394" t="inlineStr">
        <is>
          <t>9</t>
        </is>
      </c>
      <c r="H4394" t="inlineStr">
        <is>
          <t>12⁶, 36⁶</t>
        </is>
      </c>
      <c r="I4394" t="n">
        <v>12</v>
      </c>
      <c r="J4394" t="inlineStr">
        <is>
          <t>4⁸</t>
        </is>
      </c>
      <c r="K4394">
        <f>HYPERLINK("CSG1.html#group18K1", "18K¹"), =HYPERLINK("CSG4.html#group12D4", "12D⁴"), =HYPERLINK("CSG4.html#group36O4", "36O⁴"), =HYPERLINK("CSG5.html#group36G5", "36G⁵"), =HYPERLINK("CSG6.html#group36B6", "36B⁶")</f>
        <v/>
      </c>
      <c r="L4394" t="inlineStr"/>
      <c r="M4394">
        <f>HYPERLINK("CSG0.html#group3B0", "3B⁰"), =HYPERLINK("CSG0.html#group2A0", "2A⁰"), =HYPERLINK("CSG1.html#group12I1", "12I¹"), =HYPERLINK("CSG1.html#group12H1", "12H¹"), =HYPERLINK("CSG6.html#group36B6", "36B⁶"), =HYPERLINK("CSG1.html#group18K1", "18K¹"), =HYPERLINK("CSG0.html#group18B0", "18B⁰"), =HYPERLINK("CSG0.html#group6C0", "6C⁰"), =HYPERLINK("CSG1.html#group12E1", "12E¹"), =HYPERLINK("CSG0.html#group9C0", "9C⁰"), =HYPERLINK("CSG4.html#group36O4", "36O⁴"), =HYPERLINK("CSG0.html#group1A0", "1A⁰"), =HYPERLINK("CSG5.html#group36G5", "36G⁵"), =HYPERLINK("CSG3.html#group36C3", "36C³"), =HYPERLINK("CSG0.html#group18C0", "18C⁰"), =HYPERLINK("CSG4.html#group12D4", "12D⁴"), =HYPERLINK("CSG0.html#group6A0", "6A⁰"), =HYPERLINK("CSG0.html#group4A0", "4A⁰"), =HYPERLINK("CSG0.html#group4D0", "4D⁰"), =HYPERLINK("CSG1.html#group12A1", "12A¹"), =HYPERLINK("CSG0.html#group6J0", "6J⁰"), =HYPERLINK("CSG1.html#group18D1", "18D¹")</f>
        <v/>
      </c>
      <c r="N4394" t="inlineStr"/>
    </row>
    <row r="4395">
      <c r="A4395" t="inlineStr">
        <is>
          <t>36G¹⁶</t>
        </is>
      </c>
      <c r="B4395" t="inlineStr"/>
      <c r="C4395" t="inlineStr">
        <is>
          <t>324</t>
        </is>
      </c>
      <c r="D4395" t="inlineStr">
        <is>
          <t>1</t>
        </is>
      </c>
      <c r="E4395" t="inlineStr">
        <is>
          <t>54</t>
        </is>
      </c>
      <c r="F4395" t="inlineStr">
        <is>
          <t>12</t>
        </is>
      </c>
      <c r="G4395" t="inlineStr">
        <is>
          <t>0</t>
        </is>
      </c>
      <c r="H4395" t="inlineStr">
        <is>
          <t>9¹², 36⁶</t>
        </is>
      </c>
      <c r="I4395" t="n">
        <v>18</v>
      </c>
      <c r="J4395" t="inlineStr">
        <is>
          <t>1³, 2³, 3³, 6⁶</t>
        </is>
      </c>
      <c r="K4395">
        <f>HYPERLINK("CSG3.html#group36I3", "36I³"), =HYPERLINK("CSG4.html#group36P4", "36P⁴"), =HYPERLINK("CSG7.html#group18I7", "18I⁷")</f>
        <v/>
      </c>
      <c r="L4395" t="inlineStr"/>
      <c r="M4395">
        <f>HYPERLINK("CSG1.html#group18I1", "18I¹"), =HYPERLINK("CSG4.html#group36P4", "36P⁴"), =HYPERLINK("CSG0.html#group6G0", "6G⁰"), =HYPERLINK("CSG1.html#group9E1", "9E¹"), =HYPERLINK("CSG7.html#group18I7", "18I⁷"), =HYPERLINK("CSG0.html#group2B0", "2B⁰"), =HYPERLINK("CSG0.html#group9E0", "9E⁰"), =HYPERLINK("CSG0.html#group1A0", "1A⁰"), =HYPERLINK("CSG0.html#group12G0", "12G⁰"), =HYPERLINK("CSG0.html#group9D0", "9D⁰"), =HYPERLINK("CSG0.html#group9A0", "9A⁰"), =HYPERLINK("CSG0.html#group3C0", "3C⁰"), =HYPERLINK("CSG0.html#group12D0", "12D⁰"), =HYPERLINK("CSG3.html#group36I3", "36I³"), =HYPERLINK("CSG1.html#group18E1", "18E¹"), =HYPERLINK("CSG0.html#group3A0", "3A⁰"), =HYPERLINK("CSG2.html#group18I2", "18I²"), =HYPERLINK("CSG0.html#group6D0", "6D⁰"), =HYPERLINK("CSG2.html#group36C2", "36C²")</f>
        <v/>
      </c>
      <c r="N4395" t="inlineStr"/>
    </row>
    <row r="4396">
      <c r="A4396" t="inlineStr">
        <is>
          <t>36H¹⁶</t>
        </is>
      </c>
      <c r="B4396" t="inlineStr"/>
      <c r="C4396" t="inlineStr">
        <is>
          <t>324</t>
        </is>
      </c>
      <c r="D4396" t="inlineStr">
        <is>
          <t>1</t>
        </is>
      </c>
      <c r="E4396" t="inlineStr">
        <is>
          <t>81</t>
        </is>
      </c>
      <c r="F4396" t="inlineStr">
        <is>
          <t>24</t>
        </is>
      </c>
      <c r="G4396" t="inlineStr">
        <is>
          <t>0</t>
        </is>
      </c>
      <c r="H4396" t="inlineStr">
        <is>
          <t>18⁶, 36⁶</t>
        </is>
      </c>
      <c r="I4396" t="n">
        <v>12</v>
      </c>
      <c r="J4396" t="inlineStr">
        <is>
          <t>3³, 6¹²</t>
        </is>
      </c>
      <c r="K4396">
        <f>HYPERLINK("CSG4.html#group36R4", "36R⁴"), =HYPERLINK("CSG7.html#group18K7", "18K⁷"), =HYPERLINK("CSG7.html#group36L7", "36L⁷"), =HYPERLINK("CSG8.html#group36L8", "36L⁸")</f>
        <v/>
      </c>
      <c r="L4396" t="inlineStr"/>
      <c r="M4396">
        <f>HYPERLINK("CSG0.html#group6B0", "6B⁰"), =HYPERLINK("CSG0.html#group12C0", "12C⁰"), =HYPERLINK("CSG7.html#group18K7", "18K⁷"), =HYPERLINK("CSG1.html#group18H1", "18H¹"), =HYPERLINK("CSG8.html#group36L8", "36L⁸"), =HYPERLINK("CSG0.html#group9G0", "9G⁰"), =HYPERLINK("CSG2.html#group36B2", "36B²"), =HYPERLINK("CSG0.html#group4C0", "4C⁰"), =HYPERLINK("CSG4.html#group36R4", "36R⁴"), =HYPERLINK("CSG0.html#group2B0", "2B⁰"), =HYPERLINK("CSG0.html#group12H0", "12H⁰"), =HYPERLINK("CSG0.html#group1A0", "1A⁰"), =HYPERLINK("CSG0.html#group18A0", "18A⁰"), =HYPERLINK("CSG2.html#group18L2", "18L²"), =HYPERLINK("CSG7.html#group36L7", "36L⁷"), =HYPERLINK("CSG3.html#group18J3", "18J³"), =HYPERLINK("CSG0.html#group9A0", "9A⁰"), =HYPERLINK("CSG1.html#group18E1", "18E¹"), =HYPERLINK("CSG0.html#group12D0", "12D⁰"), =HYPERLINK("CSG0.html#group6H0", "6H⁰"), =HYPERLINK("CSG0.html#group3A0", "3A⁰"), =HYPERLINK("CSG0.html#group6D0", "6D⁰"), =HYPERLINK("CSG2.html#group36C2", "36C²")</f>
        <v/>
      </c>
      <c r="N4396" t="inlineStr"/>
    </row>
    <row r="4397">
      <c r="A4397" t="inlineStr">
        <is>
          <t>36I¹⁶</t>
        </is>
      </c>
      <c r="B4397" t="inlineStr"/>
      <c r="C4397" t="inlineStr">
        <is>
          <t>324</t>
        </is>
      </c>
      <c r="D4397" t="inlineStr">
        <is>
          <t>2</t>
        </is>
      </c>
      <c r="E4397" t="inlineStr">
        <is>
          <t>27</t>
        </is>
      </c>
      <c r="F4397" t="inlineStr">
        <is>
          <t>12</t>
        </is>
      </c>
      <c r="G4397" t="inlineStr">
        <is>
          <t>0</t>
        </is>
      </c>
      <c r="H4397" t="inlineStr">
        <is>
          <t>9¹², 36⁶</t>
        </is>
      </c>
      <c r="I4397" t="n">
        <v>18</v>
      </c>
      <c r="J4397" t="inlineStr">
        <is>
          <t>2⁹, 6⁶</t>
        </is>
      </c>
      <c r="K4397">
        <f>HYPERLINK("CSG4.html#group36P4", "36P⁴"), =HYPERLINK("CSG6.html#group36H6", "36H⁶"), =HYPERLINK("CSG7.html#group18M7", "18M⁷"), =HYPERLINK("CSG7.html#group36L7", "36L⁷"), =HYPERLINK("CSG8.html#group36M8", "36M⁸")</f>
        <v/>
      </c>
      <c r="L4397" t="inlineStr"/>
      <c r="M4397">
        <f>HYPERLINK("CSG0.html#group9G0", "9G⁰"), =HYPERLINK("CSG4.html#group36P4", "36P⁴"), =HYPERLINK("CSG7.html#group18M7", "18M⁷"), =HYPERLINK("CSG0.html#group6G0", "6G⁰"), =HYPERLINK("CSG0.html#group2B0", "2B⁰"), =HYPERLINK("CSG0.html#group1A0", "1A⁰"), =HYPERLINK("CSG1.html#group9B1", "9B¹"), =HYPERLINK("CSG3.html#group18E3", "18E³"), =HYPERLINK("CSG7.html#group36L7", "36L⁷"), =HYPERLINK("CSG8.html#group36M8", "36M⁸"), =HYPERLINK("CSG6.html#group36H6", "36H⁶"), =HYPERLINK("CSG0.html#group12G0", "12G⁰"), =HYPERLINK("CSG0.html#group9D0", "9D⁰"), =HYPERLINK("CSG3.html#group18J3", "18J³"), =HYPERLINK("CSG0.html#group9A0", "9A⁰"), =HYPERLINK("CSG0.html#group3C0", "3C⁰"), =HYPERLINK("CSG0.html#group12D0", "12D⁰"), =HYPERLINK("CSG1.html#group18E1", "18E¹"), =HYPERLINK("CSG0.html#group3A0", "3A⁰"), =HYPERLINK("CSG3.html#group36D3", "36D³"), =HYPERLINK("CSG2.html#group18I2", "18I²"), =HYPERLINK("CSG0.html#group6D0", "6D⁰"), =HYPERLINK("CSG2.html#group36C2", "36C²"), =HYPERLINK("CSG1.html#group9F1", "9F¹")</f>
        <v/>
      </c>
      <c r="N4397" t="inlineStr"/>
    </row>
    <row r="4398">
      <c r="A4398" t="inlineStr">
        <is>
          <t>37A¹⁶</t>
        </is>
      </c>
      <c r="B4398" t="inlineStr"/>
      <c r="C4398" t="inlineStr">
        <is>
          <t>342</t>
        </is>
      </c>
      <c r="D4398" t="inlineStr">
        <is>
          <t>1</t>
        </is>
      </c>
      <c r="E4398" t="inlineStr">
        <is>
          <t>38</t>
        </is>
      </c>
      <c r="F4398" t="inlineStr">
        <is>
          <t>18</t>
        </is>
      </c>
      <c r="G4398" t="inlineStr">
        <is>
          <t>0</t>
        </is>
      </c>
      <c r="H4398" t="inlineStr">
        <is>
          <t>1⁹, 37⁹</t>
        </is>
      </c>
      <c r="I4398" t="n">
        <v>18</v>
      </c>
      <c r="J4398" t="inlineStr">
        <is>
          <t>1², 36¹</t>
        </is>
      </c>
      <c r="K4398">
        <f>HYPERLINK("CSG4.html#group37B4", "37B⁴")</f>
        <v/>
      </c>
      <c r="L4398" t="inlineStr"/>
      <c r="M4398">
        <f>HYPERLINK("CSG2.html#group37A2", "37A²"), =HYPERLINK("CSG4.html#group37B4", "37B⁴"), =HYPERLINK("CSG0.html#group1A0", "1A⁰")</f>
        <v/>
      </c>
      <c r="N4398" t="inlineStr"/>
    </row>
    <row r="4399">
      <c r="A4399" t="inlineStr">
        <is>
          <t>38A¹⁶</t>
        </is>
      </c>
      <c r="B4399" t="inlineStr"/>
      <c r="C4399" t="inlineStr">
        <is>
          <t>360</t>
        </is>
      </c>
      <c r="D4399" t="inlineStr">
        <is>
          <t>1</t>
        </is>
      </c>
      <c r="E4399" t="inlineStr">
        <is>
          <t>40</t>
        </is>
      </c>
      <c r="F4399" t="inlineStr">
        <is>
          <t>0</t>
        </is>
      </c>
      <c r="G4399" t="inlineStr">
        <is>
          <t>18</t>
        </is>
      </c>
      <c r="H4399" t="inlineStr">
        <is>
          <t>2⁹, 38⁹</t>
        </is>
      </c>
      <c r="I4399" t="n">
        <v>18</v>
      </c>
      <c r="J4399" t="inlineStr">
        <is>
          <t>1⁴, 18²</t>
        </is>
      </c>
      <c r="K4399">
        <f>HYPERLINK("CSG4.html#group38B4", "38B⁴")</f>
        <v/>
      </c>
      <c r="L4399" t="inlineStr"/>
      <c r="M4399">
        <f>HYPERLINK("CSG1.html#group19A1", "19A¹"), =HYPERLINK("CSG4.html#group38B4", "38B⁴"), =HYPERLINK("CSG0.html#group2A0", "2A⁰"), =HYPERLINK("CSG1.html#group19B1", "19B¹"), =HYPERLINK("CSG2.html#group38A2", "38A²"), =HYPERLINK("CSG0.html#group1A0", "1A⁰")</f>
        <v/>
      </c>
      <c r="N4399" t="inlineStr"/>
    </row>
    <row r="4400">
      <c r="A4400" t="inlineStr">
        <is>
          <t>39A¹⁶</t>
        </is>
      </c>
      <c r="B4400" t="inlineStr"/>
      <c r="C4400" t="inlineStr">
        <is>
          <t>252</t>
        </is>
      </c>
      <c r="D4400" t="inlineStr">
        <is>
          <t>1</t>
        </is>
      </c>
      <c r="E4400" t="inlineStr">
        <is>
          <t>14</t>
        </is>
      </c>
      <c r="F4400" t="inlineStr">
        <is>
          <t>0</t>
        </is>
      </c>
      <c r="G4400" t="inlineStr">
        <is>
          <t>0</t>
        </is>
      </c>
      <c r="H4400" t="inlineStr">
        <is>
          <t>3⁶, 39⁶</t>
        </is>
      </c>
      <c r="I4400" t="n">
        <v>12</v>
      </c>
      <c r="J4400" t="inlineStr">
        <is>
          <t>1², 12¹</t>
        </is>
      </c>
      <c r="K4400">
        <f>HYPERLINK("CSG2.html#group13A2", "13A²"), =HYPERLINK("CSG4.html#group39B4", "39B⁴"), =HYPERLINK("CSG4.html#group39C4", "39C⁴"), =HYPERLINK("CSG6.html#group39A6", "39A⁶")</f>
        <v/>
      </c>
      <c r="L4400" t="inlineStr"/>
      <c r="M4400">
        <f>HYPERLINK("CSG4.html#group39B4", "39B⁴"), =HYPERLINK("CSG2.html#group39A2", "39A²"), =HYPERLINK("CSG2.html#group13A2", "13A²"), =HYPERLINK("CSG0.html#group13A0", "13A⁰"), =HYPERLINK("CSG4.html#group39C4", "39C⁴"), =HYPERLINK("CSG0.html#group13C0", "13C⁰"), =HYPERLINK("CSG0.html#group13B0", "13B⁰"), =HYPERLINK("CSG6.html#group39A6", "39A⁶"), =HYPERLINK("CSG1.html#group39A1", "39A¹"), =HYPERLINK("CSG0.html#group3A0", "3A⁰"), =HYPERLINK("CSG0.html#group1A0", "1A⁰")</f>
        <v/>
      </c>
      <c r="N4400" t="inlineStr"/>
    </row>
    <row r="4401">
      <c r="A4401" t="inlineStr">
        <is>
          <t>39B¹⁶</t>
        </is>
      </c>
      <c r="B4401" t="inlineStr"/>
      <c r="C4401" t="inlineStr">
        <is>
          <t>273</t>
        </is>
      </c>
      <c r="D4401" t="inlineStr">
        <is>
          <t>2</t>
        </is>
      </c>
      <c r="E4401" t="inlineStr">
        <is>
          <t>91</t>
        </is>
      </c>
      <c r="F4401" t="inlineStr">
        <is>
          <t>9</t>
        </is>
      </c>
      <c r="G4401" t="inlineStr">
        <is>
          <t>6</t>
        </is>
      </c>
      <c r="H4401" t="inlineStr">
        <is>
          <t>39⁷</t>
        </is>
      </c>
      <c r="I4401" t="n">
        <v>7</v>
      </c>
      <c r="J4401" t="inlineStr">
        <is>
          <t>6¹, 8¹, 24⁷</t>
        </is>
      </c>
      <c r="K4401">
        <f>HYPERLINK("CSG3.html#group13B3", "13B³")</f>
        <v/>
      </c>
      <c r="L4401" t="inlineStr"/>
      <c r="M4401">
        <f>HYPERLINK("CSG0.html#group1A0", "1A⁰"), =HYPERLINK("CSG3.html#group13B3", "13B³")</f>
        <v/>
      </c>
      <c r="N4401" t="inlineStr"/>
    </row>
    <row r="4402">
      <c r="A4402" t="inlineStr">
        <is>
          <t>40A¹⁶</t>
        </is>
      </c>
      <c r="B4402" t="inlineStr"/>
      <c r="C4402" t="inlineStr">
        <is>
          <t>240</t>
        </is>
      </c>
      <c r="D4402" t="inlineStr">
        <is>
          <t>1</t>
        </is>
      </c>
      <c r="E4402" t="inlineStr">
        <is>
          <t>15</t>
        </is>
      </c>
      <c r="F4402" t="inlineStr">
        <is>
          <t>0</t>
        </is>
      </c>
      <c r="G4402" t="inlineStr">
        <is>
          <t>0</t>
        </is>
      </c>
      <c r="H4402" t="inlineStr">
        <is>
          <t>20⁸, 40²</t>
        </is>
      </c>
      <c r="I4402" t="n">
        <v>10</v>
      </c>
      <c r="J4402" t="inlineStr">
        <is>
          <t>1³, 4³</t>
        </is>
      </c>
      <c r="K4402">
        <f>HYPERLINK("CSG0.html#group8N0", "8N⁰"), =HYPERLINK("CSG8.html#group20A8", "20A⁸"), =HYPERLINK("CSG8.html#group40D8", "40D⁸"), =HYPERLINK("CSG8.html#group40E8", "40E⁸")</f>
        <v/>
      </c>
      <c r="L4402" t="inlineStr"/>
      <c r="M4402">
        <f>HYPERLINK("CSG0.html#group2A0", "2A⁰"), =HYPERLINK("CSG0.html#group5A0", "5A⁰"), =HYPERLINK("CSG0.html#group4C0", "4C⁰"), =HYPERLINK("CSG1.html#group20A1", "20A¹"), =HYPERLINK("CSG0.html#group2B0", "2B⁰"), =HYPERLINK("CSG0.html#group4G0", "4G⁰"), =HYPERLINK("CSG0.html#group4E0", "4E⁰"), =HYPERLINK("CSG0.html#group4B0", "4B⁰"), =HYPERLINK("CSG0.html#group8K0", "8K⁰"), =HYPERLINK("CSG0.html#group1A0", "1A⁰"), =HYPERLINK("CSG8.html#group40E8", "40E⁸"), =HYPERLINK("CSG0.html#group10A0", "10A⁰"), =HYPERLINK("CSG2.html#group20D2", "20D²"), =HYPERLINK("CSG0.html#group4D0", "4D⁰"), =HYPERLINK("CSG2.html#group20A2", "20A²"), =HYPERLINK("CSG0.html#group8N0", "8N⁰"), =HYPERLINK("CSG1.html#group10B1", "10B¹"), =HYPERLINK("CSG2.html#group20B2", "20B²"), =HYPERLINK("CSG8.html#group40D8", "40D⁸"), =HYPERLINK("CSG4.html#group20C4", "20C⁴"), =HYPERLINK("CSG2.html#group10B2", "10B²"), =HYPERLINK("CSG0.html#group4A0", "4A⁰"), =HYPERLINK("CSG4.html#group20A4", "20A⁴"), =HYPERLINK("CSG8.html#group20A8", "20A⁸"), =HYPERLINK("CSG0.html#group4F0", "4F⁰"), =HYPERLINK("CSG0.html#group8J0", "8J⁰"), =HYPERLINK("CSG0.html#group2C0", "2C⁰")</f>
        <v/>
      </c>
      <c r="N4402" t="inlineStr"/>
    </row>
    <row r="4403">
      <c r="A4403" t="inlineStr">
        <is>
          <t>40B¹⁶</t>
        </is>
      </c>
      <c r="B4403" t="inlineStr"/>
      <c r="C4403" t="inlineStr">
        <is>
          <t>240</t>
        </is>
      </c>
      <c r="D4403" t="inlineStr">
        <is>
          <t>1</t>
        </is>
      </c>
      <c r="E4403" t="inlineStr">
        <is>
          <t>30</t>
        </is>
      </c>
      <c r="F4403" t="inlineStr">
        <is>
          <t>0</t>
        </is>
      </c>
      <c r="G4403" t="inlineStr">
        <is>
          <t>0</t>
        </is>
      </c>
      <c r="H4403" t="inlineStr">
        <is>
          <t>10⁴, 20², 40⁴</t>
        </is>
      </c>
      <c r="I4403" t="n">
        <v>10</v>
      </c>
      <c r="J4403" t="inlineStr">
        <is>
          <t>1⁴, 2¹, 4⁴, 8¹</t>
        </is>
      </c>
      <c r="K4403">
        <f>HYPERLINK("CSG0.html#group8O0", "8O⁰"), =HYPERLINK("CSG8.html#group40A8", "40A⁸"), =HYPERLINK("CSG8.html#group40C8", "40C⁸"), =HYPERLINK("CSG8.html#group40D8", "40D⁸")</f>
        <v/>
      </c>
      <c r="L4403" t="inlineStr"/>
      <c r="M4403">
        <f>HYPERLINK("CSG0.html#group2A0", "2A⁰"), =HYPERLINK("CSG0.html#group5A0", "5A⁰"), =HYPERLINK("CSG0.html#group4C0", "4C⁰"), =HYPERLINK("CSG8.html#group40A8", "40A⁸"), =HYPERLINK("CSG0.html#group8C0", "8C⁰"), =HYPERLINK("CSG0.html#group2B0", "2B⁰"), =HYPERLINK("CSG0.html#group4E0", "4E⁰"), =HYPERLINK("CSG0.html#group4B0", "4B⁰"), =HYPERLINK("CSG0.html#group1A0", "1A⁰"), =HYPERLINK("CSG4.html#group40C4", "40C⁴"), =HYPERLINK("CSG0.html#group10A0", "10A⁰"), =HYPERLINK("CSG0.html#group8G0", "8G⁰"), =HYPERLINK("CSG8.html#group40C8", "40C⁸"), =HYPERLINK("CSG2.html#group20A2", "20A²"), =HYPERLINK("CSG0.html#group8D0", "8D⁰"), =HYPERLINK("CSG1.html#group10B1", "10B¹"), =HYPERLINK("CSG2.html#group20B2", "20B²"), =HYPERLINK("CSG8.html#group40D8", "40D⁸"), =HYPERLINK("CSG0.html#group8I0", "8I⁰"), =HYPERLINK("CSG2.html#group10B2", "10B²"), =HYPERLINK("CSG4.html#group40B4", "40B⁴"), =HYPERLINK("CSG4.html#group20A4", "20A⁴"), =HYPERLINK("CSG0.html#group8J0", "8J⁰"), =HYPERLINK("CSG0.html#group2C0", "2C⁰"), =HYPERLINK("CSG0.html#group8O0", "8O⁰")</f>
        <v/>
      </c>
      <c r="N4403" t="inlineStr"/>
    </row>
    <row r="4404">
      <c r="A4404" t="inlineStr">
        <is>
          <t>40C¹⁶</t>
        </is>
      </c>
      <c r="B4404" t="inlineStr"/>
      <c r="C4404" t="inlineStr">
        <is>
          <t>240</t>
        </is>
      </c>
      <c r="D4404" t="inlineStr">
        <is>
          <t>1</t>
        </is>
      </c>
      <c r="E4404" t="inlineStr">
        <is>
          <t>60</t>
        </is>
      </c>
      <c r="F4404" t="inlineStr">
        <is>
          <t>4</t>
        </is>
      </c>
      <c r="G4404" t="inlineStr">
        <is>
          <t>0</t>
        </is>
      </c>
      <c r="H4404" t="inlineStr">
        <is>
          <t>20⁴, 40⁴</t>
        </is>
      </c>
      <c r="I4404" t="n">
        <v>8</v>
      </c>
      <c r="J4404" t="inlineStr">
        <is>
          <t>2⁶, 8⁶</t>
        </is>
      </c>
      <c r="K4404">
        <f>HYPERLINK("CSG0.html#group8P0", "8P⁰"), =HYPERLINK("CSG8.html#group40B8", "40B⁸"), =HYPERLINK("CSG8.html#group40F8", "40F⁸")</f>
        <v/>
      </c>
      <c r="L4404" t="inlineStr"/>
      <c r="M4404">
        <f>HYPERLINK("CSG8.html#group40B8", "40B⁸"), =HYPERLINK("CSG0.html#group5A0", "5A⁰"), =HYPERLINK("CSG4.html#group40A4", "40A⁴"), =HYPERLINK("CSG0.html#group8D0", "8D⁰"), =HYPERLINK("CSG1.html#group10B1", "10B¹"), =HYPERLINK("CSG2.html#group20B2", "20B²"), =HYPERLINK("CSG0.html#group4C0", "4C⁰"), =HYPERLINK("CSG0.html#group8B0", "8B⁰"), =HYPERLINK("CSG0.html#group8L0", "8L⁰"), =HYPERLINK("CSG0.html#group2B0", "2B⁰"), =HYPERLINK("CSG1.html#group20A1", "20A¹"), =HYPERLINK("CSG4.html#group20C4", "20C⁴"), =HYPERLINK("CSG0.html#group1A0", "1A⁰"), =HYPERLINK("CSG8.html#group40F8", "40F⁸"), =HYPERLINK("CSG0.html#group8H0", "8H⁰"), =HYPERLINK("CSG4.html#group40C4", "40C⁴"), =HYPERLINK("CSG0.html#group4A0", "4A⁰"), =HYPERLINK("CSG0.html#group4F0", "4F⁰"), =HYPERLINK("CSG0.html#group8P0", "8P⁰")</f>
        <v/>
      </c>
      <c r="N4404" t="inlineStr"/>
    </row>
    <row r="4405">
      <c r="A4405" t="inlineStr">
        <is>
          <t>40D¹⁶</t>
        </is>
      </c>
      <c r="B4405" t="inlineStr"/>
      <c r="C4405" t="inlineStr">
        <is>
          <t>240</t>
        </is>
      </c>
      <c r="D4405" t="inlineStr">
        <is>
          <t>2</t>
        </is>
      </c>
      <c r="E4405" t="inlineStr">
        <is>
          <t>60</t>
        </is>
      </c>
      <c r="F4405" t="inlineStr">
        <is>
          <t>8</t>
        </is>
      </c>
      <c r="G4405" t="inlineStr">
        <is>
          <t>0</t>
        </is>
      </c>
      <c r="H4405" t="inlineStr">
        <is>
          <t>40⁶</t>
        </is>
      </c>
      <c r="I4405" t="n">
        <v>6</v>
      </c>
      <c r="J4405" t="inlineStr">
        <is>
          <t>4², 8², 16⁶</t>
        </is>
      </c>
      <c r="K4405">
        <f>HYPERLINK("CSG6.html#group20B6", "20B⁶"), =HYPERLINK("CSG8.html#group40H8", "40H⁸")</f>
        <v/>
      </c>
      <c r="L4405" t="inlineStr"/>
      <c r="M4405">
        <f>HYPERLINK("CSG0.html#group5A0", "5A⁰"), =HYPERLINK("CSG6.html#group20B6", "20B⁶"), =HYPERLINK("CSG0.html#group4A0", "4A⁰"), =HYPERLINK("CSG8.html#group40H8", "40H⁸"), =HYPERLINK("CSG0.html#group5E0", "5E⁰"), =HYPERLINK("CSG1.html#group20A1", "20A¹"), =HYPERLINK("CSG1.html#group10E1", "10E¹"), =HYPERLINK("CSG0.html#group1A0", "1A⁰"), =HYPERLINK("CSG3.html#group20D3", "20D³")</f>
        <v/>
      </c>
      <c r="N4405" t="inlineStr"/>
    </row>
    <row r="4406">
      <c r="A4406" t="inlineStr">
        <is>
          <t>40E¹⁶</t>
        </is>
      </c>
      <c r="B4406" t="inlineStr"/>
      <c r="C4406" t="inlineStr">
        <is>
          <t>240</t>
        </is>
      </c>
      <c r="D4406" t="inlineStr">
        <is>
          <t>2</t>
        </is>
      </c>
      <c r="E4406" t="inlineStr">
        <is>
          <t>60</t>
        </is>
      </c>
      <c r="F4406" t="inlineStr">
        <is>
          <t>8</t>
        </is>
      </c>
      <c r="G4406" t="inlineStr">
        <is>
          <t>0</t>
        </is>
      </c>
      <c r="H4406" t="inlineStr">
        <is>
          <t>40⁶</t>
        </is>
      </c>
      <c r="I4406" t="n">
        <v>6</v>
      </c>
      <c r="J4406" t="inlineStr">
        <is>
          <t>4², 8², 16⁶</t>
        </is>
      </c>
      <c r="K4406">
        <f>HYPERLINK("CSG6.html#group20B6", "20B⁶"), =HYPERLINK("CSG8.html#group40G8", "40G⁸"), =HYPERLINK("CSG8.html#group40H8", "40H⁸")</f>
        <v/>
      </c>
      <c r="L4406" t="inlineStr"/>
      <c r="M4406">
        <f>HYPERLINK("CSG0.html#group5A0", "5A⁰"), =HYPERLINK("CSG8.html#group40G8", "40G⁸"), =HYPERLINK("CSG6.html#group20B6", "20B⁶"), =HYPERLINK("CSG0.html#group4A0", "4A⁰"), =HYPERLINK("CSG8.html#group40H8", "40H⁸"), =HYPERLINK("CSG0.html#group8A0", "8A⁰"), =HYPERLINK("CSG0.html#group5E0", "5E⁰"), =HYPERLINK("CSG1.html#group20A1", "20A¹"), =HYPERLINK("CSG1.html#group10E1", "10E¹"), =HYPERLINK("CSG0.html#group1A0", "1A⁰"), =HYPERLINK("CSG2.html#group40A2", "40A²"), =HYPERLINK("CSG3.html#group20D3", "20D³")</f>
        <v/>
      </c>
      <c r="N4406" t="inlineStr"/>
    </row>
    <row r="4407">
      <c r="A4407" t="inlineStr">
        <is>
          <t>42A¹⁶</t>
        </is>
      </c>
      <c r="B4407" t="inlineStr"/>
      <c r="C4407" t="inlineStr">
        <is>
          <t>252</t>
        </is>
      </c>
      <c r="D4407" t="inlineStr">
        <is>
          <t>1</t>
        </is>
      </c>
      <c r="E4407" t="inlineStr">
        <is>
          <t>252</t>
        </is>
      </c>
      <c r="F4407" t="inlineStr">
        <is>
          <t>0</t>
        </is>
      </c>
      <c r="G4407" t="inlineStr">
        <is>
          <t>0</t>
        </is>
      </c>
      <c r="H4407" t="inlineStr">
        <is>
          <t>7³, 14³, 21³, 42³</t>
        </is>
      </c>
      <c r="I4407" t="n">
        <v>12</v>
      </c>
      <c r="J4407" t="inlineStr">
        <is>
          <t>3⁶, 6²¹, 12⁹</t>
        </is>
      </c>
      <c r="K4407">
        <f>HYPERLINK("CSG2.html#group14F2", "14F²"), =HYPERLINK("CSG5.html#group21A5", "21A⁵"), =HYPERLINK("CSG6.html#group42C6", "42C⁶")</f>
        <v/>
      </c>
      <c r="L4407" t="inlineStr"/>
      <c r="M4407">
        <f>HYPERLINK("CSG0.html#group3B0", "3B⁰"), =HYPERLINK("CSG2.html#group21B2", "21B²"), =HYPERLINK("CSG0.html#group7D0", "7D⁰"), =HYPERLINK("CSG1.html#group14B1", "14B¹"), =HYPERLINK("CSG6.html#group42C6", "42C⁶"), =HYPERLINK("CSG0.html#group6F0", "6F⁰"), =HYPERLINK("CSG2.html#group14F2", "14F²"), =HYPERLINK("CSG0.html#group2B0", "2B⁰"), =HYPERLINK("CSG5.html#group21A5", "21A⁵"), =HYPERLINK("CSG0.html#group1A0", "1A⁰"), =HYPERLINK("CSG0.html#group7A0", "7A⁰")</f>
        <v/>
      </c>
      <c r="N4407" t="inlineStr"/>
    </row>
    <row r="4408">
      <c r="A4408" t="inlineStr">
        <is>
          <t>42B¹⁶</t>
        </is>
      </c>
      <c r="B4408" t="inlineStr"/>
      <c r="C4408" t="inlineStr">
        <is>
          <t>252</t>
        </is>
      </c>
      <c r="D4408" t="inlineStr">
        <is>
          <t>2</t>
        </is>
      </c>
      <c r="E4408" t="inlineStr">
        <is>
          <t>28</t>
        </is>
      </c>
      <c r="F4408" t="inlineStr">
        <is>
          <t>0</t>
        </is>
      </c>
      <c r="G4408" t="inlineStr">
        <is>
          <t>9</t>
        </is>
      </c>
      <c r="H4408" t="inlineStr">
        <is>
          <t>42⁶</t>
        </is>
      </c>
      <c r="I4408" t="n">
        <v>6</v>
      </c>
      <c r="J4408" t="inlineStr">
        <is>
          <t>4², 12⁴</t>
        </is>
      </c>
      <c r="K4408">
        <f>HYPERLINK("CSG3.html#group14E3", "14E³"), =HYPERLINK("CSG5.html#group42C5", "42C⁵"), =HYPERLINK("CSG5.html#group42D5", "42D⁵"), =HYPERLINK("CSG6.html#group42B6", "42B⁶")</f>
        <v/>
      </c>
      <c r="L4408" t="inlineStr"/>
      <c r="M4408">
        <f>HYPERLINK("CSG0.html#group2A0", "2A⁰"), =HYPERLINK("CSG0.html#group14A0", "14A⁰"), =HYPERLINK("CSG1.html#group14D1", "14D¹"), =HYPERLINK("CSG1.html#group14F1", "14F¹"), =HYPERLINK("CSG0.html#group6A0", "6A⁰"), =HYPERLINK("CSG3.html#group14E3", "14E³"), =HYPERLINK("CSG3.html#group42A3", "42A³"), =HYPERLINK("CSG0.html#group7C0", "7C⁰"), =HYPERLINK("CSG6.html#group42B6", "42B⁶"), =HYPERLINK("CSG1.html#group14A1", "14A¹"), =HYPERLINK("CSG1.html#group21C1", "21C¹"), =HYPERLINK("CSG5.html#group42D5", "42D⁵"), =HYPERLINK("CSG0.html#group1A0", "1A⁰"), =HYPERLINK("CSG5.html#group42C5", "42C⁵"), =HYPERLINK("CSG0.html#group7A0", "7A⁰")</f>
        <v/>
      </c>
      <c r="N4408" t="inlineStr"/>
    </row>
    <row r="4409">
      <c r="A4409" t="inlineStr">
        <is>
          <t>42C¹⁶</t>
        </is>
      </c>
      <c r="B4409" t="inlineStr"/>
      <c r="C4409" t="inlineStr">
        <is>
          <t>252</t>
        </is>
      </c>
      <c r="D4409" t="inlineStr">
        <is>
          <t>2</t>
        </is>
      </c>
      <c r="E4409" t="inlineStr">
        <is>
          <t>63</t>
        </is>
      </c>
      <c r="F4409" t="inlineStr">
        <is>
          <t>8</t>
        </is>
      </c>
      <c r="G4409" t="inlineStr">
        <is>
          <t>0</t>
        </is>
      </c>
      <c r="H4409" t="inlineStr">
        <is>
          <t>21⁴, 42⁴</t>
        </is>
      </c>
      <c r="I4409" t="n">
        <v>8</v>
      </c>
      <c r="J4409" t="inlineStr">
        <is>
          <t>2³, 4³, 6⁶, 12⁶</t>
        </is>
      </c>
      <c r="K4409">
        <f>HYPERLINK("CSG4.html#group21B4", "21B⁴"), =HYPERLINK("CSG7.html#group42K7", "42K⁷"), =HYPERLINK("CSG8.html#group42C8", "42C⁸")</f>
        <v/>
      </c>
      <c r="L4409" t="inlineStr"/>
      <c r="M4409">
        <f>HYPERLINK("CSG2.html#group21D2", "21D²"), =HYPERLINK("CSG1.html#group14B1", "14B¹"), =HYPERLINK("CSG1.html#group21D1", "21D¹"), =HYPERLINK("CSG0.html#group21A0", "21A⁰"), =HYPERLINK("CSG7.html#group42K7", "42K⁷"), =HYPERLINK("CSG0.html#group6G0", "6G⁰"), =HYPERLINK("CSG0.html#group2B0", "2B⁰"), =HYPERLINK("CSG0.html#group1A0", "1A⁰"), =HYPERLINK("CSG0.html#group3C0", "3C⁰"), =HYPERLINK("CSG8.html#group42C8", "42C⁸"), =HYPERLINK("CSG4.html#group21B4", "21B⁴"), =HYPERLINK("CSG0.html#group3A0", "3A⁰"), =HYPERLINK("CSG3.html#group42C3", "42C³"), =HYPERLINK("CSG0.html#group6D0", "6D⁰"), =HYPERLINK("CSG0.html#group7A0", "7A⁰")</f>
        <v/>
      </c>
      <c r="N4409" t="inlineStr"/>
    </row>
    <row r="4410">
      <c r="A4410" t="inlineStr">
        <is>
          <t>42D¹⁶</t>
        </is>
      </c>
      <c r="B4410" t="inlineStr"/>
      <c r="C4410" t="inlineStr">
        <is>
          <t>252</t>
        </is>
      </c>
      <c r="D4410" t="inlineStr">
        <is>
          <t>2</t>
        </is>
      </c>
      <c r="E4410" t="inlineStr">
        <is>
          <t>63</t>
        </is>
      </c>
      <c r="F4410" t="inlineStr">
        <is>
          <t>12</t>
        </is>
      </c>
      <c r="G4410" t="inlineStr">
        <is>
          <t>0</t>
        </is>
      </c>
      <c r="H4410" t="inlineStr">
        <is>
          <t>42⁶</t>
        </is>
      </c>
      <c r="I4410" t="n">
        <v>6</v>
      </c>
      <c r="J4410" t="inlineStr">
        <is>
          <t>6⁷, 12⁷</t>
        </is>
      </c>
      <c r="K4410">
        <f>HYPERLINK("CSG6.html#group21C6", "21C⁶"), =HYPERLINK("CSG6.html#group42A6", "42A⁶"), =HYPERLINK("CSG6.html#group42D6", "42D⁶")</f>
        <v/>
      </c>
      <c r="L4410" t="inlineStr"/>
      <c r="M4410">
        <f>HYPERLINK("CSG2.html#group21D2", "21D²"), =HYPERLINK("CSG6.html#group21C6", "21C⁶"), =HYPERLINK("CSG2.html#group42A2", "42A²"), =HYPERLINK("CSG0.html#group7D0", "7D⁰"), =HYPERLINK("CSG6.html#group42A6", "42A⁶"), =HYPERLINK("CSG1.html#group21E1", "21E¹"), =HYPERLINK("CSG0.html#group21A0", "21A⁰"), =HYPERLINK("CSG6.html#group42D6", "42D⁶"), =HYPERLINK("CSG0.html#group3C0", "3C⁰"), =HYPERLINK("CSG0.html#group3A0", "3A⁰"), =HYPERLINK("CSG0.html#group1A0", "1A⁰"), =HYPERLINK("CSG0.html#group7A0", "7A⁰")</f>
        <v/>
      </c>
      <c r="N4410" t="inlineStr"/>
    </row>
    <row r="4411">
      <c r="A4411" t="inlineStr">
        <is>
          <t>42E¹⁶</t>
        </is>
      </c>
      <c r="B4411" t="inlineStr"/>
      <c r="C4411" t="inlineStr">
        <is>
          <t>252</t>
        </is>
      </c>
      <c r="D4411" t="inlineStr">
        <is>
          <t>2</t>
        </is>
      </c>
      <c r="E4411" t="inlineStr">
        <is>
          <t>63</t>
        </is>
      </c>
      <c r="F4411" t="inlineStr">
        <is>
          <t>12</t>
        </is>
      </c>
      <c r="G4411" t="inlineStr">
        <is>
          <t>0</t>
        </is>
      </c>
      <c r="H4411" t="inlineStr">
        <is>
          <t>42⁶</t>
        </is>
      </c>
      <c r="I4411" t="n">
        <v>6</v>
      </c>
      <c r="J4411" t="inlineStr">
        <is>
          <t>2³, 4³, 6⁶, 12⁶</t>
        </is>
      </c>
      <c r="K4411">
        <f>HYPERLINK("CSG0.html#group6L0", "6L⁰"), =HYPERLINK("CSG4.html#group42F4", "42F⁴"), =HYPERLINK("CSG7.html#group42L7", "42L⁷"), =HYPERLINK("CSG8.html#group42C8", "42C⁸")</f>
        <v/>
      </c>
      <c r="L4411" t="inlineStr"/>
      <c r="M4411">
        <f>HYPERLINK("CSG2.html#group21D2", "21D²"), =HYPERLINK("CSG0.html#group6B0", "6B⁰"), =HYPERLINK("CSG4.html#group42F4", "42F⁴"), =HYPERLINK("CSG1.html#group42B1", "42B¹"), =HYPERLINK("CSG1.html#group14B1", "14B¹"), =HYPERLINK("CSG0.html#group6G0", "6G⁰"), =HYPERLINK("CSG0.html#group21A0", "21A⁰"), =HYPERLINK("CSG0.html#group2B0", "2B⁰"), =HYPERLINK("CSG0.html#group1A0", "1A⁰"), =HYPERLINK("CSG0.html#group6E0", "6E⁰"), =HYPERLINK("CSG0.html#group6L0", "6L⁰"), =HYPERLINK("CSG7.html#group42L7", "42L⁷"), =HYPERLINK("CSG0.html#group3C0", "3C⁰"), =HYPERLINK("CSG8.html#group42C8", "42C⁸"), =HYPERLINK("CSG0.html#group6H0", "6H⁰"), =HYPERLINK("CSG0.html#group3A0", "3A⁰"), =HYPERLINK("CSG3.html#group42C3", "42C³"), =HYPERLINK("CSG0.html#group6D0", "6D⁰"), =HYPERLINK("CSG0.html#group7A0", "7A⁰")</f>
        <v/>
      </c>
      <c r="N4411" t="inlineStr"/>
    </row>
    <row r="4412">
      <c r="A4412" t="inlineStr">
        <is>
          <t>42F¹⁶</t>
        </is>
      </c>
      <c r="B4412" t="inlineStr"/>
      <c r="C4412" t="inlineStr">
        <is>
          <t>252</t>
        </is>
      </c>
      <c r="D4412" t="inlineStr">
        <is>
          <t>2</t>
        </is>
      </c>
      <c r="E4412" t="inlineStr">
        <is>
          <t>63</t>
        </is>
      </c>
      <c r="F4412" t="inlineStr">
        <is>
          <t>12</t>
        </is>
      </c>
      <c r="G4412" t="inlineStr">
        <is>
          <t>0</t>
        </is>
      </c>
      <c r="H4412" t="inlineStr">
        <is>
          <t>42⁶</t>
        </is>
      </c>
      <c r="I4412" t="n">
        <v>6</v>
      </c>
      <c r="J4412" t="inlineStr">
        <is>
          <t>12²¹</t>
        </is>
      </c>
      <c r="K4412">
        <f>HYPERLINK("CSG5.html#group21D5", "21D⁵"), =HYPERLINK("CSG6.html#group42D6", "42D⁶"), =HYPERLINK("CSG7.html#group42G7", "42G⁷")</f>
        <v/>
      </c>
      <c r="L4412" t="inlineStr"/>
      <c r="M4412">
        <f>HYPERLINK("CSG5.html#group21D5", "21D⁵"), =HYPERLINK("CSG2.html#group42A2", "42A²"), =HYPERLINK("CSG0.html#group7D0", "7D⁰"), =HYPERLINK("CSG1.html#group21E1", "21E¹"), =HYPERLINK("CSG1.html#group21D1", "21D¹"), =HYPERLINK("CSG7.html#group42G7", "42G⁷"), =HYPERLINK("CSG0.html#group21A0", "21A⁰"), =HYPERLINK("CSG6.html#group42D6", "42D⁶"), =HYPERLINK("CSG0.html#group3A0", "3A⁰"), =HYPERLINK("CSG0.html#group1A0", "1A⁰"), =HYPERLINK("CSG0.html#group7A0", "7A⁰")</f>
        <v/>
      </c>
      <c r="N4412" t="inlineStr"/>
    </row>
    <row r="4413">
      <c r="A4413" t="inlineStr">
        <is>
          <t>42G¹⁶</t>
        </is>
      </c>
      <c r="B4413" t="inlineStr"/>
      <c r="C4413" t="inlineStr">
        <is>
          <t>252</t>
        </is>
      </c>
      <c r="D4413" t="inlineStr">
        <is>
          <t>2</t>
        </is>
      </c>
      <c r="E4413" t="inlineStr">
        <is>
          <t>63</t>
        </is>
      </c>
      <c r="F4413" t="inlineStr">
        <is>
          <t>12</t>
        </is>
      </c>
      <c r="G4413" t="inlineStr">
        <is>
          <t>0</t>
        </is>
      </c>
      <c r="H4413" t="inlineStr">
        <is>
          <t>42⁶</t>
        </is>
      </c>
      <c r="I4413" t="n">
        <v>6</v>
      </c>
      <c r="J4413" t="inlineStr">
        <is>
          <t>12²¹</t>
        </is>
      </c>
      <c r="K4413">
        <f>HYPERLINK("CSG5.html#group21D5", "21D⁵"), =HYPERLINK("CSG6.html#group42D6", "42D⁶"), =HYPERLINK("CSG7.html#group42G7", "42G⁷")</f>
        <v/>
      </c>
      <c r="L4413" t="inlineStr"/>
      <c r="M4413">
        <f>HYPERLINK("CSG5.html#group21D5", "21D⁵"), =HYPERLINK("CSG2.html#group42A2", "42A²"), =HYPERLINK("CSG0.html#group7D0", "7D⁰"), =HYPERLINK("CSG1.html#group21E1", "21E¹"), =HYPERLINK("CSG1.html#group21D1", "21D¹"), =HYPERLINK("CSG7.html#group42G7", "42G⁷"), =HYPERLINK("CSG0.html#group21A0", "21A⁰"), =HYPERLINK("CSG6.html#group42D6", "42D⁶"), =HYPERLINK("CSG0.html#group3A0", "3A⁰"), =HYPERLINK("CSG0.html#group1A0", "1A⁰"), =HYPERLINK("CSG0.html#group7A0", "7A⁰")</f>
        <v/>
      </c>
      <c r="N4413" t="inlineStr"/>
    </row>
    <row r="4414">
      <c r="A4414" t="inlineStr">
        <is>
          <t>42H¹⁶</t>
        </is>
      </c>
      <c r="B4414" t="inlineStr"/>
      <c r="C4414" t="inlineStr">
        <is>
          <t>252</t>
        </is>
      </c>
      <c r="D4414" t="inlineStr">
        <is>
          <t>2</t>
        </is>
      </c>
      <c r="E4414" t="inlineStr">
        <is>
          <t>63</t>
        </is>
      </c>
      <c r="F4414" t="inlineStr">
        <is>
          <t>12</t>
        </is>
      </c>
      <c r="G4414" t="inlineStr">
        <is>
          <t>0</t>
        </is>
      </c>
      <c r="H4414" t="inlineStr">
        <is>
          <t>42⁶</t>
        </is>
      </c>
      <c r="I4414" t="n">
        <v>6</v>
      </c>
      <c r="J4414" t="inlineStr">
        <is>
          <t>4⁹, 12¹⁸</t>
        </is>
      </c>
      <c r="K4414">
        <f>HYPERLINK("CSG4.html#group42G4", "42G⁴"), =HYPERLINK("CSG7.html#group42K7", "42K⁷"), =HYPERLINK("CSG7.html#group42L7", "42L⁷"), =HYPERLINK("CSG8.html#group42D8", "42D⁸")</f>
        <v/>
      </c>
      <c r="L4414" t="inlineStr"/>
      <c r="M4414">
        <f>HYPERLINK("CSG0.html#group6B0", "6B⁰"), =HYPERLINK("CSG8.html#group42D8", "42D⁸"), =HYPERLINK("CSG1.html#group14B1", "14B¹"), =HYPERLINK("CSG1.html#group21D1", "21D¹"), =HYPERLINK("CSG0.html#group6H0", "6H⁰"), =HYPERLINK("CSG0.html#group21A0", "21A⁰"), =HYPERLINK("CSG7.html#group42K7", "42K⁷"), =HYPERLINK("CSG0.html#group2B0", "2B⁰"), =HYPERLINK("CSG0.html#group1A0", "1A⁰"), =HYPERLINK("CSG2.html#group42A2", "42A²"), =HYPERLINK("CSG4.html#group42G4", "42G⁴"), =HYPERLINK("CSG7.html#group42L7", "42L⁷"), =HYPERLINK("CSG1.html#group42B1", "42B¹"), =HYPERLINK("CSG0.html#group3A0", "3A⁰"), =HYPERLINK("CSG3.html#group42C3", "42C³"), =HYPERLINK("CSG0.html#group6D0", "6D⁰"), =HYPERLINK("CSG0.html#group7A0", "7A⁰")</f>
        <v/>
      </c>
      <c r="N4414" t="inlineStr"/>
    </row>
    <row r="4415">
      <c r="A4415" t="inlineStr">
        <is>
          <t>42I¹⁶</t>
        </is>
      </c>
      <c r="B4415" t="inlineStr"/>
      <c r="C4415" t="inlineStr">
        <is>
          <t>252</t>
        </is>
      </c>
      <c r="D4415" t="inlineStr">
        <is>
          <t>2</t>
        </is>
      </c>
      <c r="E4415" t="inlineStr">
        <is>
          <t>63</t>
        </is>
      </c>
      <c r="F4415" t="inlineStr">
        <is>
          <t>12</t>
        </is>
      </c>
      <c r="G4415" t="inlineStr">
        <is>
          <t>0</t>
        </is>
      </c>
      <c r="H4415" t="inlineStr">
        <is>
          <t>42⁶</t>
        </is>
      </c>
      <c r="I4415" t="n">
        <v>6</v>
      </c>
      <c r="J4415" t="inlineStr">
        <is>
          <t>4⁹, 12¹⁸</t>
        </is>
      </c>
      <c r="K4415">
        <f>HYPERLINK("CSG4.html#group42H4", "42H⁴"), =HYPERLINK("CSG7.html#group42K7", "42K⁷"), =HYPERLINK("CSG7.html#group42L7", "42L⁷"), =HYPERLINK("CSG8.html#group42D8", "42D⁸")</f>
        <v/>
      </c>
      <c r="L4415" t="inlineStr"/>
      <c r="M4415">
        <f>HYPERLINK("CSG0.html#group6B0", "6B⁰"), =HYPERLINK("CSG8.html#group42D8", "42D⁸"), =HYPERLINK("CSG4.html#group42H4", "42H⁴"), =HYPERLINK("CSG1.html#group14B1", "14B¹"), =HYPERLINK("CSG1.html#group21D1", "21D¹"), =HYPERLINK("CSG0.html#group6H0", "6H⁰"), =HYPERLINK("CSG0.html#group21A0", "21A⁰"), =HYPERLINK("CSG7.html#group42K7", "42K⁷"), =HYPERLINK("CSG0.html#group2B0", "2B⁰"), =HYPERLINK("CSG0.html#group1A0", "1A⁰"), =HYPERLINK("CSG2.html#group42A2", "42A²"), =HYPERLINK("CSG7.html#group42L7", "42L⁷"), =HYPERLINK("CSG1.html#group42B1", "42B¹"), =HYPERLINK("CSG0.html#group3A0", "3A⁰"), =HYPERLINK("CSG3.html#group42C3", "42C³"), =HYPERLINK("CSG0.html#group6D0", "6D⁰"), =HYPERLINK("CSG0.html#group7A0", "7A⁰")</f>
        <v/>
      </c>
      <c r="N4415" t="inlineStr"/>
    </row>
    <row r="4416">
      <c r="A4416" t="inlineStr">
        <is>
          <t>44A¹⁶</t>
        </is>
      </c>
      <c r="B4416" t="inlineStr"/>
      <c r="C4416" t="inlineStr">
        <is>
          <t>240</t>
        </is>
      </c>
      <c r="D4416" t="inlineStr">
        <is>
          <t>1</t>
        </is>
      </c>
      <c r="E4416" t="inlineStr">
        <is>
          <t>12</t>
        </is>
      </c>
      <c r="F4416" t="inlineStr">
        <is>
          <t>0</t>
        </is>
      </c>
      <c r="G4416" t="inlineStr">
        <is>
          <t>0</t>
        </is>
      </c>
      <c r="H4416" t="inlineStr">
        <is>
          <t>4⁵, 44⁵</t>
        </is>
      </c>
      <c r="I4416" t="n">
        <v>10</v>
      </c>
      <c r="J4416" t="inlineStr">
        <is>
          <t>1², 10¹</t>
        </is>
      </c>
      <c r="K4416">
        <f>HYPERLINK("CSG4.html#group44A4", "44A⁴"), =HYPERLINK("CSG6.html#group22A6", "22A⁶")</f>
        <v/>
      </c>
      <c r="L4416" t="inlineStr"/>
      <c r="M4416">
        <f>HYPERLINK("CSG0.html#group2A0", "2A⁰"), =HYPERLINK("CSG4.html#group44A4", "44A⁴"), =HYPERLINK("CSG1.html#group11A1", "11A¹"), =HYPERLINK("CSG2.html#group22A2", "22A²"), =HYPERLINK("CSG6.html#group22A6", "22A⁶"), =HYPERLINK("CSG0.html#group1A0", "1A⁰"), =HYPERLINK("CSG1.html#group11D1", "11D¹")</f>
        <v/>
      </c>
      <c r="N4416" t="inlineStr"/>
    </row>
    <row r="4417">
      <c r="A4417" t="inlineStr">
        <is>
          <t>44B¹⁶</t>
        </is>
      </c>
      <c r="B4417" t="inlineStr"/>
      <c r="C4417" t="inlineStr">
        <is>
          <t>240</t>
        </is>
      </c>
      <c r="D4417" t="inlineStr">
        <is>
          <t>1</t>
        </is>
      </c>
      <c r="E4417" t="inlineStr">
        <is>
          <t>48</t>
        </is>
      </c>
      <c r="F4417" t="inlineStr">
        <is>
          <t>0</t>
        </is>
      </c>
      <c r="G4417" t="inlineStr">
        <is>
          <t>0</t>
        </is>
      </c>
      <c r="H4417" t="inlineStr">
        <is>
          <t>4⁵, 44⁵</t>
        </is>
      </c>
      <c r="I4417" t="n">
        <v>10</v>
      </c>
      <c r="J4417" t="inlineStr">
        <is>
          <t>2⁴, 20²</t>
        </is>
      </c>
      <c r="K4417">
        <f>HYPERLINK("CSG1.html#group11D1", "11D¹"), =HYPERLINK("CSG4.html#group44B4", "44B⁴")</f>
        <v/>
      </c>
      <c r="L4417" t="inlineStr"/>
      <c r="M4417">
        <f>HYPERLINK("CSG0.html#group4A0", "4A⁰"), =HYPERLINK("CSG0.html#group1A0", "1A⁰"), =HYPERLINK("CSG1.html#group11A1", "11A¹"), =HYPERLINK("CSG1.html#group11D1", "11D¹"), =HYPERLINK("CSG4.html#group44B4", "44B⁴")</f>
        <v/>
      </c>
      <c r="N4417" t="inlineStr"/>
    </row>
    <row r="4418">
      <c r="A4418" t="inlineStr">
        <is>
          <t>44C¹⁶</t>
        </is>
      </c>
      <c r="B4418" t="inlineStr"/>
      <c r="C4418" t="inlineStr">
        <is>
          <t>360</t>
        </is>
      </c>
      <c r="D4418" t="inlineStr">
        <is>
          <t>1</t>
        </is>
      </c>
      <c r="E4418" t="inlineStr">
        <is>
          <t>36</t>
        </is>
      </c>
      <c r="F4418" t="inlineStr">
        <is>
          <t>0</t>
        </is>
      </c>
      <c r="G4418" t="inlineStr">
        <is>
          <t>0</t>
        </is>
      </c>
      <c r="H4418" t="inlineStr">
        <is>
          <t>1¹⁰, 4⁵, 11¹⁰, 44⁵</t>
        </is>
      </c>
      <c r="I4418" t="n">
        <v>30</v>
      </c>
      <c r="J4418" t="inlineStr">
        <is>
          <t>1⁶, 10³</t>
        </is>
      </c>
      <c r="K4418">
        <f>HYPERLINK("CSG4.html#group44D4", "44D⁴"), =HYPERLINK("CSG6.html#group22C6", "22C⁶")</f>
        <v/>
      </c>
      <c r="L4418" t="inlineStr"/>
      <c r="M4418">
        <f>HYPERLINK("CSG1.html#group11A1", "11A¹"), =HYPERLINK("CSG6.html#group22C6", "22C⁶"), =HYPERLINK("CSG0.html#group2B0", "2B⁰"), =HYPERLINK("CSG0.html#group4B0", "4B⁰"), =HYPERLINK("CSG2.html#group22C2", "22C²"), =HYPERLINK("CSG0.html#group1A0", "1A⁰"), =HYPERLINK("CSG4.html#group44D4", "44D⁴"), =HYPERLINK("CSG1.html#group11D1", "11D¹")</f>
        <v/>
      </c>
      <c r="N4418" t="inlineStr"/>
    </row>
    <row r="4419">
      <c r="A4419" t="inlineStr">
        <is>
          <t>45A¹⁶</t>
        </is>
      </c>
      <c r="B4419" t="inlineStr"/>
      <c r="C4419" t="inlineStr">
        <is>
          <t>240</t>
        </is>
      </c>
      <c r="D4419" t="inlineStr">
        <is>
          <t>1</t>
        </is>
      </c>
      <c r="E4419" t="inlineStr">
        <is>
          <t>80</t>
        </is>
      </c>
      <c r="F4419" t="inlineStr">
        <is>
          <t>0</t>
        </is>
      </c>
      <c r="G4419" t="inlineStr">
        <is>
          <t>3</t>
        </is>
      </c>
      <c r="H4419" t="inlineStr">
        <is>
          <t>15⁴, 45⁴</t>
        </is>
      </c>
      <c r="I4419" t="n">
        <v>8</v>
      </c>
      <c r="J4419" t="inlineStr">
        <is>
          <t>4², 8⁹</t>
        </is>
      </c>
      <c r="K4419">
        <f>HYPERLINK("CSG3.html#group15G3", "15G³"), =HYPERLINK("CSG4.html#group45B4", "45B⁴")</f>
        <v/>
      </c>
      <c r="L4419" t="inlineStr"/>
      <c r="M4419">
        <f>HYPERLINK("CSG0.html#group3B0", "3B⁰"), =HYPERLINK("CSG0.html#group5A0", "5A⁰"), =HYPERLINK("CSG4.html#group45B4", "45B⁴"), =HYPERLINK("CSG3.html#group15G3", "15G³"), =HYPERLINK("CSG0.html#group5C0", "5C⁰"), =HYPERLINK("CSG1.html#group15B1", "15B¹"), =HYPERLINK("CSG0.html#group5F0", "5F⁰"), =HYPERLINK("CSG2.html#group15C2", "15C²"), =HYPERLINK("CSG0.html#group1A0", "1A⁰")</f>
        <v/>
      </c>
      <c r="N4419" t="inlineStr"/>
    </row>
    <row r="4420">
      <c r="A4420" t="inlineStr">
        <is>
          <t>45B¹⁶</t>
        </is>
      </c>
      <c r="B4420" t="inlineStr"/>
      <c r="C4420" t="inlineStr">
        <is>
          <t>270</t>
        </is>
      </c>
      <c r="D4420" t="inlineStr">
        <is>
          <t>1</t>
        </is>
      </c>
      <c r="E4420" t="inlineStr">
        <is>
          <t>15</t>
        </is>
      </c>
      <c r="F4420" t="inlineStr">
        <is>
          <t>18</t>
        </is>
      </c>
      <c r="G4420" t="inlineStr">
        <is>
          <t>0</t>
        </is>
      </c>
      <c r="H4420" t="inlineStr">
        <is>
          <t>45⁶</t>
        </is>
      </c>
      <c r="I4420" t="n">
        <v>6</v>
      </c>
      <c r="J4420" t="inlineStr">
        <is>
          <t>1¹, 2¹, 4¹, 8¹</t>
        </is>
      </c>
      <c r="K4420">
        <f>HYPERLINK("CSG4.html#group15C4", "15C⁴"), =HYPERLINK("CSG6.html#group45A6", "45A⁶"), =HYPERLINK("CSG6.html#group45B6", "45B⁶"), =HYPERLINK("CSG7.html#group45D7", "45D⁷")</f>
        <v/>
      </c>
      <c r="L4420" t="inlineStr"/>
      <c r="M4420">
        <f>HYPERLINK("CSG0.html#group5A0", "5A⁰"), =HYPERLINK("CSG6.html#group45A6", "45A⁶"), =HYPERLINK("CSG1.html#group15F1", "15F¹"), =HYPERLINK("CSG0.html#group1A0", "1A⁰"), =HYPERLINK("CSG7.html#group45D7", "45D⁷"), =HYPERLINK("CSG4.html#group15C4", "15C⁴"), =HYPERLINK("CSG6.html#group45B6", "45B⁶"), =HYPERLINK("CSG0.html#group9D0", "9D⁰"), =HYPERLINK("CSG2.html#group15A2", "15A²"), =HYPERLINK("CSG0.html#group9A0", "9A⁰"), =HYPERLINK("CSG0.html#group5E0", "5E⁰"), =HYPERLINK("CSG0.html#group3C0", "3C⁰"), =HYPERLINK("CSG3.html#group45A3", "45A³"), =HYPERLINK("CSG0.html#group3A0", "3A⁰"), =HYPERLINK("CSG1.html#group15A1", "15A¹"), =HYPERLINK("CSG0.html#group15A0", "15A⁰")</f>
        <v/>
      </c>
      <c r="N4420" t="inlineStr"/>
    </row>
    <row r="4421">
      <c r="A4421" t="inlineStr">
        <is>
          <t>45C¹⁶</t>
        </is>
      </c>
      <c r="B4421" t="inlineStr"/>
      <c r="C4421" t="inlineStr">
        <is>
          <t>270</t>
        </is>
      </c>
      <c r="D4421" t="inlineStr">
        <is>
          <t>1</t>
        </is>
      </c>
      <c r="E4421" t="inlineStr">
        <is>
          <t>90</t>
        </is>
      </c>
      <c r="F4421" t="inlineStr">
        <is>
          <t>6</t>
        </is>
      </c>
      <c r="G4421" t="inlineStr">
        <is>
          <t>0</t>
        </is>
      </c>
      <c r="H4421" t="inlineStr">
        <is>
          <t>15⁹, 45³</t>
        </is>
      </c>
      <c r="I4421" t="n">
        <v>12</v>
      </c>
      <c r="J4421" t="inlineStr">
        <is>
          <t>1¹, 2¹, 3¹, 4¹, 6², 8¹, 12¹, 24²</t>
        </is>
      </c>
      <c r="K4421">
        <f>HYPERLINK("CSG4.html#group15C4", "15C⁴"), =HYPERLINK("CSG6.html#group45C6", "45C⁶")</f>
        <v/>
      </c>
      <c r="L4421" t="inlineStr"/>
      <c r="M4421">
        <f>HYPERLINK("CSG4.html#group15C4", "15C⁴"), =HYPERLINK("CSG6.html#group45C6", "45C⁶"), =HYPERLINK("CSG0.html#group5A0", "5A⁰"), =HYPERLINK("CSG2.html#group15A2", "15A²"), =HYPERLINK("CSG1.html#group15F1", "15F¹"), =HYPERLINK("CSG0.html#group5E0", "5E⁰"), =HYPERLINK("CSG0.html#group3C0", "3C⁰"), =HYPERLINK("CSG0.html#group9E0", "9E⁰"), =HYPERLINK("CSG0.html#group3A0", "3A⁰"), =HYPERLINK("CSG0.html#group1A0", "1A⁰"), =HYPERLINK("CSG1.html#group15A1", "15A¹"), =HYPERLINK("CSG0.html#group15A0", "15A⁰")</f>
        <v/>
      </c>
      <c r="N4421" t="inlineStr"/>
    </row>
    <row r="4422">
      <c r="A4422" t="inlineStr">
        <is>
          <t>45D¹⁶</t>
        </is>
      </c>
      <c r="B4422" t="inlineStr"/>
      <c r="C4422" t="inlineStr">
        <is>
          <t>270</t>
        </is>
      </c>
      <c r="D4422" t="inlineStr">
        <is>
          <t>2</t>
        </is>
      </c>
      <c r="E4422" t="inlineStr">
        <is>
          <t>135</t>
        </is>
      </c>
      <c r="F4422" t="inlineStr">
        <is>
          <t>18</t>
        </is>
      </c>
      <c r="G4422" t="inlineStr">
        <is>
          <t>0</t>
        </is>
      </c>
      <c r="H4422" t="inlineStr">
        <is>
          <t>45⁶</t>
        </is>
      </c>
      <c r="I4422" t="n">
        <v>6</v>
      </c>
      <c r="J4422" t="inlineStr">
        <is>
          <t>2³, 4³, 6², 8⁹, 12², 24⁶</t>
        </is>
      </c>
      <c r="K4422">
        <f>HYPERLINK("CSG3.html#group15H3", "15H³"), =HYPERLINK("CSG7.html#group45D7", "45D⁷")</f>
        <v/>
      </c>
      <c r="L4422" t="inlineStr"/>
      <c r="M4422">
        <f>HYPERLINK("CSG0.html#group5A0", "5A⁰"), =HYPERLINK("CSG1.html#group15A1", "15A¹"), =HYPERLINK("CSG0.html#group9A0", "9A⁰"), =HYPERLINK("CSG1.html#group15F1", "15F¹"), =HYPERLINK("CSG0.html#group5E0", "5E⁰"), =HYPERLINK("CSG3.html#group45A3", "45A³"), =HYPERLINK("CSG7.html#group45D7", "45D⁷"), =HYPERLINK("CSG0.html#group3A0", "3A⁰"), =HYPERLINK("CSG0.html#group1A0", "1A⁰"), =HYPERLINK("CSG3.html#group15H3", "15H³"), =HYPERLINK("CSG0.html#group15A0", "15A⁰")</f>
        <v/>
      </c>
      <c r="N4422" t="inlineStr"/>
    </row>
    <row r="4423">
      <c r="A4423" t="inlineStr">
        <is>
          <t>45E¹⁶</t>
        </is>
      </c>
      <c r="B4423" t="inlineStr"/>
      <c r="C4423" t="inlineStr">
        <is>
          <t>324</t>
        </is>
      </c>
      <c r="D4423" t="inlineStr">
        <is>
          <t>1</t>
        </is>
      </c>
      <c r="E4423" t="inlineStr">
        <is>
          <t>162</t>
        </is>
      </c>
      <c r="F4423" t="inlineStr">
        <is>
          <t>24</t>
        </is>
      </c>
      <c r="G4423" t="inlineStr">
        <is>
          <t>0</t>
        </is>
      </c>
      <c r="H4423" t="inlineStr">
        <is>
          <t>9⁶, 45⁶</t>
        </is>
      </c>
      <c r="I4423" t="n">
        <v>12</v>
      </c>
      <c r="J4423" t="inlineStr">
        <is>
          <t>3², 6⁸, 12¹, 24⁴</t>
        </is>
      </c>
      <c r="K4423">
        <f>HYPERLINK("CSG4.html#group45C4", "45C⁴"), =HYPERLINK("CSG8.html#group45D8", "45D⁸")</f>
        <v/>
      </c>
      <c r="L4423" t="inlineStr"/>
      <c r="M4423">
        <f>HYPERLINK("CSG2.html#group45A2", "45A²"), =HYPERLINK("CSG0.html#group15B0", "15B⁰"), =HYPERLINK("CSG8.html#group45D8", "45D⁸"), =HYPERLINK("CSG0.html#group9A0", "9A⁰"), =HYPERLINK("CSG0.html#group9G0", "9G⁰"), =HYPERLINK("CSG4.html#group45C4", "45C⁴"), =HYPERLINK("CSG0.html#group5B0", "5B⁰"), =HYPERLINK("CSG0.html#group3A0", "3A⁰"), =HYPERLINK("CSG0.html#group1A0", "1A⁰"), =HYPERLINK("CSG0.html#group15C0", "15C⁰")</f>
        <v/>
      </c>
      <c r="N4423" t="inlineStr"/>
    </row>
    <row r="4424">
      <c r="A4424" t="inlineStr">
        <is>
          <t>48A¹⁶</t>
        </is>
      </c>
      <c r="B4424" t="inlineStr"/>
      <c r="C4424" t="inlineStr">
        <is>
          <t>288</t>
        </is>
      </c>
      <c r="D4424" t="inlineStr">
        <is>
          <t>1</t>
        </is>
      </c>
      <c r="E4424" t="inlineStr">
        <is>
          <t>24</t>
        </is>
      </c>
      <c r="F4424" t="inlineStr">
        <is>
          <t>12</t>
        </is>
      </c>
      <c r="G4424" t="inlineStr">
        <is>
          <t>0</t>
        </is>
      </c>
      <c r="H4424" t="inlineStr">
        <is>
          <t>12⁸, 48⁴</t>
        </is>
      </c>
      <c r="I4424" t="n">
        <v>12</v>
      </c>
      <c r="J4424" t="inlineStr">
        <is>
          <t>2², 4⁵</t>
        </is>
      </c>
      <c r="K4424">
        <f>HYPERLINK("CSG2.html#group16L2", "16L²"), =HYPERLINK("CSG6.html#group24D6", "24D⁶"), =HYPERLINK("CSG7.html#group48O7", "48O⁷"), =HYPERLINK("CSG7.html#group48P7", "48P⁷")</f>
        <v/>
      </c>
      <c r="L4424" t="inlineStr"/>
      <c r="M4424">
        <f>HYPERLINK("CSG6.html#group24D6", "24D⁶"), =HYPERLINK("CSG0.html#group12C0", "12C⁰"), =HYPERLINK("CSG0.html#group3A0", "3A⁰"), =HYPERLINK("CSG1.html#group16I1", "16I¹"), =HYPERLINK("CSG0.html#group8D0", "8D⁰"), =HYPERLINK("CSG0.html#group4C0", "4C⁰"), =HYPERLINK("CSG7.html#group48P7", "48P⁷"), =HYPERLINK("CSG0.html#group8B0", "8B⁰"), =HYPERLINK("CSG0.html#group8L0", "8L⁰"), =HYPERLINK("CSG0.html#group2B0", "2B⁰"), =HYPERLINK("CSG2.html#group24L2", "24L²"), =HYPERLINK("CSG2.html#group16L2", "16L²"), =HYPERLINK("CSG0.html#group1A0", "1A⁰"), =HYPERLINK("CSG0.html#group8H0", "8H⁰"), =HYPERLINK("CSG0.html#group16E0", "16E⁰"), =HYPERLINK("CSG0.html#group12A0", "12A⁰"), =HYPERLINK("CSG4.html#group48E4", "48E⁴"), =HYPERLINK("CSG0.html#group24A0", "24A⁰"), =HYPERLINK("CSG0.html#group4A0", "4A⁰"), =HYPERLINK("CSG1.html#group16C1", "16C¹"), =HYPERLINK("CSG2.html#group24M2", "24M²"), =HYPERLINK("CSG1.html#group24C1", "24C¹"), =HYPERLINK("CSG1.html#group12J1", "12J¹"), =HYPERLINK("CSG0.html#group4F0", "4F⁰"), =HYPERLINK("CSG3.html#group48D3", "48D³"), =HYPERLINK("CSG0.html#group8P0", "8P⁰"), =HYPERLINK("CSG7.html#group48O7", "48O⁷"), =HYPERLINK("CSG1.html#group16H1", "16H¹"), =HYPERLINK("CSG0.html#group6D0", "6D⁰")</f>
        <v/>
      </c>
      <c r="N4424" t="inlineStr"/>
    </row>
    <row r="4425">
      <c r="A4425" t="inlineStr">
        <is>
          <t>48B¹⁶</t>
        </is>
      </c>
      <c r="B4425" t="inlineStr"/>
      <c r="C4425" t="inlineStr">
        <is>
          <t>288</t>
        </is>
      </c>
      <c r="D4425" t="inlineStr">
        <is>
          <t>1</t>
        </is>
      </c>
      <c r="E4425" t="inlineStr">
        <is>
          <t>72</t>
        </is>
      </c>
      <c r="F4425" t="inlineStr">
        <is>
          <t>8</t>
        </is>
      </c>
      <c r="G4425" t="inlineStr">
        <is>
          <t>0</t>
        </is>
      </c>
      <c r="H4425" t="inlineStr">
        <is>
          <t>12⁸, 24⁴, 48²</t>
        </is>
      </c>
      <c r="I4425" t="n">
        <v>14</v>
      </c>
      <c r="J4425" t="inlineStr">
        <is>
          <t>4⁴, 8⁸, 16⁴</t>
        </is>
      </c>
      <c r="K4425">
        <f>HYPERLINK("CSG6.html#group24F6", "24F⁶"), =HYPERLINK("CSG8.html#group48U8", "48U⁸")</f>
        <v/>
      </c>
      <c r="L4425" t="inlineStr"/>
      <c r="M4425">
        <f>HYPERLINK("CSG2.html#group12I2", "12I²"), =HYPERLINK("CSG0.html#group6B0", "6B⁰"), =HYPERLINK("CSG0.html#group12C0", "12C⁰"), =HYPERLINK("CSG0.html#group4C0", "4C⁰"), =HYPERLINK("CSG0.html#group12F0", "12F⁰"), =HYPERLINK("CSG6.html#group24F6", "24F⁶"), =HYPERLINK("CSG8.html#group48U8", "48U⁸"), =HYPERLINK("CSG1.html#group12M1", "12M¹"), =HYPERLINK("CSG0.html#group2B0", "2B⁰"), =HYPERLINK("CSG0.html#group12H0", "12H⁰"), =HYPERLINK("CSG0.html#group1A0", "1A⁰"), =HYPERLINK("CSG0.html#group8K0", "8K⁰"), =HYPERLINK("CSG3.html#group24J3", "24J³"), =HYPERLINK("CSG0.html#group12A0", "12A⁰"), =HYPERLINK("CSG0.html#group4A0", "4A⁰"), =HYPERLINK("CSG3.html#group24R3", "24R³"), =HYPERLINK("CSG1.html#group12J1", "12J¹"), =HYPERLINK("CSG0.html#group12D0", "12D⁰"), =HYPERLINK("CSG0.html#group6H0", "6H⁰"), =HYPERLINK("CSG0.html#group3A0", "3A⁰"), =HYPERLINK("CSG0.html#group4F0", "4F⁰"), =HYPERLINK("CSG0.html#group6D0", "6D⁰")</f>
        <v/>
      </c>
      <c r="N4425" t="inlineStr"/>
    </row>
    <row r="4426">
      <c r="A4426" t="inlineStr">
        <is>
          <t>48C¹⁶</t>
        </is>
      </c>
      <c r="B4426" t="inlineStr"/>
      <c r="C4426" t="inlineStr">
        <is>
          <t>288</t>
        </is>
      </c>
      <c r="D4426" t="inlineStr">
        <is>
          <t>1</t>
        </is>
      </c>
      <c r="E4426" t="inlineStr">
        <is>
          <t>72</t>
        </is>
      </c>
      <c r="F4426" t="inlineStr">
        <is>
          <t>8</t>
        </is>
      </c>
      <c r="G4426" t="inlineStr">
        <is>
          <t>0</t>
        </is>
      </c>
      <c r="H4426" t="inlineStr">
        <is>
          <t>12⁸, 24⁴, 48²</t>
        </is>
      </c>
      <c r="I4426" t="n">
        <v>14</v>
      </c>
      <c r="J4426" t="inlineStr">
        <is>
          <t>4⁴, 8⁸, 16⁴</t>
        </is>
      </c>
      <c r="K4426">
        <f>HYPERLINK("CSG6.html#group24F6", "24F⁶"), =HYPERLINK("CSG8.html#group48V8", "48V⁸")</f>
        <v/>
      </c>
      <c r="L4426" t="inlineStr"/>
      <c r="M4426">
        <f>HYPERLINK("CSG2.html#group12I2", "12I²"), =HYPERLINK("CSG0.html#group6B0", "6B⁰"), =HYPERLINK("CSG0.html#group12C0", "12C⁰"), =HYPERLINK("CSG0.html#group4C0", "4C⁰"), =HYPERLINK("CSG0.html#group12F0", "12F⁰"), =HYPERLINK("CSG6.html#group24F6", "24F⁶"), =HYPERLINK("CSG0.html#group2B0", "2B⁰"), =HYPERLINK("CSG1.html#group12M1", "12M¹"), =HYPERLINK("CSG0.html#group12H0", "12H⁰"), =HYPERLINK("CSG8.html#group48V8", "48V⁸"), =HYPERLINK("CSG0.html#group1A0", "1A⁰"), =HYPERLINK("CSG0.html#group8K0", "8K⁰"), =HYPERLINK("CSG3.html#group24J3", "24J³"), =HYPERLINK("CSG0.html#group12A0", "12A⁰"), =HYPERLINK("CSG0.html#group4A0", "4A⁰"), =HYPERLINK("CSG1.html#group12J1", "12J¹"), =HYPERLINK("CSG3.html#group24R3", "24R³"), =HYPERLINK("CSG0.html#group4F0", "4F⁰"), =HYPERLINK("CSG0.html#group6H0", "6H⁰"), =HYPERLINK("CSG0.html#group3A0", "3A⁰"), =HYPERLINK("CSG0.html#group12D0", "12D⁰"), =HYPERLINK("CSG0.html#group6D0", "6D⁰")</f>
        <v/>
      </c>
      <c r="N4426" t="inlineStr"/>
    </row>
    <row r="4427">
      <c r="A4427" t="inlineStr">
        <is>
          <t>48D¹⁶</t>
        </is>
      </c>
      <c r="B4427" t="inlineStr"/>
      <c r="C4427" t="inlineStr">
        <is>
          <t>288</t>
        </is>
      </c>
      <c r="D4427" t="inlineStr">
        <is>
          <t>1</t>
        </is>
      </c>
      <c r="E4427" t="inlineStr">
        <is>
          <t>72</t>
        </is>
      </c>
      <c r="F4427" t="inlineStr">
        <is>
          <t>8</t>
        </is>
      </c>
      <c r="G4427" t="inlineStr">
        <is>
          <t>0</t>
        </is>
      </c>
      <c r="H4427" t="inlineStr">
        <is>
          <t>12⁸, 24⁴, 48²</t>
        </is>
      </c>
      <c r="I4427" t="n">
        <v>14</v>
      </c>
      <c r="J4427" t="inlineStr">
        <is>
          <t>4⁴, 8⁸, 16⁴</t>
        </is>
      </c>
      <c r="K4427">
        <f>HYPERLINK("CSG6.html#group24F6", "24F⁶"), =HYPERLINK("CSG8.html#group48G8", "48G⁸"), =HYPERLINK("CSG8.html#group48U8", "48U⁸")</f>
        <v/>
      </c>
      <c r="L4427" t="inlineStr"/>
      <c r="M4427">
        <f>HYPERLINK("CSG2.html#group12I2", "12I²"), =HYPERLINK("CSG0.html#group6B0", "6B⁰"), =HYPERLINK("CSG0.html#group12C0", "12C⁰"), =HYPERLINK("CSG0.html#group4C0", "4C⁰"), =HYPERLINK("CSG0.html#group12F0", "12F⁰"), =HYPERLINK("CSG6.html#group24F6", "24F⁶"), =HYPERLINK("CSG8.html#group48U8", "48U⁸"), =HYPERLINK("CSG1.html#group12M1", "12M¹"), =HYPERLINK("CSG0.html#group2B0", "2B⁰"), =HYPERLINK("CSG0.html#group12H0", "12H⁰"), =HYPERLINK("CSG0.html#group1A0", "1A⁰"), =HYPERLINK("CSG0.html#group8K0", "8K⁰"), =HYPERLINK("CSG3.html#group24J3", "24J³"), =HYPERLINK("CSG0.html#group12A0", "12A⁰"), =HYPERLINK("CSG0.html#group4A0", "4A⁰"), =HYPERLINK("CSG8.html#group48G8", "48G⁸"), =HYPERLINK("CSG3.html#group24R3", "24R³"), =HYPERLINK("CSG1.html#group12J1", "12J¹"), =HYPERLINK("CSG0.html#group6H0", "6H⁰"), =HYPERLINK("CSG0.html#group3A0", "3A⁰"), =HYPERLINK("CSG0.html#group12D0", "12D⁰"), =HYPERLINK("CSG0.html#group4F0", "4F⁰"), =HYPERLINK("CSG1.html#group16K1", "16K¹"), =HYPERLINK("CSG0.html#group6D0", "6D⁰")</f>
        <v/>
      </c>
      <c r="N4427" t="inlineStr"/>
    </row>
    <row r="4428">
      <c r="A4428" t="inlineStr">
        <is>
          <t>48E¹⁶</t>
        </is>
      </c>
      <c r="B4428" t="inlineStr"/>
      <c r="C4428" t="inlineStr">
        <is>
          <t>288</t>
        </is>
      </c>
      <c r="D4428" t="inlineStr">
        <is>
          <t>1</t>
        </is>
      </c>
      <c r="E4428" t="inlineStr">
        <is>
          <t>72</t>
        </is>
      </c>
      <c r="F4428" t="inlineStr">
        <is>
          <t>8</t>
        </is>
      </c>
      <c r="G4428" t="inlineStr">
        <is>
          <t>0</t>
        </is>
      </c>
      <c r="H4428" t="inlineStr">
        <is>
          <t>12⁸, 24⁴, 48²</t>
        </is>
      </c>
      <c r="I4428" t="n">
        <v>14</v>
      </c>
      <c r="J4428" t="inlineStr">
        <is>
          <t>4⁴, 8⁸, 16⁴</t>
        </is>
      </c>
      <c r="K4428">
        <f>HYPERLINK("CSG6.html#group24F6", "24F⁶"), =HYPERLINK("CSG8.html#group48H8", "48H⁸"), =HYPERLINK("CSG8.html#group48V8", "48V⁸")</f>
        <v/>
      </c>
      <c r="L4428" t="inlineStr"/>
      <c r="M4428">
        <f>HYPERLINK("CSG2.html#group12I2", "12I²"), =HYPERLINK("CSG0.html#group6B0", "6B⁰"), =HYPERLINK("CSG0.html#group12C0", "12C⁰"), =HYPERLINK("CSG0.html#group4C0", "4C⁰"), =HYPERLINK("CSG0.html#group12F0", "12F⁰"), =HYPERLINK("CSG6.html#group24F6", "24F⁶"), =HYPERLINK("CSG0.html#group2B0", "2B⁰"), =HYPERLINK("CSG8.html#group48H8", "48H⁸"), =HYPERLINK("CSG1.html#group12M1", "12M¹"), =HYPERLINK("CSG0.html#group12H0", "12H⁰"), =HYPERLINK("CSG8.html#group48V8", "48V⁸"), =HYPERLINK("CSG0.html#group1A0", "1A⁰"), =HYPERLINK("CSG0.html#group8K0", "8K⁰"), =HYPERLINK("CSG3.html#group24J3", "24J³"), =HYPERLINK("CSG1.html#group16L1", "16L¹"), =HYPERLINK("CSG0.html#group12A0", "12A⁰"), =HYPERLINK("CSG0.html#group4A0", "4A⁰"), =HYPERLINK("CSG1.html#group12J1", "12J¹"), =HYPERLINK("CSG3.html#group24R3", "24R³"), =HYPERLINK("CSG0.html#group4F0", "4F⁰"), =HYPERLINK("CSG0.html#group6H0", "6H⁰"), =HYPERLINK("CSG0.html#group3A0", "3A⁰"), =HYPERLINK("CSG0.html#group12D0", "12D⁰"), =HYPERLINK("CSG0.html#group6D0", "6D⁰")</f>
        <v/>
      </c>
      <c r="N4428" t="inlineStr"/>
    </row>
    <row r="4429">
      <c r="A4429" t="inlineStr">
        <is>
          <t>48F¹⁶</t>
        </is>
      </c>
      <c r="B4429" t="inlineStr"/>
      <c r="C4429" t="inlineStr">
        <is>
          <t>288</t>
        </is>
      </c>
      <c r="D4429" t="inlineStr">
        <is>
          <t>1</t>
        </is>
      </c>
      <c r="E4429" t="inlineStr">
        <is>
          <t>72</t>
        </is>
      </c>
      <c r="F4429" t="inlineStr">
        <is>
          <t>12</t>
        </is>
      </c>
      <c r="G4429" t="inlineStr">
        <is>
          <t>0</t>
        </is>
      </c>
      <c r="H4429" t="inlineStr">
        <is>
          <t>12⁸, 48⁴</t>
        </is>
      </c>
      <c r="I4429" t="n">
        <v>12</v>
      </c>
      <c r="J4429" t="inlineStr">
        <is>
          <t>2², 4⁷, 8⁵</t>
        </is>
      </c>
      <c r="K4429">
        <f>HYPERLINK("CSG6.html#group24D6", "24D⁶"), =HYPERLINK("CSG7.html#group48AB7", "48AB⁷"), =HYPERLINK("CSG7.html#group48AC7", "48AC⁷")</f>
        <v/>
      </c>
      <c r="L4429" t="inlineStr"/>
      <c r="M4429">
        <f>HYPERLINK("CSG6.html#group24D6", "24D⁶"), =HYPERLINK("CSG0.html#group12C0", "12C⁰"), =HYPERLINK("CSG3.html#group48G3", "48G³"), =HYPERLINK("CSG7.html#group48AC7", "48AC⁷"), =HYPERLINK("CSG4.html#group48H4", "48H⁴"), =HYPERLINK("CSG0.html#group8D0", "8D⁰"), =HYPERLINK("CSG0.html#group4C0", "4C⁰"), =HYPERLINK("CSG0.html#group8B0", "8B⁰"), =HYPERLINK("CSG0.html#group8L0", "8L⁰"), =HYPERLINK("CSG0.html#group2B0", "2B⁰"), =HYPERLINK("CSG2.html#group24L2", "24L²"), =HYPERLINK("CSG0.html#group1A0", "1A⁰"), =HYPERLINK("CSG0.html#group8H0", "8H⁰"), =HYPERLINK("CSG7.html#group48AB7", "48AB⁷"), =HYPERLINK("CSG0.html#group12A0", "12A⁰"), =HYPERLINK("CSG0.html#group24A0", "24A⁰"), =HYPERLINK("CSG0.html#group4A0", "4A⁰"), =HYPERLINK("CSG2.html#group24M2", "24M²"), =HYPERLINK("CSG1.html#group24C1", "24C¹"), =HYPERLINK("CSG1.html#group12J1", "12J¹"), =HYPERLINK("CSG0.html#group4F0", "4F⁰"), =HYPERLINK("CSG0.html#group3A0", "3A⁰"), =HYPERLINK("CSG0.html#group8P0", "8P⁰"), =HYPERLINK("CSG0.html#group6D0", "6D⁰")</f>
        <v/>
      </c>
      <c r="N4429" t="inlineStr"/>
    </row>
    <row r="4430">
      <c r="A4430" t="inlineStr">
        <is>
          <t>48G¹⁶</t>
        </is>
      </c>
      <c r="B4430" t="inlineStr"/>
      <c r="C4430" t="inlineStr">
        <is>
          <t>288</t>
        </is>
      </c>
      <c r="D4430" t="inlineStr">
        <is>
          <t>1</t>
        </is>
      </c>
      <c r="E4430" t="inlineStr">
        <is>
          <t>72</t>
        </is>
      </c>
      <c r="F4430" t="inlineStr">
        <is>
          <t>12</t>
        </is>
      </c>
      <c r="G4430" t="inlineStr">
        <is>
          <t>0</t>
        </is>
      </c>
      <c r="H4430" t="inlineStr">
        <is>
          <t>12⁸, 48⁴</t>
        </is>
      </c>
      <c r="I4430" t="n">
        <v>12</v>
      </c>
      <c r="J4430" t="inlineStr">
        <is>
          <t>2², 4⁷, 8⁵</t>
        </is>
      </c>
      <c r="K4430">
        <f>HYPERLINK("CSG6.html#group24G6", "24G⁶"), =HYPERLINK("CSG7.html#group48O7", "48O⁷"), =HYPERLINK("CSG7.html#group48AC7", "48AC⁷")</f>
        <v/>
      </c>
      <c r="L4430" t="inlineStr"/>
      <c r="M4430">
        <f>HYPERLINK("CSG0.html#group12C0", "12C⁰"), =HYPERLINK("CSG3.html#group48G3", "48G³"), =HYPERLINK("CSG7.html#group48AC7", "48AC⁷"), =HYPERLINK("CSG0.html#group8D0", "8D⁰"), =HYPERLINK("CSG4.html#group48H4", "48H⁴"), =HYPERLINK("CSG0.html#group4C0", "4C⁰"), =HYPERLINK("CSG0.html#group8B0", "8B⁰"), =HYPERLINK("CSG2.html#group24Q2", "24Q²"), =HYPERLINK("CSG0.html#group2B0", "2B⁰"), =HYPERLINK("CSG2.html#group24L2", "24L²"), =HYPERLINK("CSG0.html#group1A0", "1A⁰"), =HYPERLINK("CSG0.html#group8H0", "8H⁰"), =HYPERLINK("CSG6.html#group24G6", "24G⁶"),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=HYPERLINK("CSG7.html#group48O7", "48O⁷"), =HYPERLINK("CSG1.html#group16H1", "16H¹"), =HYPERLINK("CSG0.html#group6D0", "6D⁰")</f>
        <v/>
      </c>
      <c r="N4430" t="inlineStr"/>
    </row>
    <row r="4431">
      <c r="A4431" t="inlineStr">
        <is>
          <t>48H¹⁶</t>
        </is>
      </c>
      <c r="B4431" t="inlineStr"/>
      <c r="C4431" t="inlineStr">
        <is>
          <t>288</t>
        </is>
      </c>
      <c r="D4431" t="inlineStr">
        <is>
          <t>1</t>
        </is>
      </c>
      <c r="E4431" t="inlineStr">
        <is>
          <t>72</t>
        </is>
      </c>
      <c r="F4431" t="inlineStr">
        <is>
          <t>12</t>
        </is>
      </c>
      <c r="G4431" t="inlineStr">
        <is>
          <t>0</t>
        </is>
      </c>
      <c r="H4431" t="inlineStr">
        <is>
          <t>12⁸, 48⁴</t>
        </is>
      </c>
      <c r="I4431" t="n">
        <v>12</v>
      </c>
      <c r="J4431" t="inlineStr">
        <is>
          <t>2², 4⁷, 8⁵</t>
        </is>
      </c>
      <c r="K4431">
        <f>HYPERLINK("CSG6.html#group24G6", "24G⁶"), =HYPERLINK("CSG7.html#group48P7", "48P⁷"), =HYPERLINK("CSG7.html#group48AB7", "48AB⁷")</f>
        <v/>
      </c>
      <c r="L4431" t="inlineStr"/>
      <c r="M4431">
        <f>HYPERLINK("CSG0.html#group12C0", "12C⁰"), =HYPERLINK("CSG1.html#group16I1", "16I¹"), =HYPERLINK("CSG0.html#group8D0", "8D⁰"), =HYPERLINK("CSG0.html#group4C0", "4C⁰"), =HYPERLINK("CSG7.html#group48P7", "48P⁷"), =HYPERLINK("CSG0.html#group8B0", "8B⁰"), =HYPERLINK("CSG2.html#group24Q2", "24Q²"), =HYPERLINK("CSG0.html#group2B0", "2B⁰"), =HYPERLINK("CSG2.html#group24L2", "24L²"), =HYPERLINK("CSG0.html#group1A0", "1A⁰"), =HYPERLINK("CSG0.html#group8H0", "8H⁰"), =HYPERLINK("CSG6.html#group24G6", "24G⁶"), =HYPERLINK("CSG7.html#group48AB7", "48AB⁷"), =HYPERLINK("CSG0.html#group16E0", "16E⁰"), =HYPERLINK("CSG0.html#group12A0", "12A⁰"), =HYPERLINK("CSG4.html#group48E4", "48E⁴"), =HYPERLINK("CSG0.html#group24A0", "24A⁰"), =HYPERLINK("CSG0.html#group4A0", "4A⁰"), =HYPERLINK("CSG1.html#group16C1", "16C¹"), =HYPERLINK("CSG1.html#group24C1", "24C¹"), =HYPERLINK("CSG1.html#group12J1", "12J¹"), =HYPERLINK("CSG0.html#group4F0", "4F⁰"), =HYPERLINK("CSG3.html#group48D3", "48D³"), =HYPERLINK("CSG0.html#group3A0", "3A⁰"), =HYPERLINK("CSG0.html#group6D0", "6D⁰")</f>
        <v/>
      </c>
      <c r="N4431" t="inlineStr"/>
    </row>
    <row r="4432">
      <c r="A4432" t="inlineStr">
        <is>
          <t>48I¹⁶</t>
        </is>
      </c>
      <c r="B4432" t="inlineStr"/>
      <c r="C4432" t="inlineStr">
        <is>
          <t>288</t>
        </is>
      </c>
      <c r="D4432" t="inlineStr">
        <is>
          <t>2</t>
        </is>
      </c>
      <c r="E4432" t="inlineStr">
        <is>
          <t>72</t>
        </is>
      </c>
      <c r="F4432" t="inlineStr">
        <is>
          <t>12</t>
        </is>
      </c>
      <c r="G4432" t="inlineStr">
        <is>
          <t>0</t>
        </is>
      </c>
      <c r="H4432" t="inlineStr">
        <is>
          <t>12⁸, 48⁴</t>
        </is>
      </c>
      <c r="I4432" t="n">
        <v>12</v>
      </c>
      <c r="J4432" t="inlineStr">
        <is>
          <t>4⁶, 8¹⁵</t>
        </is>
      </c>
      <c r="K4432">
        <f>HYPERLINK("CSG6.html#group24G6", "24G⁶"), =HYPERLINK("CSG7.html#group48AB7", "48AB⁷"), =HYPERLINK("CSG7.html#group48AC7", "48AC⁷")</f>
        <v/>
      </c>
      <c r="L4432" t="inlineStr"/>
      <c r="M4432">
        <f>HYPERLINK("CSG0.html#group12C0", "12C⁰"), =HYPERLINK("CSG3.html#group48G3", "48G³"), =HYPERLINK("CSG7.html#group48AC7", "48AC⁷"), =HYPERLINK("CSG0.html#group8D0", "8D⁰"), =HYPERLINK("CSG4.html#group48H4", "48H⁴"), =HYPERLINK("CSG0.html#group4C0", "4C⁰"), =HYPERLINK("CSG0.html#group8B0", "8B⁰"), =HYPERLINK("CSG2.html#group24Q2", "24Q²"), =HYPERLINK("CSG0.html#group2B0", "2B⁰"), =HYPERLINK("CSG2.html#group24L2", "24L²"), =HYPERLINK("CSG0.html#group1A0", "1A⁰"), =HYPERLINK("CSG0.html#group8H0", "8H⁰"), =HYPERLINK("CSG6.html#group24G6", "24G⁶"), =HYPERLINK("CSG7.html#group48AB7", "48AB⁷"),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4432" t="inlineStr"/>
    </row>
    <row r="4433">
      <c r="A4433" t="inlineStr">
        <is>
          <t>48J¹⁶</t>
        </is>
      </c>
      <c r="B4433" t="inlineStr"/>
      <c r="C4433" t="inlineStr">
        <is>
          <t>288</t>
        </is>
      </c>
      <c r="D4433" t="inlineStr">
        <is>
          <t>2</t>
        </is>
      </c>
      <c r="E4433" t="inlineStr">
        <is>
          <t>144</t>
        </is>
      </c>
      <c r="F4433" t="inlineStr">
        <is>
          <t>8</t>
        </is>
      </c>
      <c r="G4433" t="inlineStr">
        <is>
          <t>0</t>
        </is>
      </c>
      <c r="H4433" t="inlineStr">
        <is>
          <t>12⁸, 24⁴, 48²</t>
        </is>
      </c>
      <c r="I4433" t="n">
        <v>14</v>
      </c>
      <c r="J4433" t="inlineStr">
        <is>
          <t>8¹², 16¹²</t>
        </is>
      </c>
      <c r="K4433">
        <f>HYPERLINK("CSG6.html#group24E6", "24E⁶")</f>
        <v/>
      </c>
      <c r="L4433" t="inlineStr"/>
      <c r="M4433">
        <f>HYPERLINK("CSG2.html#group12I2", "12I²"), =HYPERLINK("CSG0.html#group6B0", "6B⁰"), =HYPERLINK("CSG0.html#group12C0", "12C⁰"), =HYPERLINK("CSG6.html#group24E6", "24E⁶"), =HYPERLINK("CSG0.html#group4C0", "4C⁰"), =HYPERLINK("CSG0.html#group12F0", "12F⁰"), =HYPERLINK("CSG1.html#group12M1", "12M¹"), =HYPERLINK("CSG0.html#group2B0", "2B⁰"), =HYPERLINK("CSG0.html#group12H0", "12H⁰"), =HYPERLINK("CSG0.html#group1A0", "1A⁰"), =HYPERLINK("CSG0.html#group12A0", "12A⁰"), =HYPERLINK("CSG0.html#group4A0", "4A⁰"), =HYPERLINK("CSG3.html#group24R3", "24R³"), =HYPERLINK("CSG1.html#group12J1", "12J¹"), =HYPERLINK("CSG0.html#group12D0", "12D⁰"), =HYPERLINK("CSG0.html#group6H0", "6H⁰"), =HYPERLINK("CSG0.html#group3A0", "3A⁰"), =HYPERLINK("CSG0.html#group4F0", "4F⁰"), =HYPERLINK("CSG0.html#group6D0", "6D⁰")</f>
        <v/>
      </c>
      <c r="N4433" t="inlineStr"/>
    </row>
    <row r="4434">
      <c r="A4434" t="inlineStr">
        <is>
          <t>50A¹⁶</t>
        </is>
      </c>
      <c r="B4434" t="inlineStr"/>
      <c r="C4434" t="inlineStr">
        <is>
          <t>300</t>
        </is>
      </c>
      <c r="D4434" t="inlineStr">
        <is>
          <t>1</t>
        </is>
      </c>
      <c r="E4434" t="inlineStr">
        <is>
          <t>30</t>
        </is>
      </c>
      <c r="F4434" t="inlineStr">
        <is>
          <t>20</t>
        </is>
      </c>
      <c r="G4434" t="inlineStr">
        <is>
          <t>0</t>
        </is>
      </c>
      <c r="H4434" t="inlineStr">
        <is>
          <t>10⁵, 50⁵</t>
        </is>
      </c>
      <c r="I4434" t="n">
        <v>10</v>
      </c>
      <c r="J4434" t="inlineStr">
        <is>
          <t>2², 4⁴, 20²</t>
        </is>
      </c>
      <c r="K4434">
        <f>HYPERLINK("CSG4.html#group50A4", "50A⁴"), =HYPERLINK("CSG6.html#group25A6", "25A⁶")</f>
        <v/>
      </c>
      <c r="L4434" t="inlineStr"/>
      <c r="M4434">
        <f>HYPERLINK("CSG0.html#group5B0", "5B⁰"), =HYPERLINK("CSG2.html#group25A2", "25A²"), =HYPERLINK("CSG0.html#group10B0", "10B⁰"), =HYPERLINK("CSG0.html#group1A0", "1A⁰"), =HYPERLINK("CSG4.html#group50A4", "50A⁴"), =HYPERLINK("CSG6.html#group25A6", "25A⁶")</f>
        <v/>
      </c>
      <c r="N4434" t="inlineStr"/>
    </row>
    <row r="4435">
      <c r="A4435" t="inlineStr">
        <is>
          <t>50B¹⁶</t>
        </is>
      </c>
      <c r="B4435" t="inlineStr"/>
      <c r="C4435" t="inlineStr">
        <is>
          <t>300</t>
        </is>
      </c>
      <c r="D4435" t="inlineStr">
        <is>
          <t>1</t>
        </is>
      </c>
      <c r="E4435" t="inlineStr">
        <is>
          <t>30</t>
        </is>
      </c>
      <c r="F4435" t="inlineStr">
        <is>
          <t>20</t>
        </is>
      </c>
      <c r="G4435" t="inlineStr">
        <is>
          <t>0</t>
        </is>
      </c>
      <c r="H4435" t="inlineStr">
        <is>
          <t>10⁵, 50⁵</t>
        </is>
      </c>
      <c r="I4435" t="n">
        <v>10</v>
      </c>
      <c r="J4435" t="inlineStr">
        <is>
          <t>2², 4⁴, 20²</t>
        </is>
      </c>
      <c r="K4435">
        <f>HYPERLINK("CSG4.html#group50B4", "50B⁴"), =HYPERLINK("CSG6.html#group25B6", "25B⁶")</f>
        <v/>
      </c>
      <c r="L4435" t="inlineStr"/>
      <c r="M4435">
        <f>HYPERLINK("CSG0.html#group5B0", "5B⁰"), =HYPERLINK("CSG4.html#group50B4", "50B⁴"), =HYPERLINK("CSG6.html#group25B6", "25B⁶"), =HYPERLINK("CSG0.html#group1A0", "1A⁰"), =HYPERLINK("CSG2.html#group25B2", "25B²"), =HYPERLINK("CSG0.html#group10B0", "10B⁰")</f>
        <v/>
      </c>
      <c r="N4435" t="inlineStr"/>
    </row>
    <row r="4436">
      <c r="A4436" t="inlineStr">
        <is>
          <t>50C¹⁶</t>
        </is>
      </c>
      <c r="B4436" t="inlineStr"/>
      <c r="C4436" t="inlineStr">
        <is>
          <t>300</t>
        </is>
      </c>
      <c r="D4436" t="inlineStr">
        <is>
          <t>1</t>
        </is>
      </c>
      <c r="E4436" t="inlineStr">
        <is>
          <t>30</t>
        </is>
      </c>
      <c r="F4436" t="inlineStr">
        <is>
          <t>20</t>
        </is>
      </c>
      <c r="G4436" t="inlineStr">
        <is>
          <t>0</t>
        </is>
      </c>
      <c r="H4436" t="inlineStr">
        <is>
          <t>10⁵, 50⁵</t>
        </is>
      </c>
      <c r="I4436" t="n">
        <v>10</v>
      </c>
      <c r="J4436" t="inlineStr">
        <is>
          <t>2², 4⁴, 20²</t>
        </is>
      </c>
      <c r="K4436">
        <f>HYPERLINK("CSG4.html#group50C4", "50C⁴"), =HYPERLINK("CSG6.html#group25C6", "25C⁶")</f>
        <v/>
      </c>
      <c r="L4436" t="inlineStr"/>
      <c r="M4436">
        <f>HYPERLINK("CSG0.html#group5B0", "5B⁰"), =HYPERLINK("CSG6.html#group25C6", "25C⁶"), =HYPERLINK("CSG4.html#group50C4", "50C⁴"), =HYPERLINK("CSG0.html#group1A0", "1A⁰"), =HYPERLINK("CSG2.html#group25C2", "25C²"), =HYPERLINK("CSG0.html#group10B0", "10B⁰")</f>
        <v/>
      </c>
      <c r="N4436" t="inlineStr"/>
    </row>
    <row r="4437">
      <c r="A4437" t="inlineStr">
        <is>
          <t>50D¹⁶</t>
        </is>
      </c>
      <c r="B4437" t="inlineStr"/>
      <c r="C4437" t="inlineStr">
        <is>
          <t>300</t>
        </is>
      </c>
      <c r="D4437" t="inlineStr">
        <is>
          <t>1</t>
        </is>
      </c>
      <c r="E4437" t="inlineStr">
        <is>
          <t>30</t>
        </is>
      </c>
      <c r="F4437" t="inlineStr">
        <is>
          <t>20</t>
        </is>
      </c>
      <c r="G4437" t="inlineStr">
        <is>
          <t>0</t>
        </is>
      </c>
      <c r="H4437" t="inlineStr">
        <is>
          <t>10⁵, 50⁵</t>
        </is>
      </c>
      <c r="I4437" t="n">
        <v>10</v>
      </c>
      <c r="J4437" t="inlineStr">
        <is>
          <t>2², 4⁴, 20²</t>
        </is>
      </c>
      <c r="K4437">
        <f>HYPERLINK("CSG4.html#group50D4", "50D⁴"), =HYPERLINK("CSG6.html#group25D6", "25D⁶")</f>
        <v/>
      </c>
      <c r="L4437" t="inlineStr"/>
      <c r="M4437">
        <f>HYPERLINK("CSG0.html#group5B0", "5B⁰"), =HYPERLINK("CSG4.html#group50D4", "50D⁴"), =HYPERLINK("CSG2.html#group25D2", "25D²"), =HYPERLINK("CSG0.html#group1A0", "1A⁰"), =HYPERLINK("CSG6.html#group25D6", "25D⁶"), =HYPERLINK("CSG0.html#group10B0", "10B⁰")</f>
        <v/>
      </c>
      <c r="N4437" t="inlineStr"/>
    </row>
    <row r="4438">
      <c r="A4438" t="inlineStr">
        <is>
          <t>52A¹⁶</t>
        </is>
      </c>
      <c r="B4438" t="inlineStr"/>
      <c r="C4438" t="inlineStr">
        <is>
          <t>252</t>
        </is>
      </c>
      <c r="D4438" t="inlineStr">
        <is>
          <t>1</t>
        </is>
      </c>
      <c r="E4438" t="inlineStr">
        <is>
          <t>42</t>
        </is>
      </c>
      <c r="F4438" t="inlineStr">
        <is>
          <t>0</t>
        </is>
      </c>
      <c r="G4438" t="inlineStr">
        <is>
          <t>0</t>
        </is>
      </c>
      <c r="H4438" t="inlineStr">
        <is>
          <t>2³, 4³, 26³, 52³</t>
        </is>
      </c>
      <c r="I4438" t="n">
        <v>12</v>
      </c>
      <c r="J4438" t="inlineStr">
        <is>
          <t>1⁶, 12³</t>
        </is>
      </c>
      <c r="K4438">
        <f>HYPERLINK("CSG4.html#group26C4", "26C⁴"), =HYPERLINK("CSG6.html#group52A6", "52A⁶")</f>
        <v/>
      </c>
      <c r="L4438" t="inlineStr"/>
      <c r="M4438">
        <f>HYPERLINK("CSG0.html#group13A0", "13A⁰"), =HYPERLINK("CSG4.html#group26C4", "26C⁴"), =HYPERLINK("CSG0.html#group13C0", "13C⁰"), =HYPERLINK("CSG0.html#group2B0", "2B⁰"), =HYPERLINK("CSG6.html#group52A6", "52A⁶"), =HYPERLINK("CSG0.html#group1A0", "1A⁰"), =HYPERLINK("CSG2.html#group26A2", "26A²")</f>
        <v/>
      </c>
      <c r="N4438" t="inlineStr"/>
    </row>
    <row r="4439">
      <c r="A4439" t="inlineStr">
        <is>
          <t>54A¹⁶</t>
        </is>
      </c>
      <c r="B4439" t="inlineStr"/>
      <c r="C4439" t="inlineStr">
        <is>
          <t>216</t>
        </is>
      </c>
      <c r="D4439" t="inlineStr">
        <is>
          <t>1</t>
        </is>
      </c>
      <c r="E4439" t="inlineStr">
        <is>
          <t>12</t>
        </is>
      </c>
      <c r="F4439" t="inlineStr">
        <is>
          <t>0</t>
        </is>
      </c>
      <c r="G4439" t="inlineStr">
        <is>
          <t>0</t>
        </is>
      </c>
      <c r="H4439" t="inlineStr">
        <is>
          <t>18³, 54³</t>
        </is>
      </c>
      <c r="I4439" t="n">
        <v>6</v>
      </c>
      <c r="J4439" t="inlineStr">
        <is>
          <t>1², 2², 6¹</t>
        </is>
      </c>
      <c r="K4439">
        <f>HYPERLINK("CSG4.html#group18E4", "18E⁴"), =HYPERLINK("CSG7.html#group27A7", "27A⁷")</f>
        <v/>
      </c>
      <c r="L4439" t="inlineStr"/>
      <c r="M4439">
        <f>HYPERLINK("CSG7.html#group27A7", "27A⁷"), =HYPERLINK("CSG0.html#group3B0", "3B⁰"), =HYPERLINK("CSG0.html#group2A0", "2A⁰"), =HYPERLINK("CSG0.html#group6B0", "6B⁰"), =HYPERLINK("CSG0.html#group18B0", "18B⁰"), =HYPERLINK("CSG0.html#group6C0", "6C⁰"), =HYPERLINK("CSG0.html#group9B0", "9B⁰"), =HYPERLINK("CSG0.html#group9C0", "9C⁰"), =HYPERLINK("CSG0.html#group1A0", "1A⁰"), =HYPERLINK("CSG2.html#group18B2", "18B²"), =HYPERLINK("CSG1.html#group6D1", "6D¹"), =HYPERLINK("CSG0.html#group6E0", "6E⁰"), =HYPERLINK("CSG1.html#group6B1", "6B¹"), =HYPERLINK("CSG1.html#group18C1", "18C¹"), =HYPERLINK("CSG1.html#group9A1", "9A¹"), =HYPERLINK("CSG0.html#group3C0", "3C⁰"), =HYPERLINK("CSG1.html#group9C1", "9C¹"), =HYPERLINK("CSG1.html#group6A1", "6A¹"), =HYPERLINK("CSG4.html#group18E4", "18E⁴"), =HYPERLINK("CSG0.html#group3A0", "3A⁰"), =HYPERLINK("CSG0.html#group3D0", "3D⁰")</f>
        <v/>
      </c>
      <c r="N4439" t="inlineStr"/>
    </row>
    <row r="4440">
      <c r="A4440" t="inlineStr">
        <is>
          <t>54B¹⁶</t>
        </is>
      </c>
      <c r="B4440" t="inlineStr"/>
      <c r="C4440" t="inlineStr">
        <is>
          <t>216</t>
        </is>
      </c>
      <c r="D4440" t="inlineStr">
        <is>
          <t>1</t>
        </is>
      </c>
      <c r="E4440" t="inlineStr">
        <is>
          <t>12</t>
        </is>
      </c>
      <c r="F4440" t="inlineStr">
        <is>
          <t>0</t>
        </is>
      </c>
      <c r="G4440" t="inlineStr">
        <is>
          <t>0</t>
        </is>
      </c>
      <c r="H4440" t="inlineStr">
        <is>
          <t>18³, 54³</t>
        </is>
      </c>
      <c r="I4440" t="n">
        <v>6</v>
      </c>
      <c r="J4440" t="inlineStr">
        <is>
          <t>1², 2², 6¹</t>
        </is>
      </c>
      <c r="K4440">
        <f>HYPERLINK("CSG2.html#group18N2", "18N²"), =HYPERLINK("CSG2.html#group54A2", "54A²"), =HYPERLINK("CSG6.html#group54A6", "54A⁶"), =HYPERLINK("CSG7.html#group27B7", "27B⁷")</f>
        <v/>
      </c>
      <c r="L4440" t="inlineStr"/>
      <c r="M4440">
        <f>HYPERLINK("CSG0.html#group3B0", "3B⁰"), =HYPERLINK("CSG0.html#group2A0", "2A⁰"), =HYPERLINK("CSG7.html#group27B7", "27B⁷"), =HYPERLINK("CSG0.html#group9J0", "9J⁰"), =HYPERLINK("CSG0.html#group18B0", "18B⁰"), =HYPERLINK("CSG6.html#group54A6", "54A⁶"), =HYPERLINK("CSG2.html#group18N2", "18N²"), =HYPERLINK("CSG0.html#group6C0", "6C⁰"), =HYPERLINK("CSG1.html#group27B1", "27B¹"), =HYPERLINK("CSG2.html#group54A2", "54A²"), =HYPERLINK("CSG0.html#group9C0", "9C⁰"), =HYPERLINK("CSG0.html#group1A0", "1A⁰"), =HYPERLINK("CSG3.html#group27A3", "27A³")</f>
        <v/>
      </c>
      <c r="N4440" t="inlineStr"/>
    </row>
    <row r="4441">
      <c r="A4441" t="inlineStr">
        <is>
          <t>54C¹⁶</t>
        </is>
      </c>
      <c r="B4441" t="inlineStr"/>
      <c r="C4441" t="inlineStr">
        <is>
          <t>216</t>
        </is>
      </c>
      <c r="D4441" t="inlineStr">
        <is>
          <t>1</t>
        </is>
      </c>
      <c r="E4441" t="inlineStr">
        <is>
          <t>12</t>
        </is>
      </c>
      <c r="F4441" t="inlineStr">
        <is>
          <t>0</t>
        </is>
      </c>
      <c r="G4441" t="inlineStr">
        <is>
          <t>0</t>
        </is>
      </c>
      <c r="H4441" t="inlineStr">
        <is>
          <t>18³, 54³</t>
        </is>
      </c>
      <c r="I4441" t="n">
        <v>6</v>
      </c>
      <c r="J4441" t="inlineStr">
        <is>
          <t>1², 2², 6¹</t>
        </is>
      </c>
      <c r="K4441">
        <f>HYPERLINK("CSG2.html#group18N2", "18N²"), =HYPERLINK("CSG4.html#group54B4", "54B⁴"), =HYPERLINK("CSG6.html#group54A6", "54A⁶"), =HYPERLINK("CSG7.html#group27C7", "27C⁷")</f>
        <v/>
      </c>
      <c r="L4441" t="inlineStr"/>
      <c r="M4441">
        <f>HYPERLINK("CSG0.html#group3B0", "3B⁰"), =HYPERLINK("CSG0.html#group2A0", "2A⁰"), =HYPERLINK("CSG0.html#group9J0", "9J⁰"), =HYPERLINK("CSG2.html#group27B2", "27B²"), =HYPERLINK("CSG0.html#group18B0", "18B⁰"), =HYPERLINK("CSG6.html#group54A6", "54A⁶"), =HYPERLINK("CSG2.html#group18N2", "18N²"), =HYPERLINK("CSG4.html#group54B4", "54B⁴"), =HYPERLINK("CSG0.html#group6C0", "6C⁰"), =HYPERLINK("CSG7.html#group27C7", "27C⁷"), =HYPERLINK("CSG0.html#group9C0", "9C⁰"), =HYPERLINK("CSG0.html#group1A0", "1A⁰"), =HYPERLINK("CSG3.html#group27A3", "27A³")</f>
        <v/>
      </c>
      <c r="N4441" t="inlineStr"/>
    </row>
    <row r="4442">
      <c r="A4442" t="inlineStr">
        <is>
          <t>54D¹⁶</t>
        </is>
      </c>
      <c r="B4442" t="inlineStr"/>
      <c r="C4442" t="inlineStr">
        <is>
          <t>216</t>
        </is>
      </c>
      <c r="D4442" t="inlineStr">
        <is>
          <t>1</t>
        </is>
      </c>
      <c r="E4442" t="inlineStr">
        <is>
          <t>12</t>
        </is>
      </c>
      <c r="F4442" t="inlineStr">
        <is>
          <t>0</t>
        </is>
      </c>
      <c r="G4442" t="inlineStr">
        <is>
          <t>0</t>
        </is>
      </c>
      <c r="H4442" t="inlineStr">
        <is>
          <t>18³, 54³</t>
        </is>
      </c>
      <c r="I4442" t="n">
        <v>6</v>
      </c>
      <c r="J4442" t="inlineStr">
        <is>
          <t>1², 2², 6¹</t>
        </is>
      </c>
      <c r="K4442">
        <f>HYPERLINK("CSG2.html#group54A2", "54A²"), =HYPERLINK("CSG4.html#group18C4", "18C⁴"), =HYPERLINK("CSG5.html#group54C5", "54C⁵"), =HYPERLINK("CSG8.html#group54A8", "54A⁸")</f>
        <v/>
      </c>
      <c r="L4442" t="inlineStr"/>
      <c r="M4442">
        <f>HYPERLINK("CSG0.html#group3B0", "3B⁰"), =HYPERLINK("CSG0.html#group2A0", "2A⁰"), =HYPERLINK("CSG0.html#group18B0", "18B⁰"), =HYPERLINK("CSG0.html#group6I0", "6I⁰"), =HYPERLINK("CSG0.html#group6C0", "6C⁰"), =HYPERLINK("CSG2.html#group18D2", "18D²"), =HYPERLINK("CSG1.html#group27B1", "27B¹"), =HYPERLINK("CSG0.html#group2B0", "2B⁰"), =HYPERLINK("CSG2.html#group54A2", "54A²"), =HYPERLINK("CSG0.html#group9C0", "9C⁰"), =HYPERLINK("CSG0.html#group1A0", "1A⁰"), =HYPERLINK("CSG2.html#group18C2", "18C²"), =HYPERLINK("CSG5.html#group54C5", "54C⁵"), =HYPERLINK("CSG0.html#group6F0", "6F⁰"), =HYPERLINK("CSG0.html#group2C0", "2C⁰"), =HYPERLINK("CSG8.html#group54A8", "54A⁸"), =HYPERLINK("CSG4.html#group18C4", "18C⁴")</f>
        <v/>
      </c>
      <c r="N4442" t="inlineStr"/>
    </row>
    <row r="4443">
      <c r="A4443" t="inlineStr">
        <is>
          <t>54E¹⁶</t>
        </is>
      </c>
      <c r="B4443" t="inlineStr"/>
      <c r="C4443" t="inlineStr">
        <is>
          <t>216</t>
        </is>
      </c>
      <c r="D4443" t="inlineStr">
        <is>
          <t>1</t>
        </is>
      </c>
      <c r="E4443" t="inlineStr">
        <is>
          <t>12</t>
        </is>
      </c>
      <c r="F4443" t="inlineStr">
        <is>
          <t>0</t>
        </is>
      </c>
      <c r="G4443" t="inlineStr">
        <is>
          <t>0</t>
        </is>
      </c>
      <c r="H4443" t="inlineStr">
        <is>
          <t>18³, 54³</t>
        </is>
      </c>
      <c r="I4443" t="n">
        <v>6</v>
      </c>
      <c r="J4443" t="inlineStr">
        <is>
          <t>1², 2², 6¹</t>
        </is>
      </c>
      <c r="K4443">
        <f>HYPERLINK("CSG3.html#group54C3", "54C³"), =HYPERLINK("CSG4.html#group18C4", "18C⁴"), =HYPERLINK("CSG6.html#group54A6", "54A⁶"), =HYPERLINK("CSG8.html#group54C8", "54C⁸")</f>
        <v/>
      </c>
      <c r="L4443" t="inlineStr"/>
      <c r="M4443">
        <f>HYPERLINK("CSG0.html#group3B0", "3B⁰"), =HYPERLINK("CSG0.html#group2A0", "2A⁰"), =HYPERLINK("CSG0.html#group18B0", "18B⁰"), =HYPERLINK("CSG6.html#group54A6", "54A⁶"), =HYPERLINK("CSG0.html#group6I0", "6I⁰"), =HYPERLINK("CSG0.html#group6C0", "6C⁰"), =HYPERLINK("CSG2.html#group18D2", "18D²"), =HYPERLINK("CSG0.html#group2B0", "2B⁰"), =HYPERLINK("CSG0.html#group9C0", "9C⁰"), =HYPERLINK("CSG0.html#group1A0", "1A⁰"), =HYPERLINK("CSG3.html#group54C3", "54C³"), =HYPERLINK("CSG2.html#group18C2", "18C²"), =HYPERLINK("CSG8.html#group54C8", "54C⁸"), =HYPERLINK("CSG0.html#group6F0", "6F⁰"), =HYPERLINK("CSG0.html#group2C0", "2C⁰"), =HYPERLINK("CSG3.html#group27A3", "27A³"), =HYPERLINK("CSG4.html#group18C4", "18C⁴")</f>
        <v/>
      </c>
      <c r="N4443" t="inlineStr"/>
    </row>
    <row r="4444">
      <c r="A4444" t="inlineStr">
        <is>
          <t>54F¹⁶</t>
        </is>
      </c>
      <c r="B4444" t="inlineStr"/>
      <c r="C4444" t="inlineStr">
        <is>
          <t>216</t>
        </is>
      </c>
      <c r="D4444" t="inlineStr">
        <is>
          <t>1</t>
        </is>
      </c>
      <c r="E4444" t="inlineStr">
        <is>
          <t>12</t>
        </is>
      </c>
      <c r="F4444" t="inlineStr">
        <is>
          <t>0</t>
        </is>
      </c>
      <c r="G4444" t="inlineStr">
        <is>
          <t>0</t>
        </is>
      </c>
      <c r="H4444" t="inlineStr">
        <is>
          <t>18³, 54³</t>
        </is>
      </c>
      <c r="I4444" t="n">
        <v>6</v>
      </c>
      <c r="J4444" t="inlineStr">
        <is>
          <t>1², 2², 6¹</t>
        </is>
      </c>
      <c r="K4444">
        <f>HYPERLINK("CSG4.html#group18C4", "18C⁴"), =HYPERLINK("CSG4.html#group54B4", "54B⁴"), =HYPERLINK("CSG4.html#group54D4", "54D⁴"), =HYPERLINK("CSG8.html#group54B8", "54B⁸")</f>
        <v/>
      </c>
      <c r="L4444" t="inlineStr"/>
      <c r="M4444">
        <f>HYPERLINK("CSG0.html#group3B0", "3B⁰"), =HYPERLINK("CSG0.html#group2A0", "2A⁰"), =HYPERLINK("CSG0.html#group18B0", "18B⁰"), =HYPERLINK("CSG0.html#group6I0", "6I⁰"), =HYPERLINK("CSG0.html#group6C0", "6C⁰"), =HYPERLINK("CSG4.html#group54B4", "54B⁴"), =HYPERLINK("CSG4.html#group54D4", "54D⁴"), =HYPERLINK("CSG2.html#group18D2", "18D²"), =HYPERLINK("CSG0.html#group2B0", "2B⁰"), =HYPERLINK("CSG0.html#group9C0", "9C⁰"), =HYPERLINK("CSG0.html#group1A0", "1A⁰"), =HYPERLINK("CSG2.html#group27B2", "27B²"), =HYPERLINK("CSG2.html#group18C2", "18C²"), =HYPERLINK("CSG8.html#group54B8", "54B⁸"), =HYPERLINK("CSG0.html#group6F0", "6F⁰"), =HYPERLINK("CSG0.html#group2C0", "2C⁰"), =HYPERLINK("CSG4.html#group18C4", "18C⁴")</f>
        <v/>
      </c>
      <c r="N4444" t="inlineStr"/>
    </row>
    <row r="4445">
      <c r="A4445" t="inlineStr">
        <is>
          <t>54G¹⁶</t>
        </is>
      </c>
      <c r="B4445" t="inlineStr"/>
      <c r="C4445" t="inlineStr">
        <is>
          <t>216</t>
        </is>
      </c>
      <c r="D4445" t="inlineStr">
        <is>
          <t>1</t>
        </is>
      </c>
      <c r="E4445" t="inlineStr">
        <is>
          <t>12</t>
        </is>
      </c>
      <c r="F4445" t="inlineStr">
        <is>
          <t>0</t>
        </is>
      </c>
      <c r="G4445" t="inlineStr">
        <is>
          <t>0</t>
        </is>
      </c>
      <c r="H4445" t="inlineStr">
        <is>
          <t>18³, 54³</t>
        </is>
      </c>
      <c r="I4445" t="n">
        <v>6</v>
      </c>
      <c r="J4445" t="inlineStr">
        <is>
          <t>1², 2², 6¹</t>
        </is>
      </c>
      <c r="K4445">
        <f>HYPERLINK("CSG2.html#group54A2", "54A²"), =HYPERLINK("CSG4.html#group18E4", "18E⁴"), =HYPERLINK("CSG4.html#group54B4", "54B⁴"), =HYPERLINK("CSG6.html#group54A6", "54A⁶"), =HYPERLINK("CSG7.html#group27D7", "27D⁷")</f>
        <v/>
      </c>
      <c r="L4445" t="inlineStr"/>
      <c r="M4445">
        <f>HYPERLINK("CSG0.html#group3B0", "3B⁰"), =HYPERLINK("CSG0.html#group2A0", "2A⁰"), =HYPERLINK("CSG0.html#group6B0", "6B⁰"), =HYPERLINK("CSG0.html#group18B0", "18B⁰"), =HYPERLINK("CSG6.html#group54A6", "54A⁶"), =HYPERLINK("CSG0.html#group6C0", "6C⁰"), =HYPERLINK("CSG4.html#group54B4", "54B⁴"), =HYPERLINK("CSG0.html#group9B0", "9B⁰"), =HYPERLINK("CSG1.html#group27B1", "27B¹"), =HYPERLINK("CSG2.html#group54A2", "54A²"), =HYPERLINK("CSG0.html#group9C0", "9C⁰"), =HYPERLINK("CSG0.html#group1A0", "1A⁰"), =HYPERLINK("CSG2.html#group18B2", "18B²"), =HYPERLINK("CSG1.html#group6D1", "6D¹"), =HYPERLINK("CSG2.html#group27B2", "27B²"), =HYPERLINK("CSG0.html#group6E0", "6E⁰"), =HYPERLINK("CSG1.html#group6B1", "6B¹"), =HYPERLINK("CSG1.html#group18C1", "18C¹"), =HYPERLINK("CSG1.html#group9A1", "9A¹"), =HYPERLINK("CSG7.html#group27D7", "27D⁷"), =HYPERLINK("CSG0.html#group3C0", "3C⁰"), =HYPERLINK("CSG1.html#group9C1", "9C¹"), =HYPERLINK("CSG1.html#group6A1", "6A¹"), =HYPERLINK("CSG4.html#group18E4", "18E⁴"), =HYPERLINK("CSG0.html#group3A0", "3A⁰"), =HYPERLINK("CSG0.html#group3D0", "3D⁰"), =HYPERLINK("CSG3.html#group27A3", "27A³")</f>
        <v/>
      </c>
      <c r="N4445" t="inlineStr"/>
    </row>
    <row r="4446">
      <c r="A4446" t="inlineStr">
        <is>
          <t>54H¹⁶</t>
        </is>
      </c>
      <c r="B4446" t="inlineStr"/>
      <c r="C4446" t="inlineStr">
        <is>
          <t>216</t>
        </is>
      </c>
      <c r="D4446" t="inlineStr">
        <is>
          <t>1</t>
        </is>
      </c>
      <c r="E4446" t="inlineStr">
        <is>
          <t>24</t>
        </is>
      </c>
      <c r="F4446" t="inlineStr">
        <is>
          <t>0</t>
        </is>
      </c>
      <c r="G4446" t="inlineStr">
        <is>
          <t>0</t>
        </is>
      </c>
      <c r="H4446" t="inlineStr">
        <is>
          <t>18³, 54³</t>
        </is>
      </c>
      <c r="I4446" t="n">
        <v>6</v>
      </c>
      <c r="J4446" t="inlineStr">
        <is>
          <t>2⁶, 6²</t>
        </is>
      </c>
      <c r="K4446">
        <f>HYPERLINK("CSG4.html#group18E4", "18E⁴")</f>
        <v/>
      </c>
      <c r="L4446" t="inlineStr"/>
      <c r="M4446">
        <f>HYPERLINK("CSG0.html#group3B0", "3B⁰"), =HYPERLINK("CSG0.html#group2A0", "2A⁰"), =HYPERLINK("CSG0.html#group6B0", "6B⁰"), =HYPERLINK("CSG0.html#group18B0", "18B⁰"), =HYPERLINK("CSG0.html#group6C0", "6C⁰"), =HYPERLINK("CSG0.html#group9B0", "9B⁰"), =HYPERLINK("CSG0.html#group9C0", "9C⁰"), =HYPERLINK("CSG0.html#group1A0", "1A⁰"), =HYPERLINK("CSG2.html#group18B2", "18B²"), =HYPERLINK("CSG1.html#group6D1", "6D¹"), =HYPERLINK("CSG0.html#group6E0", "6E⁰"), =HYPERLINK("CSG1.html#group6B1", "6B¹"), =HYPERLINK("CSG1.html#group18C1", "18C¹"), =HYPERLINK("CSG1.html#group9A1", "9A¹"), =HYPERLINK("CSG0.html#group3C0", "3C⁰"), =HYPERLINK("CSG1.html#group9C1", "9C¹"), =HYPERLINK("CSG1.html#group6A1", "6A¹"), =HYPERLINK("CSG4.html#group18E4", "18E⁴"), =HYPERLINK("CSG0.html#group3A0", "3A⁰"), =HYPERLINK("CSG0.html#group3D0", "3D⁰")</f>
        <v/>
      </c>
      <c r="N4446" t="inlineStr"/>
    </row>
    <row r="4447">
      <c r="A4447" t="inlineStr">
        <is>
          <t>54I¹⁶</t>
        </is>
      </c>
      <c r="B4447" t="inlineStr"/>
      <c r="C4447" t="inlineStr">
        <is>
          <t>216</t>
        </is>
      </c>
      <c r="D4447" t="inlineStr">
        <is>
          <t>1</t>
        </is>
      </c>
      <c r="E4447" t="inlineStr">
        <is>
          <t>24</t>
        </is>
      </c>
      <c r="F4447" t="inlineStr">
        <is>
          <t>0</t>
        </is>
      </c>
      <c r="G4447" t="inlineStr">
        <is>
          <t>0</t>
        </is>
      </c>
      <c r="H4447" t="inlineStr">
        <is>
          <t>18³, 54³</t>
        </is>
      </c>
      <c r="I4447" t="n">
        <v>6</v>
      </c>
      <c r="J4447" t="inlineStr">
        <is>
          <t>2⁶, 6²</t>
        </is>
      </c>
      <c r="K4447">
        <f>HYPERLINK("CSG2.html#group18N2", "18N²"), =HYPERLINK("CSG4.html#group54D4", "54D⁴"), =HYPERLINK("CSG5.html#group54C5", "54C⁵")</f>
        <v/>
      </c>
      <c r="L4447" t="inlineStr"/>
      <c r="M4447">
        <f>HYPERLINK("CSG0.html#group3B0", "3B⁰"), =HYPERLINK("CSG0.html#group2A0", "2A⁰"), =HYPERLINK("CSG0.html#group9J0", "9J⁰"), =HYPERLINK("CSG0.html#group18B0", "18B⁰"), =HYPERLINK("CSG2.html#group18N2", "18N²"), =HYPERLINK("CSG0.html#group6C0", "6C⁰"), =HYPERLINK("CSG4.html#group54D4", "54D⁴"), =HYPERLINK("CSG5.html#group54C5", "54C⁵"), =HYPERLINK("CSG0.html#group9C0", "9C⁰"), =HYPERLINK("CSG0.html#group1A0", "1A⁰")</f>
        <v/>
      </c>
      <c r="N4447" t="inlineStr"/>
    </row>
    <row r="4448">
      <c r="A4448" t="inlineStr">
        <is>
          <t>54J¹⁶</t>
        </is>
      </c>
      <c r="B4448" t="inlineStr"/>
      <c r="C4448" t="inlineStr">
        <is>
          <t>216</t>
        </is>
      </c>
      <c r="D4448" t="inlineStr">
        <is>
          <t>1</t>
        </is>
      </c>
      <c r="E4448" t="inlineStr">
        <is>
          <t>24</t>
        </is>
      </c>
      <c r="F4448" t="inlineStr">
        <is>
          <t>0</t>
        </is>
      </c>
      <c r="G4448" t="inlineStr">
        <is>
          <t>0</t>
        </is>
      </c>
      <c r="H4448" t="inlineStr">
        <is>
          <t>18³, 54³</t>
        </is>
      </c>
      <c r="I4448" t="n">
        <v>6</v>
      </c>
      <c r="J4448" t="inlineStr">
        <is>
          <t>2⁶, 6²</t>
        </is>
      </c>
      <c r="K4448">
        <f>HYPERLINK("CSG1.html#group18K1", "18K¹"), =HYPERLINK("CSG4.html#group54D4", "54D⁴"), =HYPERLINK("CSG5.html#group54C5", "54C⁵"), =HYPERLINK("CSG6.html#group54A6", "54A⁶")</f>
        <v/>
      </c>
      <c r="L4448" t="inlineStr"/>
      <c r="M4448">
        <f>HYPERLINK("CSG0.html#group3B0", "3B⁰"), =HYPERLINK("CSG0.html#group2A0", "2A⁰"), =HYPERLINK("CSG0.html#group18C0", "18C⁰"), =HYPERLINK("CSG0.html#group6A0", "6A⁰"), =HYPERLINK("CSG1.html#group18K1", "18K¹"), =HYPERLINK("CSG6.html#group54A6", "54A⁶"), =HYPERLINK("CSG0.html#group18B0", "18B⁰"), =HYPERLINK("CSG0.html#group6C0", "6C⁰"), =HYPERLINK("CSG0.html#group6J0", "6J⁰"), =HYPERLINK("CSG4.html#group54D4", "54D⁴"), =HYPERLINK("CSG5.html#group54C5", "54C⁵"), =HYPERLINK("CSG0.html#group9C0", "9C⁰"), =HYPERLINK("CSG0.html#group1A0", "1A⁰"), =HYPERLINK("CSG3.html#group27A3", "27A³"), =HYPERLINK("CSG1.html#group18D1", "18D¹")</f>
        <v/>
      </c>
      <c r="N4448" t="inlineStr"/>
    </row>
    <row r="4449">
      <c r="A4449" t="inlineStr">
        <is>
          <t>54K¹⁶</t>
        </is>
      </c>
      <c r="B4449" t="inlineStr"/>
      <c r="C4449" t="inlineStr">
        <is>
          <t>216</t>
        </is>
      </c>
      <c r="D4449" t="inlineStr">
        <is>
          <t>1</t>
        </is>
      </c>
      <c r="E4449" t="inlineStr">
        <is>
          <t>24</t>
        </is>
      </c>
      <c r="F4449" t="inlineStr">
        <is>
          <t>0</t>
        </is>
      </c>
      <c r="G4449" t="inlineStr">
        <is>
          <t>0</t>
        </is>
      </c>
      <c r="H4449" t="inlineStr">
        <is>
          <t>18³, 54³</t>
        </is>
      </c>
      <c r="I4449" t="n">
        <v>6</v>
      </c>
      <c r="J4449" t="inlineStr">
        <is>
          <t>2⁶, 6²</t>
        </is>
      </c>
      <c r="K4449">
        <f>HYPERLINK("CSG3.html#group54C3", "54C³"), =HYPERLINK("CSG4.html#group18E4", "18E⁴"), =HYPERLINK("CSG4.html#group54D4", "54D⁴"), =HYPERLINK("CSG5.html#group54C5", "54C⁵")</f>
        <v/>
      </c>
      <c r="L4449" t="inlineStr"/>
      <c r="M4449">
        <f>HYPERLINK("CSG0.html#group3B0", "3B⁰"), =HYPERLINK("CSG0.html#group2A0", "2A⁰"), =HYPERLINK("CSG0.html#group6B0", "6B⁰"), =HYPERLINK("CSG0.html#group18B0", "18B⁰"), =HYPERLINK("CSG0.html#group6C0", "6C⁰"), =HYPERLINK("CSG4.html#group54D4", "54D⁴"), =HYPERLINK("CSG0.html#group9B0", "9B⁰"), =HYPERLINK("CSG0.html#group9C0", "9C⁰"), =HYPERLINK("CSG0.html#group1A0", "1A⁰"), =HYPERLINK("CSG3.html#group54C3", "54C³"), =HYPERLINK("CSG2.html#group18B2", "18B²"), =HYPERLINK("CSG1.html#group6D1", "6D¹"), =HYPERLINK("CSG0.html#group6E0", "6E⁰"), =HYPERLINK("CSG1.html#group6B1", "6B¹"), =HYPERLINK("CSG1.html#group18C1", "18C¹"), =HYPERLINK("CSG1.html#group9A1", "9A¹"), =HYPERLINK("CSG0.html#group3C0", "3C⁰"), =HYPERLINK("CSG1.html#group9C1", "9C¹"), =HYPERLINK("CSG1.html#group6A1", "6A¹"), =HYPERLINK("CSG5.html#group54C5", "54C⁵"), =HYPERLINK("CSG4.html#group18E4", "18E⁴"), =HYPERLINK("CSG0.html#group3A0", "3A⁰"), =HYPERLINK("CSG0.html#group3D0", "3D⁰")</f>
        <v/>
      </c>
      <c r="N4449" t="inlineStr"/>
    </row>
    <row r="4450">
      <c r="A4450" t="inlineStr">
        <is>
          <t>54L¹⁶</t>
        </is>
      </c>
      <c r="B4450" t="inlineStr"/>
      <c r="C4450" t="inlineStr">
        <is>
          <t>216</t>
        </is>
      </c>
      <c r="D4450" t="inlineStr">
        <is>
          <t>1</t>
        </is>
      </c>
      <c r="E4450" t="inlineStr">
        <is>
          <t>24</t>
        </is>
      </c>
      <c r="F4450" t="inlineStr">
        <is>
          <t>0</t>
        </is>
      </c>
      <c r="G4450" t="inlineStr">
        <is>
          <t>0</t>
        </is>
      </c>
      <c r="H4450" t="inlineStr">
        <is>
          <t>18³, 54³</t>
        </is>
      </c>
      <c r="I4450" t="n">
        <v>6</v>
      </c>
      <c r="J4450" t="inlineStr">
        <is>
          <t>1⁴, 2⁴, 6²</t>
        </is>
      </c>
      <c r="K4450">
        <f>HYPERLINK("CSG2.html#group18O2", "18O²"), =HYPERLINK("CSG4.html#group54B4", "54B⁴"), =HYPERLINK("CSG5.html#group54C5", "54C⁵")</f>
        <v/>
      </c>
      <c r="L4450" t="inlineStr"/>
      <c r="M4450">
        <f>HYPERLINK("CSG0.html#group3B0", "3B⁰"), =HYPERLINK("CSG0.html#group2A0", "2A⁰"), =HYPERLINK("CSG2.html#group27B2", "27B²"), =HYPERLINK("CSG0.html#group18B0", "18B⁰"), =HYPERLINK("CSG0.html#group6C0", "6C⁰"), =HYPERLINK("CSG4.html#group54B4", "54B⁴"), =HYPERLINK("CSG0.html#group9C0", "9C⁰"), =HYPERLINK("CSG5.html#group54C5", "54C⁵"), =HYPERLINK("CSG2.html#group18O2", "18O²"), =HYPERLINK("CSG0.html#group1A0", "1A⁰")</f>
        <v/>
      </c>
      <c r="N4450" t="inlineStr"/>
    </row>
    <row r="4451">
      <c r="A4451" t="inlineStr">
        <is>
          <t>54M¹⁶</t>
        </is>
      </c>
      <c r="B4451" t="inlineStr"/>
      <c r="C4451" t="inlineStr">
        <is>
          <t>216</t>
        </is>
      </c>
      <c r="D4451" t="inlineStr">
        <is>
          <t>1</t>
        </is>
      </c>
      <c r="E4451" t="inlineStr">
        <is>
          <t>24</t>
        </is>
      </c>
      <c r="F4451" t="inlineStr">
        <is>
          <t>0</t>
        </is>
      </c>
      <c r="G4451" t="inlineStr">
        <is>
          <t>0</t>
        </is>
      </c>
      <c r="H4451" t="inlineStr">
        <is>
          <t>18³, 54³</t>
        </is>
      </c>
      <c r="I4451" t="n">
        <v>6</v>
      </c>
      <c r="J4451" t="inlineStr">
        <is>
          <t>1⁴, 2⁴, 6²</t>
        </is>
      </c>
      <c r="K4451">
        <f>HYPERLINK("CSG2.html#group18O2", "18O²"), =HYPERLINK("CSG4.html#group54D4", "54D⁴"), =HYPERLINK("CSG6.html#group54A6", "54A⁶")</f>
        <v/>
      </c>
      <c r="L4451" t="inlineStr"/>
      <c r="M4451">
        <f>HYPERLINK("CSG0.html#group3B0", "3B⁰"), =HYPERLINK("CSG0.html#group2A0", "2A⁰"), =HYPERLINK("CSG0.html#group18B0", "18B⁰"), =HYPERLINK("CSG6.html#group54A6", "54A⁶"), =HYPERLINK("CSG0.html#group6C0", "6C⁰"), =HYPERLINK("CSG0.html#group9C0", "9C⁰"), =HYPERLINK("CSG4.html#group54D4", "54D⁴"), =HYPERLINK("CSG2.html#group18O2", "18O²"), =HYPERLINK("CSG0.html#group1A0", "1A⁰"), =HYPERLINK("CSG3.html#group27A3", "27A³")</f>
        <v/>
      </c>
      <c r="N4451" t="inlineStr"/>
    </row>
    <row r="4452">
      <c r="A4452" t="inlineStr">
        <is>
          <t>54N¹⁶</t>
        </is>
      </c>
      <c r="B4452" t="inlineStr"/>
      <c r="C4452" t="inlineStr">
        <is>
          <t>216</t>
        </is>
      </c>
      <c r="D4452" t="inlineStr">
        <is>
          <t>1</t>
        </is>
      </c>
      <c r="E4452" t="inlineStr">
        <is>
          <t>36</t>
        </is>
      </c>
      <c r="F4452" t="inlineStr">
        <is>
          <t>0</t>
        </is>
      </c>
      <c r="G4452" t="inlineStr">
        <is>
          <t>0</t>
        </is>
      </c>
      <c r="H4452" t="inlineStr">
        <is>
          <t>18³, 54³</t>
        </is>
      </c>
      <c r="I4452" t="n">
        <v>6</v>
      </c>
      <c r="J4452" t="inlineStr">
        <is>
          <t>3², 6⁵</t>
        </is>
      </c>
      <c r="K4452">
        <f>HYPERLINK("CSG4.html#group18I4", "18I⁴"), =HYPERLINK("CSG7.html#group27E7", "27E⁷")</f>
        <v/>
      </c>
      <c r="L4452" t="inlineStr"/>
      <c r="M4452">
        <f>HYPERLINK("CSG0.html#group3B0", "3B⁰"), =HYPERLINK("CSG0.html#group2A0", "2A⁰"), =HYPERLINK("CSG2.html#group18B2", "18B²"), =HYPERLINK("CSG7.html#group27E7", "27E⁷"), =HYPERLINK("CSG1.html#group9A1", "9A¹"), =HYPERLINK("CSG0.html#group6C0", "6C⁰"), =HYPERLINK("CSG4.html#group18I4", "18I⁴"), =HYPERLINK("CSG1.html#group9D1", "9D¹"), =HYPERLINK("CSG0.html#group1A0", "1A⁰")</f>
        <v/>
      </c>
      <c r="N4452" t="inlineStr"/>
    </row>
    <row r="4453">
      <c r="A4453" t="inlineStr">
        <is>
          <t>54O¹⁶</t>
        </is>
      </c>
      <c r="B4453" t="inlineStr"/>
      <c r="C4453" t="inlineStr">
        <is>
          <t>216</t>
        </is>
      </c>
      <c r="D4453" t="inlineStr">
        <is>
          <t>1</t>
        </is>
      </c>
      <c r="E4453" t="inlineStr">
        <is>
          <t>72</t>
        </is>
      </c>
      <c r="F4453" t="inlineStr">
        <is>
          <t>0</t>
        </is>
      </c>
      <c r="G4453" t="inlineStr">
        <is>
          <t>0</t>
        </is>
      </c>
      <c r="H4453" t="inlineStr">
        <is>
          <t>18³, 54³</t>
        </is>
      </c>
      <c r="I4453" t="n">
        <v>6</v>
      </c>
      <c r="J4453" t="inlineStr">
        <is>
          <t>6¹²</t>
        </is>
      </c>
      <c r="K4453">
        <f>HYPERLINK("CSG4.html#group18I4", "18I⁴")</f>
        <v/>
      </c>
      <c r="L4453" t="inlineStr"/>
      <c r="M4453">
        <f>HYPERLINK("CSG0.html#group3B0", "3B⁰"), =HYPERLINK("CSG0.html#group2A0", "2A⁰"), =HYPERLINK("CSG2.html#group18B2", "18B²"), =HYPERLINK("CSG1.html#group9A1", "9A¹"), =HYPERLINK("CSG0.html#group6C0", "6C⁰"), =HYPERLINK("CSG4.html#group18I4", "18I⁴"), =HYPERLINK("CSG1.html#group9D1", "9D¹"), =HYPERLINK("CSG0.html#group1A0", "1A⁰")</f>
        <v/>
      </c>
      <c r="N4453" t="inlineStr"/>
    </row>
    <row r="4454">
      <c r="A4454" t="inlineStr">
        <is>
          <t>54P¹⁶</t>
        </is>
      </c>
      <c r="B4454" t="inlineStr"/>
      <c r="C4454" t="inlineStr">
        <is>
          <t>216</t>
        </is>
      </c>
      <c r="D4454" t="inlineStr">
        <is>
          <t>2</t>
        </is>
      </c>
      <c r="E4454" t="inlineStr">
        <is>
          <t>24</t>
        </is>
      </c>
      <c r="F4454" t="inlineStr">
        <is>
          <t>0</t>
        </is>
      </c>
      <c r="G4454" t="inlineStr">
        <is>
          <t>0</t>
        </is>
      </c>
      <c r="H4454" t="inlineStr">
        <is>
          <t>18³, 54³</t>
        </is>
      </c>
      <c r="I4454" t="n">
        <v>6</v>
      </c>
      <c r="J4454" t="inlineStr">
        <is>
          <t>2¹², 6⁴</t>
        </is>
      </c>
      <c r="K4454">
        <f>HYPERLINK("CSG2.html#group18O2", "18O²"), =HYPERLINK("CSG3.html#group54C3", "54C³"), =HYPERLINK("CSG5.html#group54C5", "54C⁵"), =HYPERLINK("CSG6.html#group54A6", "54A⁶")</f>
        <v/>
      </c>
      <c r="L4454" t="inlineStr"/>
      <c r="M4454">
        <f>HYPERLINK("CSG0.html#group3B0", "3B⁰"), =HYPERLINK("CSG0.html#group2A0", "2A⁰"), =HYPERLINK("CSG0.html#group18B0", "18B⁰"), =HYPERLINK("CSG6.html#group54A6", "54A⁶"), =HYPERLINK("CSG0.html#group6C0", "6C⁰"), =HYPERLINK("CSG0.html#group9C0", "9C⁰"), =HYPERLINK("CSG5.html#group54C5", "54C⁵"), =HYPERLINK("CSG2.html#group18O2", "18O²"), =HYPERLINK("CSG0.html#group1A0", "1A⁰"), =HYPERLINK("CSG3.html#group54C3", "54C³"), =HYPERLINK("CSG3.html#group27A3", "27A³")</f>
        <v/>
      </c>
      <c r="N4454" t="inlineStr"/>
    </row>
    <row r="4455">
      <c r="A4455" t="inlineStr">
        <is>
          <t>54Q¹⁶</t>
        </is>
      </c>
      <c r="B4455" t="inlineStr"/>
      <c r="C4455" t="inlineStr">
        <is>
          <t>324</t>
        </is>
      </c>
      <c r="D4455" t="inlineStr">
        <is>
          <t>1</t>
        </is>
      </c>
      <c r="E4455" t="inlineStr">
        <is>
          <t>18</t>
        </is>
      </c>
      <c r="F4455" t="inlineStr">
        <is>
          <t>36</t>
        </is>
      </c>
      <c r="G4455" t="inlineStr">
        <is>
          <t>0</t>
        </is>
      </c>
      <c r="H4455" t="inlineStr">
        <is>
          <t>54⁶</t>
        </is>
      </c>
      <c r="I4455" t="n">
        <v>6</v>
      </c>
      <c r="J4455" t="inlineStr">
        <is>
          <t>1¹, 2¹, 3¹, 6²</t>
        </is>
      </c>
      <c r="K4455">
        <f>HYPERLINK("CSG4.html#group18O4", "18O⁴"), =HYPERLINK("CSG7.html#group27F7", "27F⁷")</f>
        <v/>
      </c>
      <c r="L4455" t="inlineStr"/>
      <c r="M4455">
        <f>HYPERLINK("CSG0.html#group6B0", "6B⁰"), =HYPERLINK("CSG0.html#group9D0", "9D⁰"), =HYPERLINK("CSG0.html#group18D0", "18D⁰"), =HYPERLINK("CSG0.html#group3A0", "3A⁰"), =HYPERLINK("CSG0.html#group6E0", "6E⁰"), =HYPERLINK("CSG7.html#group27F7", "27F⁷"), =HYPERLINK("CSG0.html#group9A0", "9A⁰"), =HYPERLINK("CSG0.html#group3C0", "3C⁰"), =HYPERLINK("CSG1.html#group9E1", "9E¹"), =HYPERLINK("CSG1.html#group18F1", "18F¹"), =HYPERLINK("CSG0.html#group9E0", "9E⁰"), =HYPERLINK("CSG4.html#group18O4", "18O⁴"), =HYPERLINK("CSG0.html#group1A0", "1A⁰"), =HYPERLINK("CSG0.html#group18A0", "18A⁰")</f>
        <v/>
      </c>
      <c r="N4455" t="inlineStr"/>
    </row>
    <row r="4456">
      <c r="A4456" t="inlineStr">
        <is>
          <t>54R¹⁶</t>
        </is>
      </c>
      <c r="B4456" t="inlineStr"/>
      <c r="C4456" t="inlineStr">
        <is>
          <t>324</t>
        </is>
      </c>
      <c r="D4456" t="inlineStr">
        <is>
          <t>1</t>
        </is>
      </c>
      <c r="E4456" t="inlineStr">
        <is>
          <t>36</t>
        </is>
      </c>
      <c r="F4456" t="inlineStr">
        <is>
          <t>0</t>
        </is>
      </c>
      <c r="G4456" t="inlineStr">
        <is>
          <t>0</t>
        </is>
      </c>
      <c r="H4456" t="inlineStr">
        <is>
          <t>3⁹, 6⁹, 27³, 54³</t>
        </is>
      </c>
      <c r="I4456" t="n">
        <v>24</v>
      </c>
      <c r="J4456" t="inlineStr">
        <is>
          <t>1⁶, 2⁶, 6³</t>
        </is>
      </c>
      <c r="K4456">
        <f>HYPERLINK("CSG2.html#group18Q2", "18Q²"), =HYPERLINK("CSG2.html#group54B2", "54B²"), =HYPERLINK("CSG4.html#group27A4", "27A⁴"), =HYPERLINK("CSG6.html#group54B6", "54B⁶")</f>
        <v/>
      </c>
      <c r="L4456" t="inlineStr"/>
      <c r="M4456">
        <f>HYPERLINK("CSG0.html#group3B0", "3B⁰"), =HYPERLINK("CSG2.html#group54B2", "54B²"), =HYPERLINK("CSG2.html#group18Q2", "18Q²"), =HYPERLINK("CSG0.html#group18E0", "18E⁰"), =HYPERLINK("CSG6.html#group54B6", "54B⁶"), =HYPERLINK("CSG2.html#group27A2", "27A²"), =HYPERLINK("CSG0.html#group9B0", "9B⁰"), =HYPERLINK("CSG0.html#group9I0", "9I⁰"), =HYPERLINK("CSG0.html#group1A0", "1A⁰"), =HYPERLINK("CSG0.html#group2B0", "2B⁰"), =HYPERLINK("CSG0.html#group27A0", "27A⁰"), =HYPERLINK("CSG0.html#group6F0", "6F⁰"), =HYPERLINK("CSG4.html#group27A4", "27A⁴")</f>
        <v/>
      </c>
      <c r="N4456" t="inlineStr"/>
    </row>
    <row r="4457">
      <c r="A4457" t="inlineStr">
        <is>
          <t>54S¹⁶</t>
        </is>
      </c>
      <c r="B4457" t="inlineStr"/>
      <c r="C4457" t="inlineStr">
        <is>
          <t>324</t>
        </is>
      </c>
      <c r="D4457" t="inlineStr">
        <is>
          <t>1</t>
        </is>
      </c>
      <c r="E4457" t="inlineStr">
        <is>
          <t>36</t>
        </is>
      </c>
      <c r="F4457" t="inlineStr">
        <is>
          <t>0</t>
        </is>
      </c>
      <c r="G4457" t="inlineStr">
        <is>
          <t>0</t>
        </is>
      </c>
      <c r="H4457" t="inlineStr">
        <is>
          <t>3⁹, 6⁹, 27³, 54³</t>
        </is>
      </c>
      <c r="I4457" t="n">
        <v>24</v>
      </c>
      <c r="J4457" t="inlineStr">
        <is>
          <t>1⁶, 2⁶, 6³</t>
        </is>
      </c>
      <c r="K4457">
        <f>HYPERLINK("CSG2.html#group18Q2", "18Q²"), =HYPERLINK("CSG4.html#group27B4", "27B⁴"), =HYPERLINK("CSG4.html#group54E4", "54E⁴"), =HYPERLINK("CSG6.html#group54B6", "54B⁶")</f>
        <v/>
      </c>
      <c r="L4457" t="inlineStr"/>
      <c r="M4457">
        <f>HYPERLINK("CSG4.html#group27B4", "27B⁴"), =HYPERLINK("CSG0.html#group3B0", "3B⁰"), =HYPERLINK("CSG1.html#group27A1", "27A¹"), =HYPERLINK("CSG2.html#group18Q2", "18Q²"), =HYPERLINK("CSG2.html#group27A2", "27A²"), =HYPERLINK("CSG6.html#group54B6", "54B⁶"), =HYPERLINK("CSG0.html#group18E0", "18E⁰"), =HYPERLINK("CSG0.html#group6F0", "6F⁰"), =HYPERLINK("CSG0.html#group9I0", "9I⁰"), =HYPERLINK("CSG0.html#group9B0", "9B⁰"), =HYPERLINK("CSG0.html#group2B0", "2B⁰"), =HYPERLINK("CSG0.html#group1A0", "1A⁰"), =HYPERLINK("CSG4.html#group54E4", "54E⁴")</f>
        <v/>
      </c>
      <c r="N4457" t="inlineStr"/>
    </row>
    <row r="4458">
      <c r="A4458" t="inlineStr">
        <is>
          <t>54T¹⁶</t>
        </is>
      </c>
      <c r="B4458" t="inlineStr"/>
      <c r="C4458" t="inlineStr">
        <is>
          <t>324</t>
        </is>
      </c>
      <c r="D4458" t="inlineStr">
        <is>
          <t>1</t>
        </is>
      </c>
      <c r="E4458" t="inlineStr">
        <is>
          <t>36</t>
        </is>
      </c>
      <c r="F4458" t="inlineStr">
        <is>
          <t>0</t>
        </is>
      </c>
      <c r="G4458" t="inlineStr">
        <is>
          <t>0</t>
        </is>
      </c>
      <c r="H4458" t="inlineStr">
        <is>
          <t>3⁹, 6⁹, 27³, 54³</t>
        </is>
      </c>
      <c r="I4458" t="n">
        <v>24</v>
      </c>
      <c r="J4458" t="inlineStr">
        <is>
          <t>1⁶, 2⁶, 6³</t>
        </is>
      </c>
      <c r="K4458">
        <f>HYPERLINK("CSG2.html#group54B2", "54B²"), =HYPERLINK("CSG4.html#group18M4", "18M⁴"), =HYPERLINK("CSG4.html#group27C4", "27C⁴"), =HYPERLINK("CSG4.html#group54E4", "54E⁴"), =HYPERLINK("CSG6.html#group54B6", "54B⁶")</f>
        <v/>
      </c>
      <c r="L4458" t="inlineStr"/>
      <c r="M4458">
        <f>HYPERLINK("CSG0.html#group3B0", "3B⁰"), =HYPERLINK("CSG2.html#group54B2", "54B²"), =HYPERLINK("CSG4.html#group27C4", "27C⁴"), =HYPERLINK("CSG2.html#group27A2", "27A²"), =HYPERLINK("CSG6.html#group54B6", "54B⁶"), =HYPERLINK("CSG2.html#group18E2", "18E²"), =HYPERLINK("CSG0.html#group9B0", "9B⁰"), =HYPERLINK("CSG0.html#group6G0", "6G⁰"), =HYPERLINK("CSG2.html#group18D2", "18D²"), =HYPERLINK("CSG0.html#group2B0", "2B⁰"), =HYPERLINK("CSG0.html#group9C0", "9C⁰"), =HYPERLINK("CSG0.html#group1A0", "1A⁰"), =HYPERLINK("CSG0.html#group3D0", "3D⁰"), =HYPERLINK("CSG0.html#group18E0", "18E⁰"), =HYPERLINK("CSG1.html#group27A1", "27A¹"), =HYPERLINK("CSG1.html#group9A1", "9A¹"), =HYPERLINK("CSG0.html#group27A0", "27A⁰"), =HYPERLINK("CSG0.html#group3C0", "3C⁰"), =HYPERLINK("CSG1.html#group9C1", "9C¹"), =HYPERLINK("CSG0.html#group6K0", "6K⁰"), =HYPERLINK("CSG4.html#group18M4", "18M⁴"), =HYPERLINK("CSG0.html#group3A0", "3A⁰"), =HYPERLINK("CSG0.html#group6F0", "6F⁰"), =HYPERLINK("CSG0.html#group6D0", "6D⁰"), =HYPERLINK("CSG4.html#group54E4", "54E⁴")</f>
        <v/>
      </c>
      <c r="N4458" t="inlineStr"/>
    </row>
    <row r="4459">
      <c r="A4459" t="inlineStr">
        <is>
          <t>54U¹⁶</t>
        </is>
      </c>
      <c r="B4459" t="inlineStr"/>
      <c r="C4459" t="inlineStr">
        <is>
          <t>324</t>
        </is>
      </c>
      <c r="D4459" t="inlineStr">
        <is>
          <t>1</t>
        </is>
      </c>
      <c r="E4459" t="inlineStr">
        <is>
          <t>108</t>
        </is>
      </c>
      <c r="F4459" t="inlineStr">
        <is>
          <t>0</t>
        </is>
      </c>
      <c r="G4459" t="inlineStr">
        <is>
          <t>0</t>
        </is>
      </c>
      <c r="H4459" t="inlineStr">
        <is>
          <t>3⁹, 6⁹, 27³, 54³</t>
        </is>
      </c>
      <c r="I4459" t="n">
        <v>24</v>
      </c>
      <c r="J4459" t="inlineStr">
        <is>
          <t>3⁶, 6¹⁵</t>
        </is>
      </c>
      <c r="K4459">
        <f>HYPERLINK("CSG3.html#group27C3", "27C³"), =HYPERLINK("CSG4.html#group18P4", "18P⁴")</f>
        <v/>
      </c>
      <c r="L4459" t="inlineStr"/>
      <c r="M4459">
        <f>HYPERLINK("CSG0.html#group3B0", "3B⁰"), =HYPERLINK("CSG4.html#group18P4", "18P⁴"), =HYPERLINK("CSG3.html#group27C3", "27C³"), =HYPERLINK("CSG0.html#group9J0", "9J⁰"), =HYPERLINK("CSG2.html#group18D2", "18D²"), =HYPERLINK("CSG0.html#group1A0", "1A⁰"), =HYPERLINK("CSG0.html#group2B0", "2B⁰"), =HYPERLINK("CSG0.html#group9C0", "9C⁰"), =HYPERLINK("CSG0.html#group6F0", "6F⁰")</f>
        <v/>
      </c>
      <c r="N4459" t="inlineStr"/>
    </row>
    <row r="4460">
      <c r="A4460" t="inlineStr">
        <is>
          <t>54V¹⁶</t>
        </is>
      </c>
      <c r="B4460" t="inlineStr"/>
      <c r="C4460" t="inlineStr">
        <is>
          <t>324</t>
        </is>
      </c>
      <c r="D4460" t="inlineStr">
        <is>
          <t>2</t>
        </is>
      </c>
      <c r="E4460" t="inlineStr">
        <is>
          <t>9</t>
        </is>
      </c>
      <c r="F4460" t="inlineStr">
        <is>
          <t>36</t>
        </is>
      </c>
      <c r="G4460" t="inlineStr">
        <is>
          <t>0</t>
        </is>
      </c>
      <c r="H4460" t="inlineStr">
        <is>
          <t>54⁶</t>
        </is>
      </c>
      <c r="I4460" t="n">
        <v>6</v>
      </c>
      <c r="J4460" t="inlineStr">
        <is>
          <t>2³, 6²</t>
        </is>
      </c>
      <c r="K4460">
        <f>HYPERLINK("CSG4.html#group18S4", "18S⁴"), =HYPERLINK("CSG7.html#group27H7", "27H⁷"), =HYPERLINK("CSG7.html#group54A7", "54A⁷"), =HYPERLINK("CSG8.html#group54D8", "54D⁸")</f>
        <v/>
      </c>
      <c r="L4460" t="inlineStr"/>
      <c r="M4460">
        <f>HYPERLINK("CSG4.html#group18S4", "18S⁴"), =HYPERLINK("CSG0.html#group6B0", "6B⁰"), =HYPERLINK("CSG1.html#group18H1", "18H¹"), =HYPERLINK("CSG0.html#group9G0", "9G⁰"), =HYPERLINK("CSG2.html#group18K2", "18K²"), =HYPERLINK("CSG8.html#group54D8", "54D⁸"), =HYPERLINK("CSG3.html#group27B3", "27B³"), =HYPERLINK("CSG7.html#group54A7", "54A⁷"), =HYPERLINK("CSG0.html#group1A0", "1A⁰"), =HYPERLINK("CSG0.html#group18A0", "18A⁰"), =HYPERLINK("CSG1.html#group9B1", "9B¹"), =HYPERLINK("CSG0.html#group9D0", "9D⁰"), =HYPERLINK("CSG0.html#group18D0", "18D⁰"), =HYPERLINK("CSG0.html#group6E0", "6E⁰"), =HYPERLINK("CSG0.html#group9A0", "9A⁰"), =HYPERLINK("CSG0.html#group3C0", "3C⁰"), =HYPERLINK("CSG2.html#group18G2", "18G²"), =HYPERLINK("CSG0.html#group3A0", "3A⁰"), =HYPERLINK("CSG7.html#group27H7", "27H⁷"), =HYPERLINK("CSG1.html#group18A1", "18A¹"), =HYPERLINK("CSG1.html#group9F1", "9F¹")</f>
        <v/>
      </c>
      <c r="N4460" t="inlineStr"/>
    </row>
    <row r="4461">
      <c r="A4461" t="inlineStr">
        <is>
          <t>55A¹⁶</t>
        </is>
      </c>
      <c r="B4461" t="inlineStr"/>
      <c r="C4461" t="inlineStr">
        <is>
          <t>220</t>
        </is>
      </c>
      <c r="D4461" t="inlineStr">
        <is>
          <t>2</t>
        </is>
      </c>
      <c r="E4461" t="inlineStr">
        <is>
          <t>110</t>
        </is>
      </c>
      <c r="F4461" t="inlineStr">
        <is>
          <t>0</t>
        </is>
      </c>
      <c r="G4461" t="inlineStr">
        <is>
          <t>4</t>
        </is>
      </c>
      <c r="H4461" t="inlineStr">
        <is>
          <t>55⁴</t>
        </is>
      </c>
      <c r="I4461" t="n">
        <v>4</v>
      </c>
      <c r="J4461" t="inlineStr">
        <is>
          <t>4¹, 8², 20², 40⁴</t>
        </is>
      </c>
      <c r="K4461">
        <f>HYPERLINK("CSG0.html#group5F0", "5F⁰"), =HYPERLINK("CSG3.html#group55A3", "55A³"), =HYPERLINK("CSG7.html#group55A7", "55A⁷")</f>
        <v/>
      </c>
      <c r="L4461" t="inlineStr"/>
      <c r="M4461">
        <f>HYPERLINK("CSG0.html#group11A0", "11A⁰"), =HYPERLINK("CSG7.html#group55A7", "55A⁷"), =HYPERLINK("CSG3.html#group55A3", "55A³"), =HYPERLINK("CSG0.html#group5A0", "5A⁰"), =HYPERLINK("CSG0.html#group5C0", "5C⁰"), =HYPERLINK("CSG0.html#group5F0", "5F⁰"), =HYPERLINK("CSG0.html#group1A0", "1A⁰")</f>
        <v/>
      </c>
      <c r="N4461" t="inlineStr"/>
    </row>
    <row r="4462">
      <c r="A4462" t="inlineStr">
        <is>
          <t>56A¹⁶</t>
        </is>
      </c>
      <c r="B4462" t="inlineStr"/>
      <c r="C4462" t="inlineStr">
        <is>
          <t>252</t>
        </is>
      </c>
      <c r="D4462" t="inlineStr">
        <is>
          <t>1</t>
        </is>
      </c>
      <c r="E4462" t="inlineStr">
        <is>
          <t>126</t>
        </is>
      </c>
      <c r="F4462" t="inlineStr">
        <is>
          <t>0</t>
        </is>
      </c>
      <c r="G4462" t="inlineStr">
        <is>
          <t>0</t>
        </is>
      </c>
      <c r="H4462" t="inlineStr">
        <is>
          <t>7⁶, 14³, 56³</t>
        </is>
      </c>
      <c r="I4462" t="n">
        <v>12</v>
      </c>
      <c r="J4462" t="inlineStr">
        <is>
          <t>3⁴, 6¹³, 12³</t>
        </is>
      </c>
      <c r="K4462">
        <f>HYPERLINK("CSG7.html#group28B7", "28B⁷")</f>
        <v/>
      </c>
      <c r="L4462" t="inlineStr"/>
      <c r="M4462">
        <f>HYPERLINK("CSG0.html#group7D0", "7D⁰"), =HYPERLINK("CSG1.html#group14B1", "14B¹"), =HYPERLINK("CSG7.html#group28B7", "28B⁷"), =HYPERLINK("CSG2.html#group14F2", "14F²"), =HYPERLINK("CSG3.html#group28A3", "28A³"), =HYPERLINK("CSG0.html#group2B0", "2B⁰"), =HYPERLINK("CSG0.html#group4B0", "4B⁰"), =HYPERLINK("CSG0.html#group1A0", "1A⁰"), =HYPERLINK("CSG0.html#group7A0", "7A⁰")</f>
        <v/>
      </c>
      <c r="N4462" t="inlineStr"/>
    </row>
    <row r="4463">
      <c r="A4463" t="inlineStr">
        <is>
          <t>56B¹⁶</t>
        </is>
      </c>
      <c r="B4463" t="inlineStr"/>
      <c r="C4463" t="inlineStr">
        <is>
          <t>252</t>
        </is>
      </c>
      <c r="D4463" t="inlineStr">
        <is>
          <t>1</t>
        </is>
      </c>
      <c r="E4463" t="inlineStr">
        <is>
          <t>126</t>
        </is>
      </c>
      <c r="F4463" t="inlineStr">
        <is>
          <t>0</t>
        </is>
      </c>
      <c r="G4463" t="inlineStr">
        <is>
          <t>0</t>
        </is>
      </c>
      <c r="H4463" t="inlineStr">
        <is>
          <t>7⁶, 14³, 56³</t>
        </is>
      </c>
      <c r="I4463" t="n">
        <v>12</v>
      </c>
      <c r="J4463" t="inlineStr">
        <is>
          <t>3⁴, 6¹³, 12³</t>
        </is>
      </c>
      <c r="K4463">
        <f>HYPERLINK("CSG6.html#group56C6", "56C⁶"), =HYPERLINK("CSG7.html#group28B7", "28B⁷")</f>
        <v/>
      </c>
      <c r="L4463" t="inlineStr"/>
      <c r="M4463">
        <f>HYPERLINK("CSG6.html#group56C6", "56C⁶"), =HYPERLINK("CSG0.html#group7D0", "7D⁰"), =HYPERLINK("CSG1.html#group14B1", "14B¹"), =HYPERLINK("CSG7.html#group28B7", "28B⁷"), =HYPERLINK("CSG2.html#group14F2", "14F²"), =HYPERLINK("CSG3.html#group28A3", "28A³"), =HYPERLINK("CSG0.html#group2B0", "2B⁰"), =HYPERLINK("CSG0.html#group8C0", "8C⁰"), =HYPERLINK("CSG0.html#group4B0", "4B⁰"), =HYPERLINK("CSG0.html#group1A0", "1A⁰"), =HYPERLINK("CSG0.html#group7A0", "7A⁰")</f>
        <v/>
      </c>
      <c r="N4463" t="inlineStr"/>
    </row>
    <row r="4464">
      <c r="A4464" t="inlineStr">
        <is>
          <t>56C¹⁶</t>
        </is>
      </c>
      <c r="B4464" t="inlineStr"/>
      <c r="C4464" t="inlineStr">
        <is>
          <t>252</t>
        </is>
      </c>
      <c r="D4464" t="inlineStr">
        <is>
          <t>2</t>
        </is>
      </c>
      <c r="E4464" t="inlineStr">
        <is>
          <t>63</t>
        </is>
      </c>
      <c r="F4464" t="inlineStr">
        <is>
          <t>12</t>
        </is>
      </c>
      <c r="G4464" t="inlineStr">
        <is>
          <t>0</t>
        </is>
      </c>
      <c r="H4464" t="inlineStr">
        <is>
          <t>28³, 56³</t>
        </is>
      </c>
      <c r="I4464" t="n">
        <v>6</v>
      </c>
      <c r="J4464" t="inlineStr">
        <is>
          <t>6²¹</t>
        </is>
      </c>
      <c r="K4464">
        <f>HYPERLINK("CSG6.html#group28I6", "28I⁶"), =HYPERLINK("CSG6.html#group56A6", "56A⁶")</f>
        <v/>
      </c>
      <c r="L4464" t="inlineStr"/>
      <c r="M4464">
        <f>HYPERLINK("CSG2.html#group28C2", "28C²"), =HYPERLINK("CSG0.html#group7D0", "7D⁰"), =HYPERLINK("CSG1.html#group14B1", "14B¹"), =HYPERLINK("CSG0.html#group4C0", "4C⁰"), =HYPERLINK("CSG2.html#group14F2", "14F²"), =HYPERLINK("CSG0.html#group2B0", "2B⁰"), =HYPERLINK("CSG6.html#group28I6", "28I⁶"), =HYPERLINK("CSG0.html#group1A0", "1A⁰"), =HYPERLINK("CSG6.html#group56A6", "56A⁶"), =HYPERLINK("CSG0.html#group7A0", "7A⁰")</f>
        <v/>
      </c>
      <c r="N4464" t="inlineStr"/>
    </row>
    <row r="4465">
      <c r="A4465" t="inlineStr">
        <is>
          <t>56D¹⁶</t>
        </is>
      </c>
      <c r="B4465" t="inlineStr"/>
      <c r="C4465" t="inlineStr">
        <is>
          <t>252</t>
        </is>
      </c>
      <c r="D4465" t="inlineStr">
        <is>
          <t>2</t>
        </is>
      </c>
      <c r="E4465" t="inlineStr">
        <is>
          <t>126</t>
        </is>
      </c>
      <c r="F4465" t="inlineStr">
        <is>
          <t>0</t>
        </is>
      </c>
      <c r="G4465" t="inlineStr">
        <is>
          <t>0</t>
        </is>
      </c>
      <c r="H4465" t="inlineStr">
        <is>
          <t>7⁶, 14³, 56³</t>
        </is>
      </c>
      <c r="I4465" t="n">
        <v>12</v>
      </c>
      <c r="J4465" t="inlineStr">
        <is>
          <t>6²⁸, 12⁷</t>
        </is>
      </c>
      <c r="K4465">
        <f>HYPERLINK("CSG6.html#group56B6", "56B⁶"), =HYPERLINK("CSG7.html#group28B7", "28B⁷")</f>
        <v/>
      </c>
      <c r="L4465" t="inlineStr"/>
      <c r="M4465">
        <f>HYPERLINK("CSG0.html#group7D0", "7D⁰"), =HYPERLINK("CSG1.html#group14B1", "14B¹"), =HYPERLINK("CSG6.html#group56B6", "56B⁶"), =HYPERLINK("CSG7.html#group28B7", "28B⁷"), =HYPERLINK("CSG2.html#group14F2", "14F²"), =HYPERLINK("CSG3.html#group28A3", "28A³"), =HYPERLINK("CSG0.html#group2B0", "2B⁰"), =HYPERLINK("CSG0.html#group4B0", "4B⁰"), =HYPERLINK("CSG0.html#group1A0", "1A⁰"), =HYPERLINK("CSG0.html#group7A0", "7A⁰")</f>
        <v/>
      </c>
      <c r="N4465" t="inlineStr"/>
    </row>
    <row r="4466">
      <c r="A4466" t="inlineStr">
        <is>
          <t>56E¹⁶</t>
        </is>
      </c>
      <c r="B4466" t="inlineStr"/>
      <c r="C4466" t="inlineStr">
        <is>
          <t>288</t>
        </is>
      </c>
      <c r="D4466" t="inlineStr">
        <is>
          <t>1</t>
        </is>
      </c>
      <c r="E4466" t="inlineStr">
        <is>
          <t>24</t>
        </is>
      </c>
      <c r="F4466" t="inlineStr">
        <is>
          <t>0</t>
        </is>
      </c>
      <c r="G4466" t="inlineStr">
        <is>
          <t>0</t>
        </is>
      </c>
      <c r="H4466" t="inlineStr">
        <is>
          <t>2⁶, 8³, 14⁶, 56³</t>
        </is>
      </c>
      <c r="I4466" t="n">
        <v>18</v>
      </c>
      <c r="J4466" t="inlineStr">
        <is>
          <t>1⁶, 6³</t>
        </is>
      </c>
      <c r="K4466">
        <f>HYPERLINK("CSG4.html#group28F4", "28F⁴"), =HYPERLINK("CSG6.html#group56D6", "56D⁶")</f>
        <v/>
      </c>
      <c r="L4466" t="inlineStr"/>
      <c r="M4466">
        <f>HYPERLINK("CSG6.html#group56D6", "56D⁶"), =HYPERLINK("CSG4.html#group28F4", "28F⁴"), =HYPERLINK("CSG0.html#group7B0", "7B⁰"), =HYPERLINK("CSG2.html#group28D2", "28D²"), =HYPERLINK("CSG1.html#group14C1", "14C¹"), =HYPERLINK("CSG1.html#group14H1", "14H¹"), =HYPERLINK("CSG0.html#group2B0", "2B⁰"), =HYPERLINK("CSG0.html#group7E0", "7E⁰"), =HYPERLINK("CSG0.html#group4B0", "4B⁰"), =HYPERLINK("CSG0.html#group1A0", "1A⁰")</f>
        <v/>
      </c>
      <c r="N4466" t="inlineStr"/>
    </row>
    <row r="4467">
      <c r="A4467" t="inlineStr">
        <is>
          <t>56F¹⁶</t>
        </is>
      </c>
      <c r="B4467" t="inlineStr"/>
      <c r="C4467" t="inlineStr">
        <is>
          <t>288</t>
        </is>
      </c>
      <c r="D4467" t="inlineStr">
        <is>
          <t>1</t>
        </is>
      </c>
      <c r="E4467" t="inlineStr">
        <is>
          <t>48</t>
        </is>
      </c>
      <c r="F4467" t="inlineStr">
        <is>
          <t>0</t>
        </is>
      </c>
      <c r="G4467" t="inlineStr">
        <is>
          <t>0</t>
        </is>
      </c>
      <c r="H4467" t="inlineStr">
        <is>
          <t>2⁶, 8³, 14⁶, 56³</t>
        </is>
      </c>
      <c r="I4467" t="n">
        <v>18</v>
      </c>
      <c r="J4467" t="inlineStr">
        <is>
          <t>1⁴, 2⁴, 6², 12²</t>
        </is>
      </c>
      <c r="K4467">
        <f>HYPERLINK("CSG6.html#group56E6", "56E⁶"), =HYPERLINK("CSG7.html#group28D7", "28D⁷")</f>
        <v/>
      </c>
      <c r="L4467" t="inlineStr"/>
      <c r="M4467">
        <f>HYPERLINK("CSG0.html#group8D0", "8D⁰"), =HYPERLINK("CSG0.html#group7B0", "7B⁰"), =HYPERLINK("CSG0.html#group4C0", "4C⁰"), =HYPERLINK("CSG1.html#group14C1", "14C¹"), =HYPERLINK("CSG1.html#group14H1", "14H¹"), =HYPERLINK("CSG0.html#group1A0", "1A⁰"), =HYPERLINK("CSG0.html#group2B0", "2B⁰"), =HYPERLINK("CSG0.html#group7E0", "7E⁰"), =HYPERLINK("CSG3.html#group28C3", "28C³"), =HYPERLINK("CSG6.html#group56E6", "56E⁶"), =HYPERLINK("CSG7.html#group28D7", "28D⁷")</f>
        <v/>
      </c>
      <c r="N4467" t="inlineStr"/>
    </row>
    <row r="4468">
      <c r="A4468" t="inlineStr">
        <is>
          <t>57A¹⁶</t>
        </is>
      </c>
      <c r="B4468" t="inlineStr"/>
      <c r="C4468" t="inlineStr">
        <is>
          <t>228</t>
        </is>
      </c>
      <c r="D4468" t="inlineStr">
        <is>
          <t>2</t>
        </is>
      </c>
      <c r="E4468" t="inlineStr">
        <is>
          <t>228</t>
        </is>
      </c>
      <c r="F4468" t="inlineStr">
        <is>
          <t>0</t>
        </is>
      </c>
      <c r="G4468" t="inlineStr">
        <is>
          <t>3</t>
        </is>
      </c>
      <c r="H4468" t="inlineStr">
        <is>
          <t>19³, 57³</t>
        </is>
      </c>
      <c r="I4468" t="n">
        <v>6</v>
      </c>
      <c r="J4468" t="inlineStr">
        <is>
          <t>6², 12¹, 18¹², 36⁶</t>
        </is>
      </c>
      <c r="K4468">
        <f>HYPERLINK("CSG0.html#group3B0", "3B⁰"), =HYPERLINK("CSG2.html#group19A2", "19A²")</f>
        <v/>
      </c>
      <c r="L4468" t="inlineStr"/>
      <c r="M4468">
        <f>HYPERLINK("CSG2.html#group19A2", "19A²"), =HYPERLINK("CSG0.html#group3B0", "3B⁰"), =HYPERLINK("CSG0.html#group1A0", "1A⁰")</f>
        <v/>
      </c>
      <c r="N4468" t="inlineStr"/>
    </row>
    <row r="4469">
      <c r="A4469" t="inlineStr">
        <is>
          <t>60A¹⁶</t>
        </is>
      </c>
      <c r="B4469" t="inlineStr"/>
      <c r="C4469" t="inlineStr">
        <is>
          <t>240</t>
        </is>
      </c>
      <c r="D4469" t="inlineStr">
        <is>
          <t>1</t>
        </is>
      </c>
      <c r="E4469" t="inlineStr">
        <is>
          <t>60</t>
        </is>
      </c>
      <c r="F4469" t="inlineStr">
        <is>
          <t>0</t>
        </is>
      </c>
      <c r="G4469" t="inlineStr">
        <is>
          <t>0</t>
        </is>
      </c>
      <c r="H4469" t="inlineStr">
        <is>
          <t>10⁴, 20¹, 30⁴, 60¹</t>
        </is>
      </c>
      <c r="I4469" t="n">
        <v>10</v>
      </c>
      <c r="J4469" t="inlineStr">
        <is>
          <t>1⁶, 2³, 4⁶, 8³</t>
        </is>
      </c>
      <c r="K4469">
        <f>HYPERLINK("CSG0.html#group12I0", "12I⁰"), =HYPERLINK("CSG8.html#group30B8", "30B⁸")</f>
        <v/>
      </c>
      <c r="L4469" t="inlineStr"/>
      <c r="M4469">
        <f>HYPERLINK("CSG0.html#group3B0", "3B⁰"), =HYPERLINK("CSG0.html#group2A0", "2A⁰"), =HYPERLINK("CSG0.html#group5A0", "5A⁰"), =HYPERLINK("CSG0.html#group6I0", "6I⁰"), =HYPERLINK("CSG1.html#group10B1", "10B¹"), =HYPERLINK("CSG2.html#group30D2", "30D²"), =HYPERLINK("CSG0.html#group12I0", "12I⁰"), =HYPERLINK("CSG0.html#group6C0", "6C⁰"), =HYPERLINK("CSG0.html#group2B0", "2B⁰"), =HYPERLINK("CSG2.html#group10B2", "10B²"), =HYPERLINK("CSG0.html#group1A0", "1A⁰"), =HYPERLINK("CSG0.html#group10A0", "10A⁰"), =HYPERLINK("CSG8.html#group30B8", "30B⁸"), =HYPERLINK("CSG4.html#group30D4", "30D⁴"), =HYPERLINK("CSG1.html#group15B1", "15B¹"), =HYPERLINK("CSG0.html#group6F0", "6F⁰"), =HYPERLINK("CSG0.html#group2C0", "2C⁰")</f>
        <v/>
      </c>
      <c r="N4469" t="inlineStr"/>
    </row>
    <row r="4470">
      <c r="A4470" t="inlineStr">
        <is>
          <t>60B¹⁶</t>
        </is>
      </c>
      <c r="B4470" t="inlineStr"/>
      <c r="C4470" t="inlineStr">
        <is>
          <t>240</t>
        </is>
      </c>
      <c r="D4470" t="inlineStr">
        <is>
          <t>1</t>
        </is>
      </c>
      <c r="E4470" t="inlineStr">
        <is>
          <t>120</t>
        </is>
      </c>
      <c r="F4470" t="inlineStr">
        <is>
          <t>0</t>
        </is>
      </c>
      <c r="G4470" t="inlineStr">
        <is>
          <t>0</t>
        </is>
      </c>
      <c r="H4470" t="inlineStr">
        <is>
          <t>5², 10¹, 15², 20², 30¹, 60²</t>
        </is>
      </c>
      <c r="I4470" t="n">
        <v>10</v>
      </c>
      <c r="J4470" t="inlineStr">
        <is>
          <t>1⁸, 2⁶, 4⁹, 8⁶, 16¹</t>
        </is>
      </c>
      <c r="K4470">
        <f>HYPERLINK("CSG0.html#group12J0", "12J⁰"), =HYPERLINK("CSG8.html#group60C8", "60C⁸")</f>
        <v/>
      </c>
      <c r="L4470" t="inlineStr"/>
      <c r="M4470">
        <f>HYPERLINK("CSG2.html#group20A2", "20A²"), =HYPERLINK("CSG0.html#group3B0", "3B⁰"), =HYPERLINK("CSG0.html#group5A0", "5A⁰"), =HYPERLINK("CSG1.html#group10B1", "10B¹"), =HYPERLINK("CSG0.html#group12J0", "12J⁰"), =HYPERLINK("CSG0.html#group2B0", "2B⁰"), =HYPERLINK("CSG0.html#group4B0", "4B⁰"), =HYPERLINK("CSG0.html#group1A0", "1A⁰"), =HYPERLINK("CSG4.html#group30D4", "30D⁴"), =HYPERLINK("CSG8.html#group60C8", "60C⁸"), =HYPERLINK("CSG1.html#group15B1", "15B¹"), =HYPERLINK("CSG0.html#group6F0", "6F⁰"), =HYPERLINK("CSG0.html#group12E0", "12E⁰")</f>
        <v/>
      </c>
      <c r="N4470" t="inlineStr"/>
    </row>
    <row r="4471">
      <c r="A4471" t="inlineStr">
        <is>
          <t>60C¹⁶</t>
        </is>
      </c>
      <c r="B4471" t="inlineStr"/>
      <c r="C4471" t="inlineStr">
        <is>
          <t>240</t>
        </is>
      </c>
      <c r="D4471" t="inlineStr">
        <is>
          <t>2</t>
        </is>
      </c>
      <c r="E4471" t="inlineStr">
        <is>
          <t>240</t>
        </is>
      </c>
      <c r="F4471" t="inlineStr">
        <is>
          <t>8</t>
        </is>
      </c>
      <c r="G4471" t="inlineStr">
        <is>
          <t>3</t>
        </is>
      </c>
      <c r="H4471" t="inlineStr">
        <is>
          <t>60⁴</t>
        </is>
      </c>
      <c r="I4471" t="n">
        <v>4</v>
      </c>
      <c r="J4471" t="inlineStr">
        <is>
          <t>16³⁰</t>
        </is>
      </c>
      <c r="K4471">
        <f>HYPERLINK("CSG2.html#group15E2", "15E²"), =HYPERLINK("CSG3.html#group60A3", "60A³")</f>
        <v/>
      </c>
      <c r="L4471" t="inlineStr"/>
      <c r="M4471">
        <f>HYPERLINK("CSG2.html#group15E2", "15E²"), =HYPERLINK("CSG0.html#group5A0", "5A⁰"), =HYPERLINK("CSG3.html#group60A3", "60A³"), =HYPERLINK("CSG0.html#group4A0", "4A⁰"), =HYPERLINK("CSG1.html#group20A1", "20A¹"), =HYPERLINK("CSG0.html#group1A0", "1A⁰"), =HYPERLINK("CSG0.html#group15A0", "15A⁰")</f>
        <v/>
      </c>
      <c r="N4471" t="inlineStr"/>
    </row>
    <row r="4472">
      <c r="A4472" t="inlineStr">
        <is>
          <t>60D¹⁶</t>
        </is>
      </c>
      <c r="B4472" t="inlineStr"/>
      <c r="C4472" t="inlineStr">
        <is>
          <t>270</t>
        </is>
      </c>
      <c r="D4472" t="inlineStr">
        <is>
          <t>1</t>
        </is>
      </c>
      <c r="E4472" t="inlineStr">
        <is>
          <t>15</t>
        </is>
      </c>
      <c r="F4472" t="inlineStr">
        <is>
          <t>18</t>
        </is>
      </c>
      <c r="G4472" t="inlineStr">
        <is>
          <t>0</t>
        </is>
      </c>
      <c r="H4472" t="inlineStr">
        <is>
          <t>30³, 60³</t>
        </is>
      </c>
      <c r="I4472" t="n">
        <v>6</v>
      </c>
      <c r="J4472" t="inlineStr">
        <is>
          <t>1³, 4³</t>
        </is>
      </c>
      <c r="K4472">
        <f>HYPERLINK("CSG4.html#group20E4", "20E⁴"), =HYPERLINK("CSG6.html#group60B6", "60B⁶"), =HYPERLINK("CSG6.html#group60D6", "60D⁶"), =HYPERLINK("CSG7.html#group30P7", "30P⁷")</f>
        <v/>
      </c>
      <c r="L4472" t="inlineStr"/>
      <c r="M4472">
        <f>HYPERLINK("CSG0.html#group5A0", "5A⁰"), =HYPERLINK("CSG6.html#group60D6", "60D⁶"), =HYPERLINK("CSG0.html#group12C0", "12C⁰"), =HYPERLINK("CSG4.html#group20E4", "20E⁴"), =HYPERLINK("CSG1.html#group10B1", "10B¹"), =HYPERLINK("CSG2.html#group20B2", "20B²"), =HYPERLINK("CSG0.html#group4C0", "4C⁰"), =HYPERLINK("CSG6.html#group60B6", "60B⁶"), =HYPERLINK("CSG1.html#group15F1", "15F¹"), =HYPERLINK("CSG0.html#group2B0", "2B⁰"), =HYPERLINK("CSG0.html#group1A0", "1A⁰"), =HYPERLINK("CSG7.html#group30P7", "30P⁷"), =HYPERLINK("CSG3.html#group30D3", "30D³"), =HYPERLINK("CSG1.html#group10I1", "10I¹"), =HYPERLINK("CSG3.html#group30E3", "30E³"), =HYPERLINK("CSG0.html#group6D0", "6D⁰"), =HYPERLINK("CSG0.html#group5E0", "5E⁰"), =HYPERLINK("CSG0.html#group3A0", "3A⁰"), =HYPERLINK("CSG1.html#group15A1", "15A¹"), =HYPERLINK("CSG0.html#group15A0", "15A⁰")</f>
        <v/>
      </c>
      <c r="N4472" t="inlineStr"/>
    </row>
    <row r="4473">
      <c r="A4473" t="inlineStr">
        <is>
          <t>60E¹⁶</t>
        </is>
      </c>
      <c r="B4473" t="inlineStr"/>
      <c r="C4473" t="inlineStr">
        <is>
          <t>270</t>
        </is>
      </c>
      <c r="D4473" t="inlineStr">
        <is>
          <t>1</t>
        </is>
      </c>
      <c r="E4473" t="inlineStr">
        <is>
          <t>45</t>
        </is>
      </c>
      <c r="F4473" t="inlineStr">
        <is>
          <t>12</t>
        </is>
      </c>
      <c r="G4473" t="inlineStr">
        <is>
          <t>0</t>
        </is>
      </c>
      <c r="H4473" t="inlineStr">
        <is>
          <t>15⁶, 60³</t>
        </is>
      </c>
      <c r="I4473" t="n">
        <v>9</v>
      </c>
      <c r="J4473" t="inlineStr">
        <is>
          <t>1³, 2³, 4³, 8³</t>
        </is>
      </c>
      <c r="K4473">
        <f>HYPERLINK("CSG6.html#group60C6", "60C⁶"), =HYPERLINK("CSG7.html#group30P7", "30P⁷")</f>
        <v/>
      </c>
      <c r="L4473" t="inlineStr"/>
      <c r="M4473">
        <f>HYPERLINK("CSG7.html#group30P7", "30P⁷"), =HYPERLINK("CSG3.html#group30D3", "30D³"), =HYPERLINK("CSG0.html#group5A0", "5A⁰"), =HYPERLINK("CSG1.html#group10I1", "10I¹"), =HYPERLINK("CSG6.html#group60C6", "60C⁶"), =HYPERLINK("CSG3.html#group30E3", "30E³"), =HYPERLINK("CSG1.html#group15A1", "15A¹"), =HYPERLINK("CSG1.html#group10B1", "10B¹"), =HYPERLINK("CSG1.html#group15F1", "15F¹"), =HYPERLINK("CSG0.html#group5E0", "5E⁰"), =HYPERLINK("CSG0.html#group2B0", "2B⁰"), =HYPERLINK("CSG0.html#group12D0", "12D⁰"), =HYPERLINK("CSG0.html#group3A0", "3A⁰"), =HYPERLINK("CSG0.html#group1A0", "1A⁰"), =HYPERLINK("CSG0.html#group6D0", "6D⁰"), =HYPERLINK("CSG0.html#group15A0", "15A⁰")</f>
        <v/>
      </c>
      <c r="N4473" t="inlineStr"/>
    </row>
    <row r="4474">
      <c r="A4474" t="inlineStr">
        <is>
          <t>60F¹⁶</t>
        </is>
      </c>
      <c r="B4474" t="inlineStr"/>
      <c r="C4474" t="inlineStr">
        <is>
          <t>270</t>
        </is>
      </c>
      <c r="D4474" t="inlineStr">
        <is>
          <t>1</t>
        </is>
      </c>
      <c r="E4474" t="inlineStr">
        <is>
          <t>45</t>
        </is>
      </c>
      <c r="F4474" t="inlineStr">
        <is>
          <t>12</t>
        </is>
      </c>
      <c r="G4474" t="inlineStr">
        <is>
          <t>0</t>
        </is>
      </c>
      <c r="H4474" t="inlineStr">
        <is>
          <t>15⁶, 60³</t>
        </is>
      </c>
      <c r="I4474" t="n">
        <v>9</v>
      </c>
      <c r="J4474" t="inlineStr">
        <is>
          <t>1³, 2³, 4⁹</t>
        </is>
      </c>
      <c r="K4474">
        <f>HYPERLINK("CSG3.html#group20P3", "20P³"), =HYPERLINK("CSG7.html#group30P7", "30P⁷")</f>
        <v/>
      </c>
      <c r="L4474" t="inlineStr"/>
      <c r="M4474">
        <f>HYPERLINK("CSG7.html#group30P7", "30P⁷"), =HYPERLINK("CSG3.html#group30D3", "30D³"), =HYPERLINK("CSG0.html#group5A0", "5A⁰"), =HYPERLINK("CSG1.html#group10I1", "10I¹"), =HYPERLINK("CSG3.html#group30E3", "30E³"), =HYPERLINK("CSG1.html#group15A1", "15A¹"), =HYPERLINK("CSG1.html#group10B1", "10B¹"), =HYPERLINK("CSG1.html#group15F1", "15F¹"), =HYPERLINK("CSG0.html#group5E0", "5E⁰"), =HYPERLINK("CSG3.html#group20P3", "20P³"), =HYPERLINK("CSG0.html#group2B0", "2B⁰"), =HYPERLINK("CSG0.html#group3A0", "3A⁰"), =HYPERLINK("CSG0.html#group1A0", "1A⁰"), =HYPERLINK("CSG0.html#group6D0", "6D⁰"), =HYPERLINK("CSG0.html#group15A0", "15A⁰")</f>
        <v/>
      </c>
      <c r="N4474" t="inlineStr"/>
    </row>
    <row r="4475">
      <c r="A4475" t="inlineStr">
        <is>
          <t>61A¹⁶</t>
        </is>
      </c>
      <c r="B4475" t="inlineStr"/>
      <c r="C4475" t="inlineStr">
        <is>
          <t>310</t>
        </is>
      </c>
      <c r="D4475" t="inlineStr">
        <is>
          <t>1</t>
        </is>
      </c>
      <c r="E4475" t="inlineStr">
        <is>
          <t>62</t>
        </is>
      </c>
      <c r="F4475" t="inlineStr">
        <is>
          <t>10</t>
        </is>
      </c>
      <c r="G4475" t="inlineStr">
        <is>
          <t>10</t>
        </is>
      </c>
      <c r="H4475" t="inlineStr">
        <is>
          <t>1⁵, 61⁵</t>
        </is>
      </c>
      <c r="I4475" t="n">
        <v>10</v>
      </c>
      <c r="J4475" t="inlineStr">
        <is>
          <t>1², 60¹</t>
        </is>
      </c>
      <c r="K4475">
        <f>HYPERLINK("CSG4.html#group61A4", "61A⁴")</f>
        <v/>
      </c>
      <c r="L4475" t="inlineStr"/>
      <c r="M4475">
        <f>HYPERLINK("CSG0.html#group1A0", "1A⁰"), =HYPERLINK("CSG4.html#group61A4", "61A⁴")</f>
        <v/>
      </c>
      <c r="N4475" t="inlineStr"/>
    </row>
    <row r="4476">
      <c r="A4476" t="inlineStr">
        <is>
          <t>62A¹⁶</t>
        </is>
      </c>
      <c r="B4476" t="inlineStr"/>
      <c r="C4476" t="inlineStr">
        <is>
          <t>320</t>
        </is>
      </c>
      <c r="D4476" t="inlineStr">
        <is>
          <t>1</t>
        </is>
      </c>
      <c r="E4476" t="inlineStr">
        <is>
          <t>32</t>
        </is>
      </c>
      <c r="F4476" t="inlineStr">
        <is>
          <t>0</t>
        </is>
      </c>
      <c r="G4476" t="inlineStr">
        <is>
          <t>20</t>
        </is>
      </c>
      <c r="H4476" t="inlineStr">
        <is>
          <t>2⁵, 62⁵</t>
        </is>
      </c>
      <c r="I4476" t="n">
        <v>10</v>
      </c>
      <c r="J4476" t="inlineStr">
        <is>
          <t>1², 30¹</t>
        </is>
      </c>
      <c r="K4476">
        <f>HYPERLINK("CSG4.html#group62A4", "62A⁴"), =HYPERLINK("CSG6.html#group31B6", "31B⁶")</f>
        <v/>
      </c>
      <c r="L4476" t="inlineStr"/>
      <c r="M4476">
        <f>HYPERLINK("CSG0.html#group2A0", "2A⁰"), =HYPERLINK("CSG2.html#group31A2", "31A²"), =HYPERLINK("CSG0.html#group1A0", "1A⁰"), =HYPERLINK("CSG6.html#group31B6", "31B⁶"), =HYPERLINK("CSG4.html#group62A4", "62A⁴")</f>
        <v/>
      </c>
      <c r="N4476" t="inlineStr"/>
    </row>
    <row r="4477">
      <c r="A4477" t="inlineStr">
        <is>
          <t>63A¹⁶</t>
        </is>
      </c>
      <c r="B4477" t="inlineStr"/>
      <c r="C4477" t="inlineStr">
        <is>
          <t>216</t>
        </is>
      </c>
      <c r="D4477" t="inlineStr">
        <is>
          <t>1</t>
        </is>
      </c>
      <c r="E4477" t="inlineStr">
        <is>
          <t>72</t>
        </is>
      </c>
      <c r="F4477" t="inlineStr">
        <is>
          <t>0</t>
        </is>
      </c>
      <c r="G4477" t="inlineStr">
        <is>
          <t>0</t>
        </is>
      </c>
      <c r="H4477" t="inlineStr">
        <is>
          <t>9³, 63³</t>
        </is>
      </c>
      <c r="I4477" t="n">
        <v>6</v>
      </c>
      <c r="J4477" t="inlineStr">
        <is>
          <t>1², 2², 6³, 12¹, 36¹</t>
        </is>
      </c>
      <c r="K4477">
        <f>HYPERLINK("CSG4.html#group21A4", "21A⁴"), =HYPERLINK("CSG6.html#group63A6", "63A⁶")</f>
        <v/>
      </c>
      <c r="L4477" t="inlineStr"/>
      <c r="M4477">
        <f>HYPERLINK("CSG6.html#group63A6", "63A⁶"), =HYPERLINK("CSG2.html#group21A2", "21A²"), =HYPERLINK("CSG0.html#group7B0", "7B⁰"), =HYPERLINK("CSG0.html#group9A0", "9A⁰"), =HYPERLINK("CSG4.html#group21A4", "21A⁴"), =HYPERLINK("CSG0.html#group7E0", "7E⁰"), =HYPERLINK("CSG0.html#group3A0", "3A⁰"), =HYPERLINK("CSG0.html#group1A0", "1A⁰"), =HYPERLINK("CSG1.html#group21A1", "21A¹")</f>
        <v/>
      </c>
      <c r="N4477" t="inlineStr"/>
    </row>
    <row r="4478">
      <c r="A4478" t="inlineStr">
        <is>
          <t>63B¹⁶</t>
        </is>
      </c>
      <c r="B4478" t="inlineStr"/>
      <c r="C4478" t="inlineStr">
        <is>
          <t>216</t>
        </is>
      </c>
      <c r="D4478" t="inlineStr">
        <is>
          <t>1</t>
        </is>
      </c>
      <c r="E4478" t="inlineStr">
        <is>
          <t>216</t>
        </is>
      </c>
      <c r="F4478" t="inlineStr">
        <is>
          <t>0</t>
        </is>
      </c>
      <c r="G4478" t="inlineStr">
        <is>
          <t>0</t>
        </is>
      </c>
      <c r="H4478" t="inlineStr">
        <is>
          <t>9³, 63³</t>
        </is>
      </c>
      <c r="I4478" t="n">
        <v>6</v>
      </c>
      <c r="J4478" t="inlineStr">
        <is>
          <t>3², 6⁸, 18¹, 36⁴</t>
        </is>
      </c>
      <c r="K4478">
        <f>HYPERLINK("CSG0.html#group9G0", "9G⁰"), =HYPERLINK("CSG6.html#group63A6", "63A⁶")</f>
        <v/>
      </c>
      <c r="L4478" t="inlineStr"/>
      <c r="M4478">
        <f>HYPERLINK("CSG6.html#group63A6", "63A⁶"), =HYPERLINK("CSG2.html#group21A2", "21A²"), =HYPERLINK("CSG0.html#group7B0", "7B⁰"), =HYPERLINK("CSG0.html#group9A0", "9A⁰"), =HYPERLINK("CSG0.html#group9G0", "9G⁰"), =HYPERLINK("CSG0.html#group3A0", "3A⁰"), =HYPERLINK("CSG0.html#group1A0", "1A⁰")</f>
        <v/>
      </c>
      <c r="N4478" t="inlineStr"/>
    </row>
    <row r="4479">
      <c r="A4479" t="inlineStr">
        <is>
          <t>63C¹⁶</t>
        </is>
      </c>
      <c r="B4479" t="inlineStr"/>
      <c r="C4479" t="inlineStr">
        <is>
          <t>252</t>
        </is>
      </c>
      <c r="D4479" t="inlineStr">
        <is>
          <t>1</t>
        </is>
      </c>
      <c r="E4479" t="inlineStr">
        <is>
          <t>84</t>
        </is>
      </c>
      <c r="F4479" t="inlineStr">
        <is>
          <t>0</t>
        </is>
      </c>
      <c r="G4479" t="inlineStr">
        <is>
          <t>0</t>
        </is>
      </c>
      <c r="H4479" t="inlineStr">
        <is>
          <t>7⁹, 63³</t>
        </is>
      </c>
      <c r="I4479" t="n">
        <v>12</v>
      </c>
      <c r="J4479" t="inlineStr">
        <is>
          <t>3², 6⁷, 12³</t>
        </is>
      </c>
      <c r="K4479">
        <f>HYPERLINK("CSG5.html#group21A5", "21A⁵"), =HYPERLINK("CSG6.html#group63B6", "63B⁶")</f>
        <v/>
      </c>
      <c r="L4479" t="inlineStr"/>
      <c r="M4479">
        <f>HYPERLINK("CSG0.html#group3B0", "3B⁰"), =HYPERLINK("CSG2.html#group21B2", "21B²"), =HYPERLINK("CSG0.html#group7D0", "7D⁰"), =HYPERLINK("CSG6.html#group63B6", "63B⁶"), =HYPERLINK("CSG0.html#group9B0", "9B⁰"), =HYPERLINK("CSG5.html#group21A5", "21A⁵"), =HYPERLINK("CSG0.html#group1A0", "1A⁰"), =HYPERLINK("CSG0.html#group7A0", "7A⁰")</f>
        <v/>
      </c>
      <c r="N4479" t="inlineStr"/>
    </row>
    <row r="4480">
      <c r="A4480" t="inlineStr">
        <is>
          <t>63D¹⁶</t>
        </is>
      </c>
      <c r="B4480" t="inlineStr"/>
      <c r="C4480" t="inlineStr">
        <is>
          <t>252</t>
        </is>
      </c>
      <c r="D4480" t="inlineStr">
        <is>
          <t>2</t>
        </is>
      </c>
      <c r="E4480" t="inlineStr">
        <is>
          <t>126</t>
        </is>
      </c>
      <c r="F4480" t="inlineStr">
        <is>
          <t>8</t>
        </is>
      </c>
      <c r="G4480" t="inlineStr">
        <is>
          <t>0</t>
        </is>
      </c>
      <c r="H4480" t="inlineStr">
        <is>
          <t>21⁶, 63²</t>
        </is>
      </c>
      <c r="I4480" t="n">
        <v>8</v>
      </c>
      <c r="J4480" t="inlineStr">
        <is>
          <t>2¹, 4¹, 6³, 12⁴, 18², 36⁴</t>
        </is>
      </c>
      <c r="K4480">
        <f>HYPERLINK("CSG4.html#group21B4", "21B⁴"), =HYPERLINK("CSG8.html#group63B8", "63B⁸")</f>
        <v/>
      </c>
      <c r="L4480" t="inlineStr"/>
      <c r="M4480">
        <f>HYPERLINK("CSG2.html#group21D2", "21D²"), =HYPERLINK("CSG0.html#group9E0", "9E⁰"), =HYPERLINK("CSG1.html#group21D1", "21D¹"), =HYPERLINK("CSG0.html#group21A0", "21A⁰"), =HYPERLINK("CSG0.html#group3C0", "3C⁰"), =HYPERLINK("CSG0.html#group7A0", "7A⁰"), =HYPERLINK("CSG0.html#group3A0", "3A⁰"), =HYPERLINK("CSG0.html#group1A0", "1A⁰"), =HYPERLINK("CSG4.html#group21B4", "21B⁴"), =HYPERLINK("CSG8.html#group63B8", "63B⁸")</f>
        <v/>
      </c>
      <c r="N4480" t="inlineStr"/>
    </row>
    <row r="4481">
      <c r="A4481" t="inlineStr">
        <is>
          <t>63E¹⁶</t>
        </is>
      </c>
      <c r="B4481" t="inlineStr"/>
      <c r="C4481" t="inlineStr">
        <is>
          <t>252</t>
        </is>
      </c>
      <c r="D4481" t="inlineStr">
        <is>
          <t>2</t>
        </is>
      </c>
      <c r="E4481" t="inlineStr">
        <is>
          <t>252</t>
        </is>
      </c>
      <c r="F4481" t="inlineStr">
        <is>
          <t>8</t>
        </is>
      </c>
      <c r="G4481" t="inlineStr">
        <is>
          <t>0</t>
        </is>
      </c>
      <c r="H4481" t="inlineStr">
        <is>
          <t>21⁶, 63²</t>
        </is>
      </c>
      <c r="I4481" t="n">
        <v>8</v>
      </c>
      <c r="J4481" t="inlineStr">
        <is>
          <t>6², 12¹¹, 18⁴, 36⁸</t>
        </is>
      </c>
      <c r="K4481">
        <f>HYPERLINK("CSG4.html#group21B4", "21B⁴")</f>
        <v/>
      </c>
      <c r="L4481" t="inlineStr"/>
      <c r="M4481">
        <f>HYPERLINK("CSG2.html#group21D2", "21D²"), =HYPERLINK("CSG1.html#group21D1", "21D¹"), =HYPERLINK("CSG0.html#group21A0", "21A⁰"), =HYPERLINK("CSG0.html#group3C0", "3C⁰"), =HYPERLINK("CSG0.html#group7A0", "7A⁰"), =HYPERLINK("CSG0.html#group3A0", "3A⁰"), =HYPERLINK("CSG0.html#group1A0", "1A⁰"), =HYPERLINK("CSG4.html#group21B4", "21B⁴")</f>
        <v/>
      </c>
      <c r="N4481" t="inlineStr"/>
    </row>
    <row r="4482">
      <c r="A4482" t="inlineStr">
        <is>
          <t>63F¹⁶</t>
        </is>
      </c>
      <c r="B4482" t="inlineStr"/>
      <c r="C4482" t="inlineStr">
        <is>
          <t>288</t>
        </is>
      </c>
      <c r="D4482" t="inlineStr">
        <is>
          <t>2</t>
        </is>
      </c>
      <c r="E4482" t="inlineStr">
        <is>
          <t>32</t>
        </is>
      </c>
      <c r="F4482" t="inlineStr">
        <is>
          <t>0</t>
        </is>
      </c>
      <c r="G4482" t="inlineStr">
        <is>
          <t>9</t>
        </is>
      </c>
      <c r="H4482" t="inlineStr">
        <is>
          <t>3³, 9³, 21³, 63³</t>
        </is>
      </c>
      <c r="I4482" t="n">
        <v>12</v>
      </c>
      <c r="J4482" t="inlineStr">
        <is>
          <t>2⁸, 12⁴</t>
        </is>
      </c>
      <c r="K4482">
        <f>HYPERLINK("CSG4.html#group21C4", "21C⁴"), =HYPERLINK("CSG4.html#group63A4", "63A⁴"), =HYPERLINK("CSG5.html#group63B5", "63B⁵"), =HYPERLINK("CSG6.html#group63D6", "63D⁶")</f>
        <v/>
      </c>
      <c r="L4482" t="inlineStr"/>
      <c r="M4482">
        <f>HYPERLINK("CSG0.html#group3B0", "3B⁰"), =HYPERLINK("CSG1.html#group21B1", "21B¹"), =HYPERLINK("CSG0.html#group7B0", "7B⁰"), =HYPERLINK("CSG1.html#group21A1", "21A¹"), =HYPERLINK("CSG5.html#group63B5", "63B⁵"), =HYPERLINK("CSG0.html#group9C0", "9C⁰"), =HYPERLINK("CSG0.html#group1A0", "1A⁰"), =HYPERLINK("CSG4.html#group63A4", "63A⁴"), =HYPERLINK("CSG6.html#group63D6", "63D⁶"), =HYPERLINK("CSG4.html#group21C4", "21C⁴")</f>
        <v/>
      </c>
      <c r="N4482" t="inlineStr"/>
    </row>
    <row r="4483">
      <c r="A4483" t="inlineStr">
        <is>
          <t>66A¹⁶</t>
        </is>
      </c>
      <c r="B4483" t="inlineStr"/>
      <c r="C4483" t="inlineStr">
        <is>
          <t>198</t>
        </is>
      </c>
      <c r="D4483" t="inlineStr">
        <is>
          <t>2</t>
        </is>
      </c>
      <c r="E4483" t="inlineStr">
        <is>
          <t>11</t>
        </is>
      </c>
      <c r="F4483" t="inlineStr">
        <is>
          <t>0</t>
        </is>
      </c>
      <c r="G4483" t="inlineStr">
        <is>
          <t>0</t>
        </is>
      </c>
      <c r="H4483" t="inlineStr">
        <is>
          <t>66³</t>
        </is>
      </c>
      <c r="I4483" t="n">
        <v>3</v>
      </c>
      <c r="J4483" t="inlineStr">
        <is>
          <t>2¹, 10²</t>
        </is>
      </c>
      <c r="K4483">
        <f>HYPERLINK("CSG1.html#group6C1", "6C¹"), =HYPERLINK("CSG4.html#group66A4", "66A⁴"), =HYPERLINK("CSG5.html#group22A5", "22A⁵"), =HYPERLINK("CSG6.html#group66A6", "66A⁶"), =HYPERLINK("CSG6.html#group66F6", "66F⁶")</f>
        <v/>
      </c>
      <c r="L4483" t="inlineStr"/>
      <c r="M4483">
        <f>HYPERLINK("CSG0.html#group2A0", "2A⁰"), =HYPERLINK("CSG1.html#group22A1", "22A¹"), =HYPERLINK("CSG1.html#group33A1", "33A¹"), =HYPERLINK("CSG1.html#group6C1", "6C¹"), =HYPERLINK("CSG0.html#group2B0", "2B⁰"), =HYPERLINK("CSG2.html#group22B2", "22B²"), =HYPERLINK("CSG0.html#group1A0", "1A⁰"), =HYPERLINK("CSG4.html#group66A4", "66A⁴"), =HYPERLINK("CSG0.html#group11A0", "11A⁰"), =HYPERLINK("CSG0.html#group6A0", "6A⁰"), =HYPERLINK("CSG5.html#group22A5", "22A⁵"), =HYPERLINK("CSG1.html#group6A1", "6A¹"), =HYPERLINK("CSG6.html#group66F6", "66F⁶"), =HYPERLINK("CSG0.html#group3A0", "3A⁰"), =HYPERLINK("CSG0.html#group2C0", "2C⁰"), =HYPERLINK("CSG0.html#group6D0", "6D⁰"), =HYPERLINK("CSG6.html#group66A6", "66A⁶")</f>
        <v/>
      </c>
      <c r="N4483" t="inlineStr"/>
    </row>
    <row r="4484">
      <c r="A4484" t="inlineStr">
        <is>
          <t>66B¹⁶</t>
        </is>
      </c>
      <c r="B4484" t="inlineStr"/>
      <c r="C4484" t="inlineStr">
        <is>
          <t>216</t>
        </is>
      </c>
      <c r="D4484" t="inlineStr">
        <is>
          <t>1</t>
        </is>
      </c>
      <c r="E4484" t="inlineStr">
        <is>
          <t>12</t>
        </is>
      </c>
      <c r="F4484" t="inlineStr">
        <is>
          <t>0</t>
        </is>
      </c>
      <c r="G4484" t="inlineStr">
        <is>
          <t>0</t>
        </is>
      </c>
      <c r="H4484" t="inlineStr">
        <is>
          <t>6³, 66³</t>
        </is>
      </c>
      <c r="I4484" t="n">
        <v>6</v>
      </c>
      <c r="J4484" t="inlineStr">
        <is>
          <t>1², 10¹</t>
        </is>
      </c>
      <c r="K4484">
        <f>HYPERLINK("CSG1.html#group6C1", "6C¹"), =HYPERLINK("CSG4.html#group22A4", "22A⁴"), =HYPERLINK("CSG6.html#group66B6", "66B⁶"), =HYPERLINK("CSG6.html#group66C6", "66C⁶"), =HYPERLINK("CSG8.html#group66A8", "66A⁸")</f>
        <v/>
      </c>
      <c r="L4484" t="inlineStr"/>
      <c r="M4484">
        <f>HYPERLINK("CSG8.html#group66A8", "66A⁸"), =HYPERLINK("CSG0.html#group2A0", "2A⁰"), =HYPERLINK("CSG1.html#group6C1", "6C¹"), =HYPERLINK("CSG0.html#group2B0", "2B⁰"), =HYPERLINK("CSG2.html#group22C2", "22C²"), =HYPERLINK("CSG3.html#group33A3", "33A³"), =HYPERLINK("CSG0.html#group1A0", "1A⁰"), =HYPERLINK("CSG4.html#group22A4", "22A⁴"), =HYPERLINK("CSG0.html#group6A0", "6A⁰"), =HYPERLINK("CSG1.html#group11A1", "11A¹"), =HYPERLINK("CSG2.html#group22A2", "22A²"), =HYPERLINK("CSG6.html#group66B6", "66B⁶"), =HYPERLINK("CSG6.html#group66C6", "66C⁶"), =HYPERLINK("CSG1.html#group6A1", "6A¹"), =HYPERLINK("CSG0.html#group3A0", "3A⁰"), =HYPERLINK("CSG0.html#group2C0", "2C⁰"), =HYPERLINK("CSG0.html#group6D0", "6D⁰")</f>
        <v/>
      </c>
      <c r="N4484" t="inlineStr"/>
    </row>
    <row r="4485">
      <c r="A4485" t="inlineStr">
        <is>
          <t>66C¹⁶</t>
        </is>
      </c>
      <c r="B4485" t="inlineStr"/>
      <c r="C4485" t="inlineStr">
        <is>
          <t>216</t>
        </is>
      </c>
      <c r="D4485" t="inlineStr">
        <is>
          <t>1</t>
        </is>
      </c>
      <c r="E4485" t="inlineStr">
        <is>
          <t>108</t>
        </is>
      </c>
      <c r="F4485" t="inlineStr">
        <is>
          <t>0</t>
        </is>
      </c>
      <c r="G4485" t="inlineStr">
        <is>
          <t>0</t>
        </is>
      </c>
      <c r="H4485" t="inlineStr">
        <is>
          <t>6³, 66³</t>
        </is>
      </c>
      <c r="I4485" t="n">
        <v>6</v>
      </c>
      <c r="J4485" t="inlineStr">
        <is>
          <t>1⁶, 2⁶, 10³, 20³</t>
        </is>
      </c>
      <c r="K4485">
        <f>HYPERLINK("CSG0.html#group6H0", "6H⁰"), =HYPERLINK("CSG6.html#group66D6", "66D⁶"), =HYPERLINK("CSG8.html#group66A8", "66A⁸")</f>
        <v/>
      </c>
      <c r="L4485" t="inlineStr"/>
      <c r="M4485">
        <f>HYPERLINK("CSG2.html#group22C2", "22C²"), =HYPERLINK("CSG8.html#group66A8", "66A⁸"), =HYPERLINK("CSG0.html#group6B0", "6B⁰"), =HYPERLINK("CSG6.html#group66D6", "66D⁶"), =HYPERLINK("CSG1.html#group11A1", "11A¹"), =HYPERLINK("CSG0.html#group2B0", "2B⁰"), =HYPERLINK("CSG0.html#group6H0", "6H⁰"), =HYPERLINK("CSG0.html#group3A0", "3A⁰"), =HYPERLINK("CSG3.html#group33A3", "33A³"), =HYPERLINK("CSG0.html#group1A0", "1A⁰"), =HYPERLINK("CSG0.html#group6D0", "6D⁰")</f>
        <v/>
      </c>
      <c r="N4485" t="inlineStr"/>
    </row>
    <row r="4486">
      <c r="A4486" t="inlineStr">
        <is>
          <t>70A¹⁶</t>
        </is>
      </c>
      <c r="B4486" t="inlineStr"/>
      <c r="C4486" t="inlineStr">
        <is>
          <t>210</t>
        </is>
      </c>
      <c r="D4486" t="inlineStr">
        <is>
          <t>2</t>
        </is>
      </c>
      <c r="E4486" t="inlineStr">
        <is>
          <t>105</t>
        </is>
      </c>
      <c r="F4486" t="inlineStr">
        <is>
          <t>2</t>
        </is>
      </c>
      <c r="G4486" t="inlineStr">
        <is>
          <t>0</t>
        </is>
      </c>
      <c r="H4486" t="inlineStr">
        <is>
          <t>35², 70²</t>
        </is>
      </c>
      <c r="I4486" t="n">
        <v>4</v>
      </c>
      <c r="J4486" t="inlineStr">
        <is>
          <t>2³, 6⁶, 8³, 24⁶</t>
        </is>
      </c>
      <c r="K4486">
        <f>HYPERLINK("CSG2.html#group14A2", "14A²"), =HYPERLINK("CSG4.html#group35A4", "35A⁴"), =HYPERLINK("CSG8.html#group70A8", "70A⁸")</f>
        <v/>
      </c>
      <c r="L4486" t="inlineStr"/>
      <c r="M4486">
        <f>HYPERLINK("CSG0.html#group5A0", "5A⁰"), =HYPERLINK("CSG2.html#group14A2", "14A²"), =HYPERLINK("CSG1.html#group14B1", "14B¹"), =HYPERLINK("CSG1.html#group10B1", "10B¹"), =HYPERLINK("CSG4.html#group35A4", "35A⁴"), =HYPERLINK("CSG0.html#group7C0", "7C⁰"), =HYPERLINK("CSG8.html#group70A8", "70A⁸"), =HYPERLINK("CSG0.html#group2B0", "2B⁰"), =HYPERLINK("CSG0.html#group1A0", "1A⁰"), =HYPERLINK("CSG2.html#group35A2", "35A²"), =HYPERLINK("CSG0.html#group7A0", "7A⁰")</f>
        <v/>
      </c>
      <c r="N4486" t="inlineStr"/>
    </row>
    <row r="4487">
      <c r="A4487" t="inlineStr">
        <is>
          <t>70B¹⁶</t>
        </is>
      </c>
      <c r="B4487" t="inlineStr"/>
      <c r="C4487" t="inlineStr">
        <is>
          <t>210</t>
        </is>
      </c>
      <c r="D4487" t="inlineStr">
        <is>
          <t>2</t>
        </is>
      </c>
      <c r="E4487" t="inlineStr">
        <is>
          <t>105</t>
        </is>
      </c>
      <c r="F4487" t="inlineStr">
        <is>
          <t>4</t>
        </is>
      </c>
      <c r="G4487" t="inlineStr">
        <is>
          <t>0</t>
        </is>
      </c>
      <c r="H4487" t="inlineStr">
        <is>
          <t>70³</t>
        </is>
      </c>
      <c r="I4487" t="n">
        <v>3</v>
      </c>
      <c r="J4487" t="inlineStr">
        <is>
          <t>6⁷, 24⁷</t>
        </is>
      </c>
      <c r="K4487">
        <f>HYPERLINK("CSG2.html#group14B2", "14B²"), =HYPERLINK("CSG4.html#group70A4", "70A⁴"), =HYPERLINK("CSG7.html#group35A7", "35A⁷")</f>
        <v/>
      </c>
      <c r="L4487" t="inlineStr"/>
      <c r="M4487">
        <f>HYPERLINK("CSG0.html#group14A0", "14A⁰"), =HYPERLINK("CSG0.html#group5A0", "5A⁰"), =HYPERLINK("CSG2.html#group14B2", "14B²"), =HYPERLINK("CSG4.html#group70A4", "70A⁴"), =HYPERLINK("CSG0.html#group7D0", "7D⁰"), =HYPERLINK("CSG7.html#group35A7", "35A⁷"), =HYPERLINK("CSG0.html#group1A0", "1A⁰"), =HYPERLINK("CSG2.html#group35A2", "35A²"), =HYPERLINK("CSG0.html#group7A0", "7A⁰")</f>
        <v/>
      </c>
      <c r="N4487" t="inlineStr"/>
    </row>
    <row r="4488">
      <c r="A4488" t="inlineStr">
        <is>
          <t>70C¹⁶</t>
        </is>
      </c>
      <c r="B4488" t="inlineStr"/>
      <c r="C4488" t="inlineStr">
        <is>
          <t>210</t>
        </is>
      </c>
      <c r="D4488" t="inlineStr">
        <is>
          <t>2</t>
        </is>
      </c>
      <c r="E4488" t="inlineStr">
        <is>
          <t>105</t>
        </is>
      </c>
      <c r="F4488" t="inlineStr">
        <is>
          <t>4</t>
        </is>
      </c>
      <c r="G4488" t="inlineStr">
        <is>
          <t>0</t>
        </is>
      </c>
      <c r="H4488" t="inlineStr">
        <is>
          <t>70³</t>
        </is>
      </c>
      <c r="I4488" t="n">
        <v>3</v>
      </c>
      <c r="J4488" t="inlineStr">
        <is>
          <t>2³, 6⁶, 8³, 24⁶</t>
        </is>
      </c>
      <c r="K4488">
        <f>HYPERLINK("CSG2.html#group14C2", "14C²"), =HYPERLINK("CSG4.html#group70A4", "70A⁴"), =HYPERLINK("CSG8.html#group70A8", "70A⁸")</f>
        <v/>
      </c>
      <c r="L4488" t="inlineStr"/>
      <c r="M4488">
        <f>HYPERLINK("CSG0.html#group14A0", "14A⁰"), =HYPERLINK("CSG0.html#group5A0", "5A⁰"), =HYPERLINK("CSG4.html#group70A4", "70A⁴"), =HYPERLINK("CSG1.html#group14B1", "14B¹"), =HYPERLINK("CSG1.html#group10B1", "10B¹"), =HYPERLINK("CSG2.html#group14C2", "14C²"), =HYPERLINK("CSG8.html#group70A8", "70A⁸"), =HYPERLINK("CSG0.html#group2B0", "2B⁰"), =HYPERLINK("CSG0.html#group1A0", "1A⁰"), =HYPERLINK("CSG2.html#group35A2", "35A²"), =HYPERLINK("CSG0.html#group7A0", "7A⁰")</f>
        <v/>
      </c>
      <c r="N4488" t="inlineStr"/>
    </row>
    <row r="4489">
      <c r="A4489" t="inlineStr">
        <is>
          <t>70D¹⁶</t>
        </is>
      </c>
      <c r="B4489" t="inlineStr"/>
      <c r="C4489" t="inlineStr">
        <is>
          <t>240</t>
        </is>
      </c>
      <c r="D4489" t="inlineStr">
        <is>
          <t>1</t>
        </is>
      </c>
      <c r="E4489" t="inlineStr">
        <is>
          <t>80</t>
        </is>
      </c>
      <c r="F4489" t="inlineStr">
        <is>
          <t>0</t>
        </is>
      </c>
      <c r="G4489" t="inlineStr">
        <is>
          <t>6</t>
        </is>
      </c>
      <c r="H4489" t="inlineStr">
        <is>
          <t>10³, 70³</t>
        </is>
      </c>
      <c r="I4489" t="n">
        <v>6</v>
      </c>
      <c r="J4489" t="inlineStr">
        <is>
          <t>2⁴, 4⁸, 12², 24⁴</t>
        </is>
      </c>
      <c r="K4489">
        <f>HYPERLINK("CSG4.html#group70B4", "70B⁴")</f>
        <v/>
      </c>
      <c r="L4489" t="inlineStr"/>
      <c r="M4489">
        <f>HYPERLINK("CSG0.html#group2A0", "2A⁰"), =HYPERLINK("CSG0.html#group5A0", "5A⁰"), =HYPERLINK("CSG0.html#group10A0", "10A⁰"), =HYPERLINK("CSG4.html#group70B4", "70B⁴"), =HYPERLINK("CSG0.html#group7B0", "7B⁰"), =HYPERLINK("CSG0.html#group14B0", "14B⁰"), =HYPERLINK("CSG2.html#group35B2", "35B²"), =HYPERLINK("CSG0.html#group1A0", "1A⁰")</f>
        <v/>
      </c>
      <c r="N4489" t="inlineStr"/>
    </row>
    <row r="4490">
      <c r="A4490" t="inlineStr">
        <is>
          <t>70E¹⁶</t>
        </is>
      </c>
      <c r="B4490" t="inlineStr"/>
      <c r="C4490" t="inlineStr">
        <is>
          <t>240</t>
        </is>
      </c>
      <c r="D4490" t="inlineStr">
        <is>
          <t>1</t>
        </is>
      </c>
      <c r="E4490" t="inlineStr">
        <is>
          <t>80</t>
        </is>
      </c>
      <c r="F4490" t="inlineStr">
        <is>
          <t>0</t>
        </is>
      </c>
      <c r="G4490" t="inlineStr">
        <is>
          <t>6</t>
        </is>
      </c>
      <c r="H4490" t="inlineStr">
        <is>
          <t>10³, 70³</t>
        </is>
      </c>
      <c r="I4490" t="n">
        <v>6</v>
      </c>
      <c r="J4490" t="inlineStr">
        <is>
          <t>2⁴, 4⁸, 12², 24⁴</t>
        </is>
      </c>
      <c r="K4490">
        <f>HYPERLINK("CSG4.html#group70B4", "70B⁴")</f>
        <v/>
      </c>
      <c r="L4490" t="inlineStr"/>
      <c r="M4490">
        <f>HYPERLINK("CSG0.html#group2A0", "2A⁰"), =HYPERLINK("CSG0.html#group5A0", "5A⁰"), =HYPERLINK("CSG0.html#group10A0", "10A⁰"), =HYPERLINK("CSG4.html#group70B4", "70B⁴"), =HYPERLINK("CSG0.html#group7B0", "7B⁰"), =HYPERLINK("CSG0.html#group14B0", "14B⁰"), =HYPERLINK("CSG2.html#group35B2", "35B²"), =HYPERLINK("CSG0.html#group1A0", "1A⁰")</f>
        <v/>
      </c>
      <c r="N4490" t="inlineStr"/>
    </row>
    <row r="4491">
      <c r="A4491" t="inlineStr">
        <is>
          <t>70F¹⁶</t>
        </is>
      </c>
      <c r="B4491" t="inlineStr"/>
      <c r="C4491" t="inlineStr">
        <is>
          <t>252</t>
        </is>
      </c>
      <c r="D4491" t="inlineStr">
        <is>
          <t>2</t>
        </is>
      </c>
      <c r="E4491" t="inlineStr">
        <is>
          <t>126</t>
        </is>
      </c>
      <c r="F4491" t="inlineStr">
        <is>
          <t>8</t>
        </is>
      </c>
      <c r="G4491" t="inlineStr">
        <is>
          <t>0</t>
        </is>
      </c>
      <c r="H4491" t="inlineStr">
        <is>
          <t>7², 14², 35², 70²</t>
        </is>
      </c>
      <c r="I4491" t="n">
        <v>8</v>
      </c>
      <c r="J4491" t="inlineStr">
        <is>
          <t>2⁶, 6¹², 8³, 24⁶</t>
        </is>
      </c>
      <c r="K4491">
        <f>HYPERLINK("CSG4.html#group35C4", "35C⁴"), =HYPERLINK("CSG8.html#group70B8", "70B⁸")</f>
        <v/>
      </c>
      <c r="L4491" t="inlineStr"/>
      <c r="M4491">
        <f>HYPERLINK("CSG2.html#group35C2", "35C²"), =HYPERLINK("CSG4.html#group35C4", "35C⁴"), =HYPERLINK("CSG1.html#group14B1", "14B¹"), =HYPERLINK("CSG0.html#group5B0", "5B⁰"), =HYPERLINK("CSG8.html#group70B8", "70B⁸"), =HYPERLINK("CSG0.html#group10C0", "10C⁰"), =HYPERLINK("CSG0.html#group2B0", "2B⁰"), =HYPERLINK("CSG0.html#group1A0", "1A⁰"), =HYPERLINK("CSG0.html#group7A0", "7A⁰")</f>
        <v/>
      </c>
      <c r="N4491" t="inlineStr"/>
    </row>
    <row r="4492">
      <c r="A4492" t="inlineStr">
        <is>
          <t>70G¹⁶</t>
        </is>
      </c>
      <c r="B4492" t="inlineStr"/>
      <c r="C4492" t="inlineStr">
        <is>
          <t>252</t>
        </is>
      </c>
      <c r="D4492" t="inlineStr">
        <is>
          <t>2</t>
        </is>
      </c>
      <c r="E4492" t="inlineStr">
        <is>
          <t>126</t>
        </is>
      </c>
      <c r="F4492" t="inlineStr">
        <is>
          <t>12</t>
        </is>
      </c>
      <c r="G4492" t="inlineStr">
        <is>
          <t>0</t>
        </is>
      </c>
      <c r="H4492" t="inlineStr">
        <is>
          <t>14³, 70³</t>
        </is>
      </c>
      <c r="I4492" t="n">
        <v>6</v>
      </c>
      <c r="J4492" t="inlineStr">
        <is>
          <t>6¹⁴, 24⁷</t>
        </is>
      </c>
      <c r="K4492">
        <f>HYPERLINK("CSG6.html#group35E6", "35E⁶"), =HYPERLINK("CSG6.html#group70A6", "70A⁶")</f>
        <v/>
      </c>
      <c r="L4492" t="inlineStr"/>
      <c r="M4492">
        <f>HYPERLINK("CSG2.html#group35C2", "35C²"), =HYPERLINK("CSG0.html#group7D0", "7D⁰"), =HYPERLINK("CSG6.html#group35E6", "35E⁶"), =HYPERLINK("CSG0.html#group5B0", "5B⁰"), =HYPERLINK("CSG0.html#group1A0", "1A⁰"), =HYPERLINK("CSG6.html#group70A6", "70A⁶"), =HYPERLINK("CSG0.html#group7A0", "7A⁰")</f>
        <v/>
      </c>
      <c r="N4492" t="inlineStr"/>
    </row>
    <row r="4493">
      <c r="A4493" t="inlineStr">
        <is>
          <t>70H¹⁶</t>
        </is>
      </c>
      <c r="B4493" t="inlineStr"/>
      <c r="C4493" t="inlineStr">
        <is>
          <t>252</t>
        </is>
      </c>
      <c r="D4493" t="inlineStr">
        <is>
          <t>2</t>
        </is>
      </c>
      <c r="E4493" t="inlineStr">
        <is>
          <t>126</t>
        </is>
      </c>
      <c r="F4493" t="inlineStr">
        <is>
          <t>12</t>
        </is>
      </c>
      <c r="G4493" t="inlineStr">
        <is>
          <t>0</t>
        </is>
      </c>
      <c r="H4493" t="inlineStr">
        <is>
          <t>14³, 70³</t>
        </is>
      </c>
      <c r="I4493" t="n">
        <v>6</v>
      </c>
      <c r="J4493" t="inlineStr">
        <is>
          <t>2⁶, 6¹², 8³, 24⁶</t>
        </is>
      </c>
      <c r="K4493">
        <f>HYPERLINK("CSG0.html#group10G0", "10G⁰"), =HYPERLINK("CSG4.html#group70C4", "70C⁴"), =HYPERLINK("CSG8.html#group70B8", "70B⁸")</f>
        <v/>
      </c>
      <c r="L4493" t="inlineStr"/>
      <c r="M4493">
        <f>HYPERLINK("CSG2.html#group35C2", "35C²"), =HYPERLINK("CSG0.html#group10G0", "10G⁰"), =HYPERLINK("CSG4.html#group70C4", "70C⁴"), =HYPERLINK("CSG1.html#group14B1", "14B¹"), =HYPERLINK("CSG0.html#group5B0", "5B⁰"), =HYPERLINK("CSG8.html#group70B8", "70B⁸"), =HYPERLINK("CSG0.html#group10C0", "10C⁰"), =HYPERLINK("CSG0.html#group2B0", "2B⁰"), =HYPERLINK("CSG0.html#group1A0", "1A⁰"), =HYPERLINK("CSG0.html#group7A0", "7A⁰"), =HYPERLINK("CSG0.html#group10B0", "10B⁰")</f>
        <v/>
      </c>
      <c r="N4493" t="inlineStr"/>
    </row>
    <row r="4494">
      <c r="A4494" t="inlineStr">
        <is>
          <t>72A¹⁶</t>
        </is>
      </c>
      <c r="B4494" t="inlineStr"/>
      <c r="C4494" t="inlineStr">
        <is>
          <t>216</t>
        </is>
      </c>
      <c r="D4494" t="inlineStr">
        <is>
          <t>1</t>
        </is>
      </c>
      <c r="E4494" t="inlineStr">
        <is>
          <t>27</t>
        </is>
      </c>
      <c r="F4494" t="inlineStr">
        <is>
          <t>0</t>
        </is>
      </c>
      <c r="G4494" t="inlineStr">
        <is>
          <t>0</t>
        </is>
      </c>
      <c r="H4494" t="inlineStr">
        <is>
          <t>18⁴, 72²</t>
        </is>
      </c>
      <c r="I4494" t="n">
        <v>6</v>
      </c>
      <c r="J4494" t="inlineStr">
        <is>
          <t>1³, 2³, 6³</t>
        </is>
      </c>
      <c r="K4494">
        <f>HYPERLINK("CSG4.html#group24D4", "24D⁴"), =HYPERLINK("CSG6.html#group72C6", "72C⁶"), =HYPERLINK("CSG8.html#group36B8", "36B⁸"), =HYPERLINK("CSG8.html#group72B8", "72B⁸")</f>
        <v/>
      </c>
      <c r="L4494" t="inlineStr"/>
      <c r="M4494">
        <f>HYPERLINK("CSG0.html#group2A0", "2A⁰"), =HYPERLINK("CSG0.html#group12C0", "12C⁰"), =HYPERLINK("CSG8.html#group72B8", "72B⁸"), =HYPERLINK("CSG2.html#group36B2", "36B²"), =HYPERLINK("CSG0.html#group4C0", "4C⁰"), =HYPERLINK("CSG1.html#group6C1", "6C¹"), =HYPERLINK("CSG2.html#group12B2", "12B²"), =HYPERLINK("CSG0.html#group2B0", "2B⁰"), =HYPERLINK("CSG0.html#group4E0", "4E⁰"), =HYPERLINK("CSG0.html#group8C0", "8C⁰"), =HYPERLINK("CSG0.html#group4B0", "4B⁰"), =HYPERLINK("CSG0.html#group1A0", "1A⁰"), =HYPERLINK("CSG2.html#group24B2", "24B²"), =HYPERLINK("CSG0.html#group8G0", "8G⁰"), =HYPERLINK("CSG4.html#group18A4", "18A⁴"), =HYPERLINK("CSG1.html#group12B1", "12B¹"), =HYPERLINK("CSG1.html#group6A1", "6A¹"), =HYPERLINK("CSG1.html#group18E1", "18E¹"), =HYPERLINK("CSG0.html#group3A0", "3A⁰"), =HYPERLINK("CSG0.html#group8D0", "8D⁰"), =HYPERLINK("CSG8.html#group36B8", "36B⁸"), =HYPERLINK("CSG2.html#group18A2", "18A²"), =HYPERLINK("CSG4.html#group24D4", "24D⁴"), =HYPERLINK("CSG6.html#group72C6", "72C⁶"), =HYPERLINK("CSG0.html#group6A0", "6A⁰"), =HYPERLINK("CSG0.html#group9A0", "9A⁰"), =HYPERLINK("CSG4.html#group36D4", "36D⁴"), =HYPERLINK("CSG1.html#group24C1", "24C¹"), =HYPERLINK("CSG0.html#group2C0", "2C⁰"), =HYPERLINK("CSG0.html#group6D0", "6D⁰")</f>
        <v/>
      </c>
      <c r="N4494" t="inlineStr"/>
    </row>
    <row r="4495">
      <c r="A4495" t="inlineStr">
        <is>
          <t>72B¹⁶</t>
        </is>
      </c>
      <c r="B4495" t="inlineStr"/>
      <c r="C4495" t="inlineStr">
        <is>
          <t>216</t>
        </is>
      </c>
      <c r="D4495" t="inlineStr">
        <is>
          <t>1</t>
        </is>
      </c>
      <c r="E4495" t="inlineStr">
        <is>
          <t>27</t>
        </is>
      </c>
      <c r="F4495" t="inlineStr">
        <is>
          <t>0</t>
        </is>
      </c>
      <c r="G4495" t="inlineStr">
        <is>
          <t>0</t>
        </is>
      </c>
      <c r="H4495" t="inlineStr">
        <is>
          <t>18⁴, 72²</t>
        </is>
      </c>
      <c r="I4495" t="n">
        <v>6</v>
      </c>
      <c r="J4495" t="inlineStr">
        <is>
          <t>1³, 2³, 6³</t>
        </is>
      </c>
      <c r="K4495">
        <f>HYPERLINK("CSG4.html#group24E4", "24E⁴"), =HYPERLINK("CSG6.html#group72D6", "72D⁶"), =HYPERLINK("CSG8.html#group36B8", "36B⁸"), =HYPERLINK("CSG8.html#group72C8", "72C⁸")</f>
        <v/>
      </c>
      <c r="L4495" t="inlineStr"/>
      <c r="M4495">
        <f>HYPERLINK("CSG0.html#group2A0", "2A⁰"), =HYPERLINK("CSG1.html#group24E1", "24E¹"), =HYPERLINK("CSG0.html#group12C0", "12C⁰"), =HYPERLINK("CSG1.html#group6C1", "6C¹"), =HYPERLINK("CSG0.html#group4C0", "4C⁰"), =HYPERLINK("CSG2.html#group12B2", "12B²"), =HYPERLINK("CSG2.html#group36B2", "36B²"), =HYPERLINK("CSG8.html#group36B8", "36B⁸"), =HYPERLINK("CSG0.html#group2B0", "2B⁰"), =HYPERLINK("CSG0.html#group4E0", "4E⁰"), =HYPERLINK("CSG2.html#group18A2", "18A²"), =HYPERLINK("CSG0.html#group4B0", "4B⁰"), =HYPERLINK("CSG0.html#group1A0", "1A⁰"), =HYPERLINK("CSG0.html#group6A0", "6A⁰"), =HYPERLINK("CSG6.html#group72D6", "72D⁶"), =HYPERLINK("CSG8.html#group72C8", "72C⁸"), =HYPERLINK("CSG4.html#group18A4", "18A⁴"), =HYPERLINK("CSG0.html#group9A0", "9A⁰"), =HYPERLINK("CSG2.html#group24D2", "24D²"), =HYPERLINK("CSG4.html#group36D4", "36D⁴"), =HYPERLINK("CSG4.html#group24E4", "24E⁴"), =HYPERLINK("CSG1.html#group12B1", "12B¹"), =HYPERLINK("CSG1.html#group6A1", "6A¹"), =HYPERLINK("CSG1.html#group18E1", "18E¹"), =HYPERLINK("CSG0.html#group3A0", "3A⁰"), =HYPERLINK("CSG0.html#group2C0", "2C⁰"), =HYPERLINK("CSG0.html#group6D0", "6D⁰")</f>
        <v/>
      </c>
      <c r="N4495" t="inlineStr"/>
    </row>
    <row r="4496">
      <c r="A4496" t="inlineStr">
        <is>
          <t>72C¹⁶</t>
        </is>
      </c>
      <c r="B4496" t="inlineStr"/>
      <c r="C4496" t="inlineStr">
        <is>
          <t>216</t>
        </is>
      </c>
      <c r="D4496" t="inlineStr">
        <is>
          <t>1</t>
        </is>
      </c>
      <c r="E4496" t="inlineStr">
        <is>
          <t>54</t>
        </is>
      </c>
      <c r="F4496" t="inlineStr">
        <is>
          <t>0</t>
        </is>
      </c>
      <c r="G4496" t="inlineStr">
        <is>
          <t>0</t>
        </is>
      </c>
      <c r="H4496" t="inlineStr">
        <is>
          <t>18⁴, 72²</t>
        </is>
      </c>
      <c r="I4496" t="n">
        <v>6</v>
      </c>
      <c r="J4496" t="inlineStr">
        <is>
          <t>2⁷, 4¹, 6⁴, 12¹</t>
        </is>
      </c>
      <c r="K4496">
        <f>HYPERLINK("CSG4.html#group24I4", "24I⁴"), =HYPERLINK("CSG8.html#group36C8", "36C⁸"), =HYPERLINK("CSG8.html#group72E8", "72E⁸")</f>
        <v/>
      </c>
      <c r="L4496" t="inlineStr"/>
      <c r="M4496">
        <f>HYPERLINK("CSG4.html#group24I4", "24I⁴"), =HYPERLINK("CSG8.html#group72E8", "72E⁸"), =HYPERLINK("CSG0.html#group6B0", "6B⁰"), =HYPERLINK("CSG8.html#group36C8", "36C⁸"), =HYPERLINK("CSG3.html#group36E3", "36E³"), =HYPERLINK("CSG2.html#group12D2", "12D²"), =HYPERLINK("CSG1.html#group18B1", "18B¹"), =HYPERLINK("CSG0.html#group2B0", "2B⁰"), =HYPERLINK("CSG0.html#group4B0", "4B⁰"), =HYPERLINK("CSG0.html#group1A0", "1A⁰"), =HYPERLINK("CSG3.html#group18D3", "18D³"), =HYPERLINK("CSG1.html#group12C1", "12C¹"), =HYPERLINK("CSG0.html#group9A0", "9A⁰"), =HYPERLINK("CSG2.html#group24D2", "24D²"), =HYPERLINK("CSG4.html#group36D4", "36D⁴"), =HYPERLINK("CSG1.html#group18E1", "18E¹"), =HYPERLINK("CSG1.html#group12B1", "12B¹"), =HYPERLINK("CSG0.html#group6H0", "6H⁰"), =HYPERLINK("CSG0.html#group3A0", "3A⁰"), =HYPERLINK("CSG1.html#group18A1", "18A¹"), =HYPERLINK("CSG0.html#group6D0", "6D⁰")</f>
        <v/>
      </c>
      <c r="N4496" t="inlineStr"/>
    </row>
    <row r="4497">
      <c r="A4497" t="inlineStr">
        <is>
          <t>72D¹⁶</t>
        </is>
      </c>
      <c r="B4497" t="inlineStr"/>
      <c r="C4497" t="inlineStr">
        <is>
          <t>216</t>
        </is>
      </c>
      <c r="D4497" t="inlineStr">
        <is>
          <t>1</t>
        </is>
      </c>
      <c r="E4497" t="inlineStr">
        <is>
          <t>54</t>
        </is>
      </c>
      <c r="F4497" t="inlineStr">
        <is>
          <t>0</t>
        </is>
      </c>
      <c r="G4497" t="inlineStr">
        <is>
          <t>0</t>
        </is>
      </c>
      <c r="H4497" t="inlineStr">
        <is>
          <t>18⁴, 72²</t>
        </is>
      </c>
      <c r="I4497" t="n">
        <v>6</v>
      </c>
      <c r="J4497" t="inlineStr">
        <is>
          <t>1⁴, 2⁵, 4¹, 6⁴, 12¹</t>
        </is>
      </c>
      <c r="K4497">
        <f>HYPERLINK("CSG4.html#group24J4", "24J⁴"), =HYPERLINK("CSG8.html#group36C8", "36C⁸"), =HYPERLINK("CSG8.html#group72B8", "72B⁸"), =HYPERLINK("CSG8.html#group72C8", "72C⁸")</f>
        <v/>
      </c>
      <c r="L4497" t="inlineStr"/>
      <c r="M4497">
        <f>HYPERLINK("CSG0.html#group6B0", "6B⁰"), =HYPERLINK("CSG8.html#group36C8", "36C⁸"), =HYPERLINK("CSG3.html#group36E3", "36E³"), =HYPERLINK("CSG2.html#group12D2", "12D²"), =HYPERLINK("CSG0.html#group6H0", "6H⁰"), =HYPERLINK("CSG8.html#group72B8", "72B⁸"), =HYPERLINK("CSG4.html#group24J4", "24J⁴"), =HYPERLINK("CSG1.html#group18B1", "18B¹"), =HYPERLINK("CSG0.html#group2B0", "2B⁰"), =HYPERLINK("CSG0.html#group8C0", "8C⁰"), =HYPERLINK("CSG0.html#group4B0", "4B⁰"), =HYPERLINK("CSG0.html#group1A0", "1A⁰"), =HYPERLINK("CSG2.html#group24B2", "24B²"), =HYPERLINK("CSG3.html#group18D3", "18D³"), =HYPERLINK("CSG1.html#group12C1", "12C¹"), =HYPERLINK("CSG8.html#group72C8", "72C⁸"), =HYPERLINK("CSG0.html#group9A0", "9A⁰"), =HYPERLINK("CSG2.html#group24D2", "24D²"), =HYPERLINK("CSG4.html#group36D4", "36D⁴"), =HYPERLINK("CSG1.html#group12B1", "12B¹"), =HYPERLINK("CSG1.html#group18E1", "18E¹"), =HYPERLINK("CSG0.html#group3A0", "3A⁰"), =HYPERLINK("CSG1.html#group18A1", "18A¹"), =HYPERLINK("CSG0.html#group6D0", "6D⁰")</f>
        <v/>
      </c>
      <c r="N4497" t="inlineStr"/>
    </row>
    <row r="4498">
      <c r="A4498" t="inlineStr">
        <is>
          <t>72E¹⁶</t>
        </is>
      </c>
      <c r="B4498" t="inlineStr"/>
      <c r="C4498" t="inlineStr">
        <is>
          <t>216</t>
        </is>
      </c>
      <c r="D4498" t="inlineStr">
        <is>
          <t>1</t>
        </is>
      </c>
      <c r="E4498" t="inlineStr">
        <is>
          <t>108</t>
        </is>
      </c>
      <c r="F4498" t="inlineStr">
        <is>
          <t>0</t>
        </is>
      </c>
      <c r="G4498" t="inlineStr">
        <is>
          <t>0</t>
        </is>
      </c>
      <c r="H4498" t="inlineStr">
        <is>
          <t>9², 18¹, 36¹, 72²</t>
        </is>
      </c>
      <c r="I4498" t="n">
        <v>6</v>
      </c>
      <c r="J4498" t="inlineStr">
        <is>
          <t>1⁴, 2⁶, 4³, 6⁴, 8¹, 12², 24¹</t>
        </is>
      </c>
      <c r="K4498">
        <f>HYPERLINK("CSG4.html#group24F4", "24F⁴"), =HYPERLINK("CSG8.html#group72B8", "72B⁸")</f>
        <v/>
      </c>
      <c r="L4498" t="inlineStr"/>
      <c r="M4498">
        <f>HYPERLINK("CSG2.html#group24B2", "24B²"), =HYPERLINK("CSG4.html#group24F4", "24F⁴"), =HYPERLINK("CSG0.html#group3A0", "3A⁰"), =HYPERLINK("CSG0.html#group9A0", "9A⁰"), =HYPERLINK("CSG8.html#group72B8", "72B⁸"), =HYPERLINK("CSG4.html#group36D4", "36D⁴"), =HYPERLINK("CSG1.html#group18E1", "18E¹"), =HYPERLINK("CSG0.html#group8C0", "8C⁰"), =HYPERLINK("CSG1.html#group12B1", "12B¹"), =HYPERLINK("CSG0.html#group8I0", "8I⁰"), =HYPERLINK("CSG0.html#group2B0", "2B⁰"), =HYPERLINK("CSG0.html#group4B0", "4B⁰"), =HYPERLINK("CSG0.html#group1A0", "1A⁰"), =HYPERLINK("CSG0.html#group6D0", "6D⁰")</f>
        <v/>
      </c>
      <c r="N4498" t="inlineStr"/>
    </row>
    <row r="4499">
      <c r="A4499" t="inlineStr">
        <is>
          <t>72F¹⁶</t>
        </is>
      </c>
      <c r="B4499" t="inlineStr"/>
      <c r="C4499" t="inlineStr">
        <is>
          <t>216</t>
        </is>
      </c>
      <c r="D4499" t="inlineStr">
        <is>
          <t>1</t>
        </is>
      </c>
      <c r="E4499" t="inlineStr">
        <is>
          <t>108</t>
        </is>
      </c>
      <c r="F4499" t="inlineStr">
        <is>
          <t>0</t>
        </is>
      </c>
      <c r="G4499" t="inlineStr">
        <is>
          <t>0</t>
        </is>
      </c>
      <c r="H4499" t="inlineStr">
        <is>
          <t>9², 18¹, 36¹, 72²</t>
        </is>
      </c>
      <c r="I4499" t="n">
        <v>6</v>
      </c>
      <c r="J4499" t="inlineStr">
        <is>
          <t>1⁴, 2⁶, 4³, 6⁴, 8¹, 12², 24¹</t>
        </is>
      </c>
      <c r="K4499">
        <f>HYPERLINK("CSG4.html#group24M4", "24M⁴"), =HYPERLINK("CSG8.html#group72B8", "72B⁸")</f>
        <v/>
      </c>
      <c r="L4499" t="inlineStr"/>
      <c r="M4499">
        <f>HYPERLINK("CSG2.html#group24B2", "24B²"), =HYPERLINK("CSG0.html#group4B0", "4B⁰"), =HYPERLINK("CSG0.html#group9A0", "9A⁰"), =HYPERLINK("CSG8.html#group72B8", "72B⁸"), =HYPERLINK("CSG4.html#group24M4", "24M⁴"), =HYPERLINK("CSG4.html#group36D4", "36D⁴"), =HYPERLINK("CSG1.html#group12B1", "12B¹"), =HYPERLINK("CSG0.html#group2B0", "2B⁰"), =HYPERLINK("CSG0.html#group8C0", "8C⁰"), =HYPERLINK("CSG1.html#group18E1", "18E¹"), =HYPERLINK("CSG0.html#group3A0", "3A⁰"), =HYPERLINK("CSG0.html#group1A0", "1A⁰"), =HYPERLINK("CSG0.html#group6D0", "6D⁰")</f>
        <v/>
      </c>
      <c r="N4499" t="inlineStr"/>
    </row>
    <row r="4500">
      <c r="A4500" t="inlineStr">
        <is>
          <t>72G¹⁶</t>
        </is>
      </c>
      <c r="B4500" t="inlineStr"/>
      <c r="C4500" t="inlineStr">
        <is>
          <t>216</t>
        </is>
      </c>
      <c r="D4500" t="inlineStr">
        <is>
          <t>1</t>
        </is>
      </c>
      <c r="E4500" t="inlineStr">
        <is>
          <t>108</t>
        </is>
      </c>
      <c r="F4500" t="inlineStr">
        <is>
          <t>0</t>
        </is>
      </c>
      <c r="G4500" t="inlineStr">
        <is>
          <t>0</t>
        </is>
      </c>
      <c r="H4500" t="inlineStr">
        <is>
          <t>18², 36³, 72¹</t>
        </is>
      </c>
      <c r="I4500" t="n">
        <v>6</v>
      </c>
      <c r="J4500" t="inlineStr">
        <is>
          <t>1⁸, 2¹⁰, 4², 6⁸, 12²</t>
        </is>
      </c>
      <c r="K4500">
        <f>HYPERLINK("CSG4.html#group24G4", "24G⁴"), =HYPERLINK("CSG8.html#group36B8", "36B⁸")</f>
        <v/>
      </c>
      <c r="L4500" t="inlineStr"/>
      <c r="M4500">
        <f>HYPERLINK("CSG0.html#group2A0", "2A⁰"), =HYPERLINK("CSG0.html#group12C0", "12C⁰"), =HYPERLINK("CSG2.html#group36B2", "36B²"), =HYPERLINK("CSG1.html#group6C1", "6C¹"), =HYPERLINK("CSG2.html#group12B2", "12B²"), =HYPERLINK("CSG0.html#group4C0", "4C⁰"), =HYPERLINK("CSG8.html#group36B8", "36B⁸"), =HYPERLINK("CSG0.html#group2B0", "2B⁰"), =HYPERLINK("CSG0.html#group4E0", "4E⁰"), =HYPERLINK("CSG2.html#group18A2", "18A²"), =HYPERLINK("CSG0.html#group4B0", "4B⁰"), =HYPERLINK("CSG0.html#group1A0", "1A⁰"), =HYPERLINK("CSG0.html#group6A0", "6A⁰"), =HYPERLINK("CSG4.html#group18A4", "18A⁴"), =HYPERLINK("CSG0.html#group9A0", "9A⁰"), =HYPERLINK("CSG4.html#group36D4", "36D⁴"), =HYPERLINK("CSG1.html#group12B1", "12B¹"), =HYPERLINK("CSG1.html#group6A1", "6A¹"), =HYPERLINK("CSG1.html#group18E1", "18E¹"), =HYPERLINK("CSG0.html#group3A0", "3A⁰"), =HYPERLINK("CSG0.html#group8J0", "8J⁰"), =HYPERLINK("CSG0.html#group2C0", "2C⁰"), =HYPERLINK("CSG0.html#group6D0", "6D⁰"), =HYPERLINK("CSG4.html#group24G4", "24G⁴")</f>
        <v/>
      </c>
      <c r="N4500" t="inlineStr"/>
    </row>
    <row r="4501">
      <c r="A4501" t="inlineStr">
        <is>
          <t>72H¹⁶</t>
        </is>
      </c>
      <c r="B4501" t="inlineStr"/>
      <c r="C4501" t="inlineStr">
        <is>
          <t>216</t>
        </is>
      </c>
      <c r="D4501" t="inlineStr">
        <is>
          <t>1</t>
        </is>
      </c>
      <c r="E4501" t="inlineStr">
        <is>
          <t>108</t>
        </is>
      </c>
      <c r="F4501" t="inlineStr">
        <is>
          <t>0</t>
        </is>
      </c>
      <c r="G4501" t="inlineStr">
        <is>
          <t>0</t>
        </is>
      </c>
      <c r="H4501" t="inlineStr">
        <is>
          <t>18², 36³, 72¹</t>
        </is>
      </c>
      <c r="I4501" t="n">
        <v>6</v>
      </c>
      <c r="J4501" t="inlineStr">
        <is>
          <t>1⁸, 2¹⁰, 4², 6⁸, 12²</t>
        </is>
      </c>
      <c r="K4501">
        <f>HYPERLINK("CSG4.html#group24N4", "24N⁴"), =HYPERLINK("CSG8.html#group36B8", "36B⁸")</f>
        <v/>
      </c>
      <c r="L4501" t="inlineStr"/>
      <c r="M4501">
        <f>HYPERLINK("CSG0.html#group2A0", "2A⁰"), =HYPERLINK("CSG0.html#group12C0", "12C⁰"), =HYPERLINK("CSG1.html#group6C1", "6C¹"), =HYPERLINK("CSG0.html#group4C0", "4C⁰"), =HYPERLINK("CSG2.html#group12B2", "12B²"), =HYPERLINK("CSG2.html#group36B2", "36B²"), =HYPERLINK("CSG8.html#group36B8", "36B⁸"), =HYPERLINK("CSG0.html#group4E0", "4E⁰"), =HYPERLINK("CSG0.html#group2B0", "2B⁰"), =HYPERLINK("CSG2.html#group18A2", "18A²"), =HYPERLINK("CSG0.html#group4B0", "4B⁰"), =HYPERLINK("CSG0.html#group1A0", "1A⁰"), =HYPERLINK("CSG0.html#group6A0", "6A⁰"), =HYPERLINK("CSG4.html#group24N4", "24N⁴"), =HYPERLINK("CSG4.html#group18A4", "18A⁴"), =HYPERLINK("CSG0.html#group9A0", "9A⁰"), =HYPERLINK("CSG4.html#group36D4", "36D⁴"), =HYPERLINK("CSG1.html#group12B1", "12B¹"), =HYPERLINK("CSG1.html#group6A1", "6A¹"), =HYPERLINK("CSG1.html#group18E1", "18E¹"), =HYPERLINK("CSG0.html#group3A0", "3A⁰"), =HYPERLINK("CSG0.html#group2C0", "2C⁰"), =HYPERLINK("CSG0.html#group6D0", "6D⁰")</f>
        <v/>
      </c>
      <c r="N4501" t="inlineStr"/>
    </row>
    <row r="4502">
      <c r="A4502" t="inlineStr">
        <is>
          <t>72I¹⁶</t>
        </is>
      </c>
      <c r="B4502" t="inlineStr"/>
      <c r="C4502" t="inlineStr">
        <is>
          <t>216</t>
        </is>
      </c>
      <c r="D4502" t="inlineStr">
        <is>
          <t>2</t>
        </is>
      </c>
      <c r="E4502" t="inlineStr">
        <is>
          <t>27</t>
        </is>
      </c>
      <c r="F4502" t="inlineStr">
        <is>
          <t>0</t>
        </is>
      </c>
      <c r="G4502" t="inlineStr">
        <is>
          <t>0</t>
        </is>
      </c>
      <c r="H4502" t="inlineStr">
        <is>
          <t>18⁴, 72²</t>
        </is>
      </c>
      <c r="I4502" t="n">
        <v>6</v>
      </c>
      <c r="J4502" t="inlineStr">
        <is>
          <t>2⁹, 6⁶</t>
        </is>
      </c>
      <c r="K4502">
        <f>HYPERLINK("CSG4.html#group24E4", "24E⁴"), =HYPERLINK("CSG6.html#group72E6", "72E⁶"), =HYPERLINK("CSG8.html#group36B8", "36B⁸"), =HYPERLINK("CSG8.html#group72E8", "72E⁸")</f>
        <v/>
      </c>
      <c r="L4502" t="inlineStr"/>
      <c r="M4502">
        <f>HYPERLINK("CSG0.html#group2A0", "2A⁰"), =HYPERLINK("CSG1.html#group24E1", "24E¹"), =HYPERLINK("CSG8.html#group72E8", "72E⁸"), =HYPERLINK("CSG0.html#group12C0", "12C⁰"), =HYPERLINK("CSG1.html#group6C1", "6C¹"), =HYPERLINK("CSG0.html#group4C0", "4C⁰"), =HYPERLINK("CSG2.html#group12B2", "12B²"), =HYPERLINK("CSG2.html#group36B2", "36B²"), =HYPERLINK("CSG8.html#group36B8", "36B⁸"), =HYPERLINK("CSG0.html#group2B0", "2B⁰"), =HYPERLINK("CSG0.html#group4E0", "4E⁰"), =HYPERLINK("CSG2.html#group18A2", "18A²"), =HYPERLINK("CSG0.html#group4B0", "4B⁰"), =HYPERLINK("CSG0.html#group1A0", "1A⁰"), =HYPERLINK("CSG6.html#group72E6", "72E⁶"), =HYPERLINK("CSG0.html#group6A0", "6A⁰"), =HYPERLINK("CSG4.html#group18A4", "18A⁴"), =HYPERLINK("CSG0.html#group9A0", "9A⁰"), =HYPERLINK("CSG2.html#group24D2", "24D²"), =HYPERLINK("CSG4.html#group36D4", "36D⁴"), =HYPERLINK("CSG4.html#group24E4", "24E⁴"), =HYPERLINK("CSG1.html#group12B1", "12B¹"), =HYPERLINK("CSG1.html#group6A1", "6A¹"), =HYPERLINK("CSG1.html#group18E1", "18E¹"), =HYPERLINK("CSG0.html#group3A0", "3A⁰"), =HYPERLINK("CSG0.html#group2C0", "2C⁰"), =HYPERLINK("CSG0.html#group6D0", "6D⁰")</f>
        <v/>
      </c>
      <c r="N4502" t="inlineStr"/>
    </row>
    <row r="4503">
      <c r="A4503" t="inlineStr">
        <is>
          <t>72J¹⁶</t>
        </is>
      </c>
      <c r="B4503" t="inlineStr"/>
      <c r="C4503" t="inlineStr">
        <is>
          <t>216</t>
        </is>
      </c>
      <c r="D4503" t="inlineStr">
        <is>
          <t>2</t>
        </is>
      </c>
      <c r="E4503" t="inlineStr">
        <is>
          <t>54</t>
        </is>
      </c>
      <c r="F4503" t="inlineStr">
        <is>
          <t>0</t>
        </is>
      </c>
      <c r="G4503" t="inlineStr">
        <is>
          <t>0</t>
        </is>
      </c>
      <c r="H4503" t="inlineStr">
        <is>
          <t>18⁴, 72²</t>
        </is>
      </c>
      <c r="I4503" t="n">
        <v>6</v>
      </c>
      <c r="J4503" t="inlineStr">
        <is>
          <t>2¹², 4³, 6⁸, 12²</t>
        </is>
      </c>
      <c r="K4503">
        <f>HYPERLINK("CSG4.html#group24I4", "24I⁴"), =HYPERLINK("CSG8.html#group36F8", "36F⁸"), =HYPERLINK("CSG8.html#group72C8", "72C⁸"), =HYPERLINK("CSG8.html#group72E8", "72E⁸")</f>
        <v/>
      </c>
      <c r="L4503" t="inlineStr"/>
      <c r="M4503">
        <f>HYPERLINK("CSG4.html#group24I4", "24I⁴"), =HYPERLINK("CSG8.html#group72E8", "72E⁸"), =HYPERLINK("CSG0.html#group6B0", "6B⁰"), =HYPERLINK("CSG2.html#group12D2", "12D²"), =HYPERLINK("CSG4.html#group36E4", "36E⁴"), =HYPERLINK("CSG0.html#group2B0", "2B⁰"), =HYPERLINK("CSG0.html#group4B0", "4B⁰"), =HYPERLINK("CSG0.html#group1A0", "1A⁰"), =HYPERLINK("CSG0.html#group18A0", "18A⁰"), =HYPERLINK("CSG2.html#group18L2", "18L²"), =HYPERLINK("CSG1.html#group12C1", "12C¹"), =HYPERLINK("CSG8.html#group72C8", "72C⁸"), =HYPERLINK("CSG0.html#group9A0", "9A⁰"), =HYPERLINK("CSG2.html#group24D2", "24D²"), =HYPERLINK("CSG4.html#group36D4", "36D⁴"), =HYPERLINK("CSG1.html#group18E1", "18E¹"), =HYPERLINK("CSG8.html#group36F8", "36F⁸"), =HYPERLINK("CSG1.html#group12B1", "12B¹"), =HYPERLINK("CSG0.html#group6H0", "6H⁰"), =HYPERLINK("CSG0.html#group3A0", "3A⁰"), =HYPERLINK("CSG0.html#group6D0", "6D⁰")</f>
        <v/>
      </c>
      <c r="N4503" t="inlineStr"/>
    </row>
    <row r="4504">
      <c r="A4504" t="inlineStr">
        <is>
          <t>72K¹⁶</t>
        </is>
      </c>
      <c r="B4504" t="inlineStr"/>
      <c r="C4504" t="inlineStr">
        <is>
          <t>216</t>
        </is>
      </c>
      <c r="D4504" t="inlineStr">
        <is>
          <t>2</t>
        </is>
      </c>
      <c r="E4504" t="inlineStr">
        <is>
          <t>54</t>
        </is>
      </c>
      <c r="F4504" t="inlineStr">
        <is>
          <t>0</t>
        </is>
      </c>
      <c r="G4504" t="inlineStr">
        <is>
          <t>0</t>
        </is>
      </c>
      <c r="H4504" t="inlineStr">
        <is>
          <t>18⁴, 72²</t>
        </is>
      </c>
      <c r="I4504" t="n">
        <v>6</v>
      </c>
      <c r="J4504" t="inlineStr">
        <is>
          <t>2¹², 4³, 6⁸, 12²</t>
        </is>
      </c>
      <c r="K4504">
        <f>HYPERLINK("CSG4.html#group24J4", "24J⁴"), =HYPERLINK("CSG8.html#group36F8", "36F⁸"), =HYPERLINK("CSG8.html#group72B8", "72B⁸"), =HYPERLINK("CSG8.html#group72E8", "72E⁸")</f>
        <v/>
      </c>
      <c r="L4504" t="inlineStr"/>
      <c r="M4504">
        <f>HYPERLINK("CSG8.html#group72E8", "72E⁸"), =HYPERLINK("CSG0.html#group6B0", "6B⁰"), =HYPERLINK("CSG2.html#group12D2", "12D²"), =HYPERLINK("CSG0.html#group6H0", "6H⁰"), =HYPERLINK("CSG8.html#group72B8", "72B⁸"), =HYPERLINK("CSG4.html#group24J4", "24J⁴"), =HYPERLINK("CSG4.html#group36E4", "36E⁴"), =HYPERLINK("CSG0.html#group2B0", "2B⁰"), =HYPERLINK("CSG0.html#group8C0", "8C⁰"), =HYPERLINK("CSG0.html#group4B0", "4B⁰"), =HYPERLINK("CSG0.html#group1A0", "1A⁰"), =HYPERLINK("CSG0.html#group18A0", "18A⁰"), =HYPERLINK("CSG2.html#group18L2", "18L²"), =HYPERLINK("CSG2.html#group24B2", "24B²"), =HYPERLINK("CSG1.html#group12C1", "12C¹"), =HYPERLINK("CSG0.html#group9A0", "9A⁰"), =HYPERLINK("CSG2.html#group24D2", "24D²"), =HYPERLINK("CSG4.html#group36D4", "36D⁴"), =HYPERLINK("CSG8.html#group36F8", "36F⁸"), =HYPERLINK("CSG1.html#group12B1", "12B¹"), =HYPERLINK("CSG1.html#group18E1", "18E¹"), =HYPERLINK("CSG0.html#group3A0", "3A⁰"), =HYPERLINK("CSG0.html#group6D0", "6D⁰")</f>
        <v/>
      </c>
      <c r="N4504" t="inlineStr"/>
    </row>
    <row r="4505">
      <c r="A4505" t="inlineStr">
        <is>
          <t>72L¹⁶</t>
        </is>
      </c>
      <c r="B4505" t="inlineStr"/>
      <c r="C4505" t="inlineStr">
        <is>
          <t>216</t>
        </is>
      </c>
      <c r="D4505" t="inlineStr">
        <is>
          <t>2</t>
        </is>
      </c>
      <c r="E4505" t="inlineStr">
        <is>
          <t>54</t>
        </is>
      </c>
      <c r="F4505" t="inlineStr">
        <is>
          <t>4</t>
        </is>
      </c>
      <c r="G4505" t="inlineStr">
        <is>
          <t>0</t>
        </is>
      </c>
      <c r="H4505" t="inlineStr">
        <is>
          <t>36², 72²</t>
        </is>
      </c>
      <c r="I4505" t="n">
        <v>4</v>
      </c>
      <c r="J4505" t="inlineStr">
        <is>
          <t>2⁶, 4⁶, 6⁴, 12⁴</t>
        </is>
      </c>
      <c r="K4505">
        <f>HYPERLINK("CSG4.html#group24K4", "24K⁴"), =HYPERLINK("CSG6.html#group36F6", "36F⁶"), =HYPERLINK("CSG6.html#group72E6", "72E⁶"), =HYPERLINK("CSG8.html#group72D8", "72D⁸")</f>
        <v/>
      </c>
      <c r="L4505" t="inlineStr"/>
      <c r="M4505">
        <f>HYPERLINK("CSG1.html#group24E1", "24E¹"), =HYPERLINK("CSG0.html#group12C0", "12C⁰"), =HYPERLINK("CSG0.html#group4C0", "4C⁰"), =HYPERLINK("CSG2.html#group36B2", "36B²"), =HYPERLINK("CSG0.html#group2B0", "2B⁰"), =HYPERLINK("CSG2.html#group24C2", "24C²"), =HYPERLINK("CSG0.html#group1A0", "1A⁰"), =HYPERLINK("CSG1.html#group36A1", "36A¹"), =HYPERLINK("CSG6.html#group36F6", "36F⁶"), =HYPERLINK("CSG0.html#group12A0", "12A⁰"), =HYPERLINK("CSG6.html#group72E6", "72E⁶"), =HYPERLINK("CSG0.html#group4A0", "4A⁰"), =HYPERLINK("CSG0.html#group9A0", "9A⁰"), =HYPERLINK("CSG4.html#group24K4", "24K⁴"), =HYPERLINK("CSG8.html#group72D8", "72D⁸"), =HYPERLINK("CSG1.html#group12J1", "12J¹"), =HYPERLINK("CSG0.html#group4F0", "4F⁰"), =HYPERLINK("CSG1.html#group18E1", "18E¹"), =HYPERLINK("CSG0.html#group3A0", "3A⁰"), =HYPERLINK("CSG0.html#group6D0", "6D⁰")</f>
        <v/>
      </c>
      <c r="N4505" t="inlineStr"/>
    </row>
    <row r="4506">
      <c r="A4506" t="inlineStr">
        <is>
          <t>72M¹⁶</t>
        </is>
      </c>
      <c r="B4506" t="inlineStr"/>
      <c r="C4506" t="inlineStr">
        <is>
          <t>216</t>
        </is>
      </c>
      <c r="D4506" t="inlineStr">
        <is>
          <t>2</t>
        </is>
      </c>
      <c r="E4506" t="inlineStr">
        <is>
          <t>54</t>
        </is>
      </c>
      <c r="F4506" t="inlineStr">
        <is>
          <t>4</t>
        </is>
      </c>
      <c r="G4506" t="inlineStr">
        <is>
          <t>0</t>
        </is>
      </c>
      <c r="H4506" t="inlineStr">
        <is>
          <t>36², 72²</t>
        </is>
      </c>
      <c r="I4506" t="n">
        <v>4</v>
      </c>
      <c r="J4506" t="inlineStr">
        <is>
          <t>2⁶, 4⁶, 6⁴, 12⁴</t>
        </is>
      </c>
      <c r="K4506">
        <f>HYPERLINK("CSG4.html#group24L4", "24L⁴"), =HYPERLINK("CSG6.html#group36I6", "36I⁶"), =HYPERLINK("CSG6.html#group72C6", "72C⁶"), =HYPERLINK("CSG8.html#group72D8", "72D⁸")</f>
        <v/>
      </c>
      <c r="L4506" t="inlineStr"/>
      <c r="M4506">
        <f>HYPERLINK("CSG0.html#group12C0", "12C⁰"), =HYPERLINK("CSG0.html#group8D0", "8D⁰"), =HYPERLINK("CSG2.html#group36B2", "36B²"), =HYPERLINK("CSG0.html#group4C0", "4C⁰"), =HYPERLINK("CSG0.html#group2B0", "2B⁰"), =HYPERLINK("CSG1.html#group12M1", "12M¹"), =HYPERLINK("CSG2.html#group24C2", "24C²"), =HYPERLINK("CSG0.html#group1A0", "1A⁰"), =HYPERLINK("CSG6.html#group72C6", "72C⁶"), =HYPERLINK("CSG6.html#group36I6", "36I⁶"), =HYPERLINK("CSG0.html#group9A0", "9A⁰"), =HYPERLINK("CSG1.html#group24C1", "24C¹"), =HYPERLINK("CSG8.html#group72D8", "72D⁸"), =HYPERLINK("CSG1.html#group18E1", "18E¹"), =HYPERLINK("CSG0.html#group3A0", "3A⁰"), =HYPERLINK("CSG4.html#group24L4", "24L⁴"), =HYPERLINK("CSG0.html#group6D0", "6D⁰")</f>
        <v/>
      </c>
      <c r="N4506" t="inlineStr"/>
    </row>
    <row r="4507">
      <c r="A4507" t="inlineStr">
        <is>
          <t>72N¹⁶</t>
        </is>
      </c>
      <c r="B4507" t="inlineStr"/>
      <c r="C4507" t="inlineStr">
        <is>
          <t>216</t>
        </is>
      </c>
      <c r="D4507" t="inlineStr">
        <is>
          <t>2</t>
        </is>
      </c>
      <c r="E4507" t="inlineStr">
        <is>
          <t>54</t>
        </is>
      </c>
      <c r="F4507" t="inlineStr">
        <is>
          <t>4</t>
        </is>
      </c>
      <c r="G4507" t="inlineStr">
        <is>
          <t>0</t>
        </is>
      </c>
      <c r="H4507" t="inlineStr">
        <is>
          <t>36², 72²</t>
        </is>
      </c>
      <c r="I4507" t="n">
        <v>4</v>
      </c>
      <c r="J4507" t="inlineStr">
        <is>
          <t>2⁶, 4⁶, 6⁴, 12⁴</t>
        </is>
      </c>
      <c r="K4507">
        <f>HYPERLINK("CSG4.html#group24P4", "24P⁴"), =HYPERLINK("CSG6.html#group36E6", "36E⁶"), =HYPERLINK("CSG6.html#group72E6", "72E⁶"), =HYPERLINK("CSG8.html#group72D8", "72D⁸")</f>
        <v/>
      </c>
      <c r="L4507" t="inlineStr"/>
      <c r="M4507">
        <f>HYPERLINK("CSG1.html#group24E1", "24E¹"), =HYPERLINK("CSG0.html#group12C0", "12C⁰"), =HYPERLINK("CSG6.html#group36E6", "36E⁶"), =HYPERLINK("CSG4.html#group24P4", "24P⁴"), =HYPERLINK("CSG0.html#group4C0", "4C⁰"), =HYPERLINK("CSG2.html#group36B2", "36B²"), =HYPERLINK("CSG1.html#group12M1", "12M¹"), =HYPERLINK("CSG0.html#group2B0", "2B⁰"), =HYPERLINK("CSG2.html#group24C2", "24C²"), =HYPERLINK("CSG0.html#group1A0", "1A⁰"), =HYPERLINK("CSG6.html#group72E6", "72E⁶"), =HYPERLINK("CSG0.html#group9A0", "9A⁰"), =HYPERLINK("CSG8.html#group72D8", "72D⁸"), =HYPERLINK("CSG1.html#group18E1", "18E¹"), =HYPERLINK("CSG0.html#group3A0", "3A⁰"), =HYPERLINK("CSG0.html#group6D0", "6D⁰")</f>
        <v/>
      </c>
      <c r="N4507" t="inlineStr"/>
    </row>
    <row r="4508">
      <c r="A4508" t="inlineStr">
        <is>
          <t>72O¹⁶</t>
        </is>
      </c>
      <c r="B4508" t="inlineStr"/>
      <c r="C4508" t="inlineStr">
        <is>
          <t>216</t>
        </is>
      </c>
      <c r="D4508" t="inlineStr">
        <is>
          <t>2</t>
        </is>
      </c>
      <c r="E4508" t="inlineStr">
        <is>
          <t>54</t>
        </is>
      </c>
      <c r="F4508" t="inlineStr">
        <is>
          <t>4</t>
        </is>
      </c>
      <c r="G4508" t="inlineStr">
        <is>
          <t>0</t>
        </is>
      </c>
      <c r="H4508" t="inlineStr">
        <is>
          <t>36², 72²</t>
        </is>
      </c>
      <c r="I4508" t="n">
        <v>4</v>
      </c>
      <c r="J4508" t="inlineStr">
        <is>
          <t>2⁶, 4⁶, 6⁴, 12⁴</t>
        </is>
      </c>
      <c r="K4508">
        <f>HYPERLINK("CSG4.html#group24P4", "24P⁴"), =HYPERLINK("CSG6.html#group36I6", "36I⁶"), =HYPERLINK("CSG6.html#group72D6", "72D⁶"), =HYPERLINK("CSG8.html#group72D8", "72D⁸")</f>
        <v/>
      </c>
      <c r="L4508" t="inlineStr"/>
      <c r="M4508">
        <f>HYPERLINK("CSG1.html#group24E1", "24E¹"), =HYPERLINK("CSG0.html#group12C0", "12C⁰"), =HYPERLINK("CSG4.html#group24P4", "24P⁴"), =HYPERLINK("CSG0.html#group4C0", "4C⁰"), =HYPERLINK("CSG2.html#group36B2", "36B²"), =HYPERLINK("CSG1.html#group12M1", "12M¹"), =HYPERLINK("CSG0.html#group2B0", "2B⁰"), =HYPERLINK("CSG2.html#group24C2", "24C²"), =HYPERLINK("CSG0.html#group1A0", "1A⁰"), =HYPERLINK("CSG6.html#group36I6", "36I⁶"), =HYPERLINK("CSG6.html#group72D6", "72D⁶"), =HYPERLINK("CSG0.html#group9A0", "9A⁰"), =HYPERLINK("CSG8.html#group72D8", "72D⁸"), =HYPERLINK("CSG1.html#group18E1", "18E¹"), =HYPERLINK("CSG0.html#group3A0", "3A⁰"), =HYPERLINK("CSG0.html#group6D0", "6D⁰")</f>
        <v/>
      </c>
      <c r="N4508" t="inlineStr"/>
    </row>
    <row r="4509">
      <c r="A4509" t="inlineStr">
        <is>
          <t>72P¹⁶</t>
        </is>
      </c>
      <c r="B4509" t="inlineStr"/>
      <c r="C4509" t="inlineStr">
        <is>
          <t>216</t>
        </is>
      </c>
      <c r="D4509" t="inlineStr">
        <is>
          <t>2</t>
        </is>
      </c>
      <c r="E4509" t="inlineStr">
        <is>
          <t>108</t>
        </is>
      </c>
      <c r="F4509" t="inlineStr">
        <is>
          <t>0</t>
        </is>
      </c>
      <c r="G4509" t="inlineStr">
        <is>
          <t>0</t>
        </is>
      </c>
      <c r="H4509" t="inlineStr">
        <is>
          <t>9², 18¹, 36¹, 72²</t>
        </is>
      </c>
      <c r="I4509" t="n">
        <v>6</v>
      </c>
      <c r="J4509" t="inlineStr">
        <is>
          <t>2¹², 4⁶, 6⁸, 8³, 12⁴, 24²</t>
        </is>
      </c>
      <c r="K4509">
        <f>HYPERLINK("CSG4.html#group24M4", "24M⁴"), =HYPERLINK("CSG8.html#group72B8", "72B⁸")</f>
        <v/>
      </c>
      <c r="L4509" t="inlineStr"/>
      <c r="M4509">
        <f>HYPERLINK("CSG2.html#group24B2", "24B²"), =HYPERLINK("CSG0.html#group4B0", "4B⁰"), =HYPERLINK("CSG0.html#group9A0", "9A⁰"), =HYPERLINK("CSG8.html#group72B8", "72B⁸"), =HYPERLINK("CSG4.html#group24M4", "24M⁴"), =HYPERLINK("CSG4.html#group36D4", "36D⁴"), =HYPERLINK("CSG1.html#group12B1", "12B¹"), =HYPERLINK("CSG0.html#group2B0", "2B⁰"), =HYPERLINK("CSG0.html#group8C0", "8C⁰"), =HYPERLINK("CSG1.html#group18E1", "18E¹"), =HYPERLINK("CSG0.html#group3A0", "3A⁰"), =HYPERLINK("CSG0.html#group1A0", "1A⁰"), =HYPERLINK("CSG0.html#group6D0", "6D⁰")</f>
        <v/>
      </c>
      <c r="N4509" t="inlineStr"/>
    </row>
    <row r="4510">
      <c r="A4510" t="inlineStr">
        <is>
          <t>72Q¹⁶</t>
        </is>
      </c>
      <c r="B4510" t="inlineStr"/>
      <c r="C4510" t="inlineStr">
        <is>
          <t>216</t>
        </is>
      </c>
      <c r="D4510" t="inlineStr">
        <is>
          <t>2</t>
        </is>
      </c>
      <c r="E4510" t="inlineStr">
        <is>
          <t>108</t>
        </is>
      </c>
      <c r="F4510" t="inlineStr">
        <is>
          <t>0</t>
        </is>
      </c>
      <c r="G4510" t="inlineStr">
        <is>
          <t>0</t>
        </is>
      </c>
      <c r="H4510" t="inlineStr">
        <is>
          <t>18², 36³, 72¹</t>
        </is>
      </c>
      <c r="I4510" t="n">
        <v>6</v>
      </c>
      <c r="J4510" t="inlineStr">
        <is>
          <t>2²⁴, 4⁶, 6¹⁶, 12⁴</t>
        </is>
      </c>
      <c r="K4510">
        <f>HYPERLINK("CSG4.html#group24N4", "24N⁴"), =HYPERLINK("CSG8.html#group36B8", "36B⁸")</f>
        <v/>
      </c>
      <c r="L4510" t="inlineStr"/>
      <c r="M4510">
        <f>HYPERLINK("CSG0.html#group2A0", "2A⁰"), =HYPERLINK("CSG0.html#group12C0", "12C⁰"), =HYPERLINK("CSG1.html#group6C1", "6C¹"), =HYPERLINK("CSG0.html#group4C0", "4C⁰"), =HYPERLINK("CSG2.html#group12B2", "12B²"), =HYPERLINK("CSG2.html#group36B2", "36B²"), =HYPERLINK("CSG8.html#group36B8", "36B⁸"), =HYPERLINK("CSG0.html#group4E0", "4E⁰"), =HYPERLINK("CSG0.html#group2B0", "2B⁰"), =HYPERLINK("CSG2.html#group18A2", "18A²"), =HYPERLINK("CSG0.html#group4B0", "4B⁰"), =HYPERLINK("CSG0.html#group1A0", "1A⁰"), =HYPERLINK("CSG0.html#group6A0", "6A⁰"), =HYPERLINK("CSG4.html#group24N4", "24N⁴"), =HYPERLINK("CSG4.html#group18A4", "18A⁴"), =HYPERLINK("CSG0.html#group9A0", "9A⁰"), =HYPERLINK("CSG4.html#group36D4", "36D⁴"), =HYPERLINK("CSG1.html#group12B1", "12B¹"), =HYPERLINK("CSG1.html#group6A1", "6A¹"), =HYPERLINK("CSG1.html#group18E1", "18E¹"), =HYPERLINK("CSG0.html#group3A0", "3A⁰"), =HYPERLINK("CSG0.html#group2C0", "2C⁰"), =HYPERLINK("CSG0.html#group6D0", "6D⁰")</f>
        <v/>
      </c>
      <c r="N4510" t="inlineStr"/>
    </row>
    <row r="4511">
      <c r="A4511" t="inlineStr">
        <is>
          <t>72R¹⁶</t>
        </is>
      </c>
      <c r="B4511" t="inlineStr"/>
      <c r="C4511" t="inlineStr">
        <is>
          <t>216</t>
        </is>
      </c>
      <c r="D4511" t="inlineStr">
        <is>
          <t>2</t>
        </is>
      </c>
      <c r="E4511" t="inlineStr">
        <is>
          <t>108</t>
        </is>
      </c>
      <c r="F4511" t="inlineStr">
        <is>
          <t>4</t>
        </is>
      </c>
      <c r="G4511" t="inlineStr">
        <is>
          <t>0</t>
        </is>
      </c>
      <c r="H4511" t="inlineStr">
        <is>
          <t>36², 72²</t>
        </is>
      </c>
      <c r="I4511" t="n">
        <v>4</v>
      </c>
      <c r="J4511" t="inlineStr">
        <is>
          <t>4¹⁸, 12¹²</t>
        </is>
      </c>
      <c r="K4511">
        <f>HYPERLINK("CSG4.html#group24Q4", "24Q⁴"), =HYPERLINK("CSG7.html#group36F7", "36F⁷")</f>
        <v/>
      </c>
      <c r="L4511" t="inlineStr"/>
      <c r="M4511">
        <f>HYPERLINK("CSG4.html#group24Q4", "24Q⁴"), =HYPERLINK("CSG0.html#group6B0", "6B⁰"), =HYPERLINK("CSG4.html#group36E4", "36E⁴"), =HYPERLINK("CSG0.html#group2B0", "2B⁰"), =HYPERLINK("CSG1.html#group12N1", "12N¹"), =HYPERLINK("CSG0.html#group1A0", "1A⁰"), =HYPERLINK("CSG7.html#group36F7", "36F⁷"), =HYPERLINK("CSG0.html#group18A0", "18A⁰"), =HYPERLINK("CSG2.html#group18L2", "18L²"), =HYPERLINK("CSG1.html#group12C1", "12C¹"), =HYPERLINK("CSG0.html#group9A0", "9A⁰"), =HYPERLINK("CSG1.html#group18E1", "18E¹"), =HYPERLINK("CSG0.html#group12D0", "12D⁰"), =HYPERLINK("CSG0.html#group6H0", "6H⁰"), =HYPERLINK("CSG0.html#group3A0", "3A⁰"), =HYPERLINK("CSG3.html#group36D3", "36D³"), =HYPERLINK("CSG0.html#group6D0", "6D⁰")</f>
        <v/>
      </c>
      <c r="N4511" t="inlineStr"/>
    </row>
    <row r="4512">
      <c r="A4512" t="inlineStr">
        <is>
          <t>72S¹⁶</t>
        </is>
      </c>
      <c r="B4512" t="inlineStr"/>
      <c r="C4512" t="inlineStr">
        <is>
          <t>216</t>
        </is>
      </c>
      <c r="D4512" t="inlineStr">
        <is>
          <t>2</t>
        </is>
      </c>
      <c r="E4512" t="inlineStr">
        <is>
          <t>108</t>
        </is>
      </c>
      <c r="F4512" t="inlineStr">
        <is>
          <t>4</t>
        </is>
      </c>
      <c r="G4512" t="inlineStr">
        <is>
          <t>0</t>
        </is>
      </c>
      <c r="H4512" t="inlineStr">
        <is>
          <t>36², 72²</t>
        </is>
      </c>
      <c r="I4512" t="n">
        <v>4</v>
      </c>
      <c r="J4512" t="inlineStr">
        <is>
          <t>4¹⁸, 12¹²</t>
        </is>
      </c>
      <c r="K4512">
        <f>HYPERLINK("CSG4.html#group24Q4", "24Q⁴"), =HYPERLINK("CSG7.html#group36G7", "36G⁷")</f>
        <v/>
      </c>
      <c r="L4512" t="inlineStr"/>
      <c r="M4512">
        <f>HYPERLINK("CSG4.html#group24Q4", "24Q⁴"), =HYPERLINK("CSG0.html#group6B0", "6B⁰"), =HYPERLINK("CSG1.html#group18B1", "18B¹"), =HYPERLINK("CSG4.html#group36E4", "36E⁴"), =HYPERLINK("CSG0.html#group2B0", "2B⁰"), =HYPERLINK("CSG1.html#group12N1", "12N¹"), =HYPERLINK("CSG0.html#group1A0", "1A⁰"), =HYPERLINK("CSG3.html#group18D3", "18D³"), =HYPERLINK("CSG1.html#group12C1", "12C¹"), =HYPERLINK("CSG0.html#group9A0", "9A⁰"), =HYPERLINK("CSG1.html#group18E1", "18E¹"), =HYPERLINK("CSG0.html#group12D0", "12D⁰"), =HYPERLINK("CSG0.html#group6H0", "6H⁰"), =HYPERLINK("CSG0.html#group3A0", "3A⁰"), =HYPERLINK("CSG7.html#group36G7", "36G⁷"), =HYPERLINK("CSG1.html#group18A1", "18A¹"), =HYPERLINK("CSG0.html#group6D0", "6D⁰"), =HYPERLINK("CSG2.html#group36C2", "36C²")</f>
        <v/>
      </c>
      <c r="N4512" t="inlineStr"/>
    </row>
    <row r="4513">
      <c r="A4513" t="inlineStr">
        <is>
          <t>74A¹⁶</t>
        </is>
      </c>
      <c r="B4513" t="inlineStr"/>
      <c r="C4513" t="inlineStr">
        <is>
          <t>228</t>
        </is>
      </c>
      <c r="D4513" t="inlineStr">
        <is>
          <t>1</t>
        </is>
      </c>
      <c r="E4513" t="inlineStr">
        <is>
          <t>114</t>
        </is>
      </c>
      <c r="F4513" t="inlineStr">
        <is>
          <t>0</t>
        </is>
      </c>
      <c r="G4513" t="inlineStr">
        <is>
          <t>0</t>
        </is>
      </c>
      <c r="H4513" t="inlineStr">
        <is>
          <t>1², 2², 37², 74²</t>
        </is>
      </c>
      <c r="I4513" t="n">
        <v>8</v>
      </c>
      <c r="J4513" t="inlineStr">
        <is>
          <t>1⁶, 36³</t>
        </is>
      </c>
      <c r="K4513">
        <f>HYPERLINK("CSG4.html#group37A4", "37A⁴"), =HYPERLINK("CSG8.html#group74A8", "74A⁸")</f>
        <v/>
      </c>
      <c r="L4513" t="inlineStr"/>
      <c r="M4513">
        <f>HYPERLINK("CSG2.html#group37A2", "37A²"), =HYPERLINK("CSG0.html#group2B0", "2B⁰"), =HYPERLINK("CSG8.html#group74A8", "74A⁸"), =HYPERLINK("CSG4.html#group37A4", "37A⁴"), =HYPERLINK("CSG0.html#group1A0", "1A⁰")</f>
        <v/>
      </c>
      <c r="N4513" t="inlineStr"/>
    </row>
    <row r="4514">
      <c r="A4514" t="inlineStr">
        <is>
          <t>74B¹⁶</t>
        </is>
      </c>
      <c r="B4514" t="inlineStr"/>
      <c r="C4514" t="inlineStr">
        <is>
          <t>228</t>
        </is>
      </c>
      <c r="D4514" t="inlineStr">
        <is>
          <t>1</t>
        </is>
      </c>
      <c r="E4514" t="inlineStr">
        <is>
          <t>114</t>
        </is>
      </c>
      <c r="F4514" t="inlineStr">
        <is>
          <t>4</t>
        </is>
      </c>
      <c r="G4514" t="inlineStr">
        <is>
          <t>0</t>
        </is>
      </c>
      <c r="H4514" t="inlineStr">
        <is>
          <t>2³, 74³</t>
        </is>
      </c>
      <c r="I4514" t="n">
        <v>6</v>
      </c>
      <c r="J4514" t="inlineStr">
        <is>
          <t>1⁶, 36³</t>
        </is>
      </c>
      <c r="K4514">
        <f>HYPERLINK("CSG4.html#group74A4", "74A⁴"), =HYPERLINK("CSG8.html#group74A8", "74A⁸")</f>
        <v/>
      </c>
      <c r="L4514" t="inlineStr"/>
      <c r="M4514">
        <f>HYPERLINK("CSG2.html#group37A2", "37A²"), =HYPERLINK("CSG0.html#group2B0", "2B⁰"), =HYPERLINK("CSG8.html#group74A8", "74A⁸"), =HYPERLINK("CSG0.html#group1A0", "1A⁰"), =HYPERLINK("CSG4.html#group74A4", "74A⁴")</f>
        <v/>
      </c>
      <c r="N4514" t="inlineStr"/>
    </row>
    <row r="4515">
      <c r="A4515" t="inlineStr">
        <is>
          <t>76A¹⁶</t>
        </is>
      </c>
      <c r="B4515" t="inlineStr"/>
      <c r="C4515" t="inlineStr">
        <is>
          <t>240</t>
        </is>
      </c>
      <c r="D4515" t="inlineStr">
        <is>
          <t>1</t>
        </is>
      </c>
      <c r="E4515" t="inlineStr">
        <is>
          <t>60</t>
        </is>
      </c>
      <c r="F4515" t="inlineStr">
        <is>
          <t>0</t>
        </is>
      </c>
      <c r="G4515" t="inlineStr">
        <is>
          <t>0</t>
        </is>
      </c>
      <c r="H4515" t="inlineStr">
        <is>
          <t>2⁴, 4¹, 38⁴, 76¹</t>
        </is>
      </c>
      <c r="I4515" t="n">
        <v>10</v>
      </c>
      <c r="J4515" t="inlineStr">
        <is>
          <t>1⁶, 18³</t>
        </is>
      </c>
      <c r="K4515">
        <f>HYPERLINK("CSG8.html#group38A8", "38A⁸")</f>
        <v/>
      </c>
      <c r="L4515" t="inlineStr"/>
      <c r="M4515">
        <f>HYPERLINK("CSG0.html#group2A0", "2A⁰"), =HYPERLINK("CSG1.html#group19A1", "19A¹"), =HYPERLINK("CSG8.html#group38A8", "38A⁸"), =HYPERLINK("CSG2.html#group38A2", "38A²"), =HYPERLINK("CSG4.html#group38A4", "38A⁴"), =HYPERLINK("CSG0.html#group2B0", "2B⁰"), =HYPERLINK("CSG0.html#group1A0", "1A⁰"), =HYPERLINK("CSG0.html#group2C0", "2C⁰")</f>
        <v/>
      </c>
      <c r="N4515" t="inlineStr"/>
    </row>
    <row r="4516">
      <c r="A4516" t="inlineStr">
        <is>
          <t>76B¹⁶</t>
        </is>
      </c>
      <c r="B4516" t="inlineStr"/>
      <c r="C4516" t="inlineStr">
        <is>
          <t>240</t>
        </is>
      </c>
      <c r="D4516" t="inlineStr">
        <is>
          <t>1</t>
        </is>
      </c>
      <c r="E4516" t="inlineStr">
        <is>
          <t>80</t>
        </is>
      </c>
      <c r="F4516" t="inlineStr">
        <is>
          <t>0</t>
        </is>
      </c>
      <c r="G4516" t="inlineStr">
        <is>
          <t>6</t>
        </is>
      </c>
      <c r="H4516" t="inlineStr">
        <is>
          <t>4³, 76³</t>
        </is>
      </c>
      <c r="I4516" t="n">
        <v>6</v>
      </c>
      <c r="J4516" t="inlineStr">
        <is>
          <t>2⁴, 36²</t>
        </is>
      </c>
      <c r="K4516">
        <f>HYPERLINK("CSG1.html#group19B1", "19B¹"), =HYPERLINK("CSG6.html#group76A6", "76A⁶")</f>
        <v/>
      </c>
      <c r="L4516" t="inlineStr"/>
      <c r="M4516">
        <f>HYPERLINK("CSG1.html#group19A1", "19A¹"), =HYPERLINK("CSG6.html#group76A6", "76A⁶"), =HYPERLINK("CSG1.html#group19B1", "19B¹"), =HYPERLINK("CSG0.html#group1A0", "1A⁰"), =HYPERLINK("CSG0.html#group4A0", "4A⁰")</f>
        <v/>
      </c>
      <c r="N4516" t="inlineStr"/>
    </row>
    <row r="4517">
      <c r="A4517" t="inlineStr">
        <is>
          <t>76C¹⁶</t>
        </is>
      </c>
      <c r="B4517" t="inlineStr"/>
      <c r="C4517" t="inlineStr">
        <is>
          <t>240</t>
        </is>
      </c>
      <c r="D4517" t="inlineStr">
        <is>
          <t>1</t>
        </is>
      </c>
      <c r="E4517" t="inlineStr">
        <is>
          <t>120</t>
        </is>
      </c>
      <c r="F4517" t="inlineStr">
        <is>
          <t>0</t>
        </is>
      </c>
      <c r="G4517" t="inlineStr">
        <is>
          <t>0</t>
        </is>
      </c>
      <c r="H4517" t="inlineStr">
        <is>
          <t>1², 2¹, 4², 19², 38¹, 76²</t>
        </is>
      </c>
      <c r="I4517" t="n">
        <v>10</v>
      </c>
      <c r="J4517" t="inlineStr">
        <is>
          <t>1⁸, 2², 18⁴, 36¹</t>
        </is>
      </c>
      <c r="K4517">
        <f>HYPERLINK("CSG8.html#group76A8", "76A⁸")</f>
        <v/>
      </c>
      <c r="L4517" t="inlineStr"/>
      <c r="M4517">
        <f>HYPERLINK("CSG8.html#group76A8", "76A⁸"), =HYPERLINK("CSG1.html#group19A1", "19A¹"), =HYPERLINK("CSG0.html#group2B0", "2B⁰"), =HYPERLINK("CSG0.html#group4B0", "4B⁰"), =HYPERLINK("CSG0.html#group1A0", "1A⁰"), =HYPERLINK("CSG4.html#group38A4", "38A⁴")</f>
        <v/>
      </c>
      <c r="N4517" t="inlineStr"/>
    </row>
    <row r="4518">
      <c r="A4518" t="inlineStr">
        <is>
          <t>78A¹⁶</t>
        </is>
      </c>
      <c r="B4518" t="inlineStr"/>
      <c r="C4518" t="inlineStr">
        <is>
          <t>252</t>
        </is>
      </c>
      <c r="D4518" t="inlineStr">
        <is>
          <t>1</t>
        </is>
      </c>
      <c r="E4518" t="inlineStr">
        <is>
          <t>42</t>
        </is>
      </c>
      <c r="F4518" t="inlineStr">
        <is>
          <t>12</t>
        </is>
      </c>
      <c r="G4518" t="inlineStr">
        <is>
          <t>0</t>
        </is>
      </c>
      <c r="H4518" t="inlineStr">
        <is>
          <t>6³, 78³</t>
        </is>
      </c>
      <c r="I4518" t="n">
        <v>6</v>
      </c>
      <c r="J4518" t="inlineStr">
        <is>
          <t>1², 2², 12¹, 24¹</t>
        </is>
      </c>
      <c r="K4518">
        <f>HYPERLINK("CSG4.html#group39C4", "39C⁴"), =HYPERLINK("CSG6.html#group78A6", "78A⁶")</f>
        <v/>
      </c>
      <c r="L4518" t="inlineStr"/>
      <c r="M4518">
        <f>HYPERLINK("CSG2.html#group39A2", "39A²"), =HYPERLINK("CSG1.html#group39A1", "39A¹"), =HYPERLINK("CSG0.html#group13A0", "13A⁰"), =HYPERLINK("CSG4.html#group39C4", "39C⁴"), =HYPERLINK("CSG0.html#group13C0", "13C⁰"), =HYPERLINK("CSG6.html#group78A6", "78A⁶"), =HYPERLINK("CSG0.html#group3A0", "3A⁰"), =HYPERLINK("CSG0.html#group1A0", "1A⁰")</f>
        <v/>
      </c>
      <c r="N4518" t="inlineStr"/>
    </row>
    <row r="4519">
      <c r="A4519" t="inlineStr">
        <is>
          <t>78B¹⁶</t>
        </is>
      </c>
      <c r="B4519" t="inlineStr"/>
      <c r="C4519" t="inlineStr">
        <is>
          <t>252</t>
        </is>
      </c>
      <c r="D4519" t="inlineStr">
        <is>
          <t>1</t>
        </is>
      </c>
      <c r="E4519" t="inlineStr">
        <is>
          <t>42</t>
        </is>
      </c>
      <c r="F4519" t="inlineStr">
        <is>
          <t>12</t>
        </is>
      </c>
      <c r="G4519" t="inlineStr">
        <is>
          <t>0</t>
        </is>
      </c>
      <c r="H4519" t="inlineStr">
        <is>
          <t>6³, 78³</t>
        </is>
      </c>
      <c r="I4519" t="n">
        <v>6</v>
      </c>
      <c r="J4519" t="inlineStr">
        <is>
          <t>1⁶, 12³</t>
        </is>
      </c>
      <c r="K4519">
        <f>HYPERLINK("CSG4.html#group26B4", "26B⁴"), =HYPERLINK("CSG4.html#group78A4", "78A⁴"), =HYPERLINK("CSG8.html#group78A8", "78A⁸")</f>
        <v/>
      </c>
      <c r="L4519" t="inlineStr"/>
      <c r="M4519">
        <f>HYPERLINK("CSG8.html#group78A8", "78A⁸"), =HYPERLINK("CSG2.html#group39A2", "39A²"), =HYPERLINK("CSG4.html#group78A4", "78A⁴"), =HYPERLINK("CSG0.html#group13A0", "13A⁰"), =HYPERLINK("CSG4.html#group26B4", "26B⁴"), =HYPERLINK("CSG0.html#group2B0", "2B⁰"), =HYPERLINK("CSG0.html#group26A0", "26A⁰"), =HYPERLINK("CSG0.html#group3A0", "3A⁰"), =HYPERLINK("CSG0.html#group1A0", "1A⁰"), =HYPERLINK("CSG2.html#group26A2", "26A²"), =HYPERLINK("CSG0.html#group6D0", "6D⁰")</f>
        <v/>
      </c>
      <c r="N4519" t="inlineStr"/>
    </row>
    <row r="4520">
      <c r="A4520" t="inlineStr">
        <is>
          <t>78C¹⁶</t>
        </is>
      </c>
      <c r="B4520" t="inlineStr"/>
      <c r="C4520" t="inlineStr">
        <is>
          <t>252</t>
        </is>
      </c>
      <c r="D4520" t="inlineStr">
        <is>
          <t>1</t>
        </is>
      </c>
      <c r="E4520" t="inlineStr">
        <is>
          <t>126</t>
        </is>
      </c>
      <c r="F4520" t="inlineStr">
        <is>
          <t>8</t>
        </is>
      </c>
      <c r="G4520" t="inlineStr">
        <is>
          <t>0</t>
        </is>
      </c>
      <c r="H4520" t="inlineStr">
        <is>
          <t>3², 6², 39², 78²</t>
        </is>
      </c>
      <c r="I4520" t="n">
        <v>8</v>
      </c>
      <c r="J4520" t="inlineStr">
        <is>
          <t>1⁶, 2⁶, 12³, 24³</t>
        </is>
      </c>
      <c r="K4520">
        <f>HYPERLINK("CSG4.html#group39A4", "39A⁴"), =HYPERLINK("CSG8.html#group78A8", "78A⁸")</f>
        <v/>
      </c>
      <c r="L4520" t="inlineStr"/>
      <c r="M4520">
        <f>HYPERLINK("CSG8.html#group78A8", "78A⁸"), =HYPERLINK("CSG2.html#group39A2", "39A²"), =HYPERLINK("CSG0.html#group13A0", "13A⁰"), =HYPERLINK("CSG0.html#group2B0", "2B⁰"), =HYPERLINK("CSG4.html#group39A4", "39A⁴"), =HYPERLINK("CSG0.html#group3A0", "3A⁰"), =HYPERLINK("CSG0.html#group1A0", "1A⁰"), =HYPERLINK("CSG2.html#group26A2", "26A²"), =HYPERLINK("CSG0.html#group6D0", "6D⁰")</f>
        <v/>
      </c>
      <c r="N4520" t="inlineStr"/>
    </row>
    <row r="4521">
      <c r="A4521" t="inlineStr">
        <is>
          <t>78D¹⁶</t>
        </is>
      </c>
      <c r="B4521" t="inlineStr"/>
      <c r="C4521" t="inlineStr">
        <is>
          <t>252</t>
        </is>
      </c>
      <c r="D4521" t="inlineStr">
        <is>
          <t>2</t>
        </is>
      </c>
      <c r="E4521" t="inlineStr">
        <is>
          <t>28</t>
        </is>
      </c>
      <c r="F4521" t="inlineStr">
        <is>
          <t>0</t>
        </is>
      </c>
      <c r="G4521" t="inlineStr">
        <is>
          <t>9</t>
        </is>
      </c>
      <c r="H4521" t="inlineStr">
        <is>
          <t>6³, 78³</t>
        </is>
      </c>
      <c r="I4521" t="n">
        <v>6</v>
      </c>
      <c r="J4521" t="inlineStr">
        <is>
          <t>2⁴, 24²</t>
        </is>
      </c>
      <c r="K4521">
        <f>HYPERLINK("CSG3.html#group26A3", "26A³"), =HYPERLINK("CSG5.html#group78A5", "78A⁵"), =HYPERLINK("CSG5.html#group78C5", "78C⁵"), =HYPERLINK("CSG6.html#group78B6", "78B⁶")</f>
        <v/>
      </c>
      <c r="L4521" t="inlineStr"/>
      <c r="M4521">
        <f>HYPERLINK("CSG0.html#group2A0", "2A⁰"), =HYPERLINK("CSG1.html#group26A1", "26A¹"), =HYPERLINK("CSG1.html#group39A1", "39A¹"), =HYPERLINK("CSG0.html#group6A0", "6A⁰"), =HYPERLINK("CSG0.html#group13A0", "13A⁰"), =HYPERLINK("CSG3.html#group26A3", "26A³"), =HYPERLINK("CSG6.html#group78B6", "78B⁶"), =HYPERLINK("CSG5.html#group78A5", "78A⁵"), =HYPERLINK("CSG0.html#group1A0", "1A⁰"), =HYPERLINK("CSG5.html#group78C5", "78C⁵")</f>
        <v/>
      </c>
      <c r="N4521" t="inlineStr"/>
    </row>
    <row r="4522">
      <c r="A4522" t="inlineStr">
        <is>
          <t>78E¹⁶</t>
        </is>
      </c>
      <c r="B4522" t="inlineStr"/>
      <c r="C4522" t="inlineStr">
        <is>
          <t>252</t>
        </is>
      </c>
      <c r="D4522" t="inlineStr">
        <is>
          <t>2</t>
        </is>
      </c>
      <c r="E4522" t="inlineStr">
        <is>
          <t>42</t>
        </is>
      </c>
      <c r="F4522" t="inlineStr">
        <is>
          <t>12</t>
        </is>
      </c>
      <c r="G4522" t="inlineStr">
        <is>
          <t>0</t>
        </is>
      </c>
      <c r="H4522" t="inlineStr">
        <is>
          <t>6³, 78³</t>
        </is>
      </c>
      <c r="I4522" t="n">
        <v>6</v>
      </c>
      <c r="J4522" t="inlineStr">
        <is>
          <t>2⁶, 24³</t>
        </is>
      </c>
      <c r="K4522">
        <f>HYPERLINK("CSG2.html#group78A2", "78A²"), =HYPERLINK("CSG4.html#group26B4", "26B⁴"), =HYPERLINK("CSG8.html#group78B8", "78B⁸")</f>
        <v/>
      </c>
      <c r="L4522" t="inlineStr"/>
      <c r="M4522">
        <f>HYPERLINK("CSG2.html#group26A2", "26A²"), =HYPERLINK("CSG2.html#group78A2", "78A²"), =HYPERLINK("CSG0.html#group13A0", "13A⁰"), =HYPERLINK("CSG4.html#group26B4", "26B⁴"), =HYPERLINK("CSG0.html#group2B0", "2B⁰"), =HYPERLINK("CSG0.html#group26A0", "26A⁰"), =HYPERLINK("CSG1.html#group39A1", "39A¹"), =HYPERLINK("CSG0.html#group1A0", "1A⁰"), =HYPERLINK("CSG8.html#group78B8", "78B⁸")</f>
        <v/>
      </c>
      <c r="N4522" t="inlineStr"/>
    </row>
    <row r="4523">
      <c r="A4523" t="inlineStr">
        <is>
          <t>80A¹⁶</t>
        </is>
      </c>
      <c r="B4523" t="inlineStr"/>
      <c r="C4523" t="inlineStr">
        <is>
          <t>240</t>
        </is>
      </c>
      <c r="D4523" t="inlineStr">
        <is>
          <t>1</t>
        </is>
      </c>
      <c r="E4523" t="inlineStr">
        <is>
          <t>15</t>
        </is>
      </c>
      <c r="F4523" t="inlineStr">
        <is>
          <t>0</t>
        </is>
      </c>
      <c r="G4523" t="inlineStr">
        <is>
          <t>0</t>
        </is>
      </c>
      <c r="H4523" t="inlineStr">
        <is>
          <t>10⁸, 80²</t>
        </is>
      </c>
      <c r="I4523" t="n">
        <v>10</v>
      </c>
      <c r="J4523" t="inlineStr">
        <is>
          <t>1³, 4³</t>
        </is>
      </c>
      <c r="K4523">
        <f>HYPERLINK("CSG0.html#group16G0", "16G⁰"), =HYPERLINK("CSG8.html#group40A8", "40A⁸"), =HYPERLINK("CSG8.html#group80C8", "80C⁸"), =HYPERLINK("CSG8.html#group80D8", "80D⁸")</f>
        <v/>
      </c>
      <c r="L4523" t="inlineStr"/>
      <c r="M4523">
        <f>HYPERLINK("CSG8.html#group80C8", "80C⁸"), =HYPERLINK("CSG0.html#group16G0", "16G⁰"), =HYPERLINK("CSG2.html#group20A2", "20A²"), =HYPERLINK("CSG0.html#group5A0", "5A⁰"), =HYPERLINK("CSG0.html#group2A0", "2A⁰"), =HYPERLINK("CSG0.html#group8D0", "8D⁰"), =HYPERLINK("CSG1.html#group10B1", "10B¹"), =HYPERLINK("CSG2.html#group20B2", "20B²"), =HYPERLINK("CSG0.html#group4C0", "4C⁰"), =HYPERLINK("CSG8.html#group40A8", "40A⁸"), =HYPERLINK("CSG0.html#group8C0", "8C⁰"), =HYPERLINK("CSG0.html#group2B0", "2B⁰"), =HYPERLINK("CSG0.html#group4E0", "4E⁰"), =HYPERLINK("CSG2.html#group10B2", "10B²"), =HYPERLINK("CSG0.html#group4B0", "4B⁰"), =HYPERLINK("CSG4.html#group40B4", "40B⁴"), =HYPERLINK("CSG0.html#group1A0", "1A⁰"), =HYPERLINK("CSG0.html#group16E0", "16E⁰"), =HYPERLINK("CSG4.html#group40C4", "40C⁴"), =HYPERLINK("CSG0.html#group10A0", "10A⁰"), =HYPERLINK("CSG0.html#group8G0", "8G⁰"), =HYPERLINK("CSG0.html#group16D0", "16D⁰"), =HYPERLINK("CSG4.html#group20A4", "20A⁴"), =HYPERLINK("CSG8.html#group80D8", "80D⁸"), =HYPERLINK("CSG0.html#group2C0", "2C⁰")</f>
        <v/>
      </c>
      <c r="N4523" t="inlineStr"/>
    </row>
    <row r="4524">
      <c r="A4524" t="inlineStr">
        <is>
          <t>80B¹⁶</t>
        </is>
      </c>
      <c r="B4524" t="inlineStr"/>
      <c r="C4524" t="inlineStr">
        <is>
          <t>240</t>
        </is>
      </c>
      <c r="D4524" t="inlineStr">
        <is>
          <t>1</t>
        </is>
      </c>
      <c r="E4524" t="inlineStr">
        <is>
          <t>60</t>
        </is>
      </c>
      <c r="F4524" t="inlineStr">
        <is>
          <t>0</t>
        </is>
      </c>
      <c r="G4524" t="inlineStr">
        <is>
          <t>0</t>
        </is>
      </c>
      <c r="H4524" t="inlineStr">
        <is>
          <t>5⁴, 10², 20², 80²</t>
        </is>
      </c>
      <c r="I4524" t="n">
        <v>10</v>
      </c>
      <c r="J4524" t="inlineStr">
        <is>
          <t>1⁴, 2², 4⁵, 8², 16¹</t>
        </is>
      </c>
      <c r="K4524">
        <f>HYPERLINK("CSG0.html#group16H0", "16H⁰"), =HYPERLINK("CSG8.html#group40C8", "40C⁸"), =HYPERLINK("CSG8.html#group80B8", "80B⁸"), =HYPERLINK("CSG8.html#group80C8", "80C⁸")</f>
        <v/>
      </c>
      <c r="L4524" t="inlineStr"/>
      <c r="M4524">
        <f>HYPERLINK("CSG8.html#group80C8", "80C⁸"), =HYPERLINK("CSG2.html#group20A2", "20A²"), =HYPERLINK("CSG0.html#group5A0", "5A⁰"), =HYPERLINK("CSG8.html#group80B8", "80B⁸"), =HYPERLINK("CSG0.html#group16C0", "16C⁰"), =HYPERLINK("CSG1.html#group10B1", "10B¹"), =HYPERLINK("CSG0.html#group16D0", "16D⁰"), =HYPERLINK("CSG0.html#group8C0", "8C⁰"), =HYPERLINK("CSG0.html#group2B0", "2B⁰"), =HYPERLINK("CSG0.html#group8I0", "8I⁰"), =HYPERLINK("CSG0.html#group4B0", "4B⁰"), =HYPERLINK("CSG4.html#group40B4", "40B⁴"), =HYPERLINK("CSG0.html#group1A0", "1A⁰"), =HYPERLINK("CSG8.html#group40C8", "40C⁸"), =HYPERLINK("CSG0.html#group16H0", "16H⁰")</f>
        <v/>
      </c>
      <c r="N4524" t="inlineStr"/>
    </row>
    <row r="4525">
      <c r="A4525" t="inlineStr">
        <is>
          <t>81A¹⁶</t>
        </is>
      </c>
      <c r="B4525" t="inlineStr"/>
      <c r="C4525" t="inlineStr">
        <is>
          <t>324</t>
        </is>
      </c>
      <c r="D4525" t="inlineStr">
        <is>
          <t>1</t>
        </is>
      </c>
      <c r="E4525" t="inlineStr">
        <is>
          <t>36</t>
        </is>
      </c>
      <c r="F4525" t="inlineStr">
        <is>
          <t>0</t>
        </is>
      </c>
      <c r="G4525" t="inlineStr">
        <is>
          <t>0</t>
        </is>
      </c>
      <c r="H4525" t="inlineStr">
        <is>
          <t>3¹⁸, 9³, 81³</t>
        </is>
      </c>
      <c r="I4525" t="n">
        <v>24</v>
      </c>
      <c r="J4525" t="inlineStr">
        <is>
          <t>1², 2², 6², 18¹</t>
        </is>
      </c>
      <c r="K4525">
        <f>HYPERLINK("CSG4.html#group27C4", "27C⁴")</f>
        <v/>
      </c>
      <c r="L4525" t="inlineStr"/>
      <c r="M4525">
        <f>HYPERLINK("CSG0.html#group3B0", "3B⁰"), =HYPERLINK("CSG1.html#group27A1", "27A¹"), =HYPERLINK("CSG4.html#group27C4", "27C⁴"), =HYPERLINK("CSG2.html#group27A2", "27A²"), =HYPERLINK("CSG1.html#group9A1", "9A¹"), =HYPERLINK("CSG0.html#group27A0", "27A⁰"), =HYPERLINK("CSG0.html#group9B0", "9B⁰"), =HYPERLINK("CSG1.html#group9C1", "9C¹"), =HYPERLINK("CSG0.html#group3C0", "3C⁰"), =HYPERLINK("CSG0.html#group9C0", "9C⁰"), =HYPERLINK("CSG0.html#group3A0", "3A⁰"), =HYPERLINK("CSG0.html#group1A0", "1A⁰"), =HYPERLINK("CSG0.html#group3D0", "3D⁰")</f>
        <v/>
      </c>
      <c r="N4525" t="inlineStr"/>
    </row>
    <row r="4526">
      <c r="A4526" t="inlineStr">
        <is>
          <t>81B¹⁶</t>
        </is>
      </c>
      <c r="B4526" t="inlineStr"/>
      <c r="C4526" t="inlineStr">
        <is>
          <t>324</t>
        </is>
      </c>
      <c r="D4526" t="inlineStr">
        <is>
          <t>1</t>
        </is>
      </c>
      <c r="E4526" t="inlineStr">
        <is>
          <t>36</t>
        </is>
      </c>
      <c r="F4526" t="inlineStr">
        <is>
          <t>0</t>
        </is>
      </c>
      <c r="G4526" t="inlineStr">
        <is>
          <t>0</t>
        </is>
      </c>
      <c r="H4526" t="inlineStr">
        <is>
          <t>3¹⁸, 9³, 81³</t>
        </is>
      </c>
      <c r="I4526" t="n">
        <v>24</v>
      </c>
      <c r="J4526" t="inlineStr">
        <is>
          <t>3², 6⁵</t>
        </is>
      </c>
      <c r="K4526">
        <f>HYPERLINK("CSG4.html#group27A4", "27A⁴")</f>
        <v/>
      </c>
      <c r="L4526" t="inlineStr"/>
      <c r="M4526">
        <f>HYPERLINK("CSG0.html#group9I0", "9I⁰"), =HYPERLINK("CSG0.html#group27A0", "27A⁰"), =HYPERLINK("CSG0.html#group3B0", "3B⁰"), =HYPERLINK("CSG0.html#group9B0", "9B⁰"), =HYPERLINK("CSG2.html#group27A2", "27A²"), =HYPERLINK("CSG0.html#group1A0", "1A⁰"), =HYPERLINK("CSG4.html#group27A4", "27A⁴")</f>
        <v/>
      </c>
      <c r="N4526" t="inlineStr"/>
    </row>
    <row r="4527">
      <c r="A4527" t="inlineStr">
        <is>
          <t>84A¹⁶</t>
        </is>
      </c>
      <c r="B4527" t="inlineStr"/>
      <c r="C4527" t="inlineStr">
        <is>
          <t>252</t>
        </is>
      </c>
      <c r="D4527" t="inlineStr">
        <is>
          <t>2</t>
        </is>
      </c>
      <c r="E4527" t="inlineStr">
        <is>
          <t>42</t>
        </is>
      </c>
      <c r="F4527" t="inlineStr">
        <is>
          <t>18</t>
        </is>
      </c>
      <c r="G4527" t="inlineStr">
        <is>
          <t>0</t>
        </is>
      </c>
      <c r="H4527" t="inlineStr">
        <is>
          <t>84³</t>
        </is>
      </c>
      <c r="I4527" t="n">
        <v>3</v>
      </c>
      <c r="J4527" t="inlineStr">
        <is>
          <t>2², 4², 6⁴, 12⁴</t>
        </is>
      </c>
      <c r="K4527">
        <f>HYPERLINK("CSG5.html#group28C5", "28C⁵"), =HYPERLINK("CSG6.html#group84B6", "84B⁶")</f>
        <v/>
      </c>
      <c r="L4527" t="inlineStr"/>
      <c r="M4527">
        <f>HYPERLINK("CSG0.html#group12C0", "12C⁰"), =HYPERLINK("CSG1.html#group14B1", "14B¹"), =HYPERLINK("CSG0.html#group4C0", "4C⁰"), =HYPERLINK("CSG0.html#group21A0", "21A⁰"), =HYPERLINK("CSG5.html#group28C5", "28C⁵"), =HYPERLINK("CSG0.html#group2B0", "2B⁰"), =HYPERLINK("CSG0.html#group1A0", "1A⁰"), =HYPERLINK("CSG2.html#group28C2", "28C²"), =HYPERLINK("CSG0.html#group3A0", "3A⁰"), =HYPERLINK("CSG3.html#group42C3", "42C³"), =HYPERLINK("CSG6.html#group84B6", "84B⁶"), =HYPERLINK("CSG0.html#group6D0", "6D⁰"), =HYPERLINK("CSG0.html#group7A0", "7A⁰")</f>
        <v/>
      </c>
      <c r="N4527" t="inlineStr"/>
    </row>
    <row r="4528">
      <c r="A4528" t="inlineStr">
        <is>
          <t>84B¹⁶</t>
        </is>
      </c>
      <c r="B4528" t="inlineStr"/>
      <c r="C4528" t="inlineStr">
        <is>
          <t>252</t>
        </is>
      </c>
      <c r="D4528" t="inlineStr">
        <is>
          <t>2</t>
        </is>
      </c>
      <c r="E4528" t="inlineStr">
        <is>
          <t>42</t>
        </is>
      </c>
      <c r="F4528" t="inlineStr">
        <is>
          <t>18</t>
        </is>
      </c>
      <c r="G4528" t="inlineStr">
        <is>
          <t>0</t>
        </is>
      </c>
      <c r="H4528" t="inlineStr">
        <is>
          <t>84³</t>
        </is>
      </c>
      <c r="I4528" t="n">
        <v>3</v>
      </c>
      <c r="J4528" t="inlineStr">
        <is>
          <t>2², 4², 6⁴, 12⁴</t>
        </is>
      </c>
      <c r="K4528">
        <f>HYPERLINK("CSG1.html#group12J1", "12J¹"), =HYPERLINK("CSG3.html#group84A3", "84A³"), =HYPERLINK("CSG5.html#group28D5", "28D⁵"), =HYPERLINK("CSG6.html#group84B6", "84B⁶")</f>
        <v/>
      </c>
      <c r="L4528" t="inlineStr"/>
      <c r="M4528">
        <f>HYPERLINK("CSG0.html#group12C0", "12C⁰"), =HYPERLINK("CSG1.html#group14B1", "14B¹"), =HYPERLINK("CSG0.html#group4C0", "4C⁰"), =HYPERLINK("CSG0.html#group21A0", "21A⁰"), =HYPERLINK("CSG0.html#group2B0", "2B⁰"), =HYPERLINK("CSG0.html#group1A0", "1A⁰"), =HYPERLINK("CSG2.html#group28C2", "28C²"), =HYPERLINK("CSG3.html#group84A3", "84A³"), =HYPERLINK("CSG0.html#group12A0", "12A⁰"), =HYPERLINK("CSG0.html#group4A0", "4A⁰"), =HYPERLINK("CSG5.html#group28D5", "28D⁵"), =HYPERLINK("CSG1.html#group12J1", "12J¹"), =HYPERLINK("CSG0.html#group4F0", "4F⁰"), =HYPERLINK("CSG0.html#group3A0", "3A⁰"), =HYPERLINK("CSG1.html#group28A1", "28A¹"), =HYPERLINK("CSG3.html#group42C3", "42C³"), =HYPERLINK("CSG6.html#group84B6", "84B⁶"), =HYPERLINK("CSG0.html#group6D0", "6D⁰"), =HYPERLINK("CSG0.html#group7A0", "7A⁰")</f>
        <v/>
      </c>
      <c r="N4528" t="inlineStr"/>
    </row>
    <row r="4529">
      <c r="A4529" t="inlineStr">
        <is>
          <t>84C¹⁶</t>
        </is>
      </c>
      <c r="B4529" t="inlineStr"/>
      <c r="C4529" t="inlineStr">
        <is>
          <t>252</t>
        </is>
      </c>
      <c r="D4529" t="inlineStr">
        <is>
          <t>2</t>
        </is>
      </c>
      <c r="E4529" t="inlineStr">
        <is>
          <t>63</t>
        </is>
      </c>
      <c r="F4529" t="inlineStr">
        <is>
          <t>12</t>
        </is>
      </c>
      <c r="G4529" t="inlineStr">
        <is>
          <t>0</t>
        </is>
      </c>
      <c r="H4529" t="inlineStr">
        <is>
          <t>21⁴, 84²</t>
        </is>
      </c>
      <c r="I4529" t="n">
        <v>6</v>
      </c>
      <c r="J4529" t="inlineStr">
        <is>
          <t>2³, 4³, 6⁶, 12⁶</t>
        </is>
      </c>
      <c r="K4529">
        <f>HYPERLINK("CSG0.html#group12G0", "12G⁰"), =HYPERLINK("CSG7.html#group84C7", "84C⁷"), =HYPERLINK("CSG8.html#group42C8", "42C⁸")</f>
        <v/>
      </c>
      <c r="L4529" t="inlineStr"/>
      <c r="M4529">
        <f>HYPERLINK("CSG2.html#group21D2", "21D²"), =HYPERLINK("CSG1.html#group14B1", "14B¹"), =HYPERLINK("CSG0.html#group21A0", "21A⁰"), =HYPERLINK("CSG0.html#group6G0", "6G⁰"), =HYPERLINK("CSG0.html#group2B0", "2B⁰"), =HYPERLINK("CSG0.html#group1A0", "1A⁰"), =HYPERLINK("CSG0.html#group12G0", "12G⁰"), =HYPERLINK("CSG7.html#group84C7", "84C⁷"), =HYPERLINK("CSG0.html#group3C0", "3C⁰"), =HYPERLINK("CSG8.html#group42C8", "42C⁸"), =HYPERLINK("CSG0.html#group12D0", "12D⁰"), =HYPERLINK("CSG0.html#group3A0", "3A⁰"), =HYPERLINK("CSG3.html#group42C3", "42C³"), =HYPERLINK("CSG0.html#group6D0", "6D⁰"), =HYPERLINK("CSG0.html#group7A0", "7A⁰")</f>
        <v/>
      </c>
      <c r="N4529" t="inlineStr"/>
    </row>
    <row r="4530">
      <c r="A4530" t="inlineStr">
        <is>
          <t>84D¹⁶</t>
        </is>
      </c>
      <c r="B4530" t="inlineStr"/>
      <c r="C4530" t="inlineStr">
        <is>
          <t>252</t>
        </is>
      </c>
      <c r="D4530" t="inlineStr">
        <is>
          <t>2</t>
        </is>
      </c>
      <c r="E4530" t="inlineStr">
        <is>
          <t>63</t>
        </is>
      </c>
      <c r="F4530" t="inlineStr">
        <is>
          <t>12</t>
        </is>
      </c>
      <c r="G4530" t="inlineStr">
        <is>
          <t>0</t>
        </is>
      </c>
      <c r="H4530" t="inlineStr">
        <is>
          <t>21⁴, 84²</t>
        </is>
      </c>
      <c r="I4530" t="n">
        <v>6</v>
      </c>
      <c r="J4530" t="inlineStr">
        <is>
          <t>4⁹, 12¹⁸</t>
        </is>
      </c>
      <c r="K4530">
        <f>HYPERLINK("CSG7.html#group42K7", "42K⁷"), =HYPERLINK("CSG7.html#group84C7", "84C⁷"), =HYPERLINK("CSG8.html#group84F8", "84F⁸")</f>
        <v/>
      </c>
      <c r="L4530" t="inlineStr"/>
      <c r="M4530">
        <f>HYPERLINK("CSG1.html#group14B1", "14B¹"), =HYPERLINK("CSG7.html#group84C7", "84C⁷"), =HYPERLINK("CSG1.html#group21D1", "21D¹"), =HYPERLINK("CSG0.html#group21A0", "21A⁰"), =HYPERLINK("CSG7.html#group42K7", "42K⁷"), =HYPERLINK("CSG0.html#group2B0", "2B⁰"), =HYPERLINK("CSG0.html#group12D0", "12D⁰"), =HYPERLINK("CSG8.html#group84F8", "84F⁸"), =HYPERLINK("CSG0.html#group3A0", "3A⁰"), =HYPERLINK("CSG0.html#group1A0", "1A⁰"), =HYPERLINK("CSG3.html#group42C3", "42C³"), =HYPERLINK("CSG0.html#group6D0", "6D⁰"), =HYPERLINK("CSG0.html#group7A0", "7A⁰")</f>
        <v/>
      </c>
      <c r="N4530" t="inlineStr"/>
    </row>
    <row r="4531">
      <c r="A4531" t="inlineStr">
        <is>
          <t>84E¹⁶</t>
        </is>
      </c>
      <c r="B4531" t="inlineStr"/>
      <c r="C4531" t="inlineStr">
        <is>
          <t>252</t>
        </is>
      </c>
      <c r="D4531" t="inlineStr">
        <is>
          <t>2</t>
        </is>
      </c>
      <c r="E4531" t="inlineStr">
        <is>
          <t>63</t>
        </is>
      </c>
      <c r="F4531" t="inlineStr">
        <is>
          <t>12</t>
        </is>
      </c>
      <c r="G4531" t="inlineStr">
        <is>
          <t>0</t>
        </is>
      </c>
      <c r="H4531" t="inlineStr">
        <is>
          <t>21⁴, 84²</t>
        </is>
      </c>
      <c r="I4531" t="n">
        <v>6</v>
      </c>
      <c r="J4531" t="inlineStr">
        <is>
          <t>4⁹, 12¹⁸</t>
        </is>
      </c>
      <c r="K4531">
        <f>HYPERLINK("CSG7.html#group42K7", "42K⁷"), =HYPERLINK("CSG7.html#group84C7", "84C⁷"), =HYPERLINK("CSG8.html#group84F8", "84F⁸")</f>
        <v/>
      </c>
      <c r="L4531" t="inlineStr"/>
      <c r="M4531">
        <f>HYPERLINK("CSG1.html#group14B1", "14B¹"), =HYPERLINK("CSG7.html#group84C7", "84C⁷"), =HYPERLINK("CSG1.html#group21D1", "21D¹"), =HYPERLINK("CSG0.html#group21A0", "21A⁰"), =HYPERLINK("CSG7.html#group42K7", "42K⁷"), =HYPERLINK("CSG0.html#group2B0", "2B⁰"), =HYPERLINK("CSG0.html#group12D0", "12D⁰"), =HYPERLINK("CSG8.html#group84F8", "84F⁸"), =HYPERLINK("CSG0.html#group3A0", "3A⁰"), =HYPERLINK("CSG0.html#group1A0", "1A⁰"), =HYPERLINK("CSG3.html#group42C3", "42C³"), =HYPERLINK("CSG0.html#group6D0", "6D⁰"), =HYPERLINK("CSG0.html#group7A0", "7A⁰")</f>
        <v/>
      </c>
      <c r="N4531" t="inlineStr"/>
    </row>
    <row r="4532">
      <c r="A4532" t="inlineStr">
        <is>
          <t>84F¹⁶</t>
        </is>
      </c>
      <c r="B4532" t="inlineStr"/>
      <c r="C4532" t="inlineStr">
        <is>
          <t>252</t>
        </is>
      </c>
      <c r="D4532" t="inlineStr">
        <is>
          <t>2</t>
        </is>
      </c>
      <c r="E4532" t="inlineStr">
        <is>
          <t>63</t>
        </is>
      </c>
      <c r="F4532" t="inlineStr">
        <is>
          <t>16</t>
        </is>
      </c>
      <c r="G4532" t="inlineStr">
        <is>
          <t>0</t>
        </is>
      </c>
      <c r="H4532" t="inlineStr">
        <is>
          <t>42², 84²</t>
        </is>
      </c>
      <c r="I4532" t="n">
        <v>4</v>
      </c>
      <c r="J4532" t="inlineStr">
        <is>
          <t>2³, 4³, 6⁶, 12⁶</t>
        </is>
      </c>
      <c r="K4532">
        <f>HYPERLINK("CSG6.html#group84B6", "84B⁶"), =HYPERLINK("CSG8.html#group42D8", "42D⁸"), =HYPERLINK("CSG8.html#group84F8", "84F⁸")</f>
        <v/>
      </c>
      <c r="L4532" t="inlineStr"/>
      <c r="M4532">
        <f>HYPERLINK("CSG0.html#group12C0", "12C⁰"), =HYPERLINK("CSG8.html#group42D8", "42D⁸"), =HYPERLINK("CSG1.html#group14B1", "14B¹"), =HYPERLINK("CSG0.html#group4C0", "4C⁰"), =HYPERLINK("CSG0.html#group21A0", "21A⁰"), =HYPERLINK("CSG0.html#group2B0", "2B⁰"), =HYPERLINK("CSG8.html#group84F8", "84F⁸"), =HYPERLINK("CSG0.html#group1A0", "1A⁰"), =HYPERLINK("CSG2.html#group28C2", "28C²"), =HYPERLINK("CSG2.html#group42A2", "42A²"), =HYPERLINK("CSG0.html#group3A0", "3A⁰"), =HYPERLINK("CSG3.html#group42C3", "42C³"), =HYPERLINK("CSG6.html#group84B6", "84B⁶"), =HYPERLINK("CSG0.html#group6D0", "6D⁰"), =HYPERLINK("CSG0.html#group7A0", "7A⁰")</f>
        <v/>
      </c>
      <c r="N4532" t="inlineStr"/>
    </row>
    <row r="4533">
      <c r="A4533" t="inlineStr">
        <is>
          <t>84G¹⁶</t>
        </is>
      </c>
      <c r="B4533" t="inlineStr"/>
      <c r="C4533" t="inlineStr">
        <is>
          <t>252</t>
        </is>
      </c>
      <c r="D4533" t="inlineStr">
        <is>
          <t>2</t>
        </is>
      </c>
      <c r="E4533" t="inlineStr">
        <is>
          <t>63</t>
        </is>
      </c>
      <c r="F4533" t="inlineStr">
        <is>
          <t>16</t>
        </is>
      </c>
      <c r="G4533" t="inlineStr">
        <is>
          <t>0</t>
        </is>
      </c>
      <c r="H4533" t="inlineStr">
        <is>
          <t>42², 84²</t>
        </is>
      </c>
      <c r="I4533" t="n">
        <v>4</v>
      </c>
      <c r="J4533" t="inlineStr">
        <is>
          <t>2³, 4³, 6⁶, 12⁶</t>
        </is>
      </c>
      <c r="K4533">
        <f>HYPERLINK("CSG7.html#group42I7", "42I⁷"), =HYPERLINK("CSG7.html#group84C7", "84C⁷"), =HYPERLINK("CSG8.html#group84G8", "84G⁸")</f>
        <v/>
      </c>
      <c r="L4533" t="inlineStr"/>
      <c r="M4533">
        <f>HYPERLINK("CSG0.html#group14A0", "14A⁰"), =HYPERLINK("CSG1.html#group42A1", "42A¹"), =HYPERLINK("CSG1.html#group14B1", "14B¹"), =HYPERLINK("CSG8.html#group84G8", "84G⁸"), =HYPERLINK("CSG2.html#group14C2", "14C²"), =HYPERLINK("CSG0.html#group21A0", "21A⁰"), =HYPERLINK("CSG0.html#group2B0", "2B⁰"), =HYPERLINK("CSG0.html#group1A0", "1A⁰"), =HYPERLINK("CSG7.html#group42I7", "42I⁷"), =HYPERLINK("CSG7.html#group84C7", "84C⁷"), =HYPERLINK("CSG0.html#group12D0", "12D⁰"), =HYPERLINK("CSG0.html#group3A0", "3A⁰"), =HYPERLINK("CSG3.html#group42C3", "42C³"), =HYPERLINK("CSG0.html#group6D0", "6D⁰"), =HYPERLINK("CSG0.html#group7A0", "7A⁰")</f>
        <v/>
      </c>
      <c r="N4533" t="inlineStr"/>
    </row>
    <row r="4534">
      <c r="A4534" t="inlineStr">
        <is>
          <t>84H¹⁶</t>
        </is>
      </c>
      <c r="B4534" t="inlineStr"/>
      <c r="C4534" t="inlineStr">
        <is>
          <t>252</t>
        </is>
      </c>
      <c r="D4534" t="inlineStr">
        <is>
          <t>2</t>
        </is>
      </c>
      <c r="E4534" t="inlineStr">
        <is>
          <t>63</t>
        </is>
      </c>
      <c r="F4534" t="inlineStr">
        <is>
          <t>16</t>
        </is>
      </c>
      <c r="G4534" t="inlineStr">
        <is>
          <t>0</t>
        </is>
      </c>
      <c r="H4534" t="inlineStr">
        <is>
          <t>42², 84²</t>
        </is>
      </c>
      <c r="I4534" t="n">
        <v>4</v>
      </c>
      <c r="J4534" t="inlineStr">
        <is>
          <t>2³, 4³, 6⁶, 12⁶</t>
        </is>
      </c>
      <c r="K4534">
        <f>HYPERLINK("CSG7.html#group42L7", "42L⁷"), =HYPERLINK("CSG7.html#group84B7", "84B⁷"), =HYPERLINK("CSG8.html#group84G8", "84G⁸")</f>
        <v/>
      </c>
      <c r="L4534" t="inlineStr"/>
      <c r="M4534">
        <f>HYPERLINK("CSG0.html#group6B0", "6B⁰"), =HYPERLINK("CSG1.html#group14B1", "14B¹"), =HYPERLINK("CSG0.html#group6H0", "6H⁰"), =HYPERLINK("CSG8.html#group84G8", "84G⁸"), =HYPERLINK("CSG0.html#group21A0", "21A⁰"), =HYPERLINK("CSG0.html#group2B0", "2B⁰"), =HYPERLINK("CSG0.html#group1A0", "1A⁰"), =HYPERLINK("CSG7.html#group84B7", "84B⁷"), =HYPERLINK("CSG0.html#group6D0", "6D⁰"), =HYPERLINK("CSG7.html#group42L7", "42L⁷"), =HYPERLINK("CSG1.html#group42B1", "42B¹"), =HYPERLINK("CSG0.html#group3A0", "3A⁰"), =HYPERLINK("CSG3.html#group42C3", "42C³"), =HYPERLINK("CSG2.html#group28B2", "28B²"), =HYPERLINK("CSG0.html#group7A0", "7A⁰")</f>
        <v/>
      </c>
      <c r="N4534" t="inlineStr"/>
    </row>
    <row r="4535">
      <c r="A4535" t="inlineStr">
        <is>
          <t>84I¹⁶</t>
        </is>
      </c>
      <c r="B4535" t="inlineStr"/>
      <c r="C4535" t="inlineStr">
        <is>
          <t>252</t>
        </is>
      </c>
      <c r="D4535" t="inlineStr">
        <is>
          <t>2</t>
        </is>
      </c>
      <c r="E4535" t="inlineStr">
        <is>
          <t>126</t>
        </is>
      </c>
      <c r="F4535" t="inlineStr">
        <is>
          <t>18</t>
        </is>
      </c>
      <c r="G4535" t="inlineStr">
        <is>
          <t>0</t>
        </is>
      </c>
      <c r="H4535" t="inlineStr">
        <is>
          <t>84³</t>
        </is>
      </c>
      <c r="I4535" t="n">
        <v>3</v>
      </c>
      <c r="J4535" t="inlineStr">
        <is>
          <t>2², 4⁴, 6⁴, 8², 12⁸, 24⁴</t>
        </is>
      </c>
      <c r="K4535">
        <f>HYPERLINK("CSG6.html#group84B6", "84B⁶")</f>
        <v/>
      </c>
      <c r="L4535" t="inlineStr"/>
      <c r="M4535">
        <f>HYPERLINK("CSG2.html#group28C2", "28C²"), =HYPERLINK("CSG0.html#group12C0", "12C⁰"), =HYPERLINK("CSG1.html#group14B1", "14B¹"), =HYPERLINK("CSG0.html#group4C0", "4C⁰"), =HYPERLINK("CSG0.html#group21A0", "21A⁰"), =HYPERLINK("CSG0.html#group2B0", "2B⁰"), =HYPERLINK("CSG0.html#group3A0", "3A⁰"), =HYPERLINK("CSG0.html#group1A0", "1A⁰"), =HYPERLINK("CSG3.html#group42C3", "42C³"), =HYPERLINK("CSG6.html#group84B6", "84B⁶"), =HYPERLINK("CSG0.html#group6D0", "6D⁰"), =HYPERLINK("CSG0.html#group7A0", "7A⁰")</f>
        <v/>
      </c>
      <c r="N4535" t="inlineStr"/>
    </row>
    <row r="4536">
      <c r="A4536" t="inlineStr">
        <is>
          <t>84J¹⁶</t>
        </is>
      </c>
      <c r="B4536" t="inlineStr"/>
      <c r="C4536" t="inlineStr">
        <is>
          <t>252</t>
        </is>
      </c>
      <c r="D4536" t="inlineStr">
        <is>
          <t>2</t>
        </is>
      </c>
      <c r="E4536" t="inlineStr">
        <is>
          <t>126</t>
        </is>
      </c>
      <c r="F4536" t="inlineStr">
        <is>
          <t>18</t>
        </is>
      </c>
      <c r="G4536" t="inlineStr">
        <is>
          <t>0</t>
        </is>
      </c>
      <c r="H4536" t="inlineStr">
        <is>
          <t>84³</t>
        </is>
      </c>
      <c r="I4536" t="n">
        <v>3</v>
      </c>
      <c r="J4536" t="inlineStr">
        <is>
          <t>2², 4⁴, 6⁴, 8², 12⁸, 24⁴</t>
        </is>
      </c>
      <c r="K4536">
        <f>HYPERLINK("CSG1.html#group12M1", "12M¹"), =HYPERLINK("CSG6.html#group84B6", "84B⁶")</f>
        <v/>
      </c>
      <c r="L4536" t="inlineStr"/>
      <c r="M4536">
        <f>HYPERLINK("CSG2.html#group28C2", "28C²"), =HYPERLINK("CSG0.html#group12C0", "12C⁰"), =HYPERLINK("CSG1.html#group14B1", "14B¹"), =HYPERLINK("CSG0.html#group4C0", "4C⁰"), =HYPERLINK("CSG0.html#group21A0", "21A⁰"), =HYPERLINK("CSG1.html#group12M1", "12M¹"), =HYPERLINK("CSG0.html#group2B0", "2B⁰"), =HYPERLINK("CSG0.html#group3A0", "3A⁰"), =HYPERLINK("CSG0.html#group1A0", "1A⁰"), =HYPERLINK("CSG3.html#group42C3", "42C³"), =HYPERLINK("CSG6.html#group84B6", "84B⁶"), =HYPERLINK("CSG0.html#group6D0", "6D⁰"), =HYPERLINK("CSG0.html#group7A0", "7A⁰")</f>
        <v/>
      </c>
      <c r="N4536" t="inlineStr"/>
    </row>
    <row r="4537">
      <c r="A4537" t="inlineStr">
        <is>
          <t>84K¹⁶</t>
        </is>
      </c>
      <c r="B4537" t="inlineStr"/>
      <c r="C4537" t="inlineStr">
        <is>
          <t>288</t>
        </is>
      </c>
      <c r="D4537" t="inlineStr">
        <is>
          <t>2</t>
        </is>
      </c>
      <c r="E4537" t="inlineStr">
        <is>
          <t>16</t>
        </is>
      </c>
      <c r="F4537" t="inlineStr">
        <is>
          <t>0</t>
        </is>
      </c>
      <c r="G4537" t="inlineStr">
        <is>
          <t>18</t>
        </is>
      </c>
      <c r="H4537" t="inlineStr">
        <is>
          <t>12³, 84³</t>
        </is>
      </c>
      <c r="I4537" t="n">
        <v>6</v>
      </c>
      <c r="J4537" t="inlineStr">
        <is>
          <t>2⁴, 12²</t>
        </is>
      </c>
      <c r="K4537">
        <f>HYPERLINK("CSG2.html#group28F2", "28F²"), =HYPERLINK("CSG4.html#group84A4", "84A⁴"), =HYPERLINK("CSG4.html#group84B4", "84B⁴"), =HYPERLINK("CSG6.html#group84A6", "84A⁶"), =HYPERLINK("CSG7.html#group42M7", "42M⁷")</f>
        <v/>
      </c>
      <c r="L4537" t="inlineStr"/>
      <c r="M4537">
        <f>HYPERLINK("CSG2.html#group42B2", "42B²"), =HYPERLINK("CSG0.html#group2A0", "2A⁰"), =HYPERLINK("CSG0.html#group6A0", "6A⁰"), =HYPERLINK("CSG0.html#group28A0", "28A⁰"), =HYPERLINK("CSG0.html#group7B0", "7B⁰"), =HYPERLINK("CSG7.html#group42M7", "42M⁷"), =HYPERLINK("CSG0.html#group14B0", "14B⁰"), =HYPERLINK("CSG2.html#group42C2", "42C²"), =HYPERLINK("CSG0.html#group1A0", "1A⁰"), =HYPERLINK("CSG4.html#group84A4", "84A⁴"), =HYPERLINK("CSG6.html#group84A6", "84A⁶"), =HYPERLINK("CSG0.html#group14C0", "14C⁰"), =HYPERLINK("CSG2.html#group28F2", "28F²"), =HYPERLINK("CSG4.html#group84B4", "84B⁴"), =HYPERLINK("CSG3.html#group42B3", "42B³"), =HYPERLINK("CSG1.html#group21A1", "21A¹")</f>
        <v/>
      </c>
      <c r="N4537" t="inlineStr"/>
    </row>
    <row r="4538">
      <c r="A4538" t="inlineStr">
        <is>
          <t>90A¹⁶</t>
        </is>
      </c>
      <c r="B4538" t="inlineStr"/>
      <c r="C4538" t="inlineStr">
        <is>
          <t>240</t>
        </is>
      </c>
      <c r="D4538" t="inlineStr">
        <is>
          <t>1</t>
        </is>
      </c>
      <c r="E4538" t="inlineStr">
        <is>
          <t>80</t>
        </is>
      </c>
      <c r="F4538" t="inlineStr">
        <is>
          <t>0</t>
        </is>
      </c>
      <c r="G4538" t="inlineStr">
        <is>
          <t>3</t>
        </is>
      </c>
      <c r="H4538" t="inlineStr">
        <is>
          <t>10⁶, 90²</t>
        </is>
      </c>
      <c r="I4538" t="n">
        <v>8</v>
      </c>
      <c r="J4538" t="inlineStr">
        <is>
          <t>4⁴, 8⁸</t>
        </is>
      </c>
      <c r="K4538">
        <f>HYPERLINK("CSG0.html#group18C0", "18C⁰"), =HYPERLINK("CSG5.html#group30J5", "30J⁵")</f>
        <v/>
      </c>
      <c r="L4538" t="inlineStr"/>
      <c r="M4538">
        <f>HYPERLINK("CSG5.html#group30J5", "30J⁵"), =HYPERLINK("CSG0.html#group18C0", "18C⁰"), =HYPERLINK("CSG0.html#group2A0", "2A⁰"), =HYPERLINK("CSG0.html#group3B0", "3B⁰"), =HYPERLINK("CSG0.html#group6C0", "6C⁰"), =HYPERLINK("CSG1.html#group10C1", "10C¹"), =HYPERLINK("CSG0.html#group1A0", "1A⁰"), =HYPERLINK("CSG2.html#group15C2", "15C²"), =HYPERLINK("CSG0.html#group5C0", "5C⁰")</f>
        <v/>
      </c>
      <c r="N4538" t="inlineStr"/>
    </row>
    <row r="4539">
      <c r="A4539" t="inlineStr">
        <is>
          <t>90B¹⁶</t>
        </is>
      </c>
      <c r="B4539" t="inlineStr"/>
      <c r="C4539" t="inlineStr">
        <is>
          <t>270</t>
        </is>
      </c>
      <c r="D4539" t="inlineStr">
        <is>
          <t>2</t>
        </is>
      </c>
      <c r="E4539" t="inlineStr">
        <is>
          <t>45</t>
        </is>
      </c>
      <c r="F4539" t="inlineStr">
        <is>
          <t>24</t>
        </is>
      </c>
      <c r="G4539" t="inlineStr">
        <is>
          <t>0</t>
        </is>
      </c>
      <c r="H4539" t="inlineStr">
        <is>
          <t>90³</t>
        </is>
      </c>
      <c r="I4539" t="n">
        <v>3</v>
      </c>
      <c r="J4539" t="inlineStr">
        <is>
          <t>2³, 6², 8³, 24²</t>
        </is>
      </c>
      <c r="K4539">
        <f>HYPERLINK("CSG4.html#group30E4", "30E⁴"), =HYPERLINK("CSG6.html#group90A6", "90A⁶"), =HYPERLINK("CSG7.html#group45D7", "45D⁷")</f>
        <v/>
      </c>
      <c r="L4539" t="inlineStr"/>
      <c r="M4539">
        <f>HYPERLINK("CSG0.html#group5A0", "5A⁰"), =HYPERLINK("CSG6.html#group90A6", "90A⁶"), =HYPERLINK("CSG2.html#group30A2", "30A²"), =HYPERLINK("CSG4.html#group30E4", "30E⁴"), =HYPERLINK("CSG0.html#group6B0", "6B⁰"), =HYPERLINK("CSG1.html#group15A1", "15A¹"), =HYPERLINK("CSG0.html#group9A0", "9A⁰"), =HYPERLINK("CSG1.html#group15F1", "15F¹"), =HYPERLINK("CSG0.html#group5E0", "5E⁰"), =HYPERLINK("CSG0.html#group15A0", "15A⁰"), =HYPERLINK("CSG0.html#group3A0", "3A⁰"), =HYPERLINK("CSG0.html#group1A0", "1A⁰"), =HYPERLINK("CSG0.html#group18A0", "18A⁰"), =HYPERLINK("CSG7.html#group45D7", "45D⁷"), =HYPERLINK("CSG3.html#group45A3", "45A³")</f>
        <v/>
      </c>
      <c r="N4539" t="inlineStr"/>
    </row>
    <row r="4540">
      <c r="A4540" t="inlineStr">
        <is>
          <t>96A¹⁶</t>
        </is>
      </c>
      <c r="B4540" t="inlineStr"/>
      <c r="C4540" t="inlineStr">
        <is>
          <t>288</t>
        </is>
      </c>
      <c r="D4540" t="inlineStr">
        <is>
          <t>1</t>
        </is>
      </c>
      <c r="E4540" t="inlineStr">
        <is>
          <t>72</t>
        </is>
      </c>
      <c r="F4540" t="inlineStr">
        <is>
          <t>8</t>
        </is>
      </c>
      <c r="G4540" t="inlineStr">
        <is>
          <t>0</t>
        </is>
      </c>
      <c r="H4540" t="inlineStr">
        <is>
          <t>6⁸, 12⁴, 96²</t>
        </is>
      </c>
      <c r="I4540" t="n">
        <v>14</v>
      </c>
      <c r="J4540" t="inlineStr">
        <is>
          <t>4⁴, 8⁸, 16⁴</t>
        </is>
      </c>
      <c r="K4540">
        <f>HYPERLINK("CSG6.html#group48J6", "48J⁶"), =HYPERLINK("CSG8.html#group96E8", "96E⁸")</f>
        <v/>
      </c>
      <c r="L4540" t="inlineStr"/>
      <c r="M4540">
        <f>HYPERLINK("CSG2.html#group24O2", "24O²"), =HYPERLINK("CSG1.html#group24E1", "24E¹"), =HYPERLINK("CSG0.html#group6B0", "6B⁰"), =HYPERLINK("CSG0.html#group12C0", "12C⁰"), =HYPERLINK("CSG3.html#group48G3", "48G³"), =HYPERLINK("CSG0.html#group8D0", "8D⁰"), =HYPERLINK("CSG0.html#group4C0", "4C⁰"), =HYPERLINK("CSG0.html#group2B0", "2B⁰"), =HYPERLINK("CSG8.html#group96E8", "96E⁸"), =HYPERLINK("CSG0.html#group12H0", "12H⁰"), =HYPERLINK("CSG0.html#group1A0", "1A⁰"), =HYPERLINK("CSG0.html#group16E0", "16E⁰"), =HYPERLINK("CSG6.html#group48J6", "48J⁶"), =HYPERLINK("CSG1.html#group24C1", "24C¹"), =HYPERLINK("CSG0.html#group12D0", "12D⁰"), =HYPERLINK("CSG3.html#group48D3", "48D³"), =HYPERLINK("CSG0.html#group6H0", "6H⁰"), =HYPERLINK("CSG0.html#group3A0", "3A⁰"), =HYPERLINK("CSG0.html#group6D0", "6D⁰")</f>
        <v/>
      </c>
      <c r="N4540" t="inlineStr"/>
    </row>
    <row r="4541">
      <c r="A4541" t="inlineStr">
        <is>
          <t>96B¹⁶</t>
        </is>
      </c>
      <c r="B4541" t="inlineStr"/>
      <c r="C4541" t="inlineStr">
        <is>
          <t>288</t>
        </is>
      </c>
      <c r="D4541" t="inlineStr">
        <is>
          <t>1</t>
        </is>
      </c>
      <c r="E4541" t="inlineStr">
        <is>
          <t>72</t>
        </is>
      </c>
      <c r="F4541" t="inlineStr">
        <is>
          <t>8</t>
        </is>
      </c>
      <c r="G4541" t="inlineStr">
        <is>
          <t>0</t>
        </is>
      </c>
      <c r="H4541" t="inlineStr">
        <is>
          <t>6⁸, 12⁴, 96²</t>
        </is>
      </c>
      <c r="I4541" t="n">
        <v>14</v>
      </c>
      <c r="J4541" t="inlineStr">
        <is>
          <t>4⁴, 8⁸, 16⁴</t>
        </is>
      </c>
      <c r="K4541">
        <f>HYPERLINK("CSG6.html#group48J6", "48J⁶"), =HYPERLINK("CSG8.html#group96F8", "96F⁸")</f>
        <v/>
      </c>
      <c r="L4541" t="inlineStr"/>
      <c r="M4541">
        <f>HYPERLINK("CSG2.html#group24O2", "24O²"), =HYPERLINK("CSG1.html#group24E1", "24E¹"), =HYPERLINK("CSG0.html#group6B0", "6B⁰"), =HYPERLINK("CSG0.html#group12C0", "12C⁰"), =HYPERLINK("CSG3.html#group48G3", "48G³"), =HYPERLINK("CSG0.html#group3A0", "3A⁰"), =HYPERLINK("CSG0.html#group8D0", "8D⁰"), =HYPERLINK("CSG0.html#group4C0", "4C⁰"), =HYPERLINK("CSG0.html#group2B0", "2B⁰"), =HYPERLINK("CSG0.html#group1A0", "1A⁰"), =HYPERLINK("CSG0.html#group16E0", "16E⁰"), =HYPERLINK("CSG8.html#group96F8", "96F⁸"), =HYPERLINK("CSG6.html#group48J6", "48J⁶"), =HYPERLINK("CSG1.html#group24C1", "24C¹"), =HYPERLINK("CSG0.html#group12D0", "12D⁰"), =HYPERLINK("CSG3.html#group48D3", "48D³"), =HYPERLINK("CSG0.html#group6H0", "6H⁰"), =HYPERLINK("CSG0.html#group12H0", "12H⁰"), =HYPERLINK("CSG0.html#group6D0", "6D⁰")</f>
        <v/>
      </c>
      <c r="N4541" t="inlineStr"/>
    </row>
    <row r="4542">
      <c r="A4542" t="inlineStr">
        <is>
          <t>96C¹⁶</t>
        </is>
      </c>
      <c r="B4542" t="inlineStr"/>
      <c r="C4542" t="inlineStr">
        <is>
          <t>288</t>
        </is>
      </c>
      <c r="D4542" t="inlineStr">
        <is>
          <t>1</t>
        </is>
      </c>
      <c r="E4542" t="inlineStr">
        <is>
          <t>72</t>
        </is>
      </c>
      <c r="F4542" t="inlineStr">
        <is>
          <t>8</t>
        </is>
      </c>
      <c r="G4542" t="inlineStr">
        <is>
          <t>0</t>
        </is>
      </c>
      <c r="H4542" t="inlineStr">
        <is>
          <t>6⁸, 12⁴, 96²</t>
        </is>
      </c>
      <c r="I4542" t="n">
        <v>14</v>
      </c>
      <c r="J4542" t="inlineStr">
        <is>
          <t>2², 4⁵, 8⁷, 16⁴</t>
        </is>
      </c>
      <c r="K4542">
        <f>HYPERLINK("CSG6.html#group48J6", "48J⁶"), =HYPERLINK("CSG8.html#group96C8", "96C⁸"), =HYPERLINK("CSG8.html#group96E8", "96E⁸")</f>
        <v/>
      </c>
      <c r="L4542" t="inlineStr"/>
      <c r="M4542">
        <f>HYPERLINK("CSG2.html#group24O2", "24O²"), =HYPERLINK("CSG1.html#group24E1", "24E¹"), =HYPERLINK("CSG0.html#group6B0", "6B⁰"), =HYPERLINK("CSG0.html#group12C0", "12C⁰"), =HYPERLINK("CSG3.html#group48G3", "48G³"), =HYPERLINK("CSG0.html#group8D0", "8D⁰"), =HYPERLINK("CSG0.html#group4C0", "4C⁰"), =HYPERLINK("CSG0.html#group2B0", "2B⁰"), =HYPERLINK("CSG8.html#group96E8", "96E⁸"), =HYPERLINK("CSG0.html#group12H0", "12H⁰"), =HYPERLINK("CSG0.html#group1A0", "1A⁰"), =HYPERLINK("CSG0.html#group16E0", "16E⁰"), =HYPERLINK("CSG1.html#group32C1", "32C¹"), =HYPERLINK("CSG6.html#group48J6", "48J⁶"), =HYPERLINK("CSG8.html#group96C8", "96C⁸"), =HYPERLINK("CSG1.html#group24C1", "24C¹"), =HYPERLINK("CSG0.html#group12D0", "12D⁰"), =HYPERLINK("CSG3.html#group48D3", "48D³"), =HYPERLINK("CSG0.html#group6H0", "6H⁰"), =HYPERLINK("CSG0.html#group3A0", "3A⁰"), =HYPERLINK("CSG0.html#group6D0", "6D⁰")</f>
        <v/>
      </c>
      <c r="N4542" t="inlineStr"/>
    </row>
    <row r="4543">
      <c r="A4543" t="inlineStr">
        <is>
          <t>96D¹⁶</t>
        </is>
      </c>
      <c r="B4543" t="inlineStr"/>
      <c r="C4543" t="inlineStr">
        <is>
          <t>288</t>
        </is>
      </c>
      <c r="D4543" t="inlineStr">
        <is>
          <t>1</t>
        </is>
      </c>
      <c r="E4543" t="inlineStr">
        <is>
          <t>72</t>
        </is>
      </c>
      <c r="F4543" t="inlineStr">
        <is>
          <t>8</t>
        </is>
      </c>
      <c r="G4543" t="inlineStr">
        <is>
          <t>0</t>
        </is>
      </c>
      <c r="H4543" t="inlineStr">
        <is>
          <t>6⁸, 12⁴, 96²</t>
        </is>
      </c>
      <c r="I4543" t="n">
        <v>14</v>
      </c>
      <c r="J4543" t="inlineStr">
        <is>
          <t>2², 4⁵, 8⁷, 16⁴</t>
        </is>
      </c>
      <c r="K4543">
        <f>HYPERLINK("CSG6.html#group48J6", "48J⁶"), =HYPERLINK("CSG8.html#group96D8", "96D⁸"), =HYPERLINK("CSG8.html#group96F8", "96F⁸")</f>
        <v/>
      </c>
      <c r="L4543" t="inlineStr"/>
      <c r="M4543">
        <f>HYPERLINK("CSG2.html#group24O2", "24O²"), =HYPERLINK("CSG1.html#group24E1", "24E¹"), =HYPERLINK("CSG0.html#group6B0", "6B⁰"), =HYPERLINK("CSG0.html#group12C0", "12C⁰"), =HYPERLINK("CSG3.html#group48G3", "48G³"), =HYPERLINK("CSG0.html#group8D0", "8D⁰"), =HYPERLINK("CSG0.html#group4C0", "4C⁰"), =HYPERLINK("CSG8.html#group96D8", "96D⁸"), =HYPERLINK("CSG1.html#group32D1", "32D¹"), =HYPERLINK("CSG0.html#group2B0", "2B⁰"), =HYPERLINK("CSG0.html#group12H0", "12H⁰"), =HYPERLINK("CSG0.html#group1A0", "1A⁰"), =HYPERLINK("CSG0.html#group16E0", "16E⁰"), =HYPERLINK("CSG8.html#group96F8", "96F⁸"), =HYPERLINK("CSG6.html#group48J6", "48J⁶"), =HYPERLINK("CSG1.html#group24C1", "24C¹"), =HYPERLINK("CSG0.html#group12D0", "12D⁰"), =HYPERLINK("CSG3.html#group48D3", "48D³"), =HYPERLINK("CSG0.html#group6H0", "6H⁰"), =HYPERLINK("CSG0.html#group3A0", "3A⁰"), =HYPERLINK("CSG0.html#group6D0", "6D⁰")</f>
        <v/>
      </c>
      <c r="N4543" t="inlineStr"/>
    </row>
    <row r="4544">
      <c r="A4544" t="inlineStr">
        <is>
          <t>96E¹⁶</t>
        </is>
      </c>
      <c r="B4544" t="inlineStr"/>
      <c r="C4544" t="inlineStr">
        <is>
          <t>288</t>
        </is>
      </c>
      <c r="D4544" t="inlineStr">
        <is>
          <t>2</t>
        </is>
      </c>
      <c r="E4544" t="inlineStr">
        <is>
          <t>144</t>
        </is>
      </c>
      <c r="F4544" t="inlineStr">
        <is>
          <t>8</t>
        </is>
      </c>
      <c r="G4544" t="inlineStr">
        <is>
          <t>0</t>
        </is>
      </c>
      <c r="H4544" t="inlineStr">
        <is>
          <t>6⁸, 12⁴, 96²</t>
        </is>
      </c>
      <c r="I4544" t="n">
        <v>14</v>
      </c>
      <c r="J4544" t="inlineStr">
        <is>
          <t>4², 8¹¹, 16¹²</t>
        </is>
      </c>
      <c r="K4544">
        <f>HYPERLINK("CSG6.html#group48I6", "48I⁶")</f>
        <v/>
      </c>
      <c r="L4544" t="inlineStr"/>
      <c r="M4544">
        <f>HYPERLINK("CSG2.html#group24O2", "24O²"), =HYPERLINK("CSG1.html#group24E1", "24E¹"), =HYPERLINK("CSG0.html#group6B0", "6B⁰"), =HYPERLINK("CSG0.html#group12C0", "12C⁰"), =HYPERLINK("CSG3.html#group48G3", "48G³"), =HYPERLINK("CSG0.html#group3A0", "3A⁰"), =HYPERLINK("CSG6.html#group48I6", "48I⁶"), =HYPERLINK("CSG0.html#group8D0", "8D⁰"), =HYPERLINK("CSG0.html#group4C0", "4C⁰"), =HYPERLINK("CSG0.html#group2B0", "2B⁰"), =HYPERLINK("CSG0.html#group1A0", "1A⁰"), =HYPERLINK("CSG1.html#group24C1", "24C¹"), =HYPERLINK("CSG0.html#group12D0", "12D⁰"), =HYPERLINK("CSG0.html#group6H0", "6H⁰"), =HYPERLINK("CSG0.html#group12H0", "12H⁰"), =HYPERLINK("CSG0.html#group6D0", "6D⁰")</f>
        <v/>
      </c>
      <c r="N4544" t="inlineStr"/>
    </row>
    <row r="4545">
      <c r="A4545" t="inlineStr">
        <is>
          <t>101A¹⁶</t>
        </is>
      </c>
      <c r="B4545" t="inlineStr"/>
      <c r="C4545" t="inlineStr">
        <is>
          <t>204</t>
        </is>
      </c>
      <c r="D4545" t="inlineStr">
        <is>
          <t>1</t>
        </is>
      </c>
      <c r="E4545" t="inlineStr">
        <is>
          <t>102</t>
        </is>
      </c>
      <c r="F4545" t="inlineStr">
        <is>
          <t>0</t>
        </is>
      </c>
      <c r="G4545" t="inlineStr">
        <is>
          <t>0</t>
        </is>
      </c>
      <c r="H4545" t="inlineStr">
        <is>
          <t>1², 101²</t>
        </is>
      </c>
      <c r="I4545" t="n">
        <v>4</v>
      </c>
      <c r="J4545" t="inlineStr">
        <is>
          <t>1², 100¹</t>
        </is>
      </c>
      <c r="K4545">
        <f>HYPERLINK("CSG8.html#group101A8", "101A⁸")</f>
        <v/>
      </c>
      <c r="L4545" t="inlineStr"/>
      <c r="M4545">
        <f>HYPERLINK("CSG8.html#group101A8", "101A⁸"), =HYPERLINK("CSG0.html#group1A0", "1A⁰")</f>
        <v/>
      </c>
      <c r="N4545" t="inlineStr"/>
    </row>
    <row r="4546">
      <c r="A4546" t="inlineStr">
        <is>
          <t>105A¹⁶</t>
        </is>
      </c>
      <c r="B4546" t="inlineStr"/>
      <c r="C4546" t="inlineStr">
        <is>
          <t>210</t>
        </is>
      </c>
      <c r="D4546" t="inlineStr">
        <is>
          <t>2</t>
        </is>
      </c>
      <c r="E4546" t="inlineStr">
        <is>
          <t>35</t>
        </is>
      </c>
      <c r="F4546" t="inlineStr">
        <is>
          <t>6</t>
        </is>
      </c>
      <c r="G4546" t="inlineStr">
        <is>
          <t>0</t>
        </is>
      </c>
      <c r="H4546" t="inlineStr">
        <is>
          <t>105²</t>
        </is>
      </c>
      <c r="I4546" t="n">
        <v>2</v>
      </c>
      <c r="J4546" t="inlineStr">
        <is>
          <t>2¹, 6², 8¹, 24²</t>
        </is>
      </c>
      <c r="K4546">
        <f>HYPERLINK("CSG2.html#group21C2", "21C²"), =HYPERLINK("CSG4.html#group35A4", "35A⁴"), =HYPERLINK("CSG7.html#group105A7", "105A⁷")</f>
        <v/>
      </c>
      <c r="L4546" t="inlineStr"/>
      <c r="M4546">
        <f>HYPERLINK("CSG0.html#group5A0", "5A⁰"), =HYPERLINK("CSG4.html#group35A4", "35A⁴"), =HYPERLINK("CSG0.html#group7C0", "7C⁰"), =HYPERLINK("CSG2.html#group21C2", "21C²"), =HYPERLINK("CSG0.html#group21A0", "21A⁰"), =HYPERLINK("CSG2.html#group35A2", "35A²"), =HYPERLINK("CSG0.html#group3A0", "3A⁰"), =HYPERLINK("CSG0.html#group1A0", "1A⁰"), =HYPERLINK("CSG7.html#group105A7", "105A⁷"), =HYPERLINK("CSG1.html#group15A1", "15A¹"), =HYPERLINK("CSG0.html#group7A0", "7A⁰")</f>
        <v/>
      </c>
      <c r="N4546" t="inlineStr"/>
    </row>
    <row r="4547">
      <c r="A4547" t="inlineStr">
        <is>
          <t>105B¹⁶</t>
        </is>
      </c>
      <c r="B4547" t="inlineStr"/>
      <c r="C4547" t="inlineStr">
        <is>
          <t>210</t>
        </is>
      </c>
      <c r="D4547" t="inlineStr">
        <is>
          <t>2</t>
        </is>
      </c>
      <c r="E4547" t="inlineStr">
        <is>
          <t>105</t>
        </is>
      </c>
      <c r="F4547" t="inlineStr">
        <is>
          <t>6</t>
        </is>
      </c>
      <c r="G4547" t="inlineStr">
        <is>
          <t>0</t>
        </is>
      </c>
      <c r="H4547" t="inlineStr">
        <is>
          <t>105²</t>
        </is>
      </c>
      <c r="I4547" t="n">
        <v>2</v>
      </c>
      <c r="J4547" t="inlineStr">
        <is>
          <t>2¹, 4¹, 6², 8¹, 12², 16¹, 24², 48²</t>
        </is>
      </c>
      <c r="K4547">
        <f>HYPERLINK("CSG2.html#group15A2", "15A²"), =HYPERLINK("CSG2.html#group21D2", "21D²"), =HYPERLINK("CSG7.html#group105A7", "105A⁷")</f>
        <v/>
      </c>
      <c r="L4547" t="inlineStr"/>
      <c r="M4547">
        <f>HYPERLINK("CSG2.html#group21D2", "21D²"), =HYPERLINK("CSG0.html#group5A0", "5A⁰"), =HYPERLINK("CSG2.html#group15A2", "15A²"), =HYPERLINK("CSG0.html#group21A0", "21A⁰"), =HYPERLINK("CSG0.html#group3C0", "3C⁰"), =HYPERLINK("CSG2.html#group35A2", "35A²"), =HYPERLINK("CSG0.html#group3A0", "3A⁰"), =HYPERLINK("CSG0.html#group1A0", "1A⁰"), =HYPERLINK("CSG7.html#group105A7", "105A⁷"), =HYPERLINK("CSG1.html#group15A1", "15A¹"), =HYPERLINK("CSG0.html#group7A0", "7A⁰")</f>
        <v/>
      </c>
      <c r="N4547" t="inlineStr"/>
    </row>
    <row r="4548">
      <c r="A4548" t="inlineStr">
        <is>
          <t>105C¹⁶</t>
        </is>
      </c>
      <c r="B4548" t="inlineStr"/>
      <c r="C4548" t="inlineStr">
        <is>
          <t>252</t>
        </is>
      </c>
      <c r="D4548" t="inlineStr">
        <is>
          <t>2</t>
        </is>
      </c>
      <c r="E4548" t="inlineStr">
        <is>
          <t>126</t>
        </is>
      </c>
      <c r="F4548" t="inlineStr">
        <is>
          <t>16</t>
        </is>
      </c>
      <c r="G4548" t="inlineStr">
        <is>
          <t>0</t>
        </is>
      </c>
      <c r="H4548" t="inlineStr">
        <is>
          <t>21², 105²</t>
        </is>
      </c>
      <c r="I4548" t="n">
        <v>4</v>
      </c>
      <c r="J4548" t="inlineStr">
        <is>
          <t>2², 4², 6⁴, 8¹, 12⁴, 16¹, 24², 48²</t>
        </is>
      </c>
      <c r="K4548">
        <f>HYPERLINK("CSG6.html#group105C6", "105C⁶")</f>
        <v/>
      </c>
      <c r="L4548" t="inlineStr"/>
      <c r="M4548">
        <f>HYPERLINK("CSG2.html#group35C2", "35C²"), =HYPERLINK("CSG0.html#group15B0", "15B⁰"), =HYPERLINK("CSG6.html#group105C6", "105C⁶"), =HYPERLINK("CSG0.html#group5B0", "5B⁰"), =HYPERLINK("CSG0.html#group21A0", "21A⁰"), =HYPERLINK("CSG0.html#group3A0", "3A⁰"), =HYPERLINK("CSG0.html#group1A0", "1A⁰"), =HYPERLINK("CSG0.html#group7A0", "7A⁰")</f>
        <v/>
      </c>
      <c r="N4548" t="inlineStr"/>
    </row>
    <row r="4549">
      <c r="A4549" t="inlineStr">
        <is>
          <t>108A¹⁶</t>
        </is>
      </c>
      <c r="B4549" t="inlineStr"/>
      <c r="C4549" t="inlineStr">
        <is>
          <t>216</t>
        </is>
      </c>
      <c r="D4549" t="inlineStr">
        <is>
          <t>1</t>
        </is>
      </c>
      <c r="E4549" t="inlineStr">
        <is>
          <t>36</t>
        </is>
      </c>
      <c r="F4549" t="inlineStr">
        <is>
          <t>0</t>
        </is>
      </c>
      <c r="G4549" t="inlineStr">
        <is>
          <t>0</t>
        </is>
      </c>
      <c r="H4549" t="inlineStr">
        <is>
          <t>9², 27², 36¹, 108¹</t>
        </is>
      </c>
      <c r="I4549" t="n">
        <v>6</v>
      </c>
      <c r="J4549" t="inlineStr">
        <is>
          <t>1⁶, 2⁶, 6³</t>
        </is>
      </c>
      <c r="K4549">
        <f>HYPERLINK("CSG4.html#group36F4", "36F⁴"), =HYPERLINK("CSG8.html#group54A8", "54A⁸")</f>
        <v/>
      </c>
      <c r="L4549" t="inlineStr"/>
      <c r="M4549">
        <f>HYPERLINK("CSG0.html#group3B0", "3B⁰"), =HYPERLINK("CSG0.html#group6F0", "6F⁰"), =HYPERLINK("CSG0.html#group12E0", "12E⁰"), =HYPERLINK("CSG2.html#group18D2", "18D²"), =HYPERLINK("CSG4.html#group36F4", "36F⁴"), =HYPERLINK("CSG0.html#group2B0", "2B⁰"), =HYPERLINK("CSG1.html#group27B1", "27B¹"), =HYPERLINK("CSG0.html#group9C0", "9C⁰"), =HYPERLINK("CSG0.html#group4B0", "4B⁰"), =HYPERLINK("CSG0.html#group1A0", "1A⁰"), =HYPERLINK("CSG8.html#group54A8", "54A⁸")</f>
        <v/>
      </c>
      <c r="N4549" t="inlineStr"/>
    </row>
    <row r="4550">
      <c r="A4550" t="inlineStr">
        <is>
          <t>108B¹⁶</t>
        </is>
      </c>
      <c r="B4550" t="inlineStr"/>
      <c r="C4550" t="inlineStr">
        <is>
          <t>216</t>
        </is>
      </c>
      <c r="D4550" t="inlineStr">
        <is>
          <t>1</t>
        </is>
      </c>
      <c r="E4550" t="inlineStr">
        <is>
          <t>36</t>
        </is>
      </c>
      <c r="F4550" t="inlineStr">
        <is>
          <t>0</t>
        </is>
      </c>
      <c r="G4550" t="inlineStr">
        <is>
          <t>0</t>
        </is>
      </c>
      <c r="H4550" t="inlineStr">
        <is>
          <t>9², 27², 36¹, 108¹</t>
        </is>
      </c>
      <c r="I4550" t="n">
        <v>6</v>
      </c>
      <c r="J4550" t="inlineStr">
        <is>
          <t>1⁶, 2⁶, 6³</t>
        </is>
      </c>
      <c r="K4550">
        <f>HYPERLINK("CSG4.html#group36F4", "36F⁴"), =HYPERLINK("CSG8.html#group54B8", "54B⁸")</f>
        <v/>
      </c>
      <c r="L4550" t="inlineStr"/>
      <c r="M4550">
        <f>HYPERLINK("CSG0.html#group3B0", "3B⁰"), =HYPERLINK("CSG2.html#group27B2", "27B²"), =HYPERLINK("CSG8.html#group54B8", "54B⁸"), =HYPERLINK("CSG4.html#group36F4", "36F⁴"), =HYPERLINK("CSG2.html#group18D2", "18D²"), =HYPERLINK("CSG0.html#group2B0", "2B⁰"), =HYPERLINK("CSG0.html#group1A0", "1A⁰"), =HYPERLINK("CSG0.html#group9C0", "9C⁰"), =HYPERLINK("CSG0.html#group4B0", "4B⁰"), =HYPERLINK("CSG0.html#group6F0", "6F⁰"), =HYPERLINK("CSG0.html#group12E0", "12E⁰")</f>
        <v/>
      </c>
      <c r="N4550" t="inlineStr"/>
    </row>
    <row r="4551">
      <c r="A4551" t="inlineStr">
        <is>
          <t>108C¹⁶</t>
        </is>
      </c>
      <c r="B4551" t="inlineStr"/>
      <c r="C4551" t="inlineStr">
        <is>
          <t>216</t>
        </is>
      </c>
      <c r="D4551" t="inlineStr">
        <is>
          <t>1</t>
        </is>
      </c>
      <c r="E4551" t="inlineStr">
        <is>
          <t>36</t>
        </is>
      </c>
      <c r="F4551" t="inlineStr">
        <is>
          <t>0</t>
        </is>
      </c>
      <c r="G4551" t="inlineStr">
        <is>
          <t>0</t>
        </is>
      </c>
      <c r="H4551" t="inlineStr">
        <is>
          <t>9², 27², 36¹, 108¹</t>
        </is>
      </c>
      <c r="I4551" t="n">
        <v>6</v>
      </c>
      <c r="J4551" t="inlineStr">
        <is>
          <t>1⁶, 2⁶, 6³</t>
        </is>
      </c>
      <c r="K4551">
        <f>HYPERLINK("CSG4.html#group36F4", "36F⁴"), =HYPERLINK("CSG8.html#group54C8", "54C⁸")</f>
        <v/>
      </c>
      <c r="L4551" t="inlineStr"/>
      <c r="M4551">
        <f>HYPERLINK("CSG0.html#group3B0", "3B⁰"), =HYPERLINK("CSG8.html#group54C8", "54C⁸"), =HYPERLINK("CSG2.html#group18D2", "18D²"), =HYPERLINK("CSG4.html#group36F4", "36F⁴"), =HYPERLINK("CSG0.html#group2B0", "2B⁰"), =HYPERLINK("CSG0.html#group1A0", "1A⁰"), =HYPERLINK("CSG0.html#group12E0", "12E⁰"), =HYPERLINK("CSG0.html#group9C0", "9C⁰"), =HYPERLINK("CSG0.html#group4B0", "4B⁰"), =HYPERLINK("CSG0.html#group6F0", "6F⁰"), =HYPERLINK("CSG3.html#group27A3", "27A³")</f>
        <v/>
      </c>
      <c r="N4551" t="inlineStr"/>
    </row>
    <row r="4552">
      <c r="A4552" t="inlineStr">
        <is>
          <t>109A¹⁶</t>
        </is>
      </c>
      <c r="B4552" t="inlineStr"/>
      <c r="C4552" t="inlineStr">
        <is>
          <t>220</t>
        </is>
      </c>
      <c r="D4552" t="inlineStr">
        <is>
          <t>1</t>
        </is>
      </c>
      <c r="E4552" t="inlineStr">
        <is>
          <t>110</t>
        </is>
      </c>
      <c r="F4552" t="inlineStr">
        <is>
          <t>0</t>
        </is>
      </c>
      <c r="G4552" t="inlineStr">
        <is>
          <t>4</t>
        </is>
      </c>
      <c r="H4552" t="inlineStr">
        <is>
          <t>1², 109²</t>
        </is>
      </c>
      <c r="I4552" t="n">
        <v>4</v>
      </c>
      <c r="J4552" t="inlineStr">
        <is>
          <t>1², 108¹</t>
        </is>
      </c>
      <c r="K4552">
        <f>HYPERLINK("CSG8.html#group109A8", "109A⁸")</f>
        <v/>
      </c>
      <c r="L4552" t="inlineStr"/>
      <c r="M4552">
        <f>HYPERLINK("CSG0.html#group1A0", "1A⁰"), =HYPERLINK("CSG8.html#group109A8", "109A⁸")</f>
        <v/>
      </c>
      <c r="N4552" t="inlineStr"/>
    </row>
    <row r="4553">
      <c r="A4553" t="inlineStr">
        <is>
          <t>111A¹⁶</t>
        </is>
      </c>
      <c r="B4553" t="inlineStr"/>
      <c r="C4553" t="inlineStr">
        <is>
          <t>228</t>
        </is>
      </c>
      <c r="D4553" t="inlineStr">
        <is>
          <t>1</t>
        </is>
      </c>
      <c r="E4553" t="inlineStr">
        <is>
          <t>114</t>
        </is>
      </c>
      <c r="F4553" t="inlineStr">
        <is>
          <t>8</t>
        </is>
      </c>
      <c r="G4553" t="inlineStr">
        <is>
          <t>0</t>
        </is>
      </c>
      <c r="H4553" t="inlineStr">
        <is>
          <t>3², 111²</t>
        </is>
      </c>
      <c r="I4553" t="n">
        <v>4</v>
      </c>
      <c r="J4553" t="inlineStr">
        <is>
          <t>1², 2², 36¹, 72¹</t>
        </is>
      </c>
      <c r="K4553">
        <f>HYPERLINK("CSG8.html#group111A8", "111A⁸")</f>
        <v/>
      </c>
      <c r="L4553" t="inlineStr"/>
      <c r="M4553">
        <f>HYPERLINK("CSG0.html#group3A0", "3A⁰"), =HYPERLINK("CSG0.html#group1A0", "1A⁰"), =HYPERLINK("CSG8.html#group111A8", "111A⁸"), =HYPERLINK("CSG2.html#group37A2", "37A²")</f>
        <v/>
      </c>
      <c r="N4553" t="inlineStr"/>
    </row>
    <row r="4554">
      <c r="A4554" t="inlineStr">
        <is>
          <t>112A¹⁶</t>
        </is>
      </c>
      <c r="B4554" t="inlineStr"/>
      <c r="C4554" t="inlineStr">
        <is>
          <t>224</t>
        </is>
      </c>
      <c r="D4554" t="inlineStr">
        <is>
          <t>2</t>
        </is>
      </c>
      <c r="E4554" t="inlineStr">
        <is>
          <t>28</t>
        </is>
      </c>
      <c r="F4554" t="inlineStr">
        <is>
          <t>0</t>
        </is>
      </c>
      <c r="G4554" t="inlineStr">
        <is>
          <t>8</t>
        </is>
      </c>
      <c r="H4554" t="inlineStr">
        <is>
          <t>112²</t>
        </is>
      </c>
      <c r="I4554" t="n">
        <v>2</v>
      </c>
      <c r="J4554" t="inlineStr">
        <is>
          <t>4², 12⁴</t>
        </is>
      </c>
      <c r="K4554">
        <f>HYPERLINK("CSG7.html#group112A7", "112A⁷"), =HYPERLINK("CSG7.html#group112B7", "112B⁷"), =HYPERLINK("CSG8.html#group56B8", "56B⁸")</f>
        <v/>
      </c>
      <c r="L4554" t="inlineStr"/>
      <c r="M4554">
        <f>HYPERLINK("CSG0.html#group2A0", "2A⁰"), =HYPERLINK("CSG3.html#group56D3", "56D³"), =HYPERLINK("CSG7.html#group112A7", "112A⁷"), =HYPERLINK("CSG1.html#group14A1", "14A¹"), =HYPERLINK("CSG0.html#group8A0", "8A⁰"), =HYPERLINK("CSG0.html#group8E0", "8E⁰"), =HYPERLINK("CSG0.html#group1A0", "1A⁰"), =HYPERLINK("CSG7.html#group112B7", "112B⁷"), =HYPERLINK("CSG0.html#group4A0", "4A⁰"), =HYPERLINK("CSG4.html#group28A4", "28A⁴"), =HYPERLINK("CSG0.html#group4D0", "4D⁰"), =HYPERLINK("CSG8.html#group56B8", "56B⁸"), =HYPERLINK("CSG3.html#group56C3", "56C³"), =HYPERLINK("CSG1.html#group28A1", "28A¹"), =HYPERLINK("CSG0.html#group7A0", "7A⁰")</f>
        <v/>
      </c>
      <c r="N4554" t="inlineStr"/>
    </row>
    <row r="4555">
      <c r="A4555" t="inlineStr">
        <is>
          <t>112B¹⁶</t>
        </is>
      </c>
      <c r="B4555" t="inlineStr"/>
      <c r="C4555" t="inlineStr">
        <is>
          <t>224</t>
        </is>
      </c>
      <c r="D4555" t="inlineStr">
        <is>
          <t>2</t>
        </is>
      </c>
      <c r="E4555" t="inlineStr">
        <is>
          <t>28</t>
        </is>
      </c>
      <c r="F4555" t="inlineStr">
        <is>
          <t>0</t>
        </is>
      </c>
      <c r="G4555" t="inlineStr">
        <is>
          <t>8</t>
        </is>
      </c>
      <c r="H4555" t="inlineStr">
        <is>
          <t>112²</t>
        </is>
      </c>
      <c r="I4555" t="n">
        <v>2</v>
      </c>
      <c r="J4555" t="inlineStr">
        <is>
          <t>4², 12⁴</t>
        </is>
      </c>
      <c r="K4555">
        <f>HYPERLINK("CSG0.html#group16F0", "16F⁰"), =HYPERLINK("CSG7.html#group112C7", "112C⁷"), =HYPERLINK("CSG7.html#group112D7", "112D⁷"), =HYPERLINK("CSG8.html#group56B8", "56B⁸")</f>
        <v/>
      </c>
      <c r="L4555" t="inlineStr"/>
      <c r="M4555">
        <f>HYPERLINK("CSG0.html#group2A0", "2A⁰"), =HYPERLINK("CSG7.html#group112C7", "112C⁷"), =HYPERLINK("CSG3.html#group56D3", "56D³"), =HYPERLINK("CSG0.html#group16A0", "16A⁰"), =HYPERLINK("CSG1.html#group14A1", "14A¹"), =HYPERLINK("CSG0.html#group8A0", "8A⁰"), =HYPERLINK("CSG0.html#group8E0", "8E⁰"), =HYPERLINK("CSG0.html#group1A0", "1A⁰"), =HYPERLINK("CSG0.html#group4A0", "4A⁰"), =HYPERLINK("CSG0.html#group4D0", "4D⁰"), =HYPERLINK("CSG0.html#group16F0", "16F⁰"), =HYPERLINK("CSG4.html#group28A4", "28A⁴"), =HYPERLINK("CSG8.html#group56B8", "56B⁸"), =HYPERLINK("CSG7.html#group112D7", "112D⁷"), =HYPERLINK("CSG3.html#group56C3", "56C³"), =HYPERLINK("CSG1.html#group28A1", "28A¹"), =HYPERLINK("CSG0.html#group7A0", "7A⁰")</f>
        <v/>
      </c>
      <c r="N4555" t="inlineStr"/>
    </row>
    <row r="4556">
      <c r="A4556" t="inlineStr">
        <is>
          <t>117A¹⁶</t>
        </is>
      </c>
      <c r="B4556" t="inlineStr"/>
      <c r="C4556" t="inlineStr">
        <is>
          <t>252</t>
        </is>
      </c>
      <c r="D4556" t="inlineStr">
        <is>
          <t>2</t>
        </is>
      </c>
      <c r="E4556" t="inlineStr">
        <is>
          <t>126</t>
        </is>
      </c>
      <c r="F4556" t="inlineStr">
        <is>
          <t>16</t>
        </is>
      </c>
      <c r="G4556" t="inlineStr">
        <is>
          <t>0</t>
        </is>
      </c>
      <c r="H4556" t="inlineStr">
        <is>
          <t>9², 117²</t>
        </is>
      </c>
      <c r="I4556" t="n">
        <v>4</v>
      </c>
      <c r="J4556" t="inlineStr">
        <is>
          <t>2⁶, 6⁴, 24³, 72²</t>
        </is>
      </c>
      <c r="K4556">
        <f>HYPERLINK("CSG4.html#group39A4", "39A⁴"), =HYPERLINK("CSG8.html#group117A8", "117A⁸")</f>
        <v/>
      </c>
      <c r="L4556" t="inlineStr"/>
      <c r="M4556">
        <f>HYPERLINK("CSG8.html#group117A8", "117A⁸"), =HYPERLINK("CSG0.html#group13A0", "13A⁰"), =HYPERLINK("CSG2.html#group39A2", "39A²"), =HYPERLINK("CSG4.html#group39A4", "39A⁴"), =HYPERLINK("CSG0.html#group3A0", "3A⁰"), =HYPERLINK("CSG0.html#group1A0", "1A⁰"), =HYPERLINK("CSG0.html#group9A0", "9A⁰")</f>
        <v/>
      </c>
      <c r="N4556" t="inlineStr"/>
    </row>
    <row r="4557">
      <c r="A4557" t="inlineStr">
        <is>
          <t>120A¹⁶</t>
        </is>
      </c>
      <c r="B4557" t="inlineStr"/>
      <c r="C4557" t="inlineStr">
        <is>
          <t>240</t>
        </is>
      </c>
      <c r="D4557" t="inlineStr">
        <is>
          <t>1</t>
        </is>
      </c>
      <c r="E4557" t="inlineStr">
        <is>
          <t>40</t>
        </is>
      </c>
      <c r="F4557" t="inlineStr">
        <is>
          <t>0</t>
        </is>
      </c>
      <c r="G4557" t="inlineStr">
        <is>
          <t>12</t>
        </is>
      </c>
      <c r="H4557" t="inlineStr">
        <is>
          <t>120²</t>
        </is>
      </c>
      <c r="I4557" t="n">
        <v>2</v>
      </c>
      <c r="J4557" t="inlineStr">
        <is>
          <t>4², 16²</t>
        </is>
      </c>
      <c r="K4557">
        <f>HYPERLINK("CSG2.html#group24E2", "24E²"), =HYPERLINK("CSG4.html#group40D4", "40D⁴"), =HYPERLINK("CSG8.html#group60B8", "60B⁸")</f>
        <v/>
      </c>
      <c r="L4557" t="inlineStr"/>
      <c r="M4557">
        <f>HYPERLINK("CSG0.html#group2A0", "2A⁰"), =HYPERLINK("CSG4.html#group40D4", "40D⁴"), =HYPERLINK("CSG0.html#group5A0", "5A⁰"), =HYPERLINK("CSG2.html#group24E2", "24E²"), =HYPERLINK("CSG1.html#group12E1", "12E¹"), =HYPERLINK("CSG0.html#group8A0", "8A⁰"), =HYPERLINK("CSG0.html#group8E0", "8E⁰"), =HYPERLINK("CSG1.html#group20A1", "20A¹"), =HYPERLINK("CSG8.html#group60B8", "60B⁸"), =HYPERLINK("CSG0.html#group1A0", "1A⁰"), =HYPERLINK("CSG1.html#group30A1", "30A¹"), =HYPERLINK("CSG0.html#group10A0", "10A⁰"), =HYPERLINK("CSG2.html#group20D2", "20D²"), =HYPERLINK("CSG0.html#group6A0", "6A⁰"), =HYPERLINK("CSG0.html#group4A0", "4A⁰"), =HYPERLINK("CSG0.html#group4D0", "4D⁰"), =HYPERLINK("CSG2.html#group40A2", "40A²")</f>
        <v/>
      </c>
      <c r="N4557" t="inlineStr"/>
    </row>
    <row r="4558">
      <c r="A4558" t="inlineStr">
        <is>
          <t>120B¹⁶</t>
        </is>
      </c>
      <c r="B4558" t="inlineStr"/>
      <c r="C4558" t="inlineStr">
        <is>
          <t>240</t>
        </is>
      </c>
      <c r="D4558" t="inlineStr">
        <is>
          <t>1</t>
        </is>
      </c>
      <c r="E4558" t="inlineStr">
        <is>
          <t>60</t>
        </is>
      </c>
      <c r="F4558" t="inlineStr">
        <is>
          <t>0</t>
        </is>
      </c>
      <c r="G4558" t="inlineStr">
        <is>
          <t>0</t>
        </is>
      </c>
      <c r="H4558" t="inlineStr">
        <is>
          <t>5⁴, 15⁴, 40¹, 120¹</t>
        </is>
      </c>
      <c r="I4558" t="n">
        <v>10</v>
      </c>
      <c r="J4558" t="inlineStr">
        <is>
          <t>1⁶, 2³, 4⁶, 8³</t>
        </is>
      </c>
      <c r="K4558">
        <f>HYPERLINK("CSG0.html#group24B0", "24B⁰"), =HYPERLINK("CSG8.html#group60C8", "60C⁸")</f>
        <v/>
      </c>
      <c r="L4558" t="inlineStr"/>
      <c r="M4558">
        <f>HYPERLINK("CSG2.html#group20A2", "20A²"), =HYPERLINK("CSG0.html#group3B0", "3B⁰"), =HYPERLINK("CSG0.html#group5A0", "5A⁰"), =HYPERLINK("CSG1.html#group10B1", "10B¹"), =HYPERLINK("CSG0.html#group2B0", "2B⁰"), =HYPERLINK("CSG0.html#group4B0", "4B⁰"), =HYPERLINK("CSG0.html#group1A0", "1A⁰"), =HYPERLINK("CSG0.html#group24B0", "24B⁰"), =HYPERLINK("CSG4.html#group30D4", "30D⁴"), =HYPERLINK("CSG8.html#group60C8", "60C⁸"), =HYPERLINK("CSG1.html#group15B1", "15B¹"), =HYPERLINK("CSG0.html#group6F0", "6F⁰"), =HYPERLINK("CSG0.html#group12E0", "12E⁰")</f>
        <v/>
      </c>
      <c r="N4558" t="inlineStr"/>
    </row>
    <row r="4559">
      <c r="A4559" t="inlineStr">
        <is>
          <t>120C¹⁶</t>
        </is>
      </c>
      <c r="B4559" t="inlineStr"/>
      <c r="C4559" t="inlineStr">
        <is>
          <t>240</t>
        </is>
      </c>
      <c r="D4559" t="inlineStr">
        <is>
          <t>1</t>
        </is>
      </c>
      <c r="E4559" t="inlineStr">
        <is>
          <t>120</t>
        </is>
      </c>
      <c r="F4559" t="inlineStr">
        <is>
          <t>0</t>
        </is>
      </c>
      <c r="G4559" t="inlineStr">
        <is>
          <t>12</t>
        </is>
      </c>
      <c r="H4559" t="inlineStr">
        <is>
          <t>120²</t>
        </is>
      </c>
      <c r="I4559" t="n">
        <v>2</v>
      </c>
      <c r="J4559" t="inlineStr">
        <is>
          <t>4⁶, 16⁶</t>
        </is>
      </c>
      <c r="K4559">
        <f>HYPERLINK("CSG2.html#group24J2", "24J²"), =HYPERLINK("CSG8.html#group60E8", "60E⁸")</f>
        <v/>
      </c>
      <c r="L4559" t="inlineStr"/>
      <c r="M4559">
        <f>HYPERLINK("CSG8.html#group60E8", "60E⁸"), =HYPERLINK("CSG0.html#group2A0", "2A⁰"), =HYPERLINK("CSG1.html#group30A1", "30A¹"), =HYPERLINK("CSG0.html#group5A0", "5A⁰"), =HYPERLINK("CSG0.html#group10A0", "10A⁰"), =HYPERLINK("CSG1.html#group12H1", "12H¹"), =HYPERLINK("CSG0.html#group6A0", "6A⁰"), =HYPERLINK("CSG0.html#group1A0", "1A⁰"), =HYPERLINK("CSG2.html#group24J2", "24J²")</f>
        <v/>
      </c>
      <c r="N4559" t="inlineStr"/>
    </row>
    <row r="4560">
      <c r="A4560" t="inlineStr">
        <is>
          <t>120D¹⁶</t>
        </is>
      </c>
      <c r="B4560" t="inlineStr"/>
      <c r="C4560" t="inlineStr">
        <is>
          <t>240</t>
        </is>
      </c>
      <c r="D4560" t="inlineStr">
        <is>
          <t>2</t>
        </is>
      </c>
      <c r="E4560" t="inlineStr">
        <is>
          <t>20</t>
        </is>
      </c>
      <c r="F4560" t="inlineStr">
        <is>
          <t>0</t>
        </is>
      </c>
      <c r="G4560" t="inlineStr">
        <is>
          <t>12</t>
        </is>
      </c>
      <c r="H4560" t="inlineStr">
        <is>
          <t>120²</t>
        </is>
      </c>
      <c r="I4560" t="n">
        <v>2</v>
      </c>
      <c r="J4560" t="inlineStr">
        <is>
          <t>4², 16²</t>
        </is>
      </c>
      <c r="K4560">
        <f>HYPERLINK("CSG4.html#group40D4", "40D⁴"), =HYPERLINK("CSG7.html#group120A7", "120A⁷"), =HYPERLINK("CSG7.html#group120B7", "120B⁷"), =HYPERLINK("CSG8.html#group60F8", "60F⁸")</f>
        <v/>
      </c>
      <c r="L4560" t="inlineStr"/>
      <c r="M4560">
        <f>HYPERLINK("CSG0.html#group2A0", "2A⁰"), =HYPERLINK("CSG7.html#group120A7", "120A⁷"), =HYPERLINK("CSG4.html#group40D4", "40D⁴"), =HYPERLINK("CSG0.html#group5A0", "5A⁰"), =HYPERLINK("CSG0.html#group8A0", "8A⁰"), =HYPERLINK("CSG0.html#group8E0", "8E⁰"), =HYPERLINK("CSG1.html#group20A1", "20A¹"), =HYPERLINK("CSG0.html#group1A0", "1A⁰"), =HYPERLINK("CSG3.html#group60A3", "60A³"), =HYPERLINK("CSG0.html#group10A0", "10A⁰"), =HYPERLINK("CSG2.html#group20D2", "20D²"), =HYPERLINK("CSG8.html#group60F8", "60F⁸"), =HYPERLINK("CSG1.html#group30B1", "30B¹"), =HYPERLINK("CSG7.html#group120B7", "120B⁷"), =HYPERLINK("CSG0.html#group4A0", "4A⁰"), =HYPERLINK("CSG0.html#group4D0", "4D⁰"), =HYPERLINK("CSG2.html#group40A2", "40A²"), =HYPERLINK("CSG0.html#group15A0", "15A⁰")</f>
        <v/>
      </c>
      <c r="N4560" t="inlineStr"/>
    </row>
    <row r="4561">
      <c r="A4561" t="inlineStr">
        <is>
          <t>120E¹⁶</t>
        </is>
      </c>
      <c r="B4561" t="inlineStr"/>
      <c r="C4561" t="inlineStr">
        <is>
          <t>240</t>
        </is>
      </c>
      <c r="D4561" t="inlineStr">
        <is>
          <t>2</t>
        </is>
      </c>
      <c r="E4561" t="inlineStr">
        <is>
          <t>80</t>
        </is>
      </c>
      <c r="F4561" t="inlineStr">
        <is>
          <t>12</t>
        </is>
      </c>
      <c r="G4561" t="inlineStr">
        <is>
          <t>3</t>
        </is>
      </c>
      <c r="H4561" t="inlineStr">
        <is>
          <t>120²</t>
        </is>
      </c>
      <c r="I4561" t="n">
        <v>2</v>
      </c>
      <c r="J4561" t="inlineStr">
        <is>
          <t>8⁴, 32⁴</t>
        </is>
      </c>
      <c r="K4561">
        <f>HYPERLINK("CSG3.html#group60A3", "60A³"), =HYPERLINK("CSG5.html#group40D5", "40D⁵")</f>
        <v/>
      </c>
      <c r="L4561" t="inlineStr"/>
      <c r="M4561">
        <f>HYPERLINK("CSG0.html#group5A0", "5A⁰"), =HYPERLINK("CSG0.html#group8F0", "8F⁰"), =HYPERLINK("CSG0.html#group4A0", "4A⁰"), =HYPERLINK("CSG1.html#group20A1", "20A¹"), =HYPERLINK("CSG0.html#group15A0", "15A⁰"), =HYPERLINK("CSG0.html#group1A0", "1A⁰"), =HYPERLINK("CSG5.html#group40D5", "40D⁵"), =HYPERLINK("CSG3.html#group60A3", "60A³")</f>
        <v/>
      </c>
      <c r="N4561" t="inlineStr"/>
    </row>
    <row r="4562">
      <c r="A4562" t="inlineStr">
        <is>
          <t>125A¹⁶</t>
        </is>
      </c>
      <c r="B4562" t="inlineStr"/>
      <c r="C4562" t="inlineStr">
        <is>
          <t>300</t>
        </is>
      </c>
      <c r="D4562" t="inlineStr">
        <is>
          <t>1</t>
        </is>
      </c>
      <c r="E4562" t="inlineStr">
        <is>
          <t>30</t>
        </is>
      </c>
      <c r="F4562" t="inlineStr">
        <is>
          <t>0</t>
        </is>
      </c>
      <c r="G4562" t="inlineStr">
        <is>
          <t>0</t>
        </is>
      </c>
      <c r="H4562" t="inlineStr">
        <is>
          <t>1¹⁰, 5⁸, 125²</t>
        </is>
      </c>
      <c r="I4562" t="n">
        <v>20</v>
      </c>
      <c r="J4562" t="inlineStr">
        <is>
          <t>1², 4², 20¹</t>
        </is>
      </c>
      <c r="K4562">
        <f>HYPERLINK("CSG0.html#group25B0", "25B⁰"), =HYPERLINK("CSG8.html#group125A8", "125A⁸")</f>
        <v/>
      </c>
      <c r="L4562" t="inlineStr"/>
      <c r="M4562">
        <f>HYPERLINK("CSG0.html#group25A0", "25A⁰"), =HYPERLINK("CSG0.html#group5B0", "5B⁰"), =HYPERLINK("CSG0.html#group5D0", "5D⁰"), =HYPERLINK("CSG0.html#group1A0", "1A⁰"), =HYPERLINK("CSG0.html#group25B0", "25B⁰"), =HYPERLINK("CSG8.html#group125A8", "125A⁸")</f>
        <v/>
      </c>
      <c r="N4562" t="inlineStr"/>
    </row>
    <row r="4563">
      <c r="A4563" t="inlineStr">
        <is>
          <t>126A¹⁶</t>
        </is>
      </c>
      <c r="B4563" t="inlineStr"/>
      <c r="C4563" t="inlineStr">
        <is>
          <t>252</t>
        </is>
      </c>
      <c r="D4563" t="inlineStr">
        <is>
          <t>2</t>
        </is>
      </c>
      <c r="E4563" t="inlineStr">
        <is>
          <t>63</t>
        </is>
      </c>
      <c r="F4563" t="inlineStr">
        <is>
          <t>20</t>
        </is>
      </c>
      <c r="G4563" t="inlineStr">
        <is>
          <t>0</t>
        </is>
      </c>
      <c r="H4563" t="inlineStr">
        <is>
          <t>126²</t>
        </is>
      </c>
      <c r="I4563" t="n">
        <v>2</v>
      </c>
      <c r="J4563" t="inlineStr">
        <is>
          <t>4³, 12⁸, 36⁴</t>
        </is>
      </c>
      <c r="K4563">
        <f>HYPERLINK("CSG4.html#group42G4", "42G⁴"), =HYPERLINK("CSG5.html#group126A5", "126A⁵"), =HYPERLINK("CSG7.html#group63D7", "63D⁷"), =HYPERLINK("CSG8.html#group126B8", "126B⁸")</f>
        <v/>
      </c>
      <c r="L4563" t="inlineStr"/>
      <c r="M4563">
        <f>HYPERLINK("CSG0.html#group6B0", "6B⁰"), =HYPERLINK("CSG0.html#group3A0", "3A⁰"), =HYPERLINK("CSG2.html#group42A2", "42A²"), =HYPERLINK("CSG4.html#group42G4", "42G⁴"), =HYPERLINK("CSG1.html#group21D1", "21D¹"), =HYPERLINK("CSG0.html#group9A0", "9A⁰"), =HYPERLINK("CSG2.html#group63A2", "63A²"), =HYPERLINK("CSG0.html#group21A0", "21A⁰"), =HYPERLINK("CSG0.html#group1A0", "1A⁰"), =HYPERLINK("CSG1.html#group42B1", "42B¹"), =HYPERLINK("CSG5.html#group126A5", "126A⁵"), =HYPERLINK("CSG8.html#group126B8", "126B⁸"), =HYPERLINK("CSG0.html#group18A0", "18A⁰"), =HYPERLINK("CSG7.html#group63D7", "63D⁷"), =HYPERLINK("CSG0.html#group7A0", "7A⁰")</f>
        <v/>
      </c>
      <c r="N4563" t="inlineStr"/>
    </row>
    <row r="4564">
      <c r="A4564" t="inlineStr">
        <is>
          <t>126B¹⁶</t>
        </is>
      </c>
      <c r="B4564" t="inlineStr"/>
      <c r="C4564" t="inlineStr">
        <is>
          <t>252</t>
        </is>
      </c>
      <c r="D4564" t="inlineStr">
        <is>
          <t>2</t>
        </is>
      </c>
      <c r="E4564" t="inlineStr">
        <is>
          <t>63</t>
        </is>
      </c>
      <c r="F4564" t="inlineStr">
        <is>
          <t>20</t>
        </is>
      </c>
      <c r="G4564" t="inlineStr">
        <is>
          <t>0</t>
        </is>
      </c>
      <c r="H4564" t="inlineStr">
        <is>
          <t>126²</t>
        </is>
      </c>
      <c r="I4564" t="n">
        <v>2</v>
      </c>
      <c r="J4564" t="inlineStr">
        <is>
          <t>4³, 12⁸, 36⁴</t>
        </is>
      </c>
      <c r="K4564">
        <f>HYPERLINK("CSG4.html#group42H4", "42H⁴"), =HYPERLINK("CSG5.html#group126B5", "126B⁵"), =HYPERLINK("CSG7.html#group63D7", "63D⁷"), =HYPERLINK("CSG8.html#group126C8", "126C⁸")</f>
        <v/>
      </c>
      <c r="L4564" t="inlineStr"/>
      <c r="M4564">
        <f>HYPERLINK("CSG8.html#group126C8", "126C⁸"), =HYPERLINK("CSG0.html#group6B0", "6B⁰"), =HYPERLINK("CSG2.html#group42A2", "42A²"), =HYPERLINK("CSG4.html#group42H4", "42H⁴"), =HYPERLINK("CSG1.html#group21D1", "21D¹"), =HYPERLINK("CSG0.html#group9A0", "9A⁰"), =HYPERLINK("CSG2.html#group63A2", "63A²"), =HYPERLINK("CSG5.html#group126B5", "126B⁵"), =HYPERLINK("CSG0.html#group21A0", "21A⁰"), =HYPERLINK("CSG1.html#group42B1", "42B¹"), =HYPERLINK("CSG0.html#group3A0", "3A⁰"), =HYPERLINK("CSG0.html#group1A0", "1A⁰"), =HYPERLINK("CSG0.html#group18A0", "18A⁰"), =HYPERLINK("CSG7.html#group63D7", "63D⁷"), =HYPERLINK("CSG0.html#group7A0", "7A⁰")</f>
        <v/>
      </c>
      <c r="N4564" t="inlineStr"/>
    </row>
    <row r="4565">
      <c r="A4565" t="inlineStr">
        <is>
          <t>126C¹⁶</t>
        </is>
      </c>
      <c r="B4565" t="inlineStr"/>
      <c r="C4565" t="inlineStr">
        <is>
          <t>252</t>
        </is>
      </c>
      <c r="D4565" t="inlineStr">
        <is>
          <t>2</t>
        </is>
      </c>
      <c r="E4565" t="inlineStr">
        <is>
          <t>126</t>
        </is>
      </c>
      <c r="F4565" t="inlineStr">
        <is>
          <t>20</t>
        </is>
      </c>
      <c r="G4565" t="inlineStr">
        <is>
          <t>0</t>
        </is>
      </c>
      <c r="H4565" t="inlineStr">
        <is>
          <t>126²</t>
        </is>
      </c>
      <c r="I4565" t="n">
        <v>2</v>
      </c>
      <c r="J4565" t="inlineStr">
        <is>
          <t>12¹⁸, 36⁸</t>
        </is>
      </c>
      <c r="K4565">
        <f>HYPERLINK("CSG4.html#group42G4", "42G⁴"), =HYPERLINK("CSG7.html#group63E7", "63E⁷")</f>
        <v/>
      </c>
      <c r="L4565" t="inlineStr"/>
      <c r="M4565">
        <f>HYPERLINK("CSG0.html#group6B0", "6B⁰"), =HYPERLINK("CSG2.html#group42A2", "42A²"), =HYPERLINK("CSG4.html#group42G4", "42G⁴"), =HYPERLINK("CSG1.html#group21D1", "21D¹"), =HYPERLINK("CSG0.html#group7A0", "7A⁰"), =HYPERLINK("CSG0.html#group21A0", "21A⁰"), =HYPERLINK("CSG1.html#group42B1", "42B¹"), =HYPERLINK("CSG0.html#group3A0", "3A⁰"), =HYPERLINK("CSG0.html#group1A0", "1A⁰"), =HYPERLINK("CSG7.html#group63E7", "63E⁷")</f>
        <v/>
      </c>
      <c r="N4565" t="inlineStr"/>
    </row>
    <row r="4566">
      <c r="A4566" t="inlineStr">
        <is>
          <t>126D¹⁶</t>
        </is>
      </c>
      <c r="B4566" t="inlineStr"/>
      <c r="C4566" t="inlineStr">
        <is>
          <t>252</t>
        </is>
      </c>
      <c r="D4566" t="inlineStr">
        <is>
          <t>2</t>
        </is>
      </c>
      <c r="E4566" t="inlineStr">
        <is>
          <t>126</t>
        </is>
      </c>
      <c r="F4566" t="inlineStr">
        <is>
          <t>20</t>
        </is>
      </c>
      <c r="G4566" t="inlineStr">
        <is>
          <t>0</t>
        </is>
      </c>
      <c r="H4566" t="inlineStr">
        <is>
          <t>126²</t>
        </is>
      </c>
      <c r="I4566" t="n">
        <v>2</v>
      </c>
      <c r="J4566" t="inlineStr">
        <is>
          <t>12¹⁸, 36⁸</t>
        </is>
      </c>
      <c r="K4566">
        <f>HYPERLINK("CSG4.html#group42H4", "42H⁴"), =HYPERLINK("CSG7.html#group63E7", "63E⁷")</f>
        <v/>
      </c>
      <c r="L4566" t="inlineStr"/>
      <c r="M4566">
        <f>HYPERLINK("CSG0.html#group6B0", "6B⁰"), =HYPERLINK("CSG2.html#group42A2", "42A²"), =HYPERLINK("CSG4.html#group42H4", "42H⁴"), =HYPERLINK("CSG0.html#group7A0", "7A⁰"), =HYPERLINK("CSG1.html#group21D1", "21D¹"), =HYPERLINK("CSG0.html#group21A0", "21A⁰"), =HYPERLINK("CSG1.html#group42B1", "42B¹"), =HYPERLINK("CSG0.html#group3A0", "3A⁰"), =HYPERLINK("CSG0.html#group1A0", "1A⁰"), =HYPERLINK("CSG7.html#group63E7", "63E⁷")</f>
        <v/>
      </c>
      <c r="N4566" t="inlineStr"/>
    </row>
    <row r="4567">
      <c r="A4567" t="inlineStr">
        <is>
          <t>130A¹⁶</t>
        </is>
      </c>
      <c r="B4567" t="inlineStr"/>
      <c r="C4567" t="inlineStr">
        <is>
          <t>210</t>
        </is>
      </c>
      <c r="D4567" t="inlineStr">
        <is>
          <t>1</t>
        </is>
      </c>
      <c r="E4567" t="inlineStr">
        <is>
          <t>210</t>
        </is>
      </c>
      <c r="F4567" t="inlineStr">
        <is>
          <t>2</t>
        </is>
      </c>
      <c r="G4567" t="inlineStr">
        <is>
          <t>0</t>
        </is>
      </c>
      <c r="H4567" t="inlineStr">
        <is>
          <t>5¹, 10¹, 65¹, 130¹</t>
        </is>
      </c>
      <c r="I4567" t="n">
        <v>4</v>
      </c>
      <c r="J4567" t="inlineStr">
        <is>
          <t>1⁶, 4⁶, 12³, 48³</t>
        </is>
      </c>
      <c r="K4567">
        <f>HYPERLINK("CSG1.html#group10B1", "10B¹"), =HYPERLINK("CSG2.html#group26A2", "26A²"), =HYPERLINK("CSG4.html#group65A4", "65A⁴")</f>
        <v/>
      </c>
      <c r="L4567" t="inlineStr"/>
      <c r="M4567">
        <f>HYPERLINK("CSG0.html#group5A0", "5A⁰"), =HYPERLINK("CSG1.html#group10B1", "10B¹"), =HYPERLINK("CSG0.html#group13A0", "13A⁰"), =HYPERLINK("CSG0.html#group2B0", "2B⁰"), =HYPERLINK("CSG0.html#group1A0", "1A⁰"), =HYPERLINK("CSG4.html#group65A4", "65A⁴"), =HYPERLINK("CSG2.html#group26A2", "26A²")</f>
        <v/>
      </c>
      <c r="N4567" t="inlineStr"/>
    </row>
    <row r="4568">
      <c r="A4568" t="inlineStr">
        <is>
          <t>132A¹⁶</t>
        </is>
      </c>
      <c r="B4568" t="inlineStr"/>
      <c r="C4568" t="inlineStr">
        <is>
          <t>198</t>
        </is>
      </c>
      <c r="D4568" t="inlineStr">
        <is>
          <t>2</t>
        </is>
      </c>
      <c r="E4568" t="inlineStr">
        <is>
          <t>33</t>
        </is>
      </c>
      <c r="F4568" t="inlineStr">
        <is>
          <t>0</t>
        </is>
      </c>
      <c r="G4568" t="inlineStr">
        <is>
          <t>0</t>
        </is>
      </c>
      <c r="H4568" t="inlineStr">
        <is>
          <t>33², 132¹</t>
        </is>
      </c>
      <c r="I4568" t="n">
        <v>3</v>
      </c>
      <c r="J4568" t="inlineStr">
        <is>
          <t>2³, 10⁶</t>
        </is>
      </c>
      <c r="K4568">
        <f>HYPERLINK("CSG1.html#group12B1", "12B¹"), =HYPERLINK("CSG5.html#group44A5", "44A⁵"), =HYPERLINK("CSG6.html#group66F6", "66F⁶")</f>
        <v/>
      </c>
      <c r="L4568" t="inlineStr"/>
      <c r="M4568">
        <f>HYPERLINK("CSG0.html#group11A0", "11A⁰"), =HYPERLINK("CSG0.html#group3A0", "3A⁰"), =HYPERLINK("CSG0.html#group4B0", "4B⁰"), =HYPERLINK("CSG1.html#group33A1", "33A¹"), =HYPERLINK("CSG1.html#group12B1", "12B¹"), =HYPERLINK("CSG0.html#group2B0", "2B⁰"), =HYPERLINK("CSG6.html#group66F6", "66F⁶"), =HYPERLINK("CSG2.html#group22B2", "22B²"), =HYPERLINK("CSG5.html#group44A5", "44A⁵"), =HYPERLINK("CSG0.html#group1A0", "1A⁰"), =HYPERLINK("CSG0.html#group6D0", "6D⁰")</f>
        <v/>
      </c>
      <c r="N4568" t="inlineStr"/>
    </row>
    <row r="4569">
      <c r="A4569" t="inlineStr">
        <is>
          <t>132B¹⁶</t>
        </is>
      </c>
      <c r="B4569" t="inlineStr"/>
      <c r="C4569" t="inlineStr">
        <is>
          <t>216</t>
        </is>
      </c>
      <c r="D4569" t="inlineStr">
        <is>
          <t>1</t>
        </is>
      </c>
      <c r="E4569" t="inlineStr">
        <is>
          <t>36</t>
        </is>
      </c>
      <c r="F4569" t="inlineStr">
        <is>
          <t>0</t>
        </is>
      </c>
      <c r="G4569" t="inlineStr">
        <is>
          <t>0</t>
        </is>
      </c>
      <c r="H4569" t="inlineStr">
        <is>
          <t>3², 12¹, 33², 132¹</t>
        </is>
      </c>
      <c r="I4569" t="n">
        <v>6</v>
      </c>
      <c r="J4569" t="inlineStr">
        <is>
          <t>1⁶, 10³</t>
        </is>
      </c>
      <c r="K4569">
        <f>HYPERLINK("CSG1.html#group12B1", "12B¹"), =HYPERLINK("CSG4.html#group44D4", "44D⁴"), =HYPERLINK("CSG8.html#group66A8", "66A⁸")</f>
        <v/>
      </c>
      <c r="L4569" t="inlineStr"/>
      <c r="M4569">
        <f>HYPERLINK("CSG2.html#group22C2", "22C²"), =HYPERLINK("CSG8.html#group66A8", "66A⁸"), =HYPERLINK("CSG0.html#group4B0", "4B⁰"), =HYPERLINK("CSG1.html#group11A1", "11A¹"), =HYPERLINK("CSG1.html#group12B1", "12B¹"), =HYPERLINK("CSG0.html#group2B0", "2B⁰"), =HYPERLINK("CSG0.html#group3A0", "3A⁰"), =HYPERLINK("CSG3.html#group33A3", "33A³"), =HYPERLINK("CSG0.html#group1A0", "1A⁰"), =HYPERLINK("CSG4.html#group44D4", "44D⁴"), =HYPERLINK("CSG0.html#group6D0", "6D⁰")</f>
        <v/>
      </c>
      <c r="N4569" t="inlineStr"/>
    </row>
    <row r="4570">
      <c r="A4570" t="inlineStr">
        <is>
          <t>132C¹⁶</t>
        </is>
      </c>
      <c r="B4570" t="inlineStr"/>
      <c r="C4570" t="inlineStr">
        <is>
          <t>216</t>
        </is>
      </c>
      <c r="D4570" t="inlineStr">
        <is>
          <t>1</t>
        </is>
      </c>
      <c r="E4570" t="inlineStr">
        <is>
          <t>108</t>
        </is>
      </c>
      <c r="F4570" t="inlineStr">
        <is>
          <t>0</t>
        </is>
      </c>
      <c r="G4570" t="inlineStr">
        <is>
          <t>0</t>
        </is>
      </c>
      <c r="H4570" t="inlineStr">
        <is>
          <t>3², 12¹, 33², 132¹</t>
        </is>
      </c>
      <c r="I4570" t="n">
        <v>6</v>
      </c>
      <c r="J4570" t="inlineStr">
        <is>
          <t>1⁶, 2⁶, 10³, 20³</t>
        </is>
      </c>
      <c r="K4570">
        <f>HYPERLINK("CSG0.html#group12D0", "12D⁰"), =HYPERLINK("CSG8.html#group66A8", "66A⁸")</f>
        <v/>
      </c>
      <c r="L4570" t="inlineStr"/>
      <c r="M4570">
        <f>HYPERLINK("CSG2.html#group22C2", "22C²"), =HYPERLINK("CSG8.html#group66A8", "66A⁸"), =HYPERLINK("CSG1.html#group11A1", "11A¹"), =HYPERLINK("CSG0.html#group2B0", "2B⁰"), =HYPERLINK("CSG0.html#group12D0", "12D⁰"), =HYPERLINK("CSG0.html#group3A0", "3A⁰"), =HYPERLINK("CSG3.html#group33A3", "33A³"), =HYPERLINK("CSG0.html#group1A0", "1A⁰"), =HYPERLINK("CSG0.html#group6D0", "6D⁰")</f>
        <v/>
      </c>
      <c r="N4570" t="inlineStr"/>
    </row>
    <row r="4571">
      <c r="A4571" t="inlineStr">
        <is>
          <t>132D¹⁶</t>
        </is>
      </c>
      <c r="B4571" t="inlineStr"/>
      <c r="C4571" t="inlineStr">
        <is>
          <t>264</t>
        </is>
      </c>
      <c r="D4571" t="inlineStr">
        <is>
          <t>2</t>
        </is>
      </c>
      <c r="E4571" t="inlineStr">
        <is>
          <t>132</t>
        </is>
      </c>
      <c r="F4571" t="inlineStr">
        <is>
          <t>24</t>
        </is>
      </c>
      <c r="G4571" t="inlineStr">
        <is>
          <t>0</t>
        </is>
      </c>
      <c r="H4571" t="inlineStr">
        <is>
          <t>132²</t>
        </is>
      </c>
      <c r="I4571" t="n">
        <v>2</v>
      </c>
      <c r="J4571" t="inlineStr">
        <is>
          <t>4², 8², 20⁴, 40⁴</t>
        </is>
      </c>
      <c r="K4571">
        <f>HYPERLINK("CSG0.html#group12F0", "12F⁰"), =HYPERLINK("CSG3.html#group66A3", "66A³"), =HYPERLINK("CSG7.html#group132A7", "132A⁷")</f>
        <v/>
      </c>
      <c r="L4571" t="inlineStr"/>
      <c r="M4571">
        <f>HYPERLINK("CSG0.html#group11A0", "11A⁰"), =HYPERLINK("CSG7.html#group132A7", "132A⁷"), =HYPERLINK("CSG0.html#group12A0", "12A⁰"), =HYPERLINK("CSG0.html#group6B0", "6B⁰"), =HYPERLINK("CSG2.html#group44A2", "44A²"), =HYPERLINK("CSG3.html#group66A3", "66A³"), =HYPERLINK("CSG0.html#group4A0", "4A⁰"), =HYPERLINK("CSG1.html#group33A1", "33A¹"), =HYPERLINK("CSG0.html#group12F0", "12F⁰"), =HYPERLINK("CSG0.html#group3A0", "3A⁰"), =HYPERLINK("CSG0.html#group1A0", "1A⁰")</f>
        <v/>
      </c>
      <c r="N4571" t="inlineStr"/>
    </row>
    <row r="4572">
      <c r="A4572" t="inlineStr">
        <is>
          <t>134A¹⁶</t>
        </is>
      </c>
      <c r="B4572" t="inlineStr">
        <is>
          <t>Γ₀(134)</t>
        </is>
      </c>
      <c r="C4572" t="inlineStr">
        <is>
          <t>204</t>
        </is>
      </c>
      <c r="D4572" t="inlineStr">
        <is>
          <t>1</t>
        </is>
      </c>
      <c r="E4572" t="inlineStr">
        <is>
          <t>204</t>
        </is>
      </c>
      <c r="F4572" t="inlineStr">
        <is>
          <t>0</t>
        </is>
      </c>
      <c r="G4572" t="inlineStr">
        <is>
          <t>0</t>
        </is>
      </c>
      <c r="H4572" t="inlineStr">
        <is>
          <t>1¹, 2¹, 67¹, 134¹</t>
        </is>
      </c>
      <c r="I4572" t="n">
        <v>4</v>
      </c>
      <c r="J4572" t="inlineStr">
        <is>
          <t>1⁶, 66³</t>
        </is>
      </c>
      <c r="K4572">
        <f>HYPERLINK("CSG0.html#group2B0", "2B⁰"), =HYPERLINK("CSG5.html#group67A5", "67A⁵")</f>
        <v/>
      </c>
      <c r="L4572" t="inlineStr"/>
      <c r="M4572">
        <f>HYPERLINK("CSG0.html#group1A0", "1A⁰"), =HYPERLINK("CSG0.html#group2B0", "2B⁰"), =HYPERLINK("CSG5.html#group67A5", "67A⁵")</f>
        <v/>
      </c>
      <c r="N4572" t="inlineStr"/>
    </row>
    <row r="4573">
      <c r="A4573" t="inlineStr">
        <is>
          <t>140A¹⁶</t>
        </is>
      </c>
      <c r="B4573" t="inlineStr"/>
      <c r="C4573" t="inlineStr">
        <is>
          <t>210</t>
        </is>
      </c>
      <c r="D4573" t="inlineStr">
        <is>
          <t>2</t>
        </is>
      </c>
      <c r="E4573" t="inlineStr">
        <is>
          <t>105</t>
        </is>
      </c>
      <c r="F4573" t="inlineStr">
        <is>
          <t>4</t>
        </is>
      </c>
      <c r="G4573" t="inlineStr">
        <is>
          <t>0</t>
        </is>
      </c>
      <c r="H4573" t="inlineStr">
        <is>
          <t>35², 140¹</t>
        </is>
      </c>
      <c r="I4573" t="n">
        <v>3</v>
      </c>
      <c r="J4573" t="inlineStr">
        <is>
          <t>2³, 6⁶, 8³, 24⁶</t>
        </is>
      </c>
      <c r="K4573">
        <f>HYPERLINK("CSG2.html#group28B2", "28B²"), =HYPERLINK("CSG8.html#group70A8", "70A⁸")</f>
        <v/>
      </c>
      <c r="L4573" t="inlineStr"/>
      <c r="M4573">
        <f>HYPERLINK("CSG0.html#group5A0", "5A⁰"), =HYPERLINK("CSG1.html#group14B1", "14B¹"), =HYPERLINK("CSG1.html#group10B1", "10B¹"), =HYPERLINK("CSG8.html#group70A8", "70A⁸"), =HYPERLINK("CSG0.html#group2B0", "2B⁰"), =HYPERLINK("CSG0.html#group1A0", "1A⁰"), =HYPERLINK("CSG2.html#group35A2", "35A²"), =HYPERLINK("CSG2.html#group28B2", "28B²"), =HYPERLINK("CSG0.html#group7A0", "7A⁰")</f>
        <v/>
      </c>
      <c r="N4573" t="inlineStr"/>
    </row>
    <row r="4574">
      <c r="A4574" t="inlineStr">
        <is>
          <t>140B¹⁶</t>
        </is>
      </c>
      <c r="B4574" t="inlineStr"/>
      <c r="C4574" t="inlineStr">
        <is>
          <t>210</t>
        </is>
      </c>
      <c r="D4574" t="inlineStr">
        <is>
          <t>2</t>
        </is>
      </c>
      <c r="E4574" t="inlineStr">
        <is>
          <t>105</t>
        </is>
      </c>
      <c r="F4574" t="inlineStr">
        <is>
          <t>6</t>
        </is>
      </c>
      <c r="G4574" t="inlineStr">
        <is>
          <t>0</t>
        </is>
      </c>
      <c r="H4574" t="inlineStr">
        <is>
          <t>70¹, 140¹</t>
        </is>
      </c>
      <c r="I4574" t="n">
        <v>2</v>
      </c>
      <c r="J4574" t="inlineStr">
        <is>
          <t>2³, 6⁶, 8³, 24⁶</t>
        </is>
      </c>
      <c r="K4574">
        <f>HYPERLINK("CSG2.html#group20B2", "20B²"), =HYPERLINK("CSG2.html#group28C2", "28C²"), =HYPERLINK("CSG8.html#group70A8", "70A⁸")</f>
        <v/>
      </c>
      <c r="L4574" t="inlineStr"/>
      <c r="M4574">
        <f>HYPERLINK("CSG2.html#group28C2", "28C²"), =HYPERLINK("CSG0.html#group5A0", "5A⁰"), =HYPERLINK("CSG1.html#group14B1", "14B¹"), =HYPERLINK("CSG1.html#group10B1", "10B¹"), =HYPERLINK("CSG2.html#group20B2", "20B²"), =HYPERLINK("CSG0.html#group4C0", "4C⁰"), =HYPERLINK("CSG8.html#group70A8", "70A⁸"), =HYPERLINK("CSG0.html#group2B0", "2B⁰"), =HYPERLINK("CSG0.html#group1A0", "1A⁰"), =HYPERLINK("CSG2.html#group35A2", "35A²"), =HYPERLINK("CSG0.html#group7A0", "7A⁰")</f>
        <v/>
      </c>
      <c r="N4574" t="inlineStr"/>
    </row>
    <row r="4575">
      <c r="A4575" t="inlineStr">
        <is>
          <t>140C¹⁶</t>
        </is>
      </c>
      <c r="B4575" t="inlineStr"/>
      <c r="C4575" t="inlineStr">
        <is>
          <t>252</t>
        </is>
      </c>
      <c r="D4575" t="inlineStr">
        <is>
          <t>2</t>
        </is>
      </c>
      <c r="E4575" t="inlineStr">
        <is>
          <t>126</t>
        </is>
      </c>
      <c r="F4575" t="inlineStr">
        <is>
          <t>12</t>
        </is>
      </c>
      <c r="G4575" t="inlineStr">
        <is>
          <t>0</t>
        </is>
      </c>
      <c r="H4575" t="inlineStr">
        <is>
          <t>7², 28¹, 35², 140¹</t>
        </is>
      </c>
      <c r="I4575" t="n">
        <v>6</v>
      </c>
      <c r="J4575" t="inlineStr">
        <is>
          <t>2⁶, 6¹², 8³, 24⁶</t>
        </is>
      </c>
      <c r="K4575">
        <f>HYPERLINK("CSG0.html#group20A0", "20A⁰"), =HYPERLINK("CSG8.html#group70B8", "70B⁸")</f>
        <v/>
      </c>
      <c r="L4575" t="inlineStr"/>
      <c r="M4575">
        <f>HYPERLINK("CSG2.html#group35C2", "35C²"), =HYPERLINK("CSG0.html#group20A0", "20A⁰"), =HYPERLINK("CSG1.html#group14B1", "14B¹"), =HYPERLINK("CSG0.html#group5B0", "5B⁰"), =HYPERLINK("CSG8.html#group70B8", "70B⁸"), =HYPERLINK("CSG0.html#group10C0", "10C⁰"), =HYPERLINK("CSG0.html#group2B0", "2B⁰"), =HYPERLINK("CSG0.html#group1A0", "1A⁰"), =HYPERLINK("CSG0.html#group7A0", "7A⁰")</f>
        <v/>
      </c>
      <c r="N4575" t="inlineStr"/>
    </row>
    <row r="4576">
      <c r="A4576" t="inlineStr">
        <is>
          <t>144A¹⁶</t>
        </is>
      </c>
      <c r="B4576" t="inlineStr"/>
      <c r="C4576" t="inlineStr">
        <is>
          <t>192</t>
        </is>
      </c>
      <c r="D4576" t="inlineStr">
        <is>
          <t>2</t>
        </is>
      </c>
      <c r="E4576" t="inlineStr">
        <is>
          <t>32</t>
        </is>
      </c>
      <c r="F4576" t="inlineStr">
        <is>
          <t>0</t>
        </is>
      </c>
      <c r="G4576" t="inlineStr">
        <is>
          <t>0</t>
        </is>
      </c>
      <c r="H4576" t="inlineStr">
        <is>
          <t>48¹, 144¹</t>
        </is>
      </c>
      <c r="I4576" t="n">
        <v>2</v>
      </c>
      <c r="J4576" t="inlineStr">
        <is>
          <t>8⁴, 16²</t>
        </is>
      </c>
      <c r="K4576">
        <f>HYPERLINK("CSG4.html#group48A4", "48A⁴"), =HYPERLINK("CSG8.html#group72A8", "72A⁸")</f>
        <v/>
      </c>
      <c r="L4576" t="inlineStr"/>
      <c r="M4576">
        <f>HYPERLINK("CSG0.html#group3B0", "3B⁰"), =HYPERLINK("CSG0.html#group16A0", "16A⁰"), =HYPERLINK("CSG2.html#group24A2", "24A²"), =HYPERLINK("CSG0.html#group4A0", "4A⁰"), =HYPERLINK("CSG1.html#group12A1", "12A¹"), =HYPERLINK("CSG1.html#group9A1", "9A¹"), =HYPERLINK("CSG0.html#group8A0", "8A⁰"), =HYPERLINK("CSG8.html#group72A8", "72A⁸"), =HYPERLINK("CSG4.html#group36C4", "36C⁴"), =HYPERLINK("CSG4.html#group48A4", "48A⁴"), =HYPERLINK("CSG0.html#group1A0", "1A⁰")</f>
        <v/>
      </c>
      <c r="N4576" t="inlineStr"/>
    </row>
    <row r="4577">
      <c r="A4577" t="inlineStr">
        <is>
          <t>144B¹⁶</t>
        </is>
      </c>
      <c r="B4577" t="inlineStr"/>
      <c r="C4577" t="inlineStr">
        <is>
          <t>216</t>
        </is>
      </c>
      <c r="D4577" t="inlineStr">
        <is>
          <t>1</t>
        </is>
      </c>
      <c r="E4577" t="inlineStr">
        <is>
          <t>54</t>
        </is>
      </c>
      <c r="F4577" t="inlineStr">
        <is>
          <t>0</t>
        </is>
      </c>
      <c r="G4577" t="inlineStr">
        <is>
          <t>0</t>
        </is>
      </c>
      <c r="H4577" t="inlineStr">
        <is>
          <t>9⁴, 36¹, 144¹</t>
        </is>
      </c>
      <c r="I4577" t="n">
        <v>6</v>
      </c>
      <c r="J4577" t="inlineStr">
        <is>
          <t>1⁴, 2⁵, 4¹, 6⁴, 12¹</t>
        </is>
      </c>
      <c r="K4577">
        <f>HYPERLINK("CSG4.html#group48B4", "48B⁴"), =HYPERLINK("CSG8.html#group72B8", "72B⁸")</f>
        <v/>
      </c>
      <c r="L4577" t="inlineStr"/>
      <c r="M4577">
        <f>HYPERLINK("CSG2.html#group24B2", "24B²"), =HYPERLINK("CSG0.html#group4B0", "4B⁰"), =HYPERLINK("CSG0.html#group16C0", "16C⁰"), =HYPERLINK("CSG0.html#group9A0", "9A⁰"), =HYPERLINK("CSG8.html#group72B8", "72B⁸"), =HYPERLINK("CSG4.html#group36D4", "36D⁴"), =HYPERLINK("CSG1.html#group12B1", "12B¹"), =HYPERLINK("CSG0.html#group2B0", "2B⁰"), =HYPERLINK("CSG0.html#group8C0", "8C⁰"), =HYPERLINK("CSG1.html#group18E1", "18E¹"), =HYPERLINK("CSG0.html#group3A0", "3A⁰"), =HYPERLINK("CSG0.html#group1A0", "1A⁰"), =HYPERLINK("CSG0.html#group6D0", "6D⁰"), =HYPERLINK("CSG4.html#group48B4", "48B⁴")</f>
        <v/>
      </c>
      <c r="N4577" t="inlineStr"/>
    </row>
    <row r="4578">
      <c r="A4578" t="inlineStr">
        <is>
          <t>144C¹⁶</t>
        </is>
      </c>
      <c r="B4578" t="inlineStr"/>
      <c r="C4578" t="inlineStr">
        <is>
          <t>216</t>
        </is>
      </c>
      <c r="D4578" t="inlineStr">
        <is>
          <t>1</t>
        </is>
      </c>
      <c r="E4578" t="inlineStr">
        <is>
          <t>54</t>
        </is>
      </c>
      <c r="F4578" t="inlineStr">
        <is>
          <t>0</t>
        </is>
      </c>
      <c r="G4578" t="inlineStr">
        <is>
          <t>0</t>
        </is>
      </c>
      <c r="H4578" t="inlineStr">
        <is>
          <t>9⁴, 36¹, 144¹</t>
        </is>
      </c>
      <c r="I4578" t="n">
        <v>6</v>
      </c>
      <c r="J4578" t="inlineStr">
        <is>
          <t>1⁴, 2⁵, 4¹, 6⁴, 12¹</t>
        </is>
      </c>
      <c r="K4578">
        <f>HYPERLINK("CSG4.html#group48F4", "48F⁴"), =HYPERLINK("CSG8.html#group72B8", "72B⁸")</f>
        <v/>
      </c>
      <c r="L4578" t="inlineStr"/>
      <c r="M4578">
        <f>HYPERLINK("CSG2.html#group24B2", "24B²"), =HYPERLINK("CSG0.html#group3A0", "3A⁰"), =HYPERLINK("CSG0.html#group9A0", "9A⁰"), =HYPERLINK("CSG8.html#group72B8", "72B⁸"), =HYPERLINK("CSG4.html#group48F4", "48F⁴"), =HYPERLINK("CSG4.html#group36D4", "36D⁴"), =HYPERLINK("CSG0.html#group8C0", "8C⁰"), =HYPERLINK("CSG1.html#group12B1", "12B¹"), =HYPERLINK("CSG0.html#group2B0", "2B⁰"), =HYPERLINK("CSG1.html#group18E1", "18E¹"), =HYPERLINK("CSG0.html#group4B0", "4B⁰"), =HYPERLINK("CSG0.html#group1A0", "1A⁰"), =HYPERLINK("CSG0.html#group6D0", "6D⁰")</f>
        <v/>
      </c>
      <c r="N4578" t="inlineStr"/>
    </row>
    <row r="4579">
      <c r="A4579" t="inlineStr">
        <is>
          <t>144D¹⁶</t>
        </is>
      </c>
      <c r="B4579" t="inlineStr"/>
      <c r="C4579" t="inlineStr">
        <is>
          <t>216</t>
        </is>
      </c>
      <c r="D4579" t="inlineStr">
        <is>
          <t>1</t>
        </is>
      </c>
      <c r="E4579" t="inlineStr">
        <is>
          <t>108</t>
        </is>
      </c>
      <c r="F4579" t="inlineStr">
        <is>
          <t>0</t>
        </is>
      </c>
      <c r="G4579" t="inlineStr">
        <is>
          <t>0</t>
        </is>
      </c>
      <c r="H4579" t="inlineStr">
        <is>
          <t>9², 18³, 144¹</t>
        </is>
      </c>
      <c r="I4579" t="n">
        <v>6</v>
      </c>
      <c r="J4579" t="inlineStr">
        <is>
          <t>1⁴, 2⁶, 4³, 6⁴, 8¹, 12², 24¹</t>
        </is>
      </c>
      <c r="K4579">
        <f>HYPERLINK("CSG4.html#group48D4", "48D⁴"), =HYPERLINK("CSG8.html#group72B8", "72B⁸")</f>
        <v/>
      </c>
      <c r="L4579" t="inlineStr"/>
      <c r="M4579">
        <f>HYPERLINK("CSG2.html#group24B2", "24B²"), =HYPERLINK("CSG0.html#group4B0", "4B⁰"), =HYPERLINK("CSG0.html#group9A0", "9A⁰"), =HYPERLINK("CSG8.html#group72B8", "72B⁸"), =HYPERLINK("CSG0.html#group16D0", "16D⁰"), =HYPERLINK("CSG4.html#group36D4", "36D⁴"), =HYPERLINK("CSG1.html#group12B1", "12B¹"), =HYPERLINK("CSG0.html#group2B0", "2B⁰"), =HYPERLINK("CSG0.html#group8C0", "8C⁰"), =HYPERLINK("CSG1.html#group18E1", "18E¹"), =HYPERLINK("CSG0.html#group3A0", "3A⁰"), =HYPERLINK("CSG0.html#group1A0", "1A⁰"), =HYPERLINK("CSG0.html#group6D0", "6D⁰"), =HYPERLINK("CSG4.html#group48D4", "48D⁴")</f>
        <v/>
      </c>
      <c r="N4579" t="inlineStr"/>
    </row>
    <row r="4580">
      <c r="A4580" t="inlineStr">
        <is>
          <t>144E¹⁶</t>
        </is>
      </c>
      <c r="B4580" t="inlineStr"/>
      <c r="C4580" t="inlineStr">
        <is>
          <t>216</t>
        </is>
      </c>
      <c r="D4580" t="inlineStr">
        <is>
          <t>1</t>
        </is>
      </c>
      <c r="E4580" t="inlineStr">
        <is>
          <t>108</t>
        </is>
      </c>
      <c r="F4580" t="inlineStr">
        <is>
          <t>0</t>
        </is>
      </c>
      <c r="G4580" t="inlineStr">
        <is>
          <t>0</t>
        </is>
      </c>
      <c r="H4580" t="inlineStr">
        <is>
          <t>9², 18³, 144¹</t>
        </is>
      </c>
      <c r="I4580" t="n">
        <v>6</v>
      </c>
      <c r="J4580" t="inlineStr">
        <is>
          <t>1⁴, 2⁶, 4³, 6⁴, 8¹, 12², 24¹</t>
        </is>
      </c>
      <c r="K4580">
        <f>HYPERLINK("CSG4.html#group48G4", "48G⁴"), =HYPERLINK("CSG8.html#group72B8", "72B⁸")</f>
        <v/>
      </c>
      <c r="L4580" t="inlineStr"/>
      <c r="M4580">
        <f>HYPERLINK("CSG2.html#group24B2", "24B²"), =HYPERLINK("CSG0.html#group3A0", "3A⁰"), =HYPERLINK("CSG0.html#group9A0", "9A⁰"), =HYPERLINK("CSG8.html#group72B8", "72B⁸"), =HYPERLINK("CSG4.html#group36D4", "36D⁴"), =HYPERLINK("CSG0.html#group8C0", "8C⁰"), =HYPERLINK("CSG1.html#group12B1", "12B¹"), =HYPERLINK("CSG0.html#group2B0", "2B⁰"), =HYPERLINK("CSG1.html#group18E1", "18E¹"), =HYPERLINK("CSG0.html#group4B0", "4B⁰"), =HYPERLINK("CSG0.html#group1A0", "1A⁰"), =HYPERLINK("CSG4.html#group48G4", "48G⁴"), =HYPERLINK("CSG0.html#group6D0", "6D⁰")</f>
        <v/>
      </c>
      <c r="N4580" t="inlineStr"/>
    </row>
    <row r="4581">
      <c r="A4581" t="inlineStr">
        <is>
          <t>144F¹⁶</t>
        </is>
      </c>
      <c r="B4581" t="inlineStr"/>
      <c r="C4581" t="inlineStr">
        <is>
          <t>216</t>
        </is>
      </c>
      <c r="D4581" t="inlineStr">
        <is>
          <t>2</t>
        </is>
      </c>
      <c r="E4581" t="inlineStr">
        <is>
          <t>27</t>
        </is>
      </c>
      <c r="F4581" t="inlineStr">
        <is>
          <t>8</t>
        </is>
      </c>
      <c r="G4581" t="inlineStr">
        <is>
          <t>0</t>
        </is>
      </c>
      <c r="H4581" t="inlineStr">
        <is>
          <t>72¹, 144¹</t>
        </is>
      </c>
      <c r="I4581" t="n">
        <v>2</v>
      </c>
      <c r="J4581" t="inlineStr">
        <is>
          <t>2⁹, 6⁶</t>
        </is>
      </c>
      <c r="K4581">
        <f>HYPERLINK("CSG4.html#group48C4", "48C⁴"), =HYPERLINK("CSG4.html#group72E4", "72E⁴")</f>
        <v/>
      </c>
      <c r="L4581" t="inlineStr"/>
      <c r="M4581">
        <f>HYPERLINK("CSG0.html#group12C0", "12C⁰"), =HYPERLINK("CSG0.html#group24A0", "24A⁰"), =HYPERLINK("CSG4.html#group72E4", "72E⁴"), =HYPERLINK("CSG0.html#group9A0", "9A⁰"), =HYPERLINK("CSG2.html#group36B2", "36B²"), =HYPERLINK("CSG0.html#group4C0", "4C⁰"), =HYPERLINK("CSG0.html#group8B0", "8B⁰"), =HYPERLINK("CSG0.html#group2B0", "2B⁰"), =HYPERLINK("CSG1.html#group18E1", "18E¹"), =HYPERLINK("CSG0.html#group3A0", "3A⁰"), =HYPERLINK("CSG0.html#group1A0", "1A⁰"), =HYPERLINK("CSG0.html#group6D0", "6D⁰"), =HYPERLINK("CSG4.html#group48C4", "48C⁴")</f>
        <v/>
      </c>
      <c r="N4581" t="inlineStr"/>
    </row>
    <row r="4582">
      <c r="A4582" t="inlineStr">
        <is>
          <t>144G¹⁶</t>
        </is>
      </c>
      <c r="B4582" t="inlineStr"/>
      <c r="C4582" t="inlineStr">
        <is>
          <t>216</t>
        </is>
      </c>
      <c r="D4582" t="inlineStr">
        <is>
          <t>2</t>
        </is>
      </c>
      <c r="E4582" t="inlineStr">
        <is>
          <t>54</t>
        </is>
      </c>
      <c r="F4582" t="inlineStr">
        <is>
          <t>0</t>
        </is>
      </c>
      <c r="G4582" t="inlineStr">
        <is>
          <t>0</t>
        </is>
      </c>
      <c r="H4582" t="inlineStr">
        <is>
          <t>9⁴, 36¹, 144¹</t>
        </is>
      </c>
      <c r="I4582" t="n">
        <v>6</v>
      </c>
      <c r="J4582" t="inlineStr">
        <is>
          <t>2¹², 4³, 6⁸, 12²</t>
        </is>
      </c>
      <c r="K4582">
        <f>HYPERLINK("CSG4.html#group48F4", "48F⁴"), =HYPERLINK("CSG8.html#group72B8", "72B⁸")</f>
        <v/>
      </c>
      <c r="L4582" t="inlineStr"/>
      <c r="M4582">
        <f>HYPERLINK("CSG2.html#group24B2", "24B²"), =HYPERLINK("CSG0.html#group3A0", "3A⁰"), =HYPERLINK("CSG0.html#group9A0", "9A⁰"), =HYPERLINK("CSG8.html#group72B8", "72B⁸"), =HYPERLINK("CSG4.html#group48F4", "48F⁴"), =HYPERLINK("CSG4.html#group36D4", "36D⁴"), =HYPERLINK("CSG0.html#group8C0", "8C⁰"), =HYPERLINK("CSG1.html#group12B1", "12B¹"), =HYPERLINK("CSG0.html#group2B0", "2B⁰"), =HYPERLINK("CSG1.html#group18E1", "18E¹"), =HYPERLINK("CSG0.html#group4B0", "4B⁰"), =HYPERLINK("CSG0.html#group1A0", "1A⁰"), =HYPERLINK("CSG0.html#group6D0", "6D⁰")</f>
        <v/>
      </c>
      <c r="N4582" t="inlineStr"/>
    </row>
    <row r="4583">
      <c r="A4583" t="inlineStr">
        <is>
          <t>144H¹⁶</t>
        </is>
      </c>
      <c r="B4583" t="inlineStr"/>
      <c r="C4583" t="inlineStr">
        <is>
          <t>216</t>
        </is>
      </c>
      <c r="D4583" t="inlineStr">
        <is>
          <t>2</t>
        </is>
      </c>
      <c r="E4583" t="inlineStr">
        <is>
          <t>108</t>
        </is>
      </c>
      <c r="F4583" t="inlineStr">
        <is>
          <t>0</t>
        </is>
      </c>
      <c r="G4583" t="inlineStr">
        <is>
          <t>0</t>
        </is>
      </c>
      <c r="H4583" t="inlineStr">
        <is>
          <t>9², 18³, 144¹</t>
        </is>
      </c>
      <c r="I4583" t="n">
        <v>6</v>
      </c>
      <c r="J4583" t="inlineStr">
        <is>
          <t>2¹², 4⁶, 6⁸, 8³, 12⁴, 24²</t>
        </is>
      </c>
      <c r="K4583">
        <f>HYPERLINK("CSG4.html#group48G4", "48G⁴"), =HYPERLINK("CSG8.html#group72B8", "72B⁸")</f>
        <v/>
      </c>
      <c r="L4583" t="inlineStr"/>
      <c r="M4583">
        <f>HYPERLINK("CSG2.html#group24B2", "24B²"), =HYPERLINK("CSG0.html#group3A0", "3A⁰"), =HYPERLINK("CSG0.html#group9A0", "9A⁰"), =HYPERLINK("CSG8.html#group72B8", "72B⁸"), =HYPERLINK("CSG4.html#group36D4", "36D⁴"), =HYPERLINK("CSG0.html#group8C0", "8C⁰"), =HYPERLINK("CSG1.html#group12B1", "12B¹"), =HYPERLINK("CSG0.html#group2B0", "2B⁰"), =HYPERLINK("CSG1.html#group18E1", "18E¹"), =HYPERLINK("CSG0.html#group4B0", "4B⁰"), =HYPERLINK("CSG0.html#group1A0", "1A⁰"), =HYPERLINK("CSG4.html#group48G4", "48G⁴"), =HYPERLINK("CSG0.html#group6D0", "6D⁰")</f>
        <v/>
      </c>
      <c r="N4583" t="inlineStr"/>
    </row>
    <row r="4584">
      <c r="A4584" t="inlineStr">
        <is>
          <t>148A¹⁶</t>
        </is>
      </c>
      <c r="B4584" t="inlineStr"/>
      <c r="C4584" t="inlineStr">
        <is>
          <t>228</t>
        </is>
      </c>
      <c r="D4584" t="inlineStr">
        <is>
          <t>1</t>
        </is>
      </c>
      <c r="E4584" t="inlineStr">
        <is>
          <t>114</t>
        </is>
      </c>
      <c r="F4584" t="inlineStr">
        <is>
          <t>4</t>
        </is>
      </c>
      <c r="G4584" t="inlineStr">
        <is>
          <t>0</t>
        </is>
      </c>
      <c r="H4584" t="inlineStr">
        <is>
          <t>1², 4¹, 37², 148¹</t>
        </is>
      </c>
      <c r="I4584" t="n">
        <v>6</v>
      </c>
      <c r="J4584" t="inlineStr">
        <is>
          <t>1⁶, 36³</t>
        </is>
      </c>
      <c r="K4584">
        <f>HYPERLINK("CSG8.html#group74A8", "74A⁸")</f>
        <v/>
      </c>
      <c r="L4584" t="inlineStr"/>
      <c r="M4584">
        <f>HYPERLINK("CSG2.html#group37A2", "37A²"), =HYPERLINK("CSG0.html#group1A0", "1A⁰"), =HYPERLINK("CSG0.html#group2B0", "2B⁰"), =HYPERLINK("CSG8.html#group74A8", "74A⁸")</f>
        <v/>
      </c>
      <c r="N4584" t="inlineStr"/>
    </row>
    <row r="4585">
      <c r="A4585" t="inlineStr">
        <is>
          <t>150A¹⁶</t>
        </is>
      </c>
      <c r="B4585" t="inlineStr"/>
      <c r="C4585" t="inlineStr">
        <is>
          <t>270</t>
        </is>
      </c>
      <c r="D4585" t="inlineStr">
        <is>
          <t>1</t>
        </is>
      </c>
      <c r="E4585" t="inlineStr">
        <is>
          <t>90</t>
        </is>
      </c>
      <c r="F4585" t="inlineStr">
        <is>
          <t>6</t>
        </is>
      </c>
      <c r="G4585" t="inlineStr">
        <is>
          <t>0</t>
        </is>
      </c>
      <c r="H4585" t="inlineStr">
        <is>
          <t>3⁵, 6⁵, 75¹, 150¹</t>
        </is>
      </c>
      <c r="I4585" t="n">
        <v>12</v>
      </c>
      <c r="J4585" t="inlineStr">
        <is>
          <t>1⁶, 4⁶, 20³</t>
        </is>
      </c>
      <c r="K4585">
        <f>HYPERLINK("CSG2.html#group30E2", "30E²"), =HYPERLINK("CSG2.html#group50B2", "50B²"), =HYPERLINK("CSG4.html#group75A4", "75A⁴")</f>
        <v/>
      </c>
      <c r="L4585" t="inlineStr"/>
      <c r="M4585">
        <f>HYPERLINK("CSG0.html#group15B0", "15B⁰"), =HYPERLINK("CSG2.html#group30E2", "30E²"), =HYPERLINK("CSG0.html#group25A0", "25A⁰"), =HYPERLINK("CSG0.html#group10C0", "10C⁰"), =HYPERLINK("CSG0.html#group5B0", "5B⁰"), =HYPERLINK("CSG0.html#group2B0", "2B⁰"), =HYPERLINK("CSG4.html#group75A4", "75A⁴"), =HYPERLINK("CSG0.html#group3A0", "3A⁰"), =HYPERLINK("CSG2.html#group50B2", "50B²"), =HYPERLINK("CSG0.html#group1A0", "1A⁰"), =HYPERLINK("CSG0.html#group6D0", "6D⁰")</f>
        <v/>
      </c>
      <c r="N4585" t="inlineStr"/>
    </row>
    <row r="4586">
      <c r="A4586" t="inlineStr">
        <is>
          <t>152A¹⁶</t>
        </is>
      </c>
      <c r="B4586" t="inlineStr"/>
      <c r="C4586" t="inlineStr">
        <is>
          <t>240</t>
        </is>
      </c>
      <c r="D4586" t="inlineStr">
        <is>
          <t>1</t>
        </is>
      </c>
      <c r="E4586" t="inlineStr">
        <is>
          <t>60</t>
        </is>
      </c>
      <c r="F4586" t="inlineStr">
        <is>
          <t>0</t>
        </is>
      </c>
      <c r="G4586" t="inlineStr">
        <is>
          <t>0</t>
        </is>
      </c>
      <c r="H4586" t="inlineStr">
        <is>
          <t>1⁴, 8¹, 19⁴, 152¹</t>
        </is>
      </c>
      <c r="I4586" t="n">
        <v>10</v>
      </c>
      <c r="J4586" t="inlineStr">
        <is>
          <t>1⁶, 18³</t>
        </is>
      </c>
      <c r="K4586">
        <f>HYPERLINK("CSG8.html#group76A8", "76A⁸")</f>
        <v/>
      </c>
      <c r="L4586" t="inlineStr"/>
      <c r="M4586">
        <f>HYPERLINK("CSG8.html#group76A8", "76A⁸"), =HYPERLINK("CSG1.html#group19A1", "19A¹"), =HYPERLINK("CSG0.html#group2B0", "2B⁰"), =HYPERLINK("CSG0.html#group4B0", "4B⁰"), =HYPERLINK("CSG0.html#group1A0", "1A⁰"), =HYPERLINK("CSG4.html#group38A4", "38A⁴")</f>
        <v/>
      </c>
      <c r="N4586" t="inlineStr"/>
    </row>
    <row r="4587">
      <c r="A4587" t="inlineStr">
        <is>
          <t>156A¹⁶</t>
        </is>
      </c>
      <c r="B4587" t="inlineStr"/>
      <c r="C4587" t="inlineStr">
        <is>
          <t>252</t>
        </is>
      </c>
      <c r="D4587" t="inlineStr">
        <is>
          <t>1</t>
        </is>
      </c>
      <c r="E4587" t="inlineStr">
        <is>
          <t>42</t>
        </is>
      </c>
      <c r="F4587" t="inlineStr">
        <is>
          <t>12</t>
        </is>
      </c>
      <c r="G4587" t="inlineStr">
        <is>
          <t>0</t>
        </is>
      </c>
      <c r="H4587" t="inlineStr">
        <is>
          <t>3², 12¹, 39², 156¹</t>
        </is>
      </c>
      <c r="I4587" t="n">
        <v>6</v>
      </c>
      <c r="J4587" t="inlineStr">
        <is>
          <t>1⁶, 12³</t>
        </is>
      </c>
      <c r="K4587">
        <f>HYPERLINK("CSG4.html#group52A4", "52A⁴"), =HYPERLINK("CSG8.html#group78A8", "78A⁸")</f>
        <v/>
      </c>
      <c r="L4587" t="inlineStr"/>
      <c r="M4587">
        <f>HYPERLINK("CSG8.html#group78A8", "78A⁸"), =HYPERLINK("CSG2.html#group39A2", "39A²"), =HYPERLINK("CSG0.html#group13A0", "13A⁰"), =HYPERLINK("CSG0.html#group2B0", "2B⁰"), =HYPERLINK("CSG4.html#group52A4", "52A⁴"), =HYPERLINK("CSG0.html#group3A0", "3A⁰"), =HYPERLINK("CSG0.html#group1A0", "1A⁰"), =HYPERLINK("CSG2.html#group26A2", "26A²"), =HYPERLINK("CSG0.html#group6D0", "6D⁰")</f>
        <v/>
      </c>
      <c r="N4587" t="inlineStr"/>
    </row>
    <row r="4588">
      <c r="A4588" t="inlineStr">
        <is>
          <t>156B¹⁶</t>
        </is>
      </c>
      <c r="B4588" t="inlineStr"/>
      <c r="C4588" t="inlineStr">
        <is>
          <t>252</t>
        </is>
      </c>
      <c r="D4588" t="inlineStr">
        <is>
          <t>2</t>
        </is>
      </c>
      <c r="E4588" t="inlineStr">
        <is>
          <t>42</t>
        </is>
      </c>
      <c r="F4588" t="inlineStr">
        <is>
          <t>12</t>
        </is>
      </c>
      <c r="G4588" t="inlineStr">
        <is>
          <t>0</t>
        </is>
      </c>
      <c r="H4588" t="inlineStr">
        <is>
          <t>3², 12¹, 39², 156¹</t>
        </is>
      </c>
      <c r="I4588" t="n">
        <v>6</v>
      </c>
      <c r="J4588" t="inlineStr">
        <is>
          <t>2⁶, 24³</t>
        </is>
      </c>
      <c r="K4588">
        <f>HYPERLINK("CSG4.html#group52A4", "52A⁴"), =HYPERLINK("CSG8.html#group78B8", "78B⁸")</f>
        <v/>
      </c>
      <c r="L4588" t="inlineStr"/>
      <c r="M4588">
        <f>HYPERLINK("CSG0.html#group13A0", "13A⁰"), =HYPERLINK("CSG2.html#group26A2", "26A²"), =HYPERLINK("CSG1.html#group39A1", "39A¹"), =HYPERLINK("CSG0.html#group2B0", "2B⁰"), =HYPERLINK("CSG4.html#group52A4", "52A⁴"), =HYPERLINK("CSG0.html#group1A0", "1A⁰"), =HYPERLINK("CSG8.html#group78B8", "78B⁸")</f>
        <v/>
      </c>
      <c r="N4588" t="inlineStr"/>
    </row>
    <row r="4589">
      <c r="A4589" t="inlineStr">
        <is>
          <t>160A¹⁶</t>
        </is>
      </c>
      <c r="B4589" t="inlineStr"/>
      <c r="C4589" t="inlineStr">
        <is>
          <t>240</t>
        </is>
      </c>
      <c r="D4589" t="inlineStr">
        <is>
          <t>1</t>
        </is>
      </c>
      <c r="E4589" t="inlineStr">
        <is>
          <t>30</t>
        </is>
      </c>
      <c r="F4589" t="inlineStr">
        <is>
          <t>0</t>
        </is>
      </c>
      <c r="G4589" t="inlineStr">
        <is>
          <t>0</t>
        </is>
      </c>
      <c r="H4589" t="inlineStr">
        <is>
          <t>5⁸, 40¹, 160¹</t>
        </is>
      </c>
      <c r="I4589" t="n">
        <v>10</v>
      </c>
      <c r="J4589" t="inlineStr">
        <is>
          <t>1⁴, 2¹, 4⁴, 8¹</t>
        </is>
      </c>
      <c r="K4589">
        <f>HYPERLINK("CSG0.html#group32A0", "32A⁰"), =HYPERLINK("CSG8.html#group80B8", "80B⁸")</f>
        <v/>
      </c>
      <c r="L4589" t="inlineStr"/>
      <c r="M4589">
        <f>HYPERLINK("CSG2.html#group20A2", "20A²"), =HYPERLINK("CSG0.html#group5A0", "5A⁰"), =HYPERLINK("CSG8.html#group80B8", "80B⁸"), =HYPERLINK("CSG0.html#group16C0", "16C⁰"), =HYPERLINK("CSG1.html#group10B1", "10B¹"), =HYPERLINK("CSG0.html#group32A0", "32A⁰"), =HYPERLINK("CSG0.html#group8C0", "8C⁰"), =HYPERLINK("CSG0.html#group2B0", "2B⁰"), =HYPERLINK("CSG0.html#group4B0", "4B⁰"), =HYPERLINK("CSG4.html#group40B4", "40B⁴"), =HYPERLINK("CSG0.html#group1A0", "1A⁰")</f>
        <v/>
      </c>
      <c r="N4589" t="inlineStr"/>
    </row>
    <row r="4590">
      <c r="A4590" t="inlineStr">
        <is>
          <t>162A¹⁶</t>
        </is>
      </c>
      <c r="B4590" t="inlineStr"/>
      <c r="C4590" t="inlineStr">
        <is>
          <t>216</t>
        </is>
      </c>
      <c r="D4590" t="inlineStr">
        <is>
          <t>1</t>
        </is>
      </c>
      <c r="E4590" t="inlineStr">
        <is>
          <t>36</t>
        </is>
      </c>
      <c r="F4590" t="inlineStr">
        <is>
          <t>0</t>
        </is>
      </c>
      <c r="G4590" t="inlineStr">
        <is>
          <t>0</t>
        </is>
      </c>
      <c r="H4590" t="inlineStr">
        <is>
          <t>6³, 18², 162¹</t>
        </is>
      </c>
      <c r="I4590" t="n">
        <v>6</v>
      </c>
      <c r="J4590" t="inlineStr">
        <is>
          <t>1², 2², 6², 18¹</t>
        </is>
      </c>
      <c r="K4590">
        <f>HYPERLINK("CSG4.html#group54A4", "54A⁴"), =HYPERLINK("CSG7.html#group81A7", "81A⁷")</f>
        <v/>
      </c>
      <c r="L4590" t="inlineStr"/>
      <c r="M4590">
        <f>HYPERLINK("CSG0.html#group3B0", "3B⁰"), =HYPERLINK("CSG0.html#group2A0", "2A⁰"), =HYPERLINK("CSG1.html#group27A1", "27A¹"), =HYPERLINK("CSG1.html#group18C1", "18C¹"), =HYPERLINK("CSG0.html#group6C0", "6C⁰"), =HYPERLINK("CSG0.html#group9B0", "9B⁰"), =HYPERLINK("CSG7.html#group81A7", "81A⁷"), =HYPERLINK("CSG4.html#group54A4", "54A⁴"), =HYPERLINK("CSG0.html#group1A0", "1A⁰")</f>
        <v/>
      </c>
      <c r="N4590" t="inlineStr"/>
    </row>
    <row r="4591">
      <c r="A4591" t="inlineStr">
        <is>
          <t>162B¹⁶</t>
        </is>
      </c>
      <c r="B4591" t="inlineStr"/>
      <c r="C4591" t="inlineStr">
        <is>
          <t>216</t>
        </is>
      </c>
      <c r="D4591" t="inlineStr">
        <is>
          <t>1</t>
        </is>
      </c>
      <c r="E4591" t="inlineStr">
        <is>
          <t>36</t>
        </is>
      </c>
      <c r="F4591" t="inlineStr">
        <is>
          <t>0</t>
        </is>
      </c>
      <c r="G4591" t="inlineStr">
        <is>
          <t>0</t>
        </is>
      </c>
      <c r="H4591" t="inlineStr">
        <is>
          <t>6³, 18², 162¹</t>
        </is>
      </c>
      <c r="I4591" t="n">
        <v>6</v>
      </c>
      <c r="J4591" t="inlineStr">
        <is>
          <t>1², 2², 6², 18¹</t>
        </is>
      </c>
      <c r="K4591">
        <f>HYPERLINK("CSG4.html#group54A4", "54A⁴"), =HYPERLINK("CSG7.html#group81B7", "81B⁷")</f>
        <v/>
      </c>
      <c r="L4591" t="inlineStr"/>
      <c r="M4591">
        <f>HYPERLINK("CSG0.html#group3B0", "3B⁰"), =HYPERLINK("CSG0.html#group2A0", "2A⁰"), =HYPERLINK("CSG1.html#group27A1", "27A¹"), =HYPERLINK("CSG1.html#group18C1", "18C¹"), =HYPERLINK("CSG0.html#group6C0", "6C⁰"), =HYPERLINK("CSG7.html#group81B7", "81B⁷"), =HYPERLINK("CSG0.html#group9B0", "9B⁰"), =HYPERLINK("CSG4.html#group54A4", "54A⁴"), =HYPERLINK("CSG0.html#group1A0", "1A⁰")</f>
        <v/>
      </c>
      <c r="N4591" t="inlineStr"/>
    </row>
    <row r="4592">
      <c r="A4592" t="inlineStr">
        <is>
          <t>162C¹⁶</t>
        </is>
      </c>
      <c r="B4592" t="inlineStr"/>
      <c r="C4592" t="inlineStr">
        <is>
          <t>216</t>
        </is>
      </c>
      <c r="D4592" t="inlineStr">
        <is>
          <t>1</t>
        </is>
      </c>
      <c r="E4592" t="inlineStr">
        <is>
          <t>72</t>
        </is>
      </c>
      <c r="F4592" t="inlineStr">
        <is>
          <t>0</t>
        </is>
      </c>
      <c r="G4592" t="inlineStr">
        <is>
          <t>0</t>
        </is>
      </c>
      <c r="H4592" t="inlineStr">
        <is>
          <t>6³, 18², 162¹</t>
        </is>
      </c>
      <c r="I4592" t="n">
        <v>6</v>
      </c>
      <c r="J4592" t="inlineStr">
        <is>
          <t>2⁶, 6⁴, 18²</t>
        </is>
      </c>
      <c r="K4592">
        <f>HYPERLINK("CSG4.html#group54A4", "54A⁴")</f>
        <v/>
      </c>
      <c r="L4592" t="inlineStr"/>
      <c r="M4592">
        <f>HYPERLINK("CSG0.html#group3B0", "3B⁰"), =HYPERLINK("CSG0.html#group2A0", "2A⁰"), =HYPERLINK("CSG1.html#group27A1", "27A¹"), =HYPERLINK("CSG1.html#group18C1", "18C¹"), =HYPERLINK("CSG0.html#group6C0", "6C⁰"), =HYPERLINK("CSG0.html#group9B0", "9B⁰"), =HYPERLINK("CSG4.html#group54A4", "54A⁴"), =HYPERLINK("CSG0.html#group1A0", "1A⁰")</f>
        <v/>
      </c>
      <c r="N4592" t="inlineStr"/>
    </row>
    <row r="4593">
      <c r="A4593" t="inlineStr">
        <is>
          <t>162D¹⁶</t>
        </is>
      </c>
      <c r="B4593" t="inlineStr"/>
      <c r="C4593" t="inlineStr">
        <is>
          <t>216</t>
        </is>
      </c>
      <c r="D4593" t="inlineStr">
        <is>
          <t>1</t>
        </is>
      </c>
      <c r="E4593" t="inlineStr">
        <is>
          <t>72</t>
        </is>
      </c>
      <c r="F4593" t="inlineStr">
        <is>
          <t>0</t>
        </is>
      </c>
      <c r="G4593" t="inlineStr">
        <is>
          <t>0</t>
        </is>
      </c>
      <c r="H4593" t="inlineStr">
        <is>
          <t>6³, 18², 162¹</t>
        </is>
      </c>
      <c r="I4593" t="n">
        <v>6</v>
      </c>
      <c r="J4593" t="inlineStr">
        <is>
          <t>2⁶, 6⁴, 18²</t>
        </is>
      </c>
      <c r="K4593">
        <f>HYPERLINK("CSG4.html#group54A4", "54A⁴")</f>
        <v/>
      </c>
      <c r="L4593" t="inlineStr"/>
      <c r="M4593">
        <f>HYPERLINK("CSG0.html#group3B0", "3B⁰"), =HYPERLINK("CSG0.html#group2A0", "2A⁰"), =HYPERLINK("CSG1.html#group27A1", "27A¹"), =HYPERLINK("CSG1.html#group18C1", "18C¹"), =HYPERLINK("CSG0.html#group6C0", "6C⁰"), =HYPERLINK("CSG0.html#group9B0", "9B⁰"), =HYPERLINK("CSG4.html#group54A4", "54A⁴"), =HYPERLINK("CSG0.html#group1A0", "1A⁰")</f>
        <v/>
      </c>
      <c r="N4593" t="inlineStr"/>
    </row>
    <row r="4594">
      <c r="A4594" t="inlineStr">
        <is>
          <t>162E¹⁶</t>
        </is>
      </c>
      <c r="B4594" t="inlineStr">
        <is>
          <t>Γ₀(162)</t>
        </is>
      </c>
      <c r="C4594" t="inlineStr">
        <is>
          <t>324</t>
        </is>
      </c>
      <c r="D4594" t="inlineStr">
        <is>
          <t>1</t>
        </is>
      </c>
      <c r="E4594" t="inlineStr">
        <is>
          <t>108</t>
        </is>
      </c>
      <c r="F4594" t="inlineStr">
        <is>
          <t>0</t>
        </is>
      </c>
      <c r="G4594" t="inlineStr">
        <is>
          <t>0</t>
        </is>
      </c>
      <c r="H4594" t="inlineStr">
        <is>
          <t>1⁹, 2⁹, 9², 18², 81¹, 162¹</t>
        </is>
      </c>
      <c r="I4594" t="n">
        <v>24</v>
      </c>
      <c r="J4594" t="inlineStr">
        <is>
          <t>1⁶, 2⁶, 6⁶, 18³</t>
        </is>
      </c>
      <c r="K4594">
        <f>HYPERLINK("CSG4.html#group54E4", "54E⁴"), =HYPERLINK("CSG4.html#group81A4", "81A⁴")</f>
        <v/>
      </c>
      <c r="L4594" t="inlineStr"/>
      <c r="M4594">
        <f>HYPERLINK("CSG0.html#group3B0", "3B⁰"), =HYPERLINK("CSG1.html#group27A1", "27A¹"), =HYPERLINK("CSG0.html#group18E0", "18E⁰"), =HYPERLINK("CSG0.html#group6F0", "6F⁰"), =HYPERLINK("CSG0.html#group9B0", "9B⁰"), =HYPERLINK("CSG4.html#group81A4", "81A⁴"), =HYPERLINK("CSG0.html#group2B0", "2B⁰"), =HYPERLINK("CSG0.html#group1A0", "1A⁰"), =HYPERLINK("CSG4.html#group54E4", "54E⁴")</f>
        <v/>
      </c>
      <c r="N4594" t="inlineStr"/>
    </row>
    <row r="4595">
      <c r="A4595" t="inlineStr">
        <is>
          <t>168A¹⁶</t>
        </is>
      </c>
      <c r="B4595" t="inlineStr"/>
      <c r="C4595" t="inlineStr">
        <is>
          <t>192</t>
        </is>
      </c>
      <c r="D4595" t="inlineStr">
        <is>
          <t>2</t>
        </is>
      </c>
      <c r="E4595" t="inlineStr">
        <is>
          <t>32</t>
        </is>
      </c>
      <c r="F4595" t="inlineStr">
        <is>
          <t>0</t>
        </is>
      </c>
      <c r="G4595" t="inlineStr">
        <is>
          <t>0</t>
        </is>
      </c>
      <c r="H4595" t="inlineStr">
        <is>
          <t>24¹, 168¹</t>
        </is>
      </c>
      <c r="I4595" t="n">
        <v>2</v>
      </c>
      <c r="J4595" t="inlineStr">
        <is>
          <t>4⁴, 24²</t>
        </is>
      </c>
      <c r="K4595">
        <f>HYPERLINK("CSG1.html#group24A1", "24A¹"), =HYPERLINK("CSG4.html#group56A4", "56A⁴"), =HYPERLINK("CSG8.html#group84C8", "84C⁸")</f>
        <v/>
      </c>
      <c r="L4595" t="inlineStr"/>
      <c r="M4595">
        <f>HYPERLINK("CSG4.html#group56A4", "56A⁴"), =HYPERLINK("CSG0.html#group12A0", "12A⁰"), =HYPERLINK("CSG1.html#group24A1", "24A¹"), =HYPERLINK("CSG2.html#group21A2", "21A²"), =HYPERLINK("CSG8.html#group84C8", "84C⁸"), =HYPERLINK("CSG0.html#group7B0", "7B⁰"), =HYPERLINK("CSG0.html#group4A0", "4A⁰"), =HYPERLINK("CSG0.html#group8A0", "8A⁰"), =HYPERLINK("CSG0.html#group3A0", "3A⁰"), =HYPERLINK("CSG0.html#group1A0", "1A⁰"), =HYPERLINK("CSG2.html#group28A2", "28A²")</f>
        <v/>
      </c>
      <c r="N4595" t="inlineStr"/>
    </row>
    <row r="4596">
      <c r="A4596" t="inlineStr">
        <is>
          <t>168B¹⁶</t>
        </is>
      </c>
      <c r="B4596" t="inlineStr"/>
      <c r="C4596" t="inlineStr">
        <is>
          <t>192</t>
        </is>
      </c>
      <c r="D4596" t="inlineStr">
        <is>
          <t>2</t>
        </is>
      </c>
      <c r="E4596" t="inlineStr">
        <is>
          <t>96</t>
        </is>
      </c>
      <c r="F4596" t="inlineStr">
        <is>
          <t>0</t>
        </is>
      </c>
      <c r="G4596" t="inlineStr">
        <is>
          <t>0</t>
        </is>
      </c>
      <c r="H4596" t="inlineStr">
        <is>
          <t>24¹, 168¹</t>
        </is>
      </c>
      <c r="I4596" t="n">
        <v>2</v>
      </c>
      <c r="J4596" t="inlineStr">
        <is>
          <t>4⁴, 8⁴, 24², 48²</t>
        </is>
      </c>
      <c r="K4596">
        <f>HYPERLINK("CSG1.html#group24B1", "24B¹"), =HYPERLINK("CSG8.html#group84C8", "84C⁸")</f>
        <v/>
      </c>
      <c r="L4596" t="inlineStr"/>
      <c r="M4596">
        <f>HYPERLINK("CSG0.html#group12A0", "12A⁰"), =HYPERLINK("CSG2.html#group21A2", "21A²"), =HYPERLINK("CSG8.html#group84C8", "84C⁸"), =HYPERLINK("CSG0.html#group4A0", "4A⁰"), =HYPERLINK("CSG0.html#group7B0", "7B⁰"), =HYPERLINK("CSG1.html#group24B1", "24B¹"), =HYPERLINK("CSG0.html#group3A0", "3A⁰"), =HYPERLINK("CSG0.html#group1A0", "1A⁰"), =HYPERLINK("CSG2.html#group28A2", "28A²")</f>
        <v/>
      </c>
      <c r="N4596" t="inlineStr"/>
    </row>
    <row r="4597">
      <c r="A4597" t="inlineStr">
        <is>
          <t>168C¹⁶</t>
        </is>
      </c>
      <c r="B4597" t="inlineStr"/>
      <c r="C4597" t="inlineStr">
        <is>
          <t>252</t>
        </is>
      </c>
      <c r="D4597" t="inlineStr">
        <is>
          <t>2</t>
        </is>
      </c>
      <c r="E4597" t="inlineStr">
        <is>
          <t>42</t>
        </is>
      </c>
      <c r="F4597" t="inlineStr">
        <is>
          <t>18</t>
        </is>
      </c>
      <c r="G4597" t="inlineStr">
        <is>
          <t>0</t>
        </is>
      </c>
      <c r="H4597" t="inlineStr">
        <is>
          <t>42², 168¹</t>
        </is>
      </c>
      <c r="I4597" t="n">
        <v>3</v>
      </c>
      <c r="J4597" t="inlineStr">
        <is>
          <t>2², 4², 6⁴, 12⁴</t>
        </is>
      </c>
      <c r="K4597">
        <f>HYPERLINK("CSG5.html#group56B5", "56B⁵"), =HYPERLINK("CSG6.html#group84B6", "84B⁶")</f>
        <v/>
      </c>
      <c r="L4597" t="inlineStr"/>
      <c r="M4597">
        <f>HYPERLINK("CSG5.html#group56B5", "56B⁵"), =HYPERLINK("CSG0.html#group12C0", "12C⁰"), =HYPERLINK("CSG1.html#group14B1", "14B¹"), =HYPERLINK("CSG0.html#group4C0", "4C⁰"), =HYPERLINK("CSG0.html#group21A0", "21A⁰"), =HYPERLINK("CSG0.html#group2B0", "2B⁰"), =HYPERLINK("CSG0.html#group1A0", "1A⁰"), =HYPERLINK("CSG2.html#group28C2", "28C²"), =HYPERLINK("CSG0.html#group3A0", "3A⁰"), =HYPERLINK("CSG3.html#group42C3", "42C³"), =HYPERLINK("CSG6.html#group84B6", "84B⁶"), =HYPERLINK("CSG0.html#group6D0", "6D⁰"), =HYPERLINK("CSG0.html#group7A0", "7A⁰")</f>
        <v/>
      </c>
      <c r="N4597" t="inlineStr"/>
    </row>
    <row r="4598">
      <c r="A4598" t="inlineStr">
        <is>
          <t>168D¹⁶</t>
        </is>
      </c>
      <c r="B4598" t="inlineStr"/>
      <c r="C4598" t="inlineStr">
        <is>
          <t>252</t>
        </is>
      </c>
      <c r="D4598" t="inlineStr">
        <is>
          <t>2</t>
        </is>
      </c>
      <c r="E4598" t="inlineStr">
        <is>
          <t>42</t>
        </is>
      </c>
      <c r="F4598" t="inlineStr">
        <is>
          <t>18</t>
        </is>
      </c>
      <c r="G4598" t="inlineStr">
        <is>
          <t>0</t>
        </is>
      </c>
      <c r="H4598" t="inlineStr">
        <is>
          <t>42², 168¹</t>
        </is>
      </c>
      <c r="I4598" t="n">
        <v>3</v>
      </c>
      <c r="J4598" t="inlineStr">
        <is>
          <t>2², 4², 6⁴, 12⁴</t>
        </is>
      </c>
      <c r="K4598">
        <f>HYPERLINK("CSG1.html#group24C1", "24C¹"), =HYPERLINK("CSG5.html#group56C5", "56C⁵"), =HYPERLINK("CSG6.html#group84B6", "84B⁶")</f>
        <v/>
      </c>
      <c r="L4598" t="inlineStr"/>
      <c r="M4598">
        <f>HYPERLINK("CSG5.html#group56C5", "56C⁵"), =HYPERLINK("CSG0.html#group12C0", "12C⁰"), =HYPERLINK("CSG1.html#group14B1", "14B¹"), =HYPERLINK("CSG0.html#group8D0", "8D⁰"), =HYPERLINK("CSG0.html#group4C0", "4C⁰"), =HYPERLINK("CSG0.html#group21A0", "21A⁰"), =HYPERLINK("CSG0.html#group2B0", "2B⁰"), =HYPERLINK("CSG0.html#group1A0", "1A⁰"), =HYPERLINK("CSG2.html#group28C2", "28C²"), =HYPERLINK("CSG1.html#group24C1", "24C¹"), =HYPERLINK("CSG0.html#group3A0", "3A⁰"), =HYPERLINK("CSG3.html#group42C3", "42C³"), =HYPERLINK("CSG6.html#group84B6", "84B⁶"), =HYPERLINK("CSG0.html#group6D0", "6D⁰"), =HYPERLINK("CSG0.html#group7A0", "7A⁰")</f>
        <v/>
      </c>
      <c r="N4598" t="inlineStr"/>
    </row>
    <row r="4599">
      <c r="A4599" t="inlineStr">
        <is>
          <t>168E¹⁶</t>
        </is>
      </c>
      <c r="B4599" t="inlineStr"/>
      <c r="C4599" t="inlineStr">
        <is>
          <t>252</t>
        </is>
      </c>
      <c r="D4599" t="inlineStr">
        <is>
          <t>2</t>
        </is>
      </c>
      <c r="E4599" t="inlineStr">
        <is>
          <t>63</t>
        </is>
      </c>
      <c r="F4599" t="inlineStr">
        <is>
          <t>20</t>
        </is>
      </c>
      <c r="G4599" t="inlineStr">
        <is>
          <t>0</t>
        </is>
      </c>
      <c r="H4599" t="inlineStr">
        <is>
          <t>84¹, 168¹</t>
        </is>
      </c>
      <c r="I4599" t="n">
        <v>2</v>
      </c>
      <c r="J4599" t="inlineStr">
        <is>
          <t>2³, 4³, 6⁶, 12⁶</t>
        </is>
      </c>
      <c r="K4599">
        <f>HYPERLINK("CSG6.html#group84B6", "84B⁶")</f>
        <v/>
      </c>
      <c r="L4599" t="inlineStr"/>
      <c r="M4599">
        <f>HYPERLINK("CSG2.html#group28C2", "28C²"), =HYPERLINK("CSG0.html#group12C0", "12C⁰"), =HYPERLINK("CSG1.html#group14B1", "14B¹"), =HYPERLINK("CSG0.html#group4C0", "4C⁰"), =HYPERLINK("CSG0.html#group21A0", "21A⁰"), =HYPERLINK("CSG0.html#group2B0", "2B⁰"), =HYPERLINK("CSG0.html#group3A0", "3A⁰"), =HYPERLINK("CSG0.html#group1A0", "1A⁰"), =HYPERLINK("CSG3.html#group42C3", "42C³"), =HYPERLINK("CSG6.html#group84B6", "84B⁶"), =HYPERLINK("CSG0.html#group6D0", "6D⁰"), =HYPERLINK("CSG0.html#group7A0", "7A⁰")</f>
        <v/>
      </c>
      <c r="N4599" t="inlineStr"/>
    </row>
    <row r="4600">
      <c r="A4600" t="inlineStr">
        <is>
          <t>168F¹⁶</t>
        </is>
      </c>
      <c r="B4600" t="inlineStr"/>
      <c r="C4600" t="inlineStr">
        <is>
          <t>252</t>
        </is>
      </c>
      <c r="D4600" t="inlineStr">
        <is>
          <t>2</t>
        </is>
      </c>
      <c r="E4600" t="inlineStr">
        <is>
          <t>126</t>
        </is>
      </c>
      <c r="F4600" t="inlineStr">
        <is>
          <t>18</t>
        </is>
      </c>
      <c r="G4600" t="inlineStr">
        <is>
          <t>0</t>
        </is>
      </c>
      <c r="H4600" t="inlineStr">
        <is>
          <t>42², 168¹</t>
        </is>
      </c>
      <c r="I4600" t="n">
        <v>3</v>
      </c>
      <c r="J4600" t="inlineStr">
        <is>
          <t>2², 4⁴, 6⁴, 8², 12⁸, 24⁴</t>
        </is>
      </c>
      <c r="K4600">
        <f>HYPERLINK("CSG6.html#group84B6", "84B⁶")</f>
        <v/>
      </c>
      <c r="L4600" t="inlineStr"/>
      <c r="M4600">
        <f>HYPERLINK("CSG2.html#group28C2", "28C²"), =HYPERLINK("CSG0.html#group12C0", "12C⁰"), =HYPERLINK("CSG1.html#group14B1", "14B¹"), =HYPERLINK("CSG0.html#group4C0", "4C⁰"), =HYPERLINK("CSG0.html#group21A0", "21A⁰"), =HYPERLINK("CSG0.html#group2B0", "2B⁰"), =HYPERLINK("CSG0.html#group3A0", "3A⁰"), =HYPERLINK("CSG0.html#group1A0", "1A⁰"), =HYPERLINK("CSG3.html#group42C3", "42C³"), =HYPERLINK("CSG6.html#group84B6", "84B⁶"), =HYPERLINK("CSG0.html#group6D0", "6D⁰"), =HYPERLINK("CSG0.html#group7A0", "7A⁰")</f>
        <v/>
      </c>
      <c r="N4600" t="inlineStr"/>
    </row>
    <row r="4601">
      <c r="A4601" t="inlineStr">
        <is>
          <t>168G¹⁶</t>
        </is>
      </c>
      <c r="B4601" t="inlineStr"/>
      <c r="C4601" t="inlineStr">
        <is>
          <t>252</t>
        </is>
      </c>
      <c r="D4601" t="inlineStr">
        <is>
          <t>2</t>
        </is>
      </c>
      <c r="E4601" t="inlineStr">
        <is>
          <t>126</t>
        </is>
      </c>
      <c r="F4601" t="inlineStr">
        <is>
          <t>18</t>
        </is>
      </c>
      <c r="G4601" t="inlineStr">
        <is>
          <t>0</t>
        </is>
      </c>
      <c r="H4601" t="inlineStr">
        <is>
          <t>42², 168¹</t>
        </is>
      </c>
      <c r="I4601" t="n">
        <v>3</v>
      </c>
      <c r="J4601" t="inlineStr">
        <is>
          <t>2², 4⁴, 6⁴, 8², 12⁸, 24⁴</t>
        </is>
      </c>
      <c r="K4601">
        <f>HYPERLINK("CSG1.html#group24E1", "24E¹"), =HYPERLINK("CSG6.html#group84B6", "84B⁶")</f>
        <v/>
      </c>
      <c r="L4601" t="inlineStr"/>
      <c r="M4601">
        <f>HYPERLINK("CSG1.html#group24E1", "24E¹"), =HYPERLINK("CSG0.html#group12C0", "12C⁰"), =HYPERLINK("CSG1.html#group14B1", "14B¹"), =HYPERLINK("CSG0.html#group4C0", "4C⁰"), =HYPERLINK("CSG0.html#group21A0", "21A⁰"), =HYPERLINK("CSG0.html#group2B0", "2B⁰"), =HYPERLINK("CSG0.html#group1A0", "1A⁰"), =HYPERLINK("CSG2.html#group28C2", "28C²"), =HYPERLINK("CSG0.html#group3A0", "3A⁰"), =HYPERLINK("CSG3.html#group42C3", "42C³"), =HYPERLINK("CSG6.html#group84B6", "84B⁶"), =HYPERLINK("CSG0.html#group6D0", "6D⁰"), =HYPERLINK("CSG0.html#group7A0", "7A⁰")</f>
        <v/>
      </c>
      <c r="N4601" t="inlineStr"/>
    </row>
    <row r="4602">
      <c r="A4602" t="inlineStr">
        <is>
          <t>169A¹⁶</t>
        </is>
      </c>
      <c r="B4602" t="inlineStr"/>
      <c r="C4602" t="inlineStr">
        <is>
          <t>364</t>
        </is>
      </c>
      <c r="D4602" t="inlineStr">
        <is>
          <t>1</t>
        </is>
      </c>
      <c r="E4602" t="inlineStr">
        <is>
          <t>182</t>
        </is>
      </c>
      <c r="F4602" t="inlineStr">
        <is>
          <t>0</t>
        </is>
      </c>
      <c r="G4602" t="inlineStr">
        <is>
          <t>4</t>
        </is>
      </c>
      <c r="H4602" t="inlineStr">
        <is>
          <t>1²⁶, 169²</t>
        </is>
      </c>
      <c r="I4602" t="n">
        <v>28</v>
      </c>
      <c r="J4602" t="inlineStr">
        <is>
          <t>1², 12², 156¹</t>
        </is>
      </c>
      <c r="K4602">
        <f>HYPERLINK("CSG0.html#group13B0", "13B⁰"), =HYPERLINK("CSG8.html#group169A8", "169A⁸")</f>
        <v/>
      </c>
      <c r="L4602" t="inlineStr"/>
      <c r="M4602">
        <f>HYPERLINK("CSG0.html#group13A0", "13A⁰"), =HYPERLINK("CSG0.html#group13B0", "13B⁰"), =HYPERLINK("CSG0.html#group1A0", "1A⁰"), =HYPERLINK("CSG8.html#group169A8", "169A⁸")</f>
        <v/>
      </c>
      <c r="N4602" t="inlineStr"/>
    </row>
    <row r="4603">
      <c r="A4603" t="inlineStr">
        <is>
          <t>175A¹⁶</t>
        </is>
      </c>
      <c r="B4603" t="inlineStr"/>
      <c r="C4603" t="inlineStr">
        <is>
          <t>210</t>
        </is>
      </c>
      <c r="D4603" t="inlineStr">
        <is>
          <t>2</t>
        </is>
      </c>
      <c r="E4603" t="inlineStr">
        <is>
          <t>210</t>
        </is>
      </c>
      <c r="F4603" t="inlineStr">
        <is>
          <t>6</t>
        </is>
      </c>
      <c r="G4603" t="inlineStr">
        <is>
          <t>0</t>
        </is>
      </c>
      <c r="H4603" t="inlineStr">
        <is>
          <t>35¹, 175¹</t>
        </is>
      </c>
      <c r="I4603" t="n">
        <v>2</v>
      </c>
      <c r="J4603" t="inlineStr">
        <is>
          <t>4², 8⁴, 12⁴, 24⁸, 40², 120⁴</t>
        </is>
      </c>
      <c r="K4603">
        <f>HYPERLINK("CSG2.html#group25A2", "25A²"), =HYPERLINK("CSG2.html#group35C2", "35C²")</f>
        <v/>
      </c>
      <c r="L4603" t="inlineStr"/>
      <c r="M4603">
        <f>HYPERLINK("CSG2.html#group35C2", "35C²"), =HYPERLINK("CSG0.html#group5B0", "5B⁰"), =HYPERLINK("CSG2.html#group25A2", "25A²"), =HYPERLINK("CSG0.html#group1A0", "1A⁰"), =HYPERLINK("CSG0.html#group7A0", "7A⁰")</f>
        <v/>
      </c>
      <c r="N4603" t="inlineStr"/>
    </row>
    <row r="4604">
      <c r="A4604" t="inlineStr">
        <is>
          <t>175B¹⁶</t>
        </is>
      </c>
      <c r="B4604" t="inlineStr"/>
      <c r="C4604" t="inlineStr">
        <is>
          <t>210</t>
        </is>
      </c>
      <c r="D4604" t="inlineStr">
        <is>
          <t>2</t>
        </is>
      </c>
      <c r="E4604" t="inlineStr">
        <is>
          <t>210</t>
        </is>
      </c>
      <c r="F4604" t="inlineStr">
        <is>
          <t>6</t>
        </is>
      </c>
      <c r="G4604" t="inlineStr">
        <is>
          <t>0</t>
        </is>
      </c>
      <c r="H4604" t="inlineStr">
        <is>
          <t>35¹, 175¹</t>
        </is>
      </c>
      <c r="I4604" t="n">
        <v>2</v>
      </c>
      <c r="J4604" t="inlineStr">
        <is>
          <t>4², 8⁴, 12⁴, 24⁸, 40², 120⁴</t>
        </is>
      </c>
      <c r="K4604">
        <f>HYPERLINK("CSG2.html#group25B2", "25B²"), =HYPERLINK("CSG2.html#group35C2", "35C²")</f>
        <v/>
      </c>
      <c r="L4604" t="inlineStr"/>
      <c r="M4604">
        <f>HYPERLINK("CSG2.html#group35C2", "35C²"), =HYPERLINK("CSG0.html#group5B0", "5B⁰"), =HYPERLINK("CSG0.html#group7A0", "7A⁰"), =HYPERLINK("CSG0.html#group1A0", "1A⁰"), =HYPERLINK("CSG2.html#group25B2", "25B²")</f>
        <v/>
      </c>
      <c r="N4604" t="inlineStr"/>
    </row>
    <row r="4605">
      <c r="A4605" t="inlineStr">
        <is>
          <t>175C¹⁶</t>
        </is>
      </c>
      <c r="B4605" t="inlineStr"/>
      <c r="C4605" t="inlineStr">
        <is>
          <t>210</t>
        </is>
      </c>
      <c r="D4605" t="inlineStr">
        <is>
          <t>2</t>
        </is>
      </c>
      <c r="E4605" t="inlineStr">
        <is>
          <t>210</t>
        </is>
      </c>
      <c r="F4605" t="inlineStr">
        <is>
          <t>6</t>
        </is>
      </c>
      <c r="G4605" t="inlineStr">
        <is>
          <t>0</t>
        </is>
      </c>
      <c r="H4605" t="inlineStr">
        <is>
          <t>35¹, 175¹</t>
        </is>
      </c>
      <c r="I4605" t="n">
        <v>2</v>
      </c>
      <c r="J4605" t="inlineStr">
        <is>
          <t>4², 8⁴, 12⁴, 24⁸, 40², 120⁴</t>
        </is>
      </c>
      <c r="K4605">
        <f>HYPERLINK("CSG2.html#group25C2", "25C²"), =HYPERLINK("CSG2.html#group35C2", "35C²")</f>
        <v/>
      </c>
      <c r="L4605" t="inlineStr"/>
      <c r="M4605">
        <f>HYPERLINK("CSG2.html#group35C2", "35C²"), =HYPERLINK("CSG0.html#group5B0", "5B⁰"), =HYPERLINK("CSG0.html#group1A0", "1A⁰"), =HYPERLINK("CSG2.html#group25C2", "25C²"), =HYPERLINK("CSG0.html#group7A0", "7A⁰")</f>
        <v/>
      </c>
      <c r="N4605" t="inlineStr"/>
    </row>
    <row r="4606">
      <c r="A4606" t="inlineStr">
        <is>
          <t>175D¹⁶</t>
        </is>
      </c>
      <c r="B4606" t="inlineStr"/>
      <c r="C4606" t="inlineStr">
        <is>
          <t>210</t>
        </is>
      </c>
      <c r="D4606" t="inlineStr">
        <is>
          <t>2</t>
        </is>
      </c>
      <c r="E4606" t="inlineStr">
        <is>
          <t>210</t>
        </is>
      </c>
      <c r="F4606" t="inlineStr">
        <is>
          <t>6</t>
        </is>
      </c>
      <c r="G4606" t="inlineStr">
        <is>
          <t>0</t>
        </is>
      </c>
      <c r="H4606" t="inlineStr">
        <is>
          <t>35¹, 175¹</t>
        </is>
      </c>
      <c r="I4606" t="n">
        <v>2</v>
      </c>
      <c r="J4606" t="inlineStr">
        <is>
          <t>4², 8⁴, 12⁴, 24⁸, 40², 120⁴</t>
        </is>
      </c>
      <c r="K4606">
        <f>HYPERLINK("CSG2.html#group25D2", "25D²"), =HYPERLINK("CSG2.html#group35C2", "35C²")</f>
        <v/>
      </c>
      <c r="L4606" t="inlineStr"/>
      <c r="M4606">
        <f>HYPERLINK("CSG2.html#group35C2", "35C²"), =HYPERLINK("CSG0.html#group5B0", "5B⁰"), =HYPERLINK("CSG0.html#group7A0", "7A⁰"), =HYPERLINK("CSG0.html#group1A0", "1A⁰"), =HYPERLINK("CSG2.html#group25D2", "25D²")</f>
        <v/>
      </c>
      <c r="N4606" t="inlineStr"/>
    </row>
    <row r="4607">
      <c r="A4607" t="inlineStr">
        <is>
          <t>176A¹⁶</t>
        </is>
      </c>
      <c r="B4607" t="inlineStr"/>
      <c r="C4607" t="inlineStr">
        <is>
          <t>192</t>
        </is>
      </c>
      <c r="D4607" t="inlineStr">
        <is>
          <t>2</t>
        </is>
      </c>
      <c r="E4607" t="inlineStr">
        <is>
          <t>96</t>
        </is>
      </c>
      <c r="F4607" t="inlineStr">
        <is>
          <t>0</t>
        </is>
      </c>
      <c r="G4607" t="inlineStr">
        <is>
          <t>0</t>
        </is>
      </c>
      <c r="H4607" t="inlineStr">
        <is>
          <t>16¹, 176¹</t>
        </is>
      </c>
      <c r="I4607" t="n">
        <v>2</v>
      </c>
      <c r="J4607" t="inlineStr">
        <is>
          <t>8⁴, 80²</t>
        </is>
      </c>
      <c r="K4607">
        <f>HYPERLINK("CSG0.html#group16A0", "16A⁰"), =HYPERLINK("CSG8.html#group88A8", "88A⁸")</f>
        <v/>
      </c>
      <c r="L4607" t="inlineStr"/>
      <c r="M4607">
        <f>HYPERLINK("CSG0.html#group16A0", "16A⁰"), =HYPERLINK("CSG0.html#group4A0", "4A⁰"), =HYPERLINK("CSG1.html#group11A1", "11A¹"), =HYPERLINK("CSG4.html#group44B4", "44B⁴"), =HYPERLINK("CSG0.html#group8A0", "8A⁰"), =HYPERLINK("CSG8.html#group88A8", "88A⁸"), =HYPERLINK("CSG0.html#group1A0", "1A⁰")</f>
        <v/>
      </c>
      <c r="N4607" t="inlineStr"/>
    </row>
    <row r="4608">
      <c r="A4608" t="inlineStr">
        <is>
          <t>176B¹⁶</t>
        </is>
      </c>
      <c r="B4608" t="inlineStr"/>
      <c r="C4608" t="inlineStr">
        <is>
          <t>264</t>
        </is>
      </c>
      <c r="D4608" t="inlineStr">
        <is>
          <t>2</t>
        </is>
      </c>
      <c r="E4608" t="inlineStr">
        <is>
          <t>33</t>
        </is>
      </c>
      <c r="F4608" t="inlineStr">
        <is>
          <t>24</t>
        </is>
      </c>
      <c r="G4608" t="inlineStr">
        <is>
          <t>0</t>
        </is>
      </c>
      <c r="H4608" t="inlineStr">
        <is>
          <t>88¹, 176¹</t>
        </is>
      </c>
      <c r="I4608" t="n">
        <v>2</v>
      </c>
      <c r="J4608" t="inlineStr">
        <is>
          <t>2³, 10⁶</t>
        </is>
      </c>
      <c r="K4608">
        <f>HYPERLINK("CSG0.html#group16B0", "16B⁰"), =HYPERLINK("CSG8.html#group88B8", "88B⁸")</f>
        <v/>
      </c>
      <c r="L4608" t="inlineStr"/>
      <c r="M4608">
        <f>HYPERLINK("CSG0.html#group16B0", "16B⁰"), =HYPERLINK("CSG0.html#group11A0", "11A⁰"), =HYPERLINK("CSG4.html#group44C4", "44C⁴"), =HYPERLINK("CSG0.html#group4C0", "4C⁰"), =HYPERLINK("CSG0.html#group8B0", "8B⁰"), =HYPERLINK("CSG0.html#group2B0", "2B⁰"), =HYPERLINK("CSG2.html#group22B2", "22B²"), =HYPERLINK("CSG0.html#group1A0", "1A⁰"), =HYPERLINK("CSG8.html#group88B8", "88B⁸")</f>
        <v/>
      </c>
      <c r="N4608" t="inlineStr"/>
    </row>
    <row r="4609">
      <c r="A4609" t="inlineStr">
        <is>
          <t>180A¹⁶</t>
        </is>
      </c>
      <c r="B4609" t="inlineStr"/>
      <c r="C4609" t="inlineStr">
        <is>
          <t>240</t>
        </is>
      </c>
      <c r="D4609" t="inlineStr">
        <is>
          <t>1</t>
        </is>
      </c>
      <c r="E4609" t="inlineStr">
        <is>
          <t>40</t>
        </is>
      </c>
      <c r="F4609" t="inlineStr">
        <is>
          <t>0</t>
        </is>
      </c>
      <c r="G4609" t="inlineStr">
        <is>
          <t>12</t>
        </is>
      </c>
      <c r="H4609" t="inlineStr">
        <is>
          <t>60¹, 180¹</t>
        </is>
      </c>
      <c r="I4609" t="n">
        <v>2</v>
      </c>
      <c r="J4609" t="inlineStr">
        <is>
          <t>2⁴, 8⁴</t>
        </is>
      </c>
      <c r="K4609">
        <f>HYPERLINK("CSG2.html#group36A2", "36A²"), =HYPERLINK("CSG4.html#group60B4", "60B⁴"), =HYPERLINK("CSG8.html#group90C8", "90C⁸")</f>
        <v/>
      </c>
      <c r="L4609" t="inlineStr"/>
      <c r="M4609">
        <f>HYPERLINK("CSG0.html#group3B0", "3B⁰"), =HYPERLINK("CSG0.html#group2A0", "2A⁰"), =HYPERLINK("CSG0.html#group5A0", "5A⁰"), =HYPERLINK("CSG0.html#group10A0", "10A⁰"), =HYPERLINK("CSG2.html#group30D2", "30D²"), =HYPERLINK("CSG4.html#group60B4", "60B⁴"), =HYPERLINK("CSG0.html#group6C0", "6C⁰"), =HYPERLINK("CSG1.html#group15B1", "15B¹"), =HYPERLINK("CSG2.html#group36A2", "36A²"), =HYPERLINK("CSG8.html#group90C8", "90C⁸"), =HYPERLINK("CSG0.html#group1A0", "1A⁰"), =HYPERLINK("CSG0.html#group12B0", "12B⁰"), =HYPERLINK("CSG1.html#group18D1", "18D¹")</f>
        <v/>
      </c>
      <c r="N4609" t="inlineStr"/>
    </row>
    <row r="4610">
      <c r="A4610" t="inlineStr">
        <is>
          <t>180B¹⁶</t>
        </is>
      </c>
      <c r="B4610" t="inlineStr"/>
      <c r="C4610" t="inlineStr">
        <is>
          <t>240</t>
        </is>
      </c>
      <c r="D4610" t="inlineStr">
        <is>
          <t>2</t>
        </is>
      </c>
      <c r="E4610" t="inlineStr">
        <is>
          <t>20</t>
        </is>
      </c>
      <c r="F4610" t="inlineStr">
        <is>
          <t>0</t>
        </is>
      </c>
      <c r="G4610" t="inlineStr">
        <is>
          <t>12</t>
        </is>
      </c>
      <c r="H4610" t="inlineStr">
        <is>
          <t>60¹, 180¹</t>
        </is>
      </c>
      <c r="I4610" t="n">
        <v>2</v>
      </c>
      <c r="J4610" t="inlineStr">
        <is>
          <t>2², 4¹, 8⁴</t>
        </is>
      </c>
      <c r="K4610">
        <f>HYPERLINK("CSG4.html#group60B4", "60B⁴"), =HYPERLINK("CSG8.html#group90D8", "90D⁸")</f>
        <v/>
      </c>
      <c r="L4610" t="inlineStr"/>
      <c r="M4610">
        <f>HYPERLINK("CSG0.html#group3B0", "3B⁰"), =HYPERLINK("CSG0.html#group2A0", "2A⁰"), =HYPERLINK("CSG0.html#group5A0", "5A⁰"), =HYPERLINK("CSG0.html#group10A0", "10A⁰"), =HYPERLINK("CSG2.html#group30D2", "30D²"), =HYPERLINK("CSG4.html#group60B4", "60B⁴"), =HYPERLINK("CSG4.html#group45B4", "45B⁴"), =HYPERLINK("CSG0.html#group6C0", "6C⁰"), =HYPERLINK("CSG1.html#group15B1", "15B¹"), =HYPERLINK("CSG8.html#group90D8", "90D⁸"), =HYPERLINK("CSG0.html#group1A0", "1A⁰"), =HYPERLINK("CSG0.html#group12B0", "12B⁰")</f>
        <v/>
      </c>
      <c r="N4610" t="inlineStr"/>
    </row>
    <row r="4611">
      <c r="A4611" t="inlineStr">
        <is>
          <t>180C¹⁶</t>
        </is>
      </c>
      <c r="B4611" t="inlineStr"/>
      <c r="C4611" t="inlineStr">
        <is>
          <t>240</t>
        </is>
      </c>
      <c r="D4611" t="inlineStr">
        <is>
          <t>2</t>
        </is>
      </c>
      <c r="E4611" t="inlineStr">
        <is>
          <t>40</t>
        </is>
      </c>
      <c r="F4611" t="inlineStr">
        <is>
          <t>0</t>
        </is>
      </c>
      <c r="G4611" t="inlineStr">
        <is>
          <t>12</t>
        </is>
      </c>
      <c r="H4611" t="inlineStr">
        <is>
          <t>60¹, 180¹</t>
        </is>
      </c>
      <c r="I4611" t="n">
        <v>2</v>
      </c>
      <c r="J4611" t="inlineStr">
        <is>
          <t>4⁴, 8⁸</t>
        </is>
      </c>
      <c r="K4611">
        <f>HYPERLINK("CSG4.html#group60B4", "60B⁴"), =HYPERLINK("CSG8.html#group90F8", "90F⁸")</f>
        <v/>
      </c>
      <c r="L4611" t="inlineStr"/>
      <c r="M4611">
        <f>HYPERLINK("CSG8.html#group90F8", "90F⁸"), =HYPERLINK("CSG0.html#group3B0", "3B⁰"), =HYPERLINK("CSG0.html#group2A0", "2A⁰"), =HYPERLINK("CSG0.html#group5A0", "5A⁰"), =HYPERLINK("CSG0.html#group10A0", "10A⁰"), =HYPERLINK("CSG2.html#group30D2", "30D²"), =HYPERLINK("CSG4.html#group60B4", "60B⁴"), =HYPERLINK("CSG0.html#group6C0", "6C⁰"), =HYPERLINK("CSG1.html#group15B1", "15B¹"), =HYPERLINK("CSG0.html#group1A0", "1A⁰"), =HYPERLINK("CSG0.html#group12B0", "12B⁰")</f>
        <v/>
      </c>
      <c r="N4611" t="inlineStr"/>
    </row>
    <row r="4612">
      <c r="A4612" t="inlineStr">
        <is>
          <t>184A¹⁶</t>
        </is>
      </c>
      <c r="B4612" t="inlineStr"/>
      <c r="C4612" t="inlineStr">
        <is>
          <t>192</t>
        </is>
      </c>
      <c r="D4612" t="inlineStr">
        <is>
          <t>2</t>
        </is>
      </c>
      <c r="E4612" t="inlineStr">
        <is>
          <t>96</t>
        </is>
      </c>
      <c r="F4612" t="inlineStr">
        <is>
          <t>0</t>
        </is>
      </c>
      <c r="G4612" t="inlineStr">
        <is>
          <t>0</t>
        </is>
      </c>
      <c r="H4612" t="inlineStr">
        <is>
          <t>8¹, 184¹</t>
        </is>
      </c>
      <c r="I4612" t="n">
        <v>2</v>
      </c>
      <c r="J4612" t="inlineStr">
        <is>
          <t>4⁴, 88²</t>
        </is>
      </c>
      <c r="K4612">
        <f>HYPERLINK("CSG0.html#group8A0", "8A⁰"), =HYPERLINK("CSG8.html#group92B8", "92B⁸")</f>
        <v/>
      </c>
      <c r="L4612" t="inlineStr"/>
      <c r="M4612">
        <f>HYPERLINK("CSG0.html#group8A0", "8A⁰"), =HYPERLINK("CSG8.html#group92B8", "92B⁸"), =HYPERLINK("CSG2.html#group23A2", "23A²"), =HYPERLINK("CSG0.html#group1A0", "1A⁰"), =HYPERLINK("CSG0.html#group4A0", "4A⁰")</f>
        <v/>
      </c>
      <c r="N4612" t="inlineStr"/>
    </row>
    <row r="4613">
      <c r="A4613" t="inlineStr">
        <is>
          <t>186A¹⁶</t>
        </is>
      </c>
      <c r="B4613" t="inlineStr"/>
      <c r="C4613" t="inlineStr">
        <is>
          <t>192</t>
        </is>
      </c>
      <c r="D4613" t="inlineStr">
        <is>
          <t>1</t>
        </is>
      </c>
      <c r="E4613" t="inlineStr">
        <is>
          <t>32</t>
        </is>
      </c>
      <c r="F4613" t="inlineStr">
        <is>
          <t>0</t>
        </is>
      </c>
      <c r="G4613" t="inlineStr">
        <is>
          <t>0</t>
        </is>
      </c>
      <c r="H4613" t="inlineStr">
        <is>
          <t>6¹, 186¹</t>
        </is>
      </c>
      <c r="I4613" t="n">
        <v>2</v>
      </c>
      <c r="J4613" t="inlineStr">
        <is>
          <t>1², 30¹</t>
        </is>
      </c>
      <c r="K4613">
        <f>HYPERLINK("CSG1.html#group6A1", "6A¹"), =HYPERLINK("CSG4.html#group62A4", "62A⁴"), =HYPERLINK("CSG8.html#group93A8", "93A⁸")</f>
        <v/>
      </c>
      <c r="L4613" t="inlineStr"/>
      <c r="M4613">
        <f>HYPERLINK("CSG0.html#group2A0", "2A⁰"), =HYPERLINK("CSG2.html#group31A2", "31A²"), =HYPERLINK("CSG1.html#group6A1", "6A¹"), =HYPERLINK("CSG8.html#group93A8", "93A⁸"), =HYPERLINK("CSG0.html#group3A0", "3A⁰"), =HYPERLINK("CSG0.html#group1A0", "1A⁰"), =HYPERLINK("CSG4.html#group62A4", "62A⁴")</f>
        <v/>
      </c>
      <c r="N4613" t="inlineStr"/>
    </row>
    <row r="4614">
      <c r="A4614" t="inlineStr">
        <is>
          <t>186B¹⁶</t>
        </is>
      </c>
      <c r="B4614" t="inlineStr"/>
      <c r="C4614" t="inlineStr">
        <is>
          <t>192</t>
        </is>
      </c>
      <c r="D4614" t="inlineStr">
        <is>
          <t>1</t>
        </is>
      </c>
      <c r="E4614" t="inlineStr">
        <is>
          <t>96</t>
        </is>
      </c>
      <c r="F4614" t="inlineStr">
        <is>
          <t>0</t>
        </is>
      </c>
      <c r="G4614" t="inlineStr">
        <is>
          <t>0</t>
        </is>
      </c>
      <c r="H4614" t="inlineStr">
        <is>
          <t>6¹, 186¹</t>
        </is>
      </c>
      <c r="I4614" t="n">
        <v>2</v>
      </c>
      <c r="J4614" t="inlineStr">
        <is>
          <t>1², 2², 30¹, 60¹</t>
        </is>
      </c>
      <c r="K4614">
        <f>HYPERLINK("CSG0.html#group6B0", "6B⁰"), =HYPERLINK("CSG8.html#group93A8", "93A⁸")</f>
        <v/>
      </c>
      <c r="L4614" t="inlineStr"/>
      <c r="M4614">
        <f>HYPERLINK("CSG2.html#group31A2", "31A²"), =HYPERLINK("CSG0.html#group6B0", "6B⁰"), =HYPERLINK("CSG8.html#group93A8", "93A⁸"), =HYPERLINK("CSG0.html#group3A0", "3A⁰"), =HYPERLINK("CSG0.html#group1A0", "1A⁰")</f>
        <v/>
      </c>
      <c r="N4614" t="inlineStr"/>
    </row>
    <row r="4615">
      <c r="A4615" t="inlineStr">
        <is>
          <t>188A¹⁶</t>
        </is>
      </c>
      <c r="B4615" t="inlineStr"/>
      <c r="C4615" t="inlineStr">
        <is>
          <t>192</t>
        </is>
      </c>
      <c r="D4615" t="inlineStr">
        <is>
          <t>1</t>
        </is>
      </c>
      <c r="E4615" t="inlineStr">
        <is>
          <t>48</t>
        </is>
      </c>
      <c r="F4615" t="inlineStr">
        <is>
          <t>0</t>
        </is>
      </c>
      <c r="G4615" t="inlineStr">
        <is>
          <t>0</t>
        </is>
      </c>
      <c r="H4615" t="inlineStr">
        <is>
          <t>4¹, 188¹</t>
        </is>
      </c>
      <c r="I4615" t="n">
        <v>2</v>
      </c>
      <c r="J4615" t="inlineStr">
        <is>
          <t>1², 46¹</t>
        </is>
      </c>
      <c r="K4615">
        <f>HYPERLINK("CSG8.html#group94A8", "94A⁸")</f>
        <v/>
      </c>
      <c r="L4615" t="inlineStr"/>
      <c r="M4615">
        <f>HYPERLINK("CSG4.html#group47A4", "47A⁴"), =HYPERLINK("CSG0.html#group2A0", "2A⁰"), =HYPERLINK("CSG0.html#group1A0", "1A⁰"), =HYPERLINK("CSG8.html#group94A8", "94A⁸")</f>
        <v/>
      </c>
      <c r="N4615" t="inlineStr"/>
    </row>
    <row r="4616">
      <c r="A4616" t="inlineStr">
        <is>
          <t>188B¹⁶</t>
        </is>
      </c>
      <c r="B4616" t="inlineStr"/>
      <c r="C4616" t="inlineStr">
        <is>
          <t>192</t>
        </is>
      </c>
      <c r="D4616" t="inlineStr">
        <is>
          <t>1</t>
        </is>
      </c>
      <c r="E4616" t="inlineStr">
        <is>
          <t>192</t>
        </is>
      </c>
      <c r="F4616" t="inlineStr">
        <is>
          <t>0</t>
        </is>
      </c>
      <c r="G4616" t="inlineStr">
        <is>
          <t>0</t>
        </is>
      </c>
      <c r="H4616" t="inlineStr">
        <is>
          <t>4¹, 188¹</t>
        </is>
      </c>
      <c r="I4616" t="n">
        <v>2</v>
      </c>
      <c r="J4616" t="inlineStr">
        <is>
          <t>2⁴, 92²</t>
        </is>
      </c>
      <c r="K4616">
        <f>HYPERLINK("CSG0.html#group4A0", "4A⁰"), =HYPERLINK("CSG4.html#group47A4", "47A⁴")</f>
        <v/>
      </c>
      <c r="L4616" t="inlineStr"/>
      <c r="M4616">
        <f>HYPERLINK("CSG4.html#group47A4", "47A⁴"), =HYPERLINK("CSG0.html#group1A0", "1A⁰"), =HYPERLINK("CSG0.html#group4A0", "4A⁰")</f>
        <v/>
      </c>
      <c r="N4616" t="inlineStr"/>
    </row>
    <row r="4617">
      <c r="A4617" t="inlineStr">
        <is>
          <t>191A¹⁶</t>
        </is>
      </c>
      <c r="B4617" t="inlineStr">
        <is>
          <t>Γ₀(191)</t>
        </is>
      </c>
      <c r="C4617" t="inlineStr">
        <is>
          <t>192</t>
        </is>
      </c>
      <c r="D4617" t="inlineStr">
        <is>
          <t>1</t>
        </is>
      </c>
      <c r="E4617" t="inlineStr">
        <is>
          <t>192</t>
        </is>
      </c>
      <c r="F4617" t="inlineStr">
        <is>
          <t>0</t>
        </is>
      </c>
      <c r="G4617" t="inlineStr">
        <is>
          <t>0</t>
        </is>
      </c>
      <c r="H4617" t="inlineStr">
        <is>
          <t>1¹, 191¹</t>
        </is>
      </c>
      <c r="I4617" t="n">
        <v>2</v>
      </c>
      <c r="J4617" t="inlineStr">
        <is>
          <t>1², 190¹</t>
        </is>
      </c>
      <c r="K4617">
        <f>HYPERLINK("CSG0.html#group1A0", "1A⁰")</f>
        <v/>
      </c>
      <c r="L4617" t="inlineStr"/>
      <c r="M4617">
        <f>HYPERLINK("CSG0.html#group1A0", "1A⁰")</f>
        <v/>
      </c>
      <c r="N4617" t="inlineStr"/>
    </row>
    <row r="4618">
      <c r="A4618" t="inlineStr">
        <is>
          <t>195A¹⁶</t>
        </is>
      </c>
      <c r="B4618" t="inlineStr"/>
      <c r="C4618" t="inlineStr">
        <is>
          <t>210</t>
        </is>
      </c>
      <c r="D4618" t="inlineStr">
        <is>
          <t>1</t>
        </is>
      </c>
      <c r="E4618" t="inlineStr">
        <is>
          <t>70</t>
        </is>
      </c>
      <c r="F4618" t="inlineStr">
        <is>
          <t>6</t>
        </is>
      </c>
      <c r="G4618" t="inlineStr">
        <is>
          <t>0</t>
        </is>
      </c>
      <c r="H4618" t="inlineStr">
        <is>
          <t>15¹, 195¹</t>
        </is>
      </c>
      <c r="I4618" t="n">
        <v>2</v>
      </c>
      <c r="J4618" t="inlineStr">
        <is>
          <t>1², 4², 12¹, 48¹</t>
        </is>
      </c>
      <c r="K4618">
        <f>HYPERLINK("CSG1.html#group15A1", "15A¹"), =HYPERLINK("CSG2.html#group39A2", "39A²"), =HYPERLINK("CSG4.html#group65A4", "65A⁴")</f>
        <v/>
      </c>
      <c r="L4618" t="inlineStr"/>
      <c r="M4618">
        <f>HYPERLINK("CSG2.html#group39A2", "39A²"), =HYPERLINK("CSG0.html#group5A0", "5A⁰"), =HYPERLINK("CSG0.html#group13A0", "13A⁰"), =HYPERLINK("CSG0.html#group3A0", "3A⁰"), =HYPERLINK("CSG0.html#group1A0", "1A⁰"), =HYPERLINK("CSG4.html#group65A4", "65A⁴"), =HYPERLINK("CSG1.html#group15A1", "15A¹")</f>
        <v/>
      </c>
      <c r="N4618" t="inlineStr"/>
    </row>
    <row r="4619">
      <c r="A4619" t="inlineStr">
        <is>
          <t>197A¹⁶</t>
        </is>
      </c>
      <c r="B4619" t="inlineStr">
        <is>
          <t>Γ₀(197)</t>
        </is>
      </c>
      <c r="C4619" t="inlineStr">
        <is>
          <t>198</t>
        </is>
      </c>
      <c r="D4619" t="inlineStr">
        <is>
          <t>1</t>
        </is>
      </c>
      <c r="E4619" t="inlineStr">
        <is>
          <t>198</t>
        </is>
      </c>
      <c r="F4619" t="inlineStr">
        <is>
          <t>2</t>
        </is>
      </c>
      <c r="G4619" t="inlineStr">
        <is>
          <t>0</t>
        </is>
      </c>
      <c r="H4619" t="inlineStr">
        <is>
          <t>1¹, 197¹</t>
        </is>
      </c>
      <c r="I4619" t="n">
        <v>2</v>
      </c>
      <c r="J4619" t="inlineStr">
        <is>
          <t>1², 196¹</t>
        </is>
      </c>
      <c r="K4619">
        <f>HYPERLINK("CSG0.html#group1A0", "1A⁰")</f>
        <v/>
      </c>
      <c r="L4619" t="inlineStr"/>
      <c r="M4619">
        <f>HYPERLINK("CSG0.html#group1A0", "1A⁰")</f>
        <v/>
      </c>
      <c r="N4619" t="inlineStr"/>
    </row>
    <row r="4620">
      <c r="A4620" t="inlineStr">
        <is>
          <t>199A¹⁶</t>
        </is>
      </c>
      <c r="B4620" t="inlineStr">
        <is>
          <t>Γ₀(199)</t>
        </is>
      </c>
      <c r="C4620" t="inlineStr">
        <is>
          <t>200</t>
        </is>
      </c>
      <c r="D4620" t="inlineStr">
        <is>
          <t>1</t>
        </is>
      </c>
      <c r="E4620" t="inlineStr">
        <is>
          <t>200</t>
        </is>
      </c>
      <c r="F4620" t="inlineStr">
        <is>
          <t>0</t>
        </is>
      </c>
      <c r="G4620" t="inlineStr">
        <is>
          <t>2</t>
        </is>
      </c>
      <c r="H4620" t="inlineStr">
        <is>
          <t>1¹, 199¹</t>
        </is>
      </c>
      <c r="I4620" t="n">
        <v>2</v>
      </c>
      <c r="J4620" t="inlineStr">
        <is>
          <t>1², 198¹</t>
        </is>
      </c>
      <c r="K4620">
        <f>HYPERLINK("CSG0.html#group1A0", "1A⁰")</f>
        <v/>
      </c>
      <c r="L4620" t="inlineStr"/>
      <c r="M4620">
        <f>HYPERLINK("CSG0.html#group1A0", "1A⁰")</f>
        <v/>
      </c>
      <c r="N4620" t="inlineStr"/>
    </row>
    <row r="4621">
      <c r="A4621" t="inlineStr">
        <is>
          <t>201A¹⁶</t>
        </is>
      </c>
      <c r="B4621" t="inlineStr"/>
      <c r="C4621" t="inlineStr">
        <is>
          <t>204</t>
        </is>
      </c>
      <c r="D4621" t="inlineStr">
        <is>
          <t>2</t>
        </is>
      </c>
      <c r="E4621" t="inlineStr">
        <is>
          <t>68</t>
        </is>
      </c>
      <c r="F4621" t="inlineStr">
        <is>
          <t>0</t>
        </is>
      </c>
      <c r="G4621" t="inlineStr">
        <is>
          <t>3</t>
        </is>
      </c>
      <c r="H4621" t="inlineStr">
        <is>
          <t>3¹, 201¹</t>
        </is>
      </c>
      <c r="I4621" t="n">
        <v>2</v>
      </c>
      <c r="J4621" t="inlineStr">
        <is>
          <t>2², 132¹</t>
        </is>
      </c>
      <c r="K4621">
        <f>HYPERLINK("CSG5.html#group67A5", "67A⁵")</f>
        <v/>
      </c>
      <c r="L4621" t="inlineStr"/>
      <c r="M4621">
        <f>HYPERLINK("CSG0.html#group1A0", "1A⁰"), =HYPERLINK("CSG5.html#group67A5", "67A⁵")</f>
        <v/>
      </c>
      <c r="N4621" t="inlineStr"/>
    </row>
    <row r="4622">
      <c r="A4622" t="inlineStr">
        <is>
          <t>202A¹⁶</t>
        </is>
      </c>
      <c r="B4622" t="inlineStr"/>
      <c r="C4622" t="inlineStr">
        <is>
          <t>204</t>
        </is>
      </c>
      <c r="D4622" t="inlineStr">
        <is>
          <t>1</t>
        </is>
      </c>
      <c r="E4622" t="inlineStr">
        <is>
          <t>102</t>
        </is>
      </c>
      <c r="F4622" t="inlineStr">
        <is>
          <t>4</t>
        </is>
      </c>
      <c r="G4622" t="inlineStr">
        <is>
          <t>0</t>
        </is>
      </c>
      <c r="H4622" t="inlineStr">
        <is>
          <t>2¹, 202¹</t>
        </is>
      </c>
      <c r="I4622" t="n">
        <v>2</v>
      </c>
      <c r="J4622" t="inlineStr">
        <is>
          <t>1², 100¹</t>
        </is>
      </c>
      <c r="K4622">
        <f>HYPERLINK("CSG8.html#group101A8", "101A⁸")</f>
        <v/>
      </c>
      <c r="L4622" t="inlineStr"/>
      <c r="M4622">
        <f>HYPERLINK("CSG8.html#group101A8", "101A⁸"), =HYPERLINK("CSG0.html#group1A0", "1A⁰")</f>
        <v/>
      </c>
      <c r="N4622" t="inlineStr"/>
    </row>
    <row r="4623">
      <c r="A4623" t="inlineStr">
        <is>
          <t>203A¹⁶</t>
        </is>
      </c>
      <c r="B4623" t="inlineStr"/>
      <c r="C4623" t="inlineStr">
        <is>
          <t>210</t>
        </is>
      </c>
      <c r="D4623" t="inlineStr">
        <is>
          <t>2</t>
        </is>
      </c>
      <c r="E4623" t="inlineStr">
        <is>
          <t>210</t>
        </is>
      </c>
      <c r="F4623" t="inlineStr">
        <is>
          <t>6</t>
        </is>
      </c>
      <c r="G4623" t="inlineStr">
        <is>
          <t>0</t>
        </is>
      </c>
      <c r="H4623" t="inlineStr">
        <is>
          <t>7¹, 203¹</t>
        </is>
      </c>
      <c r="I4623" t="n">
        <v>2</v>
      </c>
      <c r="J4623" t="inlineStr">
        <is>
          <t>2², 6⁴, 56¹, 168²</t>
        </is>
      </c>
      <c r="K4623">
        <f>HYPERLINK("CSG0.html#group7A0", "7A⁰"), =HYPERLINK("CSG2.html#group29A2", "29A²")</f>
        <v/>
      </c>
      <c r="L4623" t="inlineStr"/>
      <c r="M4623">
        <f>HYPERLINK("CSG0.html#group1A0", "1A⁰"), =HYPERLINK("CSG2.html#group29A2", "29A²"), =HYPERLINK("CSG0.html#group7A0", "7A⁰")</f>
        <v/>
      </c>
      <c r="N4623" t="inlineStr"/>
    </row>
    <row r="4624">
      <c r="A4624" t="inlineStr">
        <is>
          <t>206A¹⁶</t>
        </is>
      </c>
      <c r="B4624" t="inlineStr"/>
      <c r="C4624" t="inlineStr">
        <is>
          <t>208</t>
        </is>
      </c>
      <c r="D4624" t="inlineStr">
        <is>
          <t>1</t>
        </is>
      </c>
      <c r="E4624" t="inlineStr">
        <is>
          <t>104</t>
        </is>
      </c>
      <c r="F4624" t="inlineStr">
        <is>
          <t>0</t>
        </is>
      </c>
      <c r="G4624" t="inlineStr">
        <is>
          <t>4</t>
        </is>
      </c>
      <c r="H4624" t="inlineStr">
        <is>
          <t>2¹, 206¹</t>
        </is>
      </c>
      <c r="I4624" t="n">
        <v>2</v>
      </c>
      <c r="J4624" t="inlineStr">
        <is>
          <t>1², 102¹</t>
        </is>
      </c>
      <c r="K4624">
        <f>HYPERLINK("CSG0.html#group2A0", "2A⁰"), =HYPERLINK("CSG8.html#group103A8", "103A⁸")</f>
        <v/>
      </c>
      <c r="L4624" t="inlineStr"/>
      <c r="M4624">
        <f>HYPERLINK("CSG0.html#group2A0", "2A⁰"), =HYPERLINK("CSG0.html#group1A0", "1A⁰"), =HYPERLINK("CSG8.html#group103A8", "103A⁸")</f>
        <v/>
      </c>
      <c r="N4624" t="inlineStr"/>
    </row>
    <row r="4625">
      <c r="A4625" t="inlineStr">
        <is>
          <t>210A¹⁶</t>
        </is>
      </c>
      <c r="B4625" t="inlineStr"/>
      <c r="C4625" t="inlineStr">
        <is>
          <t>210</t>
        </is>
      </c>
      <c r="D4625" t="inlineStr">
        <is>
          <t>2</t>
        </is>
      </c>
      <c r="E4625" t="inlineStr">
        <is>
          <t>35</t>
        </is>
      </c>
      <c r="F4625" t="inlineStr">
        <is>
          <t>0</t>
        </is>
      </c>
      <c r="G4625" t="inlineStr">
        <is>
          <t>6</t>
        </is>
      </c>
      <c r="H4625" t="inlineStr">
        <is>
          <t>210¹</t>
        </is>
      </c>
      <c r="I4625" t="n">
        <v>1</v>
      </c>
      <c r="J4625" t="inlineStr">
        <is>
          <t>4¹, 12², 16¹, 48²</t>
        </is>
      </c>
      <c r="K4625">
        <f>HYPERLINK("CSG1.html#group30B1", "30B¹"), =HYPERLINK("CSG5.html#group70A5", "70A⁵"), =HYPERLINK("CSG6.html#group105A6", "105A⁶")</f>
        <v/>
      </c>
      <c r="L4625" t="inlineStr"/>
      <c r="M4625">
        <f>HYPERLINK("CSG0.html#group2A0", "2A⁰"), =HYPERLINK("CSG6.html#group105A6", "105A⁶"), =HYPERLINK("CSG0.html#group5A0", "5A⁰"), =HYPERLINK("CSG0.html#group10A0", "10A⁰"), =HYPERLINK("CSG1.html#group30B1", "30B¹"), =HYPERLINK("CSG1.html#group14A1", "14A¹"), =HYPERLINK("CSG5.html#group70A5", "70A⁵"), =HYPERLINK("CSG0.html#group1A0", "1A⁰"), =HYPERLINK("CSG2.html#group35A2", "35A²"), =HYPERLINK("CSG0.html#group7A0", "7A⁰"), =HYPERLINK("CSG0.html#group15A0", "15A⁰")</f>
        <v/>
      </c>
      <c r="N4625" t="inlineStr"/>
    </row>
    <row r="4626">
      <c r="A4626" t="inlineStr">
        <is>
          <t>210B¹⁶</t>
        </is>
      </c>
      <c r="B4626" t="inlineStr"/>
      <c r="C4626" t="inlineStr">
        <is>
          <t>210</t>
        </is>
      </c>
      <c r="D4626" t="inlineStr">
        <is>
          <t>2</t>
        </is>
      </c>
      <c r="E4626" t="inlineStr">
        <is>
          <t>35</t>
        </is>
      </c>
      <c r="F4626" t="inlineStr">
        <is>
          <t>0</t>
        </is>
      </c>
      <c r="G4626" t="inlineStr">
        <is>
          <t>6</t>
        </is>
      </c>
      <c r="H4626" t="inlineStr">
        <is>
          <t>210¹</t>
        </is>
      </c>
      <c r="I4626" t="n">
        <v>1</v>
      </c>
      <c r="J4626" t="inlineStr">
        <is>
          <t>4¹, 12², 16¹, 48²</t>
        </is>
      </c>
      <c r="K4626">
        <f>HYPERLINK("CSG1.html#group30B1", "30B¹"), =HYPERLINK("CSG5.html#group70A5", "70A⁵"), =HYPERLINK("CSG6.html#group105B6", "105B⁶")</f>
        <v/>
      </c>
      <c r="L4626" t="inlineStr"/>
      <c r="M4626">
        <f>HYPERLINK("CSG0.html#group2A0", "2A⁰"), =HYPERLINK("CSG0.html#group5A0", "5A⁰"), =HYPERLINK("CSG6.html#group105B6", "105B⁶"), =HYPERLINK("CSG0.html#group10A0", "10A⁰"), =HYPERLINK("CSG1.html#group30B1", "30B¹"), =HYPERLINK("CSG1.html#group14A1", "14A¹"), =HYPERLINK("CSG5.html#group70A5", "70A⁵"), =HYPERLINK("CSG0.html#group1A0", "1A⁰"), =HYPERLINK("CSG2.html#group35A2", "35A²"), =HYPERLINK("CSG0.html#group7A0", "7A⁰"), =HYPERLINK("CSG0.html#group15A0", "15A⁰")</f>
        <v/>
      </c>
      <c r="N4626" t="inlineStr"/>
    </row>
    <row r="4627">
      <c r="A4627" t="inlineStr">
        <is>
          <t>210C¹⁶</t>
        </is>
      </c>
      <c r="B4627" t="inlineStr"/>
      <c r="C4627" t="inlineStr">
        <is>
          <t>210</t>
        </is>
      </c>
      <c r="D4627" t="inlineStr">
        <is>
          <t>2</t>
        </is>
      </c>
      <c r="E4627" t="inlineStr">
        <is>
          <t>70</t>
        </is>
      </c>
      <c r="F4627" t="inlineStr">
        <is>
          <t>0</t>
        </is>
      </c>
      <c r="G4627" t="inlineStr">
        <is>
          <t>6</t>
        </is>
      </c>
      <c r="H4627" t="inlineStr">
        <is>
          <t>210¹</t>
        </is>
      </c>
      <c r="I4627" t="n">
        <v>1</v>
      </c>
      <c r="J4627" t="inlineStr">
        <is>
          <t>4¹, 12², 16¹, 48²</t>
        </is>
      </c>
      <c r="K4627">
        <f>HYPERLINK("CSG1.html#group30A1", "30A¹"), =HYPERLINK("CSG3.html#group42A3", "42A³"), =HYPERLINK("CSG5.html#group70A5", "70A⁵")</f>
        <v/>
      </c>
      <c r="L4627" t="inlineStr"/>
      <c r="M4627">
        <f>HYPERLINK("CSG0.html#group2A0", "2A⁰"), =HYPERLINK("CSG1.html#group30A1", "30A¹"), =HYPERLINK("CSG0.html#group5A0", "5A⁰"), =HYPERLINK("CSG0.html#group10A0", "10A⁰"), =HYPERLINK("CSG0.html#group6A0", "6A⁰"), =HYPERLINK("CSG3.html#group42A3", "42A³"), =HYPERLINK("CSG1.html#group14A1", "14A¹"), =HYPERLINK("CSG5.html#group70A5", "70A⁵"), =HYPERLINK("CSG0.html#group1A0", "1A⁰"), =HYPERLINK("CSG2.html#group35A2", "35A²"), =HYPERLINK("CSG0.html#group7A0", "7A⁰")</f>
        <v/>
      </c>
      <c r="N4627" t="inlineStr"/>
    </row>
    <row r="4628">
      <c r="A4628" t="inlineStr">
        <is>
          <t>210D¹⁶</t>
        </is>
      </c>
      <c r="B4628" t="inlineStr"/>
      <c r="C4628" t="inlineStr">
        <is>
          <t>210</t>
        </is>
      </c>
      <c r="D4628" t="inlineStr">
        <is>
          <t>2</t>
        </is>
      </c>
      <c r="E4628" t="inlineStr">
        <is>
          <t>105</t>
        </is>
      </c>
      <c r="F4628" t="inlineStr">
        <is>
          <t>8</t>
        </is>
      </c>
      <c r="G4628" t="inlineStr">
        <is>
          <t>0</t>
        </is>
      </c>
      <c r="H4628" t="inlineStr">
        <is>
          <t>210¹</t>
        </is>
      </c>
      <c r="I4628" t="n">
        <v>1</v>
      </c>
      <c r="J4628" t="inlineStr">
        <is>
          <t>2¹, 4¹, 6², 8¹, 12², 16¹, 24², 48²</t>
        </is>
      </c>
      <c r="K4628">
        <f>HYPERLINK("CSG2.html#group42A2", "42A²"), =HYPERLINK("CSG7.html#group105A7", "105A⁷")</f>
        <v/>
      </c>
      <c r="L4628" t="inlineStr"/>
      <c r="M4628">
        <f>HYPERLINK("CSG0.html#group5A0", "5A⁰"), =HYPERLINK("CSG2.html#group42A2", "42A²"), =HYPERLINK("CSG0.html#group21A0", "21A⁰"), =HYPERLINK("CSG2.html#group35A2", "35A²"), =HYPERLINK("CSG0.html#group3A0", "3A⁰"), =HYPERLINK("CSG0.html#group1A0", "1A⁰"), =HYPERLINK("CSG7.html#group105A7", "105A⁷"), =HYPERLINK("CSG1.html#group15A1", "15A¹"), =HYPERLINK("CSG0.html#group7A0", "7A⁰")</f>
        <v/>
      </c>
      <c r="N4628" t="inlineStr"/>
    </row>
    <row r="4629">
      <c r="A4629" t="inlineStr">
        <is>
          <t>210E¹⁶</t>
        </is>
      </c>
      <c r="B4629" t="inlineStr"/>
      <c r="C4629" t="inlineStr">
        <is>
          <t>240</t>
        </is>
      </c>
      <c r="D4629" t="inlineStr">
        <is>
          <t>1</t>
        </is>
      </c>
      <c r="E4629" t="inlineStr">
        <is>
          <t>80</t>
        </is>
      </c>
      <c r="F4629" t="inlineStr">
        <is>
          <t>0</t>
        </is>
      </c>
      <c r="G4629" t="inlineStr">
        <is>
          <t>12</t>
        </is>
      </c>
      <c r="H4629" t="inlineStr">
        <is>
          <t>30¹, 210¹</t>
        </is>
      </c>
      <c r="I4629" t="n">
        <v>2</v>
      </c>
      <c r="J4629" t="inlineStr">
        <is>
          <t>2², 8², 12¹, 48¹</t>
        </is>
      </c>
      <c r="K4629">
        <f>HYPERLINK("CSG1.html#group30A1", "30A¹"), =HYPERLINK("CSG2.html#group42B2", "42B²"), =HYPERLINK("CSG4.html#group70B4", "70B⁴")</f>
        <v/>
      </c>
      <c r="L4629" t="inlineStr"/>
      <c r="M4629">
        <f>HYPERLINK("CSG2.html#group42B2", "42B²"), =HYPERLINK("CSG0.html#group2A0", "2A⁰"), =HYPERLINK("CSG1.html#group30A1", "30A¹"), =HYPERLINK("CSG0.html#group5A0", "5A⁰"), =HYPERLINK("CSG0.html#group10A0", "10A⁰"), =HYPERLINK("CSG0.html#group6A0", "6A⁰"), =HYPERLINK("CSG4.html#group70B4", "70B⁴"), =HYPERLINK("CSG0.html#group7B0", "7B⁰"), =HYPERLINK("CSG0.html#group14B0", "14B⁰"), =HYPERLINK("CSG2.html#group35B2", "35B²"), =HYPERLINK("CSG0.html#group1A0", "1A⁰")</f>
        <v/>
      </c>
      <c r="N4629" t="inlineStr"/>
    </row>
    <row r="4630">
      <c r="A4630" t="inlineStr">
        <is>
          <t>210F¹⁶</t>
        </is>
      </c>
      <c r="B4630" t="inlineStr"/>
      <c r="C4630" t="inlineStr">
        <is>
          <t>240</t>
        </is>
      </c>
      <c r="D4630" t="inlineStr">
        <is>
          <t>2</t>
        </is>
      </c>
      <c r="E4630" t="inlineStr">
        <is>
          <t>40</t>
        </is>
      </c>
      <c r="F4630" t="inlineStr">
        <is>
          <t>0</t>
        </is>
      </c>
      <c r="G4630" t="inlineStr">
        <is>
          <t>12</t>
        </is>
      </c>
      <c r="H4630" t="inlineStr">
        <is>
          <t>30¹, 210¹</t>
        </is>
      </c>
      <c r="I4630" t="n">
        <v>2</v>
      </c>
      <c r="J4630" t="inlineStr">
        <is>
          <t>2², 8², 12¹, 48¹</t>
        </is>
      </c>
      <c r="K4630">
        <f>HYPERLINK("CSG1.html#group30B1", "30B¹"), =HYPERLINK("CSG4.html#group70B4", "70B⁴"), =HYPERLINK("CSG8.html#group105A8", "105A⁸")</f>
        <v/>
      </c>
      <c r="L4630" t="inlineStr"/>
      <c r="M4630">
        <f>HYPERLINK("CSG0.html#group2A0", "2A⁰"), =HYPERLINK("CSG0.html#group5A0", "5A⁰"), =HYPERLINK("CSG0.html#group10A0", "10A⁰"), =HYPERLINK("CSG4.html#group70B4", "70B⁴"), =HYPERLINK("CSG1.html#group30B1", "30B¹"), =HYPERLINK("CSG0.html#group7B0", "7B⁰"), =HYPERLINK("CSG8.html#group105A8", "105A⁸"), =HYPERLINK("CSG0.html#group14B0", "14B⁰"), =HYPERLINK("CSG2.html#group35B2", "35B²"), =HYPERLINK("CSG0.html#group1A0", "1A⁰"), =HYPERLINK("CSG0.html#group15A0", "15A⁰")</f>
        <v/>
      </c>
      <c r="N4630" t="inlineStr"/>
    </row>
    <row r="4631">
      <c r="A4631" t="inlineStr">
        <is>
          <t>210G¹⁶</t>
        </is>
      </c>
      <c r="B4631" t="inlineStr"/>
      <c r="C4631" t="inlineStr">
        <is>
          <t>240</t>
        </is>
      </c>
      <c r="D4631" t="inlineStr">
        <is>
          <t>2</t>
        </is>
      </c>
      <c r="E4631" t="inlineStr">
        <is>
          <t>40</t>
        </is>
      </c>
      <c r="F4631" t="inlineStr">
        <is>
          <t>0</t>
        </is>
      </c>
      <c r="G4631" t="inlineStr">
        <is>
          <t>12</t>
        </is>
      </c>
      <c r="H4631" t="inlineStr">
        <is>
          <t>30¹, 210¹</t>
        </is>
      </c>
      <c r="I4631" t="n">
        <v>2</v>
      </c>
      <c r="J4631" t="inlineStr">
        <is>
          <t>2², 8², 12¹, 48¹</t>
        </is>
      </c>
      <c r="K4631">
        <f>HYPERLINK("CSG2.html#group42C2", "42C²"), =HYPERLINK("CSG4.html#group70B4", "70B⁴"), =HYPERLINK("CSG8.html#group105B8", "105B⁸")</f>
        <v/>
      </c>
      <c r="L4631" t="inlineStr"/>
      <c r="M4631">
        <f>HYPERLINK("CSG0.html#group2A0", "2A⁰"), =HYPERLINK("CSG0.html#group5A0", "5A⁰"), =HYPERLINK("CSG0.html#group10A0", "10A⁰"), =HYPERLINK("CSG4.html#group70B4", "70B⁴"), =HYPERLINK("CSG0.html#group7B0", "7B⁰"), =HYPERLINK("CSG0.html#group14B0", "14B⁰"), =HYPERLINK("CSG2.html#group42C2", "42C²"), =HYPERLINK("CSG2.html#group35B2", "35B²"), =HYPERLINK("CSG8.html#group105B8", "105B⁸"), =HYPERLINK("CSG0.html#group1A0", "1A⁰"), =HYPERLINK("CSG1.html#group21A1", "21A¹")</f>
        <v/>
      </c>
      <c r="N4631" t="inlineStr"/>
    </row>
    <row r="4632">
      <c r="A4632" t="inlineStr">
        <is>
          <t>210H¹⁶</t>
        </is>
      </c>
      <c r="B4632" t="inlineStr"/>
      <c r="C4632" t="inlineStr">
        <is>
          <t>252</t>
        </is>
      </c>
      <c r="D4632" t="inlineStr">
        <is>
          <t>2</t>
        </is>
      </c>
      <c r="E4632" t="inlineStr">
        <is>
          <t>126</t>
        </is>
      </c>
      <c r="F4632" t="inlineStr">
        <is>
          <t>20</t>
        </is>
      </c>
      <c r="G4632" t="inlineStr">
        <is>
          <t>0</t>
        </is>
      </c>
      <c r="H4632" t="inlineStr">
        <is>
          <t>42¹, 210¹</t>
        </is>
      </c>
      <c r="I4632" t="n">
        <v>2</v>
      </c>
      <c r="J4632" t="inlineStr">
        <is>
          <t>2², 4², 6⁴, 8¹, 12⁴, 16¹, 24², 48²</t>
        </is>
      </c>
      <c r="K4632">
        <f>HYPERLINK("CSG6.html#group105C6", "105C⁶")</f>
        <v/>
      </c>
      <c r="L4632" t="inlineStr"/>
      <c r="M4632">
        <f>HYPERLINK("CSG2.html#group35C2", "35C²"), =HYPERLINK("CSG0.html#group15B0", "15B⁰"), =HYPERLINK("CSG6.html#group105C6", "105C⁶"), =HYPERLINK("CSG0.html#group5B0", "5B⁰"), =HYPERLINK("CSG0.html#group21A0", "21A⁰"), =HYPERLINK("CSG0.html#group3A0", "3A⁰"), =HYPERLINK("CSG0.html#group1A0", "1A⁰"), =HYPERLINK("CSG0.html#group7A0", "7A⁰")</f>
        <v/>
      </c>
      <c r="N4632" t="inlineStr"/>
    </row>
    <row r="4633">
      <c r="A4633" t="inlineStr">
        <is>
          <t>218A¹⁶</t>
        </is>
      </c>
      <c r="B4633" t="inlineStr"/>
      <c r="C4633" t="inlineStr">
        <is>
          <t>220</t>
        </is>
      </c>
      <c r="D4633" t="inlineStr">
        <is>
          <t>1</t>
        </is>
      </c>
      <c r="E4633" t="inlineStr">
        <is>
          <t>110</t>
        </is>
      </c>
      <c r="F4633" t="inlineStr">
        <is>
          <t>4</t>
        </is>
      </c>
      <c r="G4633" t="inlineStr">
        <is>
          <t>4</t>
        </is>
      </c>
      <c r="H4633" t="inlineStr">
        <is>
          <t>2¹, 218¹</t>
        </is>
      </c>
      <c r="I4633" t="n">
        <v>2</v>
      </c>
      <c r="J4633" t="inlineStr">
        <is>
          <t>1², 108¹</t>
        </is>
      </c>
      <c r="K4633">
        <f>HYPERLINK("CSG8.html#group109A8", "109A⁸")</f>
        <v/>
      </c>
      <c r="L4633" t="inlineStr"/>
      <c r="M4633">
        <f>HYPERLINK("CSG0.html#group1A0", "1A⁰"), =HYPERLINK("CSG8.html#group109A8", "109A⁸")</f>
        <v/>
      </c>
      <c r="N4633" t="inlineStr"/>
    </row>
    <row r="4634">
      <c r="A4634" t="inlineStr">
        <is>
          <t>220A¹⁶</t>
        </is>
      </c>
      <c r="B4634" t="inlineStr"/>
      <c r="C4634" t="inlineStr">
        <is>
          <t>220</t>
        </is>
      </c>
      <c r="D4634" t="inlineStr">
        <is>
          <t>2</t>
        </is>
      </c>
      <c r="E4634" t="inlineStr">
        <is>
          <t>220</t>
        </is>
      </c>
      <c r="F4634" t="inlineStr">
        <is>
          <t>6</t>
        </is>
      </c>
      <c r="G4634" t="inlineStr">
        <is>
          <t>4</t>
        </is>
      </c>
      <c r="H4634" t="inlineStr">
        <is>
          <t>220¹</t>
        </is>
      </c>
      <c r="I4634" t="n">
        <v>1</v>
      </c>
      <c r="J4634" t="inlineStr">
        <is>
          <t>4², 16², 20⁴, 80⁴</t>
        </is>
      </c>
      <c r="K4634">
        <f>HYPERLINK("CSG1.html#group20A1", "20A¹"), =HYPERLINK("CSG2.html#group44A2", "44A²"), =HYPERLINK("CSG3.html#group55A3", "55A³")</f>
        <v/>
      </c>
      <c r="L4634" t="inlineStr"/>
      <c r="M4634">
        <f>HYPERLINK("CSG0.html#group11A0", "11A⁰"), =HYPERLINK("CSG3.html#group55A3", "55A³"), =HYPERLINK("CSG0.html#group5A0", "5A⁰"), =HYPERLINK("CSG2.html#group44A2", "44A²"), =HYPERLINK("CSG0.html#group4A0", "4A⁰"), =HYPERLINK("CSG1.html#group20A1", "20A¹"), =HYPERLINK("CSG0.html#group1A0", "1A⁰")</f>
        <v/>
      </c>
      <c r="N4634" t="inlineStr"/>
    </row>
    <row r="4635">
      <c r="A4635" t="inlineStr">
        <is>
          <t>222A¹⁶</t>
        </is>
      </c>
      <c r="B4635" t="inlineStr"/>
      <c r="C4635" t="inlineStr">
        <is>
          <t>228</t>
        </is>
      </c>
      <c r="D4635" t="inlineStr">
        <is>
          <t>1</t>
        </is>
      </c>
      <c r="E4635" t="inlineStr">
        <is>
          <t>38</t>
        </is>
      </c>
      <c r="F4635" t="inlineStr">
        <is>
          <t>12</t>
        </is>
      </c>
      <c r="G4635" t="inlineStr">
        <is>
          <t>0</t>
        </is>
      </c>
      <c r="H4635" t="inlineStr">
        <is>
          <t>6¹, 222¹</t>
        </is>
      </c>
      <c r="I4635" t="n">
        <v>2</v>
      </c>
      <c r="J4635" t="inlineStr">
        <is>
          <t>1², 36¹</t>
        </is>
      </c>
      <c r="K4635">
        <f>HYPERLINK("CSG4.html#group74A4", "74A⁴"), =HYPERLINK("CSG8.html#group111A8", "111A⁸")</f>
        <v/>
      </c>
      <c r="L4635" t="inlineStr"/>
      <c r="M4635">
        <f>HYPERLINK("CSG2.html#group37A2", "37A²"), =HYPERLINK("CSG8.html#group111A8", "111A⁸"), =HYPERLINK("CSG0.html#group3A0", "3A⁰"), =HYPERLINK("CSG0.html#group1A0", "1A⁰"), =HYPERLINK("CSG4.html#group74A4", "74A⁴")</f>
        <v/>
      </c>
      <c r="N4635" t="inlineStr"/>
    </row>
    <row r="4636">
      <c r="A4636" t="inlineStr">
        <is>
          <t>222B¹⁶</t>
        </is>
      </c>
      <c r="B4636" t="inlineStr"/>
      <c r="C4636" t="inlineStr">
        <is>
          <t>228</t>
        </is>
      </c>
      <c r="D4636" t="inlineStr">
        <is>
          <t>2</t>
        </is>
      </c>
      <c r="E4636" t="inlineStr">
        <is>
          <t>38</t>
        </is>
      </c>
      <c r="F4636" t="inlineStr">
        <is>
          <t>12</t>
        </is>
      </c>
      <c r="G4636" t="inlineStr">
        <is>
          <t>0</t>
        </is>
      </c>
      <c r="H4636" t="inlineStr">
        <is>
          <t>6¹, 222¹</t>
        </is>
      </c>
      <c r="I4636" t="n">
        <v>2</v>
      </c>
      <c r="J4636" t="inlineStr">
        <is>
          <t>2², 72¹</t>
        </is>
      </c>
      <c r="K4636">
        <f>HYPERLINK("CSG4.html#group74A4", "74A⁴"), =HYPERLINK("CSG8.html#group111B8", "111B⁸")</f>
        <v/>
      </c>
      <c r="L4636" t="inlineStr"/>
      <c r="M4636">
        <f>HYPERLINK("CSG2.html#group37A2", "37A²"), =HYPERLINK("CSG8.html#group111B8", "111B⁸"), =HYPERLINK("CSG0.html#group1A0", "1A⁰"), =HYPERLINK("CSG4.html#group74A4", "74A⁴")</f>
        <v/>
      </c>
      <c r="N4636" t="inlineStr"/>
    </row>
    <row r="4637">
      <c r="A4637" t="inlineStr">
        <is>
          <t>228A¹⁶</t>
        </is>
      </c>
      <c r="B4637" t="inlineStr"/>
      <c r="C4637" t="inlineStr">
        <is>
          <t>240</t>
        </is>
      </c>
      <c r="D4637" t="inlineStr">
        <is>
          <t>1</t>
        </is>
      </c>
      <c r="E4637" t="inlineStr">
        <is>
          <t>40</t>
        </is>
      </c>
      <c r="F4637" t="inlineStr">
        <is>
          <t>0</t>
        </is>
      </c>
      <c r="G4637" t="inlineStr">
        <is>
          <t>12</t>
        </is>
      </c>
      <c r="H4637" t="inlineStr">
        <is>
          <t>12¹, 228¹</t>
        </is>
      </c>
      <c r="I4637" t="n">
        <v>2</v>
      </c>
      <c r="J4637" t="inlineStr">
        <is>
          <t>2², 36¹</t>
        </is>
      </c>
      <c r="K4637">
        <f>HYPERLINK("CSG4.html#group76A4", "76A⁴"), =HYPERLINK("CSG8.html#group114A8", "114A⁸")</f>
        <v/>
      </c>
      <c r="L4637" t="inlineStr"/>
      <c r="M4637">
        <f>HYPERLINK("CSG8.html#group114A8", "114A⁸"), =HYPERLINK("CSG0.html#group2A0", "2A⁰"), =HYPERLINK("CSG1.html#group19A1", "19A¹"), =HYPERLINK("CSG4.html#group76A4", "76A⁴"), =HYPERLINK("CSG2.html#group38A2", "38A²"), =HYPERLINK("CSG0.html#group6A0", "6A⁰"), =HYPERLINK("CSG0.html#group1A0", "1A⁰")</f>
        <v/>
      </c>
      <c r="N4637" t="inlineStr"/>
    </row>
    <row r="4638">
      <c r="A4638" t="inlineStr">
        <is>
          <t>228B¹⁶</t>
        </is>
      </c>
      <c r="B4638" t="inlineStr"/>
      <c r="C4638" t="inlineStr">
        <is>
          <t>240</t>
        </is>
      </c>
      <c r="D4638" t="inlineStr">
        <is>
          <t>2</t>
        </is>
      </c>
      <c r="E4638" t="inlineStr">
        <is>
          <t>40</t>
        </is>
      </c>
      <c r="F4638" t="inlineStr">
        <is>
          <t>0</t>
        </is>
      </c>
      <c r="G4638" t="inlineStr">
        <is>
          <t>12</t>
        </is>
      </c>
      <c r="H4638" t="inlineStr">
        <is>
          <t>12¹, 228¹</t>
        </is>
      </c>
      <c r="I4638" t="n">
        <v>2</v>
      </c>
      <c r="J4638" t="inlineStr">
        <is>
          <t>2⁴, 36²</t>
        </is>
      </c>
      <c r="K4638">
        <f>HYPERLINK("CSG4.html#group76A4", "76A⁴"), =HYPERLINK("CSG8.html#group114B8", "114B⁸")</f>
        <v/>
      </c>
      <c r="L4638" t="inlineStr"/>
      <c r="M4638">
        <f>HYPERLINK("CSG0.html#group2A0", "2A⁰"), =HYPERLINK("CSG1.html#group19A1", "19A¹"), =HYPERLINK("CSG4.html#group76A4", "76A⁴"), =HYPERLINK("CSG2.html#group38A2", "38A²"), =HYPERLINK("CSG8.html#group114B8", "114B⁸"), =HYPERLINK("CSG0.html#group1A0", "1A⁰")</f>
        <v/>
      </c>
      <c r="N4638" t="inlineStr"/>
    </row>
    <row r="4639">
      <c r="A4639" t="inlineStr">
        <is>
          <t>234A¹⁶</t>
        </is>
      </c>
      <c r="B4639" t="inlineStr"/>
      <c r="C4639" t="inlineStr">
        <is>
          <t>252</t>
        </is>
      </c>
      <c r="D4639" t="inlineStr">
        <is>
          <t>1</t>
        </is>
      </c>
      <c r="E4639" t="inlineStr">
        <is>
          <t>126</t>
        </is>
      </c>
      <c r="F4639" t="inlineStr">
        <is>
          <t>20</t>
        </is>
      </c>
      <c r="G4639" t="inlineStr">
        <is>
          <t>0</t>
        </is>
      </c>
      <c r="H4639" t="inlineStr">
        <is>
          <t>18¹, 234¹</t>
        </is>
      </c>
      <c r="I4639" t="n">
        <v>2</v>
      </c>
      <c r="J4639" t="inlineStr">
        <is>
          <t>1², 2², 6², 12¹, 24¹, 72¹</t>
        </is>
      </c>
      <c r="K4639">
        <f>HYPERLINK("CSG4.html#group78A4", "78A⁴"), =HYPERLINK("CSG8.html#group117A8", "117A⁸")</f>
        <v/>
      </c>
      <c r="L4639" t="inlineStr"/>
      <c r="M4639">
        <f>HYPERLINK("CSG8.html#group117A8", "117A⁸"), =HYPERLINK("CSG2.html#group39A2", "39A²"), =HYPERLINK("CSG4.html#group78A4", "78A⁴"), =HYPERLINK("CSG0.html#group9A0", "9A⁰"), =HYPERLINK("CSG0.html#group13A0", "13A⁰"), =HYPERLINK("CSG0.html#group26A0", "26A⁰"), =HYPERLINK("CSG0.html#group3A0", "3A⁰"), =HYPERLINK("CSG0.html#group1A0", "1A⁰")</f>
        <v/>
      </c>
      <c r="N4639" t="inlineStr"/>
    </row>
    <row r="4640">
      <c r="A4640" t="inlineStr">
        <is>
          <t>243A¹⁶</t>
        </is>
      </c>
      <c r="B4640" t="inlineStr"/>
      <c r="C4640" t="inlineStr">
        <is>
          <t>324</t>
        </is>
      </c>
      <c r="D4640" t="inlineStr">
        <is>
          <t>1</t>
        </is>
      </c>
      <c r="E4640" t="inlineStr">
        <is>
          <t>108</t>
        </is>
      </c>
      <c r="F4640" t="inlineStr">
        <is>
          <t>0</t>
        </is>
      </c>
      <c r="G4640" t="inlineStr">
        <is>
          <t>0</t>
        </is>
      </c>
      <c r="H4640" t="inlineStr">
        <is>
          <t>1¹⁸, 3³, 27², 243¹</t>
        </is>
      </c>
      <c r="I4640" t="n">
        <v>24</v>
      </c>
      <c r="J4640" t="inlineStr">
        <is>
          <t>1², 2², 6², 18², 54¹</t>
        </is>
      </c>
      <c r="K4640">
        <f>HYPERLINK("CSG4.html#group81A4", "81A⁴")</f>
        <v/>
      </c>
      <c r="L4640" t="inlineStr"/>
      <c r="M4640">
        <f>HYPERLINK("CSG0.html#group3B0", "3B⁰"), =HYPERLINK("CSG4.html#group81A4", "81A⁴"), =HYPERLINK("CSG0.html#group9B0", "9B⁰"), =HYPERLINK("CSG1.html#group27A1", "27A¹"), =HYPERLINK("CSG0.html#group1A0", "1A⁰")</f>
        <v/>
      </c>
      <c r="N4640" t="inlineStr"/>
    </row>
    <row r="4641">
      <c r="A4641" t="inlineStr">
        <is>
          <t>14A¹⁷</t>
        </is>
      </c>
      <c r="B4641" t="inlineStr"/>
      <c r="C4641" t="inlineStr">
        <is>
          <t>336</t>
        </is>
      </c>
      <c r="D4641" t="inlineStr">
        <is>
          <t>1</t>
        </is>
      </c>
      <c r="E4641" t="inlineStr">
        <is>
          <t>1</t>
        </is>
      </c>
      <c r="F4641" t="inlineStr">
        <is>
          <t>0</t>
        </is>
      </c>
      <c r="G4641" t="inlineStr">
        <is>
          <t>0</t>
        </is>
      </c>
      <c r="H4641" t="inlineStr">
        <is>
          <t>14²⁴</t>
        </is>
      </c>
      <c r="I4641" t="n">
        <v>24</v>
      </c>
      <c r="J4641" t="inlineStr">
        <is>
          <t>1¹</t>
        </is>
      </c>
      <c r="K4641">
        <f>HYPERLINK("CSG2.html#group14D2", "14D²"), =HYPERLINK("CSG3.html#group7A3", "7A³"), =HYPERLINK("CSG5.html#group14E5", "14E⁵"), =HYPERLINK("CSG7.html#group14B7", "14B⁷"), =HYPERLINK("CSG9.html#group14A9", "14A⁹")</f>
        <v/>
      </c>
      <c r="L4641" t="inlineStr"/>
      <c r="M4641">
        <f>HYPERLINK("CSG0.html#group2A0", "2A⁰"), =HYPERLINK("CSG0.html#group14A0", "14A⁰"), =HYPERLINK("CSG0.html#group7D0", "7D⁰"), =HYPERLINK("CSG1.html#group14A1", "14A¹"), =HYPERLINK("CSG2.html#group14D2", "14D²"), =HYPERLINK("CSG5.html#group14C5", "14C⁵"), =HYPERLINK("CSG5.html#group14B5", "14B⁵"), =HYPERLINK("CSG9.html#group14A9", "14A⁹"), =HYPERLINK("CSG0.html#group7G0", "7G⁰"), =HYPERLINK("CSG0.html#group1A0", "1A⁰"), =HYPERLINK("CSG1.html#group14D1", "14D¹"), =HYPERLINK("CSG0.html#group7B0", "7B⁰"), =HYPERLINK("CSG0.html#group7C0", "7C⁰"), =HYPERLINK("CSG3.html#group14C3", "14C³"), =HYPERLINK("CSG1.html#group7A1", "7A¹"), =HYPERLINK("CSG0.html#group7F0", "7F⁰"), =HYPERLINK("CSG3.html#group14F3", "14F³"), =HYPERLINK("CSG0.html#group7A0", "7A⁰"), =HYPERLINK("CSG2.html#group14B2", "14B²"), =HYPERLINK("CSG7.html#group14B7", "14B⁷"), =HYPERLINK("CSG0.html#group7E0", "7E⁰"), =HYPERLINK("CSG1.html#group14G1", "14G¹"), =HYPERLINK("CSG1.html#group7C1", "7C¹"), =HYPERLINK("CSG3.html#group7A3", "7A³"), =HYPERLINK("CSG5.html#group14E5", "14E⁵"), =HYPERLINK("CSG5.html#group14A5", "14A⁵"), =HYPERLINK("CSG3.html#group14A3", "14A³"), =HYPERLINK("CSG0.html#group14B0", "14B⁰"), =HYPERLINK("CSG1.html#group14E1", "14E¹"), =HYPERLINK("CSG1.html#group7B1", "7B¹")</f>
        <v/>
      </c>
      <c r="N4641" t="inlineStr"/>
    </row>
    <row r="4642">
      <c r="A4642" t="inlineStr">
        <is>
          <t>14B¹⁷</t>
        </is>
      </c>
      <c r="B4642" t="inlineStr"/>
      <c r="C4642" t="inlineStr">
        <is>
          <t>336</t>
        </is>
      </c>
      <c r="D4642" t="inlineStr">
        <is>
          <t>1</t>
        </is>
      </c>
      <c r="E4642" t="inlineStr">
        <is>
          <t>28</t>
        </is>
      </c>
      <c r="F4642" t="inlineStr">
        <is>
          <t>0</t>
        </is>
      </c>
      <c r="G4642" t="inlineStr">
        <is>
          <t>0</t>
        </is>
      </c>
      <c r="H4642" t="inlineStr">
        <is>
          <t>14²⁴</t>
        </is>
      </c>
      <c r="I4642" t="n">
        <v>24</v>
      </c>
      <c r="J4642" t="inlineStr">
        <is>
          <t>1¹, 3¹, 6⁴</t>
        </is>
      </c>
      <c r="K4642">
        <f>HYPERLINK("CSG2.html#group14E2", "14E²"), =HYPERLINK("CSG5.html#group14D5", "14D⁵"), =HYPERLINK("CSG5.html#group14E5", "14E⁵"), =HYPERLINK("CSG7.html#group14C7", "14C⁷"), =HYPERLINK("CSG7.html#group14D7", "14D⁷"), =HYPERLINK("CSG9.html#group14B9", "14B⁹")</f>
        <v/>
      </c>
      <c r="L4642" t="inlineStr"/>
      <c r="M4642">
        <f>HYPERLINK("CSG0.html#group2A0", "2A⁰"), =HYPERLINK("CSG0.html#group14A0", "14A⁰"), =HYPERLINK("CSG3.html#group14B3", "14B³"), =HYPERLINK("CSG1.html#group14B1", "14B¹"), =HYPERLINK("CSG5.html#group14D5", "14D⁵"), =HYPERLINK("CSG7.html#group14C7", "14C⁷"), =HYPERLINK("CSG1.html#group14A1", "14A¹"), =HYPERLINK("CSG2.html#group14C2", "14C²"), =HYPERLINK("CSG7.html#group14D7", "14D⁷"), =HYPERLINK("CSG0.html#group2B0", "2B⁰"), =HYPERLINK("CSG2.html#group14E2", "14E²"), =HYPERLINK("CSG1.html#group14G1", "14G¹"), =HYPERLINK("CSG0.html#group1A0", "1A⁰"), =HYPERLINK("CSG1.html#group14D1", "14D¹"), =HYPERLINK("CSG3.html#group14D3", "14D³"), =HYPERLINK("CSG5.html#group14E5", "14E⁵"), =HYPERLINK("CSG2.html#group14A2", "14A²"), =HYPERLINK("CSG0.html#group7B0", "7B⁰"), =HYPERLINK("CSG0.html#group7C0", "7C⁰"), =HYPERLINK("CSG3.html#group14C3", "14C³"), =HYPERLINK("CSG9.html#group14B9", "14B⁹"), =HYPERLINK("CSG0.html#group14B0", "14B⁰"), =HYPERLINK("CSG0.html#group7F0", "7F⁰"), =HYPERLINK("CSG1.html#group14C1", "14C¹"), =HYPERLINK("CSG0.html#group2C0", "2C⁰"), =HYPERLINK("CSG1.html#group7B1", "7B¹"), =HYPERLINK("CSG0.html#group7A0", "7A⁰")</f>
        <v/>
      </c>
      <c r="N4642" t="inlineStr"/>
    </row>
    <row r="4643">
      <c r="A4643" t="inlineStr">
        <is>
          <t>15A¹⁷</t>
        </is>
      </c>
      <c r="B4643" t="inlineStr"/>
      <c r="C4643" t="inlineStr">
        <is>
          <t>360</t>
        </is>
      </c>
      <c r="D4643" t="inlineStr">
        <is>
          <t>1</t>
        </is>
      </c>
      <c r="E4643" t="inlineStr">
        <is>
          <t>45</t>
        </is>
      </c>
      <c r="F4643" t="inlineStr">
        <is>
          <t>8</t>
        </is>
      </c>
      <c r="G4643" t="inlineStr">
        <is>
          <t>0</t>
        </is>
      </c>
      <c r="H4643" t="inlineStr">
        <is>
          <t>15²⁴</t>
        </is>
      </c>
      <c r="I4643" t="n">
        <v>24</v>
      </c>
      <c r="J4643" t="inlineStr">
        <is>
          <t>1¹, 2², 4⁴, 8³</t>
        </is>
      </c>
      <c r="K4643">
        <f>HYPERLINK("CSG1.html#group15H1", "15H¹"), =HYPERLINK("CSG5.html#group15A5", "15A⁵"), =HYPERLINK("CSG7.html#group15C7", "15C⁷"), =HYPERLINK("CSG8.html#group15A8", "15A⁸"), =HYPERLINK("CSG8.html#group15B8", "15B⁸"), =HYPERLINK("CSG9.html#group15A9", "15A⁹")</f>
        <v/>
      </c>
      <c r="L4643" t="inlineStr"/>
      <c r="M4643">
        <f>HYPERLINK("CSG7.html#group15C7", "15C⁷"), =HYPERLINK("CSG8.html#group15A8", "15A⁸"), =HYPERLINK("CSG2.html#group15E2", "15E²"), =HYPERLINK("CSG0.html#group5A0", "5A⁰"), =HYPERLINK("CSG8.html#group15B8", "15B⁸"), =HYPERLINK("CSG4.html#group15D4", "15D⁴"), =HYPERLINK("CSG1.html#group15A1", "15A¹"), =HYPERLINK("CSG1.html#group15F1", "15F¹"), =HYPERLINK("CSG2.html#group15D2", "15D²"), =HYPERLINK("CSG5.html#group15A5", "15A⁵"), =HYPERLINK("CSG0.html#group5B0", "5B⁰"), =HYPERLINK("CSG3.html#group15C3", "15C³"), =HYPERLINK("CSG1.html#group15H1", "15H¹"), =HYPERLINK("CSG0.html#group1A0", "1A⁰"), =HYPERLINK("CSG9.html#group15A9", "15A⁹"), =HYPERLINK("CSG4.html#group15C4", "15C⁴"), =HYPERLINK("CSG1.html#group15D1", "15D¹"), =HYPERLINK("CSG0.html#group15B0", "15B⁰"), =HYPERLINK("CSG2.html#group15A2", "15A²"), =HYPERLINK("CSG1.html#group15E1", "15E¹"), =HYPERLINK("CSG0.html#group5E0", "5E⁰"), =HYPERLINK("CSG0.html#group3C0", "3C⁰"), =HYPERLINK("CSG0.html#group3A0", "3A⁰"), =HYPERLINK("CSG0.html#group5C0", "5C⁰"), =HYPERLINK("CSG0.html#group5G0", "5G⁰"), =HYPERLINK("CSG3.html#group15H3", "15H³"), =HYPERLINK("CSG0.html#group15C0", "15C⁰"), =HYPERLINK("CSG0.html#group15A0", "15A⁰")</f>
        <v/>
      </c>
      <c r="N4643" t="inlineStr"/>
    </row>
    <row r="4644">
      <c r="A4644" t="inlineStr">
        <is>
          <t>15B¹⁷</t>
        </is>
      </c>
      <c r="B4644" t="inlineStr"/>
      <c r="C4644" t="inlineStr">
        <is>
          <t>480</t>
        </is>
      </c>
      <c r="D4644" t="inlineStr">
        <is>
          <t>1</t>
        </is>
      </c>
      <c r="E4644" t="inlineStr">
        <is>
          <t>4</t>
        </is>
      </c>
      <c r="F4644" t="inlineStr">
        <is>
          <t>0</t>
        </is>
      </c>
      <c r="G4644" t="inlineStr">
        <is>
          <t>0</t>
        </is>
      </c>
      <c r="H4644" t="inlineStr">
        <is>
          <t>5²⁴, 15²⁴</t>
        </is>
      </c>
      <c r="I4644" t="n">
        <v>48</v>
      </c>
      <c r="J4644" t="inlineStr">
        <is>
          <t>1², 2¹</t>
        </is>
      </c>
      <c r="K4644">
        <f>HYPERLINK("CSG1.html#group15I1", "15I¹"), =HYPERLINK("CSG5.html#group15D5", "15D⁵"), =HYPERLINK("CSG9.html#group15B9", "15B⁹")</f>
        <v/>
      </c>
      <c r="L4644" t="inlineStr"/>
      <c r="M4644">
        <f>HYPERLINK("CSG0.html#group3B0", "3B⁰"), =HYPERLINK("CSG0.html#group5A0", "5A⁰"), =HYPERLINK("CSG1.html#group15I1", "15I¹"), =HYPERLINK("CSG0.html#group5B0", "5B⁰"), =HYPERLINK("CSG1.html#group15G1", "15G¹"), =HYPERLINK("CSG0.html#group5D0", "5D⁰"), =HYPERLINK("CSG0.html#group5F0", "5F⁰"), =HYPERLINK("CSG9.html#group15B9", "15B⁹"), =HYPERLINK("CSG0.html#group1A0", "1A⁰"), =HYPERLINK("CSG0.html#group5H0", "5H⁰"), =HYPERLINK("CSG1.html#group15C1", "15C¹"), =HYPERLINK("CSG3.html#group15A3", "15A³"), =HYPERLINK("CSG5.html#group15D5", "15D⁵"), =HYPERLINK("CSG3.html#group15G3", "15G³"), =HYPERLINK("CSG0.html#group5E0", "5E⁰"), =HYPERLINK("CSG1.html#group15B1", "15B¹"), =HYPERLINK("CSG2.html#group15C2", "15C²"), =HYPERLINK("CSG0.html#group5C0", "5C⁰"), =HYPERLINK("CSG5.html#group15B5", "15B⁵"), =HYPERLINK("CSG0.html#group5G0", "5G⁰")</f>
        <v/>
      </c>
      <c r="N4644" t="inlineStr"/>
    </row>
    <row r="4645">
      <c r="A4645" t="inlineStr">
        <is>
          <t>16A¹⁷</t>
        </is>
      </c>
      <c r="B4645" t="inlineStr"/>
      <c r="C4645" t="inlineStr">
        <is>
          <t>384</t>
        </is>
      </c>
      <c r="D4645" t="inlineStr">
        <is>
          <t>1</t>
        </is>
      </c>
      <c r="E4645" t="inlineStr">
        <is>
          <t>3</t>
        </is>
      </c>
      <c r="F4645" t="inlineStr">
        <is>
          <t>0</t>
        </is>
      </c>
      <c r="G4645" t="inlineStr">
        <is>
          <t>0</t>
        </is>
      </c>
      <c r="H4645" t="inlineStr">
        <is>
          <t>8¹⁶, 16¹⁶</t>
        </is>
      </c>
      <c r="I4645" t="n">
        <v>32</v>
      </c>
      <c r="J4645" t="inlineStr">
        <is>
          <t>1³</t>
        </is>
      </c>
      <c r="K4645">
        <f>HYPERLINK("CSG5.html#group8A5", "8A⁵"), =HYPERLINK("CSG5.html#group16M5", "16M⁵"), =HYPERLINK("CSG7.html#group16D7", "16D⁷"), =HYPERLINK("CSG9.html#group16A9", "16A⁹"), =HYPERLINK("CSG9.html#group16B9", "16B⁹"), =HYPERLINK("CSG9.html#group16D9", "16D⁹"), =HYPERLINK("CSG9.html#group16C9", "16C⁹"), =HYPERLINK("CSG9.html#group16E9", "16E⁹"), =HYPERLINK("CSG9.html#group16H9", "16H⁹")</f>
        <v/>
      </c>
      <c r="L4645" t="inlineStr"/>
      <c r="M4645">
        <f>HYPERLINK("CSG0.html#group16G0", "16G⁰"), =HYPERLINK("CSG5.html#group16F5", "16F⁵"), =HYPERLINK("CSG5.html#group16D5", "16D⁵"), =HYPERLINK("CSG5.html#group16M5", "16M⁵"), =HYPERLINK("CSG0.html#group8A0", "8A⁰"), =HYPERLINK("CSG0.html#group2B0", "2B⁰"), =HYPERLINK("CSG1.html#group8E1", "8E¹"), =HYPERLINK("CSG0.html#group4B0", "4B⁰"), =HYPERLINK("CSG1.html#group8J1", "8J¹"), =HYPERLINK("CSG0.html#group1A0", "1A⁰"), =HYPERLINK("CSG0.html#group8K0", "8K⁰"), =HYPERLINK("CSG1.html#group8H1", "8H¹"), =HYPERLINK("CSG2.html#group16E2", "16E²"), =HYPERLINK("CSG2.html#group16A2", "16A²"), =HYPERLINK("CSG0.html#group16B0", "16B⁰"), =HYPERLINK("CSG0.html#group16E0", "16E⁰"), =HYPERLINK("CSG4.html#group16B4", "16B⁴"), =HYPERLINK("CSG2.html#group16B2", "16B²"), =HYPERLINK("CSG0.html#group4D0", "4D⁰"), =HYPERLINK("CSG0.html#group16C0", "16C⁰"), =HYPERLINK("CSG0.html#group8P0", "8P⁰"), =HYPERLINK("CSG0.html#group8M0", "8M⁰"), =HYPERLINK("CSG9.html#group16C9", "16C⁹"), =HYPERLINK("CSG0.html#group8N0", "8N⁰"), =HYPERLINK("CSG1.html#group8A1", "8A¹"), =HYPERLINK("CSG5.html#group16H5", "16H⁵"), =HYPERLINK("CSG0.html#group8D0", "8D⁰"), =HYPERLINK("CSG1.html#group16E1", "16E¹"), =HYPERLINK("CSG2.html#group8B2", "8B²"), =HYPERLINK("CSG0.html#group8B0", "8B⁰"), =HYPERLINK("CSG3.html#group16B3", "16B³"), =HYPERLINK("CSG0.html#group8E0", "8E⁰"), =HYPERLINK("CSG1.html#group16B1", "16B¹"), =HYPERLINK("CSG0.html#group8I0", "8I⁰"), =HYPERLINK("CSG2.html#group16L2", "16L²"), =HYPERLINK("CSG5.html#group8A5", "8A⁵"), =HYPERLINK("CSG3.html#group16I3", "16I³"), =HYPERLINK("CSG1.html#group8D1", "8D¹"), =HYPERLINK("CSG3.html#group16K3", "16K³"), =HYPERLINK("CSG1.html#group8C1", "8C¹"), =HYPERLINK("CSG9.html#group16A9", "16A⁹"), =HYPERLINK("CSG2.html#group16F2", "16F²"), =HYPERLINK("CSG1.html#group8I1", "8I¹"), =HYPERLINK("CSG1.html#group16C1", "16C¹"), =HYPERLINK("CSG0.html#group16D0", "16D⁰"), =HYPERLINK("CSG3.html#group16F3", "16F³"), =HYPERLINK("CSG9.html#group16H9", "16H⁹"), =HYPERLINK("CSG4.html#group16C4", "16C⁴"), =HYPERLINK("CSG0.html#group4F0", "4F⁰"), =HYPERLINK("CSG0.html#group8J0", "8J⁰"), =HYPERLINK("CSG0.html#group2C0", "2C⁰"), =HYPERLINK("CSG9.html#group16E9", "16E⁹"), =HYPERLINK("CSG0.html#group8O0", "8O⁰"), =HYPERLINK("CSG9.html#group16D9", "16D⁹"), =HYPERLINK("CSG0.html#group2A0", "2A⁰"), =HYPERLINK("CSG3.html#group8B3", "8B³"), =HYPERLINK("CSG1.html#group16I1", "16I¹"), =HYPERLINK("CSG5.html#group16C5", "16C⁵"), =HYPERLINK("CSG0.html#group4C0", "4C⁰"), =HYPERLINK("CSG2.html#group8C2", "8C²"), =HYPERLINK("CSG3.html#group16A3", "16A³"), =HYPERLINK("CSG0.html#group4G0", "4G⁰"), =HYPERLINK("CSG0.html#group8C0", "8C⁰"), =HYPERLINK("CSG0.html#group4E0", "4E⁰"), =HYPERLINK("CSG1.html#group16A1", "16A¹"), =HYPERLINK("CSG0.html#group8L0", "8L⁰"), =HYPERLINK("CSG3.html#group16J3", "16J³"), =HYPERLINK("CSG1.html#group8F1", "8F¹"), =HYPERLINK("CSG0.html#group16H0", "16H⁰"), =HYPERLINK("CSG1.html#group16D1", "16D¹"), =HYPERLINK("CSG0.html#group8G0", "8G⁰"), =HYPERLINK("CSG1.html#group8G1", "8G¹"), =HYPERLINK("CSG7.html#group16D7", "16D⁷"), =HYPERLINK("CSG1.html#group16M1", "16M¹"), =HYPERLINK("CSG1.html#group16F1", "16F¹"), =HYPERLINK("CSG1.html#group16H1", "16H¹"), =HYPERLINK("CSG3.html#group16E3", "16E³"), =HYPERLINK("CSG2.html#group16D2", "16D²"), =HYPERLINK("CSG3.html#group16D3", "16D³"), =HYPERLINK("CSG2.html#group16C2", "16C²"), =HYPERLINK("CSG3.html#group16C3", "16C³"), =HYPERLINK("CSG3.html#group8A3", "8A³"), =HYPERLINK("CSG1.html#group8K1", "8K¹"), =HYPERLINK("CSG3.html#group16M3", "16M³"), =HYPERLINK("CSG5.html#group16G5", "16G⁵"), =HYPERLINK("CSG1.html#group8B1", "8B¹"), =HYPERLINK("CSG1.html#group16J1", "16J¹"), =HYPERLINK("CSG3.html#group16H3", "16H³"), =HYPERLINK("CSG0.html#group8H0", "8H⁰"), =HYPERLINK("CSG2.html#group8A2", "8A²"), =HYPERLINK("CSG5.html#group16B5", "16B⁵"), =HYPERLINK("CSG0.html#group8F0", "8F⁰"), =HYPERLINK("CSG3.html#group16L3", "16L³"), =HYPERLINK("CSG9.html#group16B9", "16B⁹"), =HYPERLINK("CSG1.html#group16G1", "16G¹"), =HYPERLINK("CSG0.html#group4A0", "4A⁰"), =HYPERLINK("CSG5.html#group16A5", "16A⁵"), =HYPERLINK("CSG5.html#group16E5", "16E⁵")</f>
        <v/>
      </c>
      <c r="N4645" t="inlineStr"/>
    </row>
    <row r="4646">
      <c r="A4646" t="inlineStr">
        <is>
          <t>16B¹⁷</t>
        </is>
      </c>
      <c r="B4646" t="inlineStr"/>
      <c r="C4646" t="inlineStr">
        <is>
          <t>384</t>
        </is>
      </c>
      <c r="D4646" t="inlineStr">
        <is>
          <t>1</t>
        </is>
      </c>
      <c r="E4646" t="inlineStr">
        <is>
          <t>6</t>
        </is>
      </c>
      <c r="F4646" t="inlineStr">
        <is>
          <t>0</t>
        </is>
      </c>
      <c r="G4646" t="inlineStr">
        <is>
          <t>0</t>
        </is>
      </c>
      <c r="H4646" t="inlineStr">
        <is>
          <t>8¹⁶, 16¹⁶</t>
        </is>
      </c>
      <c r="I4646" t="n">
        <v>32</v>
      </c>
      <c r="J4646" t="inlineStr">
        <is>
          <t>1⁴, 2¹</t>
        </is>
      </c>
      <c r="K4646">
        <f>HYPERLINK("CSG5.html#group16O5", "16O⁵"), =HYPERLINK("CSG7.html#group16E7", "16E⁷"), =HYPERLINK("CSG9.html#group16E9", "16E⁹"), =HYPERLINK("CSG9.html#group16F9", "16F⁹"), =HYPERLINK("CSG9.html#group16G9", "16G⁹")</f>
        <v/>
      </c>
      <c r="L4646" t="inlineStr"/>
      <c r="M4646">
        <f>HYPERLINK("CSG5.html#group16D5", "16D⁵"), =HYPERLINK("CSG0.html#group2B0", "2B⁰"), =HYPERLINK("CSG0.html#group4B0", "4B⁰"), =HYPERLINK("CSG0.html#group1A0", "1A⁰"), =HYPERLINK("CSG0.html#group8K0", "8K⁰"), =HYPERLINK("CSG2.html#group16E2", "16E²"), =HYPERLINK("CSG2.html#group16A2", "16A²"), =HYPERLINK("CSG0.html#group16B0", "16B⁰"), =HYPERLINK("CSG9.html#group16F9", "16F⁹"), =HYPERLINK("CSG2.html#group16B2", "16B²"), =HYPERLINK("CSG0.html#group4D0", "4D⁰"), =HYPERLINK("CSG5.html#group16O5", "16O⁵"), =HYPERLINK("CSG3.html#group16R3", "16R³"), =HYPERLINK("CSG0.html#group8P0", "8P⁰"), =HYPERLINK("CSG0.html#group8N0", "8N⁰"), =HYPERLINK("CSG1.html#group8A1", "8A¹"), =HYPERLINK("CSG0.html#group8D0", "8D⁰"), =HYPERLINK("CSG3.html#group16O3", "16O³"), =HYPERLINK("CSG0.html#group8B0", "8B⁰"), =HYPERLINK("CSG3.html#group16B3", "16B³"), =HYPERLINK("CSG1.html#group16B1", "16B¹"), =HYPERLINK("CSG0.html#group8I0", "8I⁰"), =HYPERLINK("CSG9.html#group16G9", "16G⁹"), =HYPERLINK("CSG1.html#group8C1", "8C¹"), =HYPERLINK("CSG2.html#group16F2", "16F²"), =HYPERLINK("CSG3.html#group16F3", "16F³"), =HYPERLINK("CSG0.html#group4F0", "4F⁰"), =HYPERLINK("CSG0.html#group8J0", "8J⁰"), =HYPERLINK("CSG0.html#group2C0", "2C⁰"), =HYPERLINK("CSG9.html#group16E9", "16E⁹"), =HYPERLINK("CSG0.html#group8O0", "8O⁰"), =HYPERLINK("CSG0.html#group2A0", "2A⁰"), =HYPERLINK("CSG5.html#group16C5", "16C⁵"), =HYPERLINK("CSG0.html#group4C0", "4C⁰"), =HYPERLINK("CSG3.html#group16A3", "16A³"), =HYPERLINK("CSG3.html#group16S3", "16S³"), =HYPERLINK("CSG0.html#group8L0", "8L⁰"), =HYPERLINK("CSG0.html#group4G0", "4G⁰"), =HYPERLINK("CSG0.html#group4E0", "4E⁰"), =HYPERLINK("CSG7.html#group16E7", "16E⁷"), =HYPERLINK("CSG0.html#group8C0", "8C⁰"), =HYPERLINK("CSG1.html#group8F1", "8F¹"), =HYPERLINK("CSG1.html#group16D1", "16D¹"), =HYPERLINK("CSG0.html#group8G0", "8G⁰"), =HYPERLINK("CSG1.html#group8G1", "8G¹"), =HYPERLINK("CSG1.html#group16F1", "16F¹"), =HYPERLINK("CSG1.html#group16K1", "16K¹"), =HYPERLINK("CSG3.html#group16E3", "16E³"), =HYPERLINK("CSG3.html#group16D3", "16D³"), =HYPERLINK("CSG3.html#group16C3", "16C³"), =HYPERLINK("CSG1.html#group8K1", "8K¹"), =HYPERLINK("CSG2.html#group16I2", "16I²"), =HYPERLINK("CSG3.html#group16M3", "16M³"), =HYPERLINK("CSG5.html#group16G5", "16G⁵"), =HYPERLINK("CSG1.html#group8B1", "8B¹"), =HYPERLINK("CSG1.html#group16J1", "16J¹"), =HYPERLINK("CSG2.html#group16K2", "16K²"), =HYPERLINK("CSG0.html#group8H0", "8H⁰"), =HYPERLINK("CSG1.html#group16L1", "16L¹"), =HYPERLINK("CSG5.html#group16B5", "16B⁵"), =HYPERLINK("CSG0.html#group4A0", "4A⁰"), =HYPERLINK("CSG5.html#group16A5", "16A⁵")</f>
        <v/>
      </c>
      <c r="N4646" t="inlineStr"/>
    </row>
    <row r="4647">
      <c r="A4647" t="inlineStr">
        <is>
          <t>17A¹⁷</t>
        </is>
      </c>
      <c r="B4647" t="inlineStr"/>
      <c r="C4647" t="inlineStr">
        <is>
          <t>306</t>
        </is>
      </c>
      <c r="D4647" t="inlineStr">
        <is>
          <t>1</t>
        </is>
      </c>
      <c r="E4647" t="inlineStr">
        <is>
          <t>153</t>
        </is>
      </c>
      <c r="F4647" t="inlineStr">
        <is>
          <t>2</t>
        </is>
      </c>
      <c r="G4647" t="inlineStr">
        <is>
          <t>0</t>
        </is>
      </c>
      <c r="H4647" t="inlineStr">
        <is>
          <t>17¹⁸</t>
        </is>
      </c>
      <c r="I4647" t="n">
        <v>18</v>
      </c>
      <c r="J4647" t="inlineStr">
        <is>
          <t>1¹, 8¹, 16⁹</t>
        </is>
      </c>
      <c r="K4647">
        <f>HYPERLINK("CSG1.html#group17A1", "17A¹"), =HYPERLINK("CSG7.html#group17A7", "17A⁷")</f>
        <v/>
      </c>
      <c r="L4647" t="inlineStr"/>
      <c r="M4647">
        <f>HYPERLINK("CSG0.html#group1A0", "1A⁰"), =HYPERLINK("CSG1.html#group17A1", "17A¹"), =HYPERLINK("CSG7.html#group17A7", "17A⁷")</f>
        <v/>
      </c>
      <c r="N4647" t="inlineStr"/>
    </row>
    <row r="4648">
      <c r="A4648" t="inlineStr">
        <is>
          <t>20A¹⁷</t>
        </is>
      </c>
      <c r="B4648" t="inlineStr"/>
      <c r="C4648" t="inlineStr">
        <is>
          <t>320</t>
        </is>
      </c>
      <c r="D4648" t="inlineStr">
        <is>
          <t>1</t>
        </is>
      </c>
      <c r="E4648" t="inlineStr">
        <is>
          <t>40</t>
        </is>
      </c>
      <c r="F4648" t="inlineStr">
        <is>
          <t>0</t>
        </is>
      </c>
      <c r="G4648" t="inlineStr">
        <is>
          <t>8</t>
        </is>
      </c>
      <c r="H4648" t="inlineStr">
        <is>
          <t>20¹⁶</t>
        </is>
      </c>
      <c r="I4648" t="n">
        <v>16</v>
      </c>
      <c r="J4648" t="inlineStr">
        <is>
          <t>4², 8⁴</t>
        </is>
      </c>
      <c r="K4648">
        <f>HYPERLINK("CSG3.html#group20N3", "20N³"), =HYPERLINK("CSG7.html#group20O7", "20O⁷"), =HYPERLINK("CSG9.html#group20A9", "20A⁹")</f>
        <v/>
      </c>
      <c r="L4648" t="inlineStr"/>
      <c r="M4648">
        <f>HYPERLINK("CSG1.html#group10H1", "10H¹"), =HYPERLINK("CSG0.html#group2A0", "2A⁰"), =HYPERLINK("CSG0.html#group5A0", "5A⁰"), =HYPERLINK("CSG3.html#group20O3", "20O³"), =HYPERLINK("CSG0.html#group10D0", "10D⁰"), =HYPERLINK("CSG0.html#group5F0", "5F⁰"), =HYPERLINK("CSG3.html#group20N3", "20N³"), =HYPERLINK("CSG5.html#group20B5", "20B⁵"), =HYPERLINK("CSG1.html#group20A1", "20A¹"), =HYPERLINK("CSG5.html#group20A5", "20A⁵"), =HYPERLINK("CSG0.html#group1A0", "1A⁰"), =HYPERLINK("CSG1.html#group20F1", "20F¹"), =HYPERLINK("CSG0.html#group10A0", "10A⁰"), =HYPERLINK("CSG2.html#group20D2", "20D²"), =HYPERLINK("CSG9.html#group20A9", "20A⁹"), =HYPERLINK("CSG0.html#group4A0", "4A⁰"), =HYPERLINK("CSG0.html#group4D0", "4D⁰"), =HYPERLINK("CSG1.html#group10C1", "10C¹"), =HYPERLINK("CSG7.html#group20O7", "20O⁷"), =HYPERLINK("CSG0.html#group5C0", "5C⁰"), =HYPERLINK("CSG2.html#group20E2", "20E²")</f>
        <v/>
      </c>
      <c r="N4648" t="inlineStr"/>
    </row>
    <row r="4649">
      <c r="A4649" t="inlineStr">
        <is>
          <t>20B¹⁷</t>
        </is>
      </c>
      <c r="B4649" t="inlineStr"/>
      <c r="C4649" t="inlineStr">
        <is>
          <t>360</t>
        </is>
      </c>
      <c r="D4649" t="inlineStr">
        <is>
          <t>1</t>
        </is>
      </c>
      <c r="E4649" t="inlineStr">
        <is>
          <t>45</t>
        </is>
      </c>
      <c r="F4649" t="inlineStr">
        <is>
          <t>8</t>
        </is>
      </c>
      <c r="G4649" t="inlineStr">
        <is>
          <t>0</t>
        </is>
      </c>
      <c r="H4649" t="inlineStr">
        <is>
          <t>10¹², 20¹²</t>
        </is>
      </c>
      <c r="I4649" t="n">
        <v>24</v>
      </c>
      <c r="J4649" t="inlineStr">
        <is>
          <t>1³, 2³, 4⁹</t>
        </is>
      </c>
      <c r="K4649">
        <f>HYPERLINK("CSG1.html#group20I1", "20I¹"), =HYPERLINK("CSG5.html#group20F5", "20F⁵"), =HYPERLINK("CSG6.html#group10A6", "10A⁶"), =HYPERLINK("CSG6.html#group20D6", "20D⁶"), =HYPERLINK("CSG8.html#group20C8", "20C⁸"), =HYPERLINK("CSG9.html#group20B9", "20B⁹"), =HYPERLINK("CSG9.html#group20C9", "20C⁹"), =HYPERLINK("CSG9.html#group20D9", "20D⁹")</f>
        <v/>
      </c>
      <c r="L4649" t="inlineStr"/>
      <c r="M4649">
        <f>HYPERLINK("CSG1.html#group20E1", "20E¹"), =HYPERLINK("CSG0.html#group5A0", "5A⁰"), =HYPERLINK("CSG0.html#group10G0", "10G⁰"), =HYPERLINK("CSG4.html#group20E4", "20E⁴"), =HYPERLINK("CSG0.html#group10D0", "10D⁰"), =HYPERLINK("CSG0.html#group4C0", "4C⁰"), =HYPERLINK("CSG0.html#group5B0", "5B⁰"), =HYPERLINK("CSG0.html#group2B0", "2B⁰"), =HYPERLINK("CSG0.html#group1A0", "1A⁰"), =HYPERLINK("CSG6.html#group20D6", "20D⁶"), =HYPERLINK("CSG1.html#group10J1", "10J¹"), =HYPERLINK("CSG1.html#group10I1", "10I¹"), =HYPERLINK("CSG2.html#group10F2", "10F²"), =HYPERLINK("CSG5.html#group20F5", "20F⁵"), =HYPERLINK("CSG5.html#group20C5", "20C⁵"), =HYPERLINK("CSG2.html#group10C2", "10C²"), =HYPERLINK("CSG0.html#group10C0", "10C⁰"), =HYPERLINK("CSG3.html#group20P3", "20P³"), =HYPERLINK("CSG0.html#group5G0", "5G⁰"), =HYPERLINK("CSG6.html#group10A6", "10A⁶"), =HYPERLINK("CSG9.html#group20D9", "20D⁹"), =HYPERLINK("CSG1.html#group10B1", "10B¹"), =HYPERLINK("CSG2.html#group20B2", "20B²"), =HYPERLINK("CSG9.html#group20B9", "20B⁹"), =HYPERLINK("CSG2.html#group20F2", "20F²"), =HYPERLINK("CSG1.html#group10E1", "10E¹"), =HYPERLINK("CSG3.html#group20F3", "20F³"), =HYPERLINK("CSG8.html#group20C8", "20C⁸"), =HYPERLINK("CSG9.html#group20C9", "20C⁹"), =HYPERLINK("CSG1.html#group10F1", "10F¹"), =HYPERLINK("CSG0.html#group10B0", "10B⁰"), =HYPERLINK("CSG3.html#group10C3", "10C³"), =HYPERLINK("CSG0.html#group20A0", "20A⁰"), =HYPERLINK("CSG2.html#group10E2", "10E²"), =HYPERLINK("CSG1.html#group20I1", "20I¹"), =HYPERLINK("CSG0.html#group5E0", "5E⁰"), =HYPERLINK("CSG0.html#group5C0", "5C⁰")</f>
        <v/>
      </c>
      <c r="N4649" t="inlineStr"/>
    </row>
    <row r="4650">
      <c r="A4650" t="inlineStr">
        <is>
          <t>21A¹⁷</t>
        </is>
      </c>
      <c r="B4650" t="inlineStr"/>
      <c r="C4650" t="inlineStr">
        <is>
          <t>336</t>
        </is>
      </c>
      <c r="D4650" t="inlineStr">
        <is>
          <t>1</t>
        </is>
      </c>
      <c r="E4650" t="inlineStr">
        <is>
          <t>84</t>
        </is>
      </c>
      <c r="F4650" t="inlineStr">
        <is>
          <t>0</t>
        </is>
      </c>
      <c r="G4650" t="inlineStr">
        <is>
          <t>0</t>
        </is>
      </c>
      <c r="H4650" t="inlineStr">
        <is>
          <t>7¹², 21¹²</t>
        </is>
      </c>
      <c r="I4650" t="n">
        <v>24</v>
      </c>
      <c r="J4650" t="inlineStr">
        <is>
          <t>3², 6⁷, 12³</t>
        </is>
      </c>
      <c r="K4650">
        <f>HYPERLINK("CSG1.html#group7C1", "7C¹"), =HYPERLINK("CSG6.html#group21B6", "21B⁶"), =HYPERLINK("CSG9.html#group21A9", "21A⁹"), =HYPERLINK("CSG9.html#group21C9", "21C⁹")</f>
        <v/>
      </c>
      <c r="L4650" t="inlineStr"/>
      <c r="M4650">
        <f>HYPERLINK("CSG3.html#group21B3", "21B³"), =HYPERLINK("CSG0.html#group3B0", "3B⁰"), =HYPERLINK("CSG0.html#group7D0", "7D⁰"), =HYPERLINK("CSG9.html#group21A9", "21A⁹"), =HYPERLINK("CSG0.html#group7G0", "7G⁰"), =HYPERLINK("CSG1.html#group7C1", "7C¹"), =HYPERLINK("CSG5.html#group21A5", "21A⁵"), =HYPERLINK("CSG0.html#group1A0", "1A⁰"), =HYPERLINK("CSG6.html#group21B6", "21B⁶"), =HYPERLINK("CSG2.html#group21B2", "21B²"), =HYPERLINK("CSG0.html#group7C0", "7C⁰"), =HYPERLINK("CSG1.html#group7A1", "7A¹"), =HYPERLINK("CSG0.html#group7F0", "7F⁰"), =HYPERLINK("CSG9.html#group21C9", "21C⁹"), =HYPERLINK("CSG0.html#group7A0", "7A⁰")</f>
        <v/>
      </c>
      <c r="N4650" t="inlineStr"/>
    </row>
    <row r="4651">
      <c r="A4651" t="inlineStr">
        <is>
          <t>21B¹⁷</t>
        </is>
      </c>
      <c r="B4651" t="inlineStr"/>
      <c r="C4651" t="inlineStr">
        <is>
          <t>336</t>
        </is>
      </c>
      <c r="D4651" t="inlineStr">
        <is>
          <t>1</t>
        </is>
      </c>
      <c r="E4651" t="inlineStr">
        <is>
          <t>84</t>
        </is>
      </c>
      <c r="F4651" t="inlineStr">
        <is>
          <t>16</t>
        </is>
      </c>
      <c r="G4651" t="inlineStr">
        <is>
          <t>0</t>
        </is>
      </c>
      <c r="H4651" t="inlineStr">
        <is>
          <t>21¹⁶</t>
        </is>
      </c>
      <c r="I4651" t="n">
        <v>16</v>
      </c>
      <c r="J4651" t="inlineStr">
        <is>
          <t>1¹, 2¹, 3¹, 6⁵, 12⁴</t>
        </is>
      </c>
      <c r="K4651">
        <f>HYPERLINK("CSG4.html#group21B4", "21B⁴"), =HYPERLINK("CSG7.html#group21C7", "21C⁷"), =HYPERLINK("CSG9.html#group21B9", "21B⁹")</f>
        <v/>
      </c>
      <c r="L4651" t="inlineStr"/>
      <c r="M4651">
        <f>HYPERLINK("CSG2.html#group21D2", "21D²"), =HYPERLINK("CSG0.html#group7A0", "7A⁰"), =HYPERLINK("CSG1.html#group21D1", "21D¹"), =HYPERLINK("CSG0.html#group7F0", "7F⁰"), =HYPERLINK("CSG0.html#group21A0", "21A⁰"), =HYPERLINK("CSG0.html#group3C0", "3C⁰"), =HYPERLINK("CSG9.html#group21B9", "21B⁹"), =HYPERLINK("CSG7.html#group21C7", "21C⁷"), =HYPERLINK("CSG0.html#group3A0", "3A⁰"), =HYPERLINK("CSG0.html#group1A0", "1A⁰"), =HYPERLINK("CSG3.html#group21C3", "21C³"), =HYPERLINK("CSG4.html#group21B4", "21B⁴")</f>
        <v/>
      </c>
      <c r="N4651" t="inlineStr"/>
    </row>
    <row r="4652">
      <c r="A4652" t="inlineStr">
        <is>
          <t>21C¹⁷</t>
        </is>
      </c>
      <c r="B4652" t="inlineStr"/>
      <c r="C4652" t="inlineStr">
        <is>
          <t>336</t>
        </is>
      </c>
      <c r="D4652" t="inlineStr">
        <is>
          <t>2</t>
        </is>
      </c>
      <c r="E4652" t="inlineStr">
        <is>
          <t>168</t>
        </is>
      </c>
      <c r="F4652" t="inlineStr">
        <is>
          <t>8</t>
        </is>
      </c>
      <c r="G4652" t="inlineStr">
        <is>
          <t>6</t>
        </is>
      </c>
      <c r="H4652" t="inlineStr">
        <is>
          <t>21¹⁶</t>
        </is>
      </c>
      <c r="I4652" t="n">
        <v>16</v>
      </c>
      <c r="J4652" t="inlineStr">
        <is>
          <t>12²⁸</t>
        </is>
      </c>
      <c r="K4652">
        <f>HYPERLINK("CSG8.html#group21A8", "21A⁸")</f>
        <v/>
      </c>
      <c r="L4652" t="inlineStr"/>
      <c r="M4652">
        <f>HYPERLINK("CSG8.html#group21A8", "21A⁸"), =HYPERLINK("CSG0.html#group1A0", "1A⁰"), =HYPERLINK("CSG0.html#group7C0", "7C⁰"), =HYPERLINK("CSG0.html#group7A0", "7A⁰"), =HYPERLINK("CSG1.html#group21C1", "21C¹")</f>
        <v/>
      </c>
      <c r="N4652" t="inlineStr"/>
    </row>
    <row r="4653">
      <c r="A4653" t="inlineStr">
        <is>
          <t>22A¹⁷</t>
        </is>
      </c>
      <c r="B4653" t="inlineStr"/>
      <c r="C4653" t="inlineStr">
        <is>
          <t>264</t>
        </is>
      </c>
      <c r="D4653" t="inlineStr">
        <is>
          <t>1</t>
        </is>
      </c>
      <c r="E4653" t="inlineStr">
        <is>
          <t>66</t>
        </is>
      </c>
      <c r="F4653" t="inlineStr">
        <is>
          <t>0</t>
        </is>
      </c>
      <c r="G4653" t="inlineStr">
        <is>
          <t>0</t>
        </is>
      </c>
      <c r="H4653" t="inlineStr">
        <is>
          <t>22¹²</t>
        </is>
      </c>
      <c r="I4653" t="n">
        <v>12</v>
      </c>
      <c r="J4653" t="inlineStr">
        <is>
          <t>1¹, 5¹, 10⁶</t>
        </is>
      </c>
      <c r="K4653">
        <f>HYPERLINK("CSG2.html#group22A2", "22A²"), =HYPERLINK("CSG6.html#group11A6", "11A⁶"), =HYPERLINK("CSG6.html#group22B6", "22B⁶"), =HYPERLINK("CSG9.html#group22A9", "22A⁹")</f>
        <v/>
      </c>
      <c r="L4653" t="inlineStr"/>
      <c r="M4653">
        <f>HYPERLINK("CSG0.html#group11A0", "11A⁰"), =HYPERLINK("CSG0.html#group2A0", "2A⁰"), =HYPERLINK("CSG6.html#group11A6", "11A⁶"), =HYPERLINK("CSG1.html#group22A1", "22A¹"), =HYPERLINK("CSG9.html#group22A9", "22A⁹"), =HYPERLINK("CSG1.html#group11A1", "11A¹"), =HYPERLINK("CSG2.html#group22A2", "22A²"), =HYPERLINK("CSG6.html#group22B6", "22B⁶"), =HYPERLINK("CSG0.html#group1A0", "1A⁰"), =HYPERLINK("CSG2.html#group11A2", "11A²")</f>
        <v/>
      </c>
      <c r="N4653" t="inlineStr"/>
    </row>
    <row r="4654">
      <c r="A4654" t="inlineStr">
        <is>
          <t>22B¹⁷</t>
        </is>
      </c>
      <c r="B4654" t="inlineStr"/>
      <c r="C4654" t="inlineStr">
        <is>
          <t>330</t>
        </is>
      </c>
      <c r="D4654" t="inlineStr">
        <is>
          <t>1</t>
        </is>
      </c>
      <c r="E4654" t="inlineStr">
        <is>
          <t>110</t>
        </is>
      </c>
      <c r="F4654" t="inlineStr">
        <is>
          <t>0</t>
        </is>
      </c>
      <c r="G4654" t="inlineStr">
        <is>
          <t>12</t>
        </is>
      </c>
      <c r="H4654" t="inlineStr">
        <is>
          <t>22¹⁵</t>
        </is>
      </c>
      <c r="I4654" t="n">
        <v>15</v>
      </c>
      <c r="J4654" t="inlineStr">
        <is>
          <t>10¹¹</t>
        </is>
      </c>
      <c r="K4654">
        <f>HYPERLINK("CSG5.html#group22B5", "22B⁵")</f>
        <v/>
      </c>
      <c r="L4654" t="inlineStr"/>
      <c r="M4654">
        <f>HYPERLINK("CSG0.html#group11A0", "11A⁰"), =HYPERLINK("CSG0.html#group2A0", "2A⁰"), =HYPERLINK("CSG0.html#group1A0", "1A⁰"), =HYPERLINK("CSG1.html#group22A1", "22A¹"), =HYPERLINK("CSG1.html#group11B1", "11B¹"), =HYPERLINK("CSG5.html#group22B5", "22B⁵")</f>
        <v/>
      </c>
      <c r="N4654" t="inlineStr"/>
    </row>
    <row r="4655">
      <c r="A4655" t="inlineStr">
        <is>
          <t>22C¹⁷</t>
        </is>
      </c>
      <c r="B4655" t="inlineStr"/>
      <c r="C4655" t="inlineStr">
        <is>
          <t>330</t>
        </is>
      </c>
      <c r="D4655" t="inlineStr">
        <is>
          <t>1</t>
        </is>
      </c>
      <c r="E4655" t="inlineStr">
        <is>
          <t>330</t>
        </is>
      </c>
      <c r="F4655" t="inlineStr">
        <is>
          <t>12</t>
        </is>
      </c>
      <c r="G4655" t="inlineStr">
        <is>
          <t>3</t>
        </is>
      </c>
      <c r="H4655" t="inlineStr">
        <is>
          <t>22¹⁵</t>
        </is>
      </c>
      <c r="I4655" t="n">
        <v>15</v>
      </c>
      <c r="J4655" t="inlineStr">
        <is>
          <t>10³³</t>
        </is>
      </c>
      <c r="K4655">
        <f>HYPERLINK("CSG4.html#group22B4", "22B⁴")</f>
        <v/>
      </c>
      <c r="L4655" t="inlineStr"/>
      <c r="M4655">
        <f>HYPERLINK("CSG1.html#group11C1", "11C¹"), =HYPERLINK("CSG0.html#group1A0", "1A⁰"), =HYPERLINK("CSG4.html#group22B4", "22B⁴")</f>
        <v/>
      </c>
      <c r="N4655" t="inlineStr"/>
    </row>
    <row r="4656">
      <c r="A4656" t="inlineStr">
        <is>
          <t>22D¹⁷</t>
        </is>
      </c>
      <c r="B4656" t="inlineStr"/>
      <c r="C4656" t="inlineStr">
        <is>
          <t>330</t>
        </is>
      </c>
      <c r="D4656" t="inlineStr">
        <is>
          <t>2</t>
        </is>
      </c>
      <c r="E4656" t="inlineStr">
        <is>
          <t>165</t>
        </is>
      </c>
      <c r="F4656" t="inlineStr">
        <is>
          <t>6</t>
        </is>
      </c>
      <c r="G4656" t="inlineStr">
        <is>
          <t>0</t>
        </is>
      </c>
      <c r="H4656" t="inlineStr">
        <is>
          <t>11¹⁰, 22¹⁰</t>
        </is>
      </c>
      <c r="I4656" t="n">
        <v>20</v>
      </c>
      <c r="J4656" t="inlineStr">
        <is>
          <t>10³³</t>
        </is>
      </c>
      <c r="K4656">
        <f>HYPERLINK("CSG2.html#group22B2", "22B²"), =HYPERLINK("CSG3.html#group11A3", "11A³"), =HYPERLINK("CSG8.html#group22A8", "22A⁸")</f>
        <v/>
      </c>
      <c r="L4656" t="inlineStr"/>
      <c r="M4656">
        <f>HYPERLINK("CSG0.html#group11A0", "11A⁰"), =HYPERLINK("CSG1.html#group11C1", "11C¹"), =HYPERLINK("CSG3.html#group11A3", "11A³"), =HYPERLINK("CSG0.html#group2B0", "2B⁰"), =HYPERLINK("CSG2.html#group22B2", "22B²"), =HYPERLINK("CSG0.html#group1A0", "1A⁰"), =HYPERLINK("CSG8.html#group22A8", "22A⁸")</f>
        <v/>
      </c>
      <c r="N4656" t="inlineStr"/>
    </row>
    <row r="4657">
      <c r="A4657" t="inlineStr">
        <is>
          <t>24A¹⁷</t>
        </is>
      </c>
      <c r="B4657" t="inlineStr"/>
      <c r="C4657" t="inlineStr">
        <is>
          <t>288</t>
        </is>
      </c>
      <c r="D4657" t="inlineStr">
        <is>
          <t>1</t>
        </is>
      </c>
      <c r="E4657" t="inlineStr">
        <is>
          <t>3</t>
        </is>
      </c>
      <c r="F4657" t="inlineStr">
        <is>
          <t>0</t>
        </is>
      </c>
      <c r="G4657" t="inlineStr">
        <is>
          <t>0</t>
        </is>
      </c>
      <c r="H4657" t="inlineStr">
        <is>
          <t>12⁸, 24⁸</t>
        </is>
      </c>
      <c r="I4657" t="n">
        <v>16</v>
      </c>
      <c r="J4657" t="inlineStr">
        <is>
          <t>1³</t>
        </is>
      </c>
      <c r="K4657">
        <f>HYPERLINK("CSG5.html#group12B5", "12B⁵"), =HYPERLINK("CSG5.html#group24H5", "24H⁵"), =HYPERLINK("CSG7.html#group24S7", "24S⁷"), =HYPERLINK("CSG9.html#group24K9", "24K⁹"), =HYPERLINK("CSG9.html#group24L9", "24L⁹")</f>
        <v/>
      </c>
      <c r="L4657" t="inlineStr"/>
      <c r="M4657">
        <f>HYPERLINK("CSG1.html#group12T1", "12T¹"), =HYPERLINK("CSG0.html#group2A0", "2A⁰"), =HYPERLINK("CSG4.html#group24Q4", "24Q⁴"), =HYPERLINK("CSG0.html#group12C0", "12C⁰"), =HYPERLINK("CSG1.html#group12K1", "12K¹"), =HYPERLINK("CSG5.html#group12B5", "12B⁵"), =HYPERLINK("CSG2.html#group12D2", "12D²"), =HYPERLINK("CSG3.html#group12F3", "12F³"), =HYPERLINK("CSG0.html#group4C0", "4C⁰"), =HYPERLINK("CSG1.html#group6C1", "6C¹"), =HYPERLINK("CSG0.html#group6G0", "6G⁰"), =HYPERLINK("CSG2.html#group12E2", "12E²"), =HYPERLINK("CSG1.html#group12S1", "12S¹"), =HYPERLINK("CSG0.html#group2B0", "2B⁰"), =HYPERLINK("CSG0.html#group4E0", "4E⁰"), =HYPERLINK("CSG2.html#group12B2", "12B²"), =HYPERLINK("CSG1.html#group12N1", "12N¹"), =HYPERLINK("CSG0.html#group4B0", "4B⁰"), =HYPERLINK("CSG3.html#group12G3", "12G³"), =HYPERLINK("CSG0.html#group1A0", "1A⁰"), =HYPERLINK("CSG1.html#group6B1", "6B¹"), =HYPERLINK("CSG0.html#group6D0", "6D⁰"), =HYPERLINK("CSG5.html#group24H5", "24H⁵"), =HYPERLINK("CSG0.html#group3C0", "3C⁰"), =HYPERLINK("CSG0.html#group6K0", "6K⁰"), =HYPERLINK("CSG9.html#group24L9", "24L⁹"), =HYPERLINK("CSG1.html#group6A1", "6A¹"), =HYPERLINK("CSG1.html#group12B1", "12B¹"), =HYPERLINK("CSG0.html#group6H0", "6H⁰"), =HYPERLINK("CSG0.html#group3A0", "3A⁰"), =HYPERLINK("CSG0.html#group6F0", "6F⁰"), =HYPERLINK("CSG7.html#group24S7", "24S⁷"), =HYPERLINK("CSG1.html#group6E1", "6E¹"), =HYPERLINK("CSG0.html#group3B0", "3B⁰"), =HYPERLINK("CSG0.html#group6B0", "6B⁰"), =HYPERLINK("CSG1.html#group12F1", "12F¹"), =HYPERLINK("CSG0.html#group6I0", "6I⁰"), =HYPERLINK("CSG1.html#group6F1", "6F¹"), =HYPERLINK("CSG0.html#group6C0", "6C⁰"), =HYPERLINK("CSG1.html#group12P1", "12P¹"), =HYPERLINK("CSG1.html#group12L1", "12L¹"), =HYPERLINK("CSG0.html#group12G0", "12G⁰"), =HYPERLINK("CSG3.html#group12D3", "12D³"), =HYPERLINK("CSG1.html#group12C1", "12C¹"), =HYPERLINK("CSG0.html#group6E0", "6E⁰"), =HYPERLINK("CSG0.html#group6L0", "6L⁰"), =HYPERLINK("CSG1.html#group6D1", "6D¹"), =HYPERLINK("CSG0.html#group6A0", "6A⁰"), =HYPERLINK("CSG0.html#group6J0", "6J⁰"), =HYPERLINK("CSG9.html#group24K9", "24K⁹"), =HYPERLINK("CSG3.html#group12E3", "12E³"), =HYPERLINK("CSG0.html#group12D0", "12D⁰"), =HYPERLINK("CSG0.html#group12H0", "12H⁰"), =HYPERLINK("CSG2.html#group12C2", "12C²"), =HYPERLINK("CSG0.html#group3D0", "3D⁰"), =HYPERLINK("CSG0.html#group2C0", "2C⁰"), =HYPERLINK("CSG0.html#group12E0", "12E⁰")</f>
        <v/>
      </c>
      <c r="N4657" t="inlineStr"/>
    </row>
    <row r="4658">
      <c r="A4658" t="inlineStr">
        <is>
          <t>24B¹⁷</t>
        </is>
      </c>
      <c r="B4658" t="inlineStr"/>
      <c r="C4658" t="inlineStr">
        <is>
          <t>288</t>
        </is>
      </c>
      <c r="D4658" t="inlineStr">
        <is>
          <t>1</t>
        </is>
      </c>
      <c r="E4658" t="inlineStr">
        <is>
          <t>3</t>
        </is>
      </c>
      <c r="F4658" t="inlineStr">
        <is>
          <t>0</t>
        </is>
      </c>
      <c r="G4658" t="inlineStr">
        <is>
          <t>0</t>
        </is>
      </c>
      <c r="H4658" t="inlineStr">
        <is>
          <t>12⁸, 24⁸</t>
        </is>
      </c>
      <c r="I4658" t="n">
        <v>16</v>
      </c>
      <c r="J4658" t="inlineStr">
        <is>
          <t>1³</t>
        </is>
      </c>
      <c r="K4658">
        <f>HYPERLINK("CSG1.html#group8K1", "8K¹"), =HYPERLINK("CSG6.html#group24D6", "24D⁶"), =HYPERLINK("CSG8.html#group24A8", "24A⁸"), =HYPERLINK("CSG8.html#group24B8", "24B⁸"), =HYPERLINK("CSG9.html#group24C9", "24C⁹"), =HYPERLINK("CSG9.html#group24D9", "24D⁹")</f>
        <v/>
      </c>
      <c r="L4658" t="inlineStr"/>
      <c r="M4658">
        <f>HYPERLINK("CSG0.html#group2A0", "2A⁰"), =HYPERLINK("CSG3.html#group24A3", "24A³"), =HYPERLINK("CSG6.html#group24D6", "24D⁶"), =HYPERLINK("CSG0.html#group12C0", "12C⁰"), =HYPERLINK("CSG0.html#group4C0", "4C⁰"), =HYPERLINK("CSG5.html#group24A5", "24A⁵"), =HYPERLINK("CSG1.html#group6C1", "6C¹"), =HYPERLINK("CSG2.html#group12B2", "12B²"), =HYPERLINK("CSG0.html#group8L0", "8L⁰"), =HYPERLINK("CSG0.html#group2B0", "2B⁰"), =HYPERLINK("CSG0.html#group4E0", "4E⁰"), =HYPERLINK("CSG0.html#group4G0", "4G⁰"), =HYPERLINK("CSG0.html#group8C0", "8C⁰"), =HYPERLINK("CSG0.html#group4B0", "4B⁰"), =HYPERLINK("CSG1.html#group8F1", "8F¹"), =HYPERLINK("CSG0.html#group1A0", "1A⁰"), =HYPERLINK("CSG0.html#group8K0", "8K⁰"), =HYPERLINK("CSG4.html#group12A4", "12A⁴"), =HYPERLINK("CSG2.html#group24B2", "24B²"), =HYPERLINK("CSG0.html#group24A0", "24A⁰"), =HYPERLINK("CSG0.html#group8G0", "8G⁰"), =HYPERLINK("CSG1.html#group8G1", "8G¹"), =HYPERLINK("CSG0.html#group4D0", "4D⁰"), =HYPERLINK("CSG5.html#group24B5", "24B⁵"), =HYPERLINK("CSG2.html#group12A2", "12A²"), =HYPERLINK("CSG1.html#group12B1", "12B¹"), =HYPERLINK("CSG1.html#group6A1", "6A¹"), =HYPERLINK("CSG0.html#group3A0", "3A⁰"), =HYPERLINK("CSG0.html#group8P0", "8P⁰"), =HYPERLINK("CSG4.html#group24F4", "24F⁴"), =HYPERLINK("CSG0.html#group8N0", "8N⁰"), =HYPERLINK("CSG1.html#group8A1", "8A¹"), =HYPERLINK("CSG8.html#group24A8", "24A⁸"), =HYPERLINK("CSG1.html#group8K1", "8K¹"), =HYPERLINK("CSG0.html#group8D0", "8D⁰"), =HYPERLINK("CSG8.html#group24B8", "24B⁸"), =HYPERLINK("CSG1.html#group12E1", "12E¹"), =HYPERLINK("CSG0.html#group8B0", "8B⁰"), =HYPERLINK("CSG1.html#group8B1", "8B¹"), =HYPERLINK("CSG0.html#group8I0", "8I⁰"), =HYPERLINK("CSG2.html#group24L2", "24L²"), =HYPERLINK("CSG4.html#group24D4", "24D⁴"), =HYPERLINK("CSG3.html#group24J3", "24J³"), =HYPERLINK("CSG0.html#group8H0", "8H⁰"), =HYPERLINK("CSG9.html#group24D9", "24D⁹"), =HYPERLINK("CSG0.html#group12A0", "12A⁰"), =HYPERLINK("CSG1.html#group8C1", "8C¹"), =HYPERLINK("CSG0.html#group6A0", "6A⁰"), =HYPERLINK("CSG0.html#group4A0", "4A⁰"), =HYPERLINK("CSG2.html#group24M2", "24M²"), =HYPERLINK("CSG1.html#group24C1", "24C¹"), =HYPERLINK("CSG1.html#group12J1", "12J¹"), =HYPERLINK("CSG0.html#group4F0", "4F⁰"), =HYPERLINK("CSG9.html#group24C9", "24C⁹"), =HYPERLINK("CSG0.html#group8J0", "8J⁰"), =HYPERLINK("CSG0.html#group2C0", "2C⁰"), =HYPERLINK("CSG0.html#group6D0", "6D⁰"), =HYPERLINK("CSG4.html#group24G4", "24G⁴"), =HYPERLINK("CSG0.html#group8O0", "8O⁰")</f>
        <v/>
      </c>
      <c r="N4658" t="inlineStr"/>
    </row>
    <row r="4659">
      <c r="A4659" t="inlineStr">
        <is>
          <t>24C¹⁷</t>
        </is>
      </c>
      <c r="B4659" t="inlineStr"/>
      <c r="C4659" t="inlineStr">
        <is>
          <t>288</t>
        </is>
      </c>
      <c r="D4659" t="inlineStr">
        <is>
          <t>1</t>
        </is>
      </c>
      <c r="E4659" t="inlineStr">
        <is>
          <t>3</t>
        </is>
      </c>
      <c r="F4659" t="inlineStr">
        <is>
          <t>0</t>
        </is>
      </c>
      <c r="G4659" t="inlineStr">
        <is>
          <t>0</t>
        </is>
      </c>
      <c r="H4659" t="inlineStr">
        <is>
          <t>12⁸, 24⁸</t>
        </is>
      </c>
      <c r="I4659" t="n">
        <v>16</v>
      </c>
      <c r="J4659" t="inlineStr">
        <is>
          <t>1³</t>
        </is>
      </c>
      <c r="K4659">
        <f>HYPERLINK("CSG5.html#group12B5", "12B⁵"), =HYPERLINK("CSG5.html#group24I5", "24I⁵"), =HYPERLINK("CSG5.html#group24S5", "24S⁵"), =HYPERLINK("CSG9.html#group24A9", "24A⁹"), =HYPERLINK("CSG9.html#group24B9", "24B⁹"), =HYPERLINK("CSG9.html#group24E9", "24E⁹"), =HYPERLINK("CSG9.html#group24G9", "24G⁹"), =HYPERLINK("CSG9.html#group24J9", "24J⁹")</f>
        <v/>
      </c>
      <c r="L4659" t="inlineStr"/>
      <c r="M4659">
        <f>HYPERLINK("CSG1.html#group12T1", "12T¹"), =HYPERLINK("CSG0.html#group12C0", "12C⁰"), =HYPERLINK("CSG3.html#group12F3", "12F³"), =HYPERLINK("CSG1.html#group6C1", "6C¹"), =HYPERLINK("CSG2.html#group12B2", "12B²"), =HYPERLINK("CSG2.html#group12E2", "12E²"), =HYPERLINK("CSG5.html#group24A5", "24A⁵"), =HYPERLINK("CSG0.html#group2B0", "2B⁰"), =HYPERLINK("CSG0.html#group4B0", "4B⁰"), =HYPERLINK("CSG3.html#group12G3", "12G³"), =HYPERLINK("CSG0.html#group1A0", "1A⁰"), =HYPERLINK("CSG5.html#group24F5", "24F⁵"), =HYPERLINK("CSG9.html#group24A9", "24A⁹"), =HYPERLINK("CSG3.html#group24S3", "24S³"), =HYPERLINK("CSG0.html#group3C0", "3C⁰"), =HYPERLINK("CSG1.html#group12B1", "12B¹"), =HYPERLINK("CSG0.html#group6H0", "6H⁰"), =HYPERLINK("CSG1.html#group24H1", "24H¹"), =HYPERLINK("CSG1.html#group6E1", "6E¹"), =HYPERLINK("CSG0.html#group3B0", "3B⁰"), =HYPERLINK("CSG1.html#group8A1", "8A¹"), =HYPERLINK("CSG3.html#group24B3", "24B³"), =HYPERLINK("CSG0.html#group8B0", "8B⁰"), =HYPERLINK("CSG9.html#group24B9", "24B⁹"), =HYPERLINK("CSG1.html#group12P1", "12P¹"), =HYPERLINK("CSG1.html#group12L1", "12L¹"), =HYPERLINK("CSG0.html#group12G0", "12G⁰"), =HYPERLINK("CSG3.html#group12D3", "12D³"), =HYPERLINK("CSG1.html#group12C1", "12C¹"), =HYPERLINK("CSG0.html#group6A0", "6A⁰"), =HYPERLINK("CSG5.html#group24C5", "24C⁵"), =HYPERLINK("CSG3.html#group12E3", "12E³"), =HYPERLINK("CSG0.html#group3D0", "3D⁰"), =HYPERLINK("CSG0.html#group2C0", "2C⁰"), =HYPERLINK("CSG0.html#group6D0", "6D⁰"), =HYPERLINK("CSG9.html#group24E9", "24E⁹"), =HYPERLINK("CSG0.html#group2A0", "2A⁰"), =HYPERLINK("CSG3.html#group24A3", "24A³"), =HYPERLINK("CSG1.html#group12K1", "12K¹"), =HYPERLINK("CSG5.html#group12B5", "12B⁵"), =HYPERLINK("CSG2.html#group12D2", "12D²"), =HYPERLINK("CSG0.html#group4C0", "4C⁰"), =HYPERLINK("CSG3.html#group24I3", "24I³"), =HYPERLINK("CSG0.html#group6G0", "6G⁰"), =HYPERLINK("CSG1.html#group12S1", "12S¹"), =HYPERLINK("CSG9.html#group24G9", "24G⁹"), =HYPERLINK("CSG0.html#group4E0", "4E⁰"), =HYPERLINK("CSG2.html#group24C2", "24C²"), =HYPERLINK("CSG1.html#group12N1", "12N¹"), =HYPERLINK("CSG5.html#group24E5", "24E⁵"), =HYPERLINK("CSG3.html#group24H3", "24H³"), =HYPERLINK("CSG0.html#group24A0", "24A⁰"), =HYPERLINK("CSG1.html#group6B1", "6B¹"), =HYPERLINK("CSG5.html#group24S5", "24S⁵"), =HYPERLINK("CSG0.html#group6K0", "6K⁰"), =HYPERLINK("CSG9.html#group24J9", "24J⁹"), =HYPERLINK("CSG1.html#group6A1", "6A¹"), =HYPERLINK("CSG0.html#group3A0", "3A⁰"), =HYPERLINK("CSG0.html#group6F0", "6F⁰"), =HYPERLINK("CSG0.html#group6B0", "6B⁰"), =HYPERLINK("CSG1.html#group12F1", "12F¹"), =HYPERLINK("CSG0.html#group6I0", "6I⁰"), =HYPERLINK("CSG1.html#group6F1", "6F¹"), =HYPERLINK("CSG0.html#group6C0", "6C⁰"), =HYPERLINK("CSG1.html#group24D1", "24D¹"), =HYPERLINK("CSG1.html#group8B1", "8B¹"), =HYPERLINK("CSG3.html#group24C3", "24C³"), =HYPERLINK("CSG5.html#group24I5", "24I⁵"), =HYPERLINK("CSG5.html#group24D5", "24D⁵"), =HYPERLINK("CSG1.html#group6D1", "6D¹"), =HYPERLINK("CSG0.html#group6E0", "6E⁰"), =HYPERLINK("CSG0.html#group6L0", "6L⁰"), =HYPERLINK("CSG0.html#group6J0", "6J⁰"), =HYPERLINK("CSG0.html#group12D0", "12D⁰"), =HYPERLINK("CSG0.html#group12H0", "12H⁰"), =HYPERLINK("CSG2.html#group12C2", "12C²"), =HYPERLINK("CSG0.html#group12E0", "12E⁰")</f>
        <v/>
      </c>
      <c r="N4659" t="inlineStr"/>
    </row>
    <row r="4660">
      <c r="A4660" t="inlineStr">
        <is>
          <t>24D¹⁷</t>
        </is>
      </c>
      <c r="B4660" t="inlineStr"/>
      <c r="C4660" t="inlineStr">
        <is>
          <t>288</t>
        </is>
      </c>
      <c r="D4660" t="inlineStr">
        <is>
          <t>1</t>
        </is>
      </c>
      <c r="E4660" t="inlineStr">
        <is>
          <t>6</t>
        </is>
      </c>
      <c r="F4660" t="inlineStr">
        <is>
          <t>0</t>
        </is>
      </c>
      <c r="G4660" t="inlineStr">
        <is>
          <t>0</t>
        </is>
      </c>
      <c r="H4660" t="inlineStr">
        <is>
          <t>12⁸, 24⁸</t>
        </is>
      </c>
      <c r="I4660" t="n">
        <v>16</v>
      </c>
      <c r="J4660" t="inlineStr">
        <is>
          <t>1², 2²</t>
        </is>
      </c>
      <c r="K4660">
        <f>HYPERLINK("CSG5.html#group24J5", "24J⁵"), =HYPERLINK("CSG7.html#group12C7", "12C⁷"), =HYPERLINK("CSG7.html#group24H7", "24H⁷"), =HYPERLINK("CSG7.html#group24O7", "24O⁷"), =HYPERLINK("CSG7.html#group24R7", "24R⁷"), =HYPERLINK("CSG9.html#group24A9", "24A⁹"), =HYPERLINK("CSG9.html#group24P9", "24P⁹"), =HYPERLINK("CSG9.html#group24O9", "24O⁹")</f>
        <v/>
      </c>
      <c r="L4660" t="inlineStr"/>
      <c r="M4660">
        <f>HYPERLINK("CSG1.html#group24E1", "24E¹"), =HYPERLINK("CSG0.html#group12C0", "12C⁰"), =HYPERLINK("CSG4.html#group24P4", "24P⁴"), =HYPERLINK("CSG0.html#group4C0", "4C⁰"), =HYPERLINK("CSG3.html#group24I3", "24I³"), =HYPERLINK("CSG0.html#group6G0", "6G⁰"), =HYPERLINK("CSG2.html#group24P2", "24P²"), =HYPERLINK("CSG1.html#group12M1", "12M¹"), =HYPERLINK("CSG0.html#group2B0", "2B⁰"), =HYPERLINK("CSG2.html#group24C2", "24C²"), =HYPERLINK("CSG0.html#group1A0", "1A⁰"), =HYPERLINK("CSG3.html#group24O3", "24O³"), =HYPERLINK("CSG9.html#group24O9", "24O⁹"), =HYPERLINK("CSG7.html#group24R7", "24R⁷"), =HYPERLINK("CSG9.html#group24A9", "24A⁹"), =HYPERLINK("CSG0.html#group24A0", "24A⁰"), =HYPERLINK("CSG3.html#group24N3", "24N³"), =HYPERLINK("CSG1.html#group12A1", "12A¹"), =HYPERLINK("CSG0.html#group3C0", "3C⁰"), =HYPERLINK("CSG0.html#group6K0", "6K⁰"), =HYPERLINK("CSG0.html#group3A0", "3A⁰"), =HYPERLINK("CSG0.html#group6F0", "6F⁰"), =HYPERLINK("CSG9.html#group24P9", "24P⁹"), =HYPERLINK("CSG1.html#group12G1", "12G¹"), =HYPERLINK("CSG0.html#group3B0", "3B⁰"), =HYPERLINK("CSG7.html#group24O7", "24O⁷"), =HYPERLINK("CSG0.html#group8D0", "8D⁰"), =HYPERLINK("CSG3.html#group24B3", "24B³"), =HYPERLINK("CSG1.html#group12F1", "12F¹"), =HYPERLINK("CSG3.html#group12B3", "12B³"), =HYPERLINK("CSG0.html#group8B0", "8B⁰"), =HYPERLINK("CSG2.html#group24L2", "24L²"), =HYPERLINK("CSG1.html#group12L1", "12L¹"), =HYPERLINK("CSG3.html#group12J3", "12J³"), =HYPERLINK("CSG0.html#group3D0", "3D⁰"), =HYPERLINK("CSG0.html#group8H0", "8H⁰"), =HYPERLINK("CSG0.html#group12A0", "12A⁰"), =HYPERLINK("CSG1.html#group12C1", "12C¹"), =HYPERLINK("CSG3.html#group12D3", "12D³"), =HYPERLINK("CSG3.html#group12I3", "12I³"), =HYPERLINK("CSG2.html#group24I2", "24I²"), =HYPERLINK("CSG0.html#group4A0", "4A⁰"), =HYPERLINK("CSG5.html#group24C5", "24C⁵"), =HYPERLINK("CSG4.html#group24K4", "24K⁴"), =HYPERLINK("CSG1.html#group24C1", "24C¹"), =HYPERLINK("CSG7.html#group12C7", "12C⁷"), =HYPERLINK("CSG1.html#group12J1", "12J¹"), =HYPERLINK("CSG5.html#group24J5", "24J⁵"), =HYPERLINK("CSG0.html#group4F0", "4F⁰"), =HYPERLINK("CSG2.html#group12G2", "12G²"), =HYPERLINK("CSG7.html#group24H7", "24H⁷"), =HYPERLINK("CSG2.html#group12C2", "12C²"), =HYPERLINK("CSG4.html#group24L4", "24L⁴"), =HYPERLINK("CSG0.html#group6D0", "6D⁰")</f>
        <v/>
      </c>
      <c r="N4660" t="inlineStr"/>
    </row>
    <row r="4661">
      <c r="A4661" t="inlineStr">
        <is>
          <t>24E¹⁷</t>
        </is>
      </c>
      <c r="B4661" t="inlineStr"/>
      <c r="C4661" t="inlineStr">
        <is>
          <t>288</t>
        </is>
      </c>
      <c r="D4661" t="inlineStr">
        <is>
          <t>1</t>
        </is>
      </c>
      <c r="E4661" t="inlineStr">
        <is>
          <t>6</t>
        </is>
      </c>
      <c r="F4661" t="inlineStr">
        <is>
          <t>0</t>
        </is>
      </c>
      <c r="G4661" t="inlineStr">
        <is>
          <t>0</t>
        </is>
      </c>
      <c r="H4661" t="inlineStr">
        <is>
          <t>12⁸, 24⁸</t>
        </is>
      </c>
      <c r="I4661" t="n">
        <v>16</v>
      </c>
      <c r="J4661" t="inlineStr">
        <is>
          <t>1², 2²</t>
        </is>
      </c>
      <c r="K4661">
        <f>HYPERLINK("CSG5.html#group24K5", "24K⁵"), =HYPERLINK("CSG7.html#group12C7", "12C⁷"), =HYPERLINK("CSG7.html#group24H7", "24H⁷"), =HYPERLINK("CSG7.html#group24Q7", "24Q⁷"), =HYPERLINK("CSG7.html#group24P7", "24P⁷"), =HYPERLINK("CSG9.html#group24B9", "24B⁹"), =HYPERLINK("CSG9.html#group24N9", "24N⁹"), =HYPERLINK("CSG9.html#group24R9", "24R⁹")</f>
        <v/>
      </c>
      <c r="L4661" t="inlineStr"/>
      <c r="M4661">
        <f>HYPERLINK("CSG3.html#group24Q3", "24Q³"), =HYPERLINK("CSG1.html#group24E1", "24E¹"), =HYPERLINK("CSG3.html#group24A3", "24A³"), =HYPERLINK("CSG0.html#group12C0", "12C⁰"), =HYPERLINK("CSG0.html#group4C0", "4C⁰"), =HYPERLINK("CSG2.html#group12C2", "12C²"), =HYPERLINK("CSG0.html#group6G0", "6G⁰"), =HYPERLINK("CSG1.html#group12M1", "12M¹"), =HYPERLINK("CSG0.html#group2B0", "2B⁰"), =HYPERLINK("CSG3.html#group24P3", "24P³"), =HYPERLINK("CSG5.html#group24E5", "24E⁵"), =HYPERLINK("CSG0.html#group1A0", "1A⁰"), =HYPERLINK("CSG3.html#group24O3", "24O³"), =HYPERLINK("CSG3.html#group24H3", "24H³"), =HYPERLINK("CSG3.html#group24N3", "24N³"), =HYPERLINK("CSG1.html#group12A1", "12A¹"), =HYPERLINK("CSG3.html#group24T3", "24T³"), =HYPERLINK("CSG0.html#group3C0", "3C⁰"), =HYPERLINK("CSG0.html#group6K0", "6K⁰"), =HYPERLINK("CSG0.html#group3A0", "3A⁰"), =HYPERLINK("CSG0.html#group6F0", "6F⁰"), =HYPERLINK("CSG1.html#group12G1", "12G¹"), =HYPERLINK("CSG0.html#group3B0", "3B⁰"), =HYPERLINK("CSG5.html#group24G5", "24G⁵"), =HYPERLINK("CSG7.html#group24P7", "24P⁷"), =HYPERLINK("CSG5.html#group24K5", "24K⁵"), =HYPERLINK("CSG1.html#group8A1", "8A¹"), =HYPERLINK("CSG3.html#group12B3", "12B³"), =HYPERLINK("CSG0.html#group8D0", "8D⁰"), =HYPERLINK("CSG1.html#group12F1", "12F¹"), =HYPERLINK("CSG1.html#group24D1", "24D¹"), =HYPERLINK("CSG9.html#group24B9", "24B⁹"), =HYPERLINK("CSG1.html#group12L1", "12L¹"), =HYPERLINK("CSG3.html#group12J3", "12J³"), =HYPERLINK("CSG9.html#group24R9", "24R⁹"), =HYPERLINK("CSG0.html#group3D0", "3D⁰"), =HYPERLINK("CSG3.html#group24C3", "24C³"), =HYPERLINK("CSG0.html#group12A0", "12A⁰"), =HYPERLINK("CSG1.html#group8C1", "8C¹"), =HYPERLINK("CSG1.html#group12C1", "12C¹"), =HYPERLINK("CSG2.html#group24I2", "24I²"), =HYPERLINK("CSG3.html#group12I3", "12I³"), =HYPERLINK("CSG3.html#group12D3", "12D³"), =HYPERLINK("CSG0.html#group4A0", "4A⁰"), =HYPERLINK("CSG1.html#group24C1", "24C¹"), =HYPERLINK("CSG7.html#group12C7", "12C⁷"), =HYPERLINK("CSG2.html#group12G2", "12G²"), =HYPERLINK("CSG0.html#group4F0", "4F⁰"), =HYPERLINK("CSG1.html#group12J1", "12J¹"), =HYPERLINK("CSG7.html#group24H7", "24H⁷"), =HYPERLINK("CSG9.html#group24N9", "24N⁹"), =HYPERLINK("CSG7.html#group24Q7", "24Q⁷"), =HYPERLINK("CSG0.html#group6D0", "6D⁰"), =HYPERLINK("CSG5.html#group24B5", "24B⁵")</f>
        <v/>
      </c>
      <c r="N4661" t="inlineStr"/>
    </row>
    <row r="4662">
      <c r="A4662" t="inlineStr">
        <is>
          <t>24F¹⁷</t>
        </is>
      </c>
      <c r="B4662" t="inlineStr"/>
      <c r="C4662" t="inlineStr">
        <is>
          <t>288</t>
        </is>
      </c>
      <c r="D4662" t="inlineStr">
        <is>
          <t>1</t>
        </is>
      </c>
      <c r="E4662" t="inlineStr">
        <is>
          <t>9</t>
        </is>
      </c>
      <c r="F4662" t="inlineStr">
        <is>
          <t>0</t>
        </is>
      </c>
      <c r="G4662" t="inlineStr">
        <is>
          <t>0</t>
        </is>
      </c>
      <c r="H4662" t="inlineStr">
        <is>
          <t>12⁸, 24⁸</t>
        </is>
      </c>
      <c r="I4662" t="n">
        <v>16</v>
      </c>
      <c r="J4662" t="inlineStr">
        <is>
          <t>1³, 2³</t>
        </is>
      </c>
      <c r="K4662">
        <f>HYPERLINK("CSG6.html#group24G6", "24G⁶"), =HYPERLINK("CSG8.html#group24C8", "24C⁸"), =HYPERLINK("CSG8.html#group24D8", "24D⁸"), =HYPERLINK("CSG9.html#group24C9", "24C⁹"), =HYPERLINK("CSG9.html#group24S9", "24S⁹")</f>
        <v/>
      </c>
      <c r="L4662" t="inlineStr"/>
      <c r="M4662">
        <f>HYPERLINK("CSG0.html#group2A0", "2A⁰"), =HYPERLINK("CSG3.html#group24A3", "24A³"), =HYPERLINK("CSG0.html#group12C0", "12C⁰"), =HYPERLINK("CSG0.html#group4C0", "4C⁰"), =HYPERLINK("CSG1.html#group6C1", "6C¹"), =HYPERLINK("CSG2.html#group12B2", "12B²"), =HYPERLINK("CSG5.html#group24A5", "24A⁵"), =HYPERLINK("CSG2.html#group24Q2", "24Q²"),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=HYPERLINK("CSG4.html#group12A4", "12A⁴"), =HYPERLINK("CSG2.html#group24B2", "24B²"), =HYPERLINK("CSG0.html#group24A0", "24A⁰"), =HYPERLINK("CSG0.html#group8G0", "8G⁰"), =HYPERLINK("CSG4.html#group24N4", "24N⁴"), =HYPERLINK("CSG0.html#group4D0", "4D⁰"), =HYPERLINK("CSG4.html#group24M4", "24M⁴"), =HYPERLINK("CSG2.html#group12A2", "12A²"), =HYPERLINK("CSG1.html#group12B1", "12B¹"), =HYPERLINK("CSG1.html#group6A1", "6A¹"), =HYPERLINK("CSG3.html#group24R3", "24R³"), =HYPERLINK("CSG0.html#group3A0", "3A⁰"), =HYPERLINK("CSG1.html#group8A1", "8A¹"), =HYPERLINK("CSG8.html#group24D8", "24D⁸"), =HYPERLINK("CSG0.html#group8D0", "8D⁰"), =HYPERLINK("CSG9.html#group24S9", "24S⁹"), =HYPERLINK("CSG0.html#group8B0", "8B⁰"), =HYPERLINK("CSG1.html#group12E1", "12E¹"), =HYPERLINK("CSG1.html#group8B1", "8B¹"), =HYPERLINK("CSG2.html#group24L2", "24L²"), =HYPERLINK("CSG4.html#group24D4", "24D⁴"), =HYPERLINK("CSG0.html#group8H0", "8H⁰"), =HYPERLINK("CSG6.html#group24G6", "24G⁶"), =HYPERLINK("CSG0.html#group12A0", "12A⁰"), =HYPERLINK("CSG1.html#group8C1", "8C¹"), =HYPERLINK("CSG0.html#group6A0", "6A⁰"), =HYPERLINK("CSG8.html#group24C8", "24C⁸"), =HYPERLINK("CSG0.html#group4A0", "4A⁰"), =HYPERLINK("CSG1.html#group24C1", "24C¹"), =HYPERLINK("CSG1.html#group12J1", "12J¹"), =HYPERLINK("CSG0.html#group4F0", "4F⁰"), =HYPERLINK("CSG9.html#group24C9", "24C⁹"), =HYPERLINK("CSG0.html#group2C0", "2C⁰"), =HYPERLINK("CSG0.html#group6D0", "6D⁰"), =HYPERLINK("CSG5.html#group24B5", "24B⁵")</f>
        <v/>
      </c>
      <c r="N4662" t="inlineStr"/>
    </row>
    <row r="4663">
      <c r="A4663" t="inlineStr">
        <is>
          <t>24G¹⁷</t>
        </is>
      </c>
      <c r="B4663" t="inlineStr"/>
      <c r="C4663" t="inlineStr">
        <is>
          <t>288</t>
        </is>
      </c>
      <c r="D4663" t="inlineStr">
        <is>
          <t>1</t>
        </is>
      </c>
      <c r="E4663" t="inlineStr">
        <is>
          <t>9</t>
        </is>
      </c>
      <c r="F4663" t="inlineStr">
        <is>
          <t>0</t>
        </is>
      </c>
      <c r="G4663" t="inlineStr">
        <is>
          <t>0</t>
        </is>
      </c>
      <c r="H4663" t="inlineStr">
        <is>
          <t>12⁸, 24⁸</t>
        </is>
      </c>
      <c r="I4663" t="n">
        <v>16</v>
      </c>
      <c r="J4663" t="inlineStr">
        <is>
          <t>1³, 2³</t>
        </is>
      </c>
      <c r="K4663">
        <f>HYPERLINK("CSG7.html#group12B7", "12B⁷"), =HYPERLINK("CSG7.html#group24I7", "24I⁷"), =HYPERLINK("CSG7.html#group24Q7", "24Q⁷"), =HYPERLINK("CSG7.html#group24AE7", "24AE⁷"), =HYPERLINK("CSG9.html#group24G9", "24G⁹"), =HYPERLINK("CSG9.html#group24H9", "24H⁹"), =HYPERLINK("CSG9.html#group24P9", "24P⁹"), =HYPERLINK("CSG9.html#group24Z9", "24Z⁹")</f>
        <v/>
      </c>
      <c r="L4663" t="inlineStr"/>
      <c r="M4663">
        <f>HYPERLINK("CSG1.html#group24E1", "24E¹"), =HYPERLINK("CSG0.html#group12C0", "12C⁰"), =HYPERLINK("CSG4.html#group24P4", "24P⁴"), =HYPERLINK("CSG1.html#group6C1", "6C¹"), =HYPERLINK("CSG2.html#group12B2", "12B²"), =HYPERLINK("CSG2.html#group12E2", "12E²"), =HYPERLINK("CSG0.html#group2B0", "2B⁰"), =HYPERLINK("CSG1.html#group12M1", "12M¹"), =HYPERLINK("CSG0.html#group4B0", "4B⁰"), =HYPERLINK("CSG3.html#group12G3", "12G³"), =HYPERLINK("CSG0.html#group1A0", "1A⁰"), =HYPERLINK("CSG5.html#group24F5", "24F⁵"), =HYPERLINK("CSG4.html#group12A4", "12A⁴"), =HYPERLINK("CSG7.html#group24AE7", "24AE⁷"), =HYPERLINK("CSG3.html#group24S3", "24S³"), =HYPERLINK("CSG0.html#group4D0", "4D⁰"), =HYPERLINK("CSG0.html#group3C0", "3C⁰"), =HYPERLINK("CSG1.html#group12B1", "12B¹"), =HYPERLINK("CSG3.html#group24K3", "24K³"), =HYPERLINK("CSG0.html#group6H0", "6H⁰"), =HYPERLINK("CSG9.html#group24P9", "24P⁹"), =HYPERLINK("CSG1.html#group12G1", "12G¹"), =HYPERLINK("CSG1.html#group6E1", "6E¹"), =HYPERLINK("CSG0.html#group12F0", "12F⁰"), =HYPERLINK("CSG3.html#group12C3", "12C³"), =HYPERLINK("CSG1.html#group12L1", "12L¹"), =HYPERLINK("CSG3.html#group12J3", "12J³"), =HYPERLINK("CSG0.html#group6A0", "6A⁰"), =HYPERLINK("CSG1.html#group12C1", "12C¹"), =HYPERLINK("CSG5.html#group24C5", "24C⁵"), =HYPERLINK("CSG9.html#group24Z9", "24Z⁹"), =HYPERLINK("CSG4.html#group24K4", "24K⁴"), =HYPERLINK("CSG1.html#group12J1", "12J¹"), =HYPERLINK("CSG0.html#group4F0", "4F⁰"), =HYPERLINK("CSG0.html#group2C0", "2C⁰"), =HYPERLINK("CSG0.html#group6D0", "6D⁰"), =HYPERLINK("CSG4.html#group24I4", "24I⁴"), =HYPERLINK("CSG0.html#group2A0", "2A⁰"), =HYPERLINK("CSG2.html#group12I2", "12I²"), =HYPERLINK("CSG1.html#group12K1", "12K¹"), =HYPERLINK("CSG2.html#group12D2", "12D²"), =HYPERLINK("CSG0.html#group4C0", "4C⁰"), =HYPERLINK("CSG0.html#group6G0", "6G⁰"), =HYPERLINK("CSG0.html#group4G0", "4G⁰"), =HYPERLINK("CSG9.html#group24G9", "24G⁹"), =HYPERLINK("CSG3.html#group24P3", "24P³"), =HYPERLINK("CSG0.html#group4E0", "4E⁰"), =HYPERLINK("CSG2.html#group24C2", "24C²"), =HYPERLINK("CSG3.html#group24H3", "24H³"), =HYPERLINK("CSG1.html#group6B1", "6B¹"), =HYPERLINK("CSG3.html#group24N3", "24N³"), =HYPERLINK("CSG7.html#group12B7", "12B⁷"), =HYPERLINK("CSG7.html#group24I7", "24I⁷"), =HYPERLINK("CSG2.html#group12A2", "12A²"), =HYPERLINK("CSG2.html#group24D2", "24D²"), =HYPERLINK("CSG1.html#group6A1", "6A¹"), =HYPERLINK("CSG3.html#group24T3", "24T³"), =HYPERLINK("CSG0.html#group3A0", "3A⁰"), =HYPERLINK("CSG9.html#group24H9", "24H⁹"), =HYPERLINK("CSG0.html#group6B0", "6B⁰"), =HYPERLINK("CSG2.html#group24N2", "24N²"), =HYPERLINK("CSG1.html#group12E1", "12E¹"), =HYPERLINK("CSG1.html#group24D1", "24D¹"), =HYPERLINK("CSG0.html#group12A0", "12A⁰"), =HYPERLINK("CSG0.html#group4A0", "4A⁰"), =HYPERLINK("CSG4.html#group24E4", "24E⁴"), =HYPERLINK("CSG0.html#group12D0", "12D⁰"), =HYPERLINK("CSG4.html#group12C4", "12C⁴"), =HYPERLINK("CSG0.html#group12H0", "12H⁰"), =HYPERLINK("CSG7.html#group24Q7", "24Q⁷")</f>
        <v/>
      </c>
      <c r="N4663" t="inlineStr"/>
    </row>
    <row r="4664">
      <c r="A4664" t="inlineStr">
        <is>
          <t>24H¹⁷</t>
        </is>
      </c>
      <c r="B4664" t="inlineStr"/>
      <c r="C4664" t="inlineStr">
        <is>
          <t>288</t>
        </is>
      </c>
      <c r="D4664" t="inlineStr">
        <is>
          <t>1</t>
        </is>
      </c>
      <c r="E4664" t="inlineStr">
        <is>
          <t>9</t>
        </is>
      </c>
      <c r="F4664" t="inlineStr">
        <is>
          <t>0</t>
        </is>
      </c>
      <c r="G4664" t="inlineStr">
        <is>
          <t>0</t>
        </is>
      </c>
      <c r="H4664" t="inlineStr">
        <is>
          <t>12⁸, 24⁸</t>
        </is>
      </c>
      <c r="I4664" t="n">
        <v>16</v>
      </c>
      <c r="J4664" t="inlineStr">
        <is>
          <t>1³, 2³</t>
        </is>
      </c>
      <c r="K4664">
        <f>HYPERLINK("CSG7.html#group12D7", "12D⁷"), =HYPERLINK("CSG7.html#group24J7", "24J⁷"), =HYPERLINK("CSG7.html#group24P7", "24P⁷"), =HYPERLINK("CSG7.html#group24AD7", "24AD⁷"), =HYPERLINK("CSG9.html#group24G9", "24G⁹"), =HYPERLINK("CSG9.html#group24I9", "24I⁹"), =HYPERLINK("CSG9.html#group24O9", "24O⁹"), =HYPERLINK("CSG9.html#group24Z9", "24Z⁹")</f>
        <v/>
      </c>
      <c r="L4664" t="inlineStr"/>
      <c r="M4664">
        <f>HYPERLINK("CSG2.html#group24O2", "24O²"), =HYPERLINK("CSG1.html#group24E1", "24E¹"), =HYPERLINK("CSG0.html#group12C0", "12C⁰"), =HYPERLINK("CSG4.html#group24P4", "24P⁴"), =HYPERLINK("CSG3.html#group12F3", "12F³"), =HYPERLINK("CSG1.html#group6C1", "6C¹"), =HYPERLINK("CSG2.html#group12B2", "12B²"), =HYPERLINK("CSG2.html#group12E2", "12E²"), =HYPERLINK("CSG7.html#group24J7", "24J⁷"), =HYPERLINK("CSG0.html#group2B0", "2B⁰"), =HYPERLINK("CSG1.html#group12M1", "12M¹"), =HYPERLINK("CSG0.html#group4B0", "4B⁰"), =HYPERLINK("CSG3.html#group12G3", "12G³"), =HYPERLINK("CSG0.html#group1A0", "1A⁰"), =HYPERLINK("CSG3.html#group24O3", "24O³"), =HYPERLINK("CSG9.html#group24O9", "24O⁹"), =HYPERLINK("CSG5.html#group24F5", "24F⁵"), =HYPERLINK("CSG2.html#group24B2", "24B²"), =HYPERLINK("CSG3.html#group24S3", "24S³"), =HYPERLINK("CSG0.html#group3C0", "3C⁰"), =HYPERLINK("CSG1.html#group12B1", "12B¹"), =HYPERLINK("CSG0.html#group6H0", "6H⁰"), =HYPERLINK("CSG7.html#group24AD7", "24AD⁷"), =HYPERLINK("CSG1.html#group6E1", "6E¹"), =HYPERLINK("CSG1.html#group12H1", "12H¹"), =HYPERLINK("CSG0.html#group8D0", "8D⁰"), =HYPERLINK("CSG4.html#group24J4", "24J⁴"), =HYPERLINK("CSG1.html#group12L1", "12L¹"), =HYPERLINK("CSG4.html#group24D4", "24D⁴"), =HYPERLINK("CSG0.html#group12G0", "12G⁰"), =HYPERLINK("CSG1.html#group12C1", "12C¹"), =HYPERLINK("CSG0.html#group6A0", "6A⁰"), =HYPERLINK("CSG3.html#group12I3", "12I³"), =HYPERLINK("CSG5.html#group24C5", "24C⁵"), =HYPERLINK("CSG9.html#group24I9", "24I⁹"), =HYPERLINK("CSG9.html#group24Z9", "24Z⁹"), =HYPERLINK("CSG1.html#group24C1", "24C¹"), =HYPERLINK("CSG3.html#group24L3", "24L³"), =HYPERLINK("CSG0.html#group2C0", "2C⁰"), =HYPERLINK("CSG0.html#group6D0", "6D⁰"), =HYPERLINK("CSG3.html#group24Q3", "24Q³"), =HYPERLINK("CSG0.html#group2A0", "2A⁰"), =HYPERLINK("CSG1.html#group12K1", "12K¹"), =HYPERLINK("CSG2.html#group12D2", "12D²"), =HYPERLINK("CSG0.html#group4C0", "4C⁰"), =HYPERLINK("CSG0.html#group6G0", "6G⁰"), =HYPERLINK("CSG4.html#group12B4", "12B⁴"), =HYPERLINK("CSG0.html#group8C0", "8C⁰"), =HYPERLINK("CSG9.html#group24G9", "24G⁹"), =HYPERLINK("CSG2.html#group24C2", "24C²"), =HYPERLINK("CSG1.html#group12N1", "12N¹"), =HYPERLINK("CSG0.html#group4E0", "4E⁰"), =HYPERLINK("CSG2.html#group12H2", "12H²"), =HYPERLINK("CSG3.html#group24H3", "24H³"), =HYPERLINK("CSG1.html#group6B1", "6B¹"), =HYPERLINK("CSG0.html#group8G0", "8G⁰"), =HYPERLINK("CSG2.html#group24D2", "24D²"), =HYPERLINK("CSG3.html#group24T3", "24T³"), =HYPERLINK("CSG1.html#group6A1", "6A¹"), =HYPERLINK("CSG0.html#group3A0", "3A⁰"), =HYPERLINK("CSG7.html#group24P7", "24P⁷"), =HYPERLINK("CSG0.html#group6B0", "6B⁰"), =HYPERLINK("CSG1.html#group24D1", "24D¹"), =HYPERLINK("CSG7.html#group12D7", "12D⁷"), =HYPERLINK("CSG4.html#group24E4", "24E⁴"), =HYPERLINK("CSG0.html#group12D0", "12D⁰"), =HYPERLINK("CSG4.html#group12C4", "12C⁴"), =HYPERLINK("CSG0.html#group12H0", "12H⁰"), =HYPERLINK("CSG2.html#group12C2", "12C²"), =HYPERLINK("CSG4.html#group24L4", "24L⁴")</f>
        <v/>
      </c>
      <c r="N4664" t="inlineStr"/>
    </row>
    <row r="4665">
      <c r="A4665" t="inlineStr">
        <is>
          <t>24I¹⁷</t>
        </is>
      </c>
      <c r="B4665" t="inlineStr"/>
      <c r="C4665" t="inlineStr">
        <is>
          <t>288</t>
        </is>
      </c>
      <c r="D4665" t="inlineStr">
        <is>
          <t>1</t>
        </is>
      </c>
      <c r="E4665" t="inlineStr">
        <is>
          <t>9</t>
        </is>
      </c>
      <c r="F4665" t="inlineStr">
        <is>
          <t>0</t>
        </is>
      </c>
      <c r="G4665" t="inlineStr">
        <is>
          <t>0</t>
        </is>
      </c>
      <c r="H4665" t="inlineStr">
        <is>
          <t>12⁸, 24⁸</t>
        </is>
      </c>
      <c r="I4665" t="n">
        <v>16</v>
      </c>
      <c r="J4665" t="inlineStr">
        <is>
          <t>1³, 2³</t>
        </is>
      </c>
      <c r="K4665">
        <f>HYPERLINK("CSG5.html#group24V5", "24V⁵"), =HYPERLINK("CSG7.html#group12D7", "12D⁷"), =HYPERLINK("CSG7.html#group24I7", "24I⁷"), =HYPERLINK("CSG7.html#group24O7", "24O⁷"), =HYPERLINK("CSG9.html#group24F9", "24F⁹"), =HYPERLINK("CSG9.html#group24J9", "24J⁹"), =HYPERLINK("CSG9.html#group24M9", "24M⁹"), =HYPERLINK("CSG9.html#group24N9", "24N⁹"), =HYPERLINK("CSG9.html#group24Z9", "24Z⁹")</f>
        <v/>
      </c>
      <c r="L4665" t="inlineStr"/>
      <c r="M4665">
        <f>HYPERLINK("CSG9.html#group24F9", "24F⁹"), =HYPERLINK("CSG1.html#group24E1", "24E¹"), =HYPERLINK("CSG0.html#group12C0", "12C⁰"), =HYPERLINK("CSG4.html#group24P4", "24P⁴"), =HYPERLINK("CSG1.html#group6C1", "6C¹"), =HYPERLINK("CSG5.html#group24A5", "24A⁵"), =HYPERLINK("CSG2.html#group12B2", "12B²"), =HYPERLINK("CSG2.html#group12E2", "12E²"), =HYPERLINK("CSG2.html#group24P2", "24P²"), =HYPERLINK("CSG3.html#group12F3", "12F³"), =HYPERLINK("CSG1.html#group12M1", "12M¹"), =HYPERLINK("CSG0.html#group2B0", "2B⁰"), =HYPERLINK("CSG0.html#group4B0", "4B⁰"), =HYPERLINK("CSG3.html#group12G3", "12G³"), =HYPERLINK("CSG0.html#group1A0", "1A⁰"), =HYPERLINK("CSG5.html#group24F5", "24F⁵"), =HYPERLINK("CSG0.html#group3C0", "3C⁰"), =HYPERLINK("CSG1.html#group12B1", "12B¹"), =HYPERLINK("CSG3.html#group24K3", "24K³"), =HYPERLINK("CSG0.html#group6H0", "6H⁰"), =HYPERLINK("CSG1.html#group24H1", "24H¹"), =HYPERLINK("CSG1.html#group6E1", "6E¹"), =HYPERLINK("CSG1.html#group8A1", "8A¹"), =HYPERLINK("CSG1.html#group12H1", "12H¹"), =HYPERLINK("CSG0.html#group8B0", "8B⁰"), =HYPERLINK("CSG1.html#group12L1", "12L¹"), =HYPERLINK("CSG0.html#group12G0", "12G⁰"), =HYPERLINK("CSG0.html#group6A0", "6A⁰"), =HYPERLINK("CSG1.html#group12C1", "12C¹"), =HYPERLINK("CSG3.html#group12I3", "12I³"), =HYPERLINK("CSG9.html#group24Z9", "24Z⁹"), =HYPERLINK("CSG2.html#group12C2", "12C²"), =HYPERLINK("CSG0.html#group2C0", "2C⁰"), =HYPERLINK("CSG0.html#group6D0", "6D⁰"), =HYPERLINK("CSG4.html#group24I4", "24I⁴"), =HYPERLINK("CSG0.html#group2A0", "2A⁰"), =HYPERLINK("CSG3.html#group24A3", "24A³"), =HYPERLINK("CSG1.html#group12K1", "12K¹"), =HYPERLINK("CSG2.html#group12D2", "12D²"), =HYPERLINK("CSG0.html#group4C0", "4C⁰"), =HYPERLINK("CSG3.html#group24I3", "24I³"), =HYPERLINK("CSG0.html#group6G0", "6G⁰"), =HYPERLINK("CSG4.html#group12B4", "12B⁴"), =HYPERLINK("CSG9.html#group24M9", "24M⁹"), =HYPERLINK("CSG0.html#group4E0", "4E⁰"), =HYPERLINK("CSG1.html#group12N1", "12N¹"), =HYPERLINK("CSG2.html#group24C2", "24C²"), =HYPERLINK("CSG5.html#group24E5", "24E⁵"), =HYPERLINK("CSG2.html#group12H2", "12H²"), =HYPERLINK("CSG5.html#group24V5", "24V⁵"), =HYPERLINK("CSG0.html#group24A0", "24A⁰"), =HYPERLINK("CSG1.html#group6B1", "6B¹"), =HYPERLINK("CSG3.html#group24N3", "24N³"), =HYPERLINK("CSG2.html#group24D2", "24D²"), =HYPERLINK("CSG7.html#group24I7", "24I⁷"), =HYPERLINK("CSG3.html#group24T3", "24T³"), =HYPERLINK("CSG9.html#group24J9", "24J⁹"), =HYPERLINK("CSG1.html#group6A1", "6A¹"), =HYPERLINK("CSG0.html#group3A0", "3A⁰"), =HYPERLINK("CSG5.html#group24G5", "24G⁵"), =HYPERLINK("CSG0.html#group6B0", "6B⁰"), =HYPERLINK("CSG7.html#group24O7", "24O⁷"), =HYPERLINK("CSG2.html#group24N2", "24N²"), =HYPERLINK("CSG1.html#group24D1", "24D¹"), =HYPERLINK("CSG1.html#group8B1", "8B¹"), =HYPERLINK("CSG5.html#group24D5", "24D⁵"), =HYPERLINK("CSG7.html#group12D7", "12D⁷"), =HYPERLINK("CSG4.html#group24E4", "24E⁴"), =HYPERLINK("CSG0.html#group12D0", "12D⁰"), =HYPERLINK("CSG4.html#group12C4", "12C⁴"), =HYPERLINK("CSG0.html#group12H0", "12H⁰"), =HYPERLINK("CSG9.html#group24N9", "24N⁹")</f>
        <v/>
      </c>
      <c r="N4665" t="inlineStr"/>
    </row>
    <row r="4666">
      <c r="A4666" t="inlineStr">
        <is>
          <t>24J¹⁷</t>
        </is>
      </c>
      <c r="B4666" t="inlineStr"/>
      <c r="C4666" t="inlineStr">
        <is>
          <t>288</t>
        </is>
      </c>
      <c r="D4666" t="inlineStr">
        <is>
          <t>1</t>
        </is>
      </c>
      <c r="E4666" t="inlineStr">
        <is>
          <t>9</t>
        </is>
      </c>
      <c r="F4666" t="inlineStr">
        <is>
          <t>0</t>
        </is>
      </c>
      <c r="G4666" t="inlineStr">
        <is>
          <t>0</t>
        </is>
      </c>
      <c r="H4666" t="inlineStr">
        <is>
          <t>12⁸, 24⁸</t>
        </is>
      </c>
      <c r="I4666" t="n">
        <v>16</v>
      </c>
      <c r="J4666" t="inlineStr">
        <is>
          <t>1³, 2³</t>
        </is>
      </c>
      <c r="K4666">
        <f>HYPERLINK("CSG5.html#group24W5", "24W⁵"), =HYPERLINK("CSG7.html#group12B7", "12B⁷"), =HYPERLINK("CSG7.html#group24J7", "24J⁷"), =HYPERLINK("CSG7.html#group24R7", "24R⁷"), =HYPERLINK("CSG9.html#group24C9", "24C⁹"), =HYPERLINK("CSG9.html#group24F9", "24F⁹"), =HYPERLINK("CSG9.html#group24H9", "24H⁹"), =HYPERLINK("CSG9.html#group24I9", "24I⁹"), =HYPERLINK("CSG9.html#group24J9", "24J⁹"), =HYPERLINK("CSG9.html#group24Q9", "24Q⁹"), =HYPERLINK("CSG9.html#group24R9", "24R⁹")</f>
        <v/>
      </c>
      <c r="L4666" t="inlineStr"/>
      <c r="M4666">
        <f>HYPERLINK("CSG9.html#group24F9", "24F⁹"), =HYPERLINK("CSG2.html#group24O2", "24O²"), =HYPERLINK("CSG1.html#group24E1", "24E¹"), =HYPERLINK("CSG0.html#group12C0", "12C⁰"), =HYPERLINK("CSG1.html#group6C1", "6C¹"), =HYPERLINK("CSG5.html#group24A5", "24A⁵"), =HYPERLINK("CSG2.html#group12B2", "12B²"), =HYPERLINK("CSG2.html#group12E2", "12E²"), =HYPERLINK("CSG2.html#group24P2", "24P²"), =HYPERLINK("CSG7.html#group24J7", "24J⁷"), =HYPERLINK("CSG1.html#group12M1", "12M¹"), =HYPERLINK("CSG0.html#group2B0", "2B⁰"), =HYPERLINK("CSG0.html#group4B0", "4B⁰"), =HYPERLINK("CSG3.html#group12G3", "12G³"), =HYPERLINK("CSG0.html#group1A0", "1A⁰"), =HYPERLINK("CSG5.html#group24W5", "24W⁵"), =HYPERLINK("CSG3.html#group24O3", "24O³"), =HYPERLINK("CSG5.html#group24F5", "24F⁵"), =HYPERLINK("CSG4.html#group12A4", "12A⁴"), =HYPERLINK("CSG2.html#group24B2", "24B²"), =HYPERLINK("CSG7.html#group24R7", "24R⁷"), =HYPERLINK("CSG0.html#group4D0", "4D⁰"), =HYPERLINK("CSG0.html#group3C0", "3C⁰"), =HYPERLINK("CSG1.html#group12B1", "12B¹"), =HYPERLINK("CSG0.html#group6H0", "6H⁰"), =HYPERLINK("CSG1.html#group24H1", "24H¹"), =HYPERLINK("CSG1.html#group12G1", "12G¹"), =HYPERLINK("CSG1.html#group6E1", "6E¹"), =HYPERLINK("CSG1.html#group8A1", "8A¹"), =HYPERLINK("CSG0.html#group8D0", "8D⁰"), =HYPERLINK("CSG4.html#group24J4", "24J⁴"), =HYPERLINK("CSG0.html#group8B0", "8B⁰"), =HYPERLINK("CSG0.html#group12F0", "12F⁰"), =HYPERLINK("CSG3.html#group12C3", "12C³"), =HYPERLINK("CSG1.html#group12L1", "12L¹"), =HYPERLINK("CSG3.html#group12J3", "12J³"), =HYPERLINK("CSG9.html#group24R9", "24R⁹"), =HYPERLINK("CSG4.html#group24D4", "24D⁴"), =HYPERLINK("CSG1.html#group8C1", "8C¹"), =HYPERLINK("CSG0.html#group6A0", "6A⁰"), =HYPERLINK("CSG1.html#group12C1", "12C¹"), =HYPERLINK("CSG9.html#group24I9", "24I⁹"), =HYPERLINK("CSG4.html#group24K4", "24K⁴"), =HYPERLINK("CSG1.html#group24C1", "24C¹"), =HYPERLINK("CSG1.html#group12J1", "12J¹"), =HYPERLINK("CSG0.html#group4F0", "4F⁰"), =HYPERLINK("CSG9.html#group24C9", "24C⁹"), =HYPERLINK("CSG3.html#group24L3", "24L³"), =HYPERLINK("CSG0.html#group2C0", "2C⁰"), =HYPERLINK("CSG0.html#group6D0", "6D⁰"), =HYPERLINK("CSG0.html#group2A0", "2A⁰"), =HYPERLINK("CSG3.html#group24A3", "24A³"), =HYPERLINK("CSG2.html#group12I2", "12I²"), =HYPERLINK("CSG3.html#group24Q3", "24Q³"), =HYPERLINK("CSG1.html#group12K1", "12K¹"), =HYPERLINK("CSG2.html#group12D2", "12D²"), =HYPERLINK("CSG0.html#group4C0", "4C⁰"), =HYPERLINK("CSG3.html#group24I3", "24I³"), =HYPERLINK("CSG0.html#group6G0", "6G⁰"), =HYPERLINK("CSG0.html#group4G0", "4G⁰"), =HYPERLINK("CSG0.html#group8C0", "8C⁰"), =HYPERLINK("CSG0.html#group4E0", "4E⁰"), =HYPERLINK("CSG2.html#group24C2", "24C²"), =HYPERLINK("CSG3.html#group24P3", "24P³"), =HYPERLINK("CSG5.html#group24E5", "24E⁵"), =HYPERLINK("CSG1.html#group8F1", "8F¹"), =HYPERLINK("CSG9.html#group24Q9", "24Q⁹"), =HYPERLINK("CSG0.html#group24A0", "24A⁰"), =HYPERLINK("CSG0.html#group8G0", "8G⁰"), =HYPERLINK("CSG1.html#group6B1", "6B¹"), =HYPERLINK("CSG7.html#group12B7", "12B⁷"), =HYPERLINK("CSG2.html#group24D2", "24D²"), =HYPERLINK("CSG2.html#group12A2", "12A²"), =HYPERLINK("CSG9.html#group24J9", "24J⁹"), =HYPERLINK("CSG1.html#group6A1", "6A¹"), =HYPERLINK("CSG0.html#group3A0", "3A⁰"), =HYPERLINK("CSG5.html#group24G5", "24G⁵"), =HYPERLINK("CSG9.html#group24H9", "24H⁹"), =HYPERLINK("CSG0.html#group6B0", "6B⁰"), =HYPERLINK("CSG1.html#group12E1", "12E¹"), =HYPERLINK("CSG1.html#group24D1", "24D¹"), =HYPERLINK("CSG1.html#group8B1", "8B¹"), =HYPERLINK("CSG2.html#group24L2", "24L²"), =HYPERLINK("CSG0.html#group8H0", "8H⁰"), =HYPERLINK("CSG5.html#group24D5", "24D⁵"), =HYPERLINK("CSG0.html#group12A0", "12A⁰"), =HYPERLINK("CSG0.html#group4A0", "4A⁰"), =HYPERLINK("CSG4.html#group24E4", "24E⁴"), =HYPERLINK("CSG0.html#group12D0", "12D⁰"), =HYPERLINK("CSG4.html#group12C4", "12C⁴"), =HYPERLINK("CSG0.html#group12H0", "12H⁰"), =HYPERLINK("CSG4.html#group24L4", "24L⁴"), =HYPERLINK("CSG5.html#group24B5", "24B⁵")</f>
        <v/>
      </c>
      <c r="N4666" t="inlineStr"/>
    </row>
    <row r="4667">
      <c r="A4667" t="inlineStr">
        <is>
          <t>24K¹⁷</t>
        </is>
      </c>
      <c r="B4667" t="inlineStr"/>
      <c r="C4667" t="inlineStr">
        <is>
          <t>288</t>
        </is>
      </c>
      <c r="D4667" t="inlineStr">
        <is>
          <t>1</t>
        </is>
      </c>
      <c r="E4667" t="inlineStr">
        <is>
          <t>12</t>
        </is>
      </c>
      <c r="F4667" t="inlineStr">
        <is>
          <t>0</t>
        </is>
      </c>
      <c r="G4667" t="inlineStr">
        <is>
          <t>0</t>
        </is>
      </c>
      <c r="H4667" t="inlineStr">
        <is>
          <t>12⁸, 24⁸</t>
        </is>
      </c>
      <c r="I4667" t="n">
        <v>16</v>
      </c>
      <c r="J4667" t="inlineStr">
        <is>
          <t>1⁴, 2², 4¹</t>
        </is>
      </c>
      <c r="K4667">
        <f>HYPERLINK("CSG5.html#group24M5", "24M⁵"), =HYPERLINK("CSG9.html#group24B9", "24B⁹")</f>
        <v/>
      </c>
      <c r="L4667" t="inlineStr"/>
      <c r="M4667">
        <f>HYPERLINK("CSG3.html#group24A3", "24A³"), =HYPERLINK("CSG0.html#group12C0", "12C⁰"), =HYPERLINK("CSG0.html#group4C0", "4C⁰"), =HYPERLINK("CSG2.html#group12C2", "12C²"), =HYPERLINK("CSG0.html#group6G0", "6G⁰"), =HYPERLINK("CSG0.html#group2B0", "2B⁰"), =HYPERLINK("CSG5.html#group24E5", "24E⁵"), =HYPERLINK("CSG0.html#group1A0", "1A⁰"), =HYPERLINK("CSG3.html#group24H3", "24H³"), =HYPERLINK("CSG0.html#group3C0", "3C⁰"), =HYPERLINK("CSG0.html#group6K0", "6K⁰"), =HYPERLINK("CSG0.html#group3A0", "3A⁰"), =HYPERLINK("CSG0.html#group6F0", "6F⁰"), =HYPERLINK("CSG0.html#group3B0", "3B⁰"), =HYPERLINK("CSG1.html#group8A1", "8A¹"), =HYPERLINK("CSG1.html#group12F1", "12F¹"), =HYPERLINK("CSG1.html#group24D1", "24D¹"), =HYPERLINK("CSG9.html#group24B9", "24B⁹"), =HYPERLINK("CSG1.html#group12L1", "12L¹"), =HYPERLINK("CSG3.html#group24C3", "24C³"), =HYPERLINK("CSG3.html#group12D3", "12D³"), =HYPERLINK("CSG5.html#group24M5", "24M⁵"), =HYPERLINK("CSG1.html#group12C1", "12C¹"), =HYPERLINK("CSG0.html#group3D0", "3D⁰"), =HYPERLINK("CSG0.html#group6D0", "6D⁰")</f>
        <v/>
      </c>
      <c r="N4667" t="inlineStr"/>
    </row>
    <row r="4668">
      <c r="A4668" t="inlineStr">
        <is>
          <t>24L¹⁷</t>
        </is>
      </c>
      <c r="B4668" t="inlineStr"/>
      <c r="C4668" t="inlineStr">
        <is>
          <t>288</t>
        </is>
      </c>
      <c r="D4668" t="inlineStr">
        <is>
          <t>1</t>
        </is>
      </c>
      <c r="E4668" t="inlineStr">
        <is>
          <t>12</t>
        </is>
      </c>
      <c r="F4668" t="inlineStr">
        <is>
          <t>0</t>
        </is>
      </c>
      <c r="G4668" t="inlineStr">
        <is>
          <t>0</t>
        </is>
      </c>
      <c r="H4668" t="inlineStr">
        <is>
          <t>12⁸, 24⁸</t>
        </is>
      </c>
      <c r="I4668" t="n">
        <v>16</v>
      </c>
      <c r="J4668" t="inlineStr">
        <is>
          <t>1⁴, 2², 4¹</t>
        </is>
      </c>
      <c r="K4668">
        <f>HYPERLINK("CSG5.html#group24N5", "24N⁵"), =HYPERLINK("CSG7.html#group24Z7", "24Z⁷"), =HYPERLINK("CSG7.html#group24AA7", "24AA⁷"), =HYPERLINK("CSG9.html#group24A9", "24A⁹")</f>
        <v/>
      </c>
      <c r="L4668" t="inlineStr"/>
      <c r="M4668">
        <f>HYPERLINK("CSG0.html#group12C0", "12C⁰"), =HYPERLINK("CSG7.html#group24AA7", "24AA⁷"), =HYPERLINK("CSG5.html#group24N5", "24N⁵"), =HYPERLINK("CSG0.html#group4C0", "4C⁰"), =HYPERLINK("CSG2.html#group12C2", "12C²"), =HYPERLINK("CSG3.html#group24I3", "24I³"), =HYPERLINK("CSG0.html#group6G0", "6G⁰"), =HYPERLINK("CSG2.html#group24Q2", "24Q²"), =HYPERLINK("CSG0.html#group8L0", "8L⁰"), =HYPERLINK("CSG0.html#group2B0", "2B⁰"), =HYPERLINK("CSG2.html#group24C2", "24C²"), =HYPERLINK("CSG0.html#group1A0", "1A⁰"), =HYPERLINK("CSG9.html#group24A9", "24A⁹"), =HYPERLINK("CSG0.html#group24A0", "24A⁰"), =HYPERLINK("CSG0.html#group3C0", "3C⁰"), =HYPERLINK("CSG0.html#group6K0", "6K⁰"), =HYPERLINK("CSG0.html#group3A0", "3A⁰"), =HYPERLINK("CSG0.html#group6F0", "6F⁰"), =HYPERLINK("CSG0.html#group3B0", "3B⁰"), =HYPERLINK("CSG3.html#group24B3", "24B³"), =HYPERLINK("CSG1.html#group12F1", "12F¹"), =HYPERLINK("CSG7.html#group24Z7", "24Z⁷"), =HYPERLINK("CSG0.html#group8B0", "8B⁰"), =HYPERLINK("CSG1.html#group12L1", "12L¹"), =HYPERLINK("CSG3.html#group12D3", "12D³"), =HYPERLINK("CSG1.html#group12C1", "12C¹"), =HYPERLINK("CSG5.html#group24C5", "24C⁵"), =HYPERLINK("CSG2.html#group24M2", "24M²"), =HYPERLINK("CSG0.html#group3D0", "3D⁰"), =HYPERLINK("CSG0.html#group6D0", "6D⁰")</f>
        <v/>
      </c>
      <c r="N4668" t="inlineStr"/>
    </row>
    <row r="4669">
      <c r="A4669" t="inlineStr">
        <is>
          <t>24M¹⁷</t>
        </is>
      </c>
      <c r="B4669" t="inlineStr"/>
      <c r="C4669" t="inlineStr">
        <is>
          <t>288</t>
        </is>
      </c>
      <c r="D4669" t="inlineStr">
        <is>
          <t>1</t>
        </is>
      </c>
      <c r="E4669" t="inlineStr">
        <is>
          <t>18</t>
        </is>
      </c>
      <c r="F4669" t="inlineStr">
        <is>
          <t>0</t>
        </is>
      </c>
      <c r="G4669" t="inlineStr">
        <is>
          <t>0</t>
        </is>
      </c>
      <c r="H4669" t="inlineStr">
        <is>
          <t>12⁸, 24⁸</t>
        </is>
      </c>
      <c r="I4669" t="n">
        <v>16</v>
      </c>
      <c r="J4669" t="inlineStr">
        <is>
          <t>2³, 4³</t>
        </is>
      </c>
      <c r="K4669">
        <f>HYPERLINK("CSG5.html#group12C5", "12C⁵"), =HYPERLINK("CSG5.html#group24T5", "24T⁵"), =HYPERLINK("CSG9.html#group24E9", "24E⁹")</f>
        <v/>
      </c>
      <c r="L4669" t="inlineStr"/>
      <c r="M4669">
        <f>HYPERLINK("CSG1.html#group12T1", "12T¹"), =HYPERLINK("CSG3.html#group24A3", "24A³"), =HYPERLINK("CSG1.html#group12D1", "12D¹"), =HYPERLINK("CSG0.html#group12C0", "12C⁰"), =HYPERLINK("CSG0.html#group4C0", "4C⁰"), =HYPERLINK("CSG0.html#group6G0", "6G⁰"), =HYPERLINK("CSG3.html#group24M3", "24M³"), =HYPERLINK("CSG0.html#group2B0", "2B⁰"), =HYPERLINK("CSG2.html#group24C2", "24C²"), =HYPERLINK("CSG1.html#group12N1", "12N¹"), =HYPERLINK("CSG5.html#group24E5", "24E⁵"), =HYPERLINK("CSG0.html#group1A0", "1A⁰"), =HYPERLINK("CSG5.html#group12C5", "12C⁵"), =HYPERLINK("CSG3.html#group24S3", "24S³"), =HYPERLINK("CSG0.html#group3C0", "3C⁰"), =HYPERLINK("CSG9.html#group24E9", "24E⁹"), =HYPERLINK("CSG0.html#group6H0", "6H⁰"), =HYPERLINK("CSG0.html#group3A0", "3A⁰"), =HYPERLINK("CSG3.html#group12H3", "12H³"), =HYPERLINK("CSG1.html#group12U1", "12U¹"), =HYPERLINK("CSG0.html#group6B0", "6B⁰"), =HYPERLINK("CSG1.html#group24I1", "24I¹"), =HYPERLINK("CSG1.html#group8A1", "8A¹"), =HYPERLINK("CSG1.html#group24D1", "24D¹"), =HYPERLINK("CSG1.html#group12L1", "12L¹"), =HYPERLINK("CSG5.html#group24D5", "24D⁵"), =HYPERLINK("CSG0.html#group12G0", "12G⁰"), =HYPERLINK("CSG1.html#group12C1", "12C¹"), =HYPERLINK("CSG0.html#group6E0", "6E⁰"), =HYPERLINK("CSG0.html#group6L0", "6L⁰"), =HYPERLINK("CSG5.html#group24T5", "24T⁵"), =HYPERLINK("CSG5.html#group24C5", "24C⁵"), =HYPERLINK("CSG0.html#group12D0", "12D⁰"), =HYPERLINK("CSG0.html#group12H0", "12H⁰"), =HYPERLINK("CSG0.html#group6D0", "6D⁰")</f>
        <v/>
      </c>
      <c r="N4669" t="inlineStr"/>
    </row>
    <row r="4670">
      <c r="A4670" t="inlineStr">
        <is>
          <t>24N¹⁷</t>
        </is>
      </c>
      <c r="B4670" t="inlineStr"/>
      <c r="C4670" t="inlineStr">
        <is>
          <t>288</t>
        </is>
      </c>
      <c r="D4670" t="inlineStr">
        <is>
          <t>1</t>
        </is>
      </c>
      <c r="E4670" t="inlineStr">
        <is>
          <t>18</t>
        </is>
      </c>
      <c r="F4670" t="inlineStr">
        <is>
          <t>0</t>
        </is>
      </c>
      <c r="G4670" t="inlineStr">
        <is>
          <t>0</t>
        </is>
      </c>
      <c r="H4670" t="inlineStr">
        <is>
          <t>12⁸, 24⁸</t>
        </is>
      </c>
      <c r="I4670" t="n">
        <v>16</v>
      </c>
      <c r="J4670" t="inlineStr">
        <is>
          <t>1², 2⁴, 4²</t>
        </is>
      </c>
      <c r="K4670">
        <f>HYPERLINK("CSG5.html#group12D5", "12D⁵"), =HYPERLINK("CSG5.html#group24U5", "24U⁵"), =HYPERLINK("CSG7.html#group24AE7", "24AE⁷"), =HYPERLINK("CSG7.html#group24AD7", "24AD⁷"), =HYPERLINK("CSG9.html#group24E9", "24E⁹"), =HYPERLINK("CSG9.html#group24M9", "24M⁹"), =HYPERLINK("CSG9.html#group24P9", "24P⁹"), =HYPERLINK("CSG9.html#group24O9", "24O⁹"), =HYPERLINK("CSG9.html#group24N9", "24N⁹"), =HYPERLINK("CSG9.html#group24Q9", "24Q⁹"), =HYPERLINK("CSG9.html#group24R9", "24R⁹")</f>
        <v/>
      </c>
      <c r="L4670" t="inlineStr"/>
      <c r="M4670">
        <f>HYPERLINK("CSG1.html#group12T1", "12T¹"), =HYPERLINK("CSG2.html#group24O2", "24O²"), =HYPERLINK("CSG3.html#group24Q3", "24Q³"), =HYPERLINK("CSG1.html#group24E1", "24E¹"), =HYPERLINK("CSG2.html#group12I2", "12I²"), =HYPERLINK("CSG3.html#group24A3", "24A³"), =HYPERLINK("CSG0.html#group12C0", "12C⁰"), =HYPERLINK("CSG4.html#group24P4", "24P⁴"), =HYPERLINK("CSG0.html#group4C0", "4C⁰"), =HYPERLINK("CSG0.html#group6G0", "6G⁰"), =HYPERLINK("CSG0.html#group2B0", "2B⁰"), =HYPERLINK("CSG9.html#group24M9", "24M⁹"), =HYPERLINK("CSG1.html#group12M1", "12M¹"), =HYPERLINK("CSG2.html#group24C2", "24C²"), =HYPERLINK("CSG3.html#group24P3", "24P³"), =HYPERLINK("CSG1.html#group12N1", "12N¹"), =HYPERLINK("CSG0.html#group1A0", "1A⁰"), =HYPERLINK("CSG3.html#group24O3", "24O³"), =HYPERLINK("CSG5.html#group24E5", "24E⁵"), =HYPERLINK("CSG9.html#group24O9", "24O⁹"), =HYPERLINK("CSG9.html#group24Q9", "24Q⁹"), =HYPERLINK("CSG2.html#group12H2", "12H²"), =HYPERLINK("CSG7.html#group24AE7", "24AE⁷"), =HYPERLINK("CSG3.html#group24S3", "24S³"), =HYPERLINK("CSG3.html#group24N3", "24N³"), =HYPERLINK("CSG0.html#group6D0", "6D⁰"), =HYPERLINK("CSG5.html#group24U5", "24U⁵"), =HYPERLINK("CSG3.html#group24T3", "24T³"), =HYPERLINK("CSG0.html#group3C0", "3C⁰"), =HYPERLINK("CSG1.html#group12Q1", "12Q¹"), =HYPERLINK("CSG0.html#group6H0", "6H⁰"), =HYPERLINK("CSG0.html#group3A0", "3A⁰"), =HYPERLINK("CSG9.html#group24P9", "24P⁹"), =HYPERLINK("CSG7.html#group24AD7", "24AD⁷"), =HYPERLINK("CSG5.html#group24G5", "24G⁵"), =HYPERLINK("CSG1.html#group12G1", "12G¹"), =HYPERLINK("CSG0.html#group6B0", "6B⁰"), =HYPERLINK("CSG1.html#group8A1", "8A¹"), =HYPERLINK("CSG2.html#group24N2", "24N²"), =HYPERLINK("CSG0.html#group8D0", "8D⁰"), =HYPERLINK("CSG1.html#group24D1", "24D¹"), =HYPERLINK("CSG0.html#group12F0", "12F⁰"), =HYPERLINK("CSG5.html#group12D5", "12D⁵"), =HYPERLINK("CSG1.html#group12L1", "12L¹"), =HYPERLINK("CSG3.html#group12J3", "12J³"), =HYPERLINK("CSG9.html#group24R9", "24R⁹"), =HYPERLINK("CSG5.html#group24D5", "24D⁵"), =HYPERLINK("CSG0.html#group12G0", "12G⁰"), =HYPERLINK("CSG0.html#group12A0", "12A⁰"), =HYPERLINK("CSG1.html#group8C1", "8C¹"), =HYPERLINK("CSG1.html#group12C1", "12C¹"), =HYPERLINK("CSG0.html#group6E0", "6E⁰"), =HYPERLINK("CSG0.html#group6L0", "6L⁰"), =HYPERLINK("CSG0.html#group4A0", "4A⁰"), =HYPERLINK("CSG3.html#group12I3", "12I³"), =HYPERLINK("CSG5.html#group24C5", "24C⁵"), =HYPERLINK("CSG4.html#group24K4", "24K⁴"), =HYPERLINK("CSG1.html#group24C1", "24C¹"), =HYPERLINK("CSG1.html#group12J1", "12J¹"), =HYPERLINK("CSG0.html#group12D0", "12D⁰"), =HYPERLINK("CSG0.html#group4F0", "4F⁰"), =HYPERLINK("CSG0.html#group12H0", "12H⁰"), =HYPERLINK("CSG9.html#group24N9", "24N⁹"), =HYPERLINK("CSG4.html#group24L4", "24L⁴"), =HYPERLINK("CSG9.html#group24E9", "24E⁹"), =HYPERLINK("CSG5.html#group24B5", "24B⁵")</f>
        <v/>
      </c>
      <c r="N4670" t="inlineStr"/>
    </row>
    <row r="4671">
      <c r="A4671" t="inlineStr">
        <is>
          <t>24O¹⁷</t>
        </is>
      </c>
      <c r="B4671" t="inlineStr"/>
      <c r="C4671" t="inlineStr">
        <is>
          <t>288</t>
        </is>
      </c>
      <c r="D4671" t="inlineStr">
        <is>
          <t>1</t>
        </is>
      </c>
      <c r="E4671" t="inlineStr">
        <is>
          <t>18</t>
        </is>
      </c>
      <c r="F4671" t="inlineStr">
        <is>
          <t>0</t>
        </is>
      </c>
      <c r="G4671" t="inlineStr">
        <is>
          <t>0</t>
        </is>
      </c>
      <c r="H4671" t="inlineStr">
        <is>
          <t>12⁸, 24⁸</t>
        </is>
      </c>
      <c r="I4671" t="n">
        <v>16</v>
      </c>
      <c r="J4671" t="inlineStr">
        <is>
          <t>2⁷, 4¹</t>
        </is>
      </c>
      <c r="K4671">
        <f>HYPERLINK("CSG3.html#group12P3", "12P³"), =HYPERLINK("CSG7.html#group24S7", "24S⁷"), =HYPERLINK("CSG9.html#group24E9", "24E⁹")</f>
        <v/>
      </c>
      <c r="L4671" t="inlineStr"/>
      <c r="M4671">
        <f>HYPERLINK("CSG1.html#group12T1", "12T¹"), =HYPERLINK("CSG4.html#group24Q4", "24Q⁴"), =HYPERLINK("CSG3.html#group24A3", "24A³"), =HYPERLINK("CSG0.html#group6B0", "6B⁰"), =HYPERLINK("CSG0.html#group12C0", "12C⁰"), =HYPERLINK("CSG1.html#group8A1", "8A¹"), =HYPERLINK("CSG0.html#group4C0", "4C⁰"), =HYPERLINK("CSG1.html#group24D1", "24D¹"), =HYPERLINK("CSG0.html#group6G0", "6G⁰"), =HYPERLINK("CSG0.html#group2B0", "2B⁰"), =HYPERLINK("CSG2.html#group24C2", "24C²"), =HYPERLINK("CSG1.html#group12N1", "12N¹"), =HYPERLINK("CSG0.html#group12H0", "12H⁰"), =HYPERLINK("CSG5.html#group24E5", "24E⁵"), =HYPERLINK("CSG0.html#group1A0", "1A⁰"), =HYPERLINK("CSG1.html#group12L1", "12L¹"), =HYPERLINK("CSG5.html#group24D5", "24D⁵"), =HYPERLINK("CSG0.html#group12G0", "12G⁰"), =HYPERLINK("CSG1.html#group12C1", "12C¹"), =HYPERLINK("CSG0.html#group6E0", "6E⁰"), =HYPERLINK("CSG0.html#group6L0", "6L⁰"), =HYPERLINK("CSG5.html#group24C5", "24C⁵"), =HYPERLINK("CSG3.html#group12P3", "12P³"), =HYPERLINK("CSG0.html#group6D0", "6D⁰"), =HYPERLINK("CSG3.html#group24S3", "24S³"), =HYPERLINK("CSG0.html#group3C0", "3C⁰"), =HYPERLINK("CSG0.html#group12D0", "12D⁰"), =HYPERLINK("CSG0.html#group6H0", "6H⁰"), =HYPERLINK("CSG0.html#group3A0", "3A⁰"), =HYPERLINK("CSG9.html#group24E9", "24E⁹"), =HYPERLINK("CSG7.html#group24S7", "24S⁷")</f>
        <v/>
      </c>
      <c r="N4671" t="inlineStr"/>
    </row>
    <row r="4672">
      <c r="A4672" t="inlineStr">
        <is>
          <t>24P¹⁷</t>
        </is>
      </c>
      <c r="B4672" t="inlineStr"/>
      <c r="C4672" t="inlineStr">
        <is>
          <t>288</t>
        </is>
      </c>
      <c r="D4672" t="inlineStr">
        <is>
          <t>1</t>
        </is>
      </c>
      <c r="E4672" t="inlineStr">
        <is>
          <t>18</t>
        </is>
      </c>
      <c r="F4672" t="inlineStr">
        <is>
          <t>0</t>
        </is>
      </c>
      <c r="G4672" t="inlineStr">
        <is>
          <t>0</t>
        </is>
      </c>
      <c r="H4672" t="inlineStr">
        <is>
          <t>12⁸, 24⁸</t>
        </is>
      </c>
      <c r="I4672" t="n">
        <v>16</v>
      </c>
      <c r="J4672" t="inlineStr">
        <is>
          <t>2⁷, 4¹</t>
        </is>
      </c>
      <c r="K4672">
        <f>HYPERLINK("CSG8.html#group24D8", "24D⁸"), =HYPERLINK("CSG8.html#group24I8", "24I⁸"), =HYPERLINK("CSG9.html#group24I9", "24I⁹"), =HYPERLINK("CSG9.html#group24T9", "24T⁹")</f>
        <v/>
      </c>
      <c r="L4672" t="inlineStr"/>
      <c r="M4672">
        <f>HYPERLINK("CSG0.html#group2A0", "2A⁰"), =HYPERLINK("CSG3.html#group24Q3", "24Q³"), =HYPERLINK("CSG0.html#group12C0", "12C⁰"), =HYPERLINK("CSG1.html#group6C1", "6C¹"), =HYPERLINK("CSG0.html#group4C0", "4C⁰"), =HYPERLINK("CSG2.html#group12B2", "12B²"), =HYPERLINK("CSG2.html#group12E2", "12E²"), =HYPERLINK("CSG4.html#group24L4", "24L⁴"), =HYPERLINK("CSG0.html#group2B0", "2B⁰"), =HYPERLINK("CSG0.html#group4E0", "4E⁰"), =HYPERLINK("CSG2.html#group24C2", "24C²"), =HYPERLINK("CSG1.html#group12M1", "12M¹"), =HYPERLINK("CSG0.html#group4B0", "4B⁰"), =HYPERLINK("CSG0.html#group8C0", "8C⁰"), =HYPERLINK("CSG0.html#group1A0", "1A⁰"), =HYPERLINK("CSG8.html#group24I8", "24I⁸"), =HYPERLINK("CSG5.html#group24F5", "24F⁵"), =HYPERLINK("CSG2.html#group24B2", "24B²"), =HYPERLINK("CSG0.html#group8G0", "8G⁰"), =HYPERLINK("CSG4.html#group24N4", "24N⁴"), =HYPERLINK("CSG4.html#group24M4", "24M⁴"), =HYPERLINK("CSG1.html#group12B1", "12B¹"), =HYPERLINK("CSG1.html#group6A1", "6A¹"), =HYPERLINK("CSG0.html#group3A0", "3A⁰"), =HYPERLINK("CSG8.html#group24D8", "24D⁸"), =HYPERLINK("CSG0.html#group8D0", "8D⁰"), =HYPERLINK("CSG1.html#group24D1", "24D¹"), =HYPERLINK("CSG4.html#group24D4", "24D⁴"), =HYPERLINK("CSG0.html#group6A0", "6A⁰"), =HYPERLINK("CSG1.html#group12C1", "12C¹"), =HYPERLINK("CSG9.html#group24I9", "24I⁹"), =HYPERLINK("CSG9.html#group24T9", "24T⁹"), =HYPERLINK("CSG1.html#group24C1", "24C¹"), =HYPERLINK("CSG0.html#group12D0", "12D⁰"), =HYPERLINK("CSG4.html#group12C4", "12C⁴"), =HYPERLINK("CSG0.html#group2C0", "2C⁰"), =HYPERLINK("CSG0.html#group6D0", "6D⁰")</f>
        <v/>
      </c>
      <c r="N4672" t="inlineStr"/>
    </row>
    <row r="4673">
      <c r="A4673" t="inlineStr">
        <is>
          <t>24Q¹⁷</t>
        </is>
      </c>
      <c r="B4673" t="inlineStr"/>
      <c r="C4673" t="inlineStr">
        <is>
          <t>288</t>
        </is>
      </c>
      <c r="D4673" t="inlineStr">
        <is>
          <t>1</t>
        </is>
      </c>
      <c r="E4673" t="inlineStr">
        <is>
          <t>18</t>
        </is>
      </c>
      <c r="F4673" t="inlineStr">
        <is>
          <t>0</t>
        </is>
      </c>
      <c r="G4673" t="inlineStr">
        <is>
          <t>0</t>
        </is>
      </c>
      <c r="H4673" t="inlineStr">
        <is>
          <t>12⁸, 24⁸</t>
        </is>
      </c>
      <c r="I4673" t="n">
        <v>16</v>
      </c>
      <c r="J4673" t="inlineStr">
        <is>
          <t>2⁷, 4¹</t>
        </is>
      </c>
      <c r="K4673">
        <f>HYPERLINK("CSG6.html#group24H6", "24H⁶"), =HYPERLINK("CSG6.html#group24I6", "24I⁶"), =HYPERLINK("CSG8.html#group24G8", "24G⁸"), =HYPERLINK("CSG8.html#group24I8", "24I⁸"), =HYPERLINK("CSG9.html#group24F9", "24F⁹"), =HYPERLINK("CSG9.html#group24S9", "24S⁹")</f>
        <v/>
      </c>
      <c r="L4673" t="inlineStr"/>
      <c r="M4673">
        <f>HYPERLINK("CSG9.html#group24F9", "24F⁹"), =HYPERLINK("CSG0.html#group2A0", "2A⁰"), =HYPERLINK("CSG1.html#group24E1", "24E¹"), =HYPERLINK("CSG3.html#group24A3", "24A³"), =HYPERLINK("CSG0.html#group12C0", "12C⁰"), =HYPERLINK("CSG0.html#group4C0", "4C⁰"), =HYPERLINK("CSG5.html#group24A5", "24A⁵"), =HYPERLINK("CSG1.html#group6C1", "6C¹"), =HYPERLINK("CSG2.html#group12B2", "12B²"), =HYPERLINK("CSG2.html#group24P2", "24P²"), =HYPERLINK("CSG2.html#group12E2", "12E²"), =HYPERLINK("CSG1.html#group12M1", "12M¹"), =HYPERLINK("CSG0.html#group2B0", "2B⁰"), =HYPERLINK("CSG0.html#group4E0", "4E⁰"), =HYPERLINK("CSG2.html#group24Q2", "24Q²"), =HYPERLINK("CSG0.html#group4B0", "4B⁰"), =HYPERLINK("CSG0.html#group1A0", "1A⁰"), =HYPERLINK("CSG8.html#group24I8", "24I⁸"), =HYPERLINK("CSG0.html#group24A0", "24A⁰"), =HYPERLINK("CSG4.html#group24N4", "24N⁴"), =HYPERLINK("CSG6.html#group24H6", "24H⁶"), =HYPERLINK("CSG2.html#group24D2", "24D²"), =HYPERLINK("CSG1.html#group12B1", "12B¹"), =HYPERLINK("CSG1.html#group6A1", "6A¹"), =HYPERLINK("CSG0.html#group3A0", "3A⁰"), =HYPERLINK("CSG5.html#group24G5", "24G⁵"), =HYPERLINK("CSG6.html#group24I6", "24I⁶"), =HYPERLINK("CSG1.html#group8A1", "8A¹"), =HYPERLINK("CSG9.html#group24S9", "24S⁹"), =HYPERLINK("CSG0.html#group8B0", "8B⁰"), =HYPERLINK("CSG1.html#group8B1", "8B¹"), =HYPERLINK("CSG8.html#group24G8", "24G⁸"), =HYPERLINK("CSG0.html#group6A0", "6A⁰"), =HYPERLINK("CSG1.html#group12C1", "12C¹"), =HYPERLINK("CSG4.html#group24E4", "24E⁴"), =HYPERLINK("CSG0.html#group12D0", "12D⁰"), =HYPERLINK("CSG4.html#group12C4", "12C⁴"), =HYPERLINK("CSG0.html#group2C0", "2C⁰"), =HYPERLINK("CSG0.html#group6D0", "6D⁰")</f>
        <v/>
      </c>
      <c r="N4673" t="inlineStr"/>
    </row>
    <row r="4674">
      <c r="A4674" t="inlineStr">
        <is>
          <t>24R¹⁷</t>
        </is>
      </c>
      <c r="B4674" t="inlineStr"/>
      <c r="C4674" t="inlineStr">
        <is>
          <t>288</t>
        </is>
      </c>
      <c r="D4674" t="inlineStr">
        <is>
          <t>1</t>
        </is>
      </c>
      <c r="E4674" t="inlineStr">
        <is>
          <t>18</t>
        </is>
      </c>
      <c r="F4674" t="inlineStr">
        <is>
          <t>0</t>
        </is>
      </c>
      <c r="G4674" t="inlineStr">
        <is>
          <t>0</t>
        </is>
      </c>
      <c r="H4674" t="inlineStr">
        <is>
          <t>12⁸, 24⁸</t>
        </is>
      </c>
      <c r="I4674" t="n">
        <v>16</v>
      </c>
      <c r="J4674" t="inlineStr">
        <is>
          <t>2⁹</t>
        </is>
      </c>
      <c r="K4674">
        <f>HYPERLINK("CSG8.html#group24C8", "24C⁸"), =HYPERLINK("CSG8.html#group24G8", "24G⁸"), =HYPERLINK("CSG9.html#group24H9", "24H⁹"), =HYPERLINK("CSG9.html#group24T9", "24T⁹")</f>
        <v/>
      </c>
      <c r="L4674" t="inlineStr"/>
      <c r="M4674">
        <f>HYPERLINK("CSG0.html#group2A0", "2A⁰"), =HYPERLINK("CSG1.html#group24E1", "24E¹"), =HYPERLINK("CSG0.html#group12C0", "12C⁰"), =HYPERLINK("CSG1.html#group6C1", "6C¹"), =HYPERLINK("CSG0.html#group4C0", "4C⁰"), =HYPERLINK("CSG2.html#group12B2", "12B²"), =HYPERLINK("CSG0.html#group4G0", "4G⁰"), =HYPERLINK("CSG0.html#group2B0", "2B⁰"), =HYPERLINK("CSG0.html#group4E0", "4E⁰"), =HYPERLINK("CSG3.html#group24P3", "24P³"), =HYPERLINK("CSG2.html#group24C2", "24C²"), =HYPERLINK("CSG0.html#group4B0", "4B⁰"), =HYPERLINK("CSG0.html#group1A0", "1A⁰"), =HYPERLINK("CSG5.html#group24F5", "24F⁵"), =HYPERLINK("CSG4.html#group12A4", "12A⁴"), =HYPERLINK("CSG4.html#group24N4", "24N⁴"), =HYPERLINK("CSG0.html#group4D0", "4D⁰"), =HYPERLINK("CSG2.html#group12A2", "12A²"), =HYPERLINK("CSG2.html#group24D2", "24D²"), =HYPERLINK("CSG3.html#group24R3", "24R³"), =HYPERLINK("CSG1.html#group6A1", "6A¹"), =HYPERLINK("CSG1.html#group12B1", "12B¹"), =HYPERLINK("CSG0.html#group3A0", "3A⁰"), =HYPERLINK("CSG9.html#group24H9", "24H⁹"), =HYPERLINK("CSG1.html#group12E1", "12E¹"), =HYPERLINK("CSG1.html#group24D1", "24D¹"), =HYPERLINK("CSG8.html#group24G8", "24G⁸"), =HYPERLINK("CSG0.html#group12A0", "12A⁰"), =HYPERLINK("CSG0.html#group6A0", "6A⁰"), =HYPERLINK("CSG8.html#group24C8", "24C⁸"), =HYPERLINK("CSG0.html#group4A0", "4A⁰"), =HYPERLINK("CSG9.html#group24T9", "24T⁹"), =HYPERLINK("CSG4.html#group24K4", "24K⁴"), =HYPERLINK("CSG4.html#group24E4", "24E⁴"), =HYPERLINK("CSG1.html#group12J1", "12J¹"), =HYPERLINK("CSG0.html#group4F0", "4F⁰"), =HYPERLINK("CSG0.html#group2C0", "2C⁰"), =HYPERLINK("CSG0.html#group6D0", "6D⁰")</f>
        <v/>
      </c>
      <c r="N4674" t="inlineStr"/>
    </row>
    <row r="4675">
      <c r="A4675" t="inlineStr">
        <is>
          <t>24S¹⁷</t>
        </is>
      </c>
      <c r="B4675" t="inlineStr"/>
      <c r="C4675" t="inlineStr">
        <is>
          <t>288</t>
        </is>
      </c>
      <c r="D4675" t="inlineStr">
        <is>
          <t>1</t>
        </is>
      </c>
      <c r="E4675" t="inlineStr">
        <is>
          <t>18</t>
        </is>
      </c>
      <c r="F4675" t="inlineStr">
        <is>
          <t>0</t>
        </is>
      </c>
      <c r="G4675" t="inlineStr">
        <is>
          <t>0</t>
        </is>
      </c>
      <c r="H4675" t="inlineStr">
        <is>
          <t>12⁸, 24⁸</t>
        </is>
      </c>
      <c r="I4675" t="n">
        <v>16</v>
      </c>
      <c r="J4675" t="inlineStr">
        <is>
          <t>1⁴, 2⁵, 4¹</t>
        </is>
      </c>
      <c r="K4675">
        <f>HYPERLINK("CSG8.html#group24B8", "24B⁸"), =HYPERLINK("CSG8.html#group24D8", "24D⁸"), =HYPERLINK("CSG8.html#group24J8", "24J⁸"), =HYPERLINK("CSG9.html#group24I9", "24I⁹"), =HYPERLINK("CSG9.html#group24U9", "24U⁹")</f>
        <v/>
      </c>
      <c r="L4675" t="inlineStr"/>
      <c r="M4675">
        <f>HYPERLINK("CSG0.html#group2A0", "2A⁰"), =HYPERLINK("CSG3.html#group24Q3", "24Q³"), =HYPERLINK("CSG0.html#group12C0", "12C⁰"), =HYPERLINK("CSG1.html#group6C1", "6C¹"), =HYPERLINK("CSG0.html#group4C0", "4C⁰"), =HYPERLINK("CSG2.html#group12B2", "12B²"), =HYPERLINK("CSG2.html#group12E2", "12E²"), =HYPERLINK("CSG4.html#group24L4", "24L⁴"), =HYPERLINK("CSG0.html#group2B0", "2B⁰"), =HYPERLINK("CSG0.html#group4E0", "4E⁰"), =HYPERLINK("CSG0.html#group8C0", "8C⁰"), =HYPERLINK("CSG2.html#group24C2", "24C²"), =HYPERLINK("CSG0.html#group4B0", "4B⁰"), =HYPERLINK("CSG1.html#group12M1", "12M¹"), =HYPERLINK("CSG0.html#group1A0", "1A⁰"), =HYPERLINK("CSG5.html#group24F5", "24F⁵"), =HYPERLINK("CSG2.html#group24B2", "24B²"), =HYPERLINK("CSG0.html#group8G0", "8G⁰"), =HYPERLINK("CSG4.html#group24N4", "24N⁴"), =HYPERLINK("CSG4.html#group24M4", "24M⁴"), =HYPERLINK("CSG8.html#group24J8", "24J⁸"), =HYPERLINK("CSG1.html#group12B1", "12B¹"), =HYPERLINK("CSG1.html#group6A1", "6A¹"), =HYPERLINK("CSG0.html#group3A0", "3A⁰"), =HYPERLINK("CSG4.html#group24F4", "24F⁴"), =HYPERLINK("CSG8.html#group24D8", "24D⁸"), =HYPERLINK("CSG0.html#group8D0", "8D⁰"), =HYPERLINK("CSG8.html#group24B8", "24B⁸"), =HYPERLINK("CSG1.html#group24D1", "24D¹"), =HYPERLINK("CSG0.html#group8I0", "8I⁰"), =HYPERLINK("CSG4.html#group24D4", "24D⁴"), =HYPERLINK("CSG0.html#group6A0", "6A⁰"), =HYPERLINK("CSG9.html#group24U9", "24U⁹"), =HYPERLINK("CSG1.html#group12C1", "12C¹"), =HYPERLINK("CSG9.html#group24I9", "24I⁹"), =HYPERLINK("CSG1.html#group24C1", "24C¹"), =HYPERLINK("CSG0.html#group12D0", "12D⁰"), =HYPERLINK("CSG4.html#group12C4", "12C⁴"), =HYPERLINK("CSG0.html#group8J0", "8J⁰"), =HYPERLINK("CSG0.html#group2C0", "2C⁰"), =HYPERLINK("CSG0.html#group6D0", "6D⁰"), =HYPERLINK("CSG4.html#group24G4", "24G⁴"), =HYPERLINK("CSG0.html#group8O0", "8O⁰")</f>
        <v/>
      </c>
      <c r="N4675" t="inlineStr"/>
    </row>
    <row r="4676">
      <c r="A4676" t="inlineStr">
        <is>
          <t>24T¹⁷</t>
        </is>
      </c>
      <c r="B4676" t="inlineStr"/>
      <c r="C4676" t="inlineStr">
        <is>
          <t>288</t>
        </is>
      </c>
      <c r="D4676" t="inlineStr">
        <is>
          <t>1</t>
        </is>
      </c>
      <c r="E4676" t="inlineStr">
        <is>
          <t>18</t>
        </is>
      </c>
      <c r="F4676" t="inlineStr">
        <is>
          <t>0</t>
        </is>
      </c>
      <c r="G4676" t="inlineStr">
        <is>
          <t>0</t>
        </is>
      </c>
      <c r="H4676" t="inlineStr">
        <is>
          <t>12⁸, 24⁸</t>
        </is>
      </c>
      <c r="I4676" t="n">
        <v>16</v>
      </c>
      <c r="J4676" t="inlineStr">
        <is>
          <t>1⁴, 2⁵, 4¹</t>
        </is>
      </c>
      <c r="K4676">
        <f>HYPERLINK("CSG5.html#group24X5", "24X⁵"), =HYPERLINK("CSG7.html#group24V7", "24V⁷"), =HYPERLINK("CSG7.html#group24Z7", "24Z⁷"), =HYPERLINK("CSG9.html#group24J9", "24J⁹"), =HYPERLINK("CSG9.html#group24S9", "24S⁹"), =HYPERLINK("CSG9.html#group24T9", "24T⁹")</f>
        <v/>
      </c>
      <c r="L4676" t="inlineStr"/>
      <c r="M4676">
        <f>HYPERLINK("CSG5.html#group24X5", "24X⁵"), =HYPERLINK("CSG0.html#group2A0", "2A⁰"), =HYPERLINK("CSG3.html#group24A3", "24A³"), =HYPERLINK("CSG0.html#group12C0", "12C⁰"), =HYPERLINK("CSG1.html#group12K1", "12K¹"), =HYPERLINK("CSG2.html#group12D2", "12D²"), =HYPERLINK("CSG0.html#group4C0", "4C⁰"), =HYPERLINK("CSG1.html#group6C1", "6C¹"), =HYPERLINK("CSG2.html#group12B2", "12B²"), =HYPERLINK("CSG2.html#group12E2", "12E²"), =HYPERLINK("CSG2.html#group24Q2", "24Q²"), =HYPERLINK("CSG0.html#group6G0", "6G⁰"), =HYPERLINK("CSG0.html#group2B0", "2B⁰"), =HYPERLINK("CSG0.html#group4E0", "4E⁰"), =HYPERLINK("CSG3.html#group24I3", "24I³"), =HYPERLINK("CSG2.html#group24C2", "24C²"), =HYPERLINK("CSG0.html#group4B0", "4B⁰"), =HYPERLINK("CSG3.html#group12G3", "12G³"), =HYPERLINK("CSG0.html#group1A0", "1A⁰"), =HYPERLINK("CSG5.html#group24E5", "24E⁵"), =HYPERLINK("CSG5.html#group24F5", "24F⁵"), =HYPERLINK("CSG0.html#group24A0", "24A⁰"), =HYPERLINK("CSG1.html#group6B1", "6B¹"), =HYPERLINK("CSG4.html#group24N4", "24N⁴"), =HYPERLINK("CSG0.html#group3C0", "3C⁰"), =HYPERLINK("CSG9.html#group24J9", "24J⁹"), =HYPERLINK("CSG1.html#group6A1", "6A¹"), =HYPERLINK("CSG1.html#group12B1", "12B¹"), =HYPERLINK("CSG0.html#group6H0", "6H⁰"), =HYPERLINK("CSG0.html#group3A0", "3A⁰"), =HYPERLINK("CSG1.html#group24H1", "24H¹"), =HYPERLINK("CSG1.html#group6E1", "6E¹"), =HYPERLINK("CSG0.html#group6B0", "6B⁰"), =HYPERLINK("CSG1.html#group8A1", "8A¹"), =HYPERLINK("CSG7.html#group24V7", "24V⁷"), =HYPERLINK("CSG7.html#group24Z7", "24Z⁷"), =HYPERLINK("CSG9.html#group24S9", "24S⁹"), =HYPERLINK("CSG1.html#group24D1", "24D¹"), =HYPERLINK("CSG0.html#group8B0", "8B⁰"), =HYPERLINK("CSG1.html#group8B1", "8B¹"), =HYPERLINK("CSG1.html#group12L1", "12L¹"), =HYPERLINK("CSG5.html#group24D5", "24D⁵"), =HYPERLINK("CSG0.html#group6A0", "6A⁰"), =HYPERLINK("CSG1.html#group12C1", "12C¹"), =HYPERLINK("CSG9.html#group24T9", "24T⁹"), =HYPERLINK("CSG0.html#group12D0", "12D⁰"), =HYPERLINK("CSG0.html#group12H0", "12H⁰"), =HYPERLINK("CSG0.html#group2C0", "2C⁰"), =HYPERLINK("CSG5.html#group24A5", "24A⁵"), =HYPERLINK("CSG0.html#group6D0", "6D⁰")</f>
        <v/>
      </c>
      <c r="N4676" t="inlineStr"/>
    </row>
    <row r="4677">
      <c r="A4677" t="inlineStr">
        <is>
          <t>24U¹⁷</t>
        </is>
      </c>
      <c r="B4677" t="inlineStr"/>
      <c r="C4677" t="inlineStr">
        <is>
          <t>288</t>
        </is>
      </c>
      <c r="D4677" t="inlineStr">
        <is>
          <t>1</t>
        </is>
      </c>
      <c r="E4677" t="inlineStr">
        <is>
          <t>18</t>
        </is>
      </c>
      <c r="F4677" t="inlineStr">
        <is>
          <t>0</t>
        </is>
      </c>
      <c r="G4677" t="inlineStr">
        <is>
          <t>0</t>
        </is>
      </c>
      <c r="H4677" t="inlineStr">
        <is>
          <t>12⁸, 24⁸</t>
        </is>
      </c>
      <c r="I4677" t="n">
        <v>16</v>
      </c>
      <c r="J4677" t="inlineStr">
        <is>
          <t>1⁴, 2⁵, 4¹</t>
        </is>
      </c>
      <c r="K4677">
        <f>HYPERLINK("CSG6.html#group24K6", "24K⁶"), =HYPERLINK("CSG8.html#group24H8", "24H⁸"), =HYPERLINK("CSG8.html#group24J8", "24J⁸"), =HYPERLINK("CSG9.html#group24D9", "24D⁹"), =HYPERLINK("CSG9.html#group24F9", "24F⁹"), =HYPERLINK("CSG9.html#group24S9", "24S⁹")</f>
        <v/>
      </c>
      <c r="L4677" t="inlineStr"/>
      <c r="M4677">
        <f>HYPERLINK("CSG9.html#group24F9", "24F⁹"), =HYPERLINK("CSG0.html#group2A0", "2A⁰"), =HYPERLINK("CSG1.html#group24E1", "24E¹"), =HYPERLINK("CSG3.html#group24A3", "24A³"), =HYPERLINK("CSG0.html#group12C0", "12C⁰"), =HYPERLINK("CSG0.html#group4C0", "4C⁰"), =HYPERLINK("CSG5.html#group24A5", "24A⁵"), =HYPERLINK("CSG1.html#group6C1", "6C¹"), =HYPERLINK("CSG2.html#group12B2", "12B²"), =HYPERLINK("CSG2.html#group24P2", "24P²"), =HYPERLINK("CSG2.html#group12E2", "12E²"), =HYPERLINK("CSG1.html#group12M1", "12M¹"), =HYPERLINK("CSG0.html#group2B0", "2B⁰"), =HYPERLINK("CSG0.html#group4E0", "4E⁰"), =HYPERLINK("CSG0.html#group8L0", "8L⁰"), =HYPERLINK("CSG0.html#group4B0", "4B⁰"), =HYPERLINK("CSG2.html#group24Q2", "24Q²"), =HYPERLINK("CSG0.html#group1A0", "1A⁰"), =HYPERLINK("CSG0.html#group24A0", "24A⁰"), =HYPERLINK("CSG4.html#group24N4", "24N⁴"), =HYPERLINK("CSG8.html#group24H8", "24H⁸"), =HYPERLINK("CSG1.html#group8G1", "8G¹"), =HYPERLINK("CSG8.html#group24J8", "24J⁸"), =HYPERLINK("CSG2.html#group24D2", "24D²"), =HYPERLINK("CSG6.html#group24K6", "24K⁶"), =HYPERLINK("CSG1.html#group12B1", "12B¹"), =HYPERLINK("CSG1.html#group6A1", "6A¹"), =HYPERLINK("CSG0.html#group3A0", "3A⁰"), =HYPERLINK("CSG5.html#group24G5", "24G⁵"), =HYPERLINK("CSG1.html#group8A1", "8A¹"), =HYPERLINK("CSG9.html#group24S9", "24S⁹"), =HYPERLINK("CSG0.html#group8B0", "8B⁰"), =HYPERLINK("CSG1.html#group8B1", "8B¹"), =HYPERLINK("CSG9.html#group24D9", "24D⁹"), =HYPERLINK("CSG0.html#group6A0", "6A⁰"), =HYPERLINK("CSG1.html#group12C1", "12C¹"), =HYPERLINK("CSG2.html#group24M2", "24M²"), =HYPERLINK("CSG4.html#group24E4", "24E⁴"), =HYPERLINK("CSG0.html#group12D0", "12D⁰"), =HYPERLINK("CSG4.html#group12C4", "12C⁴"), =HYPERLINK("CSG0.html#group8J0", "8J⁰"), =HYPERLINK("CSG0.html#group2C0", "2C⁰"), =HYPERLINK("CSG0.html#group6D0", "6D⁰"), =HYPERLINK("CSG4.html#group24G4", "24G⁴")</f>
        <v/>
      </c>
      <c r="N4677" t="inlineStr"/>
    </row>
    <row r="4678">
      <c r="A4678" t="inlineStr">
        <is>
          <t>24V¹⁷</t>
        </is>
      </c>
      <c r="B4678" t="inlineStr"/>
      <c r="C4678" t="inlineStr">
        <is>
          <t>288</t>
        </is>
      </c>
      <c r="D4678" t="inlineStr">
        <is>
          <t>1</t>
        </is>
      </c>
      <c r="E4678" t="inlineStr">
        <is>
          <t>18</t>
        </is>
      </c>
      <c r="F4678" t="inlineStr">
        <is>
          <t>0</t>
        </is>
      </c>
      <c r="G4678" t="inlineStr">
        <is>
          <t>0</t>
        </is>
      </c>
      <c r="H4678" t="inlineStr">
        <is>
          <t>12⁸, 24⁸</t>
        </is>
      </c>
      <c r="I4678" t="n">
        <v>16</v>
      </c>
      <c r="J4678" t="inlineStr">
        <is>
          <t>1⁴, 2⁵, 4¹</t>
        </is>
      </c>
      <c r="K4678">
        <f>HYPERLINK("CSG5.html#group24Y5", "24Y⁵"), =HYPERLINK("CSG7.html#group24W7", "24W⁷"), =HYPERLINK("CSG7.html#group24AA7", "24AA⁷"), =HYPERLINK("CSG9.html#group24D9", "24D⁹"), =HYPERLINK("CSG9.html#group24J9", "24J⁹"), =HYPERLINK("CSG9.html#group24S9", "24S⁹"), =HYPERLINK("CSG9.html#group24U9", "24U⁹")</f>
        <v/>
      </c>
      <c r="L4678" t="inlineStr"/>
      <c r="M4678">
        <f>HYPERLINK("CSG0.html#group2A0", "2A⁰"), =HYPERLINK("CSG3.html#group24A3", "24A³"), =HYPERLINK("CSG0.html#group12C0", "12C⁰"), =HYPERLINK("CSG7.html#group24AA7", "24AA⁷"), =HYPERLINK("CSG1.html#group12K1", "12K¹"), =HYPERLINK("CSG2.html#group12E2", "12E²"), =HYPERLINK("CSG2.html#group12D2", "12D²"), =HYPERLINK("CSG0.html#group4C0", "4C⁰"), =HYPERLINK("CSG5.html#group24A5", "24A⁵"), =HYPERLINK("CSG1.html#group6C1", "6C¹"), =HYPERLINK("CSG2.html#group12B2", "12B²"), =HYPERLINK("CSG3.html#group24I3", "24I³"), =HYPERLINK("CSG0.html#group8L0", "8L⁰"), =HYPERLINK("CSG0.html#group2B0", "2B⁰"), =HYPERLINK("CSG0.html#group4E0", "4E⁰"), =HYPERLINK("CSG0.html#group6G0", "6G⁰"), =HYPERLINK("CSG2.html#group24Q2", "24Q²"), =HYPERLINK("CSG0.html#group4B0", "4B⁰"), =HYPERLINK("CSG2.html#group24C2", "24C²"), =HYPERLINK("CSG0.html#group1A0", "1A⁰"), =HYPERLINK("CSG5.html#group24E5", "24E⁵"), =HYPERLINK("CSG3.html#group12G3", "12G³"), =HYPERLINK("CSG5.html#group24F5", "24F⁵"), =HYPERLINK("CSG0.html#group24A0", "24A⁰"), =HYPERLINK("CSG1.html#group6B1", "6B¹"), =HYPERLINK("CSG4.html#group24N4", "24N⁴"), =HYPERLINK("CSG1.html#group8G1", "8G¹"), =HYPERLINK("CSG0.html#group3C0", "3C⁰"), =HYPERLINK("CSG9.html#group24J9", "24J⁹"), =HYPERLINK("CSG1.html#group12B1", "12B¹"), =HYPERLINK("CSG1.html#group6A1", "6A¹"), =HYPERLINK("CSG0.html#group6H0", "6H⁰"), =HYPERLINK("CSG0.html#group3A0", "3A⁰"), =HYPERLINK("CSG1.html#group24H1", "24H¹"), =HYPERLINK("CSG1.html#group6E1", "6E¹"), =HYPERLINK("CSG0.html#group6B0", "6B⁰"), =HYPERLINK("CSG1.html#group8A1", "8A¹"), =HYPERLINK("CSG9.html#group24S9", "24S⁹"), =HYPERLINK("CSG0.html#group8B0", "8B⁰"), =HYPERLINK("CSG1.html#group24D1", "24D¹"), =HYPERLINK("CSG5.html#group24Y5", "24Y⁵"), =HYPERLINK("CSG1.html#group8B1", "8B¹"), =HYPERLINK("CSG7.html#group24W7", "24W⁷"), =HYPERLINK("CSG1.html#group12L1", "12L¹"), =HYPERLINK("CSG9.html#group24D9", "24D⁹"), =HYPERLINK("CSG5.html#group24D5", "24D⁵"), =HYPERLINK("CSG0.html#group6A0", "6A⁰"), =HYPERLINK("CSG9.html#group24U9", "24U⁹"), =HYPERLINK("CSG1.html#group12C1", "12C¹"), =HYPERLINK("CSG2.html#group24M2", "24M²"), =HYPERLINK("CSG0.html#group12D0", "12D⁰"), =HYPERLINK("CSG0.html#group12H0", "12H⁰"), =HYPERLINK("CSG0.html#group8J0", "8J⁰"), =HYPERLINK("CSG0.html#group2C0", "2C⁰"), =HYPERLINK("CSG0.html#group6D0", "6D⁰"), =HYPERLINK("CSG4.html#group24G4", "24G⁴")</f>
        <v/>
      </c>
      <c r="N4678" t="inlineStr"/>
    </row>
    <row r="4679">
      <c r="A4679" t="inlineStr">
        <is>
          <t>24W¹⁷</t>
        </is>
      </c>
      <c r="B4679" t="inlineStr"/>
      <c r="C4679" t="inlineStr">
        <is>
          <t>288</t>
        </is>
      </c>
      <c r="D4679" t="inlineStr">
        <is>
          <t>1</t>
        </is>
      </c>
      <c r="E4679" t="inlineStr">
        <is>
          <t>18</t>
        </is>
      </c>
      <c r="F4679" t="inlineStr">
        <is>
          <t>0</t>
        </is>
      </c>
      <c r="G4679" t="inlineStr">
        <is>
          <t>0</t>
        </is>
      </c>
      <c r="H4679" t="inlineStr">
        <is>
          <t>12⁸, 24⁸</t>
        </is>
      </c>
      <c r="I4679" t="n">
        <v>16</v>
      </c>
      <c r="J4679" t="inlineStr">
        <is>
          <t>1⁶, 2⁶</t>
        </is>
      </c>
      <c r="K4679">
        <f>HYPERLINK("CSG8.html#group24A8", "24A⁸"), =HYPERLINK("CSG8.html#group24C8", "24C⁸"), =HYPERLINK("CSG8.html#group24H8", "24H⁸"), =HYPERLINK("CSG9.html#group24H9", "24H⁹"), =HYPERLINK("CSG9.html#group24U9", "24U⁹")</f>
        <v/>
      </c>
      <c r="L4679" t="inlineStr"/>
      <c r="M4679">
        <f>HYPERLINK("CSG0.html#group2A0", "2A⁰"), =HYPERLINK("CSG1.html#group24E1", "24E¹"), =HYPERLINK("CSG0.html#group12C0", "12C⁰"), =HYPERLINK("CSG1.html#group6C1", "6C¹"), =HYPERLINK("CSG0.html#group4C0", "4C⁰"), =HYPERLINK("CSG2.html#group12B2", "12B²"), =HYPERLINK("CSG0.html#group4G0", "4G⁰"), =HYPERLINK("CSG0.html#group2B0", "2B⁰"), =HYPERLINK("CSG3.html#group24P3", "24P³"), =HYPERLINK("CSG0.html#group4E0", "4E⁰"), =HYPERLINK("CSG2.html#group24C2", "24C²"), =HYPERLINK("CSG0.html#group4B0", "4B⁰"), =HYPERLINK("CSG0.html#group1A0", "1A⁰"), =HYPERLINK("CSG0.html#group8K0", "8K⁰"), =HYPERLINK("CSG5.html#group24F5", "24F⁵"), =HYPERLINK("CSG4.html#group12A4", "12A⁴"), =HYPERLINK("CSG4.html#group24N4", "24N⁴"), =HYPERLINK("CSG8.html#group24H8", "24H⁸"), =HYPERLINK("CSG0.html#group4D0", "4D⁰"), =HYPERLINK("CSG2.html#group12A2", "12A²"), =HYPERLINK("CSG2.html#group24D2", "24D²"), =HYPERLINK("CSG1.html#group6A1", "6A¹"), =HYPERLINK("CSG1.html#group12B1", "12B¹"), =HYPERLINK("CSG3.html#group24R3", "24R³"), =HYPERLINK("CSG0.html#group3A0", "3A⁰"), =HYPERLINK("CSG9.html#group24H9", "24H⁹"), =HYPERLINK("CSG0.html#group8N0", "8N⁰"), =HYPERLINK("CSG8.html#group24A8", "24A⁸"), =HYPERLINK("CSG1.html#group12E1", "12E¹"), =HYPERLINK("CSG1.html#group24D1", "24D¹"), =HYPERLINK("CSG3.html#group24J3", "24J³"), =HYPERLINK("CSG0.html#group12A0", "12A⁰"), =HYPERLINK("CSG0.html#group6A0", "6A⁰"), =HYPERLINK("CSG9.html#group24U9", "24U⁹"), =HYPERLINK("CSG8.html#group24C8", "24C⁸"), =HYPERLINK("CSG0.html#group4A0", "4A⁰"), =HYPERLINK("CSG4.html#group24K4", "24K⁴"), =HYPERLINK("CSG4.html#group24E4", "24E⁴"), =HYPERLINK("CSG1.html#group12J1", "12J¹"), =HYPERLINK("CSG0.html#group4F0", "4F⁰"), =HYPERLINK("CSG0.html#group8J0", "8J⁰"), =HYPERLINK("CSG0.html#group2C0", "2C⁰"), =HYPERLINK("CSG0.html#group6D0", "6D⁰"), =HYPERLINK("CSG4.html#group24G4", "24G⁴")</f>
        <v/>
      </c>
      <c r="N4679" t="inlineStr"/>
    </row>
    <row r="4680">
      <c r="A4680" t="inlineStr">
        <is>
          <t>24X¹⁷</t>
        </is>
      </c>
      <c r="B4680" t="inlineStr"/>
      <c r="C4680" t="inlineStr">
        <is>
          <t>288</t>
        </is>
      </c>
      <c r="D4680" t="inlineStr">
        <is>
          <t>1</t>
        </is>
      </c>
      <c r="E4680" t="inlineStr">
        <is>
          <t>36</t>
        </is>
      </c>
      <c r="F4680" t="inlineStr">
        <is>
          <t>0</t>
        </is>
      </c>
      <c r="G4680" t="inlineStr">
        <is>
          <t>0</t>
        </is>
      </c>
      <c r="H4680" t="inlineStr">
        <is>
          <t>12⁸, 24⁸</t>
        </is>
      </c>
      <c r="I4680" t="n">
        <v>16</v>
      </c>
      <c r="J4680" t="inlineStr">
        <is>
          <t>2⁴, 4⁷</t>
        </is>
      </c>
      <c r="K4680">
        <f>HYPERLINK("CSG7.html#group12E7", "12E⁷"), =HYPERLINK("CSG7.html#group24N7", "24N⁷"), =HYPERLINK("CSG9.html#group24L9", "24L⁹")</f>
        <v/>
      </c>
      <c r="L4680" t="inlineStr"/>
      <c r="M4680">
        <f>HYPERLINK("CSG4.html#group24Q4", "24Q⁴"), =HYPERLINK("CSG4.html#group24I4", "24I⁴"), =HYPERLINK("CSG1.html#group12D1", "12D¹"), =HYPERLINK("CSG1.html#group12K1", "12K¹"), =HYPERLINK("CSG2.html#group12D2", "12D²"), =HYPERLINK("CSG7.html#group12E7", "12E⁷"), =HYPERLINK("CSG0.html#group6G0", "6G⁰"), =HYPERLINK("CSG0.html#group2B0", "2B⁰"), =HYPERLINK("CSG0.html#group8C0", "8C⁰"), =HYPERLINK("CSG1.html#group12N1", "12N¹"), =HYPERLINK("CSG0.html#group4B0", "4B⁰"), =HYPERLINK("CSG0.html#group1A0", "1A⁰"), =HYPERLINK("CSG2.html#group24B2", "24B²"), =HYPERLINK("CSG2.html#group24D2", "24D²"), =HYPERLINK("CSG0.html#group3C0", "3C⁰"), =HYPERLINK("CSG9.html#group24L9", "24L⁹"), =HYPERLINK("CSG1.html#group12B1", "12B¹"), =HYPERLINK("CSG3.html#group24K3", "24K³"), =HYPERLINK("CSG0.html#group6H0", "6H⁰"), =HYPERLINK("CSG0.html#group3A0", "3A⁰"), =HYPERLINK("CSG3.html#group12H3", "12H³"), =HYPERLINK("CSG1.html#group12U1", "12U¹"), =HYPERLINK("CSG0.html#group6B0", "6B⁰"), =HYPERLINK("CSG7.html#group24N7", "24N⁷"), =HYPERLINK("CSG4.html#group24J4", "24J⁴"), =HYPERLINK("CSG1.html#group12C1", "12C¹"), =HYPERLINK("CSG0.html#group6E0", "6E⁰"), =HYPERLINK("CSG0.html#group6L0", "6L⁰"), =HYPERLINK("CSG3.html#group12E3", "12E³"), =HYPERLINK("CSG0.html#group12D0", "12D⁰"), =HYPERLINK("CSG3.html#group24L3", "24L³"), =HYPERLINK("CSG2.html#group12C2", "12C²"), =HYPERLINK("CSG0.html#group6D0", "6D⁰")</f>
        <v/>
      </c>
      <c r="N4680" t="inlineStr"/>
    </row>
    <row r="4681">
      <c r="A4681" t="inlineStr">
        <is>
          <t>24Y¹⁷</t>
        </is>
      </c>
      <c r="B4681" t="inlineStr"/>
      <c r="C4681" t="inlineStr">
        <is>
          <t>288</t>
        </is>
      </c>
      <c r="D4681" t="inlineStr">
        <is>
          <t>1</t>
        </is>
      </c>
      <c r="E4681" t="inlineStr">
        <is>
          <t>36</t>
        </is>
      </c>
      <c r="F4681" t="inlineStr">
        <is>
          <t>0</t>
        </is>
      </c>
      <c r="G4681" t="inlineStr">
        <is>
          <t>0</t>
        </is>
      </c>
      <c r="H4681" t="inlineStr">
        <is>
          <t>12⁸, 24⁸</t>
        </is>
      </c>
      <c r="I4681" t="n">
        <v>16</v>
      </c>
      <c r="J4681" t="inlineStr">
        <is>
          <t>2⁶, 4⁶</t>
        </is>
      </c>
      <c r="K4681">
        <f>HYPERLINK("CSG7.html#group12D7", "12D⁷"), =HYPERLINK("CSG7.html#group24M7", "24M⁷"), =HYPERLINK("CSG9.html#group24K9", "24K⁹")</f>
        <v/>
      </c>
      <c r="L4681" t="inlineStr"/>
      <c r="M4681">
        <f>HYPERLINK("CSG4.html#group24Q4", "24Q⁴"), =HYPERLINK("CSG0.html#group2A0", "2A⁰"), =HYPERLINK("CSG7.html#group24M7", "24M⁷"), =HYPERLINK("CSG0.html#group12C0", "12C⁰"), =HYPERLINK("CSG1.html#group12K1", "12K¹"), =HYPERLINK("CSG2.html#group12D2", "12D²"), =HYPERLINK("CSG3.html#group12F3", "12F³"), =HYPERLINK("CSG1.html#group6C1", "6C¹"), =HYPERLINK("CSG0.html#group4C0", "4C⁰"), =HYPERLINK("CSG2.html#group12E2", "12E²"), =HYPERLINK("CSG0.html#group6G0", "6G⁰"), =HYPERLINK("CSG3.html#group24M3", "24M³"), =HYPERLINK("CSG0.html#group2B0", "2B⁰"), =HYPERLINK("CSG4.html#group12B4", "12B⁴"), =HYPERLINK("CSG1.html#group12M1", "12M¹"), =HYPERLINK("CSG1.html#group12N1", "12N¹"), =HYPERLINK("CSG2.html#group12B2", "12B²"), =HYPERLINK("CSG0.html#group4E0", "4E⁰"), =HYPERLINK("CSG0.html#group1A0", "1A⁰"), =HYPERLINK("CSG0.html#group4B0", "4B⁰"), =HYPERLINK("CSG3.html#group12G3", "12G³"), =HYPERLINK("CSG2.html#group12H2", "12H²"), =HYPERLINK("CSG1.html#group6B1", "6B¹"), =HYPERLINK("CSG0.html#group3C0", "3C⁰"), =HYPERLINK("CSG1.html#group6A1", "6A¹"), =HYPERLINK("CSG1.html#group12B1", "12B¹"), =HYPERLINK("CSG0.html#group6H0", "6H⁰"), =HYPERLINK("CSG0.html#group3A0", "3A⁰"), =HYPERLINK("CSG1.html#group6E1", "6E¹"), =HYPERLINK("CSG0.html#group6B0", "6B⁰"), =HYPERLINK("CSG1.html#group24I1", "24I¹"), =HYPERLINK("CSG1.html#group12H1", "12H¹"), =HYPERLINK("CSG1.html#group12L1", "12L¹"), =HYPERLINK("CSG0.html#group12G0", "12G⁰"), =HYPERLINK("CSG7.html#group12D7", "12D⁷"), =HYPERLINK("CSG1.html#group12C1", "12C¹"), =HYPERLINK("CSG0.html#group6A0", "6A⁰"), =HYPERLINK("CSG3.html#group12I3", "12I³"), =HYPERLINK("CSG9.html#group24K9", "24K⁹"), =HYPERLINK("CSG0.html#group12D0", "12D⁰"), =HYPERLINK("CSG4.html#group12C4", "12C⁴"), =HYPERLINK("CSG0.html#group12H0", "12H⁰"), =HYPERLINK("CSG2.html#group12C2", "12C²"), =HYPERLINK("CSG0.html#group2C0", "2C⁰"), =HYPERLINK("CSG0.html#group6D0", "6D⁰")</f>
        <v/>
      </c>
      <c r="N4681" t="inlineStr"/>
    </row>
    <row r="4682">
      <c r="A4682" t="inlineStr">
        <is>
          <t>24Z¹⁷</t>
        </is>
      </c>
      <c r="B4682" t="inlineStr"/>
      <c r="C4682" t="inlineStr">
        <is>
          <t>288</t>
        </is>
      </c>
      <c r="D4682" t="inlineStr">
        <is>
          <t>1</t>
        </is>
      </c>
      <c r="E4682" t="inlineStr">
        <is>
          <t>36</t>
        </is>
      </c>
      <c r="F4682" t="inlineStr">
        <is>
          <t>0</t>
        </is>
      </c>
      <c r="G4682" t="inlineStr">
        <is>
          <t>0</t>
        </is>
      </c>
      <c r="H4682" t="inlineStr">
        <is>
          <t>12⁸, 24⁸</t>
        </is>
      </c>
      <c r="I4682" t="n">
        <v>16</v>
      </c>
      <c r="J4682" t="inlineStr">
        <is>
          <t>1⁸, 2¹⁰, 4²</t>
        </is>
      </c>
      <c r="K4682">
        <f>HYPERLINK("CSG7.html#group24V7", "24V⁷"), =HYPERLINK("CSG7.html#group24W7", "24W⁷"), =HYPERLINK("CSG9.html#group24G9", "24G⁹"), =HYPERLINK("CSG9.html#group24T9", "24T⁹"), =HYPERLINK("CSG9.html#group24U9", "24U⁹")</f>
        <v/>
      </c>
      <c r="L4682" t="inlineStr"/>
      <c r="M4682">
        <f>HYPERLINK("CSG0.html#group2A0", "2A⁰"), =HYPERLINK("CSG0.html#group12C0", "12C⁰"), =HYPERLINK("CSG1.html#group12K1", "12K¹"), =HYPERLINK("CSG2.html#group12D2", "12D²"), =HYPERLINK("CSG1.html#group6C1", "6C¹"), =HYPERLINK("CSG0.html#group4C0", "4C⁰"), =HYPERLINK("CSG2.html#group12B2", "12B²"), =HYPERLINK("CSG2.html#group12E2", "12E²"), =HYPERLINK("CSG0.html#group6G0", "6G⁰"), =HYPERLINK("CSG0.html#group2B0", "2B⁰"), =HYPERLINK("CSG9.html#group24G9", "24G⁹"), =HYPERLINK("CSG0.html#group4E0", "4E⁰"), =HYPERLINK("CSG2.html#group24C2", "24C²"), =HYPERLINK("CSG0.html#group4B0", "4B⁰"), =HYPERLINK("CSG3.html#group12G3", "12G³"), =HYPERLINK("CSG0.html#group1A0", "1A⁰"), =HYPERLINK("CSG5.html#group24F5", "24F⁵"), =HYPERLINK("CSG3.html#group24H3", "24H³"), =HYPERLINK("CSG1.html#group6B1", "6B¹"), =HYPERLINK("CSG4.html#group24N4", "24N⁴"), =HYPERLINK("CSG3.html#group24S3", "24S³"), =HYPERLINK("CSG0.html#group3C0", "3C⁰"), =HYPERLINK("CSG1.html#group12B1", "12B¹"), =HYPERLINK("CSG1.html#group6A1", "6A¹"), =HYPERLINK("CSG0.html#group6H0", "6H⁰"), =HYPERLINK("CSG0.html#group3A0", "3A⁰"), =HYPERLINK("CSG1.html#group6E1", "6E¹"), =HYPERLINK("CSG0.html#group6B0", "6B⁰"), =HYPERLINK("CSG7.html#group24V7", "24V⁷"), =HYPERLINK("CSG1.html#group24D1", "24D¹"), =HYPERLINK("CSG7.html#group24W7", "24W⁷"), =HYPERLINK("CSG1.html#group12L1", "12L¹"), =HYPERLINK("CSG0.html#group6A0", "6A⁰"), =HYPERLINK("CSG9.html#group24U9", "24U⁹"), =HYPERLINK("CSG1.html#group12C1", "12C¹"), =HYPERLINK("CSG5.html#group24C5", "24C⁵"), =HYPERLINK("CSG9.html#group24T9", "24T⁹"), =HYPERLINK("CSG0.html#group12D0", "12D⁰"), =HYPERLINK("CSG0.html#group12H0", "12H⁰"), =HYPERLINK("CSG0.html#group8J0", "8J⁰"), =HYPERLINK("CSG0.html#group2C0", "2C⁰"), =HYPERLINK("CSG0.html#group6D0", "6D⁰"), =HYPERLINK("CSG4.html#group24G4", "24G⁴")</f>
        <v/>
      </c>
      <c r="N4682" t="inlineStr"/>
    </row>
    <row r="4683">
      <c r="A4683" t="inlineStr">
        <is>
          <t>24AA¹⁷</t>
        </is>
      </c>
      <c r="B4683" t="inlineStr"/>
      <c r="C4683" t="inlineStr">
        <is>
          <t>288</t>
        </is>
      </c>
      <c r="D4683" t="inlineStr">
        <is>
          <t>1</t>
        </is>
      </c>
      <c r="E4683" t="inlineStr">
        <is>
          <t>36</t>
        </is>
      </c>
      <c r="F4683" t="inlineStr">
        <is>
          <t>8</t>
        </is>
      </c>
      <c r="G4683" t="inlineStr">
        <is>
          <t>0</t>
        </is>
      </c>
      <c r="H4683" t="inlineStr">
        <is>
          <t>24¹²</t>
        </is>
      </c>
      <c r="I4683" t="n">
        <v>12</v>
      </c>
      <c r="J4683" t="inlineStr">
        <is>
          <t>2², 4⁴, 8²</t>
        </is>
      </c>
      <c r="K4683">
        <f>HYPERLINK("CSG5.html#group12D5", "12D⁵"), =HYPERLINK("CSG5.html#group24L5", "24L⁵"), =HYPERLINK("CSG8.html#group24O8", "24O⁸")</f>
        <v/>
      </c>
      <c r="L4683" t="inlineStr"/>
      <c r="M4683">
        <f>HYPERLINK("CSG1.html#group12T1", "12T¹"), =HYPERLINK("CSG2.html#group12I2", "12I²"), =HYPERLINK("CSG0.html#group12C0", "12C⁰"), =HYPERLINK("CSG0.html#group4C0", "4C⁰"), =HYPERLINK("CSG0.html#group6G0", "6G⁰"), =HYPERLINK("CSG0.html#group2B0", "2B⁰"), =HYPERLINK("CSG1.html#group12M1", "12M¹"), =HYPERLINK("CSG1.html#group12N1", "12N¹"), =HYPERLINK("CSG0.html#group1A0", "1A⁰"), =HYPERLINK("CSG2.html#group12H2", "12H²"), =HYPERLINK("CSG1.html#group12Q1", "12Q¹"), =HYPERLINK("CSG0.html#group3C0", "3C⁰"), =HYPERLINK("CSG0.html#group6H0", "6H⁰"), =HYPERLINK("CSG0.html#group3A0", "3A⁰"), =HYPERLINK("CSG5.html#group24L5", "24L⁵"), =HYPERLINK("CSG1.html#group12G1", "12G¹"), =HYPERLINK("CSG0.html#group6B0", "6B⁰"), =HYPERLINK("CSG0.html#group12F0", "12F⁰"), =HYPERLINK("CSG5.html#group12D5", "12D⁵"), =HYPERLINK("CSG1.html#group12L1", "12L¹"), =HYPERLINK("CSG3.html#group12J3", "12J³"), =HYPERLINK("CSG0.html#group12G0", "12G⁰"), =HYPERLINK("CSG0.html#group12A0", "12A⁰"), =HYPERLINK("CSG1.html#group12C1", "12C¹"), =HYPERLINK("CSG3.html#group12I3", "12I³"), =HYPERLINK("CSG0.html#group6E0", "6E⁰"), =HYPERLINK("CSG0.html#group6L0", "6L⁰"), =HYPERLINK("CSG0.html#group4A0", "4A⁰"), =HYPERLINK("CSG8.html#group24O8", "24O⁸"), =HYPERLINK("CSG1.html#group12J1", "12J¹"), =HYPERLINK("CSG0.html#group12D0", "12D⁰"), =HYPERLINK("CSG0.html#group4F0", "4F⁰"), =HYPERLINK("CSG0.html#group12H0", "12H⁰"), =HYPERLINK("CSG0.html#group6D0", "6D⁰")</f>
        <v/>
      </c>
      <c r="N4683" t="inlineStr"/>
    </row>
    <row r="4684">
      <c r="A4684" t="inlineStr">
        <is>
          <t>24AB¹⁷</t>
        </is>
      </c>
      <c r="B4684" t="inlineStr"/>
      <c r="C4684" t="inlineStr">
        <is>
          <t>288</t>
        </is>
      </c>
      <c r="D4684" t="inlineStr">
        <is>
          <t>1</t>
        </is>
      </c>
      <c r="E4684" t="inlineStr">
        <is>
          <t>36</t>
        </is>
      </c>
      <c r="F4684" t="inlineStr">
        <is>
          <t>8</t>
        </is>
      </c>
      <c r="G4684" t="inlineStr">
        <is>
          <t>0</t>
        </is>
      </c>
      <c r="H4684" t="inlineStr">
        <is>
          <t>24¹²</t>
        </is>
      </c>
      <c r="I4684" t="n">
        <v>12</v>
      </c>
      <c r="J4684" t="inlineStr">
        <is>
          <t>2², 4⁴, 8²</t>
        </is>
      </c>
      <c r="K4684">
        <f>HYPERLINK("CSG7.html#group24Q7", "24Q⁷"), =HYPERLINK("CSG7.html#group24X7", "24X⁷"), =HYPERLINK("CSG8.html#group24L8", "24L⁸"), =HYPERLINK("CSG8.html#group24P8", "24P⁸"), =HYPERLINK("CSG9.html#group24Y9", "24Y⁹")</f>
        <v/>
      </c>
      <c r="L4684" t="inlineStr"/>
      <c r="M4684">
        <f>HYPERLINK("CSG4.html#group24O4", "24O⁴"), =HYPERLINK("CSG1.html#group24E1", "24E¹"), =HYPERLINK("CSG0.html#group12C0", "12C⁰"), =HYPERLINK("CSG0.html#group4C0", "4C⁰"), =HYPERLINK("CSG7.html#group24X7", "24X⁷"), =HYPERLINK("CSG0.html#group8A0", "8A⁰"), =HYPERLINK("CSG0.html#group6G0", "6G⁰"), =HYPERLINK("CSG0.html#group2B0", "2B⁰"), =HYPERLINK("CSG3.html#group24P3", "24P³"), =HYPERLINK("CSG1.html#group12M1", "12M¹"), =HYPERLINK("CSG0.html#group1A0", "1A⁰"), =HYPERLINK("CSG1.html#group24A1", "24A¹"), =HYPERLINK("CSG3.html#group24H3", "24H³"), =HYPERLINK("CSG3.html#group24N3", "24N³"), =HYPERLINK("CSG9.html#group24Y9", "24Y⁹"), =HYPERLINK("CSG3.html#group24T3", "24T³"), =HYPERLINK("CSG0.html#group3C0", "3C⁰"), =HYPERLINK("CSG3.html#group24R3", "24R³"), =HYPERLINK("CSG0.html#group3A0", "3A⁰"), =HYPERLINK("CSG1.html#group12G1", "12G¹"), =HYPERLINK("CSG1.html#group24D1", "24D¹"), =HYPERLINK("CSG1.html#group24B1", "24B¹"), =HYPERLINK("CSG8.html#group24P8", "24P⁸"), =HYPERLINK("CSG1.html#group12L1", "12L¹"), =HYPERLINK("CSG1.html#group8D1", "8D¹"), =HYPERLINK("CSG3.html#group12J3", "12J³"), =HYPERLINK("CSG3.html#group24E3", "24E³"), =HYPERLINK("CSG4.html#group24H4", "24H⁴"), =HYPERLINK("CSG0.html#group12A0", "12A⁰"), =HYPERLINK("CSG1.html#group12C1", "12C¹"), =HYPERLINK("CSG0.html#group4A0", "4A⁰"), =HYPERLINK("CSG8.html#group24L8", "24L⁸"), =HYPERLINK("CSG1.html#group12J1", "12J¹"), =HYPERLINK("CSG0.html#group4F0", "4F⁰"), =HYPERLINK("CSG7.html#group24Q7", "24Q⁷"), =HYPERLINK("CSG0.html#group6D0", "6D⁰")</f>
        <v/>
      </c>
      <c r="N4684" t="inlineStr"/>
    </row>
    <row r="4685">
      <c r="A4685" t="inlineStr">
        <is>
          <t>24AC¹⁷</t>
        </is>
      </c>
      <c r="B4685" t="inlineStr"/>
      <c r="C4685" t="inlineStr">
        <is>
          <t>288</t>
        </is>
      </c>
      <c r="D4685" t="inlineStr">
        <is>
          <t>1</t>
        </is>
      </c>
      <c r="E4685" t="inlineStr">
        <is>
          <t>36</t>
        </is>
      </c>
      <c r="F4685" t="inlineStr">
        <is>
          <t>8</t>
        </is>
      </c>
      <c r="G4685" t="inlineStr">
        <is>
          <t>0</t>
        </is>
      </c>
      <c r="H4685" t="inlineStr">
        <is>
          <t>24¹²</t>
        </is>
      </c>
      <c r="I4685" t="n">
        <v>12</v>
      </c>
      <c r="J4685" t="inlineStr">
        <is>
          <t>2², 4⁴, 8²</t>
        </is>
      </c>
      <c r="K4685">
        <f>HYPERLINK("CSG7.html#group24Q7", "24Q⁷"), =HYPERLINK("CSG7.html#group24Y7", "24Y⁷"), =HYPERLINK("CSG8.html#group24K8", "24K⁸"), =HYPERLINK("CSG8.html#group24P8", "24P⁸"), =HYPERLINK("CSG9.html#group24V9", "24V⁹")</f>
        <v/>
      </c>
      <c r="L4685" t="inlineStr"/>
      <c r="M4685">
        <f>HYPERLINK("CSG4.html#group24O4", "24O⁴"), =HYPERLINK("CSG1.html#group24E1", "24E¹"), =HYPERLINK("CSG0.html#group12C0", "12C⁰"), =HYPERLINK("CSG0.html#group4C0", "4C⁰"), =HYPERLINK("CSG0.html#group6G0", "6G⁰"), =HYPERLINK("CSG0.html#group2B0", "2B⁰"), =HYPERLINK("CSG3.html#group24P3", "24P³"), =HYPERLINK("CSG1.html#group12M1", "12M¹"), =HYPERLINK("CSG0.html#group1A0", "1A⁰"), =HYPERLINK("CSG0.html#group8K0", "8K⁰"), =HYPERLINK("CSG3.html#group24H3", "24H³"), =HYPERLINK("CSG3.html#group24N3", "24N³"), =HYPERLINK("CSG3.html#group24T3", "24T³"), =HYPERLINK("CSG0.html#group3C0", "3C⁰"), =HYPERLINK("CSG3.html#group24R3", "24R³"), =HYPERLINK("CSG0.html#group3A0", "3A⁰"), =HYPERLINK("CSG1.html#group12G1", "12G¹"), =HYPERLINK("CSG3.html#group24D3", "24D³"), =HYPERLINK("CSG1.html#group24D1", "24D¹"), =HYPERLINK("CSG1.html#group24B1", "24B¹"), =HYPERLINK("CSG8.html#group24P8", "24P⁸"), =HYPERLINK("CSG7.html#group24Q7", "24Q⁷"), =HYPERLINK("CSG1.html#group12L1", "12L¹"), =HYPERLINK("CSG3.html#group12J3", "12J³"), =HYPERLINK("CSG3.html#group24J3", "24J³"), =HYPERLINK("CSG0.html#group12A0", "12A⁰"), =HYPERLINK("CSG1.html#group12C1", "12C¹"), =HYPERLINK("CSG0.html#group4A0", "4A⁰"), =HYPERLINK("CSG8.html#group24K8", "24K⁸"), =HYPERLINK("CSG9.html#group24V9", "24V⁹"), =HYPERLINK("CSG1.html#group12J1", "12J¹"), =HYPERLINK("CSG0.html#group4F0", "4F⁰"), =HYPERLINK("CSG7.html#group24Y7", "24Y⁷"), =HYPERLINK("CSG0.html#group6D0", "6D⁰")</f>
        <v/>
      </c>
      <c r="N4685" t="inlineStr"/>
    </row>
    <row r="4686">
      <c r="A4686" t="inlineStr">
        <is>
          <t>24AD¹⁷</t>
        </is>
      </c>
      <c r="B4686" t="inlineStr"/>
      <c r="C4686" t="inlineStr">
        <is>
          <t>288</t>
        </is>
      </c>
      <c r="D4686" t="inlineStr">
        <is>
          <t>1</t>
        </is>
      </c>
      <c r="E4686" t="inlineStr">
        <is>
          <t>36</t>
        </is>
      </c>
      <c r="F4686" t="inlineStr">
        <is>
          <t>8</t>
        </is>
      </c>
      <c r="G4686" t="inlineStr">
        <is>
          <t>0</t>
        </is>
      </c>
      <c r="H4686" t="inlineStr">
        <is>
          <t>24¹²</t>
        </is>
      </c>
      <c r="I4686" t="n">
        <v>12</v>
      </c>
      <c r="J4686" t="inlineStr">
        <is>
          <t>2², 4⁴, 8²</t>
        </is>
      </c>
      <c r="K4686">
        <f>HYPERLINK("CSG7.html#group24R7", "24R⁷"), =HYPERLINK("CSG7.html#group24X7", "24X⁷"), =HYPERLINK("CSG7.html#group24AB7", "24AB⁷"), =HYPERLINK("CSG9.html#group24V9", "24V⁹"), =HYPERLINK("CSG9.html#group24AA9", "24AA⁹")</f>
        <v/>
      </c>
      <c r="L4686" t="inlineStr"/>
      <c r="M4686">
        <f>HYPERLINK("CSG4.html#group24O4", "24O⁴"), =HYPERLINK("CSG1.html#group24E1", "24E¹"), =HYPERLINK("CSG0.html#group12C0", "12C⁰"), =HYPERLINK("CSG0.html#group4C0", "4C⁰"), =HYPERLINK("CSG7.html#group24X7", "24X⁷"), =HYPERLINK("CSG3.html#group24I3", "24I³"), =HYPERLINK("CSG2.html#group24P2", "24P²"), =HYPERLINK("CSG0.html#group6G0", "6G⁰"), =HYPERLINK("CSG1.html#group12M1", "12M¹"), =HYPERLINK("CSG0.html#group2B0", "2B⁰"), =HYPERLINK("CSG2.html#group24C2", "24C²"), =HYPERLINK("CSG0.html#group1A0", "1A⁰"), =HYPERLINK("CSG3.html#group24O3", "24O³"), =HYPERLINK("CSG7.html#group24R7", "24R⁷"), =HYPERLINK("CSG0.html#group24A0", "24A⁰"), =HYPERLINK("CSG0.html#group3C0", "3C⁰"), =HYPERLINK("CSG9.html#group24AA9", "24AA⁹"), =HYPERLINK("CSG7.html#group24AB7", "24AB⁷"), =HYPERLINK("CSG3.html#group24R3", "24R³"), =HYPERLINK("CSG0.html#group3A0", "3A⁰"), =HYPERLINK("CSG1.html#group12G1", "12G¹"), =HYPERLINK("CSG3.html#group24D3", "24D³"), =HYPERLINK("CSG0.html#group8D0", "8D⁰"), =HYPERLINK("CSG0.html#group8B0", "8B⁰"), =HYPERLINK("CSG1.html#group24B1", "24B¹"), =HYPERLINK("CSG2.html#group24L2", "24L²"), =HYPERLINK("CSG1.html#group12L1", "12L¹"), =HYPERLINK("CSG3.html#group12J3", "12J³"), =HYPERLINK("CSG0.html#group8H0", "8H⁰"), =HYPERLINK("CSG0.html#group12A0", "12A⁰"), =HYPERLINK("CSG1.html#group12C1", "12C¹"), =HYPERLINK("CSG0.html#group4A0", "4A⁰"), =HYPERLINK("CSG9.html#group24V9", "24V⁹"), =HYPERLINK("CSG4.html#group24K4", "24K⁴"), =HYPERLINK("CSG1.html#group24C1", "24C¹"), =HYPERLINK("CSG1.html#group12J1", "12J¹"), =HYPERLINK("CSG0.html#group4F0", "4F⁰"), =HYPERLINK("CSG4.html#group24L4", "24L⁴"), =HYPERLINK("CSG0.html#group6D0", "6D⁰")</f>
        <v/>
      </c>
      <c r="N4686" t="inlineStr"/>
    </row>
    <row r="4687">
      <c r="A4687" t="inlineStr">
        <is>
          <t>24AE¹⁷</t>
        </is>
      </c>
      <c r="B4687" t="inlineStr"/>
      <c r="C4687" t="inlineStr">
        <is>
          <t>288</t>
        </is>
      </c>
      <c r="D4687" t="inlineStr">
        <is>
          <t>1</t>
        </is>
      </c>
      <c r="E4687" t="inlineStr">
        <is>
          <t>36</t>
        </is>
      </c>
      <c r="F4687" t="inlineStr">
        <is>
          <t>8</t>
        </is>
      </c>
      <c r="G4687" t="inlineStr">
        <is>
          <t>0</t>
        </is>
      </c>
      <c r="H4687" t="inlineStr">
        <is>
          <t>24¹²</t>
        </is>
      </c>
      <c r="I4687" t="n">
        <v>12</v>
      </c>
      <c r="J4687" t="inlineStr">
        <is>
          <t>2², 4⁴, 8²</t>
        </is>
      </c>
      <c r="K4687">
        <f>HYPERLINK("CSG5.html#group12D5", "12D⁵"), =HYPERLINK("CSG5.html#group24P5", "24P⁵"), =HYPERLINK("CSG8.html#group24M8", "24M⁸"), =HYPERLINK("CSG8.html#group24N8", "24N⁸"), =HYPERLINK("CSG9.html#group24V9", "24V⁹"), =HYPERLINK("CSG9.html#group24Y9", "24Y⁹")</f>
        <v/>
      </c>
      <c r="L4687" t="inlineStr"/>
      <c r="M4687">
        <f>HYPERLINK("CSG4.html#group24O4", "24O⁴"), =HYPERLINK("CSG2.html#group12I2", "12I²"), =HYPERLINK("CSG1.html#group12T1", "12T¹"), =HYPERLINK("CSG0.html#group12C0", "12C⁰"), =HYPERLINK("CSG0.html#group4C0", "4C⁰"), =HYPERLINK("CSG0.html#group8A0", "8A⁰"), =HYPERLINK("CSG0.html#group6G0", "6G⁰"), =HYPERLINK("CSG0.html#group2B0", "2B⁰"), =HYPERLINK("CSG1.html#group12M1", "12M¹"), =HYPERLINK("CSG1.html#group12N1", "12N¹"), =HYPERLINK("CSG8.html#group24M8", "24M⁸"), =HYPERLINK("CSG0.html#group1A0", "1A⁰"), =HYPERLINK("CSG2.html#group12H2", "12H²"), =HYPERLINK("CSG1.html#group24A1", "24A¹"), =HYPERLINK("CSG8.html#group24N8", "24N⁸"), =HYPERLINK("CSG9.html#group24Y9", "24Y⁹"), =HYPERLINK("CSG0.html#group3C0", "3C⁰"), =HYPERLINK("CSG1.html#group12Q1", "12Q¹"), =HYPERLINK("CSG0.html#group6H0", "6H⁰"), =HYPERLINK("CSG0.html#group3A0", "3A⁰"), =HYPERLINK("CSG2.html#group24G2", "24G²"), =HYPERLINK("CSG5.html#group24P5", "24P⁵"), =HYPERLINK("CSG2.html#group24H2", "24H²"), =HYPERLINK("CSG1.html#group12G1", "12G¹"), =HYPERLINK("CSG0.html#group6B0", "6B⁰"), =HYPERLINK("CSG3.html#group24D3", "24D³"), =HYPERLINK("CSG0.html#group12F0", "12F⁰"), =HYPERLINK("CSG5.html#group12D5", "12D⁵"), =HYPERLINK("CSG1.html#group24B1", "24B¹"), =HYPERLINK("CSG1.html#group12L1", "12L¹"), =HYPERLINK("CSG1.html#group8D1", "8D¹"), =HYPERLINK("CSG3.html#group12J3", "12J³"), =HYPERLINK("CSG3.html#group24E3", "24E³"), =HYPERLINK("CSG0.html#group12G0", "12G⁰"), =HYPERLINK("CSG0.html#group12A0", "12A⁰"), =HYPERLINK("CSG4.html#group24H4", "24H⁴"), =HYPERLINK("CSG1.html#group12C1", "12C¹"), =HYPERLINK("CSG2.html#group24K2", "24K²"), =HYPERLINK("CSG3.html#group12I3", "12I³"), =HYPERLINK("CSG0.html#group6E0", "6E⁰"), =HYPERLINK("CSG0.html#group4A0", "4A⁰"), =HYPERLINK("CSG0.html#group6L0", "6L⁰"), =HYPERLINK("CSG9.html#group24V9", "24V⁹"), =HYPERLINK("CSG1.html#group12J1", "12J¹"), =HYPERLINK("CSG0.html#group12D0", "12D⁰"), =HYPERLINK("CSG0.html#group4F0", "4F⁰"), =HYPERLINK("CSG0.html#group12H0", "12H⁰"), =HYPERLINK("CSG0.html#group6D0", "6D⁰")</f>
        <v/>
      </c>
      <c r="N4687" t="inlineStr"/>
    </row>
    <row r="4688">
      <c r="A4688" t="inlineStr">
        <is>
          <t>24AF¹⁷</t>
        </is>
      </c>
      <c r="B4688" t="inlineStr"/>
      <c r="C4688" t="inlineStr">
        <is>
          <t>288</t>
        </is>
      </c>
      <c r="D4688" t="inlineStr">
        <is>
          <t>1</t>
        </is>
      </c>
      <c r="E4688" t="inlineStr">
        <is>
          <t>36</t>
        </is>
      </c>
      <c r="F4688" t="inlineStr">
        <is>
          <t>8</t>
        </is>
      </c>
      <c r="G4688" t="inlineStr">
        <is>
          <t>0</t>
        </is>
      </c>
      <c r="H4688" t="inlineStr">
        <is>
          <t>24¹²</t>
        </is>
      </c>
      <c r="I4688" t="n">
        <v>12</v>
      </c>
      <c r="J4688" t="inlineStr">
        <is>
          <t>2², 4⁴, 8²</t>
        </is>
      </c>
      <c r="K4688">
        <f>HYPERLINK("CSG7.html#group24K7", "24K⁷"), =HYPERLINK("CSG7.html#group24R7", "24R⁷"), =HYPERLINK("CSG7.html#group24Y7", "24Y⁷"), =HYPERLINK("CSG7.html#group24AB7", "24AB⁷"), =HYPERLINK("CSG9.html#group24W9", "24W⁹"), =HYPERLINK("CSG9.html#group24X9", "24X⁹"), =HYPERLINK("CSG9.html#group24Y9", "24Y⁹")</f>
        <v/>
      </c>
      <c r="L4688" t="inlineStr"/>
      <c r="M4688">
        <f>HYPERLINK("CSG4.html#group24O4", "24O⁴"), =HYPERLINK("CSG1.html#group24E1", "24E¹"), =HYPERLINK("CSG0.html#group12C0", "12C⁰"), =HYPERLINK("CSG0.html#group4C0", "4C⁰"), =HYPERLINK("CSG4.html#group24L4", "24L⁴"), =HYPERLINK("CSG0.html#group8A0", "8A⁰"), =HYPERLINK("CSG3.html#group24I3", "24I³"), =HYPERLINK("CSG0.html#group6G0", "6G⁰"), =HYPERLINK("CSG2.html#group24P2", "24P²"), =HYPERLINK("CSG0.html#group2B0", "2B⁰"), =HYPERLINK("CSG1.html#group12M1", "12M¹"), =HYPERLINK("CSG2.html#group24C2", "24C²"), =HYPERLINK("CSG0.html#group8K0", "8K⁰"), =HYPERLINK("CSG0.html#group1A0", "1A⁰"), =HYPERLINK("CSG1.html#group8H1", "8H¹"), =HYPERLINK("CSG3.html#group24O3", "24O³"), =HYPERLINK("CSG7.html#group24R7", "24R⁷"), =HYPERLINK("CSG1.html#group24A1", "24A¹"), =HYPERLINK("CSG0.html#group24A0", "24A⁰"), =HYPERLINK("CSG9.html#group24Y9", "24Y⁹"), =HYPERLINK("CSG0.html#group3C0", "3C⁰"), =HYPERLINK("CSG7.html#group24AB7", "24AB⁷"), =HYPERLINK("CSG3.html#group24R3", "24R³"), =HYPERLINK("CSG0.html#group3A0", "3A⁰"), =HYPERLINK("CSG7.html#group24K7", "24K⁷"), =HYPERLINK("CSG1.html#group12G1", "12G¹"), =HYPERLINK("CSG0.html#group8D0", "8D⁰"), =HYPERLINK("CSG0.html#group8B0", "8B⁰"), =HYPERLINK("CSG9.html#group24W9", "24W⁹"), =HYPERLINK("CSG1.html#group24B1", "24B¹"), =HYPERLINK("CSG2.html#group24L2", "24L²"), =HYPERLINK("CSG1.html#group12L1", "12L¹"), =HYPERLINK("CSG1.html#group8D1", "8D¹"), =HYPERLINK("CSG3.html#group12J3", "12J³"), =HYPERLINK("CSG3.html#group24J3", "24J³"), =HYPERLINK("CSG0.html#group8H0", "8H⁰"), =HYPERLINK("CSG3.html#group24E3", "24E³"), =HYPERLINK("CSG4.html#group24H4", "24H⁴"), =HYPERLINK("CSG0.html#group12A0", "12A⁰"), =HYPERLINK("CSG1.html#group12C1", "12C¹"), =HYPERLINK("CSG0.html#group4A0", "4A⁰"), =HYPERLINK("CSG9.html#group24X9", "24X⁹"), =HYPERLINK("CSG1.html#group24C1", "24C¹"), =HYPERLINK("CSG4.html#group24K4", "24K⁴"), =HYPERLINK("CSG1.html#group12J1", "12J¹"), =HYPERLINK("CSG0.html#group4F0", "4F⁰"), =HYPERLINK("CSG7.html#group24Y7", "24Y⁷"), =HYPERLINK("CSG0.html#group6D0", "6D⁰")</f>
        <v/>
      </c>
      <c r="N4688" t="inlineStr"/>
    </row>
    <row r="4689">
      <c r="A4689" t="inlineStr">
        <is>
          <t>24AG¹⁷</t>
        </is>
      </c>
      <c r="B4689" t="inlineStr"/>
      <c r="C4689" t="inlineStr">
        <is>
          <t>288</t>
        </is>
      </c>
      <c r="D4689" t="inlineStr">
        <is>
          <t>1</t>
        </is>
      </c>
      <c r="E4689" t="inlineStr">
        <is>
          <t>36</t>
        </is>
      </c>
      <c r="F4689" t="inlineStr">
        <is>
          <t>8</t>
        </is>
      </c>
      <c r="G4689" t="inlineStr">
        <is>
          <t>0</t>
        </is>
      </c>
      <c r="H4689" t="inlineStr">
        <is>
          <t>24¹²</t>
        </is>
      </c>
      <c r="I4689" t="n">
        <v>12</v>
      </c>
      <c r="J4689" t="inlineStr">
        <is>
          <t>1², 2³, 4³, 8²</t>
        </is>
      </c>
      <c r="K4689">
        <f>HYPERLINK("CSG7.html#group24R7", "24R⁷"), =HYPERLINK("CSG7.html#group24AC7", "24AC⁷")</f>
        <v/>
      </c>
      <c r="L4689" t="inlineStr"/>
      <c r="M4689">
        <f>HYPERLINK("CSG1.html#group24E1", "24E¹"), =HYPERLINK("CSG0.html#group12C0", "12C⁰"), =HYPERLINK("CSG7.html#group24AC7", "24AC⁷"), =HYPERLINK("CSG0.html#group4C0", "4C⁰"), =HYPERLINK("CSG3.html#group24I3", "24I³"), =HYPERLINK("CSG0.html#group6G0", "6G⁰"), =HYPERLINK("CSG2.html#group24P2", "24P²"), =HYPERLINK("CSG1.html#group12M1", "12M¹"), =HYPERLINK("CSG0.html#group2B0", "2B⁰"), =HYPERLINK("CSG2.html#group24C2", "24C²"), =HYPERLINK("CSG0.html#group1A0", "1A⁰"), =HYPERLINK("CSG3.html#group24O3", "24O³"), =HYPERLINK("CSG7.html#group24R7", "24R⁷"), =HYPERLINK("CSG0.html#group24A0", "24A⁰"), =HYPERLINK("CSG0.html#group3C0", "3C⁰"), =HYPERLINK("CSG0.html#group3A0", "3A⁰"), =HYPERLINK("CSG1.html#group12G1", "12G¹"), =HYPERLINK("CSG0.html#group8D0", "8D⁰"), =HYPERLINK("CSG0.html#group8B0", "8B⁰"), =HYPERLINK("CSG2.html#group24L2", "24L²"), =HYPERLINK("CSG1.html#group12L1", "12L¹"), =HYPERLINK("CSG3.html#group12J3", "12J³"), =HYPERLINK("CSG0.html#group8H0", "8H⁰"), =HYPERLINK("CSG0.html#group12A0", "12A⁰"), =HYPERLINK("CSG1.html#group12C1", "12C¹"), =HYPERLINK("CSG0.html#group4A0", "4A⁰"), =HYPERLINK("CSG4.html#group24K4", "24K⁴"), =HYPERLINK("CSG1.html#group24C1", "24C¹"), =HYPERLINK("CSG1.html#group12J1", "12J¹"), =HYPERLINK("CSG0.html#group4F0", "4F⁰"), =HYPERLINK("CSG4.html#group24L4", "24L⁴"), =HYPERLINK("CSG0.html#group6D0", "6D⁰")</f>
        <v/>
      </c>
      <c r="N4689" t="inlineStr"/>
    </row>
    <row r="4690">
      <c r="A4690" t="inlineStr">
        <is>
          <t>24AH¹⁷</t>
        </is>
      </c>
      <c r="B4690" t="inlineStr"/>
      <c r="C4690" t="inlineStr">
        <is>
          <t>288</t>
        </is>
      </c>
      <c r="D4690" t="inlineStr">
        <is>
          <t>1</t>
        </is>
      </c>
      <c r="E4690" t="inlineStr">
        <is>
          <t>36</t>
        </is>
      </c>
      <c r="F4690" t="inlineStr">
        <is>
          <t>8</t>
        </is>
      </c>
      <c r="G4690" t="inlineStr">
        <is>
          <t>0</t>
        </is>
      </c>
      <c r="H4690" t="inlineStr">
        <is>
          <t>24¹²</t>
        </is>
      </c>
      <c r="I4690" t="n">
        <v>12</v>
      </c>
      <c r="J4690" t="inlineStr">
        <is>
          <t>1², 2³, 4³, 8²</t>
        </is>
      </c>
      <c r="K4690">
        <f>HYPERLINK("CSG5.html#group24O5", "24O⁵"), =HYPERLINK("CSG7.html#group24L7", "24L⁷"), =HYPERLINK("CSG7.html#group24R7", "24R⁷"), =HYPERLINK("CSG7.html#group24AC7", "24AC⁷")</f>
        <v/>
      </c>
      <c r="L4690" t="inlineStr"/>
      <c r="M4690">
        <f>HYPERLINK("CSG1.html#group24E1", "24E¹"), =HYPERLINK("CSG0.html#group12C0", "12C⁰"), =HYPERLINK("CSG7.html#group24AC7", "24AC⁷"), =HYPERLINK("CSG0.html#group4C0", "4C⁰"), =HYPERLINK("CSG3.html#group24I3", "24I³"), =HYPERLINK("CSG0.html#group6G0", "6G⁰"), =HYPERLINK("CSG2.html#group24P2", "24P²"), =HYPERLINK("CSG1.html#group12M1", "12M¹"), =HYPERLINK("CSG0.html#group2B0", "2B⁰"), =HYPERLINK("CSG2.html#group24C2", "24C²"), =HYPERLINK("CSG0.html#group1A0", "1A⁰"), =HYPERLINK("CSG3.html#group24O3", "24O³"), =HYPERLINK("CSG7.html#group24R7", "24R⁷"), =HYPERLINK("CSG0.html#group24A0", "24A⁰"), =HYPERLINK("CSG0.html#group3C0", "3C⁰"), =HYPERLINK("CSG7.html#group24L7", "24L⁷"), =HYPERLINK("CSG0.html#group3A0", "3A⁰"), =HYPERLINK("CSG1.html#group12G1", "12G¹"), =HYPERLINK("CSG0.html#group8D0", "8D⁰"), =HYPERLINK("CSG5.html#group24O5", "24O⁵"), =HYPERLINK("CSG0.html#group8B0", "8B⁰"), =HYPERLINK("CSG2.html#group24L2", "24L²"), =HYPERLINK("CSG1.html#group12L1", "12L¹"), =HYPERLINK("CSG3.html#group12J3", "12J³"), =HYPERLINK("CSG0.html#group8H0", "8H⁰"), =HYPERLINK("CSG1.html#group24F1", "24F¹"), =HYPERLINK("CSG0.html#group12A0", "12A⁰"), =HYPERLINK("CSG0.html#group8F0", "8F⁰"), =HYPERLINK("CSG1.html#group12C1", "12C¹"), =HYPERLINK("CSG0.html#group4A0", "4A⁰"), =HYPERLINK("CSG1.html#group8I1", "8I¹"), =HYPERLINK("CSG4.html#group24K4", "24K⁴"), =HYPERLINK("CSG1.html#group24C1", "24C¹"), =HYPERLINK("CSG1.html#group12J1", "12J¹"), =HYPERLINK("CSG0.html#group4F0", "4F⁰"), =HYPERLINK("CSG4.html#group24L4", "24L⁴"), =HYPERLINK("CSG0.html#group6D0", "6D⁰")</f>
        <v/>
      </c>
      <c r="N4690" t="inlineStr"/>
    </row>
    <row r="4691">
      <c r="A4691" t="inlineStr">
        <is>
          <t>24AI¹⁷</t>
        </is>
      </c>
      <c r="B4691" t="inlineStr"/>
      <c r="C4691" t="inlineStr">
        <is>
          <t>288</t>
        </is>
      </c>
      <c r="D4691" t="inlineStr">
        <is>
          <t>1</t>
        </is>
      </c>
      <c r="E4691" t="inlineStr">
        <is>
          <t>72</t>
        </is>
      </c>
      <c r="F4691" t="inlineStr">
        <is>
          <t>8</t>
        </is>
      </c>
      <c r="G4691" t="inlineStr">
        <is>
          <t>0</t>
        </is>
      </c>
      <c r="H4691" t="inlineStr">
        <is>
          <t>24¹²</t>
        </is>
      </c>
      <c r="I4691" t="n">
        <v>12</v>
      </c>
      <c r="J4691" t="inlineStr">
        <is>
          <t>2², 4⁵, 8⁶</t>
        </is>
      </c>
      <c r="K4691">
        <f>HYPERLINK("CSG7.html#group24P7", "24P⁷")</f>
        <v/>
      </c>
      <c r="L4691" t="inlineStr"/>
      <c r="M4691">
        <f>HYPERLINK("CSG3.html#group24Q3", "24Q³"), =HYPERLINK("CSG1.html#group24E1", "24E¹"), =HYPERLINK("CSG7.html#group24P7", "24P⁷"), =HYPERLINK("CSG0.html#group12C0", "12C⁰"), =HYPERLINK("CSG0.html#group8D0", "8D⁰"), =HYPERLINK("CSG0.html#group4C0", "4C⁰"), =HYPERLINK("CSG1.html#group24D1", "24D¹"), =HYPERLINK("CSG0.html#group6G0", "6G⁰"), =HYPERLINK("CSG1.html#group12M1", "12M¹"), =HYPERLINK("CSG0.html#group2B0", "2B⁰"), =HYPERLINK("CSG0.html#group1A0", "1A⁰"), =HYPERLINK("CSG3.html#group24O3", "24O³"), =HYPERLINK("CSG1.html#group12L1", "12L¹"), =HYPERLINK("CSG1.html#group12C1", "12C¹"), =HYPERLINK("CSG3.html#group24H3", "24H³"), =HYPERLINK("CSG3.html#group12I3", "12I³"), =HYPERLINK("CSG3.html#group24T3", "24T³"), =HYPERLINK("CSG1.html#group24C1", "24C¹"), =HYPERLINK("CSG0.html#group3C0", "3C⁰"), =HYPERLINK("CSG0.html#group3A0", "3A⁰"), =HYPERLINK("CSG0.html#group6D0", "6D⁰")</f>
        <v/>
      </c>
      <c r="N4691" t="inlineStr"/>
    </row>
    <row r="4692">
      <c r="A4692" t="inlineStr">
        <is>
          <t>24AJ¹⁷</t>
        </is>
      </c>
      <c r="B4692" t="inlineStr"/>
      <c r="C4692" t="inlineStr">
        <is>
          <t>288</t>
        </is>
      </c>
      <c r="D4692" t="inlineStr">
        <is>
          <t>2</t>
        </is>
      </c>
      <c r="E4692" t="inlineStr">
        <is>
          <t>36</t>
        </is>
      </c>
      <c r="F4692" t="inlineStr">
        <is>
          <t>0</t>
        </is>
      </c>
      <c r="G4692" t="inlineStr">
        <is>
          <t>0</t>
        </is>
      </c>
      <c r="H4692" t="inlineStr">
        <is>
          <t>12⁸, 24⁸</t>
        </is>
      </c>
      <c r="I4692" t="n">
        <v>16</v>
      </c>
      <c r="J4692" t="inlineStr">
        <is>
          <t>2²⁴, 4⁶</t>
        </is>
      </c>
      <c r="K4692">
        <f>HYPERLINK("CSG8.html#group24G8", "24G⁸"), =HYPERLINK("CSG8.html#group24H8", "24H⁸"), =HYPERLINK("CSG8.html#group24I8", "24I⁸"), =HYPERLINK("CSG8.html#group24J8", "24J⁸"), =HYPERLINK("CSG9.html#group24T9", "24T⁹"), =HYPERLINK("CSG9.html#group24U9", "24U⁹"), =HYPERLINK("CSG9.html#group24Z9", "24Z⁹")</f>
        <v/>
      </c>
      <c r="L4692" t="inlineStr"/>
      <c r="M4692">
        <f>HYPERLINK("CSG0.html#group2A0", "2A⁰"), =HYPERLINK("CSG1.html#group24E1", "24E¹"), =HYPERLINK("CSG0.html#group12C0", "12C⁰"), =HYPERLINK("CSG4.html#group24P4", "24P⁴"), =HYPERLINK("CSG1.html#group6C1", "6C¹"), =HYPERLINK("CSG0.html#group4C0", "4C⁰"), =HYPERLINK("CSG2.html#group12B2", "12B²"), =HYPERLINK("CSG2.html#group12E2", "12E²"), =HYPERLINK("CSG0.html#group2B0", "2B⁰"), =HYPERLINK("CSG0.html#group4E0", "4E⁰"), =HYPERLINK("CSG2.html#group24C2", "24C²"), =HYPERLINK("CSG1.html#group12M1", "12M¹"), =HYPERLINK("CSG0.html#group4B0", "4B⁰"), =HYPERLINK("CSG0.html#group1A0", "1A⁰"), =HYPERLINK("CSG8.html#group24I8", "24I⁸"), =HYPERLINK("CSG5.html#group24F5", "24F⁵"), =HYPERLINK("CSG4.html#group24N4", "24N⁴"), =HYPERLINK("CSG8.html#group24H8", "24H⁸"), =HYPERLINK("CSG8.html#group24J8", "24J⁸"), =HYPERLINK("CSG2.html#group24D2", "24D²"), =HYPERLINK("CSG3.html#group24T3", "24T³"), =HYPERLINK("CSG1.html#group12B1", "12B¹"), =HYPERLINK("CSG1.html#group6A1", "6A¹"), =HYPERLINK("CSG0.html#group3A0", "3A⁰"), =HYPERLINK("CSG1.html#group24D1", "24D¹"), =HYPERLINK("CSG8.html#group24G8", "24G⁸"), =HYPERLINK("CSG0.html#group6A0", "6A⁰"), =HYPERLINK("CSG9.html#group24U9", "24U⁹"), =HYPERLINK("CSG1.html#group12C1", "12C¹"), =HYPERLINK("CSG9.html#group24T9", "24T⁹"), =HYPERLINK("CSG9.html#group24Z9", "24Z⁹"), =HYPERLINK("CSG4.html#group24E4", "24E⁴"), =HYPERLINK("CSG0.html#group12D0", "12D⁰"), =HYPERLINK("CSG4.html#group12C4", "12C⁴"), =HYPERLINK("CSG0.html#group8J0", "8J⁰"), =HYPERLINK("CSG0.html#group2C0", "2C⁰"), =HYPERLINK("CSG0.html#group6D0", "6D⁰"), =HYPERLINK("CSG4.html#group24G4", "24G⁴")</f>
        <v/>
      </c>
      <c r="N4692" t="inlineStr"/>
    </row>
    <row r="4693">
      <c r="A4693" t="inlineStr">
        <is>
          <t>24AK¹⁷</t>
        </is>
      </c>
      <c r="B4693" t="inlineStr"/>
      <c r="C4693" t="inlineStr">
        <is>
          <t>288</t>
        </is>
      </c>
      <c r="D4693" t="inlineStr">
        <is>
          <t>2</t>
        </is>
      </c>
      <c r="E4693" t="inlineStr">
        <is>
          <t>36</t>
        </is>
      </c>
      <c r="F4693" t="inlineStr">
        <is>
          <t>8</t>
        </is>
      </c>
      <c r="G4693" t="inlineStr">
        <is>
          <t>0</t>
        </is>
      </c>
      <c r="H4693" t="inlineStr">
        <is>
          <t>24¹²</t>
        </is>
      </c>
      <c r="I4693" t="n">
        <v>12</v>
      </c>
      <c r="J4693" t="inlineStr">
        <is>
          <t>4⁶, 8⁶</t>
        </is>
      </c>
      <c r="K4693">
        <f>HYPERLINK("CSG6.html#group24E6", "24E⁶"), =HYPERLINK("CSG7.html#group24AE7", "24AE⁷"), =HYPERLINK("CSG8.html#group24L8", "24L⁸"), =HYPERLINK("CSG8.html#group24N8", "24N⁸"), =HYPERLINK("CSG8.html#group24P8", "24P⁸"), =HYPERLINK("CSG9.html#group24X9", "24X⁹"), =HYPERLINK("CSG9.html#group24AA9", "24AA⁹")</f>
        <v/>
      </c>
      <c r="L4693" t="inlineStr"/>
      <c r="M4693">
        <f>HYPERLINK("CSG4.html#group24O4", "24O⁴"), =HYPERLINK("CSG2.html#group12I2", "12I²"), =HYPERLINK("CSG1.html#group24E1", "24E¹"), =HYPERLINK("CSG0.html#group12C0", "12C⁰"), =HYPERLINK("CSG4.html#group24P4", "24P⁴"), =HYPERLINK("CSG0.html#group4C0", "4C⁰"), =HYPERLINK("CSG0.html#group8A0", "8A⁰"), =HYPERLINK("CSG1.html#group12M1", "12M¹"), =HYPERLINK("CSG0.html#group2B0", "2B⁰"), =HYPERLINK("CSG3.html#group24P3", "24P³"), =HYPERLINK("CSG2.html#group24C2", "24C²"), =HYPERLINK("CSG0.html#group1A0", "1A⁰"), =HYPERLINK("CSG1.html#group24A1", "24A¹"), =HYPERLINK("CSG7.html#group24AE7", "24AE⁷"), =HYPERLINK("CSG3.html#group24S3", "24S³"), =HYPERLINK("CSG8.html#group24N8", "24N⁸"), =HYPERLINK("CSG3.html#group24T3", "24T³"), =HYPERLINK("CSG9.html#group24AA9", "24AA⁹"), =HYPERLINK("CSG3.html#group24R3", "24R³"), =HYPERLINK("CSG0.html#group6H0", "6H⁰"), =HYPERLINK("CSG0.html#group3A0", "3A⁰"), =HYPERLINK("CSG0.html#group6B0", "6B⁰"), =HYPERLINK("CSG6.html#group24E6", "24E⁶"), =HYPERLINK("CSG2.html#group24N2", "24N²"), =HYPERLINK("CSG1.html#group24D1", "24D¹"), =HYPERLINK("CSG0.html#group12F0", "12F⁰"), =HYPERLINK("CSG1.html#group24B1", "24B¹"), =HYPERLINK("CSG8.html#group24P8", "24P⁸"), =HYPERLINK("CSG1.html#group8D1", "8D¹"), =HYPERLINK("CSG0.html#group12A0", "12A⁰"), =HYPERLINK("CSG4.html#group24H4", "24H⁴"), =HYPERLINK("CSG2.html#group24K2", "24K²"), =HYPERLINK("CSG0.html#group4A0", "4A⁰"), =HYPERLINK("CSG8.html#group24L8", "24L⁸"), =HYPERLINK("CSG9.html#group24X9", "24X⁹"), =HYPERLINK("CSG4.html#group24K4", "24K⁴"), =HYPERLINK("CSG1.html#group12J1", "12J¹"), =HYPERLINK("CSG0.html#group12D0", "12D⁰"), =HYPERLINK("CSG0.html#group4F0", "4F⁰"), =HYPERLINK("CSG0.html#group12H0", "12H⁰"), =HYPERLINK("CSG0.html#group6D0", "6D⁰")</f>
        <v/>
      </c>
      <c r="N4693" t="inlineStr"/>
    </row>
    <row r="4694">
      <c r="A4694" t="inlineStr">
        <is>
          <t>24AL¹⁷</t>
        </is>
      </c>
      <c r="B4694" t="inlineStr"/>
      <c r="C4694" t="inlineStr">
        <is>
          <t>288</t>
        </is>
      </c>
      <c r="D4694" t="inlineStr">
        <is>
          <t>2</t>
        </is>
      </c>
      <c r="E4694" t="inlineStr">
        <is>
          <t>36</t>
        </is>
      </c>
      <c r="F4694" t="inlineStr">
        <is>
          <t>8</t>
        </is>
      </c>
      <c r="G4694" t="inlineStr">
        <is>
          <t>0</t>
        </is>
      </c>
      <c r="H4694" t="inlineStr">
        <is>
          <t>24¹²</t>
        </is>
      </c>
      <c r="I4694" t="n">
        <v>12</v>
      </c>
      <c r="J4694" t="inlineStr">
        <is>
          <t>4⁶, 8⁶</t>
        </is>
      </c>
      <c r="K4694">
        <f>HYPERLINK("CSG6.html#group24F6", "24F⁶"), =HYPERLINK("CSG7.html#group24AE7", "24AE⁷"), =HYPERLINK("CSG8.html#group24K8", "24K⁸"), =HYPERLINK("CSG8.html#group24M8", "24M⁸"), =HYPERLINK("CSG8.html#group24P8", "24P⁸"), =HYPERLINK("CSG9.html#group24W9", "24W⁹"), =HYPERLINK("CSG9.html#group24AA9", "24AA⁹")</f>
        <v/>
      </c>
      <c r="L4694" t="inlineStr"/>
      <c r="M4694">
        <f>HYPERLINK("CSG4.html#group24O4", "24O⁴"), =HYPERLINK("CSG2.html#group12I2", "12I²"), =HYPERLINK("CSG1.html#group24E1", "24E¹"), =HYPERLINK("CSG0.html#group12C0", "12C⁰"), =HYPERLINK("CSG4.html#group24P4", "24P⁴"), =HYPERLINK("CSG0.html#group4C0", "4C⁰"), =HYPERLINK("CSG6.html#group24F6", "24F⁶"), =HYPERLINK("CSG1.html#group12M1", "12M¹"), =HYPERLINK("CSG3.html#group24P3", "24P³"), =HYPERLINK("CSG0.html#group2B0", "2B⁰"), =HYPERLINK("CSG2.html#group24C2", "24C²"), =HYPERLINK("CSG8.html#group24M8", "24M⁸"), =HYPERLINK("CSG0.html#group1A0", "1A⁰"), =HYPERLINK("CSG0.html#group8K0", "8K⁰"), =HYPERLINK("CSG7.html#group24AE7", "24AE⁷"), =HYPERLINK("CSG3.html#group24S3", "24S³"), =HYPERLINK("CSG3.html#group24T3", "24T³"), =HYPERLINK("CSG9.html#group24AA9", "24AA⁹"), =HYPERLINK("CSG3.html#group24R3", "24R³"), =HYPERLINK("CSG0.html#group6H0", "6H⁰"), =HYPERLINK("CSG0.html#group3A0", "3A⁰"), =HYPERLINK("CSG2.html#group24G2", "24G²"), =HYPERLINK("CSG2.html#group24H2", "24H²"), =HYPERLINK("CSG0.html#group6B0", "6B⁰"), =HYPERLINK("CSG2.html#group24N2", "24N²"), =HYPERLINK("CSG1.html#group24D1", "24D¹"), =HYPERLINK("CSG0.html#group12F0", "12F⁰"), =HYPERLINK("CSG9.html#group24W9", "24W⁹"), =HYPERLINK("CSG1.html#group24B1", "24B¹"), =HYPERLINK("CSG8.html#group24P8", "24P⁸"), =HYPERLINK("CSG3.html#group24J3", "24J³"), =HYPERLINK("CSG0.html#group12A0", "12A⁰"), =HYPERLINK("CSG0.html#group4A0", "4A⁰"), =HYPERLINK("CSG8.html#group24K8", "24K⁸"), =HYPERLINK("CSG4.html#group24K4", "24K⁴"), =HYPERLINK("CSG1.html#group12J1", "12J¹"), =HYPERLINK("CSG0.html#group12D0", "12D⁰"), =HYPERLINK("CSG0.html#group4F0", "4F⁰"), =HYPERLINK("CSG0.html#group12H0", "12H⁰"), =HYPERLINK("CSG0.html#group6D0", "6D⁰")</f>
        <v/>
      </c>
      <c r="N4694" t="inlineStr"/>
    </row>
    <row r="4695">
      <c r="A4695" t="inlineStr">
        <is>
          <t>24AM¹⁷</t>
        </is>
      </c>
      <c r="B4695" t="inlineStr"/>
      <c r="C4695" t="inlineStr">
        <is>
          <t>288</t>
        </is>
      </c>
      <c r="D4695" t="inlineStr">
        <is>
          <t>2</t>
        </is>
      </c>
      <c r="E4695" t="inlineStr">
        <is>
          <t>72</t>
        </is>
      </c>
      <c r="F4695" t="inlineStr">
        <is>
          <t>8</t>
        </is>
      </c>
      <c r="G4695" t="inlineStr">
        <is>
          <t>0</t>
        </is>
      </c>
      <c r="H4695" t="inlineStr">
        <is>
          <t>24¹²</t>
        </is>
      </c>
      <c r="I4695" t="n">
        <v>12</v>
      </c>
      <c r="J4695" t="inlineStr">
        <is>
          <t>4¹², 8¹²</t>
        </is>
      </c>
      <c r="K4695">
        <f>HYPERLINK("CSG6.html#group24J6", "24J⁶"), =HYPERLINK("CSG7.html#group24AD7", "24AD⁷"), =HYPERLINK("CSG8.html#group24O8", "24O⁸")</f>
        <v/>
      </c>
      <c r="L4695" t="inlineStr"/>
      <c r="M4695">
        <f>HYPERLINK("CSG7.html#group24AD7", "24AD⁷"), =HYPERLINK("CSG2.html#group24O2", "24O²"), =HYPERLINK("CSG3.html#group24Q3", "24Q³"), =HYPERLINK("CSG1.html#group24E1", "24E¹"), =HYPERLINK("CSG0.html#group6B0", "6B⁰"), =HYPERLINK("CSG0.html#group12C0", "12C⁰"), =HYPERLINK("CSG0.html#group3A0", "3A⁰"), =HYPERLINK("CSG4.html#group24P4", "24P⁴"), =HYPERLINK("CSG0.html#group8D0", "8D⁰"), =HYPERLINK("CSG0.html#group4C0", "4C⁰"), =HYPERLINK("CSG1.html#group24D1", "24D¹"), =HYPERLINK("CSG0.html#group2B0", "2B⁰"), =HYPERLINK("CSG1.html#group12M1", "12M¹"), =HYPERLINK("CSG6.html#group24J6", "24J⁶"), =HYPERLINK("CSG2.html#group24C2", "24C²"), =HYPERLINK("CSG0.html#group1A0", "1A⁰"), =HYPERLINK("CSG2.html#group12H2", "12H²"), =HYPERLINK("CSG3.html#group24S3", "24S³"), =HYPERLINK("CSG8.html#group24O8", "24O⁸"), =HYPERLINK("CSG3.html#group24T3", "24T³"), =HYPERLINK("CSG1.html#group24C1", "24C¹"), =HYPERLINK("CSG0.html#group12D0", "12D⁰"), =HYPERLINK("CSG0.html#group6H0", "6H⁰"), =HYPERLINK("CSG0.html#group12H0", "12H⁰"), =HYPERLINK("CSG4.html#group24L4", "24L⁴"), =HYPERLINK("CSG0.html#group6D0", "6D⁰")</f>
        <v/>
      </c>
      <c r="N4695" t="inlineStr"/>
    </row>
    <row r="4696">
      <c r="A4696" t="inlineStr">
        <is>
          <t>24AN¹⁷</t>
        </is>
      </c>
      <c r="B4696" t="inlineStr"/>
      <c r="C4696" t="inlineStr">
        <is>
          <t>384</t>
        </is>
      </c>
      <c r="D4696" t="inlineStr">
        <is>
          <t>1</t>
        </is>
      </c>
      <c r="E4696" t="inlineStr">
        <is>
          <t>12</t>
        </is>
      </c>
      <c r="F4696" t="inlineStr">
        <is>
          <t>0</t>
        </is>
      </c>
      <c r="G4696" t="inlineStr">
        <is>
          <t>0</t>
        </is>
      </c>
      <c r="H4696" t="inlineStr">
        <is>
          <t>4⁸, 8⁸, 12⁸, 24⁸</t>
        </is>
      </c>
      <c r="I4696" t="n">
        <v>32</v>
      </c>
      <c r="J4696" t="inlineStr">
        <is>
          <t>1⁶, 2³</t>
        </is>
      </c>
      <c r="K4696">
        <f>HYPERLINK("CSG7.html#group24AF7", "24AF⁷"), =HYPERLINK("CSG7.html#group24AH7", "24AH⁷"), =HYPERLINK("CSG9.html#group24AF9", "24AF⁹"), =HYPERLINK("CSG9.html#group24AG9", "24AG⁹"), =HYPERLINK("CSG9.html#group24AI9", "24AI⁹")</f>
        <v/>
      </c>
      <c r="L4696" t="inlineStr"/>
      <c r="M4696">
        <f>HYPERLINK("CSG0.html#group2A0", "2A⁰"), =HYPERLINK("CSG3.html#group24V3", "24V³"), =HYPERLINK("CSG9.html#group24AG9", "24AG⁹"), =HYPERLINK("CSG1.html#group24G1", "24G¹"), =HYPERLINK("CSG0.html#group4C0", "4C⁰"), =HYPERLINK("CSG7.html#group24AH7", "24AH⁷"),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=HYPERLINK("CSG0.html#group8G0", "8G⁰"), =HYPERLINK("CSG0.html#group4D0", "4D⁰"), =HYPERLINK("CSG1.html#group12A1", "12A¹"), =HYPERLINK("CSG0.html#group6F0", "6F⁰"), =HYPERLINK("CSG0.html#group3B0", "3B⁰"), =HYPERLINK("CSG7.html#group24AF7", "24AF⁷"), =HYPERLINK("CSG1.html#group12I1", "12I¹"), =HYPERLINK("CSG3.html#group24Z3", "24Z³"), =HYPERLINK("CSG1.html#group8A1", "8A¹"), =HYPERLINK("CSG3.html#group24B3", "24B³"), =HYPERLINK("CSG5.html#group24K5", "24K⁵"), =HYPERLINK("CSG1.html#group12F1", "12F¹"), =HYPERLINK("CSG0.html#group6I0", "6I⁰"), =HYPERLINK("CSG0.html#group8D0", "8D⁰"), =HYPERLINK("CSG0.html#group6C0", "6C⁰"), =HYPERLINK("CSG0.html#group8B0", "8B⁰"), =HYPERLINK("CSG1.html#group8B1", "8B¹"), =HYPERLINK("CSG1.html#group12P1", "12P¹"), =HYPERLINK("CSG3.html#group24C3", "24C³"), =HYPERLINK("CSG0.html#group8H0", "8H⁰"), =HYPERLINK("CSG5.html#group24I5", "24I⁵"), =HYPERLINK("CSG3.html#group24X3", "24X³"), =HYPERLINK("CSG1.html#group8C1", "8C¹"), =HYPERLINK("CSG2.html#group24I2", "24I²"), =HYPERLINK("CSG5.html#group24M5", "24M⁵"), =HYPERLINK("CSG0.html#group4A0", "4A⁰"), =HYPERLINK("CSG9.html#group24AI9", "24AI⁹"), =HYPERLINK("CSG2.html#group12G2", "12G²"), =HYPERLINK("CSG3.html#group12K3", "12K³"), =HYPERLINK("CSG0.html#group4F0", "4F⁰"), =HYPERLINK("CSG5.html#group24J5", "24J⁵"), =HYPERLINK("CSG0.html#group2C0", "2C⁰"), =HYPERLINK("CSG0.html#group12E0", "12E⁰"), =HYPERLINK("CSG9.html#group24AF9", "24AF⁹")</f>
        <v/>
      </c>
      <c r="N4696" t="inlineStr"/>
    </row>
    <row r="4697">
      <c r="A4697" t="inlineStr">
        <is>
          <t>24AO¹⁷</t>
        </is>
      </c>
      <c r="B4697" t="inlineStr"/>
      <c r="C4697" t="inlineStr">
        <is>
          <t>384</t>
        </is>
      </c>
      <c r="D4697" t="inlineStr">
        <is>
          <t>1</t>
        </is>
      </c>
      <c r="E4697" t="inlineStr">
        <is>
          <t>12</t>
        </is>
      </c>
      <c r="F4697" t="inlineStr">
        <is>
          <t>0</t>
        </is>
      </c>
      <c r="G4697" t="inlineStr">
        <is>
          <t>0</t>
        </is>
      </c>
      <c r="H4697" t="inlineStr">
        <is>
          <t>4⁸, 8⁸, 12⁸, 24⁸</t>
        </is>
      </c>
      <c r="I4697" t="n">
        <v>32</v>
      </c>
      <c r="J4697" t="inlineStr">
        <is>
          <t>1⁶, 2³</t>
        </is>
      </c>
      <c r="K4697">
        <f>HYPERLINK("CSG1.html#group8K1", "8K¹"), =HYPERLINK("CSG7.html#group24AG7", "24AG⁷"), =HYPERLINK("CSG7.html#group24AI7", "24AI⁷"), =HYPERLINK("CSG9.html#group24AF9", "24AF⁹"), =HYPERLINK("CSG9.html#group24AH9", "24AH⁹"), =HYPERLINK("CSG9.html#group24AJ9", "24AJ⁹")</f>
        <v/>
      </c>
      <c r="L4697" t="inlineStr"/>
      <c r="M4697">
        <f>HYPERLINK("CSG0.html#group2A0", "2A⁰"), =HYPERLINK("CSG3.html#group24V3", "24V³"), =HYPERLINK("CSG5.html#group24N5", "24N⁵"), =HYPERLINK("CSG3.html#group24AA3", "24AA³"), =HYPERLINK("CSG1.html#group24G1", "24G¹"), =HYPERLINK("CSG0.html#group4C0", "4C⁰"), =HYPERLINK("CSG9.html#group24AH9", "24AH⁹"), =HYPERLINK("CSG0.html#group8L0", "8L⁰"), =HYPERLINK("CSG0.html#group2B0", "2B⁰"), =HYPERLINK("CSG0.html#group4G0", "4G⁰"), =HYPERLINK("CSG0.html#group4E0", "4E⁰"), =HYPERLINK("CSG0.html#group8C0", "8C⁰"), =HYPERLINK("CSG0.html#group4B0", "4B⁰"), =HYPERLINK("CSG1.html#group8F1", "8F¹"), =HYPERLINK("CSG0.html#group1A0", "1A⁰"), =HYPERLINK("CSG0.html#group8K0", "8K⁰"), =HYPERLINK("CSG9.html#group24AJ9", "24AJ⁹"), =HYPERLINK("CSG0.html#group8G0", "8G⁰"), =HYPERLINK("CSG1.html#group8G1", "8G¹"), =HYPERLINK("CSG1.html#group12A1", "12A¹"), =HYPERLINK("CSG0.html#group4D0", "4D⁰"), =HYPERLINK("CSG0.html#group12E0", "12E⁰"), =HYPERLINK("CSG0.html#group8P0", "8P⁰"), =HYPERLINK("CSG0.html#group6F0", "6F⁰"), =HYPERLINK("CSG0.html#group3B0", "3B⁰"), =HYPERLINK("CSG0.html#group8N0", "8N⁰"), =HYPERLINK("CSG5.html#group24K5", "24K⁵"), =HYPERLINK("CSG1.html#group8A1", "8A¹"), =HYPERLINK("CSG1.html#group12I1", "12I¹"), =HYPERLINK("CSG3.html#group24B3", "24B³"), =HYPERLINK("CSG1.html#group8K1", "8K¹"), =HYPERLINK("CSG0.html#group8D0", "8D⁰"), =HYPERLINK("CSG1.html#group12F1", "12F¹"), =HYPERLINK("CSG0.html#group6I0", "6I⁰"), =HYPERLINK("CSG0.html#group6C0", "6C⁰"), =HYPERLINK("CSG0.html#group8B0", "8B⁰"), =HYPERLINK("CSG7.html#group24AG7", "24AG⁷"), =HYPERLINK("CSG1.html#group8B1", "8B¹"), =HYPERLINK("CSG0.html#group8I0", "8I⁰"), =HYPERLINK("CSG1.html#group12P1", "12P¹"), =HYPERLINK("CSG0.html#group8H0", "8H⁰"), =HYPERLINK("CSG3.html#group24C3", "24C³"), =HYPERLINK("CSG5.html#group24I5", "24I⁵"), =HYPERLINK("CSG1.html#group8C1", "8C¹"), =HYPERLINK("CSG2.html#group24I2", "24I²"), =HYPERLINK("CSG0.html#group4A0", "4A⁰"), =HYPERLINK("CSG4.html#group24R4", "24R⁴"), =HYPERLINK("CSG2.html#group12G2", "12G²"), =HYPERLINK("CSG3.html#group12K3", "12K³"), =HYPERLINK("CSG5.html#group24J5", "24J⁵"), =HYPERLINK("CSG0.html#group4F0", "4F⁰"), =HYPERLINK("CSG3.html#group24Y3", "24Y³"), =HYPERLINK("CSG0.html#group8J0", "8J⁰"), =HYPERLINK("CSG0.html#group2C0", "2C⁰"), =HYPERLINK("CSG7.html#group24AI7", "24AI⁷"), =HYPERLINK("CSG9.html#group24AF9", "24AF⁹"), =HYPERLINK("CSG0.html#group8O0", "8O⁰")</f>
        <v/>
      </c>
      <c r="N4697" t="inlineStr"/>
    </row>
    <row r="4698">
      <c r="A4698" t="inlineStr">
        <is>
          <t>24AP¹⁷</t>
        </is>
      </c>
      <c r="B4698" t="inlineStr"/>
      <c r="C4698" t="inlineStr">
        <is>
          <t>384</t>
        </is>
      </c>
      <c r="D4698" t="inlineStr">
        <is>
          <t>1</t>
        </is>
      </c>
      <c r="E4698" t="inlineStr">
        <is>
          <t>12</t>
        </is>
      </c>
      <c r="F4698" t="inlineStr">
        <is>
          <t>0</t>
        </is>
      </c>
      <c r="G4698" t="inlineStr">
        <is>
          <t>0</t>
        </is>
      </c>
      <c r="H4698" t="inlineStr">
        <is>
          <t>4⁸, 8⁸, 12⁸, 24⁸</t>
        </is>
      </c>
      <c r="I4698" t="n">
        <v>32</v>
      </c>
      <c r="J4698" t="inlineStr">
        <is>
          <t>1⁶, 2³</t>
        </is>
      </c>
      <c r="K4698">
        <f>HYPERLINK("CSG5.html#group12E5", "12E⁵"), =HYPERLINK("CSG5.html#group24Z5", "24Z⁵"), =HYPERLINK("CSG9.html#group24AB9", "24AB⁹"), =HYPERLINK("CSG9.html#group24AC9", "24AC⁹"), =HYPERLINK("CSG9.html#group24AE9", "24AE⁹"), =HYPERLINK("CSG9.html#group24AD9", "24AD⁹"), =HYPERLINK("CSG9.html#group24AF9", "24AF⁹")</f>
        <v/>
      </c>
      <c r="L4698" t="inlineStr"/>
      <c r="M4698">
        <f>HYPERLINK("CSG9.html#group24AE9", "24AE⁹"), =HYPERLINK("CSG0.html#group2A0", "2A⁰"), =HYPERLINK("CSG3.html#group24V3", "24V³"), =HYPERLINK("CSG1.html#group24G1", "24G¹"), =HYPERLINK("CSG0.html#group4C0", "4C⁰"), =HYPERLINK("CSG0.html#group12I0", "12I⁰"), =HYPERLINK("CSG0.html#group12J0", "12J⁰"), =HYPERLINK("CSG0.html#group4G0", "4G⁰"), =HYPERLINK("CSG0.html#group2B0", "2B⁰"), =HYPERLINK("CSG0.html#group8C0", "8C⁰"), =HYPERLINK("CSG9.html#group24AD9", "24AD⁹"), =HYPERLINK("CSG0.html#group4E0", "4E⁰"), =HYPERLINK("CSG0.html#group4B0", "4B⁰"), =HYPERLINK("CSG1.html#group8F1", "8F¹"), =HYPERLINK("CSG0.html#group1A0", "1A⁰"), =HYPERLINK("CSG5.html#group12E5", "12E⁵"), =HYPERLINK("CSG5.html#group24Z5", "24Z⁵"), =HYPERLINK("CSG1.html#group24J1", "24J¹"), =HYPERLINK("CSG2.html#group12F2", "12F²"), =HYPERLINK("CSG3.html#group24U3", "24U³"), =HYPERLINK("CSG0.html#group8G0", "8G⁰"), =HYPERLINK("CSG0.html#group4D0", "4D⁰"), =HYPERLINK("CSG3.html#group12L3", "12L³"), =HYPERLINK("CSG1.html#group12A1", "12A¹"), =HYPERLINK("CSG5.html#group24H5", "24H⁵"), =HYPERLINK("CSG1.html#group12R1", "12R¹"), =HYPERLINK("CSG0.html#group6F0", "6F⁰"), =HYPERLINK("CSG9.html#group24AC9", "24AC⁹"), =HYPERLINK("CSG9.html#group24AB9", "24AB⁹"), =HYPERLINK("CSG0.html#group3B0", "3B⁰"), =HYPERLINK("CSG5.html#group24K5", "24K⁵"), =HYPERLINK("CSG1.html#group12I1", "12I¹"), =HYPERLINK("CSG1.html#group8A1", "8A¹"), =HYPERLINK("CSG1.html#group12V1", "12V¹"), =HYPERLINK("CSG3.html#group24B3", "24B³"), =HYPERLINK("CSG0.html#group8D0", "8D⁰"), =HYPERLINK("CSG0.html#group6I0", "6I⁰"), =HYPERLINK("CSG1.html#group12F1", "12F¹"), =HYPERLINK("CSG0.html#group6C0", "6C⁰"), =HYPERLINK("CSG0.html#group8B0", "8B⁰"), =HYPERLINK("CSG1.html#group8B1", "8B¹"), =HYPERLINK("CSG1.html#group12P1", "12P¹"), =HYPERLINK("CSG3.html#group24C3", "24C³"), =HYPERLINK("CSG0.html#group8H0", "8H⁰"), =HYPERLINK("CSG5.html#group24I5", "24I⁵"), =HYPERLINK("CSG1.html#group8C1", "8C¹"), =HYPERLINK("CSG2.html#group24I2", "24I²"), =HYPERLINK("CSG0.html#group24B0", "24B⁰"), =HYPERLINK("CSG0.html#group4A0", "4A⁰"), =HYPERLINK("CSG3.html#group24W3", "24W³"), =HYPERLINK("CSG2.html#group12G2", "12G²"), =HYPERLINK("CSG3.html#group12K3", "12K³"), =HYPERLINK("CSG0.html#group4F0", "4F⁰"), =HYPERLINK("CSG5.html#group24J5", "24J⁵"), =HYPERLINK("CSG2.html#group24F2", "24F²"), =HYPERLINK("CSG0.html#group2C0", "2C⁰"), =HYPERLINK("CSG0.html#group12E0", "12E⁰"), =HYPERLINK("CSG9.html#group24AF9", "24AF⁹"), =HYPERLINK("CSG0.html#group12B0", "12B⁰")</f>
        <v/>
      </c>
      <c r="N4698" t="inlineStr"/>
    </row>
    <row r="4699">
      <c r="A4699" t="inlineStr">
        <is>
          <t>24AQ¹⁷</t>
        </is>
      </c>
      <c r="B4699" t="inlineStr"/>
      <c r="C4699" t="inlineStr">
        <is>
          <t>384</t>
        </is>
      </c>
      <c r="D4699" t="inlineStr">
        <is>
          <t>1</t>
        </is>
      </c>
      <c r="E4699" t="inlineStr">
        <is>
          <t>24</t>
        </is>
      </c>
      <c r="F4699" t="inlineStr">
        <is>
          <t>0</t>
        </is>
      </c>
      <c r="G4699" t="inlineStr">
        <is>
          <t>0</t>
        </is>
      </c>
      <c r="H4699" t="inlineStr">
        <is>
          <t>4⁸, 8⁸, 12⁸, 24⁸</t>
        </is>
      </c>
      <c r="I4699" t="n">
        <v>32</v>
      </c>
      <c r="J4699" t="inlineStr">
        <is>
          <t>1⁸, 2⁶, 4¹</t>
        </is>
      </c>
      <c r="K4699">
        <f>HYPERLINK("CSG5.html#group24AB5", "24AB⁵"), =HYPERLINK("CSG9.html#group24AB9", "24AB⁹"), =HYPERLINK("CSG9.html#group24AG9", "24AG⁹"), =HYPERLINK("CSG9.html#group24AH9", "24AH⁹"), =HYPERLINK("CSG9.html#group24AK9", "24AK⁹")</f>
        <v/>
      </c>
      <c r="L4699" t="inlineStr"/>
      <c r="M4699">
        <f>HYPERLINK("CSG0.html#group2A0", "2A⁰"), =HYPERLINK("CSG5.html#group24N5", "24N⁵"), =HYPERLINK("CSG3.html#group24AA3", "24AA³"), =HYPERLINK("CSG9.html#group24AG9", "24AG⁹"), =HYPERLINK("CSG0.html#group4C0", "4C⁰"), =HYPERLINK("CSG0.html#group12I0", "12I⁰"), =HYPERLINK("CSG9.html#group24AH9", "24AH⁹"), =HYPERLINK("CSG0.html#group12J0", "12J⁰"), =HYPERLINK("CSG0.html#group8L0", "8L⁰"), =HYPERLINK("CSG0.html#group2B0", "2B⁰"), =HYPERLINK("CSG0.html#group4E0", "4E⁰"), =HYPERLINK("CSG0.html#group4B0", "4B⁰"), =HYPERLINK("CSG0.html#group1A0", "1A⁰"), =HYPERLINK("CSG1.html#group8G1", "8G¹"), =HYPERLINK("CSG5.html#group24H5", "24H⁵"), =HYPERLINK("CSG0.html#group6F0", "6F⁰"), =HYPERLINK("CSG9.html#group24AB9", "24AB⁹"), =HYPERLINK("CSG0.html#group3B0", "3B⁰"), =HYPERLINK("CSG1.html#group8A1", "8A¹"), =HYPERLINK("CSG3.html#group24Z3", "24Z³"), =HYPERLINK("CSG1.html#group12V1", "12V¹"), =HYPERLINK("CSG3.html#group24B3", "24B³"), =HYPERLINK("CSG1.html#group12F1", "12F¹"), =HYPERLINK("CSG0.html#group6I0", "6I⁰"), =HYPERLINK("CSG0.html#group6C0", "6C⁰"), =HYPERLINK("CSG0.html#group8B0", "8B⁰"), =HYPERLINK("CSG5.html#group24AB5", "24AB⁵"), =HYPERLINK("CSG1.html#group8B1", "8B¹"), =HYPERLINK("CSG1.html#group12P1", "12P¹"), =HYPERLINK("CSG3.html#group24C3", "24C³"), =HYPERLINK("CSG5.html#group24I5", "24I⁵"), =HYPERLINK("CSG5.html#group24M5", "24M⁵"), =HYPERLINK("CSG0.html#group8J0", "8J⁰"), =HYPERLINK("CSG0.html#group2C0", "2C⁰"), =HYPERLINK("CSG9.html#group24AK9", "24AK⁹"), =HYPERLINK("CSG0.html#group12E0", "12E⁰")</f>
        <v/>
      </c>
      <c r="N4699" t="inlineStr"/>
    </row>
    <row r="4700">
      <c r="A4700" t="inlineStr">
        <is>
          <t>24AR¹⁷</t>
        </is>
      </c>
      <c r="B4700" t="inlineStr"/>
      <c r="C4700" t="inlineStr">
        <is>
          <t>384</t>
        </is>
      </c>
      <c r="D4700" t="inlineStr">
        <is>
          <t>1</t>
        </is>
      </c>
      <c r="E4700" t="inlineStr">
        <is>
          <t>24</t>
        </is>
      </c>
      <c r="F4700" t="inlineStr">
        <is>
          <t>0</t>
        </is>
      </c>
      <c r="G4700" t="inlineStr">
        <is>
          <t>0</t>
        </is>
      </c>
      <c r="H4700" t="inlineStr">
        <is>
          <t>4⁸, 8⁸, 12⁸, 24⁸</t>
        </is>
      </c>
      <c r="I4700" t="n">
        <v>32</v>
      </c>
      <c r="J4700" t="inlineStr">
        <is>
          <t>1⁸, 2⁶, 4¹</t>
        </is>
      </c>
      <c r="K4700">
        <f>HYPERLINK("CSG7.html#group24AH7", "24AH⁷"), =HYPERLINK("CSG7.html#group24AI7", "24AI⁷"), =HYPERLINK("CSG7.html#group24AL7", "24AL⁷"), =HYPERLINK("CSG9.html#group24AE9", "24AE⁹"), =HYPERLINK("CSG9.html#group24AK9", "24AK⁹")</f>
        <v/>
      </c>
      <c r="L4700" t="inlineStr"/>
      <c r="M4700">
        <f>HYPERLINK("CSG9.html#group24AE9", "24AE⁹"), =HYPERLINK("CSG0.html#group2A0", "2A⁰"), =HYPERLINK("CSG3.html#group24V3", "24V³"), =HYPERLINK("CSG3.html#group24AA3", "24AA³"), =HYPERLINK("CSG7.html#group24AI7", "24AI⁷"), =HYPERLINK("CSG1.html#group24G1", "24G¹"), =HYPERLINK("CSG0.html#group4C0", "4C⁰"), =HYPERLINK("CSG0.html#group12I0", "12I⁰"), =HYPERLINK("CSG7.html#group24AH7", "24AH⁷"), =HYPERLINK("CSG0.html#group2B0", "2B⁰"), =HYPERLINK("CSG0.html#group4E0", "4E⁰"), =HYPERLINK("CSG0.html#group8C0", "8C⁰"), =HYPERLINK("CSG0.html#group4B0", "4B⁰"), =HYPERLINK("CSG0.html#group1A0", "1A⁰"), =HYPERLINK("CSG2.html#group12F2", "12F²"), =HYPERLINK("CSG0.html#group8O0", "8O⁰"), =HYPERLINK("CSG0.html#group8G0", "8G⁰"), =HYPERLINK("CSG3.html#group12L3", "12L³"), =HYPERLINK("CSG5.html#group24H5", "24H⁵"), =HYPERLINK("CSG0.html#group6F0", "6F⁰"), =HYPERLINK("CSG0.html#group3B0", "3B⁰"), =HYPERLINK("CSG3.html#group24Z3", "24Z³"), =HYPERLINK("CSG0.html#group8D0", "8D⁰"), =HYPERLINK("CSG0.html#group6I0", "6I⁰"), =HYPERLINK("CSG1.html#group12F1", "12F¹"), =HYPERLINK("CSG0.html#group6C0", "6C⁰"), =HYPERLINK("CSG0.html#group8I0", "8I⁰"), =HYPERLINK("CSG1.html#group12P1", "12P¹"), =HYPERLINK("CSG3.html#group24X3", "24X³"), =HYPERLINK("CSG7.html#group24AL7", "24AL⁷"), =HYPERLINK("CSG2.html#group24I2", "24I²"), =HYPERLINK("CSG3.html#group24Y3", "24Y³"), =HYPERLINK("CSG0.html#group8J0", "8J⁰"), =HYPERLINK("CSG0.html#group2C0", "2C⁰"), =HYPERLINK("CSG9.html#group24AK9", "24AK⁹"), =HYPERLINK("CSG0.html#group12E0", "12E⁰"), =HYPERLINK("CSG0.html#group12B0", "12B⁰")</f>
        <v/>
      </c>
      <c r="N4700" t="inlineStr"/>
    </row>
    <row r="4701">
      <c r="A4701" t="inlineStr">
        <is>
          <t>24AS¹⁷</t>
        </is>
      </c>
      <c r="B4701" t="inlineStr"/>
      <c r="C4701" t="inlineStr">
        <is>
          <t>384</t>
        </is>
      </c>
      <c r="D4701" t="inlineStr">
        <is>
          <t>1</t>
        </is>
      </c>
      <c r="E4701" t="inlineStr">
        <is>
          <t>24</t>
        </is>
      </c>
      <c r="F4701" t="inlineStr">
        <is>
          <t>0</t>
        </is>
      </c>
      <c r="G4701" t="inlineStr">
        <is>
          <t>0</t>
        </is>
      </c>
      <c r="H4701" t="inlineStr">
        <is>
          <t>4⁸, 8⁸, 12⁸, 24⁸</t>
        </is>
      </c>
      <c r="I4701" t="n">
        <v>32</v>
      </c>
      <c r="J4701" t="inlineStr">
        <is>
          <t>1⁸, 2⁶, 4¹</t>
        </is>
      </c>
      <c r="K4701">
        <f>HYPERLINK("CSG7.html#group24AK7", "24AK⁷"), =HYPERLINK("CSG7.html#group24AL7", "24AL⁷"), =HYPERLINK("CSG9.html#group24AD9", "24AD⁹"), =HYPERLINK("CSG9.html#group24AG9", "24AG⁹"), =HYPERLINK("CSG9.html#group24AH9", "24AH⁹")</f>
        <v/>
      </c>
      <c r="L4701" t="inlineStr"/>
      <c r="M4701">
        <f>HYPERLINK("CSG0.html#group2A0", "2A⁰"), =HYPERLINK("CSG7.html#group24AK7", "24AK⁷"), =HYPERLINK("CSG5.html#group24N5", "24N⁵"), =HYPERLINK("CSG3.html#group24AA3", "24AA³"), =HYPERLINK("CSG9.html#group24AG9", "24AG⁹"), =HYPERLINK("CSG0.html#group4C0", "4C⁰"), =HYPERLINK("CSG0.html#group12I0", "12I⁰"), =HYPERLINK("CSG9.html#group24AH9", "24AH⁹"), =HYPERLINK("CSG0.html#group8L0", "8L⁰"), =HYPERLINK("CSG0.html#group2B0", "2B⁰"), =HYPERLINK("CSG0.html#group4E0", "4E⁰"), =HYPERLINK("CSG9.html#group24AD9", "24AD⁹"), =HYPERLINK("CSG0.html#group4B0", "4B⁰"), =HYPERLINK("CSG0.html#group1A0", "1A⁰"), =HYPERLINK("CSG2.html#group12F2", "12F²"), =HYPERLINK("CSG3.html#group24U3", "24U³"), =HYPERLINK("CSG1.html#group8G1", "8G¹"), =HYPERLINK("CSG3.html#group12L3", "12L³"), =HYPERLINK("CSG0.html#group6F0", "6F⁰"), =HYPERLINK("CSG0.html#group3B0", "3B⁰"), =HYPERLINK("CSG1.html#group8A1", "8A¹"), =HYPERLINK("CSG3.html#group24Z3", "24Z³"), =HYPERLINK("CSG3.html#group24B3", "24B³"), =HYPERLINK("CSG0.html#group6I0", "6I⁰"), =HYPERLINK("CSG1.html#group12F1", "12F¹"), =HYPERLINK("CSG0.html#group6C0", "6C⁰"), =HYPERLINK("CSG0.html#group8B0", "8B⁰"), =HYPERLINK("CSG1.html#group8B1", "8B¹"), =HYPERLINK("CSG1.html#group12P1", "12P¹"), =HYPERLINK("CSG3.html#group24C3", "24C³"), =HYPERLINK("CSG5.html#group24I5", "24I⁵"), =HYPERLINK("CSG7.html#group24AL7", "24AL⁷"), =HYPERLINK("CSG0.html#group24B0", "24B⁰"), =HYPERLINK("CSG5.html#group24M5", "24M⁵"), =HYPERLINK("CSG2.html#group24F2", "24F²"), =HYPERLINK("CSG0.html#group8J0", "8J⁰"), =HYPERLINK("CSG0.html#group2C0", "2C⁰"), =HYPERLINK("CSG0.html#group12E0", "12E⁰"), =HYPERLINK("CSG0.html#group12B0", "12B⁰")</f>
        <v/>
      </c>
      <c r="N4701" t="inlineStr"/>
    </row>
    <row r="4702">
      <c r="A4702" t="inlineStr">
        <is>
          <t>24AT¹⁷</t>
        </is>
      </c>
      <c r="B4702" t="inlineStr"/>
      <c r="C4702" t="inlineStr">
        <is>
          <t>384</t>
        </is>
      </c>
      <c r="D4702" t="inlineStr">
        <is>
          <t>1</t>
        </is>
      </c>
      <c r="E4702" t="inlineStr">
        <is>
          <t>24</t>
        </is>
      </c>
      <c r="F4702" t="inlineStr">
        <is>
          <t>0</t>
        </is>
      </c>
      <c r="G4702" t="inlineStr">
        <is>
          <t>0</t>
        </is>
      </c>
      <c r="H4702" t="inlineStr">
        <is>
          <t>4⁸, 8⁸, 12⁸, 24⁸</t>
        </is>
      </c>
      <c r="I4702" t="n">
        <v>32</v>
      </c>
      <c r="J4702" t="inlineStr">
        <is>
          <t>1¹², 2⁶</t>
        </is>
      </c>
      <c r="K4702">
        <f>HYPERLINK("CSG7.html#group24AF7", "24AF⁷"), =HYPERLINK("CSG7.html#group24AG7", "24AG⁷"), =HYPERLINK("CSG7.html#group24AK7", "24AK⁷"), =HYPERLINK("CSG9.html#group24AC9", "24AC⁹"), =HYPERLINK("CSG9.html#group24AK9", "24AK⁹")</f>
        <v/>
      </c>
      <c r="L4702" t="inlineStr"/>
      <c r="M4702">
        <f>HYPERLINK("CSG0.html#group2A0", "2A⁰"), =HYPERLINK("CSG7.html#group24AK7", "24AK⁷"), =HYPERLINK("CSG3.html#group24AA3", "24AA³"), =HYPERLINK("CSG0.html#group4C0", "4C⁰"), =HYPERLINK("CSG0.html#group4G0", "4G⁰"), =HYPERLINK("CSG0.html#group2B0", "2B⁰"), =HYPERLINK("CSG0.html#group4E0", "4E⁰"), =HYPERLINK("CSG0.html#group4B0", "4B⁰"), =HYPERLINK("CSG0.html#group1A0", "1A⁰"), =HYPERLINK("CSG0.html#group8K0", "8K⁰"), =HYPERLINK("CSG3.html#group24U3", "24U³"), =HYPERLINK("CSG0.html#group4D0", "4D⁰"), =HYPERLINK("CSG1.html#group12A1", "12A¹"), =HYPERLINK("CSG5.html#group24H5", "24H⁵"), =HYPERLINK("CSG0.html#group6F0", "6F⁰"), =HYPERLINK("CSG9.html#group24AC9", "24AC⁹"), =HYPERLINK("CSG0.html#group3B0", "3B⁰"), =HYPERLINK("CSG0.html#group8N0", "8N⁰"), =HYPERLINK("CSG7.html#group24AF7", "24AF⁷"), =HYPERLINK("CSG1.html#group12I1", "12I¹"), =HYPERLINK("CSG3.html#group24Z3", "24Z³"), =HYPERLINK("CSG0.html#group6I0", "6I⁰"), =HYPERLINK("CSG1.html#group12F1", "12F¹"), =HYPERLINK("CSG0.html#group6C0", "6C⁰"), =HYPERLINK("CSG7.html#group24AG7", "24AG⁷"), =HYPERLINK("CSG1.html#group12P1", "12P¹"), =HYPERLINK("CSG0.html#group24B0", "24B⁰"), =HYPERLINK("CSG0.html#group4A0", "4A⁰"), =HYPERLINK("CSG4.html#group24R4", "24R⁴"), =HYPERLINK("CSG2.html#group12G2", "12G²"), =HYPERLINK("CSG3.html#group12K3", "12K³"), =HYPERLINK("CSG0.html#group4F0", "4F⁰"), =HYPERLINK("CSG2.html#group24F2", "24F²"), =HYPERLINK("CSG0.html#group8J0", "8J⁰"), =HYPERLINK("CSG0.html#group2C0", "2C⁰"), =HYPERLINK("CSG9.html#group24AK9", "24AK⁹"), =HYPERLINK("CSG0.html#group12E0", "12E⁰")</f>
        <v/>
      </c>
      <c r="N4702" t="inlineStr"/>
    </row>
    <row r="4703">
      <c r="A4703" t="inlineStr">
        <is>
          <t>28A¹⁷</t>
        </is>
      </c>
      <c r="B4703" t="inlineStr"/>
      <c r="C4703" t="inlineStr">
        <is>
          <t>336</t>
        </is>
      </c>
      <c r="D4703" t="inlineStr">
        <is>
          <t>1</t>
        </is>
      </c>
      <c r="E4703" t="inlineStr">
        <is>
          <t>84</t>
        </is>
      </c>
      <c r="F4703" t="inlineStr">
        <is>
          <t>0</t>
        </is>
      </c>
      <c r="G4703" t="inlineStr">
        <is>
          <t>0</t>
        </is>
      </c>
      <c r="H4703" t="inlineStr">
        <is>
          <t>7¹⁶, 28⁸</t>
        </is>
      </c>
      <c r="I4703" t="n">
        <v>24</v>
      </c>
      <c r="J4703" t="inlineStr">
        <is>
          <t>1³, 3³, 6¹²</t>
        </is>
      </c>
      <c r="K4703">
        <f>HYPERLINK("CSG2.html#group28D2", "28D²"), =HYPERLINK("CSG5.html#group28A5", "28A⁵"), =HYPERLINK("CSG7.html#group14C7", "14C⁷"), =HYPERLINK("CSG7.html#group28E7", "28E⁷"), =HYPERLINK("CSG9.html#group28A9", "28A⁹")</f>
        <v/>
      </c>
      <c r="L4703" t="inlineStr"/>
      <c r="M4703">
        <f>HYPERLINK("CSG7.html#group28E7", "28E⁷"), =HYPERLINK("CSG1.html#group14B1", "14B¹"), =HYPERLINK("CSG7.html#group14C7", "14C⁷"), =HYPERLINK("CSG2.html#group28D2", "28D²"), =HYPERLINK("CSG9.html#group28A9", "28A⁹"), =HYPERLINK("CSG3.html#group28A3", "28A³"), =HYPERLINK("CSG0.html#group2B0", "2B⁰"), =HYPERLINK("CSG5.html#group28A5", "28A⁵"), =HYPERLINK("CSG0.html#group4B0", "4B⁰"), =HYPERLINK("CSG0.html#group1A0", "1A⁰"), =HYPERLINK("CSG3.html#group14D3", "14D³"), =HYPERLINK("CSG2.html#group14A2", "14A²"), =HYPERLINK("CSG0.html#group7B0", "7B⁰"), =HYPERLINK("CSG0.html#group7C0", "7C⁰"), =HYPERLINK("CSG1.html#group14C1", "14C¹"), =HYPERLINK("CSG0.html#group7F0", "7F⁰"), =HYPERLINK("CSG1.html#group7B1", "7B¹"), =HYPERLINK("CSG2.html#group28B2", "28B²"), =HYPERLINK("CSG0.html#group7A0", "7A⁰")</f>
        <v/>
      </c>
      <c r="N4703" t="inlineStr"/>
    </row>
    <row r="4704">
      <c r="A4704" t="inlineStr">
        <is>
          <t>28B¹⁷</t>
        </is>
      </c>
      <c r="B4704" t="inlineStr"/>
      <c r="C4704" t="inlineStr">
        <is>
          <t>336</t>
        </is>
      </c>
      <c r="D4704" t="inlineStr">
        <is>
          <t>1</t>
        </is>
      </c>
      <c r="E4704" t="inlineStr">
        <is>
          <t>84</t>
        </is>
      </c>
      <c r="F4704" t="inlineStr">
        <is>
          <t>8</t>
        </is>
      </c>
      <c r="G4704" t="inlineStr">
        <is>
          <t>0</t>
        </is>
      </c>
      <c r="H4704" t="inlineStr">
        <is>
          <t>14¹⁶, 28⁴</t>
        </is>
      </c>
      <c r="I4704" t="n">
        <v>20</v>
      </c>
      <c r="J4704" t="inlineStr">
        <is>
          <t>2³, 6³, 12¹²</t>
        </is>
      </c>
      <c r="K4704">
        <f>HYPERLINK("CSG7.html#group14D7", "14D⁷")</f>
        <v/>
      </c>
      <c r="L4704" t="inlineStr"/>
      <c r="M4704">
        <f>HYPERLINK("CSG0.html#group14A0", "14A⁰"), =HYPERLINK("CSG1.html#group14B1", "14B¹"), =HYPERLINK("CSG2.html#group14C2", "14C²"), =HYPERLINK("CSG0.html#group7F0", "7F⁰"), =HYPERLINK("CSG7.html#group14D7", "14D⁷"), =HYPERLINK("CSG0.html#group2B0", "2B⁰"), =HYPERLINK("CSG1.html#group14G1", "14G¹"), =HYPERLINK("CSG0.html#group1A0", "1A⁰"), =HYPERLINK("CSG0.html#group7A0", "7A⁰"), =HYPERLINK("CSG3.html#group14D3", "14D³")</f>
        <v/>
      </c>
      <c r="N4704" t="inlineStr"/>
    </row>
    <row r="4705">
      <c r="A4705" t="inlineStr">
        <is>
          <t>28C¹⁷</t>
        </is>
      </c>
      <c r="B4705" t="inlineStr"/>
      <c r="C4705" t="inlineStr">
        <is>
          <t>336</t>
        </is>
      </c>
      <c r="D4705" t="inlineStr">
        <is>
          <t>1</t>
        </is>
      </c>
      <c r="E4705" t="inlineStr">
        <is>
          <t>84</t>
        </is>
      </c>
      <c r="F4705" t="inlineStr">
        <is>
          <t>8</t>
        </is>
      </c>
      <c r="G4705" t="inlineStr">
        <is>
          <t>0</t>
        </is>
      </c>
      <c r="H4705" t="inlineStr">
        <is>
          <t>14¹⁶, 28⁴</t>
        </is>
      </c>
      <c r="I4705" t="n">
        <v>20</v>
      </c>
      <c r="J4705" t="inlineStr">
        <is>
          <t>2³, 6³, 12¹²</t>
        </is>
      </c>
      <c r="K4705">
        <f>HYPERLINK("CSG7.html#group14D7", "14D⁷")</f>
        <v/>
      </c>
      <c r="L4705" t="inlineStr"/>
      <c r="M4705">
        <f>HYPERLINK("CSG0.html#group14A0", "14A⁰"), =HYPERLINK("CSG1.html#group14B1", "14B¹"), =HYPERLINK("CSG2.html#group14C2", "14C²"), =HYPERLINK("CSG0.html#group7F0", "7F⁰"), =HYPERLINK("CSG7.html#group14D7", "14D⁷"), =HYPERLINK("CSG0.html#group2B0", "2B⁰"), =HYPERLINK("CSG1.html#group14G1", "14G¹"), =HYPERLINK("CSG0.html#group1A0", "1A⁰"), =HYPERLINK("CSG0.html#group7A0", "7A⁰"), =HYPERLINK("CSG3.html#group14D3", "14D³")</f>
        <v/>
      </c>
      <c r="N4705" t="inlineStr"/>
    </row>
    <row r="4706">
      <c r="A4706" t="inlineStr">
        <is>
          <t>28D¹⁷</t>
        </is>
      </c>
      <c r="B4706" t="inlineStr"/>
      <c r="C4706" t="inlineStr">
        <is>
          <t>336</t>
        </is>
      </c>
      <c r="D4706" t="inlineStr">
        <is>
          <t>1</t>
        </is>
      </c>
      <c r="E4706" t="inlineStr">
        <is>
          <t>84</t>
        </is>
      </c>
      <c r="F4706" t="inlineStr">
        <is>
          <t>16</t>
        </is>
      </c>
      <c r="G4706" t="inlineStr">
        <is>
          <t>0</t>
        </is>
      </c>
      <c r="H4706" t="inlineStr">
        <is>
          <t>14⁸, 28⁸</t>
        </is>
      </c>
      <c r="I4706" t="n">
        <v>16</v>
      </c>
      <c r="J4706" t="inlineStr">
        <is>
          <t>1³, 3³, 6¹²</t>
        </is>
      </c>
      <c r="K4706">
        <f>HYPERLINK("CSG4.html#group28C4", "28C⁴"), =HYPERLINK("CSG7.html#group14D7", "14D⁷"), =HYPERLINK("CSG7.html#group28E7", "28E⁷"), =HYPERLINK("CSG9.html#group28B9", "28B⁹")</f>
        <v/>
      </c>
      <c r="L4706" t="inlineStr"/>
      <c r="M4706">
        <f>HYPERLINK("CSG0.html#group14A0", "14A⁰"), =HYPERLINK("CSG7.html#group28E7", "28E⁷"), =HYPERLINK("CSG4.html#group28C4", "28C⁴"), =HYPERLINK("CSG1.html#group14B1", "14B¹"), =HYPERLINK("CSG9.html#group28B9", "28B⁹"), =HYPERLINK("CSG2.html#group14C2", "14C²"), =HYPERLINK("CSG0.html#group4C0", "4C⁰"), =HYPERLINK("CSG7.html#group14D7", "14D⁷"), =HYPERLINK("CSG0.html#group2B0", "2B⁰"), =HYPERLINK("CSG1.html#group14G1", "14G¹"), =HYPERLINK("CSG0.html#group1A0", "1A⁰"), =HYPERLINK("CSG3.html#group14D3", "14D³"), =HYPERLINK("CSG2.html#group28C2", "28C²"), =HYPERLINK("CSG0.html#group7F0", "7F⁰"), =HYPERLINK("CSG2.html#group28B2", "28B²"), =HYPERLINK("CSG0.html#group7A0", "7A⁰")</f>
        <v/>
      </c>
      <c r="N4706" t="inlineStr"/>
    </row>
    <row r="4707">
      <c r="A4707" t="inlineStr">
        <is>
          <t>28E¹⁷</t>
        </is>
      </c>
      <c r="B4707" t="inlineStr"/>
      <c r="C4707" t="inlineStr">
        <is>
          <t>384</t>
        </is>
      </c>
      <c r="D4707" t="inlineStr">
        <is>
          <t>1</t>
        </is>
      </c>
      <c r="E4707" t="inlineStr">
        <is>
          <t>64</t>
        </is>
      </c>
      <c r="F4707" t="inlineStr">
        <is>
          <t>0</t>
        </is>
      </c>
      <c r="G4707" t="inlineStr">
        <is>
          <t>12</t>
        </is>
      </c>
      <c r="H4707" t="inlineStr">
        <is>
          <t>4¹², 28¹²</t>
        </is>
      </c>
      <c r="I4707" t="n">
        <v>24</v>
      </c>
      <c r="J4707" t="inlineStr">
        <is>
          <t>2⁸, 12⁴</t>
        </is>
      </c>
      <c r="K4707">
        <f>HYPERLINK("CSG2.html#group28F2", "28F²"), =HYPERLINK("CSG5.html#group28I5", "28I⁵"), =HYPERLINK("CSG9.html#group28G9", "28G⁹")</f>
        <v/>
      </c>
      <c r="L4707" t="inlineStr"/>
      <c r="M4707">
        <f>HYPERLINK("CSG9.html#group28G9", "28G⁹"), =HYPERLINK("CSG0.html#group2A0", "2A⁰"), =HYPERLINK("CSG0.html#group28A0", "28A⁰"), =HYPERLINK("CSG0.html#group7B0", "7B⁰"), =HYPERLINK("CSG0.html#group4A0", "4A⁰"), =HYPERLINK("CSG0.html#group4D0", "4D⁰"), =HYPERLINK("CSG0.html#group14B0", "14B⁰"), =HYPERLINK("CSG0.html#group1A0", "1A⁰"), =HYPERLINK("CSG5.html#group28I5", "28I⁵"), =HYPERLINK("CSG3.html#group28E3", "28E³"), =HYPERLINK("CSG0.html#group14C0", "14C⁰"), =HYPERLINK("CSG2.html#group28F2", "28F²"), =HYPERLINK("CSG2.html#group28A2", "28A²")</f>
        <v/>
      </c>
      <c r="N4707" t="inlineStr"/>
    </row>
    <row r="4708">
      <c r="A4708" t="inlineStr">
        <is>
          <t>30A¹⁷</t>
        </is>
      </c>
      <c r="B4708" t="inlineStr"/>
      <c r="C4708" t="inlineStr">
        <is>
          <t>240</t>
        </is>
      </c>
      <c r="D4708" t="inlineStr">
        <is>
          <t>1</t>
        </is>
      </c>
      <c r="E4708" t="inlineStr">
        <is>
          <t>10</t>
        </is>
      </c>
      <c r="F4708" t="inlineStr">
        <is>
          <t>0</t>
        </is>
      </c>
      <c r="G4708" t="inlineStr">
        <is>
          <t>0</t>
        </is>
      </c>
      <c r="H4708" t="inlineStr">
        <is>
          <t>30⁸</t>
        </is>
      </c>
      <c r="I4708" t="n">
        <v>8</v>
      </c>
      <c r="J4708" t="inlineStr">
        <is>
          <t>2¹, 4²</t>
        </is>
      </c>
      <c r="K4708">
        <f>HYPERLINK("CSG5.html#group30I5", "30I⁵"), =HYPERLINK("CSG7.html#group15A7", "15A⁷"), =HYPERLINK("CSG7.html#group30J7", "30J⁷"), =HYPERLINK("CSG9.html#group30C9", "30C⁹")</f>
        <v/>
      </c>
      <c r="L4708" t="inlineStr"/>
      <c r="M4708">
        <f>HYPERLINK("CSG0.html#group3B0", "3B⁰"), =HYPERLINK("CSG0.html#group10D0", "10D⁰"), =HYPERLINK("CSG7.html#group15A7", "15A⁷"), =HYPERLINK("CSG3.html#group15C3", "15C³"), =HYPERLINK("CSG2.html#group30F2", "30F²"), =HYPERLINK("CSG0.html#group1A0", "1A⁰"), =HYPERLINK("CSG5.html#group30I5", "30I⁵"), =HYPERLINK("CSG7.html#group30J7", "30J⁷"), =HYPERLINK("CSG0.html#group3D0", "3D⁰"), =HYPERLINK("CSG4.html#group30C4", "30C⁴"), =HYPERLINK("CSG1.html#group15D1", "15D¹"), =HYPERLINK("CSG9.html#group30C9", "30C⁹"), =HYPERLINK("CSG0.html#group3C0", "3C⁰"), =HYPERLINK("CSG2.html#group15C2", "15C²"), =HYPERLINK("CSG0.html#group3A0", "3A⁰"), =HYPERLINK("CSG0.html#group5C0", "5C⁰")</f>
        <v/>
      </c>
      <c r="N4708" t="inlineStr"/>
    </row>
    <row r="4709">
      <c r="A4709" t="inlineStr">
        <is>
          <t>30B¹⁷</t>
        </is>
      </c>
      <c r="B4709" t="inlineStr"/>
      <c r="C4709" t="inlineStr">
        <is>
          <t>240</t>
        </is>
      </c>
      <c r="D4709" t="inlineStr">
        <is>
          <t>1</t>
        </is>
      </c>
      <c r="E4709" t="inlineStr">
        <is>
          <t>10</t>
        </is>
      </c>
      <c r="F4709" t="inlineStr">
        <is>
          <t>0</t>
        </is>
      </c>
      <c r="G4709" t="inlineStr">
        <is>
          <t>0</t>
        </is>
      </c>
      <c r="H4709" t="inlineStr">
        <is>
          <t>30⁸</t>
        </is>
      </c>
      <c r="I4709" t="n">
        <v>8</v>
      </c>
      <c r="J4709" t="inlineStr">
        <is>
          <t>2¹, 4²</t>
        </is>
      </c>
      <c r="K4709">
        <f>HYPERLINK("CSG1.html#group6D1", "6D¹"), =HYPERLINK("CSG5.html#group30J5", "30J⁵"), =HYPERLINK("CSG7.html#group15A7", "15A⁷"), =HYPERLINK("CSG7.html#group30I7", "30I⁷"), =HYPERLINK("CSG9.html#group30E9", "30E⁹")</f>
        <v/>
      </c>
      <c r="L4709" t="inlineStr"/>
      <c r="M4709">
        <f>HYPERLINK("CSG5.html#group30J5", "30J⁵"), =HYPERLINK("CSG9.html#group30E9", "30E⁹"), =HYPERLINK("CSG0.html#group2A0", "2A⁰"), =HYPERLINK("CSG0.html#group3B0", "3B⁰"), =HYPERLINK("CSG0.html#group6B0", "6B⁰"), =HYPERLINK("CSG7.html#group30I7", "30I⁷"), =HYPERLINK("CSG0.html#group6C0", "6C⁰"), =HYPERLINK("CSG7.html#group15A7", "15A⁷"), =HYPERLINK("CSG5.html#group30A5", "30A⁵"), =HYPERLINK("CSG3.html#group15C3", "15C³"), =HYPERLINK("CSG3.html#group30H3", "30H³"), =HYPERLINK("CSG0.html#group1A0", "1A⁰"), =HYPERLINK("CSG0.html#group3D0", "3D⁰"), =HYPERLINK("CSG1.html#group15D1", "15D¹"), =HYPERLINK("CSG1.html#group6D1", "6D¹"), =HYPERLINK("CSG1.html#group6B1", "6B¹"), =HYPERLINK("CSG0.html#group6E0", "6E⁰"), =HYPERLINK("CSG0.html#group3C0", "3C⁰"), =HYPERLINK("CSG1.html#group10C1", "10C¹"), =HYPERLINK("CSG1.html#group6A1", "6A¹"), =HYPERLINK("CSG2.html#group15C2", "15C²"), =HYPERLINK("CSG0.html#group3A0", "3A⁰"), =HYPERLINK("CSG0.html#group5C0", "5C⁰")</f>
        <v/>
      </c>
      <c r="N4709" t="inlineStr"/>
    </row>
    <row r="4710">
      <c r="A4710" t="inlineStr">
        <is>
          <t>30C¹⁷</t>
        </is>
      </c>
      <c r="B4710" t="inlineStr"/>
      <c r="C4710" t="inlineStr">
        <is>
          <t>240</t>
        </is>
      </c>
      <c r="D4710" t="inlineStr">
        <is>
          <t>1</t>
        </is>
      </c>
      <c r="E4710" t="inlineStr">
        <is>
          <t>30</t>
        </is>
      </c>
      <c r="F4710" t="inlineStr">
        <is>
          <t>0</t>
        </is>
      </c>
      <c r="G4710" t="inlineStr">
        <is>
          <t>0</t>
        </is>
      </c>
      <c r="H4710" t="inlineStr">
        <is>
          <t>30⁸</t>
        </is>
      </c>
      <c r="I4710" t="n">
        <v>8</v>
      </c>
      <c r="J4710" t="inlineStr">
        <is>
          <t>2¹, 4³, 8²</t>
        </is>
      </c>
      <c r="K4710">
        <f>HYPERLINK("CSG5.html#group15A5", "15A⁵"), =HYPERLINK("CSG7.html#group30N7", "30N⁷"), =HYPERLINK("CSG9.html#group30C9", "30C⁹"), =HYPERLINK("CSG9.html#group30D9", "30D⁹"), =HYPERLINK("CSG9.html#group30E9", "30E⁹")</f>
        <v/>
      </c>
      <c r="L4710" t="inlineStr"/>
      <c r="M4710">
        <f>HYPERLINK("CSG9.html#group30E9", "30E⁹"), =HYPERLINK("CSG0.html#group2A0", "2A⁰"), =HYPERLINK("CSG0.html#group6B0", "6B⁰"), =HYPERLINK("CSG2.html#group15D2", "15D²"), =HYPERLINK("CSG5.html#group15A5", "15A⁵"), =HYPERLINK("CSG5.html#group30A5", "30A⁵"), =HYPERLINK("CSG3.html#group15C3", "15C³"), =HYPERLINK("CSG3.html#group30H3", "30H³"), =HYPERLINK("CSG0.html#group1A0", "1A⁰"), =HYPERLINK("CSG1.html#group15D1", "15D¹"), =HYPERLINK("CSG4.html#group30C4", "30C⁴"), =HYPERLINK("CSG1.html#group6B1", "6B¹"), =HYPERLINK("CSG7.html#group30N7", "30N⁷"), =HYPERLINK("CSG9.html#group30C9", "30C⁹"), =HYPERLINK("CSG0.html#group3C0", "3C⁰"), =HYPERLINK("CSG1.html#group10C1", "10C¹"), =HYPERLINK("CSG9.html#group30D9", "30D⁹"), =HYPERLINK("CSG1.html#group6A1", "6A¹"), =HYPERLINK("CSG0.html#group3A0", "3A⁰"), =HYPERLINK("CSG0.html#group5C0", "5C⁰")</f>
        <v/>
      </c>
      <c r="N4710" t="inlineStr"/>
    </row>
    <row r="4711">
      <c r="A4711" t="inlineStr">
        <is>
          <t>30D¹⁷</t>
        </is>
      </c>
      <c r="B4711" t="inlineStr"/>
      <c r="C4711" t="inlineStr">
        <is>
          <t>240</t>
        </is>
      </c>
      <c r="D4711" t="inlineStr">
        <is>
          <t>1</t>
        </is>
      </c>
      <c r="E4711" t="inlineStr">
        <is>
          <t>30</t>
        </is>
      </c>
      <c r="F4711" t="inlineStr">
        <is>
          <t>0</t>
        </is>
      </c>
      <c r="G4711" t="inlineStr">
        <is>
          <t>0</t>
        </is>
      </c>
      <c r="H4711" t="inlineStr">
        <is>
          <t>30⁸</t>
        </is>
      </c>
      <c r="I4711" t="n">
        <v>8</v>
      </c>
      <c r="J4711" t="inlineStr">
        <is>
          <t>2¹, 4³, 8²</t>
        </is>
      </c>
      <c r="K4711">
        <f>HYPERLINK("CSG4.html#group30A4", "30A⁴"), =HYPERLINK("CSG7.html#group15B7", "15B⁷"), =HYPERLINK("CSG7.html#group30I7", "30I⁷"), =HYPERLINK("CSG7.html#group30N7", "30N⁷"), =HYPERLINK("CSG9.html#group30C9", "30C⁹"), =HYPERLINK("CSG9.html#group30F9", "30F⁹")</f>
        <v/>
      </c>
      <c r="L4711" t="inlineStr"/>
      <c r="M4711">
        <f>HYPERLINK("CSG0.html#group5A0", "5A⁰"), =HYPERLINK("CSG0.html#group6B0", "6B⁰"), =HYPERLINK("CSG7.html#group15B7", "15B⁷"), =HYPERLINK("CSG7.html#group30I7", "30I⁷"), =HYPERLINK("CSG4.html#group15B4", "15B⁴"), =HYPERLINK("CSG0.html#group5C0", "5C⁰"), =HYPERLINK("CSG2.html#group15D2", "15D²"), =HYPERLINK("CSG0.html#group5F0", "5F⁰"), =HYPERLINK("CSG4.html#group30A4", "30A⁴"), =HYPERLINK("CSG3.html#group15C3", "15C³"), =HYPERLINK("CSG3.html#group30H3", "30H³"), =HYPERLINK("CSG0.html#group1A0", "1A⁰"), =HYPERLINK("CSG1.html#group15D1", "15D¹"), =HYPERLINK("CSG4.html#group30C4", "30C⁴"), =HYPERLINK("CSG2.html#group30A2", "30A²"), =HYPERLINK("CSG2.html#group15A2", "15A²"), =HYPERLINK("CSG0.html#group6E0", "6E⁰"), =HYPERLINK("CSG7.html#group30N7", "30N⁷"), =HYPERLINK("CSG9.html#group30C9", "30C⁹"), =HYPERLINK("CSG0.html#group3C0", "3C⁰"), =HYPERLINK("CSG0.html#group3A0", "3A⁰"), =HYPERLINK("CSG9.html#group30F9", "30F⁹"), =HYPERLINK("CSG1.html#group15A1", "15A¹")</f>
        <v/>
      </c>
      <c r="N4711" t="inlineStr"/>
    </row>
    <row r="4712">
      <c r="A4712" t="inlineStr">
        <is>
          <t>30E¹⁷</t>
        </is>
      </c>
      <c r="B4712" t="inlineStr"/>
      <c r="C4712" t="inlineStr">
        <is>
          <t>240</t>
        </is>
      </c>
      <c r="D4712" t="inlineStr">
        <is>
          <t>1</t>
        </is>
      </c>
      <c r="E4712" t="inlineStr">
        <is>
          <t>30</t>
        </is>
      </c>
      <c r="F4712" t="inlineStr">
        <is>
          <t>0</t>
        </is>
      </c>
      <c r="G4712" t="inlineStr">
        <is>
          <t>0</t>
        </is>
      </c>
      <c r="H4712" t="inlineStr">
        <is>
          <t>30⁸</t>
        </is>
      </c>
      <c r="I4712" t="n">
        <v>8</v>
      </c>
      <c r="J4712" t="inlineStr">
        <is>
          <t>2¹, 4³, 8²</t>
        </is>
      </c>
      <c r="K4712">
        <f>HYPERLINK("CSG5.html#group30B5", "30B⁵"), =HYPERLINK("CSG5.html#group30Q5", "30Q⁵"), =HYPERLINK("CSG7.html#group15B7", "15B⁷"), =HYPERLINK("CSG7.html#group30J7", "30J⁷"), =HYPERLINK("CSG9.html#group30B9", "30B⁹"), =HYPERLINK("CSG9.html#group30D9", "30D⁹"), =HYPERLINK("CSG9.html#group30E9", "30E⁹"), =HYPERLINK("CSG9.html#group30F9", "30F⁹")</f>
        <v/>
      </c>
      <c r="L4712" t="inlineStr"/>
      <c r="M4712">
        <f>HYPERLINK("CSG0.html#group2A0", "2A⁰"), =HYPERLINK("CSG1.html#group10H1", "10H¹"), =HYPERLINK("CSG0.html#group5A0", "5A⁰"), =HYPERLINK("CSG3.html#group30A3", "30A³"), =HYPERLINK("CSG7.html#group15B7", "15B⁷"), =HYPERLINK("CSG0.html#group10D0", "10D⁰"), =HYPERLINK("CSG4.html#group15B4", "15B⁴"), =HYPERLINK("CSG2.html#group15D2", "15D²"), =HYPERLINK("CSG0.html#group5F0", "5F⁰"), =HYPERLINK("CSG5.html#group30A5", "30A⁵"), =HYPERLINK("CSG3.html#group15C3", "15C³"), =HYPERLINK("CSG3.html#group30H3", "30H³"), =HYPERLINK("CSG0.html#group1A0", "1A⁰"), =HYPERLINK("CSG7.html#group30J7", "30J⁷"), =HYPERLINK("CSG5.html#group30B5", "30B⁵"), =HYPERLINK("CSG4.html#group30C4", "30C⁴"), =HYPERLINK("CSG0.html#group10A0", "10A⁰"), =HYPERLINK("CSG1.html#group6B1", "6B¹"), =HYPERLINK("CSG0.html#group3C0", "3C⁰"), =HYPERLINK("CSG1.html#group6A1", "6A¹"), =HYPERLINK("CSG0.html#group3A0", "3A⁰"), =HYPERLINK("CSG1.html#group15A1", "15A¹"), =HYPERLINK("CSG9.html#group30E9", "30E⁹"), =HYPERLINK("CSG0.html#group6B0", "6B⁰"), =HYPERLINK("CSG9.html#group30B9", "30B⁹"), =HYPERLINK("CSG2.html#group30F2", "30F²"), =HYPERLINK("CSG5.html#group30Q5", "30Q⁵"), =HYPERLINK("CSG1.html#group15D1", "15D¹"), =HYPERLINK("CSG2.html#group30A2", "30A²"), =HYPERLINK("CSG2.html#group15A2", "15A²"), =HYPERLINK("CSG1.html#group10C1", "10C¹"), =HYPERLINK("CSG9.html#group30D9", "30D⁹"), =HYPERLINK("CSG0.html#group5C0", "5C⁰"), =HYPERLINK("CSG9.html#group30F9", "30F⁹")</f>
        <v/>
      </c>
      <c r="N4712" t="inlineStr"/>
    </row>
    <row r="4713">
      <c r="A4713" t="inlineStr">
        <is>
          <t>30F¹⁷</t>
        </is>
      </c>
      <c r="B4713" t="inlineStr"/>
      <c r="C4713" t="inlineStr">
        <is>
          <t>270</t>
        </is>
      </c>
      <c r="D4713" t="inlineStr">
        <is>
          <t>1</t>
        </is>
      </c>
      <c r="E4713" t="inlineStr">
        <is>
          <t>135</t>
        </is>
      </c>
      <c r="F4713" t="inlineStr">
        <is>
          <t>8</t>
        </is>
      </c>
      <c r="G4713" t="inlineStr">
        <is>
          <t>0</t>
        </is>
      </c>
      <c r="H4713" t="inlineStr">
        <is>
          <t>30⁹</t>
        </is>
      </c>
      <c r="I4713" t="n">
        <v>9</v>
      </c>
      <c r="J4713" t="inlineStr">
        <is>
          <t>1³, 2⁶, 4¹², 8⁹</t>
        </is>
      </c>
      <c r="K4713">
        <f>HYPERLINK("CSG5.html#group30L5", "30L⁵"), =HYPERLINK("CSG7.html#group30P7", "30P⁷")</f>
        <v/>
      </c>
      <c r="L4713" t="inlineStr"/>
      <c r="M4713">
        <f>HYPERLINK("CSG7.html#group30P7", "30P⁷"), =HYPERLINK("CSG3.html#group30D3", "30D³"), =HYPERLINK("CSG0.html#group5A0", "5A⁰"), =HYPERLINK("CSG5.html#group30L5", "30L⁵"), =HYPERLINK("CSG1.html#group10I1", "10I¹"), =HYPERLINK("CSG3.html#group30E3", "30E³"), =HYPERLINK("CSG1.html#group15A1", "15A¹"), =HYPERLINK("CSG1.html#group10B1", "10B¹"), =HYPERLINK("CSG1.html#group15F1", "15F¹"), =HYPERLINK("CSG0.html#group5E0", "5E⁰"), =HYPERLINK("CSG0.html#group2B0", "2B⁰"), =HYPERLINK("CSG0.html#group3A0", "3A⁰"), =HYPERLINK("CSG0.html#group1A0", "1A⁰"), =HYPERLINK("CSG0.html#group6D0", "6D⁰"), =HYPERLINK("CSG0.html#group15A0", "15A⁰")</f>
        <v/>
      </c>
      <c r="N4713" t="inlineStr"/>
    </row>
    <row r="4714">
      <c r="A4714" t="inlineStr">
        <is>
          <t>30G¹⁷</t>
        </is>
      </c>
      <c r="B4714" t="inlineStr"/>
      <c r="C4714" t="inlineStr">
        <is>
          <t>288</t>
        </is>
      </c>
      <c r="D4714" t="inlineStr">
        <is>
          <t>1</t>
        </is>
      </c>
      <c r="E4714" t="inlineStr">
        <is>
          <t>6</t>
        </is>
      </c>
      <c r="F4714" t="inlineStr">
        <is>
          <t>0</t>
        </is>
      </c>
      <c r="G4714" t="inlineStr">
        <is>
          <t>0</t>
        </is>
      </c>
      <c r="H4714" t="inlineStr">
        <is>
          <t>6⁸, 30⁸</t>
        </is>
      </c>
      <c r="I4714" t="n">
        <v>16</v>
      </c>
      <c r="J4714" t="inlineStr">
        <is>
          <t>1², 4¹</t>
        </is>
      </c>
      <c r="K4714">
        <f>HYPERLINK("CSG5.html#group15C5", "15C⁵"), =HYPERLINK("CSG5.html#group30M5", "30M⁵"), =HYPERLINK("CSG7.html#group30R7", "30R⁷")</f>
        <v/>
      </c>
      <c r="L4714" t="inlineStr"/>
      <c r="M4714">
        <f>HYPERLINK("CSG0.html#group3B0", "3B⁰"), =HYPERLINK("CSG5.html#group30M5", "30M⁵"), =HYPERLINK("CSG0.html#group5B0", "5B⁰"), =HYPERLINK("CSG1.html#group15G1", "15G¹"), =HYPERLINK("CSG0.html#group5D0", "5D⁰"), =HYPERLINK("CSG3.html#group15F3", "15F³"), =HYPERLINK("CSG1.html#group15H1", "15H¹"), =HYPERLINK("CSG0.html#group1A0", "1A⁰"), =HYPERLINK("CSG7.html#group30R7", "30R⁷"), =HYPERLINK("CSG1.html#group15C1", "15C¹"), =HYPERLINK("CSG0.html#group15B0", "15B⁰"), =HYPERLINK("CSG5.html#group15C5", "15C⁵"), =HYPERLINK("CSG3.html#group15E3", "15E³"), =HYPERLINK("CSG1.html#group15E1", "15E¹"), =HYPERLINK("CSG2.html#group15B2", "15B²"), =HYPERLINK("CSG0.html#group3C0", "3C⁰"), =HYPERLINK("CSG0.html#group3A0", "3A⁰"), =HYPERLINK("CSG0.html#group3D0", "3D⁰"), =HYPERLINK("CSG0.html#group15C0", "15C⁰")</f>
        <v/>
      </c>
      <c r="N4714" t="inlineStr"/>
    </row>
    <row r="4715">
      <c r="A4715" t="inlineStr">
        <is>
          <t>30H¹⁷</t>
        </is>
      </c>
      <c r="B4715" t="inlineStr"/>
      <c r="C4715" t="inlineStr">
        <is>
          <t>288</t>
        </is>
      </c>
      <c r="D4715" t="inlineStr">
        <is>
          <t>1</t>
        </is>
      </c>
      <c r="E4715" t="inlineStr">
        <is>
          <t>6</t>
        </is>
      </c>
      <c r="F4715" t="inlineStr">
        <is>
          <t>0</t>
        </is>
      </c>
      <c r="G4715" t="inlineStr">
        <is>
          <t>0</t>
        </is>
      </c>
      <c r="H4715" t="inlineStr">
        <is>
          <t>6⁸, 30⁸</t>
        </is>
      </c>
      <c r="I4715" t="n">
        <v>16</v>
      </c>
      <c r="J4715" t="inlineStr">
        <is>
          <t>1², 4¹</t>
        </is>
      </c>
      <c r="K4715">
        <f>HYPERLINK("CSG5.html#group15C5", "15C⁵"), =HYPERLINK("CSG5.html#group30N5", "30N⁵"), =HYPERLINK("CSG5.html#group30R5", "30R⁵"), =HYPERLINK("CSG9.html#group30G9", "30G⁹"), =HYPERLINK("CSG9.html#group30H9", "30H⁹"), =HYPERLINK("CSG9.html#group30I9", "30I⁹"), =HYPERLINK("CSG9.html#group30J9", "30J⁹"), =HYPERLINK("CSG9.html#group30K9", "30K⁹")</f>
        <v/>
      </c>
      <c r="L4715" t="inlineStr"/>
      <c r="M4715">
        <f>HYPERLINK("CSG0.html#group30A0", "30A⁰"), =HYPERLINK("CSG0.html#group2A0", "2A⁰"), =HYPERLINK("CSG5.html#group30C5", "30C⁵"), =HYPERLINK("CSG3.html#group30J3", "30J³"), =HYPERLINK("CSG0.html#group5B0", "5B⁰"), =HYPERLINK("CSG0.html#group5D0", "5D⁰"), =HYPERLINK("CSG5.html#group30G5", "30G⁵"), =HYPERLINK("CSG1.html#group10A1", "10A¹"), =HYPERLINK("CSG3.html#group30G3", "30G³"), =HYPERLINK("CSG1.html#group15H1", "15H¹"), =HYPERLINK("CSG0.html#group1A0", "1A⁰"), =HYPERLINK("CSG1.html#group10D1", "10D¹"), =HYPERLINK("CSG5.html#group30F5", "30F⁵"), =HYPERLINK("CSG3.html#group30B3", "30B³"), =HYPERLINK("CSG1.html#group30D1", "30D¹"), =HYPERLINK("CSG1.html#group6B1", "6B¹"), =HYPERLINK("CSG9.html#group30J9", "30J⁹"), =HYPERLINK("CSG9.html#group30K9", "30K⁹"), =HYPERLINK("CSG2.html#group15B2", "15B²"), =HYPERLINK("CSG9.html#group30I9", "30I⁹"), =HYPERLINK("CSG0.html#group3C0", "3C⁰"), =HYPERLINK("CSG1.html#group6A1", "6A¹"), =HYPERLINK("CSG9.html#group30H9", "30H⁹"), =HYPERLINK("CSG0.html#group3A0", "3A⁰"), =HYPERLINK("CSG0.html#group15C0", "15C⁰"), =HYPERLINK("CSG0.html#group3B0", "3B⁰"), =HYPERLINK("CSG3.html#group30L3", "30L³"), =HYPERLINK("CSG0.html#group6B0", "6B⁰"), =HYPERLINK("CSG3.html#group30I3", "30I³"), =HYPERLINK("CSG0.html#group6C0", "6C⁰"), =HYPERLINK("CSG5.html#group30N5", "30N⁵"), =HYPERLINK("CSG1.html#group15G1", "15G¹"), =HYPERLINK("CSG3.html#group15F3", "15F³"), =HYPERLINK("CSG9.html#group30G9", "30G⁹"), =HYPERLINK("CSG0.html#group10B0", "10B⁰"), =HYPERLINK("CSG5.html#group30H5", "30H⁵"), =HYPERLINK("CSG1.html#group15C1", "15C¹"), =HYPERLINK("CSG0.html#group15B0", "15B⁰"), =HYPERLINK("CSG5.html#group30R5", "30R⁵"), =HYPERLINK("CSG3.html#group30F3", "30F³"), =HYPERLINK("CSG5.html#group15C5", "15C⁵"), =HYPERLINK("CSG1.html#group6D1", "6D¹"), =HYPERLINK("CSG0.html#group6E0", "6E⁰"), =HYPERLINK("CSG1.html#group15E1", "15E¹"), =HYPERLINK("CSG3.html#group15E3", "15E³"), =HYPERLINK("CSG5.html#group30E5", "30E⁵"), =HYPERLINK("CSG0.html#group3D0", "3D⁰"), =HYPERLINK("CSG1.html#group30C1", "30C¹"), =HYPERLINK("CSG2.html#group30C2", "30C²")</f>
        <v/>
      </c>
      <c r="N4715" t="inlineStr"/>
    </row>
    <row r="4716">
      <c r="A4716" t="inlineStr">
        <is>
          <t>30I¹⁷</t>
        </is>
      </c>
      <c r="B4716" t="inlineStr"/>
      <c r="C4716" t="inlineStr">
        <is>
          <t>288</t>
        </is>
      </c>
      <c r="D4716" t="inlineStr">
        <is>
          <t>1</t>
        </is>
      </c>
      <c r="E4716" t="inlineStr">
        <is>
          <t>36</t>
        </is>
      </c>
      <c r="F4716" t="inlineStr">
        <is>
          <t>0</t>
        </is>
      </c>
      <c r="G4716" t="inlineStr">
        <is>
          <t>0</t>
        </is>
      </c>
      <c r="H4716" t="inlineStr">
        <is>
          <t>6⁸, 30⁸</t>
        </is>
      </c>
      <c r="I4716" t="n">
        <v>16</v>
      </c>
      <c r="J4716" t="inlineStr">
        <is>
          <t>2⁶, 8³</t>
        </is>
      </c>
      <c r="K4716">
        <f>HYPERLINK("CSG3.html#group15I3", "15I³"), =HYPERLINK("CSG7.html#group30R7", "30R⁷"), =HYPERLINK("CSG9.html#group30I9", "30I⁹")</f>
        <v/>
      </c>
      <c r="L4716" t="inlineStr"/>
      <c r="M4716">
        <f>HYPERLINK("CSG0.html#group2A0", "2A⁰"), =HYPERLINK("CSG3.html#group30L3", "30L³"), =HYPERLINK("CSG0.html#group6B0", "6B⁰"), =HYPERLINK("CSG1.html#group30C1", "30C¹"), =HYPERLINK("CSG0.html#group5B0", "5B⁰"), =HYPERLINK("CSG1.html#group10A1", "10A¹"), =HYPERLINK("CSG1.html#group15H1", "15H¹"), =HYPERLINK("CSG0.html#group1A0", "1A⁰"), =HYPERLINK("CSG7.html#group30R7", "30R⁷"), =HYPERLINK("CSG3.html#group15I3", "15I³"), =HYPERLINK("CSG5.html#group30F5", "30F⁵"), =HYPERLINK("CSG3.html#group30B3", "30B³"), =HYPERLINK("CSG5.html#group30H5", "30H⁵"), =HYPERLINK("CSG0.html#group15B0", "15B⁰"), =HYPERLINK("CSG1.html#group6B1", "6B¹"), =HYPERLINK("CSG5.html#group30E5", "30E⁵"), =HYPERLINK("CSG9.html#group30I9", "30I⁹"), =HYPERLINK("CSG0.html#group3C0", "3C⁰"), =HYPERLINK("CSG0.html#group15C0", "15C⁰"), =HYPERLINK("CSG1.html#group6A1", "6A¹"), =HYPERLINK("CSG0.html#group3A0", "3A⁰"), =HYPERLINK("CSG1.html#group15E1", "15E¹"), =HYPERLINK("CSG2.html#group30C2", "30C²")</f>
        <v/>
      </c>
      <c r="N4716" t="inlineStr"/>
    </row>
    <row r="4717">
      <c r="A4717" t="inlineStr">
        <is>
          <t>30J¹⁷</t>
        </is>
      </c>
      <c r="B4717" t="inlineStr"/>
      <c r="C4717" t="inlineStr">
        <is>
          <t>288</t>
        </is>
      </c>
      <c r="D4717" t="inlineStr">
        <is>
          <t>1</t>
        </is>
      </c>
      <c r="E4717" t="inlineStr">
        <is>
          <t>48</t>
        </is>
      </c>
      <c r="F4717" t="inlineStr">
        <is>
          <t>0</t>
        </is>
      </c>
      <c r="G4717" t="inlineStr">
        <is>
          <t>0</t>
        </is>
      </c>
      <c r="H4717" t="inlineStr">
        <is>
          <t>6⁸, 30⁸</t>
        </is>
      </c>
      <c r="I4717" t="n">
        <v>16</v>
      </c>
      <c r="J4717" t="inlineStr">
        <is>
          <t>2⁸, 8⁴</t>
        </is>
      </c>
      <c r="K4717">
        <f>HYPERLINK("CSG5.html#group30D5", "30D⁵"), =HYPERLINK("CSG5.html#group30N5", "30N⁵"), =HYPERLINK("CSG9.html#group30L9", "30L⁹")</f>
        <v/>
      </c>
      <c r="L4717" t="inlineStr"/>
      <c r="M4717">
        <f>HYPERLINK("CSG0.html#group3B0", "3B⁰"), =HYPERLINK("CSG0.html#group2A0", "2A⁰"), =HYPERLINK("CSG3.html#group30C3", "30C³"), =HYPERLINK("CSG0.html#group6C0", "6C⁰"), =HYPERLINK("CSG5.html#group30N5", "30N⁵"), =HYPERLINK("CSG0.html#group5B0", "5B⁰"), =HYPERLINK("CSG1.html#group10A1", "10A¹"), =HYPERLINK("CSG0.html#group5D0", "5D⁰"), =HYPERLINK("CSG1.html#group15G1", "15G¹"), =HYPERLINK("CSG3.html#group30G3", "30G³"), =HYPERLINK("CSG1.html#group10D1", "10D¹"), =HYPERLINK("CSG0.html#group1A0", "1A⁰"), =HYPERLINK("CSG0.html#group10B0", "10B⁰"), =HYPERLINK("CSG1.html#group15C1", "15C¹"), =HYPERLINK("CSG3.html#group30F3", "30F³"), =HYPERLINK("CSG0.html#group6A0", "6A⁰"), =HYPERLINK("CSG9.html#group30L9", "30L⁹"), =HYPERLINK("CSG0.html#group6J0", "6J⁰"), =HYPERLINK("CSG5.html#group30D5", "30D⁵")</f>
        <v/>
      </c>
      <c r="N4717" t="inlineStr"/>
    </row>
    <row r="4718">
      <c r="A4718" t="inlineStr">
        <is>
          <t>30K¹⁷</t>
        </is>
      </c>
      <c r="B4718" t="inlineStr"/>
      <c r="C4718" t="inlineStr">
        <is>
          <t>320</t>
        </is>
      </c>
      <c r="D4718" t="inlineStr">
        <is>
          <t>1</t>
        </is>
      </c>
      <c r="E4718" t="inlineStr">
        <is>
          <t>40</t>
        </is>
      </c>
      <c r="F4718" t="inlineStr">
        <is>
          <t>0</t>
        </is>
      </c>
      <c r="G4718" t="inlineStr">
        <is>
          <t>8</t>
        </is>
      </c>
      <c r="H4718" t="inlineStr">
        <is>
          <t>10⁸, 30⁸</t>
        </is>
      </c>
      <c r="I4718" t="n">
        <v>16</v>
      </c>
      <c r="J4718" t="inlineStr">
        <is>
          <t>2², 4⁵, 8²</t>
        </is>
      </c>
      <c r="K4718">
        <f>HYPERLINK("CSG5.html#group15D5", "15D⁵"), =HYPERLINK("CSG9.html#group30M9", "30M⁹"), =HYPERLINK("CSG9.html#group30N9", "30N⁹")</f>
        <v/>
      </c>
      <c r="L4718" t="inlineStr"/>
      <c r="M4718">
        <f>HYPERLINK("CSG5.html#group30J5", "30J⁵"), =HYPERLINK("CSG0.html#group3B0", "3B⁰"), =HYPERLINK("CSG1.html#group10H1", "10H¹"), =HYPERLINK("CSG0.html#group5A0", "5A⁰"), =HYPERLINK("CSG0.html#group2A0", "2A⁰"), =HYPERLINK("CSG9.html#group30M9", "30M⁹"), =HYPERLINK("CSG0.html#group10D0", "10D⁰"), =HYPERLINK("CSG2.html#group30D2", "30D²"), =HYPERLINK("CSG0.html#group6C0", "6C⁰"), =HYPERLINK("CSG0.html#group5F0", "5F⁰"), =HYPERLINK("CSG0.html#group1A0", "1A⁰"), =HYPERLINK("CSG5.html#group30I5", "30I⁵"), =HYPERLINK("CSG0.html#group10A0", "10A⁰"), =HYPERLINK("CSG5.html#group15D5", "15D⁵"), =HYPERLINK("CSG3.html#group15G3", "15G³"), =HYPERLINK("CSG1.html#group15B1", "15B¹"), =HYPERLINK("CSG1.html#group10C1", "10C¹"), =HYPERLINK("CSG2.html#group15C2", "15C²"), =HYPERLINK("CSG0.html#group5C0", "5C⁰"), =HYPERLINK("CSG9.html#group30N9", "30N⁹")</f>
        <v/>
      </c>
      <c r="N4718" t="inlineStr"/>
    </row>
    <row r="4719">
      <c r="A4719" t="inlineStr">
        <is>
          <t>32A¹⁷</t>
        </is>
      </c>
      <c r="B4719" t="inlineStr"/>
      <c r="C4719" t="inlineStr">
        <is>
          <t>384</t>
        </is>
      </c>
      <c r="D4719" t="inlineStr">
        <is>
          <t>1</t>
        </is>
      </c>
      <c r="E4719" t="inlineStr">
        <is>
          <t>6</t>
        </is>
      </c>
      <c r="F4719" t="inlineStr">
        <is>
          <t>0</t>
        </is>
      </c>
      <c r="G4719" t="inlineStr">
        <is>
          <t>0</t>
        </is>
      </c>
      <c r="H4719" t="inlineStr">
        <is>
          <t>4¹⁶, 8⁸, 32⁸</t>
        </is>
      </c>
      <c r="I4719" t="n">
        <v>32</v>
      </c>
      <c r="J4719" t="inlineStr">
        <is>
          <t>1⁴, 2¹</t>
        </is>
      </c>
      <c r="K4719">
        <f>HYPERLINK("CSG5.html#group16M5", "16M⁵"), =HYPERLINK("CSG5.html#group32M5", "32M⁵"), =HYPERLINK("CSG9.html#group32B9", "32B⁹"), =HYPERLINK("CSG9.html#group32A9", "32A⁹"), =HYPERLINK("CSG9.html#group32D9", "32D⁹"), =HYPERLINK("CSG9.html#group32C9", "32C⁹"), =HYPERLINK("CSG9.html#group32E9", "32E⁹")</f>
        <v/>
      </c>
      <c r="L4719" t="inlineStr"/>
      <c r="M4719">
        <f>HYPERLINK("CSG0.html#group16G0", "16G⁰"), =HYPERLINK("CSG9.html#group32C9", "32C⁹"), =HYPERLINK("CSG5.html#group16M5", "16M⁵"), =HYPERLINK("CSG0.html#group2B0", "2B⁰"), =HYPERLINK("CSG0.html#group4B0", "4B⁰"), =HYPERLINK("CSG0.html#group1A0", "1A⁰"), =HYPERLINK("CSG0.html#group8K0", "8K⁰"), =HYPERLINK("CSG5.html#group32M5", "32M⁵"), =HYPERLINK("CSG3.html#group32C3", "32C³"), =HYPERLINK("CSG0.html#group16E0", "16E⁰"), =HYPERLINK("CSG0.html#group16C0", "16C⁰"), =HYPERLINK("CSG0.html#group4D0", "4D⁰"), =HYPERLINK("CSG5.html#group32D5", "32D⁵"), =HYPERLINK("CSG0.html#group8P0", "8P⁰"), =HYPERLINK("CSG9.html#group32E9", "32E⁹"), =HYPERLINK("CSG3.html#group32B3", "32B³"), =HYPERLINK("CSG0.html#group8N0", "8N⁰"), =HYPERLINK("CSG1.html#group8A1", "8A¹"), =HYPERLINK("CSG0.html#group8D0", "8D⁰"), =HYPERLINK("CSG1.html#group16E1", "16E¹"), =HYPERLINK("CSG9.html#group32A9", "32A⁹"), =HYPERLINK("CSG3.html#group32A3", "32A³"), =HYPERLINK("CSG0.html#group8B0", "8B⁰"), =HYPERLINK("CSG0.html#group8I0", "8I⁰"), =HYPERLINK("CSG2.html#group16L2", "16L²"), =HYPERLINK("CSG3.html#group16I3", "16I³"), =HYPERLINK("CSG3.html#group32J3", "32J³"), =HYPERLINK("CSG1.html#group8C1", "8C¹"), =HYPERLINK("CSG1.html#group16C1", "16C¹"), =HYPERLINK("CSG0.html#group16D0", "16D⁰"), =HYPERLINK("CSG9.html#group32B9", "32B⁹"), =HYPERLINK("CSG2.html#group32A2", "32A²"), =HYPERLINK("CSG0.html#group4F0", "4F⁰"), =HYPERLINK("CSG0.html#group8J0", "8J⁰"), =HYPERLINK("CSG0.html#group2C0", "2C⁰"), =HYPERLINK("CSG0.html#group8O0", "8O⁰"), =HYPERLINK("CSG0.html#group2A0", "2A⁰"), =HYPERLINK("CSG1.html#group16I1", "16I¹"), =HYPERLINK("CSG0.html#group4C0", "4C⁰"), =HYPERLINK("CSG3.html#group32M3", "32M³"), =HYPERLINK("CSG9.html#group32D9", "32D⁹"), =HYPERLINK("CSG1.html#group16A1", "16A¹"), =HYPERLINK("CSG0.html#group8C0", "8C⁰"), =HYPERLINK("CSG0.html#group4E0", "4E⁰"), =HYPERLINK("CSG0.html#group4G0", "4G⁰"), =HYPERLINK("CSG0.html#group8L0", "8L⁰"), =HYPERLINK("CSG3.html#group16J3", "16J³"), =HYPERLINK("CSG1.html#group8F1", "8F¹"), =HYPERLINK("CSG0.html#group16H0", "16H⁰"), =HYPERLINK("CSG1.html#group32A1", "32A¹"), =HYPERLINK("CSG5.html#group32B5", "32B⁵"), =HYPERLINK("CSG0.html#group8G0", "8G⁰"), =HYPERLINK("CSG1.html#group8G1", "8G¹"), =HYPERLINK("CSG0.html#group32A0", "32A⁰"), =HYPERLINK("CSG5.html#group32A5", "32A⁵"), =HYPERLINK("CSG1.html#group16M1", "16M¹"), =HYPERLINK("CSG1.html#group16H1", "16H¹"), =HYPERLINK("CSG1.html#group32E1", "32E¹"), =HYPERLINK("CSG2.html#group16D2", "16D²"), =HYPERLINK("CSG2.html#group16C2", "16C²"), =HYPERLINK("CSG1.html#group8K1", "8K¹"), =HYPERLINK("CSG1.html#group8B1", "8B¹"), =HYPERLINK("CSG3.html#group32K3", "32K³"), =HYPERLINK("CSG3.html#group16H3", "16H³"), =HYPERLINK("CSG0.html#group8H0", "8H⁰"), =HYPERLINK("CSG5.html#group32C5", "32C⁵"), =HYPERLINK("CSG1.html#group16G1", "16G¹"), =HYPERLINK("CSG0.html#group4A0", "4A⁰")</f>
        <v/>
      </c>
      <c r="N4719" t="inlineStr"/>
    </row>
    <row r="4720">
      <c r="A4720" t="inlineStr">
        <is>
          <t>32B¹⁷</t>
        </is>
      </c>
      <c r="B4720" t="inlineStr"/>
      <c r="C4720" t="inlineStr">
        <is>
          <t>384</t>
        </is>
      </c>
      <c r="D4720" t="inlineStr">
        <is>
          <t>1</t>
        </is>
      </c>
      <c r="E4720" t="inlineStr">
        <is>
          <t>12</t>
        </is>
      </c>
      <c r="F4720" t="inlineStr">
        <is>
          <t>0</t>
        </is>
      </c>
      <c r="G4720" t="inlineStr">
        <is>
          <t>0</t>
        </is>
      </c>
      <c r="H4720" t="inlineStr">
        <is>
          <t>4¹⁶, 8⁸, 32⁸</t>
        </is>
      </c>
      <c r="I4720" t="n">
        <v>32</v>
      </c>
      <c r="J4720" t="inlineStr">
        <is>
          <t>1⁴, 2², 4¹</t>
        </is>
      </c>
      <c r="K4720">
        <f>HYPERLINK("CSG5.html#group16N5", "16N⁵"), =HYPERLINK("CSG5.html#group32N5", "32N⁵"), =HYPERLINK("CSG9.html#group32E9", "32E⁹"), =HYPERLINK("CSG9.html#group32I9", "32I⁹"), =HYPERLINK("CSG9.html#group32J9", "32J⁹")</f>
        <v/>
      </c>
      <c r="L4720" t="inlineStr"/>
      <c r="M4720">
        <f>HYPERLINK("CSG0.html#group16G0", "16G⁰"), =HYPERLINK("CSG0.html#group2A0", "2A⁰"), =HYPERLINK("CSG5.html#group32N5", "32N⁵"), =HYPERLINK("CSG0.html#group4C0", "4C⁰"), =HYPERLINK("CSG1.html#group16A1", "16A¹"), =HYPERLINK("CSG0.html#group8C0", "8C⁰"), =HYPERLINK("CSG0.html#group2B0", "2B⁰"), =HYPERLINK("CSG0.html#group4E0", "4E⁰"), =HYPERLINK("CSG1.html#group32D1", "32D¹"), =HYPERLINK("CSG0.html#group4B0", "4B⁰"), =HYPERLINK("CSG0.html#group1A0", "1A⁰"), =HYPERLINK("CSG2.html#group16J2", "16J²"), =HYPERLINK("CSG3.html#group32C3", "32C³"), =HYPERLINK("CSG0.html#group16H0", "16H⁰"), =HYPERLINK("CSG0.html#group16E0", "16E⁰"), =HYPERLINK("CSG5.html#group32B5", "32B⁵"), =HYPERLINK("CSG0.html#group8G0", "8G⁰"), =HYPERLINK("CSG3.html#group32O3", "32O³"), =HYPERLINK("CSG0.html#group16C0", "16C⁰"), =HYPERLINK("CSG5.html#group32D5", "32D⁵"), =HYPERLINK("CSG5.html#group32A5", "32A⁵"), =HYPERLINK("CSG1.html#group16M1", "16M¹"), =HYPERLINK("CSG9.html#group32E9", "32E⁹"), =HYPERLINK("CSG0.html#group8J0", "8J⁰"), =HYPERLINK("CSG3.html#group32B3", "32B³"), =HYPERLINK("CSG5.html#group16N5", "16N⁵"), =HYPERLINK("CSG2.html#group32C2", "32C²"), =HYPERLINK("CSG0.html#group8D0", "8D⁰"), =HYPERLINK("CSG1.html#group16E1", "16E¹"), =HYPERLINK("CSG3.html#group32A3", "32A³"), =HYPERLINK("CSG0.html#group8I0", "8I⁰"), =HYPERLINK("CSG2.html#group16K2", "16K²"), =HYPERLINK("CSG3.html#group16N3", "16N³"), =HYPERLINK("CSG5.html#group32C5", "32C⁵"), =HYPERLINK("CSG2.html#group32B2", "32B²"), =HYPERLINK("CSG1.html#group32C1", "32C¹"), =HYPERLINK("CSG1.html#group16G1", "16G¹"), =HYPERLINK("CSG9.html#group32J9", "32J⁹"), =HYPERLINK("CSG0.html#group16D0", "16D⁰"), =HYPERLINK("CSG9.html#group32I9", "32I⁹"), =HYPERLINK("CSG0.html#group2C0", "2C⁰"), =HYPERLINK("CSG0.html#group8O0", "8O⁰")</f>
        <v/>
      </c>
      <c r="N4720" t="inlineStr"/>
    </row>
    <row r="4721">
      <c r="A4721" t="inlineStr">
        <is>
          <t>32C¹⁷</t>
        </is>
      </c>
      <c r="B4721" t="inlineStr">
        <is>
          <t>Γ₁(32)</t>
        </is>
      </c>
      <c r="C4721" t="inlineStr">
        <is>
          <t>384</t>
        </is>
      </c>
      <c r="D4721" t="inlineStr">
        <is>
          <t>1</t>
        </is>
      </c>
      <c r="E4721" t="inlineStr">
        <is>
          <t>48</t>
        </is>
      </c>
      <c r="F4721" t="inlineStr">
        <is>
          <t>0</t>
        </is>
      </c>
      <c r="G4721" t="inlineStr">
        <is>
          <t>0</t>
        </is>
      </c>
      <c r="H4721" t="inlineStr">
        <is>
          <t>1⁸, 2⁴, 4⁴, 8⁴, 16⁴, 32⁸</t>
        </is>
      </c>
      <c r="I4721" t="n">
        <v>32</v>
      </c>
      <c r="J4721" t="inlineStr">
        <is>
          <t>1⁴, 2², 4², 8², 16¹</t>
        </is>
      </c>
      <c r="K4721">
        <f>HYPERLINK("CSG5.html#group32O5", "32O⁵")</f>
        <v/>
      </c>
      <c r="L4721" t="inlineStr"/>
      <c r="M4721">
        <f>HYPERLINK("CSG1.html#group32A1", "32A¹"), =HYPERLINK("CSG2.html#group32C2", "32C²"), =HYPERLINK("CSG1.html#group32E1", "32E¹"), =HYPERLINK("CSG0.html#group16C0", "16C⁰"), =HYPERLINK("CSG0.html#group16D0", "16D⁰"), =HYPERLINK("CSG0.html#group32A0", "32A⁰"), =HYPERLINK("CSG5.html#group32O5", "32O⁵"), =HYPERLINK("CSG0.html#group8C0", "8C⁰"), =HYPERLINK("CSG0.html#group2B0", "2B⁰"), =HYPERLINK("CSG0.html#group8I0", "8I⁰"), =HYPERLINK("CSG0.html#group4B0", "4B⁰"), =HYPERLINK("CSG0.html#group1A0", "1A⁰"), =HYPERLINK("CSG2.html#group16J2", "16J²"), =HYPERLINK("CSG0.html#group16H0", "16H⁰")</f>
        <v/>
      </c>
      <c r="N4721" t="inlineStr"/>
    </row>
    <row r="4722">
      <c r="A4722" t="inlineStr">
        <is>
          <t>32D¹⁷</t>
        </is>
      </c>
      <c r="B4722" t="inlineStr"/>
      <c r="C4722" t="inlineStr">
        <is>
          <t>384</t>
        </is>
      </c>
      <c r="D4722" t="inlineStr">
        <is>
          <t>1</t>
        </is>
      </c>
      <c r="E4722" t="inlineStr">
        <is>
          <t>48</t>
        </is>
      </c>
      <c r="F4722" t="inlineStr">
        <is>
          <t>0</t>
        </is>
      </c>
      <c r="G4722" t="inlineStr">
        <is>
          <t>0</t>
        </is>
      </c>
      <c r="H4722" t="inlineStr">
        <is>
          <t>2⁸, 4⁴, 8⁴, 16¹², 32⁴</t>
        </is>
      </c>
      <c r="I4722" t="n">
        <v>32</v>
      </c>
      <c r="J4722" t="inlineStr">
        <is>
          <t>1⁸, 2⁴, 4⁴, 8²</t>
        </is>
      </c>
      <c r="K4722">
        <f>HYPERLINK("CSG5.html#group16N5", "16N⁵")</f>
        <v/>
      </c>
      <c r="L4722" t="inlineStr"/>
      <c r="M4722">
        <f>HYPERLINK("CSG0.html#group16G0", "16G⁰"), =HYPERLINK("CSG0.html#group2A0", "2A⁰"), =HYPERLINK("CSG5.html#group16N5", "16N⁵"), =HYPERLINK("CSG0.html#group8D0", "8D⁰"), =HYPERLINK("CSG1.html#group16E1", "16E¹"), =HYPERLINK("CSG0.html#group4C0", "4C⁰"), =HYPERLINK("CSG1.html#group16A1", "16A¹"), =HYPERLINK("CSG0.html#group8C0", "8C⁰"), =HYPERLINK("CSG0.html#group2B0", "2B⁰"), =HYPERLINK("CSG0.html#group4E0", "4E⁰"), =HYPERLINK("CSG0.html#group8I0", "8I⁰"), =HYPERLINK("CSG0.html#group4B0", "4B⁰"), =HYPERLINK("CSG0.html#group1A0", "1A⁰"), =HYPERLINK("CSG2.html#group16J2", "16J²"), =HYPERLINK("CSG2.html#group16K2", "16K²"), =HYPERLINK("CSG0.html#group16H0", "16H⁰"), =HYPERLINK("CSG3.html#group16N3", "16N³"), =HYPERLINK("CSG0.html#group16E0", "16E⁰"), =HYPERLINK("CSG1.html#group16G1", "16G¹"), =HYPERLINK("CSG0.html#group8G0", "8G⁰"), =HYPERLINK("CSG0.html#group16C0", "16C⁰"), =HYPERLINK("CSG0.html#group16D0", "16D⁰"), =HYPERLINK("CSG1.html#group16M1", "16M¹"), =HYPERLINK("CSG0.html#group8J0", "8J⁰"), =HYPERLINK("CSG0.html#group2C0", "2C⁰"), =HYPERLINK("CSG0.html#group8O0", "8O⁰")</f>
        <v/>
      </c>
      <c r="N4722" t="inlineStr"/>
    </row>
    <row r="4723">
      <c r="A4723" t="inlineStr">
        <is>
          <t>32E¹⁷</t>
        </is>
      </c>
      <c r="B4723" t="inlineStr"/>
      <c r="C4723" t="inlineStr">
        <is>
          <t>384</t>
        </is>
      </c>
      <c r="D4723" t="inlineStr">
        <is>
          <t>1</t>
        </is>
      </c>
      <c r="E4723" t="inlineStr">
        <is>
          <t>48</t>
        </is>
      </c>
      <c r="F4723" t="inlineStr">
        <is>
          <t>0</t>
        </is>
      </c>
      <c r="G4723" t="inlineStr">
        <is>
          <t>0</t>
        </is>
      </c>
      <c r="H4723" t="inlineStr">
        <is>
          <t>4⁸, 8¹², 16⁸, 32⁴</t>
        </is>
      </c>
      <c r="I4723" t="n">
        <v>32</v>
      </c>
      <c r="J4723" t="inlineStr">
        <is>
          <t>1⁸, 2¹², 4⁴</t>
        </is>
      </c>
      <c r="K4723">
        <f>HYPERLINK("CSG5.html#group16O5", "16O⁵")</f>
        <v/>
      </c>
      <c r="L4723" t="inlineStr"/>
      <c r="M4723">
        <f>HYPERLINK("CSG0.html#group2A0", "2A⁰"), =HYPERLINK("CSG0.html#group4C0", "4C⁰"), =HYPERLINK("CSG0.html#group4G0", "4G⁰"), =HYPERLINK("CSG0.html#group2B0", "2B⁰"), =HYPERLINK("CSG0.html#group4E0", "4E⁰"), =HYPERLINK("CSG0.html#group8L0", "8L⁰"), =HYPERLINK("CSG0.html#group8C0", "8C⁰"), =HYPERLINK("CSG0.html#group4B0", "4B⁰"), =HYPERLINK("CSG1.html#group8F1", "8F¹"), =HYPERLINK("CSG0.html#group8K0", "8K⁰"), =HYPERLINK("CSG0.html#group1A0", "1A⁰"), =HYPERLINK("CSG0.html#group8G0", "8G⁰"), =HYPERLINK("CSG1.html#group8G1", "8G¹"), =HYPERLINK("CSG5.html#group16O5", "16O⁵"), =HYPERLINK("CSG0.html#group4D0", "4D⁰"), =HYPERLINK("CSG0.html#group8P0", "8P⁰"), =HYPERLINK("CSG1.html#group16K1", "16K¹"), =HYPERLINK("CSG0.html#group8N0", "8N⁰"), =HYPERLINK("CSG1.html#group8A1", "8A¹"), =HYPERLINK("CSG1.html#group8K1", "8K¹"), =HYPERLINK("CSG0.html#group8D0", "8D⁰"), =HYPERLINK("CSG3.html#group16O3", "16O³"), =HYPERLINK("CSG2.html#group16I2", "16I²"), =HYPERLINK("CSG0.html#group8B0", "8B⁰"), =HYPERLINK("CSG1.html#group8B1", "8B¹"), =HYPERLINK("CSG0.html#group8I0", "8I⁰"), =HYPERLINK("CSG2.html#group16K2", "16K²"), =HYPERLINK("CSG0.html#group8H0", "8H⁰"), =HYPERLINK("CSG1.html#group16L1", "16L¹"), =HYPERLINK("CSG1.html#group8C1", "8C¹"), =HYPERLINK("CSG0.html#group4A0", "4A⁰"), =HYPERLINK("CSG0.html#group4F0", "4F⁰"), =HYPERLINK("CSG0.html#group8J0", "8J⁰"), =HYPERLINK("CSG0.html#group2C0", "2C⁰"), =HYPERLINK("CSG0.html#group8O0", "8O⁰")</f>
        <v/>
      </c>
      <c r="N4723" t="inlineStr"/>
    </row>
    <row r="4724">
      <c r="A4724" t="inlineStr">
        <is>
          <t>33A¹⁷</t>
        </is>
      </c>
      <c r="B4724" t="inlineStr"/>
      <c r="C4724" t="inlineStr">
        <is>
          <t>264</t>
        </is>
      </c>
      <c r="D4724" t="inlineStr">
        <is>
          <t>1</t>
        </is>
      </c>
      <c r="E4724" t="inlineStr">
        <is>
          <t>264</t>
        </is>
      </c>
      <c r="F4724" t="inlineStr">
        <is>
          <t>0</t>
        </is>
      </c>
      <c r="G4724" t="inlineStr">
        <is>
          <t>0</t>
        </is>
      </c>
      <c r="H4724" t="inlineStr">
        <is>
          <t>11⁶, 33⁶</t>
        </is>
      </c>
      <c r="I4724" t="n">
        <v>12</v>
      </c>
      <c r="J4724" t="inlineStr">
        <is>
          <t>1², 2¹, 5², 10¹³, 20⁶</t>
        </is>
      </c>
      <c r="K4724">
        <f>HYPERLINK("CSG2.html#group11A2", "11A²"), =HYPERLINK("CSG3.html#group33B3", "33B³")</f>
        <v/>
      </c>
      <c r="L4724" t="inlineStr"/>
      <c r="M4724">
        <f>HYPERLINK("CSG0.html#group11A0", "11A⁰"), =HYPERLINK("CSG0.html#group3B0", "3B⁰"), =HYPERLINK("CSG0.html#group1A0", "1A⁰"), =HYPERLINK("CSG3.html#group33B3", "33B³"), =HYPERLINK("CSG2.html#group11A2", "11A²")</f>
        <v/>
      </c>
      <c r="N4724" t="inlineStr"/>
    </row>
    <row r="4725">
      <c r="A4725" t="inlineStr">
        <is>
          <t>33B¹⁷</t>
        </is>
      </c>
      <c r="B4725" t="inlineStr"/>
      <c r="C4725" t="inlineStr">
        <is>
          <t>288</t>
        </is>
      </c>
      <c r="D4725" t="inlineStr">
        <is>
          <t>1</t>
        </is>
      </c>
      <c r="E4725" t="inlineStr">
        <is>
          <t>12</t>
        </is>
      </c>
      <c r="F4725" t="inlineStr">
        <is>
          <t>0</t>
        </is>
      </c>
      <c r="G4725" t="inlineStr">
        <is>
          <t>0</t>
        </is>
      </c>
      <c r="H4725" t="inlineStr">
        <is>
          <t>3⁸, 33⁸</t>
        </is>
      </c>
      <c r="I4725" t="n">
        <v>16</v>
      </c>
      <c r="J4725" t="inlineStr">
        <is>
          <t>1², 10¹</t>
        </is>
      </c>
      <c r="K4725">
        <f>HYPERLINK("CSG5.html#group33B5", "33B⁵"), =HYPERLINK("CSG9.html#group33A9", "33A⁹")</f>
        <v/>
      </c>
      <c r="L4725" t="inlineStr"/>
      <c r="M4725">
        <f>HYPERLINK("CSG5.html#group33B5", "33B⁵"), =HYPERLINK("CSG0.html#group3B0", "3B⁰"), =HYPERLINK("CSG1.html#group11A1", "11A¹"), =HYPERLINK("CSG5.html#group33A5", "33A⁵"), =HYPERLINK("CSG0.html#group3C0", "3C⁰"), =HYPERLINK("CSG9.html#group33A9", "33A⁹"), =HYPERLINK("CSG0.html#group3A0", "3A⁰"), =HYPERLINK("CSG3.html#group33A3", "33A³"), =HYPERLINK("CSG0.html#group1A0", "1A⁰"), =HYPERLINK("CSG0.html#group3D0", "3D⁰"), =HYPERLINK("CSG3.html#group33C3", "33C³")</f>
        <v/>
      </c>
      <c r="N4725" t="inlineStr"/>
    </row>
    <row r="4726">
      <c r="A4726" t="inlineStr">
        <is>
          <t>33C¹⁷</t>
        </is>
      </c>
      <c r="B4726" t="inlineStr"/>
      <c r="C4726" t="inlineStr">
        <is>
          <t>330</t>
        </is>
      </c>
      <c r="D4726" t="inlineStr">
        <is>
          <t>1</t>
        </is>
      </c>
      <c r="E4726" t="inlineStr">
        <is>
          <t>165</t>
        </is>
      </c>
      <c r="F4726" t="inlineStr">
        <is>
          <t>26</t>
        </is>
      </c>
      <c r="G4726" t="inlineStr">
        <is>
          <t>0</t>
        </is>
      </c>
      <c r="H4726" t="inlineStr">
        <is>
          <t>33¹⁰</t>
        </is>
      </c>
      <c r="I4726" t="n">
        <v>10</v>
      </c>
      <c r="J4726" t="inlineStr">
        <is>
          <t>5¹, 10⁶, 20⁵</t>
        </is>
      </c>
      <c r="K4726">
        <f>HYPERLINK("CSG7.html#group33A7", "33A⁷")</f>
        <v/>
      </c>
      <c r="L4726" t="inlineStr"/>
      <c r="M4726">
        <f>HYPERLINK("CSG0.html#group3A0", "3A⁰"), =HYPERLINK("CSG1.html#group11C1", "11C¹"), =HYPERLINK("CSG7.html#group33A7", "33A⁷"), =HYPERLINK("CSG0.html#group1A0", "1A⁰")</f>
        <v/>
      </c>
      <c r="N4726" t="inlineStr"/>
    </row>
    <row r="4727">
      <c r="A4727" t="inlineStr">
        <is>
          <t>34A¹⁷</t>
        </is>
      </c>
      <c r="B4727" t="inlineStr"/>
      <c r="C4727" t="inlineStr">
        <is>
          <t>288</t>
        </is>
      </c>
      <c r="D4727" t="inlineStr">
        <is>
          <t>1</t>
        </is>
      </c>
      <c r="E4727" t="inlineStr">
        <is>
          <t>18</t>
        </is>
      </c>
      <c r="F4727" t="inlineStr">
        <is>
          <t>0</t>
        </is>
      </c>
      <c r="G4727" t="inlineStr">
        <is>
          <t>0</t>
        </is>
      </c>
      <c r="H4727" t="inlineStr">
        <is>
          <t>2⁸, 34⁸</t>
        </is>
      </c>
      <c r="I4727" t="n">
        <v>16</v>
      </c>
      <c r="J4727" t="inlineStr">
        <is>
          <t>1², 16¹</t>
        </is>
      </c>
      <c r="K4727">
        <f>HYPERLINK("CSG5.html#group17A5", "17A⁵"), =HYPERLINK("CSG5.html#group34D5", "34D⁵"), =HYPERLINK("CSG9.html#group34A9", "34A⁹")</f>
        <v/>
      </c>
      <c r="L4727" t="inlineStr"/>
      <c r="M4727">
        <f>HYPERLINK("CSG0.html#group2A0", "2A⁰"), =HYPERLINK("CSG5.html#group17A5", "17A⁵"), =HYPERLINK("CSG1.html#group17C1", "17C¹"), =HYPERLINK("CSG3.html#group34B3", "34B³"), =HYPERLINK("CSG0.html#group1A0", "1A⁰"), =HYPERLINK("CSG3.html#group34A3", "34A³"), =HYPERLINK("CSG5.html#group34A5", "34A⁵"), =HYPERLINK("CSG1.html#group17B1", "17B¹"), =HYPERLINK("CSG5.html#group34B5", "34B⁵"), =HYPERLINK("CSG9.html#group34A9", "34A⁹"), =HYPERLINK("CSG5.html#group34D5", "34D⁵"), =HYPERLINK("CSG1.html#group17A1", "17A¹")</f>
        <v/>
      </c>
      <c r="N4727" t="inlineStr"/>
    </row>
    <row r="4728">
      <c r="A4728" t="inlineStr">
        <is>
          <t>35A¹⁷</t>
        </is>
      </c>
      <c r="B4728" t="inlineStr"/>
      <c r="C4728" t="inlineStr">
        <is>
          <t>320</t>
        </is>
      </c>
      <c r="D4728" t="inlineStr">
        <is>
          <t>1</t>
        </is>
      </c>
      <c r="E4728" t="inlineStr">
        <is>
          <t>80</t>
        </is>
      </c>
      <c r="F4728" t="inlineStr">
        <is>
          <t>0</t>
        </is>
      </c>
      <c r="G4728" t="inlineStr">
        <is>
          <t>8</t>
        </is>
      </c>
      <c r="H4728" t="inlineStr">
        <is>
          <t>5⁸, 35⁸</t>
        </is>
      </c>
      <c r="I4728" t="n">
        <v>16</v>
      </c>
      <c r="J4728" t="inlineStr">
        <is>
          <t>2², 4⁴, 12¹, 24²</t>
        </is>
      </c>
      <c r="K4728">
        <f>HYPERLINK("CSG9.html#group35C9", "35C⁹")</f>
        <v/>
      </c>
      <c r="L4728" t="inlineStr"/>
      <c r="M4728">
        <f>HYPERLINK("CSG9.html#group35C9", "35C⁹"), =HYPERLINK("CSG5.html#group35A5", "35A⁵"), =HYPERLINK("CSG0.html#group5A0", "5A⁰"), =HYPERLINK("CSG0.html#group7B0", "7B⁰"), =HYPERLINK("CSG0.html#group5F0", "5F⁰"), =HYPERLINK("CSG0.html#group1A0", "1A⁰"), =HYPERLINK("CSG2.html#group35B2", "35B²"), =HYPERLINK("CSG0.html#group5C0", "5C⁰")</f>
        <v/>
      </c>
      <c r="N4728" t="inlineStr"/>
    </row>
    <row r="4729">
      <c r="A4729" t="inlineStr">
        <is>
          <t>35B¹⁷</t>
        </is>
      </c>
      <c r="B4729" t="inlineStr"/>
      <c r="C4729" t="inlineStr">
        <is>
          <t>336</t>
        </is>
      </c>
      <c r="D4729" t="inlineStr">
        <is>
          <t>1</t>
        </is>
      </c>
      <c r="E4729" t="inlineStr">
        <is>
          <t>168</t>
        </is>
      </c>
      <c r="F4729" t="inlineStr">
        <is>
          <t>16</t>
        </is>
      </c>
      <c r="G4729" t="inlineStr">
        <is>
          <t>0</t>
        </is>
      </c>
      <c r="H4729" t="inlineStr">
        <is>
          <t>7⁸, 35⁸</t>
        </is>
      </c>
      <c r="I4729" t="n">
        <v>16</v>
      </c>
      <c r="J4729" t="inlineStr">
        <is>
          <t>1², 3², 4¹, 6⁸, 12¹, 24⁴</t>
        </is>
      </c>
      <c r="K4729">
        <f>HYPERLINK("CSG4.html#group35C4", "35C⁴"), =HYPERLINK("CSG9.html#group35D9", "35D⁹")</f>
        <v/>
      </c>
      <c r="L4729" t="inlineStr"/>
      <c r="M4729">
        <f>HYPERLINK("CSG2.html#group35C2", "35C²"), =HYPERLINK("CSG4.html#group35C4", "35C⁴"), =HYPERLINK("CSG0.html#group5B0", "5B⁰"), =HYPERLINK("CSG0.html#group7F0", "7F⁰"), =HYPERLINK("CSG0.html#group1A0", "1A⁰"), =HYPERLINK("CSG9.html#group35D9", "35D⁹"), =HYPERLINK("CSG0.html#group7A0", "7A⁰")</f>
        <v/>
      </c>
      <c r="N4729" t="inlineStr"/>
    </row>
    <row r="4730">
      <c r="A4730" t="inlineStr">
        <is>
          <t>36A¹⁷</t>
        </is>
      </c>
      <c r="B4730" t="inlineStr"/>
      <c r="C4730" t="inlineStr">
        <is>
          <t>288</t>
        </is>
      </c>
      <c r="D4730" t="inlineStr">
        <is>
          <t>1</t>
        </is>
      </c>
      <c r="E4730" t="inlineStr">
        <is>
          <t>12</t>
        </is>
      </c>
      <c r="F4730" t="inlineStr">
        <is>
          <t>0</t>
        </is>
      </c>
      <c r="G4730" t="inlineStr">
        <is>
          <t>0</t>
        </is>
      </c>
      <c r="H4730" t="inlineStr">
        <is>
          <t>6⁴, 12⁴, 18⁴, 36⁴</t>
        </is>
      </c>
      <c r="I4730" t="n">
        <v>16</v>
      </c>
      <c r="J4730" t="inlineStr">
        <is>
          <t>1⁶, 2³</t>
        </is>
      </c>
      <c r="K4730">
        <f>HYPERLINK("CSG1.html#group12V1", "12V¹"), =HYPERLINK("CSG8.html#group36H8", "36H⁸"), =HYPERLINK("CSG8.html#group36J8", "36J⁸"), =HYPERLINK("CSG9.html#group36C9", "36C⁹")</f>
        <v/>
      </c>
      <c r="L4730" t="inlineStr"/>
      <c r="M4730">
        <f>HYPERLINK("CSG0.html#group3B0", "3B⁰"), =HYPERLINK("CSG0.html#group2A0", "2A⁰"), =HYPERLINK("CSG4.html#group18C4", "18C⁴"), =HYPERLINK("CSG1.html#group12V1", "12V¹"), =HYPERLINK("CSG0.html#group6I0", "6I⁰"), =HYPERLINK("CSG1.html#group12F1", "12F¹"), =HYPERLINK("CSG0.html#group18B0", "18B⁰"), =HYPERLINK("CSG0.html#group6C0", "6C⁰"), =HYPERLINK("CSG0.html#group12I0", "12I⁰"), =HYPERLINK("CSG0.html#group4C0", "4C⁰"), =HYPERLINK("CSG0.html#group12J0", "12J⁰"), =HYPERLINK("CSG2.html#group18D2", "18D²"), =HYPERLINK("CSG4.html#group36F4", "36F⁴"), =HYPERLINK("CSG0.html#group2B0", "2B⁰"), =HYPERLINK("CSG0.html#group4E0", "4E⁰"), =HYPERLINK("CSG1.html#group12P1", "12P¹"), =HYPERLINK("CSG0.html#group4B0", "4B⁰"), =HYPERLINK("CSG0.html#group9C0", "9C⁰"), =HYPERLINK("CSG0.html#group1A0", "1A⁰"), =HYPERLINK("CSG5.html#group36A5", "36A⁵"), =HYPERLINK("CSG9.html#group36C9", "36C⁹"), =HYPERLINK("CSG8.html#group36H8", "36H⁸"), =HYPERLINK("CSG0.html#group6F0", "6F⁰"), =HYPERLINK("CSG0.html#group2C0", "2C⁰"), =HYPERLINK("CSG0.html#group12E0", "12E⁰"), =HYPERLINK("CSG8.html#group36J8", "36J⁸"), =HYPERLINK("CSG2.html#group18C2", "18C²")</f>
        <v/>
      </c>
      <c r="N4730" t="inlineStr"/>
    </row>
    <row r="4731">
      <c r="A4731" t="inlineStr">
        <is>
          <t>36B¹⁷</t>
        </is>
      </c>
      <c r="B4731" t="inlineStr"/>
      <c r="C4731" t="inlineStr">
        <is>
          <t>288</t>
        </is>
      </c>
      <c r="D4731" t="inlineStr">
        <is>
          <t>1</t>
        </is>
      </c>
      <c r="E4731" t="inlineStr">
        <is>
          <t>12</t>
        </is>
      </c>
      <c r="F4731" t="inlineStr">
        <is>
          <t>0</t>
        </is>
      </c>
      <c r="G4731" t="inlineStr">
        <is>
          <t>0</t>
        </is>
      </c>
      <c r="H4731" t="inlineStr">
        <is>
          <t>6⁴, 12⁴, 18⁴, 36⁴</t>
        </is>
      </c>
      <c r="I4731" t="n">
        <v>16</v>
      </c>
      <c r="J4731" t="inlineStr">
        <is>
          <t>1⁶, 2³</t>
        </is>
      </c>
      <c r="K4731">
        <f>HYPERLINK("CSG1.html#group12V1", "12V¹"), =HYPERLINK("CSG8.html#group36I8", "36I⁸"), =HYPERLINK("CSG8.html#group36K8", "36K⁸"), =HYPERLINK("CSG9.html#group36D9", "36D⁹")</f>
        <v/>
      </c>
      <c r="L4731" t="inlineStr"/>
      <c r="M4731">
        <f>HYPERLINK("CSG0.html#group3B0", "3B⁰"), =HYPERLINK("CSG0.html#group2A0", "2A⁰"), =HYPERLINK("CSG1.html#group12V1", "12V¹"), =HYPERLINK("CSG0.html#group6I0", "6I⁰"), =HYPERLINK("CSG1.html#group12F1", "12F¹"), =HYPERLINK("CSG1.html#group18D1", "18D¹"), =HYPERLINK("CSG0.html#group6C0", "6C⁰"), =HYPERLINK("CSG0.html#group12I0", "12I⁰"), =HYPERLINK("CSG0.html#group4C0", "4C⁰"), =HYPERLINK("CSG0.html#group12J0", "12J⁰"), =HYPERLINK("CSG2.html#group18E2", "18E²"), =HYPERLINK("CSG8.html#group36I8", "36I⁸"), =HYPERLINK("CSG0.html#group2B0", "2B⁰"), =HYPERLINK("CSG0.html#group4E0", "4E⁰"), =HYPERLINK("CSG4.html#group36G4", "36G⁴"), =HYPERLINK("CSG1.html#group12P1", "12P¹"), =HYPERLINK("CSG0.html#group4B0", "4B⁰"), =HYPERLINK("CSG5.html#group36B5", "36B⁵"), =HYPERLINK("CSG0.html#group1A0", "1A⁰"), =HYPERLINK("CSG2.html#group18B2", "18B²"), =HYPERLINK("CSG8.html#group36K8", "36K⁸"), =HYPERLINK("CSG1.html#group9A1", "9A¹"), =HYPERLINK("CSG4.html#group18D4", "18D⁴"), =HYPERLINK("CSG0.html#group6F0", "6F⁰"), =HYPERLINK("CSG0.html#group2C0", "2C⁰"), =HYPERLINK("CSG0.html#group12E0", "12E⁰"), =HYPERLINK("CSG9.html#group36D9", "36D⁹")</f>
        <v/>
      </c>
      <c r="N4731" t="inlineStr"/>
    </row>
    <row r="4732">
      <c r="A4732" t="inlineStr">
        <is>
          <t>36C¹⁷</t>
        </is>
      </c>
      <c r="B4732" t="inlineStr"/>
      <c r="C4732" t="inlineStr">
        <is>
          <t>288</t>
        </is>
      </c>
      <c r="D4732" t="inlineStr">
        <is>
          <t>1</t>
        </is>
      </c>
      <c r="E4732" t="inlineStr">
        <is>
          <t>24</t>
        </is>
      </c>
      <c r="F4732" t="inlineStr">
        <is>
          <t>0</t>
        </is>
      </c>
      <c r="G4732" t="inlineStr">
        <is>
          <t>0</t>
        </is>
      </c>
      <c r="H4732" t="inlineStr">
        <is>
          <t>12¹², 36⁴</t>
        </is>
      </c>
      <c r="I4732" t="n">
        <v>16</v>
      </c>
      <c r="J4732" t="inlineStr">
        <is>
          <t>2⁴, 4⁴</t>
        </is>
      </c>
      <c r="K4732">
        <f>HYPERLINK("CSG3.html#group18F3", "18F³"), =HYPERLINK("CSG5.html#group12A5", "12A⁵"), =HYPERLINK("CSG7.html#group36J7", "36J⁷"), =HYPERLINK("CSG9.html#group36G9", "36G⁹"), =HYPERLINK("CSG9.html#group36J9", "36J⁹")</f>
        <v/>
      </c>
      <c r="L4732" t="inlineStr"/>
      <c r="M4732">
        <f>HYPERLINK("CSG0.html#group2A0", "2A⁰"), =HYPERLINK("CSG0.html#group9E0", "9E⁰"), =HYPERLINK("CSG5.html#group12A5", "12A⁵"), =HYPERLINK("CSG0.html#group1A0", "1A⁰"), =HYPERLINK("CSG3.html#group18F3", "18F³"), =HYPERLINK("CSG1.html#group6B1", "6B¹"), =HYPERLINK("CSG0.html#group4D0", "4D⁰"), =HYPERLINK("CSG1.html#group12A1", "12A¹"), =HYPERLINK("CSG2.html#group12A2", "12A²"), =HYPERLINK("CSG4.html#group36M4", "36M⁴"), =HYPERLINK("CSG0.html#group3C0", "3C⁰"), =HYPERLINK("CSG1.html#group12Q1", "12Q¹"), =HYPERLINK("CSG1.html#group6A1", "6A¹"), =HYPERLINK("CSG0.html#group3A0", "3A⁰"), =HYPERLINK("CSG9.html#group36J9", "36J⁹"), =HYPERLINK("CSG1.html#group12G1", "12G¹"), =HYPERLINK("CSG9.html#group36G9", "36G⁹"), =HYPERLINK("CSG0.html#group3B0", "3B⁰"), =HYPERLINK("CSG2.html#group18F2", "18F²"), =HYPERLINK("CSG0.html#group6B0", "6B⁰"), =HYPERLINK("CSG7.html#group36J7", "36J⁷"), =HYPERLINK("CSG1.html#group12I1", "12I¹"), =HYPERLINK("CSG3.html#group12B3", "12B³"), =HYPERLINK("CSG0.html#group6C0", "6C⁰"), =HYPERLINK("CSG0.html#group12F0", "12F⁰"), =HYPERLINK("CSG3.html#group12C3", "12C³"), =HYPERLINK("CSG0.html#group12A0", "12A⁰"), =HYPERLINK("CSG1.html#group6D1", "6D¹"), =HYPERLINK("CSG0.html#group6E0", "6E⁰"), =HYPERLINK("CSG0.html#group4A0", "4A⁰"), =HYPERLINK("CSG0.html#group9H0", "9H⁰"), =HYPERLINK("CSG1.html#group18F1", "18F¹"), =HYPERLINK("CSG0.html#group3D0", "3D⁰")</f>
        <v/>
      </c>
      <c r="N4732" t="inlineStr"/>
    </row>
    <row r="4733">
      <c r="A4733" t="inlineStr">
        <is>
          <t>36D¹⁷</t>
        </is>
      </c>
      <c r="B4733" t="inlineStr"/>
      <c r="C4733" t="inlineStr">
        <is>
          <t>288</t>
        </is>
      </c>
      <c r="D4733" t="inlineStr">
        <is>
          <t>1</t>
        </is>
      </c>
      <c r="E4733" t="inlineStr">
        <is>
          <t>48</t>
        </is>
      </c>
      <c r="F4733" t="inlineStr">
        <is>
          <t>0</t>
        </is>
      </c>
      <c r="G4733" t="inlineStr">
        <is>
          <t>0</t>
        </is>
      </c>
      <c r="H4733" t="inlineStr">
        <is>
          <t>4⁶, 12⁴, 36⁶</t>
        </is>
      </c>
      <c r="I4733" t="n">
        <v>16</v>
      </c>
      <c r="J4733" t="inlineStr">
        <is>
          <t>2⁴, 4⁴, 12²</t>
        </is>
      </c>
      <c r="K4733">
        <f>HYPERLINK("CSG3.html#group18G3", "18G³"), =HYPERLINK("CSG5.html#group36F5", "36F⁵"), =HYPERLINK("CSG9.html#group36H9", "36H⁹")</f>
        <v/>
      </c>
      <c r="L4733" t="inlineStr"/>
      <c r="M4733">
        <f>HYPERLINK("CSG0.html#group3B0", "3B⁰"), =HYPERLINK("CSG0.html#group2A0", "2A⁰"), =HYPERLINK("CSG1.html#group12I1", "12I¹"), =HYPERLINK("CSG0.html#group6C0", "6C⁰"), =HYPERLINK("CSG0.html#group9B0", "9B⁰"), =HYPERLINK("CSG0.html#group1A0", "1A⁰"), =HYPERLINK("CSG3.html#group18G3", "18G³"), =HYPERLINK("CSG0.html#group4A0", "4A⁰"), =HYPERLINK("CSG1.html#group18C1", "18C¹"), =HYPERLINK("CSG1.html#group12A1", "12A¹"), =HYPERLINK("CSG0.html#group4D0", "4D⁰"), =HYPERLINK("CSG0.html#group9I0", "9I⁰"), =HYPERLINK("CSG3.html#group36B3", "36B³"), =HYPERLINK("CSG5.html#group36F5", "36F⁵"), =HYPERLINK("CSG9.html#group36H9", "36H⁹")</f>
        <v/>
      </c>
      <c r="N4733" t="inlineStr"/>
    </row>
    <row r="4734">
      <c r="A4734" t="inlineStr">
        <is>
          <t>36E¹⁷</t>
        </is>
      </c>
      <c r="B4734" t="inlineStr"/>
      <c r="C4734" t="inlineStr">
        <is>
          <t>288</t>
        </is>
      </c>
      <c r="D4734" t="inlineStr">
        <is>
          <t>1</t>
        </is>
      </c>
      <c r="E4734" t="inlineStr">
        <is>
          <t>48</t>
        </is>
      </c>
      <c r="F4734" t="inlineStr">
        <is>
          <t>0</t>
        </is>
      </c>
      <c r="G4734" t="inlineStr">
        <is>
          <t>0</t>
        </is>
      </c>
      <c r="H4734" t="inlineStr">
        <is>
          <t>12¹², 36⁴</t>
        </is>
      </c>
      <c r="I4734" t="n">
        <v>16</v>
      </c>
      <c r="J4734" t="inlineStr">
        <is>
          <t>2⁴, 4¹⁰</t>
        </is>
      </c>
      <c r="K4734">
        <f>HYPERLINK("CSG3.html#group18H3", "18H³"), =HYPERLINK("CSG5.html#group12A5", "12A⁵"), =HYPERLINK("CSG7.html#group36K7", "36K⁷")</f>
        <v/>
      </c>
      <c r="L4734" t="inlineStr"/>
      <c r="M4734">
        <f>HYPERLINK("CSG1.html#group12G1", "12G¹"), =HYPERLINK("CSG0.html#group2A0", "2A⁰"), =HYPERLINK("CSG0.html#group3B0", "3B⁰"), =HYPERLINK("CSG0.html#group6B0", "6B⁰"), =HYPERLINK("CSG1.html#group12I1", "12I¹"), =HYPERLINK("CSG3.html#group12B3", "12B³"), =HYPERLINK("CSG0.html#group6C0", "6C⁰"), =HYPERLINK("CSG3.html#group12C3", "12C³"), =HYPERLINK("CSG0.html#group12F0", "12F⁰"), =HYPERLINK("CSG5.html#group12A5", "12A⁵"), =HYPERLINK("CSG0.html#group1A0", "1A⁰"), =HYPERLINK("CSG0.html#group12A0", "12A⁰"), =HYPERLINK("CSG1.html#group6D1", "6D¹"), =HYPERLINK("CSG0.html#group6E0", "6E⁰"), =HYPERLINK("CSG1.html#group6B1", "6B¹"), =HYPERLINK("CSG0.html#group4A0", "4A⁰"), =HYPERLINK("CSG3.html#group18H3", "18H³"), =HYPERLINK("CSG0.html#group4D0", "4D⁰"), =HYPERLINK("CSG1.html#group12A1", "12A¹"), =HYPERLINK("CSG2.html#group12A2", "12A²"), =HYPERLINK("CSG7.html#group36K7", "36K⁷"), =HYPERLINK("CSG1.html#group12Q1", "12Q¹"), =HYPERLINK("CSG0.html#group3C0", "3C⁰"), =HYPERLINK("CSG1.html#group6A1", "6A¹"), =HYPERLINK("CSG1.html#group18G1", "18G¹"), =HYPERLINK("CSG0.html#group3A0", "3A⁰"), =HYPERLINK("CSG0.html#group3D0", "3D⁰")</f>
        <v/>
      </c>
      <c r="N4734" t="inlineStr"/>
    </row>
    <row r="4735">
      <c r="A4735" t="inlineStr">
        <is>
          <t>36F¹⁷</t>
        </is>
      </c>
      <c r="B4735" t="inlineStr"/>
      <c r="C4735" t="inlineStr">
        <is>
          <t>288</t>
        </is>
      </c>
      <c r="D4735" t="inlineStr">
        <is>
          <t>1</t>
        </is>
      </c>
      <c r="E4735" t="inlineStr">
        <is>
          <t>48</t>
        </is>
      </c>
      <c r="F4735" t="inlineStr">
        <is>
          <t>0</t>
        </is>
      </c>
      <c r="G4735" t="inlineStr">
        <is>
          <t>6</t>
        </is>
      </c>
      <c r="H4735" t="inlineStr">
        <is>
          <t>12⁶, 36⁶</t>
        </is>
      </c>
      <c r="I4735" t="n">
        <v>12</v>
      </c>
      <c r="J4735" t="inlineStr">
        <is>
          <t>2⁴, 4⁴, 12²</t>
        </is>
      </c>
      <c r="K4735">
        <f>HYPERLINK("CSG2.html#group18N2", "18N²"), =HYPERLINK("CSG5.html#group36G5", "36G⁵"), =HYPERLINK("CSG9.html#group36I9", "36I⁹")</f>
        <v/>
      </c>
      <c r="L4735" t="inlineStr"/>
      <c r="M4735">
        <f>HYPERLINK("CSG0.html#group3B0", "3B⁰"), =HYPERLINK("CSG0.html#group2A0", "2A⁰"), =HYPERLINK("CSG0.html#group9J0", "9J⁰"), =HYPERLINK("CSG1.html#group12I1", "12I¹"), =HYPERLINK("CSG0.html#group18B0", "18B⁰"), =HYPERLINK("CSG0.html#group6C0", "6C⁰"), =HYPERLINK("CSG0.html#group9C0", "9C⁰"), =HYPERLINK("CSG0.html#group1A0", "1A⁰"), =HYPERLINK("CSG5.html#group36G5", "36G⁵"), =HYPERLINK("CSG3.html#group36C3", "36C³"), =HYPERLINK("CSG0.html#group4A0", "4A⁰"), =HYPERLINK("CSG0.html#group4D0", "4D⁰"), =HYPERLINK("CSG1.html#group12A1", "12A¹"), =HYPERLINK("CSG2.html#group18N2", "18N²"), =HYPERLINK("CSG9.html#group36I9", "36I⁹")</f>
        <v/>
      </c>
      <c r="N4735" t="inlineStr"/>
    </row>
    <row r="4736">
      <c r="A4736" t="inlineStr">
        <is>
          <t>36G¹⁷</t>
        </is>
      </c>
      <c r="B4736" t="inlineStr"/>
      <c r="C4736" t="inlineStr">
        <is>
          <t>288</t>
        </is>
      </c>
      <c r="D4736" t="inlineStr">
        <is>
          <t>1</t>
        </is>
      </c>
      <c r="E4736" t="inlineStr">
        <is>
          <t>96</t>
        </is>
      </c>
      <c r="F4736" t="inlineStr">
        <is>
          <t>0</t>
        </is>
      </c>
      <c r="G4736" t="inlineStr">
        <is>
          <t>0</t>
        </is>
      </c>
      <c r="H4736" t="inlineStr">
        <is>
          <t>4⁶, 12⁴, 36⁶</t>
        </is>
      </c>
      <c r="I4736" t="n">
        <v>16</v>
      </c>
      <c r="J4736" t="inlineStr">
        <is>
          <t>2⁸, 4⁸, 12⁴</t>
        </is>
      </c>
      <c r="K4736">
        <f>HYPERLINK("CSG3.html#group18I3", "18I³"), =HYPERLINK("CSG5.html#group36F5", "36F⁵")</f>
        <v/>
      </c>
      <c r="L4736" t="inlineStr"/>
      <c r="M4736">
        <f>HYPERLINK("CSG0.html#group3B0", "3B⁰"), =HYPERLINK("CSG0.html#group2A0", "2A⁰"), =HYPERLINK("CSG1.html#group12I1", "12I¹"), =HYPERLINK("CSG0.html#group6C0", "6C⁰"), =HYPERLINK("CSG0.html#group9B0", "9B⁰"), =HYPERLINK("CSG0.html#group1A0", "1A⁰"), =HYPERLINK("CSG0.html#group4A0", "4A⁰"), =HYPERLINK("CSG1.html#group18C1", "18C¹"), =HYPERLINK("CSG1.html#group12A1", "12A¹"), =HYPERLINK("CSG0.html#group4D0", "4D⁰"), =HYPERLINK("CSG3.html#group18I3", "18I³"), =HYPERLINK("CSG5.html#group36F5", "36F⁵"), =HYPERLINK("CSG3.html#group36B3", "36B³")</f>
        <v/>
      </c>
      <c r="N4736" t="inlineStr"/>
    </row>
    <row r="4737">
      <c r="A4737" t="inlineStr">
        <is>
          <t>36H¹⁷</t>
        </is>
      </c>
      <c r="B4737" t="inlineStr"/>
      <c r="C4737" t="inlineStr">
        <is>
          <t>288</t>
        </is>
      </c>
      <c r="D4737" t="inlineStr">
        <is>
          <t>1</t>
        </is>
      </c>
      <c r="E4737" t="inlineStr">
        <is>
          <t>96</t>
        </is>
      </c>
      <c r="F4737" t="inlineStr">
        <is>
          <t>0</t>
        </is>
      </c>
      <c r="G4737" t="inlineStr">
        <is>
          <t>6</t>
        </is>
      </c>
      <c r="H4737" t="inlineStr">
        <is>
          <t>12⁶, 36⁶</t>
        </is>
      </c>
      <c r="I4737" t="n">
        <v>12</v>
      </c>
      <c r="J4737" t="inlineStr">
        <is>
          <t>2⁸, 4⁸, 12⁴</t>
        </is>
      </c>
      <c r="K4737">
        <f>HYPERLINK("CSG2.html#group18O2", "18O²"), =HYPERLINK("CSG5.html#group36G5", "36G⁵")</f>
        <v/>
      </c>
      <c r="L4737" t="inlineStr"/>
      <c r="M4737">
        <f>HYPERLINK("CSG0.html#group3B0", "3B⁰"), =HYPERLINK("CSG0.html#group2A0", "2A⁰"), =HYPERLINK("CSG1.html#group12I1", "12I¹"), =HYPERLINK("CSG0.html#group18B0", "18B⁰"), =HYPERLINK("CSG0.html#group4A0", "4A⁰"), =HYPERLINK("CSG0.html#group4D0", "4D⁰"), =HYPERLINK("CSG0.html#group6C0", "6C⁰"), =HYPERLINK("CSG1.html#group12A1", "12A¹"), =HYPERLINK("CSG0.html#group9C0", "9C⁰"), =HYPERLINK("CSG2.html#group18O2", "18O²"), =HYPERLINK("CSG0.html#group1A0", "1A⁰"), =HYPERLINK("CSG5.html#group36G5", "36G⁵"), =HYPERLINK("CSG3.html#group36C3", "36C³")</f>
        <v/>
      </c>
      <c r="N4737" t="inlineStr"/>
    </row>
    <row r="4738">
      <c r="A4738" t="inlineStr">
        <is>
          <t>36I¹⁷</t>
        </is>
      </c>
      <c r="B4738" t="inlineStr"/>
      <c r="C4738" t="inlineStr">
        <is>
          <t>432</t>
        </is>
      </c>
      <c r="D4738" t="inlineStr">
        <is>
          <t>1</t>
        </is>
      </c>
      <c r="E4738" t="inlineStr">
        <is>
          <t>18</t>
        </is>
      </c>
      <c r="F4738" t="inlineStr">
        <is>
          <t>0</t>
        </is>
      </c>
      <c r="G4738" t="inlineStr">
        <is>
          <t>0</t>
        </is>
      </c>
      <c r="H4738" t="inlineStr">
        <is>
          <t>6²⁴, 12⁶, 18⁸, 36²</t>
        </is>
      </c>
      <c r="I4738" t="n">
        <v>40</v>
      </c>
      <c r="J4738" t="inlineStr">
        <is>
          <t>1⁶, 2⁶</t>
        </is>
      </c>
      <c r="K4738">
        <f>HYPERLINK("CSG3.html#group12N3", "12N³"), =HYPERLINK("CSG7.html#group18N7", "18N⁷"), =HYPERLINK("CSG8.html#group36N8", "36N⁸"), =HYPERLINK("CSG8.html#group36O8", "36O⁸")</f>
        <v/>
      </c>
      <c r="L4738" t="inlineStr"/>
      <c r="M4738">
        <f>HYPERLINK("CSG0.html#group2A0", "2A⁰"), =HYPERLINK("CSG1.html#group6C1", "6C¹"), =HYPERLINK("CSG0.html#group12I0", "12I⁰"), =HYPERLINK("CSG0.html#group6G0", "6G⁰"), =HYPERLINK("CSG0.html#group2B0", "2B⁰"), =HYPERLINK("CSG3.html#group12N3", "12N³"), =HYPERLINK("CSG0.html#group9E0", "9E⁰"), =HYPERLINK("CSG0.html#group1A0", "1A⁰"), =HYPERLINK("CSG3.html#group18F3", "18F³"), =HYPERLINK("CSG8.html#group36N8", "36N⁸"), =HYPERLINK("CSG4.html#group18N4", "18N⁴"), =HYPERLINK("CSG1.html#group6B1", "6B¹"), =HYPERLINK("CSG3.html#group18H3", "18H³"), =HYPERLINK("CSG8.html#group36O8", "36O⁸"), =HYPERLINK("CSG0.html#group3C0", "3C⁰"), =HYPERLINK("CSG3.html#group18K3", "18K³"), =HYPERLINK("CSG1.html#group6A1", "6A¹"), =HYPERLINK("CSG1.html#group18G1", "18G¹"), =HYPERLINK("CSG0.html#group6K0", "6K⁰"), =HYPERLINK("CSG0.html#group6H0", "6H⁰"), =HYPERLINK("CSG0.html#group3A0", "3A⁰"), =HYPERLINK("CSG0.html#group6F0", "6F⁰"), =HYPERLINK("CSG1.html#group6E1", "6E¹"), =HYPERLINK("CSG2.html#group18F2", "18F²"), =HYPERLINK("CSG1.html#group12U1", "12U¹"), =HYPERLINK("CSG7.html#group18N7", "18N⁷"), =HYPERLINK("CSG0.html#group3B0", "3B⁰"), =HYPERLINK("CSG0.html#group6B0", "6B⁰"), =HYPERLINK("CSG1.html#group18I1", "18I¹"), =HYPERLINK("CSG0.html#group6I0", "6I⁰"), =HYPERLINK("CSG1.html#group6F1", "6F¹"), =HYPERLINK("CSG0.html#group6C0", "6C⁰"), =HYPERLINK("CSG1.html#group6D1", "6D¹"), =HYPERLINK("CSG0.html#group6A0", "6A⁰"), =HYPERLINK("CSG0.html#group6E0", "6E⁰"), =HYPERLINK("CSG0.html#group6L0", "6L⁰"), =HYPERLINK("CSG0.html#group6J0", "6J⁰"), =HYPERLINK("CSG2.html#group18P2", "18P²"), =HYPERLINK("CSG1.html#group18F1", "18F¹"), =HYPERLINK("CSG0.html#group9H0", "9H⁰"), =HYPERLINK("CSG0.html#group3D0", "3D⁰"), =HYPERLINK("CSG0.html#group2C0", "2C⁰"), =HYPERLINK("CSG0.html#group6D0", "6D⁰")</f>
        <v/>
      </c>
      <c r="N4738" t="inlineStr"/>
    </row>
    <row r="4739">
      <c r="A4739" t="inlineStr">
        <is>
          <t>36J¹⁷</t>
        </is>
      </c>
      <c r="B4739" t="inlineStr"/>
      <c r="C4739" t="inlineStr">
        <is>
          <t>432</t>
        </is>
      </c>
      <c r="D4739" t="inlineStr">
        <is>
          <t>1</t>
        </is>
      </c>
      <c r="E4739" t="inlineStr">
        <is>
          <t>36</t>
        </is>
      </c>
      <c r="F4739" t="inlineStr">
        <is>
          <t>0</t>
        </is>
      </c>
      <c r="G4739" t="inlineStr">
        <is>
          <t>0</t>
        </is>
      </c>
      <c r="H4739" t="inlineStr">
        <is>
          <t>2¹², 4³, 6⁸, 12², 18¹², 36³</t>
        </is>
      </c>
      <c r="I4739" t="n">
        <v>40</v>
      </c>
      <c r="J4739" t="inlineStr">
        <is>
          <t>1⁶, 2⁶, 6³</t>
        </is>
      </c>
      <c r="K4739">
        <f>HYPERLINK("CSG3.html#group36J3", "36J³"), =HYPERLINK("CSG7.html#group18O7", "18O⁷")</f>
        <v/>
      </c>
      <c r="L4739" t="inlineStr"/>
      <c r="M4739">
        <f>HYPERLINK("CSG0.html#group3B0", "3B⁰"), =HYPERLINK("CSG0.html#group2A0", "2A⁰"), =HYPERLINK("CSG0.html#group6I0", "6I⁰"), =HYPERLINK("CSG0.html#group6C0", "6C⁰"), =HYPERLINK("CSG0.html#group12I0", "12I⁰"), =HYPERLINK("CSG0.html#group9B0", "9B⁰"), =HYPERLINK("CSG0.html#group2B0", "2B⁰"), =HYPERLINK("CSG1.html#group18J1", "18J¹"), =HYPERLINK("CSG0.html#group1A0", "1A⁰"), =HYPERLINK("CSG0.html#group18C0", "18C⁰"), =HYPERLINK("CSG7.html#group18O7", "18O⁷"), =HYPERLINK("CSG0.html#group18E0", "18E⁰"), =HYPERLINK("CSG2.html#group18Q2", "18Q²"), =HYPERLINK("CSG3.html#group18G3", "18G³"), =HYPERLINK("CSG1.html#group18C1", "18C¹"), =HYPERLINK("CSG0.html#group9I0", "9I⁰"), =HYPERLINK("CSG3.html#group36J3", "36J³"), =HYPERLINK("CSG0.html#group6F0", "6F⁰"), =HYPERLINK("CSG0.html#group2C0", "2C⁰"), =HYPERLINK("CSG3.html#group18I3", "18I³")</f>
        <v/>
      </c>
      <c r="N4739" t="inlineStr"/>
    </row>
    <row r="4740">
      <c r="A4740" t="inlineStr">
        <is>
          <t>36K¹⁷</t>
        </is>
      </c>
      <c r="B4740" t="inlineStr"/>
      <c r="C4740" t="inlineStr">
        <is>
          <t>432</t>
        </is>
      </c>
      <c r="D4740" t="inlineStr">
        <is>
          <t>1</t>
        </is>
      </c>
      <c r="E4740" t="inlineStr">
        <is>
          <t>36</t>
        </is>
      </c>
      <c r="F4740" t="inlineStr">
        <is>
          <t>0</t>
        </is>
      </c>
      <c r="G4740" t="inlineStr">
        <is>
          <t>0</t>
        </is>
      </c>
      <c r="H4740" t="inlineStr">
        <is>
          <t>3¹², 6⁶, 9⁴, 12¹², 18², 36⁴</t>
        </is>
      </c>
      <c r="I4740" t="n">
        <v>40</v>
      </c>
      <c r="J4740" t="inlineStr">
        <is>
          <t>1⁸, 2¹⁰, 4²</t>
        </is>
      </c>
      <c r="K4740">
        <f>HYPERLINK("CSG3.html#group12O3", "12O³"), =HYPERLINK("CSG7.html#group36N7", "36N⁷")</f>
        <v/>
      </c>
      <c r="L4740" t="inlineStr"/>
      <c r="M4740">
        <f>HYPERLINK("CSG3.html#group12O3", "12O³"), =HYPERLINK("CSG0.html#group3B0", "3B⁰"), =HYPERLINK("CSG1.html#group12K1", "12K¹"), =HYPERLINK("CSG7.html#group36N7", "36N⁷"), =HYPERLINK("CSG1.html#group18I1", "18I¹"), =HYPERLINK("CSG0.html#group12J0", "12J⁰"), =HYPERLINK("CSG0.html#group6G0", "6G⁰"), =HYPERLINK("CSG1.html#group12S1", "12S¹"), =HYPERLINK("CSG0.html#group2B0", "2B⁰"), =HYPERLINK("CSG0.html#group9E0", "9E⁰"), =HYPERLINK("CSG0.html#group4B0", "4B⁰"), =HYPERLINK("CSG0.html#group1A0", "1A⁰"), =HYPERLINK("CSG0.html#group12G0", "12G⁰"), =HYPERLINK("CSG0.html#group6F0", "6F⁰"), =HYPERLINK("CSG0.html#group12E0", "12E⁰"), =HYPERLINK("CSG0.html#group3C0", "3C⁰"), =HYPERLINK("CSG0.html#group6K0", "6K⁰"), =HYPERLINK("CSG1.html#group12B1", "12B¹"), =HYPERLINK("CSG0.html#group12D0", "12D⁰"), =HYPERLINK("CSG4.html#group36Q4", "36Q⁴"), =HYPERLINK("CSG2.html#group18P2", "18P²"), =HYPERLINK("CSG0.html#group3A0", "3A⁰"), =HYPERLINK("CSG3.html#group36I3", "36I³"), =HYPERLINK("CSG0.html#group3D0", "3D⁰"), =HYPERLINK("CSG0.html#group9H0", "9H⁰"), =HYPERLINK("CSG0.html#group6D0", "6D⁰")</f>
        <v/>
      </c>
      <c r="N4740" t="inlineStr"/>
    </row>
    <row r="4741">
      <c r="A4741" t="inlineStr">
        <is>
          <t>36L¹⁷</t>
        </is>
      </c>
      <c r="B4741" t="inlineStr">
        <is>
          <t>Γ₁(36)</t>
        </is>
      </c>
      <c r="C4741" t="inlineStr">
        <is>
          <t>432</t>
        </is>
      </c>
      <c r="D4741" t="inlineStr">
        <is>
          <t>1</t>
        </is>
      </c>
      <c r="E4741" t="inlineStr">
        <is>
          <t>72</t>
        </is>
      </c>
      <c r="F4741" t="inlineStr">
        <is>
          <t>0</t>
        </is>
      </c>
      <c r="G4741" t="inlineStr">
        <is>
          <t>0</t>
        </is>
      </c>
      <c r="H4741" t="inlineStr">
        <is>
          <t>1⁶, 2³, 3⁴, 4⁶, 6², 9⁶, 12⁴, 18³, 36⁶</t>
        </is>
      </c>
      <c r="I4741" t="n">
        <v>40</v>
      </c>
      <c r="J4741" t="inlineStr">
        <is>
          <t>1⁸, 2¹⁰, 4², 6⁴, 12¹</t>
        </is>
      </c>
      <c r="K4741">
        <f>HYPERLINK("CSG3.html#group36K3", "36K³"), =HYPERLINK("CSG7.html#group36O7", "36O⁷")</f>
        <v/>
      </c>
      <c r="L4741" t="inlineStr"/>
      <c r="M4741">
        <f>HYPERLINK("CSG0.html#group3B0", "3B⁰"), =HYPERLINK("CSG0.html#group18E0", "18E⁰"), =HYPERLINK("CSG2.html#group18Q2", "18Q²"), =HYPERLINK("CSG0.html#group6F0", "6F⁰"), =HYPERLINK("CSG0.html#group12J0", "12J⁰"), =HYPERLINK("CSG0.html#group9B0", "9B⁰"), =HYPERLINK("CSG0.html#group9I0", "9I⁰"), =HYPERLINK("CSG3.html#group36K3", "36K³"), =HYPERLINK("CSG0.html#group2B0", "2B⁰"), =HYPERLINK("CSG1.html#group36C1", "36C¹"), =HYPERLINK("CSG0.html#group4B0", "4B⁰"), =HYPERLINK("CSG0.html#group1A0", "1A⁰"), =HYPERLINK("CSG0.html#group12E0", "12E⁰"), =HYPERLINK("CSG7.html#group36O7", "36O⁷")</f>
        <v/>
      </c>
      <c r="N4741" t="inlineStr"/>
    </row>
    <row r="4742">
      <c r="A4742" t="inlineStr">
        <is>
          <t>39A¹⁷</t>
        </is>
      </c>
      <c r="B4742" t="inlineStr"/>
      <c r="C4742" t="inlineStr">
        <is>
          <t>336</t>
        </is>
      </c>
      <c r="D4742" t="inlineStr">
        <is>
          <t>1</t>
        </is>
      </c>
      <c r="E4742" t="inlineStr">
        <is>
          <t>56</t>
        </is>
      </c>
      <c r="F4742" t="inlineStr">
        <is>
          <t>0</t>
        </is>
      </c>
      <c r="G4742" t="inlineStr">
        <is>
          <t>0</t>
        </is>
      </c>
      <c r="H4742" t="inlineStr">
        <is>
          <t>1⁶, 3⁶, 13⁶, 39⁶</t>
        </is>
      </c>
      <c r="I4742" t="n">
        <v>24</v>
      </c>
      <c r="J4742" t="inlineStr">
        <is>
          <t>1⁴, 2², 12², 24¹</t>
        </is>
      </c>
      <c r="K4742">
        <f>HYPERLINK("CSG2.html#group13A2", "13A²"), =HYPERLINK("CSG5.html#group39B5", "39B⁵"), =HYPERLINK("CSG9.html#group39B9", "39B⁹")</f>
        <v/>
      </c>
      <c r="L4742" t="inlineStr"/>
      <c r="M4742">
        <f>HYPERLINK("CSG0.html#group3B0", "3B⁰"), =HYPERLINK("CSG3.html#group39A3", "39A³"), =HYPERLINK("CSG2.html#group13A2", "13A²"), =HYPERLINK("CSG9.html#group39B9", "39B⁹"), =HYPERLINK("CSG0.html#group13A0", "13A⁰"), =HYPERLINK("CSG0.html#group13C0", "13C⁰"), =HYPERLINK("CSG0.html#group13B0", "13B⁰"), =HYPERLINK("CSG0.html#group1A0", "1A⁰"), =HYPERLINK("CSG5.html#group39B5", "39B⁵")</f>
        <v/>
      </c>
      <c r="N4742" t="inlineStr"/>
    </row>
    <row r="4743">
      <c r="A4743" t="inlineStr">
        <is>
          <t>40A¹⁷</t>
        </is>
      </c>
      <c r="B4743" t="inlineStr"/>
      <c r="C4743" t="inlineStr">
        <is>
          <t>240</t>
        </is>
      </c>
      <c r="D4743" t="inlineStr">
        <is>
          <t>1</t>
        </is>
      </c>
      <c r="E4743" t="inlineStr">
        <is>
          <t>15</t>
        </is>
      </c>
      <c r="F4743" t="inlineStr">
        <is>
          <t>0</t>
        </is>
      </c>
      <c r="G4743" t="inlineStr">
        <is>
          <t>0</t>
        </is>
      </c>
      <c r="H4743" t="inlineStr">
        <is>
          <t>20⁴, 40⁴</t>
        </is>
      </c>
      <c r="I4743" t="n">
        <v>8</v>
      </c>
      <c r="J4743" t="inlineStr">
        <is>
          <t>1³, 4³</t>
        </is>
      </c>
      <c r="K4743">
        <f>HYPERLINK("CSG1.html#group8F1", "8F¹"), =HYPERLINK("CSG8.html#group20A8", "20A⁸"), =HYPERLINK("CSG8.html#group40A8", "40A⁸"), =HYPERLINK("CSG8.html#group40B8", "40B⁸"), =HYPERLINK("CSG9.html#group40A9", "40A⁹"), =HYPERLINK("CSG9.html#group40B9", "40B⁹")</f>
        <v/>
      </c>
      <c r="L4743" t="inlineStr"/>
      <c r="M4743">
        <f>HYPERLINK("CSG8.html#group40B8", "40B⁸"), =HYPERLINK("CSG0.html#group2A0", "2A⁰"), =HYPERLINK("CSG0.html#group5A0", "5A⁰"), =HYPERLINK("CSG4.html#group40A4", "40A⁴"), =HYPERLINK("CSG0.html#group4C0", "4C⁰"), =HYPERLINK("CSG8.html#group40A8", "40A⁸"), =HYPERLINK("CSG1.html#group20A1", "20A¹"), =HYPERLINK("CSG0.html#group2B0", "2B⁰"), =HYPERLINK("CSG0.html#group4E0", "4E⁰"), =HYPERLINK("CSG0.html#group8C0", "8C⁰"), =HYPERLINK("CSG0.html#group4B0", "4B⁰"), =HYPERLINK("CSG1.html#group8F1", "8F¹"), =HYPERLINK("CSG0.html#group1A0", "1A⁰"), =HYPERLINK("CSG0.html#group4G0", "4G⁰"), =HYPERLINK("CSG4.html#group40C4", "40C⁴"), =HYPERLINK("CSG9.html#group40A9", "40A⁹"), =HYPERLINK("CSG0.html#group10A0", "10A⁰"), =HYPERLINK("CSG2.html#group20D2", "20D²"), =HYPERLINK("CSG0.html#group8G0", "8G⁰"), =HYPERLINK("CSG0.html#group4D0", "4D⁰"), =HYPERLINK("CSG5.html#group40A5", "40A⁵"), =HYPERLINK("CSG2.html#group20A2", "20A²"), =HYPERLINK("CSG1.html#group8A1", "8A¹"), =HYPERLINK("CSG9.html#group40B9", "40B⁹"), =HYPERLINK("CSG0.html#group8D0", "8D⁰"), =HYPERLINK("CSG1.html#group10B1", "10B¹"), =HYPERLINK("CSG2.html#group20B2", "20B²"), =HYPERLINK("CSG0.html#group8B0", "8B⁰"), =HYPERLINK("CSG4.html#group20C4", "20C⁴"), =HYPERLINK("CSG1.html#group8B1", "8B¹"), =HYPERLINK("CSG2.html#group10B2", "10B²"), =HYPERLINK("CSG4.html#group40B4", "40B⁴"), =HYPERLINK("CSG0.html#group8H0", "8H⁰"), =HYPERLINK("CSG1.html#group8C1", "8C¹"), =HYPERLINK("CSG0.html#group4A0", "4A⁰"), =HYPERLINK("CSG4.html#group20A4", "20A⁴"), =HYPERLINK("CSG8.html#group20A8", "20A⁸"), =HYPERLINK("CSG0.html#group4F0", "4F⁰"), =HYPERLINK("CSG0.html#group2C0", "2C⁰")</f>
        <v/>
      </c>
      <c r="N4743" t="inlineStr"/>
    </row>
    <row r="4744">
      <c r="A4744" t="inlineStr">
        <is>
          <t>40B¹⁷</t>
        </is>
      </c>
      <c r="B4744" t="inlineStr"/>
      <c r="C4744" t="inlineStr">
        <is>
          <t>240</t>
        </is>
      </c>
      <c r="D4744" t="inlineStr">
        <is>
          <t>1</t>
        </is>
      </c>
      <c r="E4744" t="inlineStr">
        <is>
          <t>30</t>
        </is>
      </c>
      <c r="F4744" t="inlineStr">
        <is>
          <t>0</t>
        </is>
      </c>
      <c r="G4744" t="inlineStr">
        <is>
          <t>0</t>
        </is>
      </c>
      <c r="H4744" t="inlineStr">
        <is>
          <t>20⁴, 40⁴</t>
        </is>
      </c>
      <c r="I4744" t="n">
        <v>8</v>
      </c>
      <c r="J4744" t="inlineStr">
        <is>
          <t>2³, 4⁶</t>
        </is>
      </c>
      <c r="K4744">
        <f>HYPERLINK("CSG5.html#group20F5", "20F⁵"), =HYPERLINK("CSG9.html#group40C9", "40C⁹"), =HYPERLINK("CSG9.html#group40D9", "40D⁹")</f>
        <v/>
      </c>
      <c r="L4744" t="inlineStr"/>
      <c r="M4744">
        <f>HYPERLINK("CSG2.html#group10E2", "10E²"), =HYPERLINK("CSG1.html#group8A1", "8A¹"), =HYPERLINK("CSG5.html#group20F5", "20F⁵"), =HYPERLINK("CSG0.html#group10D0", "10D⁰"), =HYPERLINK("CSG0.html#group4C0", "4C⁰"), =HYPERLINK("CSG0.html#group5C0", "5C⁰"), =HYPERLINK("CSG9.html#group40D9", "40D⁹"), =HYPERLINK("CSG9.html#group40C9", "40C⁹"), =HYPERLINK("CSG0.html#group2B0", "2B⁰"), =HYPERLINK("CSG2.html#group20F2", "20F²"), =HYPERLINK("CSG0.html#group1A0", "1A⁰"), =HYPERLINK("CSG3.html#group20F3", "20F³"), =HYPERLINK("CSG1.html#group10F1", "10F¹")</f>
        <v/>
      </c>
      <c r="N4744" t="inlineStr"/>
    </row>
    <row r="4745">
      <c r="A4745" t="inlineStr">
        <is>
          <t>40C¹⁷</t>
        </is>
      </c>
      <c r="B4745" t="inlineStr"/>
      <c r="C4745" t="inlineStr">
        <is>
          <t>240</t>
        </is>
      </c>
      <c r="D4745" t="inlineStr">
        <is>
          <t>1</t>
        </is>
      </c>
      <c r="E4745" t="inlineStr">
        <is>
          <t>30</t>
        </is>
      </c>
      <c r="F4745" t="inlineStr">
        <is>
          <t>0</t>
        </is>
      </c>
      <c r="G4745" t="inlineStr">
        <is>
          <t>0</t>
        </is>
      </c>
      <c r="H4745" t="inlineStr">
        <is>
          <t>20⁴, 40⁴</t>
        </is>
      </c>
      <c r="I4745" t="n">
        <v>8</v>
      </c>
      <c r="J4745" t="inlineStr">
        <is>
          <t>2³, 4⁶</t>
        </is>
      </c>
      <c r="K4745">
        <f>HYPERLINK("CSG7.html#group20C7", "20C⁷"), =HYPERLINK("CSG7.html#group40D7", "40D⁷"), =HYPERLINK("CSG9.html#group40C9", "40C⁹")</f>
        <v/>
      </c>
      <c r="L4745" t="inlineStr"/>
      <c r="M4745">
        <f>HYPERLINK("CSG0.html#group2A0", "2A⁰"), =HYPERLINK("CSG3.html#group20E3", "20E³"), =HYPERLINK("CSG0.html#group4C0", "4C⁰"), =HYPERLINK("CSG3.html#group10A3", "10A³"), =HYPERLINK("CSG0.html#group2B0", "2B⁰"), =HYPERLINK("CSG0.html#group4E0", "4E⁰"), =HYPERLINK("CSG0.html#group4B0", "4B⁰"), =HYPERLINK("CSG0.html#group1A0", "1A⁰"), =HYPERLINK("CSG3.html#group20F3", "20F³"), =HYPERLINK("CSG1.html#group10F1", "10F¹"), =HYPERLINK("CSG7.html#group20C7", "20C⁷"), =HYPERLINK("CSG1.html#group10C1", "10C¹"), =HYPERLINK("CSG9.html#group40C9", "40C⁹"), =HYPERLINK("CSG0.html#group5C0", "5C⁰"), =HYPERLINK("CSG0.html#group2C0", "2C⁰"), =HYPERLINK("CSG7.html#group40D7", "40D⁷")</f>
        <v/>
      </c>
      <c r="N4745" t="inlineStr"/>
    </row>
    <row r="4746">
      <c r="A4746" t="inlineStr">
        <is>
          <t>40D¹⁷</t>
        </is>
      </c>
      <c r="B4746" t="inlineStr"/>
      <c r="C4746" t="inlineStr">
        <is>
          <t>240</t>
        </is>
      </c>
      <c r="D4746" t="inlineStr">
        <is>
          <t>1</t>
        </is>
      </c>
      <c r="E4746" t="inlineStr">
        <is>
          <t>30</t>
        </is>
      </c>
      <c r="F4746" t="inlineStr">
        <is>
          <t>0</t>
        </is>
      </c>
      <c r="G4746" t="inlineStr">
        <is>
          <t>0</t>
        </is>
      </c>
      <c r="H4746" t="inlineStr">
        <is>
          <t>20⁴, 40⁴</t>
        </is>
      </c>
      <c r="I4746" t="n">
        <v>8</v>
      </c>
      <c r="J4746" t="inlineStr">
        <is>
          <t>2³, 4⁶</t>
        </is>
      </c>
      <c r="K4746">
        <f>HYPERLINK("CSG1.html#group8B1", "8B¹"), =HYPERLINK("CSG7.html#group20C7", "20C⁷"), =HYPERLINK("CSG7.html#group40E7", "40E⁷"), =HYPERLINK("CSG9.html#group40D9", "40D⁹")</f>
        <v/>
      </c>
      <c r="L4746" t="inlineStr"/>
      <c r="M4746">
        <f>HYPERLINK("CSG0.html#group2A0", "2A⁰"), =HYPERLINK("CSG1.html#group8A1", "8A¹"), =HYPERLINK("CSG3.html#group20E3", "20E³"), =HYPERLINK("CSG0.html#group4C0", "4C⁰"), =HYPERLINK("CSG0.html#group8B0", "8B⁰"), =HYPERLINK("CSG3.html#group10A3", "10A³"), =HYPERLINK("CSG9.html#group40D9", "40D⁹"), =HYPERLINK("CSG1.html#group8B1", "8B¹"), =HYPERLINK("CSG0.html#group4E0", "4E⁰"), =HYPERLINK("CSG0.html#group2B0", "2B⁰"), =HYPERLINK("CSG0.html#group4B0", "4B⁰"), =HYPERLINK("CSG0.html#group1A0", "1A⁰"), =HYPERLINK("CSG3.html#group20F3", "20F³"), =HYPERLINK("CSG1.html#group10F1", "10F¹"), =HYPERLINK("CSG7.html#group40E7", "40E⁷"), =HYPERLINK("CSG7.html#group20C7", "20C⁷"), =HYPERLINK("CSG1.html#group10C1", "10C¹"), =HYPERLINK("CSG0.html#group5C0", "5C⁰"), =HYPERLINK("CSG0.html#group2C0", "2C⁰")</f>
        <v/>
      </c>
      <c r="N4746" t="inlineStr"/>
    </row>
    <row r="4747">
      <c r="A4747" t="inlineStr">
        <is>
          <t>40E¹⁷</t>
        </is>
      </c>
      <c r="B4747" t="inlineStr"/>
      <c r="C4747" t="inlineStr">
        <is>
          <t>240</t>
        </is>
      </c>
      <c r="D4747" t="inlineStr">
        <is>
          <t>1</t>
        </is>
      </c>
      <c r="E4747" t="inlineStr">
        <is>
          <t>30</t>
        </is>
      </c>
      <c r="F4747" t="inlineStr">
        <is>
          <t>0</t>
        </is>
      </c>
      <c r="G4747" t="inlineStr">
        <is>
          <t>0</t>
        </is>
      </c>
      <c r="H4747" t="inlineStr">
        <is>
          <t>20⁴, 40⁴</t>
        </is>
      </c>
      <c r="I4747" t="n">
        <v>8</v>
      </c>
      <c r="J4747" t="inlineStr">
        <is>
          <t>2³, 4⁶</t>
        </is>
      </c>
      <c r="K4747">
        <f>HYPERLINK("CSG4.html#group40A4", "40A⁴"), =HYPERLINK("CSG7.html#group20D7", "20D⁷"), =HYPERLINK("CSG7.html#group40E7", "40E⁷"), =HYPERLINK("CSG9.html#group40C9", "40C⁹")</f>
        <v/>
      </c>
      <c r="L4747" t="inlineStr"/>
      <c r="M4747">
        <f>HYPERLINK("CSG7.html#group20D7", "20D⁷"), =HYPERLINK("CSG0.html#group5A0", "5A⁰"), =HYPERLINK("CSG4.html#group40A4", "40A⁴"), =HYPERLINK("CSG1.html#group10B1", "10B¹"), =HYPERLINK("CSG2.html#group20B2", "20B²"), =HYPERLINK("CSG0.html#group4C0", "4C⁰"), =HYPERLINK("CSG0.html#group8B0", "8B⁰"), =HYPERLINK("CSG0.html#group5F0", "5F⁰"), =HYPERLINK("CSG0.html#group2B0", "2B⁰"), =HYPERLINK("CSG0.html#group1A0", "1A⁰"), =HYPERLINK("CSG2.html#group10D2", "10D²"), =HYPERLINK("CSG3.html#group20F3", "20F³"), =HYPERLINK("CSG1.html#group10F1", "10F¹"), =HYPERLINK("CSG7.html#group40E7", "40E⁷"), =HYPERLINK("CSG4.html#group20B4", "20B⁴"), =HYPERLINK("CSG9.html#group40C9", "40C⁹"), =HYPERLINK("CSG0.html#group5C0", "5C⁰")</f>
        <v/>
      </c>
      <c r="N4747" t="inlineStr"/>
    </row>
    <row r="4748">
      <c r="A4748" t="inlineStr">
        <is>
          <t>40F¹⁷</t>
        </is>
      </c>
      <c r="B4748" t="inlineStr"/>
      <c r="C4748" t="inlineStr">
        <is>
          <t>240</t>
        </is>
      </c>
      <c r="D4748" t="inlineStr">
        <is>
          <t>1</t>
        </is>
      </c>
      <c r="E4748" t="inlineStr">
        <is>
          <t>30</t>
        </is>
      </c>
      <c r="F4748" t="inlineStr">
        <is>
          <t>0</t>
        </is>
      </c>
      <c r="G4748" t="inlineStr">
        <is>
          <t>0</t>
        </is>
      </c>
      <c r="H4748" t="inlineStr">
        <is>
          <t>20⁴, 40⁴</t>
        </is>
      </c>
      <c r="I4748" t="n">
        <v>8</v>
      </c>
      <c r="J4748" t="inlineStr">
        <is>
          <t>2³, 4⁶</t>
        </is>
      </c>
      <c r="K4748">
        <f>HYPERLINK("CSG5.html#group40A5", "40A⁵"), =HYPERLINK("CSG7.html#group20D7", "20D⁷"), =HYPERLINK("CSG7.html#group40D7", "40D⁷"), =HYPERLINK("CSG9.html#group40D9", "40D⁹")</f>
        <v/>
      </c>
      <c r="L4748" t="inlineStr"/>
      <c r="M4748">
        <f>HYPERLINK("CSG7.html#group20D7", "20D⁷"), =HYPERLINK("CSG0.html#group5A0", "5A⁰"), =HYPERLINK("CSG1.html#group8A1", "8A¹"), =HYPERLINK("CSG1.html#group10B1", "10B¹"), =HYPERLINK("CSG2.html#group20B2", "20B²"), =HYPERLINK("CSG0.html#group4C0", "4C⁰"), =HYPERLINK("CSG0.html#group5F0", "5F⁰"), =HYPERLINK("CSG9.html#group40D9", "40D⁹"), =HYPERLINK("CSG0.html#group2B0", "2B⁰"), =HYPERLINK("CSG0.html#group1A0", "1A⁰"), =HYPERLINK("CSG3.html#group20F3", "20F³"), =HYPERLINK("CSG2.html#group10D2", "10D²"), =HYPERLINK("CSG1.html#group10F1", "10F¹"), =HYPERLINK("CSG4.html#group20B4", "20B⁴"), =HYPERLINK("CSG5.html#group40A5", "40A⁵"), =HYPERLINK("CSG0.html#group5C0", "5C⁰"), =HYPERLINK("CSG7.html#group40D7", "40D⁷")</f>
        <v/>
      </c>
      <c r="N4748" t="inlineStr"/>
    </row>
    <row r="4749">
      <c r="A4749" t="inlineStr">
        <is>
          <t>40G¹⁷</t>
        </is>
      </c>
      <c r="B4749" t="inlineStr"/>
      <c r="C4749" t="inlineStr">
        <is>
          <t>240</t>
        </is>
      </c>
      <c r="D4749" t="inlineStr">
        <is>
          <t>1</t>
        </is>
      </c>
      <c r="E4749" t="inlineStr">
        <is>
          <t>30</t>
        </is>
      </c>
      <c r="F4749" t="inlineStr">
        <is>
          <t>0</t>
        </is>
      </c>
      <c r="G4749" t="inlineStr">
        <is>
          <t>0</t>
        </is>
      </c>
      <c r="H4749" t="inlineStr">
        <is>
          <t>20⁴, 40⁴</t>
        </is>
      </c>
      <c r="I4749" t="n">
        <v>8</v>
      </c>
      <c r="J4749" t="inlineStr">
        <is>
          <t>1⁴, 2¹, 4⁴, 8¹</t>
        </is>
      </c>
      <c r="K4749">
        <f>HYPERLINK("CSG1.html#group8G1", "8G¹"), =HYPERLINK("CSG8.html#group40D8", "40D⁸"), =HYPERLINK("CSG8.html#group40F8", "40F⁸"), =HYPERLINK("CSG9.html#group40A9", "40A⁹")</f>
        <v/>
      </c>
      <c r="L4749" t="inlineStr"/>
      <c r="M4749">
        <f>HYPERLINK("CSG2.html#group20A2", "20A²"), =HYPERLINK("CSG0.html#group2A0", "2A⁰"), =HYPERLINK("CSG0.html#group5A0", "5A⁰"), =HYPERLINK("CSG4.html#group40A4", "40A⁴"), =HYPERLINK("CSG1.html#group8A1", "8A¹"), =HYPERLINK("CSG1.html#group10B1", "10B¹"), =HYPERLINK("CSG2.html#group20B2", "20B²"), =HYPERLINK("CSG8.html#group40D8", "40D⁸"), =HYPERLINK("CSG0.html#group4C0", "4C⁰"), =HYPERLINK("CSG0.html#group8B0", "8B⁰"), =HYPERLINK("CSG0.html#group8L0", "8L⁰"), =HYPERLINK("CSG0.html#group2B0", "2B⁰"), =HYPERLINK("CSG1.html#group8B1", "8B¹"), =HYPERLINK("CSG0.html#group4E0", "4E⁰"), =HYPERLINK("CSG2.html#group10B2", "10B²"), =HYPERLINK("CSG0.html#group4B0", "4B⁰"), =HYPERLINK("CSG0.html#group1A0", "1A⁰"), =HYPERLINK("CSG8.html#group40F8", "40F⁸"), =HYPERLINK("CSG9.html#group40A9", "40A⁹"), =HYPERLINK("CSG0.html#group10A0", "10A⁰"), =HYPERLINK("CSG1.html#group8G1", "8G¹"), =HYPERLINK("CSG4.html#group20A4", "20A⁴"), =HYPERLINK("CSG5.html#group40A5", "40A⁵"), =HYPERLINK("CSG0.html#group8J0", "8J⁰"), =HYPERLINK("CSG0.html#group2C0", "2C⁰")</f>
        <v/>
      </c>
      <c r="N4749" t="inlineStr"/>
    </row>
    <row r="4750">
      <c r="A4750" t="inlineStr">
        <is>
          <t>40H¹⁷</t>
        </is>
      </c>
      <c r="B4750" t="inlineStr"/>
      <c r="C4750" t="inlineStr">
        <is>
          <t>240</t>
        </is>
      </c>
      <c r="D4750" t="inlineStr">
        <is>
          <t>1</t>
        </is>
      </c>
      <c r="E4750" t="inlineStr">
        <is>
          <t>60</t>
        </is>
      </c>
      <c r="F4750" t="inlineStr">
        <is>
          <t>0</t>
        </is>
      </c>
      <c r="G4750" t="inlineStr">
        <is>
          <t>0</t>
        </is>
      </c>
      <c r="H4750" t="inlineStr">
        <is>
          <t>20⁴, 40⁴</t>
        </is>
      </c>
      <c r="I4750" t="n">
        <v>8</v>
      </c>
      <c r="J4750" t="inlineStr">
        <is>
          <t>4³, 8⁶</t>
        </is>
      </c>
      <c r="K4750">
        <f>HYPERLINK("CSG7.html#group20B7", "20B⁷")</f>
        <v/>
      </c>
      <c r="L4750" t="inlineStr"/>
      <c r="M4750">
        <f>HYPERLINK("CSG0.html#group2A0", "2A⁰"), =HYPERLINK("CSG7.html#group20B7", "20B⁷"), =HYPERLINK("CSG4.html#group20B4", "20B⁴"), =HYPERLINK("CSG3.html#group10A3", "10A³"), =HYPERLINK("CSG0.html#group2B0", "2B⁰"), =HYPERLINK("CSG1.html#group10C1", "10C¹"), =HYPERLINK("CSG2.html#group20F2", "20F²"), =HYPERLINK("CSG0.html#group1A0", "1A⁰"), =HYPERLINK("CSG0.html#group5C0", "5C⁰"), =HYPERLINK("CSG0.html#group2C0", "2C⁰"), =HYPERLINK("CSG1.html#group10F1", "10F¹")</f>
        <v/>
      </c>
      <c r="N4750" t="inlineStr"/>
    </row>
    <row r="4751">
      <c r="A4751" t="inlineStr">
        <is>
          <t>40I¹⁷</t>
        </is>
      </c>
      <c r="B4751" t="inlineStr"/>
      <c r="C4751" t="inlineStr">
        <is>
          <t>240</t>
        </is>
      </c>
      <c r="D4751" t="inlineStr">
        <is>
          <t>1</t>
        </is>
      </c>
      <c r="E4751" t="inlineStr">
        <is>
          <t>60</t>
        </is>
      </c>
      <c r="F4751" t="inlineStr">
        <is>
          <t>0</t>
        </is>
      </c>
      <c r="G4751" t="inlineStr">
        <is>
          <t>0</t>
        </is>
      </c>
      <c r="H4751" t="inlineStr">
        <is>
          <t>20⁴, 40⁴</t>
        </is>
      </c>
      <c r="I4751" t="n">
        <v>8</v>
      </c>
      <c r="J4751" t="inlineStr">
        <is>
          <t>2², 4⁶, 8⁴</t>
        </is>
      </c>
      <c r="K4751">
        <f>HYPERLINK("CSG7.html#group20A7", "20A⁷")</f>
        <v/>
      </c>
      <c r="L4751" t="inlineStr"/>
      <c r="M4751">
        <f>HYPERLINK("CSG2.html#group10E2", "10E²"), =HYPERLINK("CSG3.html#group20E3", "20E³"), =HYPERLINK("CSG0.html#group10D0", "10D⁰"), =HYPERLINK("CSG7.html#group20A7", "20A⁷"), =HYPERLINK("CSG4.html#group20B4", "20B⁴"), =HYPERLINK("CSG0.html#group2B0", "2B⁰"), =HYPERLINK("CSG0.html#group1A0", "1A⁰"), =HYPERLINK("CSG0.html#group4B0", "4B⁰"), =HYPERLINK("CSG0.html#group5C0", "5C⁰"), =HYPERLINK("CSG1.html#group10F1", "10F¹")</f>
        <v/>
      </c>
      <c r="N4751" t="inlineStr"/>
    </row>
    <row r="4752">
      <c r="A4752" t="inlineStr">
        <is>
          <t>40J¹⁷</t>
        </is>
      </c>
      <c r="B4752" t="inlineStr"/>
      <c r="C4752" t="inlineStr">
        <is>
          <t>240</t>
        </is>
      </c>
      <c r="D4752" t="inlineStr">
        <is>
          <t>1</t>
        </is>
      </c>
      <c r="E4752" t="inlineStr">
        <is>
          <t>60</t>
        </is>
      </c>
      <c r="F4752" t="inlineStr">
        <is>
          <t>0</t>
        </is>
      </c>
      <c r="G4752" t="inlineStr">
        <is>
          <t>0</t>
        </is>
      </c>
      <c r="H4752" t="inlineStr">
        <is>
          <t>20⁴, 40⁴</t>
        </is>
      </c>
      <c r="I4752" t="n">
        <v>8</v>
      </c>
      <c r="J4752" t="inlineStr">
        <is>
          <t>2², 4⁶, 8⁴</t>
        </is>
      </c>
      <c r="K4752">
        <f>HYPERLINK("CSG7.html#group20G7", "20G⁷"), =HYPERLINK("CSG7.html#group40H7", "40H⁷"), =HYPERLINK("CSG9.html#group40D9", "40D⁹")</f>
        <v/>
      </c>
      <c r="L4752" t="inlineStr"/>
      <c r="M4752">
        <f>HYPERLINK("CSG1.html#group8A1", "8A¹"), =HYPERLINK("CSG7.html#group20G7", "20G⁷"), =HYPERLINK("CSG0.html#group5C0", "5C⁰"), =HYPERLINK("CSG0.html#group4C0", "4C⁰"), =HYPERLINK("CSG7.html#group40H7", "40H⁷"), =HYPERLINK("CSG9.html#group40D9", "40D⁹"), =HYPERLINK("CSG0.html#group2B0", "2B⁰"), =HYPERLINK("CSG0.html#group1A0", "1A⁰"), =HYPERLINK("CSG3.html#group20F3", "20F³"), =HYPERLINK("CSG1.html#group10F1", "10F¹")</f>
        <v/>
      </c>
      <c r="N4752" t="inlineStr"/>
    </row>
    <row r="4753">
      <c r="A4753" t="inlineStr">
        <is>
          <t>40K¹⁷</t>
        </is>
      </c>
      <c r="B4753" t="inlineStr"/>
      <c r="C4753" t="inlineStr">
        <is>
          <t>240</t>
        </is>
      </c>
      <c r="D4753" t="inlineStr">
        <is>
          <t>1</t>
        </is>
      </c>
      <c r="E4753" t="inlineStr">
        <is>
          <t>60</t>
        </is>
      </c>
      <c r="F4753" t="inlineStr">
        <is>
          <t>0</t>
        </is>
      </c>
      <c r="G4753" t="inlineStr">
        <is>
          <t>0</t>
        </is>
      </c>
      <c r="H4753" t="inlineStr">
        <is>
          <t>20⁴, 40⁴</t>
        </is>
      </c>
      <c r="I4753" t="n">
        <v>8</v>
      </c>
      <c r="J4753" t="inlineStr">
        <is>
          <t>2², 4⁶, 8⁴</t>
        </is>
      </c>
      <c r="K4753">
        <f>HYPERLINK("CSG7.html#group20G7", "20G⁷"), =HYPERLINK("CSG7.html#group40I7", "40I⁷"), =HYPERLINK("CSG9.html#group40C9", "40C⁹")</f>
        <v/>
      </c>
      <c r="L4753" t="inlineStr"/>
      <c r="M4753">
        <f>HYPERLINK("CSG7.html#group40I7", "40I⁷"), =HYPERLINK("CSG0.html#group8D0", "8D⁰"), =HYPERLINK("CSG7.html#group20G7", "20G⁷"), =HYPERLINK("CSG0.html#group4C0", "4C⁰"), =HYPERLINK("CSG0.html#group1A0", "1A⁰"), =HYPERLINK("CSG0.html#group2B0", "2B⁰"), =HYPERLINK("CSG9.html#group40C9", "40C⁹"), =HYPERLINK("CSG0.html#group5C0", "5C⁰"), =HYPERLINK("CSG3.html#group20F3", "20F³"), =HYPERLINK("CSG1.html#group10F1", "10F¹")</f>
        <v/>
      </c>
      <c r="N4753" t="inlineStr"/>
    </row>
    <row r="4754">
      <c r="A4754" t="inlineStr">
        <is>
          <t>40L¹⁷</t>
        </is>
      </c>
      <c r="B4754" t="inlineStr"/>
      <c r="C4754" t="inlineStr">
        <is>
          <t>240</t>
        </is>
      </c>
      <c r="D4754" t="inlineStr">
        <is>
          <t>1</t>
        </is>
      </c>
      <c r="E4754" t="inlineStr">
        <is>
          <t>60</t>
        </is>
      </c>
      <c r="F4754" t="inlineStr">
        <is>
          <t>0</t>
        </is>
      </c>
      <c r="G4754" t="inlineStr">
        <is>
          <t>0</t>
        </is>
      </c>
      <c r="H4754" t="inlineStr">
        <is>
          <t>20⁴, 40⁴</t>
        </is>
      </c>
      <c r="I4754" t="n">
        <v>8</v>
      </c>
      <c r="J4754" t="inlineStr">
        <is>
          <t>2², 4⁶, 8⁴</t>
        </is>
      </c>
      <c r="K4754">
        <f>HYPERLINK("CSG7.html#group20H7", "20H⁷"), =HYPERLINK("CSG7.html#group40H7", "40H⁷"), =HYPERLINK("CSG9.html#group40C9", "40C⁹")</f>
        <v/>
      </c>
      <c r="L4754" t="inlineStr"/>
      <c r="M4754">
        <f>HYPERLINK("CSG7.html#group20H7", "20H⁷"), =HYPERLINK("CSG0.html#group4A0", "4A⁰"), =HYPERLINK("CSG0.html#group4C0", "4C⁰"), =HYPERLINK("CSG0.html#group5C0", "5C⁰"), =HYPERLINK("CSG7.html#group40H7", "40H⁷"), =HYPERLINK("CSG0.html#group2B0", "2B⁰"), =HYPERLINK("CSG9.html#group40C9", "40C⁹"), =HYPERLINK("CSG0.html#group4F0", "4F⁰"), =HYPERLINK("CSG0.html#group1A0", "1A⁰"), =HYPERLINK("CSG2.html#group20E2", "20E²"), =HYPERLINK("CSG3.html#group20F3", "20F³"), =HYPERLINK("CSG1.html#group10F1", "10F¹")</f>
        <v/>
      </c>
      <c r="N4754" t="inlineStr"/>
    </row>
    <row r="4755">
      <c r="A4755" t="inlineStr">
        <is>
          <t>40M¹⁷</t>
        </is>
      </c>
      <c r="B4755" t="inlineStr"/>
      <c r="C4755" t="inlineStr">
        <is>
          <t>240</t>
        </is>
      </c>
      <c r="D4755" t="inlineStr">
        <is>
          <t>1</t>
        </is>
      </c>
      <c r="E4755" t="inlineStr">
        <is>
          <t>60</t>
        </is>
      </c>
      <c r="F4755" t="inlineStr">
        <is>
          <t>0</t>
        </is>
      </c>
      <c r="G4755" t="inlineStr">
        <is>
          <t>0</t>
        </is>
      </c>
      <c r="H4755" t="inlineStr">
        <is>
          <t>20⁴, 40⁴</t>
        </is>
      </c>
      <c r="I4755" t="n">
        <v>8</v>
      </c>
      <c r="J4755" t="inlineStr">
        <is>
          <t>2², 4⁶, 8⁴</t>
        </is>
      </c>
      <c r="K4755">
        <f>HYPERLINK("CSG1.html#group8C1", "8C¹"), =HYPERLINK("CSG7.html#group20H7", "20H⁷"), =HYPERLINK("CSG7.html#group40I7", "40I⁷"), =HYPERLINK("CSG9.html#group40D9", "40D⁹")</f>
        <v/>
      </c>
      <c r="L4755" t="inlineStr"/>
      <c r="M4755">
        <f>HYPERLINK("CSG1.html#group8C1", "8C¹"), =HYPERLINK("CSG1.html#group8A1", "8A¹"), =HYPERLINK("CSG7.html#group20H7", "20H⁷"), =HYPERLINK("CSG7.html#group40I7", "40I⁷"), =HYPERLINK("CSG0.html#group8D0", "8D⁰"), =HYPERLINK("CSG0.html#group4A0", "4A⁰"), =HYPERLINK("CSG0.html#group4C0", "4C⁰"), =HYPERLINK("CSG0.html#group5C0", "5C⁰"), =HYPERLINK("CSG9.html#group40D9", "40D⁹"), =HYPERLINK("CSG0.html#group2B0", "2B⁰"), =HYPERLINK("CSG0.html#group4F0", "4F⁰"), =HYPERLINK("CSG0.html#group1A0", "1A⁰"), =HYPERLINK("CSG2.html#group20E2", "20E²"), =HYPERLINK("CSG3.html#group20F3", "20F³"), =HYPERLINK("CSG1.html#group10F1", "10F¹")</f>
        <v/>
      </c>
      <c r="N4755" t="inlineStr"/>
    </row>
    <row r="4756">
      <c r="A4756" t="inlineStr">
        <is>
          <t>40N¹⁷</t>
        </is>
      </c>
      <c r="B4756" t="inlineStr"/>
      <c r="C4756" t="inlineStr">
        <is>
          <t>240</t>
        </is>
      </c>
      <c r="D4756" t="inlineStr">
        <is>
          <t>1</t>
        </is>
      </c>
      <c r="E4756" t="inlineStr">
        <is>
          <t>60</t>
        </is>
      </c>
      <c r="F4756" t="inlineStr">
        <is>
          <t>4</t>
        </is>
      </c>
      <c r="G4756" t="inlineStr">
        <is>
          <t>0</t>
        </is>
      </c>
      <c r="H4756" t="inlineStr">
        <is>
          <t>40⁶</t>
        </is>
      </c>
      <c r="I4756" t="n">
        <v>6</v>
      </c>
      <c r="J4756" t="inlineStr">
        <is>
          <t>2², 4², 8², 16²</t>
        </is>
      </c>
      <c r="K4756">
        <f>HYPERLINK("CSG1.html#group8H1", "8H¹"), =HYPERLINK("CSG8.html#group40B8", "40B⁸"), =HYPERLINK("CSG8.html#group40E8", "40E⁸"), =HYPERLINK("CSG9.html#group40E9", "40E⁹")</f>
        <v/>
      </c>
      <c r="L4756" t="inlineStr"/>
      <c r="M4756">
        <f>HYPERLINK("CSG8.html#group40B8", "40B⁸"), =HYPERLINK("CSG0.html#group5A0", "5A⁰"), =HYPERLINK("CSG4.html#group40A4", "40A⁴"), =HYPERLINK("CSG0.html#group8D0", "8D⁰"), =HYPERLINK("CSG1.html#group10B1", "10B¹"), =HYPERLINK("CSG2.html#group20B2", "20B²"), =HYPERLINK("CSG0.html#group4C0", "4C⁰"), =HYPERLINK("CSG0.html#group8B0", "8B⁰"), =HYPERLINK("CSG0.html#group8A0", "8A⁰"), =HYPERLINK("CSG1.html#group20A1", "20A¹"), =HYPERLINK("CSG4.html#group20C4", "20C⁴"), =HYPERLINK("CSG0.html#group2B0", "2B⁰"), =HYPERLINK("CSG0.html#group8K0", "8K⁰"), =HYPERLINK("CSG0.html#group1A0", "1A⁰"), =HYPERLINK("CSG1.html#group8H1", "8H¹"), =HYPERLINK("CSG1.html#group8D1", "8D¹"), =HYPERLINK("CSG8.html#group40E8", "40E⁸"), =HYPERLINK("CSG0.html#group8H0", "8H⁰"), =HYPERLINK("CSG4.html#group40C4", "40C⁴"), =HYPERLINK("CSG0.html#group4A0", "4A⁰"), =HYPERLINK("CSG0.html#group4F0", "4F⁰"), =HYPERLINK("CSG9.html#group40E9", "40E⁹"), =HYPERLINK("CSG2.html#group40A2", "40A²")</f>
        <v/>
      </c>
      <c r="N4756" t="inlineStr"/>
    </row>
    <row r="4757">
      <c r="A4757" t="inlineStr">
        <is>
          <t>40O¹⁷</t>
        </is>
      </c>
      <c r="B4757" t="inlineStr"/>
      <c r="C4757" t="inlineStr">
        <is>
          <t>240</t>
        </is>
      </c>
      <c r="D4757" t="inlineStr">
        <is>
          <t>1</t>
        </is>
      </c>
      <c r="E4757" t="inlineStr">
        <is>
          <t>60</t>
        </is>
      </c>
      <c r="F4757" t="inlineStr">
        <is>
          <t>4</t>
        </is>
      </c>
      <c r="G4757" t="inlineStr">
        <is>
          <t>0</t>
        </is>
      </c>
      <c r="H4757" t="inlineStr">
        <is>
          <t>40⁶</t>
        </is>
      </c>
      <c r="I4757" t="n">
        <v>6</v>
      </c>
      <c r="J4757" t="inlineStr">
        <is>
          <t>1², 2¹, 4⁴, 8¹, 16²</t>
        </is>
      </c>
      <c r="K4757">
        <f>HYPERLINK("CSG1.html#group8I1", "8I¹"), =HYPERLINK("CSG5.html#group40D5", "40D⁵"), =HYPERLINK("CSG8.html#group40B8", "40B⁸")</f>
        <v/>
      </c>
      <c r="L4757" t="inlineStr"/>
      <c r="M4757">
        <f>HYPERLINK("CSG8.html#group40B8", "40B⁸"), =HYPERLINK("CSG0.html#group5A0", "5A⁰"), =HYPERLINK("CSG4.html#group40A4", "40A⁴"), =HYPERLINK("CSG0.html#group8D0", "8D⁰"), =HYPERLINK("CSG1.html#group10B1", "10B¹"), =HYPERLINK("CSG2.html#group20B2", "20B²"), =HYPERLINK("CSG0.html#group4C0", "4C⁰"), =HYPERLINK("CSG0.html#group8B0", "8B⁰"), =HYPERLINK("CSG1.html#group20A1", "20A¹"), =HYPERLINK("CSG4.html#group20C4", "20C⁴"), =HYPERLINK("CSG0.html#group2B0", "2B⁰"), =HYPERLINK("CSG0.html#group1A0", "1A⁰"), =HYPERLINK("CSG5.html#group40D5", "40D⁵"), =HYPERLINK("CSG0.html#group8H0", "8H⁰"), =HYPERLINK("CSG4.html#group40C4", "40C⁴"), =HYPERLINK("CSG0.html#group8F0", "8F⁰"), =HYPERLINK("CSG0.html#group4A0", "4A⁰"), =HYPERLINK("CSG1.html#group8I1", "8I¹"), =HYPERLINK("CSG0.html#group4F0", "4F⁰")</f>
        <v/>
      </c>
      <c r="N4757" t="inlineStr"/>
    </row>
    <row r="4758">
      <c r="A4758" t="inlineStr">
        <is>
          <t>40P¹⁷</t>
        </is>
      </c>
      <c r="B4758" t="inlineStr"/>
      <c r="C4758" t="inlineStr">
        <is>
          <t>240</t>
        </is>
      </c>
      <c r="D4758" t="inlineStr">
        <is>
          <t>1</t>
        </is>
      </c>
      <c r="E4758" t="inlineStr">
        <is>
          <t>120</t>
        </is>
      </c>
      <c r="F4758" t="inlineStr">
        <is>
          <t>4</t>
        </is>
      </c>
      <c r="G4758" t="inlineStr">
        <is>
          <t>0</t>
        </is>
      </c>
      <c r="H4758" t="inlineStr">
        <is>
          <t>40⁶</t>
        </is>
      </c>
      <c r="I4758" t="n">
        <v>6</v>
      </c>
      <c r="J4758" t="inlineStr">
        <is>
          <t>4², 8⁶, 16⁴</t>
        </is>
      </c>
      <c r="K4758">
        <f>HYPERLINK("CSG5.html#group40E5", "40E⁵"), =HYPERLINK("CSG7.html#group20H7", "20H⁷")</f>
        <v/>
      </c>
      <c r="L4758" t="inlineStr"/>
      <c r="M4758">
        <f>HYPERLINK("CSG5.html#group40E5", "40E⁵"), =HYPERLINK("CSG7.html#group20H7", "20H⁷"), =HYPERLINK("CSG0.html#group4A0", "4A⁰"), =HYPERLINK("CSG0.html#group4C0", "4C⁰"), =HYPERLINK("CSG0.html#group5C0", "5C⁰"), =HYPERLINK("CSG0.html#group2B0", "2B⁰"), =HYPERLINK("CSG0.html#group4F0", "4F⁰"), =HYPERLINK("CSG0.html#group1A0", "1A⁰"), =HYPERLINK("CSG2.html#group20E2", "20E²"), =HYPERLINK("CSG3.html#group20F3", "20F³"), =HYPERLINK("CSG1.html#group10F1", "10F¹")</f>
        <v/>
      </c>
      <c r="N4758" t="inlineStr"/>
    </row>
    <row r="4759">
      <c r="A4759" t="inlineStr">
        <is>
          <t>40Q¹⁷</t>
        </is>
      </c>
      <c r="B4759" t="inlineStr"/>
      <c r="C4759" t="inlineStr">
        <is>
          <t>240</t>
        </is>
      </c>
      <c r="D4759" t="inlineStr">
        <is>
          <t>1</t>
        </is>
      </c>
      <c r="E4759" t="inlineStr">
        <is>
          <t>120</t>
        </is>
      </c>
      <c r="F4759" t="inlineStr">
        <is>
          <t>4</t>
        </is>
      </c>
      <c r="G4759" t="inlineStr">
        <is>
          <t>0</t>
        </is>
      </c>
      <c r="H4759" t="inlineStr">
        <is>
          <t>40⁶</t>
        </is>
      </c>
      <c r="I4759" t="n">
        <v>6</v>
      </c>
      <c r="J4759" t="inlineStr">
        <is>
          <t>4², 8⁶, 16⁴</t>
        </is>
      </c>
      <c r="K4759">
        <f>HYPERLINK("CSG1.html#group8D1", "8D¹"), =HYPERLINK("CSG5.html#group40F5", "40F⁵"), =HYPERLINK("CSG7.html#group20H7", "20H⁷")</f>
        <v/>
      </c>
      <c r="L4759" t="inlineStr"/>
      <c r="M4759">
        <f>HYPERLINK("CSG5.html#group40F5", "40F⁵"), =HYPERLINK("CSG7.html#group20H7", "20H⁷"), =HYPERLINK("CSG0.html#group4A0", "4A⁰"), =HYPERLINK("CSG2.html#group20E2", "20E²"), =HYPERLINK("CSG0.html#group5C0", "5C⁰"), =HYPERLINK("CSG0.html#group4C0", "4C⁰"), =HYPERLINK("CSG0.html#group8A0", "8A⁰"), =HYPERLINK("CSG0.html#group2B0", "2B⁰"), =HYPERLINK("CSG0.html#group4F0", "4F⁰"), =HYPERLINK("CSG0.html#group1A0", "1A⁰"), =HYPERLINK("CSG1.html#group8D1", "8D¹"), =HYPERLINK("CSG3.html#group20F3", "20F³"), =HYPERLINK("CSG1.html#group10F1", "10F¹")</f>
        <v/>
      </c>
      <c r="N4759" t="inlineStr"/>
    </row>
    <row r="4760">
      <c r="A4760" t="inlineStr">
        <is>
          <t>40R¹⁷</t>
        </is>
      </c>
      <c r="B4760" t="inlineStr"/>
      <c r="C4760" t="inlineStr">
        <is>
          <t>240</t>
        </is>
      </c>
      <c r="D4760" t="inlineStr">
        <is>
          <t>2</t>
        </is>
      </c>
      <c r="E4760" t="inlineStr">
        <is>
          <t>60</t>
        </is>
      </c>
      <c r="F4760" t="inlineStr">
        <is>
          <t>4</t>
        </is>
      </c>
      <c r="G4760" t="inlineStr">
        <is>
          <t>0</t>
        </is>
      </c>
      <c r="H4760" t="inlineStr">
        <is>
          <t>40⁶</t>
        </is>
      </c>
      <c r="I4760" t="n">
        <v>6</v>
      </c>
      <c r="J4760" t="inlineStr">
        <is>
          <t>4², 8², 16⁶</t>
        </is>
      </c>
      <c r="K4760">
        <f>HYPERLINK("CSG3.html#group40A3", "40A³"), =HYPERLINK("CSG5.html#group40E5", "40E⁵"), =HYPERLINK("CSG7.html#group20F7", "20F⁷"), =HYPERLINK("CSG8.html#group40H8", "40H⁸")</f>
        <v/>
      </c>
      <c r="L4760" t="inlineStr"/>
      <c r="M4760">
        <f>HYPERLINK("CSG5.html#group40E5", "40E⁵"), =HYPERLINK("CSG0.html#group5A0", "5A⁰"), =HYPERLINK("CSG3.html#group40A3", "40A³"), =HYPERLINK("CSG0.html#group4A0", "4A⁰"), =HYPERLINK("CSG8.html#group40H8", "40H⁸"), =HYPERLINK("CSG0.html#group5B0", "5B⁰"), =HYPERLINK("CSG0.html#group5E0", "5E⁰"), =HYPERLINK("CSG1.html#group20A1", "20A¹"), =HYPERLINK("CSG0.html#group1A0", "1A⁰"), =HYPERLINK("CSG7.html#group20F7", "20F⁷"), =HYPERLINK("CSG0.html#group5C0", "5C⁰"), =HYPERLINK("CSG2.html#group20E2", "20E²"), =HYPERLINK("CSG0.html#group5G0", "5G⁰"), =HYPERLINK("CSG1.html#group20B1", "20B¹"), =HYPERLINK("CSG3.html#group20D3", "20D³")</f>
        <v/>
      </c>
      <c r="N4760" t="inlineStr"/>
    </row>
    <row r="4761">
      <c r="A4761" t="inlineStr">
        <is>
          <t>40S¹⁷</t>
        </is>
      </c>
      <c r="B4761" t="inlineStr"/>
      <c r="C4761" t="inlineStr">
        <is>
          <t>240</t>
        </is>
      </c>
      <c r="D4761" t="inlineStr">
        <is>
          <t>2</t>
        </is>
      </c>
      <c r="E4761" t="inlineStr">
        <is>
          <t>60</t>
        </is>
      </c>
      <c r="F4761" t="inlineStr">
        <is>
          <t>4</t>
        </is>
      </c>
      <c r="G4761" t="inlineStr">
        <is>
          <t>0</t>
        </is>
      </c>
      <c r="H4761" t="inlineStr">
        <is>
          <t>40⁶</t>
        </is>
      </c>
      <c r="I4761" t="n">
        <v>6</v>
      </c>
      <c r="J4761" t="inlineStr">
        <is>
          <t>4², 8², 16⁶</t>
        </is>
      </c>
      <c r="K4761">
        <f>HYPERLINK("CSG3.html#group40B3", "40B³"), =HYPERLINK("CSG5.html#group40F5", "40F⁵"), =HYPERLINK("CSG7.html#group20F7", "20F⁷"), =HYPERLINK("CSG8.html#group40G8", "40G⁸"), =HYPERLINK("CSG8.html#group40H8", "40H⁸")</f>
        <v/>
      </c>
      <c r="L4761" t="inlineStr"/>
      <c r="M4761">
        <f>HYPERLINK("CSG5.html#group40F5", "40F⁵"), =HYPERLINK("CSG0.html#group5A0", "5A⁰"), =HYPERLINK("CSG8.html#group40G8", "40G⁸"), =HYPERLINK("CSG0.html#group8A0", "8A⁰"), =HYPERLINK("CSG0.html#group5B0", "5B⁰"), =HYPERLINK("CSG1.html#group20A1", "20A¹"), =HYPERLINK("CSG0.html#group5G0", "5G⁰"), =HYPERLINK("CSG7.html#group20F7", "20F⁷"), =HYPERLINK("CSG0.html#group1A0", "1A⁰"), =HYPERLINK("CSG1.html#group20B1", "20B¹"), =HYPERLINK("CSG0.html#group4A0", "4A⁰"), =HYPERLINK("CSG3.html#group40B3", "40B³"), =HYPERLINK("CSG8.html#group40H8", "40H⁸"), =HYPERLINK("CSG0.html#group5E0", "5E⁰"), =HYPERLINK("CSG0.html#group5C0", "5C⁰"), =HYPERLINK("CSG2.html#group20E2", "20E²"), =HYPERLINK("CSG2.html#group40A2", "40A²"), =HYPERLINK("CSG3.html#group20D3", "20D³")</f>
        <v/>
      </c>
      <c r="N4761" t="inlineStr"/>
    </row>
    <row r="4762">
      <c r="A4762" t="inlineStr">
        <is>
          <t>40T¹⁷</t>
        </is>
      </c>
      <c r="B4762" t="inlineStr"/>
      <c r="C4762" t="inlineStr">
        <is>
          <t>288</t>
        </is>
      </c>
      <c r="D4762" t="inlineStr">
        <is>
          <t>1</t>
        </is>
      </c>
      <c r="E4762" t="inlineStr">
        <is>
          <t>18</t>
        </is>
      </c>
      <c r="F4762" t="inlineStr">
        <is>
          <t>0</t>
        </is>
      </c>
      <c r="G4762" t="inlineStr">
        <is>
          <t>0</t>
        </is>
      </c>
      <c r="H4762" t="inlineStr">
        <is>
          <t>4⁴, 8⁴, 20⁴, 40⁴</t>
        </is>
      </c>
      <c r="I4762" t="n">
        <v>16</v>
      </c>
      <c r="J4762" t="inlineStr">
        <is>
          <t>1⁶, 4³</t>
        </is>
      </c>
      <c r="K4762">
        <f>HYPERLINK("CSG5.html#group20I5", "20I⁵"), =HYPERLINK("CSG7.html#group40T7", "40T⁷"), =HYPERLINK("CSG9.html#group40K9", "40K⁹"), =HYPERLINK("CSG9.html#group40L9", "40L⁹")</f>
        <v/>
      </c>
      <c r="L4762" t="inlineStr"/>
      <c r="M4762">
        <f>HYPERLINK("CSG1.html#group20E1", "20E¹"), =HYPERLINK("CSG0.html#group2A0", "2A⁰"), =HYPERLINK("CSG0.html#group10G0", "10G⁰"), =HYPERLINK("CSG9.html#group40K9", "40K⁹"), =HYPERLINK("CSG5.html#group20I5", "20I⁵"), =HYPERLINK("CSG7.html#group40T7", "40T⁷"), =HYPERLINK("CSG3.html#group20G3", "20G³"), =HYPERLINK("CSG0.html#group4C0", "4C⁰"), =HYPERLINK("CSG0.html#group5B0", "5B⁰"), =HYPERLINK("CSG0.html#group5D0", "5D⁰"), =HYPERLINK("CSG1.html#group10A1", "10A¹"), =HYPERLINK("CSG0.html#group2B0", "2B⁰"), =HYPERLINK("CSG1.html#group20D1", "20D¹"), =HYPERLINK("CSG1.html#group20H1", "20H¹"), =HYPERLINK("CSG0.html#group4E0", "4E⁰"), =HYPERLINK("CSG0.html#group4B0", "4B⁰"), =HYPERLINK("CSG1.html#group10D1", "10D¹"), =HYPERLINK("CSG0.html#group1A0", "1A⁰"), =HYPERLINK("CSG9.html#group40L9", "40L⁹"), =HYPERLINK("CSG3.html#group20H3", "20H³"), =HYPERLINK("CSG0.html#group10F0", "10F⁰"), =HYPERLINK("CSG0.html#group10B0", "10B⁰"), =HYPERLINK("CSG0.html#group20A0", "20A⁰"), =HYPERLINK("CSG1.html#group20I1", "20I¹"), =HYPERLINK("CSG0.html#group10C0", "10C⁰"), =HYPERLINK("CSG1.html#group10K1", "10K¹"), =HYPERLINK("CSG3.html#group20I3", "20I³"), =HYPERLINK("CSG3.html#group20J3", "20J³"), =HYPERLINK("CSG0.html#group2C0", "2C⁰"), =HYPERLINK("CSG2.html#group20C2", "20C²"), =HYPERLINK("CSG1.html#group10G1", "10G¹")</f>
        <v/>
      </c>
      <c r="N4762" t="inlineStr"/>
    </row>
    <row r="4763">
      <c r="A4763" t="inlineStr">
        <is>
          <t>40U¹⁷</t>
        </is>
      </c>
      <c r="B4763" t="inlineStr"/>
      <c r="C4763" t="inlineStr">
        <is>
          <t>288</t>
        </is>
      </c>
      <c r="D4763" t="inlineStr">
        <is>
          <t>1</t>
        </is>
      </c>
      <c r="E4763" t="inlineStr">
        <is>
          <t>18</t>
        </is>
      </c>
      <c r="F4763" t="inlineStr">
        <is>
          <t>0</t>
        </is>
      </c>
      <c r="G4763" t="inlineStr">
        <is>
          <t>0</t>
        </is>
      </c>
      <c r="H4763" t="inlineStr">
        <is>
          <t>4⁴, 8⁴, 20⁴, 40⁴</t>
        </is>
      </c>
      <c r="I4763" t="n">
        <v>16</v>
      </c>
      <c r="J4763" t="inlineStr">
        <is>
          <t>1⁶, 4³</t>
        </is>
      </c>
      <c r="K4763">
        <f>HYPERLINK("CSG7.html#group20K7", "20K⁷"), =HYPERLINK("CSG7.html#group40L7", "40L⁷"), =HYPERLINK("CSG7.html#group40R7", "40R⁷"), =HYPERLINK("CSG9.html#group40I9", "40I⁹"), =HYPERLINK("CSG9.html#group40O9", "40O⁹")</f>
        <v/>
      </c>
      <c r="L4763" t="inlineStr"/>
      <c r="M4763">
        <f>HYPERLINK("CSG1.html#group20E1", "20E¹"), =HYPERLINK("CSG0.html#group2A0", "2A⁰"), =HYPERLINK("CSG7.html#group40L7", "40L⁷"), =HYPERLINK("CSG9.html#group40O9", "40O⁹"), =HYPERLINK("CSG0.html#group4C0", "4C⁰"), =HYPERLINK("CSG3.html#group20C3", "20C³"), =HYPERLINK("CSG0.html#group5B0", "5B⁰"), =HYPERLINK("CSG1.html#group10A1", "10A¹"), =HYPERLINK("CSG0.html#group4G0", "4G⁰"), =HYPERLINK("CSG1.html#group20D1", "20D¹"), =HYPERLINK("CSG9.html#group40I9", "40I⁹"), =HYPERLINK("CSG0.html#group4E0", "4E⁰"), =HYPERLINK("CSG0.html#group2B0", "2B⁰"), =HYPERLINK("CSG0.html#group4B0", "4B⁰"), =HYPERLINK("CSG5.html#group40B5", "40B⁵"), =HYPERLINK("CSG0.html#group1A0", "1A⁰"), =HYPERLINK("CSG1.html#group20B1", "20B¹"), =HYPERLINK("CSG3.html#group20L3", "20L³"), =HYPERLINK("CSG3.html#group40C3", "40C³"), =HYPERLINK("CSG7.html#group20K7", "20K⁷"), =HYPERLINK("CSG0.html#group4A0", "4A⁰"), =HYPERLINK("CSG0.html#group4D0", "4D⁰"), =HYPERLINK("CSG0.html#group10C0", "10C⁰"), =HYPERLINK("CSG7.html#group40R7", "40R⁷"), =HYPERLINK("CSG3.html#group40E3", "40E³"), =HYPERLINK("CSG0.html#group4F0", "4F⁰"), =HYPERLINK("CSG3.html#group20J3", "20J³"), =HYPERLINK("CSG0.html#group2C0", "2C⁰"), =HYPERLINK("CSG1.html#group10G1", "10G¹"), =HYPERLINK("CSG3.html#group40G3", "40G³")</f>
        <v/>
      </c>
      <c r="N4763" t="inlineStr"/>
    </row>
    <row r="4764">
      <c r="A4764" t="inlineStr">
        <is>
          <t>40V¹⁷</t>
        </is>
      </c>
      <c r="B4764" t="inlineStr"/>
      <c r="C4764" t="inlineStr">
        <is>
          <t>288</t>
        </is>
      </c>
      <c r="D4764" t="inlineStr">
        <is>
          <t>1</t>
        </is>
      </c>
      <c r="E4764" t="inlineStr">
        <is>
          <t>18</t>
        </is>
      </c>
      <c r="F4764" t="inlineStr">
        <is>
          <t>0</t>
        </is>
      </c>
      <c r="G4764" t="inlineStr">
        <is>
          <t>0</t>
        </is>
      </c>
      <c r="H4764" t="inlineStr">
        <is>
          <t>4⁴, 8⁴, 20⁴, 40⁴</t>
        </is>
      </c>
      <c r="I4764" t="n">
        <v>16</v>
      </c>
      <c r="J4764" t="inlineStr">
        <is>
          <t>1⁶, 4³</t>
        </is>
      </c>
      <c r="K4764">
        <f>HYPERLINK("CSG7.html#group20L7", "20L⁷"), =HYPERLINK("CSG7.html#group40L7", "40L⁷"), =HYPERLINK("CSG7.html#group40Q7", "40Q⁷"), =HYPERLINK("CSG9.html#group40J9", "40J⁹"), =HYPERLINK("CSG9.html#group40M9", "40M⁹")</f>
        <v/>
      </c>
      <c r="L4764" t="inlineStr"/>
      <c r="M4764">
        <f>HYPERLINK("CSG0.html#group2A0", "2A⁰"), =HYPERLINK("CSG1.html#group20E1", "20E¹"), =HYPERLINK("CSG7.html#group20L7", "20L⁷"), =HYPERLINK("CSG7.html#group40L7", "40L⁷"), =HYPERLINK("CSG3.html#group40D3", "40D³"), =HYPERLINK("CSG7.html#group40Q7", "40Q⁷"), =HYPERLINK("CSG1.html#group8A1", "8A¹"), =HYPERLINK("CSG0.html#group4C0", "4C⁰"), =HYPERLINK("CSG0.html#group5B0", "5B⁰"), =HYPERLINK("CSG0.html#group8B0", "8B⁰"), =HYPERLINK("CSG1.html#group10A1", "10A¹"), =HYPERLINK("CSG5.html#group40C5", "40C⁵"), =HYPERLINK("CSG9.html#group40J9", "40J⁹"), =HYPERLINK("CSG0.html#group2B0", "2B⁰"), =HYPERLINK("CSG1.html#group20D1", "20D¹"), =HYPERLINK("CSG0.html#group4E0", "4E⁰"), =HYPERLINK("CSG3.html#group20K3", "20K³"), =HYPERLINK("CSG0.html#group4B0", "4B⁰"), =HYPERLINK("CSG0.html#group1A0", "1A⁰"), =HYPERLINK("CSG1.html#group8B1", "8B¹"), =HYPERLINK("CSG9.html#group40M9", "40M⁹"), =HYPERLINK("CSG0.html#group20A0", "20A⁰"), =HYPERLINK("CSG0.html#group10C0", "10C⁰"), =HYPERLINK("CSG3.html#group40E3", "40E³"), =HYPERLINK("CSG3.html#group20I3", "20I³"), =HYPERLINK("CSG3.html#group20J3", "20J³"), =HYPERLINK("CSG0.html#group2C0", "2C⁰"), =HYPERLINK("CSG2.html#group20C2", "20C²"), =HYPERLINK("CSG1.html#group10G1", "10G¹"), =HYPERLINK("CSG3.html#group40G3", "40G³")</f>
        <v/>
      </c>
      <c r="N4764" t="inlineStr"/>
    </row>
    <row r="4765">
      <c r="A4765" t="inlineStr">
        <is>
          <t>40W¹⁷</t>
        </is>
      </c>
      <c r="B4765" t="inlineStr"/>
      <c r="C4765" t="inlineStr">
        <is>
          <t>288</t>
        </is>
      </c>
      <c r="D4765" t="inlineStr">
        <is>
          <t>1</t>
        </is>
      </c>
      <c r="E4765" t="inlineStr">
        <is>
          <t>18</t>
        </is>
      </c>
      <c r="F4765" t="inlineStr">
        <is>
          <t>0</t>
        </is>
      </c>
      <c r="G4765" t="inlineStr">
        <is>
          <t>0</t>
        </is>
      </c>
      <c r="H4765" t="inlineStr">
        <is>
          <t>4⁴, 8⁴, 20⁴, 40⁴</t>
        </is>
      </c>
      <c r="I4765" t="n">
        <v>16</v>
      </c>
      <c r="J4765" t="inlineStr">
        <is>
          <t>1⁶, 4³</t>
        </is>
      </c>
      <c r="K4765">
        <f>HYPERLINK("CSG7.html#group20L7", "20L⁷"), =HYPERLINK("CSG7.html#group40M7", "40M⁷"), =HYPERLINK("CSG7.html#group40P7", "40P⁷"), =HYPERLINK("CSG9.html#group40I9", "40I⁹"), =HYPERLINK("CSG9.html#group40N9", "40N⁹")</f>
        <v/>
      </c>
      <c r="L4765" t="inlineStr"/>
      <c r="M4765">
        <f>HYPERLINK("CSG0.html#group2A0", "2A⁰"), =HYPERLINK("CSG1.html#group20E1", "20E¹"), =HYPERLINK("CSG7.html#group20L7", "20L⁷"), =HYPERLINK("CSG9.html#group40N9", "40N⁹"), =HYPERLINK("CSG3.html#group40H3", "40H³"), =HYPERLINK("CSG0.html#group8D0", "8D⁰"), =HYPERLINK("CSG0.html#group4C0", "4C⁰"), =HYPERLINK("CSG0.html#group5B0", "5B⁰"), =HYPERLINK("CSG1.html#group10A1", "10A¹"), =HYPERLINK("CSG0.html#group2B0", "2B⁰"), =HYPERLINK("CSG9.html#group40I9", "40I⁹"), =HYPERLINK("CSG1.html#group20D1", "20D¹"), =HYPERLINK("CSG0.html#group4E0", "4E⁰"), =HYPERLINK("CSG3.html#group20K3", "20K³"), =HYPERLINK("CSG0.html#group4B0", "4B⁰"), =HYPERLINK("CSG0.html#group1A0", "1A⁰"), =HYPERLINK("CSG5.html#group40B5", "40B⁵"), =HYPERLINK("CSG0.html#group8C0", "8C⁰"), =HYPERLINK("CSG7.html#group40P7", "40P⁷"), =HYPERLINK("CSG3.html#group40C3", "40C³"), =HYPERLINK("CSG0.html#group20A0", "20A⁰"), =HYPERLINK("CSG3.html#group40F3", "40F³"), =HYPERLINK("CSG7.html#group40M7", "40M⁷"), =HYPERLINK("CSG0.html#group8G0", "8G⁰"), =HYPERLINK("CSG0.html#group10C0", "10C⁰"), =HYPERLINK("CSG3.html#group20I3", "20I³"), =HYPERLINK("CSG3.html#group20J3", "20J³"), =HYPERLINK("CSG0.html#group2C0", "2C⁰"), =HYPERLINK("CSG2.html#group20C2", "20C²"), =HYPERLINK("CSG1.html#group10G1", "10G¹")</f>
        <v/>
      </c>
      <c r="N4765" t="inlineStr"/>
    </row>
    <row r="4766">
      <c r="A4766" t="inlineStr">
        <is>
          <t>40X¹⁷</t>
        </is>
      </c>
      <c r="B4766" t="inlineStr"/>
      <c r="C4766" t="inlineStr">
        <is>
          <t>288</t>
        </is>
      </c>
      <c r="D4766" t="inlineStr">
        <is>
          <t>1</t>
        </is>
      </c>
      <c r="E4766" t="inlineStr">
        <is>
          <t>18</t>
        </is>
      </c>
      <c r="F4766" t="inlineStr">
        <is>
          <t>0</t>
        </is>
      </c>
      <c r="G4766" t="inlineStr">
        <is>
          <t>0</t>
        </is>
      </c>
      <c r="H4766" t="inlineStr">
        <is>
          <t>4⁴, 8⁴, 20⁴, 40⁴</t>
        </is>
      </c>
      <c r="I4766" t="n">
        <v>16</v>
      </c>
      <c r="J4766" t="inlineStr">
        <is>
          <t>1⁶, 4³</t>
        </is>
      </c>
      <c r="K4766">
        <f>HYPERLINK("CSG1.html#group8F1", "8F¹"), =HYPERLINK("CSG7.html#group20K7", "20K⁷"), =HYPERLINK("CSG7.html#group40M7", "40M⁷"), =HYPERLINK("CSG7.html#group40S7", "40S⁷"), =HYPERLINK("CSG9.html#group40J9", "40J⁹"), =HYPERLINK("CSG9.html#group40P9", "40P⁹")</f>
        <v/>
      </c>
      <c r="L4766" t="inlineStr"/>
      <c r="M4766">
        <f>HYPERLINK("CSG1.html#group20E1", "20E¹"), =HYPERLINK("CSG0.html#group2A0", "2A⁰"), =HYPERLINK("CSG3.html#group40D3", "40D³"), =HYPERLINK("CSG0.html#group4C0", "4C⁰"), =HYPERLINK("CSG0.html#group5B0", "5B⁰"), =HYPERLINK("CSG5.html#group40C5", "40C⁵"), =HYPERLINK("CSG1.html#group10A1", "10A¹"),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=HYPERLINK("CSG7.html#group40S7", "40S⁷"), =HYPERLINK("CSG9.html#group40P9", "40P⁹"), =HYPERLINK("CSG1.html#group20B1", "20B¹"), =HYPERLINK("CSG7.html#group20K7", "20K⁷"), =HYPERLINK("CSG3.html#group40F3", "40F³"), =HYPERLINK("CSG0.html#group8G0", "8G⁰"), =HYPERLINK("CSG0.html#group4D0", "4D⁰"), =HYPERLINK("CSG0.html#group10C0", "10C⁰"), =HYPERLINK("CSG3.html#group20J3", "20J³"), =HYPERLINK("CSG1.html#group8A1", "8A¹"), =HYPERLINK("CSG3.html#group40H3", "40H³"), =HYPERLINK("CSG0.html#group8D0", "8D⁰"), =HYPERLINK("CSG3.html#group20C3", "20C³"), =HYPERLINK("CSG0.html#group8B0", "8B⁰"), =HYPERLINK("CSG9.html#group40J9", "40J⁹"), =HYPERLINK("CSG1.html#group20D1", "20D¹"), =HYPERLINK("CSG1.html#group8B1", "8B¹"), =HYPERLINK("CSG0.html#group8H0", "8H⁰"), =HYPERLINK("CSG1.html#group8C1", "8C¹"), =HYPERLINK("CSG7.html#group40M7", "40M⁷"), =HYPERLINK("CSG0.html#group4A0", "4A⁰"), =HYPERLINK("CSG0.html#group4F0", "4F⁰"), =HYPERLINK("CSG3.html#group20L3", "20L³"), =HYPERLINK("CSG0.html#group2C0", "2C⁰"), =HYPERLINK("CSG1.html#group10G1", "10G¹")</f>
        <v/>
      </c>
      <c r="N4766" t="inlineStr"/>
    </row>
    <row r="4767">
      <c r="A4767" t="inlineStr">
        <is>
          <t>40Y¹⁷</t>
        </is>
      </c>
      <c r="B4767" t="inlineStr"/>
      <c r="C4767" t="inlineStr">
        <is>
          <t>288</t>
        </is>
      </c>
      <c r="D4767" t="inlineStr">
        <is>
          <t>1</t>
        </is>
      </c>
      <c r="E4767" t="inlineStr">
        <is>
          <t>18</t>
        </is>
      </c>
      <c r="F4767" t="inlineStr">
        <is>
          <t>0</t>
        </is>
      </c>
      <c r="G4767" t="inlineStr">
        <is>
          <t>0</t>
        </is>
      </c>
      <c r="H4767" t="inlineStr">
        <is>
          <t>4⁴, 8⁴, 20⁴, 40⁴</t>
        </is>
      </c>
      <c r="I4767" t="n">
        <v>16</v>
      </c>
      <c r="J4767" t="inlineStr">
        <is>
          <t>1⁶, 4³</t>
        </is>
      </c>
      <c r="K4767">
        <f>HYPERLINK("CSG5.html#group20I5", "20I⁵"), =HYPERLINK("CSG5.html#group40L5", "40L⁵"), =HYPERLINK("CSG9.html#group40F9", "40F⁹"), =HYPERLINK("CSG9.html#group40H9", "40H⁹"), =HYPERLINK("CSG9.html#group40G9", "40G⁹"), =HYPERLINK("CSG9.html#group40I9", "40I⁹"), =HYPERLINK("CSG9.html#group40J9", "40J⁹")</f>
        <v/>
      </c>
      <c r="L4767" t="inlineStr"/>
      <c r="M4767">
        <f>HYPERLINK("CSG1.html#group20E1", "20E¹"), =HYPERLINK("CSG0.html#group2A0", "2A⁰"), =HYPERLINK("CSG0.html#group10G0", "10G⁰"), =HYPERLINK("CSG5.html#group20I5", "20I⁵"), =HYPERLINK("CSG0.html#group4C0", "4C⁰"), =HYPERLINK("CSG0.html#group5B0", "5B⁰"), =HYPERLINK("CSG5.html#group40C5", "40C⁵"), =HYPERLINK("CSG0.html#group5D0", "5D⁰"), =HYPERLINK("CSG1.html#group10A1", "10A¹"), =HYPERLINK("CSG0.html#group2B0", "2B⁰"), =HYPERLINK("CSG9.html#group40I9", "40I⁹"), =HYPERLINK("CSG1.html#group20H1", "20H¹"), =HYPERLINK("CSG0.html#group4E0", "4E⁰"), =HYPERLINK("CSG0.html#group4B0", "4B⁰"), =HYPERLINK("CSG1.html#group10D1", "10D¹"), =HYPERLINK("CSG0.html#group1A0", "1A⁰"), =HYPERLINK("CSG3.html#group20H3", "20H³"), =HYPERLINK("CSG3.html#group40C3", "40C³"), =HYPERLINK("CSG1.html#group10G1", "10G¹"), =HYPERLINK("CSG0.html#group10C0", "10C⁰"), =HYPERLINK("CSG5.html#group40L5", "40L⁵"), =HYPERLINK("CSG3.html#group20J3", "20J³"), =HYPERLINK("CSG2.html#group20C2", "20C²"), =HYPERLINK("CSG1.html#group8A1", "8A¹"), =HYPERLINK("CSG9.html#group40H9", "40H⁹"), =HYPERLINK("CSG9.html#group40F9", "40F⁹"), =HYPERLINK("CSG3.html#group20G3", "20G³"), =HYPERLINK("CSG0.html#group8B0", "8B⁰"), =HYPERLINK("CSG9.html#group40J9", "40J⁹"), =HYPERLINK("CSG1.html#group20D1", "20D¹"), =HYPERLINK("CSG5.html#group40B5", "40B⁵"), =HYPERLINK("CSG1.html#group8B1", "8B¹"), =HYPERLINK("CSG0.html#group10F0", "10F⁰"), =HYPERLINK("CSG0.html#group10B0", "10B⁰"), =HYPERLINK("CSG0.html#group20A0", "20A⁰"), =HYPERLINK("CSG1.html#group20I1", "20I¹"), =HYPERLINK("CSG1.html#group10K1", "10K¹"), =HYPERLINK("CSG3.html#group20I3", "20I³"), =HYPERLINK("CSG3.html#group40D3", "40D³"), =HYPERLINK("CSG0.html#group2C0", "2C⁰"), =HYPERLINK("CSG9.html#group40G9", "40G⁹")</f>
        <v/>
      </c>
      <c r="N4767" t="inlineStr"/>
    </row>
    <row r="4768">
      <c r="A4768" t="inlineStr">
        <is>
          <t>40Z¹⁷</t>
        </is>
      </c>
      <c r="B4768" t="inlineStr"/>
      <c r="C4768" t="inlineStr">
        <is>
          <t>288</t>
        </is>
      </c>
      <c r="D4768" t="inlineStr">
        <is>
          <t>1</t>
        </is>
      </c>
      <c r="E4768" t="inlineStr">
        <is>
          <t>36</t>
        </is>
      </c>
      <c r="F4768" t="inlineStr">
        <is>
          <t>0</t>
        </is>
      </c>
      <c r="G4768" t="inlineStr">
        <is>
          <t>0</t>
        </is>
      </c>
      <c r="H4768" t="inlineStr">
        <is>
          <t>4⁴, 8⁴, 20⁴, 40⁴</t>
        </is>
      </c>
      <c r="I4768" t="n">
        <v>16</v>
      </c>
      <c r="J4768" t="inlineStr">
        <is>
          <t>1⁴, 2⁴, 4², 8²</t>
        </is>
      </c>
      <c r="K4768">
        <f>HYPERLINK("CSG5.html#group20J5", "20J⁵"), =HYPERLINK("CSG5.html#group40N5", "40N⁵"), =HYPERLINK("CSG9.html#group40F9", "40F⁹"), =HYPERLINK("CSG9.html#group40O9", "40O⁹"), =HYPERLINK("CSG9.html#group40N9", "40N⁹"), =HYPERLINK("CSG9.html#group40M9", "40M⁹"), =HYPERLINK("CSG9.html#group40P9", "40P⁹")</f>
        <v/>
      </c>
      <c r="L4768" t="inlineStr"/>
      <c r="M4768">
        <f>HYPERLINK("CSG1.html#group20E1", "20E¹"), =HYPERLINK("CSG9.html#group40N9", "40N⁹"), =HYPERLINK("CSG0.html#group10G0", "10G⁰"), =HYPERLINK("CSG1.html#group8A1", "8A¹"), =HYPERLINK("CSG9.html#group40O9", "40O⁹"), =HYPERLINK("CSG5.html#group20J5", "20J⁵"), =HYPERLINK("CSG3.html#group40H3", "40H³"), =HYPERLINK("CSG0.html#group8D0", "8D⁰"), =HYPERLINK("CSG9.html#group40F9", "40F⁹"), =HYPERLINK("CSG0.html#group4C0", "4C⁰"), =HYPERLINK("CSG0.html#group5B0", "5B⁰"), =HYPERLINK("CSG5.html#group40C5", "40C⁵"), =HYPERLINK("CSG5.html#group40B5", "40B⁵"), =HYPERLINK("CSG0.html#group2B0", "2B⁰"), =HYPERLINK("CSG3.html#group20K3", "20K³"), =HYPERLINK("CSG0.html#group1A0", "1A⁰"), =HYPERLINK("CSG9.html#group40M9", "40M⁹"), =HYPERLINK("CSG1.html#group20B1", "20B¹"), =HYPERLINK("CSG9.html#group40P9", "40P⁹"), =HYPERLINK("CSG0.html#group10B0", "10B⁰"), =HYPERLINK("CSG0.html#group20A0", "20A⁰"), =HYPERLINK("CSG1.html#group8C1", "8C¹"), =HYPERLINK("CSG1.html#group20I1", "20I¹"), =HYPERLINK("CSG0.html#group4A0", "4A⁰"), =HYPERLINK("CSG1.html#group20G1", "20G¹"), =HYPERLINK("CSG0.html#group10C0", "10C⁰"), =HYPERLINK("CSG5.html#group40N5", "40N⁵"), =HYPERLINK("CSG0.html#group4F0", "4F⁰"), =HYPERLINK("CSG3.html#group20L3", "20L³"), =HYPERLINK("CSG3.html#group40G3", "40G³")</f>
        <v/>
      </c>
      <c r="N4768" t="inlineStr"/>
    </row>
    <row r="4769">
      <c r="A4769" t="inlineStr">
        <is>
          <t>40AA¹⁷</t>
        </is>
      </c>
      <c r="B4769" t="inlineStr"/>
      <c r="C4769" t="inlineStr">
        <is>
          <t>288</t>
        </is>
      </c>
      <c r="D4769" t="inlineStr">
        <is>
          <t>1</t>
        </is>
      </c>
      <c r="E4769" t="inlineStr">
        <is>
          <t>36</t>
        </is>
      </c>
      <c r="F4769" t="inlineStr">
        <is>
          <t>0</t>
        </is>
      </c>
      <c r="G4769" t="inlineStr">
        <is>
          <t>0</t>
        </is>
      </c>
      <c r="H4769" t="inlineStr">
        <is>
          <t>4⁴, 8⁴, 20⁴, 40⁴</t>
        </is>
      </c>
      <c r="I4769" t="n">
        <v>16</v>
      </c>
      <c r="J4769" t="inlineStr">
        <is>
          <t>1⁴, 2⁴, 4², 8²</t>
        </is>
      </c>
      <c r="K4769">
        <f>HYPERLINK("CSG7.html#group20M7", "20M⁷"), =HYPERLINK("CSG7.html#group40N7", "40N⁷"), =HYPERLINK("CSG7.html#group40Q7", "40Q⁷"), =HYPERLINK("CSG7.html#group40S7", "40S⁷"), =HYPERLINK("CSG9.html#group40H9", "40H⁹"), =HYPERLINK("CSG9.html#group40O9", "40O⁹"), =HYPERLINK("CSG9.html#group40N9", "40N⁹")</f>
        <v/>
      </c>
      <c r="L4769" t="inlineStr"/>
      <c r="M4769">
        <f>HYPERLINK("CSG1.html#group20E1", "20E¹"), =HYPERLINK("CSG3.html#group40D3", "40D³"), =HYPERLINK("CSG7.html#group20M7", "20M⁷"), =HYPERLINK("CSG7.html#group40Q7", "40Q⁷"), =HYPERLINK("CSG9.html#group40N9", "40N⁹"), =HYPERLINK("CSG9.html#group40O9", "40O⁹"), =HYPERLINK("CSG3.html#group40H3", "40H³"), =HYPERLINK("CSG0.html#group8D0", "8D⁰"), =HYPERLINK("CSG9.html#group40H9", "40H⁹"), =HYPERLINK("CSG3.html#group20G3", "20G³"), =HYPERLINK("CSG0.html#group4C0", "4C⁰"), =HYPERLINK("CSG0.html#group5B0", "5B⁰"), =HYPERLINK("CSG0.html#group8B0", "8B⁰"), =HYPERLINK("CSG0.html#group5D0", "5D⁰"), =HYPERLINK("CSG0.html#group2B0", "2B⁰"), =HYPERLINK("CSG5.html#group40B5", "40B⁵"), =HYPERLINK("CSG3.html#group20K3", "20K³"), =HYPERLINK("CSG0.html#group1A0", "1A⁰"), =HYPERLINK("CSG3.html#group20B3", "20B³"), =HYPERLINK("CSG0.html#group10F0", "10F⁰"), =HYPERLINK("CSG7.html#group40S7", "40S⁷"), =HYPERLINK("CSG1.html#group20B1", "20B¹"), =HYPERLINK("CSG7.html#group40N7", "40N⁷"), =HYPERLINK("CSG0.html#group8H0", "8H⁰"), =HYPERLINK("CSG0.html#group4A0", "4A⁰"), =HYPERLINK("CSG0.html#group10C0", "10C⁰"), =HYPERLINK("CSG0.html#group4F0", "4F⁰"), =HYPERLINK("CSG3.html#group20L3", "20L³"), =HYPERLINK("CSG2.html#group20C2", "20C²"), =HYPERLINK("CSG3.html#group40G3", "40G³")</f>
        <v/>
      </c>
      <c r="N4769" t="inlineStr"/>
    </row>
    <row r="4770">
      <c r="A4770" t="inlineStr">
        <is>
          <t>40AB¹⁷</t>
        </is>
      </c>
      <c r="B4770" t="inlineStr"/>
      <c r="C4770" t="inlineStr">
        <is>
          <t>288</t>
        </is>
      </c>
      <c r="D4770" t="inlineStr">
        <is>
          <t>1</t>
        </is>
      </c>
      <c r="E4770" t="inlineStr">
        <is>
          <t>36</t>
        </is>
      </c>
      <c r="F4770" t="inlineStr">
        <is>
          <t>0</t>
        </is>
      </c>
      <c r="G4770" t="inlineStr">
        <is>
          <t>0</t>
        </is>
      </c>
      <c r="H4770" t="inlineStr">
        <is>
          <t>4⁴, 8⁴, 20⁴, 40⁴</t>
        </is>
      </c>
      <c r="I4770" t="n">
        <v>16</v>
      </c>
      <c r="J4770" t="inlineStr">
        <is>
          <t>1⁴, 2⁴, 4², 8²</t>
        </is>
      </c>
      <c r="K4770">
        <f>HYPERLINK("CSG7.html#group20M7", "20M⁷"), =HYPERLINK("CSG7.html#group40N7", "40N⁷"), =HYPERLINK("CSG7.html#group40R7", "40R⁷"), =HYPERLINK("CSG7.html#group40P7", "40P⁷"), =HYPERLINK("CSG9.html#group40G9", "40G⁹"), =HYPERLINK("CSG9.html#group40M9", "40M⁹"), =HYPERLINK("CSG9.html#group40P9", "40P⁹")</f>
        <v/>
      </c>
      <c r="L4770" t="inlineStr"/>
      <c r="M4770">
        <f>HYPERLINK("CSG1.html#group20E1", "20E¹"), =HYPERLINK("CSG7.html#group20M7", "20M⁷"), =HYPERLINK("CSG1.html#group8A1", "8A¹"), =HYPERLINK("CSG3.html#group40H3", "40H³"), =HYPERLINK("CSG0.html#group8D0", "8D⁰"), =HYPERLINK("CSG3.html#group20G3", "20G³"), =HYPERLINK("CSG0.html#group4C0", "4C⁰"), =HYPERLINK("CSG0.html#group5B0", "5B⁰"), =HYPERLINK("CSG5.html#group40C5", "40C⁵"), =HYPERLINK("CSG0.html#group5D0", "5D⁰"), =HYPERLINK("CSG0.html#group2B0", "2B⁰"), =HYPERLINK("CSG3.html#group20K3", "20K³"), =HYPERLINK("CSG0.html#group1A0", "1A⁰"), =HYPERLINK("CSG3.html#group20B3", "20B³"), =HYPERLINK("CSG9.html#group40M9", "40M⁹"), =HYPERLINK("CSG7.html#group40P7", "40P⁷"), =HYPERLINK("CSG9.html#group40P9", "40P⁹"), =HYPERLINK("CSG0.html#group10F0", "10F⁰"), =HYPERLINK("CSG7.html#group40N7", "40N⁷"), =HYPERLINK("CSG1.html#group20B1", "20B¹"), =HYPERLINK("CSG3.html#group40C3", "40C³"), =HYPERLINK("CSG1.html#group8C1", "8C¹"), =HYPERLINK("CSG0.html#group4A0", "4A⁰"), =HYPERLINK("CSG0.html#group10C0", "10C⁰"), =HYPERLINK("CSG7.html#group40R7", "40R⁷"), =HYPERLINK("CSG0.html#group4F0", "4F⁰"), =HYPERLINK("CSG3.html#group20L3", "20L³"), =HYPERLINK("CSG2.html#group20C2", "20C²"), =HYPERLINK("CSG9.html#group40G9", "40G⁹"), =HYPERLINK("CSG3.html#group40G3", "40G³")</f>
        <v/>
      </c>
      <c r="N4770" t="inlineStr"/>
    </row>
    <row r="4771">
      <c r="A4771" t="inlineStr">
        <is>
          <t>40AC¹⁷</t>
        </is>
      </c>
      <c r="B4771" t="inlineStr"/>
      <c r="C4771" t="inlineStr">
        <is>
          <t>288</t>
        </is>
      </c>
      <c r="D4771" t="inlineStr">
        <is>
          <t>1</t>
        </is>
      </c>
      <c r="E4771" t="inlineStr">
        <is>
          <t>36</t>
        </is>
      </c>
      <c r="F4771" t="inlineStr">
        <is>
          <t>0</t>
        </is>
      </c>
      <c r="G4771" t="inlineStr">
        <is>
          <t>0</t>
        </is>
      </c>
      <c r="H4771" t="inlineStr">
        <is>
          <t>4⁴, 8⁴, 20⁴, 40⁴</t>
        </is>
      </c>
      <c r="I4771" t="n">
        <v>16</v>
      </c>
      <c r="J4771" t="inlineStr">
        <is>
          <t>1⁸, 2², 4⁴, 8¹</t>
        </is>
      </c>
      <c r="K4771">
        <f>HYPERLINK("CSG3.html#group20T3", "20T³"), =HYPERLINK("CSG7.html#group40T7", "40T⁷"), =HYPERLINK("CSG9.html#group40F9", "40F⁹")</f>
        <v/>
      </c>
      <c r="L4771" t="inlineStr"/>
      <c r="M4771">
        <f>HYPERLINK("CSG1.html#group20E1", "20E¹"), =HYPERLINK("CSG0.html#group10G0", "10G⁰"), =HYPERLINK("CSG1.html#group8A1", "8A¹"), =HYPERLINK("CSG7.html#group40T7", "40T⁷"), =HYPERLINK("CSG9.html#group40F9", "40F⁹"), =HYPERLINK("CSG0.html#group4C0", "4C⁰"), =HYPERLINK("CSG0.html#group5B0", "5B⁰"), =HYPERLINK("CSG5.html#group40C5", "40C⁵"), =HYPERLINK("CSG0.html#group2B0", "2B⁰"), =HYPERLINK("CSG5.html#group40B5", "40B⁵"), =HYPERLINK("CSG0.html#group1A0", "1A⁰"), =HYPERLINK("CSG3.html#group20T3", "20T³"), =HYPERLINK("CSG0.html#group10B0", "10B⁰"), =HYPERLINK("CSG0.html#group20A0", "20A⁰"), =HYPERLINK("CSG1.html#group20I1", "20I¹"), =HYPERLINK("CSG0.html#group10C0", "10C⁰")</f>
        <v/>
      </c>
      <c r="N4771" t="inlineStr"/>
    </row>
    <row r="4772">
      <c r="A4772" t="inlineStr">
        <is>
          <t>40AD¹⁷</t>
        </is>
      </c>
      <c r="B4772" t="inlineStr"/>
      <c r="C4772" t="inlineStr">
        <is>
          <t>288</t>
        </is>
      </c>
      <c r="D4772" t="inlineStr">
        <is>
          <t>1</t>
        </is>
      </c>
      <c r="E4772" t="inlineStr">
        <is>
          <t>36</t>
        </is>
      </c>
      <c r="F4772" t="inlineStr">
        <is>
          <t>0</t>
        </is>
      </c>
      <c r="G4772" t="inlineStr">
        <is>
          <t>0</t>
        </is>
      </c>
      <c r="H4772" t="inlineStr">
        <is>
          <t>4⁴, 8⁴, 20⁴, 40⁴</t>
        </is>
      </c>
      <c r="I4772" t="n">
        <v>16</v>
      </c>
      <c r="J4772" t="inlineStr">
        <is>
          <t>1⁸, 2², 4⁴, 8¹</t>
        </is>
      </c>
      <c r="K4772">
        <f>HYPERLINK("CSG7.html#group40W7", "40W⁷"), =HYPERLINK("CSG7.html#group40AA7", "40AA⁷"), =HYPERLINK("CSG9.html#group40J9", "40J⁹")</f>
        <v/>
      </c>
      <c r="L4772" t="inlineStr"/>
      <c r="M4772">
        <f>HYPERLINK("CSG1.html#group20E1", "20E¹"), =HYPERLINK("CSG0.html#group2A0", "2A⁰"), =HYPERLINK("CSG3.html#group40D3", "40D³"), =HYPERLINK("CSG1.html#group8A1", "8A¹"), =HYPERLINK("CSG7.html#group40W7", "40W⁷"), =HYPERLINK("CSG0.html#group4C0", "4C⁰"), =HYPERLINK("CSG0.html#group5B0", "5B⁰"), =HYPERLINK("CSG5.html#group40C5", "40C⁵"), =HYPERLINK("CSG1.html#group10A1", "10A¹"), =HYPERLINK("CSG0.html#group8B0", "8B⁰"), =HYPERLINK("CSG9.html#group40J9", "40J⁹"), =HYPERLINK("CSG1.html#group20D1", "20D¹"), =HYPERLINK("CSG0.html#group4E0", "4E⁰"), =HYPERLINK("CSG0.html#group2B0", "2B⁰"), =HYPERLINK("CSG0.html#group4B0", "4B⁰"), =HYPERLINK("CSG1.html#group8B1", "8B¹"), =HYPERLINK("CSG0.html#group1A0", "1A⁰"), =HYPERLINK("CSG7.html#group40AA7", "40AA⁷"), =HYPERLINK("CSG0.html#group10C0", "10C⁰"), =HYPERLINK("CSG3.html#group20J3", "20J³"), =HYPERLINK("CSG0.html#group2C0", "2C⁰"), =HYPERLINK("CSG1.html#group10G1", "10G¹")</f>
        <v/>
      </c>
      <c r="N4772" t="inlineStr"/>
    </row>
    <row r="4773">
      <c r="A4773" t="inlineStr">
        <is>
          <t>40AE¹⁷</t>
        </is>
      </c>
      <c r="B4773" t="inlineStr"/>
      <c r="C4773" t="inlineStr">
        <is>
          <t>288</t>
        </is>
      </c>
      <c r="D4773" t="inlineStr">
        <is>
          <t>1</t>
        </is>
      </c>
      <c r="E4773" t="inlineStr">
        <is>
          <t>36</t>
        </is>
      </c>
      <c r="F4773" t="inlineStr">
        <is>
          <t>0</t>
        </is>
      </c>
      <c r="G4773" t="inlineStr">
        <is>
          <t>0</t>
        </is>
      </c>
      <c r="H4773" t="inlineStr">
        <is>
          <t>4⁴, 8⁴, 20⁴, 40⁴</t>
        </is>
      </c>
      <c r="I4773" t="n">
        <v>16</v>
      </c>
      <c r="J4773" t="inlineStr">
        <is>
          <t>1⁸, 2², 4⁴, 8¹</t>
        </is>
      </c>
      <c r="K4773">
        <f>HYPERLINK("CSG1.html#group8G1", "8G¹"), =HYPERLINK("CSG7.html#group40X7", "40X⁷"), =HYPERLINK("CSG7.html#group40AB7", "40AB⁷"), =HYPERLINK("CSG9.html#group40J9", "40J⁹")</f>
        <v/>
      </c>
      <c r="L4773" t="inlineStr"/>
      <c r="M4773">
        <f>HYPERLINK("CSG0.html#group2A0", "2A⁰"), =HYPERLINK("CSG1.html#group20E1", "20E¹"), =HYPERLINK("CSG3.html#group40D3", "40D³"), =HYPERLINK("CSG1.html#group8A1", "8A¹"), =HYPERLINK("CSG0.html#group4C0", "4C⁰"), =HYPERLINK("CSG7.html#group40X7", "40X⁷"), =HYPERLINK("CSG0.html#group5B0", "5B⁰"), =HYPERLINK("CSG1.html#group10A1", "10A¹"), =HYPERLINK("CSG5.html#group40C5", "40C⁵"), =HYPERLINK("CSG9.html#group40J9", "40J⁹"), =HYPERLINK("CSG0.html#group2B0", "2B⁰"), =HYPERLINK("CSG0.html#group4E0", "4E⁰"), =HYPERLINK("CSG1.html#group20D1", "20D¹"), =HYPERLINK("CSG0.html#group4B0", "4B⁰"), =HYPERLINK("CSG0.html#group8J0", "8J⁰"), =HYPERLINK("CSG0.html#group1A0", "1A⁰"), =HYPERLINK("CSG1.html#group8B1", "8B¹"), =HYPERLINK("CSG0.html#group8L0", "8L⁰"), =HYPERLINK("CSG0.html#group8B0", "8B⁰"), =HYPERLINK("CSG1.html#group8G1", "8G¹"), =HYPERLINK("CSG0.html#group10C0", "10C⁰"), =HYPERLINK("CSG3.html#group20J3", "20J³"), =HYPERLINK("CSG0.html#group2C0", "2C⁰"), =HYPERLINK("CSG7.html#group40AB7", "40AB⁷"), =HYPERLINK("CSG1.html#group10G1", "10G¹")</f>
        <v/>
      </c>
      <c r="N4773" t="inlineStr"/>
    </row>
    <row r="4774">
      <c r="A4774" t="inlineStr">
        <is>
          <t>40AF¹⁷</t>
        </is>
      </c>
      <c r="B4774" t="inlineStr"/>
      <c r="C4774" t="inlineStr">
        <is>
          <t>288</t>
        </is>
      </c>
      <c r="D4774" t="inlineStr">
        <is>
          <t>1</t>
        </is>
      </c>
      <c r="E4774" t="inlineStr">
        <is>
          <t>72</t>
        </is>
      </c>
      <c r="F4774" t="inlineStr">
        <is>
          <t>0</t>
        </is>
      </c>
      <c r="G4774" t="inlineStr">
        <is>
          <t>0</t>
        </is>
      </c>
      <c r="H4774" t="inlineStr">
        <is>
          <t>4⁴, 8⁴, 20⁴, 40⁴</t>
        </is>
      </c>
      <c r="I4774" t="n">
        <v>16</v>
      </c>
      <c r="J4774" t="inlineStr">
        <is>
          <t>1⁸, 2⁴, 4⁶, 8², 16¹</t>
        </is>
      </c>
      <c r="K4774">
        <f>HYPERLINK("CSG9.html#group40G9", "40G⁹")</f>
        <v/>
      </c>
      <c r="L4774" t="inlineStr"/>
      <c r="M4774">
        <f>HYPERLINK("CSG3.html#group40C3", "40C³"), =HYPERLINK("CSG1.html#group20E1", "20E¹"), =HYPERLINK("CSG1.html#group8A1", "8A¹"), =HYPERLINK("CSG3.html#group20G3", "20G³"), =HYPERLINK("CSG0.html#group4C0", "4C⁰"), =HYPERLINK("CSG5.html#group40C5", "40C⁵"), =HYPERLINK("CSG0.html#group5B0", "5B⁰"), =HYPERLINK("CSG0.html#group10C0", "10C⁰"), =HYPERLINK("CSG0.html#group5D0", "5D⁰"), =HYPERLINK("CSG0.html#group2B0", "2B⁰"), =HYPERLINK("CSG0.html#group10F0", "10F⁰"), =HYPERLINK("CSG0.html#group1A0", "1A⁰"), =HYPERLINK("CSG2.html#group20C2", "20C²"), =HYPERLINK("CSG9.html#group40G9", "40G⁹")</f>
        <v/>
      </c>
      <c r="N4774" t="inlineStr"/>
    </row>
    <row r="4775">
      <c r="A4775" t="inlineStr">
        <is>
          <t>40AG¹⁷</t>
        </is>
      </c>
      <c r="B4775" t="inlineStr"/>
      <c r="C4775" t="inlineStr">
        <is>
          <t>288</t>
        </is>
      </c>
      <c r="D4775" t="inlineStr">
        <is>
          <t>1</t>
        </is>
      </c>
      <c r="E4775" t="inlineStr">
        <is>
          <t>72</t>
        </is>
      </c>
      <c r="F4775" t="inlineStr">
        <is>
          <t>0</t>
        </is>
      </c>
      <c r="G4775" t="inlineStr">
        <is>
          <t>0</t>
        </is>
      </c>
      <c r="H4775" t="inlineStr">
        <is>
          <t>4⁴, 8⁴, 20⁴, 40⁴</t>
        </is>
      </c>
      <c r="I4775" t="n">
        <v>16</v>
      </c>
      <c r="J4775" t="inlineStr">
        <is>
          <t>1⁸, 2⁴, 4⁶, 8², 16¹</t>
        </is>
      </c>
      <c r="K4775">
        <f>HYPERLINK("CSG7.html#group40AA7", "40AA⁷"), =HYPERLINK("CSG7.html#group40AB7", "40AB⁷"), =HYPERLINK("CSG9.html#group40H9", "40H⁹")</f>
        <v/>
      </c>
      <c r="L4775" t="inlineStr"/>
      <c r="M4775">
        <f>HYPERLINK("CSG1.html#group20E1", "20E¹"), =HYPERLINK("CSG9.html#group40H9", "40H⁹"), =HYPERLINK("CSG0.html#group4C0", "4C⁰"), =HYPERLINK("CSG3.html#group20G3", "20G³"), =HYPERLINK("CSG0.html#group8B0", "8B⁰"), =HYPERLINK("CSG0.html#group5B0", "5B⁰"), =HYPERLINK("CSG0.html#group5D0", "5D⁰"), =HYPERLINK("CSG0.html#group8L0", "8L⁰"), =HYPERLINK("CSG0.html#group2B0", "2B⁰"), =HYPERLINK("CSG5.html#group40B5", "40B⁵"), =HYPERLINK("CSG0.html#group1A0", "1A⁰"), =HYPERLINK("CSG2.html#group20C2", "20C²"), =HYPERLINK("CSG0.html#group10F0", "10F⁰"), =HYPERLINK("CSG7.html#group40AA7", "40AA⁷"), =HYPERLINK("CSG0.html#group10C0", "10C⁰"), =HYPERLINK("CSG3.html#group40D3", "40D³"), =HYPERLINK("CSG7.html#group40AB7", "40AB⁷")</f>
        <v/>
      </c>
      <c r="N4775" t="inlineStr"/>
    </row>
    <row r="4776">
      <c r="A4776" t="inlineStr">
        <is>
          <t>40AH¹⁷</t>
        </is>
      </c>
      <c r="B4776" t="inlineStr"/>
      <c r="C4776" t="inlineStr">
        <is>
          <t>288</t>
        </is>
      </c>
      <c r="D4776" t="inlineStr">
        <is>
          <t>1</t>
        </is>
      </c>
      <c r="E4776" t="inlineStr">
        <is>
          <t>72</t>
        </is>
      </c>
      <c r="F4776" t="inlineStr">
        <is>
          <t>0</t>
        </is>
      </c>
      <c r="G4776" t="inlineStr">
        <is>
          <t>0</t>
        </is>
      </c>
      <c r="H4776" t="inlineStr">
        <is>
          <t>4⁴, 8⁴, 20⁴, 40⁴</t>
        </is>
      </c>
      <c r="I4776" t="n">
        <v>16</v>
      </c>
      <c r="J4776" t="inlineStr">
        <is>
          <t>1¹⁶, 2⁴, 4⁸, 8²</t>
        </is>
      </c>
      <c r="K4776">
        <f>HYPERLINK("CSG7.html#group40W7", "40W⁷"), =HYPERLINK("CSG7.html#group40X7", "40X⁷"), =HYPERLINK("CSG9.html#group40I9", "40I⁹")</f>
        <v/>
      </c>
      <c r="L4776" t="inlineStr"/>
      <c r="M4776">
        <f>HYPERLINK("CSG0.html#group2A0", "2A⁰"), =HYPERLINK("CSG1.html#group20E1", "20E¹"), =HYPERLINK("CSG7.html#group40W7", "40W⁷"), =HYPERLINK("CSG0.html#group4C0", "4C⁰"), =HYPERLINK("CSG7.html#group40X7", "40X⁷"), =HYPERLINK("CSG0.html#group5B0", "5B⁰"), =HYPERLINK("CSG1.html#group10A1", "10A¹"), =HYPERLINK("CSG0.html#group2B0", "2B⁰"), =HYPERLINK("CSG9.html#group40I9", "40I⁹"), =HYPERLINK("CSG0.html#group4E0", "4E⁰"), =HYPERLINK("CSG1.html#group20D1", "20D¹"), =HYPERLINK("CSG0.html#group4B0", "4B⁰"), =HYPERLINK("CSG0.html#group8J0", "8J⁰"), =HYPERLINK("CSG0.html#group1A0", "1A⁰"), =HYPERLINK("CSG5.html#group40B5", "40B⁵"), =HYPERLINK("CSG3.html#group40C3", "40C³"), =HYPERLINK("CSG0.html#group10C0", "10C⁰"), =HYPERLINK("CSG3.html#group20J3", "20J³"), =HYPERLINK("CSG0.html#group2C0", "2C⁰"), =HYPERLINK("CSG1.html#group10G1", "10G¹")</f>
        <v/>
      </c>
      <c r="N4776" t="inlineStr"/>
    </row>
    <row r="4777">
      <c r="A4777" t="inlineStr">
        <is>
          <t>40AI¹⁷</t>
        </is>
      </c>
      <c r="B4777" t="inlineStr"/>
      <c r="C4777" t="inlineStr">
        <is>
          <t>288</t>
        </is>
      </c>
      <c r="D4777" t="inlineStr">
        <is>
          <t>1</t>
        </is>
      </c>
      <c r="E4777" t="inlineStr">
        <is>
          <t>72</t>
        </is>
      </c>
      <c r="F4777" t="inlineStr">
        <is>
          <t>8</t>
        </is>
      </c>
      <c r="G4777" t="inlineStr">
        <is>
          <t>0</t>
        </is>
      </c>
      <c r="H4777" t="inlineStr">
        <is>
          <t>8⁶, 40⁶</t>
        </is>
      </c>
      <c r="I4777" t="n">
        <v>12</v>
      </c>
      <c r="J4777" t="inlineStr">
        <is>
          <t>2⁴, 4⁴, 8², 16²</t>
        </is>
      </c>
      <c r="K4777">
        <f>HYPERLINK("CSG5.html#group20J5", "20J⁵"), =HYPERLINK("CSG5.html#group40G5", "40G⁵"), =HYPERLINK("CSG5.html#group40H5", "40H⁵")</f>
        <v/>
      </c>
      <c r="L4777" t="inlineStr"/>
      <c r="M4777">
        <f>HYPERLINK("CSG1.html#group20E1", "20E¹"), =HYPERLINK("CSG0.html#group10G0", "10G⁰"), =HYPERLINK("CSG5.html#group40G5", "40G⁵"), =HYPERLINK("CSG5.html#group20J5", "20J⁵"), =HYPERLINK("CSG0.html#group4C0", "4C⁰"), =HYPERLINK("CSG0.html#group5B0", "5B⁰"), =HYPERLINK("CSG0.html#group2B0", "2B⁰"), =HYPERLINK("CSG3.html#group20K3", "20K³"), =HYPERLINK("CSG0.html#group1A0", "1A⁰"), =HYPERLINK("CSG1.html#group20B1", "20B¹"), =HYPERLINK("CSG0.html#group10B0", "10B⁰"), =HYPERLINK("CSG0.html#group20A0", "20A⁰"), =HYPERLINK("CSG5.html#group40H5", "40H⁵"), =HYPERLINK("CSG1.html#group20I1", "20I¹"), =HYPERLINK("CSG0.html#group4A0", "4A⁰"), =HYPERLINK("CSG1.html#group20G1", "20G¹"), =HYPERLINK("CSG0.html#group10C0", "10C⁰"), =HYPERLINK("CSG0.html#group4F0", "4F⁰"), =HYPERLINK("CSG3.html#group20L3", "20L³")</f>
        <v/>
      </c>
      <c r="N4777" t="inlineStr"/>
    </row>
    <row r="4778">
      <c r="A4778" t="inlineStr">
        <is>
          <t>40AJ¹⁷</t>
        </is>
      </c>
      <c r="B4778" t="inlineStr"/>
      <c r="C4778" t="inlineStr">
        <is>
          <t>288</t>
        </is>
      </c>
      <c r="D4778" t="inlineStr">
        <is>
          <t>1</t>
        </is>
      </c>
      <c r="E4778" t="inlineStr">
        <is>
          <t>72</t>
        </is>
      </c>
      <c r="F4778" t="inlineStr">
        <is>
          <t>8</t>
        </is>
      </c>
      <c r="G4778" t="inlineStr">
        <is>
          <t>0</t>
        </is>
      </c>
      <c r="H4778" t="inlineStr">
        <is>
          <t>8⁶, 40⁶</t>
        </is>
      </c>
      <c r="I4778" t="n">
        <v>12</v>
      </c>
      <c r="J4778" t="inlineStr">
        <is>
          <t>2⁴, 4⁴, 8², 16²</t>
        </is>
      </c>
      <c r="K4778">
        <f>HYPERLINK("CSG7.html#group40R7", "40R⁷"), =HYPERLINK("CSG7.html#group40Y7", "40Y⁷"), =HYPERLINK("CSG9.html#group40R9", "40R⁹")</f>
        <v/>
      </c>
      <c r="L4778" t="inlineStr"/>
      <c r="M4778">
        <f>HYPERLINK("CSG1.html#group20E1", "20E¹"), =HYPERLINK("CSG0.html#group4C0", "4C⁰"), =HYPERLINK("CSG0.html#group5B0", "5B⁰"), =HYPERLINK("CSG0.html#group8A0", "8A⁰"), =HYPERLINK("CSG0.html#group2B0", "2B⁰"), =HYPERLINK("CSG0.html#group1A0", "1A⁰"), =HYPERLINK("CSG1.html#group8D1", "8D¹"), =HYPERLINK("CSG1.html#group20B1", "20B¹"), =HYPERLINK("CSG3.html#group40C3", "40C³"), =HYPERLINK("CSG0.html#group4A0", "4A⁰"), =HYPERLINK("CSG3.html#group40B3", "40B³"), =HYPERLINK("CSG0.html#group10C0", "10C⁰"), =HYPERLINK("CSG7.html#group40R7", "40R⁷"), =HYPERLINK("CSG7.html#group40Y7", "40Y⁷"), =HYPERLINK("CSG0.html#group4F0", "4F⁰"), =HYPERLINK("CSG9.html#group40R9", "40R⁹"), =HYPERLINK("CSG3.html#group20L3", "20L³"), =HYPERLINK("CSG3.html#group40G3", "40G³")</f>
        <v/>
      </c>
      <c r="N4778" t="inlineStr"/>
    </row>
    <row r="4779">
      <c r="A4779" t="inlineStr">
        <is>
          <t>40AK¹⁷</t>
        </is>
      </c>
      <c r="B4779" t="inlineStr"/>
      <c r="C4779" t="inlineStr">
        <is>
          <t>288</t>
        </is>
      </c>
      <c r="D4779" t="inlineStr">
        <is>
          <t>1</t>
        </is>
      </c>
      <c r="E4779" t="inlineStr">
        <is>
          <t>72</t>
        </is>
      </c>
      <c r="F4779" t="inlineStr">
        <is>
          <t>8</t>
        </is>
      </c>
      <c r="G4779" t="inlineStr">
        <is>
          <t>0</t>
        </is>
      </c>
      <c r="H4779" t="inlineStr">
        <is>
          <t>8⁶, 40⁶</t>
        </is>
      </c>
      <c r="I4779" t="n">
        <v>12</v>
      </c>
      <c r="J4779" t="inlineStr">
        <is>
          <t>2⁴, 4⁴, 8², 16²</t>
        </is>
      </c>
      <c r="K4779">
        <f>HYPERLINK("CSG7.html#group40R7", "40R⁷"), =HYPERLINK("CSG7.html#group40Z7", "40Z⁷"), =HYPERLINK("CSG9.html#group40Q9", "40Q⁹")</f>
        <v/>
      </c>
      <c r="L4779" t="inlineStr"/>
      <c r="M4779">
        <f>HYPERLINK("CSG1.html#group20E1", "20E¹"), =HYPERLINK("CSG3.html#group40A3", "40A³"), =HYPERLINK("CSG0.html#group4C0", "4C⁰"), =HYPERLINK("CSG0.html#group5B0", "5B⁰"), =HYPERLINK("CSG0.html#group2B0", "2B⁰"), =HYPERLINK("CSG0.html#group8K0", "8K⁰"), =HYPERLINK("CSG0.html#group1A0", "1A⁰"), =HYPERLINK("CSG1.html#group20B1", "20B¹"), =HYPERLINK("CSG3.html#group40C3", "40C³"), =HYPERLINK("CSG0.html#group4A0", "4A⁰"), =HYPERLINK("CSG9.html#group40Q9", "40Q⁹"), =HYPERLINK("CSG0.html#group10C0", "10C⁰"), =HYPERLINK("CSG7.html#group40R7", "40R⁷"), =HYPERLINK("CSG0.html#group4F0", "4F⁰"), =HYPERLINK("CSG7.html#group40Z7", "40Z⁷"), =HYPERLINK("CSG3.html#group20L3", "20L³"), =HYPERLINK("CSG3.html#group40G3", "40G³")</f>
        <v/>
      </c>
      <c r="N4779" t="inlineStr"/>
    </row>
    <row r="4780">
      <c r="A4780" t="inlineStr">
        <is>
          <t>40AL¹⁷</t>
        </is>
      </c>
      <c r="B4780" t="inlineStr"/>
      <c r="C4780" t="inlineStr">
        <is>
          <t>288</t>
        </is>
      </c>
      <c r="D4780" t="inlineStr">
        <is>
          <t>1</t>
        </is>
      </c>
      <c r="E4780" t="inlineStr">
        <is>
          <t>72</t>
        </is>
      </c>
      <c r="F4780" t="inlineStr">
        <is>
          <t>8</t>
        </is>
      </c>
      <c r="G4780" t="inlineStr">
        <is>
          <t>0</t>
        </is>
      </c>
      <c r="H4780" t="inlineStr">
        <is>
          <t>8⁶, 40⁶</t>
        </is>
      </c>
      <c r="I4780" t="n">
        <v>12</v>
      </c>
      <c r="J4780" t="inlineStr">
        <is>
          <t>2⁴, 4⁴, 8², 16²</t>
        </is>
      </c>
      <c r="K4780">
        <f>HYPERLINK("CSG7.html#group40S7", "40S⁷"), =HYPERLINK("CSG7.html#group40Y7", "40Y⁷"), =HYPERLINK("CSG9.html#group40Q9", "40Q⁹")</f>
        <v/>
      </c>
      <c r="L4780" t="inlineStr"/>
      <c r="M4780">
        <f>HYPERLINK("CSG1.html#group20E1", "20E¹"), =HYPERLINK("CSG3.html#group40D3", "40D³"), =HYPERLINK("CSG3.html#group40A3", "40A³"), =HYPERLINK("CSG3.html#group40H3", "40H³"), =HYPERLINK("CSG0.html#group8D0", "8D⁰"), =HYPERLINK("CSG0.html#group4C0", "4C⁰"), =HYPERLINK("CSG0.html#group5B0", "5B⁰"), =HYPERLINK("CSG0.html#group8B0", "8B⁰"), =HYPERLINK("CSG0.html#group2B0", "2B⁰"), =HYPERLINK("CSG0.html#group1A0", "1A⁰"), =HYPERLINK("CSG1.html#group20B1", "20B¹"), =HYPERLINK("CSG7.html#group40S7", "40S⁷"), =HYPERLINK("CSG0.html#group8H0", "8H⁰"), =HYPERLINK("CSG0.html#group4A0", "4A⁰"), =HYPERLINK("CSG9.html#group40Q9", "40Q⁹"), =HYPERLINK("CSG0.html#group10C0", "10C⁰"), =HYPERLINK("CSG7.html#group40Y7", "40Y⁷"), =HYPERLINK("CSG0.html#group4F0", "4F⁰"), =HYPERLINK("CSG3.html#group20L3", "20L³")</f>
        <v/>
      </c>
      <c r="N4780" t="inlineStr"/>
    </row>
    <row r="4781">
      <c r="A4781" t="inlineStr">
        <is>
          <t>40AM¹⁷</t>
        </is>
      </c>
      <c r="B4781" t="inlineStr"/>
      <c r="C4781" t="inlineStr">
        <is>
          <t>288</t>
        </is>
      </c>
      <c r="D4781" t="inlineStr">
        <is>
          <t>1</t>
        </is>
      </c>
      <c r="E4781" t="inlineStr">
        <is>
          <t>72</t>
        </is>
      </c>
      <c r="F4781" t="inlineStr">
        <is>
          <t>8</t>
        </is>
      </c>
      <c r="G4781" t="inlineStr">
        <is>
          <t>0</t>
        </is>
      </c>
      <c r="H4781" t="inlineStr">
        <is>
          <t>8⁶, 40⁶</t>
        </is>
      </c>
      <c r="I4781" t="n">
        <v>12</v>
      </c>
      <c r="J4781" t="inlineStr">
        <is>
          <t>2⁴, 4⁴, 8², 16²</t>
        </is>
      </c>
      <c r="K4781">
        <f>HYPERLINK("CSG1.html#group8H1", "8H¹"), =HYPERLINK("CSG7.html#group40S7", "40S⁷"), =HYPERLINK("CSG7.html#group40Z7", "40Z⁷"), =HYPERLINK("CSG9.html#group40R9", "40R⁹")</f>
        <v/>
      </c>
      <c r="L4781" t="inlineStr"/>
      <c r="M4781">
        <f>HYPERLINK("CSG1.html#group20E1", "20E¹"), =HYPERLINK("CSG3.html#group40D3", "40D³"), =HYPERLINK("CSG3.html#group40H3", "40H³"), =HYPERLINK("CSG0.html#group8D0", "8D⁰"), =HYPERLINK("CSG0.html#group4C0", "4C⁰"), =HYPERLINK("CSG0.html#group5B0", "5B⁰"), =HYPERLINK("CSG0.html#group8A0", "8A⁰"), =HYPERLINK("CSG0.html#group8B0", "8B⁰"), =HYPERLINK("CSG0.html#group2B0", "2B⁰"), =HYPERLINK("CSG0.html#group8K0", "8K⁰"), =HYPERLINK("CSG0.html#group1A0", "1A⁰"), =HYPERLINK("CSG1.html#group8H1", "8H¹"), =HYPERLINK("CSG1.html#group20B1", "20B¹"), =HYPERLINK("CSG7.html#group40S7", "40S⁷"), =HYPERLINK("CSG1.html#group8D1", "8D¹"), =HYPERLINK("CSG0.html#group8H0", "8H⁰"), =HYPERLINK("CSG0.html#group4A0", "4A⁰"), =HYPERLINK("CSG3.html#group40B3", "40B³"), =HYPERLINK("CSG0.html#group10C0", "10C⁰"), =HYPERLINK("CSG0.html#group4F0", "4F⁰"), =HYPERLINK("CSG7.html#group40Z7", "40Z⁷"), =HYPERLINK("CSG9.html#group40R9", "40R⁹"), =HYPERLINK("CSG3.html#group20L3", "20L³")</f>
        <v/>
      </c>
      <c r="N4781" t="inlineStr"/>
    </row>
    <row r="4782">
      <c r="A4782" t="inlineStr">
        <is>
          <t>40AN¹⁷</t>
        </is>
      </c>
      <c r="B4782" t="inlineStr"/>
      <c r="C4782" t="inlineStr">
        <is>
          <t>288</t>
        </is>
      </c>
      <c r="D4782" t="inlineStr">
        <is>
          <t>1</t>
        </is>
      </c>
      <c r="E4782" t="inlineStr">
        <is>
          <t>72</t>
        </is>
      </c>
      <c r="F4782" t="inlineStr">
        <is>
          <t>8</t>
        </is>
      </c>
      <c r="G4782" t="inlineStr">
        <is>
          <t>0</t>
        </is>
      </c>
      <c r="H4782" t="inlineStr">
        <is>
          <t>8⁶, 40⁶</t>
        </is>
      </c>
      <c r="I4782" t="n">
        <v>12</v>
      </c>
      <c r="J4782" t="inlineStr">
        <is>
          <t>2⁴, 4⁴, 8², 16²</t>
        </is>
      </c>
      <c r="K4782">
        <f>HYPERLINK("CSG5.html#group20J5", "20J⁵"), =HYPERLINK("CSG5.html#group40J5", "40J⁵"), =HYPERLINK("CSG9.html#group40Q9", "40Q⁹"), =HYPERLINK("CSG9.html#group40R9", "40R⁹")</f>
        <v/>
      </c>
      <c r="L4782" t="inlineStr"/>
      <c r="M4782">
        <f>HYPERLINK("CSG1.html#group20E1", "20E¹"), =HYPERLINK("CSG3.html#group40A3", "40A³"), =HYPERLINK("CSG0.html#group10G0", "10G⁰"), =HYPERLINK("CSG5.html#group20J5", "20J⁵"), =HYPERLINK("CSG0.html#group4C0", "4C⁰"), =HYPERLINK("CSG0.html#group5B0", "5B⁰"), =HYPERLINK("CSG0.html#group8A0", "8A⁰"), =HYPERLINK("CSG0.html#group2B0", "2B⁰"), =HYPERLINK("CSG3.html#group20K3", "20K³"), =HYPERLINK("CSG0.html#group1A0", "1A⁰"), =HYPERLINK("CSG1.html#group8D1", "8D¹"), =HYPERLINK("CSG1.html#group20B1", "20B¹"), =HYPERLINK("CSG0.html#group10B0", "10B⁰"), =HYPERLINK("CSG0.html#group20A0", "20A⁰"), =HYPERLINK("CSG1.html#group20I1", "20I¹"), =HYPERLINK("CSG0.html#group4A0", "4A⁰"), =HYPERLINK("CSG5.html#group40J5", "40J⁵"), =HYPERLINK("CSG3.html#group40B3", "40B³"), =HYPERLINK("CSG9.html#group40Q9", "40Q⁹"), =HYPERLINK("CSG1.html#group20G1", "20G¹"), =HYPERLINK("CSG0.html#group10C0", "10C⁰"), =HYPERLINK("CSG0.html#group4F0", "4F⁰"), =HYPERLINK("CSG9.html#group40R9", "40R⁹"), =HYPERLINK("CSG3.html#group20L3", "20L³")</f>
        <v/>
      </c>
      <c r="N4782" t="inlineStr"/>
    </row>
    <row r="4783">
      <c r="A4783" t="inlineStr">
        <is>
          <t>40AO¹⁷</t>
        </is>
      </c>
      <c r="B4783" t="inlineStr"/>
      <c r="C4783" t="inlineStr">
        <is>
          <t>288</t>
        </is>
      </c>
      <c r="D4783" t="inlineStr">
        <is>
          <t>1</t>
        </is>
      </c>
      <c r="E4783" t="inlineStr">
        <is>
          <t>72</t>
        </is>
      </c>
      <c r="F4783" t="inlineStr">
        <is>
          <t>8</t>
        </is>
      </c>
      <c r="G4783" t="inlineStr">
        <is>
          <t>0</t>
        </is>
      </c>
      <c r="H4783" t="inlineStr">
        <is>
          <t>8⁶, 40⁶</t>
        </is>
      </c>
      <c r="I4783" t="n">
        <v>12</v>
      </c>
      <c r="J4783" t="inlineStr">
        <is>
          <t>1⁴, 2², 4⁶, 8¹, 16²</t>
        </is>
      </c>
      <c r="K4783">
        <f>HYPERLINK("CSG7.html#group40S7", "40S⁷")</f>
        <v/>
      </c>
      <c r="L4783" t="inlineStr"/>
      <c r="M4783">
        <f>HYPERLINK("CSG1.html#group20E1", "20E¹"), =HYPERLINK("CSG3.html#group40H3", "40H³"), =HYPERLINK("CSG0.html#group8D0", "8D⁰"), =HYPERLINK("CSG0.html#group4C0", "4C⁰"), =HYPERLINK("CSG0.html#group8B0", "8B⁰"), =HYPERLINK("CSG0.html#group5B0", "5B⁰"), =HYPERLINK("CSG0.html#group2B0", "2B⁰"), =HYPERLINK("CSG0.html#group1A0", "1A⁰"), =HYPERLINK("CSG7.html#group40S7", "40S⁷"), =HYPERLINK("CSG1.html#group20B1", "20B¹"), =HYPERLINK("CSG0.html#group8H0", "8H⁰"), =HYPERLINK("CSG0.html#group4A0", "4A⁰"), =HYPERLINK("CSG0.html#group10C0", "10C⁰"), =HYPERLINK("CSG0.html#group4F0", "4F⁰"), =HYPERLINK("CSG3.html#group40D3", "40D³"), =HYPERLINK("CSG3.html#group20L3", "20L³")</f>
        <v/>
      </c>
      <c r="N4783" t="inlineStr"/>
    </row>
    <row r="4784">
      <c r="A4784" t="inlineStr">
        <is>
          <t>40AP¹⁷</t>
        </is>
      </c>
      <c r="B4784" t="inlineStr"/>
      <c r="C4784" t="inlineStr">
        <is>
          <t>288</t>
        </is>
      </c>
      <c r="D4784" t="inlineStr">
        <is>
          <t>1</t>
        </is>
      </c>
      <c r="E4784" t="inlineStr">
        <is>
          <t>72</t>
        </is>
      </c>
      <c r="F4784" t="inlineStr">
        <is>
          <t>8</t>
        </is>
      </c>
      <c r="G4784" t="inlineStr">
        <is>
          <t>0</t>
        </is>
      </c>
      <c r="H4784" t="inlineStr">
        <is>
          <t>8⁶, 40⁶</t>
        </is>
      </c>
      <c r="I4784" t="n">
        <v>12</v>
      </c>
      <c r="J4784" t="inlineStr">
        <is>
          <t>1⁴, 2², 4⁶, 8¹, 16²</t>
        </is>
      </c>
      <c r="K4784">
        <f>HYPERLINK("CSG1.html#group8I1", "8I¹"), =HYPERLINK("CSG5.html#group40I5", "40I⁵"), =HYPERLINK("CSG7.html#group40S7", "40S⁷")</f>
        <v/>
      </c>
      <c r="L4784" t="inlineStr"/>
      <c r="M4784">
        <f>HYPERLINK("CSG5.html#group40I5", "40I⁵"), =HYPERLINK("CSG1.html#group20E1", "20E¹"), =HYPERLINK("CSG3.html#group40H3", "40H³"), =HYPERLINK("CSG0.html#group8D0", "8D⁰"), =HYPERLINK("CSG0.html#group4C0", "4C⁰"), =HYPERLINK("CSG0.html#group5B0", "5B⁰"), =HYPERLINK("CSG0.html#group8B0", "8B⁰"), =HYPERLINK("CSG0.html#group2B0", "2B⁰"), =HYPERLINK("CSG0.html#group1A0", "1A⁰"), =HYPERLINK("CSG1.html#group20B1", "20B¹"), =HYPERLINK("CSG7.html#group40S7", "40S⁷"), =HYPERLINK("CSG0.html#group8H0", "8H⁰"), =HYPERLINK("CSG0.html#group8F0", "8F⁰"), =HYPERLINK("CSG0.html#group4A0", "4A⁰"), =HYPERLINK("CSG1.html#group8I1", "8I¹"), =HYPERLINK("CSG0.html#group10C0", "10C⁰"), =HYPERLINK("CSG0.html#group4F0", "4F⁰"), =HYPERLINK("CSG3.html#group40D3", "40D³"), =HYPERLINK("CSG3.html#group20L3", "20L³")</f>
        <v/>
      </c>
      <c r="N4784" t="inlineStr"/>
    </row>
    <row r="4785">
      <c r="A4785" t="inlineStr">
        <is>
          <t>40AQ¹⁷</t>
        </is>
      </c>
      <c r="B4785" t="inlineStr"/>
      <c r="C4785" t="inlineStr">
        <is>
          <t>288</t>
        </is>
      </c>
      <c r="D4785" t="inlineStr">
        <is>
          <t>2</t>
        </is>
      </c>
      <c r="E4785" t="inlineStr">
        <is>
          <t>18</t>
        </is>
      </c>
      <c r="F4785" t="inlineStr">
        <is>
          <t>0</t>
        </is>
      </c>
      <c r="G4785" t="inlineStr">
        <is>
          <t>0</t>
        </is>
      </c>
      <c r="H4785" t="inlineStr">
        <is>
          <t>4⁴, 8⁴, 20⁴, 40⁴</t>
        </is>
      </c>
      <c r="I4785" t="n">
        <v>16</v>
      </c>
      <c r="J4785" t="inlineStr">
        <is>
          <t>2⁶, 8³</t>
        </is>
      </c>
      <c r="K4785">
        <f>HYPERLINK("CSG5.html#group20K5", "20K⁵"), =HYPERLINK("CSG5.html#group40O5", "40O⁵"), =HYPERLINK("CSG9.html#group40F9", "40F⁹")</f>
        <v/>
      </c>
      <c r="L4785" t="inlineStr"/>
      <c r="M4785">
        <f>HYPERLINK("CSG1.html#group20E1", "20E¹"), =HYPERLINK("CSG1.html#group20C1", "20C¹"), =HYPERLINK("CSG3.html#group20M3", "20M³"), =HYPERLINK("CSG0.html#group10G0", "10G⁰"), =HYPERLINK("CSG1.html#group40A1", "40A¹"), =HYPERLINK("CSG1.html#group8A1", "8A¹"), =HYPERLINK("CSG5.html#group40O5", "40O⁵"), =HYPERLINK("CSG9.html#group40F9", "40F⁹"), =HYPERLINK("CSG0.html#group4C0", "4C⁰"), =HYPERLINK("CSG0.html#group5B0", "5B⁰"), =HYPERLINK("CSG5.html#group40C5", "40C⁵"), =HYPERLINK("CSG0.html#group2B0", "2B⁰"), =HYPERLINK("CSG5.html#group40B5", "40B⁵"), =HYPERLINK("CSG0.html#group1A0", "1A⁰"), =HYPERLINK("CSG1.html#group20J1", "20J¹"), =HYPERLINK("CSG0.html#group10B0", "10B⁰"), =HYPERLINK("CSG0.html#group20A0", "20A⁰"), =HYPERLINK("CSG5.html#group20K5", "20K⁵"), =HYPERLINK("CSG1.html#group20I1", "20I¹"), =HYPERLINK("CSG3.html#group40I3", "40I³"), =HYPERLINK("CSG0.html#group10C0", "10C⁰")</f>
        <v/>
      </c>
      <c r="N4785" t="inlineStr"/>
    </row>
    <row r="4786">
      <c r="A4786" t="inlineStr">
        <is>
          <t>40AR¹⁷</t>
        </is>
      </c>
      <c r="B4786" t="inlineStr"/>
      <c r="C4786" t="inlineStr">
        <is>
          <t>288</t>
        </is>
      </c>
      <c r="D4786" t="inlineStr">
        <is>
          <t>2</t>
        </is>
      </c>
      <c r="E4786" t="inlineStr">
        <is>
          <t>36</t>
        </is>
      </c>
      <c r="F4786" t="inlineStr">
        <is>
          <t>0</t>
        </is>
      </c>
      <c r="G4786" t="inlineStr">
        <is>
          <t>0</t>
        </is>
      </c>
      <c r="H4786" t="inlineStr">
        <is>
          <t>4⁴, 8⁴, 20⁴, 40⁴</t>
        </is>
      </c>
      <c r="I4786" t="n">
        <v>16</v>
      </c>
      <c r="J4786" t="inlineStr">
        <is>
          <t>2¹², 8⁶</t>
        </is>
      </c>
      <c r="K4786">
        <f>HYPERLINK("CSG7.html#group20L7", "20L⁷"), =HYPERLINK("CSG7.html#group40AC7", "40AC⁷"), =HYPERLINK("CSG9.html#group40K9", "40K⁹")</f>
        <v/>
      </c>
      <c r="L4786" t="inlineStr"/>
      <c r="M4786">
        <f>HYPERLINK("CSG0.html#group2A0", "2A⁰"), =HYPERLINK("CSG1.html#group20E1", "20E¹"), =HYPERLINK("CSG7.html#group20L7", "20L⁷"), =HYPERLINK("CSG1.html#group40A1", "40A¹"), =HYPERLINK("CSG9.html#group40K9", "40K⁹"), =HYPERLINK("CSG0.html#group4C0", "4C⁰"), =HYPERLINK("CSG7.html#group40AC7", "40AC⁷"), =HYPERLINK("CSG0.html#group5B0", "5B⁰"), =HYPERLINK("CSG1.html#group10A1", "10A¹"), =HYPERLINK("CSG0.html#group2B0", "2B⁰"), =HYPERLINK("CSG1.html#group20D1", "20D¹"), =HYPERLINK("CSG0.html#group4E0", "4E⁰"), =HYPERLINK("CSG3.html#group20K3", "20K³"), =HYPERLINK("CSG0.html#group4B0", "4B⁰"), =HYPERLINK("CSG0.html#group1A0", "1A⁰"), =HYPERLINK("CSG0.html#group20A0", "20A⁰"), =HYPERLINK("CSG3.html#group40I3", "40I³"), =HYPERLINK("CSG0.html#group10C0", "10C⁰"), =HYPERLINK("CSG3.html#group20I3", "20I³"), =HYPERLINK("CSG3.html#group20J3", "20J³"), =HYPERLINK("CSG0.html#group2C0", "2C⁰"), =HYPERLINK("CSG2.html#group20C2", "20C²"), =HYPERLINK("CSG1.html#group10G1", "10G¹")</f>
        <v/>
      </c>
      <c r="N4786" t="inlineStr"/>
    </row>
    <row r="4787">
      <c r="A4787" t="inlineStr">
        <is>
          <t>40AS¹⁷</t>
        </is>
      </c>
      <c r="B4787" t="inlineStr"/>
      <c r="C4787" t="inlineStr">
        <is>
          <t>288</t>
        </is>
      </c>
      <c r="D4787" t="inlineStr">
        <is>
          <t>2</t>
        </is>
      </c>
      <c r="E4787" t="inlineStr">
        <is>
          <t>36</t>
        </is>
      </c>
      <c r="F4787" t="inlineStr">
        <is>
          <t>0</t>
        </is>
      </c>
      <c r="G4787" t="inlineStr">
        <is>
          <t>0</t>
        </is>
      </c>
      <c r="H4787" t="inlineStr">
        <is>
          <t>4⁴, 8⁴, 20⁴, 40⁴</t>
        </is>
      </c>
      <c r="I4787" t="n">
        <v>16</v>
      </c>
      <c r="J4787" t="inlineStr">
        <is>
          <t>2¹², 8⁶</t>
        </is>
      </c>
      <c r="K4787">
        <f>HYPERLINK("CSG7.html#group20N7", "20N⁷"), =HYPERLINK("CSG7.html#group40O7", "40O⁷"), =HYPERLINK("CSG9.html#group40L9", "40L⁹")</f>
        <v/>
      </c>
      <c r="L4787" t="inlineStr"/>
      <c r="M4787">
        <f>HYPERLINK("CSG1.html#group20C1", "20C¹"), =HYPERLINK("CSG3.html#group20M3", "20M³"), =HYPERLINK("CSG0.html#group10G0", "10G⁰"), =HYPERLINK("CSG7.html#group40O7", "40O⁷"), =HYPERLINK("CSG0.html#group5B0", "5B⁰"), =HYPERLINK("CSG0.html#group2B0", "2B⁰"), =HYPERLINK("CSG1.html#group20D1", "20D¹"), =HYPERLINK("CSG0.html#group8C0", "8C⁰"), =HYPERLINK("CSG0.html#group4B0", "4B⁰"), =HYPERLINK("CSG0.html#group1A0", "1A⁰"), =HYPERLINK("CSG1.html#group20J1", "20J¹"), =HYPERLINK("CSG9.html#group40L9", "40L⁹"), =HYPERLINK("CSG3.html#group20H3", "20H³"), =HYPERLINK("CSG0.html#group10B0", "10B⁰"), =HYPERLINK("CSG3.html#group40F3", "40F³"), =HYPERLINK("CSG7.html#group20N7", "20N⁷"), =HYPERLINK("CSG0.html#group10C0", "10C⁰"), =HYPERLINK("CSG3.html#group40E3", "40E³"), =HYPERLINK("CSG2.html#group20C2", "20C²")</f>
        <v/>
      </c>
      <c r="N4787" t="inlineStr"/>
    </row>
    <row r="4788">
      <c r="A4788" t="inlineStr">
        <is>
          <t>40AT¹⁷</t>
        </is>
      </c>
      <c r="B4788" t="inlineStr"/>
      <c r="C4788" t="inlineStr">
        <is>
          <t>288</t>
        </is>
      </c>
      <c r="D4788" t="inlineStr">
        <is>
          <t>2</t>
        </is>
      </c>
      <c r="E4788" t="inlineStr">
        <is>
          <t>72</t>
        </is>
      </c>
      <c r="F4788" t="inlineStr">
        <is>
          <t>8</t>
        </is>
      </c>
      <c r="G4788" t="inlineStr">
        <is>
          <t>0</t>
        </is>
      </c>
      <c r="H4788" t="inlineStr">
        <is>
          <t>8⁶, 40⁶</t>
        </is>
      </c>
      <c r="I4788" t="n">
        <v>12</v>
      </c>
      <c r="J4788" t="inlineStr">
        <is>
          <t>2⁸, 4⁸, 8⁴, 16⁴</t>
        </is>
      </c>
      <c r="K4788">
        <f>HYPERLINK("CSG7.html#group40P7", "40P⁷")</f>
        <v/>
      </c>
      <c r="L4788" t="inlineStr"/>
      <c r="M4788">
        <f>HYPERLINK("CSG3.html#group40C3", "40C³"), =HYPERLINK("CSG1.html#group20E1", "20E¹"), =HYPERLINK("CSG3.html#group40H3", "40H³"), =HYPERLINK("CSG0.html#group8D0", "8D⁰"), =HYPERLINK("CSG0.html#group4C0", "4C⁰"), =HYPERLINK("CSG0.html#group5B0", "5B⁰"), =HYPERLINK("CSG0.html#group10C0", "10C⁰"), =HYPERLINK("CSG0.html#group2B0", "2B⁰"), =HYPERLINK("CSG3.html#group20K3", "20K³"), =HYPERLINK("CSG0.html#group1A0", "1A⁰"), =HYPERLINK("CSG7.html#group40P7", "40P⁷")</f>
        <v/>
      </c>
      <c r="N4788" t="inlineStr"/>
    </row>
    <row r="4789">
      <c r="A4789" t="inlineStr">
        <is>
          <t>42A¹⁷</t>
        </is>
      </c>
      <c r="B4789" t="inlineStr"/>
      <c r="C4789" t="inlineStr">
        <is>
          <t>252</t>
        </is>
      </c>
      <c r="D4789" t="inlineStr">
        <is>
          <t>1</t>
        </is>
      </c>
      <c r="E4789" t="inlineStr">
        <is>
          <t>63</t>
        </is>
      </c>
      <c r="F4789" t="inlineStr">
        <is>
          <t>8</t>
        </is>
      </c>
      <c r="G4789" t="inlineStr">
        <is>
          <t>0</t>
        </is>
      </c>
      <c r="H4789" t="inlineStr">
        <is>
          <t>42⁶</t>
        </is>
      </c>
      <c r="I4789" t="n">
        <v>6</v>
      </c>
      <c r="J4789" t="inlineStr">
        <is>
          <t>3¹, 6⁴, 12³</t>
        </is>
      </c>
      <c r="K4789">
        <f>HYPERLINK("CSG6.html#group42D6", "42D⁶"), =HYPERLINK("CSG7.html#group21A7", "21A⁷")</f>
        <v/>
      </c>
      <c r="L4789" t="inlineStr"/>
      <c r="M4789">
        <f>HYPERLINK("CSG2.html#group42A2", "42A²"), =HYPERLINK("CSG0.html#group7D0", "7D⁰"), =HYPERLINK("CSG1.html#group21E1", "21E¹"), =HYPERLINK("CSG1.html#group7A1", "7A¹"), =HYPERLINK("CSG0.html#group21A0", "21A⁰"), =HYPERLINK("CSG6.html#group42D6", "42D⁶"), =HYPERLINK("CSG7.html#group21A7", "21A⁷"), =HYPERLINK("CSG0.html#group3A0", "3A⁰"), =HYPERLINK("CSG0.html#group1A0", "1A⁰"), =HYPERLINK("CSG0.html#group7A0", "7A⁰")</f>
        <v/>
      </c>
      <c r="N4789" t="inlineStr"/>
    </row>
    <row r="4790">
      <c r="A4790" t="inlineStr">
        <is>
          <t>42B¹⁷</t>
        </is>
      </c>
      <c r="B4790" t="inlineStr"/>
      <c r="C4790" t="inlineStr">
        <is>
          <t>252</t>
        </is>
      </c>
      <c r="D4790" t="inlineStr">
        <is>
          <t>1</t>
        </is>
      </c>
      <c r="E4790" t="inlineStr">
        <is>
          <t>63</t>
        </is>
      </c>
      <c r="F4790" t="inlineStr">
        <is>
          <t>8</t>
        </is>
      </c>
      <c r="G4790" t="inlineStr">
        <is>
          <t>0</t>
        </is>
      </c>
      <c r="H4790" t="inlineStr">
        <is>
          <t>42⁶</t>
        </is>
      </c>
      <c r="I4790" t="n">
        <v>6</v>
      </c>
      <c r="J4790" t="inlineStr">
        <is>
          <t>3¹, 6⁴, 12³</t>
        </is>
      </c>
      <c r="K4790">
        <f>HYPERLINK("CSG5.html#group42H5", "42H⁵"), =HYPERLINK("CSG7.html#group21A7", "21A⁷"), =HYPERLINK("CSG7.html#group42G7", "42G⁷")</f>
        <v/>
      </c>
      <c r="L4790" t="inlineStr"/>
      <c r="M4790">
        <f>HYPERLINK("CSG0.html#group6B0", "6B⁰"), =HYPERLINK("CSG0.html#group7D0", "7D⁰"), =HYPERLINK("CSG1.html#group21E1", "21E¹"), =HYPERLINK("CSG5.html#group42H5", "42H⁵"), =HYPERLINK("CSG7.html#group42G7", "42G⁷"), =HYPERLINK("CSG0.html#group21A0", "21A⁰"), =HYPERLINK("CSG7.html#group21A7", "21A⁷"), =HYPERLINK("CSG1.html#group7A1", "7A¹"), =HYPERLINK("CSG1.html#group42B1", "42B¹"), =HYPERLINK("CSG0.html#group3A0", "3A⁰"), =HYPERLINK("CSG0.html#group1A0", "1A⁰"), =HYPERLINK("CSG0.html#group7A0", "7A⁰")</f>
        <v/>
      </c>
      <c r="N4790" t="inlineStr"/>
    </row>
    <row r="4791">
      <c r="A4791" t="inlineStr">
        <is>
          <t>42C¹⁷</t>
        </is>
      </c>
      <c r="B4791" t="inlineStr"/>
      <c r="C4791" t="inlineStr">
        <is>
          <t>252</t>
        </is>
      </c>
      <c r="D4791" t="inlineStr">
        <is>
          <t>2</t>
        </is>
      </c>
      <c r="E4791" t="inlineStr">
        <is>
          <t>63</t>
        </is>
      </c>
      <c r="F4791" t="inlineStr">
        <is>
          <t>4</t>
        </is>
      </c>
      <c r="G4791" t="inlineStr">
        <is>
          <t>0</t>
        </is>
      </c>
      <c r="H4791" t="inlineStr">
        <is>
          <t>21⁴, 42⁴</t>
        </is>
      </c>
      <c r="I4791" t="n">
        <v>8</v>
      </c>
      <c r="J4791" t="inlineStr">
        <is>
          <t>2³, 4³, 6⁶, 12⁶</t>
        </is>
      </c>
      <c r="K4791">
        <f>HYPERLINK("CSG5.html#group21B5", "21B⁵"), =HYPERLINK("CSG7.html#group42K7", "42K⁷"), =HYPERLINK("CSG8.html#group42A8", "42A⁸"), =HYPERLINK("CSG8.html#group42C8", "42C⁸")</f>
        <v/>
      </c>
      <c r="L4791" t="inlineStr"/>
      <c r="M4791">
        <f>HYPERLINK("CSG2.html#group21D2", "21D²"), =HYPERLINK("CSG1.html#group14B1", "14B¹"), =HYPERLINK("CSG5.html#group21B5", "21B⁵"), =HYPERLINK("CSG1.html#group21D1", "21D¹"), =HYPERLINK("CSG2.html#group21C2", "21C²"), =HYPERLINK("CSG0.html#group21A0", "21A⁰"), =HYPERLINK("CSG7.html#group42K7", "42K⁷"), =HYPERLINK("CSG0.html#group6G0", "6G⁰"), =HYPERLINK("CSG0.html#group2B0", "2B⁰"), =HYPERLINK("CSG8.html#group42A8", "42A⁸"), =HYPERLINK("CSG0.html#group1A0", "1A⁰"), =HYPERLINK("CSG2.html#group14A2", "14A²"), =HYPERLINK("CSG0.html#group7C0", "7C⁰"), =HYPERLINK("CSG0.html#group3C0", "3C⁰"), =HYPERLINK("CSG8.html#group42C8", "42C⁸"), =HYPERLINK("CSG0.html#group3A0", "3A⁰"), =HYPERLINK("CSG3.html#group42C3", "42C³"), =HYPERLINK("CSG0.html#group6D0", "6D⁰"), =HYPERLINK("CSG0.html#group7A0", "7A⁰")</f>
        <v/>
      </c>
      <c r="N4791" t="inlineStr"/>
    </row>
    <row r="4792">
      <c r="A4792" t="inlineStr">
        <is>
          <t>42D¹⁷</t>
        </is>
      </c>
      <c r="B4792" t="inlineStr"/>
      <c r="C4792" t="inlineStr">
        <is>
          <t>252</t>
        </is>
      </c>
      <c r="D4792" t="inlineStr">
        <is>
          <t>2</t>
        </is>
      </c>
      <c r="E4792" t="inlineStr">
        <is>
          <t>63</t>
        </is>
      </c>
      <c r="F4792" t="inlineStr">
        <is>
          <t>8</t>
        </is>
      </c>
      <c r="G4792" t="inlineStr">
        <is>
          <t>0</t>
        </is>
      </c>
      <c r="H4792" t="inlineStr">
        <is>
          <t>42⁶</t>
        </is>
      </c>
      <c r="I4792" t="n">
        <v>6</v>
      </c>
      <c r="J4792" t="inlineStr">
        <is>
          <t>6⁷, 12⁷</t>
        </is>
      </c>
      <c r="K4792">
        <f>HYPERLINK("CSG5.html#group21D5", "21D⁵"), =HYPERLINK("CSG7.html#group42G7", "42G⁷"), =HYPERLINK("CSG7.html#group42H7", "42H⁷")</f>
        <v/>
      </c>
      <c r="L4792" t="inlineStr"/>
      <c r="M4792">
        <f>HYPERLINK("CSG5.html#group21D5", "21D⁵"), =HYPERLINK("CSG0.html#group14A0", "14A⁰"), =HYPERLINK("CSG2.html#group14B2", "14B²"), =HYPERLINK("CSG1.html#group42A1", "42A¹"), =HYPERLINK("CSG0.html#group7D0", "7D⁰"), =HYPERLINK("CSG7.html#group42H7", "42H⁷"), =HYPERLINK("CSG1.html#group21E1", "21E¹"), =HYPERLINK("CSG1.html#group21D1", "21D¹"), =HYPERLINK("CSG7.html#group42G7", "42G⁷"), =HYPERLINK("CSG0.html#group21A0", "21A⁰"), =HYPERLINK("CSG0.html#group3A0", "3A⁰"), =HYPERLINK("CSG0.html#group1A0", "1A⁰"), =HYPERLINK("CSG0.html#group7A0", "7A⁰")</f>
        <v/>
      </c>
      <c r="N4792" t="inlineStr"/>
    </row>
    <row r="4793">
      <c r="A4793" t="inlineStr">
        <is>
          <t>42E¹⁷</t>
        </is>
      </c>
      <c r="B4793" t="inlineStr"/>
      <c r="C4793" t="inlineStr">
        <is>
          <t>252</t>
        </is>
      </c>
      <c r="D4793" t="inlineStr">
        <is>
          <t>2</t>
        </is>
      </c>
      <c r="E4793" t="inlineStr">
        <is>
          <t>63</t>
        </is>
      </c>
      <c r="F4793" t="inlineStr">
        <is>
          <t>8</t>
        </is>
      </c>
      <c r="G4793" t="inlineStr">
        <is>
          <t>0</t>
        </is>
      </c>
      <c r="H4793" t="inlineStr">
        <is>
          <t>42⁶</t>
        </is>
      </c>
      <c r="I4793" t="n">
        <v>6</v>
      </c>
      <c r="J4793" t="inlineStr">
        <is>
          <t>6⁷, 12⁷</t>
        </is>
      </c>
      <c r="K4793">
        <f>HYPERLINK("CSG5.html#group42E5", "42E⁵"), =HYPERLINK("CSG6.html#group21C6", "21C⁶"), =HYPERLINK("CSG6.html#group42D6", "42D⁶"), =HYPERLINK("CSG7.html#group42H7", "42H⁷")</f>
        <v/>
      </c>
      <c r="L4793" t="inlineStr"/>
      <c r="M4793">
        <f>HYPERLINK("CSG0.html#group14A0", "14A⁰"), =HYPERLINK("CSG2.html#group21D2", "21D²"), =HYPERLINK("CSG2.html#group14B2", "14B²"), =HYPERLINK("CSG1.html#group42A1", "42A¹"), =HYPERLINK("CSG0.html#group7D0", "7D⁰"), =HYPERLINK("CSG7.html#group42H7", "42H⁷"), =HYPERLINK("CSG0.html#group21A0", "21A⁰"), =HYPERLINK("CSG6.html#group42D6", "42D⁶"), =HYPERLINK("CSG0.html#group1A0", "1A⁰"), =HYPERLINK("CSG6.html#group21C6", "21C⁶"), =HYPERLINK("CSG2.html#group42A2", "42A²"), =HYPERLINK("CSG1.html#group21E1", "21E¹"), =HYPERLINK("CSG5.html#group42E5", "42E⁵"), =HYPERLINK("CSG0.html#group3C0", "3C⁰"), =HYPERLINK("CSG0.html#group3A0", "3A⁰"), =HYPERLINK("CSG0.html#group7A0", "7A⁰")</f>
        <v/>
      </c>
      <c r="N4793" t="inlineStr"/>
    </row>
    <row r="4794">
      <c r="A4794" t="inlineStr">
        <is>
          <t>42F¹⁷</t>
        </is>
      </c>
      <c r="B4794" t="inlineStr"/>
      <c r="C4794" t="inlineStr">
        <is>
          <t>252</t>
        </is>
      </c>
      <c r="D4794" t="inlineStr">
        <is>
          <t>2</t>
        </is>
      </c>
      <c r="E4794" t="inlineStr">
        <is>
          <t>63</t>
        </is>
      </c>
      <c r="F4794" t="inlineStr">
        <is>
          <t>8</t>
        </is>
      </c>
      <c r="G4794" t="inlineStr">
        <is>
          <t>0</t>
        </is>
      </c>
      <c r="H4794" t="inlineStr">
        <is>
          <t>42⁶</t>
        </is>
      </c>
      <c r="I4794" t="n">
        <v>6</v>
      </c>
      <c r="J4794" t="inlineStr">
        <is>
          <t>2³, 4³, 6⁶, 12⁶</t>
        </is>
      </c>
      <c r="K4794">
        <f>HYPERLINK("CSG5.html#group42E5", "42E⁵"), =HYPERLINK("CSG7.html#group42I7", "42I⁷"), =HYPERLINK("CSG8.html#group42C8", "42C⁸"), =HYPERLINK("CSG8.html#group42D8", "42D⁸")</f>
        <v/>
      </c>
      <c r="L4794" t="inlineStr"/>
      <c r="M4794">
        <f>HYPERLINK("CSG0.html#group14A0", "14A⁰"), =HYPERLINK("CSG2.html#group21D2", "21D²"), =HYPERLINK("CSG1.html#group42A1", "42A¹"), =HYPERLINK("CSG8.html#group42D8", "42D⁸"), =HYPERLINK("CSG1.html#group14B1", "14B¹"), =HYPERLINK("CSG2.html#group14C2", "14C²"), =HYPERLINK("CSG0.html#group21A0", "21A⁰"), =HYPERLINK("CSG0.html#group6G0", "6G⁰"), =HYPERLINK("CSG0.html#group2B0", "2B⁰"), =HYPERLINK("CSG0.html#group1A0", "1A⁰"), =HYPERLINK("CSG7.html#group42I7", "42I⁷"), =HYPERLINK("CSG2.html#group42A2", "42A²"), =HYPERLINK("CSG5.html#group42E5", "42E⁵"), =HYPERLINK("CSG0.html#group3C0", "3C⁰"), =HYPERLINK("CSG8.html#group42C8", "42C⁸"), =HYPERLINK("CSG0.html#group3A0", "3A⁰"), =HYPERLINK("CSG3.html#group42C3", "42C³"), =HYPERLINK("CSG0.html#group6D0", "6D⁰"), =HYPERLINK("CSG0.html#group7A0", "7A⁰")</f>
        <v/>
      </c>
      <c r="N4794" t="inlineStr"/>
    </row>
    <row r="4795">
      <c r="A4795" t="inlineStr">
        <is>
          <t>42G¹⁷</t>
        </is>
      </c>
      <c r="B4795" t="inlineStr"/>
      <c r="C4795" t="inlineStr">
        <is>
          <t>252</t>
        </is>
      </c>
      <c r="D4795" t="inlineStr">
        <is>
          <t>2</t>
        </is>
      </c>
      <c r="E4795" t="inlineStr">
        <is>
          <t>63</t>
        </is>
      </c>
      <c r="F4795" t="inlineStr">
        <is>
          <t>8</t>
        </is>
      </c>
      <c r="G4795" t="inlineStr">
        <is>
          <t>0</t>
        </is>
      </c>
      <c r="H4795" t="inlineStr">
        <is>
          <t>42⁶</t>
        </is>
      </c>
      <c r="I4795" t="n">
        <v>6</v>
      </c>
      <c r="J4795" t="inlineStr">
        <is>
          <t>2³, 4³, 6⁶, 12⁶</t>
        </is>
      </c>
      <c r="K4795">
        <f>HYPERLINK("CSG5.html#group42F5", "42F⁵"), =HYPERLINK("CSG7.html#group42L7", "42L⁷"), =HYPERLINK("CSG8.html#group42A8", "42A⁸"), =HYPERLINK("CSG8.html#group42D8", "42D⁸")</f>
        <v/>
      </c>
      <c r="L4795" t="inlineStr"/>
      <c r="M4795">
        <f>HYPERLINK("CSG5.html#group42F5", "42F⁵"), =HYPERLINK("CSG0.html#group6B0", "6B⁰"), =HYPERLINK("CSG8.html#group42D8", "42D⁸"), =HYPERLINK("CSG1.html#group14B1", "14B¹"), =HYPERLINK("CSG0.html#group6H0", "6H⁰"), =HYPERLINK("CSG2.html#group21C2", "21C²"), =HYPERLINK("CSG0.html#group21A0", "21A⁰"), =HYPERLINK("CSG0.html#group2B0", "2B⁰"), =HYPERLINK("CSG8.html#group42A8", "42A⁸"), =HYPERLINK("CSG0.html#group1A0", "1A⁰"), =HYPERLINK("CSG2.html#group42A2", "42A²"), =HYPERLINK("CSG2.html#group14A2", "14A²"), =HYPERLINK("CSG0.html#group7C0", "7C⁰"), =HYPERLINK("CSG7.html#group42L7", "42L⁷"), =HYPERLINK("CSG1.html#group42B1", "42B¹"), =HYPERLINK("CSG0.html#group3A0", "3A⁰"), =HYPERLINK("CSG3.html#group42C3", "42C³"), =HYPERLINK("CSG0.html#group6D0", "6D⁰"), =HYPERLINK("CSG0.html#group7A0", "7A⁰")</f>
        <v/>
      </c>
      <c r="N4795" t="inlineStr"/>
    </row>
    <row r="4796">
      <c r="A4796" t="inlineStr">
        <is>
          <t>42H¹⁷</t>
        </is>
      </c>
      <c r="B4796" t="inlineStr"/>
      <c r="C4796" t="inlineStr">
        <is>
          <t>252</t>
        </is>
      </c>
      <c r="D4796" t="inlineStr">
        <is>
          <t>2</t>
        </is>
      </c>
      <c r="E4796" t="inlineStr">
        <is>
          <t>126</t>
        </is>
      </c>
      <c r="F4796" t="inlineStr">
        <is>
          <t>8</t>
        </is>
      </c>
      <c r="G4796" t="inlineStr">
        <is>
          <t>0</t>
        </is>
      </c>
      <c r="H4796" t="inlineStr">
        <is>
          <t>42⁶</t>
        </is>
      </c>
      <c r="I4796" t="n">
        <v>6</v>
      </c>
      <c r="J4796" t="inlineStr">
        <is>
          <t>6¹⁴, 12¹⁴</t>
        </is>
      </c>
      <c r="K4796">
        <f>HYPERLINK("CSG5.html#group42E5", "42E⁵"), =HYPERLINK("CSG7.html#group42J7", "42J⁷")</f>
        <v/>
      </c>
      <c r="L4796" t="inlineStr"/>
      <c r="M4796">
        <f>HYPERLINK("CSG0.html#group14A0", "14A⁰"), =HYPERLINK("CSG2.html#group21D2", "21D²"), =HYPERLINK("CSG7.html#group42J7", "42J⁷"), =HYPERLINK("CSG2.html#group42A2", "42A²"), =HYPERLINK("CSG1.html#group42A1", "42A¹"), =HYPERLINK("CSG1.html#group14F1", "14F¹"), =HYPERLINK("CSG5.html#group42E5", "42E⁵"), =HYPERLINK("CSG0.html#group21A0", "21A⁰"), =HYPERLINK("CSG0.html#group3C0", "3C⁰"), =HYPERLINK("CSG0.html#group3A0", "3A⁰"), =HYPERLINK("CSG0.html#group1A0", "1A⁰"), =HYPERLINK("CSG0.html#group7A0", "7A⁰")</f>
        <v/>
      </c>
      <c r="N4796" t="inlineStr"/>
    </row>
    <row r="4797">
      <c r="A4797" t="inlineStr">
        <is>
          <t>42I¹⁷</t>
        </is>
      </c>
      <c r="B4797" t="inlineStr"/>
      <c r="C4797" t="inlineStr">
        <is>
          <t>288</t>
        </is>
      </c>
      <c r="D4797" t="inlineStr">
        <is>
          <t>1</t>
        </is>
      </c>
      <c r="E4797" t="inlineStr">
        <is>
          <t>24</t>
        </is>
      </c>
      <c r="F4797" t="inlineStr">
        <is>
          <t>0</t>
        </is>
      </c>
      <c r="G4797" t="inlineStr">
        <is>
          <t>0</t>
        </is>
      </c>
      <c r="H4797" t="inlineStr">
        <is>
          <t>3⁴, 6⁴, 21⁴, 42⁴</t>
        </is>
      </c>
      <c r="I4797" t="n">
        <v>16</v>
      </c>
      <c r="J4797" t="inlineStr">
        <is>
          <t>1⁶, 6³</t>
        </is>
      </c>
      <c r="K4797">
        <f>HYPERLINK("CSG0.html#group6K0", "6K⁰"), =HYPERLINK("CSG5.html#group21C5", "21C⁵"), =HYPERLINK("CSG5.html#group42G5", "42G⁵"), =HYPERLINK("CSG9.html#group42A9", "42A⁹")</f>
        <v/>
      </c>
      <c r="L4797" t="inlineStr"/>
      <c r="M4797">
        <f>HYPERLINK("CSG0.html#group3B0", "3B⁰"), =HYPERLINK("CSG0.html#group6G0", "6G⁰"), =HYPERLINK("CSG0.html#group2B0", "2B⁰"), =HYPERLINK("CSG5.html#group42G5", "42G⁵"), =HYPERLINK("CSG0.html#group1A0", "1A⁰"), =HYPERLINK("CSG3.html#group21A3", "21A³"), =HYPERLINK("CSG9.html#group42A9", "42A⁹"), =HYPERLINK("CSG1.html#group21B1", "21B¹"), =HYPERLINK("CSG5.html#group21C5", "21C⁵"), =HYPERLINK("CSG2.html#group21A2", "21A²"), =HYPERLINK("CSG5.html#group42A5", "42A⁵"), =HYPERLINK("CSG0.html#group7B0", "7B⁰"), =HYPERLINK("CSG1.html#group14C1", "14C¹"), =HYPERLINK("CSG0.html#group6F0", "6F⁰"), =HYPERLINK("CSG0.html#group3C0", "3C⁰"), =HYPERLINK("CSG0.html#group6K0", "6K⁰"), =HYPERLINK("CSG0.html#group3A0", "3A⁰"), =HYPERLINK("CSG0.html#group3D0", "3D⁰"), =HYPERLINK("CSG0.html#group6D0", "6D⁰")</f>
        <v/>
      </c>
      <c r="N4797" t="inlineStr"/>
    </row>
    <row r="4798">
      <c r="A4798" t="inlineStr">
        <is>
          <t>42J¹⁷</t>
        </is>
      </c>
      <c r="B4798" t="inlineStr"/>
      <c r="C4798" t="inlineStr">
        <is>
          <t>288</t>
        </is>
      </c>
      <c r="D4798" t="inlineStr">
        <is>
          <t>2</t>
        </is>
      </c>
      <c r="E4798" t="inlineStr">
        <is>
          <t>96</t>
        </is>
      </c>
      <c r="F4798" t="inlineStr">
        <is>
          <t>0</t>
        </is>
      </c>
      <c r="G4798" t="inlineStr">
        <is>
          <t>0</t>
        </is>
      </c>
      <c r="H4798" t="inlineStr">
        <is>
          <t>3⁴, 6⁴, 21⁴, 42⁴</t>
        </is>
      </c>
      <c r="I4798" t="n">
        <v>16</v>
      </c>
      <c r="J4798" t="inlineStr">
        <is>
          <t>2²⁴, 12¹²</t>
        </is>
      </c>
      <c r="K4798">
        <f>HYPERLINK("CSG4.html#group21C4", "21C⁴"), =HYPERLINK("CSG5.html#group42B5", "42B⁵"), =HYPERLINK("CSG5.html#group42G5", "42G⁵")</f>
        <v/>
      </c>
      <c r="L4798" t="inlineStr"/>
      <c r="M4798">
        <f>HYPERLINK("CSG0.html#group3B0", "3B⁰"), =HYPERLINK("CSG1.html#group21B1", "21B¹"), =HYPERLINK("CSG5.html#group42B5", "42B⁵"), =HYPERLINK("CSG0.html#group7B0", "7B⁰"), =HYPERLINK("CSG1.html#group21A1", "21A¹"), =HYPERLINK("CSG1.html#group14C1", "14C¹"), =HYPERLINK("CSG0.html#group1A0", "1A⁰"), =HYPERLINK("CSG0.html#group2B0", "2B⁰"), =HYPERLINK("CSG5.html#group42G5", "42G⁵"), =HYPERLINK("CSG0.html#group6F0", "6F⁰"), =HYPERLINK("CSG4.html#group21C4", "21C⁴")</f>
        <v/>
      </c>
      <c r="N4798" t="inlineStr"/>
    </row>
    <row r="4799">
      <c r="A4799" t="inlineStr">
        <is>
          <t>42K¹⁷</t>
        </is>
      </c>
      <c r="B4799" t="inlineStr"/>
      <c r="C4799" t="inlineStr">
        <is>
          <t>336</t>
        </is>
      </c>
      <c r="D4799" t="inlineStr">
        <is>
          <t>1</t>
        </is>
      </c>
      <c r="E4799" t="inlineStr">
        <is>
          <t>84</t>
        </is>
      </c>
      <c r="F4799" t="inlineStr">
        <is>
          <t>32</t>
        </is>
      </c>
      <c r="G4799" t="inlineStr">
        <is>
          <t>0</t>
        </is>
      </c>
      <c r="H4799" t="inlineStr">
        <is>
          <t>42⁸</t>
        </is>
      </c>
      <c r="I4799" t="n">
        <v>8</v>
      </c>
      <c r="J4799" t="inlineStr">
        <is>
          <t>1¹, 2¹, 3¹, 6⁵, 12⁴</t>
        </is>
      </c>
      <c r="K4799">
        <f>HYPERLINK("CSG3.html#group42F3", "42F³"), =HYPERLINK("CSG7.html#group21C7", "21C⁷"), =HYPERLINK("CSG7.html#group42N7", "42N⁷"), =HYPERLINK("CSG9.html#group42B9", "42B⁹")</f>
        <v/>
      </c>
      <c r="L4799" t="inlineStr"/>
      <c r="M4799">
        <f>HYPERLINK("CSG0.html#group14A0", "14A⁰"), =HYPERLINK("CSG0.html#group6B0", "6B⁰"), =HYPERLINK("CSG1.html#group42A1", "42A¹"), =HYPERLINK("CSG1.html#group21D1", "21D¹"), =HYPERLINK("CSG0.html#group21A0", "21A⁰"), =HYPERLINK("CSG9.html#group42B9", "42B⁹"), =HYPERLINK("CSG7.html#group21C7", "21C⁷"), =HYPERLINK("CSG1.html#group14G1", "14G¹"), =HYPERLINK("CSG0.html#group1A0", "1A⁰"), =HYPERLINK("CSG3.html#group21C3", "21C³"), =HYPERLINK("CSG0.html#group7F0", "7F⁰"), =HYPERLINK("CSG1.html#group42B1", "42B¹"), =HYPERLINK("CSG0.html#group3A0", "3A⁰"), =HYPERLINK("CSG3.html#group42F3", "42F³"), =HYPERLINK("CSG0.html#group7A0", "7A⁰"), =HYPERLINK("CSG7.html#group42N7", "42N⁷")</f>
        <v/>
      </c>
      <c r="N4799" t="inlineStr"/>
    </row>
    <row r="4800">
      <c r="A4800" t="inlineStr">
        <is>
          <t>42L¹⁷</t>
        </is>
      </c>
      <c r="B4800" t="inlineStr"/>
      <c r="C4800" t="inlineStr">
        <is>
          <t>384</t>
        </is>
      </c>
      <c r="D4800" t="inlineStr">
        <is>
          <t>1</t>
        </is>
      </c>
      <c r="E4800" t="inlineStr">
        <is>
          <t>64</t>
        </is>
      </c>
      <c r="F4800" t="inlineStr">
        <is>
          <t>0</t>
        </is>
      </c>
      <c r="G4800" t="inlineStr">
        <is>
          <t>12</t>
        </is>
      </c>
      <c r="H4800" t="inlineStr">
        <is>
          <t>2⁶, 6⁶, 14⁶, 42⁶</t>
        </is>
      </c>
      <c r="I4800" t="n">
        <v>24</v>
      </c>
      <c r="J4800" t="inlineStr">
        <is>
          <t>1⁸, 2⁴, 6⁴, 12²</t>
        </is>
      </c>
      <c r="K4800">
        <f>HYPERLINK("CSG5.html#group42I5", "42I⁵"), =HYPERLINK("CSG9.html#group42D9", "42D⁹")</f>
        <v/>
      </c>
      <c r="L4800" t="inlineStr"/>
      <c r="M4800">
        <f>HYPERLINK("CSG0.html#group3B0", "3B⁰"), =HYPERLINK("CSG5.html#group42I5", "42I⁵"), =HYPERLINK("CSG0.html#group2A0", "2A⁰"), =HYPERLINK("CSG9.html#group42D9", "42D⁹"), =HYPERLINK("CSG1.html#group21B1", "21B¹"), =HYPERLINK("CSG0.html#group7B0", "7B⁰"), =HYPERLINK("CSG3.html#group42E3", "42E³"), =HYPERLINK("CSG0.html#group6C0", "6C⁰"), =HYPERLINK("CSG0.html#group14B0", "14B⁰"), =HYPERLINK("CSG3.html#group42D3", "42D³"), =HYPERLINK("CSG0.html#group14C0", "14C⁰"), =HYPERLINK("CSG0.html#group1A0", "1A⁰"), =HYPERLINK("CSG1.html#group21F1", "21F¹")</f>
        <v/>
      </c>
      <c r="N4800" t="inlineStr"/>
    </row>
    <row r="4801">
      <c r="A4801" t="inlineStr">
        <is>
          <t>44A¹⁷</t>
        </is>
      </c>
      <c r="B4801" t="inlineStr"/>
      <c r="C4801" t="inlineStr">
        <is>
          <t>264</t>
        </is>
      </c>
      <c r="D4801" t="inlineStr">
        <is>
          <t>1</t>
        </is>
      </c>
      <c r="E4801" t="inlineStr">
        <is>
          <t>66</t>
        </is>
      </c>
      <c r="F4801" t="inlineStr">
        <is>
          <t>12</t>
        </is>
      </c>
      <c r="G4801" t="inlineStr">
        <is>
          <t>0</t>
        </is>
      </c>
      <c r="H4801" t="inlineStr">
        <is>
          <t>44⁶</t>
        </is>
      </c>
      <c r="I4801" t="n">
        <v>6</v>
      </c>
      <c r="J4801" t="inlineStr">
        <is>
          <t>2¹, 10¹, 20⁶</t>
        </is>
      </c>
      <c r="K4801">
        <f>HYPERLINK("CSG6.html#group22B6", "22B⁶")</f>
        <v/>
      </c>
      <c r="L4801" t="inlineStr"/>
      <c r="M4801">
        <f>HYPERLINK("CSG0.html#group11A0", "11A⁰"), =HYPERLINK("CSG0.html#group1A0", "1A⁰"), =HYPERLINK("CSG6.html#group22B6", "22B⁶"), =HYPERLINK("CSG2.html#group11A2", "11A²")</f>
        <v/>
      </c>
      <c r="N4801" t="inlineStr"/>
    </row>
    <row r="4802">
      <c r="A4802" t="inlineStr">
        <is>
          <t>44B¹⁷</t>
        </is>
      </c>
      <c r="B4802" t="inlineStr"/>
      <c r="C4802" t="inlineStr">
        <is>
          <t>264</t>
        </is>
      </c>
      <c r="D4802" t="inlineStr">
        <is>
          <t>1</t>
        </is>
      </c>
      <c r="E4802" t="inlineStr">
        <is>
          <t>66</t>
        </is>
      </c>
      <c r="F4802" t="inlineStr">
        <is>
          <t>12</t>
        </is>
      </c>
      <c r="G4802" t="inlineStr">
        <is>
          <t>0</t>
        </is>
      </c>
      <c r="H4802" t="inlineStr">
        <is>
          <t>44⁶</t>
        </is>
      </c>
      <c r="I4802" t="n">
        <v>6</v>
      </c>
      <c r="J4802" t="inlineStr">
        <is>
          <t>2¹, 10¹, 20⁶</t>
        </is>
      </c>
      <c r="K4802">
        <f>HYPERLINK("CSG6.html#group22B6", "22B⁶")</f>
        <v/>
      </c>
      <c r="L4802" t="inlineStr"/>
      <c r="M4802">
        <f>HYPERLINK("CSG0.html#group11A0", "11A⁰"), =HYPERLINK("CSG0.html#group1A0", "1A⁰"), =HYPERLINK("CSG6.html#group22B6", "22B⁶"), =HYPERLINK("CSG2.html#group11A2", "11A²")</f>
        <v/>
      </c>
      <c r="N4802" t="inlineStr"/>
    </row>
    <row r="4803">
      <c r="A4803" t="inlineStr">
        <is>
          <t>44C¹⁷</t>
        </is>
      </c>
      <c r="B4803" t="inlineStr"/>
      <c r="C4803" t="inlineStr">
        <is>
          <t>264</t>
        </is>
      </c>
      <c r="D4803" t="inlineStr">
        <is>
          <t>1</t>
        </is>
      </c>
      <c r="E4803" t="inlineStr">
        <is>
          <t>264</t>
        </is>
      </c>
      <c r="F4803" t="inlineStr">
        <is>
          <t>12</t>
        </is>
      </c>
      <c r="G4803" t="inlineStr">
        <is>
          <t>0</t>
        </is>
      </c>
      <c r="H4803" t="inlineStr">
        <is>
          <t>44⁶</t>
        </is>
      </c>
      <c r="I4803" t="n">
        <v>6</v>
      </c>
      <c r="J4803" t="inlineStr">
        <is>
          <t>2², 10², 20¹²</t>
        </is>
      </c>
      <c r="K4803">
        <f>HYPERLINK("CSG2.html#group11A2", "11A²"), =HYPERLINK("CSG2.html#group44A2", "44A²")</f>
        <v/>
      </c>
      <c r="L4803" t="inlineStr"/>
      <c r="M4803">
        <f>HYPERLINK("CSG0.html#group11A0", "11A⁰"), =HYPERLINK("CSG2.html#group44A2", "44A²"), =HYPERLINK("CSG0.html#group1A0", "1A⁰"), =HYPERLINK("CSG0.html#group4A0", "4A⁰"), =HYPERLINK("CSG2.html#group11A2", "11A²")</f>
        <v/>
      </c>
      <c r="N4803" t="inlineStr"/>
    </row>
    <row r="4804">
      <c r="A4804" t="inlineStr">
        <is>
          <t>44D¹⁷</t>
        </is>
      </c>
      <c r="B4804" t="inlineStr"/>
      <c r="C4804" t="inlineStr">
        <is>
          <t>288</t>
        </is>
      </c>
      <c r="D4804" t="inlineStr">
        <is>
          <t>1</t>
        </is>
      </c>
      <c r="E4804" t="inlineStr">
        <is>
          <t>36</t>
        </is>
      </c>
      <c r="F4804" t="inlineStr">
        <is>
          <t>0</t>
        </is>
      </c>
      <c r="G4804" t="inlineStr">
        <is>
          <t>0</t>
        </is>
      </c>
      <c r="H4804" t="inlineStr">
        <is>
          <t>2⁴, 4⁴, 22⁴, 44⁴</t>
        </is>
      </c>
      <c r="I4804" t="n">
        <v>16</v>
      </c>
      <c r="J4804" t="inlineStr">
        <is>
          <t>1⁶, 10³</t>
        </is>
      </c>
      <c r="K4804">
        <f>HYPERLINK("CSG8.html#group44A8", "44A⁸"), =HYPERLINK("CSG8.html#group44B8", "44B⁸"), =HYPERLINK("CSG9.html#group44B9", "44B⁹")</f>
        <v/>
      </c>
      <c r="L4804" t="inlineStr"/>
      <c r="M4804">
        <f>HYPERLINK("CSG0.html#group2A0", "2A⁰"), =HYPERLINK("CSG0.html#group4C0", "4C⁰"), =HYPERLINK("CSG5.html#group44B5", "44B⁵"), =HYPERLINK("CSG0.html#group2B0", "2B⁰"), =HYPERLINK("CSG0.html#group4E0", "4E⁰"), =HYPERLINK("CSG0.html#group4B0", "4B⁰"), =HYPERLINK("CSG2.html#group22C2", "22C²"), =HYPERLINK("CSG0.html#group1A0", "1A⁰"), =HYPERLINK("CSG9.html#group44B9", "44B⁹"), =HYPERLINK("CSG8.html#group44B8", "44B⁸"), =HYPERLINK("CSG4.html#group22A4", "22A⁴"), =HYPERLINK("CSG4.html#group44D4", "44D⁴"), =HYPERLINK("CSG8.html#group44A8", "44A⁸"), =HYPERLINK("CSG1.html#group11A1", "11A¹"), =HYPERLINK("CSG2.html#group22A2", "22A²"), =HYPERLINK("CSG0.html#group2C0", "2C⁰")</f>
        <v/>
      </c>
      <c r="N4804" t="inlineStr"/>
    </row>
    <row r="4805">
      <c r="A4805" t="inlineStr">
        <is>
          <t>45A¹⁷</t>
        </is>
      </c>
      <c r="B4805" t="inlineStr"/>
      <c r="C4805" t="inlineStr">
        <is>
          <t>240</t>
        </is>
      </c>
      <c r="D4805" t="inlineStr">
        <is>
          <t>1</t>
        </is>
      </c>
      <c r="E4805" t="inlineStr">
        <is>
          <t>40</t>
        </is>
      </c>
      <c r="F4805" t="inlineStr">
        <is>
          <t>0</t>
        </is>
      </c>
      <c r="G4805" t="inlineStr">
        <is>
          <t>0</t>
        </is>
      </c>
      <c r="H4805" t="inlineStr">
        <is>
          <t>15⁴, 45⁴</t>
        </is>
      </c>
      <c r="I4805" t="n">
        <v>8</v>
      </c>
      <c r="J4805" t="inlineStr">
        <is>
          <t>2², 4⁵, 8²</t>
        </is>
      </c>
      <c r="K4805">
        <f>HYPERLINK("CSG3.html#group15G3", "15G³"), =HYPERLINK("CSG5.html#group45A5", "45A⁵"), =HYPERLINK("CSG9.html#group45A9", "45A⁹")</f>
        <v/>
      </c>
      <c r="L4805" t="inlineStr"/>
      <c r="M4805">
        <f>HYPERLINK("CSG0.html#group3B0", "3B⁰"), =HYPERLINK("CSG9.html#group45A9", "45A⁹"), =HYPERLINK("CSG0.html#group5A0", "5A⁰"), =HYPERLINK("CSG5.html#group45A5", "45A⁵"), =HYPERLINK("CSG1.html#group9A1", "9A¹"), =HYPERLINK("CSG3.html#group15G3", "15G³"), =HYPERLINK("CSG0.html#group5C0", "5C⁰"), =HYPERLINK("CSG1.html#group15B1", "15B¹"), =HYPERLINK("CSG0.html#group5F0", "5F⁰"), =HYPERLINK("CSG2.html#group15C2", "15C²"), =HYPERLINK("CSG0.html#group1A0", "1A⁰")</f>
        <v/>
      </c>
      <c r="N4805" t="inlineStr"/>
    </row>
    <row r="4806">
      <c r="A4806" t="inlineStr">
        <is>
          <t>45B¹⁷</t>
        </is>
      </c>
      <c r="B4806" t="inlineStr"/>
      <c r="C4806" t="inlineStr">
        <is>
          <t>240</t>
        </is>
      </c>
      <c r="D4806" t="inlineStr">
        <is>
          <t>1</t>
        </is>
      </c>
      <c r="E4806" t="inlineStr">
        <is>
          <t>80</t>
        </is>
      </c>
      <c r="F4806" t="inlineStr">
        <is>
          <t>0</t>
        </is>
      </c>
      <c r="G4806" t="inlineStr">
        <is>
          <t>0</t>
        </is>
      </c>
      <c r="H4806" t="inlineStr">
        <is>
          <t>15⁴, 45⁴</t>
        </is>
      </c>
      <c r="I4806" t="n">
        <v>8</v>
      </c>
      <c r="J4806" t="inlineStr">
        <is>
          <t>4², 8⁹</t>
        </is>
      </c>
      <c r="K4806">
        <f>HYPERLINK("CSG3.html#group15G3", "15G³"), =HYPERLINK("CSG5.html#group45B5", "45B⁵")</f>
        <v/>
      </c>
      <c r="L4806" t="inlineStr"/>
      <c r="M4806">
        <f>HYPERLINK("CSG0.html#group3B0", "3B⁰"), =HYPERLINK("CSG0.html#group5A0", "5A⁰"), =HYPERLINK("CSG0.html#group5C0", "5C⁰"), =HYPERLINK("CSG3.html#group15G3", "15G³"), =HYPERLINK("CSG1.html#group15B1", "15B¹"), =HYPERLINK("CSG0.html#group5F0", "5F⁰"), =HYPERLINK("CSG2.html#group15C2", "15C²"), =HYPERLINK("CSG5.html#group45B5", "45B⁵"), =HYPERLINK("CSG0.html#group1A0", "1A⁰")</f>
        <v/>
      </c>
      <c r="N4806" t="inlineStr"/>
    </row>
    <row r="4807">
      <c r="A4807" t="inlineStr">
        <is>
          <t>45C¹⁷</t>
        </is>
      </c>
      <c r="B4807" t="inlineStr"/>
      <c r="C4807" t="inlineStr">
        <is>
          <t>270</t>
        </is>
      </c>
      <c r="D4807" t="inlineStr">
        <is>
          <t>1</t>
        </is>
      </c>
      <c r="E4807" t="inlineStr">
        <is>
          <t>135</t>
        </is>
      </c>
      <c r="F4807" t="inlineStr">
        <is>
          <t>14</t>
        </is>
      </c>
      <c r="G4807" t="inlineStr">
        <is>
          <t>0</t>
        </is>
      </c>
      <c r="H4807" t="inlineStr">
        <is>
          <t>45⁶</t>
        </is>
      </c>
      <c r="I4807" t="n">
        <v>6</v>
      </c>
      <c r="J4807" t="inlineStr">
        <is>
          <t>1¹, 2², 4⁴, 6¹, 8³, 12¹, 24³</t>
        </is>
      </c>
      <c r="K4807">
        <f>HYPERLINK("CSG3.html#group15H3", "15H³"), =HYPERLINK("CSG7.html#group45D7", "45D⁷")</f>
        <v/>
      </c>
      <c r="L4807" t="inlineStr"/>
      <c r="M4807">
        <f>HYPERLINK("CSG0.html#group5A0", "5A⁰"), =HYPERLINK("CSG1.html#group15A1", "15A¹"), =HYPERLINK("CSG0.html#group9A0", "9A⁰"), =HYPERLINK("CSG1.html#group15F1", "15F¹"), =HYPERLINK("CSG0.html#group5E0", "5E⁰"), =HYPERLINK("CSG3.html#group45A3", "45A³"), =HYPERLINK("CSG7.html#group45D7", "45D⁷"), =HYPERLINK("CSG0.html#group3A0", "3A⁰"), =HYPERLINK("CSG0.html#group1A0", "1A⁰"), =HYPERLINK("CSG3.html#group15H3", "15H³"), =HYPERLINK("CSG0.html#group15A0", "15A⁰")</f>
        <v/>
      </c>
      <c r="N4807" t="inlineStr"/>
    </row>
    <row r="4808">
      <c r="A4808" t="inlineStr">
        <is>
          <t>45D¹⁷</t>
        </is>
      </c>
      <c r="B4808" t="inlineStr"/>
      <c r="C4808" t="inlineStr">
        <is>
          <t>270</t>
        </is>
      </c>
      <c r="D4808" t="inlineStr">
        <is>
          <t>1</t>
        </is>
      </c>
      <c r="E4808" t="inlineStr">
        <is>
          <t>270</t>
        </is>
      </c>
      <c r="F4808" t="inlineStr">
        <is>
          <t>14</t>
        </is>
      </c>
      <c r="G4808" t="inlineStr">
        <is>
          <t>0</t>
        </is>
      </c>
      <c r="H4808" t="inlineStr">
        <is>
          <t>45⁶</t>
        </is>
      </c>
      <c r="I4808" t="n">
        <v>6</v>
      </c>
      <c r="J4808" t="inlineStr">
        <is>
          <t>6¹, 12⁶, 24⁸</t>
        </is>
      </c>
      <c r="K4808">
        <f>HYPERLINK("CSG0.html#group9G0", "9G⁰"), =HYPERLINK("CSG5.html#group45E5", "45E⁵")</f>
        <v/>
      </c>
      <c r="L4808" t="inlineStr"/>
      <c r="M4808">
        <f>HYPERLINK("CSG1.html#group15D1", "15D¹"), =HYPERLINK("CSG0.html#group9A0", "9A⁰"), =HYPERLINK("CSG0.html#group3A0", "3A⁰"), =HYPERLINK("CSG0.html#group1A0", "1A⁰"), =HYPERLINK("CSG5.html#group45E5", "45E⁵"), =HYPERLINK("CSG0.html#group9G0", "9G⁰"), =HYPERLINK("CSG0.html#group5C0", "5C⁰")</f>
        <v/>
      </c>
      <c r="N4808" t="inlineStr"/>
    </row>
    <row r="4809">
      <c r="A4809" t="inlineStr">
        <is>
          <t>45E¹⁷</t>
        </is>
      </c>
      <c r="B4809" t="inlineStr"/>
      <c r="C4809" t="inlineStr">
        <is>
          <t>288</t>
        </is>
      </c>
      <c r="D4809" t="inlineStr">
        <is>
          <t>1</t>
        </is>
      </c>
      <c r="E4809" t="inlineStr">
        <is>
          <t>24</t>
        </is>
      </c>
      <c r="F4809" t="inlineStr">
        <is>
          <t>0</t>
        </is>
      </c>
      <c r="G4809" t="inlineStr">
        <is>
          <t>0</t>
        </is>
      </c>
      <c r="H4809" t="inlineStr">
        <is>
          <t>3⁴, 9⁴, 15⁴, 45⁴</t>
        </is>
      </c>
      <c r="I4809" t="n">
        <v>16</v>
      </c>
      <c r="J4809" t="inlineStr">
        <is>
          <t>1⁴, 2², 4², 8¹</t>
        </is>
      </c>
      <c r="K4809">
        <f>HYPERLINK("CSG1.html#group15I1", "15I¹"), =HYPERLINK("CSG9.html#group45C9", "45C⁹")</f>
        <v/>
      </c>
      <c r="L4809" t="inlineStr"/>
      <c r="M4809">
        <f>HYPERLINK("CSG5.html#group45C5", "45C⁵"), =HYPERLINK("CSG1.html#group15C1", "15C¹"), =HYPERLINK("CSG0.html#group3B0", "3B⁰"), =HYPERLINK("CSG9.html#group45C9", "45C⁹"), =HYPERLINK("CSG1.html#group15I1", "15I¹"), =HYPERLINK("CSG0.html#group5B0", "5B⁰"), =HYPERLINK("CSG1.html#group15G1", "15G¹"), =HYPERLINK("CSG0.html#group5D0", "5D⁰"), =HYPERLINK("CSG0.html#group9C0", "9C⁰"), =HYPERLINK("CSG0.html#group1A0", "1A⁰")</f>
        <v/>
      </c>
      <c r="N4809" t="inlineStr"/>
    </row>
    <row r="4810">
      <c r="A4810" t="inlineStr">
        <is>
          <t>45F¹⁷</t>
        </is>
      </c>
      <c r="B4810" t="inlineStr"/>
      <c r="C4810" t="inlineStr">
        <is>
          <t>288</t>
        </is>
      </c>
      <c r="D4810" t="inlineStr">
        <is>
          <t>1</t>
        </is>
      </c>
      <c r="E4810" t="inlineStr">
        <is>
          <t>24</t>
        </is>
      </c>
      <c r="F4810" t="inlineStr">
        <is>
          <t>0</t>
        </is>
      </c>
      <c r="G4810" t="inlineStr">
        <is>
          <t>0</t>
        </is>
      </c>
      <c r="H4810" t="inlineStr">
        <is>
          <t>3⁴, 9⁴, 15⁴, 45⁴</t>
        </is>
      </c>
      <c r="I4810" t="n">
        <v>16</v>
      </c>
      <c r="J4810" t="inlineStr">
        <is>
          <t>1⁴, 2², 4², 8¹</t>
        </is>
      </c>
      <c r="K4810">
        <f>HYPERLINK("CSG1.html#group15I1", "15I¹"), =HYPERLINK("CSG9.html#group45D9", "45D⁹")</f>
        <v/>
      </c>
      <c r="L4810" t="inlineStr"/>
      <c r="M4810">
        <f>HYPERLINK("CSG1.html#group15C1", "15C¹"), =HYPERLINK("CSG0.html#group3B0", "3B⁰"), =HYPERLINK("CSG9.html#group45D9", "45D⁹"), =HYPERLINK("CSG1.html#group9A1", "9A¹"), =HYPERLINK("CSG1.html#group15I1", "15I¹"), =HYPERLINK("CSG0.html#group5B0", "5B⁰"), =HYPERLINK("CSG1.html#group15G1", "15G¹"), =HYPERLINK("CSG0.html#group5D0", "5D⁰"), =HYPERLINK("CSG0.html#group1A0", "1A⁰"), =HYPERLINK("CSG5.html#group45D5", "45D⁵")</f>
        <v/>
      </c>
      <c r="N4810" t="inlineStr"/>
    </row>
    <row r="4811">
      <c r="A4811" t="inlineStr">
        <is>
          <t>48A¹⁷</t>
        </is>
      </c>
      <c r="B4811" t="inlineStr"/>
      <c r="C4811" t="inlineStr">
        <is>
          <t>256</t>
        </is>
      </c>
      <c r="D4811" t="inlineStr">
        <is>
          <t>2</t>
        </is>
      </c>
      <c r="E4811" t="inlineStr">
        <is>
          <t>128</t>
        </is>
      </c>
      <c r="F4811" t="inlineStr">
        <is>
          <t>0</t>
        </is>
      </c>
      <c r="G4811" t="inlineStr">
        <is>
          <t>4</t>
        </is>
      </c>
      <c r="H4811" t="inlineStr">
        <is>
          <t>16⁴, 48⁴</t>
        </is>
      </c>
      <c r="I4811" t="n">
        <v>8</v>
      </c>
      <c r="J4811" t="inlineStr">
        <is>
          <t>8¹⁶, 16⁸</t>
        </is>
      </c>
      <c r="K4811">
        <f>HYPERLINK("CSG2.html#group16H2", "16H²"), =HYPERLINK("CSG4.html#group48A4", "48A⁴"), =HYPERLINK("CSG7.html#group24F7", "24F⁷")</f>
        <v/>
      </c>
      <c r="L4811" t="inlineStr"/>
      <c r="M4811">
        <f>HYPERLINK("CSG4.html#group24C4", "24C⁴"), =HYPERLINK("CSG0.html#group3B0", "3B⁰"), =HYPERLINK("CSG0.html#group8F0", "8F⁰"), =HYPERLINK("CSG0.html#group16A0", "16A⁰"), =HYPERLINK("CSG2.html#group24A2", "24A²"), =HYPERLINK("CSG2.html#group16H2", "16H²"), =HYPERLINK("CSG0.html#group4A0", "4A⁰"), =HYPERLINK("CSG1.html#group12A1", "12A¹"), =HYPERLINK("CSG7.html#group24F7", "24F⁷"), =HYPERLINK("CSG0.html#group8A0", "8A⁰"), =HYPERLINK("CSG4.html#group48A4", "48A⁴"), =HYPERLINK("CSG0.html#group8M0", "8M⁰"), =HYPERLINK("CSG0.html#group1A0", "1A⁰")</f>
        <v/>
      </c>
      <c r="N4811" t="inlineStr"/>
    </row>
    <row r="4812">
      <c r="A4812" t="inlineStr">
        <is>
          <t>48B¹⁷</t>
        </is>
      </c>
      <c r="B4812" t="inlineStr"/>
      <c r="C4812" t="inlineStr">
        <is>
          <t>288</t>
        </is>
      </c>
      <c r="D4812" t="inlineStr">
        <is>
          <t>1</t>
        </is>
      </c>
      <c r="E4812" t="inlineStr">
        <is>
          <t>6</t>
        </is>
      </c>
      <c r="F4812" t="inlineStr">
        <is>
          <t>0</t>
        </is>
      </c>
      <c r="G4812" t="inlineStr">
        <is>
          <t>0</t>
        </is>
      </c>
      <c r="H4812" t="inlineStr">
        <is>
          <t>6⁸, 12⁴, 48⁴</t>
        </is>
      </c>
      <c r="I4812" t="n">
        <v>16</v>
      </c>
      <c r="J4812" t="inlineStr">
        <is>
          <t>1⁴, 2¹</t>
        </is>
      </c>
      <c r="K4812">
        <f>HYPERLINK("CSG5.html#group24R5", "24R⁵"), =HYPERLINK("CSG5.html#group48C5", "48C⁵"), =HYPERLINK("CSG9.html#group48N9", "48N⁹")</f>
        <v/>
      </c>
      <c r="L4812" t="inlineStr"/>
      <c r="M4812">
        <f>HYPERLINK("CSG1.html#group12K1", "12K¹"), =HYPERLINK("CSG1.html#group24G1", "24G¹"), =HYPERLINK("CSG9.html#group48N9", "48N⁹"), =HYPERLINK("CSG0.html#group6G0", "6G⁰"), =HYPERLINK("CSG1.html#group12S1", "12S¹"), =HYPERLINK("CSG0.html#group8C0", "8C⁰"), =HYPERLINK("CSG0.html#group2B0", "2B⁰"), =HYPERLINK("CSG0.html#group4B0", "4B⁰"), =HYPERLINK("CSG0.html#group1A0", "1A⁰"), =HYPERLINK("CSG2.html#group24B2", "24B²"), =HYPERLINK("CSG0.html#group6D0", "6D⁰"), =HYPERLINK("CSG2.html#group24D2", "24D²"), =HYPERLINK("CSG5.html#group24R5", "24R⁵"), =HYPERLINK("CSG0.html#group3C0", "3C⁰"), =HYPERLINK("CSG0.html#group6K0", "6K⁰"), =HYPERLINK("CSG1.html#group12B1", "12B¹"), =HYPERLINK("CSG3.html#group24K3", "24K³"), =HYPERLINK("CSG0.html#group3A0", "3A⁰"), =HYPERLINK("CSG0.html#group6F0", "6F⁰"), =HYPERLINK("CSG5.html#group48C5", "48C⁵"), =HYPERLINK("CSG0.html#group3B0", "3B⁰"), =HYPERLINK("CSG0.html#group12G0", "12G⁰"), =HYPERLINK("CSG0.html#group12D0", "12D⁰"), =HYPERLINK("CSG3.html#group24L3", "24L³"), =HYPERLINK("CSG0.html#group3D0", "3D⁰"), =HYPERLINK("CSG0.html#group12E0", "12E⁰")</f>
        <v/>
      </c>
      <c r="N4812" t="inlineStr"/>
    </row>
    <row r="4813">
      <c r="A4813" t="inlineStr">
        <is>
          <t>48C¹⁷</t>
        </is>
      </c>
      <c r="B4813" t="inlineStr"/>
      <c r="C4813" t="inlineStr">
        <is>
          <t>288</t>
        </is>
      </c>
      <c r="D4813" t="inlineStr">
        <is>
          <t>1</t>
        </is>
      </c>
      <c r="E4813" t="inlineStr">
        <is>
          <t>6</t>
        </is>
      </c>
      <c r="F4813" t="inlineStr">
        <is>
          <t>0</t>
        </is>
      </c>
      <c r="G4813" t="inlineStr">
        <is>
          <t>0</t>
        </is>
      </c>
      <c r="H4813" t="inlineStr">
        <is>
          <t>6⁸, 12⁴, 48⁴</t>
        </is>
      </c>
      <c r="I4813" t="n">
        <v>16</v>
      </c>
      <c r="J4813" t="inlineStr">
        <is>
          <t>1⁴, 2¹</t>
        </is>
      </c>
      <c r="K4813">
        <f>HYPERLINK("CSG5.html#group24R5", "24R⁵"), =HYPERLINK("CSG5.html#group48D5", "48D⁵"), =HYPERLINK("CSG9.html#group48C9", "48C⁹"), =HYPERLINK("CSG9.html#group48D9", "48D⁹")</f>
        <v/>
      </c>
      <c r="L4813" t="inlineStr"/>
      <c r="M4813">
        <f>HYPERLINK("CSG1.html#group12K1", "12K¹"), =HYPERLINK("CSG1.html#group24G1", "24G¹"), =HYPERLINK("CSG0.html#group6G0", "6G⁰"), =HYPERLINK("CSG1.html#group16A1", "16A¹"), =HYPERLINK("CSG0.html#group2B0", "2B⁰"), =HYPERLINK("CSG0.html#group8C0", "8C⁰"), =HYPERLINK("CSG1.html#group12S1", "12S¹"), =HYPERLINK("CSG0.html#group4B0", "4B⁰"), =HYPERLINK("CSG0.html#group1A0", "1A⁰"), =HYPERLINK("CSG2.html#group24B2", "24B²"), =HYPERLINK("CSG2.html#group24D2", "24D²"), =HYPERLINK("CSG5.html#group24R5", "24R⁵"), =HYPERLINK("CSG0.html#group3C0", "3C⁰"), =HYPERLINK("CSG0.html#group6K0", "6K⁰"), =HYPERLINK("CSG1.html#group12B1", "12B¹"), =HYPERLINK("CSG5.html#group48D5", "48D⁵"), =HYPERLINK("CSG3.html#group24K3", "24K³"), =HYPERLINK("CSG0.html#group12E0", "12E⁰"), =HYPERLINK("CSG0.html#group3A0", "3A⁰"), =HYPERLINK("CSG0.html#group6F0", "6F⁰"), =HYPERLINK("CSG5.html#group48B5", "48B⁵"), =HYPERLINK("CSG0.html#group3B0", "3B⁰"), =HYPERLINK("CSG5.html#group48A5", "48A⁵"), =HYPERLINK("CSG9.html#group48D9", "48D⁹"), =HYPERLINK("CSG0.html#group12G0", "12G⁰"), =HYPERLINK("CSG9.html#group48C9", "48C⁹"), =HYPERLINK("CSG0.html#group12D0", "12D⁰"), =HYPERLINK("CSG3.html#group24L3", "24L³"), =HYPERLINK("CSG0.html#group3D0", "3D⁰"), =HYPERLINK("CSG0.html#group6D0", "6D⁰")</f>
        <v/>
      </c>
      <c r="N4813" t="inlineStr"/>
    </row>
    <row r="4814">
      <c r="A4814" t="inlineStr">
        <is>
          <t>48D¹⁷</t>
        </is>
      </c>
      <c r="B4814" t="inlineStr"/>
      <c r="C4814" t="inlineStr">
        <is>
          <t>288</t>
        </is>
      </c>
      <c r="D4814" t="inlineStr">
        <is>
          <t>1</t>
        </is>
      </c>
      <c r="E4814" t="inlineStr">
        <is>
          <t>6</t>
        </is>
      </c>
      <c r="F4814" t="inlineStr">
        <is>
          <t>0</t>
        </is>
      </c>
      <c r="G4814" t="inlineStr">
        <is>
          <t>0</t>
        </is>
      </c>
      <c r="H4814" t="inlineStr">
        <is>
          <t>6⁸, 12⁴, 48⁴</t>
        </is>
      </c>
      <c r="I4814" t="n">
        <v>16</v>
      </c>
      <c r="J4814" t="inlineStr">
        <is>
          <t>1⁴, 2¹</t>
        </is>
      </c>
      <c r="K4814">
        <f>HYPERLINK("CSG1.html#group16M1", "16M¹"), =HYPERLINK("CSG8.html#group24B8", "24B⁸"), =HYPERLINK("CSG8.html#group48C8", "48C⁸"), =HYPERLINK("CSG8.html#group48E8", "48E⁸"), =HYPERLINK("CSG9.html#group48A9", "48A⁹"), =HYPERLINK("CSG9.html#group48B9", "48B⁹")</f>
        <v/>
      </c>
      <c r="L4814" t="inlineStr"/>
      <c r="M4814">
        <f>HYPERLINK("CSG0.html#group2A0", "2A⁰"), =HYPERLINK("CSG0.html#group16G0", "16G⁰"), =HYPERLINK("CSG0.html#group12C0", "12C⁰"), =HYPERLINK("CSG9.html#group48B9", "48B⁹"), =HYPERLINK("CSG0.html#group4C0", "4C⁰"), =HYPERLINK("CSG1.html#group6C1", "6C¹"), =HYPERLINK("CSG2.html#group12B2", "12B²"), =HYPERLINK("CSG1.html#group16A1", "16A¹"), =HYPERLINK("CSG0.html#group8C0", "8C⁰"), =HYPERLINK("CSG0.html#group2B0", "2B⁰"), =HYPERLINK("CSG0.html#group4E0", "4E⁰"), =HYPERLINK("CSG0.html#group4B0", "4B⁰"), =HYPERLINK("CSG0.html#group1A0", "1A⁰"), =HYPERLINK("CSG0.html#group16H0", "16H⁰"), =HYPERLINK("CSG2.html#group24B2", "24B²"), =HYPERLINK("CSG0.html#group16E0", "16E⁰"), =HYPERLINK("CSG0.html#group8G0", "8G⁰"), =HYPERLINK("CSG8.html#group48E8", "48E⁸"), =HYPERLINK("CSG0.html#group16C0", "16C⁰"), =HYPERLINK("CSG1.html#group12B1", "12B¹"), =HYPERLINK("CSG1.html#group16M1", "16M¹"), =HYPERLINK("CSG1.html#group6A1", "6A¹"), =HYPERLINK("CSG3.html#group48D3", "48D³"), =HYPERLINK("CSG0.html#group3A0", "3A⁰"), =HYPERLINK("CSG4.html#group48D4", "48D⁴"), =HYPERLINK("CSG5.html#group48A5", "48A⁵"), =HYPERLINK("CSG4.html#group24F4", "24F⁴"), =HYPERLINK("CSG0.html#group8D0", "8D⁰"), =HYPERLINK("CSG1.html#group16E1", "16E¹"), =HYPERLINK("CSG8.html#group24B8", "24B⁸"), =HYPERLINK("CSG0.html#group8I0", "8I⁰"), =HYPERLINK("CSG4.html#group24D4", "24D⁴"), =HYPERLINK("CSG4.html#group48B4", "48B⁴"), =HYPERLINK("CSG9.html#group48A9", "48A⁹"), =HYPERLINK("CSG0.html#group6A0", "6A⁰"), =HYPERLINK("CSG1.html#group16G1", "16G¹"), =HYPERLINK("CSG0.html#group16D0", "16D⁰"), =HYPERLINK("CSG8.html#group48C8", "48C⁸"), =HYPERLINK("CSG1.html#group24C1", "24C¹"), =HYPERLINK("CSG0.html#group8J0", "8J⁰"), =HYPERLINK("CSG0.html#group2C0", "2C⁰"), =HYPERLINK("CSG0.html#group6D0", "6D⁰"), =HYPERLINK("CSG4.html#group24G4", "24G⁴"), =HYPERLINK("CSG0.html#group8O0", "8O⁰")</f>
        <v/>
      </c>
      <c r="N4814" t="inlineStr"/>
    </row>
    <row r="4815">
      <c r="A4815" t="inlineStr">
        <is>
          <t>48E¹⁷</t>
        </is>
      </c>
      <c r="B4815" t="inlineStr"/>
      <c r="C4815" t="inlineStr">
        <is>
          <t>288</t>
        </is>
      </c>
      <c r="D4815" t="inlineStr">
        <is>
          <t>1</t>
        </is>
      </c>
      <c r="E4815" t="inlineStr">
        <is>
          <t>18</t>
        </is>
      </c>
      <c r="F4815" t="inlineStr">
        <is>
          <t>0</t>
        </is>
      </c>
      <c r="G4815" t="inlineStr">
        <is>
          <t>0</t>
        </is>
      </c>
      <c r="H4815" t="inlineStr">
        <is>
          <t>6⁸, 12⁴, 48⁴</t>
        </is>
      </c>
      <c r="I4815" t="n">
        <v>16</v>
      </c>
      <c r="J4815" t="inlineStr">
        <is>
          <t>1⁴, 2⁵, 4¹</t>
        </is>
      </c>
      <c r="K4815">
        <f>HYPERLINK("CSG7.html#group24J7", "24J⁷"), =HYPERLINK("CSG7.html#group48Q7", "48Q⁷"), =HYPERLINK("CSG9.html#group48C9", "48C⁹"), =HYPERLINK("CSG9.html#group48E9", "48E⁹"), =HYPERLINK("CSG9.html#group48AA9", "48AA⁹")</f>
        <v/>
      </c>
      <c r="L4815" t="inlineStr"/>
      <c r="M4815">
        <f>HYPERLINK("CSG0.html#group2A0", "2A⁰"), =HYPERLINK("CSG2.html#group24O2", "24O²"), =HYPERLINK("CSG1.html#group24E1", "24E¹"), =HYPERLINK("CSG1.html#group12K1", "12K¹"), =HYPERLINK("CSG0.html#group12C0", "12C⁰"), =HYPERLINK("CSG2.html#group12D2", "12D²"), =HYPERLINK("CSG1.html#group6C1", "6C¹"), =HYPERLINK("CSG0.html#group4C0", "4C⁰"), =HYPERLINK("CSG4.html#group48F4", "48F⁴"), =HYPERLINK("CSG0.html#group6G0", "6G⁰"), =HYPERLINK("CSG2.html#group12B2", "12B²"), =HYPERLINK("CSG7.html#group24J7", "24J⁷"), =HYPERLINK("CSG0.html#group8C0", "8C⁰"), =HYPERLINK("CSG0.html#group2B0", "2B⁰"), =HYPERLINK("CSG0.html#group4E0", "4E⁰"), =HYPERLINK("CSG2.html#group12E2", "12E²"), =HYPERLINK("CSG0.html#group4B0", "4B⁰"), =HYPERLINK("CSG3.html#group12G3", "12G³"), =HYPERLINK("CSG0.html#group1A0", "1A⁰"), =HYPERLINK("CSG3.html#group24O3", "24O³"), =HYPERLINK("CSG2.html#group24B2", "24B²"), =HYPERLINK("CSG1.html#group6B1", "6B¹"), =HYPERLINK("CSG0.html#group8G0", "8G⁰"), =HYPERLINK("CSG2.html#group24D2", "24D²"), =HYPERLINK("CSG0.html#group3C0", "3C⁰"), =HYPERLINK("CSG1.html#group12B1", "12B¹"), =HYPERLINK("CSG1.html#group6A1", "6A¹"), =HYPERLINK("CSG0.html#group6H0", "6H⁰"), =HYPERLINK("CSG0.html#group3A0", "3A⁰"), =HYPERLINK("CSG5.html#group48B5", "48B⁵"), =HYPERLINK("CSG1.html#group6E1", "6E¹"), =HYPERLINK("CSG9.html#group48E9", "48E⁹"), =HYPERLINK("CSG0.html#group6B0", "6B⁰"), =HYPERLINK("CSG0.html#group8D0", "8D⁰"), =HYPERLINK("CSG4.html#group24J4", "24J⁴"), =HYPERLINK("CSG1.html#group12L1", "12L¹"), =HYPERLINK("CSG4.html#group24D4", "24D⁴"), =HYPERLINK("CSG7.html#group48Q7", "48Q⁷"), =HYPERLINK("CSG9.html#group48AA9", "48AA⁹"), =HYPERLINK("CSG9.html#group48C9", "48C⁹"), =HYPERLINK("CSG0.html#group6A0", "6A⁰"), =HYPERLINK("CSG1.html#group12C1", "12C¹"), =HYPERLINK("CSG1.html#group24C1", "24C¹"), =HYPERLINK("CSG4.html#group24E4", "24E⁴"), =HYPERLINK("CSG0.html#group12D0", "12D⁰"), =HYPERLINK("CSG0.html#group12H0", "12H⁰"), =HYPERLINK("CSG3.html#group24L3", "24L³"), =HYPERLINK("CSG0.html#group2C0", "2C⁰"), =HYPERLINK("CSG0.html#group6D0", "6D⁰")</f>
        <v/>
      </c>
      <c r="N4815" t="inlineStr"/>
    </row>
    <row r="4816">
      <c r="A4816" t="inlineStr">
        <is>
          <t>48F¹⁷</t>
        </is>
      </c>
      <c r="B4816" t="inlineStr"/>
      <c r="C4816" t="inlineStr">
        <is>
          <t>288</t>
        </is>
      </c>
      <c r="D4816" t="inlineStr">
        <is>
          <t>1</t>
        </is>
      </c>
      <c r="E4816" t="inlineStr">
        <is>
          <t>18</t>
        </is>
      </c>
      <c r="F4816" t="inlineStr">
        <is>
          <t>0</t>
        </is>
      </c>
      <c r="G4816" t="inlineStr">
        <is>
          <t>0</t>
        </is>
      </c>
      <c r="H4816" t="inlineStr">
        <is>
          <t>6⁸, 12⁴, 48⁴</t>
        </is>
      </c>
      <c r="I4816" t="n">
        <v>16</v>
      </c>
      <c r="J4816" t="inlineStr">
        <is>
          <t>1⁴, 2⁵, 4¹</t>
        </is>
      </c>
      <c r="K4816">
        <f>HYPERLINK("CSG7.html#group24N7", "24N⁷"), =HYPERLINK("CSG7.html#group48Q7", "48Q⁷"), =HYPERLINK("CSG9.html#group48D9", "48D⁹"), =HYPERLINK("CSG9.html#group48G9", "48G⁹"), =HYPERLINK("CSG9.html#group48AA9", "48AA⁹")</f>
        <v/>
      </c>
      <c r="L4816" t="inlineStr"/>
      <c r="M4816">
        <f>HYPERLINK("CSG4.html#group24I4", "24I⁴"), =HYPERLINK("CSG1.html#group12K1", "12K¹"), =HYPERLINK("CSG2.html#group12D2", "12D²"), =HYPERLINK("CSG4.html#group48F4", "48F⁴"), =HYPERLINK("CSG0.html#group6G0", "6G⁰"), =HYPERLINK("CSG1.html#group16A1", "16A¹"), =HYPERLINK("CSG0.html#group8C0", "8C⁰"), =HYPERLINK("CSG0.html#group2B0", "2B⁰"), =HYPERLINK("CSG1.html#group12N1", "12N¹"), =HYPERLINK("CSG0.html#group4B0", "4B⁰"), =HYPERLINK("CSG0.html#group1A0", "1A⁰"), =HYPERLINK("CSG2.html#group24B2", "24B²"), =HYPERLINK("CSG2.html#group24D2", "24D²"), =HYPERLINK("CSG0.html#group3C0", "3C⁰"), =HYPERLINK("CSG1.html#group12B1", "12B¹"), =HYPERLINK("CSG9.html#group48G9", "48G⁹"), =HYPERLINK("CSG3.html#group24K3", "24K³"), =HYPERLINK("CSG0.html#group6H0", "6H⁰"), =HYPERLINK("CSG0.html#group3A0", "3A⁰"), =HYPERLINK("CSG5.html#group48B5", "48B⁵"), =HYPERLINK("CSG5.html#group48A5", "48A⁵"), =HYPERLINK("CSG0.html#group6B0", "6B⁰"), =HYPERLINK("CSG7.html#group24N7", "24N⁷"), =HYPERLINK("CSG4.html#group24J4", "24J⁴"), =HYPERLINK("CSG9.html#group48D9", "48D⁹"), =HYPERLINK("CSG7.html#group48Q7", "48Q⁷"), =HYPERLINK("CSG9.html#group48AA9", "48AA⁹"), =HYPERLINK("CSG1.html#group12C1", "12C¹"), =HYPERLINK("CSG0.html#group6E0", "6E⁰"), =HYPERLINK("CSG0.html#group6L0", "6L⁰"), =HYPERLINK("CSG3.html#group12E3", "12E³"), =HYPERLINK("CSG0.html#group12D0", "12D⁰"), =HYPERLINK("CSG3.html#group24L3", "24L³"), =HYPERLINK("CSG2.html#group12C2", "12C²"), =HYPERLINK("CSG0.html#group6D0", "6D⁰")</f>
        <v/>
      </c>
      <c r="N4816" t="inlineStr"/>
    </row>
    <row r="4817">
      <c r="A4817" t="inlineStr">
        <is>
          <t>48G¹⁷</t>
        </is>
      </c>
      <c r="B4817" t="inlineStr"/>
      <c r="C4817" t="inlineStr">
        <is>
          <t>288</t>
        </is>
      </c>
      <c r="D4817" t="inlineStr">
        <is>
          <t>1</t>
        </is>
      </c>
      <c r="E4817" t="inlineStr">
        <is>
          <t>18</t>
        </is>
      </c>
      <c r="F4817" t="inlineStr">
        <is>
          <t>0</t>
        </is>
      </c>
      <c r="G4817" t="inlineStr">
        <is>
          <t>0</t>
        </is>
      </c>
      <c r="H4817" t="inlineStr">
        <is>
          <t>6⁸, 12⁴, 48⁴</t>
        </is>
      </c>
      <c r="I4817" t="n">
        <v>16</v>
      </c>
      <c r="J4817" t="inlineStr">
        <is>
          <t>1⁴, 2⁵, 4¹</t>
        </is>
      </c>
      <c r="K4817">
        <f>HYPERLINK("CSG7.html#group24N7", "24N⁷"), =HYPERLINK("CSG7.html#group48R7", "48R⁷"), =HYPERLINK("CSG9.html#group48C9", "48C⁹"), =HYPERLINK("CSG9.html#group48F9", "48F⁹"), =HYPERLINK("CSG9.html#group48AA9", "48AA⁹")</f>
        <v/>
      </c>
      <c r="L4817" t="inlineStr"/>
      <c r="M4817">
        <f>HYPERLINK("CSG4.html#group24I4", "24I⁴"), =HYPERLINK("CSG1.html#group12K1", "12K¹"), =HYPERLINK("CSG2.html#group12D2", "12D²"), =HYPERLINK("CSG4.html#group48F4", "48F⁴"), =HYPERLINK("CSG0.html#group6G0", "6G⁰"), =HYPERLINK("CSG0.html#group8C0", "8C⁰"), =HYPERLINK("CSG0.html#group2B0", "2B⁰"), =HYPERLINK("CSG1.html#group12N1", "12N¹"), =HYPERLINK("CSG0.html#group4B0", "4B⁰"), =HYPERLINK("CSG0.html#group1A0", "1A⁰"), =HYPERLINK("CSG2.html#group24B2", "24B²"), =HYPERLINK("CSG7.html#group48R7", "48R⁷"), =HYPERLINK("CSG0.html#group16C0", "16C⁰"), =HYPERLINK("CSG2.html#group24D2", "24D²"), =HYPERLINK("CSG0.html#group3C0", "3C⁰"), =HYPERLINK("CSG1.html#group12B1", "12B¹"), =HYPERLINK("CSG3.html#group24K3", "24K³"), =HYPERLINK("CSG9.html#group48F9", "48F⁹"), =HYPERLINK("CSG0.html#group6H0", "6H⁰"), =HYPERLINK("CSG0.html#group3A0", "3A⁰"), =HYPERLINK("CSG5.html#group48B5", "48B⁵"), =HYPERLINK("CSG0.html#group6B0", "6B⁰"), =HYPERLINK("CSG7.html#group24N7", "24N⁷"), =HYPERLINK("CSG4.html#group24J4", "24J⁴"), =HYPERLINK("CSG4.html#group48B4", "48B⁴"), =HYPERLINK("CSG9.html#group48AA9", "48AA⁹"), =HYPERLINK("CSG9.html#group48C9", "48C⁹"), =HYPERLINK("CSG1.html#group12C1", "12C¹"), =HYPERLINK("CSG0.html#group6E0", "6E⁰"), =HYPERLINK("CSG0.html#group6L0", "6L⁰"), =HYPERLINK("CSG3.html#group12E3", "12E³"), =HYPERLINK("CSG0.html#group12D0", "12D⁰"), =HYPERLINK("CSG3.html#group24L3", "24L³"), =HYPERLINK("CSG2.html#group12C2", "12C²"), =HYPERLINK("CSG0.html#group6D0", "6D⁰")</f>
        <v/>
      </c>
      <c r="N4817" t="inlineStr"/>
    </row>
    <row r="4818">
      <c r="A4818" t="inlineStr">
        <is>
          <t>48H¹⁷</t>
        </is>
      </c>
      <c r="B4818" t="inlineStr"/>
      <c r="C4818" t="inlineStr">
        <is>
          <t>288</t>
        </is>
      </c>
      <c r="D4818" t="inlineStr">
        <is>
          <t>1</t>
        </is>
      </c>
      <c r="E4818" t="inlineStr">
        <is>
          <t>18</t>
        </is>
      </c>
      <c r="F4818" t="inlineStr">
        <is>
          <t>0</t>
        </is>
      </c>
      <c r="G4818" t="inlineStr">
        <is>
          <t>0</t>
        </is>
      </c>
      <c r="H4818" t="inlineStr">
        <is>
          <t>6⁸, 12⁴, 48⁴</t>
        </is>
      </c>
      <c r="I4818" t="n">
        <v>16</v>
      </c>
      <c r="J4818" t="inlineStr">
        <is>
          <t>1⁴, 2⁵, 4¹</t>
        </is>
      </c>
      <c r="K4818">
        <f>HYPERLINK("CSG8.html#group24B8", "24B⁸"), =HYPERLINK("CSG8.html#group48D8", "48D⁸"), =HYPERLINK("CSG8.html#group48I8", "48I⁸"), =HYPERLINK("CSG9.html#group48E9", "48E⁹"), =HYPERLINK("CSG9.html#group48O9", "48O⁹")</f>
        <v/>
      </c>
      <c r="L4818" t="inlineStr"/>
      <c r="M4818">
        <f>HYPERLINK("CSG0.html#group2A0", "2A⁰"), =HYPERLINK("CSG8.html#group48I8", "48I⁸"), =HYPERLINK("CSG0.html#group12C0", "12C⁰"), =HYPERLINK("CSG3.html#group48G3", "48G³"), =HYPERLINK("CSG1.html#group6C1", "6C¹"), =HYPERLINK("CSG0.html#group4C0", "4C⁰"), =HYPERLINK("CSG4.html#group48F4", "48F⁴"), =HYPERLINK("CSG2.html#group12B2", "12B²"), =HYPERLINK("CSG0.html#group8C0", "8C⁰"), =HYPERLINK("CSG0.html#group2B0", "2B⁰"), =HYPERLINK("CSG0.html#group4E0", "4E⁰"), =HYPERLINK("CSG0.html#group4B0", "4B⁰"), =HYPERLINK("CSG0.html#group1A0", "1A⁰"), =HYPERLINK("CSG2.html#group24B2", "24B²"), =HYPERLINK("CSG0.html#group8G0", "8G⁰"), =HYPERLINK("CSG1.html#group12B1", "12B¹"), =HYPERLINK("CSG1.html#group6A1", "6A¹"), =HYPERLINK("CSG0.html#group3A0", "3A⁰"), =HYPERLINK("CSG5.html#group48B5", "48B⁵"), =HYPERLINK("CSG4.html#group24F4", "24F⁴"), =HYPERLINK("CSG9.html#group48E9", "48E⁹"), =HYPERLINK("CSG0.html#group8D0", "8D⁰"), =HYPERLINK("CSG8.html#group24B8", "24B⁸"), =HYPERLINK("CSG0.html#group8I0", "8I⁰"), =HYPERLINK("CSG4.html#group48G4", "48G⁴"), =HYPERLINK("CSG4.html#group24D4", "24D⁴"), =HYPERLINK("CSG0.html#group6A0", "6A⁰"), =HYPERLINK("CSG8.html#group48D8", "48D⁸"), =HYPERLINK("CSG1.html#group24C1", "24C¹"), =HYPERLINK("CSG9.html#group48O9", "48O⁹"), =HYPERLINK("CSG0.html#group8J0", "8J⁰"), =HYPERLINK("CSG0.html#group2C0", "2C⁰"), =HYPERLINK("CSG0.html#group6D0", "6D⁰"), =HYPERLINK("CSG4.html#group24G4", "24G⁴"), =HYPERLINK("CSG0.html#group8O0", "8O⁰")</f>
        <v/>
      </c>
      <c r="N4818" t="inlineStr"/>
    </row>
    <row r="4819">
      <c r="A4819" t="inlineStr">
        <is>
          <t>48I¹⁷</t>
        </is>
      </c>
      <c r="B4819" t="inlineStr"/>
      <c r="C4819" t="inlineStr">
        <is>
          <t>288</t>
        </is>
      </c>
      <c r="D4819" t="inlineStr">
        <is>
          <t>1</t>
        </is>
      </c>
      <c r="E4819" t="inlineStr">
        <is>
          <t>18</t>
        </is>
      </c>
      <c r="F4819" t="inlineStr">
        <is>
          <t>0</t>
        </is>
      </c>
      <c r="G4819" t="inlineStr">
        <is>
          <t>0</t>
        </is>
      </c>
      <c r="H4819" t="inlineStr">
        <is>
          <t>6⁸, 12⁴, 48⁴</t>
        </is>
      </c>
      <c r="I4819" t="n">
        <v>16</v>
      </c>
      <c r="J4819" t="inlineStr">
        <is>
          <t>1⁴, 2⁵, 4¹</t>
        </is>
      </c>
      <c r="K4819">
        <f>HYPERLINK("CSG8.html#group24D8", "24D⁸"), =HYPERLINK("CSG8.html#group48C8", "48C⁸"), =HYPERLINK("CSG8.html#group48K8", "48K⁸"), =HYPERLINK("CSG9.html#group48E9", "48E⁹"), =HYPERLINK("CSG9.html#group48P9", "48P⁹")</f>
        <v/>
      </c>
      <c r="L4819" t="inlineStr"/>
      <c r="M4819">
        <f>HYPERLINK("CSG0.html#group2A0", "2A⁰"), =HYPERLINK("CSG0.html#group16G0", "16G⁰"), =HYPERLINK("CSG0.html#group12C0", "12C⁰"), =HYPERLINK("CSG1.html#group6C1", "6C¹"), =HYPERLINK("CSG0.html#group4C0", "4C⁰"), =HYPERLINK("CSG4.html#group48F4", "48F⁴"), =HYPERLINK("CSG2.html#group12B2", "12B²"), =HYPERLINK("CSG0.html#group8C0", "8C⁰"), =HYPERLINK("CSG0.html#group2B0", "2B⁰"), =HYPERLINK("CSG0.html#group4E0", "4E⁰"), =HYPERLINK("CSG0.html#group4B0", "4B⁰"), =HYPERLINK("CSG0.html#group1A0", "1A⁰"), =HYPERLINK("CSG2.html#group24B2", "24B²"), =HYPERLINK("CSG0.html#group16E0", "16E⁰"), =HYPERLINK("CSG0.html#group8G0", "8G⁰"), =HYPERLINK("CSG4.html#group24N4", "24N⁴"), =HYPERLINK("CSG4.html#group24M4", "24M⁴"), =HYPERLINK("CSG1.html#group12B1", "12B¹"), =HYPERLINK("CSG1.html#group6A1", "6A¹"), =HYPERLINK("CSG3.html#group48D3", "48D³"), =HYPERLINK("CSG0.html#group3A0", "3A⁰"), =HYPERLINK("CSG4.html#group48D4", "48D⁴"), =HYPERLINK("CSG5.html#group48B5", "48B⁵"), =HYPERLINK("CSG9.html#group48E9", "48E⁹"), =HYPERLINK("CSG8.html#group24D8", "24D⁸"), =HYPERLINK("CSG0.html#group8D0", "8D⁰"), =HYPERLINK("CSG8.html#group48K8", "48K⁸"), =HYPERLINK("CSG4.html#group24D4", "24D⁴"), =HYPERLINK("CSG9.html#group48P9", "48P⁹"), =HYPERLINK("CSG0.html#group6A0", "6A⁰"), =HYPERLINK("CSG0.html#group16D0", "16D⁰"), =HYPERLINK("CSG8.html#group48C8", "48C⁸"), =HYPERLINK("CSG1.html#group24C1", "24C¹"), =HYPERLINK("CSG0.html#group2C0", "2C⁰"), =HYPERLINK("CSG0.html#group6D0", "6D⁰")</f>
        <v/>
      </c>
      <c r="N4819" t="inlineStr"/>
    </row>
    <row r="4820">
      <c r="A4820" t="inlineStr">
        <is>
          <t>48J¹⁷</t>
        </is>
      </c>
      <c r="B4820" t="inlineStr"/>
      <c r="C4820" t="inlineStr">
        <is>
          <t>288</t>
        </is>
      </c>
      <c r="D4820" t="inlineStr">
        <is>
          <t>1</t>
        </is>
      </c>
      <c r="E4820" t="inlineStr">
        <is>
          <t>18</t>
        </is>
      </c>
      <c r="F4820" t="inlineStr">
        <is>
          <t>0</t>
        </is>
      </c>
      <c r="G4820" t="inlineStr">
        <is>
          <t>0</t>
        </is>
      </c>
      <c r="H4820" t="inlineStr">
        <is>
          <t>6⁸, 12⁴, 48⁴</t>
        </is>
      </c>
      <c r="I4820" t="n">
        <v>16</v>
      </c>
      <c r="J4820" t="inlineStr">
        <is>
          <t>1⁴, 2⁵, 4¹</t>
        </is>
      </c>
      <c r="K4820">
        <f>HYPERLINK("CSG8.html#group24D8", "24D⁸"), =HYPERLINK("CSG8.html#group48D8", "48D⁸"), =HYPERLINK("CSG8.html#group48J8", "48J⁸"), =HYPERLINK("CSG9.html#group48A9", "48A⁹"), =HYPERLINK("CSG9.html#group48Q9", "48Q⁹")</f>
        <v/>
      </c>
      <c r="L4820" t="inlineStr"/>
      <c r="M4820">
        <f>HYPERLINK("CSG0.html#group2A0", "2A⁰"), =HYPERLINK("CSG0.html#group12C0", "12C⁰"), =HYPERLINK("CSG3.html#group48G3", "48G³"), =HYPERLINK("CSG9.html#group48Q9", "48Q⁹"), =HYPERLINK("CSG0.html#group4C0", "4C⁰"), =HYPERLINK("CSG1.html#group6C1", "6C¹"), =HYPERLINK("CSG2.html#group12B2", "12B²"), =HYPERLINK("CSG1.html#group16A1", "16A¹"), =HYPERLINK("CSG0.html#group8C0", "8C⁰"), =HYPERLINK("CSG0.html#group2B0", "2B⁰"), =HYPERLINK("CSG0.html#group4E0", "4E⁰"), =HYPERLINK("CSG0.html#group4B0", "4B⁰"), =HYPERLINK("CSG0.html#group1A0", "1A⁰"), =HYPERLINK("CSG2.html#group24B2", "24B²"), =HYPERLINK("CSG0.html#group8G0", "8G⁰"), =HYPERLINK("CSG4.html#group24N4", "24N⁴"), =HYPERLINK("CSG0.html#group16C0", "16C⁰"), =HYPERLINK("CSG4.html#group24M4", "24M⁴"), =HYPERLINK("CSG1.html#group12B1", "12B¹"), =HYPERLINK("CSG8.html#group48J8", "48J⁸"), =HYPERLINK("CSG1.html#group6A1", "6A¹"), =HYPERLINK("CSG0.html#group3A0", "3A⁰"), =HYPERLINK("CSG5.html#group48A5", "48A⁵"), =HYPERLINK("CSG8.html#group24D8", "24D⁸"), =HYPERLINK("CSG0.html#group8D0", "8D⁰"), =HYPERLINK("CSG1.html#group16E1", "16E¹"), =HYPERLINK("CSG4.html#group24D4", "24D⁴"), =HYPERLINK("CSG4.html#group48G4", "48G⁴"), =HYPERLINK("CSG4.html#group48B4", "48B⁴"), =HYPERLINK("CSG9.html#group48A9", "48A⁹"), =HYPERLINK("CSG0.html#group6A0", "6A⁰"), =HYPERLINK("CSG8.html#group48D8", "48D⁸"), =HYPERLINK("CSG1.html#group24C1", "24C¹"), =HYPERLINK("CSG0.html#group2C0", "2C⁰"), =HYPERLINK("CSG0.html#group6D0", "6D⁰")</f>
        <v/>
      </c>
      <c r="N4820" t="inlineStr"/>
    </row>
    <row r="4821">
      <c r="A4821" t="inlineStr">
        <is>
          <t>48K¹⁷</t>
        </is>
      </c>
      <c r="B4821" t="inlineStr"/>
      <c r="C4821" t="inlineStr">
        <is>
          <t>288</t>
        </is>
      </c>
      <c r="D4821" t="inlineStr">
        <is>
          <t>1</t>
        </is>
      </c>
      <c r="E4821" t="inlineStr">
        <is>
          <t>18</t>
        </is>
      </c>
      <c r="F4821" t="inlineStr">
        <is>
          <t>0</t>
        </is>
      </c>
      <c r="G4821" t="inlineStr">
        <is>
          <t>0</t>
        </is>
      </c>
      <c r="H4821" t="inlineStr">
        <is>
          <t>6⁸, 12⁴, 48⁴</t>
        </is>
      </c>
      <c r="I4821" t="n">
        <v>16</v>
      </c>
      <c r="J4821" t="inlineStr">
        <is>
          <t>1⁴, 2⁵, 4¹</t>
        </is>
      </c>
      <c r="K4821">
        <f>HYPERLINK("CSG7.html#group24J7", "24J⁷"), =HYPERLINK("CSG7.html#group48R7", "48R⁷"), =HYPERLINK("CSG9.html#group48A9", "48A⁹"), =HYPERLINK("CSG9.html#group48D9", "48D⁹"), =HYPERLINK("CSG9.html#group48E9", "48E⁹"), =HYPERLINK("CSG9.html#group48F9", "48F⁹"), =HYPERLINK("CSG9.html#group48G9", "48G⁹")</f>
        <v/>
      </c>
      <c r="L4821" t="inlineStr"/>
      <c r="M4821">
        <f>HYPERLINK("CSG0.html#group2A0", "2A⁰"), =HYPERLINK("CSG2.html#group24O2", "24O²"), =HYPERLINK("CSG1.html#group24E1", "24E¹"), =HYPERLINK("CSG0.html#group12C0", "12C⁰"), =HYPERLINK("CSG1.html#group12K1", "12K¹"), =HYPERLINK("CSG2.html#group12D2", "12D²"), =HYPERLINK("CSG0.html#group4C0", "4C⁰"), =HYPERLINK("CSG1.html#group6C1", "6C¹"), =HYPERLINK("CSG2.html#group12B2", "12B²"), =HYPERLINK("CSG4.html#group48F4", "48F⁴"), =HYPERLINK("CSG0.html#group6G0", "6G⁰"), =HYPERLINK("CSG7.html#group24J7", "24J⁷"), =HYPERLINK("CSG1.html#group16A1", "16A¹"), =HYPERLINK("CSG0.html#group8C0", "8C⁰"), =HYPERLINK("CSG0.html#group2B0", "2B⁰"), =HYPERLINK("CSG0.html#group4E0", "4E⁰"), =HYPERLINK("CSG0.html#group4B0", "4B⁰"), =HYPERLINK("CSG2.html#group12E2", "12E²"), =HYPERLINK("CSG0.html#group1A0", "1A⁰"), =HYPERLINK("CSG3.html#group12G3", "12G³"), =HYPERLINK("CSG3.html#group24O3", "24O³"), =HYPERLINK("CSG2.html#group24B2", "24B²"), =HYPERLINK("CSG7.html#group48R7", "48R⁷"), =HYPERLINK("CSG1.html#group6B1", "6B¹"), =HYPERLINK("CSG0.html#group8G0", "8G⁰"), =HYPERLINK("CSG0.html#group16C0", "16C⁰"), =HYPERLINK("CSG2.html#group24D2", "24D²"), =HYPERLINK("CSG0.html#group3C0", "3C⁰"), =HYPERLINK("CSG1.html#group12B1", "12B¹"), =HYPERLINK("CSG9.html#group48G9", "48G⁹"), =HYPERLINK("CSG9.html#group48F9", "48F⁹"), =HYPERLINK("CSG1.html#group6A1", "6A¹"), =HYPERLINK("CSG0.html#group3A0", "3A⁰"), =HYPERLINK("CSG0.html#group6H0", "6H⁰"), =HYPERLINK("CSG5.html#group48B5", "48B⁵"), =HYPERLINK("CSG1.html#group6E1", "6E¹"), =HYPERLINK("CSG5.html#group48A5", "48A⁵"), =HYPERLINK("CSG9.html#group48E9", "48E⁹"), =HYPERLINK("CSG0.html#group6B0", "6B⁰"), =HYPERLINK("CSG0.html#group8D0", "8D⁰"), =HYPERLINK("CSG1.html#group16E1", "16E¹"), =HYPERLINK("CSG4.html#group24J4", "24J⁴"), =HYPERLINK("CSG9.html#group48D9", "48D⁹"), =HYPERLINK("CSG1.html#group12L1", "12L¹"), =HYPERLINK("CSG4.html#group24D4", "24D⁴"), =HYPERLINK("CSG4.html#group48B4", "48B⁴"), =HYPERLINK("CSG9.html#group48A9", "48A⁹"), =HYPERLINK("CSG0.html#group6A0", "6A⁰"), =HYPERLINK("CSG1.html#group12C1", "12C¹"), =HYPERLINK("CSG1.html#group24C1", "24C¹"), =HYPERLINK("CSG4.html#group24E4", "24E⁴"), =HYPERLINK("CSG0.html#group12D0", "12D⁰"), =HYPERLINK("CSG0.html#group12H0", "12H⁰"), =HYPERLINK("CSG3.html#group24L3", "24L³"), =HYPERLINK("CSG0.html#group2C0", "2C⁰"), =HYPERLINK("CSG0.html#group6D0", "6D⁰")</f>
        <v/>
      </c>
      <c r="N4821" t="inlineStr"/>
    </row>
    <row r="4822">
      <c r="A4822" t="inlineStr">
        <is>
          <t>48L¹⁷</t>
        </is>
      </c>
      <c r="B4822" t="inlineStr"/>
      <c r="C4822" t="inlineStr">
        <is>
          <t>288</t>
        </is>
      </c>
      <c r="D4822" t="inlineStr">
        <is>
          <t>1</t>
        </is>
      </c>
      <c r="E4822" t="inlineStr">
        <is>
          <t>18</t>
        </is>
      </c>
      <c r="F4822" t="inlineStr">
        <is>
          <t>16</t>
        </is>
      </c>
      <c r="G4822" t="inlineStr">
        <is>
          <t>0</t>
        </is>
      </c>
      <c r="H4822" t="inlineStr">
        <is>
          <t>24⁴, 48⁴</t>
        </is>
      </c>
      <c r="I4822" t="n">
        <v>8</v>
      </c>
      <c r="J4822" t="inlineStr">
        <is>
          <t>2³, 4³</t>
        </is>
      </c>
      <c r="K4822">
        <f>HYPERLINK("CSG5.html#group24S5", "24S⁵"), =HYPERLINK("CSG9.html#group48H9", "48H⁹"), =HYPERLINK("CSG9.html#group48I9", "48I⁹")</f>
        <v/>
      </c>
      <c r="L4822" t="inlineStr"/>
      <c r="M4822">
        <f>HYPERLINK("CSG1.html#group12T1", "12T¹"), =HYPERLINK("CSG0.html#group6B0", "6B⁰"), =HYPERLINK("CSG0.html#group12C0", "12C⁰"), =HYPERLINK("CSG0.html#group4C0", "4C⁰"), =HYPERLINK("CSG1.html#group24D1", "24D¹"), =HYPERLINK("CSG3.html#group24I3", "24I³"), =HYPERLINK("CSG0.html#group6G0", "6G⁰"), =HYPERLINK("CSG0.html#group8B0", "8B⁰"), =HYPERLINK("CSG0.html#group2B0", "2B⁰"), =HYPERLINK("CSG9.html#group48I9", "48I⁹"), =HYPERLINK("CSG2.html#group24C2", "24C²"), =HYPERLINK("CSG1.html#group12N1", "12N¹"), =HYPERLINK("CSG0.html#group12H0", "12H⁰"), =HYPERLINK("CSG0.html#group1A0", "1A⁰"), =HYPERLINK("CSG1.html#group12L1", "12L¹"), =HYPERLINK("CSG0.html#group12G0", "12G⁰"), =HYPERLINK("CSG1.html#group12C1", "12C¹"), =HYPERLINK("CSG3.html#group24H3", "24H³"), =HYPERLINK("CSG9.html#group48H9", "48H⁹"), =HYPERLINK("CSG0.html#group6E0", "6E⁰"), =HYPERLINK("CSG0.html#group6L0", "6L⁰"), =HYPERLINK("CSG3.html#group24S3", "24S³"), =HYPERLINK("CSG0.html#group24A0", "24A⁰"), =HYPERLINK("CSG5.html#group24S5", "24S⁵"), =HYPERLINK("CSG0.html#group3C0", "3C⁰"), =HYPERLINK("CSG0.html#group12D0", "12D⁰"), =HYPERLINK("CSG0.html#group6H0", "6H⁰"), =HYPERLINK("CSG0.html#group3A0", "3A⁰"), =HYPERLINK("CSG1.html#group24H1", "24H¹"), =HYPERLINK("CSG0.html#group6D0", "6D⁰")</f>
        <v/>
      </c>
      <c r="N4822" t="inlineStr"/>
    </row>
    <row r="4823">
      <c r="A4823" t="inlineStr">
        <is>
          <t>48M¹⁷</t>
        </is>
      </c>
      <c r="B4823" t="inlineStr"/>
      <c r="C4823" t="inlineStr">
        <is>
          <t>288</t>
        </is>
      </c>
      <c r="D4823" t="inlineStr">
        <is>
          <t>1</t>
        </is>
      </c>
      <c r="E4823" t="inlineStr">
        <is>
          <t>18</t>
        </is>
      </c>
      <c r="F4823" t="inlineStr">
        <is>
          <t>16</t>
        </is>
      </c>
      <c r="G4823" t="inlineStr">
        <is>
          <t>0</t>
        </is>
      </c>
      <c r="H4823" t="inlineStr">
        <is>
          <t>24⁴, 48⁴</t>
        </is>
      </c>
      <c r="I4823" t="n">
        <v>8</v>
      </c>
      <c r="J4823" t="inlineStr">
        <is>
          <t>1², 2⁴, 4²</t>
        </is>
      </c>
      <c r="K4823">
        <f>HYPERLINK("CSG5.html#group24S5", "24S⁵"), =HYPERLINK("CSG7.html#group48S7", "48S⁷"), =HYPERLINK("CSG7.html#group48T7", "48T⁷"), =HYPERLINK("CSG9.html#group48J9", "48J⁹"), =HYPERLINK("CSG9.html#group48M9", "48M⁹")</f>
        <v/>
      </c>
      <c r="L4823" t="inlineStr"/>
      <c r="M4823">
        <f>HYPERLINK("CSG1.html#group12T1", "12T¹"), =HYPERLINK("CSG0.html#group12C0", "12C⁰"), =HYPERLINK("CSG9.html#group48M9", "48M⁹"), =HYPERLINK("CSG0.html#group4C0", "4C⁰"), =HYPERLINK("CSG3.html#group24I3", "24I³"), =HYPERLINK("CSG0.html#group6G0", "6G⁰"), =HYPERLINK("CSG0.html#group2B0", "2B⁰"), =HYPERLINK("CSG2.html#group24C2", "24C²"), =HYPERLINK("CSG1.html#group12N1", "12N¹"), =HYPERLINK("CSG0.html#group1A0", "1A⁰"), =HYPERLINK("CSG7.html#group48S7", "48S⁷"), =HYPERLINK("CSG7.html#group48T7", "48T⁷"), =HYPERLINK("CSG3.html#group24H3", "24H³"), =HYPERLINK("CSG0.html#group24A0", "24A⁰"), =HYPERLINK("CSG3.html#group24S3", "24S³"), =HYPERLINK("CSG5.html#group24S5", "24S⁵"), =HYPERLINK("CSG0.html#group3C0", "3C⁰"), =HYPERLINK("CSG0.html#group6H0", "6H⁰"), =HYPERLINK("CSG0.html#group3A0", "3A⁰"), =HYPERLINK("CSG1.html#group24H1", "24H¹"), =HYPERLINK("CSG0.html#group6B0", "6B⁰"), =HYPERLINK("CSG9.html#group48J9", "48J⁹"), =HYPERLINK("CSG1.html#group24D1", "24D¹"), =HYPERLINK("CSG0.html#group8B0", "8B⁰"), =HYPERLINK("CSG1.html#group16B1", "16B¹"), =HYPERLINK("CSG1.html#group12L1", "12L¹"), =HYPERLINK("CSG3.html#group48C3", "48C³"), =HYPERLINK("CSG0.html#group12G0", "12G⁰"), =HYPERLINK("CSG1.html#group12C1", "12C¹"), =HYPERLINK("CSG0.html#group6E0", "6E⁰"), =HYPERLINK("CSG0.html#group6L0", "6L⁰"), =HYPERLINK("CSG0.html#group12D0", "12D⁰"), =HYPERLINK("CSG3.html#group48F3", "48F³"), =HYPERLINK("CSG0.html#group12H0", "12H⁰"), =HYPERLINK("CSG0.html#group6D0", "6D⁰")</f>
        <v/>
      </c>
      <c r="N4823" t="inlineStr"/>
    </row>
    <row r="4824">
      <c r="A4824" t="inlineStr">
        <is>
          <t>48N¹⁷</t>
        </is>
      </c>
      <c r="B4824" t="inlineStr"/>
      <c r="C4824" t="inlineStr">
        <is>
          <t>288</t>
        </is>
      </c>
      <c r="D4824" t="inlineStr">
        <is>
          <t>1</t>
        </is>
      </c>
      <c r="E4824" t="inlineStr">
        <is>
          <t>18</t>
        </is>
      </c>
      <c r="F4824" t="inlineStr">
        <is>
          <t>16</t>
        </is>
      </c>
      <c r="G4824" t="inlineStr">
        <is>
          <t>0</t>
        </is>
      </c>
      <c r="H4824" t="inlineStr">
        <is>
          <t>24⁴, 48⁴</t>
        </is>
      </c>
      <c r="I4824" t="n">
        <v>8</v>
      </c>
      <c r="J4824" t="inlineStr">
        <is>
          <t>1², 2⁴, 4²</t>
        </is>
      </c>
      <c r="K4824">
        <f>HYPERLINK("CSG5.html#group48G5", "48G⁵"), =HYPERLINK("CSG7.html#group24O7", "24O⁷"), =HYPERLINK("CSG7.html#group48N7", "48N⁷"), =HYPERLINK("CSG9.html#group48J9", "48J⁹"), =HYPERLINK("CSG9.html#group48AB9", "48AB⁹")</f>
        <v/>
      </c>
      <c r="L4824" t="inlineStr"/>
      <c r="M4824">
        <f>HYPERLINK("CSG1.html#group24E1", "24E¹"), =HYPERLINK("CSG0.html#group12C0", "12C⁰"), =HYPERLINK("CSG4.html#group24P4", "24P⁴"), =HYPERLINK("CSG7.html#group24O7", "24O⁷"), =HYPERLINK("CSG9.html#group48J9", "48J⁹"), =HYPERLINK("CSG0.html#group4C0", "4C⁰"), =HYPERLINK("CSG3.html#group24I3", "24I³"), =HYPERLINK("CSG0.html#group6G0", "6G⁰"), =HYPERLINK("CSG2.html#group24P2", "24P²"), =HYPERLINK("CSG0.html#group8B0", "8B⁰"), =HYPERLINK("CSG1.html#group12M1", "12M¹"), =HYPERLINK("CSG0.html#group2B0", "2B⁰"), =HYPERLINK("CSG2.html#group24C2", "24C²"), =HYPERLINK("CSG0.html#group48A0", "48A⁰"), =HYPERLINK("CSG5.html#group48G5", "48G⁵"), =HYPERLINK("CSG0.html#group1A0", "1A⁰"), =HYPERLINK("CSG1.html#group12L1", "12L¹"), =HYPERLINK("CSG4.html#group48C4", "48C⁴"), =HYPERLINK("CSG0.html#group16B0", "16B⁰"), =HYPERLINK("CSG1.html#group12C1", "12C¹"), =HYPERLINK("CSG3.html#group12I3", "12I³"), =HYPERLINK("CSG0.html#group24A0", "24A⁰"), =HYPERLINK("CSG7.html#group48N7", "48N⁷"), =HYPERLINK("CSG3.html#group24N3", "24N³"), =HYPERLINK("CSG9.html#group48AB9", "48AB⁹"), =HYPERLINK("CSG0.html#group3C0", "3C⁰"), =HYPERLINK("CSG3.html#group48F3", "48F³"), =HYPERLINK("CSG0.html#group3A0", "3A⁰"), =HYPERLINK("CSG0.html#group6D0", "6D⁰")</f>
        <v/>
      </c>
      <c r="N4824" t="inlineStr"/>
    </row>
    <row r="4825">
      <c r="A4825" t="inlineStr">
        <is>
          <t>48O¹⁷</t>
        </is>
      </c>
      <c r="B4825" t="inlineStr"/>
      <c r="C4825" t="inlineStr">
        <is>
          <t>288</t>
        </is>
      </c>
      <c r="D4825" t="inlineStr">
        <is>
          <t>1</t>
        </is>
      </c>
      <c r="E4825" t="inlineStr">
        <is>
          <t>18</t>
        </is>
      </c>
      <c r="F4825" t="inlineStr">
        <is>
          <t>16</t>
        </is>
      </c>
      <c r="G4825" t="inlineStr">
        <is>
          <t>0</t>
        </is>
      </c>
      <c r="H4825" t="inlineStr">
        <is>
          <t>24⁴, 48⁴</t>
        </is>
      </c>
      <c r="I4825" t="n">
        <v>8</v>
      </c>
      <c r="J4825" t="inlineStr">
        <is>
          <t>1², 2⁴, 4²</t>
        </is>
      </c>
      <c r="K4825">
        <f>HYPERLINK("CSG7.html#group24O7", "24O⁷"), =HYPERLINK("CSG7.html#group48M7", "48M⁷"), =HYPERLINK("CSG7.html#group48V7", "48V⁷"), =HYPERLINK("CSG7.html#group48AI7", "48AI⁷"), =HYPERLINK("CSG9.html#group48M9", "48M⁹")</f>
        <v/>
      </c>
      <c r="L4825" t="inlineStr"/>
      <c r="M4825">
        <f>HYPERLINK("CSG7.html#group48AI7", "48AI⁷"), =HYPERLINK("CSG1.html#group24E1", "24E¹"), =HYPERLINK("CSG0.html#group12C0", "12C⁰"), =HYPERLINK("CSG4.html#group24P4", "24P⁴"), =HYPERLINK("CSG7.html#group24O7", "24O⁷"), =HYPERLINK("CSG9.html#group48M9", "48M⁹"), =HYPERLINK("CSG0.html#group4C0", "4C⁰"), =HYPERLINK("CSG0.html#group8B0", "8B⁰"), =HYPERLINK("CSG3.html#group24I3", "24I³"), =HYPERLINK("CSG2.html#group24P2", "24P²"), =HYPERLINK("CSG1.html#group16B1", "16B¹"), =HYPERLINK("CSG0.html#group2B0", "2B⁰"), =HYPERLINK("CSG1.html#group12M1", "12M¹"), =HYPERLINK("CSG0.html#group6G0", "6G⁰"), =HYPERLINK("CSG2.html#group24C2", "24C²"), =HYPERLINK("CSG0.html#group1A0", "1A⁰"), =HYPERLINK("CSG1.html#group12L1", "12L¹"), =HYPERLINK("CSG3.html#group48C3", "48C³"), =HYPERLINK("CSG7.html#group48V7", "48V⁷"), =HYPERLINK("CSG7.html#group48M7", "48M⁷"), =HYPERLINK("CSG1.html#group12C1", "12C¹"), =HYPERLINK("CSG0.html#group24A0", "24A⁰"), =HYPERLINK("CSG3.html#group12I3", "12I³"), =HYPERLINK("CSG3.html#group24N3", "24N³"), =HYPERLINK("CSG2.html#group48A2", "48A²"), =HYPERLINK("CSG0.html#group3C0", "3C⁰"), =HYPERLINK("CSG3.html#group48F3", "48F³"), =HYPERLINK("CSG0.html#group3A0", "3A⁰"), =HYPERLINK("CSG0.html#group6D0", "6D⁰")</f>
        <v/>
      </c>
      <c r="N4825" t="inlineStr"/>
    </row>
    <row r="4826">
      <c r="A4826" t="inlineStr">
        <is>
          <t>48P¹⁷</t>
        </is>
      </c>
      <c r="B4826" t="inlineStr"/>
      <c r="C4826" t="inlineStr">
        <is>
          <t>288</t>
        </is>
      </c>
      <c r="D4826" t="inlineStr">
        <is>
          <t>1</t>
        </is>
      </c>
      <c r="E4826" t="inlineStr">
        <is>
          <t>18</t>
        </is>
      </c>
      <c r="F4826" t="inlineStr">
        <is>
          <t>16</t>
        </is>
      </c>
      <c r="G4826" t="inlineStr">
        <is>
          <t>0</t>
        </is>
      </c>
      <c r="H4826" t="inlineStr">
        <is>
          <t>24⁴, 48⁴</t>
        </is>
      </c>
      <c r="I4826" t="n">
        <v>8</v>
      </c>
      <c r="J4826" t="inlineStr">
        <is>
          <t>1², 2⁴, 4²</t>
        </is>
      </c>
      <c r="K4826">
        <f>HYPERLINK("CSG7.html#group24R7", "24R⁷"), =HYPERLINK("CSG7.html#group48M7", "48M⁷"), =HYPERLINK("CSG7.html#group48U7", "48U⁷"), =HYPERLINK("CSG7.html#group48AI7", "48AI⁷"), =HYPERLINK("CSG9.html#group48J9", "48J⁹")</f>
        <v/>
      </c>
      <c r="L4826" t="inlineStr"/>
      <c r="M4826">
        <f>HYPERLINK("CSG1.html#group24E1", "24E¹"), =HYPERLINK("CSG0.html#group12C0", "12C⁰"), =HYPERLINK("CSG0.html#group4C0", "4C⁰"), =HYPERLINK("CSG3.html#group24I3", "24I³"), =HYPERLINK("CSG0.html#group6G0", "6G⁰"), =HYPERLINK("CSG2.html#group24P2", "24P²"), =HYPERLINK("CSG1.html#group12M1", "12M¹"), =HYPERLINK("CSG0.html#group2B0", "2B⁰"), =HYPERLINK("CSG2.html#group24C2", "24C²"), =HYPERLINK("CSG0.html#group1A0", "1A⁰"), =HYPERLINK("CSG3.html#group24O3", "24O³"), =HYPERLINK("CSG7.html#group48M7", "48M⁷"), =HYPERLINK("CSG7.html#group24R7", "24R⁷"), =HYPERLINK("CSG0.html#group24A0", "24A⁰"), =HYPERLINK("CSG0.html#group3C0", "3C⁰"), =HYPERLINK("CSG0.html#group3A0", "3A⁰"), =HYPERLINK("CSG1.html#group12G1", "12G¹"), =HYPERLINK("CSG7.html#group48AI7", "48AI⁷"), =HYPERLINK("CSG0.html#group8D0", "8D⁰"), =HYPERLINK("CSG9.html#group48J9", "48J⁹"), =HYPERLINK("CSG0.html#group8B0", "8B⁰"), =HYPERLINK("CSG7.html#group48U7", "48U⁷"), =HYPERLINK("CSG2.html#group24L2", "24L²"), =HYPERLINK("CSG1.html#group12L1", "12L¹"), =HYPERLINK("CSG3.html#group12J3", "12J³"), =HYPERLINK("CSG0.html#group8H0", "8H⁰"), =HYPERLINK("CSG0.html#group12A0", "12A⁰"), =HYPERLINK("CSG1.html#group12C1", "12C¹"), =HYPERLINK("CSG0.html#group4A0", "4A⁰"), =HYPERLINK("CSG4.html#group24K4", "24K⁴"), =HYPERLINK("CSG1.html#group24C1", "24C¹"), =HYPERLINK("CSG2.html#group48A2", "48A²"), =HYPERLINK("CSG1.html#group12J1", "12J¹"), =HYPERLINK("CSG0.html#group4F0", "4F⁰"), =HYPERLINK("CSG3.html#group48F3", "48F³"), =HYPERLINK("CSG4.html#group24L4", "24L⁴"), =HYPERLINK("CSG0.html#group6D0", "6D⁰")</f>
        <v/>
      </c>
      <c r="N4826" t="inlineStr"/>
    </row>
    <row r="4827">
      <c r="A4827" t="inlineStr">
        <is>
          <t>48Q¹⁷</t>
        </is>
      </c>
      <c r="B4827" t="inlineStr"/>
      <c r="C4827" t="inlineStr">
        <is>
          <t>288</t>
        </is>
      </c>
      <c r="D4827" t="inlineStr">
        <is>
          <t>1</t>
        </is>
      </c>
      <c r="E4827" t="inlineStr">
        <is>
          <t>18</t>
        </is>
      </c>
      <c r="F4827" t="inlineStr">
        <is>
          <t>16</t>
        </is>
      </c>
      <c r="G4827" t="inlineStr">
        <is>
          <t>0</t>
        </is>
      </c>
      <c r="H4827" t="inlineStr">
        <is>
          <t>24⁴, 48⁴</t>
        </is>
      </c>
      <c r="I4827" t="n">
        <v>8</v>
      </c>
      <c r="J4827" t="inlineStr">
        <is>
          <t>1², 2⁴, 4²</t>
        </is>
      </c>
      <c r="K4827">
        <f>HYPERLINK("CSG5.html#group48E5", "48E⁵"), =HYPERLINK("CSG5.html#group48G5", "48G⁵"), =HYPERLINK("CSG7.html#group24R7", "24R⁷"), =HYPERLINK("CSG7.html#group48N7", "48N⁷"), =HYPERLINK("CSG9.html#group48K9", "48K⁹"), =HYPERLINK("CSG9.html#group48L9", "48L⁹"), =HYPERLINK("CSG9.html#group48M9", "48M⁹")</f>
        <v/>
      </c>
      <c r="L4827" t="inlineStr"/>
      <c r="M4827">
        <f>HYPERLINK("CSG1.html#group24E1", "24E¹"), =HYPERLINK("CSG0.html#group12C0", "12C⁰"), =HYPERLINK("CSG9.html#group48M9", "48M⁹"), =HYPERLINK("CSG0.html#group4C0", "4C⁰"), =HYPERLINK("CSG3.html#group24I3", "24I³"), =HYPERLINK("CSG0.html#group6G0", "6G⁰"), =HYPERLINK("CSG2.html#group24P2", "24P²"), =HYPERLINK("CSG0.html#group2B0", "2B⁰"), =HYPERLINK("CSG1.html#group12M1", "12M¹"), =HYPERLINK("CSG2.html#group24C2", "24C²"), =HYPERLINK("CSG0.html#group1A0", "1A⁰"), =HYPERLINK("CSG3.html#group24O3", "24O³"), =HYPERLINK("CSG0.html#group16B0", "16B⁰"), =HYPERLINK("CSG7.html#group24R7", "24R⁷"), =HYPERLINK("CSG0.html#group24A0", "24A⁰"), =HYPERLINK("CSG0.html#group3C0", "3C⁰"), =HYPERLINK("CSG1.html#group16F1", "16F¹"), =HYPERLINK("CSG0.html#group3A0", "3A⁰"), =HYPERLINK("CSG1.html#group12G1", "12G¹"), =HYPERLINK("CSG5.html#group48E5", "48E⁵"), =HYPERLINK("CSG0.html#group8D0", "8D⁰"), =HYPERLINK("CSG9.html#group48K9", "48K⁹"), =HYPERLINK("CSG0.html#group8B0", "8B⁰"), =HYPERLINK("CSG1.html#group16B1", "16B¹"), =HYPERLINK("CSG0.html#group48A0", "48A⁰"), =HYPERLINK("CSG2.html#group24L2", "24L²"), =HYPERLINK("CSG5.html#group48G5", "48G⁵"), =HYPERLINK("CSG1.html#group12L1", "12L¹"), =HYPERLINK("CSG3.html#group12J3", "12J³"), =HYPERLINK("CSG4.html#group48C4", "48C⁴"), =HYPERLINK("CSG0.html#group8H0", "8H⁰"), =HYPERLINK("CSG3.html#group48C3", "48C³"), =HYPERLINK("CSG9.html#group48L9", "48L⁹"), =HYPERLINK("CSG0.html#group12A0", "12A⁰"), =HYPERLINK("CSG1.html#group12C1", "12C¹"), =HYPERLINK("CSG7.html#group48N7", "48N⁷"), =HYPERLINK("CSG0.html#group4A0", "4A⁰"), =HYPERLINK("CSG4.html#group24K4", "24K⁴"), =HYPERLINK("CSG1.html#group24C1", "24C¹"), =HYPERLINK("CSG1.html#group12J1", "12J¹"), =HYPERLINK("CSG0.html#group4F0", "4F⁰"), =HYPERLINK("CSG3.html#group48F3", "48F³"), =HYPERLINK("CSG4.html#group24L4", "24L⁴"), =HYPERLINK("CSG0.html#group6D0", "6D⁰")</f>
        <v/>
      </c>
      <c r="N4827" t="inlineStr"/>
    </row>
    <row r="4828">
      <c r="A4828" t="inlineStr">
        <is>
          <t>48R¹⁷</t>
        </is>
      </c>
      <c r="B4828" t="inlineStr"/>
      <c r="C4828" t="inlineStr">
        <is>
          <t>288</t>
        </is>
      </c>
      <c r="D4828" t="inlineStr">
        <is>
          <t>1</t>
        </is>
      </c>
      <c r="E4828" t="inlineStr">
        <is>
          <t>18</t>
        </is>
      </c>
      <c r="F4828" t="inlineStr">
        <is>
          <t>16</t>
        </is>
      </c>
      <c r="G4828" t="inlineStr">
        <is>
          <t>0</t>
        </is>
      </c>
      <c r="H4828" t="inlineStr">
        <is>
          <t>24⁴, 48⁴</t>
        </is>
      </c>
      <c r="I4828" t="n">
        <v>8</v>
      </c>
      <c r="J4828" t="inlineStr">
        <is>
          <t>2⁷, 4¹</t>
        </is>
      </c>
      <c r="K4828">
        <f>HYPERLINK("CSG5.html#group24S5", "24S⁵"), =HYPERLINK("CSG9.html#group48V9", "48V⁹")</f>
        <v/>
      </c>
      <c r="L4828" t="inlineStr"/>
      <c r="M4828">
        <f>HYPERLINK("CSG1.html#group12T1", "12T¹"), =HYPERLINK("CSG0.html#group12C0", "12C⁰"), =HYPERLINK("CSG0.html#group4C0", "4C⁰"), =HYPERLINK("CSG3.html#group24I3", "24I³"), =HYPERLINK("CSG0.html#group6G0", "6G⁰"), =HYPERLINK("CSG0.html#group2B0", "2B⁰"), =HYPERLINK("CSG2.html#group24C2", "24C²"), =HYPERLINK("CSG1.html#group12N1", "12N¹"), =HYPERLINK("CSG0.html#group1A0", "1A⁰"), =HYPERLINK("CSG3.html#group24H3", "24H³"), =HYPERLINK("CSG0.html#group24A0", "24A⁰"), =HYPERLINK("CSG3.html#group24S3", "24S³"), =HYPERLINK("CSG5.html#group24S5", "24S⁵"), =HYPERLINK("CSG0.html#group3C0", "3C⁰"), =HYPERLINK("CSG0.html#group6H0", "6H⁰"), =HYPERLINK("CSG0.html#group3A0", "3A⁰"), =HYPERLINK("CSG1.html#group24H1", "24H¹"), =HYPERLINK("CSG9.html#group48V9", "48V⁹"), =HYPERLINK("CSG0.html#group6B0", "6B⁰"), =HYPERLINK("CSG1.html#group24D1", "24D¹"), =HYPERLINK("CSG0.html#group8B0", "8B⁰"), =HYPERLINK("CSG1.html#group12L1", "12L¹"), =HYPERLINK("CSG0.html#group12G0", "12G⁰"), =HYPERLINK("CSG1.html#group12C1", "12C¹"), =HYPERLINK("CSG0.html#group6E0", "6E⁰"), =HYPERLINK("CSG0.html#group6L0", "6L⁰"), =HYPERLINK("CSG0.html#group12D0", "12D⁰"), =HYPERLINK("CSG0.html#group12H0", "12H⁰"), =HYPERLINK("CSG0.html#group6D0", "6D⁰")</f>
        <v/>
      </c>
      <c r="N4828" t="inlineStr"/>
    </row>
    <row r="4829">
      <c r="A4829" t="inlineStr">
        <is>
          <t>48S¹⁷</t>
        </is>
      </c>
      <c r="B4829" t="inlineStr"/>
      <c r="C4829" t="inlineStr">
        <is>
          <t>288</t>
        </is>
      </c>
      <c r="D4829" t="inlineStr">
        <is>
          <t>1</t>
        </is>
      </c>
      <c r="E4829" t="inlineStr">
        <is>
          <t>24</t>
        </is>
      </c>
      <c r="F4829" t="inlineStr">
        <is>
          <t>12</t>
        </is>
      </c>
      <c r="G4829" t="inlineStr">
        <is>
          <t>0</t>
        </is>
      </c>
      <c r="H4829" t="inlineStr">
        <is>
          <t>24⁸, 48²</t>
        </is>
      </c>
      <c r="I4829" t="n">
        <v>10</v>
      </c>
      <c r="J4829" t="inlineStr">
        <is>
          <t>4², 8²</t>
        </is>
      </c>
      <c r="K4829">
        <f>HYPERLINK("CSG3.html#group16P3", "16P³"), =HYPERLINK("CSG7.html#group24K7", "24K⁷")</f>
        <v/>
      </c>
      <c r="L4829" t="inlineStr"/>
      <c r="M4829">
        <f>HYPERLINK("CSG7.html#group24K7", "24K⁷"), =HYPERLINK("CSG0.html#group12C0", "12C⁰"), =HYPERLINK("CSG0.html#group8D0", "8D⁰"), =HYPERLINK("CSG0.html#group4C0", "4C⁰"), =HYPERLINK("CSG0.html#group8B0", "8B⁰"), =HYPERLINK("CSG3.html#group16P3", "16P³"), =HYPERLINK("CSG0.html#group8A0", "8A⁰"), =HYPERLINK("CSG0.html#group2B0", "2B⁰"), =HYPERLINK("CSG2.html#group24L2", "24L²"), =HYPERLINK("CSG0.html#group8K0", "8K⁰"), =HYPERLINK("CSG0.html#group1A0", "1A⁰"), =HYPERLINK("CSG1.html#group8D1", "8D¹"), =HYPERLINK("CSG1.html#group8H1", "8H¹"), =HYPERLINK("CSG3.html#group24J3", "24J³"), =HYPERLINK("CSG0.html#group8H0", "8H⁰"), =HYPERLINK("CSG4.html#group24H4", "24H⁴"), =HYPERLINK("CSG0.html#group12A0", "12A⁰"), =HYPERLINK("CSG1.html#group24A1", "24A¹"),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4829" t="inlineStr"/>
    </row>
    <row r="4830">
      <c r="A4830" t="inlineStr">
        <is>
          <t>48T¹⁷</t>
        </is>
      </c>
      <c r="B4830" t="inlineStr"/>
      <c r="C4830" t="inlineStr">
        <is>
          <t>288</t>
        </is>
      </c>
      <c r="D4830" t="inlineStr">
        <is>
          <t>1</t>
        </is>
      </c>
      <c r="E4830" t="inlineStr">
        <is>
          <t>24</t>
        </is>
      </c>
      <c r="F4830" t="inlineStr">
        <is>
          <t>12</t>
        </is>
      </c>
      <c r="G4830" t="inlineStr">
        <is>
          <t>0</t>
        </is>
      </c>
      <c r="H4830" t="inlineStr">
        <is>
          <t>24⁸, 48²</t>
        </is>
      </c>
      <c r="I4830" t="n">
        <v>10</v>
      </c>
      <c r="J4830" t="inlineStr">
        <is>
          <t>4², 8²</t>
        </is>
      </c>
      <c r="K4830">
        <f>HYPERLINK("CSG3.html#group16Q3", "16Q³"), =HYPERLINK("CSG7.html#group24K7", "24K⁷"), =HYPERLINK("CSG8.html#group48G8", "48G⁸"), =HYPERLINK("CSG8.html#group48H8", "48H⁸")</f>
        <v/>
      </c>
      <c r="L4830" t="inlineStr"/>
      <c r="M4830">
        <f>HYPERLINK("CSG7.html#group24K7", "24K⁷"), =HYPERLINK("CSG0.html#group12C0", "12C⁰"), =HYPERLINK("CSG0.html#group8D0", "8D⁰"), =HYPERLINK("CSG0.html#group4C0", "4C⁰"), =HYPERLINK("CSG0.html#group8B0", "8B⁰"), =HYPERLINK("CSG0.html#group8A0", "8A⁰"), =HYPERLINK("CSG0.html#group2B0", "2B⁰"), =HYPERLINK("CSG8.html#group48H8", "48H⁸"), =HYPERLINK("CSG2.html#group24L2", "24L²"), =HYPERLINK("CSG0.html#group8K0", "8K⁰"), =HYPERLINK("CSG0.html#group1A0", "1A⁰"), =HYPERLINK("CSG1.html#group8D1", "8D¹"), =HYPERLINK("CSG1.html#group8H1", "8H¹"), =HYPERLINK("CSG3.html#group24J3", "24J³"), =HYPERLINK("CSG0.html#group8H0", "8H⁰"), =HYPERLINK("CSG1.html#group16L1", "16L¹"), =HYPERLINK("CSG4.html#group24H4", "24H⁴"), =HYPERLINK("CSG0.html#group12A0", "12A⁰"), =HYPERLINK("CSG1.html#group24A1", "24A¹"), =HYPERLINK("CSG0.html#group24A0", "24A⁰"), =HYPERLINK("CSG0.html#group4A0", "4A⁰"), =HYPERLINK("CSG1.html#group24C1", "24C¹"), =HYPERLINK("CSG8.html#group48G8", "48G⁸"), =HYPERLINK("CSG1.html#group12J1", "12J¹"), =HYPERLINK("CSG0.html#group4F0", "4F⁰"), =HYPERLINK("CSG0.html#group3A0", "3A⁰"), =HYPERLINK("CSG3.html#group16Q3", "16Q³"), =HYPERLINK("CSG1.html#group16K1", "16K¹"), =HYPERLINK("CSG0.html#group6D0", "6D⁰")</f>
        <v/>
      </c>
      <c r="N4830" t="inlineStr"/>
    </row>
    <row r="4831">
      <c r="A4831" t="inlineStr">
        <is>
          <t>48U¹⁷</t>
        </is>
      </c>
      <c r="B4831" t="inlineStr"/>
      <c r="C4831" t="inlineStr">
        <is>
          <t>288</t>
        </is>
      </c>
      <c r="D4831" t="inlineStr">
        <is>
          <t>1</t>
        </is>
      </c>
      <c r="E4831" t="inlineStr">
        <is>
          <t>36</t>
        </is>
      </c>
      <c r="F4831" t="inlineStr">
        <is>
          <t>0</t>
        </is>
      </c>
      <c r="G4831" t="inlineStr">
        <is>
          <t>0</t>
        </is>
      </c>
      <c r="H4831" t="inlineStr">
        <is>
          <t>6⁸, 12⁴, 48⁴</t>
        </is>
      </c>
      <c r="I4831" t="n">
        <v>16</v>
      </c>
      <c r="J4831" t="inlineStr">
        <is>
          <t>2⁴, 4⁷</t>
        </is>
      </c>
      <c r="K4831">
        <f>HYPERLINK("CSG7.html#group24I7", "24I⁷"), =HYPERLINK("CSG7.html#group48W7", "48W⁷"), =HYPERLINK("CSG9.html#group48N9", "48N⁹")</f>
        <v/>
      </c>
      <c r="L4831" t="inlineStr"/>
      <c r="M4831">
        <f>HYPERLINK("CSG4.html#group24I4", "24I⁴"), =HYPERLINK("CSG0.html#group2A0", "2A⁰"), =HYPERLINK("CSG1.html#group24E1", "24E¹"), =HYPERLINK("CSG0.html#group12C0", "12C⁰"), =HYPERLINK("CSG1.html#group12K1", "12K¹"), =HYPERLINK("CSG2.html#group12D2", "12D²"), =HYPERLINK("CSG0.html#group4C0", "4C⁰"), =HYPERLINK("CSG9.html#group48N9", "48N⁹"), =HYPERLINK("CSG1.html#group6C1", "6C¹"), =HYPERLINK("CSG2.html#group12B2", "12B²"), =HYPERLINK("CSG0.html#group6G0", "6G⁰"), =HYPERLINK("CSG2.html#group12E2", "12E²"), =HYPERLINK("CSG0.html#group2B0", "2B⁰"), =HYPERLINK("CSG0.html#group4E0", "4E⁰"), =HYPERLINK("CSG0.html#group4B0", "4B⁰"), =HYPERLINK("CSG3.html#group12G3", "12G³"), =HYPERLINK("CSG0.html#group1A0", "1A⁰"), =HYPERLINK("CSG1.html#group6B1", "6B¹"), =HYPERLINK("CSG3.html#group24N3", "24N³"), =HYPERLINK("CSG2.html#group24D2", "24D²"), =HYPERLINK("CSG7.html#group24I7", "24I⁷"), =HYPERLINK("CSG0.html#group3C0", "3C⁰"), =HYPERLINK("CSG1.html#group12B1", "12B¹"), =HYPERLINK("CSG3.html#group24K3", "24K³"), =HYPERLINK("CSG1.html#group6A1", "6A¹"), =HYPERLINK("CSG0.html#group6H0", "6H⁰"), =HYPERLINK("CSG0.html#group3A0", "3A⁰"), =HYPERLINK("CSG1.html#group6E1", "6E¹"), =HYPERLINK("CSG7.html#group48W7", "48W⁷"), =HYPERLINK("CSG0.html#group6B0", "6B⁰"), =HYPERLINK("CSG2.html#group24N2", "24N²"), =HYPERLINK("CSG1.html#group12L1", "12L¹"), =HYPERLINK("CSG1.html#group12C1", "12C¹"), =HYPERLINK("CSG0.html#group6A0", "6A⁰"), =HYPERLINK("CSG4.html#group24E4", "24E⁴"), =HYPERLINK("CSG0.html#group12D0", "12D⁰"), =HYPERLINK("CSG0.html#group12H0", "12H⁰"), =HYPERLINK("CSG0.html#group2C0", "2C⁰"), =HYPERLINK("CSG0.html#group6D0", "6D⁰")</f>
        <v/>
      </c>
      <c r="N4831" t="inlineStr"/>
    </row>
    <row r="4832">
      <c r="A4832" t="inlineStr">
        <is>
          <t>48V¹⁷</t>
        </is>
      </c>
      <c r="B4832" t="inlineStr"/>
      <c r="C4832" t="inlineStr">
        <is>
          <t>288</t>
        </is>
      </c>
      <c r="D4832" t="inlineStr">
        <is>
          <t>1</t>
        </is>
      </c>
      <c r="E4832" t="inlineStr">
        <is>
          <t>36</t>
        </is>
      </c>
      <c r="F4832" t="inlineStr">
        <is>
          <t>0</t>
        </is>
      </c>
      <c r="G4832" t="inlineStr">
        <is>
          <t>0</t>
        </is>
      </c>
      <c r="H4832" t="inlineStr">
        <is>
          <t>6⁸, 12⁴, 48⁴</t>
        </is>
      </c>
      <c r="I4832" t="n">
        <v>16</v>
      </c>
      <c r="J4832" t="inlineStr">
        <is>
          <t>2⁴, 4⁷</t>
        </is>
      </c>
      <c r="K4832">
        <f>HYPERLINK("CSG7.html#group24N7", "24N⁷"), =HYPERLINK("CSG7.html#group48W7", "48W⁷"), =HYPERLINK("CSG9.html#group48N9", "48N⁹")</f>
        <v/>
      </c>
      <c r="L4832" t="inlineStr"/>
      <c r="M4832">
        <f>HYPERLINK("CSG4.html#group24I4", "24I⁴"), =HYPERLINK("CSG1.html#group12K1", "12K¹"), =HYPERLINK("CSG2.html#group12D2", "12D²"), =HYPERLINK("CSG9.html#group48N9", "48N⁹"), =HYPERLINK("CSG0.html#group6G0", "6G⁰"), =HYPERLINK("CSG0.html#group2B0", "2B⁰"), =HYPERLINK("CSG0.html#group8C0", "8C⁰"), =HYPERLINK("CSG1.html#group12N1", "12N¹"), =HYPERLINK("CSG0.html#group4B0", "4B⁰"), =HYPERLINK("CSG0.html#group1A0", "1A⁰"), =HYPERLINK("CSG2.html#group24B2", "24B²"), =HYPERLINK("CSG2.html#group24D2", "24D²"), =HYPERLINK("CSG0.html#group3C0", "3C⁰"), =HYPERLINK("CSG1.html#group12B1", "12B¹"), =HYPERLINK("CSG3.html#group24K3", "24K³"), =HYPERLINK("CSG0.html#group6H0", "6H⁰"), =HYPERLINK("CSG0.html#group3A0", "3A⁰"), =HYPERLINK("CSG7.html#group48W7", "48W⁷"), =HYPERLINK("CSG0.html#group6B0", "6B⁰"), =HYPERLINK("CSG7.html#group24N7", "24N⁷"), =HYPERLINK("CSG4.html#group24J4", "24J⁴"), =HYPERLINK("CSG1.html#group12C1", "12C¹"), =HYPERLINK("CSG0.html#group6E0", "6E⁰"), =HYPERLINK("CSG0.html#group6L0", "6L⁰"), =HYPERLINK("CSG3.html#group12E3", "12E³"), =HYPERLINK("CSG0.html#group12D0", "12D⁰"), =HYPERLINK("CSG3.html#group24L3", "24L³"), =HYPERLINK("CSG2.html#group12C2", "12C²"), =HYPERLINK("CSG0.html#group6D0", "6D⁰")</f>
        <v/>
      </c>
      <c r="N4832" t="inlineStr"/>
    </row>
    <row r="4833">
      <c r="A4833" t="inlineStr">
        <is>
          <t>48W¹⁷</t>
        </is>
      </c>
      <c r="B4833" t="inlineStr"/>
      <c r="C4833" t="inlineStr">
        <is>
          <t>288</t>
        </is>
      </c>
      <c r="D4833" t="inlineStr">
        <is>
          <t>1</t>
        </is>
      </c>
      <c r="E4833" t="inlineStr">
        <is>
          <t>36</t>
        </is>
      </c>
      <c r="F4833" t="inlineStr">
        <is>
          <t>0</t>
        </is>
      </c>
      <c r="G4833" t="inlineStr">
        <is>
          <t>0</t>
        </is>
      </c>
      <c r="H4833" t="inlineStr">
        <is>
          <t>6⁸, 12⁴, 48⁴</t>
        </is>
      </c>
      <c r="I4833" t="n">
        <v>16</v>
      </c>
      <c r="J4833" t="inlineStr">
        <is>
          <t>2⁸, 4³, 8¹</t>
        </is>
      </c>
      <c r="K4833">
        <f>HYPERLINK("CSG8.html#group24E8", "24E⁸"), =HYPERLINK("CSG8.html#group48J8", "48J⁸"), =HYPERLINK("CSG8.html#group48L8", "48L⁸"), =HYPERLINK("CSG9.html#group48F9", "48F⁹"), =HYPERLINK("CSG9.html#group48AC9", "48AC⁹")</f>
        <v/>
      </c>
      <c r="L4833" t="inlineStr"/>
      <c r="M4833">
        <f>HYPERLINK("CSG0.html#group6B0", "6B⁰"), =HYPERLINK("CSG2.html#group12D2", "12D²"), =HYPERLINK("CSG4.html#group24J4", "24J⁴"), =HYPERLINK("CSG0.html#group8C0", "8C⁰"), =HYPERLINK("CSG0.html#group2B0", "2B⁰"), =HYPERLINK("CSG0.html#group4B0", "4B⁰"), =HYPERLINK("CSG0.html#group1A0", "1A⁰"), =HYPERLINK("CSG4.html#group48G4", "48G⁴"), =HYPERLINK("CSG9.html#group48AC9", "48AC⁹"), =HYPERLINK("CSG4.html#group48B4", "48B⁴"), =HYPERLINK("CSG2.html#group24B2", "24B²"), =HYPERLINK("CSG8.html#group48L8", "48L⁸"), =HYPERLINK("CSG1.html#group12C1", "12C¹"), =HYPERLINK("CSG0.html#group16C0", "16C⁰"), =HYPERLINK("CSG4.html#group24M4", "24M⁴"), =HYPERLINK("CSG2.html#group24D2", "24D²"), =HYPERLINK("CSG8.html#group24E8", "24E⁸"), =HYPERLINK("CSG1.html#group12B1", "12B¹"), =HYPERLINK("CSG8.html#group48J8", "48J⁸"), =HYPERLINK("CSG9.html#group48F9", "48F⁹"), =HYPERLINK("CSG0.html#group6H0", "6H⁰"), =HYPERLINK("CSG0.html#group3A0", "3A⁰"), =HYPERLINK("CSG0.html#group6D0", "6D⁰"), =HYPERLINK("CSG5.html#group48B5", "48B⁵")</f>
        <v/>
      </c>
      <c r="N4833" t="inlineStr"/>
    </row>
    <row r="4834">
      <c r="A4834" t="inlineStr">
        <is>
          <t>48X¹⁷</t>
        </is>
      </c>
      <c r="B4834" t="inlineStr"/>
      <c r="C4834" t="inlineStr">
        <is>
          <t>288</t>
        </is>
      </c>
      <c r="D4834" t="inlineStr">
        <is>
          <t>1</t>
        </is>
      </c>
      <c r="E4834" t="inlineStr">
        <is>
          <t>36</t>
        </is>
      </c>
      <c r="F4834" t="inlineStr">
        <is>
          <t>0</t>
        </is>
      </c>
      <c r="G4834" t="inlineStr">
        <is>
          <t>0</t>
        </is>
      </c>
      <c r="H4834" t="inlineStr">
        <is>
          <t>6⁸, 12⁴, 48⁴</t>
        </is>
      </c>
      <c r="I4834" t="n">
        <v>16</v>
      </c>
      <c r="J4834" t="inlineStr">
        <is>
          <t>2⁸, 4³, 8¹</t>
        </is>
      </c>
      <c r="K4834">
        <f>HYPERLINK("CSG8.html#group24E8", "24E⁸"), =HYPERLINK("CSG8.html#group48L8", "48L⁸"), =HYPERLINK("CSG8.html#group48Y8", "48Y⁸"), =HYPERLINK("CSG9.html#group48G9", "48G⁹"), =HYPERLINK("CSG9.html#group48Q9", "48Q⁹")</f>
        <v/>
      </c>
      <c r="L4834" t="inlineStr"/>
      <c r="M4834">
        <f>HYPERLINK("CSG5.html#group48A5", "48A⁵"), =HYPERLINK("CSG0.html#group6B0", "6B⁰"), =HYPERLINK("CSG9.html#group48Q9", "48Q⁹"), =HYPERLINK("CSG2.html#group12D2", "12D²"), =HYPERLINK("CSG4.html#group24J4", "24J⁴"), =HYPERLINK("CSG4.html#group48F4", "48F⁴"), =HYPERLINK("CSG1.html#group16A1", "16A¹"), =HYPERLINK("CSG8.html#group48Y8", "48Y⁸"), =HYPERLINK("CSG0.html#group8C0", "8C⁰"), =HYPERLINK("CSG0.html#group2B0", "2B⁰"), =HYPERLINK("CSG0.html#group4B0", "4B⁰"), =HYPERLINK("CSG0.html#group1A0", "1A⁰"), =HYPERLINK("CSG4.html#group48G4", "48G⁴"), =HYPERLINK("CSG2.html#group24B2", "24B²"), =HYPERLINK("CSG8.html#group48L8", "48L⁸"), =HYPERLINK("CSG1.html#group12C1", "12C¹"), =HYPERLINK("CSG4.html#group24M4", "24M⁴"), =HYPERLINK("CSG2.html#group24D2", "24D²"), =HYPERLINK("CSG8.html#group24E8", "24E⁸"), =HYPERLINK("CSG1.html#group12B1", "12B¹"), =HYPERLINK("CSG9.html#group48G9", "48G⁹"), =HYPERLINK("CSG0.html#group6H0", "6H⁰"), =HYPERLINK("CSG0.html#group3A0", "3A⁰"), =HYPERLINK("CSG0.html#group6D0", "6D⁰")</f>
        <v/>
      </c>
      <c r="N4834" t="inlineStr"/>
    </row>
    <row r="4835">
      <c r="A4835" t="inlineStr">
        <is>
          <t>48Y¹⁷</t>
        </is>
      </c>
      <c r="B4835" t="inlineStr"/>
      <c r="C4835" t="inlineStr">
        <is>
          <t>288</t>
        </is>
      </c>
      <c r="D4835" t="inlineStr">
        <is>
          <t>1</t>
        </is>
      </c>
      <c r="E4835" t="inlineStr">
        <is>
          <t>36</t>
        </is>
      </c>
      <c r="F4835" t="inlineStr">
        <is>
          <t>0</t>
        </is>
      </c>
      <c r="G4835" t="inlineStr">
        <is>
          <t>0</t>
        </is>
      </c>
      <c r="H4835" t="inlineStr">
        <is>
          <t>6⁸, 12⁴, 48⁴</t>
        </is>
      </c>
      <c r="I4835" t="n">
        <v>16</v>
      </c>
      <c r="J4835" t="inlineStr">
        <is>
          <t>1⁴, 2⁶, 4³, 8¹</t>
        </is>
      </c>
      <c r="K4835">
        <f>HYPERLINK("CSG7.html#group24T7", "24T⁷"), =HYPERLINK("CSG7.html#group48X7", "48X⁷"), =HYPERLINK("CSG9.html#group48D9", "48D⁹"), =HYPERLINK("CSG9.html#group48Q9", "48Q⁹"), =HYPERLINK("CSG9.html#group48AC9", "48AC⁹")</f>
        <v/>
      </c>
      <c r="L4835" t="inlineStr"/>
      <c r="M4835">
        <f>HYPERLINK("CSG5.html#group48A5", "48A⁵"), =HYPERLINK("CSG1.html#group12K1", "12K¹"), =HYPERLINK("CSG7.html#group24T7", "24T⁷"), =HYPERLINK("CSG9.html#group48Q9", "48Q⁹"), =HYPERLINK("CSG0.html#group6G0", "6G⁰"), =HYPERLINK("CSG1.html#group16A1", "16A¹"), =HYPERLINK("CSG0.html#group2B0", "2B⁰"), =HYPERLINK("CSG9.html#group48D9", "48D⁹"), =HYPERLINK("CSG0.html#group8C0", "8C⁰"), =HYPERLINK("CSG0.html#group4B0", "4B⁰"), =HYPERLINK("CSG0.html#group1A0", "1A⁰"), =HYPERLINK("CSG4.html#group48G4", "48G⁴"), =HYPERLINK("CSG9.html#group48AC9", "48AC⁹"), =HYPERLINK("CSG2.html#group24B2", "24B²"), =HYPERLINK("CSG0.html#group6D0", "6D⁰"), =HYPERLINK("CSG4.html#group24M4", "24M⁴"),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=HYPERLINK("CSG7.html#group48X7", "48X⁷"), =HYPERLINK("CSG5.html#group48B5", "48B⁵")</f>
        <v/>
      </c>
      <c r="N4835" t="inlineStr"/>
    </row>
    <row r="4836">
      <c r="A4836" t="inlineStr">
        <is>
          <t>48Z¹⁷</t>
        </is>
      </c>
      <c r="B4836" t="inlineStr"/>
      <c r="C4836" t="inlineStr">
        <is>
          <t>288</t>
        </is>
      </c>
      <c r="D4836" t="inlineStr">
        <is>
          <t>1</t>
        </is>
      </c>
      <c r="E4836" t="inlineStr">
        <is>
          <t>36</t>
        </is>
      </c>
      <c r="F4836" t="inlineStr">
        <is>
          <t>0</t>
        </is>
      </c>
      <c r="G4836" t="inlineStr">
        <is>
          <t>0</t>
        </is>
      </c>
      <c r="H4836" t="inlineStr">
        <is>
          <t>6⁸, 12⁴, 48⁴</t>
        </is>
      </c>
      <c r="I4836" t="n">
        <v>16</v>
      </c>
      <c r="J4836" t="inlineStr">
        <is>
          <t>1⁴, 2⁶, 4³, 8¹</t>
        </is>
      </c>
      <c r="K4836">
        <f>HYPERLINK("CSG7.html#group24T7", "24T⁷"), =HYPERLINK("CSG7.html#group48Y7", "48Y⁷"), =HYPERLINK("CSG9.html#group48C9", "48C⁹"), =HYPERLINK("CSG9.html#group48P9", "48P⁹"), =HYPERLINK("CSG9.html#group48AC9", "48AC⁹")</f>
        <v/>
      </c>
      <c r="L4836" t="inlineStr"/>
      <c r="M4836">
        <f>HYPERLINK("CSG1.html#group12K1", "12K¹"), =HYPERLINK("CSG7.html#group24T7", "24T⁷"), =HYPERLINK("CSG0.html#group6G0", "6G⁰"), =HYPERLINK("CSG0.html#group2B0", "2B⁰"), =HYPERLINK("CSG0.html#group8C0", "8C⁰"), =HYPERLINK("CSG0.html#group4B0", "4B⁰"), =HYPERLINK("CSG0.html#group1A0", "1A⁰"), =HYPERLINK("CSG4.html#group48G4", "48G⁴"), =HYPERLINK("CSG9.html#group48AC9", "48AC⁹"), =HYPERLINK("CSG7.html#group48Y7", "48Y⁷"), =HYPERLINK("CSG2.html#group24B2", "24B²"), =HYPERLINK("CSG9.html#group48P9", "48P⁹"), =HYPERLINK("CSG9.html#group48C9", "48C⁹"), =HYPERLINK("CSG0.html#group16D0", "16D⁰"), =HYPERLINK("CSG4.html#group24M4", "24M⁴"),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"6D⁰"), =HYPERLINK("CSG4.html#group48D4", "48D⁴"), =HYPERLINK("CSG5.html#group48B5", "48B⁵")</f>
        <v/>
      </c>
      <c r="N4836" t="inlineStr"/>
    </row>
    <row r="4837">
      <c r="A4837" t="inlineStr">
        <is>
          <t>48AA¹⁷</t>
        </is>
      </c>
      <c r="B4837" t="inlineStr"/>
      <c r="C4837" t="inlineStr">
        <is>
          <t>288</t>
        </is>
      </c>
      <c r="D4837" t="inlineStr">
        <is>
          <t>1</t>
        </is>
      </c>
      <c r="E4837" t="inlineStr">
        <is>
          <t>36</t>
        </is>
      </c>
      <c r="F4837" t="inlineStr">
        <is>
          <t>0</t>
        </is>
      </c>
      <c r="G4837" t="inlineStr">
        <is>
          <t>0</t>
        </is>
      </c>
      <c r="H4837" t="inlineStr">
        <is>
          <t>6⁸, 12⁴, 48⁴</t>
        </is>
      </c>
      <c r="I4837" t="n">
        <v>16</v>
      </c>
      <c r="J4837" t="inlineStr">
        <is>
          <t>1⁴, 2⁶, 4³, 8¹</t>
        </is>
      </c>
      <c r="K4837">
        <f>HYPERLINK("CSG7.html#group24U7", "24U⁷"), =HYPERLINK("CSG7.html#group48X7", "48X⁷"), =HYPERLINK("CSG9.html#group48C9", "48C⁹"), =HYPERLINK("CSG9.html#group48O9", "48O⁹"), =HYPERLINK("CSG9.html#group48AC9", "48AC⁹")</f>
        <v/>
      </c>
      <c r="L4837" t="inlineStr"/>
      <c r="M4837">
        <f>HYPERLINK("CSG7.html#group24U7", "24U⁷"), =HYPERLINK("CSG4.html#group24F4", "24F⁴"), =HYPERLINK("CSG1.html#group12K1", "12K¹"), =HYPERLINK("CSG0.html#group6G0", "6G⁰"), =HYPERLINK("CSG0.html#group2B0", "2B⁰"), =HYPERLINK("CSG0.html#group8C0", "8C⁰"), =HYPERLINK("CSG0.html#group8I0", "8I⁰"), =HYPERLINK("CSG0.html#group4B0", "4B⁰"), =HYPERLINK("CSG0.html#group1A0", "1A⁰"), =HYPERLINK("CSG4.html#group48G4", "48G⁴"), =HYPERLINK("CSG9.html#group48AC9", "48AC⁹"), =HYPERLINK("CSG2.html#group24B2", "24B²"), =HYPERLINK("CSG9.html#group48C9", "48C⁹"), =HYPERLINK("CSG0.html#group6D0", "6D⁰"), =HYPERLINK("CSG4.html#group24M4", "24M⁴"), =HYPERLINK("CSG2.html#group24D2", "24D²"), =HYPERLINK("CSG9.html#group48O9", "48O⁹"), =HYPERLINK("CSG0.html#group3C0", "3C⁰"), =HYPERLINK("CSG1.html#group12B1", "12B¹"), =HYPERLINK("CSG0.html#group12D0", "12D⁰"), =HYPERLINK("CSG0.html#group3A0", "3A⁰"), =HYPERLINK("CSG3.html#group24L3", "24L³"), =HYPERLINK("CSG7.html#group48X7", "48X⁷"), =HYPERLINK("CSG5.html#group48B5", "48B⁵")</f>
        <v/>
      </c>
      <c r="N4837" t="inlineStr"/>
    </row>
    <row r="4838">
      <c r="A4838" t="inlineStr">
        <is>
          <t>48AB¹⁷</t>
        </is>
      </c>
      <c r="B4838" t="inlineStr"/>
      <c r="C4838" t="inlineStr">
        <is>
          <t>288</t>
        </is>
      </c>
      <c r="D4838" t="inlineStr">
        <is>
          <t>1</t>
        </is>
      </c>
      <c r="E4838" t="inlineStr">
        <is>
          <t>36</t>
        </is>
      </c>
      <c r="F4838" t="inlineStr">
        <is>
          <t>0</t>
        </is>
      </c>
      <c r="G4838" t="inlineStr">
        <is>
          <t>0</t>
        </is>
      </c>
      <c r="H4838" t="inlineStr">
        <is>
          <t>6⁸, 12⁴, 48⁴</t>
        </is>
      </c>
      <c r="I4838" t="n">
        <v>16</v>
      </c>
      <c r="J4838" t="inlineStr">
        <is>
          <t>1⁴, 2⁶, 4³, 8¹</t>
        </is>
      </c>
      <c r="K4838">
        <f>HYPERLINK("CSG7.html#group24U7", "24U⁷"), =HYPERLINK("CSG7.html#group48Y7", "48Y⁷"), =HYPERLINK("CSG9.html#group48B9", "48B⁹"), =HYPERLINK("CSG9.html#group48D9", "48D⁹"), =HYPERLINK("CSG9.html#group48O9", "48O⁹"), =HYPERLINK("CSG9.html#group48P9", "48P⁹"), =HYPERLINK("CSG9.html#group48Q9", "48Q⁹")</f>
        <v/>
      </c>
      <c r="L4838" t="inlineStr"/>
      <c r="M4838">
        <f>HYPERLINK("CSG7.html#group24U7", "24U⁷"), =HYPERLINK("CSG4.html#group24F4", "24F⁴"), =HYPERLINK("CSG5.html#group48A5", "48A⁵"), =HYPERLINK("CSG1.html#group12K1", "12K¹"), =HYPERLINK("CSG9.html#group48B9", "48B⁹"), =HYPERLINK("CSG9.html#group48Q9", "48Q⁹"), =HYPERLINK("CSG0.html#group6G0", "6G⁰"), =HYPERLINK("CSG1.html#group16A1", "16A¹"), =HYPERLINK("CSG0.html#group2B0", "2B⁰"), =HYPERLINK("CSG9.html#group48D9", "48D⁹"), =HYPERLINK("CSG0.html#group8C0", "8C⁰"), =HYPERLINK("CSG0.html#group8I0", "8I⁰"), =HYPERLINK("CSG0.html#group4B0", "4B⁰"), =HYPERLINK("CSG0.html#group1A0", "1A⁰"), =HYPERLINK("CSG4.html#group48G4", "48G⁴"), =HYPERLINK("CSG7.html#group48Y7", "48Y⁷"), =HYPERLINK("CSG2.html#group24B2", "24B²"), =HYPERLINK("CSG9.html#group48P9", "48P⁹"), =HYPERLINK("CSG1.html#group16G1", "16G¹"), =HYPERLINK("CSG0.html#group16D0", "16D⁰"), =HYPERLINK("CSG4.html#group24M4", "24M⁴"), =HYPERLINK("CSG2.html#group24D2", "24D²"), =HYPERLINK("CSG9.html#group48O9", "48O⁹"), =HYPERLINK("CSG0.html#group3C0", "3C⁰"), =HYPERLINK("CSG1.html#group12B1", "12B¹"), =HYPERLINK("CSG0.html#group12D0", "12D⁰"), =HYPERLINK("CSG0.html#group3A0", "3A⁰"), =HYPERLINK("CSG3.html#group24L3", "24L³"), =HYPERLINK("CSG0.html#group6D0", "6D⁰"), =HYPERLINK("CSG4.html#group48D4", "48D⁴"), =HYPERLINK("CSG5.html#group48B5", "48B⁵")</f>
        <v/>
      </c>
      <c r="N4838" t="inlineStr"/>
    </row>
    <row r="4839">
      <c r="A4839" t="inlineStr">
        <is>
          <t>48AC¹⁷</t>
        </is>
      </c>
      <c r="B4839" t="inlineStr"/>
      <c r="C4839" t="inlineStr">
        <is>
          <t>288</t>
        </is>
      </c>
      <c r="D4839" t="inlineStr">
        <is>
          <t>1</t>
        </is>
      </c>
      <c r="E4839" t="inlineStr">
        <is>
          <t>36</t>
        </is>
      </c>
      <c r="F4839" t="inlineStr">
        <is>
          <t>0</t>
        </is>
      </c>
      <c r="G4839" t="inlineStr">
        <is>
          <t>0</t>
        </is>
      </c>
      <c r="H4839" t="inlineStr">
        <is>
          <t>6⁸, 12⁴, 48⁴</t>
        </is>
      </c>
      <c r="I4839" t="n">
        <v>16</v>
      </c>
      <c r="J4839" t="inlineStr">
        <is>
          <t>1⁴, 2⁶, 4³, 8¹</t>
        </is>
      </c>
      <c r="K4839">
        <f>HYPERLINK("CSG8.html#group24F8", "24F⁸"), =HYPERLINK("CSG8.html#group48E8", "48E⁸"), =HYPERLINK("CSG8.html#group48J8", "48J⁸"), =HYPERLINK("CSG8.html#group48M8", "48M⁸"), =HYPERLINK("CSG9.html#group48F9", "48F⁹"), =HYPERLINK("CSG9.html#group48O9", "48O⁹"), =HYPERLINK("CSG9.html#group48P9", "48P⁹")</f>
        <v/>
      </c>
      <c r="L4839" t="inlineStr"/>
      <c r="M4839">
        <f>HYPERLINK("CSG4.html#group24F4", "24F⁴"), =HYPERLINK("CSG0.html#group6B0", "6B⁰"), =HYPERLINK("CSG2.html#group12D2", "12D²"), =HYPERLINK("CSG4.html#group24J4", "24J⁴"), =HYPERLINK("CSG0.html#group8C0", "8C⁰"), =HYPERLINK("CSG0.html#group2B0", "2B⁰"), =HYPERLINK("CSG0.html#group8I0", "8I⁰"), =HYPERLINK("CSG0.html#group4B0", "4B⁰"), =HYPERLINK("CSG0.html#group1A0", "1A⁰"), =HYPERLINK("CSG4.html#group48G4", "48G⁴"), =HYPERLINK("CSG4.html#group48B4", "48B⁴"), =HYPERLINK("CSG0.html#group16H0", "16H⁰"), =HYPERLINK("CSG2.html#group24B2", "24B²"), =HYPERLINK("CSG9.html#group48P9", "48P⁹"), =HYPERLINK("CSG1.html#group12C1", "12C¹"), =HYPERLINK("CSG8.html#group48E8", "48E⁸"), =HYPERLINK("CSG8.html#group24F8", "24F⁸"), =HYPERLINK("CSG0.html#group16D0", "16D⁰"), =HYPERLINK("CSG4.html#group24M4", "24M⁴"), =HYPERLINK("CSG0.html#group16C0", "16C⁰"), =HYPERLINK("CSG8.html#group48M8", "48M⁸"), =HYPERLINK("CSG9.html#group48O9", "48O⁹"), =HYPERLINK("CSG2.html#group24D2", "24D²"), =HYPERLINK("CSG1.html#group12B1", "12B¹"), =HYPERLINK("CSG8.html#group48J8", "48J⁸"), =HYPERLINK("CSG9.html#group48F9", "48F⁹"), =HYPERLINK("CSG0.html#group6H0", "6H⁰"), =HYPERLINK("CSG0.html#group3A0", "3A⁰"), =HYPERLINK("CSG0.html#group6D0", "6D⁰"), =HYPERLINK("CSG4.html#group48D4", "48D⁴"), =HYPERLINK("CSG5.html#group48B5", "48B⁵")</f>
        <v/>
      </c>
      <c r="N4839" t="inlineStr"/>
    </row>
    <row r="4840">
      <c r="A4840" t="inlineStr">
        <is>
          <t>48AD¹⁷</t>
        </is>
      </c>
      <c r="B4840" t="inlineStr"/>
      <c r="C4840" t="inlineStr">
        <is>
          <t>288</t>
        </is>
      </c>
      <c r="D4840" t="inlineStr">
        <is>
          <t>1</t>
        </is>
      </c>
      <c r="E4840" t="inlineStr">
        <is>
          <t>36</t>
        </is>
      </c>
      <c r="F4840" t="inlineStr">
        <is>
          <t>0</t>
        </is>
      </c>
      <c r="G4840" t="inlineStr">
        <is>
          <t>0</t>
        </is>
      </c>
      <c r="H4840" t="inlineStr">
        <is>
          <t>6⁸, 12⁴, 48⁴</t>
        </is>
      </c>
      <c r="I4840" t="n">
        <v>16</v>
      </c>
      <c r="J4840" t="inlineStr">
        <is>
          <t>1⁴, 2⁶, 4³, 8¹</t>
        </is>
      </c>
      <c r="K4840">
        <f>HYPERLINK("CSG8.html#group24F8", "24F⁸"), =HYPERLINK("CSG8.html#group48I8", "48I⁸"), =HYPERLINK("CSG8.html#group48K8", "48K⁸"), =HYPERLINK("CSG8.html#group48M8", "48M⁸"), =HYPERLINK("CSG9.html#group48B9", "48B⁹"), =HYPERLINK("CSG9.html#group48G9", "48G⁹"), =HYPERLINK("CSG9.html#group48Q9", "48Q⁹")</f>
        <v/>
      </c>
      <c r="L4840" t="inlineStr"/>
      <c r="M4840">
        <f>HYPERLINK("CSG5.html#group48A5", "48A⁵"), =HYPERLINK("CSG8.html#group48I8", "48I⁸"), =HYPERLINK("CSG4.html#group24F4", "24F⁴"), =HYPERLINK("CSG0.html#group6B0", "6B⁰"), =HYPERLINK("CSG9.html#group48B9", "48B⁹"), =HYPERLINK("CSG9.html#group48Q9", "48Q⁹"), =HYPERLINK("CSG8.html#group48K8", "48K⁸"), =HYPERLINK("CSG2.html#group12D2", "12D²"), =HYPERLINK("CSG4.html#group24J4", "24J⁴"), =HYPERLINK("CSG4.html#group48F4", "48F⁴"), =HYPERLINK("CSG1.html#group16A1", "16A¹"), =HYPERLINK("CSG0.html#group8C0", "8C⁰"), =HYPERLINK("CSG0.html#group2B0", "2B⁰"), =HYPERLINK("CSG0.html#group8I0", "8I⁰"), =HYPERLINK("CSG0.html#group4B0", "4B⁰"), =HYPERLINK("CSG0.html#group1A0", "1A⁰"), =HYPERLINK("CSG4.html#group48G4", "48G⁴"), =HYPERLINK("CSG2.html#group24B2", "24B²"), =HYPERLINK("CSG1.html#group12C1", "12C¹"), =HYPERLINK("CSG1.html#group16G1", "16G¹"), =HYPERLINK("CSG8.html#group24F8", "24F⁸"), =HYPERLINK("CSG0.html#group16D0", "16D⁰"), =HYPERLINK("CSG4.html#group24M4", "24M⁴"), =HYPERLINK("CSG2.html#group24D2", "24D²"), =HYPERLINK("CSG8.html#group48M8", "48M⁸"), =HYPERLINK("CSG1.html#group12B1", "12B¹"), =HYPERLINK("CSG9.html#group48G9", "48G⁹"), =HYPERLINK("CSG0.html#group6H0", "6H⁰"), =HYPERLINK("CSG0.html#group3A0", "3A⁰"), =HYPERLINK("CSG0.html#group6D0", "6D⁰"), =HYPERLINK("CSG4.html#group48D4", "48D⁴")</f>
        <v/>
      </c>
      <c r="N4840" t="inlineStr"/>
    </row>
    <row r="4841">
      <c r="A4841" t="inlineStr">
        <is>
          <t>48AE¹⁷</t>
        </is>
      </c>
      <c r="B4841" t="inlineStr"/>
      <c r="C4841" t="inlineStr">
        <is>
          <t>288</t>
        </is>
      </c>
      <c r="D4841" t="inlineStr">
        <is>
          <t>1</t>
        </is>
      </c>
      <c r="E4841" t="inlineStr">
        <is>
          <t>36</t>
        </is>
      </c>
      <c r="F4841" t="inlineStr">
        <is>
          <t>8</t>
        </is>
      </c>
      <c r="G4841" t="inlineStr">
        <is>
          <t>0</t>
        </is>
      </c>
      <c r="H4841" t="inlineStr">
        <is>
          <t>12⁸, 48⁴</t>
        </is>
      </c>
      <c r="I4841" t="n">
        <v>12</v>
      </c>
      <c r="J4841" t="inlineStr">
        <is>
          <t>2², 4⁴, 8²</t>
        </is>
      </c>
      <c r="K4841">
        <f>HYPERLINK("CSG7.html#group24R7", "24R⁷"), =HYPERLINK("CSG7.html#group48AB7", "48AB⁷")</f>
        <v/>
      </c>
      <c r="L4841" t="inlineStr"/>
      <c r="M4841">
        <f>HYPERLINK("CSG1.html#group24E1", "24E¹"), =HYPERLINK("CSG0.html#group12C0", "12C⁰"), =HYPERLINK("CSG0.html#group4C0", "4C⁰"), =HYPERLINK("CSG3.html#group24I3", "24I³"), =HYPERLINK("CSG0.html#group6G0", "6G⁰"), =HYPERLINK("CSG2.html#group24P2", "24P²"), =HYPERLINK("CSG0.html#group2B0", "2B⁰"), =HYPERLINK("CSG1.html#group12M1", "12M¹"), =HYPERLINK("CSG2.html#group24C2", "24C²"), =HYPERLINK("CSG0.html#group1A0", "1A⁰"), =HYPERLINK("CSG3.html#group24O3", "24O³"), =HYPERLINK("CSG7.html#group24R7", "24R⁷"), =HYPERLINK("CSG0.html#group24A0", "24A⁰"), =HYPERLINK("CSG0.html#group3C0", "3C⁰"), =HYPERLINK("CSG0.html#group3A0", "3A⁰"), =HYPERLINK("CSG1.html#group12G1", "12G¹"), =HYPERLINK("CSG0.html#group8D0", "8D⁰"), =HYPERLINK("CSG0.html#group8B0", "8B⁰"), =HYPERLINK("CSG2.html#group24L2", "24L²"), =HYPERLINK("CSG1.html#group12L1", "12L¹"), =HYPERLINK("CSG3.html#group12J3", "12J³"), =HYPERLINK("CSG0.html#group8H0", "8H⁰"), =HYPERLINK("CSG7.html#group48AB7", "48AB⁷"), =HYPERLINK("CSG0.html#group12A0", "12A⁰"), =HYPERLINK("CSG1.html#group12C1", "12C¹"), =HYPERLINK("CSG0.html#group4A0", "4A⁰"), =HYPERLINK("CSG4.html#group24K4", "24K⁴"), =HYPERLINK("CSG1.html#group24C1", "24C¹"), =HYPERLINK("CSG1.html#group12J1", "12J¹"), =HYPERLINK("CSG0.html#group4F0", "4F⁰"), =HYPERLINK("CSG4.html#group24L4", "24L⁴"), =HYPERLINK("CSG0.html#group6D0", "6D⁰")</f>
        <v/>
      </c>
      <c r="N4841" t="inlineStr"/>
    </row>
    <row r="4842">
      <c r="A4842" t="inlineStr">
        <is>
          <t>48AF¹⁷</t>
        </is>
      </c>
      <c r="B4842" t="inlineStr"/>
      <c r="C4842" t="inlineStr">
        <is>
          <t>288</t>
        </is>
      </c>
      <c r="D4842" t="inlineStr">
        <is>
          <t>1</t>
        </is>
      </c>
      <c r="E4842" t="inlineStr">
        <is>
          <t>36</t>
        </is>
      </c>
      <c r="F4842" t="inlineStr">
        <is>
          <t>8</t>
        </is>
      </c>
      <c r="G4842" t="inlineStr">
        <is>
          <t>0</t>
        </is>
      </c>
      <c r="H4842" t="inlineStr">
        <is>
          <t>12⁸, 48⁴</t>
        </is>
      </c>
      <c r="I4842" t="n">
        <v>12</v>
      </c>
      <c r="J4842" t="inlineStr">
        <is>
          <t>2², 4⁴, 8²</t>
        </is>
      </c>
      <c r="K4842">
        <f>HYPERLINK("CSG7.html#group24R7", "24R⁷"), =HYPERLINK("CSG7.html#group48O7", "48O⁷"), =HYPERLINK("CSG7.html#group48AB7", "48AB⁷")</f>
        <v/>
      </c>
      <c r="L4842" t="inlineStr"/>
      <c r="M4842">
        <f>HYPERLINK("CSG1.html#group24E1", "24E¹"), =HYPERLINK("CSG0.html#group12C0", "12C⁰"), =HYPERLINK("CSG0.html#group4C0", "4C⁰"), =HYPERLINK("CSG3.html#group24I3", "24I³"), =HYPERLINK("CSG0.html#group6G0", "6G⁰"), =HYPERLINK("CSG2.html#group24P2", "24P²"), =HYPERLINK("CSG0.html#group2B0", "2B⁰"), =HYPERLINK("CSG1.html#group12M1", "12M¹"), =HYPERLINK("CSG2.html#group24C2", "24C²"), =HYPERLINK("CSG0.html#group1A0", "1A⁰"), =HYPERLINK("CSG3.html#group24O3", "24O³"), =HYPERLINK("CSG7.html#group24R7", "24R⁷"), =HYPERLINK("CSG0.html#group24A0", "24A⁰"), =HYPERLINK("CSG0.html#group3C0", "3C⁰"), =HYPERLINK("CSG0.html#group3A0", "3A⁰"), =HYPERLINK("CSG1.html#group16H1", "16H¹"), =HYPERLINK("CSG1.html#group12G1", "12G¹"), =HYPERLINK("CSG0.html#group8D0", "8D⁰"), =HYPERLINK("CSG0.html#group8B0", "8B⁰"), =HYPERLINK("CSG2.html#group24L2", "24L²"), =HYPERLINK("CSG1.html#group12L1", "12L¹"), =HYPERLINK("CSG3.html#group12J3", "12J³"), =HYPERLINK("CSG0.html#group8H0", "8H⁰"), =HYPERLINK("CSG7.html#group48AB7", "48AB⁷"), =HYPERLINK("CSG0.html#group12A0", "12A⁰"), =HYPERLINK("CSG1.html#group12C1", "12C¹"), =HYPERLINK("CSG0.html#group4A0", "4A⁰"), =HYPERLINK("CSG4.html#group24K4", "24K⁴"), =HYPERLINK("CSG1.html#group24C1", "24C¹"), =HYPERLINK("CSG1.html#group12J1", "12J¹"), =HYPERLINK("CSG0.html#group4F0", "4F⁰"), =HYPERLINK("CSG7.html#group48O7", "48O⁷"), =HYPERLINK("CSG4.html#group24L4", "24L⁴"), =HYPERLINK("CSG0.html#group6D0", "6D⁰")</f>
        <v/>
      </c>
      <c r="N4842" t="inlineStr"/>
    </row>
    <row r="4843">
      <c r="A4843" t="inlineStr">
        <is>
          <t>48AG¹⁷</t>
        </is>
      </c>
      <c r="B4843" t="inlineStr"/>
      <c r="C4843" t="inlineStr">
        <is>
          <t>288</t>
        </is>
      </c>
      <c r="D4843" t="inlineStr">
        <is>
          <t>1</t>
        </is>
      </c>
      <c r="E4843" t="inlineStr">
        <is>
          <t>36</t>
        </is>
      </c>
      <c r="F4843" t="inlineStr">
        <is>
          <t>8</t>
        </is>
      </c>
      <c r="G4843" t="inlineStr">
        <is>
          <t>0</t>
        </is>
      </c>
      <c r="H4843" t="inlineStr">
        <is>
          <t>12⁸, 48⁴</t>
        </is>
      </c>
      <c r="I4843" t="n">
        <v>12</v>
      </c>
      <c r="J4843" t="inlineStr">
        <is>
          <t>2⁴, 4³, 8²</t>
        </is>
      </c>
      <c r="K4843">
        <f>HYPERLINK("CSG5.html#group24U5", "24U⁵"), =HYPERLINK("CSG8.html#group48W8", "48W⁸")</f>
        <v/>
      </c>
      <c r="L4843" t="inlineStr"/>
      <c r="M4843">
        <f>HYPERLINK("CSG1.html#group12T1", "12T¹"), =HYPERLINK("CSG2.html#group24O2", "24O²"), =HYPERLINK("CSG1.html#group24E1", "24E¹"), =HYPERLINK("CSG0.html#group12C0", "12C⁰"), =HYPERLINK("CSG0.html#group4C0", "4C⁰"), =HYPERLINK("CSG0.html#group6G0", "6G⁰"), =HYPERLINK("CSG0.html#group2B0", "2B⁰"), =HYPERLINK("CSG1.html#group12N1", "12N¹"), =HYPERLINK("CSG0.html#group1A0", "1A⁰"), =HYPERLINK("CSG3.html#group24O3", "24O³"), =HYPERLINK("CSG3.html#group24N3", "24N³"), =HYPERLINK("CSG5.html#group24U5", "24U⁵"), =HYPERLINK("CSG0.html#group3C0", "3C⁰"), =HYPERLINK("CSG0.html#group6H0", "6H⁰"), =HYPERLINK("CSG0.html#group3A0", "3A⁰"), =HYPERLINK("CSG0.html#group6B0", "6B⁰"), =HYPERLINK("CSG2.html#group24N2", "24N²"), =HYPERLINK("CSG0.html#group8D0", "8D⁰"), =HYPERLINK("CSG8.html#group48W8", "48W⁸"), =HYPERLINK("CSG1.html#group12L1", "12L¹"), =HYPERLINK("CSG0.html#group12G0", "12G⁰"), =HYPERLINK("CSG1.html#group12C1", "12C¹"), =HYPERLINK("CSG0.html#group6E0", "6E⁰"), =HYPERLINK("CSG0.html#group6L0", "6L⁰"), =HYPERLINK("CSG1.html#group24C1", "24C¹"), =HYPERLINK("CSG0.html#group12D0", "12D⁰"), =HYPERLINK("CSG0.html#group12H0", "12H⁰"), =HYPERLINK("CSG0.html#group6D0", "6D⁰")</f>
        <v/>
      </c>
      <c r="N4843" t="inlineStr"/>
    </row>
    <row r="4844">
      <c r="A4844" t="inlineStr">
        <is>
          <t>48AH¹⁷</t>
        </is>
      </c>
      <c r="B4844" t="inlineStr"/>
      <c r="C4844" t="inlineStr">
        <is>
          <t>288</t>
        </is>
      </c>
      <c r="D4844" t="inlineStr">
        <is>
          <t>1</t>
        </is>
      </c>
      <c r="E4844" t="inlineStr">
        <is>
          <t>36</t>
        </is>
      </c>
      <c r="F4844" t="inlineStr">
        <is>
          <t>8</t>
        </is>
      </c>
      <c r="G4844" t="inlineStr">
        <is>
          <t>0</t>
        </is>
      </c>
      <c r="H4844" t="inlineStr">
        <is>
          <t>12⁸, 48⁴</t>
        </is>
      </c>
      <c r="I4844" t="n">
        <v>12</v>
      </c>
      <c r="J4844" t="inlineStr">
        <is>
          <t>1², 2³, 4³, 8²</t>
        </is>
      </c>
      <c r="K4844">
        <f>HYPERLINK("CSG5.html#group24U5", "24U⁵"), =HYPERLINK("CSG8.html#group48N8", "48N⁸"), =HYPERLINK("CSG8.html#group48O8", "48O⁸"), =HYPERLINK("CSG9.html#group48R9", "48R⁹"), =HYPERLINK("CSG9.html#group48S9", "48S⁹")</f>
        <v/>
      </c>
      <c r="L4844" t="inlineStr"/>
      <c r="M4844">
        <f>HYPERLINK("CSG1.html#group12T1", "12T¹"), =HYPERLINK("CSG2.html#group24O2", "24O²"), =HYPERLINK("CSG1.html#group24E1", "24E¹"), =HYPERLINK("CSG0.html#group12C0", "12C⁰"), =HYPERLINK("CSG8.html#group48O8", "48O⁸"), =HYPERLINK("CSG0.html#group4C0", "4C⁰"), =HYPERLINK("CSG0.html#group6G0", "6G⁰"), =HYPERLINK("CSG0.html#group2B0", "2B⁰"), =HYPERLINK("CSG1.html#group12N1", "12N¹"), =HYPERLINK("CSG0.html#group1A0", "1A⁰"), =HYPERLINK("CSG3.html#group24O3", "24O³"), =HYPERLINK("CSG4.html#group48E4", "48E⁴"), =HYPERLINK("CSG3.html#group24N3", "24N³"), =HYPERLINK("CSG9.html#group48S9", "48S⁹"), =HYPERLINK("CSG5.html#group24U5", "24U⁵"), =HYPERLINK("CSG0.html#group3C0", "3C⁰"), =HYPERLINK("CSG8.html#group48N8", "48N⁸"), =HYPERLINK("CSG0.html#group6H0", "6H⁰"), =HYPERLINK("CSG0.html#group3A0", "3A⁰"), =HYPERLINK("CSG9.html#group48R9", "48R⁹"), =HYPERLINK("CSG0.html#group6B0", "6B⁰"), =HYPERLINK("CSG2.html#group24N2", "24N²"), =HYPERLINK("CSG4.html#group48H4", "48H⁴"), =HYPERLINK("CSG0.html#group8D0", "8D⁰"), =HYPERLINK("CSG1.html#group12L1", "12L¹"), =HYPERLINK("CSG0.html#group12G0", "12G⁰"), =HYPERLINK("CSG1.html#group12C1", "12C¹"), =HYPERLINK("CSG0.html#group6E0", "6E⁰"), =HYPERLINK("CSG0.html#group6L0", "6L⁰"), =HYPERLINK("CSG1.html#group16C1", "16C¹"), =HYPERLINK("CSG1.html#group24C1", "24C¹"), =HYPERLINK("CSG0.html#group12D0", "12D⁰"), =HYPERLINK("CSG0.html#group12H0", "12H⁰"), =HYPERLINK("CSG0.html#group6D0", "6D⁰")</f>
        <v/>
      </c>
      <c r="N4844" t="inlineStr"/>
    </row>
    <row r="4845">
      <c r="A4845" t="inlineStr">
        <is>
          <t>48AI¹⁷</t>
        </is>
      </c>
      <c r="B4845" t="inlineStr"/>
      <c r="C4845" t="inlineStr">
        <is>
          <t>288</t>
        </is>
      </c>
      <c r="D4845" t="inlineStr">
        <is>
          <t>1</t>
        </is>
      </c>
      <c r="E4845" t="inlineStr">
        <is>
          <t>36</t>
        </is>
      </c>
      <c r="F4845" t="inlineStr">
        <is>
          <t>8</t>
        </is>
      </c>
      <c r="G4845" t="inlineStr">
        <is>
          <t>0</t>
        </is>
      </c>
      <c r="H4845" t="inlineStr">
        <is>
          <t>12⁸, 48⁴</t>
        </is>
      </c>
      <c r="I4845" t="n">
        <v>12</v>
      </c>
      <c r="J4845" t="inlineStr">
        <is>
          <t>1², 2³, 4³, 8²</t>
        </is>
      </c>
      <c r="K4845">
        <f>HYPERLINK("CSG7.html#group24P7", "24P⁷"), =HYPERLINK("CSG7.html#group48Z7", "48Z⁷"), =HYPERLINK("CSG8.html#group48Q8", "48Q⁸"), =HYPERLINK("CSG8.html#group48Z8", "48Z⁸"), =HYPERLINK("CSG9.html#group48S9", "48S⁹")</f>
        <v/>
      </c>
      <c r="L4845" t="inlineStr"/>
      <c r="M4845">
        <f>HYPERLINK("CSG3.html#group24Q3", "24Q³"), =HYPERLINK("CSG1.html#group24E1", "24E¹"), =HYPERLINK("CSG7.html#group24P7", "24P⁷"), =HYPERLINK("CSG0.html#group12C0", "12C⁰"), =HYPERLINK("CSG3.html#group48G3", "48G³"), =HYPERLINK("CSG0.html#group8D0", "8D⁰"), =HYPERLINK("CSG4.html#group48H4", "48H⁴"), =HYPERLINK("CSG8.html#group48Z8", "48Z⁸"), =HYPERLINK("CSG0.html#group4C0", "4C⁰"), =HYPERLINK("CSG1.html#group24D1", "24D¹"), =HYPERLINK("CSG0.html#group6G0", "6G⁰"), =HYPERLINK("CSG1.html#group12M1", "12M¹"), =HYPERLINK("CSG0.html#group2B0", "2B⁰"), =HYPERLINK("CSG7.html#group48Z7", "48Z⁷"), =HYPERLINK("CSG8.html#group48Q8", "48Q⁸"), =HYPERLINK("CSG0.html#group1A0", "1A⁰"), =HYPERLINK("CSG3.html#group24O3", "24O³"), =HYPERLINK("CSG1.html#group12L1", "12L¹"), =HYPERLINK("CSG4.html#group48E4", "48E⁴"), =HYPERLINK("CSG1.html#group12C1", "12C¹"), =HYPERLINK("CSG3.html#group24H3", "24H³"), =HYPERLINK("CSG3.html#group12I3", "12I³"), =HYPERLINK("CSG9.html#group48S9", "48S⁹"), =HYPERLINK("CSG1.html#group16C1", "16C¹"), =HYPERLINK("CSG3.html#group24T3", "24T³"), =HYPERLINK("CSG1.html#group24C1", "24C¹"), =HYPERLINK("CSG0.html#group3C0", "3C⁰"), =HYPERLINK("CSG0.html#group3A0", "3A⁰"), =HYPERLINK("CSG0.html#group6D0", "6D⁰")</f>
        <v/>
      </c>
      <c r="N4845" t="inlineStr"/>
    </row>
    <row r="4846">
      <c r="A4846" t="inlineStr">
        <is>
          <t>48AJ¹⁷</t>
        </is>
      </c>
      <c r="B4846" t="inlineStr"/>
      <c r="C4846" t="inlineStr">
        <is>
          <t>288</t>
        </is>
      </c>
      <c r="D4846" t="inlineStr">
        <is>
          <t>1</t>
        </is>
      </c>
      <c r="E4846" t="inlineStr">
        <is>
          <t>36</t>
        </is>
      </c>
      <c r="F4846" t="inlineStr">
        <is>
          <t>8</t>
        </is>
      </c>
      <c r="G4846" t="inlineStr">
        <is>
          <t>0</t>
        </is>
      </c>
      <c r="H4846" t="inlineStr">
        <is>
          <t>12⁸, 48⁴</t>
        </is>
      </c>
      <c r="I4846" t="n">
        <v>12</v>
      </c>
      <c r="J4846" t="inlineStr">
        <is>
          <t>1², 2³, 4³, 8²</t>
        </is>
      </c>
      <c r="K4846">
        <f>HYPERLINK("CSG7.html#group24P7", "24P⁷"), =HYPERLINK("CSG7.html#group48AA7", "48AA⁷"), =HYPERLINK("CSG8.html#group48P8", "48P⁸"), =HYPERLINK("CSG8.html#group48Z8", "48Z⁸"), =HYPERLINK("CSG9.html#group48R9", "48R⁹")</f>
        <v/>
      </c>
      <c r="L4846" t="inlineStr"/>
      <c r="M4846">
        <f>HYPERLINK("CSG3.html#group24Q3", "24Q³"), =HYPERLINK("CSG1.html#group24E1", "24E¹"), =HYPERLINK("CSG7.html#group24P7", "24P⁷"), =HYPERLINK("CSG0.html#group12C0", "12C⁰"), =HYPERLINK("CSG0.html#group3A0", "3A⁰"), =HYPERLINK("CSG3.html#group48G3", "48G³"), =HYPERLINK("CSG0.html#group8D0", "8D⁰"), =HYPERLINK("CSG4.html#group48H4", "48H⁴"), =HYPERLINK("CSG8.html#group48Z8", "48Z⁸"), =HYPERLINK("CSG0.html#group4C0", "4C⁰"), =HYPERLINK("CSG1.html#group24D1", "24D¹"), =HYPERLINK("CSG0.html#group6G0", "6G⁰"), =HYPERLINK("CSG1.html#group12M1", "12M¹"), =HYPERLINK("CSG0.html#group2B0", "2B⁰"), =HYPERLINK("CSG8.html#group48P8", "48P⁸"), =HYPERLINK("CSG0.html#group1A0", "1A⁰"), =HYPERLINK("CSG3.html#group24O3", "24O³"), =HYPERLINK("CSG1.html#group12L1", "12L¹"), =HYPERLINK("CSG0.html#group16E0", "16E⁰"), =HYPERLINK("CSG1.html#group12C1", "12C¹"), =HYPERLINK("CSG3.html#group24H3", "24H³"), =HYPERLINK("CSG3.html#group12I3", "12I³"), =HYPERLINK("CSG0.html#group6D0", "6D⁰"), =HYPERLINK("CSG3.html#group24T3", "24T³"), =HYPERLINK("CSG1.html#group24C1", "24C¹"), =HYPERLINK("CSG0.html#group3C0", "3C⁰"), =HYPERLINK("CSG3.html#group48D3", "48D³"), =HYPERLINK("CSG7.html#group48AA7", "48AA⁷"), =HYPERLINK("CSG9.html#group48R9", "48R⁹")</f>
        <v/>
      </c>
      <c r="N4846" t="inlineStr"/>
    </row>
    <row r="4847">
      <c r="A4847" t="inlineStr">
        <is>
          <t>48AK¹⁷</t>
        </is>
      </c>
      <c r="B4847" t="inlineStr"/>
      <c r="C4847" t="inlineStr">
        <is>
          <t>288</t>
        </is>
      </c>
      <c r="D4847" t="inlineStr">
        <is>
          <t>1</t>
        </is>
      </c>
      <c r="E4847" t="inlineStr">
        <is>
          <t>36</t>
        </is>
      </c>
      <c r="F4847" t="inlineStr">
        <is>
          <t>8</t>
        </is>
      </c>
      <c r="G4847" t="inlineStr">
        <is>
          <t>0</t>
        </is>
      </c>
      <c r="H4847" t="inlineStr">
        <is>
          <t>12⁸, 48⁴</t>
        </is>
      </c>
      <c r="I4847" t="n">
        <v>12</v>
      </c>
      <c r="J4847" t="inlineStr">
        <is>
          <t>1², 2³, 4³, 8²</t>
        </is>
      </c>
      <c r="K4847">
        <f>HYPERLINK("CSG7.html#group24R7", "24R⁷"), =HYPERLINK("CSG7.html#group48Z7", "48Z⁷"), =HYPERLINK("CSG7.html#group48AC7", "48AC⁷"), =HYPERLINK("CSG9.html#group48R9", "48R⁹"), =HYPERLINK("CSG9.html#group48AD9", "48AD⁹")</f>
        <v/>
      </c>
      <c r="L4847" t="inlineStr"/>
      <c r="M4847">
        <f>HYPERLINK("CSG9.html#group48AD9", "48AD⁹"), =HYPERLINK("CSG1.html#group24E1", "24E¹"), =HYPERLINK("CSG0.html#group12C0", "12C⁰"), =HYPERLINK("CSG3.html#group48G3", "48G³"), =HYPERLINK("CSG7.html#group48AC7", "48AC⁷"), =HYPERLINK("CSG0.html#group4C0", "4C⁰"), =HYPERLINK("CSG3.html#group24I3", "24I³"), =HYPERLINK("CSG0.html#group6G0", "6G⁰"), =HYPERLINK("CSG2.html#group24P2", "24P²"), =HYPERLINK("CSG0.html#group2B0", "2B⁰"), =HYPERLINK("CSG1.html#group12M1", "12M¹"), =HYPERLINK("CSG2.html#group24C2", "24C²"), =HYPERLINK("CSG0.html#group1A0", "1A⁰"), =HYPERLINK("CSG3.html#group24O3", "24O³"), =HYPERLINK("CSG7.html#group24R7", "24R⁷"), =HYPERLINK("CSG0.html#group24A0", "24A⁰"), =HYPERLINK("CSG0.html#group3C0", "3C⁰"), =HYPERLINK("CSG0.html#group3A0", "3A⁰"), =HYPERLINK("CSG9.html#group48R9", "48R⁹"), =HYPERLINK("CSG1.html#group12G1", "12G¹"), =HYPERLINK("CSG4.html#group48H4", "48H⁴"), =HYPERLINK("CSG0.html#group8D0", "8D⁰"), =HYPERLINK("CSG0.html#group8B0", "8B⁰"), =HYPERLINK("CSG2.html#group24L2", "24L²"), =HYPERLINK("CSG7.html#group48Z7", "48Z⁷"), =HYPERLINK("CSG1.html#group12L1", "12L¹"), =HYPERLINK("CSG3.html#group12J3", "12J³"), =HYPERLINK("CSG0.html#group8H0", "8H⁰"), =HYPERLINK("CSG0.html#group12A0", "12A⁰"), =HYPERLINK("CSG1.html#group12C1", "12C¹"), =HYPERLINK("CSG0.html#group4A0", "4A⁰"), =HYPERLINK("CSG4.html#group24K4", "24K⁴"), =HYPERLINK("CSG1.html#group24C1", "24C¹"), =HYPERLINK("CSG1.html#group12J1", "12J¹"), =HYPERLINK("CSG0.html#group4F0", "4F⁰"), =HYPERLINK("CSG4.html#group24L4", "24L⁴"), =HYPERLINK("CSG0.html#group6D0", "6D⁰")</f>
        <v/>
      </c>
      <c r="N4847" t="inlineStr"/>
    </row>
    <row r="4848">
      <c r="A4848" t="inlineStr">
        <is>
          <t>48AL¹⁷</t>
        </is>
      </c>
      <c r="B4848" t="inlineStr"/>
      <c r="C4848" t="inlineStr">
        <is>
          <t>288</t>
        </is>
      </c>
      <c r="D4848" t="inlineStr">
        <is>
          <t>1</t>
        </is>
      </c>
      <c r="E4848" t="inlineStr">
        <is>
          <t>36</t>
        </is>
      </c>
      <c r="F4848" t="inlineStr">
        <is>
          <t>8</t>
        </is>
      </c>
      <c r="G4848" t="inlineStr">
        <is>
          <t>0</t>
        </is>
      </c>
      <c r="H4848" t="inlineStr">
        <is>
          <t>12⁸, 48⁴</t>
        </is>
      </c>
      <c r="I4848" t="n">
        <v>12</v>
      </c>
      <c r="J4848" t="inlineStr">
        <is>
          <t>1², 2³, 4³, 8²</t>
        </is>
      </c>
      <c r="K4848">
        <f>HYPERLINK("CSG7.html#group24R7", "24R⁷"), =HYPERLINK("CSG7.html#group48P7", "48P⁷"), =HYPERLINK("CSG7.html#group48AA7", "48AA⁷"), =HYPERLINK("CSG7.html#group48AC7", "48AC⁷"), =HYPERLINK("CSG9.html#group48S9", "48S⁹"), =HYPERLINK("CSG9.html#group48T9", "48T⁹"), =HYPERLINK("CSG9.html#group48U9", "48U⁹")</f>
        <v/>
      </c>
      <c r="L4848" t="inlineStr"/>
      <c r="M4848">
        <f>HYPERLINK("CSG1.html#group24E1", "24E¹"), =HYPERLINK("CSG0.html#group12C0", "12C⁰"), =HYPERLINK("CSG3.html#group48G3", "48G³"), =HYPERLINK("CSG1.html#group16I1", "16I¹"), =HYPERLINK("CSG7.html#group48AC7", "48AC⁷"), =HYPERLINK("CSG0.html#group4C0", "4C⁰"), =HYPERLINK("CSG7.html#group48P7", "48P⁷"), =HYPERLINK("CSG3.html#group24I3", "24I³"), =HYPERLINK("CSG0.html#group6G0", "6G⁰"), =HYPERLINK("CSG2.html#group24P2", "24P²"), =HYPERLINK("CSG0.html#group2B0", "2B⁰"), =HYPERLINK("CSG1.html#group12M1", "12M¹"), =HYPERLINK("CSG2.html#group24C2", "24C²"), =HYPERLINK("CSG0.html#group1A0", "1A⁰"), =HYPERLINK("CSG3.html#group24O3", "24O³"), =HYPERLINK("CSG0.html#group16E0", "16E⁰"), =HYPERLINK("CSG7.html#group24R7", "24R⁷"), =HYPERLINK("CSG4.html#group48E4", "48E⁴"), =HYPERLINK("CSG0.html#group24A0", "24A⁰"), =HYPERLINK("CSG9.html#group48S9", "48S⁹"), =HYPERLINK("CSG0.html#group3C0", "3C⁰"), =HYPERLINK("CSG3.html#group48D3", "48D³"), =HYPERLINK("CSG0.html#group3A0", "3A⁰"), =HYPERLINK("CSG1.html#group12G1", "12G¹"), =HYPERLINK("CSG9.html#group48T9", "48T⁹"), =HYPERLINK("CSG4.html#group48H4", "48H⁴"), =HYPERLINK("CSG0.html#group8D0", "8D⁰"), =HYPERLINK("CSG0.html#group8B0", "8B⁰"), =HYPERLINK("CSG9.html#group48U9", "48U⁹"), =HYPERLINK("CSG2.html#group24L2", "24L²"), =HYPERLINK("CSG1.html#group12L1", "12L¹"), =HYPERLINK("CSG3.html#group12J3", "12J³"), =HYPERLINK("CSG0.html#group8H0", "8H⁰"), =HYPERLINK("CSG0.html#group12A0", "12A⁰"), =HYPERLINK("CSG1.html#group12C1", "12C¹"), =HYPERLINK("CSG0.html#group4A0", "4A⁰"), =HYPERLINK("CSG1.html#group16C1", "16C¹"), =HYPERLINK("CSG4.html#group24K4", "24K⁴"), =HYPERLINK("CSG1.html#group24C1", "24C¹"), =HYPERLINK("CSG1.html#group12J1", "12J¹"), =HYPERLINK("CSG0.html#group4F0", "4F⁰"), =HYPERLINK("CSG7.html#group48AA7", "48AA⁷"), =HYPERLINK("CSG4.html#group24L4", "24L⁴"), =HYPERLINK("CSG0.html#group6D0", "6D⁰")</f>
        <v/>
      </c>
      <c r="N4848" t="inlineStr"/>
    </row>
    <row r="4849">
      <c r="A4849" t="inlineStr">
        <is>
          <t>48AM¹⁷</t>
        </is>
      </c>
      <c r="B4849" t="inlineStr"/>
      <c r="C4849" t="inlineStr">
        <is>
          <t>288</t>
        </is>
      </c>
      <c r="D4849" t="inlineStr">
        <is>
          <t>1</t>
        </is>
      </c>
      <c r="E4849" t="inlineStr">
        <is>
          <t>36</t>
        </is>
      </c>
      <c r="F4849" t="inlineStr">
        <is>
          <t>16</t>
        </is>
      </c>
      <c r="G4849" t="inlineStr">
        <is>
          <t>0</t>
        </is>
      </c>
      <c r="H4849" t="inlineStr">
        <is>
          <t>24⁴, 48⁴</t>
        </is>
      </c>
      <c r="I4849" t="n">
        <v>8</v>
      </c>
      <c r="J4849" t="inlineStr">
        <is>
          <t>2², 4⁴, 8²</t>
        </is>
      </c>
      <c r="K4849">
        <f>HYPERLINK("CSG7.html#group24K7", "24K⁷"), =HYPERLINK("CSG7.html#group48U7", "48U⁷"), =HYPERLINK("CSG7.html#group48AB7", "48AB⁷")</f>
        <v/>
      </c>
      <c r="L4849" t="inlineStr"/>
      <c r="M4849">
        <f>HYPERLINK("CSG7.html#group24K7", "24K⁷"), =HYPERLINK("CSG0.html#group12C0", "12C⁰"), =HYPERLINK("CSG0.html#group8D0", "8D⁰"), =HYPERLINK("CSG0.html#group4C0", "4C⁰"), =HYPERLINK("CSG0.html#group8B0", "8B⁰"), =HYPERLINK("CSG0.html#group8A0", "8A⁰"), =HYPERLINK("CSG0.html#group2B0", "2B⁰"), =HYPERLINK("CSG2.html#group24L2", "24L²"), =HYPERLINK("CSG0.html#group8K0", "8K⁰"), =HYPERLINK("CSG0.html#group1A0", "1A⁰"), =HYPERLINK("CSG1.html#group8D1", "8D¹"), =HYPERLINK("CSG1.html#group8H1", "8H¹"), =HYPERLINK("CSG3.html#group24J3", "24J³"), =HYPERLINK("CSG0.html#group8H0", "8H⁰"), =HYPERLINK("CSG7.html#group48AB7", "48AB⁷"), =HYPERLINK("CSG4.html#group24H4", "24H⁴"), =HYPERLINK("CSG0.html#group12A0", "12A⁰"), =HYPERLINK("CSG1.html#group24A1", "24A¹"), =HYPERLINK("CSG0.html#group24A0", "24A⁰"), =HYPERLINK("CSG0.html#group4A0", "4A⁰"), =HYPERLINK("CSG0.html#group6D0", "6D⁰"), =HYPERLINK("CSG1.html#group24C1", "24C¹"), =HYPERLINK("CSG2.html#group48A2", "48A²"), =HYPERLINK("CSG1.html#group12J1", "12J¹"), =HYPERLINK("CSG0.html#group4F0", "4F⁰"), =HYPERLINK("CSG3.html#group48F3", "48F³"), =HYPERLINK("CSG0.html#group3A0", "3A⁰"), =HYPERLINK("CSG7.html#group48U7", "48U⁷")</f>
        <v/>
      </c>
      <c r="N4849" t="inlineStr"/>
    </row>
    <row r="4850">
      <c r="A4850" t="inlineStr">
        <is>
          <t>48AN¹⁷</t>
        </is>
      </c>
      <c r="B4850" t="inlineStr"/>
      <c r="C4850" t="inlineStr">
        <is>
          <t>288</t>
        </is>
      </c>
      <c r="D4850" t="inlineStr">
        <is>
          <t>1</t>
        </is>
      </c>
      <c r="E4850" t="inlineStr">
        <is>
          <t>36</t>
        </is>
      </c>
      <c r="F4850" t="inlineStr">
        <is>
          <t>16</t>
        </is>
      </c>
      <c r="G4850" t="inlineStr">
        <is>
          <t>0</t>
        </is>
      </c>
      <c r="H4850" t="inlineStr">
        <is>
          <t>24⁴, 48⁴</t>
        </is>
      </c>
      <c r="I4850" t="n">
        <v>8</v>
      </c>
      <c r="J4850" t="inlineStr">
        <is>
          <t>2², 4⁴, 8²</t>
        </is>
      </c>
      <c r="K4850">
        <f>HYPERLINK("CSG7.html#group24AB7", "24AB⁷"), =HYPERLINK("CSG7.html#group48O7", "48O⁷"), =HYPERLINK("CSG7.html#group48U7", "48U⁷")</f>
        <v/>
      </c>
      <c r="L4850" t="inlineStr"/>
      <c r="M4850">
        <f>HYPERLINK("CSG4.html#group24O4", "24O⁴"), =HYPERLINK("CSG0.html#group12C0", "12C⁰"), =HYPERLINK("CSG0.html#group8D0", "8D⁰"), =HYPERLINK("CSG0.html#group4C0", "4C⁰"), =HYPERLINK("CSG0.html#group8B0", "8B⁰"), =HYPERLINK("CSG0.html#group2B0", "2B⁰"), =HYPERLINK("CSG1.html#group24B1", "24B¹"), =HYPERLINK("CSG2.html#group24L2", "24L²"), =HYPERLINK("CSG0.html#group1A0", "1A⁰"), =HYPERLINK("CSG0.html#group8H0", "8H⁰"), =HYPERLINK("CSG0.html#group12A0", "12A⁰"), =HYPERLINK("CSG0.html#group24A0", "24A⁰"), =HYPERLINK("CSG0.html#group4A0", "4A⁰"), =HYPERLINK("CSG0.html#group6D0", "6D⁰"), =HYPERLINK("CSG1.html#group24C1", "24C¹"), =HYPERLINK("CSG2.html#group48A2", "48A²"), =HYPERLINK("CSG3.html#group48F3", "48F³"), =HYPERLINK("CSG7.html#group24AB7", "24AB⁷"), =HYPERLINK("CSG1.html#group12J1", "12J¹"), =HYPERLINK("CSG0.html#group4F0", "4F⁰"), =HYPERLINK("CSG3.html#group24R3", "24R³"), =HYPERLINK("CSG0.html#group3A0", "3A⁰"), =HYPERLINK("CSG7.html#group48O7", "48O⁷"), =HYPERLINK("CSG1.html#group16H1", "16H¹"), =HYPERLINK("CSG7.html#group48U7", "48U⁷")</f>
        <v/>
      </c>
      <c r="N4850" t="inlineStr"/>
    </row>
    <row r="4851">
      <c r="A4851" t="inlineStr">
        <is>
          <t>48AO¹⁷</t>
        </is>
      </c>
      <c r="B4851" t="inlineStr"/>
      <c r="C4851" t="inlineStr">
        <is>
          <t>288</t>
        </is>
      </c>
      <c r="D4851" t="inlineStr">
        <is>
          <t>1</t>
        </is>
      </c>
      <c r="E4851" t="inlineStr">
        <is>
          <t>36</t>
        </is>
      </c>
      <c r="F4851" t="inlineStr">
        <is>
          <t>16</t>
        </is>
      </c>
      <c r="G4851" t="inlineStr">
        <is>
          <t>0</t>
        </is>
      </c>
      <c r="H4851" t="inlineStr">
        <is>
          <t>24⁴, 48⁴</t>
        </is>
      </c>
      <c r="I4851" t="n">
        <v>8</v>
      </c>
      <c r="J4851" t="inlineStr">
        <is>
          <t>1², 2³, 4³, 8²</t>
        </is>
      </c>
      <c r="K4851">
        <f>HYPERLINK("CSG7.html#group24L7", "24L⁷"), =HYPERLINK("CSG7.html#group48U7", "48U⁷"), =HYPERLINK("CSG7.html#group48AC7", "48AC⁷")</f>
        <v/>
      </c>
      <c r="L4851" t="inlineStr"/>
      <c r="M4851">
        <f>HYPERLINK("CSG0.html#group12C0", "12C⁰"), =HYPERLINK("CSG3.html#group48G3", "48G³"), =HYPERLINK("CSG7.html#group48AC7", "48AC⁷"), =HYPERLINK("CSG4.html#group48H4", "48H⁴"), =HYPERLINK("CSG0.html#group8D0", "8D⁰"), =HYPERLINK("CSG0.html#group4C0", "4C⁰"), =HYPERLINK("CSG0.html#group8B0", "8B⁰"), =HYPERLINK("CSG0.html#group2B0", "2B⁰"), =HYPERLINK("CSG2.html#group24L2", "24L²"), =HYPERLINK("CSG0.html#group1A0", "1A⁰"), =HYPERLINK("CSG0.html#group8H0", "8H⁰"), =HYPERLINK("CSG1.html#group24F1", "24F¹"), =HYPERLINK("CSG0.html#group12A0", "12A⁰"), =HYPERLINK("CSG0.html#group8F0", "8F⁰"), =HYPERLINK("CSG0.html#group24A0", "24A⁰"), =HYPERLINK("CSG0.html#group4A0", "4A⁰"), =HYPERLINK("CSG1.html#group8I1", "8I¹"), =HYPERLINK("CSG0.html#group6D0", "6D⁰"), =HYPERLINK("CSG1.html#group24C1", "24C¹"), =HYPERLINK("CSG2.html#group48A2", "48A²"), =HYPERLINK("CSG7.html#group24L7", "24L⁷"), =HYPERLINK("CSG1.html#group12J1", "12J¹"), =HYPERLINK("CSG0.html#group4F0", "4F⁰"), =HYPERLINK("CSG3.html#group48F3", "48F³"), =HYPERLINK("CSG0.html#group3A0", "3A⁰"), =HYPERLINK("CSG7.html#group48U7", "48U⁷")</f>
        <v/>
      </c>
      <c r="N4851" t="inlineStr"/>
    </row>
    <row r="4852">
      <c r="A4852" t="inlineStr">
        <is>
          <t>48AP¹⁷</t>
        </is>
      </c>
      <c r="B4852" t="inlineStr"/>
      <c r="C4852" t="inlineStr">
        <is>
          <t>288</t>
        </is>
      </c>
      <c r="D4852" t="inlineStr">
        <is>
          <t>1</t>
        </is>
      </c>
      <c r="E4852" t="inlineStr">
        <is>
          <t>36</t>
        </is>
      </c>
      <c r="F4852" t="inlineStr">
        <is>
          <t>16</t>
        </is>
      </c>
      <c r="G4852" t="inlineStr">
        <is>
          <t>0</t>
        </is>
      </c>
      <c r="H4852" t="inlineStr">
        <is>
          <t>24⁴, 48⁴</t>
        </is>
      </c>
      <c r="I4852" t="n">
        <v>8</v>
      </c>
      <c r="J4852" t="inlineStr">
        <is>
          <t>1², 2³, 4³, 8²</t>
        </is>
      </c>
      <c r="K4852">
        <f>HYPERLINK("CSG7.html#group24AC7", "24AC⁷"), =HYPERLINK("CSG7.html#group48P7", "48P⁷"), =HYPERLINK("CSG7.html#group48U7", "48U⁷")</f>
        <v/>
      </c>
      <c r="L4852" t="inlineStr"/>
      <c r="M4852">
        <f>HYPERLINK("CSG0.html#group12C0", "12C⁰"), =HYPERLINK("CSG7.html#group24AC7", "24AC⁷"), =HYPERLINK("CSG1.html#group16I1", "16I¹"), =HYPERLINK("CSG0.html#group8D0", "8D⁰"), =HYPERLINK("CSG0.html#group4C0", "4C⁰"), =HYPERLINK("CSG7.html#group48P7", "48P⁷"), =HYPERLINK("CSG0.html#group8B0", "8B⁰"), =HYPERLINK("CSG0.html#group2B0", "2B⁰"), =HYPERLINK("CSG2.html#group24L2", "24L²"), =HYPERLINK("CSG0.html#group1A0", "1A⁰"), =HYPERLINK("CSG0.html#group8H0", "8H⁰"), =HYPERLINK("CSG0.html#group16E0", "16E⁰"), =HYPERLINK("CSG0.html#group12A0", "12A⁰"), =HYPERLINK("CSG4.html#group48E4", "48E⁴"), =HYPERLINK("CSG0.html#group24A0", "24A⁰"), =HYPERLINK("CSG0.html#group4A0", "4A⁰"), =HYPERLINK("CSG1.html#group16C1", "16C¹"), =HYPERLINK("CSG0.html#group6D0", "6D⁰"), =HYPERLINK("CSG1.html#group24C1", "24C¹"), =HYPERLINK("CSG2.html#group48A2", "48A²"), =HYPERLINK("CSG3.html#group48F3", "48F³"), =HYPERLINK("CSG1.html#group12J1", "12J¹"), =HYPERLINK("CSG3.html#group48D3", "48D³"), =HYPERLINK("CSG0.html#group4F0", "4F⁰"), =HYPERLINK("CSG0.html#group3A0", "3A⁰"), =HYPERLINK("CSG7.html#group48U7", "48U⁷")</f>
        <v/>
      </c>
      <c r="N4852" t="inlineStr"/>
    </row>
    <row r="4853">
      <c r="A4853" t="inlineStr">
        <is>
          <t>48AQ¹⁷</t>
        </is>
      </c>
      <c r="B4853" t="inlineStr"/>
      <c r="C4853" t="inlineStr">
        <is>
          <t>288</t>
        </is>
      </c>
      <c r="D4853" t="inlineStr">
        <is>
          <t>1</t>
        </is>
      </c>
      <c r="E4853" t="inlineStr">
        <is>
          <t>36</t>
        </is>
      </c>
      <c r="F4853" t="inlineStr">
        <is>
          <t>16</t>
        </is>
      </c>
      <c r="G4853" t="inlineStr">
        <is>
          <t>0</t>
        </is>
      </c>
      <c r="H4853" t="inlineStr">
        <is>
          <t>24⁴, 48⁴</t>
        </is>
      </c>
      <c r="I4853" t="n">
        <v>8</v>
      </c>
      <c r="J4853" t="inlineStr">
        <is>
          <t>2², 4⁸</t>
        </is>
      </c>
      <c r="K4853">
        <f>HYPERLINK("CSG5.html#group24W5", "24W⁵"), =HYPERLINK("CSG7.html#group48AD7", "48AD⁷"), =HYPERLINK("CSG8.html#group48R8", "48R⁸"), =HYPERLINK("CSG8.html#group48S8", "48S⁸"), =HYPERLINK("CSG8.html#group48T8", "48T⁸")</f>
        <v/>
      </c>
      <c r="L4853" t="inlineStr"/>
      <c r="M4853">
        <f>HYPERLINK("CSG2.html#group12I2", "12I²"), =HYPERLINK("CSG1.html#group24E1", "24E¹"), =HYPERLINK("CSG2.html#group24O2", "24O²"), =HYPERLINK("CSG3.html#group24Q3", "24Q³"), =HYPERLINK("CSG0.html#group12C0", "12C⁰"), =HYPERLINK("CSG8.html#group48R8", "48R⁸"), =HYPERLINK("CSG0.html#group4C0", "4C⁰"), =HYPERLINK("CSG2.html#group24P2", "24P²"), =HYPERLINK("CSG0.html#group2B0", "2B⁰"), =HYPERLINK("CSG1.html#group12M1", "12M¹"), =HYPERLINK("CSG3.html#group24P3", "24P³"), =HYPERLINK("CSG0.html#group1A0", "1A⁰"), =HYPERLINK("CSG5.html#group24W5", "24W⁵"), =HYPERLINK("CSG3.html#group48H3", "48H³"), =HYPERLINK("CSG8.html#group48S8", "48S⁸"), =HYPERLINK("CSG0.html#group24A0", "24A⁰"), =HYPERLINK("CSG0.html#group6H0", "6H⁰"), =HYPERLINK("CSG0.html#group3A0", "3A⁰"), =HYPERLINK("CSG1.html#group24H1", "24H¹"), =HYPERLINK("CSG0.html#group6B0", "6B⁰"), =HYPERLINK("CSG0.html#group8D0", "8D⁰"), =HYPERLINK("CSG1.html#group24D1", "24D¹"), =HYPERLINK("CSG0.html#group8B0", "8B⁰"), =HYPERLINK("CSG8.html#group48T8", "48T⁸"), =HYPERLINK("CSG0.html#group12F0", "12F⁰"), =HYPERLINK("CSG2.html#group24L2", "24L²"), =HYPERLINK("CSG7.html#group48AD7", "48AD⁷"), =HYPERLINK("CSG0.html#group8H0", "8H⁰"), =HYPERLINK("CSG0.html#group12A0", "12A⁰"), =HYPERLINK("CSG0.html#group4A0", "4A⁰"), =HYPERLINK("CSG1.html#group24C1", "24C¹"), =HYPERLINK("CSG1.html#group12J1", "12J¹"), =HYPERLINK("CSG0.html#group12D0", "12D⁰"), =HYPERLINK("CSG0.html#group4F0", "4F⁰"), =HYPERLINK("CSG0.html#group12H0", "12H⁰"), =HYPERLINK("CSG0.html#group6D0", "6D⁰")</f>
        <v/>
      </c>
      <c r="N4853" t="inlineStr"/>
    </row>
    <row r="4854">
      <c r="A4854" t="inlineStr">
        <is>
          <t>48AR¹⁷</t>
        </is>
      </c>
      <c r="B4854" t="inlineStr"/>
      <c r="C4854" t="inlineStr">
        <is>
          <t>288</t>
        </is>
      </c>
      <c r="D4854" t="inlineStr">
        <is>
          <t>1</t>
        </is>
      </c>
      <c r="E4854" t="inlineStr">
        <is>
          <t>36</t>
        </is>
      </c>
      <c r="F4854" t="inlineStr">
        <is>
          <t>16</t>
        </is>
      </c>
      <c r="G4854" t="inlineStr">
        <is>
          <t>0</t>
        </is>
      </c>
      <c r="H4854" t="inlineStr">
        <is>
          <t>24⁴, 48⁴</t>
        </is>
      </c>
      <c r="I4854" t="n">
        <v>8</v>
      </c>
      <c r="J4854" t="inlineStr">
        <is>
          <t>2⁸, 4³, 8¹</t>
        </is>
      </c>
      <c r="K4854">
        <f>HYPERLINK("CSG5.html#group24S5", "24S⁵"), =HYPERLINK("CSG9.html#group48AF9", "48AF⁹")</f>
        <v/>
      </c>
      <c r="L4854" t="inlineStr"/>
      <c r="M4854">
        <f>HYPERLINK("CSG1.html#group12T1", "12T¹"), =HYPERLINK("CSG0.html#group6B0", "6B⁰"), =HYPERLINK("CSG0.html#group12C0", "12C⁰"), =HYPERLINK("CSG9.html#group48AF9", "48AF⁹"), =HYPERLINK("CSG0.html#group4C0", "4C⁰"), =HYPERLINK("CSG1.html#group24D1", "24D¹"), =HYPERLINK("CSG3.html#group24I3", "24I³"), =HYPERLINK("CSG0.html#group6G0", "6G⁰"), =HYPERLINK("CSG0.html#group8B0", "8B⁰"), =HYPERLINK("CSG0.html#group2B0", "2B⁰"), =HYPERLINK("CSG2.html#group24C2", "24C²"), =HYPERLINK("CSG1.html#group12N1", "12N¹"), =HYPERLINK("CSG0.html#group12H0", "12H⁰"), =HYPERLINK("CSG0.html#group1A0", "1A⁰"), =HYPERLINK("CSG1.html#group12L1", "12L¹"), =HYPERLINK("CSG0.html#group12G0", "12G⁰"), =HYPERLINK("CSG1.html#group12C1", "12C¹"), =HYPERLINK("CSG3.html#group24H3", "24H³"), =HYPERLINK("CSG0.html#group6E0", "6E⁰"), =HYPERLINK("CSG0.html#group6L0", "6L⁰"), =HYPERLINK("CSG3.html#group24S3", "24S³"), =HYPERLINK("CSG0.html#group24A0", "24A⁰"), =HYPERLINK("CSG5.html#group24S5", "24S⁵"), =HYPERLINK("CSG0.html#group3C0", "3C⁰"), =HYPERLINK("CSG0.html#group12D0", "12D⁰"), =HYPERLINK("CSG0.html#group6H0", "6H⁰"), =HYPERLINK("CSG0.html#group3A0", "3A⁰"), =HYPERLINK("CSG1.html#group24H1", "24H¹"), =HYPERLINK("CSG0.html#group6D0", "6D⁰")</f>
        <v/>
      </c>
      <c r="N4854" t="inlineStr"/>
    </row>
    <row r="4855">
      <c r="A4855" t="inlineStr">
        <is>
          <t>48AS¹⁷</t>
        </is>
      </c>
      <c r="B4855" t="inlineStr"/>
      <c r="C4855" t="inlineStr">
        <is>
          <t>288</t>
        </is>
      </c>
      <c r="D4855" t="inlineStr">
        <is>
          <t>1</t>
        </is>
      </c>
      <c r="E4855" t="inlineStr">
        <is>
          <t>36</t>
        </is>
      </c>
      <c r="F4855" t="inlineStr">
        <is>
          <t>16</t>
        </is>
      </c>
      <c r="G4855" t="inlineStr">
        <is>
          <t>0</t>
        </is>
      </c>
      <c r="H4855" t="inlineStr">
        <is>
          <t>24⁴, 48⁴</t>
        </is>
      </c>
      <c r="I4855" t="n">
        <v>8</v>
      </c>
      <c r="J4855" t="inlineStr">
        <is>
          <t>2⁶, 4⁶</t>
        </is>
      </c>
      <c r="K4855">
        <f>HYPERLINK("CSG5.html#group24W5", "24W⁵"), =HYPERLINK("CSG7.html#group48AE7", "48AE⁷"), =HYPERLINK("CSG8.html#group48F8", "48F⁸"), =HYPERLINK("CSG8.html#group48R8", "48R⁸"), =HYPERLINK("CSG8.html#group48AB8", "48AB⁸")</f>
        <v/>
      </c>
      <c r="L4855" t="inlineStr"/>
      <c r="M4855">
        <f>HYPERLINK("CSG8.html#group48AB8", "48AB⁸"), =HYPERLINK("CSG2.html#group12I2", "12I²"), =HYPERLINK("CSG1.html#group24E1", "24E¹"), =HYPERLINK("CSG2.html#group24O2", "24O²"), =HYPERLINK("CSG3.html#group24Q3", "24Q³"), =HYPERLINK("CSG8.html#group48F8", "48F⁸"), =HYPERLINK("CSG0.html#group12C0", "12C⁰"), =HYPERLINK("CSG8.html#group48R8", "48R⁸"), =HYPERLINK("CSG0.html#group4C0", "4C⁰"), =HYPERLINK("CSG2.html#group24P2", "24P²"), =HYPERLINK("CSG0.html#group2B0", "2B⁰"), =HYPERLINK("CSG1.html#group12M1", "12M¹"), =HYPERLINK("CSG3.html#group24P3", "24P³"), =HYPERLINK("CSG0.html#group1A0", "1A⁰"), =HYPERLINK("CSG5.html#group24W5", "24W⁵"), =HYPERLINK("CSG3.html#group48H3", "48H³"), =HYPERLINK("CSG2.html#group16E2", "16E²"), =HYPERLINK("CSG1.html#group16D1", "16D¹"), =HYPERLINK("CSG0.html#group24A0", "24A⁰"), =HYPERLINK("CSG0.html#group6H0", "6H⁰"), =HYPERLINK("CSG0.html#group3A0", "3A⁰"), =HYPERLINK("CSG1.html#group24H1", "24H¹"), =HYPERLINK("CSG0.html#group6B0", "6B⁰"), =HYPERLINK("CSG0.html#group8D0", "8D⁰"), =HYPERLINK("CSG1.html#group24D1", "24D¹"), =HYPERLINK("CSG0.html#group8B0", "8B⁰"), =HYPERLINK("CSG0.html#group12F0", "12F⁰"), =HYPERLINK("CSG2.html#group24L2", "24L²"), =HYPERLINK("CSG0.html#group8H0", "8H⁰"), =HYPERLINK("CSG0.html#group12A0", "12A⁰"), =HYPERLINK("CSG3.html#group48E3", "48E³"), =HYPERLINK("CSG0.html#group4A0", "4A⁰"), =HYPERLINK("CSG1.html#group24C1", "24C¹"), =HYPERLINK("CSG1.html#group12J1", "12J¹"), =HYPERLINK("CSG0.html#group12D0", "12D⁰"), =HYPERLINK("CSG0.html#group4F0", "4F⁰"), =HYPERLINK("CSG7.html#group48AE7", "48AE⁷"), =HYPERLINK("CSG0.html#group12H0", "12H⁰"), =HYPERLINK("CSG0.html#group6D0", "6D⁰")</f>
        <v/>
      </c>
      <c r="N4855" t="inlineStr"/>
    </row>
    <row r="4856">
      <c r="A4856" t="inlineStr">
        <is>
          <t>48AT¹⁷</t>
        </is>
      </c>
      <c r="B4856" t="inlineStr"/>
      <c r="C4856" t="inlineStr">
        <is>
          <t>288</t>
        </is>
      </c>
      <c r="D4856" t="inlineStr">
        <is>
          <t>1</t>
        </is>
      </c>
      <c r="E4856" t="inlineStr">
        <is>
          <t>36</t>
        </is>
      </c>
      <c r="F4856" t="inlineStr">
        <is>
          <t>16</t>
        </is>
      </c>
      <c r="G4856" t="inlineStr">
        <is>
          <t>0</t>
        </is>
      </c>
      <c r="H4856" t="inlineStr">
        <is>
          <t>24⁴, 48⁴</t>
        </is>
      </c>
      <c r="I4856" t="n">
        <v>8</v>
      </c>
      <c r="J4856" t="inlineStr">
        <is>
          <t>2⁶, 4⁶</t>
        </is>
      </c>
      <c r="K4856">
        <f>HYPERLINK("CSG6.html#group24D6", "24D⁶"), =HYPERLINK("CSG7.html#group48U7", "48U⁷"), =HYPERLINK("CSG7.html#group48AF7", "48AF⁷"), =HYPERLINK("CSG8.html#group48R8", "48R⁸"), =HYPERLINK("CSG8.html#group48AA8", "48AA⁸")</f>
        <v/>
      </c>
      <c r="L4856" t="inlineStr"/>
      <c r="M4856">
        <f>HYPERLINK("CSG6.html#group24D6", "24D⁶"), =HYPERLINK("CSG0.html#group12C0", "12C⁰"), =HYPERLINK("CSG8.html#group48R8", "48R⁸"), =HYPERLINK("CSG0.html#group8D0", "8D⁰"), =HYPERLINK("CSG0.html#group4C0", "4C⁰"), =HYPERLINK("CSG0.html#group8B0", "8B⁰"), =HYPERLINK("CSG0.html#group8L0", "8L⁰"), =HYPERLINK("CSG0.html#group2B0", "2B⁰"), =HYPERLINK("CSG7.html#group48U7", "48U⁷"), =HYPERLINK("CSG2.html#group24L2", "24L²"), =HYPERLINK("CSG0.html#group1A0", "1A⁰"), =HYPERLINK("CSG0.html#group8P0", "8P⁰"), =HYPERLINK("CSG3.html#group48H3", "48H³"), =HYPERLINK("CSG0.html#group8H0", "8H⁰"), =HYPERLINK("CSG0.html#group12A0", "12A⁰"), =HYPERLINK("CSG0.html#group24A0", "24A⁰"), =HYPERLINK("CSG0.html#group4A0", "4A⁰"), =HYPERLINK("CSG2.html#group24M2", "24M²"), =HYPERLINK("CSG0.html#group6D0", "6D⁰"), =HYPERLINK("CSG1.html#group24C1", "24C¹"), =HYPERLINK("CSG2.html#group48A2", "48A²"), =HYPERLINK("CSG1.html#group12J1", "12J¹"), =HYPERLINK("CSG0.html#group4F0", "4F⁰"), =HYPERLINK("CSG3.html#group48F3", "48F³"), =HYPERLINK("CSG0.html#group3A0", "3A⁰"), =HYPERLINK("CSG7.html#group48AF7", "48AF⁷"), =HYPERLINK("CSG8.html#group48AA8", "48AA⁸")</f>
        <v/>
      </c>
      <c r="N4856" t="inlineStr"/>
    </row>
    <row r="4857">
      <c r="A4857" t="inlineStr">
        <is>
          <t>48AU¹⁷</t>
        </is>
      </c>
      <c r="B4857" t="inlineStr"/>
      <c r="C4857" t="inlineStr">
        <is>
          <t>288</t>
        </is>
      </c>
      <c r="D4857" t="inlineStr">
        <is>
          <t>1</t>
        </is>
      </c>
      <c r="E4857" t="inlineStr">
        <is>
          <t>36</t>
        </is>
      </c>
      <c r="F4857" t="inlineStr">
        <is>
          <t>16</t>
        </is>
      </c>
      <c r="G4857" t="inlineStr">
        <is>
          <t>0</t>
        </is>
      </c>
      <c r="H4857" t="inlineStr">
        <is>
          <t>24⁴, 48⁴</t>
        </is>
      </c>
      <c r="I4857" t="n">
        <v>8</v>
      </c>
      <c r="J4857" t="inlineStr">
        <is>
          <t>2⁶, 4⁶</t>
        </is>
      </c>
      <c r="K4857">
        <f>HYPERLINK("CSG6.html#group24G6", "24G⁶"), =HYPERLINK("CSG7.html#group48U7", "48U⁷"), =HYPERLINK("CSG7.html#group48AG7", "48AG⁷"), =HYPERLINK("CSG8.html#group48F8", "48F⁸"), =HYPERLINK("CSG8.html#group48AD8", "48AD⁸")</f>
        <v/>
      </c>
      <c r="L4857" t="inlineStr"/>
      <c r="M4857">
        <f>HYPERLINK("CSG7.html#group48AG7", "48AG⁷"), =HYPERLINK("CSG8.html#group48F8", "48F⁸"), =HYPERLINK("CSG0.html#group12C0", "12C⁰"), =HYPERLINK("CSG0.html#group8D0", "8D⁰"), =HYPERLINK("CSG0.html#group4C0", "4C⁰"), =HYPERLINK("CSG0.html#group8B0", "8B⁰"), =HYPERLINK("CSG2.html#group24Q2", "24Q²"), =HYPERLINK("CSG0.html#group2B0", "2B⁰"), =HYPERLINK("CSG2.html#group24L2", "24L²"), =HYPERLINK("CSG0.html#group1A0", "1A⁰"), =HYPERLINK("CSG8.html#group48AD8", "48AD⁸"), =HYPERLINK("CSG2.html#group16E2", "16E²"), =HYPERLINK("CSG0.html#group8H0", "8H⁰"), =HYPERLINK("CSG6.html#group24G6", "24G⁶"), =HYPERLINK("CSG1.html#group16D1", "16D¹"), =HYPERLINK("CSG0.html#group12A0", "12A⁰"), =HYPERLINK("CSG3.html#group48E3", "48E³"), =HYPERLINK("CSG0.html#group24A0", "24A⁰"), =HYPERLINK("CSG0.html#group4A0", "4A⁰"), =HYPERLINK("CSG0.html#group6D0", "6D⁰"), =HYPERLINK("CSG1.html#group24C1", "24C¹"), =HYPERLINK("CSG2.html#group48A2", "48A²"), =HYPERLINK("CSG1.html#group12J1", "12J¹"), =HYPERLINK("CSG0.html#group4F0", "4F⁰"), =HYPERLINK("CSG3.html#group48F3", "48F³"), =HYPERLINK("CSG0.html#group3A0", "3A⁰"), =HYPERLINK("CSG7.html#group48U7", "48U⁷")</f>
        <v/>
      </c>
      <c r="N4857" t="inlineStr"/>
    </row>
    <row r="4858">
      <c r="A4858" t="inlineStr">
        <is>
          <t>48AV¹⁷</t>
        </is>
      </c>
      <c r="B4858" t="inlineStr"/>
      <c r="C4858" t="inlineStr">
        <is>
          <t>288</t>
        </is>
      </c>
      <c r="D4858" t="inlineStr">
        <is>
          <t>1</t>
        </is>
      </c>
      <c r="E4858" t="inlineStr">
        <is>
          <t>36</t>
        </is>
      </c>
      <c r="F4858" t="inlineStr">
        <is>
          <t>16</t>
        </is>
      </c>
      <c r="G4858" t="inlineStr">
        <is>
          <t>0</t>
        </is>
      </c>
      <c r="H4858" t="inlineStr">
        <is>
          <t>24⁴, 48⁴</t>
        </is>
      </c>
      <c r="I4858" t="n">
        <v>8</v>
      </c>
      <c r="J4858" t="inlineStr">
        <is>
          <t>1⁴, 2⁶, 4³, 8¹</t>
        </is>
      </c>
      <c r="K4858">
        <f>HYPERLINK("CSG5.html#group24S5", "24S⁵"), =HYPERLINK("CSG7.html#group48AD7", "48AD⁷"), =HYPERLINK("CSG7.html#group48AE7", "48AE⁷"), =HYPERLINK("CSG9.html#group48W9", "48W⁹"), =HYPERLINK("CSG9.html#group48Z9", "48Z⁹")</f>
        <v/>
      </c>
      <c r="L4858" t="inlineStr"/>
      <c r="M4858">
        <f>HYPERLINK("CSG1.html#group12T1", "12T¹"), =HYPERLINK("CSG0.html#group12C0", "12C⁰"), =HYPERLINK("CSG9.html#group48Z9", "48Z⁹"), =HYPERLINK("CSG0.html#group4C0", "4C⁰"), =HYPERLINK("CSG3.html#group24I3", "24I³"), =HYPERLINK("CSG0.html#group6G0", "6G⁰"), =HYPERLINK("CSG0.html#group2B0", "2B⁰"), =HYPERLINK("CSG2.html#group24C2", "24C²"), =HYPERLINK("CSG1.html#group12N1", "12N¹"), =HYPERLINK("CSG0.html#group1A0", "1A⁰"), =HYPERLINK("CSG3.html#group48H3", "48H³"), =HYPERLINK("CSG1.html#group16D1", "16D¹"), =HYPERLINK("CSG3.html#group24H3", "24H³"), =HYPERLINK("CSG0.html#group24A0", "24A⁰"), =HYPERLINK("CSG3.html#group24S3", "24S³"), =HYPERLINK("CSG5.html#group24S5", "24S⁵"), =HYPERLINK("CSG0.html#group3C0", "3C⁰"), =HYPERLINK("CSG0.html#group6H0", "6H⁰"), =HYPERLINK("CSG0.html#group3A0", "3A⁰"), =HYPERLINK("CSG9.html#group48W9", "48W⁹"), =HYPERLINK("CSG1.html#group24H1", "24H¹"), =HYPERLINK("CSG0.html#group6B0", "6B⁰"), =HYPERLINK("CSG1.html#group24D1", "24D¹"), =HYPERLINK("CSG0.html#group8B0", "8B⁰"), =HYPERLINK("CSG1.html#group12L1", "12L¹"), =HYPERLINK("CSG7.html#group48AD7", "48AD⁷"), =HYPERLINK("CSG0.html#group12G0", "12G⁰"), =HYPERLINK("CSG1.html#group12C1", "12C¹"), =HYPERLINK("CSG3.html#group48E3", "48E³"), =HYPERLINK("CSG0.html#group6E0", "6E⁰"), =HYPERLINK("CSG0.html#group6L0", "6L⁰"), =HYPERLINK("CSG0.html#group12D0", "12D⁰"), =HYPERLINK("CSG7.html#group48AE7", "48AE⁷"), =HYPERLINK("CSG0.html#group12H0", "12H⁰"), =HYPERLINK("CSG0.html#group6D0", "6D⁰")</f>
        <v/>
      </c>
      <c r="N4858" t="inlineStr"/>
    </row>
    <row r="4859">
      <c r="A4859" t="inlineStr">
        <is>
          <t>48AW¹⁷</t>
        </is>
      </c>
      <c r="B4859" t="inlineStr"/>
      <c r="C4859" t="inlineStr">
        <is>
          <t>288</t>
        </is>
      </c>
      <c r="D4859" t="inlineStr">
        <is>
          <t>1</t>
        </is>
      </c>
      <c r="E4859" t="inlineStr">
        <is>
          <t>36</t>
        </is>
      </c>
      <c r="F4859" t="inlineStr">
        <is>
          <t>16</t>
        </is>
      </c>
      <c r="G4859" t="inlineStr">
        <is>
          <t>0</t>
        </is>
      </c>
      <c r="H4859" t="inlineStr">
        <is>
          <t>24⁴, 48⁴</t>
        </is>
      </c>
      <c r="I4859" t="n">
        <v>8</v>
      </c>
      <c r="J4859" t="inlineStr">
        <is>
          <t>1⁴, 2⁶, 4³, 8¹</t>
        </is>
      </c>
      <c r="K4859">
        <f>HYPERLINK("CSG5.html#group48H5", "48H⁵"), =HYPERLINK("CSG7.html#group24Z7", "24Z⁷"), =HYPERLINK("CSG7.html#group48N7", "48N⁷"), =HYPERLINK("CSG9.html#group48W9", "48W⁹"), =HYPERLINK("CSG9.html#group48AE9", "48AE⁹")</f>
        <v/>
      </c>
      <c r="L4859" t="inlineStr"/>
      <c r="M4859">
        <f>HYPERLINK("CSG0.html#group12C0", "12C⁰"), =HYPERLINK("CSG7.html#group24Z7", "24Z⁷"), =HYPERLINK("CSG0.html#group4C0", "4C⁰"), =HYPERLINK("CSG3.html#group24I3", "24I³"), =HYPERLINK("CSG0.html#group8B0", "8B⁰"), =HYPERLINK("CSG0.html#group6G0", "6G⁰"), =HYPERLINK("CSG5.html#group48H5", "48H⁵"), =HYPERLINK("CSG0.html#group48A0", "48A⁰"), =HYPERLINK("CSG0.html#group2B0", "2B⁰"), =HYPERLINK("CSG2.html#group24C2", "24C²"), =HYPERLINK("CSG2.html#group24Q2", "24Q²"), =HYPERLINK("CSG0.html#group1A0", "1A⁰"), =HYPERLINK("CSG1.html#group12L1", "12L¹"), =HYPERLINK("CSG3.html#group48H3", "48H³"), =HYPERLINK("CSG4.html#group48C4", "48C⁴"), =HYPERLINK("CSG0.html#group16B0", "16B⁰"), =HYPERLINK("CSG1.html#group12C1", "12C¹"), =HYPERLINK("CSG0.html#group24A0", "24A⁰"), =HYPERLINK("CSG7.html#group48N7", "48N⁷"), =HYPERLINK("CSG9.html#group48AE9", "48AE⁹"), =HYPERLINK("CSG0.html#group3C0", "3C⁰"), =HYPERLINK("CSG9.html#group48W9", "48W⁹"), =HYPERLINK("CSG0.html#group3A0", "3A⁰"), =HYPERLINK("CSG0.html#group6D0", "6D⁰")</f>
        <v/>
      </c>
      <c r="N4859" t="inlineStr"/>
    </row>
    <row r="4860">
      <c r="A4860" t="inlineStr">
        <is>
          <t>48AX¹⁷</t>
        </is>
      </c>
      <c r="B4860" t="inlineStr"/>
      <c r="C4860" t="inlineStr">
        <is>
          <t>288</t>
        </is>
      </c>
      <c r="D4860" t="inlineStr">
        <is>
          <t>1</t>
        </is>
      </c>
      <c r="E4860" t="inlineStr">
        <is>
          <t>36</t>
        </is>
      </c>
      <c r="F4860" t="inlineStr">
        <is>
          <t>16</t>
        </is>
      </c>
      <c r="G4860" t="inlineStr">
        <is>
          <t>0</t>
        </is>
      </c>
      <c r="H4860" t="inlineStr">
        <is>
          <t>24⁴, 48⁴</t>
        </is>
      </c>
      <c r="I4860" t="n">
        <v>8</v>
      </c>
      <c r="J4860" t="inlineStr">
        <is>
          <t>1⁴, 2⁶, 4³, 8¹</t>
        </is>
      </c>
      <c r="K4860">
        <f>HYPERLINK("CSG7.html#group24Z7", "24Z⁷"), =HYPERLINK("CSG7.html#group48M7", "48M⁷"), =HYPERLINK("CSG7.html#group48AG7", "48AG⁷"), =HYPERLINK("CSG7.html#group48AJ7", "48AJ⁷"), =HYPERLINK("CSG9.html#group48Z9", "48Z⁹")</f>
        <v/>
      </c>
      <c r="L4860" t="inlineStr"/>
      <c r="M4860">
        <f>HYPERLINK("CSG7.html#group48AG7", "48AG⁷"), =HYPERLINK("CSG0.html#group12C0", "12C⁰"), =HYPERLINK("CSG9.html#group48Z9", "48Z⁹"), =HYPERLINK("CSG7.html#group24Z7", "24Z⁷"), =HYPERLINK("CSG0.html#group4C0", "4C⁰"), =HYPERLINK("CSG0.html#group8B0", "8B⁰"), =HYPERLINK("CSG3.html#group24I3", "24I³"), =HYPERLINK("CSG2.html#group24Q2", "24Q²"), =HYPERLINK("CSG7.html#group48AJ7", "48AJ⁷"), =HYPERLINK("CSG0.html#group2B0", "2B⁰"), =HYPERLINK("CSG0.html#group6G0", "6G⁰"), =HYPERLINK("CSG2.html#group24C2", "24C²"), =HYPERLINK("CSG0.html#group1A0", "1A⁰"), =HYPERLINK("CSG1.html#group12L1", "12L¹"), =HYPERLINK("CSG3.html#group48H3", "48H³"), =HYPERLINK("CSG1.html#group16D1", "16D¹"), =HYPERLINK("CSG7.html#group48M7", "48M⁷"), =HYPERLINK("CSG1.html#group12C1", "12C¹"), =HYPERLINK("CSG3.html#group48E3", "48E³"), =HYPERLINK("CSG0.html#group24A0", "24A⁰"), =HYPERLINK("CSG2.html#group48A2", "48A²"), =HYPERLINK("CSG0.html#group3C0", "3C⁰"), =HYPERLINK("CSG0.html#group3A0", "3A⁰"), =HYPERLINK("CSG0.html#group6D0", "6D⁰")</f>
        <v/>
      </c>
      <c r="N4860" t="inlineStr"/>
    </row>
    <row r="4861">
      <c r="A4861" t="inlineStr">
        <is>
          <t>48AY¹⁷</t>
        </is>
      </c>
      <c r="B4861" t="inlineStr"/>
      <c r="C4861" t="inlineStr">
        <is>
          <t>288</t>
        </is>
      </c>
      <c r="D4861" t="inlineStr">
        <is>
          <t>1</t>
        </is>
      </c>
      <c r="E4861" t="inlineStr">
        <is>
          <t>36</t>
        </is>
      </c>
      <c r="F4861" t="inlineStr">
        <is>
          <t>16</t>
        </is>
      </c>
      <c r="G4861" t="inlineStr">
        <is>
          <t>0</t>
        </is>
      </c>
      <c r="H4861" t="inlineStr">
        <is>
          <t>24⁴, 48⁴</t>
        </is>
      </c>
      <c r="I4861" t="n">
        <v>8</v>
      </c>
      <c r="J4861" t="inlineStr">
        <is>
          <t>1⁴, 2⁶, 4³, 8¹</t>
        </is>
      </c>
      <c r="K4861">
        <f>HYPERLINK("CSG7.html#group24AA7", "24AA⁷"), =HYPERLINK("CSG7.html#group48M7", "48M⁷"), =HYPERLINK("CSG7.html#group48AF7", "48AF⁷"), =HYPERLINK("CSG7.html#group48AJ7", "48AJ⁷"), =HYPERLINK("CSG9.html#group48W9", "48W⁹")</f>
        <v/>
      </c>
      <c r="L4861" t="inlineStr"/>
      <c r="M4861">
        <f>HYPERLINK("CSG0.html#group12C0", "12C⁰"), =HYPERLINK("CSG7.html#group24AA7", "24AA⁷"), =HYPERLINK("CSG0.html#group4C0", "4C⁰"), =HYPERLINK("CSG3.html#group24I3", "24I³"), =HYPERLINK("CSG0.html#group8B0", "8B⁰"), =HYPERLINK("CSG0.html#group6G0", "6G⁰"), =HYPERLINK("CSG7.html#group48AJ7", "48AJ⁷"), =HYPERLINK("CSG0.html#group2B0", "2B⁰"), =HYPERLINK("CSG2.html#group24Q2", "24Q²"), =HYPERLINK("CSG2.html#group24C2", "24C²"), =HYPERLINK("CSG0.html#group8L0", "8L⁰"), =HYPERLINK("CSG1.html#group12L1", "12L¹"), =HYPERLINK("CSG0.html#group1A0", "1A⁰"), =HYPERLINK("CSG3.html#group48H3", "48H³"), =HYPERLINK("CSG7.html#group48M7", "48M⁷"), =HYPERLINK("CSG1.html#group12C1", "12C¹"), =HYPERLINK("CSG0.html#group24A0", "24A⁰"), =HYPERLINK("CSG2.html#group24M2", "24M²"), =HYPERLINK("CSG2.html#group48A2", "48A²"), =HYPERLINK("CSG0.html#group3C0", "3C⁰"), =HYPERLINK("CSG9.html#group48W9", "48W⁹"), =HYPERLINK("CSG0.html#group3A0", "3A⁰"), =HYPERLINK("CSG7.html#group48AF7", "48AF⁷"), =HYPERLINK("CSG0.html#group6D0", "6D⁰")</f>
        <v/>
      </c>
      <c r="N4861" t="inlineStr"/>
    </row>
    <row r="4862">
      <c r="A4862" t="inlineStr">
        <is>
          <t>48AZ¹⁷</t>
        </is>
      </c>
      <c r="B4862" t="inlineStr"/>
      <c r="C4862" t="inlineStr">
        <is>
          <t>288</t>
        </is>
      </c>
      <c r="D4862" t="inlineStr">
        <is>
          <t>1</t>
        </is>
      </c>
      <c r="E4862" t="inlineStr">
        <is>
          <t>36</t>
        </is>
      </c>
      <c r="F4862" t="inlineStr">
        <is>
          <t>16</t>
        </is>
      </c>
      <c r="G4862" t="inlineStr">
        <is>
          <t>0</t>
        </is>
      </c>
      <c r="H4862" t="inlineStr">
        <is>
          <t>24⁴, 48⁴</t>
        </is>
      </c>
      <c r="I4862" t="n">
        <v>8</v>
      </c>
      <c r="J4862" t="inlineStr">
        <is>
          <t>1⁴, 2⁶, 4³, 8¹</t>
        </is>
      </c>
      <c r="K4862">
        <f>HYPERLINK("CSG5.html#group48F5", "48F⁵"), =HYPERLINK("CSG5.html#group48H5", "48H⁵"), =HYPERLINK("CSG7.html#group24AA7", "24AA⁷"), =HYPERLINK("CSG7.html#group48N7", "48N⁷"), =HYPERLINK("CSG9.html#group48X9", "48X⁹"), =HYPERLINK("CSG9.html#group48Y9", "48Y⁹"), =HYPERLINK("CSG9.html#group48Z9", "48Z⁹")</f>
        <v/>
      </c>
      <c r="L4862" t="inlineStr"/>
      <c r="M4862">
        <f>HYPERLINK("CSG5.html#group48F5", "48F⁵"), =HYPERLINK("CSG0.html#group12C0", "12C⁰"), =HYPERLINK("CSG7.html#group24AA7", "24AA⁷"), =HYPERLINK("CSG9.html#group48Z9", "48Z⁹"), =HYPERLINK("CSG0.html#group4C0", "4C⁰"), =HYPERLINK("CSG0.html#group8B0", "8B⁰"), =HYPERLINK("CSG3.html#group24I3", "24I³"), =HYPERLINK("CSG2.html#group24Q2", "24Q²"), =HYPERLINK("CSG5.html#group48H5", "48H⁵"), =HYPERLINK("CSG0.html#group48A0", "48A⁰"), =HYPERLINK("CSG0.html#group8L0", "8L⁰"), =HYPERLINK("CSG0.html#group2B0", "2B⁰"), =HYPERLINK("CSG0.html#group6G0", "6G⁰"), =HYPERLINK("CSG1.html#group16J1", "16J¹"), =HYPERLINK("CSG2.html#group24C2", "24C²"), =HYPERLINK("CSG0.html#group1A0", "1A⁰"), =HYPERLINK("CSG1.html#group12L1", "12L¹"), =HYPERLINK("CSG3.html#group48H3", "48H³"), =HYPERLINK("CSG4.html#group48C4", "48C⁴"), =HYPERLINK("CSG0.html#group16B0", "16B⁰"), =HYPERLINK("CSG9.html#group48Y9", "48Y⁹"), =HYPERLINK("CSG1.html#group16D1", "16D¹"), =HYPERLINK("CSG1.html#group12C1", "12C¹"), =HYPERLINK("CSG3.html#group48E3", "48E³"), =HYPERLINK("CSG0.html#group24A0", "24A⁰"), =HYPERLINK("CSG7.html#group48N7", "48N⁷"), =HYPERLINK("CSG2.html#group24M2", "24M²"), =HYPERLINK("CSG9.html#group48X9", "48X⁹"), =HYPERLINK("CSG0.html#group3C0", "3C⁰"), =HYPERLINK("CSG0.html#group3A0", "3A⁰"), =HYPERLINK("CSG0.html#group6D0", "6D⁰")</f>
        <v/>
      </c>
      <c r="N4862" t="inlineStr"/>
    </row>
    <row r="4863">
      <c r="A4863" t="inlineStr">
        <is>
          <t>48BA¹⁷</t>
        </is>
      </c>
      <c r="B4863" t="inlineStr"/>
      <c r="C4863" t="inlineStr">
        <is>
          <t>288</t>
        </is>
      </c>
      <c r="D4863" t="inlineStr">
        <is>
          <t>1</t>
        </is>
      </c>
      <c r="E4863" t="inlineStr">
        <is>
          <t>36</t>
        </is>
      </c>
      <c r="F4863" t="inlineStr">
        <is>
          <t>16</t>
        </is>
      </c>
      <c r="G4863" t="inlineStr">
        <is>
          <t>0</t>
        </is>
      </c>
      <c r="H4863" t="inlineStr">
        <is>
          <t>24⁴, 48⁴</t>
        </is>
      </c>
      <c r="I4863" t="n">
        <v>8</v>
      </c>
      <c r="J4863" t="inlineStr">
        <is>
          <t>4¹⁴, 8²</t>
        </is>
      </c>
      <c r="K4863">
        <f>HYPERLINK("CSG6.html#group24H6", "24H⁶"), =HYPERLINK("CSG7.html#group48V7", "48V⁷"), =HYPERLINK("CSG7.html#group48AJ7", "48AJ⁷"), =HYPERLINK("CSG8.html#group48T8", "48T⁸"), =HYPERLINK("CSG8.html#group48AC8", "48AC⁸")</f>
        <v/>
      </c>
      <c r="L4863" t="inlineStr"/>
      <c r="M4863">
        <f>HYPERLINK("CSG1.html#group24E1", "24E¹"), =HYPERLINK("CSG0.html#group12C0", "12C⁰"), =HYPERLINK("CSG0.html#group4C0", "4C⁰"), =HYPERLINK("CSG0.html#group8B0", "8B⁰"), =HYPERLINK("CSG8.html#group48T8", "48T⁸"), =HYPERLINK("CSG2.html#group24P2", "24P²"), =HYPERLINK("CSG7.html#group48AJ7", "48AJ⁷"), =HYPERLINK("CSG1.html#group16B1", "16B¹"), =HYPERLINK("CSG0.html#group2B0", "2B⁰"), =HYPERLINK("CSG1.html#group12M1", "12M¹"), =HYPERLINK("CSG2.html#group24Q2", "24Q²"), =HYPERLINK("CSG0.html#group1A0", "1A⁰"), =HYPERLINK("CSG3.html#group48H3", "48H³"), =HYPERLINK("CSG3.html#group48C3", "48C³"), =HYPERLINK("CSG7.html#group48V7", "48V⁷"), =HYPERLINK("CSG0.html#group24A0", "24A⁰"), =HYPERLINK("CSG6.html#group24H6", "24H⁶"), =HYPERLINK("CSG2.html#group48A2", "48A²"), =HYPERLINK("CSG8.html#group48AC8", "48AC⁸"), =HYPERLINK("CSG0.html#group3A0", "3A⁰"), =HYPERLINK("CSG0.html#group6D0", "6D⁰")</f>
        <v/>
      </c>
      <c r="N4863" t="inlineStr"/>
    </row>
    <row r="4864">
      <c r="A4864" t="inlineStr">
        <is>
          <t>48BB¹⁷</t>
        </is>
      </c>
      <c r="B4864" t="inlineStr"/>
      <c r="C4864" t="inlineStr">
        <is>
          <t>288</t>
        </is>
      </c>
      <c r="D4864" t="inlineStr">
        <is>
          <t>1</t>
        </is>
      </c>
      <c r="E4864" t="inlineStr">
        <is>
          <t>36</t>
        </is>
      </c>
      <c r="F4864" t="inlineStr">
        <is>
          <t>16</t>
        </is>
      </c>
      <c r="G4864" t="inlineStr">
        <is>
          <t>0</t>
        </is>
      </c>
      <c r="H4864" t="inlineStr">
        <is>
          <t>24⁴, 48⁴</t>
        </is>
      </c>
      <c r="I4864" t="n">
        <v>8</v>
      </c>
      <c r="J4864" t="inlineStr">
        <is>
          <t>4¹⁴, 8²</t>
        </is>
      </c>
      <c r="K4864">
        <f>HYPERLINK("CSG6.html#group24I6", "24I⁶"), =HYPERLINK("CSG7.html#group48V7", "48V⁷"), =HYPERLINK("CSG7.html#group48AJ7", "48AJ⁷"), =HYPERLINK("CSG8.html#group48S8", "48S⁸"), =HYPERLINK("CSG8.html#group48AC8", "48AC⁸")</f>
        <v/>
      </c>
      <c r="L4864" t="inlineStr"/>
      <c r="M4864">
        <f>HYPERLINK("CSG1.html#group24E1", "24E¹"), =HYPERLINK("CSG6.html#group24I6", "24I⁶"), =HYPERLINK("CSG0.html#group12C0", "12C⁰"), =HYPERLINK("CSG0.html#group4C0", "4C⁰"), =HYPERLINK("CSG0.html#group8B0", "8B⁰"), =HYPERLINK("CSG2.html#group24P2", "24P²"), =HYPERLINK("CSG7.html#group48AJ7", "48AJ⁷"), =HYPERLINK("CSG1.html#group16B1", "16B¹"), =HYPERLINK("CSG0.html#group2B0", "2B⁰"), =HYPERLINK("CSG1.html#group12M1", "12M¹"), =HYPERLINK("CSG2.html#group24Q2", "24Q²"), =HYPERLINK("CSG0.html#group1A0", "1A⁰"), =HYPERLINK("CSG3.html#group48H3", "48H³"), =HYPERLINK("CSG8.html#group48S8", "48S⁸"), =HYPERLINK("CSG3.html#group48C3", "48C³"), =HYPERLINK("CSG7.html#group48V7", "48V⁷"), =HYPERLINK("CSG0.html#group24A0", "24A⁰"), =HYPERLINK("CSG2.html#group48A2", "48A²"), =HYPERLINK("CSG8.html#group48AC8", "48AC⁸"), =HYPERLINK("CSG0.html#group3A0", "3A⁰"), =HYPERLINK("CSG0.html#group6D0", "6D⁰")</f>
        <v/>
      </c>
      <c r="N4864" t="inlineStr"/>
    </row>
    <row r="4865">
      <c r="A4865" t="inlineStr">
        <is>
          <t>48BC¹⁷</t>
        </is>
      </c>
      <c r="B4865" t="inlineStr"/>
      <c r="C4865" t="inlineStr">
        <is>
          <t>288</t>
        </is>
      </c>
      <c r="D4865" t="inlineStr">
        <is>
          <t>1</t>
        </is>
      </c>
      <c r="E4865" t="inlineStr">
        <is>
          <t>36</t>
        </is>
      </c>
      <c r="F4865" t="inlineStr">
        <is>
          <t>16</t>
        </is>
      </c>
      <c r="G4865" t="inlineStr">
        <is>
          <t>0</t>
        </is>
      </c>
      <c r="H4865" t="inlineStr">
        <is>
          <t>24⁴, 48⁴</t>
        </is>
      </c>
      <c r="I4865" t="n">
        <v>8</v>
      </c>
      <c r="J4865" t="inlineStr">
        <is>
          <t>2⁴, 4¹⁰, 8³</t>
        </is>
      </c>
      <c r="K4865">
        <f>HYPERLINK("CSG5.html#group24V5", "24V⁵"), =HYPERLINK("CSG7.html#group48AD7", "48AD⁷"), =HYPERLINK("CSG7.html#group48AE7", "48AE⁷"), =HYPERLINK("CSG8.html#group48S8", "48S⁸"), =HYPERLINK("CSG8.html#group48AB8", "48AB⁸")</f>
        <v/>
      </c>
      <c r="L4865" t="inlineStr"/>
      <c r="M4865">
        <f>HYPERLINK("CSG8.html#group48AB8", "48AB⁸"), =HYPERLINK("CSG1.html#group24E1", "24E¹"), =HYPERLINK("CSG0.html#group6B0", "6B⁰"), =HYPERLINK("CSG0.html#group12C0", "12C⁰"), =HYPERLINK("CSG2.html#group24N2", "24N²"), =HYPERLINK("CSG0.html#group6H0", "6H⁰"), =HYPERLINK("CSG0.html#group4C0", "4C⁰"), =HYPERLINK("CSG1.html#group24D1", "24D¹"), =HYPERLINK("CSG0.html#group8B0", "8B⁰"), =HYPERLINK("CSG2.html#group24P2", "24P²"), =HYPERLINK("CSG0.html#group2B0", "2B⁰"), =HYPERLINK("CSG1.html#group12M1", "12M¹"), =HYPERLINK("CSG0.html#group12H0", "12H⁰"), =HYPERLINK("CSG0.html#group1A0", "1A⁰"), =HYPERLINK("CSG3.html#group48H3", "48H³"), =HYPERLINK("CSG8.html#group48S8", "48S⁸"), =HYPERLINK("CSG7.html#group48AD7", "48AD⁷"), =HYPERLINK("CSG2.html#group12H2", "12H²"), =HYPERLINK("CSG5.html#group24V5", "24V⁵"), =HYPERLINK("CSG1.html#group16D1", "16D¹"), =HYPERLINK("CSG3.html#group48E3", "48E³"), =HYPERLINK("CSG0.html#group24A0", "24A⁰"), =HYPERLINK("CSG3.html#group24T3", "24T³"), =HYPERLINK("CSG0.html#group12D0", "12D⁰"), =HYPERLINK("CSG7.html#group48AE7", "48AE⁷"), =HYPERLINK("CSG0.html#group3A0", "3A⁰"), =HYPERLINK("CSG1.html#group24H1", "24H¹"), =HYPERLINK("CSG0.html#group6D0", "6D⁰")</f>
        <v/>
      </c>
      <c r="N4865" t="inlineStr"/>
    </row>
    <row r="4866">
      <c r="A4866" t="inlineStr">
        <is>
          <t>48BD¹⁷</t>
        </is>
      </c>
      <c r="B4866" t="inlineStr"/>
      <c r="C4866" t="inlineStr">
        <is>
          <t>288</t>
        </is>
      </c>
      <c r="D4866" t="inlineStr">
        <is>
          <t>1</t>
        </is>
      </c>
      <c r="E4866" t="inlineStr">
        <is>
          <t>36</t>
        </is>
      </c>
      <c r="F4866" t="inlineStr">
        <is>
          <t>16</t>
        </is>
      </c>
      <c r="G4866" t="inlineStr">
        <is>
          <t>0</t>
        </is>
      </c>
      <c r="H4866" t="inlineStr">
        <is>
          <t>24⁴, 48⁴</t>
        </is>
      </c>
      <c r="I4866" t="n">
        <v>8</v>
      </c>
      <c r="J4866" t="inlineStr">
        <is>
          <t>2⁴, 4¹⁰, 8³</t>
        </is>
      </c>
      <c r="K4866">
        <f>HYPERLINK("CSG5.html#group24V5", "24V⁵"), =HYPERLINK("CSG7.html#group48AD7", "48AD⁷"), =HYPERLINK("CSG7.html#group48AE7", "48AE⁷"), =HYPERLINK("CSG8.html#group48T8", "48T⁸"), =HYPERLINK("CSG8.html#group48AB8", "48AB⁸")</f>
        <v/>
      </c>
      <c r="L4866" t="inlineStr"/>
      <c r="M4866">
        <f>HYPERLINK("CSG8.html#group48AB8", "48AB⁸"), =HYPERLINK("CSG1.html#group24E1", "24E¹"), =HYPERLINK("CSG0.html#group6B0", "6B⁰"), =HYPERLINK("CSG0.html#group12C0", "12C⁰"), =HYPERLINK("CSG2.html#group24N2", "24N²"), =HYPERLINK("CSG0.html#group6H0", "6H⁰"), =HYPERLINK("CSG0.html#group4C0", "4C⁰"), =HYPERLINK("CSG1.html#group24D1", "24D¹"), =HYPERLINK("CSG0.html#group8B0", "8B⁰"), =HYPERLINK("CSG8.html#group48T8", "48T⁸"), =HYPERLINK("CSG2.html#group24P2", "24P²"), =HYPERLINK("CSG0.html#group2B0", "2B⁰"), =HYPERLINK("CSG1.html#group12M1", "12M¹"), =HYPERLINK("CSG0.html#group12H0", "12H⁰"), =HYPERLINK("CSG0.html#group1A0", "1A⁰"), =HYPERLINK("CSG3.html#group48H3", "48H³"), =HYPERLINK("CSG7.html#group48AD7", "48AD⁷"), =HYPERLINK("CSG2.html#group12H2", "12H²"), =HYPERLINK("CSG5.html#group24V5", "24V⁵"), =HYPERLINK("CSG1.html#group16D1", "16D¹"), =HYPERLINK("CSG3.html#group48E3", "48E³"), =HYPERLINK("CSG0.html#group24A0", "24A⁰"), =HYPERLINK("CSG3.html#group24T3", "24T³"), =HYPERLINK("CSG0.html#group12D0", "12D⁰"), =HYPERLINK("CSG7.html#group48AE7", "48AE⁷"), =HYPERLINK("CSG0.html#group3A0", "3A⁰"), =HYPERLINK("CSG1.html#group24H1", "24H¹"), =HYPERLINK("CSG0.html#group6D0", "6D⁰")</f>
        <v/>
      </c>
      <c r="N4866" t="inlineStr"/>
    </row>
    <row r="4867">
      <c r="A4867" t="inlineStr">
        <is>
          <t>48BE¹⁷</t>
        </is>
      </c>
      <c r="B4867" t="inlineStr"/>
      <c r="C4867" t="inlineStr">
        <is>
          <t>288</t>
        </is>
      </c>
      <c r="D4867" t="inlineStr">
        <is>
          <t>1</t>
        </is>
      </c>
      <c r="E4867" t="inlineStr">
        <is>
          <t>36</t>
        </is>
      </c>
      <c r="F4867" t="inlineStr">
        <is>
          <t>16</t>
        </is>
      </c>
      <c r="G4867" t="inlineStr">
        <is>
          <t>0</t>
        </is>
      </c>
      <c r="H4867" t="inlineStr">
        <is>
          <t>24⁴, 48⁴</t>
        </is>
      </c>
      <c r="I4867" t="n">
        <v>8</v>
      </c>
      <c r="J4867" t="inlineStr">
        <is>
          <t>2⁴, 4¹⁰, 8³</t>
        </is>
      </c>
      <c r="K4867">
        <f>HYPERLINK("CSG5.html#group24X5", "24X⁵"), =HYPERLINK("CSG7.html#group48S7", "48S⁷"), =HYPERLINK("CSG7.html#group48AE7", "48AE⁷"), =HYPERLINK("CSG8.html#group48AD8", "48AD⁸"), =HYPERLINK("CSG8.html#group48AE8", "48AE⁸")</f>
        <v/>
      </c>
      <c r="L4867" t="inlineStr"/>
      <c r="M4867">
        <f>HYPERLINK("CSG5.html#group24X5", "24X⁵"), =HYPERLINK("CSG0.html#group6B0", "6B⁰"), =HYPERLINK("CSG0.html#group12C0", "12C⁰"), =HYPERLINK("CSG0.html#group3A0", "3A⁰"), =HYPERLINK("CSG0.html#group6H0", "6H⁰"), =HYPERLINK("CSG0.html#group4C0", "4C⁰"), =HYPERLINK("CSG1.html#group24D1", "24D¹"), =HYPERLINK("CSG0.html#group8B0", "8B⁰"), =HYPERLINK("CSG2.html#group24Q2", "24Q²"), =HYPERLINK("CSG0.html#group2B0", "2B⁰"), =HYPERLINK("CSG0.html#group1A0", "1A⁰"), =HYPERLINK("CSG8.html#group48AD8", "48AD⁸"), =HYPERLINK("CSG8.html#group48AE8", "48AE⁸"), =HYPERLINK("CSG7.html#group48S7", "48S⁷"), =HYPERLINK("CSG3.html#group48H3", "48H³"), =HYPERLINK("CSG1.html#group16D1", "16D¹"), =HYPERLINK("CSG0.html#group24A0", "24A⁰"), =HYPERLINK("CSG3.html#group48E3", "48E³"), =HYPERLINK("CSG3.html#group48F3", "48F³"), =HYPERLINK("CSG0.html#group12D0", "12D⁰"), =HYPERLINK("CSG7.html#group48AE7", "48AE⁷"), =HYPERLINK("CSG0.html#group12H0", "12H⁰"), =HYPERLINK("CSG1.html#group24H1", "24H¹"), =HYPERLINK("CSG0.html#group6D0", "6D⁰")</f>
        <v/>
      </c>
      <c r="N4867" t="inlineStr"/>
    </row>
    <row r="4868">
      <c r="A4868" t="inlineStr">
        <is>
          <t>48BF¹⁷</t>
        </is>
      </c>
      <c r="B4868" t="inlineStr"/>
      <c r="C4868" t="inlineStr">
        <is>
          <t>288</t>
        </is>
      </c>
      <c r="D4868" t="inlineStr">
        <is>
          <t>1</t>
        </is>
      </c>
      <c r="E4868" t="inlineStr">
        <is>
          <t>36</t>
        </is>
      </c>
      <c r="F4868" t="inlineStr">
        <is>
          <t>16</t>
        </is>
      </c>
      <c r="G4868" t="inlineStr">
        <is>
          <t>0</t>
        </is>
      </c>
      <c r="H4868" t="inlineStr">
        <is>
          <t>24⁴, 48⁴</t>
        </is>
      </c>
      <c r="I4868" t="n">
        <v>8</v>
      </c>
      <c r="J4868" t="inlineStr">
        <is>
          <t>2⁴, 4¹⁰, 8³</t>
        </is>
      </c>
      <c r="K4868">
        <f>HYPERLINK("CSG5.html#group24X5", "24X⁵"), =HYPERLINK("CSG7.html#group48S7", "48S⁷"), =HYPERLINK("CSG7.html#group48AE7", "48AE⁷"), =HYPERLINK("CSG8.html#group48AD8", "48AD⁸"), =HYPERLINK("CSG8.html#group48AF8", "48AF⁸")</f>
        <v/>
      </c>
      <c r="L4868" t="inlineStr"/>
      <c r="M4868">
        <f>HYPERLINK("CSG5.html#group24X5", "24X⁵"), =HYPERLINK("CSG0.html#group6B0", "6B⁰"), =HYPERLINK("CSG0.html#group12C0", "12C⁰"), =HYPERLINK("CSG0.html#group3A0", "3A⁰"), =HYPERLINK("CSG8.html#group48AF8", "48AF⁸"), =HYPERLINK("CSG0.html#group6H0", "6H⁰"), =HYPERLINK("CSG0.html#group4C0", "4C⁰"), =HYPERLINK("CSG1.html#group24D1", "24D¹"), =HYPERLINK("CSG0.html#group8B0", "8B⁰"), =HYPERLINK("CSG2.html#group24Q2", "24Q²"), =HYPERLINK("CSG0.html#group2B0", "2B⁰"), =HYPERLINK("CSG0.html#group1A0", "1A⁰"), =HYPERLINK("CSG8.html#group48AD8", "48AD⁸"), =HYPERLINK("CSG3.html#group48H3", "48H³"), =HYPERLINK("CSG7.html#group48S7", "48S⁷"), =HYPERLINK("CSG1.html#group16D1", "16D¹"), =HYPERLINK("CSG0.html#group24A0", "24A⁰"), =HYPERLINK("CSG3.html#group48E3", "48E³"), =HYPERLINK("CSG3.html#group48F3", "48F³"), =HYPERLINK("CSG0.html#group12D0", "12D⁰"), =HYPERLINK("CSG7.html#group48AE7", "48AE⁷"), =HYPERLINK("CSG0.html#group12H0", "12H⁰"), =HYPERLINK("CSG1.html#group24H1", "24H¹"), =HYPERLINK("CSG0.html#group6D0", "6D⁰")</f>
        <v/>
      </c>
      <c r="N4868" t="inlineStr"/>
    </row>
    <row r="4869">
      <c r="A4869" t="inlineStr">
        <is>
          <t>48BG¹⁷</t>
        </is>
      </c>
      <c r="B4869" t="inlineStr"/>
      <c r="C4869" t="inlineStr">
        <is>
          <t>288</t>
        </is>
      </c>
      <c r="D4869" t="inlineStr">
        <is>
          <t>1</t>
        </is>
      </c>
      <c r="E4869" t="inlineStr">
        <is>
          <t>36</t>
        </is>
      </c>
      <c r="F4869" t="inlineStr">
        <is>
          <t>16</t>
        </is>
      </c>
      <c r="G4869" t="inlineStr">
        <is>
          <t>0</t>
        </is>
      </c>
      <c r="H4869" t="inlineStr">
        <is>
          <t>24⁴, 48⁴</t>
        </is>
      </c>
      <c r="I4869" t="n">
        <v>8</v>
      </c>
      <c r="J4869" t="inlineStr">
        <is>
          <t>2⁴, 4¹⁰, 8³</t>
        </is>
      </c>
      <c r="K4869">
        <f>HYPERLINK("CSG5.html#group24Y5", "24Y⁵"), =HYPERLINK("CSG7.html#group48S7", "48S⁷"), =HYPERLINK("CSG7.html#group48AD7", "48AD⁷"), =HYPERLINK("CSG8.html#group48AA8", "48AA⁸"), =HYPERLINK("CSG8.html#group48AE8", "48AE⁸")</f>
        <v/>
      </c>
      <c r="L4869" t="inlineStr"/>
      <c r="M4869">
        <f>HYPERLINK("CSG0.html#group6B0", "6B⁰"), =HYPERLINK("CSG0.html#group12C0", "12C⁰"), =HYPERLINK("CSG0.html#group3A0", "3A⁰"), =HYPERLINK("CSG0.html#group4C0", "4C⁰"), =HYPERLINK("CSG1.html#group24D1", "24D¹"), =HYPERLINK("CSG0.html#group8B0", "8B⁰"), =HYPERLINK("CSG2.html#group24Q2", "24Q²"), =HYPERLINK("CSG0.html#group8L0", "8L⁰"), =HYPERLINK("CSG5.html#group24Y5", "24Y⁵"), =HYPERLINK("CSG0.html#group2B0", "2B⁰"), =HYPERLINK("CSG0.html#group1A0", "1A⁰"), =HYPERLINK("CSG8.html#group48AE8", "48AE⁸"), =HYPERLINK("CSG3.html#group48H3", "48H³"), =HYPERLINK("CSG7.html#group48S7", "48S⁷"), =HYPERLINK("CSG7.html#group48AD7", "48AD⁷"), =HYPERLINK("CSG0.html#group24A0", "24A⁰"), =HYPERLINK("CSG0.html#group6D0", "6D⁰"), =HYPERLINK("CSG2.html#group24M2", "24M²"), =HYPERLINK("CSG3.html#group48F3", "48F³"), =HYPERLINK("CSG0.html#group12D0", "12D⁰"), =HYPERLINK("CSG0.html#group6H0", "6H⁰"), =HYPERLINK("CSG0.html#group12H0", "12H⁰"), =HYPERLINK("CSG1.html#group24H1", "24H¹"), =HYPERLINK("CSG8.html#group48AA8", "48AA⁸")</f>
        <v/>
      </c>
      <c r="N4869" t="inlineStr"/>
    </row>
    <row r="4870">
      <c r="A4870" t="inlineStr">
        <is>
          <t>48BH¹⁷</t>
        </is>
      </c>
      <c r="B4870" t="inlineStr"/>
      <c r="C4870" t="inlineStr">
        <is>
          <t>288</t>
        </is>
      </c>
      <c r="D4870" t="inlineStr">
        <is>
          <t>1</t>
        </is>
      </c>
      <c r="E4870" t="inlineStr">
        <is>
          <t>36</t>
        </is>
      </c>
      <c r="F4870" t="inlineStr">
        <is>
          <t>16</t>
        </is>
      </c>
      <c r="G4870" t="inlineStr">
        <is>
          <t>0</t>
        </is>
      </c>
      <c r="H4870" t="inlineStr">
        <is>
          <t>24⁴, 48⁴</t>
        </is>
      </c>
      <c r="I4870" t="n">
        <v>8</v>
      </c>
      <c r="J4870" t="inlineStr">
        <is>
          <t>2⁴, 4¹⁰, 8³</t>
        </is>
      </c>
      <c r="K4870">
        <f>HYPERLINK("CSG5.html#group24Y5", "24Y⁵"), =HYPERLINK("CSG7.html#group48S7", "48S⁷"), =HYPERLINK("CSG7.html#group48AD7", "48AD⁷"), =HYPERLINK("CSG8.html#group48AA8", "48AA⁸"), =HYPERLINK("CSG8.html#group48AF8", "48AF⁸")</f>
        <v/>
      </c>
      <c r="L4870" t="inlineStr"/>
      <c r="M4870">
        <f>HYPERLINK("CSG0.html#group6B0", "6B⁰"), =HYPERLINK("CSG0.html#group12C0", "12C⁰"), =HYPERLINK("CSG8.html#group48AF8", "48AF⁸"), =HYPERLINK("CSG0.html#group6H0", "6H⁰"), =HYPERLINK("CSG0.html#group4C0", "4C⁰"), =HYPERLINK("CSG1.html#group24D1", "24D¹"), =HYPERLINK("CSG0.html#group8B0", "8B⁰"), =HYPERLINK("CSG2.html#group24Q2", "24Q²"), =HYPERLINK("CSG0.html#group8L0", "8L⁰"), =HYPERLINK("CSG5.html#group24Y5", "24Y⁵"), =HYPERLINK("CSG0.html#group2B0", "2B⁰"), =HYPERLINK("CSG0.html#group12H0", "12H⁰"), =HYPERLINK("CSG0.html#group1A0", "1A⁰"), =HYPERLINK("CSG3.html#group48H3", "48H³"), =HYPERLINK("CSG7.html#group48S7", "48S⁷"), =HYPERLINK("CSG7.html#group48AD7", "48AD⁷"), =HYPERLINK("CSG0.html#group24A0", "24A⁰"), =HYPERLINK("CSG0.html#group6D0", "6D⁰"), =HYPERLINK("CSG2.html#group24M2", "24M²"), =HYPERLINK("CSG0.html#group12D0", "12D⁰"), =HYPERLINK("CSG3.html#group48F3", "48F³"), =HYPERLINK("CSG0.html#group3A0", "3A⁰"), =HYPERLINK("CSG1.html#group24H1", "24H¹"), =HYPERLINK("CSG8.html#group48AA8", "48AA⁸")</f>
        <v/>
      </c>
      <c r="N4870" t="inlineStr"/>
    </row>
    <row r="4871">
      <c r="A4871" t="inlineStr">
        <is>
          <t>48BI¹⁷</t>
        </is>
      </c>
      <c r="B4871" t="inlineStr"/>
      <c r="C4871" t="inlineStr">
        <is>
          <t>288</t>
        </is>
      </c>
      <c r="D4871" t="inlineStr">
        <is>
          <t>1</t>
        </is>
      </c>
      <c r="E4871" t="inlineStr">
        <is>
          <t>72</t>
        </is>
      </c>
      <c r="F4871" t="inlineStr">
        <is>
          <t>4</t>
        </is>
      </c>
      <c r="G4871" t="inlineStr">
        <is>
          <t>0</t>
        </is>
      </c>
      <c r="H4871" t="inlineStr">
        <is>
          <t>12⁸, 24⁴, 48²</t>
        </is>
      </c>
      <c r="I4871" t="n">
        <v>14</v>
      </c>
      <c r="J4871" t="inlineStr">
        <is>
          <t>4⁴, 8⁸, 16⁴</t>
        </is>
      </c>
      <c r="K4871">
        <f>HYPERLINK("CSG7.html#group24Y7", "24Y⁷"), =HYPERLINK("CSG8.html#group48U8", "48U⁸")</f>
        <v/>
      </c>
      <c r="L4871" t="inlineStr"/>
      <c r="M4871">
        <f>HYPERLINK("CSG1.html#group12G1", "12G¹"), =HYPERLINK("CSG0.html#group12C0", "12C⁰"), =HYPERLINK("CSG0.html#group4C0", "4C⁰"), =HYPERLINK("CSG0.html#group6G0", "6G⁰"), =HYPERLINK("CSG8.html#group48U8", "48U⁸"), =HYPERLINK("CSG0.html#group2B0", "2B⁰"), =HYPERLINK("CSG1.html#group12M1", "12M¹"), =HYPERLINK("CSG0.html#group1A0", "1A⁰"), =HYPERLINK("CSG0.html#group8K0", "8K⁰"), =HYPERLINK("CSG1.html#group12L1", "12L¹"), =HYPERLINK("CSG3.html#group12J3", "12J³"), =HYPERLINK("CSG3.html#group24J3", "24J³"), =HYPERLINK("CSG0.html#group12A0", "12A⁰"), =HYPERLINK("CSG1.html#group12C1", "12C¹"), =HYPERLINK("CSG0.html#group4A0", "4A⁰"), =HYPERLINK("CSG0.html#group3C0", "3C⁰"), =HYPERLINK("CSG1.html#group12J1", "12J¹"), =HYPERLINK("CSG3.html#group24R3", "24R³"), =HYPERLINK("CSG0.html#group4F0", "4F⁰"), =HYPERLINK("CSG0.html#group3A0", "3A⁰"), =HYPERLINK("CSG7.html#group24Y7", "24Y⁷"), =HYPERLINK("CSG0.html#group6D0", "6D⁰")</f>
        <v/>
      </c>
      <c r="N4871" t="inlineStr"/>
    </row>
    <row r="4872">
      <c r="A4872" t="inlineStr">
        <is>
          <t>48BJ¹⁷</t>
        </is>
      </c>
      <c r="B4872" t="inlineStr"/>
      <c r="C4872" t="inlineStr">
        <is>
          <t>288</t>
        </is>
      </c>
      <c r="D4872" t="inlineStr">
        <is>
          <t>1</t>
        </is>
      </c>
      <c r="E4872" t="inlineStr">
        <is>
          <t>72</t>
        </is>
      </c>
      <c r="F4872" t="inlineStr">
        <is>
          <t>4</t>
        </is>
      </c>
      <c r="G4872" t="inlineStr">
        <is>
          <t>0</t>
        </is>
      </c>
      <c r="H4872" t="inlineStr">
        <is>
          <t>12⁸, 24⁴, 48²</t>
        </is>
      </c>
      <c r="I4872" t="n">
        <v>14</v>
      </c>
      <c r="J4872" t="inlineStr">
        <is>
          <t>4⁴, 8⁸, 16⁴</t>
        </is>
      </c>
      <c r="K4872">
        <f>HYPERLINK("CSG7.html#group24Y7", "24Y⁷"), =HYPERLINK("CSG8.html#group48V8", "48V⁸")</f>
        <v/>
      </c>
      <c r="L4872" t="inlineStr"/>
      <c r="M4872">
        <f>HYPERLINK("CSG1.html#group12G1", "12G¹"), =HYPERLINK("CSG0.html#group12C0", "12C⁰"), =HYPERLINK("CSG0.html#group4C0", "4C⁰"), =HYPERLINK("CSG0.html#group6G0", "6G⁰"), =HYPERLINK("CSG0.html#group2B0", "2B⁰"), =HYPERLINK("CSG1.html#group12M1", "12M¹"), =HYPERLINK("CSG8.html#group48V8", "48V⁸"), =HYPERLINK("CSG0.html#group1A0", "1A⁰"), =HYPERLINK("CSG0.html#group8K0", "8K⁰"), =HYPERLINK("CSG1.html#group12L1", "12L¹"), =HYPERLINK("CSG3.html#group12J3", "12J³"), =HYPERLINK("CSG3.html#group24J3", "24J³"), =HYPERLINK("CSG0.html#group12A0", "12A⁰"), =HYPERLINK("CSG1.html#group12C1", "12C¹"), =HYPERLINK("CSG0.html#group4A0", "4A⁰"), =HYPERLINK("CSG0.html#group3C0", "3C⁰"), =HYPERLINK("CSG1.html#group12J1", "12J¹"), =HYPERLINK("CSG3.html#group24R3", "24R³"), =HYPERLINK("CSG0.html#group4F0", "4F⁰"), =HYPERLINK("CSG0.html#group3A0", "3A⁰"), =HYPERLINK("CSG7.html#group24Y7", "24Y⁷"), =HYPERLINK("CSG0.html#group6D0", "6D⁰")</f>
        <v/>
      </c>
      <c r="N4872" t="inlineStr"/>
    </row>
    <row r="4873">
      <c r="A4873" t="inlineStr">
        <is>
          <t>48BK¹⁷</t>
        </is>
      </c>
      <c r="B4873" t="inlineStr"/>
      <c r="C4873" t="inlineStr">
        <is>
          <t>288</t>
        </is>
      </c>
      <c r="D4873" t="inlineStr">
        <is>
          <t>1</t>
        </is>
      </c>
      <c r="E4873" t="inlineStr">
        <is>
          <t>72</t>
        </is>
      </c>
      <c r="F4873" t="inlineStr">
        <is>
          <t>4</t>
        </is>
      </c>
      <c r="G4873" t="inlineStr">
        <is>
          <t>0</t>
        </is>
      </c>
      <c r="H4873" t="inlineStr">
        <is>
          <t>12⁸, 24⁴, 48²</t>
        </is>
      </c>
      <c r="I4873" t="n">
        <v>14</v>
      </c>
      <c r="J4873" t="inlineStr">
        <is>
          <t>4⁴, 8⁸, 16⁴</t>
        </is>
      </c>
      <c r="K4873">
        <f>HYPERLINK("CSG7.html#group24Y7", "24Y⁷"), =HYPERLINK("CSG8.html#group48G8", "48G⁸"), =HYPERLINK("CSG8.html#group48U8", "48U⁸")</f>
        <v/>
      </c>
      <c r="L4873" t="inlineStr"/>
      <c r="M4873">
        <f>HYPERLINK("CSG1.html#group12G1", "12G¹"), =HYPERLINK("CSG0.html#group12C0", "12C⁰"), =HYPERLINK("CSG0.html#group4C0", "4C⁰"), =HYPERLINK("CSG0.html#group6G0", "6G⁰"), =HYPERLINK("CSG8.html#group48U8", "48U⁸"), =HYPERLINK("CSG0.html#group2B0", "2B⁰"), =HYPERLINK("CSG1.html#group12M1", "12M¹"), =HYPERLINK("CSG0.html#group1A0", "1A⁰"), =HYPERLINK("CSG0.html#group8K0", "8K⁰"), =HYPERLINK("CSG1.html#group12L1", "12L¹"), =HYPERLINK("CSG3.html#group12J3", "12J³"), =HYPERLINK("CSG3.html#group24J3", "24J³"), =HYPERLINK("CSG0.html#group12A0", "12A⁰"), =HYPERLINK("CSG1.html#group12C1", "12C¹"), =HYPERLINK("CSG0.html#group4A0", "4A⁰"), =HYPERLINK("CSG0.html#group3C0", "3C⁰"), =HYPERLINK("CSG8.html#group48G8", "48G⁸"), =HYPERLINK("CSG1.html#group12J1", "12J¹"), =HYPERLINK("CSG0.html#group4F0", "4F⁰"), =HYPERLINK("CSG3.html#group24R3", "24R³"), =HYPERLINK("CSG0.html#group3A0", "3A⁰"), =HYPERLINK("CSG7.html#group24Y7", "24Y⁷"), =HYPERLINK("CSG1.html#group16K1", "16K¹"), =HYPERLINK("CSG0.html#group6D0", "6D⁰")</f>
        <v/>
      </c>
      <c r="N4873" t="inlineStr"/>
    </row>
    <row r="4874">
      <c r="A4874" t="inlineStr">
        <is>
          <t>48BL¹⁷</t>
        </is>
      </c>
      <c r="B4874" t="inlineStr"/>
      <c r="C4874" t="inlineStr">
        <is>
          <t>288</t>
        </is>
      </c>
      <c r="D4874" t="inlineStr">
        <is>
          <t>1</t>
        </is>
      </c>
      <c r="E4874" t="inlineStr">
        <is>
          <t>72</t>
        </is>
      </c>
      <c r="F4874" t="inlineStr">
        <is>
          <t>4</t>
        </is>
      </c>
      <c r="G4874" t="inlineStr">
        <is>
          <t>0</t>
        </is>
      </c>
      <c r="H4874" t="inlineStr">
        <is>
          <t>12⁸, 24⁴, 48²</t>
        </is>
      </c>
      <c r="I4874" t="n">
        <v>14</v>
      </c>
      <c r="J4874" t="inlineStr">
        <is>
          <t>4⁴, 8⁸, 16⁴</t>
        </is>
      </c>
      <c r="K4874">
        <f>HYPERLINK("CSG7.html#group24Y7", "24Y⁷"), =HYPERLINK("CSG8.html#group48H8", "48H⁸"), =HYPERLINK("CSG8.html#group48V8", "48V⁸")</f>
        <v/>
      </c>
      <c r="L4874" t="inlineStr"/>
      <c r="M4874">
        <f>HYPERLINK("CSG1.html#group12G1", "12G¹"), =HYPERLINK("CSG0.html#group12C0", "12C⁰"), =HYPERLINK("CSG0.html#group4C0", "4C⁰"), =HYPERLINK("CSG0.html#group6G0", "6G⁰"), =HYPERLINK("CSG0.html#group2B0", "2B⁰"), =HYPERLINK("CSG8.html#group48H8", "48H⁸"), =HYPERLINK("CSG1.html#group12M1", "12M¹"), =HYPERLINK("CSG8.html#group48V8", "48V⁸"), =HYPERLINK("CSG0.html#group1A0", "1A⁰"), =HYPERLINK("CSG0.html#group8K0", "8K⁰"), =HYPERLINK("CSG1.html#group12L1", "12L¹"), =HYPERLINK("CSG3.html#group12J3", "12J³"), =HYPERLINK("CSG3.html#group24J3", "24J³"), =HYPERLINK("CSG1.html#group16L1", "16L¹"), =HYPERLINK("CSG0.html#group12A0", "12A⁰"), =HYPERLINK("CSG1.html#group12C1", "12C¹"), =HYPERLINK("CSG0.html#group4A0", "4A⁰"), =HYPERLINK("CSG0.html#group3C0", "3C⁰"), =HYPERLINK("CSG1.html#group12J1", "12J¹"), =HYPERLINK("CSG3.html#group24R3", "24R³"), =HYPERLINK("CSG0.html#group4F0", "4F⁰"), =HYPERLINK("CSG0.html#group3A0", "3A⁰"), =HYPERLINK("CSG7.html#group24Y7", "24Y⁷"), =HYPERLINK("CSG0.html#group6D0", "6D⁰")</f>
        <v/>
      </c>
      <c r="N4874" t="inlineStr"/>
    </row>
    <row r="4875">
      <c r="A4875" t="inlineStr">
        <is>
          <t>48BM¹⁷</t>
        </is>
      </c>
      <c r="B4875" t="inlineStr"/>
      <c r="C4875" t="inlineStr">
        <is>
          <t>288</t>
        </is>
      </c>
      <c r="D4875" t="inlineStr">
        <is>
          <t>1</t>
        </is>
      </c>
      <c r="E4875" t="inlineStr">
        <is>
          <t>72</t>
        </is>
      </c>
      <c r="F4875" t="inlineStr">
        <is>
          <t>8</t>
        </is>
      </c>
      <c r="G4875" t="inlineStr">
        <is>
          <t>0</t>
        </is>
      </c>
      <c r="H4875" t="inlineStr">
        <is>
          <t>12⁸, 48⁴</t>
        </is>
      </c>
      <c r="I4875" t="n">
        <v>12</v>
      </c>
      <c r="J4875" t="inlineStr">
        <is>
          <t>4², 8⁸</t>
        </is>
      </c>
      <c r="K4875">
        <f>HYPERLINK("CSG7.html#group24Q7", "24Q⁷")</f>
        <v/>
      </c>
      <c r="L4875" t="inlineStr"/>
      <c r="M4875">
        <f>HYPERLINK("CSG1.html#group12G1", "12G¹"), =HYPERLINK("CSG1.html#group24E1", "24E¹"), =HYPERLINK("CSG0.html#group12C0", "12C⁰"), =HYPERLINK("CSG0.html#group4C0", "4C⁰"), =HYPERLINK("CSG1.html#group24D1", "24D¹"), =HYPERLINK("CSG0.html#group6G0", "6G⁰"), =HYPERLINK("CSG0.html#group2B0", "2B⁰"), =HYPERLINK("CSG3.html#group24P3", "24P³"), =HYPERLINK("CSG1.html#group12M1", "12M¹"), =HYPERLINK("CSG0.html#group1A0", "1A⁰"), =HYPERLINK("CSG1.html#group12L1", "12L¹"), =HYPERLINK("CSG3.html#group12J3", "12J³"), =HYPERLINK("CSG0.html#group12A0", "12A⁰"), =HYPERLINK("CSG1.html#group12C1", "12C¹"), =HYPERLINK("CSG3.html#group24H3", "24H³"), =HYPERLINK("CSG3.html#group24N3", "24N³"), =HYPERLINK("CSG0.html#group4A0", "4A⁰"), =HYPERLINK("CSG3.html#group24T3", "24T³"), =HYPERLINK("CSG0.html#group3C0", "3C⁰"), =HYPERLINK("CSG1.html#group12J1", "12J¹"), =HYPERLINK("CSG0.html#group4F0", "4F⁰"), =HYPERLINK("CSG0.html#group3A0", "3A⁰"), =HYPERLINK("CSG7.html#group24Q7", "24Q⁷"), =HYPERLINK("CSG0.html#group6D0", "6D⁰")</f>
        <v/>
      </c>
      <c r="N4875" t="inlineStr"/>
    </row>
    <row r="4876">
      <c r="A4876" t="inlineStr">
        <is>
          <t>48BN¹⁷</t>
        </is>
      </c>
      <c r="B4876" t="inlineStr"/>
      <c r="C4876" t="inlineStr">
        <is>
          <t>288</t>
        </is>
      </c>
      <c r="D4876" t="inlineStr">
        <is>
          <t>1</t>
        </is>
      </c>
      <c r="E4876" t="inlineStr">
        <is>
          <t>72</t>
        </is>
      </c>
      <c r="F4876" t="inlineStr">
        <is>
          <t>12</t>
        </is>
      </c>
      <c r="G4876" t="inlineStr">
        <is>
          <t>0</t>
        </is>
      </c>
      <c r="H4876" t="inlineStr">
        <is>
          <t>24⁸, 48²</t>
        </is>
      </c>
      <c r="I4876" t="n">
        <v>10</v>
      </c>
      <c r="J4876" t="inlineStr">
        <is>
          <t>4², 8⁴, 16²</t>
        </is>
      </c>
      <c r="K4876">
        <f>HYPERLINK("CSG7.html#group24K7", "24K⁷")</f>
        <v/>
      </c>
      <c r="L4876" t="inlineStr"/>
      <c r="M4876">
        <f>HYPERLINK("CSG7.html#group24K7", "24K⁷"), =HYPERLINK("CSG0.html#group12C0", "12C⁰"), =HYPERLINK("CSG0.html#group8D0", "8D⁰"), =HYPERLINK("CSG0.html#group4C0", "4C⁰"), =HYPERLINK("CSG0.html#group8B0", "8B⁰"), =HYPERLINK("CSG0.html#group8A0", "8A⁰"), =HYPERLINK("CSG0.html#group2B0", "2B⁰"), =HYPERLINK("CSG2.html#group24L2", "24L²"), =HYPERLINK("CSG0.html#group8K0", "8K⁰"), =HYPERLINK("CSG0.html#group1A0", "1A⁰"), =HYPERLINK("CSG1.html#group8D1", "8D¹"), =HYPERLINK("CSG1.html#group8H1", "8H¹"), =HYPERLINK("CSG3.html#group24J3", "24J³"), =HYPERLINK("CSG0.html#group8H0", "8H⁰"), =HYPERLINK("CSG4.html#group24H4", "24H⁴"), =HYPERLINK("CSG0.html#group12A0", "12A⁰"), =HYPERLINK("CSG1.html#group24A1", "24A¹"),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4876" t="inlineStr"/>
    </row>
    <row r="4877">
      <c r="A4877" t="inlineStr">
        <is>
          <t>48BO¹⁷</t>
        </is>
      </c>
      <c r="B4877" t="inlineStr"/>
      <c r="C4877" t="inlineStr">
        <is>
          <t>288</t>
        </is>
      </c>
      <c r="D4877" t="inlineStr">
        <is>
          <t>1</t>
        </is>
      </c>
      <c r="E4877" t="inlineStr">
        <is>
          <t>72</t>
        </is>
      </c>
      <c r="F4877" t="inlineStr">
        <is>
          <t>12</t>
        </is>
      </c>
      <c r="G4877" t="inlineStr">
        <is>
          <t>0</t>
        </is>
      </c>
      <c r="H4877" t="inlineStr">
        <is>
          <t>24⁸, 48²</t>
        </is>
      </c>
      <c r="I4877" t="n">
        <v>10</v>
      </c>
      <c r="J4877" t="inlineStr">
        <is>
          <t>4², 8⁴, 16²</t>
        </is>
      </c>
      <c r="K4877">
        <f>HYPERLINK("CSG7.html#group24K7", "24K⁷"), =HYPERLINK("CSG8.html#group48U8", "48U⁸"), =HYPERLINK("CSG8.html#group48V8", "48V⁸")</f>
        <v/>
      </c>
      <c r="L4877" t="inlineStr"/>
      <c r="M4877">
        <f>HYPERLINK("CSG7.html#group24K7", "24K⁷"), =HYPERLINK("CSG0.html#group12C0", "12C⁰"), =HYPERLINK("CSG0.html#group8D0", "8D⁰"), =HYPERLINK("CSG0.html#group4C0", "4C⁰"), =HYPERLINK("CSG0.html#group8B0", "8B⁰"), =HYPERLINK("CSG0.html#group8A0", "8A⁰"), =HYPERLINK("CSG8.html#group48U8", "48U⁸"), =HYPERLINK("CSG0.html#group2B0", "2B⁰"), =HYPERLINK("CSG2.html#group24L2", "24L²"), =HYPERLINK("CSG8.html#group48V8", "48V⁸"), =HYPERLINK("CSG0.html#group8K0", "8K⁰"), =HYPERLINK("CSG0.html#group1A0", "1A⁰"), =HYPERLINK("CSG1.html#group8D1", "8D¹"), =HYPERLINK("CSG1.html#group8H1", "8H¹"), =HYPERLINK("CSG3.html#group24J3", "24J³"), =HYPERLINK("CSG0.html#group8H0", "8H⁰"), =HYPERLINK("CSG4.html#group24H4", "24H⁴"), =HYPERLINK("CSG0.html#group12A0", "12A⁰"), =HYPERLINK("CSG1.html#group24A1", "24A¹"),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4877" t="inlineStr"/>
    </row>
    <row r="4878">
      <c r="A4878" t="inlineStr">
        <is>
          <t>48BP¹⁷</t>
        </is>
      </c>
      <c r="B4878" t="inlineStr"/>
      <c r="C4878" t="inlineStr">
        <is>
          <t>288</t>
        </is>
      </c>
      <c r="D4878" t="inlineStr">
        <is>
          <t>2</t>
        </is>
      </c>
      <c r="E4878" t="inlineStr">
        <is>
          <t>18</t>
        </is>
      </c>
      <c r="F4878" t="inlineStr">
        <is>
          <t>0</t>
        </is>
      </c>
      <c r="G4878" t="inlineStr">
        <is>
          <t>0</t>
        </is>
      </c>
      <c r="H4878" t="inlineStr">
        <is>
          <t>6⁸, 12⁴, 48⁴</t>
        </is>
      </c>
      <c r="I4878" t="n">
        <v>16</v>
      </c>
      <c r="J4878" t="inlineStr">
        <is>
          <t>2¹², 4³</t>
        </is>
      </c>
      <c r="K4878">
        <f>HYPERLINK("CSG8.html#group24D8", "24D⁸"), =HYPERLINK("CSG8.html#group48D8", "48D⁸"), =HYPERLINK("CSG8.html#group48Y8", "48Y⁸"), =HYPERLINK("CSG9.html#group48E9", "48E⁹"), =HYPERLINK("CSG9.html#group48AC9", "48AC⁹")</f>
        <v/>
      </c>
      <c r="L4878" t="inlineStr"/>
      <c r="M4878">
        <f>HYPERLINK("CSG0.html#group2A0", "2A⁰"), =HYPERLINK("CSG9.html#group48E9", "48E⁹"), =HYPERLINK("CSG0.html#group12C0", "12C⁰"), =HYPERLINK("CSG8.html#group24D8", "24D⁸"), =HYPERLINK("CSG3.html#group48G3", "48G³"), =HYPERLINK("CSG0.html#group8D0", "8D⁰"), =HYPERLINK("CSG1.html#group6C1", "6C¹"), =HYPERLINK("CSG0.html#group4C0", "4C⁰"), =HYPERLINK("CSG4.html#group48F4", "48F⁴"), =HYPERLINK("CSG2.html#group12B2", "12B²"), =HYPERLINK("CSG8.html#group48Y8", "48Y⁸"), =HYPERLINK("CSG0.html#group8C0", "8C⁰"), =HYPERLINK("CSG0.html#group2B0", "2B⁰"), =HYPERLINK("CSG0.html#group4E0", "4E⁰"), =HYPERLINK("CSG0.html#group4B0", "4B⁰"), =HYPERLINK("CSG0.html#group1A0", "1A⁰"), =HYPERLINK("CSG4.html#group24D4", "24D⁴"), =HYPERLINK("CSG4.html#group48G4", "48G⁴"), =HYPERLINK("CSG9.html#group48AC9", "48AC⁹"), =HYPERLINK("CSG2.html#group24B2", "24B²"), =HYPERLINK("CSG0.html#group6A0", "6A⁰"), =HYPERLINK("CSG0.html#group8G0", "8G⁰"), =HYPERLINK("CSG4.html#group24N4", "24N⁴"), =HYPERLINK("CSG8.html#group48D8", "48D⁸"), =HYPERLINK("CSG4.html#group24M4", "24M⁴"), =HYPERLINK("CSG1.html#group24C1", "24C¹"), =HYPERLINK("CSG1.html#group12B1", "12B¹"), =HYPERLINK("CSG1.html#group6A1", "6A¹"), =HYPERLINK("CSG0.html#group3A0", "3A⁰"), =HYPERLINK("CSG0.html#group2C0", "2C⁰"), =HYPERLINK("CSG0.html#group6D0", "6D⁰"), =HYPERLINK("CSG5.html#group48B5", "48B⁵")</f>
        <v/>
      </c>
      <c r="N4878" t="inlineStr"/>
    </row>
    <row r="4879">
      <c r="A4879" t="inlineStr">
        <is>
          <t>48BQ¹⁷</t>
        </is>
      </c>
      <c r="B4879" t="inlineStr"/>
      <c r="C4879" t="inlineStr">
        <is>
          <t>288</t>
        </is>
      </c>
      <c r="D4879" t="inlineStr">
        <is>
          <t>2</t>
        </is>
      </c>
      <c r="E4879" t="inlineStr">
        <is>
          <t>18</t>
        </is>
      </c>
      <c r="F4879" t="inlineStr">
        <is>
          <t>16</t>
        </is>
      </c>
      <c r="G4879" t="inlineStr">
        <is>
          <t>0</t>
        </is>
      </c>
      <c r="H4879" t="inlineStr">
        <is>
          <t>24⁴, 48⁴</t>
        </is>
      </c>
      <c r="I4879" t="n">
        <v>8</v>
      </c>
      <c r="J4879" t="inlineStr">
        <is>
          <t>2⁶, 4⁶</t>
        </is>
      </c>
      <c r="K4879">
        <f>HYPERLINK("CSG5.html#group24V5", "24V⁵"), =HYPERLINK("CSG7.html#group48T7", "48T⁷"), =HYPERLINK("CSG7.html#group48V7", "48V⁷"), =HYPERLINK("CSG7.html#group48AH7", "48AH⁷"), =HYPERLINK("CSG7.html#group48AI7", "48AI⁷"), =HYPERLINK("CSG9.html#group48L9", "48L⁹"), =HYPERLINK("CSG9.html#group48AB9", "48AB⁹")</f>
        <v/>
      </c>
      <c r="L4879" t="inlineStr"/>
      <c r="M4879">
        <f>HYPERLINK("CSG1.html#group24E1", "24E¹"), =HYPERLINK("CSG0.html#group12C0", "12C⁰"), =HYPERLINK("CSG0.html#group4C0", "4C⁰"), =HYPERLINK("CSG2.html#group24P2", "24P²"), =HYPERLINK("CSG0.html#group2B0", "2B⁰"), =HYPERLINK("CSG1.html#group12M1", "12M¹"), =HYPERLINK("CSG0.html#group1A0", "1A⁰"), =HYPERLINK("CSG7.html#group48T7", "48T⁷"), =HYPERLINK("CSG2.html#group12H2", "12H²"), =HYPERLINK("CSG5.html#group24V5", "24V⁵"), =HYPERLINK("CSG0.html#group24A0", "24A⁰"), =HYPERLINK("CSG9.html#group48AB9", "48AB⁹"), =HYPERLINK("CSG3.html#group24T3", "24T³"), =HYPERLINK("CSG0.html#group6H0", "6H⁰"), =HYPERLINK("CSG0.html#group3A0", "3A⁰"), =HYPERLINK("CSG1.html#group24H1", "24H¹"), =HYPERLINK("CSG7.html#group48AH7", "48AH⁷"), =HYPERLINK("CSG7.html#group48AI7", "48AI⁷"), =HYPERLINK("CSG0.html#group6B0", "6B⁰"), =HYPERLINK("CSG2.html#group24N2", "24N²"), =HYPERLINK("CSG1.html#group24D1", "24D¹"), =HYPERLINK("CSG0.html#group8B0", "8B⁰"), =HYPERLINK("CSG1.html#group16B1", "16B¹"), =HYPERLINK("CSG4.html#group48C4", "48C⁴"), =HYPERLINK("CSG3.html#group48C3", "48C³"), =HYPERLINK("CSG7.html#group48V7", "48V⁷"), =HYPERLINK("CSG9.html#group48L9", "48L⁹"), =HYPERLINK("CSG2.html#group48A2", "48A²"), =HYPERLINK("CSG0.html#group12D0", "12D⁰"), =HYPERLINK("CSG3.html#group48F3", "48F³"), =HYPERLINK("CSG0.html#group12H0", "12H⁰"), =HYPERLINK("CSG0.html#group6D0", "6D⁰")</f>
        <v/>
      </c>
      <c r="N4879" t="inlineStr"/>
    </row>
    <row r="4880">
      <c r="A4880" t="inlineStr">
        <is>
          <t>48BR¹⁷</t>
        </is>
      </c>
      <c r="B4880" t="inlineStr"/>
      <c r="C4880" t="inlineStr">
        <is>
          <t>288</t>
        </is>
      </c>
      <c r="D4880" t="inlineStr">
        <is>
          <t>2</t>
        </is>
      </c>
      <c r="E4880" t="inlineStr">
        <is>
          <t>18</t>
        </is>
      </c>
      <c r="F4880" t="inlineStr">
        <is>
          <t>16</t>
        </is>
      </c>
      <c r="G4880" t="inlineStr">
        <is>
          <t>0</t>
        </is>
      </c>
      <c r="H4880" t="inlineStr">
        <is>
          <t>24⁴, 48⁴</t>
        </is>
      </c>
      <c r="I4880" t="n">
        <v>8</v>
      </c>
      <c r="J4880" t="inlineStr">
        <is>
          <t>2⁶, 4⁶</t>
        </is>
      </c>
      <c r="K4880">
        <f>HYPERLINK("CSG5.html#group24W5", "24W⁵"), =HYPERLINK("CSG7.html#group48S7", "48S⁷"), =HYPERLINK("CSG7.html#group48U7", "48U⁷"), =HYPERLINK("CSG7.html#group48AH7", "48AH⁷"), =HYPERLINK("CSG7.html#group48AI7", "48AI⁷"), =HYPERLINK("CSG9.html#group48K9", "48K⁹"), =HYPERLINK("CSG9.html#group48AB9", "48AB⁹")</f>
        <v/>
      </c>
      <c r="L4880" t="inlineStr"/>
      <c r="M4880">
        <f>HYPERLINK("CSG2.html#group12I2", "12I²"), =HYPERLINK("CSG1.html#group24E1", "24E¹"), =HYPERLINK("CSG2.html#group24O2", "24O²"), =HYPERLINK("CSG3.html#group24Q3", "24Q³"), =HYPERLINK("CSG0.html#group12C0", "12C⁰"), =HYPERLINK("CSG0.html#group4C0", "4C⁰"), =HYPERLINK("CSG2.html#group24P2", "24P²"), =HYPERLINK("CSG0.html#group2B0", "2B⁰"), =HYPERLINK("CSG1.html#group12M1", "12M¹"), =HYPERLINK("CSG3.html#group24P3", "24P³"), =HYPERLINK("CSG0.html#group1A0", "1A⁰"), =HYPERLINK("CSG5.html#group24W5", "24W⁵"), =HYPERLINK("CSG7.html#group48S7", "48S⁷"), =HYPERLINK("CSG0.html#group24A0", "24A⁰"), =HYPERLINK("CSG9.html#group48AB9", "48AB⁹"), =HYPERLINK("CSG0.html#group6H0", "6H⁰"), =HYPERLINK("CSG0.html#group3A0", "3A⁰"), =HYPERLINK("CSG1.html#group24H1", "24H¹"), =HYPERLINK("CSG7.html#group48AH7", "48AH⁷"), =HYPERLINK("CSG7.html#group48AI7", "48AI⁷"), =HYPERLINK("CSG0.html#group6B0", "6B⁰"), =HYPERLINK("CSG0.html#group8D0", "8D⁰"), =HYPERLINK("CSG9.html#group48K9", "48K⁹"), =HYPERLINK("CSG1.html#group24D1", "24D¹"), =HYPERLINK("CSG0.html#group8B0", "8B⁰"), =HYPERLINK("CSG0.html#group12F0", "12F⁰"), =HYPERLINK("CSG7.html#group48U7", "48U⁷"), =HYPERLINK("CSG2.html#group24L2", "24L²"), =HYPERLINK("CSG4.html#group48C4", "48C⁴"), =HYPERLINK("CSG0.html#group8H0", "8H⁰"), =HYPERLINK("CSG0.html#group12A0", "12A⁰"), =HYPERLINK("CSG0.html#group4A0", "4A⁰"), =HYPERLINK("CSG1.html#group24C1", "24C¹"), =HYPERLINK("CSG2.html#group48A2", "48A²"), =HYPERLINK("CSG1.html#group12J1", "12J¹"), =HYPERLINK("CSG0.html#group12D0", "12D⁰"), =HYPERLINK("CSG0.html#group4F0", "4F⁰"), =HYPERLINK("CSG3.html#group48F3", "48F³"), =HYPERLINK("CSG0.html#group12H0", "12H⁰"), =HYPERLINK("CSG0.html#group6D0", "6D⁰")</f>
        <v/>
      </c>
      <c r="N4880" t="inlineStr"/>
    </row>
    <row r="4881">
      <c r="A4881" t="inlineStr">
        <is>
          <t>48BS¹⁷</t>
        </is>
      </c>
      <c r="B4881" t="inlineStr"/>
      <c r="C4881" t="inlineStr">
        <is>
          <t>288</t>
        </is>
      </c>
      <c r="D4881" t="inlineStr">
        <is>
          <t>2</t>
        </is>
      </c>
      <c r="E4881" t="inlineStr">
        <is>
          <t>36</t>
        </is>
      </c>
      <c r="F4881" t="inlineStr">
        <is>
          <t>0</t>
        </is>
      </c>
      <c r="G4881" t="inlineStr">
        <is>
          <t>0</t>
        </is>
      </c>
      <c r="H4881" t="inlineStr">
        <is>
          <t>6⁸, 12⁴, 48⁴</t>
        </is>
      </c>
      <c r="I4881" t="n">
        <v>16</v>
      </c>
      <c r="J4881" t="inlineStr">
        <is>
          <t>2¹², 4⁶, 8³</t>
        </is>
      </c>
      <c r="K4881">
        <f>HYPERLINK("CSG8.html#group24E8", "24E⁸"), =HYPERLINK("CSG8.html#group48K8", "48K⁸"), =HYPERLINK("CSG8.html#group48M8", "48M⁸"), =HYPERLINK("CSG8.html#group48Y8", "48Y⁸"), =HYPERLINK("CSG9.html#group48P9", "48P⁹"), =HYPERLINK("CSG9.html#group48AA9", "48AA⁹"), =HYPERLINK("CSG9.html#group48AC9", "48AC⁹")</f>
        <v/>
      </c>
      <c r="L4881" t="inlineStr"/>
      <c r="M4881">
        <f>HYPERLINK("CSG0.html#group6B0", "6B⁰"), =HYPERLINK("CSG8.html#group48K8", "48K⁸"), =HYPERLINK("CSG2.html#group12D2", "12D²"), =HYPERLINK("CSG4.html#group24J4", "24J⁴"), =HYPERLINK("CSG4.html#group48F4", "48F⁴"), =HYPERLINK("CSG8.html#group48Y8", "48Y⁸"), =HYPERLINK("CSG0.html#group8C0", "8C⁰"), =HYPERLINK("CSG0.html#group2B0", "2B⁰"), =HYPERLINK("CSG0.html#group4B0", "4B⁰"), =HYPERLINK("CSG0.html#group1A0", "1A⁰"), =HYPERLINK("CSG4.html#group48G4", "48G⁴"), =HYPERLINK("CSG9.html#group48AC9", "48AC⁹"), =HYPERLINK("CSG2.html#group24B2", "24B²"), =HYPERLINK("CSG9.html#group48AA9", "48AA⁹"), =HYPERLINK("CSG9.html#group48P9", "48P⁹"), =HYPERLINK("CSG1.html#group12C1", "12C¹"), =HYPERLINK("CSG0.html#group16D0", "16D⁰"), =HYPERLINK("CSG4.html#group24M4", "24M⁴"), =HYPERLINK("CSG2.html#group24D2", "24D²"), =HYPERLINK("CSG8.html#group48M8", "48M⁸"), =HYPERLINK("CSG8.html#group24E8", "24E⁸"), =HYPERLINK("CSG1.html#group12B1", "12B¹"), =HYPERLINK("CSG0.html#group6H0", "6H⁰"), =HYPERLINK("CSG0.html#group3A0", "3A⁰"), =HYPERLINK("CSG0.html#group6D0", "6D⁰"), =HYPERLINK("CSG4.html#group48D4", "48D⁴"), =HYPERLINK("CSG5.html#group48B5", "48B⁵")</f>
        <v/>
      </c>
      <c r="N4881" t="inlineStr"/>
    </row>
    <row r="4882">
      <c r="A4882" t="inlineStr">
        <is>
          <t>48BT¹⁷</t>
        </is>
      </c>
      <c r="B4882" t="inlineStr"/>
      <c r="C4882" t="inlineStr">
        <is>
          <t>288</t>
        </is>
      </c>
      <c r="D4882" t="inlineStr">
        <is>
          <t>2</t>
        </is>
      </c>
      <c r="E4882" t="inlineStr">
        <is>
          <t>36</t>
        </is>
      </c>
      <c r="F4882" t="inlineStr">
        <is>
          <t>0</t>
        </is>
      </c>
      <c r="G4882" t="inlineStr">
        <is>
          <t>0</t>
        </is>
      </c>
      <c r="H4882" t="inlineStr">
        <is>
          <t>6⁸, 12⁴, 48⁴</t>
        </is>
      </c>
      <c r="I4882" t="n">
        <v>16</v>
      </c>
      <c r="J4882" t="inlineStr">
        <is>
          <t>2¹², 4⁶, 8³</t>
        </is>
      </c>
      <c r="K4882">
        <f>HYPERLINK("CSG8.html#group24F8", "24F⁸"), =HYPERLINK("CSG8.html#group48I8", "48I⁸"), =HYPERLINK("CSG8.html#group48L8", "48L⁸"), =HYPERLINK("CSG8.html#group48Y8", "48Y⁸"), =HYPERLINK("CSG9.html#group48O9", "48O⁹"), =HYPERLINK("CSG9.html#group48AA9", "48AA⁹"), =HYPERLINK("CSG9.html#group48AC9", "48AC⁹")</f>
        <v/>
      </c>
      <c r="L4882" t="inlineStr"/>
      <c r="M4882">
        <f>HYPERLINK("CSG8.html#group48I8", "48I⁸"), =HYPERLINK("CSG4.html#group24F4", "24F⁴"), =HYPERLINK("CSG0.html#group6B0", "6B⁰"), =HYPERLINK("CSG2.html#group12D2", "12D²"), =HYPERLINK("CSG4.html#group24J4", "24J⁴"), =HYPERLINK("CSG4.html#group48F4", "48F⁴"), =HYPERLINK("CSG8.html#group48Y8", "48Y⁸"), =HYPERLINK("CSG0.html#group8C0", "8C⁰"), =HYPERLINK("CSG0.html#group2B0", "2B⁰"), =HYPERLINK("CSG0.html#group8I0", "8I⁰"), =HYPERLINK("CSG0.html#group4B0", "4B⁰"), =HYPERLINK("CSG0.html#group1A0", "1A⁰"), =HYPERLINK("CSG4.html#group48G4", "48G⁴"), =HYPERLINK("CSG9.html#group48AC9", "48AC⁹"), =HYPERLINK("CSG2.html#group24B2", "24B²"), =HYPERLINK("CSG9.html#group48AA9", "48AA⁹"), =HYPERLINK("CSG8.html#group48L8", "48L⁸"), =HYPERLINK("CSG1.html#group12C1", "12C¹"), =HYPERLINK("CSG8.html#group24F8", "24F⁸"), =HYPERLINK("CSG4.html#group24M4", "24M⁴"), =HYPERLINK("CSG2.html#group24D2", "24D²"), =HYPERLINK("CSG9.html#group48O9", "48O⁹"), =HYPERLINK("CSG1.html#group12B1", "12B¹"), =HYPERLINK("CSG0.html#group6H0", "6H⁰"), =HYPERLINK("CSG0.html#group3A0", "3A⁰"), =HYPERLINK("CSG0.html#group6D0", "6D⁰"), =HYPERLINK("CSG5.html#group48B5", "48B⁵")</f>
        <v/>
      </c>
      <c r="N4882" t="inlineStr"/>
    </row>
    <row r="4883">
      <c r="A4883" t="inlineStr">
        <is>
          <t>48BU¹⁷</t>
        </is>
      </c>
      <c r="B4883" t="inlineStr"/>
      <c r="C4883" t="inlineStr">
        <is>
          <t>288</t>
        </is>
      </c>
      <c r="D4883" t="inlineStr">
        <is>
          <t>2</t>
        </is>
      </c>
      <c r="E4883" t="inlineStr">
        <is>
          <t>36</t>
        </is>
      </c>
      <c r="F4883" t="inlineStr">
        <is>
          <t>8</t>
        </is>
      </c>
      <c r="G4883" t="inlineStr">
        <is>
          <t>0</t>
        </is>
      </c>
      <c r="H4883" t="inlineStr">
        <is>
          <t>12⁸, 48⁴</t>
        </is>
      </c>
      <c r="I4883" t="n">
        <v>12</v>
      </c>
      <c r="J4883" t="inlineStr">
        <is>
          <t>2⁶, 4³, 8⁶</t>
        </is>
      </c>
      <c r="K4883">
        <f>HYPERLINK("CSG6.html#group48I6", "48I⁶"), =HYPERLINK("CSG7.html#group24AD7", "24AD⁷"), =HYPERLINK("CSG8.html#group48O8", "48O⁸"), =HYPERLINK("CSG8.html#group48Q8", "48Q⁸"), =HYPERLINK("CSG8.html#group48Z8", "48Z⁸"), =HYPERLINK("CSG9.html#group48U9", "48U⁹"), =HYPERLINK("CSG9.html#group48AD9", "48AD⁹")</f>
        <v/>
      </c>
      <c r="L4883" t="inlineStr"/>
      <c r="M4883">
        <f>HYPERLINK("CSG2.html#group24O2", "24O²"), =HYPERLINK("CSG9.html#group48AD9", "48AD⁹"), =HYPERLINK("CSG3.html#group24Q3", "24Q³"), =HYPERLINK("CSG1.html#group24E1", "24E¹"), =HYPERLINK("CSG0.html#group12C0", "12C⁰"), =HYPERLINK("CSG3.html#group48G3", "48G³"), =HYPERLINK("CSG4.html#group24P4", "24P⁴"), =HYPERLINK("CSG8.html#group48O8", "48O⁸"), =HYPERLINK("CSG8.html#group48Z8", "48Z⁸"), =HYPERLINK("CSG0.html#group4C0", "4C⁰"), =HYPERLINK("CSG0.html#group2B0", "2B⁰"), =HYPERLINK("CSG1.html#group12M1", "12M¹"), =HYPERLINK("CSG2.html#group24C2", "24C²"), =HYPERLINK("CSG0.html#group1A0", "1A⁰"), =HYPERLINK("CSG2.html#group12H2", "12H²"), =HYPERLINK("CSG4.html#group48E4", "48E⁴"), =HYPERLINK("CSG3.html#group24S3", "24S³"), =HYPERLINK("CSG3.html#group24T3", "24T³"), =HYPERLINK("CSG0.html#group6H0", "6H⁰"), =HYPERLINK("CSG0.html#group3A0", "3A⁰"), =HYPERLINK("CSG7.html#group24AD7", "24AD⁷"), =HYPERLINK("CSG0.html#group6B0", "6B⁰"), =HYPERLINK("CSG6.html#group48I6", "48I⁶"), =HYPERLINK("CSG0.html#group8D0", "8D⁰"), =HYPERLINK("CSG4.html#group48H4", "48H⁴"), =HYPERLINK("CSG1.html#group24D1", "24D¹"), =HYPERLINK("CSG9.html#group48U9", "48U⁹"), =HYPERLINK("CSG8.html#group48Q8", "48Q⁸"), =HYPERLINK("CSG1.html#group16C1", "16C¹"), =HYPERLINK("CSG1.html#group24C1", "24C¹"), =HYPERLINK("CSG0.html#group12D0", "12D⁰"), =HYPERLINK("CSG0.html#group12H0", "12H⁰"), =HYPERLINK("CSG4.html#group24L4", "24L⁴"), =HYPERLINK("CSG0.html#group6D0", "6D⁰")</f>
        <v/>
      </c>
      <c r="N4883" t="inlineStr"/>
    </row>
    <row r="4884">
      <c r="A4884" t="inlineStr">
        <is>
          <t>48BV¹⁷</t>
        </is>
      </c>
      <c r="B4884" t="inlineStr"/>
      <c r="C4884" t="inlineStr">
        <is>
          <t>288</t>
        </is>
      </c>
      <c r="D4884" t="inlineStr">
        <is>
          <t>2</t>
        </is>
      </c>
      <c r="E4884" t="inlineStr">
        <is>
          <t>36</t>
        </is>
      </c>
      <c r="F4884" t="inlineStr">
        <is>
          <t>8</t>
        </is>
      </c>
      <c r="G4884" t="inlineStr">
        <is>
          <t>0</t>
        </is>
      </c>
      <c r="H4884" t="inlineStr">
        <is>
          <t>12⁸, 48⁴</t>
        </is>
      </c>
      <c r="I4884" t="n">
        <v>12</v>
      </c>
      <c r="J4884" t="inlineStr">
        <is>
          <t>2⁶, 4³, 8⁶</t>
        </is>
      </c>
      <c r="K4884">
        <f>HYPERLINK("CSG6.html#group48J6", "48J⁶"), =HYPERLINK("CSG7.html#group24AD7", "24AD⁷"), =HYPERLINK("CSG8.html#group48N8", "48N⁸"), =HYPERLINK("CSG8.html#group48P8", "48P⁸"), =HYPERLINK("CSG8.html#group48Z8", "48Z⁸"), =HYPERLINK("CSG9.html#group48T9", "48T⁹"), =HYPERLINK("CSG9.html#group48AD9", "48AD⁹")</f>
        <v/>
      </c>
      <c r="L4884" t="inlineStr"/>
      <c r="M4884">
        <f>HYPERLINK("CSG2.html#group24O2", "24O²"), =HYPERLINK("CSG9.html#group48AD9", "48AD⁹"), =HYPERLINK("CSG3.html#group24Q3", "24Q³"), =HYPERLINK("CSG1.html#group24E1", "24E¹"), =HYPERLINK("CSG0.html#group12C0", "12C⁰"), =HYPERLINK("CSG3.html#group48G3", "48G³"), =HYPERLINK("CSG4.html#group24P4", "24P⁴"), =HYPERLINK("CSG8.html#group48Z8", "48Z⁸"), =HYPERLINK("CSG0.html#group4C0", "4C⁰"), =HYPERLINK("CSG0.html#group2B0", "2B⁰"), =HYPERLINK("CSG1.html#group12M1", "12M¹"), =HYPERLINK("CSG2.html#group24C2", "24C²"), =HYPERLINK("CSG0.html#group1A0", "1A⁰"), =HYPERLINK("CSG0.html#group16E0", "16E⁰"), =HYPERLINK("CSG2.html#group12H2", "12H²"), =HYPERLINK("CSG3.html#group24S3", "24S³"), =HYPERLINK("CSG3.html#group24T3", "24T³"), =HYPERLINK("CSG8.html#group48N8", "48N⁸"), =HYPERLINK("CSG3.html#group48D3", "48D³"), =HYPERLINK("CSG0.html#group6H0", "6H⁰"), =HYPERLINK("CSG0.html#group3A0", "3A⁰"), =HYPERLINK("CSG7.html#group24AD7", "24AD⁷"), =HYPERLINK("CSG9.html#group48T9", "48T⁹"), =HYPERLINK("CSG0.html#group6B0", "6B⁰"), =HYPERLINK("CSG0.html#group8D0", "8D⁰"), =HYPERLINK("CSG4.html#group48H4", "48H⁴"), =HYPERLINK("CSG1.html#group24D1", "24D¹"), =HYPERLINK("CSG8.html#group48P8", "48P⁸"), =HYPERLINK("CSG6.html#group48J6", "48J⁶"), =HYPERLINK("CSG1.html#group24C1", "24C¹"), =HYPERLINK("CSG0.html#group12D0", "12D⁰"), =HYPERLINK("CSG0.html#group12H0", "12H⁰"), =HYPERLINK("CSG4.html#group24L4", "24L⁴"), =HYPERLINK("CSG0.html#group6D0", "6D⁰")</f>
        <v/>
      </c>
      <c r="N4884" t="inlineStr"/>
    </row>
    <row r="4885">
      <c r="A4885" t="inlineStr">
        <is>
          <t>48BW¹⁷</t>
        </is>
      </c>
      <c r="B4885" t="inlineStr"/>
      <c r="C4885" t="inlineStr">
        <is>
          <t>288</t>
        </is>
      </c>
      <c r="D4885" t="inlineStr">
        <is>
          <t>2</t>
        </is>
      </c>
      <c r="E4885" t="inlineStr">
        <is>
          <t>36</t>
        </is>
      </c>
      <c r="F4885" t="inlineStr">
        <is>
          <t>16</t>
        </is>
      </c>
      <c r="G4885" t="inlineStr">
        <is>
          <t>0</t>
        </is>
      </c>
      <c r="H4885" t="inlineStr">
        <is>
          <t>24⁴, 48⁴</t>
        </is>
      </c>
      <c r="I4885" t="n">
        <v>8</v>
      </c>
      <c r="J4885" t="inlineStr">
        <is>
          <t>4⁶, 8⁶</t>
        </is>
      </c>
      <c r="K4885">
        <f>HYPERLINK("CSG7.html#group24AB7", "24AB⁷"), =HYPERLINK("CSG7.html#group48U7", "48U⁷"), =HYPERLINK("CSG7.html#group48AB7", "48AB⁷")</f>
        <v/>
      </c>
      <c r="L4885" t="inlineStr"/>
      <c r="M4885">
        <f>HYPERLINK("CSG4.html#group24O4", "24O⁴"), =HYPERLINK("CSG0.html#group12C0", "12C⁰"), =HYPERLINK("CSG0.html#group8D0", "8D⁰"), =HYPERLINK("CSG0.html#group4C0", "4C⁰"), =HYPERLINK("CSG0.html#group8B0", "8B⁰"), =HYPERLINK("CSG0.html#group2B0", "2B⁰"), =HYPERLINK("CSG1.html#group24B1", "24B¹"), =HYPERLINK("CSG2.html#group24L2", "24L²"), =HYPERLINK("CSG0.html#group1A0", "1A⁰"), =HYPERLINK("CSG0.html#group8H0", "8H⁰"), =HYPERLINK("CSG7.html#group48AB7", "48AB⁷"), =HYPERLINK("CSG0.html#group12A0", "12A⁰"), =HYPERLINK("CSG0.html#group24A0", "24A⁰"), =HYPERLINK("CSG0.html#group4A0", "4A⁰"), =HYPERLINK("CSG0.html#group6D0", "6D⁰"), =HYPERLINK("CSG1.html#group24C1", "24C¹"), =HYPERLINK("CSG2.html#group48A2", "48A²"), =HYPERLINK("CSG3.html#group48F3", "48F³"), =HYPERLINK("CSG7.html#group24AB7", "24AB⁷"), =HYPERLINK("CSG1.html#group12J1", "12J¹"), =HYPERLINK("CSG0.html#group4F0", "4F⁰"), =HYPERLINK("CSG3.html#group24R3", "24R³"), =HYPERLINK("CSG0.html#group3A0", "3A⁰"), =HYPERLINK("CSG7.html#group48U7", "48U⁷")</f>
        <v/>
      </c>
      <c r="N4885" t="inlineStr"/>
    </row>
    <row r="4886">
      <c r="A4886" t="inlineStr">
        <is>
          <t>48BX¹⁷</t>
        </is>
      </c>
      <c r="B4886" t="inlineStr"/>
      <c r="C4886" t="inlineStr">
        <is>
          <t>288</t>
        </is>
      </c>
      <c r="D4886" t="inlineStr">
        <is>
          <t>2</t>
        </is>
      </c>
      <c r="E4886" t="inlineStr">
        <is>
          <t>36</t>
        </is>
      </c>
      <c r="F4886" t="inlineStr">
        <is>
          <t>16</t>
        </is>
      </c>
      <c r="G4886" t="inlineStr">
        <is>
          <t>0</t>
        </is>
      </c>
      <c r="H4886" t="inlineStr">
        <is>
          <t>24⁴, 48⁴</t>
        </is>
      </c>
      <c r="I4886" t="n">
        <v>8</v>
      </c>
      <c r="J4886" t="inlineStr">
        <is>
          <t>2⁶, 4³, 8⁶</t>
        </is>
      </c>
      <c r="K4886">
        <f>HYPERLINK("CSG7.html#group24AC7", "24AC⁷"), =HYPERLINK("CSG7.html#group48U7", "48U⁷"), =HYPERLINK("CSG7.html#group48AC7", "48AC⁷")</f>
        <v/>
      </c>
      <c r="L4886" t="inlineStr"/>
      <c r="M4886">
        <f>HYPERLINK("CSG0.html#group12C0", "12C⁰"), =HYPERLINK("CSG7.html#group24AC7", "24AC⁷"), =HYPERLINK("CSG3.html#group48G3", "48G³"), =HYPERLINK("CSG7.html#group48AC7", "48AC⁷"), =HYPERLINK("CSG4.html#group48H4", "48H⁴"), =HYPERLINK("CSG0.html#group8D0", "8D⁰"), =HYPERLINK("CSG0.html#group4C0", "4C⁰"), =HYPERLINK("CSG0.html#group8B0", "8B⁰"), =HYPERLINK("CSG0.html#group2B0", "2B⁰"), =HYPERLINK("CSG2.html#group24L2", "24L²"), =HYPERLINK("CSG0.html#group1A0", "1A⁰"), =HYPERLINK("CSG0.html#group8H0", "8H⁰"), =HYPERLINK("CSG0.html#group12A0", "12A⁰"), =HYPERLINK("CSG0.html#group24A0", "24A⁰"), =HYPERLINK("CSG0.html#group4A0", "4A⁰"), =HYPERLINK("CSG0.html#group6D0", "6D⁰"), =HYPERLINK("CSG1.html#group24C1", "24C¹"), =HYPERLINK("CSG2.html#group48A2", "48A²"), =HYPERLINK("CSG1.html#group12J1", "12J¹"), =HYPERLINK("CSG0.html#group4F0", "4F⁰"), =HYPERLINK("CSG3.html#group48F3", "48F³"), =HYPERLINK("CSG0.html#group3A0", "3A⁰"), =HYPERLINK("CSG7.html#group48U7", "48U⁷")</f>
        <v/>
      </c>
      <c r="N4886" t="inlineStr"/>
    </row>
    <row r="4887">
      <c r="A4887" t="inlineStr">
        <is>
          <t>48BY¹⁷</t>
        </is>
      </c>
      <c r="B4887" t="inlineStr"/>
      <c r="C4887" t="inlineStr">
        <is>
          <t>288</t>
        </is>
      </c>
      <c r="D4887" t="inlineStr">
        <is>
          <t>2</t>
        </is>
      </c>
      <c r="E4887" t="inlineStr">
        <is>
          <t>36</t>
        </is>
      </c>
      <c r="F4887" t="inlineStr">
        <is>
          <t>16</t>
        </is>
      </c>
      <c r="G4887" t="inlineStr">
        <is>
          <t>0</t>
        </is>
      </c>
      <c r="H4887" t="inlineStr">
        <is>
          <t>24⁴, 48⁴</t>
        </is>
      </c>
      <c r="I4887" t="n">
        <v>8</v>
      </c>
      <c r="J4887" t="inlineStr">
        <is>
          <t>4¹⁴, 8²</t>
        </is>
      </c>
      <c r="K4887">
        <f>HYPERLINK("CSG5.html#group24X5", "24X⁵"), =HYPERLINK("CSG7.html#group48T7", "48T⁷"), =HYPERLINK("CSG7.html#group48AD7", "48AD⁷"), =HYPERLINK("CSG8.html#group48AC8", "48AC⁸"), =HYPERLINK("CSG8.html#group48AE8", "48AE⁸"), =HYPERLINK("CSG8.html#group48AF8", "48AF⁸")</f>
        <v/>
      </c>
      <c r="L4887" t="inlineStr"/>
      <c r="M4887">
        <f>HYPERLINK("CSG5.html#group24X5", "24X⁵"), =HYPERLINK("CSG0.html#group6B0", "6B⁰"), =HYPERLINK("CSG0.html#group12C0", "12C⁰"), =HYPERLINK("CSG0.html#group3A0", "3A⁰"), =HYPERLINK("CSG8.html#group48AF8", "48AF⁸"), =HYPERLINK("CSG0.html#group6H0", "6H⁰"), =HYPERLINK("CSG0.html#group4C0", "4C⁰"), =HYPERLINK("CSG1.html#group24D1", "24D¹"), =HYPERLINK("CSG0.html#group8B0", "8B⁰"), =HYPERLINK("CSG2.html#group24Q2", "24Q²"), =HYPERLINK("CSG1.html#group16B1", "16B¹"), =HYPERLINK("CSG0.html#group2B0", "2B⁰"), =HYPERLINK("CSG0.html#group1A0", "1A⁰"), =HYPERLINK("CSG8.html#group48AE8", "48AE⁸"), =HYPERLINK("CSG3.html#group48H3", "48H³"), =HYPERLINK("CSG7.html#group48AD7", "48AD⁷"), =HYPERLINK("CSG7.html#group48T7", "48T⁷"), =HYPERLINK("CSG3.html#group48C3", "48C³"), =HYPERLINK("CSG0.html#group24A0", "24A⁰"), =HYPERLINK("CSG3.html#group48F3", "48F³"), =HYPERLINK("CSG0.html#group12D0", "12D⁰"), =HYPERLINK("CSG8.html#group48AC8", "48AC⁸"), =HYPERLINK("CSG0.html#group12H0", "12H⁰"), =HYPERLINK("CSG1.html#group24H1", "24H¹"), =HYPERLINK("CSG0.html#group6D0", "6D⁰")</f>
        <v/>
      </c>
      <c r="N4887" t="inlineStr"/>
    </row>
    <row r="4888">
      <c r="A4888" t="inlineStr">
        <is>
          <t>48BZ¹⁷</t>
        </is>
      </c>
      <c r="B4888" t="inlineStr"/>
      <c r="C4888" t="inlineStr">
        <is>
          <t>288</t>
        </is>
      </c>
      <c r="D4888" t="inlineStr">
        <is>
          <t>2</t>
        </is>
      </c>
      <c r="E4888" t="inlineStr">
        <is>
          <t>36</t>
        </is>
      </c>
      <c r="F4888" t="inlineStr">
        <is>
          <t>16</t>
        </is>
      </c>
      <c r="G4888" t="inlineStr">
        <is>
          <t>0</t>
        </is>
      </c>
      <c r="H4888" t="inlineStr">
        <is>
          <t>24⁴, 48⁴</t>
        </is>
      </c>
      <c r="I4888" t="n">
        <v>8</v>
      </c>
      <c r="J4888" t="inlineStr">
        <is>
          <t>4¹⁸</t>
        </is>
      </c>
      <c r="K4888">
        <f>HYPERLINK("CSG6.html#group24G6", "24G⁶"), =HYPERLINK("CSG7.html#group48U7", "48U⁷"), =HYPERLINK("CSG7.html#group48AJ7", "48AJ⁷"), =HYPERLINK("CSG8.html#group48R8", "48R⁸"), =HYPERLINK("CSG8.html#group48AE8", "48AE⁸"), =HYPERLINK("CSG8.html#group48AF8", "48AF⁸")</f>
        <v/>
      </c>
      <c r="L4888" t="inlineStr"/>
      <c r="M4888">
        <f>HYPERLINK("CSG0.html#group12C0", "12C⁰"), =HYPERLINK("CSG8.html#group48AF8", "48AF⁸"), =HYPERLINK("CSG8.html#group48R8", "48R⁸"), =HYPERLINK("CSG0.html#group8D0", "8D⁰"), =HYPERLINK("CSG0.html#group4C0", "4C⁰"), =HYPERLINK("CSG0.html#group8B0", "8B⁰"), =HYPERLINK("CSG2.html#group24Q2", "24Q²"), =HYPERLINK("CSG7.html#group48AJ7", "48AJ⁷"), =HYPERLINK("CSG0.html#group2B0", "2B⁰"), =HYPERLINK("CSG2.html#group24L2", "24L²"), =HYPERLINK("CSG0.html#group1A0", "1A⁰"), =HYPERLINK("CSG8.html#group48AE8", "48AE⁸"), =HYPERLINK("CSG3.html#group48H3", "48H³"), =HYPERLINK("CSG0.html#group8H0", "8H⁰"), =HYPERLINK("CSG6.html#group24G6", "24G⁶"), =HYPERLINK("CSG0.html#group12A0", "12A⁰"), =HYPERLINK("CSG0.html#group24A0", "24A⁰"), =HYPERLINK("CSG0.html#group4A0", "4A⁰"), =HYPERLINK("CSG0.html#group6D0", "6D⁰"), =HYPERLINK("CSG1.html#group24C1", "24C¹"), =HYPERLINK("CSG2.html#group48A2", "48A²"), =HYPERLINK("CSG1.html#group12J1", "12J¹"), =HYPERLINK("CSG0.html#group4F0", "4F⁰"), =HYPERLINK("CSG3.html#group48F3", "48F³"), =HYPERLINK("CSG0.html#group3A0", "3A⁰"), =HYPERLINK("CSG7.html#group48U7", "48U⁷")</f>
        <v/>
      </c>
      <c r="N4888" t="inlineStr"/>
    </row>
    <row r="4889">
      <c r="A4889" t="inlineStr">
        <is>
          <t>48CA¹⁷</t>
        </is>
      </c>
      <c r="B4889" t="inlineStr"/>
      <c r="C4889" t="inlineStr">
        <is>
          <t>288</t>
        </is>
      </c>
      <c r="D4889" t="inlineStr">
        <is>
          <t>2</t>
        </is>
      </c>
      <c r="E4889" t="inlineStr">
        <is>
          <t>36</t>
        </is>
      </c>
      <c r="F4889" t="inlineStr">
        <is>
          <t>16</t>
        </is>
      </c>
      <c r="G4889" t="inlineStr">
        <is>
          <t>0</t>
        </is>
      </c>
      <c r="H4889" t="inlineStr">
        <is>
          <t>24⁴, 48⁴</t>
        </is>
      </c>
      <c r="I4889" t="n">
        <v>8</v>
      </c>
      <c r="J4889" t="inlineStr">
        <is>
          <t>2⁸, 4¹⁰, 8²</t>
        </is>
      </c>
      <c r="K4889">
        <f>HYPERLINK("CSG5.html#group24Y5", "24Y⁵"), =HYPERLINK("CSG7.html#group48T7", "48T⁷"), =HYPERLINK("CSG7.html#group48AE7", "48AE⁷"), =HYPERLINK("CSG8.html#group48X8", "48X⁸"), =HYPERLINK("CSG8.html#group48AA8", "48AA⁸"), =HYPERLINK("CSG8.html#group48AC8", "48AC⁸"), =HYPERLINK("CSG8.html#group48AD8", "48AD⁸")</f>
        <v/>
      </c>
      <c r="L4889" t="inlineStr"/>
      <c r="M4889">
        <f>HYPERLINK("CSG0.html#group6B0", "6B⁰"), =HYPERLINK("CSG0.html#group12C0", "12C⁰"), =HYPERLINK("CSG0.html#group3A0", "3A⁰"), =HYPERLINK("CSG8.html#group48X8", "48X⁸"), =HYPERLINK("CSG0.html#group6H0", "6H⁰"), =HYPERLINK("CSG0.html#group4C0", "4C⁰"), =HYPERLINK("CSG1.html#group24D1", "24D¹"), =HYPERLINK("CSG0.html#group8B0", "8B⁰"), =HYPERLINK("CSG1.html#group16B1", "16B¹"), =HYPERLINK("CSG2.html#group24Q2", "24Q²"), =HYPERLINK("CSG5.html#group24Y5", "24Y⁵"), =HYPERLINK("CSG0.html#group2B0", "2B⁰"), =HYPERLINK("CSG0.html#group8L0", "8L⁰"), =HYPERLINK("CSG0.html#group1A0", "1A⁰"), =HYPERLINK("CSG8.html#group48AD8", "48AD⁸"), =HYPERLINK("CSG3.html#group48H3", "48H³"), =HYPERLINK("CSG8.html#group48AC8", "48AC⁸"), =HYPERLINK("CSG7.html#group48T7", "48T⁷"), =HYPERLINK("CSG3.html#group48C3", "48C³"), =HYPERLINK("CSG1.html#group16D1", "16D¹"), =HYPERLINK("CSG0.html#group24A0", "24A⁰"), =HYPERLINK("CSG3.html#group48E3", "48E³"), =HYPERLINK("CSG2.html#group16F2", "16F²"), =HYPERLINK("CSG0.html#group6D0", "6D⁰"), =HYPERLINK("CSG2.html#group24M2", "24M²"), =HYPERLINK("CSG3.html#group48F3", "48F³"), =HYPERLINK("CSG0.html#group12D0", "12D⁰"), =HYPERLINK("CSG7.html#group48AE7", "48AE⁷"), =HYPERLINK("CSG0.html#group12H0", "12H⁰"), =HYPERLINK("CSG1.html#group24H1", "24H¹"), =HYPERLINK("CSG8.html#group48AA8", "48AA⁸")</f>
        <v/>
      </c>
      <c r="N4889" t="inlineStr"/>
    </row>
    <row r="4890">
      <c r="A4890" t="inlineStr">
        <is>
          <t>48CB¹⁷</t>
        </is>
      </c>
      <c r="B4890" t="inlineStr"/>
      <c r="C4890" t="inlineStr">
        <is>
          <t>288</t>
        </is>
      </c>
      <c r="D4890" t="inlineStr">
        <is>
          <t>2</t>
        </is>
      </c>
      <c r="E4890" t="inlineStr">
        <is>
          <t>36</t>
        </is>
      </c>
      <c r="F4890" t="inlineStr">
        <is>
          <t>16</t>
        </is>
      </c>
      <c r="G4890" t="inlineStr">
        <is>
          <t>0</t>
        </is>
      </c>
      <c r="H4890" t="inlineStr">
        <is>
          <t>24⁴, 48⁴</t>
        </is>
      </c>
      <c r="I4890" t="n">
        <v>8</v>
      </c>
      <c r="J4890" t="inlineStr">
        <is>
          <t>2⁸, 4¹⁰, 8²</t>
        </is>
      </c>
      <c r="K4890">
        <f>HYPERLINK("CSG6.html#group24K6", "24K⁶"), =HYPERLINK("CSG7.html#group48V7", "48V⁷"), =HYPERLINK("CSG7.html#group48AF7", "48AF⁷"), =HYPERLINK("CSG7.html#group48AG7", "48AG⁷"), =HYPERLINK("CSG8.html#group48X8", "48X⁸"), =HYPERLINK("CSG8.html#group48AB8", "48AB⁸"), =HYPERLINK("CSG8.html#group48AC8", "48AC⁸")</f>
        <v/>
      </c>
      <c r="L4890" t="inlineStr"/>
      <c r="M4890">
        <f>HYPERLINK("CSG8.html#group48AB8", "48AB⁸"), =HYPERLINK("CSG7.html#group48AG7", "48AG⁷"), =HYPERLINK("CSG1.html#group24E1", "24E¹"), =HYPERLINK("CSG0.html#group12C0", "12C⁰"), =HYPERLINK("CSG8.html#group48X8", "48X⁸"), =HYPERLINK("CSG0.html#group4C0", "4C⁰"), =HYPERLINK("CSG0.html#group8B0", "8B⁰"), =HYPERLINK("CSG2.html#group24P2", "24P²"), =HYPERLINK("CSG2.html#group24Q2", "24Q²"), =HYPERLINK("CSG0.html#group2B0", "2B⁰"), =HYPERLINK("CSG1.html#group12M1", "12M¹"), =HYPERLINK("CSG1.html#group16B1", "16B¹"), =HYPERLINK("CSG0.html#group8L0", "8L⁰"), =HYPERLINK("CSG0.html#group1A0", "1A⁰"), =HYPERLINK("CSG3.html#group48H3", "48H³"), =HYPERLINK("CSG3.html#group48C3", "48C³"), =HYPERLINK("CSG7.html#group48V7", "48V⁷"), =HYPERLINK("CSG1.html#group16D1", "16D¹"), =HYPERLINK("CSG3.html#group48E3", "48E³"), =HYPERLINK("CSG0.html#group24A0", "24A⁰"), =HYPERLINK("CSG2.html#group16F2", "16F²"), =HYPERLINK("CSG2.html#group24M2", "24M²"), =HYPERLINK("CSG2.html#group48A2", "48A²"), =HYPERLINK("CSG6.html#group24K6", "24K⁶"), =HYPERLINK("CSG8.html#group48AC8", "48AC⁸"), =HYPERLINK("CSG0.html#group3A0", "3A⁰"), =HYPERLINK("CSG7.html#group48AF7", "48AF⁷"), =HYPERLINK("CSG0.html#group6D0", "6D⁰")</f>
        <v/>
      </c>
      <c r="N4890" t="inlineStr"/>
    </row>
    <row r="4891">
      <c r="A4891" t="inlineStr">
        <is>
          <t>48CC¹⁷</t>
        </is>
      </c>
      <c r="B4891" t="inlineStr"/>
      <c r="C4891" t="inlineStr">
        <is>
          <t>288</t>
        </is>
      </c>
      <c r="D4891" t="inlineStr">
        <is>
          <t>2</t>
        </is>
      </c>
      <c r="E4891" t="inlineStr">
        <is>
          <t>36</t>
        </is>
      </c>
      <c r="F4891" t="inlineStr">
        <is>
          <t>16</t>
        </is>
      </c>
      <c r="G4891" t="inlineStr">
        <is>
          <t>0</t>
        </is>
      </c>
      <c r="H4891" t="inlineStr">
        <is>
          <t>24⁴, 48⁴</t>
        </is>
      </c>
      <c r="I4891" t="n">
        <v>8</v>
      </c>
      <c r="J4891" t="inlineStr">
        <is>
          <t>2¹², 4⁶, 8³</t>
        </is>
      </c>
      <c r="K4891">
        <f>HYPERLINK("CSG5.html#group24X5", "24X⁵"), =HYPERLINK("CSG7.html#group48AE7", "48AE⁷"), =HYPERLINK("CSG7.html#group48AG7", "48AG⁷"), =HYPERLINK("CSG7.html#group48AH7", "48AH⁷"), =HYPERLINK("CSG7.html#group48AJ7", "48AJ⁷"), =HYPERLINK("CSG9.html#group48Y9", "48Y⁹"), =HYPERLINK("CSG9.html#group48AE9", "48AE⁹")</f>
        <v/>
      </c>
      <c r="L4891" t="inlineStr"/>
      <c r="M4891">
        <f>HYPERLINK("CSG5.html#group24X5", "24X⁵"), =HYPERLINK("CSG7.html#group48AG7", "48AG⁷"), =HYPERLINK("CSG7.html#group48AH7", "48AH⁷"), =HYPERLINK("CSG0.html#group6B0", "6B⁰"), =HYPERLINK("CSG0.html#group12C0", "12C⁰"), =HYPERLINK("CSG0.html#group3A0", "3A⁰"), =HYPERLINK("CSG0.html#group6H0", "6H⁰"), =HYPERLINK("CSG0.html#group4C0", "4C⁰"), =HYPERLINK("CSG1.html#group24D1", "24D¹"), =HYPERLINK("CSG0.html#group8B0", "8B⁰"), =HYPERLINK("CSG2.html#group24Q2", "24Q²"), =HYPERLINK("CSG7.html#group48AJ7", "48AJ⁷"), =HYPERLINK("CSG0.html#group2B0", "2B⁰"), =HYPERLINK("CSG0.html#group1A0", "1A⁰"), =HYPERLINK("CSG3.html#group48H3", "48H³"), =HYPERLINK("CSG4.html#group48C4", "48C⁴"), =HYPERLINK("CSG9.html#group48Y9", "48Y⁹"), =HYPERLINK("CSG1.html#group16D1", "16D¹"), =HYPERLINK("CSG0.html#group24A0", "24A⁰"), =HYPERLINK("CSG3.html#group48E3", "48E³"), =HYPERLINK("CSG9.html#group48AE9", "48AE⁹"), =HYPERLINK("CSG2.html#group48A2", "48A²"), =HYPERLINK("CSG0.html#group12D0", "12D⁰"), =HYPERLINK("CSG7.html#group48AE7", "48AE⁷"), =HYPERLINK("CSG0.html#group12H0", "12H⁰"), =HYPERLINK("CSG1.html#group24H1", "24H¹"), =HYPERLINK("CSG0.html#group6D0", "6D⁰")</f>
        <v/>
      </c>
      <c r="N4891" t="inlineStr"/>
    </row>
    <row r="4892">
      <c r="A4892" t="inlineStr">
        <is>
          <t>48CD¹⁷</t>
        </is>
      </c>
      <c r="B4892" t="inlineStr"/>
      <c r="C4892" t="inlineStr">
        <is>
          <t>288</t>
        </is>
      </c>
      <c r="D4892" t="inlineStr">
        <is>
          <t>2</t>
        </is>
      </c>
      <c r="E4892" t="inlineStr">
        <is>
          <t>36</t>
        </is>
      </c>
      <c r="F4892" t="inlineStr">
        <is>
          <t>16</t>
        </is>
      </c>
      <c r="G4892" t="inlineStr">
        <is>
          <t>0</t>
        </is>
      </c>
      <c r="H4892" t="inlineStr">
        <is>
          <t>24⁴, 48⁴</t>
        </is>
      </c>
      <c r="I4892" t="n">
        <v>8</v>
      </c>
      <c r="J4892" t="inlineStr">
        <is>
          <t>2¹², 4⁶, 8³</t>
        </is>
      </c>
      <c r="K4892">
        <f>HYPERLINK("CSG5.html#group24Y5", "24Y⁵"), =HYPERLINK("CSG7.html#group48AD7", "48AD⁷"), =HYPERLINK("CSG7.html#group48AF7", "48AF⁷"), =HYPERLINK("CSG7.html#group48AH7", "48AH⁷"), =HYPERLINK("CSG7.html#group48AJ7", "48AJ⁷"), =HYPERLINK("CSG9.html#group48X9", "48X⁹"), =HYPERLINK("CSG9.html#group48AE9", "48AE⁹")</f>
        <v/>
      </c>
      <c r="L4892" t="inlineStr"/>
      <c r="M4892">
        <f>HYPERLINK("CSG7.html#group48AH7", "48AH⁷"), =HYPERLINK("CSG0.html#group6B0", "6B⁰"), =HYPERLINK("CSG0.html#group12C0", "12C⁰"), =HYPERLINK("CSG0.html#group3A0", "3A⁰"), =HYPERLINK("CSG0.html#group4C0", "4C⁰"), =HYPERLINK("CSG1.html#group24D1", "24D¹"), =HYPERLINK("CSG0.html#group8B0", "8B⁰"), =HYPERLINK("CSG2.html#group24Q2", "24Q²"), =HYPERLINK("CSG7.html#group48AJ7", "48AJ⁷"), =HYPERLINK("CSG5.html#group24Y5", "24Y⁵"), =HYPERLINK("CSG0.html#group2B0", "2B⁰"), =HYPERLINK("CSG0.html#group8L0", "8L⁰"), =HYPERLINK("CSG0.html#group1A0", "1A⁰"), =HYPERLINK("CSG3.html#group48H3", "48H³"), =HYPERLINK("CSG7.html#group48AD7", "48AD⁷"), =HYPERLINK("CSG4.html#group48C4", "48C⁴"), =HYPERLINK("CSG0.html#group24A0", "24A⁰"), =HYPERLINK("CSG2.html#group24M2", "24M²"), =HYPERLINK("CSG9.html#group48X9", "48X⁹"), =HYPERLINK("CSG9.html#group48AE9", "48AE⁹"), =HYPERLINK("CSG2.html#group48A2", "48A²"), =HYPERLINK("CSG0.html#group12D0", "12D⁰"), =HYPERLINK("CSG0.html#group6H0", "6H⁰"), =HYPERLINK("CSG0.html#group12H0", "12H⁰"), =HYPERLINK("CSG1.html#group24H1", "24H¹"), =HYPERLINK("CSG7.html#group48AF7", "48AF⁷"), =HYPERLINK("CSG0.html#group6D0", "6D⁰")</f>
        <v/>
      </c>
      <c r="N4892" t="inlineStr"/>
    </row>
    <row r="4893">
      <c r="A4893" t="inlineStr">
        <is>
          <t>48CE¹⁷</t>
        </is>
      </c>
      <c r="B4893" t="inlineStr"/>
      <c r="C4893" t="inlineStr">
        <is>
          <t>288</t>
        </is>
      </c>
      <c r="D4893" t="inlineStr">
        <is>
          <t>2</t>
        </is>
      </c>
      <c r="E4893" t="inlineStr">
        <is>
          <t>36</t>
        </is>
      </c>
      <c r="F4893" t="inlineStr">
        <is>
          <t>16</t>
        </is>
      </c>
      <c r="G4893" t="inlineStr">
        <is>
          <t>0</t>
        </is>
      </c>
      <c r="H4893" t="inlineStr">
        <is>
          <t>24⁴, 48⁴</t>
        </is>
      </c>
      <c r="I4893" t="n">
        <v>8</v>
      </c>
      <c r="J4893" t="inlineStr">
        <is>
          <t>4²⁴, 8⁶</t>
        </is>
      </c>
      <c r="K4893">
        <f>HYPERLINK("CSG6.html#group24H6", "24H⁶"), =HYPERLINK("CSG7.html#group48AG7", "48AG⁷"), =HYPERLINK("CSG7.html#group48AI7", "48AI⁷"), =HYPERLINK("CSG7.html#group48AJ7", "48AJ⁷"), =HYPERLINK("CSG8.html#group48AB8", "48AB⁸"), =HYPERLINK("CSG8.html#group48AD8", "48AD⁸"), =HYPERLINK("CSG8.html#group48AE8", "48AE⁸")</f>
        <v/>
      </c>
      <c r="L4893" t="inlineStr"/>
      <c r="M4893">
        <f>HYPERLINK("CSG8.html#group48AB8", "48AB⁸"), =HYPERLINK("CSG7.html#group48AG7", "48AG⁷"), =HYPERLINK("CSG7.html#group48AI7", "48AI⁷"), =HYPERLINK("CSG1.html#group24E1", "24E¹"), =HYPERLINK("CSG0.html#group12C0", "12C⁰"), =HYPERLINK("CSG0.html#group4C0", "4C⁰"), =HYPERLINK("CSG0.html#group8B0", "8B⁰"), =HYPERLINK("CSG2.html#group24P2", "24P²"), =HYPERLINK("CSG7.html#group48AJ7", "48AJ⁷"), =HYPERLINK("CSG0.html#group2B0", "2B⁰"), =HYPERLINK("CSG1.html#group12M1", "12M¹"), =HYPERLINK("CSG2.html#group24Q2", "24Q²"), =HYPERLINK("CSG0.html#group1A0", "1A⁰"), =HYPERLINK("CSG8.html#group48AD8", "48AD⁸"), =HYPERLINK("CSG8.html#group48AE8", "48AE⁸"), =HYPERLINK("CSG3.html#group48H3", "48H³"), =HYPERLINK("CSG1.html#group16D1", "16D¹"), =HYPERLINK("CSG3.html#group48E3", "48E³"), =HYPERLINK("CSG0.html#group24A0", "24A⁰"), =HYPERLINK("CSG6.html#group24H6", "24H⁶"), =HYPERLINK("CSG2.html#group48A2", "48A²"), =HYPERLINK("CSG3.html#group48F3", "48F³"), =HYPERLINK("CSG0.html#group3A0", "3A⁰"), =HYPERLINK("CSG0.html#group6D0", "6D⁰")</f>
        <v/>
      </c>
      <c r="N4893" t="inlineStr"/>
    </row>
    <row r="4894">
      <c r="A4894" t="inlineStr">
        <is>
          <t>48CF¹⁷</t>
        </is>
      </c>
      <c r="B4894" t="inlineStr"/>
      <c r="C4894" t="inlineStr">
        <is>
          <t>288</t>
        </is>
      </c>
      <c r="D4894" t="inlineStr">
        <is>
          <t>2</t>
        </is>
      </c>
      <c r="E4894" t="inlineStr">
        <is>
          <t>36</t>
        </is>
      </c>
      <c r="F4894" t="inlineStr">
        <is>
          <t>16</t>
        </is>
      </c>
      <c r="G4894" t="inlineStr">
        <is>
          <t>0</t>
        </is>
      </c>
      <c r="H4894" t="inlineStr">
        <is>
          <t>24⁴, 48⁴</t>
        </is>
      </c>
      <c r="I4894" t="n">
        <v>8</v>
      </c>
      <c r="J4894" t="inlineStr">
        <is>
          <t>4²⁴, 8⁶</t>
        </is>
      </c>
      <c r="K4894">
        <f>HYPERLINK("CSG6.html#group24I6", "24I⁶"), =HYPERLINK("CSG7.html#group48AG7", "48AG⁷"), =HYPERLINK("CSG7.html#group48AI7", "48AI⁷"), =HYPERLINK("CSG7.html#group48AJ7", "48AJ⁷"), =HYPERLINK("CSG8.html#group48AB8", "48AB⁸"), =HYPERLINK("CSG8.html#group48AD8", "48AD⁸"), =HYPERLINK("CSG8.html#group48AF8", "48AF⁸")</f>
        <v/>
      </c>
      <c r="L4894" t="inlineStr"/>
      <c r="M4894">
        <f>HYPERLINK("CSG8.html#group48AB8", "48AB⁸"), =HYPERLINK("CSG7.html#group48AG7", "48AG⁷"), =HYPERLINK("CSG7.html#group48AI7", "48AI⁷"), =HYPERLINK("CSG6.html#group24I6", "24I⁶"), =HYPERLINK("CSG1.html#group24E1", "24E¹"), =HYPERLINK("CSG0.html#group12C0", "12C⁰"), =HYPERLINK("CSG8.html#group48AF8", "48AF⁸"), =HYPERLINK("CSG0.html#group4C0", "4C⁰"), =HYPERLINK("CSG0.html#group8B0", "8B⁰"), =HYPERLINK("CSG2.html#group24P2", "24P²"), =HYPERLINK("CSG7.html#group48AJ7", "48AJ⁷"), =HYPERLINK("CSG0.html#group2B0", "2B⁰"), =HYPERLINK("CSG1.html#group12M1", "12M¹"), =HYPERLINK("CSG2.html#group24Q2", "24Q²"), =HYPERLINK("CSG0.html#group1A0", "1A⁰"), =HYPERLINK("CSG8.html#group48AD8", "48AD⁸"), =HYPERLINK("CSG3.html#group48H3", "48H³"), =HYPERLINK("CSG1.html#group16D1", "16D¹"), =HYPERLINK("CSG3.html#group48E3", "48E³"), =HYPERLINK("CSG0.html#group24A0", "24A⁰"), =HYPERLINK("CSG2.html#group48A2", "48A²"), =HYPERLINK("CSG3.html#group48F3", "48F³"), =HYPERLINK("CSG0.html#group3A0", "3A⁰"), =HYPERLINK("CSG0.html#group6D0", "6D⁰")</f>
        <v/>
      </c>
      <c r="N4894" t="inlineStr"/>
    </row>
    <row r="4895">
      <c r="A4895" t="inlineStr">
        <is>
          <t>48CG¹⁷</t>
        </is>
      </c>
      <c r="B4895" t="inlineStr"/>
      <c r="C4895" t="inlineStr">
        <is>
          <t>288</t>
        </is>
      </c>
      <c r="D4895" t="inlineStr">
        <is>
          <t>2</t>
        </is>
      </c>
      <c r="E4895" t="inlineStr">
        <is>
          <t>36</t>
        </is>
      </c>
      <c r="F4895" t="inlineStr">
        <is>
          <t>16</t>
        </is>
      </c>
      <c r="G4895" t="inlineStr">
        <is>
          <t>0</t>
        </is>
      </c>
      <c r="H4895" t="inlineStr">
        <is>
          <t>24⁴, 48⁴</t>
        </is>
      </c>
      <c r="I4895" t="n">
        <v>8</v>
      </c>
      <c r="J4895" t="inlineStr">
        <is>
          <t>4²⁴, 8⁶</t>
        </is>
      </c>
      <c r="K4895">
        <f>HYPERLINK("CSG6.html#group24K6", "24K⁶"), =HYPERLINK("CSG7.html#group48AF7", "48AF⁷"), =HYPERLINK("CSG7.html#group48AI7", "48AI⁷"), =HYPERLINK("CSG7.html#group48AJ7", "48AJ⁷"), =HYPERLINK("CSG8.html#group48S8", "48S⁸"), =HYPERLINK("CSG8.html#group48AA8", "48AA⁸"), =HYPERLINK("CSG8.html#group48AE8", "48AE⁸")</f>
        <v/>
      </c>
      <c r="L4895" t="inlineStr"/>
      <c r="M4895">
        <f>HYPERLINK("CSG7.html#group48AI7", "48AI⁷"), =HYPERLINK("CSG1.html#group24E1", "24E¹"), =HYPERLINK("CSG0.html#group12C0", "12C⁰"), =HYPERLINK("CSG0.html#group4C0", "4C⁰"), =HYPERLINK("CSG0.html#group8B0", "8B⁰"), =HYPERLINK("CSG2.html#group24P2", "24P²"), =HYPERLINK("CSG7.html#group48AJ7", "48AJ⁷"), =HYPERLINK("CSG1.html#group12M1", "12M¹"), =HYPERLINK("CSG0.html#group2B0", "2B⁰"), =HYPERLINK("CSG0.html#group8L0", "8L⁰"), =HYPERLINK("CSG2.html#group24Q2", "24Q²"), =HYPERLINK("CSG0.html#group1A0", "1A⁰"), =HYPERLINK("CSG8.html#group48AE8", "48AE⁸"), =HYPERLINK("CSG3.html#group48H3", "48H³"), =HYPERLINK("CSG8.html#group48S8", "48S⁸"), =HYPERLINK("CSG0.html#group24A0", "24A⁰"), =HYPERLINK("CSG0.html#group6D0", "6D⁰"), =HYPERLINK("CSG2.html#group24M2", "24M²"), =HYPERLINK("CSG2.html#group48A2", "48A²"), =HYPERLINK("CSG6.html#group24K6", "24K⁶"), =HYPERLINK("CSG3.html#group48F3", "48F³"), =HYPERLINK("CSG0.html#group3A0", "3A⁰"), =HYPERLINK("CSG7.html#group48AF7", "48AF⁷"), =HYPERLINK("CSG8.html#group48AA8", "48AA⁸")</f>
        <v/>
      </c>
      <c r="N4895" t="inlineStr"/>
    </row>
    <row r="4896">
      <c r="A4896" t="inlineStr">
        <is>
          <t>48CH¹⁷</t>
        </is>
      </c>
      <c r="B4896" t="inlineStr"/>
      <c r="C4896" t="inlineStr">
        <is>
          <t>288</t>
        </is>
      </c>
      <c r="D4896" t="inlineStr">
        <is>
          <t>2</t>
        </is>
      </c>
      <c r="E4896" t="inlineStr">
        <is>
          <t>36</t>
        </is>
      </c>
      <c r="F4896" t="inlineStr">
        <is>
          <t>16</t>
        </is>
      </c>
      <c r="G4896" t="inlineStr">
        <is>
          <t>0</t>
        </is>
      </c>
      <c r="H4896" t="inlineStr">
        <is>
          <t>24⁴, 48⁴</t>
        </is>
      </c>
      <c r="I4896" t="n">
        <v>8</v>
      </c>
      <c r="J4896" t="inlineStr">
        <is>
          <t>4²⁴, 8⁶</t>
        </is>
      </c>
      <c r="K4896">
        <f>HYPERLINK("CSG6.html#group24K6", "24K⁶"), =HYPERLINK("CSG7.html#group48AF7", "48AF⁷"), =HYPERLINK("CSG7.html#group48AI7", "48AI⁷"), =HYPERLINK("CSG7.html#group48AJ7", "48AJ⁷"), =HYPERLINK("CSG8.html#group48T8", "48T⁸"), =HYPERLINK("CSG8.html#group48AA8", "48AA⁸"), =HYPERLINK("CSG8.html#group48AF8", "48AF⁸")</f>
        <v/>
      </c>
      <c r="L4896" t="inlineStr"/>
      <c r="M4896">
        <f>HYPERLINK("CSG7.html#group48AI7", "48AI⁷"), =HYPERLINK("CSG1.html#group24E1", "24E¹"), =HYPERLINK("CSG0.html#group12C0", "12C⁰"), =HYPERLINK("CSG8.html#group48AF8", "48AF⁸"), =HYPERLINK("CSG0.html#group4C0", "4C⁰"), =HYPERLINK("CSG0.html#group8B0", "8B⁰"), =HYPERLINK("CSG8.html#group48T8", "48T⁸"), =HYPERLINK("CSG2.html#group24P2", "24P²"), =HYPERLINK("CSG7.html#group48AJ7", "48AJ⁷"), =HYPERLINK("CSG1.html#group12M1", "12M¹"), =HYPERLINK("CSG0.html#group2B0", "2B⁰"), =HYPERLINK("CSG2.html#group24Q2", "24Q²"), =HYPERLINK("CSG0.html#group8L0", "8L⁰"), =HYPERLINK("CSG0.html#group1A0", "1A⁰"), =HYPERLINK("CSG3.html#group48H3", "48H³"), =HYPERLINK("CSG0.html#group24A0", "24A⁰"), =HYPERLINK("CSG0.html#group6D0", "6D⁰"), =HYPERLINK("CSG2.html#group24M2", "24M²"), =HYPERLINK("CSG2.html#group48A2", "48A²"), =HYPERLINK("CSG6.html#group24K6", "24K⁶"), =HYPERLINK("CSG3.html#group48F3", "48F³"), =HYPERLINK("CSG0.html#group3A0", "3A⁰"), =HYPERLINK("CSG7.html#group48AF7", "48AF⁷"), =HYPERLINK("CSG8.html#group48AA8", "48AA⁸")</f>
        <v/>
      </c>
      <c r="N4896" t="inlineStr"/>
    </row>
    <row r="4897">
      <c r="A4897" t="inlineStr">
        <is>
          <t>48CI¹⁷</t>
        </is>
      </c>
      <c r="B4897" t="inlineStr"/>
      <c r="C4897" t="inlineStr">
        <is>
          <t>288</t>
        </is>
      </c>
      <c r="D4897" t="inlineStr">
        <is>
          <t>2</t>
        </is>
      </c>
      <c r="E4897" t="inlineStr">
        <is>
          <t>72</t>
        </is>
      </c>
      <c r="F4897" t="inlineStr">
        <is>
          <t>8</t>
        </is>
      </c>
      <c r="G4897" t="inlineStr">
        <is>
          <t>0</t>
        </is>
      </c>
      <c r="H4897" t="inlineStr">
        <is>
          <t>12⁸, 48⁴</t>
        </is>
      </c>
      <c r="I4897" t="n">
        <v>12</v>
      </c>
      <c r="J4897" t="inlineStr">
        <is>
          <t>4¹², 8¹²</t>
        </is>
      </c>
      <c r="K4897">
        <f>HYPERLINK("CSG6.html#group48K6", "48K⁶"), =HYPERLINK("CSG7.html#group24AE7", "24AE⁷"), =HYPERLINK("CSG8.html#group48W8", "48W⁸")</f>
        <v/>
      </c>
      <c r="L4897" t="inlineStr"/>
      <c r="M4897">
        <f>HYPERLINK("CSG2.html#group12I2", "12I²"), =HYPERLINK("CSG1.html#group24E1", "24E¹"), =HYPERLINK("CSG0.html#group12C0", "12C⁰"), =HYPERLINK("CSG4.html#group24P4", "24P⁴"), =HYPERLINK("CSG0.html#group4C0", "4C⁰"), =HYPERLINK("CSG0.html#group2B0", "2B⁰"), =HYPERLINK("CSG1.html#group12M1", "12M¹"), =HYPERLINK("CSG3.html#group24P3", "24P³"), =HYPERLINK("CSG2.html#group24C2", "24C²"), =HYPERLINK("CSG6.html#group48K6", "48K⁶"), =HYPERLINK("CSG0.html#group1A0", "1A⁰"), =HYPERLINK("CSG7.html#group24AE7", "24AE⁷"), =HYPERLINK("CSG3.html#group24S3", "24S³"), =HYPERLINK("CSG3.html#group24T3", "24T³"), =HYPERLINK("CSG0.html#group6H0", "6H⁰"), =HYPERLINK("CSG0.html#group3A0", "3A⁰"), =HYPERLINK("CSG0.html#group6B0", "6B⁰"), =HYPERLINK("CSG2.html#group24N2", "24N²"), =HYPERLINK("CSG8.html#group48W8", "48W⁸"), =HYPERLINK("CSG1.html#group24D1", "24D¹"), =HYPERLINK("CSG0.html#group12F0", "12F⁰"), =HYPERLINK("CSG0.html#group12A0", "12A⁰"), =HYPERLINK("CSG0.html#group4A0", "4A⁰"), =HYPERLINK("CSG4.html#group24K4", "24K⁴"), =HYPERLINK("CSG1.html#group12J1", "12J¹"), =HYPERLINK("CSG0.html#group12D0", "12D⁰"), =HYPERLINK("CSG0.html#group4F0", "4F⁰"), =HYPERLINK("CSG0.html#group12H0", "12H⁰"), =HYPERLINK("CSG0.html#group6D0", "6D⁰")</f>
        <v/>
      </c>
      <c r="N4897" t="inlineStr"/>
    </row>
    <row r="4898">
      <c r="A4898" t="inlineStr">
        <is>
          <t>48CJ¹⁷</t>
        </is>
      </c>
      <c r="B4898" t="inlineStr"/>
      <c r="C4898" t="inlineStr">
        <is>
          <t>384</t>
        </is>
      </c>
      <c r="D4898" t="inlineStr">
        <is>
          <t>1</t>
        </is>
      </c>
      <c r="E4898" t="inlineStr">
        <is>
          <t>24</t>
        </is>
      </c>
      <c r="F4898" t="inlineStr">
        <is>
          <t>0</t>
        </is>
      </c>
      <c r="G4898" t="inlineStr">
        <is>
          <t>0</t>
        </is>
      </c>
      <c r="H4898" t="inlineStr">
        <is>
          <t>2⁸, 4⁴, 6⁸, 12⁴, 16⁴, 48⁴</t>
        </is>
      </c>
      <c r="I4898" t="n">
        <v>32</v>
      </c>
      <c r="J4898" t="inlineStr">
        <is>
          <t>1⁸, 2⁶, 4¹</t>
        </is>
      </c>
      <c r="K4898">
        <f>HYPERLINK("CSG7.html#group24AH7", "24AH⁷"), =HYPERLINK("CSG7.html#group48AK7", "48AK⁷"), =HYPERLINK("CSG7.html#group48AN7", "48AN⁷"), =HYPERLINK("CSG9.html#group48AK9", "48AK⁹"), =HYPERLINK("CSG9.html#group48AL9", "48AL⁹")</f>
        <v/>
      </c>
      <c r="L4898" t="inlineStr"/>
      <c r="M4898">
        <f>HYPERLINK("CSG0.html#group2A0", "2A⁰"), =HYPERLINK("CSG9.html#group48AL9", "48AL⁹"), =HYPERLINK("CSG3.html#group24V3", "24V³"), =HYPERLINK("CSG1.html#group24G1", "24G¹"), =HYPERLINK("CSG0.html#group4C0", "4C⁰"), =HYPERLINK("CSG7.html#group24AH7", "24AH⁷"), =HYPERLINK("CSG1.html#group16A1", "16A¹"), =HYPERLINK("CSG0.html#group8C0", "8C⁰"), =HYPERLINK("CSG0.html#group2B0", "2B⁰"), =HYPERLINK("CSG0.html#group4E0", "4E⁰"), =HYPERLINK("CSG0.html#group4B0", "4B⁰"), =HYPERLINK("CSG0.html#group1A0", "1A⁰"), =HYPERLINK("CSG7.html#group48AN7", "48AN⁷"), =HYPERLINK("CSG0.html#group8G0", "8G⁰"), =HYPERLINK("CSG3.html#group48J3", "48J³"), =HYPERLINK("CSG0.html#group16C0", "16C⁰"), =HYPERLINK("CSG9.html#group48AK9", "48AK⁹"), =HYPERLINK("CSG0.html#group6F0", "6F⁰"), =HYPERLINK("CSG0.html#group3B0", "3B⁰"), =HYPERLINK("CSG3.html#group24Z3", "24Z³"), =HYPERLINK("CSG0.html#group8D0", "8D⁰"), =HYPERLINK("CSG1.html#group12F1", "12F¹"), =HYPERLINK("CSG3.html#group48K3", "48K³"), =HYPERLINK("CSG0.html#group6I0", "6I⁰"), =HYPERLINK("CSG0.html#group6C0", "6C⁰"), =HYPERLINK("CSG1.html#group16E1", "16E¹"), =HYPERLINK("CSG1.html#group12P1", "12P¹"), =HYPERLINK("CSG7.html#group48AK7", "48AK⁷"), =HYPERLINK("CSG3.html#group24X3", "24X³"), =HYPERLINK("CSG2.html#group24I2", "24I²"), =HYPERLINK("CSG5.html#group48D5", "48D⁵"), =HYPERLINK("CSG0.html#group2C0", "2C⁰"), =HYPERLINK("CSG0.html#group12E0", "12E⁰")</f>
        <v/>
      </c>
      <c r="N4898" t="inlineStr"/>
    </row>
    <row r="4899">
      <c r="A4899" t="inlineStr">
        <is>
          <t>48CK¹⁷</t>
        </is>
      </c>
      <c r="B4899" t="inlineStr"/>
      <c r="C4899" t="inlineStr">
        <is>
          <t>384</t>
        </is>
      </c>
      <c r="D4899" t="inlineStr">
        <is>
          <t>1</t>
        </is>
      </c>
      <c r="E4899" t="inlineStr">
        <is>
          <t>24</t>
        </is>
      </c>
      <c r="F4899" t="inlineStr">
        <is>
          <t>0</t>
        </is>
      </c>
      <c r="G4899" t="inlineStr">
        <is>
          <t>0</t>
        </is>
      </c>
      <c r="H4899" t="inlineStr">
        <is>
          <t>2⁸, 4⁴, 6⁸, 12⁴, 16⁴, 48⁴</t>
        </is>
      </c>
      <c r="I4899" t="n">
        <v>32</v>
      </c>
      <c r="J4899" t="inlineStr">
        <is>
          <t>1⁸, 2⁶, 4¹</t>
        </is>
      </c>
      <c r="K4899">
        <f>HYPERLINK("CSG7.html#group24AH7", "24AH⁷"), =HYPERLINK("CSG7.html#group48AL7", "48AL⁷"), =HYPERLINK("CSG7.html#group48AM7", "48AM⁷"), =HYPERLINK("CSG9.html#group48AH9", "48AH⁹"), =HYPERLINK("CSG9.html#group48AM9", "48AM⁹")</f>
        <v/>
      </c>
      <c r="L4899" t="inlineStr"/>
      <c r="M4899">
        <f>HYPERLINK("CSG5.html#group48C5", "48C⁵"), =HYPERLINK("CSG0.html#group16G0", "16G⁰"), =HYPERLINK("CSG0.html#group2A0", "2A⁰"), =HYPERLINK("CSG0.html#group3B0", "3B⁰"), =HYPERLINK("CSG3.html#group24V3", "24V³"), =HYPERLINK("CSG3.html#group24Z3", "24Z³"), =HYPERLINK("CSG0.html#group8D0", "8D⁰"), =HYPERLINK("CSG1.html#group12F1", "12F¹"), =HYPERLINK("CSG0.html#group6I0", "6I⁰"), =HYPERLINK("CSG1.html#group24G1", "24G¹"), =HYPERLINK("CSG0.html#group4C0", "4C⁰"), =HYPERLINK("CSG0.html#group6C0", "6C⁰"), =HYPERLINK("CSG7.html#group24AH7", "24AH⁷"), =HYPERLINK("CSG0.html#group8C0", "8C⁰"), =HYPERLINK("CSG0.html#group4E0", "4E⁰"), =HYPERLINK("CSG0.html#group2B0", "2B⁰"), =HYPERLINK("CSG1.html#group12P1", "12P¹"), =HYPERLINK("CSG0.html#group4B0", "4B⁰"), =HYPERLINK("CSG9.html#group48AM9", "48AM⁹"), =HYPERLINK("CSG0.html#group1A0", "1A⁰"), =HYPERLINK("CSG0.html#group16E0", "16E⁰"), =HYPERLINK("CSG3.html#group24X3", "24X³"), =HYPERLINK("CSG7.html#group48AL7", "48AL⁷"), =HYPERLINK("CSG9.html#group48AH9", "48AH⁹"), =HYPERLINK("CSG2.html#group24I2", "24I²"), =HYPERLINK("CSG0.html#group8G0", "8G⁰"), =HYPERLINK("CSG4.html#group48J4", "48J⁴"), =HYPERLINK("CSG7.html#group48AM7", "48AM⁷"), =HYPERLINK("CSG0.html#group16D0", "16D⁰"), =HYPERLINK("CSG3.html#group48I3", "48I³"), =HYPERLINK("CSG0.html#group6F0", "6F⁰"), =HYPERLINK("CSG0.html#group2C0", "2C⁰"), =HYPERLINK("CSG0.html#group12E0", "12E⁰"), =HYPERLINK("CSG3.html#group48L3", "48L³")</f>
        <v/>
      </c>
      <c r="N4899" t="inlineStr"/>
    </row>
    <row r="4900">
      <c r="A4900" t="inlineStr">
        <is>
          <t>48CL¹⁷</t>
        </is>
      </c>
      <c r="B4900" t="inlineStr"/>
      <c r="C4900" t="inlineStr">
        <is>
          <t>384</t>
        </is>
      </c>
      <c r="D4900" t="inlineStr">
        <is>
          <t>1</t>
        </is>
      </c>
      <c r="E4900" t="inlineStr">
        <is>
          <t>24</t>
        </is>
      </c>
      <c r="F4900" t="inlineStr">
        <is>
          <t>0</t>
        </is>
      </c>
      <c r="G4900" t="inlineStr">
        <is>
          <t>0</t>
        </is>
      </c>
      <c r="H4900" t="inlineStr">
        <is>
          <t>2⁸, 4⁴, 6⁸, 12⁴, 16⁴, 48⁴</t>
        </is>
      </c>
      <c r="I4900" t="n">
        <v>32</v>
      </c>
      <c r="J4900" t="inlineStr">
        <is>
          <t>1⁸, 2⁶, 4¹</t>
        </is>
      </c>
      <c r="K4900">
        <f>HYPERLINK("CSG7.html#group24AI7", "24AI⁷"), =HYPERLINK("CSG7.html#group48AK7", "48AK⁷"), =HYPERLINK("CSG7.html#group48AO7", "48AO⁷"), =HYPERLINK("CSG9.html#group48AH9", "48AH⁹"), =HYPERLINK("CSG9.html#group48AN9", "48AN⁹")</f>
        <v/>
      </c>
      <c r="L4900" t="inlineStr"/>
      <c r="M4900">
        <f>HYPERLINK("CSG0.html#group2A0", "2A⁰"), =HYPERLINK("CSG3.html#group24V3", "24V³"), =HYPERLINK("CSG7.html#group24AI7", "24AI⁷"), =HYPERLINK("CSG3.html#group24AA3", "24AA³"), =HYPERLINK("CSG1.html#group24G1", "24G¹"), =HYPERLINK("CSG0.html#group4C0", "4C⁰"), =HYPERLINK("CSG0.html#group8C0", "8C⁰"), =HYPERLINK("CSG0.html#group2B0", "2B⁰"), =HYPERLINK("CSG0.html#group4E0", "4E⁰"), =HYPERLINK("CSG0.html#group4B0", "4B⁰"), =HYPERLINK("CSG0.html#group1A0", "1A⁰"), =HYPERLINK("CSG9.html#group48AH9", "48AH⁹"), =HYPERLINK("CSG0.html#group8G0", "8G⁰"), =HYPERLINK("CSG3.html#group48I3", "48I³"), =HYPERLINK("CSG0.html#group6F0", "6F⁰"), =HYPERLINK("CSG5.html#group48C5", "48C⁵"), =HYPERLINK("CSG0.html#group3B0", "3B⁰"), =HYPERLINK("CSG0.html#group8D0", "8D⁰"), =HYPERLINK("CSG1.html#group12F1", "12F¹"), =HYPERLINK("CSG3.html#group48K3", "48K³"), =HYPERLINK("CSG0.html#group6I0", "6I⁰"), =HYPERLINK("CSG0.html#group6C0", "6C⁰"), =HYPERLINK("CSG7.html#group48AO7", "48AO⁷"), =HYPERLINK("CSG0.html#group8I0", "8I⁰"), =HYPERLINK("CSG1.html#group12P1", "12P¹"), =HYPERLINK("CSG7.html#group48AK7", "48AK⁷"), =HYPERLINK("CSG2.html#group24I2", "24I²"), =HYPERLINK("CSG9.html#group48AN9", "48AN⁹"), =HYPERLINK("CSG3.html#group24Y3", "24Y³"), =HYPERLINK("CSG0.html#group8J0", "8J⁰"), =HYPERLINK("CSG0.html#group2C0", "2C⁰"), =HYPERLINK("CSG0.html#group12E0", "12E⁰"), =HYPERLINK("CSG0.html#group8O0", "8O⁰")</f>
        <v/>
      </c>
      <c r="N4900" t="inlineStr"/>
    </row>
    <row r="4901">
      <c r="A4901" t="inlineStr">
        <is>
          <t>48CM¹⁷</t>
        </is>
      </c>
      <c r="B4901" t="inlineStr"/>
      <c r="C4901" t="inlineStr">
        <is>
          <t>384</t>
        </is>
      </c>
      <c r="D4901" t="inlineStr">
        <is>
          <t>1</t>
        </is>
      </c>
      <c r="E4901" t="inlineStr">
        <is>
          <t>24</t>
        </is>
      </c>
      <c r="F4901" t="inlineStr">
        <is>
          <t>0</t>
        </is>
      </c>
      <c r="G4901" t="inlineStr">
        <is>
          <t>0</t>
        </is>
      </c>
      <c r="H4901" t="inlineStr">
        <is>
          <t>2⁸, 4⁴, 6⁸, 12⁴, 16⁴, 48⁴</t>
        </is>
      </c>
      <c r="I4901" t="n">
        <v>32</v>
      </c>
      <c r="J4901" t="inlineStr">
        <is>
          <t>1⁸, 2⁶, 4¹</t>
        </is>
      </c>
      <c r="K4901">
        <f>HYPERLINK("CSG1.html#group16M1", "16M¹"), =HYPERLINK("CSG7.html#group24AI7", "24AI⁷"), =HYPERLINK("CSG7.html#group48AL7", "48AL⁷"), =HYPERLINK("CSG7.html#group48AP7", "48AP⁷"), =HYPERLINK("CSG9.html#group48AK9", "48AK⁹"), =HYPERLINK("CSG9.html#group48AO9", "48AO⁹")</f>
        <v/>
      </c>
      <c r="L4901" t="inlineStr"/>
      <c r="M4901">
        <f>HYPERLINK("CSG0.html#group16G0", "16G⁰"), =HYPERLINK("CSG0.html#group2A0", "2A⁰"), =HYPERLINK("CSG3.html#group24V3", "24V³"), =HYPERLINK("CSG7.html#group24AI7", "24AI⁷"), =HYPERLINK("CSG3.html#group24AA3", "24AA³"), =HYPERLINK("CSG1.html#group24G1", "24G¹"), =HYPERLINK("CSG0.html#group4C0", "4C⁰"), =HYPERLINK("CSG1.html#group16A1", "16A¹"), =HYPERLINK("CSG0.html#group8C0", "8C⁰"), =HYPERLINK("CSG0.html#group4E0", "4E⁰"), =HYPERLINK("CSG0.html#group2B0", "2B⁰"), =HYPERLINK("CSG0.html#group4B0", "4B⁰"), =HYPERLINK("CSG0.html#group1A0", "1A⁰"), =HYPERLINK("CSG0.html#group16H0", "16H⁰"), =HYPERLINK("CSG0.html#group16E0", "16E⁰"), =HYPERLINK("CSG7.html#group48AL7", "48AL⁷"), =HYPERLINK("CSG0.html#group8G0", "8G⁰"), =HYPERLINK("CSG3.html#group48J3", "48J³"), =HYPERLINK("CSG0.html#group16C0", "16C⁰"), =HYPERLINK("CSG9.html#group48AK9", "48AK⁹"), =HYPERLINK("CSG1.html#group16M1", "16M¹"), =HYPERLINK("CSG9.html#group48AO9", "48AO⁹"), =HYPERLINK("CSG0.html#group6F0", "6F⁰"), =HYPERLINK("CSG3.html#group48L3", "48L³"), =HYPERLINK("CSG0.html#group3B0", "3B⁰"), =HYPERLINK("CSG0.html#group8D0", "8D⁰"), =HYPERLINK("CSG1.html#group12F1", "12F¹"), =HYPERLINK("CSG0.html#group6I0", "6I⁰"), =HYPERLINK("CSG1.html#group16E1", "16E¹"), =HYPERLINK("CSG0.html#group6C0", "6C⁰"), =HYPERLINK("CSG0.html#group8I0", "8I⁰"), =HYPERLINK("CSG1.html#group12P1", "12P¹"), =HYPERLINK("CSG2.html#group24I2", "24I²"), =HYPERLINK("CSG1.html#group16G1", "16G¹"), =HYPERLINK("CSG4.html#group48J4", "48J⁴"), =HYPERLINK("CSG0.html#group16D0", "16D⁰"), =HYPERLINK("CSG3.html#group24Y3", "24Y³"), =HYPERLINK("CSG5.html#group48D5", "48D⁵"), =HYPERLINK("CSG0.html#group8J0", "8J⁰"), =HYPERLINK("CSG0.html#group2C0", "2C⁰"), =HYPERLINK("CSG7.html#group48AP7", "48AP⁷"), =HYPERLINK("CSG0.html#group12E0", "12E⁰"), =HYPERLINK("CSG0.html#group8O0", "8O⁰")</f>
        <v/>
      </c>
      <c r="N4901" t="inlineStr"/>
    </row>
    <row r="4902">
      <c r="A4902" t="inlineStr">
        <is>
          <t>48CN¹⁷</t>
        </is>
      </c>
      <c r="B4902" t="inlineStr"/>
      <c r="C4902" t="inlineStr">
        <is>
          <t>384</t>
        </is>
      </c>
      <c r="D4902" t="inlineStr">
        <is>
          <t>1</t>
        </is>
      </c>
      <c r="E4902" t="inlineStr">
        <is>
          <t>24</t>
        </is>
      </c>
      <c r="F4902" t="inlineStr">
        <is>
          <t>0</t>
        </is>
      </c>
      <c r="G4902" t="inlineStr">
        <is>
          <t>0</t>
        </is>
      </c>
      <c r="H4902" t="inlineStr">
        <is>
          <t>2⁸, 4⁴, 6⁸, 12⁴, 16⁴, 48⁴</t>
        </is>
      </c>
      <c r="I4902" t="n">
        <v>32</v>
      </c>
      <c r="J4902" t="inlineStr">
        <is>
          <t>1⁸, 2⁶, 4¹</t>
        </is>
      </c>
      <c r="K4902">
        <f>HYPERLINK("CSG5.html#group24Z5", "24Z⁵"), =HYPERLINK("CSG5.html#group48I5", "48I⁵"), =HYPERLINK("CSG9.html#group48AG9", "48AG⁹"), =HYPERLINK("CSG9.html#group48AH9", "48AH⁹"), =HYPERLINK("CSG9.html#group48AJ9", "48AJ⁹"), =HYPERLINK("CSG9.html#group48AI9", "48AI⁹"), =HYPERLINK("CSG9.html#group48AK9", "48AK⁹")</f>
        <v/>
      </c>
      <c r="L4902" t="inlineStr"/>
      <c r="M4902">
        <f>HYPERLINK("CSG0.html#group2A0", "2A⁰"), =HYPERLINK("CSG3.html#group24V3", "24V³"), =HYPERLINK("CSG9.html#group48AJ9", "48AJ⁹"), =HYPERLINK("CSG1.html#group24G1", "24G¹"), =HYPERLINK("CSG0.html#group4C0", "4C⁰"), =HYPERLINK("CSG0.html#group12I0", "12I⁰"), =HYPERLINK("CSG0.html#group12J0", "12J⁰"), =HYPERLINK("CSG1.html#group16A1", "16A¹"), =HYPERLINK("CSG0.html#group2B0", "2B⁰"), =HYPERLINK("CSG0.html#group8C0", "8C⁰"), =HYPERLINK("CSG9.html#group48AG9", "48AG⁹"), =HYPERLINK("CSG0.html#group4E0", "4E⁰"), =HYPERLINK("CSG0.html#group4B0", "4B⁰"), =HYPERLINK("CSG0.html#group1A0", "1A⁰"), =HYPERLINK("CSG5.html#group24Z5", "24Z⁵"), =HYPERLINK("CSG1.html#group24J1", "24J¹"), =HYPERLINK("CSG3.html#group24U3", "24U³"), =HYPERLINK("CSG9.html#group48AH9", "48AH⁹"), =HYPERLINK("CSG0.html#group8G0", "8G⁰"), =HYPERLINK("CSG3.html#group48J3", "48J³"), =HYPERLINK("CSG0.html#group16C0", "16C⁰"), =HYPERLINK("CSG9.html#group48AK9", "48AK⁹"), =HYPERLINK("CSG3.html#group48I3", "48I³"), =HYPERLINK("CSG0.html#group6F0", "6F⁰"), =HYPERLINK("CSG5.html#group48C5", "48C⁵"), =HYPERLINK("CSG0.html#group3B0", "3B⁰"), =HYPERLINK("CSG5.html#group48I5", "48I⁵"), =HYPERLINK("CSG1.html#group12V1", "12V¹"), =HYPERLINK("CSG0.html#group8D0", "8D⁰"), =HYPERLINK("CSG0.html#group6I0", "6I⁰"), =HYPERLINK("CSG1.html#group12F1", "12F¹"), =HYPERLINK("CSG1.html#group16E1", "16E¹"), =HYPERLINK("CSG0.html#group6C0", "6C⁰"), =HYPERLINK("CSG1.html#group12P1", "12P¹"), =HYPERLINK("CSG2.html#group24I2", "24I²"), =HYPERLINK("CSG0.html#group24B0", "24B⁰"), =HYPERLINK("CSG9.html#group48AI9", "48AI⁹"), =HYPERLINK("CSG3.html#group24W3", "24W³"), =HYPERLINK("CSG2.html#group24F2", "24F²"), =HYPERLINK("CSG5.html#group48D5", "48D⁵"), =HYPERLINK("CSG0.html#group2C0", "2C⁰"), =HYPERLINK("CSG0.html#group12E0", "12E⁰")</f>
        <v/>
      </c>
      <c r="N4902" t="inlineStr"/>
    </row>
    <row r="4903">
      <c r="A4903" t="inlineStr">
        <is>
          <t>48CO¹⁷</t>
        </is>
      </c>
      <c r="B4903" t="inlineStr"/>
      <c r="C4903" t="inlineStr">
        <is>
          <t>384</t>
        </is>
      </c>
      <c r="D4903" t="inlineStr">
        <is>
          <t>1</t>
        </is>
      </c>
      <c r="E4903" t="inlineStr">
        <is>
          <t>48</t>
        </is>
      </c>
      <c r="F4903" t="inlineStr">
        <is>
          <t>0</t>
        </is>
      </c>
      <c r="G4903" t="inlineStr">
        <is>
          <t>0</t>
        </is>
      </c>
      <c r="H4903" t="inlineStr">
        <is>
          <t>2⁸, 4⁴, 6⁸, 12⁴, 16⁴, 48⁴</t>
        </is>
      </c>
      <c r="I4903" t="n">
        <v>32</v>
      </c>
      <c r="J4903" t="inlineStr">
        <is>
          <t>1⁸, 2⁸, 4⁴, 8¹</t>
        </is>
      </c>
      <c r="K4903">
        <f>HYPERLINK("CSG5.html#group24AA5", "24AA⁵"), =HYPERLINK("CSG5.html#group48J5", "48J⁵"), =HYPERLINK("CSG9.html#group48AG9", "48AG⁹"), =HYPERLINK("CSG9.html#group48AN9", "48AN⁹"), =HYPERLINK("CSG9.html#group48AM9", "48AM⁹"), =HYPERLINK("CSG9.html#group48AL9", "48AL⁹"), =HYPERLINK("CSG9.html#group48AO9", "48AO⁹")</f>
        <v/>
      </c>
      <c r="L4903" t="inlineStr"/>
      <c r="M4903">
        <f>HYPERLINK("CSG5.html#group48C5", "48C⁵"), =HYPERLINK("CSG0.html#group3B0", "3B⁰"), =HYPERLINK("CSG9.html#group48AL9", "48AL⁹"), =HYPERLINK("CSG5.html#group24AA5", "24AA⁵"), =HYPERLINK("CSG3.html#group48K3", "48K³"), =HYPERLINK("CSG1.html#group24G1", "24G¹"), =HYPERLINK("CSG9.html#group48AO9", "48AO⁹"), =HYPERLINK("CSG0.html#group12J0", "12J⁰"), =HYPERLINK("CSG1.html#group16A1", "16A¹"), =HYPERLINK("CSG0.html#group8C0", "8C⁰"), =HYPERLINK("CSG0.html#group2B0", "2B⁰"), =HYPERLINK("CSG9.html#group48AG9", "48AG⁹"), =HYPERLINK("CSG0.html#group8I0", "8I⁰"), =HYPERLINK("CSG0.html#group4B0", "4B⁰"), =HYPERLINK("CSG9.html#group48AM9", "48AM⁹"), =HYPERLINK("CSG0.html#group1A0", "1A⁰"), =HYPERLINK("CSG1.html#group24J1", "24J¹"), =HYPERLINK("CSG3.html#group24X3", "24X³"), =HYPERLINK("CSG0.html#group24B0", "24B⁰"), =HYPERLINK("CSG1.html#group16G1", "16G¹"), =HYPERLINK("CSG0.html#group16D0", "16D⁰"), =HYPERLINK("CSG9.html#group48AN9", "48AN⁹"), =HYPERLINK("CSG3.html#group24Y3", "24Y³"), =HYPERLINK("CSG5.html#group48J5", "48J⁵"), =HYPERLINK("CSG5.html#group48D5", "48D⁵"), =HYPERLINK("CSG0.html#group6F0", "6F⁰"), =HYPERLINK("CSG0.html#group12E0", "12E⁰"), =HYPERLINK("CSG3.html#group48L3", "48L³")</f>
        <v/>
      </c>
      <c r="N4903" t="inlineStr"/>
    </row>
    <row r="4904">
      <c r="A4904" t="inlineStr">
        <is>
          <t>48CP¹⁷</t>
        </is>
      </c>
      <c r="B4904" t="inlineStr"/>
      <c r="C4904" t="inlineStr">
        <is>
          <t>384</t>
        </is>
      </c>
      <c r="D4904" t="inlineStr">
        <is>
          <t>1</t>
        </is>
      </c>
      <c r="E4904" t="inlineStr">
        <is>
          <t>48</t>
        </is>
      </c>
      <c r="F4904" t="inlineStr">
        <is>
          <t>0</t>
        </is>
      </c>
      <c r="G4904" t="inlineStr">
        <is>
          <t>0</t>
        </is>
      </c>
      <c r="H4904" t="inlineStr">
        <is>
          <t>2⁸, 4⁴, 6⁸, 12⁴, 16⁴, 48⁴</t>
        </is>
      </c>
      <c r="I4904" t="n">
        <v>32</v>
      </c>
      <c r="J4904" t="inlineStr">
        <is>
          <t>1⁸, 2⁸, 4⁴, 8¹</t>
        </is>
      </c>
      <c r="K4904">
        <f>HYPERLINK("CSG7.html#group24AJ7", "24AJ⁷"), =HYPERLINK("CSG7.html#group48AN7", "48AN⁷"), =HYPERLINK("CSG7.html#group48AP7", "48AP⁷"), =HYPERLINK("CSG7.html#group48AQ7", "48AQ⁷"), =HYPERLINK("CSG9.html#group48AJ9", "48AJ⁹"), =HYPERLINK("CSG9.html#group48AN9", "48AN⁹"), =HYPERLINK("CSG9.html#group48AM9", "48AM⁹")</f>
        <v/>
      </c>
      <c r="L4904" t="inlineStr"/>
      <c r="M4904">
        <f>HYPERLINK("CSG2.html#group24F2", "24F²"), =HYPERLINK("CSG0.html#group3B0", "3B⁰"), =HYPERLINK("CSG5.html#group48C5", "48C⁵"), =HYPERLINK("CSG9.html#group48AJ9", "48AJ⁹"), =HYPERLINK("CSG3.html#group48K3", "48K³"), =HYPERLINK("CSG1.html#group24G1", "24G¹"), =HYPERLINK("CSG0.html#group12J0", "12J⁰"), =HYPERLINK("CSG0.html#group8C0", "8C⁰"), =HYPERLINK("CSG0.html#group2B0", "2B⁰"), =HYPERLINK("CSG0.html#group8I0", "8I⁰"), =HYPERLINK("CSG0.html#group4B0", "4B⁰"), =HYPERLINK("CSG9.html#group48AM9", "48AM⁹"), =HYPERLINK("CSG0.html#group1A0", "1A⁰"), =HYPERLINK("CSG0.html#group16H0", "16H⁰"), =HYPERLINK("CSG3.html#group24X3", "24X³"), =HYPERLINK("CSG7.html#group48AN7", "48AN⁷"), =HYPERLINK("CSG7.html#group48AQ7", "48AQ⁷"), =HYPERLINK("CSG3.html#group48J3", "48J³"), =HYPERLINK("CSG0.html#group16C0", "16C⁰"), =HYPERLINK("CSG0.html#group16D0", "16D⁰"), =HYPERLINK("CSG3.html#group24W3", "24W³"), =HYPERLINK("CSG9.html#group48AN9", "48AN⁹"), =HYPERLINK("CSG3.html#group24Y3", "24Y³"), =HYPERLINK("CSG7.html#group24AJ7", "24AJ⁷"), =HYPERLINK("CSG0.html#group6F0", "6F⁰"), =HYPERLINK("CSG7.html#group48AP7", "48AP⁷"), =HYPERLINK("CSG0.html#group12E0", "12E⁰"), =HYPERLINK("CSG3.html#group48L3", "48L³")</f>
        <v/>
      </c>
      <c r="N4904" t="inlineStr"/>
    </row>
    <row r="4905">
      <c r="A4905" t="inlineStr">
        <is>
          <t>48CQ¹⁷</t>
        </is>
      </c>
      <c r="B4905" t="inlineStr"/>
      <c r="C4905" t="inlineStr">
        <is>
          <t>384</t>
        </is>
      </c>
      <c r="D4905" t="inlineStr">
        <is>
          <t>1</t>
        </is>
      </c>
      <c r="E4905" t="inlineStr">
        <is>
          <t>48</t>
        </is>
      </c>
      <c r="F4905" t="inlineStr">
        <is>
          <t>0</t>
        </is>
      </c>
      <c r="G4905" t="inlineStr">
        <is>
          <t>0</t>
        </is>
      </c>
      <c r="H4905" t="inlineStr">
        <is>
          <t>2⁸, 4⁴, 6⁸, 12⁴, 16⁴, 48⁴</t>
        </is>
      </c>
      <c r="I4905" t="n">
        <v>32</v>
      </c>
      <c r="J4905" t="inlineStr">
        <is>
          <t>1⁸, 2⁸, 4⁴, 8¹</t>
        </is>
      </c>
      <c r="K4905">
        <f>HYPERLINK("CSG7.html#group24AJ7", "24AJ⁷"), =HYPERLINK("CSG7.html#group48AO7", "48AO⁷"), =HYPERLINK("CSG7.html#group48AM7", "48AM⁷"), =HYPERLINK("CSG7.html#group48AQ7", "48AQ⁷"), =HYPERLINK("CSG9.html#group48AI9", "48AI⁹"), =HYPERLINK("CSG9.html#group48AL9", "48AL⁹"), =HYPERLINK("CSG9.html#group48AO9", "48AO⁹")</f>
        <v/>
      </c>
      <c r="L4905" t="inlineStr"/>
      <c r="M4905">
        <f>HYPERLINK("CSG2.html#group24F2", "24F²"), =HYPERLINK("CSG0.html#group3B0", "3B⁰"), =HYPERLINK("CSG9.html#group48AL9", "48AL⁹"), =HYPERLINK("CSG3.html#group48K3", "48K³"), =HYPERLINK("CSG1.html#group24G1", "24G¹"), =HYPERLINK("CSG0.html#group12J0", "12J⁰"), =HYPERLINK("CSG1.html#group16A1", "16A¹"), =HYPERLINK("CSG7.html#group48AO7", "48AO⁷"), =HYPERLINK("CSG0.html#group8C0", "8C⁰"), =HYPERLINK("CSG0.html#group2B0", "2B⁰"), =HYPERLINK("CSG0.html#group8I0", "8I⁰"), =HYPERLINK("CSG0.html#group4B0", "4B⁰"), =HYPERLINK("CSG0.html#group1A0", "1A⁰"), =HYPERLINK("CSG3.html#group24X3", "24X³"), =HYPERLINK("CSG7.html#group48AQ7", "48AQ⁷"), =HYPERLINK("CSG1.html#group16G1", "16G¹"), =HYPERLINK("CSG0.html#group16D0", "16D⁰"), =HYPERLINK("CSG7.html#group48AM7", "48AM⁷"), =HYPERLINK("CSG9.html#group48AI9", "48AI⁹"), =HYPERLINK("CSG3.html#group24W3", "24W³"), =HYPERLINK("CSG3.html#group48I3", "48I³"), =HYPERLINK("CSG3.html#group24Y3", "24Y³"), =HYPERLINK("CSG9.html#group48AO9", "48AO⁹"), =HYPERLINK("CSG7.html#group24AJ7", "24AJ⁷"), =HYPERLINK("CSG5.html#group48D5", "48D⁵"), =HYPERLINK("CSG0.html#group6F0", "6F⁰"), =HYPERLINK("CSG0.html#group12E0", "12E⁰"), =HYPERLINK("CSG3.html#group48L3", "48L³")</f>
        <v/>
      </c>
      <c r="N4905" t="inlineStr"/>
    </row>
    <row r="4906">
      <c r="A4906" t="inlineStr">
        <is>
          <t>50A¹⁷</t>
        </is>
      </c>
      <c r="B4906" t="inlineStr"/>
      <c r="C4906" t="inlineStr">
        <is>
          <t>300</t>
        </is>
      </c>
      <c r="D4906" t="inlineStr">
        <is>
          <t>1</t>
        </is>
      </c>
      <c r="E4906" t="inlineStr">
        <is>
          <t>300</t>
        </is>
      </c>
      <c r="F4906" t="inlineStr">
        <is>
          <t>4</t>
        </is>
      </c>
      <c r="G4906" t="inlineStr">
        <is>
          <t>15</t>
        </is>
      </c>
      <c r="H4906" t="inlineStr">
        <is>
          <t>50⁶</t>
        </is>
      </c>
      <c r="I4906" t="n">
        <v>6</v>
      </c>
      <c r="J4906" t="inlineStr">
        <is>
          <t>4¹⁵, 20¹²</t>
        </is>
      </c>
      <c r="K4906">
        <f>HYPERLINK("CSG1.html#group10J1", "10J¹"), =HYPERLINK("CSG4.html#group50E4", "50E⁴")</f>
        <v/>
      </c>
      <c r="L4906" t="inlineStr"/>
      <c r="M4906">
        <f>HYPERLINK("CSG1.html#group10J1", "10J¹"), =HYPERLINK("CSG4.html#group50E4", "50E⁴"), =HYPERLINK("CSG0.html#group1A0", "1A⁰"), =HYPERLINK("CSG0.html#group5C0", "5C⁰"), =HYPERLINK("CSG0.html#group10D0", "10D⁰"), =HYPERLINK("CSG2.html#group25E2", "25E²")</f>
        <v/>
      </c>
      <c r="N4906" t="inlineStr"/>
    </row>
    <row r="4907">
      <c r="A4907" t="inlineStr">
        <is>
          <t>51A¹⁷</t>
        </is>
      </c>
      <c r="B4907" t="inlineStr"/>
      <c r="C4907" t="inlineStr">
        <is>
          <t>288</t>
        </is>
      </c>
      <c r="D4907" t="inlineStr">
        <is>
          <t>1</t>
        </is>
      </c>
      <c r="E4907" t="inlineStr">
        <is>
          <t>72</t>
        </is>
      </c>
      <c r="F4907" t="inlineStr">
        <is>
          <t>0</t>
        </is>
      </c>
      <c r="G4907" t="inlineStr">
        <is>
          <t>0</t>
        </is>
      </c>
      <c r="H4907" t="inlineStr">
        <is>
          <t>1⁴, 3⁴, 17⁴, 51⁴</t>
        </is>
      </c>
      <c r="I4907" t="n">
        <v>16</v>
      </c>
      <c r="J4907" t="inlineStr">
        <is>
          <t>1⁴, 2², 16², 32¹</t>
        </is>
      </c>
      <c r="K4907">
        <f>HYPERLINK("CSG1.html#group17C1", "17C¹"), =HYPERLINK("CSG9.html#group51A9", "51A⁹")</f>
        <v/>
      </c>
      <c r="L4907" t="inlineStr"/>
      <c r="M4907">
        <f>HYPERLINK("CSG0.html#group3B0", "3B⁰"), =HYPERLINK("CSG9.html#group51A9", "51A⁹"), =HYPERLINK("CSG1.html#group17C1", "17C¹"), =HYPERLINK("CSG1.html#group17A1", "17A¹"), =HYPERLINK("CSG5.html#group51A5", "51A⁵"), =HYPERLINK("CSG0.html#group1A0", "1A⁰"), =HYPERLINK("CSG1.html#group17B1", "17B¹")</f>
        <v/>
      </c>
      <c r="N4907" t="inlineStr"/>
    </row>
    <row r="4908">
      <c r="A4908" t="inlineStr">
        <is>
          <t>52A¹⁷</t>
        </is>
      </c>
      <c r="B4908" t="inlineStr"/>
      <c r="C4908" t="inlineStr">
        <is>
          <t>336</t>
        </is>
      </c>
      <c r="D4908" t="inlineStr">
        <is>
          <t>1</t>
        </is>
      </c>
      <c r="E4908" t="inlineStr">
        <is>
          <t>56</t>
        </is>
      </c>
      <c r="F4908" t="inlineStr">
        <is>
          <t>24</t>
        </is>
      </c>
      <c r="G4908" t="inlineStr">
        <is>
          <t>0</t>
        </is>
      </c>
      <c r="H4908" t="inlineStr">
        <is>
          <t>4⁶, 52⁶</t>
        </is>
      </c>
      <c r="I4908" t="n">
        <v>12</v>
      </c>
      <c r="J4908" t="inlineStr">
        <is>
          <t>2⁴, 24²</t>
        </is>
      </c>
      <c r="K4908">
        <f>HYPERLINK("CSG2.html#group26B2", "26B²"), =HYPERLINK("CSG5.html#group52C5", "52C⁵"), =HYPERLINK("CSG9.html#group52C9", "52C⁹")</f>
        <v/>
      </c>
      <c r="L4908" t="inlineStr"/>
      <c r="M4908">
        <f>HYPERLINK("CSG3.html#group52A3", "52A³"), =HYPERLINK("CSG0.html#group4A0", "4A⁰"), =HYPERLINK("CSG0.html#group13A0", "13A⁰"), =HYPERLINK("CSG0.html#group13C0", "13C⁰"), =HYPERLINK("CSG0.html#group26A0", "26A⁰"), =HYPERLINK("CSG2.html#group26B2", "26B²"), =HYPERLINK("CSG9.html#group52C9", "52C⁹"), =HYPERLINK("CSG0.html#group1A0", "1A⁰"), =HYPERLINK("CSG5.html#group52C5", "52C⁵")</f>
        <v/>
      </c>
      <c r="N4908" t="inlineStr"/>
    </row>
    <row r="4909">
      <c r="A4909" t="inlineStr">
        <is>
          <t>55A¹⁷</t>
        </is>
      </c>
      <c r="B4909" t="inlineStr"/>
      <c r="C4909" t="inlineStr">
        <is>
          <t>240</t>
        </is>
      </c>
      <c r="D4909" t="inlineStr">
        <is>
          <t>1</t>
        </is>
      </c>
      <c r="E4909" t="inlineStr">
        <is>
          <t>120</t>
        </is>
      </c>
      <c r="F4909" t="inlineStr">
        <is>
          <t>0</t>
        </is>
      </c>
      <c r="G4909" t="inlineStr">
        <is>
          <t>0</t>
        </is>
      </c>
      <c r="H4909" t="inlineStr">
        <is>
          <t>5⁴, 55⁴</t>
        </is>
      </c>
      <c r="I4909" t="n">
        <v>8</v>
      </c>
      <c r="J4909" t="inlineStr">
        <is>
          <t>2², 4⁴, 20¹, 40²</t>
        </is>
      </c>
      <c r="K4909">
        <f>HYPERLINK("CSG0.html#group5F0", "5F⁰"), =HYPERLINK("CSG5.html#group55A5", "55A⁵"), =HYPERLINK("CSG9.html#group55A9", "55A⁹")</f>
        <v/>
      </c>
      <c r="L4909" t="inlineStr"/>
      <c r="M4909">
        <f>HYPERLINK("CSG0.html#group5A0", "5A⁰"), =HYPERLINK("CSG9.html#group55A9", "55A⁹"), =HYPERLINK("CSG1.html#group11A1", "11A¹"), =HYPERLINK("CSG0.html#group5C0", "5C⁰"), =HYPERLINK("CSG0.html#group5F0", "5F⁰"), =HYPERLINK("CSG5.html#group55A5", "55A⁵"), =HYPERLINK("CSG0.html#group1A0", "1A⁰")</f>
        <v/>
      </c>
      <c r="N4909" t="inlineStr"/>
    </row>
    <row r="4910">
      <c r="A4910" t="inlineStr">
        <is>
          <t>55B¹⁷</t>
        </is>
      </c>
      <c r="B4910" t="inlineStr"/>
      <c r="C4910" t="inlineStr">
        <is>
          <t>288</t>
        </is>
      </c>
      <c r="D4910" t="inlineStr">
        <is>
          <t>1</t>
        </is>
      </c>
      <c r="E4910" t="inlineStr">
        <is>
          <t>72</t>
        </is>
      </c>
      <c r="F4910" t="inlineStr">
        <is>
          <t>0</t>
        </is>
      </c>
      <c r="G4910" t="inlineStr">
        <is>
          <t>0</t>
        </is>
      </c>
      <c r="H4910" t="inlineStr">
        <is>
          <t>1⁴, 5⁴, 11⁴, 55⁴</t>
        </is>
      </c>
      <c r="I4910" t="n">
        <v>16</v>
      </c>
      <c r="J4910" t="inlineStr">
        <is>
          <t>1⁴, 4², 10², 40¹</t>
        </is>
      </c>
      <c r="K4910">
        <f>HYPERLINK("CSG9.html#group55B9", "55B⁹")</f>
        <v/>
      </c>
      <c r="L4910" t="inlineStr"/>
      <c r="M4910">
        <f>HYPERLINK("CSG0.html#group5B0", "5B⁰"), =HYPERLINK("CSG0.html#group5D0", "5D⁰"), =HYPERLINK("CSG9.html#group55B9", "55B⁹"), =HYPERLINK("CSG5.html#group55B5", "55B⁵"), =HYPERLINK("CSG0.html#group1A0", "1A⁰"), =HYPERLINK("CSG1.html#group11A1", "11A¹")</f>
        <v/>
      </c>
      <c r="N4910" t="inlineStr"/>
    </row>
    <row r="4911">
      <c r="A4911" t="inlineStr">
        <is>
          <t>56A¹⁷</t>
        </is>
      </c>
      <c r="B4911" t="inlineStr"/>
      <c r="C4911" t="inlineStr">
        <is>
          <t>224</t>
        </is>
      </c>
      <c r="D4911" t="inlineStr">
        <is>
          <t>2</t>
        </is>
      </c>
      <c r="E4911" t="inlineStr">
        <is>
          <t>112</t>
        </is>
      </c>
      <c r="F4911" t="inlineStr">
        <is>
          <t>0</t>
        </is>
      </c>
      <c r="G4911" t="inlineStr">
        <is>
          <t>2</t>
        </is>
      </c>
      <c r="H4911" t="inlineStr">
        <is>
          <t>56⁴</t>
        </is>
      </c>
      <c r="I4911" t="n">
        <v>4</v>
      </c>
      <c r="J4911" t="inlineStr">
        <is>
          <t>8⁴, 24⁸</t>
        </is>
      </c>
      <c r="K4911">
        <f>HYPERLINK("CSG1.html#group8E1", "8E¹"), =HYPERLINK("CSG4.html#group28A4", "28A⁴"), =HYPERLINK("CSG6.html#group56H6", "56H⁶")</f>
        <v/>
      </c>
      <c r="L4911" t="inlineStr"/>
      <c r="M4911">
        <f>HYPERLINK("CSG0.html#group2A0", "2A⁰"), =HYPERLINK("CSG0.html#group8F0", "8F⁰"), =HYPERLINK("CSG0.html#group4A0", "4A⁰"), =HYPERLINK("CSG4.html#group28A4", "28A⁴"), =HYPERLINK("CSG0.html#group4D0", "4D⁰"), =HYPERLINK("CSG1.html#group14A1", "14A¹"), =HYPERLINK("CSG6.html#group56H6", "56H⁶"), =HYPERLINK("CSG1.html#group8E1", "8E¹"), =HYPERLINK("CSG1.html#group28A1", "28A¹"), =HYPERLINK("CSG0.html#group1A0", "1A⁰"), =HYPERLINK("CSG0.html#group7A0", "7A⁰")</f>
        <v/>
      </c>
      <c r="N4911" t="inlineStr"/>
    </row>
    <row r="4912">
      <c r="A4912" t="inlineStr">
        <is>
          <t>56B¹⁷</t>
        </is>
      </c>
      <c r="B4912" t="inlineStr"/>
      <c r="C4912" t="inlineStr">
        <is>
          <t>252</t>
        </is>
      </c>
      <c r="D4912" t="inlineStr">
        <is>
          <t>2</t>
        </is>
      </c>
      <c r="E4912" t="inlineStr">
        <is>
          <t>63</t>
        </is>
      </c>
      <c r="F4912" t="inlineStr">
        <is>
          <t>8</t>
        </is>
      </c>
      <c r="G4912" t="inlineStr">
        <is>
          <t>0</t>
        </is>
      </c>
      <c r="H4912" t="inlineStr">
        <is>
          <t>28³, 56³</t>
        </is>
      </c>
      <c r="I4912" t="n">
        <v>6</v>
      </c>
      <c r="J4912" t="inlineStr">
        <is>
          <t>6²¹</t>
        </is>
      </c>
      <c r="K4912">
        <f>HYPERLINK("CSG5.html#group56A5", "56A⁵"), =HYPERLINK("CSG6.html#group28I6", "28I⁶")</f>
        <v/>
      </c>
      <c r="L4912" t="inlineStr"/>
      <c r="M4912">
        <f>HYPERLINK("CSG2.html#group28C2", "28C²"), =HYPERLINK("CSG0.html#group7D0", "7D⁰"), =HYPERLINK("CSG1.html#group14B1", "14B¹"), =HYPERLINK("CSG0.html#group4C0", "4C⁰"), =HYPERLINK("CSG2.html#group14F2", "14F²"), =HYPERLINK("CSG0.html#group2B0", "2B⁰"), =HYPERLINK("CSG5.html#group56A5", "56A⁵"), =HYPERLINK("CSG6.html#group28I6", "28I⁶"), =HYPERLINK("CSG0.html#group1A0", "1A⁰"), =HYPERLINK("CSG0.html#group7A0", "7A⁰")</f>
        <v/>
      </c>
      <c r="N4912" t="inlineStr"/>
    </row>
    <row r="4913">
      <c r="A4913" t="inlineStr">
        <is>
          <t>56C¹⁷</t>
        </is>
      </c>
      <c r="B4913" t="inlineStr"/>
      <c r="C4913" t="inlineStr">
        <is>
          <t>256</t>
        </is>
      </c>
      <c r="D4913" t="inlineStr">
        <is>
          <t>1</t>
        </is>
      </c>
      <c r="E4913" t="inlineStr">
        <is>
          <t>128</t>
        </is>
      </c>
      <c r="F4913" t="inlineStr">
        <is>
          <t>0</t>
        </is>
      </c>
      <c r="G4913" t="inlineStr">
        <is>
          <t>4</t>
        </is>
      </c>
      <c r="H4913" t="inlineStr">
        <is>
          <t>8⁴, 56⁴</t>
        </is>
      </c>
      <c r="I4913" t="n">
        <v>8</v>
      </c>
      <c r="J4913" t="inlineStr">
        <is>
          <t>4⁸, 24⁴</t>
        </is>
      </c>
      <c r="K4913">
        <f>HYPERLINK("CSG1.html#group8E1", "8E¹"), =HYPERLINK("CSG3.html#group28E3", "28E³"), =HYPERLINK("CSG9.html#group56A9", "56A⁹")</f>
        <v/>
      </c>
      <c r="L4913" t="inlineStr"/>
      <c r="M4913">
        <f>HYPERLINK("CSG0.html#group2A0", "2A⁰"), =HYPERLINK("CSG0.html#group8F0", "8F⁰"), =HYPERLINK("CSG0.html#group7B0", "7B⁰"), =HYPERLINK("CSG0.html#group4A0", "4A⁰"), =HYPERLINK("CSG0.html#group4D0", "4D⁰"), =HYPERLINK("CSG0.html#group14B0", "14B⁰"), =HYPERLINK("CSG3.html#group28E3", "28E³"), =HYPERLINK("CSG1.html#group8E1", "8E¹"), =HYPERLINK("CSG9.html#group56A9", "56A⁹"), =HYPERLINK("CSG0.html#group1A0", "1A⁰"), =HYPERLINK("CSG2.html#group28A2", "28A²")</f>
        <v/>
      </c>
      <c r="N4913" t="inlineStr"/>
    </row>
    <row r="4914">
      <c r="A4914" t="inlineStr">
        <is>
          <t>56D¹⁷</t>
        </is>
      </c>
      <c r="B4914" t="inlineStr"/>
      <c r="C4914" t="inlineStr">
        <is>
          <t>256</t>
        </is>
      </c>
      <c r="D4914" t="inlineStr">
        <is>
          <t>2</t>
        </is>
      </c>
      <c r="E4914" t="inlineStr">
        <is>
          <t>128</t>
        </is>
      </c>
      <c r="F4914" t="inlineStr">
        <is>
          <t>0</t>
        </is>
      </c>
      <c r="G4914" t="inlineStr">
        <is>
          <t>4</t>
        </is>
      </c>
      <c r="H4914" t="inlineStr">
        <is>
          <t>8⁴, 56⁴</t>
        </is>
      </c>
      <c r="I4914" t="n">
        <v>8</v>
      </c>
      <c r="J4914" t="inlineStr">
        <is>
          <t>4¹⁶, 24⁸</t>
        </is>
      </c>
      <c r="K4914">
        <f>HYPERLINK("CSG0.html#group8M0", "8M⁰"), =HYPERLINK("CSG4.html#group56A4", "56A⁴"), =HYPERLINK("CSG9.html#group56A9", "56A⁹")</f>
        <v/>
      </c>
      <c r="L4914" t="inlineStr"/>
      <c r="M4914">
        <f>HYPERLINK("CSG4.html#group56A4", "56A⁴"), =HYPERLINK("CSG0.html#group8F0", "8F⁰"), =HYPERLINK("CSG0.html#group4A0", "4A⁰"), =HYPERLINK("CSG0.html#group7B0", "7B⁰"), =HYPERLINK("CSG0.html#group8A0", "8A⁰"), =HYPERLINK("CSG0.html#group8M0", "8M⁰"), =HYPERLINK("CSG0.html#group1A0", "1A⁰"), =HYPERLINK("CSG9.html#group56A9", "56A⁹"), =HYPERLINK("CSG2.html#group28A2", "28A²")</f>
        <v/>
      </c>
      <c r="N4914" t="inlineStr"/>
    </row>
    <row r="4915">
      <c r="A4915" t="inlineStr">
        <is>
          <t>56E¹⁷</t>
        </is>
      </c>
      <c r="B4915" t="inlineStr"/>
      <c r="C4915" t="inlineStr">
        <is>
          <t>336</t>
        </is>
      </c>
      <c r="D4915" t="inlineStr">
        <is>
          <t>1</t>
        </is>
      </c>
      <c r="E4915" t="inlineStr">
        <is>
          <t>84</t>
        </is>
      </c>
      <c r="F4915" t="inlineStr">
        <is>
          <t>8</t>
        </is>
      </c>
      <c r="G4915" t="inlineStr">
        <is>
          <t>0</t>
        </is>
      </c>
      <c r="H4915" t="inlineStr">
        <is>
          <t>7¹⁶, 56⁴</t>
        </is>
      </c>
      <c r="I4915" t="n">
        <v>20</v>
      </c>
      <c r="J4915" t="inlineStr">
        <is>
          <t>2³, 6³, 12¹²</t>
        </is>
      </c>
      <c r="K4915">
        <f>HYPERLINK("CSG7.html#group28E7", "28E⁷")</f>
        <v/>
      </c>
      <c r="L4915" t="inlineStr"/>
      <c r="M4915">
        <f>HYPERLINK("CSG7.html#group28E7", "28E⁷"), =HYPERLINK("CSG1.html#group14B1", "14B¹"), =HYPERLINK("CSG0.html#group7F0", "7F⁰"), =HYPERLINK("CSG0.html#group2B0", "2B⁰"), =HYPERLINK("CSG0.html#group1A0", "1A⁰"), =HYPERLINK("CSG2.html#group28B2", "28B²"), =HYPERLINK("CSG0.html#group7A0", "7A⁰"), =HYPERLINK("CSG3.html#group14D3", "14D³")</f>
        <v/>
      </c>
      <c r="N4915" t="inlineStr"/>
    </row>
    <row r="4916">
      <c r="A4916" t="inlineStr">
        <is>
          <t>56F¹⁷</t>
        </is>
      </c>
      <c r="B4916" t="inlineStr"/>
      <c r="C4916" t="inlineStr">
        <is>
          <t>336</t>
        </is>
      </c>
      <c r="D4916" t="inlineStr">
        <is>
          <t>1</t>
        </is>
      </c>
      <c r="E4916" t="inlineStr">
        <is>
          <t>84</t>
        </is>
      </c>
      <c r="F4916" t="inlineStr">
        <is>
          <t>8</t>
        </is>
      </c>
      <c r="G4916" t="inlineStr">
        <is>
          <t>0</t>
        </is>
      </c>
      <c r="H4916" t="inlineStr">
        <is>
          <t>7¹⁶, 56⁴</t>
        </is>
      </c>
      <c r="I4916" t="n">
        <v>20</v>
      </c>
      <c r="J4916" t="inlineStr">
        <is>
          <t>2³, 6³, 12¹²</t>
        </is>
      </c>
      <c r="K4916">
        <f>HYPERLINK("CSG7.html#group28E7", "28E⁷")</f>
        <v/>
      </c>
      <c r="L4916" t="inlineStr"/>
      <c r="M4916">
        <f>HYPERLINK("CSG7.html#group28E7", "28E⁷"), =HYPERLINK("CSG1.html#group14B1", "14B¹"), =HYPERLINK("CSG0.html#group7F0", "7F⁰"), =HYPERLINK("CSG0.html#group2B0", "2B⁰"), =HYPERLINK("CSG0.html#group1A0", "1A⁰"), =HYPERLINK("CSG2.html#group28B2", "28B²"), =HYPERLINK("CSG0.html#group7A0", "7A⁰"), =HYPERLINK("CSG3.html#group14D3", "14D³")</f>
        <v/>
      </c>
      <c r="N4916" t="inlineStr"/>
    </row>
    <row r="4917">
      <c r="A4917" t="inlineStr">
        <is>
          <t>57A¹⁷</t>
        </is>
      </c>
      <c r="B4917" t="inlineStr"/>
      <c r="C4917" t="inlineStr">
        <is>
          <t>240</t>
        </is>
      </c>
      <c r="D4917" t="inlineStr">
        <is>
          <t>1</t>
        </is>
      </c>
      <c r="E4917" t="inlineStr">
        <is>
          <t>20</t>
        </is>
      </c>
      <c r="F4917" t="inlineStr">
        <is>
          <t>0</t>
        </is>
      </c>
      <c r="G4917" t="inlineStr">
        <is>
          <t>0</t>
        </is>
      </c>
      <c r="H4917" t="inlineStr">
        <is>
          <t>3⁴, 57⁴</t>
        </is>
      </c>
      <c r="I4917" t="n">
        <v>8</v>
      </c>
      <c r="J4917" t="inlineStr">
        <is>
          <t>1², 18¹</t>
        </is>
      </c>
      <c r="K4917">
        <f>HYPERLINK("CSG0.html#group3D0", "3D⁰"), =HYPERLINK("CSG5.html#group57C5", "57C⁵"), =HYPERLINK("CSG9.html#group57A9", "57A⁹")</f>
        <v/>
      </c>
      <c r="L4917" t="inlineStr"/>
      <c r="M4917">
        <f>HYPERLINK("CSG0.html#group3B0", "3B⁰"), =HYPERLINK("CSG1.html#group19A1", "19A¹"), =HYPERLINK("CSG9.html#group57A9", "57A⁹"), =HYPERLINK("CSG0.html#group3C0", "3C⁰"), =HYPERLINK("CSG5.html#group57A5", "57A⁵"), =HYPERLINK("CSG0.html#group3A0", "3A⁰"), =HYPERLINK("CSG0.html#group1A0", "1A⁰"), =HYPERLINK("CSG0.html#group3D0", "3D⁰"), =HYPERLINK("CSG5.html#group57C5", "57C⁵")</f>
        <v/>
      </c>
      <c r="N4917" t="inlineStr"/>
    </row>
    <row r="4918">
      <c r="A4918" t="inlineStr">
        <is>
          <t>57B¹⁷</t>
        </is>
      </c>
      <c r="B4918" t="inlineStr"/>
      <c r="C4918" t="inlineStr">
        <is>
          <t>240</t>
        </is>
      </c>
      <c r="D4918" t="inlineStr">
        <is>
          <t>2</t>
        </is>
      </c>
      <c r="E4918" t="inlineStr">
        <is>
          <t>80</t>
        </is>
      </c>
      <c r="F4918" t="inlineStr">
        <is>
          <t>0</t>
        </is>
      </c>
      <c r="G4918" t="inlineStr">
        <is>
          <t>0</t>
        </is>
      </c>
      <c r="H4918" t="inlineStr">
        <is>
          <t>3⁴, 57⁴</t>
        </is>
      </c>
      <c r="I4918" t="n">
        <v>8</v>
      </c>
      <c r="J4918" t="inlineStr">
        <is>
          <t>2⁸, 36⁴</t>
        </is>
      </c>
      <c r="K4918">
        <f>HYPERLINK("CSG5.html#group57B5", "57B⁵"), =HYPERLINK("CSG5.html#group57C5", "57C⁵")</f>
        <v/>
      </c>
      <c r="L4918" t="inlineStr"/>
      <c r="M4918">
        <f>HYPERLINK("CSG1.html#group19A1", "19A¹"), =HYPERLINK("CSG0.html#group3B0", "3B⁰"), =HYPERLINK("CSG5.html#group57B5", "57B⁵"), =HYPERLINK("CSG0.html#group1A0", "1A⁰"), =HYPERLINK("CSG5.html#group57C5", "57C⁵")</f>
        <v/>
      </c>
      <c r="N4918" t="inlineStr"/>
    </row>
    <row r="4919">
      <c r="A4919" t="inlineStr">
        <is>
          <t>60A¹⁷</t>
        </is>
      </c>
      <c r="B4919" t="inlineStr"/>
      <c r="C4919" t="inlineStr">
        <is>
          <t>240</t>
        </is>
      </c>
      <c r="D4919" t="inlineStr">
        <is>
          <t>1</t>
        </is>
      </c>
      <c r="E4919" t="inlineStr">
        <is>
          <t>40</t>
        </is>
      </c>
      <c r="F4919" t="inlineStr">
        <is>
          <t>0</t>
        </is>
      </c>
      <c r="G4919" t="inlineStr">
        <is>
          <t>6</t>
        </is>
      </c>
      <c r="H4919" t="inlineStr">
        <is>
          <t>60⁴</t>
        </is>
      </c>
      <c r="I4919" t="n">
        <v>4</v>
      </c>
      <c r="J4919" t="inlineStr">
        <is>
          <t>8⁵</t>
        </is>
      </c>
      <c r="K4919">
        <f>HYPERLINK("CSG3.html#group20N3", "20N³"), =HYPERLINK("CSG8.html#group30C8", "30C⁸")</f>
        <v/>
      </c>
      <c r="L4919" t="inlineStr"/>
      <c r="M4919">
        <f>HYPERLINK("CSG1.html#group10H1", "10H¹"), =HYPERLINK("CSG8.html#group30C8", "30C⁸"), =HYPERLINK("CSG2.html#group30B2", "30B²"), =HYPERLINK("CSG0.html#group2A0", "2A⁰"), =HYPERLINK("CSG0.html#group5A0", "5A⁰"), =HYPERLINK("CSG0.html#group10A0", "10A⁰"), =HYPERLINK("CSG0.html#group10D0", "10D⁰"), =HYPERLINK("CSG0.html#group5C0", "5C⁰"), =HYPERLINK("CSG0.html#group5F0", "5F⁰"), =HYPERLINK("CSG3.html#group20N3", "20N³"), =HYPERLINK("CSG1.html#group10C1", "10C¹"), =HYPERLINK("CSG0.html#group1A0", "1A⁰"), =HYPERLINK("CSG1.html#group20F1", "20F¹")</f>
        <v/>
      </c>
      <c r="N4919" t="inlineStr"/>
    </row>
    <row r="4920">
      <c r="A4920" t="inlineStr">
        <is>
          <t>60B¹⁷</t>
        </is>
      </c>
      <c r="B4920" t="inlineStr"/>
      <c r="C4920" t="inlineStr">
        <is>
          <t>240</t>
        </is>
      </c>
      <c r="D4920" t="inlineStr">
        <is>
          <t>1</t>
        </is>
      </c>
      <c r="E4920" t="inlineStr">
        <is>
          <t>60</t>
        </is>
      </c>
      <c r="F4920" t="inlineStr">
        <is>
          <t>0</t>
        </is>
      </c>
      <c r="G4920" t="inlineStr">
        <is>
          <t>0</t>
        </is>
      </c>
      <c r="H4920" t="inlineStr">
        <is>
          <t>10², 20², 30², 60²</t>
        </is>
      </c>
      <c r="I4920" t="n">
        <v>8</v>
      </c>
      <c r="J4920" t="inlineStr">
        <is>
          <t>1⁶, 2³, 4⁶, 8³</t>
        </is>
      </c>
      <c r="K4920">
        <f>HYPERLINK("CSG1.html#group12P1", "12P¹"), =HYPERLINK("CSG4.html#group20A4", "20A⁴"), =HYPERLINK("CSG8.html#group30B8", "30B⁸"), =HYPERLINK("CSG8.html#group60C8", "60C⁸"), =HYPERLINK("CSG9.html#group60B9", "60B⁹")</f>
        <v/>
      </c>
      <c r="L4920" t="inlineStr"/>
      <c r="M4920">
        <f>HYPERLINK("CSG2.html#group20A2", "20A²"), =HYPERLINK("CSG0.html#group3B0", "3B⁰"), =HYPERLINK("CSG0.html#group2A0", "2A⁰"), =HYPERLINK("CSG0.html#group5A0", "5A⁰"), =HYPERLINK("CSG9.html#group60B9", "60B⁹"), =HYPERLINK("CSG1.html#group12F1", "12F¹"), =HYPERLINK("CSG1.html#group10B1", "10B¹"), =HYPERLINK("CSG2.html#group20B2", "20B²"), =HYPERLINK("CSG0.html#group4C0", "4C⁰"), =HYPERLINK("CSG0.html#group6I0", "6I⁰"), =HYPERLINK("CSG2.html#group30D2", "30D²"), =HYPERLINK("CSG0.html#group6C0", "6C⁰"), =HYPERLINK("CSG0.html#group2B0", "2B⁰"), =HYPERLINK("CSG0.html#group4E0", "4E⁰"), =HYPERLINK("CSG2.html#group10B2", "10B²"), =HYPERLINK("CSG1.html#group12P1", "12P¹"), =HYPERLINK("CSG0.html#group4B0", "4B⁰"), =HYPERLINK("CSG0.html#group1A0", "1A⁰"), =HYPERLINK("CSG0.html#group10A0", "10A⁰"), =HYPERLINK("CSG8.html#group30B8", "30B⁸"), =HYPERLINK("CSG4.html#group30D4", "30D⁴"), =HYPERLINK("CSG8.html#group60C8", "60C⁸"), =HYPERLINK("CSG4.html#group20A4", "20A⁴"), =HYPERLINK("CSG1.html#group15B1", "15B¹"), =HYPERLINK("CSG0.html#group6F0", "6F⁰"), =HYPERLINK("CSG0.html#group2C0", "2C⁰"), =HYPERLINK("CSG0.html#group12E0", "12E⁰")</f>
        <v/>
      </c>
      <c r="N4920" t="inlineStr"/>
    </row>
    <row r="4921">
      <c r="A4921" t="inlineStr">
        <is>
          <t>60C¹⁷</t>
        </is>
      </c>
      <c r="B4921" t="inlineStr"/>
      <c r="C4921" t="inlineStr">
        <is>
          <t>240</t>
        </is>
      </c>
      <c r="D4921" t="inlineStr">
        <is>
          <t>1</t>
        </is>
      </c>
      <c r="E4921" t="inlineStr">
        <is>
          <t>60</t>
        </is>
      </c>
      <c r="F4921" t="inlineStr">
        <is>
          <t>8</t>
        </is>
      </c>
      <c r="G4921" t="inlineStr">
        <is>
          <t>0</t>
        </is>
      </c>
      <c r="H4921" t="inlineStr">
        <is>
          <t>60⁴</t>
        </is>
      </c>
      <c r="I4921" t="n">
        <v>4</v>
      </c>
      <c r="J4921" t="inlineStr">
        <is>
          <t>4¹, 8³, 16²</t>
        </is>
      </c>
      <c r="K4921">
        <f>HYPERLINK("CSG7.html#group30I7", "30I⁷")</f>
        <v/>
      </c>
      <c r="L4921" t="inlineStr"/>
      <c r="M4921">
        <f>HYPERLINK("CSG1.html#group15D1", "15D¹"), =HYPERLINK("CSG0.html#group6B0", "6B⁰"), =HYPERLINK("CSG3.html#group30H3", "30H³"), =HYPERLINK("CSG0.html#group6E0", "6E⁰"), =HYPERLINK("CSG7.html#group30I7", "30I⁷"), =HYPERLINK("CSG0.html#group3C0", "3C⁰"), =HYPERLINK("CSG0.html#group1A0", "1A⁰"), =HYPERLINK("CSG3.html#group15C3", "15C³"), =HYPERLINK("CSG0.html#group3A0", "3A⁰"), =HYPERLINK("CSG0.html#group5C0", "5C⁰")</f>
        <v/>
      </c>
      <c r="N4921" t="inlineStr"/>
    </row>
    <row r="4922">
      <c r="A4922" t="inlineStr">
        <is>
          <t>60D¹⁷</t>
        </is>
      </c>
      <c r="B4922" t="inlineStr"/>
      <c r="C4922" t="inlineStr">
        <is>
          <t>240</t>
        </is>
      </c>
      <c r="D4922" t="inlineStr">
        <is>
          <t>1</t>
        </is>
      </c>
      <c r="E4922" t="inlineStr">
        <is>
          <t>60</t>
        </is>
      </c>
      <c r="F4922" t="inlineStr">
        <is>
          <t>8</t>
        </is>
      </c>
      <c r="G4922" t="inlineStr">
        <is>
          <t>0</t>
        </is>
      </c>
      <c r="H4922" t="inlineStr">
        <is>
          <t>60⁴</t>
        </is>
      </c>
      <c r="I4922" t="n">
        <v>4</v>
      </c>
      <c r="J4922" t="inlineStr">
        <is>
          <t>4¹, 8³, 16²</t>
        </is>
      </c>
      <c r="K4922">
        <f>HYPERLINK("CSG1.html#group12D1", "12D¹"), =HYPERLINK("CSG7.html#group30I7", "30I⁷")</f>
        <v/>
      </c>
      <c r="L4922" t="inlineStr"/>
      <c r="M4922">
        <f>HYPERLINK("CSG1.html#group15D1", "15D¹"), =HYPERLINK("CSG1.html#group12D1", "12D¹"), =HYPERLINK("CSG0.html#group6B0", "6B⁰"), =HYPERLINK("CSG3.html#group30H3", "30H³"), =HYPERLINK("CSG0.html#group6E0", "6E⁰"), =HYPERLINK("CSG7.html#group30I7", "30I⁷"), =HYPERLINK("CSG0.html#group3C0", "3C⁰"), =HYPERLINK("CSG0.html#group1A0", "1A⁰"), =HYPERLINK("CSG3.html#group15C3", "15C³"), =HYPERLINK("CSG0.html#group3A0", "3A⁰"), =HYPERLINK("CSG0.html#group5C0", "5C⁰")</f>
        <v/>
      </c>
      <c r="N4922" t="inlineStr"/>
    </row>
    <row r="4923">
      <c r="A4923" t="inlineStr">
        <is>
          <t>60E¹⁷</t>
        </is>
      </c>
      <c r="B4923" t="inlineStr"/>
      <c r="C4923" t="inlineStr">
        <is>
          <t>240</t>
        </is>
      </c>
      <c r="D4923" t="inlineStr">
        <is>
          <t>1</t>
        </is>
      </c>
      <c r="E4923" t="inlineStr">
        <is>
          <t>60</t>
        </is>
      </c>
      <c r="F4923" t="inlineStr">
        <is>
          <t>8</t>
        </is>
      </c>
      <c r="G4923" t="inlineStr">
        <is>
          <t>0</t>
        </is>
      </c>
      <c r="H4923" t="inlineStr">
        <is>
          <t>60⁴</t>
        </is>
      </c>
      <c r="I4923" t="n">
        <v>4</v>
      </c>
      <c r="J4923" t="inlineStr">
        <is>
          <t>2², 4², 8², 16²</t>
        </is>
      </c>
      <c r="K4923">
        <f>HYPERLINK("CSG1.html#group12Q1", "12Q¹"), =HYPERLINK("CSG4.html#group30A4", "30A⁴"), =HYPERLINK("CSG8.html#group60D8", "60D⁸"), =HYPERLINK("CSG9.html#group60C9", "60C⁹")</f>
        <v/>
      </c>
      <c r="L4923" t="inlineStr"/>
      <c r="M4923">
        <f>HYPERLINK("CSG1.html#group12G1", "12G¹"), =HYPERLINK("CSG0.html#group5A0", "5A⁰"), =HYPERLINK("CSG0.html#group6B0", "6B⁰"), =HYPERLINK("CSG8.html#group60D8", "60D⁸"), =HYPERLINK("CSG0.html#group12F0", "12F⁰"), =HYPERLINK("CSG1.html#group20A1", "20A¹"), =HYPERLINK("CSG4.html#group30A4", "30A⁴"), =HYPERLINK("CSG0.html#group1A0", "1A⁰"), =HYPERLINK("CSG0.html#group12A0", "12A⁰"), =HYPERLINK("CSG2.html#group30A2", "30A²"), =HYPERLINK("CSG2.html#group15A2", "15A²"), =HYPERLINK("CSG0.html#group6E0", "6E⁰"), =HYPERLINK("CSG0.html#group4A0", "4A⁰"), =HYPERLINK("CSG4.html#group60A4", "60A⁴"), =HYPERLINK("CSG1.html#group12Q1", "12Q¹"), =HYPERLINK("CSG0.html#group3C0", "3C⁰"), =HYPERLINK("CSG0.html#group3A0", "3A⁰"), =HYPERLINK("CSG9.html#group60C9", "60C⁹"), =HYPERLINK("CSG1.html#group15A1", "15A¹")</f>
        <v/>
      </c>
      <c r="N4923" t="inlineStr"/>
    </row>
    <row r="4924">
      <c r="A4924" t="inlineStr">
        <is>
          <t>60F¹⁷</t>
        </is>
      </c>
      <c r="B4924" t="inlineStr"/>
      <c r="C4924" t="inlineStr">
        <is>
          <t>240</t>
        </is>
      </c>
      <c r="D4924" t="inlineStr">
        <is>
          <t>1</t>
        </is>
      </c>
      <c r="E4924" t="inlineStr">
        <is>
          <t>120</t>
        </is>
      </c>
      <c r="F4924" t="inlineStr">
        <is>
          <t>0</t>
        </is>
      </c>
      <c r="G4924" t="inlineStr">
        <is>
          <t>0</t>
        </is>
      </c>
      <c r="H4924" t="inlineStr">
        <is>
          <t>10², 20², 30², 60²</t>
        </is>
      </c>
      <c r="I4924" t="n">
        <v>8</v>
      </c>
      <c r="J4924" t="inlineStr">
        <is>
          <t>2⁶, 4¹⁵, 8⁶</t>
        </is>
      </c>
      <c r="K4924">
        <f>HYPERLINK("CSG4.html#group20B4", "20B⁴"), =HYPERLINK("CSG7.html#group30L7", "30L⁷")</f>
        <v/>
      </c>
      <c r="L4924" t="inlineStr"/>
      <c r="M4924">
        <f>HYPERLINK("CSG0.html#group3B0", "3B⁰"), =HYPERLINK("CSG0.html#group5C0", "5C⁰"), =HYPERLINK("CSG0.html#group6F0", "6F⁰"), =HYPERLINK("CSG4.html#group20B4", "20B⁴"), =HYPERLINK("CSG0.html#group2B0", "2B⁰"), =HYPERLINK("CSG2.html#group15C2", "15C²"), =HYPERLINK("CSG7.html#group30L7", "30L⁷"), =HYPERLINK("CSG0.html#group1A0", "1A⁰"), =HYPERLINK("CSG1.html#group10F1", "10F¹")</f>
        <v/>
      </c>
      <c r="N4924" t="inlineStr"/>
    </row>
    <row r="4925">
      <c r="A4925" t="inlineStr">
        <is>
          <t>60G¹⁷</t>
        </is>
      </c>
      <c r="B4925" t="inlineStr"/>
      <c r="C4925" t="inlineStr">
        <is>
          <t>240</t>
        </is>
      </c>
      <c r="D4925" t="inlineStr">
        <is>
          <t>1</t>
        </is>
      </c>
      <c r="E4925" t="inlineStr">
        <is>
          <t>120</t>
        </is>
      </c>
      <c r="F4925" t="inlineStr">
        <is>
          <t>0</t>
        </is>
      </c>
      <c r="G4925" t="inlineStr">
        <is>
          <t>0</t>
        </is>
      </c>
      <c r="H4925" t="inlineStr">
        <is>
          <t>10², 20², 30², 60²</t>
        </is>
      </c>
      <c r="I4925" t="n">
        <v>8</v>
      </c>
      <c r="J4925" t="inlineStr">
        <is>
          <t>2⁶, 4¹⁵, 8⁶</t>
        </is>
      </c>
      <c r="K4925">
        <f>HYPERLINK("CSG1.html#group12F1", "12F¹"), =HYPERLINK("CSG3.html#group20F3", "20F³"), =HYPERLINK("CSG7.html#group30L7", "30L⁷")</f>
        <v/>
      </c>
      <c r="L4925" t="inlineStr"/>
      <c r="M4925">
        <f>HYPERLINK("CSG0.html#group3B0", "3B⁰"), =HYPERLINK("CSG1.html#group12F1", "12F¹"), =HYPERLINK("CSG0.html#group4C0", "4C⁰"), =HYPERLINK("CSG0.html#group5C0", "5C⁰"), =HYPERLINK("CSG0.html#group6F0", "6F⁰"), =HYPERLINK("CSG0.html#group2B0", "2B⁰"), =HYPERLINK("CSG2.html#group15C2", "15C²"), =HYPERLINK("CSG7.html#group30L7", "30L⁷"), =HYPERLINK("CSG0.html#group1A0", "1A⁰"), =HYPERLINK("CSG3.html#group20F3", "20F³"), =HYPERLINK("CSG1.html#group10F1", "10F¹")</f>
        <v/>
      </c>
      <c r="N4925" t="inlineStr"/>
    </row>
    <row r="4926">
      <c r="A4926" t="inlineStr">
        <is>
          <t>60H¹⁷</t>
        </is>
      </c>
      <c r="B4926" t="inlineStr"/>
      <c r="C4926" t="inlineStr">
        <is>
          <t>240</t>
        </is>
      </c>
      <c r="D4926" t="inlineStr">
        <is>
          <t>1</t>
        </is>
      </c>
      <c r="E4926" t="inlineStr">
        <is>
          <t>120</t>
        </is>
      </c>
      <c r="F4926" t="inlineStr">
        <is>
          <t>8</t>
        </is>
      </c>
      <c r="G4926" t="inlineStr">
        <is>
          <t>0</t>
        </is>
      </c>
      <c r="H4926" t="inlineStr">
        <is>
          <t>60⁴</t>
        </is>
      </c>
      <c r="I4926" t="n">
        <v>4</v>
      </c>
      <c r="J4926" t="inlineStr">
        <is>
          <t>4², 8⁶, 16⁴</t>
        </is>
      </c>
      <c r="K4926">
        <f>HYPERLINK("CSG4.html#group30C4", "30C⁴"), =HYPERLINK("CSG7.html#group60J7", "60J⁷")</f>
        <v/>
      </c>
      <c r="L4926" t="inlineStr"/>
      <c r="M4926">
        <f>HYPERLINK("CSG7.html#group60J7", "60J⁷"), =HYPERLINK("CSG4.html#group30C4", "30C⁴"), =HYPERLINK("CSG1.html#group15D1", "15D¹"), =HYPERLINK("CSG0.html#group12A0", "12A⁰"), =HYPERLINK("CSG0.html#group4A0", "4A⁰"), =HYPERLINK("CSG0.html#group1A0", "1A⁰"), =HYPERLINK("CSG0.html#group3A0", "3A⁰"), =HYPERLINK("CSG0.html#group5C0", "5C⁰"), =HYPERLINK("CSG2.html#group20E2", "20E²")</f>
        <v/>
      </c>
      <c r="N4926" t="inlineStr"/>
    </row>
    <row r="4927">
      <c r="A4927" t="inlineStr">
        <is>
          <t>60I¹⁷</t>
        </is>
      </c>
      <c r="B4927" t="inlineStr"/>
      <c r="C4927" t="inlineStr">
        <is>
          <t>240</t>
        </is>
      </c>
      <c r="D4927" t="inlineStr">
        <is>
          <t>1</t>
        </is>
      </c>
      <c r="E4927" t="inlineStr">
        <is>
          <t>120</t>
        </is>
      </c>
      <c r="F4927" t="inlineStr">
        <is>
          <t>8</t>
        </is>
      </c>
      <c r="G4927" t="inlineStr">
        <is>
          <t>0</t>
        </is>
      </c>
      <c r="H4927" t="inlineStr">
        <is>
          <t>60⁴</t>
        </is>
      </c>
      <c r="I4927" t="n">
        <v>4</v>
      </c>
      <c r="J4927" t="inlineStr">
        <is>
          <t>4², 8⁶, 16⁴</t>
        </is>
      </c>
      <c r="K4927">
        <f>HYPERLINK("CSG1.html#group12G1", "12G¹"), =HYPERLINK("CSG3.html#group15C3", "15C³"), =HYPERLINK("CSG7.html#group60J7", "60J⁷")</f>
        <v/>
      </c>
      <c r="L4927" t="inlineStr"/>
      <c r="M4927">
        <f>HYPERLINK("CSG1.html#group12G1", "12G¹"), =HYPERLINK("CSG7.html#group60J7", "60J⁷"), =HYPERLINK("CSG1.html#group15D1", "15D¹"), =HYPERLINK("CSG0.html#group12A0", "12A⁰"), =HYPERLINK("CSG0.html#group4A0", "4A⁰"), =HYPERLINK("CSG0.html#group5C0", "5C⁰"), =HYPERLINK("CSG0.html#group3C0", "3C⁰"), =HYPERLINK("CSG3.html#group15C3", "15C³"), =HYPERLINK("CSG0.html#group3A0", "3A⁰"), =HYPERLINK("CSG0.html#group1A0", "1A⁰"), =HYPERLINK("CSG2.html#group20E2", "20E²")</f>
        <v/>
      </c>
      <c r="N4927" t="inlineStr"/>
    </row>
    <row r="4928">
      <c r="A4928" t="inlineStr">
        <is>
          <t>60J¹⁷</t>
        </is>
      </c>
      <c r="B4928" t="inlineStr"/>
      <c r="C4928" t="inlineStr">
        <is>
          <t>240</t>
        </is>
      </c>
      <c r="D4928" t="inlineStr">
        <is>
          <t>2</t>
        </is>
      </c>
      <c r="E4928" t="inlineStr">
        <is>
          <t>30</t>
        </is>
      </c>
      <c r="F4928" t="inlineStr">
        <is>
          <t>8</t>
        </is>
      </c>
      <c r="G4928" t="inlineStr">
        <is>
          <t>0</t>
        </is>
      </c>
      <c r="H4928" t="inlineStr">
        <is>
          <t>60⁴</t>
        </is>
      </c>
      <c r="I4928" t="n">
        <v>4</v>
      </c>
      <c r="J4928" t="inlineStr">
        <is>
          <t>4¹, 8³, 16²</t>
        </is>
      </c>
      <c r="K4928">
        <f>HYPERLINK("CSG7.html#group30J7", "30J⁷"), =HYPERLINK("CSG7.html#group60L7", "60L⁷")</f>
        <v/>
      </c>
      <c r="L4928" t="inlineStr"/>
      <c r="M4928">
        <f>HYPERLINK("CSG1.html#group15D1", "15D¹"), =HYPERLINK("CSG4.html#group30C4", "30C⁴"), =HYPERLINK("CSG2.html#group30F2", "30F²"), =HYPERLINK("CSG0.html#group10D0", "10D⁰"), =HYPERLINK("CSG0.html#group5C0", "5C⁰"), =HYPERLINK("CSG0.html#group3C0", "3C⁰"), =HYPERLINK("CSG3.html#group15C3", "15C³"), =HYPERLINK("CSG0.html#group3A0", "3A⁰"), =HYPERLINK("CSG0.html#group1A0", "1A⁰"), =HYPERLINK("CSG7.html#group60L7", "60L⁷"), =HYPERLINK("CSG7.html#group30J7", "30J⁷")</f>
        <v/>
      </c>
      <c r="N4928" t="inlineStr"/>
    </row>
    <row r="4929">
      <c r="A4929" t="inlineStr">
        <is>
          <t>60K¹⁷</t>
        </is>
      </c>
      <c r="B4929" t="inlineStr"/>
      <c r="C4929" t="inlineStr">
        <is>
          <t>240</t>
        </is>
      </c>
      <c r="D4929" t="inlineStr">
        <is>
          <t>2</t>
        </is>
      </c>
      <c r="E4929" t="inlineStr">
        <is>
          <t>30</t>
        </is>
      </c>
      <c r="F4929" t="inlineStr">
        <is>
          <t>8</t>
        </is>
      </c>
      <c r="G4929" t="inlineStr">
        <is>
          <t>0</t>
        </is>
      </c>
      <c r="H4929" t="inlineStr">
        <is>
          <t>60⁴</t>
        </is>
      </c>
      <c r="I4929" t="n">
        <v>4</v>
      </c>
      <c r="J4929" t="inlineStr">
        <is>
          <t>4¹, 8³, 16²</t>
        </is>
      </c>
      <c r="K4929">
        <f>HYPERLINK("CSG7.html#group30J7", "30J⁷"), =HYPERLINK("CSG7.html#group60K7", "60K⁷"), =HYPERLINK("CSG7.html#group60L7", "60L⁷")</f>
        <v/>
      </c>
      <c r="L4929" t="inlineStr"/>
      <c r="M4929">
        <f>HYPERLINK("CSG1.html#group15D1", "15D¹"), =HYPERLINK("CSG4.html#group30C4", "30C⁴"), =HYPERLINK("CSG2.html#group30F2", "30F²"), =HYPERLINK("CSG0.html#group10D0", "10D⁰"), =HYPERLINK("CSG0.html#group5C0", "5C⁰"), =HYPERLINK("CSG7.html#group60K7", "60K⁷"), =HYPERLINK("CSG0.html#group3C0", "3C⁰"), =HYPERLINK("CSG3.html#group15C3", "15C³"), =HYPERLINK("CSG0.html#group3A0", "3A⁰"), =HYPERLINK("CSG0.html#group1A0", "1A⁰"), =HYPERLINK("CSG7.html#group60L7", "60L⁷"), =HYPERLINK("CSG7.html#group30J7", "30J⁷"), =HYPERLINK("CSG1.html#group20F1", "20F¹")</f>
        <v/>
      </c>
      <c r="N4929" t="inlineStr"/>
    </row>
    <row r="4930">
      <c r="A4930" t="inlineStr">
        <is>
          <t>60L¹⁷</t>
        </is>
      </c>
      <c r="B4930" t="inlineStr"/>
      <c r="C4930" t="inlineStr">
        <is>
          <t>240</t>
        </is>
      </c>
      <c r="D4930" t="inlineStr">
        <is>
          <t>2</t>
        </is>
      </c>
      <c r="E4930" t="inlineStr">
        <is>
          <t>40</t>
        </is>
      </c>
      <c r="F4930" t="inlineStr">
        <is>
          <t>0</t>
        </is>
      </c>
      <c r="G4930" t="inlineStr">
        <is>
          <t>6</t>
        </is>
      </c>
      <c r="H4930" t="inlineStr">
        <is>
          <t>60⁴</t>
        </is>
      </c>
      <c r="I4930" t="n">
        <v>4</v>
      </c>
      <c r="J4930" t="inlineStr">
        <is>
          <t>4⁴, 8⁸</t>
        </is>
      </c>
      <c r="K4930">
        <f>HYPERLINK("CSG4.html#group60B4", "60B⁴"), =HYPERLINK("CSG8.html#group30E8", "30E⁸")</f>
        <v/>
      </c>
      <c r="L4930" t="inlineStr"/>
      <c r="M4930">
        <f>HYPERLINK("CSG8.html#group30E8", "30E⁸"), =HYPERLINK("CSG0.html#group2A0", "2A⁰"), =HYPERLINK("CSG2.html#group30B2", "30B²"), =HYPERLINK("CSG0.html#group5A0", "5A⁰"), =HYPERLINK("CSG0.html#group3B0", "3B⁰"), =HYPERLINK("CSG0.html#group10A0", "10A⁰"), =HYPERLINK("CSG2.html#group30D2", "30D²"), =HYPERLINK("CSG4.html#group60B4", "60B⁴"), =HYPERLINK("CSG0.html#group6C0", "6C⁰"), =HYPERLINK("CSG1.html#group15B1", "15B¹"), =HYPERLINK("CSG0.html#group1A0", "1A⁰"), =HYPERLINK("CSG0.html#group12B0", "12B⁰")</f>
        <v/>
      </c>
      <c r="N4930" t="inlineStr"/>
    </row>
    <row r="4931">
      <c r="A4931" t="inlineStr">
        <is>
          <t>60M¹⁷</t>
        </is>
      </c>
      <c r="B4931" t="inlineStr"/>
      <c r="C4931" t="inlineStr">
        <is>
          <t>270</t>
        </is>
      </c>
      <c r="D4931" t="inlineStr">
        <is>
          <t>1</t>
        </is>
      </c>
      <c r="E4931" t="inlineStr">
        <is>
          <t>135</t>
        </is>
      </c>
      <c r="F4931" t="inlineStr">
        <is>
          <t>8</t>
        </is>
      </c>
      <c r="G4931" t="inlineStr">
        <is>
          <t>0</t>
        </is>
      </c>
      <c r="H4931" t="inlineStr">
        <is>
          <t>15⁶, 60³</t>
        </is>
      </c>
      <c r="I4931" t="n">
        <v>9</v>
      </c>
      <c r="J4931" t="inlineStr">
        <is>
          <t>1³, 2⁶, 4¹², 8⁹</t>
        </is>
      </c>
      <c r="K4931">
        <f>HYPERLINK("CSG7.html#group30P7", "30P⁷")</f>
        <v/>
      </c>
      <c r="L4931" t="inlineStr"/>
      <c r="M4931">
        <f>HYPERLINK("CSG7.html#group30P7", "30P⁷"), =HYPERLINK("CSG3.html#group30D3", "30D³"), =HYPERLINK("CSG0.html#group5A0", "5A⁰"), =HYPERLINK("CSG1.html#group10I1", "10I¹"), =HYPERLINK("CSG3.html#group30E3", "30E³"), =HYPERLINK("CSG1.html#group15A1", "15A¹"), =HYPERLINK("CSG1.html#group10B1", "10B¹"), =HYPERLINK("CSG1.html#group15F1", "15F¹"), =HYPERLINK("CSG0.html#group5E0", "5E⁰"), =HYPERLINK("CSG0.html#group2B0", "2B⁰"), =HYPERLINK("CSG0.html#group3A0", "3A⁰"), =HYPERLINK("CSG0.html#group1A0", "1A⁰"), =HYPERLINK("CSG0.html#group6D0", "6D⁰"), =HYPERLINK("CSG0.html#group15A0", "15A⁰")</f>
        <v/>
      </c>
      <c r="N4931" t="inlineStr"/>
    </row>
    <row r="4932">
      <c r="A4932" t="inlineStr">
        <is>
          <t>60N¹⁷</t>
        </is>
      </c>
      <c r="B4932" t="inlineStr"/>
      <c r="C4932" t="inlineStr">
        <is>
          <t>288</t>
        </is>
      </c>
      <c r="D4932" t="inlineStr">
        <is>
          <t>1</t>
        </is>
      </c>
      <c r="E4932" t="inlineStr">
        <is>
          <t>36</t>
        </is>
      </c>
      <c r="F4932" t="inlineStr">
        <is>
          <t>16</t>
        </is>
      </c>
      <c r="G4932" t="inlineStr">
        <is>
          <t>0</t>
        </is>
      </c>
      <c r="H4932" t="inlineStr">
        <is>
          <t>12⁴, 60⁴</t>
        </is>
      </c>
      <c r="I4932" t="n">
        <v>8</v>
      </c>
      <c r="J4932" t="inlineStr">
        <is>
          <t>2², 4², 8¹, 16¹</t>
        </is>
      </c>
      <c r="K4932">
        <f>HYPERLINK("CSG5.html#group30R5", "30R⁵"), =HYPERLINK("CSG9.html#group60E9", "60E⁹"), =HYPERLINK("CSG9.html#group60F9", "60F⁹")</f>
        <v/>
      </c>
      <c r="L4932" t="inlineStr"/>
      <c r="M4932">
        <f>HYPERLINK("CSG0.html#group30A0", "30A⁰"), =HYPERLINK("CSG3.html#group30L3", "30L³"), =HYPERLINK("CSG0.html#group6B0", "6B⁰"), =HYPERLINK("CSG3.html#group30I3", "30I³"), =HYPERLINK("CSG1.html#group12D1", "12D¹"), =HYPERLINK("CSG3.html#group30J3", "30J³"), =HYPERLINK("CSG9.html#group60F9", "60F⁹"), =HYPERLINK("CSG0.html#group5B0", "5B⁰"), =HYPERLINK("CSG1.html#group15H1", "15H¹"), =HYPERLINK("CSG0.html#group1A0", "1A⁰"), =HYPERLINK("CSG9.html#group60E9", "60E⁹"), =HYPERLINK("CSG0.html#group10B0", "10B⁰"), =HYPERLINK("CSG1.html#group30D1", "30D¹"), =HYPERLINK("CSG0.html#group15B0", "15B⁰"), =HYPERLINK("CSG5.html#group30R5", "30R⁵"), =HYPERLINK("CSG0.html#group6E0", "6E⁰"), =HYPERLINK("CSG1.html#group15E1", "15E¹"), =HYPERLINK("CSG0.html#group3C0", "3C⁰"), =HYPERLINK("CSG0.html#group15C0", "15C⁰"), =HYPERLINK("CSG0.html#group3A0", "3A⁰"), =HYPERLINK("CSG1.html#group30C1", "30C¹"), =HYPERLINK("CSG2.html#group30C2", "30C²")</f>
        <v/>
      </c>
      <c r="N4932" t="inlineStr"/>
    </row>
    <row r="4933">
      <c r="A4933" t="inlineStr">
        <is>
          <t>60O¹⁷</t>
        </is>
      </c>
      <c r="B4933" t="inlineStr"/>
      <c r="C4933" t="inlineStr">
        <is>
          <t>288</t>
        </is>
      </c>
      <c r="D4933" t="inlineStr">
        <is>
          <t>1</t>
        </is>
      </c>
      <c r="E4933" t="inlineStr">
        <is>
          <t>72</t>
        </is>
      </c>
      <c r="F4933" t="inlineStr">
        <is>
          <t>0</t>
        </is>
      </c>
      <c r="G4933" t="inlineStr">
        <is>
          <t>0</t>
        </is>
      </c>
      <c r="H4933" t="inlineStr">
        <is>
          <t>2², 4², 6², 10², 12², 20², 30², 60²</t>
        </is>
      </c>
      <c r="I4933" t="n">
        <v>16</v>
      </c>
      <c r="J4933" t="inlineStr">
        <is>
          <t>1¹², 2⁶, 4⁶, 8³</t>
        </is>
      </c>
      <c r="K4933">
        <f>HYPERLINK("CSG5.html#group30S5", "30S⁵")</f>
        <v/>
      </c>
      <c r="L4933" t="inlineStr"/>
      <c r="M4933">
        <f>HYPERLINK("CSG1.html#group15C1", "15C¹"), =HYPERLINK("CSG0.html#group3B0", "3B⁰"), =HYPERLINK("CSG0.html#group5B0", "5B⁰"), =HYPERLINK("CSG0.html#group10C0", "10C⁰"), =HYPERLINK("CSG1.html#group15G1", "15G¹"), =HYPERLINK("CSG5.html#group30S5", "30S⁵"), =HYPERLINK("CSG0.html#group5D0", "5D⁰"), =HYPERLINK("CSG0.html#group2B0", "2B⁰"), =HYPERLINK("CSG3.html#group30K3", "30K³"), =HYPERLINK("CSG0.html#group1A0", "1A⁰"), =HYPERLINK("CSG0.html#group6F0", "6F⁰"), =HYPERLINK("CSG0.html#group10F0", "10F⁰")</f>
        <v/>
      </c>
      <c r="N4933" t="inlineStr"/>
    </row>
    <row r="4934">
      <c r="A4934" t="inlineStr">
        <is>
          <t>60P¹⁷</t>
        </is>
      </c>
      <c r="B4934" t="inlineStr"/>
      <c r="C4934" t="inlineStr">
        <is>
          <t>288</t>
        </is>
      </c>
      <c r="D4934" t="inlineStr">
        <is>
          <t>1</t>
        </is>
      </c>
      <c r="E4934" t="inlineStr">
        <is>
          <t>72</t>
        </is>
      </c>
      <c r="F4934" t="inlineStr">
        <is>
          <t>0</t>
        </is>
      </c>
      <c r="G4934" t="inlineStr">
        <is>
          <t>0</t>
        </is>
      </c>
      <c r="H4934" t="inlineStr">
        <is>
          <t>2², 4², 6², 10², 12², 20², 30², 60²</t>
        </is>
      </c>
      <c r="I4934" t="n">
        <v>16</v>
      </c>
      <c r="J4934" t="inlineStr">
        <is>
          <t>1¹², 2⁶, 4⁶, 8³</t>
        </is>
      </c>
      <c r="K4934">
        <f>HYPERLINK("CSG1.html#group20I1", "20I¹"), =HYPERLINK("CSG7.html#group30S7", "30S⁷"), =HYPERLINK("CSG7.html#group60O7", "60O⁷"), =HYPERLINK("CSG9.html#group60H9", "60H⁹")</f>
        <v/>
      </c>
      <c r="L4934" t="inlineStr"/>
      <c r="M4934">
        <f>HYPERLINK("CSG1.html#group20E1", "20E¹"), =HYPERLINK("CSG0.html#group3B0", "3B⁰"), =HYPERLINK("CSG0.html#group10G0", "10G⁰"), =HYPERLINK("CSG1.html#group12F1", "12F¹"), =HYPERLINK("CSG0.html#group4C0", "4C⁰"), =HYPERLINK("CSG0.html#group5B0", "5B⁰"), =HYPERLINK("CSG7.html#group60O7", "60O⁷"), =HYPERLINK("CSG0.html#group2B0", "2B⁰"), =HYPERLINK("CSG7.html#group30S7", "30S⁷"), =HYPERLINK("CSG0.html#group1A0", "1A⁰"), =HYPERLINK("CSG0.html#group10B0", "10B⁰"), =HYPERLINK("CSG1.html#group15C1", "15C¹"), =HYPERLINK("CSG0.html#group20A0", "20A⁰"), =HYPERLINK("CSG3.html#group30F3", "30F³"), =HYPERLINK("CSG1.html#group20I1", "20I¹"), =HYPERLINK("CSG0.html#group6F0", "6F⁰"), =HYPERLINK("CSG0.html#group10C0", "10C⁰"), =HYPERLINK("CSG3.html#group30K3", "30K³"), =HYPERLINK("CSG9.html#group60H9", "60H⁹")</f>
        <v/>
      </c>
      <c r="N4934" t="inlineStr"/>
    </row>
    <row r="4935">
      <c r="A4935" t="inlineStr">
        <is>
          <t>60Q¹⁷</t>
        </is>
      </c>
      <c r="B4935" t="inlineStr"/>
      <c r="C4935" t="inlineStr">
        <is>
          <t>288</t>
        </is>
      </c>
      <c r="D4935" t="inlineStr">
        <is>
          <t>1</t>
        </is>
      </c>
      <c r="E4935" t="inlineStr">
        <is>
          <t>72</t>
        </is>
      </c>
      <c r="F4935" t="inlineStr">
        <is>
          <t>0</t>
        </is>
      </c>
      <c r="G4935" t="inlineStr">
        <is>
          <t>0</t>
        </is>
      </c>
      <c r="H4935" t="inlineStr">
        <is>
          <t>2², 4², 6², 10², 12², 20², 30², 60²</t>
        </is>
      </c>
      <c r="I4935" t="n">
        <v>16</v>
      </c>
      <c r="J4935" t="inlineStr">
        <is>
          <t>1¹², 2⁶, 4⁶, 8³</t>
        </is>
      </c>
      <c r="K4935">
        <f>HYPERLINK("CSG3.html#group20G3", "20G³"), =HYPERLINK("CSG5.html#group30S5", "30S⁵"), =HYPERLINK("CSG9.html#group60G9", "60G⁹"), =HYPERLINK("CSG9.html#group60H9", "60H⁹")</f>
        <v/>
      </c>
      <c r="L4935" t="inlineStr"/>
      <c r="M4935">
        <f>HYPERLINK("CSG0.html#group3B0", "3B⁰"), =HYPERLINK("CSG1.html#group20E1", "20E¹"), =HYPERLINK("CSG1.html#group12F1", "12F¹"), =HYPERLINK("CSG3.html#group20G3", "20G³"), =HYPERLINK("CSG0.html#group4C0", "4C⁰"), =HYPERLINK("CSG0.html#group5B0", "5B⁰"), =HYPERLINK("CSG9.html#group60G9", "60G⁹"), =HYPERLINK("CSG1.html#group15G1", "15G¹"), =HYPERLINK("CSG0.html#group5D0", "5D⁰"), =HYPERLINK("CSG0.html#group2B0", "2B⁰"), =HYPERLINK("CSG0.html#group1A0", "1A⁰"), =HYPERLINK("CSG0.html#group10F0", "10F⁰"), =HYPERLINK("CSG1.html#group15C1", "15C¹"), =HYPERLINK("CSG9.html#group60H9", "60H⁹"), =HYPERLINK("CSG0.html#group10C0", "10C⁰"), =HYPERLINK("CSG5.html#group30S5", "30S⁵"), =HYPERLINK("CSG3.html#group30K3", "30K³"), =HYPERLINK("CSG0.html#group6F0", "6F⁰"), =HYPERLINK("CSG2.html#group20C2", "20C²")</f>
        <v/>
      </c>
      <c r="N4935" t="inlineStr"/>
    </row>
    <row r="4936">
      <c r="A4936" t="inlineStr">
        <is>
          <t>60R¹⁷</t>
        </is>
      </c>
      <c r="B4936" t="inlineStr"/>
      <c r="C4936" t="inlineStr">
        <is>
          <t>288</t>
        </is>
      </c>
      <c r="D4936" t="inlineStr">
        <is>
          <t>1</t>
        </is>
      </c>
      <c r="E4936" t="inlineStr">
        <is>
          <t>72</t>
        </is>
      </c>
      <c r="F4936" t="inlineStr">
        <is>
          <t>0</t>
        </is>
      </c>
      <c r="G4936" t="inlineStr">
        <is>
          <t>0</t>
        </is>
      </c>
      <c r="H4936" t="inlineStr">
        <is>
          <t>2², 4², 6², 10², 12², 20², 30², 60²</t>
        </is>
      </c>
      <c r="I4936" t="n">
        <v>16</v>
      </c>
      <c r="J4936" t="inlineStr">
        <is>
          <t>1¹², 2⁶, 4⁶, 8³</t>
        </is>
      </c>
      <c r="K4936">
        <f>HYPERLINK("CSG3.html#group20H3", "20H³"), =HYPERLINK("CSG7.html#group30S7", "30S⁷"), =HYPERLINK("CSG7.html#group60P7", "60P⁷"), =HYPERLINK("CSG9.html#group60G9", "60G⁹")</f>
        <v/>
      </c>
      <c r="L4936" t="inlineStr"/>
      <c r="M4936">
        <f>HYPERLINK("CSG0.html#group3B0", "3B⁰"), =HYPERLINK("CSG0.html#group10G0", "10G⁰"), =HYPERLINK("CSG0.html#group5B0", "5B⁰"), =HYPERLINK("CSG9.html#group60G9", "60G⁹"), =HYPERLINK("CSG0.html#group2B0", "2B⁰"), =HYPERLINK("CSG1.html#group20D1", "20D¹"), =HYPERLINK("CSG7.html#group30S7", "30S⁷"), =HYPERLINK("CSG0.html#group4B0", "4B⁰"), =HYPERLINK("CSG0.html#group1A0", "1A⁰"), =HYPERLINK("CSG3.html#group20H3", "20H³"), =HYPERLINK("CSG0.html#group10B0", "10B⁰"), =HYPERLINK("CSG1.html#group15C1", "15C¹"), =HYPERLINK("CSG3.html#group30F3", "30F³"), =HYPERLINK("CSG0.html#group10C0", "10C⁰"), =HYPERLINK("CSG7.html#group60P7", "60P⁷"), =HYPERLINK("CSG3.html#group30K3", "30K³"), =HYPERLINK("CSG0.html#group6F0", "6F⁰"), =HYPERLINK("CSG2.html#group20C2", "20C²"), =HYPERLINK("CSG0.html#group12E0", "12E⁰")</f>
        <v/>
      </c>
      <c r="N4936" t="inlineStr"/>
    </row>
    <row r="4937">
      <c r="A4937" t="inlineStr">
        <is>
          <t>60S¹⁷</t>
        </is>
      </c>
      <c r="B4937" t="inlineStr"/>
      <c r="C4937" t="inlineStr">
        <is>
          <t>288</t>
        </is>
      </c>
      <c r="D4937" t="inlineStr">
        <is>
          <t>1</t>
        </is>
      </c>
      <c r="E4937" t="inlineStr">
        <is>
          <t>72</t>
        </is>
      </c>
      <c r="F4937" t="inlineStr">
        <is>
          <t>0</t>
        </is>
      </c>
      <c r="G4937" t="inlineStr">
        <is>
          <t>0</t>
        </is>
      </c>
      <c r="H4937" t="inlineStr">
        <is>
          <t>2², 4², 6², 10², 12², 20², 30², 60²</t>
        </is>
      </c>
      <c r="I4937" t="n">
        <v>16</v>
      </c>
      <c r="J4937" t="inlineStr">
        <is>
          <t>1¹², 2⁶, 4⁶, 8³</t>
        </is>
      </c>
      <c r="K4937">
        <f>HYPERLINK("CSG3.html#group20I3", "20I³"), =HYPERLINK("CSG7.html#group30Q7", "30Q⁷"), =HYPERLINK("CSG7.html#group60O7", "60O⁷"), =HYPERLINK("CSG9.html#group60G9", "60G⁹")</f>
        <v/>
      </c>
      <c r="L4937" t="inlineStr"/>
      <c r="M4937">
        <f>HYPERLINK("CSG7.html#group30Q7", "30Q⁷"), =HYPERLINK("CSG0.html#group2A0", "2A⁰"), =HYPERLINK("CSG0.html#group3B0", "3B⁰"), =HYPERLINK("CSG0.html#group6I0", "6I⁰"), =HYPERLINK("CSG0.html#group6C0", "6C⁰"), =HYPERLINK("CSG0.html#group5B0", "5B⁰"), =HYPERLINK("CSG9.html#group60G9", "60G⁹"), =HYPERLINK("CSG1.html#group10A1", "10A¹"), =HYPERLINK("CSG7.html#group60O7", "60O⁷"), =HYPERLINK("CSG0.html#group2B0", "2B⁰"), =HYPERLINK("CSG3.html#group30G3", "30G³"), =HYPERLINK("CSG0.html#group1A0", "1A⁰"), =HYPERLINK("CSG1.html#group15C1", "15C¹"), =HYPERLINK("CSG0.html#group20A0", "20A⁰"), =HYPERLINK("CSG0.html#group10C0", "10C⁰"), =HYPERLINK("CSG3.html#group30K3", "30K³"), =HYPERLINK("CSG3.html#group20I3", "20I³"), =HYPERLINK("CSG0.html#group6F0", "6F⁰"), =HYPERLINK("CSG0.html#group2C0", "2C⁰"), =HYPERLINK("CSG2.html#group20C2", "20C²"), =HYPERLINK("CSG1.html#group10G1", "10G¹")</f>
        <v/>
      </c>
      <c r="N4937" t="inlineStr"/>
    </row>
    <row r="4938">
      <c r="A4938" t="inlineStr">
        <is>
          <t>60T¹⁷</t>
        </is>
      </c>
      <c r="B4938" t="inlineStr"/>
      <c r="C4938" t="inlineStr">
        <is>
          <t>288</t>
        </is>
      </c>
      <c r="D4938" t="inlineStr">
        <is>
          <t>1</t>
        </is>
      </c>
      <c r="E4938" t="inlineStr">
        <is>
          <t>72</t>
        </is>
      </c>
      <c r="F4938" t="inlineStr">
        <is>
          <t>0</t>
        </is>
      </c>
      <c r="G4938" t="inlineStr">
        <is>
          <t>0</t>
        </is>
      </c>
      <c r="H4938" t="inlineStr">
        <is>
          <t>2², 4², 6², 10², 12², 20², 30², 60²</t>
        </is>
      </c>
      <c r="I4938" t="n">
        <v>16</v>
      </c>
      <c r="J4938" t="inlineStr">
        <is>
          <t>1¹², 2⁶, 4⁶, 8³</t>
        </is>
      </c>
      <c r="K4938">
        <f>HYPERLINK("CSG1.html#group12P1", "12P¹"), =HYPERLINK("CSG3.html#group20J3", "20J³"), =HYPERLINK("CSG7.html#group30Q7", "30Q⁷"), =HYPERLINK("CSG7.html#group60P7", "60P⁷"), =HYPERLINK("CSG9.html#group60H9", "60H⁹")</f>
        <v/>
      </c>
      <c r="L4938" t="inlineStr"/>
      <c r="M4938">
        <f>HYPERLINK("CSG7.html#group30Q7", "30Q⁷"), =HYPERLINK("CSG0.html#group3B0", "3B⁰"), =HYPERLINK("CSG0.html#group2A0", "2A⁰"), =HYPERLINK("CSG1.html#group20E1", "20E¹"), =HYPERLINK("CSG0.html#group6I0", "6I⁰"), =HYPERLINK("CSG1.html#group12F1", "12F¹"), =HYPERLINK("CSG0.html#group6C0", "6C⁰"), =HYPERLINK("CSG0.html#group4C0", "4C⁰"), =HYPERLINK("CSG0.html#group5B0", "5B⁰"), =HYPERLINK("CSG1.html#group10A1", "10A¹"), =HYPERLINK("CSG0.html#group2B0", "2B⁰"), =HYPERLINK("CSG1.html#group20D1", "20D¹"), =HYPERLINK("CSG0.html#group4E0", "4E⁰"), =HYPERLINK("CSG1.html#group12P1", "12P¹"), =HYPERLINK("CSG3.html#group30G3", "30G³"), =HYPERLINK("CSG0.html#group4B0", "4B⁰"), =HYPERLINK("CSG0.html#group1A0", "1A⁰"), =HYPERLINK("CSG1.html#group15C1", "15C¹"), =HYPERLINK("CSG9.html#group60H9", "60H⁹"), =HYPERLINK("CSG0.html#group6F0", "6F⁰"), =HYPERLINK("CSG0.html#group10C0", "10C⁰"), =HYPERLINK("CSG7.html#group60P7", "60P⁷"), =HYPERLINK("CSG3.html#group30K3", "30K³"), =HYPERLINK("CSG3.html#group20J3", "20J³"), =HYPERLINK("CSG0.html#group2C0", "2C⁰"), =HYPERLINK("CSG0.html#group12E0", "12E⁰"), =HYPERLINK("CSG1.html#group10G1", "10G¹")</f>
        <v/>
      </c>
      <c r="N4938" t="inlineStr"/>
    </row>
    <row r="4939">
      <c r="A4939" t="inlineStr">
        <is>
          <t>60U¹⁷</t>
        </is>
      </c>
      <c r="B4939" t="inlineStr"/>
      <c r="C4939" t="inlineStr">
        <is>
          <t>288</t>
        </is>
      </c>
      <c r="D4939" t="inlineStr">
        <is>
          <t>1</t>
        </is>
      </c>
      <c r="E4939" t="inlineStr">
        <is>
          <t>72</t>
        </is>
      </c>
      <c r="F4939" t="inlineStr">
        <is>
          <t>16</t>
        </is>
      </c>
      <c r="G4939" t="inlineStr">
        <is>
          <t>0</t>
        </is>
      </c>
      <c r="H4939" t="inlineStr">
        <is>
          <t>12⁴, 60⁴</t>
        </is>
      </c>
      <c r="I4939" t="n">
        <v>8</v>
      </c>
      <c r="J4939" t="inlineStr">
        <is>
          <t>2⁴, 4⁴, 8², 16²</t>
        </is>
      </c>
      <c r="K4939">
        <f>HYPERLINK("CSG1.html#group15H1", "15H¹"), =HYPERLINK("CSG7.html#group60Q7", "60Q⁷"), =HYPERLINK("CSG9.html#group60J9", "60J⁹")</f>
        <v/>
      </c>
      <c r="L4939" t="inlineStr"/>
      <c r="M4939">
        <f>HYPERLINK("CSG1.html#group12G1", "12G¹"), =HYPERLINK("CSG9.html#group60J9", "60J⁹"), =HYPERLINK("CSG0.html#group5B0", "5B⁰"), =HYPERLINK("CSG1.html#group15H1", "15H¹"), =HYPERLINK("CSG0.html#group1A0", "1A⁰"), =HYPERLINK("CSG1.html#group20B1", "20B¹"), =HYPERLINK("CSG0.html#group15B0", "15B⁰"), =HYPERLINK("CSG0.html#group12A0", "12A⁰"), =HYPERLINK("CSG0.html#group4A0", "4A⁰"), =HYPERLINK("CSG7.html#group60Q7", "60Q⁷"), =HYPERLINK("CSG0.html#group3C0", "3C⁰"), =HYPERLINK("CSG0.html#group15C0", "15C⁰"), =HYPERLINK("CSG3.html#group60B3", "60B³"), =HYPERLINK("CSG0.html#group3A0", "3A⁰"), =HYPERLINK("CSG1.html#group15E1", "15E¹")</f>
        <v/>
      </c>
      <c r="N4939" t="inlineStr"/>
    </row>
    <row r="4940">
      <c r="A4940" t="inlineStr">
        <is>
          <t>60V¹⁷</t>
        </is>
      </c>
      <c r="B4940" t="inlineStr"/>
      <c r="C4940" t="inlineStr">
        <is>
          <t>288</t>
        </is>
      </c>
      <c r="D4940" t="inlineStr">
        <is>
          <t>1</t>
        </is>
      </c>
      <c r="E4940" t="inlineStr">
        <is>
          <t>72</t>
        </is>
      </c>
      <c r="F4940" t="inlineStr">
        <is>
          <t>16</t>
        </is>
      </c>
      <c r="G4940" t="inlineStr">
        <is>
          <t>0</t>
        </is>
      </c>
      <c r="H4940" t="inlineStr">
        <is>
          <t>12⁴, 60⁴</t>
        </is>
      </c>
      <c r="I4940" t="n">
        <v>8</v>
      </c>
      <c r="J4940" t="inlineStr">
        <is>
          <t>2⁴, 4⁴, 8², 16²</t>
        </is>
      </c>
      <c r="K4940">
        <f>HYPERLINK("CSG1.html#group12Q1", "12Q¹"), =HYPERLINK("CSG3.html#group30I3", "30I³"), =HYPERLINK("CSG7.html#group60R7", "60R⁷"), =HYPERLINK("CSG9.html#group60J9", "60J⁹")</f>
        <v/>
      </c>
      <c r="L4940" t="inlineStr"/>
      <c r="M4940">
        <f>HYPERLINK("CSG1.html#group12G1", "12G¹"), =HYPERLINK("CSG0.html#group6B0", "6B⁰"), =HYPERLINK("CSG3.html#group30I3", "30I³"), =HYPERLINK("CSG9.html#group60J9", "60J⁹"), =HYPERLINK("CSG1.html#group30C1", "30C¹"), =HYPERLINK("CSG7.html#group60R7", "60R⁷"), =HYPERLINK("CSG0.html#group12F0", "12F⁰"), =HYPERLINK("CSG0.html#group5B0", "5B⁰"), =HYPERLINK("CSG0.html#group1A0", "1A⁰"), =HYPERLINK("CSG1.html#group20B1", "20B¹"), =HYPERLINK("CSG0.html#group15B0", "15B⁰"), =HYPERLINK("CSG0.html#group12A0", "12A⁰"), =HYPERLINK("CSG0.html#group6E0", "6E⁰"), =HYPERLINK("CSG0.html#group4A0", "4A⁰"), =HYPERLINK("CSG1.html#group12Q1", "12Q¹"), =HYPERLINK("CSG0.html#group3C0", "3C⁰"), =HYPERLINK("CSG3.html#group60B3", "60B³"), =HYPERLINK("CSG0.html#group3A0", "3A⁰"), =HYPERLINK("CSG1.html#group15E1", "15E¹")</f>
        <v/>
      </c>
      <c r="N4940" t="inlineStr"/>
    </row>
    <row r="4941">
      <c r="A4941" t="inlineStr">
        <is>
          <t>60W¹⁷</t>
        </is>
      </c>
      <c r="B4941" t="inlineStr"/>
      <c r="C4941" t="inlineStr">
        <is>
          <t>288</t>
        </is>
      </c>
      <c r="D4941" t="inlineStr">
        <is>
          <t>1</t>
        </is>
      </c>
      <c r="E4941" t="inlineStr">
        <is>
          <t>72</t>
        </is>
      </c>
      <c r="F4941" t="inlineStr">
        <is>
          <t>16</t>
        </is>
      </c>
      <c r="G4941" t="inlineStr">
        <is>
          <t>0</t>
        </is>
      </c>
      <c r="H4941" t="inlineStr">
        <is>
          <t>12⁴, 60⁴</t>
        </is>
      </c>
      <c r="I4941" t="n">
        <v>8</v>
      </c>
      <c r="J4941" t="inlineStr">
        <is>
          <t>2⁴, 4⁴, 8², 16²</t>
        </is>
      </c>
      <c r="K4941">
        <f>HYPERLINK("CSG3.html#group30J3", "30J³"), =HYPERLINK("CSG5.html#group60C5", "60C⁵"), =HYPERLINK("CSG9.html#group60I9", "60I⁹"), =HYPERLINK("CSG9.html#group60J9", "60J⁹")</f>
        <v/>
      </c>
      <c r="L4941" t="inlineStr"/>
      <c r="M4941">
        <f>HYPERLINK("CSG0.html#group30A0", "30A⁰"), =HYPERLINK("CSG1.html#group12G1", "12G¹"), =HYPERLINK("CSG5.html#group60C5", "60C⁵"), =HYPERLINK("CSG9.html#group60J9", "60J⁹"), =HYPERLINK("CSG3.html#group30J3", "30J³"), =HYPERLINK("CSG0.html#group5B0", "5B⁰"), =HYPERLINK("CSG0.html#group1A0", "1A⁰"), =HYPERLINK("CSG1.html#group20B1", "20B¹"), =HYPERLINK("CSG9.html#group60I9", "60I⁹"), =HYPERLINK("CSG0.html#group10B0", "10B⁰"), =HYPERLINK("CSG0.html#group15B0", "15B⁰"), =HYPERLINK("CSG0.html#group12A0", "12A⁰"), =HYPERLINK("CSG0.html#group4A0", "4A⁰"), =HYPERLINK("CSG1.html#group20G1", "20G¹"), =HYPERLINK("CSG0.html#group3C0", "3C⁰"), =HYPERLINK("CSG3.html#group60B3", "60B³"), =HYPERLINK("CSG0.html#group3A0", "3A⁰"), =HYPERLINK("CSG1.html#group15E1", "15E¹"), =HYPERLINK("CSG2.html#group30C2", "30C²")</f>
        <v/>
      </c>
      <c r="N4941" t="inlineStr"/>
    </row>
    <row r="4942">
      <c r="A4942" t="inlineStr">
        <is>
          <t>60X¹⁷</t>
        </is>
      </c>
      <c r="B4942" t="inlineStr"/>
      <c r="C4942" t="inlineStr">
        <is>
          <t>288</t>
        </is>
      </c>
      <c r="D4942" t="inlineStr">
        <is>
          <t>2</t>
        </is>
      </c>
      <c r="E4942" t="inlineStr">
        <is>
          <t>18</t>
        </is>
      </c>
      <c r="F4942" t="inlineStr">
        <is>
          <t>16</t>
        </is>
      </c>
      <c r="G4942" t="inlineStr">
        <is>
          <t>0</t>
        </is>
      </c>
      <c r="H4942" t="inlineStr">
        <is>
          <t>12⁴, 60⁴</t>
        </is>
      </c>
      <c r="I4942" t="n">
        <v>8</v>
      </c>
      <c r="J4942" t="inlineStr">
        <is>
          <t>2², 4², 8¹, 16¹</t>
        </is>
      </c>
      <c r="K4942">
        <f>HYPERLINK("CSG5.html#group30R5", "30R⁵"), =HYPERLINK("CSG7.html#group60M7", "60M⁷"), =HYPERLINK("CSG7.html#group60N7", "60N⁷"), =HYPERLINK("CSG7.html#group60S7", "60S⁷"), =HYPERLINK("CSG9.html#group60K9", "60K⁹"), =HYPERLINK("CSG9.html#group60L9", "60L⁹")</f>
        <v/>
      </c>
      <c r="L4942" t="inlineStr"/>
      <c r="M4942">
        <f>HYPERLINK("CSG0.html#group30A0", "30A⁰"), =HYPERLINK("CSG1.html#group20C1", "20C¹"), =HYPERLINK("CSG3.html#group30L3", "30L³"), =HYPERLINK("CSG0.html#group6B0", "6B⁰"), =HYPERLINK("CSG3.html#group30I3", "30I³"), =HYPERLINK("CSG9.html#group60L9", "60L⁹"), =HYPERLINK("CSG1.html#group30C1", "30C¹"), =HYPERLINK("CSG3.html#group30J3", "30J³"), =HYPERLINK("CSG0.html#group5B0", "5B⁰"), =HYPERLINK("CSG7.html#group60N7", "60N⁷"), =HYPERLINK("CSG3.html#group60D3", "60D³"), =HYPERLINK("CSG7.html#group60M7", "60M⁷"), =HYPERLINK("CSG1.html#group15H1", "15H¹"), =HYPERLINK("CSG0.html#group1A0", "1A⁰"), =HYPERLINK("CSG7.html#group60S7", "60S⁷"), =HYPERLINK("CSG1.html#group30D1", "30D¹"), =HYPERLINK("CSG0.html#group10B0", "10B⁰"), =HYPERLINK("CSG0.html#group15B0", "15B⁰"), =HYPERLINK("CSG5.html#group30R5", "30R⁵"), =HYPERLINK("CSG3.html#group60C3", "60C³"), =HYPERLINK("CSG9.html#group60K9", "60K⁹"), =HYPERLINK("CSG0.html#group6E0", "6E⁰"), =HYPERLINK("CSG0.html#group3C0", "3C⁰"), =HYPERLINK("CSG0.html#group15C0", "15C⁰"), =HYPERLINK("CSG0.html#group3A0", "3A⁰"), =HYPERLINK("CSG1.html#group15E1", "15E¹"), =HYPERLINK("CSG2.html#group30C2", "30C²")</f>
        <v/>
      </c>
      <c r="N4942" t="inlineStr"/>
    </row>
    <row r="4943">
      <c r="A4943" t="inlineStr">
        <is>
          <t>60Y¹⁷</t>
        </is>
      </c>
      <c r="B4943" t="inlineStr"/>
      <c r="C4943" t="inlineStr">
        <is>
          <t>288</t>
        </is>
      </c>
      <c r="D4943" t="inlineStr">
        <is>
          <t>2</t>
        </is>
      </c>
      <c r="E4943" t="inlineStr">
        <is>
          <t>72</t>
        </is>
      </c>
      <c r="F4943" t="inlineStr">
        <is>
          <t>16</t>
        </is>
      </c>
      <c r="G4943" t="inlineStr">
        <is>
          <t>0</t>
        </is>
      </c>
      <c r="H4943" t="inlineStr">
        <is>
          <t>12⁴, 60⁴</t>
        </is>
      </c>
      <c r="I4943" t="n">
        <v>8</v>
      </c>
      <c r="J4943" t="inlineStr">
        <is>
          <t>4¹², 16⁶</t>
        </is>
      </c>
      <c r="K4943">
        <f>HYPERLINK("CSG3.html#group30L3", "30L³"), =HYPERLINK("CSG7.html#group60Q7", "60Q⁷"), =HYPERLINK("CSG7.html#group60R7", "60R⁷"), =HYPERLINK("CSG9.html#group60I9", "60I⁹")</f>
        <v/>
      </c>
      <c r="L4943" t="inlineStr"/>
      <c r="M4943">
        <f>HYPERLINK("CSG3.html#group30L3", "30L³"), =HYPERLINK("CSG0.html#group6B0", "6B⁰"), =HYPERLINK("CSG1.html#group30C1", "30C¹"), =HYPERLINK("CSG7.html#group60R7", "60R⁷"), =HYPERLINK("CSG0.html#group5B0", "5B⁰"), =HYPERLINK("CSG0.html#group12F0", "12F⁰"), =HYPERLINK("CSG0.html#group1A0", "1A⁰"), =HYPERLINK("CSG1.html#group20B1", "20B¹"), =HYPERLINK("CSG9.html#group60I9", "60I⁹"), =HYPERLINK("CSG0.html#group15B0", "15B⁰"), =HYPERLINK("CSG0.html#group12A0", "12A⁰"), =HYPERLINK("CSG0.html#group4A0", "4A⁰"), =HYPERLINK("CSG7.html#group60Q7", "60Q⁷"), =HYPERLINK("CSG3.html#group60B3", "60B³"), =HYPERLINK("CSG0.html#group3A0", "3A⁰"), =HYPERLINK("CSG0.html#group15C0", "15C⁰"), =HYPERLINK("CSG2.html#group30C2", "30C²")</f>
        <v/>
      </c>
      <c r="N4943" t="inlineStr"/>
    </row>
    <row r="4944">
      <c r="A4944" t="inlineStr">
        <is>
          <t>63A¹⁷</t>
        </is>
      </c>
      <c r="B4944" t="inlineStr"/>
      <c r="C4944" t="inlineStr">
        <is>
          <t>252</t>
        </is>
      </c>
      <c r="D4944" t="inlineStr">
        <is>
          <t>2</t>
        </is>
      </c>
      <c r="E4944" t="inlineStr">
        <is>
          <t>21</t>
        </is>
      </c>
      <c r="F4944" t="inlineStr">
        <is>
          <t>12</t>
        </is>
      </c>
      <c r="G4944" t="inlineStr">
        <is>
          <t>0</t>
        </is>
      </c>
      <c r="H4944" t="inlineStr">
        <is>
          <t>63⁴</t>
        </is>
      </c>
      <c r="I4944" t="n">
        <v>4</v>
      </c>
      <c r="J4944" t="inlineStr">
        <is>
          <t>2¹, 4¹, 6², 12²</t>
        </is>
      </c>
      <c r="K4944">
        <f>HYPERLINK("CSG5.html#group21B5", "21B⁵"), =HYPERLINK("CSG6.html#group63E6", "63E⁶"), =HYPERLINK("CSG7.html#group63D7", "63D⁷"), =HYPERLINK("CSG8.html#group63A8", "63A⁸")</f>
        <v/>
      </c>
      <c r="L4944" t="inlineStr"/>
      <c r="M4944">
        <f>HYPERLINK("CSG2.html#group21D2", "21D²"), =HYPERLINK("CSG5.html#group21B5", "21B⁵"), =HYPERLINK("CSG1.html#group21D1", "21D¹"), =HYPERLINK("CSG2.html#group21C2", "21C²"), =HYPERLINK("CSG6.html#group63E6", "63E⁶"), =HYPERLINK("CSG0.html#group21A0", "21A⁰"), =HYPERLINK("CSG0.html#group1A0", "1A⁰"), =HYPERLINK("CSG2.html#group63A2", "63A²"), =HYPERLINK("CSG8.html#group63A8", "63A⁸"), =HYPERLINK("CSG0.html#group9D0", "9D⁰"), =HYPERLINK("CSG0.html#group9A0", "9A⁰"), =HYPERLINK("CSG0.html#group7C0", "7C⁰"), =HYPERLINK("CSG0.html#group3C0", "3C⁰"), =HYPERLINK("CSG0.html#group3A0", "3A⁰"), =HYPERLINK("CSG7.html#group63D7", "63D⁷"), =HYPERLINK("CSG0.html#group7A0", "7A⁰")</f>
        <v/>
      </c>
      <c r="N4944" t="inlineStr"/>
    </row>
    <row r="4945">
      <c r="A4945" t="inlineStr">
        <is>
          <t>63B¹⁷</t>
        </is>
      </c>
      <c r="B4945" t="inlineStr"/>
      <c r="C4945" t="inlineStr">
        <is>
          <t>252</t>
        </is>
      </c>
      <c r="D4945" t="inlineStr">
        <is>
          <t>2</t>
        </is>
      </c>
      <c r="E4945" t="inlineStr">
        <is>
          <t>42</t>
        </is>
      </c>
      <c r="F4945" t="inlineStr">
        <is>
          <t>12</t>
        </is>
      </c>
      <c r="G4945" t="inlineStr">
        <is>
          <t>0</t>
        </is>
      </c>
      <c r="H4945" t="inlineStr">
        <is>
          <t>63⁴</t>
        </is>
      </c>
      <c r="I4945" t="n">
        <v>4</v>
      </c>
      <c r="J4945" t="inlineStr">
        <is>
          <t>4³, 12⁶</t>
        </is>
      </c>
      <c r="K4945">
        <f>HYPERLINK("CSG5.html#group21B5", "21B⁵"), =HYPERLINK("CSG7.html#group63E7", "63E⁷")</f>
        <v/>
      </c>
      <c r="L4945" t="inlineStr"/>
      <c r="M4945">
        <f>HYPERLINK("CSG2.html#group21D2", "21D²"), =HYPERLINK("CSG5.html#group21B5", "21B⁵"), =HYPERLINK("CSG1.html#group21D1", "21D¹"), =HYPERLINK("CSG0.html#group7C0", "7C⁰"), =HYPERLINK("CSG2.html#group21C2", "21C²"), =HYPERLINK("CSG0.html#group21A0", "21A⁰"), =HYPERLINK("CSG0.html#group3C0", "3C⁰"), =HYPERLINK("CSG0.html#group7A0", "7A⁰"), =HYPERLINK("CSG0.html#group3A0", "3A⁰"), =HYPERLINK("CSG0.html#group1A0", "1A⁰"), =HYPERLINK("CSG7.html#group63E7", "63E⁷")</f>
        <v/>
      </c>
      <c r="N4945" t="inlineStr"/>
    </row>
    <row r="4946">
      <c r="A4946" t="inlineStr">
        <is>
          <t>63C¹⁷</t>
        </is>
      </c>
      <c r="B4946" t="inlineStr"/>
      <c r="C4946" t="inlineStr">
        <is>
          <t>252</t>
        </is>
      </c>
      <c r="D4946" t="inlineStr">
        <is>
          <t>2</t>
        </is>
      </c>
      <c r="E4946" t="inlineStr">
        <is>
          <t>126</t>
        </is>
      </c>
      <c r="F4946" t="inlineStr">
        <is>
          <t>4</t>
        </is>
      </c>
      <c r="G4946" t="inlineStr">
        <is>
          <t>0</t>
        </is>
      </c>
      <c r="H4946" t="inlineStr">
        <is>
          <t>21⁶, 63²</t>
        </is>
      </c>
      <c r="I4946" t="n">
        <v>8</v>
      </c>
      <c r="J4946" t="inlineStr">
        <is>
          <t>2¹, 4¹, 6³, 12⁴, 18², 36⁴</t>
        </is>
      </c>
      <c r="K4946">
        <f>HYPERLINK("CSG5.html#group21B5", "21B⁵"), =HYPERLINK("CSG8.html#group63B8", "63B⁸")</f>
        <v/>
      </c>
      <c r="L4946" t="inlineStr"/>
      <c r="M4946">
        <f>HYPERLINK("CSG2.html#group21D2", "21D²"), =HYPERLINK("CSG5.html#group21B5", "21B⁵"), =HYPERLINK("CSG1.html#group21D1", "21D¹"), =HYPERLINK("CSG0.html#group7C0", "7C⁰"), =HYPERLINK("CSG2.html#group21C2", "21C²"), =HYPERLINK("CSG0.html#group21A0", "21A⁰"), =HYPERLINK("CSG0.html#group3C0", "3C⁰"), =HYPERLINK("CSG0.html#group9E0", "9E⁰"), =HYPERLINK("CSG0.html#group3A0", "3A⁰"), =HYPERLINK("CSG0.html#group1A0", "1A⁰"), =HYPERLINK("CSG0.html#group7A0", "7A⁰"), =HYPERLINK("CSG8.html#group63B8", "63B⁸")</f>
        <v/>
      </c>
      <c r="N4946" t="inlineStr"/>
    </row>
    <row r="4947">
      <c r="A4947" t="inlineStr">
        <is>
          <t>63D¹⁷</t>
        </is>
      </c>
      <c r="B4947" t="inlineStr"/>
      <c r="C4947" t="inlineStr">
        <is>
          <t>288</t>
        </is>
      </c>
      <c r="D4947" t="inlineStr">
        <is>
          <t>1</t>
        </is>
      </c>
      <c r="E4947" t="inlineStr">
        <is>
          <t>48</t>
        </is>
      </c>
      <c r="F4947" t="inlineStr">
        <is>
          <t>0</t>
        </is>
      </c>
      <c r="G4947" t="inlineStr">
        <is>
          <t>0</t>
        </is>
      </c>
      <c r="H4947" t="inlineStr">
        <is>
          <t>3⁶, 9², 21⁶, 63²</t>
        </is>
      </c>
      <c r="I4947" t="n">
        <v>16</v>
      </c>
      <c r="J4947" t="inlineStr">
        <is>
          <t>1⁴, 2⁴, 6², 12²</t>
        </is>
      </c>
      <c r="K4947">
        <f>HYPERLINK("CSG0.html#group9H0", "9H⁰"), =HYPERLINK("CSG5.html#group21C5", "21C⁵"), =HYPERLINK("CSG9.html#group63C9", "63C⁹")</f>
        <v/>
      </c>
      <c r="L4947" t="inlineStr"/>
      <c r="M4947">
        <f>HYPERLINK("CSG0.html#group3B0", "3B⁰"), =HYPERLINK("CSG0.html#group3A0", "3A⁰"), =HYPERLINK("CSG1.html#group21B1", "21B¹"), =HYPERLINK("CSG5.html#group21C5", "21C⁵"), =HYPERLINK("CSG2.html#group21A2", "21A²"), =HYPERLINK("CSG0.html#group7B0", "7B⁰"), =HYPERLINK("CSG0.html#group3C0", "3C⁰"), =HYPERLINK("CSG0.html#group9H0", "9H⁰"), =HYPERLINK("CSG0.html#group9E0", "9E⁰"), =HYPERLINK("CSG9.html#group63C9", "63C⁹"), =HYPERLINK("CSG0.html#group1A0", "1A⁰"), =HYPERLINK("CSG3.html#group21A3", "21A³"), =HYPERLINK("CSG0.html#group3D0", "3D⁰")</f>
        <v/>
      </c>
      <c r="N4947" t="inlineStr"/>
    </row>
    <row r="4948">
      <c r="A4948" t="inlineStr">
        <is>
          <t>63E¹⁷</t>
        </is>
      </c>
      <c r="B4948" t="inlineStr"/>
      <c r="C4948" t="inlineStr">
        <is>
          <t>288</t>
        </is>
      </c>
      <c r="D4948" t="inlineStr">
        <is>
          <t>1</t>
        </is>
      </c>
      <c r="E4948" t="inlineStr">
        <is>
          <t>96</t>
        </is>
      </c>
      <c r="F4948" t="inlineStr">
        <is>
          <t>0</t>
        </is>
      </c>
      <c r="G4948" t="inlineStr">
        <is>
          <t>0</t>
        </is>
      </c>
      <c r="H4948" t="inlineStr">
        <is>
          <t>1³, 3², 7³, 9³, 21², 63³</t>
        </is>
      </c>
      <c r="I4948" t="n">
        <v>16</v>
      </c>
      <c r="J4948" t="inlineStr">
        <is>
          <t>1⁴, 2⁴, 6⁴, 12², 36¹</t>
        </is>
      </c>
      <c r="K4948">
        <f>HYPERLINK("CSG5.html#group63A5", "63A⁵")</f>
        <v/>
      </c>
      <c r="L4948" t="inlineStr"/>
      <c r="M4948">
        <f>HYPERLINK("CSG5.html#group63A5", "63A⁵"), =HYPERLINK("CSG0.html#group3B0", "3B⁰"), =HYPERLINK("CSG0.html#group9B0", "9B⁰"), =HYPERLINK("CSG1.html#group21B1", "21B¹"), =HYPERLINK("CSG0.html#group1A0", "1A⁰"), =HYPERLINK("CSG0.html#group7B0", "7B⁰")</f>
        <v/>
      </c>
      <c r="N4948" t="inlineStr"/>
    </row>
    <row r="4949">
      <c r="A4949" t="inlineStr">
        <is>
          <t>63F¹⁷</t>
        </is>
      </c>
      <c r="B4949" t="inlineStr"/>
      <c r="C4949" t="inlineStr">
        <is>
          <t>288</t>
        </is>
      </c>
      <c r="D4949" t="inlineStr">
        <is>
          <t>1</t>
        </is>
      </c>
      <c r="E4949" t="inlineStr">
        <is>
          <t>96</t>
        </is>
      </c>
      <c r="F4949" t="inlineStr">
        <is>
          <t>0</t>
        </is>
      </c>
      <c r="G4949" t="inlineStr">
        <is>
          <t>0</t>
        </is>
      </c>
      <c r="H4949" t="inlineStr">
        <is>
          <t>1³, 3², 7³, 9³, 21², 63³</t>
        </is>
      </c>
      <c r="I4949" t="n">
        <v>16</v>
      </c>
      <c r="J4949" t="inlineStr">
        <is>
          <t>1⁴, 2⁴, 6⁴, 12², 36¹</t>
        </is>
      </c>
      <c r="K4949">
        <f>HYPERLINK("CSG5.html#group63A5", "63A⁵")</f>
        <v/>
      </c>
      <c r="L4949" t="inlineStr"/>
      <c r="M4949">
        <f>HYPERLINK("CSG5.html#group63A5", "63A⁵"), =HYPERLINK("CSG0.html#group3B0", "3B⁰"), =HYPERLINK("CSG0.html#group9B0", "9B⁰"), =HYPERLINK("CSG1.html#group21B1", "21B¹"), =HYPERLINK("CSG0.html#group1A0", "1A⁰"), =HYPERLINK("CSG0.html#group7B0", "7B⁰")</f>
        <v/>
      </c>
      <c r="N4949" t="inlineStr"/>
    </row>
    <row r="4950">
      <c r="A4950" t="inlineStr">
        <is>
          <t>63G¹⁷</t>
        </is>
      </c>
      <c r="B4950" t="inlineStr"/>
      <c r="C4950" t="inlineStr">
        <is>
          <t>288</t>
        </is>
      </c>
      <c r="D4950" t="inlineStr">
        <is>
          <t>1</t>
        </is>
      </c>
      <c r="E4950" t="inlineStr">
        <is>
          <t>96</t>
        </is>
      </c>
      <c r="F4950" t="inlineStr">
        <is>
          <t>0</t>
        </is>
      </c>
      <c r="G4950" t="inlineStr">
        <is>
          <t>0</t>
        </is>
      </c>
      <c r="H4950" t="inlineStr">
        <is>
          <t>1³, 3², 7³, 9³, 21², 63³</t>
        </is>
      </c>
      <c r="I4950" t="n">
        <v>16</v>
      </c>
      <c r="J4950" t="inlineStr">
        <is>
          <t>1⁴, 2⁴, 6⁴, 12², 36¹</t>
        </is>
      </c>
      <c r="K4950">
        <f>HYPERLINK("CSG0.html#group9I0", "9I⁰"), =HYPERLINK("CSG5.html#group63A5", "63A⁵")</f>
        <v/>
      </c>
      <c r="L4950" t="inlineStr"/>
      <c r="M4950">
        <f>HYPERLINK("CSG5.html#group63A5", "63A⁵"), =HYPERLINK("CSG0.html#group3B0", "3B⁰"), =HYPERLINK("CSG1.html#group21B1", "21B¹"), =HYPERLINK("CSG0.html#group7B0", "7B⁰"), =HYPERLINK("CSG0.html#group9I0", "9I⁰"), =HYPERLINK("CSG0.html#group9B0", "9B⁰"), =HYPERLINK("CSG0.html#group1A0", "1A⁰")</f>
        <v/>
      </c>
      <c r="N4950" t="inlineStr"/>
    </row>
    <row r="4951">
      <c r="A4951" t="inlineStr">
        <is>
          <t>63H¹⁷</t>
        </is>
      </c>
      <c r="B4951" t="inlineStr"/>
      <c r="C4951" t="inlineStr">
        <is>
          <t>288</t>
        </is>
      </c>
      <c r="D4951" t="inlineStr">
        <is>
          <t>1</t>
        </is>
      </c>
      <c r="E4951" t="inlineStr">
        <is>
          <t>96</t>
        </is>
      </c>
      <c r="F4951" t="inlineStr">
        <is>
          <t>0</t>
        </is>
      </c>
      <c r="G4951" t="inlineStr">
        <is>
          <t>0</t>
        </is>
      </c>
      <c r="H4951" t="inlineStr">
        <is>
          <t>3⁶, 9², 21⁶, 63²</t>
        </is>
      </c>
      <c r="I4951" t="n">
        <v>16</v>
      </c>
      <c r="J4951" t="inlineStr">
        <is>
          <t>1⁴, 2¹⁰, 6², 12⁵</t>
        </is>
      </c>
      <c r="K4951">
        <f>HYPERLINK("CSG5.html#group21C5", "21C⁵")</f>
        <v/>
      </c>
      <c r="L4951" t="inlineStr"/>
      <c r="M4951">
        <f>HYPERLINK("CSG0.html#group3B0", "3B⁰"), =HYPERLINK("CSG1.html#group21B1", "21B¹"), =HYPERLINK("CSG5.html#group21C5", "21C⁵"), =HYPERLINK("CSG2.html#group21A2", "21A²"), =HYPERLINK("CSG0.html#group7B0", "7B⁰"), =HYPERLINK("CSG0.html#group3C0", "3C⁰"), =HYPERLINK("CSG0.html#group3A0", "3A⁰"), =HYPERLINK("CSG0.html#group1A0", "1A⁰"), =HYPERLINK("CSG3.html#group21A3", "21A³"), =HYPERLINK("CSG0.html#group3D0", "3D⁰")</f>
        <v/>
      </c>
      <c r="N4951" t="inlineStr"/>
    </row>
    <row r="4952">
      <c r="A4952" t="inlineStr">
        <is>
          <t>63I¹⁷</t>
        </is>
      </c>
      <c r="B4952" t="inlineStr"/>
      <c r="C4952" t="inlineStr">
        <is>
          <t>288</t>
        </is>
      </c>
      <c r="D4952" t="inlineStr">
        <is>
          <t>1</t>
        </is>
      </c>
      <c r="E4952" t="inlineStr">
        <is>
          <t>96</t>
        </is>
      </c>
      <c r="F4952" t="inlineStr">
        <is>
          <t>0</t>
        </is>
      </c>
      <c r="G4952" t="inlineStr">
        <is>
          <t>6</t>
        </is>
      </c>
      <c r="H4952" t="inlineStr">
        <is>
          <t>3³, 9³, 21³, 63³</t>
        </is>
      </c>
      <c r="I4952" t="n">
        <v>12</v>
      </c>
      <c r="J4952" t="inlineStr">
        <is>
          <t>1⁴, 2⁴, 6⁴, 12², 36¹</t>
        </is>
      </c>
      <c r="K4952">
        <f>HYPERLINK("CSG5.html#group63B5", "63B⁵")</f>
        <v/>
      </c>
      <c r="L4952" t="inlineStr"/>
      <c r="M4952">
        <f>HYPERLINK("CSG0.html#group3B0", "3B⁰"), =HYPERLINK("CSG5.html#group63B5", "63B⁵"), =HYPERLINK("CSG1.html#group21B1", "21B¹"), =HYPERLINK("CSG0.html#group9C0", "9C⁰"), =HYPERLINK("CSG0.html#group1A0", "1A⁰"), =HYPERLINK("CSG0.html#group7B0", "7B⁰")</f>
        <v/>
      </c>
      <c r="N4952" t="inlineStr"/>
    </row>
    <row r="4953">
      <c r="A4953" t="inlineStr">
        <is>
          <t>63J¹⁷</t>
        </is>
      </c>
      <c r="B4953" t="inlineStr"/>
      <c r="C4953" t="inlineStr">
        <is>
          <t>288</t>
        </is>
      </c>
      <c r="D4953" t="inlineStr">
        <is>
          <t>1</t>
        </is>
      </c>
      <c r="E4953" t="inlineStr">
        <is>
          <t>96</t>
        </is>
      </c>
      <c r="F4953" t="inlineStr">
        <is>
          <t>0</t>
        </is>
      </c>
      <c r="G4953" t="inlineStr">
        <is>
          <t>6</t>
        </is>
      </c>
      <c r="H4953" t="inlineStr">
        <is>
          <t>3³, 9³, 21³, 63³</t>
        </is>
      </c>
      <c r="I4953" t="n">
        <v>12</v>
      </c>
      <c r="J4953" t="inlineStr">
        <is>
          <t>1⁴, 2⁴, 6⁴, 12², 36¹</t>
        </is>
      </c>
      <c r="K4953">
        <f>HYPERLINK("CSG5.html#group63B5", "63B⁵")</f>
        <v/>
      </c>
      <c r="L4953" t="inlineStr"/>
      <c r="M4953">
        <f>HYPERLINK("CSG0.html#group3B0", "3B⁰"), =HYPERLINK("CSG5.html#group63B5", "63B⁵"), =HYPERLINK("CSG1.html#group21B1", "21B¹"), =HYPERLINK("CSG0.html#group9C0", "9C⁰"), =HYPERLINK("CSG0.html#group1A0", "1A⁰"), =HYPERLINK("CSG0.html#group7B0", "7B⁰")</f>
        <v/>
      </c>
      <c r="N4953" t="inlineStr"/>
    </row>
    <row r="4954">
      <c r="A4954" t="inlineStr">
        <is>
          <t>63K¹⁷</t>
        </is>
      </c>
      <c r="B4954" t="inlineStr"/>
      <c r="C4954" t="inlineStr">
        <is>
          <t>288</t>
        </is>
      </c>
      <c r="D4954" t="inlineStr">
        <is>
          <t>1</t>
        </is>
      </c>
      <c r="E4954" t="inlineStr">
        <is>
          <t>96</t>
        </is>
      </c>
      <c r="F4954" t="inlineStr">
        <is>
          <t>0</t>
        </is>
      </c>
      <c r="G4954" t="inlineStr">
        <is>
          <t>6</t>
        </is>
      </c>
      <c r="H4954" t="inlineStr">
        <is>
          <t>3³, 9³, 21³, 63³</t>
        </is>
      </c>
      <c r="I4954" t="n">
        <v>12</v>
      </c>
      <c r="J4954" t="inlineStr">
        <is>
          <t>1⁴, 2⁴, 6⁴, 12², 36¹</t>
        </is>
      </c>
      <c r="K4954">
        <f>HYPERLINK("CSG0.html#group9J0", "9J⁰"), =HYPERLINK("CSG5.html#group63B5", "63B⁵")</f>
        <v/>
      </c>
      <c r="L4954" t="inlineStr"/>
      <c r="M4954">
        <f>HYPERLINK("CSG0.html#group3B0", "3B⁰"), =HYPERLINK("CSG0.html#group9J0", "9J⁰"), =HYPERLINK("CSG1.html#group21B1", "21B¹"), =HYPERLINK("CSG0.html#group7B0", "7B⁰"), =HYPERLINK("CSG5.html#group63B5", "63B⁵"), =HYPERLINK("CSG0.html#group9C0", "9C⁰"), =HYPERLINK("CSG0.html#group1A0", "1A⁰")</f>
        <v/>
      </c>
      <c r="N4954" t="inlineStr"/>
    </row>
    <row r="4955">
      <c r="A4955" t="inlineStr">
        <is>
          <t>64A¹⁷</t>
        </is>
      </c>
      <c r="B4955" t="inlineStr"/>
      <c r="C4955" t="inlineStr">
        <is>
          <t>384</t>
        </is>
      </c>
      <c r="D4955" t="inlineStr">
        <is>
          <t>1</t>
        </is>
      </c>
      <c r="E4955" t="inlineStr">
        <is>
          <t>12</t>
        </is>
      </c>
      <c r="F4955" t="inlineStr">
        <is>
          <t>0</t>
        </is>
      </c>
      <c r="G4955" t="inlineStr">
        <is>
          <t>0</t>
        </is>
      </c>
      <c r="H4955" t="inlineStr">
        <is>
          <t>2¹⁶, 4⁸, 16⁴, 64⁴</t>
        </is>
      </c>
      <c r="I4955" t="n">
        <v>32</v>
      </c>
      <c r="J4955" t="inlineStr">
        <is>
          <t>1⁴, 2², 4¹</t>
        </is>
      </c>
      <c r="K4955">
        <f>HYPERLINK("CSG5.html#group32M5", "32M⁵"), =HYPERLINK("CSG5.html#group64C5", "64C⁵"), =HYPERLINK("CSG9.html#group64A9", "64A⁹"), =HYPERLINK("CSG9.html#group64C9", "64C⁹"), =HYPERLINK("CSG9.html#group64B9", "64B⁹"), =HYPERLINK("CSG9.html#group64E9", "64E⁹"), =HYPERLINK("CSG9.html#group64D9", "64D⁹")</f>
        <v/>
      </c>
      <c r="L4955" t="inlineStr"/>
      <c r="M4955">
        <f>HYPERLINK("CSG9.html#group64C9", "64C⁹"), =HYPERLINK("CSG0.html#group2A0", "2A⁰"), =HYPERLINK("CSG0.html#group16G0", "16G⁰"), =HYPERLINK("CSG9.html#group64D9", "64D⁹"), =HYPERLINK("CSG0.html#group4C0", "4C⁰"), =HYPERLINK("CSG3.html#group32M3", "32M³"), =HYPERLINK("CSG5.html#group64C5", "64C⁵"), =HYPERLINK("CSG3.html#group64B3", "64B³"), =HYPERLINK("CSG1.html#group16A1", "16A¹"), =HYPERLINK("CSG0.html#group8C0", "8C⁰"), =HYPERLINK("CSG0.html#group2B0", "2B⁰"), =HYPERLINK("CSG0.html#group4E0", "4E⁰"), =HYPERLINK("CSG0.html#group4B0", "4B⁰"), =HYPERLINK("CSG0.html#group1A0", "1A⁰"), =HYPERLINK("CSG5.html#group32M5", "32M⁵"), =HYPERLINK("CSG0.html#group16H0", "16H⁰"), =HYPERLINK("CSG0.html#group16E0", "16E⁰"), =HYPERLINK("CSG1.html#group32A1", "32A¹"), =HYPERLINK("CSG0.html#group8O0", "8O⁰"), =HYPERLINK("CSG0.html#group8G0", "8G⁰"), =HYPERLINK("CSG0.html#group16C0", "16C⁰"), =HYPERLINK("CSG0.html#group32A0", "32A⁰"), =HYPERLINK("CSG1.html#group16M1", "16M¹"), =HYPERLINK("CSG1.html#group32E1", "32E¹"), =HYPERLINK("CSG0.html#group8D0", "8D⁰"), =HYPERLINK("CSG1.html#group16E1", "16E¹"), =HYPERLINK("CSG0.html#group8I0", "8I⁰"), =HYPERLINK("CSG3.html#group32K3", "32K³"), =HYPERLINK("CSG3.html#group32J3", "32J³"), =HYPERLINK("CSG5.html#group64B5", "64B⁵"), =HYPERLINK("CSG9.html#group64E9", "64E⁹"), =HYPERLINK("CSG1.html#group16G1", "16G¹"), =HYPERLINK("CSG0.html#group16D0", "16D⁰"), =HYPERLINK("CSG2.html#group32A2", "32A²"), =HYPERLINK("CSG9.html#group64A9", "64A⁹"), =HYPERLINK("CSG3.html#group64A3", "64A³"), =HYPERLINK("CSG0.html#group8J0", "8J⁰"), =HYPERLINK("CSG0.html#group2C0", "2C⁰"), =HYPERLINK("CSG9.html#group64B9", "64B⁹"), =HYPERLINK("CSG5.html#group64A5", "64A⁵")</f>
        <v/>
      </c>
      <c r="N4955" t="inlineStr"/>
    </row>
    <row r="4956">
      <c r="A4956" t="inlineStr">
        <is>
          <t>64B¹⁷</t>
        </is>
      </c>
      <c r="B4956" t="inlineStr"/>
      <c r="C4956" t="inlineStr">
        <is>
          <t>384</t>
        </is>
      </c>
      <c r="D4956" t="inlineStr">
        <is>
          <t>1</t>
        </is>
      </c>
      <c r="E4956" t="inlineStr">
        <is>
          <t>24</t>
        </is>
      </c>
      <c r="F4956" t="inlineStr">
        <is>
          <t>0</t>
        </is>
      </c>
      <c r="G4956" t="inlineStr">
        <is>
          <t>0</t>
        </is>
      </c>
      <c r="H4956" t="inlineStr">
        <is>
          <t>2¹⁶, 4⁸, 16⁴, 64⁴</t>
        </is>
      </c>
      <c r="I4956" t="n">
        <v>32</v>
      </c>
      <c r="J4956" t="inlineStr">
        <is>
          <t>1⁴, 2², 4², 8¹</t>
        </is>
      </c>
      <c r="K4956">
        <f>HYPERLINK("CSG5.html#group32O5", "32O⁵"), =HYPERLINK("CSG5.html#group64D5", "64D⁵"), =HYPERLINK("CSG9.html#group64A9", "64A⁹")</f>
        <v/>
      </c>
      <c r="L4956" t="inlineStr"/>
      <c r="M4956">
        <f>HYPERLINK("CSG2.html#group32C2", "32C²"), =HYPERLINK("CSG5.html#group32O5", "32O⁵"), =HYPERLINK("CSG5.html#group64D5", "64D⁵"), =HYPERLINK("CSG0.html#group8C0", "8C⁰"), =HYPERLINK("CSG0.html#group2B0", "2B⁰"), =HYPERLINK("CSG0.html#group8I0", "8I⁰"), =HYPERLINK("CSG0.html#group4B0", "4B⁰"), =HYPERLINK("CSG0.html#group1A0", "1A⁰"), =HYPERLINK("CSG2.html#group16J2", "16J²"), =HYPERLINK("CSG0.html#group16H0", "16H⁰"), =HYPERLINK("CSG5.html#group64B5", "64B⁵"), =HYPERLINK("CSG1.html#group32A1", "32A¹"), =HYPERLINK("CSG0.html#group16C0", "16C⁰"), =HYPERLINK("CSG0.html#group16D0", "16D⁰"), =HYPERLINK("CSG0.html#group32A0", "32A⁰"), =HYPERLINK("CSG9.html#group64A9", "64A⁹"), =HYPERLINK("CSG2.html#group64A2", "64A²"), =HYPERLINK("CSG1.html#group32E1", "32E¹"), =HYPERLINK("CSG5.html#group64A5", "64A⁵")</f>
        <v/>
      </c>
      <c r="N4956" t="inlineStr"/>
    </row>
    <row r="4957">
      <c r="A4957" t="inlineStr">
        <is>
          <t>64C¹⁷</t>
        </is>
      </c>
      <c r="B4957" t="inlineStr"/>
      <c r="C4957" t="inlineStr">
        <is>
          <t>384</t>
        </is>
      </c>
      <c r="D4957" t="inlineStr">
        <is>
          <t>1</t>
        </is>
      </c>
      <c r="E4957" t="inlineStr">
        <is>
          <t>48</t>
        </is>
      </c>
      <c r="F4957" t="inlineStr">
        <is>
          <t>0</t>
        </is>
      </c>
      <c r="G4957" t="inlineStr">
        <is>
          <t>0</t>
        </is>
      </c>
      <c r="H4957" t="inlineStr">
        <is>
          <t>1⁸, 2⁴, 4⁴, 8¹², 64⁴</t>
        </is>
      </c>
      <c r="I4957" t="n">
        <v>32</v>
      </c>
      <c r="J4957" t="inlineStr">
        <is>
          <t>1⁴, 2², 4², 8², 16¹</t>
        </is>
      </c>
      <c r="K4957">
        <f>HYPERLINK("CSG5.html#group32O5", "32O⁵")</f>
        <v/>
      </c>
      <c r="L4957" t="inlineStr"/>
      <c r="M4957">
        <f>HYPERLINK("CSG1.html#group32A1", "32A¹"), =HYPERLINK("CSG2.html#group32C2", "32C²"), =HYPERLINK("CSG1.html#group32E1", "32E¹"), =HYPERLINK("CSG0.html#group16C0", "16C⁰"), =HYPERLINK("CSG0.html#group16D0", "16D⁰"), =HYPERLINK("CSG0.html#group32A0", "32A⁰"), =HYPERLINK("CSG5.html#group32O5", "32O⁵"), =HYPERLINK("CSG0.html#group8C0", "8C⁰"), =HYPERLINK("CSG0.html#group2B0", "2B⁰"), =HYPERLINK("CSG0.html#group8I0", "8I⁰"), =HYPERLINK("CSG0.html#group4B0", "4B⁰"), =HYPERLINK("CSG0.html#group1A0", "1A⁰"), =HYPERLINK("CSG2.html#group16J2", "16J²"), =HYPERLINK("CSG0.html#group16H0", "16H⁰")</f>
        <v/>
      </c>
      <c r="N4957" t="inlineStr"/>
    </row>
    <row r="4958">
      <c r="A4958" t="inlineStr">
        <is>
          <t>64D¹⁷</t>
        </is>
      </c>
      <c r="B4958" t="inlineStr"/>
      <c r="C4958" t="inlineStr">
        <is>
          <t>384</t>
        </is>
      </c>
      <c r="D4958" t="inlineStr">
        <is>
          <t>1</t>
        </is>
      </c>
      <c r="E4958" t="inlineStr">
        <is>
          <t>48</t>
        </is>
      </c>
      <c r="F4958" t="inlineStr">
        <is>
          <t>0</t>
        </is>
      </c>
      <c r="G4958" t="inlineStr">
        <is>
          <t>0</t>
        </is>
      </c>
      <c r="H4958" t="inlineStr">
        <is>
          <t>2⁸, 4¹², 8⁸, 64⁴</t>
        </is>
      </c>
      <c r="I4958" t="n">
        <v>32</v>
      </c>
      <c r="J4958" t="inlineStr">
        <is>
          <t>2⁸, 4⁴, 8²</t>
        </is>
      </c>
      <c r="K4958">
        <f>HYPERLINK("CSG5.html#group32N5", "32N⁵")</f>
        <v/>
      </c>
      <c r="L4958" t="inlineStr"/>
      <c r="M4958">
        <f>HYPERLINK("CSG0.html#group16G0", "16G⁰"), =HYPERLINK("CSG0.html#group2A0", "2A⁰"), =HYPERLINK("CSG2.html#group32C2", "32C²"), =HYPERLINK("CSG0.html#group8D0", "8D⁰"), =HYPERLINK("CSG5.html#group32N5", "32N⁵"), =HYPERLINK("CSG1.html#group16E1", "16E¹"), =HYPERLINK("CSG0.html#group4C0", "4C⁰"), =HYPERLINK("CSG1.html#group16A1", "16A¹"), =HYPERLINK("CSG0.html#group8C0", "8C⁰"), =HYPERLINK("CSG0.html#group2B0", "2B⁰"), =HYPERLINK("CSG0.html#group4E0", "4E⁰"), =HYPERLINK("CSG1.html#group32D1", "32D¹"), =HYPERLINK("CSG0.html#group4B0", "4B⁰"), =HYPERLINK("CSG0.html#group8I0", "8I⁰"), =HYPERLINK("CSG0.html#group1A0", "1A⁰"), =HYPERLINK("CSG0.html#group16H0", "16H⁰"), =HYPERLINK("CSG0.html#group16E0", "16E⁰"), =HYPERLINK("CSG2.html#group32B2", "32B²"), =HYPERLINK("CSG1.html#group32C1", "32C¹"), =HYPERLINK("CSG1.html#group16G1", "16G¹"), =HYPERLINK("CSG3.html#group32O3", "32O³"), =HYPERLINK("CSG0.html#group8G0", "8G⁰"), =HYPERLINK("CSG0.html#group16C0", "16C⁰"), =HYPERLINK("CSG0.html#group16D0", "16D⁰"), =HYPERLINK("CSG1.html#group16M1", "16M¹"), =HYPERLINK("CSG0.html#group8J0", "8J⁰"), =HYPERLINK("CSG0.html#group2C0", "2C⁰"), =HYPERLINK("CSG0.html#group8O0", "8O⁰")</f>
        <v/>
      </c>
      <c r="N4958" t="inlineStr"/>
    </row>
    <row r="4959">
      <c r="A4959" t="inlineStr">
        <is>
          <t>65A¹⁷</t>
        </is>
      </c>
      <c r="B4959" t="inlineStr"/>
      <c r="C4959" t="inlineStr">
        <is>
          <t>280</t>
        </is>
      </c>
      <c r="D4959" t="inlineStr">
        <is>
          <t>1</t>
        </is>
      </c>
      <c r="E4959" t="inlineStr">
        <is>
          <t>140</t>
        </is>
      </c>
      <c r="F4959" t="inlineStr">
        <is>
          <t>8</t>
        </is>
      </c>
      <c r="G4959" t="inlineStr">
        <is>
          <t>4</t>
        </is>
      </c>
      <c r="H4959" t="inlineStr">
        <is>
          <t>5⁴, 65⁴</t>
        </is>
      </c>
      <c r="I4959" t="n">
        <v>8</v>
      </c>
      <c r="J4959" t="inlineStr">
        <is>
          <t>2², 4⁴, 24¹, 48²</t>
        </is>
      </c>
      <c r="K4959">
        <f>HYPERLINK("CSG9.html#group65A9", "65A⁹")</f>
        <v/>
      </c>
      <c r="L4959" t="inlineStr"/>
      <c r="M4959">
        <f>HYPERLINK("CSG0.html#group13A0", "13A⁰"), =HYPERLINK("CSG0.html#group5C0", "5C⁰"), =HYPERLINK("CSG0.html#group1A0", "1A⁰"), =HYPERLINK("CSG9.html#group65A9", "65A⁹")</f>
        <v/>
      </c>
      <c r="N4959" t="inlineStr"/>
    </row>
    <row r="4960">
      <c r="A4960" t="inlineStr">
        <is>
          <t>66A¹⁷</t>
        </is>
      </c>
      <c r="B4960" t="inlineStr"/>
      <c r="C4960" t="inlineStr">
        <is>
          <t>288</t>
        </is>
      </c>
      <c r="D4960" t="inlineStr">
        <is>
          <t>1</t>
        </is>
      </c>
      <c r="E4960" t="inlineStr">
        <is>
          <t>144</t>
        </is>
      </c>
      <c r="F4960" t="inlineStr">
        <is>
          <t>0</t>
        </is>
      </c>
      <c r="G4960" t="inlineStr">
        <is>
          <t>0</t>
        </is>
      </c>
      <c r="H4960" t="inlineStr">
        <is>
          <t>1², 2², 3², 6², 11², 22², 33², 66²</t>
        </is>
      </c>
      <c r="I4960" t="n">
        <v>16</v>
      </c>
      <c r="J4960" t="inlineStr">
        <is>
          <t>1¹², 2⁶, 10⁶, 20³</t>
        </is>
      </c>
      <c r="K4960">
        <f>HYPERLINK("CSG5.html#group33B5", "33B⁵"), =HYPERLINK("CSG9.html#group66A9", "66A⁹")</f>
        <v/>
      </c>
      <c r="L4960" t="inlineStr"/>
      <c r="M4960">
        <f>HYPERLINK("CSG5.html#group33B5", "33B⁵"), =HYPERLINK("CSG0.html#group3B0", "3B⁰"), =HYPERLINK("CSG1.html#group11A1", "11A¹"), =HYPERLINK("CSG9.html#group66A9", "66A⁹"), =HYPERLINK("CSG0.html#group6F0", "6F⁰"), =HYPERLINK("CSG0.html#group2B0", "2B⁰"), =HYPERLINK("CSG2.html#group22C2", "22C²"), =HYPERLINK("CSG0.html#group1A0", "1A⁰"), =HYPERLINK("CSG3.html#group33C3", "33C³")</f>
        <v/>
      </c>
      <c r="N4960" t="inlineStr"/>
    </row>
    <row r="4961">
      <c r="A4961" t="inlineStr">
        <is>
          <t>66B¹⁷</t>
        </is>
      </c>
      <c r="B4961" t="inlineStr"/>
      <c r="C4961" t="inlineStr">
        <is>
          <t>330</t>
        </is>
      </c>
      <c r="D4961" t="inlineStr">
        <is>
          <t>1</t>
        </is>
      </c>
      <c r="E4961" t="inlineStr">
        <is>
          <t>55</t>
        </is>
      </c>
      <c r="F4961" t="inlineStr">
        <is>
          <t>36</t>
        </is>
      </c>
      <c r="G4961" t="inlineStr">
        <is>
          <t>0</t>
        </is>
      </c>
      <c r="H4961" t="inlineStr">
        <is>
          <t>66⁵</t>
        </is>
      </c>
      <c r="I4961" t="n">
        <v>5</v>
      </c>
      <c r="J4961" t="inlineStr">
        <is>
          <t>5¹, 10⁵</t>
        </is>
      </c>
      <c r="K4961">
        <f>HYPERLINK("CSG4.html#group22B4", "22B⁴"), =HYPERLINK("CSG7.html#group33A7", "33A⁷")</f>
        <v/>
      </c>
      <c r="L4961" t="inlineStr"/>
      <c r="M4961">
        <f>HYPERLINK("CSG1.html#group11C1", "11C¹"), =HYPERLINK("CSG0.html#group3A0", "3A⁰"), =HYPERLINK("CSG0.html#group1A0", "1A⁰"), =HYPERLINK("CSG7.html#group33A7", "33A⁷"), =HYPERLINK("CSG4.html#group22B4", "22B⁴")</f>
        <v/>
      </c>
      <c r="N4961" t="inlineStr"/>
    </row>
    <row r="4962">
      <c r="A4962" t="inlineStr">
        <is>
          <t>68A¹⁷</t>
        </is>
      </c>
      <c r="B4962" t="inlineStr"/>
      <c r="C4962" t="inlineStr">
        <is>
          <t>288</t>
        </is>
      </c>
      <c r="D4962" t="inlineStr">
        <is>
          <t>1</t>
        </is>
      </c>
      <c r="E4962" t="inlineStr">
        <is>
          <t>72</t>
        </is>
      </c>
      <c r="F4962" t="inlineStr">
        <is>
          <t>16</t>
        </is>
      </c>
      <c r="G4962" t="inlineStr">
        <is>
          <t>0</t>
        </is>
      </c>
      <c r="H4962" t="inlineStr">
        <is>
          <t>4⁴, 68⁴</t>
        </is>
      </c>
      <c r="I4962" t="n">
        <v>8</v>
      </c>
      <c r="J4962" t="inlineStr">
        <is>
          <t>2⁴, 32²</t>
        </is>
      </c>
      <c r="K4962">
        <f>HYPERLINK("CSG1.html#group17C1", "17C¹"), =HYPERLINK("CSG9.html#group68A9", "68A⁹")</f>
        <v/>
      </c>
      <c r="L4962" t="inlineStr"/>
      <c r="M4962">
        <f>HYPERLINK("CSG5.html#group68A5", "68A⁵"), =HYPERLINK("CSG1.html#group17C1", "17C¹"), =HYPERLINK("CSG1.html#group17A1", "17A¹"), =HYPERLINK("CSG0.html#group1A0", "1A⁰"), =HYPERLINK("CSG9.html#group68A9", "68A⁹"), =HYPERLINK("CSG0.html#group4A0", "4A⁰"), =HYPERLINK("CSG1.html#group17B1", "17B¹")</f>
        <v/>
      </c>
      <c r="N4962" t="inlineStr"/>
    </row>
    <row r="4963">
      <c r="A4963" t="inlineStr">
        <is>
          <t>68B¹⁷</t>
        </is>
      </c>
      <c r="B4963" t="inlineStr"/>
      <c r="C4963" t="inlineStr">
        <is>
          <t>288</t>
        </is>
      </c>
      <c r="D4963" t="inlineStr">
        <is>
          <t>2</t>
        </is>
      </c>
      <c r="E4963" t="inlineStr">
        <is>
          <t>18</t>
        </is>
      </c>
      <c r="F4963" t="inlineStr">
        <is>
          <t>16</t>
        </is>
      </c>
      <c r="G4963" t="inlineStr">
        <is>
          <t>0</t>
        </is>
      </c>
      <c r="H4963" t="inlineStr">
        <is>
          <t>4⁴, 68⁴</t>
        </is>
      </c>
      <c r="I4963" t="n">
        <v>8</v>
      </c>
      <c r="J4963" t="inlineStr">
        <is>
          <t>2², 32¹</t>
        </is>
      </c>
      <c r="K4963">
        <f>HYPERLINK("CSG5.html#group34D5", "34D⁵")</f>
        <v/>
      </c>
      <c r="L4963" t="inlineStr"/>
      <c r="M4963">
        <f>HYPERLINK("CSG1.html#group17A1", "17A¹"), =HYPERLINK("CSG5.html#group34D5", "34D⁵"), =HYPERLINK("CSG1.html#group17C1", "17C¹"), =HYPERLINK("CSG0.html#group1A0", "1A⁰"), =HYPERLINK("CSG1.html#group17B1", "17B¹")</f>
        <v/>
      </c>
      <c r="N4963" t="inlineStr"/>
    </row>
    <row r="4964">
      <c r="A4964" t="inlineStr">
        <is>
          <t>70A¹⁷</t>
        </is>
      </c>
      <c r="B4964" t="inlineStr"/>
      <c r="C4964" t="inlineStr">
        <is>
          <t>210</t>
        </is>
      </c>
      <c r="D4964" t="inlineStr">
        <is>
          <t>1</t>
        </is>
      </c>
      <c r="E4964" t="inlineStr">
        <is>
          <t>105</t>
        </is>
      </c>
      <c r="F4964" t="inlineStr">
        <is>
          <t>0</t>
        </is>
      </c>
      <c r="G4964" t="inlineStr">
        <is>
          <t>0</t>
        </is>
      </c>
      <c r="H4964" t="inlineStr">
        <is>
          <t>70³</t>
        </is>
      </c>
      <c r="I4964" t="n">
        <v>3</v>
      </c>
      <c r="J4964" t="inlineStr">
        <is>
          <t>3¹, 6³, 12¹, 24³</t>
        </is>
      </c>
      <c r="K4964">
        <f>HYPERLINK("CSG3.html#group14A3", "14A³"), =HYPERLINK("CSG5.html#group70A5", "70A⁵"), =HYPERLINK("CSG7.html#group35A7", "35A⁷")</f>
        <v/>
      </c>
      <c r="L4964" t="inlineStr"/>
      <c r="M4964">
        <f>HYPERLINK("CSG0.html#group2A0", "2A⁰"), =HYPERLINK("CSG0.html#group5A0", "5A⁰"), =HYPERLINK("CSG0.html#group10A0", "10A⁰"), =HYPERLINK("CSG0.html#group7D0", "7D⁰"), =HYPERLINK("CSG3.html#group14A3", "14A³"), =HYPERLINK("CSG1.html#group14A1", "14A¹"), =HYPERLINK("CSG5.html#group70A5", "70A⁵"), =HYPERLINK("CSG7.html#group35A7", "35A⁷"), =HYPERLINK("CSG0.html#group1A0", "1A⁰"), =HYPERLINK("CSG2.html#group35A2", "35A²"), =HYPERLINK("CSG0.html#group7A0", "7A⁰")</f>
        <v/>
      </c>
      <c r="N4964" t="inlineStr"/>
    </row>
    <row r="4965">
      <c r="A4965" t="inlineStr">
        <is>
          <t>70B¹⁷</t>
        </is>
      </c>
      <c r="B4965" t="inlineStr"/>
      <c r="C4965" t="inlineStr">
        <is>
          <t>210</t>
        </is>
      </c>
      <c r="D4965" t="inlineStr">
        <is>
          <t>2</t>
        </is>
      </c>
      <c r="E4965" t="inlineStr">
        <is>
          <t>35</t>
        </is>
      </c>
      <c r="F4965" t="inlineStr">
        <is>
          <t>0</t>
        </is>
      </c>
      <c r="G4965" t="inlineStr">
        <is>
          <t>0</t>
        </is>
      </c>
      <c r="H4965" t="inlineStr">
        <is>
          <t>70³</t>
        </is>
      </c>
      <c r="I4965" t="n">
        <v>3</v>
      </c>
      <c r="J4965" t="inlineStr">
        <is>
          <t>2¹, 6², 8¹, 24²</t>
        </is>
      </c>
      <c r="K4965">
        <f>HYPERLINK("CSG2.html#group10A2", "10A²"), =HYPERLINK("CSG5.html#group70A5", "70A⁵"), =HYPERLINK("CSG6.html#group35B6", "35B⁶")</f>
        <v/>
      </c>
      <c r="L4965" t="inlineStr"/>
      <c r="M4965">
        <f>HYPERLINK("CSG0.html#group2A0", "2A⁰"), =HYPERLINK("CSG0.html#group5A0", "5A⁰"), =HYPERLINK("CSG2.html#group10A2", "10A²"), =HYPERLINK("CSG0.html#group10A0", "10A⁰"), =HYPERLINK("CSG1.html#group14A1", "14A¹"), =HYPERLINK("CSG5.html#group70A5", "70A⁵"), =HYPERLINK("CSG0.html#group5E0", "5E⁰"), =HYPERLINK("CSG6.html#group35B6", "35B⁶"), =HYPERLINK("CSG0.html#group1A0", "1A⁰"), =HYPERLINK("CSG2.html#group35A2", "35A²"), =HYPERLINK("CSG0.html#group7A0", "7A⁰")</f>
        <v/>
      </c>
      <c r="N4965" t="inlineStr"/>
    </row>
    <row r="4966">
      <c r="A4966" t="inlineStr">
        <is>
          <t>70C¹⁷</t>
        </is>
      </c>
      <c r="B4966" t="inlineStr"/>
      <c r="C4966" t="inlineStr">
        <is>
          <t>210</t>
        </is>
      </c>
      <c r="D4966" t="inlineStr">
        <is>
          <t>2</t>
        </is>
      </c>
      <c r="E4966" t="inlineStr">
        <is>
          <t>35</t>
        </is>
      </c>
      <c r="F4966" t="inlineStr">
        <is>
          <t>0</t>
        </is>
      </c>
      <c r="G4966" t="inlineStr">
        <is>
          <t>0</t>
        </is>
      </c>
      <c r="H4966" t="inlineStr">
        <is>
          <t>70³</t>
        </is>
      </c>
      <c r="I4966" t="n">
        <v>3</v>
      </c>
      <c r="J4966" t="inlineStr">
        <is>
          <t>2¹, 6², 8¹, 24²</t>
        </is>
      </c>
      <c r="K4966">
        <f>HYPERLINK("CSG2.html#group10B2", "10B²"), =HYPERLINK("CSG3.html#group14B3", "14B³"), =HYPERLINK("CSG5.html#group70A5", "70A⁵"), =HYPERLINK("CSG8.html#group70A8", "70A⁸")</f>
        <v/>
      </c>
      <c r="L4966" t="inlineStr"/>
      <c r="M4966">
        <f>HYPERLINK("CSG0.html#group2A0", "2A⁰"), =HYPERLINK("CSG0.html#group5A0", "5A⁰"), =HYPERLINK("CSG3.html#group14B3", "14B³"), =HYPERLINK("CSG1.html#group14B1", "14B¹"), =HYPERLINK("CSG1.html#group10B1", "10B¹"), =HYPERLINK("CSG1.html#group14A1", "14A¹"), =HYPERLINK("CSG0.html#group2B0", "2B⁰"), =HYPERLINK("CSG2.html#group10B2", "10B²"), =HYPERLINK("CSG0.html#group1A0", "1A⁰"), =HYPERLINK("CSG2.html#group35A2", "35A²"), =HYPERLINK("CSG0.html#group10A0", "10A⁰"), =HYPERLINK("CSG5.html#group70A5", "70A⁵"), =HYPERLINK("CSG8.html#group70A8", "70A⁸"), =HYPERLINK("CSG0.html#group2C0", "2C⁰"), =HYPERLINK("CSG0.html#group7A0", "7A⁰")</f>
        <v/>
      </c>
      <c r="N4966" t="inlineStr"/>
    </row>
    <row r="4967">
      <c r="A4967" t="inlineStr">
        <is>
          <t>70D¹⁷</t>
        </is>
      </c>
      <c r="B4967" t="inlineStr"/>
      <c r="C4967" t="inlineStr">
        <is>
          <t>240</t>
        </is>
      </c>
      <c r="D4967" t="inlineStr">
        <is>
          <t>1</t>
        </is>
      </c>
      <c r="E4967" t="inlineStr">
        <is>
          <t>240</t>
        </is>
      </c>
      <c r="F4967" t="inlineStr">
        <is>
          <t>0</t>
        </is>
      </c>
      <c r="G4967" t="inlineStr">
        <is>
          <t>0</t>
        </is>
      </c>
      <c r="H4967" t="inlineStr">
        <is>
          <t>5², 10², 35², 70²</t>
        </is>
      </c>
      <c r="I4967" t="n">
        <v>8</v>
      </c>
      <c r="J4967" t="inlineStr">
        <is>
          <t>2⁶, 4¹², 12³, 24⁶</t>
        </is>
      </c>
      <c r="K4967">
        <f>HYPERLINK("CSG1.html#group10F1", "10F¹"), =HYPERLINK("CSG1.html#group14C1", "14C¹"), =HYPERLINK("CSG5.html#group35A5", "35A⁵")</f>
        <v/>
      </c>
      <c r="L4967" t="inlineStr"/>
      <c r="M4967">
        <f>HYPERLINK("CSG5.html#group35A5", "35A⁵"), =HYPERLINK("CSG0.html#group7B0", "7B⁰"), =HYPERLINK("CSG0.html#group5C0", "5C⁰"), =HYPERLINK("CSG1.html#group14C1", "14C¹"), =HYPERLINK("CSG0.html#group2B0", "2B⁰"), =HYPERLINK("CSG0.html#group1A0", "1A⁰"), =HYPERLINK("CSG1.html#group10F1", "10F¹")</f>
        <v/>
      </c>
      <c r="N4967" t="inlineStr"/>
    </row>
    <row r="4968">
      <c r="A4968" t="inlineStr">
        <is>
          <t>70E¹⁷</t>
        </is>
      </c>
      <c r="B4968" t="inlineStr"/>
      <c r="C4968" t="inlineStr">
        <is>
          <t>252</t>
        </is>
      </c>
      <c r="D4968" t="inlineStr">
        <is>
          <t>2</t>
        </is>
      </c>
      <c r="E4968" t="inlineStr">
        <is>
          <t>126</t>
        </is>
      </c>
      <c r="F4968" t="inlineStr">
        <is>
          <t>4</t>
        </is>
      </c>
      <c r="G4968" t="inlineStr">
        <is>
          <t>0</t>
        </is>
      </c>
      <c r="H4968" t="inlineStr">
        <is>
          <t>7², 14², 35², 70²</t>
        </is>
      </c>
      <c r="I4968" t="n">
        <v>8</v>
      </c>
      <c r="J4968" t="inlineStr">
        <is>
          <t>2⁶, 6¹², 8³, 24⁶</t>
        </is>
      </c>
      <c r="K4968">
        <f>HYPERLINK("CSG2.html#group14A2", "14A²"), =HYPERLINK("CSG5.html#group35B5", "35B⁵"), =HYPERLINK("CSG8.html#group70B8", "70B⁸")</f>
        <v/>
      </c>
      <c r="L4968" t="inlineStr"/>
      <c r="M4968">
        <f>HYPERLINK("CSG2.html#group35C2", "35C²"), =HYPERLINK("CSG2.html#group14A2", "14A²"), =HYPERLINK("CSG1.html#group14B1", "14B¹"), =HYPERLINK("CSG0.html#group7C0", "7C⁰"), =HYPERLINK("CSG0.html#group5B0", "5B⁰"), =HYPERLINK("CSG8.html#group70B8", "70B⁸"), =HYPERLINK("CSG0.html#group10C0", "10C⁰"), =HYPERLINK("CSG5.html#group35B5", "35B⁵"), =HYPERLINK("CSG0.html#group2B0", "2B⁰"), =HYPERLINK("CSG0.html#group1A0", "1A⁰"), =HYPERLINK("CSG0.html#group7A0", "7A⁰")</f>
        <v/>
      </c>
      <c r="N4968" t="inlineStr"/>
    </row>
    <row r="4969">
      <c r="A4969" t="inlineStr">
        <is>
          <t>70F¹⁷</t>
        </is>
      </c>
      <c r="B4969" t="inlineStr"/>
      <c r="C4969" t="inlineStr">
        <is>
          <t>252</t>
        </is>
      </c>
      <c r="D4969" t="inlineStr">
        <is>
          <t>2</t>
        </is>
      </c>
      <c r="E4969" t="inlineStr">
        <is>
          <t>126</t>
        </is>
      </c>
      <c r="F4969" t="inlineStr">
        <is>
          <t>8</t>
        </is>
      </c>
      <c r="G4969" t="inlineStr">
        <is>
          <t>0</t>
        </is>
      </c>
      <c r="H4969" t="inlineStr">
        <is>
          <t>14³, 70³</t>
        </is>
      </c>
      <c r="I4969" t="n">
        <v>6</v>
      </c>
      <c r="J4969" t="inlineStr">
        <is>
          <t>6¹⁴, 24⁷</t>
        </is>
      </c>
      <c r="K4969">
        <f>HYPERLINK("CSG2.html#group14B2", "14B²"), =HYPERLINK("CSG5.html#group70B5", "70B⁵"), =HYPERLINK("CSG6.html#group35E6", "35E⁶")</f>
        <v/>
      </c>
      <c r="L4969" t="inlineStr"/>
      <c r="M4969">
        <f>HYPERLINK("CSG2.html#group35C2", "35C²"), =HYPERLINK("CSG0.html#group14A0", "14A⁰"), =HYPERLINK("CSG2.html#group14B2", "14B²"), =HYPERLINK("CSG0.html#group7D0", "7D⁰"), =HYPERLINK("CSG6.html#group35E6", "35E⁶"), =HYPERLINK("CSG0.html#group5B0", "5B⁰"), =HYPERLINK("CSG5.html#group70B5", "70B⁵"), =HYPERLINK("CSG0.html#group1A0", "1A⁰"), =HYPERLINK("CSG0.html#group7A0", "7A⁰")</f>
        <v/>
      </c>
      <c r="N4969" t="inlineStr"/>
    </row>
    <row r="4970">
      <c r="A4970" t="inlineStr">
        <is>
          <t>70G¹⁷</t>
        </is>
      </c>
      <c r="B4970" t="inlineStr"/>
      <c r="C4970" t="inlineStr">
        <is>
          <t>252</t>
        </is>
      </c>
      <c r="D4970" t="inlineStr">
        <is>
          <t>2</t>
        </is>
      </c>
      <c r="E4970" t="inlineStr">
        <is>
          <t>126</t>
        </is>
      </c>
      <c r="F4970" t="inlineStr">
        <is>
          <t>8</t>
        </is>
      </c>
      <c r="G4970" t="inlineStr">
        <is>
          <t>0</t>
        </is>
      </c>
      <c r="H4970" t="inlineStr">
        <is>
          <t>14³, 70³</t>
        </is>
      </c>
      <c r="I4970" t="n">
        <v>6</v>
      </c>
      <c r="J4970" t="inlineStr">
        <is>
          <t>2⁶, 6¹², 8³, 24⁶</t>
        </is>
      </c>
      <c r="K4970">
        <f>HYPERLINK("CSG2.html#group14C2", "14C²"), =HYPERLINK("CSG5.html#group70B5", "70B⁵"), =HYPERLINK("CSG8.html#group70B8", "70B⁸")</f>
        <v/>
      </c>
      <c r="L4970" t="inlineStr"/>
      <c r="M4970">
        <f>HYPERLINK("CSG2.html#group35C2", "35C²"), =HYPERLINK("CSG0.html#group14A0", "14A⁰"), =HYPERLINK("CSG1.html#group14B1", "14B¹"), =HYPERLINK("CSG2.html#group14C2", "14C²"), =HYPERLINK("CSG0.html#group5B0", "5B⁰"), =HYPERLINK("CSG8.html#group70B8", "70B⁸"), =HYPERLINK("CSG0.html#group10C0", "10C⁰"), =HYPERLINK("CSG5.html#group70B5", "70B⁵"), =HYPERLINK("CSG0.html#group2B0", "2B⁰"), =HYPERLINK("CSG0.html#group1A0", "1A⁰"), =HYPERLINK("CSG0.html#group7A0", "7A⁰")</f>
        <v/>
      </c>
      <c r="N4970" t="inlineStr"/>
    </row>
    <row r="4971">
      <c r="A4971" t="inlineStr">
        <is>
          <t>70H¹⁷</t>
        </is>
      </c>
      <c r="B4971" t="inlineStr"/>
      <c r="C4971" t="inlineStr">
        <is>
          <t>252</t>
        </is>
      </c>
      <c r="D4971" t="inlineStr">
        <is>
          <t>2</t>
        </is>
      </c>
      <c r="E4971" t="inlineStr">
        <is>
          <t>252</t>
        </is>
      </c>
      <c r="F4971" t="inlineStr">
        <is>
          <t>8</t>
        </is>
      </c>
      <c r="G4971" t="inlineStr">
        <is>
          <t>0</t>
        </is>
      </c>
      <c r="H4971" t="inlineStr">
        <is>
          <t>14³, 70³</t>
        </is>
      </c>
      <c r="I4971" t="n">
        <v>6</v>
      </c>
      <c r="J4971" t="inlineStr">
        <is>
          <t>6²⁸, 24¹⁴</t>
        </is>
      </c>
      <c r="K4971">
        <f>HYPERLINK("CSG1.html#group14F1", "14F¹"), =HYPERLINK("CSG5.html#group70B5", "70B⁵")</f>
        <v/>
      </c>
      <c r="L4971" t="inlineStr"/>
      <c r="M4971">
        <f>HYPERLINK("CSG2.html#group35C2", "35C²"), =HYPERLINK("CSG0.html#group5B0", "5B⁰"), =HYPERLINK("CSG0.html#group14A0", "14A⁰"), =HYPERLINK("CSG5.html#group70B5", "70B⁵"), =HYPERLINK("CSG1.html#group14F1", "14F¹"), =HYPERLINK("CSG0.html#group1A0", "1A⁰"), =HYPERLINK("CSG0.html#group7A0", "7A⁰")</f>
        <v/>
      </c>
      <c r="N4971" t="inlineStr"/>
    </row>
    <row r="4972">
      <c r="A4972" t="inlineStr">
        <is>
          <t>70I¹⁷</t>
        </is>
      </c>
      <c r="B4972" t="inlineStr"/>
      <c r="C4972" t="inlineStr">
        <is>
          <t>280</t>
        </is>
      </c>
      <c r="D4972" t="inlineStr">
        <is>
          <t>2</t>
        </is>
      </c>
      <c r="E4972" t="inlineStr">
        <is>
          <t>70</t>
        </is>
      </c>
      <c r="F4972" t="inlineStr">
        <is>
          <t>16</t>
        </is>
      </c>
      <c r="G4972" t="inlineStr">
        <is>
          <t>4</t>
        </is>
      </c>
      <c r="H4972" t="inlineStr">
        <is>
          <t>70⁴</t>
        </is>
      </c>
      <c r="I4972" t="n">
        <v>4</v>
      </c>
      <c r="J4972" t="inlineStr">
        <is>
          <t>4¹, 8², 12², 24⁴</t>
        </is>
      </c>
      <c r="K4972">
        <f>HYPERLINK("CSG8.html#group35C8", "35C⁸"), =HYPERLINK("CSG8.html#group70C8", "70C⁸"), =HYPERLINK("CSG9.html#group70C9", "70C⁹")</f>
        <v/>
      </c>
      <c r="L4972" t="inlineStr"/>
      <c r="M4972">
        <f>HYPERLINK("CSG0.html#group14A0", "14A⁰"), =HYPERLINK("CSG9.html#group70C9", "70C⁹"), =HYPERLINK("CSG0.html#group10D0", "10D⁰"), =HYPERLINK("CSG4.html#group35B4", "35B⁴"), =HYPERLINK("CSG0.html#group5C0", "5C⁰"), =HYPERLINK("CSG0.html#group1A0", "1A⁰"), =HYPERLINK("CSG8.html#group35C8", "35C⁸"), =HYPERLINK("CSG8.html#group70C8", "70C⁸"), =HYPERLINK("CSG0.html#group7A0", "7A⁰")</f>
        <v/>
      </c>
      <c r="N4972" t="inlineStr"/>
    </row>
    <row r="4973">
      <c r="A4973" t="inlineStr">
        <is>
          <t>70J¹⁷</t>
        </is>
      </c>
      <c r="B4973" t="inlineStr"/>
      <c r="C4973" t="inlineStr">
        <is>
          <t>288</t>
        </is>
      </c>
      <c r="D4973" t="inlineStr">
        <is>
          <t>1</t>
        </is>
      </c>
      <c r="E4973" t="inlineStr">
        <is>
          <t>144</t>
        </is>
      </c>
      <c r="F4973" t="inlineStr">
        <is>
          <t>0</t>
        </is>
      </c>
      <c r="G4973" t="inlineStr">
        <is>
          <t>0</t>
        </is>
      </c>
      <c r="H4973" t="inlineStr">
        <is>
          <t>1², 2², 5², 7², 10², 14², 35², 70²</t>
        </is>
      </c>
      <c r="I4973" t="n">
        <v>16</v>
      </c>
      <c r="J4973" t="inlineStr">
        <is>
          <t>1¹², 4⁶, 6⁶, 24³</t>
        </is>
      </c>
      <c r="K4973">
        <f>HYPERLINK("CSG0.html#group10F0", "10F⁰"), =HYPERLINK("CSG5.html#group35C5", "35C⁵"), =HYPERLINK("CSG9.html#group70D9", "70D⁹")</f>
        <v/>
      </c>
      <c r="L4973" t="inlineStr"/>
      <c r="M4973">
        <f>HYPERLINK("CSG0.html#group7B0", "7B⁰"), =HYPERLINK("CSG1.html#group14C1", "14C¹"), =HYPERLINK("CSG0.html#group5B0", "5B⁰"), =HYPERLINK("CSG0.html#group10C0", "10C⁰"), =HYPERLINK("CSG5.html#group35C5", "35C⁵"), =HYPERLINK("CSG0.html#group5D0", "5D⁰"), =HYPERLINK("CSG0.html#group2B0", "2B⁰"), =HYPERLINK("CSG0.html#group1A0", "1A⁰"), =HYPERLINK("CSG3.html#group35A3", "35A³"), =HYPERLINK("CSG0.html#group10F0", "10F⁰"), =HYPERLINK("CSG9.html#group70D9", "70D⁹")</f>
        <v/>
      </c>
      <c r="N4973" t="inlineStr"/>
    </row>
    <row r="4974">
      <c r="A4974" t="inlineStr">
        <is>
          <t>72A¹⁷</t>
        </is>
      </c>
      <c r="B4974" t="inlineStr"/>
      <c r="C4974" t="inlineStr">
        <is>
          <t>216</t>
        </is>
      </c>
      <c r="D4974" t="inlineStr">
        <is>
          <t>1</t>
        </is>
      </c>
      <c r="E4974" t="inlineStr">
        <is>
          <t>9</t>
        </is>
      </c>
      <c r="F4974" t="inlineStr">
        <is>
          <t>0</t>
        </is>
      </c>
      <c r="G4974" t="inlineStr">
        <is>
          <t>0</t>
        </is>
      </c>
      <c r="H4974" t="inlineStr">
        <is>
          <t>36², 72²</t>
        </is>
      </c>
      <c r="I4974" t="n">
        <v>4</v>
      </c>
      <c r="J4974" t="inlineStr">
        <is>
          <t>1³, 2³</t>
        </is>
      </c>
      <c r="K4974">
        <f>HYPERLINK("CSG5.html#group24C5", "24C⁵"), =HYPERLINK("CSG5.html#group36H5", "36H⁵"), =HYPERLINK("CSG8.html#group72D8", "72D⁸")</f>
        <v/>
      </c>
      <c r="L4974" t="inlineStr"/>
      <c r="M4974">
        <f>HYPERLINK("CSG0.html#group12C0", "12C⁰"), =HYPERLINK("CSG3.html#group36E3", "36E³"), =HYPERLINK("CSG2.html#group36B2", "36B²"), =HYPERLINK("CSG0.html#group4C0", "4C⁰"), =HYPERLINK("CSG0.html#group6G0", "6G⁰"), =HYPERLINK("CSG0.html#group2B0", "2B⁰"), =HYPERLINK("CSG5.html#group36H5", "36H⁵"), =HYPERLINK("CSG2.html#group24C2", "24C²"), =HYPERLINK("CSG0.html#group1A0", "1A⁰"), =HYPERLINK("CSG1.html#group12L1", "12L¹"), =HYPERLINK("CSG0.html#group9D0", "9D⁰"), =HYPERLINK("CSG1.html#group12C1", "12C¹"), =HYPERLINK("CSG5.html#group24C5", "24C⁵"), =HYPERLINK("CSG0.html#group9A0", "9A⁰"), =HYPERLINK("CSG0.html#group3C0", "3C⁰"), =HYPERLINK("CSG8.html#group72D8", "72D⁸"), =HYPERLINK("CSG1.html#group18E1", "18E¹"), =HYPERLINK("CSG0.html#group3A0", "3A⁰"), =HYPERLINK("CSG2.html#group18I2", "18I²"), =HYPERLINK("CSG0.html#group6D0", "6D⁰")</f>
        <v/>
      </c>
      <c r="N4974" t="inlineStr"/>
    </row>
    <row r="4975">
      <c r="A4975" t="inlineStr">
        <is>
          <t>72B¹⁷</t>
        </is>
      </c>
      <c r="B4975" t="inlineStr"/>
      <c r="C4975" t="inlineStr">
        <is>
          <t>216</t>
        </is>
      </c>
      <c r="D4975" t="inlineStr">
        <is>
          <t>1</t>
        </is>
      </c>
      <c r="E4975" t="inlineStr">
        <is>
          <t>9</t>
        </is>
      </c>
      <c r="F4975" t="inlineStr">
        <is>
          <t>0</t>
        </is>
      </c>
      <c r="G4975" t="inlineStr">
        <is>
          <t>0</t>
        </is>
      </c>
      <c r="H4975" t="inlineStr">
        <is>
          <t>36², 72²</t>
        </is>
      </c>
      <c r="I4975" t="n">
        <v>4</v>
      </c>
      <c r="J4975" t="inlineStr">
        <is>
          <t>1³, 2³</t>
        </is>
      </c>
      <c r="K4975">
        <f>HYPERLINK("CSG5.html#group24E5", "24E⁵"), =HYPERLINK("CSG5.html#group36H5", "36H⁵"), =HYPERLINK("CSG7.html#group72B7", "72B⁷"), =HYPERLINK("CSG9.html#group72A9", "72A⁹")</f>
        <v/>
      </c>
      <c r="L4975" t="inlineStr"/>
      <c r="M4975">
        <f>HYPERLINK("CSG3.html#group24A3", "24A³"), =HYPERLINK("CSG0.html#group12C0", "12C⁰"), =HYPERLINK("CSG1.html#group8A1", "8A¹"), =HYPERLINK("CSG9.html#group72A9", "72A⁹"), =HYPERLINK("CSG3.html#group36E3", "36E³"), =HYPERLINK("CSG2.html#group36B2", "36B²"), =HYPERLINK("CSG1.html#group24D1", "24D¹"), =HYPERLINK("CSG0.html#group4C0", "4C⁰"), =HYPERLINK("CSG0.html#group6G0", "6G⁰"), =HYPERLINK("CSG0.html#group2B0", "2B⁰"), =HYPERLINK("CSG5.html#group36H5", "36H⁵"), =HYPERLINK("CSG5.html#group24E5", "24E⁵"), =HYPERLINK("CSG0.html#group1A0", "1A⁰"), =HYPERLINK("CSG1.html#group12L1", "12L¹"), =HYPERLINK("CSG0.html#group9D0", "9D⁰"), =HYPERLINK("CSG1.html#group12C1", "12C¹"), =HYPERLINK("CSG0.html#group9A0", "9A⁰"), =HYPERLINK("CSG7.html#group72B7", "72B⁷"), =HYPERLINK("CSG0.html#group3C0", "3C⁰"), =HYPERLINK("CSG1.html#group18E1", "18E¹"), =HYPERLINK("CSG0.html#group3A0", "3A⁰"), =HYPERLINK("CSG2.html#group18I2", "18I²"), =HYPERLINK("CSG0.html#group6D0", "6D⁰")</f>
        <v/>
      </c>
      <c r="N4975" t="inlineStr"/>
    </row>
    <row r="4976">
      <c r="A4976" t="inlineStr">
        <is>
          <t>72C¹⁷</t>
        </is>
      </c>
      <c r="B4976" t="inlineStr"/>
      <c r="C4976" t="inlineStr">
        <is>
          <t>216</t>
        </is>
      </c>
      <c r="D4976" t="inlineStr">
        <is>
          <t>1</t>
        </is>
      </c>
      <c r="E4976" t="inlineStr">
        <is>
          <t>27</t>
        </is>
      </c>
      <c r="F4976" t="inlineStr">
        <is>
          <t>0</t>
        </is>
      </c>
      <c r="G4976" t="inlineStr">
        <is>
          <t>0</t>
        </is>
      </c>
      <c r="H4976" t="inlineStr">
        <is>
          <t>36², 72²</t>
        </is>
      </c>
      <c r="I4976" t="n">
        <v>4</v>
      </c>
      <c r="J4976" t="inlineStr">
        <is>
          <t>1³, 2³, 6³</t>
        </is>
      </c>
      <c r="K4976">
        <f>HYPERLINK("CSG4.html#group72E4", "72E⁴"), =HYPERLINK("CSG5.html#group24A5", "24A⁵"), =HYPERLINK("CSG8.html#group36B8", "36B⁸"), =HYPERLINK("CSG9.html#group72A9", "72A⁹")</f>
        <v/>
      </c>
      <c r="L4976" t="inlineStr"/>
      <c r="M4976">
        <f>HYPERLINK("CSG0.html#group2A0", "2A⁰"), =HYPERLINK("CSG3.html#group24A3", "24A³"), =HYPERLINK("CSG0.html#group12C0", "12C⁰"), =HYPERLINK("CSG9.html#group72A9", "72A⁹"), =HYPERLINK("CSG2.html#group36B2", "36B²"), =HYPERLINK("CSG5.html#group24A5", "24A⁵"), =HYPERLINK("CSG0.html#group4C0", "4C⁰"), =HYPERLINK("CSG1.html#group6C1", "6C¹"), =HYPERLINK("CSG2.html#group12B2", "12B²"), =HYPERLINK("CSG0.html#group2B0", "2B⁰"), =HYPERLINK("CSG0.html#group4E0", "4E⁰"), =HYPERLINK("CSG0.html#group4B0", "4B⁰"), =HYPERLINK("CSG0.html#group1A0", "1A⁰"), =HYPERLINK("CSG0.html#group24A0", "24A⁰"), =HYPERLINK("CSG4.html#group18A4", "18A⁴"), =HYPERLINK("CSG1.html#group12B1", "12B¹"), =HYPERLINK("CSG1.html#group6A1", "6A¹"), =HYPERLINK("CSG1.html#group18E1", "18E¹"), =HYPERLINK("CSG0.html#group3A0", "3A⁰"), =HYPERLINK("CSG1.html#group8A1", "8A¹"), =HYPERLINK("CSG4.html#group72E4", "72E⁴"), =HYPERLINK("CSG0.html#group8B0", "8B⁰"), =HYPERLINK("CSG8.html#group36B8", "36B⁸"), =HYPERLINK("CSG2.html#group18A2", "18A²"), =HYPERLINK("CSG1.html#group8B1", "8B¹"), =HYPERLINK("CSG0.html#group6A0", "6A⁰"), =HYPERLINK("CSG0.html#group9A0", "9A⁰"), =HYPERLINK("CSG4.html#group36D4", "36D⁴"), =HYPERLINK("CSG0.html#group2C0", "2C⁰"), =HYPERLINK("CSG0.html#group6D0", "6D⁰")</f>
        <v/>
      </c>
      <c r="N4976" t="inlineStr"/>
    </row>
    <row r="4977">
      <c r="A4977" t="inlineStr">
        <is>
          <t>72D¹⁷</t>
        </is>
      </c>
      <c r="B4977" t="inlineStr"/>
      <c r="C4977" t="inlineStr">
        <is>
          <t>216</t>
        </is>
      </c>
      <c r="D4977" t="inlineStr">
        <is>
          <t>1</t>
        </is>
      </c>
      <c r="E4977" t="inlineStr">
        <is>
          <t>27</t>
        </is>
      </c>
      <c r="F4977" t="inlineStr">
        <is>
          <t>0</t>
        </is>
      </c>
      <c r="G4977" t="inlineStr">
        <is>
          <t>0</t>
        </is>
      </c>
      <c r="H4977" t="inlineStr">
        <is>
          <t>36², 72²</t>
        </is>
      </c>
      <c r="I4977" t="n">
        <v>4</v>
      </c>
      <c r="J4977" t="inlineStr">
        <is>
          <t>1³, 2³, 6³</t>
        </is>
      </c>
      <c r="K4977">
        <f>HYPERLINK("CSG5.html#group24D5", "24D⁵"), =HYPERLINK("CSG6.html#group36C6", "36C⁶"), =HYPERLINK("CSG6.html#group72B6", "72B⁶"), =HYPERLINK("CSG9.html#group72A9", "72A⁹")</f>
        <v/>
      </c>
      <c r="L4977" t="inlineStr"/>
      <c r="M4977">
        <f>HYPERLINK("CSG3.html#group24A3", "24A³"), =HYPERLINK("CSG0.html#group6B0", "6B⁰"), =HYPERLINK("CSG1.html#group8A1", "8A¹"), =HYPERLINK("CSG0.html#group12C0", "12C⁰"), =HYPERLINK("CSG9.html#group72A9", "72A⁹"), =HYPERLINK("CSG0.html#group6H0", "6H⁰"), =HYPERLINK("CSG2.html#group36B2", "36B²"), =HYPERLINK("CSG0.html#group4C0", "4C⁰"), =HYPERLINK("CSG1.html#group18B1", "18B¹"), =HYPERLINK("CSG0.html#group2B0", "2B⁰"), =HYPERLINK("CSG2.html#group24C2", "24C²"), =HYPERLINK("CSG6.html#group72B6", "72B⁶"), =HYPERLINK("CSG0.html#group12H0", "12H⁰"), =HYPERLINK("CSG0.html#group1A0", "1A⁰"), =HYPERLINK("CSG5.html#group24D5", "24D⁵"), =HYPERLINK("CSG3.html#group18D3", "18D³"), =HYPERLINK("CSG6.html#group36C6", "36C⁶"), =HYPERLINK("CSG0.html#group9A0", "9A⁰"), =HYPERLINK("CSG0.html#group12D0", "12D⁰"), =HYPERLINK("CSG1.html#group18E1", "18E¹"), =HYPERLINK("CSG0.html#group3A0", "3A⁰"), =HYPERLINK("CSG3.html#group36D3", "36D³"), =HYPERLINK("CSG1.html#group18A1", "18A¹"), =HYPERLINK("CSG0.html#group6D0", "6D⁰")</f>
        <v/>
      </c>
      <c r="N4977" t="inlineStr"/>
    </row>
    <row r="4978">
      <c r="A4978" t="inlineStr">
        <is>
          <t>72E¹⁷</t>
        </is>
      </c>
      <c r="B4978" t="inlineStr"/>
      <c r="C4978" t="inlineStr">
        <is>
          <t>216</t>
        </is>
      </c>
      <c r="D4978" t="inlineStr">
        <is>
          <t>1</t>
        </is>
      </c>
      <c r="E4978" t="inlineStr">
        <is>
          <t>27</t>
        </is>
      </c>
      <c r="F4978" t="inlineStr">
        <is>
          <t>0</t>
        </is>
      </c>
      <c r="G4978" t="inlineStr">
        <is>
          <t>0</t>
        </is>
      </c>
      <c r="H4978" t="inlineStr">
        <is>
          <t>36², 72²</t>
        </is>
      </c>
      <c r="I4978" t="n">
        <v>4</v>
      </c>
      <c r="J4978" t="inlineStr">
        <is>
          <t>1³, 2³, 6³</t>
        </is>
      </c>
      <c r="K4978">
        <f>HYPERLINK("CSG5.html#group24F5", "24F⁵"), =HYPERLINK("CSG6.html#group72B6", "72B⁶"), =HYPERLINK("CSG7.html#group72B7", "72B⁷"), =HYPERLINK("CSG8.html#group36B8", "36B⁸")</f>
        <v/>
      </c>
      <c r="L4978" t="inlineStr"/>
      <c r="M4978">
        <f>HYPERLINK("CSG0.html#group2A0", "2A⁰"), =HYPERLINK("CSG0.html#group12C0", "12C⁰"), =HYPERLINK("CSG2.html#group36B2", "36B²"), =HYPERLINK("CSG0.html#group4C0", "4C⁰"), =HYPERLINK("CSG1.html#group6C1", "6C¹"), =HYPERLINK("CSG2.html#group12B2", "12B²"), =HYPERLINK("CSG0.html#group2B0", "2B⁰"), =HYPERLINK("CSG0.html#group4E0", "4E⁰"), =HYPERLINK("CSG2.html#group24C2", "24C²"), =HYPERLINK("CSG0.html#group4B0", "4B⁰"), =HYPERLINK("CSG0.html#group1A0", "1A⁰"), =HYPERLINK("CSG5.html#group24F5", "24F⁵"), =HYPERLINK("CSG4.html#group18A4", "18A⁴"), =HYPERLINK("CSG1.html#group12B1", "12B¹"), =HYPERLINK("CSG1.html#group6A1", "6A¹"), =HYPERLINK("CSG1.html#group18E1", "18E¹"), =HYPERLINK("CSG0.html#group3A0", "3A⁰"), =HYPERLINK("CSG1.html#group24D1", "24D¹"), =HYPERLINK("CSG8.html#group36B8", "36B⁸"), =HYPERLINK("CSG2.html#group18A2", "18A²"), =HYPERLINK("CSG6.html#group72B6", "72B⁶"), =HYPERLINK("CSG0.html#group6A0", "6A⁰"), =HYPERLINK("CSG0.html#group9A0", "9A⁰"), =HYPERLINK("CSG7.html#group72B7", "72B⁷"), =HYPERLINK("CSG4.html#group36D4", "36D⁴"), =HYPERLINK("CSG0.html#group2C0", "2C⁰"), =HYPERLINK("CSG0.html#group6D0", "6D⁰")</f>
        <v/>
      </c>
      <c r="N4978" t="inlineStr"/>
    </row>
    <row r="4979">
      <c r="A4979" t="inlineStr">
        <is>
          <t>72F¹⁷</t>
        </is>
      </c>
      <c r="B4979" t="inlineStr"/>
      <c r="C4979" t="inlineStr">
        <is>
          <t>216</t>
        </is>
      </c>
      <c r="D4979" t="inlineStr">
        <is>
          <t>1</t>
        </is>
      </c>
      <c r="E4979" t="inlineStr">
        <is>
          <t>54</t>
        </is>
      </c>
      <c r="F4979" t="inlineStr">
        <is>
          <t>0</t>
        </is>
      </c>
      <c r="G4979" t="inlineStr">
        <is>
          <t>0</t>
        </is>
      </c>
      <c r="H4979" t="inlineStr">
        <is>
          <t>36², 72²</t>
        </is>
      </c>
      <c r="I4979" t="n">
        <v>4</v>
      </c>
      <c r="J4979" t="inlineStr">
        <is>
          <t>1², 2⁴, 4², 6², 12²</t>
        </is>
      </c>
      <c r="K4979">
        <f>HYPERLINK("CSG5.html#group24B5", "24B⁵"), =HYPERLINK("CSG6.html#group36F6", "36F⁶"), =HYPERLINK("CSG6.html#group72C6", "72C⁶"), =HYPERLINK("CSG9.html#group72A9", "72A⁹")</f>
        <v/>
      </c>
      <c r="L4979" t="inlineStr"/>
      <c r="M4979">
        <f>HYPERLINK("CSG3.html#group24A3", "24A³"), =HYPERLINK("CSG1.html#group8A1", "8A¹"), =HYPERLINK("CSG0.html#group12C0", "12C⁰"), =HYPERLINK("CSG9.html#group72A9", "72A⁹"), =HYPERLINK("CSG0.html#group8D0", "8D⁰"), =HYPERLINK("CSG2.html#group36B2", "36B²"), =HYPERLINK("CSG0.html#group4C0", "4C⁰"), =HYPERLINK("CSG0.html#group2B0", "2B⁰"), =HYPERLINK("CSG0.html#group1A0", "1A⁰"), =HYPERLINK("CSG1.html#group36A1", "36A¹"), =HYPERLINK("CSG6.html#group72C6", "72C⁶"), =HYPERLINK("CSG6.html#group36F6", "36F⁶"), =HYPERLINK("CSG0.html#group12A0", "12A⁰"), =HYPERLINK("CSG1.html#group8C1", "8C¹"), =HYPERLINK("CSG0.html#group4A0", "4A⁰"), =HYPERLINK("CSG0.html#group9A0", "9A⁰"), =HYPERLINK("CSG1.html#group24C1", "24C¹"), =HYPERLINK("CSG1.html#group12J1", "12J¹"), =HYPERLINK("CSG0.html#group4F0", "4F⁰"), =HYPERLINK("CSG1.html#group18E1", "18E¹"), =HYPERLINK("CSG0.html#group3A0", "3A⁰"), =HYPERLINK("CSG0.html#group6D0", "6D⁰"), =HYPERLINK("CSG5.html#group24B5", "24B⁵")</f>
        <v/>
      </c>
      <c r="N4979" t="inlineStr"/>
    </row>
    <row r="4980">
      <c r="A4980" t="inlineStr">
        <is>
          <t>72G¹⁷</t>
        </is>
      </c>
      <c r="B4980" t="inlineStr"/>
      <c r="C4980" t="inlineStr">
        <is>
          <t>216</t>
        </is>
      </c>
      <c r="D4980" t="inlineStr">
        <is>
          <t>1</t>
        </is>
      </c>
      <c r="E4980" t="inlineStr">
        <is>
          <t>54</t>
        </is>
      </c>
      <c r="F4980" t="inlineStr">
        <is>
          <t>0</t>
        </is>
      </c>
      <c r="G4980" t="inlineStr">
        <is>
          <t>0</t>
        </is>
      </c>
      <c r="H4980" t="inlineStr">
        <is>
          <t>36², 72²</t>
        </is>
      </c>
      <c r="I4980" t="n">
        <v>4</v>
      </c>
      <c r="J4980" t="inlineStr">
        <is>
          <t>1², 2⁴, 4², 6², 12²</t>
        </is>
      </c>
      <c r="K4980">
        <f>HYPERLINK("CSG5.html#group24G5", "24G⁵"), =HYPERLINK("CSG6.html#group36E6", "36E⁶"), =HYPERLINK("CSG6.html#group72D6", "72D⁶"), =HYPERLINK("CSG9.html#group72A9", "72A⁹")</f>
        <v/>
      </c>
      <c r="L4980" t="inlineStr"/>
      <c r="M4980">
        <f>HYPERLINK("CSG5.html#group24G5", "24G⁵"), =HYPERLINK("CSG1.html#group24E1", "24E¹"), =HYPERLINK("CSG3.html#group24A3", "24A³"), =HYPERLINK("CSG0.html#group12C0", "12C⁰"), =HYPERLINK("CSG6.html#group36E6", "36E⁶"), =HYPERLINK("CSG9.html#group72A9", "72A⁹"), =HYPERLINK("CSG1.html#group8A1", "8A¹"), =HYPERLINK("CSG0.html#group4C0", "4C⁰"), =HYPERLINK("CSG2.html#group36B2", "36B²"), =HYPERLINK("CSG1.html#group12M1", "12M¹"), =HYPERLINK("CSG0.html#group2B0", "2B⁰"), =HYPERLINK("CSG0.html#group1A0", "1A⁰"), =HYPERLINK("CSG6.html#group72D6", "72D⁶"), =HYPERLINK("CSG0.html#group9A0", "9A⁰"), =HYPERLINK("CSG1.html#group18E1", "18E¹"), =HYPERLINK("CSG0.html#group3A0", "3A⁰"), =HYPERLINK("CSG0.html#group6D0", "6D⁰")</f>
        <v/>
      </c>
      <c r="N4980" t="inlineStr"/>
    </row>
    <row r="4981">
      <c r="A4981" t="inlineStr">
        <is>
          <t>72H¹⁷</t>
        </is>
      </c>
      <c r="B4981" t="inlineStr"/>
      <c r="C4981" t="inlineStr">
        <is>
          <t>216</t>
        </is>
      </c>
      <c r="D4981" t="inlineStr">
        <is>
          <t>2</t>
        </is>
      </c>
      <c r="E4981" t="inlineStr">
        <is>
          <t>27</t>
        </is>
      </c>
      <c r="F4981" t="inlineStr">
        <is>
          <t>0</t>
        </is>
      </c>
      <c r="G4981" t="inlineStr">
        <is>
          <t>0</t>
        </is>
      </c>
      <c r="H4981" t="inlineStr">
        <is>
          <t>36², 72²</t>
        </is>
      </c>
      <c r="I4981" t="n">
        <v>4</v>
      </c>
      <c r="J4981" t="inlineStr">
        <is>
          <t>2⁹, 6⁶</t>
        </is>
      </c>
      <c r="K4981">
        <f>HYPERLINK("CSG4.html#group36R4", "36R⁴"), =HYPERLINK("CSG5.html#group24D5", "24D⁵"), =HYPERLINK("CSG8.html#group72D8", "72D⁸"), =HYPERLINK("CSG9.html#group72A9", "72A⁹")</f>
        <v/>
      </c>
      <c r="L4981" t="inlineStr"/>
      <c r="M4981">
        <f>HYPERLINK("CSG3.html#group24A3", "24A³"), =HYPERLINK("CSG0.html#group6B0", "6B⁰"), =HYPERLINK("CSG1.html#group8A1", "8A¹"), =HYPERLINK("CSG0.html#group12C0", "12C⁰"), =HYPERLINK("CSG9.html#group72A9", "72A⁹"), =HYPERLINK("CSG0.html#group6H0", "6H⁰"), =HYPERLINK("CSG2.html#group36B2", "36B²"), =HYPERLINK("CSG0.html#group4C0", "4C⁰"), =HYPERLINK("CSG4.html#group36R4", "36R⁴"), =HYPERLINK("CSG0.html#group2B0", "2B⁰"), =HYPERLINK("CSG2.html#group24C2", "24C²"), =HYPERLINK("CSG0.html#group12H0", "12H⁰"), =HYPERLINK("CSG0.html#group1A0", "1A⁰"), =HYPERLINK("CSG0.html#group18A0", "18A⁰"), =HYPERLINK("CSG2.html#group18L2", "18L²"), =HYPERLINK("CSG5.html#group24D5", "24D⁵"), =HYPERLINK("CSG0.html#group9A0", "9A⁰"), =HYPERLINK("CSG8.html#group72D8", "72D⁸"), =HYPERLINK("CSG0.html#group12D0", "12D⁰"), =HYPERLINK("CSG1.html#group18E1", "18E¹"), =HYPERLINK("CSG0.html#group3A0", "3A⁰"), =HYPERLINK("CSG0.html#group6D0", "6D⁰"), =HYPERLINK("CSG2.html#group36C2", "36C²")</f>
        <v/>
      </c>
      <c r="N4981" t="inlineStr"/>
    </row>
    <row r="4982">
      <c r="A4982" t="inlineStr">
        <is>
          <t>72I¹⁷</t>
        </is>
      </c>
      <c r="B4982" t="inlineStr"/>
      <c r="C4982" t="inlineStr">
        <is>
          <t>216</t>
        </is>
      </c>
      <c r="D4982" t="inlineStr">
        <is>
          <t>2</t>
        </is>
      </c>
      <c r="E4982" t="inlineStr">
        <is>
          <t>27</t>
        </is>
      </c>
      <c r="F4982" t="inlineStr">
        <is>
          <t>0</t>
        </is>
      </c>
      <c r="G4982" t="inlineStr">
        <is>
          <t>0</t>
        </is>
      </c>
      <c r="H4982" t="inlineStr">
        <is>
          <t>36², 72²</t>
        </is>
      </c>
      <c r="I4982" t="n">
        <v>4</v>
      </c>
      <c r="J4982" t="inlineStr">
        <is>
          <t>2⁹, 6⁶</t>
        </is>
      </c>
      <c r="K4982">
        <f>HYPERLINK("CSG5.html#group24C5", "24C⁵"), =HYPERLINK("CSG6.html#group72B6", "72B⁶"), =HYPERLINK("CSG7.html#group36E7", "36E⁷"), =HYPERLINK("CSG8.html#group72D8", "72D⁸")</f>
        <v/>
      </c>
      <c r="L4982" t="inlineStr"/>
      <c r="M4982">
        <f>HYPERLINK("CSG0.html#group12C0", "12C⁰"), =HYPERLINK("CSG2.html#group36B2", "36B²"), =HYPERLINK("CSG0.html#group4C0", "4C⁰"), =HYPERLINK("CSG0.html#group6G0", "6G⁰"), =HYPERLINK("CSG4.html#group36E4", "36E⁴"), =HYPERLINK("CSG0.html#group2B0", "2B⁰"), =HYPERLINK("CSG2.html#group24C2", "24C²"), =HYPERLINK("CSG6.html#group72B6", "72B⁶"), =HYPERLINK("CSG0.html#group1A0", "1A⁰"), =HYPERLINK("CSG1.html#group12L1", "12L¹"), =HYPERLINK("CSG1.html#group9B1", "9B¹"), =HYPERLINK("CSG3.html#group18E3", "18E³"), =HYPERLINK("CSG1.html#group12C1", "12C¹"), =HYPERLINK("CSG5.html#group24C5", "24C⁵"), =HYPERLINK("CSG0.html#group9A0", "9A⁰"), =HYPERLINK("CSG7.html#group36E7", "36E⁷"), =HYPERLINK("CSG0.html#group3C0", "3C⁰"), =HYPERLINK("CSG8.html#group72D8", "72D⁸"), =HYPERLINK("CSG1.html#group18E1", "18E¹"), =HYPERLINK("CSG0.html#group3A0", "3A⁰"), =HYPERLINK("CSG0.html#group6D0", "6D⁰")</f>
        <v/>
      </c>
      <c r="N4982" t="inlineStr"/>
    </row>
    <row r="4983">
      <c r="A4983" t="inlineStr">
        <is>
          <t>72J¹⁷</t>
        </is>
      </c>
      <c r="B4983" t="inlineStr"/>
      <c r="C4983" t="inlineStr">
        <is>
          <t>216</t>
        </is>
      </c>
      <c r="D4983" t="inlineStr">
        <is>
          <t>2</t>
        </is>
      </c>
      <c r="E4983" t="inlineStr">
        <is>
          <t>27</t>
        </is>
      </c>
      <c r="F4983" t="inlineStr">
        <is>
          <t>0</t>
        </is>
      </c>
      <c r="G4983" t="inlineStr">
        <is>
          <t>0</t>
        </is>
      </c>
      <c r="H4983" t="inlineStr">
        <is>
          <t>36², 72²</t>
        </is>
      </c>
      <c r="I4983" t="n">
        <v>4</v>
      </c>
      <c r="J4983" t="inlineStr">
        <is>
          <t>2⁹, 6⁶</t>
        </is>
      </c>
      <c r="K4983">
        <f>HYPERLINK("CSG5.html#group24E5", "24E⁵"), =HYPERLINK("CSG5.html#group72A5", "72A⁵"), =HYPERLINK("CSG7.html#group36E7", "36E⁷"), =HYPERLINK("CSG9.html#group72A9", "72A⁹")</f>
        <v/>
      </c>
      <c r="L4983" t="inlineStr"/>
      <c r="M4983">
        <f>HYPERLINK("CSG3.html#group24A3", "24A³"), =HYPERLINK("CSG0.html#group12C0", "12C⁰"), =HYPERLINK("CSG1.html#group8A1", "8A¹"), =HYPERLINK("CSG9.html#group72A9", "72A⁹"), =HYPERLINK("CSG2.html#group36B2", "36B²"), =HYPERLINK("CSG0.html#group4C0", "4C⁰"), =HYPERLINK("CSG1.html#group24D1", "24D¹"), =HYPERLINK("CSG0.html#group6G0", "6G⁰"), =HYPERLINK("CSG4.html#group36E4", "36E⁴"), =HYPERLINK("CSG5.html#group72A5", "72A⁵"), =HYPERLINK("CSG0.html#group2B0", "2B⁰"), =HYPERLINK("CSG5.html#group24E5", "24E⁵"), =HYPERLINK("CSG0.html#group1A0", "1A⁰"), =HYPERLINK("CSG1.html#group12L1", "12L¹"), =HYPERLINK("CSG1.html#group9B1", "9B¹"), =HYPERLINK("CSG3.html#group18E3", "18E³"), =HYPERLINK("CSG1.html#group12C1", "12C¹"), =HYPERLINK("CSG0.html#group9A0", "9A⁰"), =HYPERLINK("CSG7.html#group36E7", "36E⁷"), =HYPERLINK("CSG0.html#group3C0", "3C⁰"), =HYPERLINK("CSG1.html#group18E1", "18E¹"), =HYPERLINK("CSG0.html#group3A0", "3A⁰"), =HYPERLINK("CSG0.html#group6D0", "6D⁰")</f>
        <v/>
      </c>
      <c r="N4983" t="inlineStr"/>
    </row>
    <row r="4984">
      <c r="A4984" t="inlineStr">
        <is>
          <t>72K¹⁷</t>
        </is>
      </c>
      <c r="B4984" t="inlineStr"/>
      <c r="C4984" t="inlineStr">
        <is>
          <t>216</t>
        </is>
      </c>
      <c r="D4984" t="inlineStr">
        <is>
          <t>2</t>
        </is>
      </c>
      <c r="E4984" t="inlineStr">
        <is>
          <t>27</t>
        </is>
      </c>
      <c r="F4984" t="inlineStr">
        <is>
          <t>0</t>
        </is>
      </c>
      <c r="G4984" t="inlineStr">
        <is>
          <t>0</t>
        </is>
      </c>
      <c r="H4984" t="inlineStr">
        <is>
          <t>36², 72²</t>
        </is>
      </c>
      <c r="I4984" t="n">
        <v>4</v>
      </c>
      <c r="J4984" t="inlineStr">
        <is>
          <t>2⁹, 6⁶</t>
        </is>
      </c>
      <c r="K4984">
        <f>HYPERLINK("CSG5.html#group24F5", "24F⁵"), =HYPERLINK("CSG5.html#group72A5", "72A⁵"), =HYPERLINK("CSG8.html#group36B8", "36B⁸"), =HYPERLINK("CSG8.html#group72D8", "72D⁸")</f>
        <v/>
      </c>
      <c r="L4984" t="inlineStr"/>
      <c r="M4984">
        <f>HYPERLINK("CSG0.html#group2A0", "2A⁰"), =HYPERLINK("CSG0.html#group12C0", "12C⁰"), =HYPERLINK("CSG2.html#group36B2", "36B²"), =HYPERLINK("CSG0.html#group4C0", "4C⁰"), =HYPERLINK("CSG1.html#group6C1", "6C¹"), =HYPERLINK("CSG2.html#group12B2", "12B²"), =HYPERLINK("CSG0.html#group2B0", "2B⁰"), =HYPERLINK("CSG0.html#group4E0", "4E⁰"), =HYPERLINK("CSG2.html#group24C2", "24C²"), =HYPERLINK("CSG0.html#group4B0", "4B⁰"), =HYPERLINK("CSG0.html#group1A0", "1A⁰"), =HYPERLINK("CSG5.html#group24F5", "24F⁵"), =HYPERLINK("CSG4.html#group18A4", "18A⁴"), =HYPERLINK("CSG1.html#group12B1", "12B¹"), =HYPERLINK("CSG1.html#group6A1", "6A¹"), =HYPERLINK("CSG1.html#group18E1", "18E¹"), =HYPERLINK("CSG0.html#group3A0", "3A⁰"), =HYPERLINK("CSG1.html#group24D1", "24D¹"), =HYPERLINK("CSG5.html#group72A5", "72A⁵"), =HYPERLINK("CSG8.html#group36B8", "36B⁸"), =HYPERLINK("CSG2.html#group18A2", "18A²"), =HYPERLINK("CSG0.html#group6A0", "6A⁰"), =HYPERLINK("CSG0.html#group9A0", "9A⁰"), =HYPERLINK("CSG4.html#group36D4", "36D⁴"), =HYPERLINK("CSG8.html#group72D8", "72D⁸"), =HYPERLINK("CSG0.html#group2C0", "2C⁰"), =HYPERLINK("CSG0.html#group6D0", "6D⁰")</f>
        <v/>
      </c>
      <c r="N4984" t="inlineStr"/>
    </row>
    <row r="4985">
      <c r="A4985" t="inlineStr">
        <is>
          <t>72L¹⁷</t>
        </is>
      </c>
      <c r="B4985" t="inlineStr"/>
      <c r="C4985" t="inlineStr">
        <is>
          <t>216</t>
        </is>
      </c>
      <c r="D4985" t="inlineStr">
        <is>
          <t>2</t>
        </is>
      </c>
      <c r="E4985" t="inlineStr">
        <is>
          <t>54</t>
        </is>
      </c>
      <c r="F4985" t="inlineStr">
        <is>
          <t>0</t>
        </is>
      </c>
      <c r="G4985" t="inlineStr">
        <is>
          <t>0</t>
        </is>
      </c>
      <c r="H4985" t="inlineStr">
        <is>
          <t>36², 72²</t>
        </is>
      </c>
      <c r="I4985" t="n">
        <v>4</v>
      </c>
      <c r="J4985" t="inlineStr">
        <is>
          <t>2⁶, 4⁶, 6⁴, 12⁴</t>
        </is>
      </c>
      <c r="K4985">
        <f>HYPERLINK("CSG5.html#group24G5", "24G⁵"), =HYPERLINK("CSG6.html#group36I6", "36I⁶"), =HYPERLINK("CSG6.html#group72E6", "72E⁶"), =HYPERLINK("CSG9.html#group72A9", "72A⁹")</f>
        <v/>
      </c>
      <c r="L4985" t="inlineStr"/>
      <c r="M4985">
        <f>HYPERLINK("CSG5.html#group24G5", "24G⁵"), =HYPERLINK("CSG1.html#group24E1", "24E¹"), =HYPERLINK("CSG3.html#group24A3", "24A³"), =HYPERLINK("CSG0.html#group12C0", "12C⁰"), =HYPERLINK("CSG1.html#group8A1", "8A¹"), =HYPERLINK("CSG9.html#group72A9", "72A⁹"), =HYPERLINK("CSG0.html#group4C0", "4C⁰"), =HYPERLINK("CSG2.html#group36B2", "36B²"), =HYPERLINK("CSG1.html#group12M1", "12M¹"), =HYPERLINK("CSG0.html#group2B0", "2B⁰"), =HYPERLINK("CSG0.html#group1A0", "1A⁰"), =HYPERLINK("CSG6.html#group72E6", "72E⁶"), =HYPERLINK("CSG6.html#group36I6", "36I⁶"), =HYPERLINK("CSG0.html#group9A0", "9A⁰"), =HYPERLINK("CSG1.html#group18E1", "18E¹"), =HYPERLINK("CSG0.html#group3A0", "3A⁰"), =HYPERLINK("CSG0.html#group6D0", "6D⁰")</f>
        <v/>
      </c>
      <c r="N4985" t="inlineStr"/>
    </row>
    <row r="4986">
      <c r="A4986" t="inlineStr">
        <is>
          <t>72M¹⁷</t>
        </is>
      </c>
      <c r="B4986" t="inlineStr"/>
      <c r="C4986" t="inlineStr">
        <is>
          <t>288</t>
        </is>
      </c>
      <c r="D4986" t="inlineStr">
        <is>
          <t>1</t>
        </is>
      </c>
      <c r="E4986" t="inlineStr">
        <is>
          <t>12</t>
        </is>
      </c>
      <c r="F4986" t="inlineStr">
        <is>
          <t>0</t>
        </is>
      </c>
      <c r="G4986" t="inlineStr">
        <is>
          <t>0</t>
        </is>
      </c>
      <c r="H4986" t="inlineStr">
        <is>
          <t>4⁶, 8⁶, 36², 72²</t>
        </is>
      </c>
      <c r="I4986" t="n">
        <v>16</v>
      </c>
      <c r="J4986" t="inlineStr">
        <is>
          <t>1⁶, 2³</t>
        </is>
      </c>
      <c r="K4986">
        <f>HYPERLINK("CSG5.html#group24H5", "24H⁵"), =HYPERLINK("CSG5.html#group36L5", "36L⁵")</f>
        <v/>
      </c>
      <c r="L4986" t="inlineStr"/>
      <c r="M4986">
        <f>HYPERLINK("CSG0.html#group3B0", "3B⁰"), =HYPERLINK("CSG0.html#group2A0", "2A⁰"), =HYPERLINK("CSG5.html#group36L5", "36L⁵"), =HYPERLINK("CSG0.html#group6I0", "6I⁰"), =HYPERLINK("CSG1.html#group12F1", "12F¹"), =HYPERLINK("CSG0.html#group6C0", "6C⁰"), =HYPERLINK("CSG0.html#group4C0", "4C⁰"), =HYPERLINK("CSG0.html#group9B0", "9B⁰"), =HYPERLINK("CSG0.html#group2B0", "2B⁰"), =HYPERLINK("CSG0.html#group4E0", "4E⁰"), =HYPERLINK("CSG1.html#group12P1", "12P¹"), =HYPERLINK("CSG1.html#group18J1", "18J¹"), =HYPERLINK("CSG0.html#group4B0", "4B⁰"), =HYPERLINK("CSG0.html#group1A0", "1A⁰"), =HYPERLINK("CSG0.html#group18C0", "18C⁰"), =HYPERLINK("CSG0.html#group18E0", "18E⁰"), =HYPERLINK("CSG1.html#group18C1", "18C¹"), =HYPERLINK("CSG5.html#group24H5", "24H⁵"), =HYPERLINK("CSG0.html#group12E0", "12E⁰"), =HYPERLINK("CSG1.html#group36C1", "36C¹"), =HYPERLINK("CSG0.html#group6F0", "6F⁰"), =HYPERLINK("CSG0.html#group2C0", "2C⁰"), =HYPERLINK("CSG3.html#group36G3", "36G³")</f>
        <v/>
      </c>
      <c r="N4986" t="inlineStr"/>
    </row>
    <row r="4987">
      <c r="A4987" t="inlineStr">
        <is>
          <t>72N¹⁷</t>
        </is>
      </c>
      <c r="B4987" t="inlineStr"/>
      <c r="C4987" t="inlineStr">
        <is>
          <t>288</t>
        </is>
      </c>
      <c r="D4987" t="inlineStr">
        <is>
          <t>1</t>
        </is>
      </c>
      <c r="E4987" t="inlineStr">
        <is>
          <t>12</t>
        </is>
      </c>
      <c r="F4987" t="inlineStr">
        <is>
          <t>0</t>
        </is>
      </c>
      <c r="G4987" t="inlineStr">
        <is>
          <t>0</t>
        </is>
      </c>
      <c r="H4987" t="inlineStr">
        <is>
          <t>4⁶, 8⁶, 36², 72²</t>
        </is>
      </c>
      <c r="I4987" t="n">
        <v>16</v>
      </c>
      <c r="J4987" t="inlineStr">
        <is>
          <t>1⁶, 2³</t>
        </is>
      </c>
      <c r="K4987">
        <f>HYPERLINK("CSG5.html#group24I5", "24I⁵"), =HYPERLINK("CSG5.html#group36L5", "36L⁵"), =HYPERLINK("CSG9.html#group72B9", "72B⁹"), =HYPERLINK("CSG9.html#group72C9", "72C⁹")</f>
        <v/>
      </c>
      <c r="L4987" t="inlineStr"/>
      <c r="M4987">
        <f>HYPERLINK("CSG0.html#group3B0", "3B⁰"), =HYPERLINK("CSG0.html#group2A0", "2A⁰"), =HYPERLINK("CSG5.html#group36L5", "36L⁵"), =HYPERLINK("CSG1.html#group8A1", "8A¹"), =HYPERLINK("CSG3.html#group24B3", "24B³"), =HYPERLINK("CSG1.html#group12F1", "12F¹"), =HYPERLINK("CSG0.html#group6I0", "6I⁰"), =HYPERLINK("CSG0.html#group2C0", "2C⁰"), =HYPERLINK("CSG0.html#group4C0", "4C⁰"), =HYPERLINK("CSG0.html#group6C0", "6C⁰"), =HYPERLINK("CSG0.html#group8B0", "8B⁰"), =HYPERLINK("CSG0.html#group9B0", "9B⁰"), =HYPERLINK("CSG0.html#group2B0", "2B⁰"), =HYPERLINK("CSG1.html#group8B1", "8B¹"), =HYPERLINK("CSG0.html#group4E0", "4E⁰"), =HYPERLINK("CSG1.html#group12P1", "12P¹"), =HYPERLINK("CSG0.html#group4B0", "4B⁰"), =HYPERLINK("CSG9.html#group72B9", "72B⁹"), =HYPERLINK("CSG0.html#group1A0", "1A⁰"), =HYPERLINK("CSG1.html#group18J1", "18J¹"), =HYPERLINK("CSG3.html#group24C3", "24C³"), =HYPERLINK("CSG0.html#group18C0", "18C⁰"), =HYPERLINK("CSG5.html#group24I5", "24I⁵"), =HYPERLINK("CSG0.html#group18E0", "18E⁰"), =HYPERLINK("CSG1.html#group18C1", "18C¹"), =HYPERLINK("CSG9.html#group72C9", "72C⁹"), =HYPERLINK("CSG1.html#group36C1", "36C¹"), =HYPERLINK("CSG0.html#group6F0", "6F⁰"), =HYPERLINK("CSG3.html#group36G3", "36G³"), =HYPERLINK("CSG0.html#group12E0", "12E⁰")</f>
        <v/>
      </c>
      <c r="N4987" t="inlineStr"/>
    </row>
    <row r="4988">
      <c r="A4988" t="inlineStr">
        <is>
          <t>72O¹⁷</t>
        </is>
      </c>
      <c r="B4988" t="inlineStr"/>
      <c r="C4988" t="inlineStr">
        <is>
          <t>288</t>
        </is>
      </c>
      <c r="D4988" t="inlineStr">
        <is>
          <t>1</t>
        </is>
      </c>
      <c r="E4988" t="inlineStr">
        <is>
          <t>24</t>
        </is>
      </c>
      <c r="F4988" t="inlineStr">
        <is>
          <t>0</t>
        </is>
      </c>
      <c r="G4988" t="inlineStr">
        <is>
          <t>0</t>
        </is>
      </c>
      <c r="H4988" t="inlineStr">
        <is>
          <t>3⁴, 6², 9⁴, 18², 24², 72²</t>
        </is>
      </c>
      <c r="I4988" t="n">
        <v>16</v>
      </c>
      <c r="J4988" t="inlineStr">
        <is>
          <t>1⁸, 2⁶, 4¹</t>
        </is>
      </c>
      <c r="K4988">
        <f>HYPERLINK("CSG1.html#group24J1", "24J¹"), =HYPERLINK("CSG8.html#group36J8", "36J⁸"), =HYPERLINK("CSG8.html#group72F8", "72F⁸"), =HYPERLINK("CSG9.html#group72D9", "72D⁹")</f>
        <v/>
      </c>
      <c r="L4988" t="inlineStr"/>
      <c r="M4988">
        <f>HYPERLINK("CSG0.html#group3B0", "3B⁰"), =HYPERLINK("CSG1.html#group24G1", "24G¹"), =HYPERLINK("CSG0.html#group12J0", "12J⁰"), =HYPERLINK("CSG2.html#group18D2", "18D²"), =HYPERLINK("CSG4.html#group36F4", "36F⁴"), =HYPERLINK("CSG0.html#group2B0", "2B⁰"), =HYPERLINK("CSG0.html#group8C0", "8C⁰"), =HYPERLINK("CSG0.html#group9C0", "9C⁰"), =HYPERLINK("CSG0.html#group4B0", "4B⁰"), =HYPERLINK("CSG0.html#group1A0", "1A⁰"), =HYPERLINK("CSG1.html#group24J1", "24J¹"), =HYPERLINK("CSG0.html#group24B0", "24B⁰"), =HYPERLINK("CSG0.html#group6F0", "6F⁰"), =HYPERLINK("CSG9.html#group72D9", "72D⁹"), =HYPERLINK("CSG8.html#group72F8", "72F⁸"), =HYPERLINK("CSG0.html#group12E0", "12E⁰"), =HYPERLINK("CSG8.html#group36J8", "36J⁸")</f>
        <v/>
      </c>
      <c r="N4988" t="inlineStr"/>
    </row>
    <row r="4989">
      <c r="A4989" t="inlineStr">
        <is>
          <t>72P¹⁷</t>
        </is>
      </c>
      <c r="B4989" t="inlineStr"/>
      <c r="C4989" t="inlineStr">
        <is>
          <t>288</t>
        </is>
      </c>
      <c r="D4989" t="inlineStr">
        <is>
          <t>1</t>
        </is>
      </c>
      <c r="E4989" t="inlineStr">
        <is>
          <t>24</t>
        </is>
      </c>
      <c r="F4989" t="inlineStr">
        <is>
          <t>0</t>
        </is>
      </c>
      <c r="G4989" t="inlineStr">
        <is>
          <t>0</t>
        </is>
      </c>
      <c r="H4989" t="inlineStr">
        <is>
          <t>3⁴, 6², 9⁴, 18², 24², 72²</t>
        </is>
      </c>
      <c r="I4989" t="n">
        <v>16</v>
      </c>
      <c r="J4989" t="inlineStr">
        <is>
          <t>1⁸, 2⁶, 4¹</t>
        </is>
      </c>
      <c r="K4989">
        <f>HYPERLINK("CSG1.html#group24J1", "24J¹"), =HYPERLINK("CSG8.html#group36K8", "36K⁸"), =HYPERLINK("CSG8.html#group72G8", "72G⁸"), =HYPERLINK("CSG9.html#group72E9", "72E⁹")</f>
        <v/>
      </c>
      <c r="L4989" t="inlineStr"/>
      <c r="M4989">
        <f>HYPERLINK("CSG9.html#group72E9", "72E⁹"), =HYPERLINK("CSG0.html#group3B0", "3B⁰"), =HYPERLINK("CSG8.html#group72G8", "72G⁸"), =HYPERLINK("CSG1.html#group24G1", "24G¹"), =HYPERLINK("CSG2.html#group18E2", "18E²"), =HYPERLINK("CSG4.html#group36G4", "36G⁴"), =HYPERLINK("CSG0.html#group12J0", "12J⁰"), =HYPERLINK("CSG0.html#group2B0", "2B⁰"), =HYPERLINK("CSG0.html#group8C0", "8C⁰"), =HYPERLINK("CSG0.html#group4B0", "4B⁰"), =HYPERLINK("CSG0.html#group1A0", "1A⁰"), =HYPERLINK("CSG1.html#group24J1", "24J¹"), =HYPERLINK("CSG8.html#group36K8", "36K⁸"), =HYPERLINK("CSG0.html#group24B0", "24B⁰"), =HYPERLINK("CSG1.html#group9A1", "9A¹"), =HYPERLINK("CSG0.html#group6F0", "6F⁰"), =HYPERLINK("CSG0.html#group12E0", "12E⁰")</f>
        <v/>
      </c>
      <c r="N4989" t="inlineStr"/>
    </row>
    <row r="4990">
      <c r="A4990" t="inlineStr">
        <is>
          <t>72Q¹⁷</t>
        </is>
      </c>
      <c r="B4990" t="inlineStr"/>
      <c r="C4990" t="inlineStr">
        <is>
          <t>288</t>
        </is>
      </c>
      <c r="D4990" t="inlineStr">
        <is>
          <t>1</t>
        </is>
      </c>
      <c r="E4990" t="inlineStr">
        <is>
          <t>24</t>
        </is>
      </c>
      <c r="F4990" t="inlineStr">
        <is>
          <t>0</t>
        </is>
      </c>
      <c r="G4990" t="inlineStr">
        <is>
          <t>0</t>
        </is>
      </c>
      <c r="H4990" t="inlineStr">
        <is>
          <t>4⁶, 8⁶, 36², 72²</t>
        </is>
      </c>
      <c r="I4990" t="n">
        <v>16</v>
      </c>
      <c r="J4990" t="inlineStr">
        <is>
          <t>1⁴, 2⁶, 4²</t>
        </is>
      </c>
      <c r="K4990">
        <f>HYPERLINK("CSG5.html#group24J5", "24J⁵"), =HYPERLINK("CSG7.html#group36I7", "36I⁷"), =HYPERLINK("CSG7.html#group72D7", "72D⁷"), =HYPERLINK("CSG9.html#group72B9", "72B⁹")</f>
        <v/>
      </c>
      <c r="L4990" t="inlineStr"/>
      <c r="M4990">
        <f>HYPERLINK("CSG0.html#group3B0", "3B⁰"), =HYPERLINK("CSG3.html#group24B3", "24B³"), =HYPERLINK("CSG0.html#group8D0", "8D⁰"), =HYPERLINK("CSG1.html#group12F1", "12F¹"), =HYPERLINK("CSG0.html#group4C0", "4C⁰"), =HYPERLINK("CSG0.html#group8B0", "8B⁰"), =HYPERLINK("CSG0.html#group9B0", "9B⁰"), =HYPERLINK("CSG0.html#group2B0", "2B⁰"), =HYPERLINK("CSG9.html#group72B9", "72B⁹"), =HYPERLINK("CSG0.html#group1A0", "1A⁰"), =HYPERLINK("CSG0.html#group8H0", "8H⁰"), =HYPERLINK("CSG7.html#group36I7", "36I⁷"), =HYPERLINK("CSG0.html#group18E0", "18E⁰"), =HYPERLINK("CSG2.html#group24I2", "24I²"), =HYPERLINK("CSG0.html#group4A0", "4A⁰"), =HYPERLINK("CSG1.html#group12A1", "12A¹"), =HYPERLINK("CSG7.html#group72D7", "72D⁷"), =HYPERLINK("CSG2.html#group12G2", "12G²"), =HYPERLINK("CSG5.html#group24J5", "24J⁵"), =HYPERLINK("CSG0.html#group4F0", "4F⁰"), =HYPERLINK("CSG3.html#group36B3", "36B³"), =HYPERLINK("CSG0.html#group6F0", "6F⁰"), =HYPERLINK("CSG3.html#group36G3", "36G³")</f>
        <v/>
      </c>
      <c r="N4990" t="inlineStr"/>
    </row>
    <row r="4991">
      <c r="A4991" t="inlineStr">
        <is>
          <t>72R¹⁷</t>
        </is>
      </c>
      <c r="B4991" t="inlineStr"/>
      <c r="C4991" t="inlineStr">
        <is>
          <t>288</t>
        </is>
      </c>
      <c r="D4991" t="inlineStr">
        <is>
          <t>1</t>
        </is>
      </c>
      <c r="E4991" t="inlineStr">
        <is>
          <t>24</t>
        </is>
      </c>
      <c r="F4991" t="inlineStr">
        <is>
          <t>0</t>
        </is>
      </c>
      <c r="G4991" t="inlineStr">
        <is>
          <t>0</t>
        </is>
      </c>
      <c r="H4991" t="inlineStr">
        <is>
          <t>4⁶, 8⁶, 36², 72²</t>
        </is>
      </c>
      <c r="I4991" t="n">
        <v>16</v>
      </c>
      <c r="J4991" t="inlineStr">
        <is>
          <t>1⁴, 2⁶, 4²</t>
        </is>
      </c>
      <c r="K4991">
        <f>HYPERLINK("CSG5.html#group24K5", "24K⁵"), =HYPERLINK("CSG7.html#group36I7", "36I⁷"), =HYPERLINK("CSG7.html#group72D7", "72D⁷"), =HYPERLINK("CSG9.html#group72C9", "72C⁹")</f>
        <v/>
      </c>
      <c r="L4991" t="inlineStr"/>
      <c r="M4991">
        <f>HYPERLINK("CSG0.html#group3B0", "3B⁰"), =HYPERLINK("CSG5.html#group24K5", "24K⁵"), =HYPERLINK("CSG1.html#group8A1", "8A¹"), =HYPERLINK("CSG0.html#group8D0", "8D⁰"), =HYPERLINK("CSG1.html#group12F1", "12F¹"), =HYPERLINK("CSG0.html#group4C0", "4C⁰"), =HYPERLINK("CSG0.html#group9B0", "9B⁰"), =HYPERLINK("CSG0.html#group2B0", "2B⁰"), =HYPERLINK("CSG0.html#group1A0", "1A⁰"), =HYPERLINK("CSG3.html#group24C3", "24C³"), =HYPERLINK("CSG7.html#group36I7", "36I⁷"), =HYPERLINK("CSG0.html#group18E0", "18E⁰"), =HYPERLINK("CSG2.html#group24I2", "24I²"), =HYPERLINK("CSG1.html#group8C1", "8C¹"), =HYPERLINK("CSG0.html#group4A0", "4A⁰"), =HYPERLINK("CSG1.html#group12A1", "12A¹"), =HYPERLINK("CSG9.html#group72C9", "72C⁹"), =HYPERLINK("CSG7.html#group72D7", "72D⁷"), =HYPERLINK("CSG2.html#group12G2", "12G²"), =HYPERLINK("CSG0.html#group4F0", "4F⁰"), =HYPERLINK("CSG3.html#group36B3", "36B³"), =HYPERLINK("CSG0.html#group6F0", "6F⁰"), =HYPERLINK("CSG3.html#group36G3", "36G³")</f>
        <v/>
      </c>
      <c r="N4991" t="inlineStr"/>
    </row>
    <row r="4992">
      <c r="A4992" t="inlineStr">
        <is>
          <t>72S¹⁷</t>
        </is>
      </c>
      <c r="B4992" t="inlineStr"/>
      <c r="C4992" t="inlineStr">
        <is>
          <t>288</t>
        </is>
      </c>
      <c r="D4992" t="inlineStr">
        <is>
          <t>1</t>
        </is>
      </c>
      <c r="E4992" t="inlineStr">
        <is>
          <t>24</t>
        </is>
      </c>
      <c r="F4992" t="inlineStr">
        <is>
          <t>24</t>
        </is>
      </c>
      <c r="G4992" t="inlineStr">
        <is>
          <t>0</t>
        </is>
      </c>
      <c r="H4992" t="inlineStr">
        <is>
          <t>72⁴</t>
        </is>
      </c>
      <c r="I4992" t="n">
        <v>4</v>
      </c>
      <c r="J4992" t="inlineStr">
        <is>
          <t>4², 8²</t>
        </is>
      </c>
      <c r="K4992">
        <f>HYPERLINK("CSG5.html#group24L5", "24L⁵"), =HYPERLINK("CSG5.html#group36M5", "36M⁵")</f>
        <v/>
      </c>
      <c r="L4992" t="inlineStr"/>
      <c r="M4992">
        <f>HYPERLINK("CSG1.html#group12G1", "12G¹"), =HYPERLINK("CSG2.html#group36D2", "36D²"), =HYPERLINK("CSG0.html#group6B0", "6B⁰"), =HYPERLINK("CSG3.html#group36H3", "36H³"), =HYPERLINK("CSG0.html#group12F0", "12F⁰"), =HYPERLINK("CSG0.html#group1A0", "1A⁰"), =HYPERLINK("CSG0.html#group18A0", "18A⁰"), =HYPERLINK("CSG1.html#group36A1", "36A¹"), =HYPERLINK("CSG0.html#group12A0", "12A⁰"), =HYPERLINK("CSG0.html#group9D0", "9D⁰"), =HYPERLINK("CSG0.html#group18D0", "18D⁰"), =HYPERLINK("CSG0.html#group6E0", "6E⁰"), =HYPERLINK("CSG0.html#group4A0", "4A⁰"), =HYPERLINK("CSG0.html#group9A0", "9A⁰"), =HYPERLINK("CSG5.html#group36M5", "36M⁵"), =HYPERLINK("CSG1.html#group12Q1", "12Q¹"), =HYPERLINK("CSG0.html#group3C0", "3C⁰"), =HYPERLINK("CSG0.html#group3A0", "3A⁰"), =HYPERLINK("CSG5.html#group24L5", "24L⁵")</f>
        <v/>
      </c>
      <c r="N4992" t="inlineStr"/>
    </row>
    <row r="4993">
      <c r="A4993" t="inlineStr">
        <is>
          <t>72T¹⁷</t>
        </is>
      </c>
      <c r="B4993" t="inlineStr"/>
      <c r="C4993" t="inlineStr">
        <is>
          <t>288</t>
        </is>
      </c>
      <c r="D4993" t="inlineStr">
        <is>
          <t>1</t>
        </is>
      </c>
      <c r="E4993" t="inlineStr">
        <is>
          <t>48</t>
        </is>
      </c>
      <c r="F4993" t="inlineStr">
        <is>
          <t>0</t>
        </is>
      </c>
      <c r="G4993" t="inlineStr">
        <is>
          <t>0</t>
        </is>
      </c>
      <c r="H4993" t="inlineStr">
        <is>
          <t>4⁶, 8⁶, 36², 72²</t>
        </is>
      </c>
      <c r="I4993" t="n">
        <v>16</v>
      </c>
      <c r="J4993" t="inlineStr">
        <is>
          <t>1⁸, 2⁸, 4⁴, 8¹</t>
        </is>
      </c>
      <c r="K4993">
        <f>HYPERLINK("CSG5.html#group24M5", "24M⁵"), =HYPERLINK("CSG9.html#group72C9", "72C⁹")</f>
        <v/>
      </c>
      <c r="L4993" t="inlineStr"/>
      <c r="M4993">
        <f>HYPERLINK("CSG3.html#group24C3", "24C³"), =HYPERLINK("CSG0.html#group3B0", "3B⁰"), =HYPERLINK("CSG1.html#group8A1", "8A¹"), =HYPERLINK("CSG0.html#group18E0", "18E⁰"), =HYPERLINK("CSG5.html#group24M5", "24M⁵"), =HYPERLINK("CSG1.html#group12F1", "12F¹"), =HYPERLINK("CSG0.html#group4C0", "4C⁰"), =HYPERLINK("CSG0.html#group6F0", "6F⁰"), =HYPERLINK("CSG0.html#group9B0", "9B⁰"), =HYPERLINK("CSG9.html#group72C9", "72C⁹"), =HYPERLINK("CSG0.html#group2B0", "2B⁰"), =HYPERLINK("CSG0.html#group1A0", "1A⁰"), =HYPERLINK("CSG3.html#group36G3", "36G³")</f>
        <v/>
      </c>
      <c r="N4993" t="inlineStr"/>
    </row>
    <row r="4994">
      <c r="A4994" t="inlineStr">
        <is>
          <t>72U¹⁷</t>
        </is>
      </c>
      <c r="B4994" t="inlineStr"/>
      <c r="C4994" t="inlineStr">
        <is>
          <t>288</t>
        </is>
      </c>
      <c r="D4994" t="inlineStr">
        <is>
          <t>1</t>
        </is>
      </c>
      <c r="E4994" t="inlineStr">
        <is>
          <t>48</t>
        </is>
      </c>
      <c r="F4994" t="inlineStr">
        <is>
          <t>0</t>
        </is>
      </c>
      <c r="G4994" t="inlineStr">
        <is>
          <t>0</t>
        </is>
      </c>
      <c r="H4994" t="inlineStr">
        <is>
          <t>4⁶, 8⁶, 36², 72²</t>
        </is>
      </c>
      <c r="I4994" t="n">
        <v>16</v>
      </c>
      <c r="J4994" t="inlineStr">
        <is>
          <t>1⁸, 2⁸, 4⁴, 8¹</t>
        </is>
      </c>
      <c r="K4994">
        <f>HYPERLINK("CSG5.html#group24N5", "24N⁵"), =HYPERLINK("CSG9.html#group72B9", "72B⁹")</f>
        <v/>
      </c>
      <c r="L4994" t="inlineStr"/>
      <c r="M4994">
        <f>HYPERLINK("CSG0.html#group3B0", "3B⁰"), =HYPERLINK("CSG0.html#group18E0", "18E⁰"), =HYPERLINK("CSG5.html#group24N5", "24N⁵"), =HYPERLINK("CSG3.html#group24B3", "24B³"), =HYPERLINK("CSG1.html#group12F1", "12F¹"), =HYPERLINK("CSG0.html#group4C0", "4C⁰"), =HYPERLINK("CSG0.html#group8B0", "8B⁰"), =HYPERLINK("CSG0.html#group6F0", "6F⁰"), =HYPERLINK("CSG0.html#group9B0", "9B⁰"), =HYPERLINK("CSG0.html#group8L0", "8L⁰"), =HYPERLINK("CSG0.html#group2B0", "2B⁰"), =HYPERLINK("CSG9.html#group72B9", "72B⁹"), =HYPERLINK("CSG0.html#group1A0", "1A⁰"), =HYPERLINK("CSG3.html#group36G3", "36G³")</f>
        <v/>
      </c>
      <c r="N4994" t="inlineStr"/>
    </row>
    <row r="4995">
      <c r="A4995" t="inlineStr">
        <is>
          <t>72V¹⁷</t>
        </is>
      </c>
      <c r="B4995" t="inlineStr"/>
      <c r="C4995" t="inlineStr">
        <is>
          <t>288</t>
        </is>
      </c>
      <c r="D4995" t="inlineStr">
        <is>
          <t>1</t>
        </is>
      </c>
      <c r="E4995" t="inlineStr">
        <is>
          <t>48</t>
        </is>
      </c>
      <c r="F4995" t="inlineStr">
        <is>
          <t>24</t>
        </is>
      </c>
      <c r="G4995" t="inlineStr">
        <is>
          <t>0</t>
        </is>
      </c>
      <c r="H4995" t="inlineStr">
        <is>
          <t>72⁴</t>
        </is>
      </c>
      <c r="I4995" t="n">
        <v>4</v>
      </c>
      <c r="J4995" t="inlineStr">
        <is>
          <t>4⁴, 8⁴</t>
        </is>
      </c>
      <c r="K4995">
        <f>HYPERLINK("CSG3.html#group36H3", "36H³"), =HYPERLINK("CSG5.html#group24O5", "24O⁵"), =HYPERLINK("CSG7.html#group72E7", "72E⁷")</f>
        <v/>
      </c>
      <c r="L4995" t="inlineStr"/>
      <c r="M4995">
        <f>HYPERLINK("CSG1.html#group24F1", "24F¹"), =HYPERLINK("CSG1.html#group36A1", "36A¹"), =HYPERLINK("CSG1.html#group12G1", "12G¹"), =HYPERLINK("CSG0.html#group12A0", "12A⁰"), =HYPERLINK("CSG0.html#group8F0", "8F⁰"), =HYPERLINK("CSG0.html#group9D0", "9D⁰"), =HYPERLINK("CSG0.html#group4A0", "4A⁰"), =HYPERLINK("CSG0.html#group9A0", "9A⁰"), =HYPERLINK("CSG5.html#group24O5", "24O⁵"), =HYPERLINK("CSG3.html#group36H3", "36H³"), =HYPERLINK("CSG0.html#group3C0", "3C⁰"), =HYPERLINK("CSG0.html#group3A0", "3A⁰"), =HYPERLINK("CSG0.html#group1A0", "1A⁰"), =HYPERLINK("CSG7.html#group72E7", "72E⁷")</f>
        <v/>
      </c>
      <c r="N4995" t="inlineStr"/>
    </row>
    <row r="4996">
      <c r="A4996" t="inlineStr">
        <is>
          <t>72W¹⁷</t>
        </is>
      </c>
      <c r="B4996" t="inlineStr"/>
      <c r="C4996" t="inlineStr">
        <is>
          <t>288</t>
        </is>
      </c>
      <c r="D4996" t="inlineStr">
        <is>
          <t>2</t>
        </is>
      </c>
      <c r="E4996" t="inlineStr">
        <is>
          <t>12</t>
        </is>
      </c>
      <c r="F4996" t="inlineStr">
        <is>
          <t>24</t>
        </is>
      </c>
      <c r="G4996" t="inlineStr">
        <is>
          <t>0</t>
        </is>
      </c>
      <c r="H4996" t="inlineStr">
        <is>
          <t>72⁴</t>
        </is>
      </c>
      <c r="I4996" t="n">
        <v>4</v>
      </c>
      <c r="J4996" t="inlineStr">
        <is>
          <t>4², 8²</t>
        </is>
      </c>
      <c r="K4996">
        <f>HYPERLINK("CSG5.html#group24P5", "24P⁵"), =HYPERLINK("CSG5.html#group36M5", "36M⁵"), =HYPERLINK("CSG8.html#group72H8", "72H⁸"), =HYPERLINK("CSG8.html#group72I8", "72I⁸"), =HYPERLINK("CSG8.html#group72J8", "72J⁸"), =HYPERLINK("CSG8.html#group72K8", "72K⁸"), =HYPERLINK("CSG9.html#group72G9", "72G⁹"), =HYPERLINK("CSG9.html#group72F9", "72F⁹")</f>
        <v/>
      </c>
      <c r="L4996" t="inlineStr"/>
      <c r="M4996">
        <f>HYPERLINK("CSG0.html#group8A0", "8A⁰"), =HYPERLINK("CSG4.html#group72C4", "72C⁴"), =HYPERLINK("CSG4.html#group72D4", "72D⁴"), =HYPERLINK("CSG0.html#group1A0", "1A⁰"), =HYPERLINK("CSG0.html#group18A0", "18A⁰"), =HYPERLINK("CSG4.html#group72A4", "72A⁴"), =HYPERLINK("CSG8.html#group72K8", "72K⁸"), =HYPERLINK("CSG1.html#group24A1", "24A¹"), =HYPERLINK("CSG0.html#group3C0", "3C⁰"), =HYPERLINK("CSG1.html#group12Q1", "12Q¹"), =HYPERLINK("CSG0.html#group3A0", "3A⁰"), =HYPERLINK("CSG2.html#group24G2", "24G²"), =HYPERLINK("CSG5.html#group24P5", "24P⁵"), =HYPERLINK("CSG1.html#group12G1", "12G¹"), =HYPERLINK("CSG8.html#group72J8", "72J⁸"), =HYPERLINK("CSG2.html#group36D2", "36D²"), =HYPERLINK("CSG0.html#group6B0", "6B⁰"), =HYPERLINK("CSG3.html#group24D3", "24D³"), =HYPERLINK("CSG4.html#group72B4", "72B⁴"), =HYPERLINK("CSG8.html#group72H8", "72H⁸"), =HYPERLINK("CSG9.html#group72F9", "72F⁹"), =HYPERLINK("CSG3.html#group36H3", "36H³"), =HYPERLINK("CSG0.html#group12F0", "12F⁰"), =HYPERLINK("CSG1.html#group24B1", "24B¹"), =HYPERLINK("CSG1.html#group36A1", "36A¹"), =HYPERLINK("CSG8.html#group72I8", "72I⁸"), =HYPERLINK("CSG3.html#group24E3", "24E³"), =HYPERLINK("CSG0.html#group12A0", "12A⁰"), =HYPERLINK("CSG2.html#group24K2", "24K²"), =HYPERLINK("CSG0.html#group9D0", "9D⁰"), =HYPERLINK("CSG0.html#group18D0", "18D⁰"), =HYPERLINK("CSG0.html#group6E0", "6E⁰"), =HYPERLINK("CSG0.html#group4A0", "4A⁰"), =HYPERLINK("CSG0.html#group9A0", "9A⁰"), =HYPERLINK("CSG5.html#group36M5", "36M⁵"), =HYPERLINK("CSG9.html#group72G9", "72G⁹"), =HYPERLINK("CSG2.html#group24H2", "24H²")</f>
        <v/>
      </c>
      <c r="N4996" t="inlineStr"/>
    </row>
    <row r="4997">
      <c r="A4997" t="inlineStr">
        <is>
          <t>72X¹⁷</t>
        </is>
      </c>
      <c r="B4997" t="inlineStr"/>
      <c r="C4997" t="inlineStr">
        <is>
          <t>432</t>
        </is>
      </c>
      <c r="D4997" t="inlineStr">
        <is>
          <t>1</t>
        </is>
      </c>
      <c r="E4997" t="inlineStr">
        <is>
          <t>18</t>
        </is>
      </c>
      <c r="F4997" t="inlineStr">
        <is>
          <t>0</t>
        </is>
      </c>
      <c r="G4997" t="inlineStr">
        <is>
          <t>0</t>
        </is>
      </c>
      <c r="H4997" t="inlineStr">
        <is>
          <t>3²⁴, 9⁸, 24⁶, 72²</t>
        </is>
      </c>
      <c r="I4997" t="n">
        <v>40</v>
      </c>
      <c r="J4997" t="inlineStr">
        <is>
          <t>1⁶, 2⁶</t>
        </is>
      </c>
      <c r="K4997">
        <f>HYPERLINK("CSG3.html#group24AC3", "24AC³"), =HYPERLINK("CSG7.html#group36N7", "36N⁷"), =HYPERLINK("CSG8.html#group72L8", "72L⁸"), =HYPERLINK("CSG8.html#group72M8", "72M⁸")</f>
        <v/>
      </c>
      <c r="L4997" t="inlineStr"/>
      <c r="M4997">
        <f>HYPERLINK("CSG0.html#group3B0", "3B⁰"), =HYPERLINK("CSG1.html#group24I1", "24I¹"), =HYPERLINK("CSG1.html#group12K1", "12K¹"), =HYPERLINK("CSG7.html#group36N7", "36N⁷"), =HYPERLINK("CSG1.html#group18I1", "18I¹"), =HYPERLINK("CSG8.html#group72M8", "72M⁸"), =HYPERLINK("CSG0.html#group6G0", "6G⁰"), =HYPERLINK("CSG1.html#group12S1", "12S¹"), =HYPERLINK("CSG0.html#group2B0", "2B⁰"), =HYPERLINK("CSG3.html#group24AC3", "24AC³"), =HYPERLINK("CSG0.html#group9E0", "9E⁰"), =HYPERLINK("CSG0.html#group4B0", "4B⁰"), =HYPERLINK("CSG0.html#group1A0", "1A⁰"), =HYPERLINK("CSG8.html#group72L8", "72L⁸"), =HYPERLINK("CSG0.html#group12G0", "12G⁰"), =HYPERLINK("CSG0.html#group24B0", "24B⁰"), =HYPERLINK("CSG0.html#group6D0", "6D⁰"), =HYPERLINK("CSG0.html#group6F0", "6F⁰"), =HYPERLINK("CSG4.html#group36Q4", "36Q⁴"), =HYPERLINK("CSG2.html#group18P2", "18P²"), =HYPERLINK("CSG0.html#group3C0", "3C⁰"), =HYPERLINK("CSG1.html#group12B1", "12B¹"), =HYPERLINK("CSG0.html#group12D0", "12D⁰"), =HYPERLINK("CSG3.html#group36I3", "36I³"), =HYPERLINK("CSG0.html#group6K0", "6K⁰"), =HYPERLINK("CSG0.html#group3A0", "3A⁰"), =HYPERLINK("CSG0.html#group9H0", "9H⁰"), =HYPERLINK("CSG0.html#group3D0", "3D⁰"), =HYPERLINK("CSG0.html#group12E0", "12E⁰")</f>
        <v/>
      </c>
      <c r="N4997" t="inlineStr"/>
    </row>
    <row r="4998">
      <c r="A4998" t="inlineStr">
        <is>
          <t>72Y¹⁷</t>
        </is>
      </c>
      <c r="B4998" t="inlineStr"/>
      <c r="C4998" t="inlineStr">
        <is>
          <t>432</t>
        </is>
      </c>
      <c r="D4998" t="inlineStr">
        <is>
          <t>1</t>
        </is>
      </c>
      <c r="E4998" t="inlineStr">
        <is>
          <t>36</t>
        </is>
      </c>
      <c r="F4998" t="inlineStr">
        <is>
          <t>0</t>
        </is>
      </c>
      <c r="G4998" t="inlineStr">
        <is>
          <t>0</t>
        </is>
      </c>
      <c r="H4998" t="inlineStr">
        <is>
          <t>1¹², 3⁸, 8³, 9¹², 24², 72³</t>
        </is>
      </c>
      <c r="I4998" t="n">
        <v>40</v>
      </c>
      <c r="J4998" t="inlineStr">
        <is>
          <t>1⁶, 2⁶, 6³</t>
        </is>
      </c>
      <c r="K4998">
        <f>HYPERLINK("CSG3.html#group72A3", "72A³"), =HYPERLINK("CSG7.html#group36O7", "36O⁷")</f>
        <v/>
      </c>
      <c r="L4998" t="inlineStr"/>
      <c r="M4998">
        <f>HYPERLINK("CSG3.html#group72A3", "72A³"), =HYPERLINK("CSG0.html#group3B0", "3B⁰"), =HYPERLINK("CSG0.html#group18E0", "18E⁰"), =HYPERLINK("CSG2.html#group18Q2", "18Q²"), =HYPERLINK("CSG0.html#group24B0", "24B⁰"), =HYPERLINK("CSG0.html#group6F0", "6F⁰"), =HYPERLINK("CSG0.html#group9B0", "9B⁰"), =HYPERLINK("CSG0.html#group9I0", "9I⁰"), =HYPERLINK("CSG0.html#group2B0", "2B⁰"), =HYPERLINK("CSG1.html#group36C1", "36C¹"), =HYPERLINK("CSG0.html#group4B0", "4B⁰"), =HYPERLINK("CSG0.html#group1A0", "1A⁰"), =HYPERLINK("CSG0.html#group12E0", "12E⁰"), =HYPERLINK("CSG7.html#group36O7", "36O⁷")</f>
        <v/>
      </c>
      <c r="N4998" t="inlineStr"/>
    </row>
    <row r="4999">
      <c r="A4999" t="inlineStr">
        <is>
          <t>74A¹⁷</t>
        </is>
      </c>
      <c r="B4999" t="inlineStr"/>
      <c r="C4999" t="inlineStr">
        <is>
          <t>228</t>
        </is>
      </c>
      <c r="D4999" t="inlineStr">
        <is>
          <t>1</t>
        </is>
      </c>
      <c r="E4999" t="inlineStr">
        <is>
          <t>38</t>
        </is>
      </c>
      <c r="F4999" t="inlineStr">
        <is>
          <t>0</t>
        </is>
      </c>
      <c r="G4999" t="inlineStr">
        <is>
          <t>0</t>
        </is>
      </c>
      <c r="H4999" t="inlineStr">
        <is>
          <t>2³, 74³</t>
        </is>
      </c>
      <c r="I4999" t="n">
        <v>6</v>
      </c>
      <c r="J4999" t="inlineStr">
        <is>
          <t>1², 36¹</t>
        </is>
      </c>
      <c r="K4999">
        <f>HYPERLINK("CSG0.html#group2C0", "2C⁰"), =HYPERLINK("CSG5.html#group74A5", "74A⁵"), =HYPERLINK("CSG8.html#group74A8", "74A⁸")</f>
        <v/>
      </c>
      <c r="L4999" t="inlineStr"/>
      <c r="M4999">
        <f>HYPERLINK("CSG2.html#group37A2", "37A²"), =HYPERLINK("CSG0.html#group2A0", "2A⁰"), =HYPERLINK("CSG5.html#group74A5", "74A⁵"), =HYPERLINK("CSG0.html#group2B0", "2B⁰"), =HYPERLINK("CSG8.html#group74A8", "74A⁸"), =HYPERLINK("CSG0.html#group1A0", "1A⁰"), =HYPERLINK("CSG0.html#group2C0", "2C⁰")</f>
        <v/>
      </c>
      <c r="N4999" t="inlineStr"/>
    </row>
    <row r="5000">
      <c r="A5000" t="inlineStr">
        <is>
          <t>74B¹⁷</t>
        </is>
      </c>
      <c r="B5000" t="inlineStr"/>
      <c r="C5000" t="inlineStr">
        <is>
          <t>228</t>
        </is>
      </c>
      <c r="D5000" t="inlineStr">
        <is>
          <t>1</t>
        </is>
      </c>
      <c r="E5000" t="inlineStr">
        <is>
          <t>76</t>
        </is>
      </c>
      <c r="F5000" t="inlineStr">
        <is>
          <t>0</t>
        </is>
      </c>
      <c r="G5000" t="inlineStr">
        <is>
          <t>0</t>
        </is>
      </c>
      <c r="H5000" t="inlineStr">
        <is>
          <t>2³, 74³</t>
        </is>
      </c>
      <c r="I5000" t="n">
        <v>6</v>
      </c>
      <c r="J5000" t="inlineStr">
        <is>
          <t>1⁴, 36²</t>
        </is>
      </c>
      <c r="K5000">
        <f>HYPERLINK("CSG5.html#group74A5", "74A⁵")</f>
        <v/>
      </c>
      <c r="L5000" t="inlineStr"/>
      <c r="M5000">
        <f>HYPERLINK("CSG2.html#group37A2", "37A²"), =HYPERLINK("CSG5.html#group74A5", "74A⁵"), =HYPERLINK("CSG0.html#group2A0", "2A⁰"), =HYPERLINK("CSG0.html#group1A0", "1A⁰")</f>
        <v/>
      </c>
      <c r="N5000" t="inlineStr"/>
    </row>
    <row r="5001">
      <c r="A5001" t="inlineStr">
        <is>
          <t>75A¹⁷</t>
        </is>
      </c>
      <c r="B5001" t="inlineStr"/>
      <c r="C5001" t="inlineStr">
        <is>
          <t>240</t>
        </is>
      </c>
      <c r="D5001" t="inlineStr">
        <is>
          <t>1</t>
        </is>
      </c>
      <c r="E5001" t="inlineStr">
        <is>
          <t>24</t>
        </is>
      </c>
      <c r="F5001" t="inlineStr">
        <is>
          <t>0</t>
        </is>
      </c>
      <c r="G5001" t="inlineStr">
        <is>
          <t>0</t>
        </is>
      </c>
      <c r="H5001" t="inlineStr">
        <is>
          <t>5², 15², 25², 75²</t>
        </is>
      </c>
      <c r="I5001" t="n">
        <v>8</v>
      </c>
      <c r="J5001" t="inlineStr">
        <is>
          <t>2⁴, 4⁶, 8²</t>
        </is>
      </c>
      <c r="K5001">
        <f>HYPERLINK("CSG1.html#group15G1", "15G¹"), =HYPERLINK("CSG4.html#group25A4", "25A⁴"), =HYPERLINK("CSG9.html#group75A9", "75A⁹")</f>
        <v/>
      </c>
      <c r="L5001" t="inlineStr"/>
      <c r="M5001">
        <f>HYPERLINK("CSG1.html#group15C1", "15C¹"), =HYPERLINK("CSG0.html#group3B0", "3B⁰"), =HYPERLINK("CSG2.html#group25A2", "25A²"), =HYPERLINK("CSG9.html#group75A9", "75A⁹"), =HYPERLINK("CSG0.html#group5B0", "5B⁰"), =HYPERLINK("CSG1.html#group15G1", "15G¹"), =HYPERLINK("CSG0.html#group5D0", "5D⁰"), =HYPERLINK("CSG0.html#group1A0", "1A⁰"), =HYPERLINK("CSG4.html#group25A4", "25A⁴")</f>
        <v/>
      </c>
      <c r="N5001" t="inlineStr"/>
    </row>
    <row r="5002">
      <c r="A5002" t="inlineStr">
        <is>
          <t>75B¹⁷</t>
        </is>
      </c>
      <c r="B5002" t="inlineStr"/>
      <c r="C5002" t="inlineStr">
        <is>
          <t>240</t>
        </is>
      </c>
      <c r="D5002" t="inlineStr">
        <is>
          <t>1</t>
        </is>
      </c>
      <c r="E5002" t="inlineStr">
        <is>
          <t>24</t>
        </is>
      </c>
      <c r="F5002" t="inlineStr">
        <is>
          <t>0</t>
        </is>
      </c>
      <c r="G5002" t="inlineStr">
        <is>
          <t>0</t>
        </is>
      </c>
      <c r="H5002" t="inlineStr">
        <is>
          <t>5², 15², 25², 75²</t>
        </is>
      </c>
      <c r="I5002" t="n">
        <v>8</v>
      </c>
      <c r="J5002" t="inlineStr">
        <is>
          <t>2⁴, 4⁶, 8²</t>
        </is>
      </c>
      <c r="K5002">
        <f>HYPERLINK("CSG1.html#group15G1", "15G¹"), =HYPERLINK("CSG4.html#group25B4", "25B⁴"), =HYPERLINK("CSG9.html#group75B9", "75B⁹")</f>
        <v/>
      </c>
      <c r="L5002" t="inlineStr"/>
      <c r="M5002">
        <f>HYPERLINK("CSG9.html#group75B9", "75B⁹"), =HYPERLINK("CSG1.html#group15C1", "15C¹"), =HYPERLINK("CSG0.html#group3B0", "3B⁰"), =HYPERLINK("CSG4.html#group25B4", "25B⁴"), =HYPERLINK("CSG0.html#group5B0", "5B⁰"), =HYPERLINK("CSG1.html#group15G1", "15G¹"), =HYPERLINK("CSG0.html#group5D0", "5D⁰"), =HYPERLINK("CSG0.html#group1A0", "1A⁰"), =HYPERLINK("CSG2.html#group25B2", "25B²")</f>
        <v/>
      </c>
      <c r="N5002" t="inlineStr"/>
    </row>
    <row r="5003">
      <c r="A5003" t="inlineStr">
        <is>
          <t>75C¹⁷</t>
        </is>
      </c>
      <c r="B5003" t="inlineStr"/>
      <c r="C5003" t="inlineStr">
        <is>
          <t>240</t>
        </is>
      </c>
      <c r="D5003" t="inlineStr">
        <is>
          <t>1</t>
        </is>
      </c>
      <c r="E5003" t="inlineStr">
        <is>
          <t>24</t>
        </is>
      </c>
      <c r="F5003" t="inlineStr">
        <is>
          <t>0</t>
        </is>
      </c>
      <c r="G5003" t="inlineStr">
        <is>
          <t>0</t>
        </is>
      </c>
      <c r="H5003" t="inlineStr">
        <is>
          <t>5², 15², 25², 75²</t>
        </is>
      </c>
      <c r="I5003" t="n">
        <v>8</v>
      </c>
      <c r="J5003" t="inlineStr">
        <is>
          <t>2⁴, 4⁶, 8²</t>
        </is>
      </c>
      <c r="K5003">
        <f>HYPERLINK("CSG1.html#group15G1", "15G¹"), =HYPERLINK("CSG4.html#group25C4", "25C⁴"), =HYPERLINK("CSG9.html#group75C9", "75C⁹")</f>
        <v/>
      </c>
      <c r="L5003" t="inlineStr"/>
      <c r="M5003">
        <f>HYPERLINK("CSG1.html#group15C1", "15C¹"), =HYPERLINK("CSG0.html#group3B0", "3B⁰"), =HYPERLINK("CSG9.html#group75C9", "75C⁹"), =HYPERLINK("CSG0.html#group5B0", "5B⁰"), =HYPERLINK("CSG1.html#group15G1", "15G¹"), =HYPERLINK("CSG0.html#group5D0", "5D⁰"), =HYPERLINK("CSG0.html#group1A0", "1A⁰"), =HYPERLINK("CSG2.html#group25C2", "25C²"), =HYPERLINK("CSG4.html#group25C4", "25C⁴")</f>
        <v/>
      </c>
      <c r="N5003" t="inlineStr"/>
    </row>
    <row r="5004">
      <c r="A5004" t="inlineStr">
        <is>
          <t>75D¹⁷</t>
        </is>
      </c>
      <c r="B5004" t="inlineStr"/>
      <c r="C5004" t="inlineStr">
        <is>
          <t>240</t>
        </is>
      </c>
      <c r="D5004" t="inlineStr">
        <is>
          <t>1</t>
        </is>
      </c>
      <c r="E5004" t="inlineStr">
        <is>
          <t>24</t>
        </is>
      </c>
      <c r="F5004" t="inlineStr">
        <is>
          <t>0</t>
        </is>
      </c>
      <c r="G5004" t="inlineStr">
        <is>
          <t>0</t>
        </is>
      </c>
      <c r="H5004" t="inlineStr">
        <is>
          <t>5², 15², 25², 75²</t>
        </is>
      </c>
      <c r="I5004" t="n">
        <v>8</v>
      </c>
      <c r="J5004" t="inlineStr">
        <is>
          <t>2⁴, 4⁶, 8²</t>
        </is>
      </c>
      <c r="K5004">
        <f>HYPERLINK("CSG1.html#group15G1", "15G¹"), =HYPERLINK("CSG4.html#group25D4", "25D⁴"), =HYPERLINK("CSG9.html#group75D9", "75D⁹")</f>
        <v/>
      </c>
      <c r="L5004" t="inlineStr"/>
      <c r="M5004">
        <f>HYPERLINK("CSG1.html#group15C1", "15C¹"), =HYPERLINK("CSG0.html#group3B0", "3B⁰"), =HYPERLINK("CSG0.html#group5B0", "5B⁰"), =HYPERLINK("CSG1.html#group15G1", "15G¹"), =HYPERLINK("CSG9.html#group75D9", "75D⁹"), =HYPERLINK("CSG0.html#group5D0", "5D⁰"), =HYPERLINK("CSG4.html#group25D4", "25D⁴"), =HYPERLINK("CSG0.html#group1A0", "1A⁰"), =HYPERLINK("CSG2.html#group25D2", "25D²")</f>
        <v/>
      </c>
      <c r="N5004" t="inlineStr"/>
    </row>
    <row r="5005">
      <c r="A5005" t="inlineStr">
        <is>
          <t>75E¹⁷</t>
        </is>
      </c>
      <c r="B5005" t="inlineStr"/>
      <c r="C5005" t="inlineStr">
        <is>
          <t>360</t>
        </is>
      </c>
      <c r="D5005" t="inlineStr">
        <is>
          <t>1</t>
        </is>
      </c>
      <c r="E5005" t="inlineStr">
        <is>
          <t>90</t>
        </is>
      </c>
      <c r="F5005" t="inlineStr">
        <is>
          <t>8</t>
        </is>
      </c>
      <c r="G5005" t="inlineStr">
        <is>
          <t>0</t>
        </is>
      </c>
      <c r="H5005" t="inlineStr">
        <is>
          <t>3²⁰, 75⁴</t>
        </is>
      </c>
      <c r="I5005" t="n">
        <v>24</v>
      </c>
      <c r="J5005" t="inlineStr">
        <is>
          <t>1², 2², 4², 8², 20¹, 40¹</t>
        </is>
      </c>
      <c r="K5005">
        <f>HYPERLINK("CSG1.html#group15H1", "15H¹"), =HYPERLINK("CSG8.html#group75A8", "75A⁸"), =HYPERLINK("CSG9.html#group75E9", "75E⁹")</f>
        <v/>
      </c>
      <c r="L5005" t="inlineStr"/>
      <c r="M5005">
        <f>HYPERLINK("CSG4.html#group75A4", "75A⁴"), =HYPERLINK("CSG0.html#group15B0", "15B⁰"), =HYPERLINK("CSG1.html#group15E1", "15E¹"), =HYPERLINK("CSG0.html#group5B0", "5B⁰"), =HYPERLINK("CSG0.html#group25A0", "25A⁰"), =HYPERLINK("CSG0.html#group3C0", "3C⁰"), =HYPERLINK("CSG0.html#group1A0", "1A⁰"), =HYPERLINK("CSG9.html#group75E9", "75E⁹"), =HYPERLINK("CSG0.html#group3A0", "3A⁰"), =HYPERLINK("CSG1.html#group15H1", "15H¹"), =HYPERLINK("CSG8.html#group75A8", "75A⁸"), =HYPERLINK("CSG0.html#group15C0", "15C⁰")</f>
        <v/>
      </c>
      <c r="N5005" t="inlineStr"/>
    </row>
    <row r="5006">
      <c r="A5006" t="inlineStr">
        <is>
          <t>75F¹⁷</t>
        </is>
      </c>
      <c r="B5006" t="inlineStr"/>
      <c r="C5006" t="inlineStr">
        <is>
          <t>480</t>
        </is>
      </c>
      <c r="D5006" t="inlineStr">
        <is>
          <t>1</t>
        </is>
      </c>
      <c r="E5006" t="inlineStr">
        <is>
          <t>24</t>
        </is>
      </c>
      <c r="F5006" t="inlineStr">
        <is>
          <t>0</t>
        </is>
      </c>
      <c r="G5006" t="inlineStr">
        <is>
          <t>0</t>
        </is>
      </c>
      <c r="H5006" t="inlineStr">
        <is>
          <t>1²⁰, 3²⁰, 25⁴, 75⁴</t>
        </is>
      </c>
      <c r="I5006" t="n">
        <v>48</v>
      </c>
      <c r="J5006" t="inlineStr">
        <is>
          <t>1⁴, 2², 4², 8¹</t>
        </is>
      </c>
      <c r="K5006">
        <f>HYPERLINK("CSG1.html#group15I1", "15I¹"), =HYPERLINK("CSG9.html#group75F9", "75F⁹")</f>
        <v/>
      </c>
      <c r="L5006" t="inlineStr"/>
      <c r="M5006">
        <f>HYPERLINK("CSG1.html#group15C1", "15C¹"), =HYPERLINK("CSG0.html#group3B0", "3B⁰"), =HYPERLINK("CSG5.html#group75A5", "75A⁵"), =HYPERLINK("CSG9.html#group75F9", "75F⁹"), =HYPERLINK("CSG1.html#group15I1", "15I¹"), =HYPERLINK("CSG0.html#group5B0", "5B⁰"), =HYPERLINK("CSG1.html#group15G1", "15G¹"), =HYPERLINK("CSG0.html#group5D0", "5D⁰"), =HYPERLINK("CSG0.html#group25A0", "25A⁰"), =HYPERLINK("CSG0.html#group1A0", "1A⁰"), =HYPERLINK("CSG0.html#group25B0", "25B⁰")</f>
        <v/>
      </c>
      <c r="N5006" t="inlineStr"/>
    </row>
    <row r="5007">
      <c r="A5007" t="inlineStr">
        <is>
          <t>76A¹⁷</t>
        </is>
      </c>
      <c r="B5007" t="inlineStr"/>
      <c r="C5007" t="inlineStr">
        <is>
          <t>240</t>
        </is>
      </c>
      <c r="D5007" t="inlineStr">
        <is>
          <t>1</t>
        </is>
      </c>
      <c r="E5007" t="inlineStr">
        <is>
          <t>60</t>
        </is>
      </c>
      <c r="F5007" t="inlineStr">
        <is>
          <t>0</t>
        </is>
      </c>
      <c r="G5007" t="inlineStr">
        <is>
          <t>0</t>
        </is>
      </c>
      <c r="H5007" t="inlineStr">
        <is>
          <t>2², 4², 38², 76²</t>
        </is>
      </c>
      <c r="I5007" t="n">
        <v>8</v>
      </c>
      <c r="J5007" t="inlineStr">
        <is>
          <t>1⁶, 18³</t>
        </is>
      </c>
      <c r="K5007">
        <f>HYPERLINK("CSG0.html#group4E0", "4E⁰"), =HYPERLINK("CSG8.html#group38A8", "38A⁸"), =HYPERLINK("CSG8.html#group76A8", "76A⁸"), =HYPERLINK("CSG9.html#group76A9", "76A⁹")</f>
        <v/>
      </c>
      <c r="L5007" t="inlineStr"/>
      <c r="M5007">
        <f>HYPERLINK("CSG1.html#group19A1", "19A¹"), =HYPERLINK("CSG0.html#group2A0", "2A⁰"), =HYPERLINK("CSG8.html#group38A8", "38A⁸"), =HYPERLINK("CSG2.html#group38A2", "38A²"), =HYPERLINK("CSG0.html#group4B0", "4B⁰"), =HYPERLINK("CSG0.html#group4C0", "4C⁰"), =HYPERLINK("CSG4.html#group38A4", "38A⁴"), =HYPERLINK("CSG8.html#group76A8", "76A⁸"), =HYPERLINK("CSG0.html#group2B0", "2B⁰"), =HYPERLINK("CSG0.html#group4E0", "4E⁰"), =HYPERLINK("CSG9.html#group76A9", "76A⁹"), =HYPERLINK("CSG0.html#group1A0", "1A⁰"), =HYPERLINK("CSG0.html#group2C0", "2C⁰")</f>
        <v/>
      </c>
      <c r="N5007" t="inlineStr"/>
    </row>
    <row r="5008">
      <c r="A5008" t="inlineStr">
        <is>
          <t>78A¹⁷</t>
        </is>
      </c>
      <c r="B5008" t="inlineStr"/>
      <c r="C5008" t="inlineStr">
        <is>
          <t>252</t>
        </is>
      </c>
      <c r="D5008" t="inlineStr">
        <is>
          <t>1</t>
        </is>
      </c>
      <c r="E5008" t="inlineStr">
        <is>
          <t>126</t>
        </is>
      </c>
      <c r="F5008" t="inlineStr">
        <is>
          <t>4</t>
        </is>
      </c>
      <c r="G5008" t="inlineStr">
        <is>
          <t>0</t>
        </is>
      </c>
      <c r="H5008" t="inlineStr">
        <is>
          <t>3², 6², 39², 78²</t>
        </is>
      </c>
      <c r="I5008" t="n">
        <v>8</v>
      </c>
      <c r="J5008" t="inlineStr">
        <is>
          <t>1⁶, 2⁶, 12³, 24³</t>
        </is>
      </c>
      <c r="K5008">
        <f>HYPERLINK("CSG0.html#group6G0", "6G⁰"), =HYPERLINK("CSG5.html#group39A5", "39A⁵"), =HYPERLINK("CSG8.html#group78A8", "78A⁸")</f>
        <v/>
      </c>
      <c r="L5008" t="inlineStr"/>
      <c r="M5008">
        <f>HYPERLINK("CSG8.html#group78A8", "78A⁸"), =HYPERLINK("CSG2.html#group39A2", "39A²"), =HYPERLINK("CSG5.html#group39A5", "39A⁵"), =HYPERLINK("CSG0.html#group13A0", "13A⁰"), =HYPERLINK("CSG0.html#group6G0", "6G⁰"), =HYPERLINK("CSG0.html#group3C0", "3C⁰"), =HYPERLINK("CSG0.html#group2B0", "2B⁰"), =HYPERLINK("CSG0.html#group3A0", "3A⁰"), =HYPERLINK("CSG0.html#group1A0", "1A⁰"), =HYPERLINK("CSG2.html#group26A2", "26A²"), =HYPERLINK("CSG0.html#group6D0", "6D⁰")</f>
        <v/>
      </c>
      <c r="N5008" t="inlineStr"/>
    </row>
    <row r="5009">
      <c r="A5009" t="inlineStr">
        <is>
          <t>78B¹⁷</t>
        </is>
      </c>
      <c r="B5009" t="inlineStr"/>
      <c r="C5009" t="inlineStr">
        <is>
          <t>252</t>
        </is>
      </c>
      <c r="D5009" t="inlineStr">
        <is>
          <t>1</t>
        </is>
      </c>
      <c r="E5009" t="inlineStr">
        <is>
          <t>126</t>
        </is>
      </c>
      <c r="F5009" t="inlineStr">
        <is>
          <t>8</t>
        </is>
      </c>
      <c r="G5009" t="inlineStr">
        <is>
          <t>0</t>
        </is>
      </c>
      <c r="H5009" t="inlineStr">
        <is>
          <t>6³, 78³</t>
        </is>
      </c>
      <c r="I5009" t="n">
        <v>6</v>
      </c>
      <c r="J5009" t="inlineStr">
        <is>
          <t>1⁶, 2⁶, 12³, 24³</t>
        </is>
      </c>
      <c r="K5009">
        <f>HYPERLINK("CSG0.html#group6H0", "6H⁰"), =HYPERLINK("CSG5.html#group78B5", "78B⁵"), =HYPERLINK("CSG8.html#group78A8", "78A⁸")</f>
        <v/>
      </c>
      <c r="L5009" t="inlineStr"/>
      <c r="M5009">
        <f>HYPERLINK("CSG8.html#group78A8", "78A⁸"), =HYPERLINK("CSG2.html#group39A2", "39A²"), =HYPERLINK("CSG0.html#group6B0", "6B⁰"), =HYPERLINK("CSG5.html#group78B5", "78B⁵"), =HYPERLINK("CSG0.html#group13A0", "13A⁰"), =HYPERLINK("CSG0.html#group2B0", "2B⁰"), =HYPERLINK("CSG0.html#group6H0", "6H⁰"), =HYPERLINK("CSG0.html#group3A0", "3A⁰"), =HYPERLINK("CSG0.html#group1A0", "1A⁰"), =HYPERLINK("CSG2.html#group26A2", "26A²"), =HYPERLINK("CSG0.html#group6D0", "6D⁰")</f>
        <v/>
      </c>
      <c r="N5009" t="inlineStr"/>
    </row>
    <row r="5010">
      <c r="A5010" t="inlineStr">
        <is>
          <t>80A¹⁷</t>
        </is>
      </c>
      <c r="B5010" t="inlineStr"/>
      <c r="C5010" t="inlineStr">
        <is>
          <t>240</t>
        </is>
      </c>
      <c r="D5010" t="inlineStr">
        <is>
          <t>1</t>
        </is>
      </c>
      <c r="E5010" t="inlineStr">
        <is>
          <t>30</t>
        </is>
      </c>
      <c r="F5010" t="inlineStr">
        <is>
          <t>0</t>
        </is>
      </c>
      <c r="G5010" t="inlineStr">
        <is>
          <t>0</t>
        </is>
      </c>
      <c r="H5010" t="inlineStr">
        <is>
          <t>10⁴, 20², 80²</t>
        </is>
      </c>
      <c r="I5010" t="n">
        <v>8</v>
      </c>
      <c r="J5010" t="inlineStr">
        <is>
          <t>1⁴, 2¹, 4⁴, 8¹</t>
        </is>
      </c>
      <c r="K5010">
        <f>HYPERLINK("CSG1.html#group16E1", "16E¹"), =HYPERLINK("CSG8.html#group40A8", "40A⁸"), =HYPERLINK("CSG8.html#group80B8", "80B⁸"), =HYPERLINK("CSG9.html#group80A9", "80A⁹")</f>
        <v/>
      </c>
      <c r="L5010" t="inlineStr"/>
      <c r="M5010">
        <f>HYPERLINK("CSG0.html#group2A0", "2A⁰"), =HYPERLINK("CSG0.html#group5A0", "5A⁰"), =HYPERLINK("CSG0.html#group4C0", "4C⁰"), =HYPERLINK("CSG8.html#group40A8", "40A⁸"), =HYPERLINK("CSG0.html#group8C0", "8C⁰"), =HYPERLINK("CSG0.html#group2B0", "2B⁰"), =HYPERLINK("CSG1.html#group16A1", "16A¹"), =HYPERLINK("CSG0.html#group4E0", "4E⁰"), =HYPERLINK("CSG0.html#group4B0", "4B⁰"), =HYPERLINK("CSG0.html#group1A0", "1A⁰"), =HYPERLINK("CSG4.html#group40C4", "40C⁴"), =HYPERLINK("CSG0.html#group10A0", "10A⁰"), =HYPERLINK("CSG8.html#group80B8", "80B⁸"), =HYPERLINK("CSG9.html#group80A9", "80A⁹"), =HYPERLINK("CSG0.html#group8G0", "8G⁰"), =HYPERLINK("CSG0.html#group16C0", "16C⁰"), =HYPERLINK("CSG2.html#group20A2", "20A²"), =HYPERLINK("CSG0.html#group8D0", "8D⁰"), =HYPERLINK("CSG1.html#group16E1", "16E¹"), =HYPERLINK("CSG1.html#group10B1", "10B¹"), =HYPERLINK("CSG2.html#group20B2", "20B²"), =HYPERLINK("CSG2.html#group10B2", "10B²"), =HYPERLINK("CSG4.html#group40B4", "40B⁴"), =HYPERLINK("CSG4.html#group20A4", "20A⁴"), =HYPERLINK("CSG0.html#group2C0", "2C⁰")</f>
        <v/>
      </c>
      <c r="N5010" t="inlineStr"/>
    </row>
    <row r="5011">
      <c r="A5011" t="inlineStr">
        <is>
          <t>80B¹⁷</t>
        </is>
      </c>
      <c r="B5011" t="inlineStr"/>
      <c r="C5011" t="inlineStr">
        <is>
          <t>240</t>
        </is>
      </c>
      <c r="D5011" t="inlineStr">
        <is>
          <t>1</t>
        </is>
      </c>
      <c r="E5011" t="inlineStr">
        <is>
          <t>30</t>
        </is>
      </c>
      <c r="F5011" t="inlineStr">
        <is>
          <t>8</t>
        </is>
      </c>
      <c r="G5011" t="inlineStr">
        <is>
          <t>0</t>
        </is>
      </c>
      <c r="H5011" t="inlineStr">
        <is>
          <t>40², 80²</t>
        </is>
      </c>
      <c r="I5011" t="n">
        <v>4</v>
      </c>
      <c r="J5011" t="inlineStr">
        <is>
          <t>1², 2², 4², 8²</t>
        </is>
      </c>
      <c r="K5011">
        <f>HYPERLINK("CSG1.html#group16F1", "16F¹"), =HYPERLINK("CSG8.html#group40B8", "40B⁸"), =HYPERLINK("CSG8.html#group80A8", "80A⁸"), =HYPERLINK("CSG9.html#group80B9", "80B⁹")</f>
        <v/>
      </c>
      <c r="L5011" t="inlineStr"/>
      <c r="M5011">
        <f>HYPERLINK("CSG8.html#group40B8", "40B⁸"), =HYPERLINK("CSG0.html#group5A0", "5A⁰"), =HYPERLINK("CSG4.html#group40A4", "40A⁴"), =HYPERLINK("CSG0.html#group8D0", "8D⁰"), =HYPERLINK("CSG1.html#group10B1", "10B¹"), =HYPERLINK("CSG2.html#group20B2", "20B²"), =HYPERLINK("CSG0.html#group4C0", "4C⁰"), =HYPERLINK("CSG0.html#group8B0", "8B⁰"), =HYPERLINK("CSG1.html#group16B1", "16B¹"), =HYPERLINK("CSG1.html#group20A1", "20A¹"), =HYPERLINK("CSG0.html#group2B0", "2B⁰"), =HYPERLINK("CSG4.html#group20C4", "20C⁴"), =HYPERLINK("CSG0.html#group1A0", "1A⁰"), =HYPERLINK("CSG0.html#group8H0", "8H⁰"), =HYPERLINK("CSG0.html#group16B0", "16B⁰"), =HYPERLINK("CSG4.html#group40C4", "40C⁴"), =HYPERLINK("CSG0.html#group4A0", "4A⁰"), =HYPERLINK("CSG0.html#group4F0", "4F⁰"), =HYPERLINK("CSG1.html#group16F1", "16F¹"), =HYPERLINK("CSG9.html#group80B9", "80B⁹"), =HYPERLINK("CSG8.html#group80A8", "80A⁸")</f>
        <v/>
      </c>
      <c r="N5011" t="inlineStr"/>
    </row>
    <row r="5012">
      <c r="A5012" t="inlineStr">
        <is>
          <t>80C¹⁷</t>
        </is>
      </c>
      <c r="B5012" t="inlineStr"/>
      <c r="C5012" t="inlineStr">
        <is>
          <t>240</t>
        </is>
      </c>
      <c r="D5012" t="inlineStr">
        <is>
          <t>1</t>
        </is>
      </c>
      <c r="E5012" t="inlineStr">
        <is>
          <t>60</t>
        </is>
      </c>
      <c r="F5012" t="inlineStr">
        <is>
          <t>0</t>
        </is>
      </c>
      <c r="G5012" t="inlineStr">
        <is>
          <t>0</t>
        </is>
      </c>
      <c r="H5012" t="inlineStr">
        <is>
          <t>10⁴, 20², 80²</t>
        </is>
      </c>
      <c r="I5012" t="n">
        <v>8</v>
      </c>
      <c r="J5012" t="inlineStr">
        <is>
          <t>1⁴, 2², 4⁵, 8², 16¹</t>
        </is>
      </c>
      <c r="K5012">
        <f>HYPERLINK("CSG1.html#group16G1", "16G¹"), =HYPERLINK("CSG8.html#group40C8", "40C⁸"), =HYPERLINK("CSG8.html#group80C8", "80C⁸"), =HYPERLINK("CSG9.html#group80A9", "80A⁹")</f>
        <v/>
      </c>
      <c r="L5012" t="inlineStr"/>
      <c r="M5012">
        <f>HYPERLINK("CSG8.html#group80C8", "80C⁸"), =HYPERLINK("CSG2.html#group20A2", "20A²"), =HYPERLINK("CSG0.html#group5A0", "5A⁰"), =HYPERLINK("CSG1.html#group16G1", "16G¹"), =HYPERLINK("CSG9.html#group80A9", "80A⁹"), =HYPERLINK("CSG1.html#group10B1", "10B¹"), =HYPERLINK("CSG0.html#group16D0", "16D⁰"), =HYPERLINK("CSG1.html#group16A1", "16A¹"), =HYPERLINK("CSG0.html#group8C0", "8C⁰"), =HYPERLINK("CSG0.html#group2B0", "2B⁰"), =HYPERLINK("CSG0.html#group8I0", "8I⁰"), =HYPERLINK("CSG0.html#group4B0", "4B⁰"), =HYPERLINK("CSG4.html#group40B4", "40B⁴"), =HYPERLINK("CSG0.html#group1A0", "1A⁰"), =HYPERLINK("CSG8.html#group40C8", "40C⁸")</f>
        <v/>
      </c>
      <c r="N5012" t="inlineStr"/>
    </row>
    <row r="5013">
      <c r="A5013" t="inlineStr">
        <is>
          <t>80D¹⁷</t>
        </is>
      </c>
      <c r="B5013" t="inlineStr"/>
      <c r="C5013" t="inlineStr">
        <is>
          <t>240</t>
        </is>
      </c>
      <c r="D5013" t="inlineStr">
        <is>
          <t>1</t>
        </is>
      </c>
      <c r="E5013" t="inlineStr">
        <is>
          <t>60</t>
        </is>
      </c>
      <c r="F5013" t="inlineStr">
        <is>
          <t>0</t>
        </is>
      </c>
      <c r="G5013" t="inlineStr">
        <is>
          <t>0</t>
        </is>
      </c>
      <c r="H5013" t="inlineStr">
        <is>
          <t>10⁴, 20², 80²</t>
        </is>
      </c>
      <c r="I5013" t="n">
        <v>8</v>
      </c>
      <c r="J5013" t="inlineStr">
        <is>
          <t>2⁴, 4⁹, 8²</t>
        </is>
      </c>
      <c r="K5013">
        <f>HYPERLINK("CSG7.html#group40G7", "40G⁷")</f>
        <v/>
      </c>
      <c r="L5013" t="inlineStr"/>
      <c r="M5013">
        <f>HYPERLINK("CSG7.html#group40G7", "40G⁷"), =HYPERLINK("CSG3.html#group20E3", "20E³"), =HYPERLINK("CSG0.html#group1A0", "1A⁰"), =HYPERLINK("CSG0.html#group8C0", "8C⁰"), =HYPERLINK("CSG0.html#group2B0", "2B⁰"), =HYPERLINK("CSG0.html#group4B0", "4B⁰"), =HYPERLINK("CSG0.html#group5C0", "5C⁰"), =HYPERLINK("CSG1.html#group10F1", "10F¹")</f>
        <v/>
      </c>
      <c r="N5013" t="inlineStr"/>
    </row>
    <row r="5014">
      <c r="A5014" t="inlineStr">
        <is>
          <t>80E¹⁷</t>
        </is>
      </c>
      <c r="B5014" t="inlineStr"/>
      <c r="C5014" t="inlineStr">
        <is>
          <t>240</t>
        </is>
      </c>
      <c r="D5014" t="inlineStr">
        <is>
          <t>1</t>
        </is>
      </c>
      <c r="E5014" t="inlineStr">
        <is>
          <t>60</t>
        </is>
      </c>
      <c r="F5014" t="inlineStr">
        <is>
          <t>0</t>
        </is>
      </c>
      <c r="G5014" t="inlineStr">
        <is>
          <t>0</t>
        </is>
      </c>
      <c r="H5014" t="inlineStr">
        <is>
          <t>10⁴, 20², 80²</t>
        </is>
      </c>
      <c r="I5014" t="n">
        <v>8</v>
      </c>
      <c r="J5014" t="inlineStr">
        <is>
          <t>2⁴, 4⁹, 8²</t>
        </is>
      </c>
      <c r="K5014">
        <f>HYPERLINK("CSG1.html#group16A1", "16A¹"), =HYPERLINK("CSG7.html#group40G7", "40G⁷")</f>
        <v/>
      </c>
      <c r="L5014" t="inlineStr"/>
      <c r="M5014">
        <f>HYPERLINK("CSG7.html#group40G7", "40G⁷"), =HYPERLINK("CSG3.html#group20E3", "20E³"), =HYPERLINK("CSG1.html#group16A1", "16A¹"), =HYPERLINK("CSG0.html#group8C0", "8C⁰"), =HYPERLINK("CSG0.html#group2B0", "2B⁰"), =HYPERLINK("CSG0.html#group1A0", "1A⁰"), =HYPERLINK("CSG0.html#group4B0", "4B⁰"), =HYPERLINK("CSG0.html#group5C0", "5C⁰"), =HYPERLINK("CSG1.html#group10F1", "10F¹")</f>
        <v/>
      </c>
      <c r="N5014" t="inlineStr"/>
    </row>
    <row r="5015">
      <c r="A5015" t="inlineStr">
        <is>
          <t>80F¹⁷</t>
        </is>
      </c>
      <c r="B5015" t="inlineStr"/>
      <c r="C5015" t="inlineStr">
        <is>
          <t>240</t>
        </is>
      </c>
      <c r="D5015" t="inlineStr">
        <is>
          <t>1</t>
        </is>
      </c>
      <c r="E5015" t="inlineStr">
        <is>
          <t>60</t>
        </is>
      </c>
      <c r="F5015" t="inlineStr">
        <is>
          <t>4</t>
        </is>
      </c>
      <c r="G5015" t="inlineStr">
        <is>
          <t>0</t>
        </is>
      </c>
      <c r="H5015" t="inlineStr">
        <is>
          <t>20⁴, 80²</t>
        </is>
      </c>
      <c r="I5015" t="n">
        <v>6</v>
      </c>
      <c r="J5015" t="inlineStr">
        <is>
          <t>2², 4², 8², 16²</t>
        </is>
      </c>
      <c r="K5015">
        <f>HYPERLINK("CSG1.html#group16H1", "16H¹"), =HYPERLINK("CSG8.html#group40B8", "40B⁸")</f>
        <v/>
      </c>
      <c r="L5015" t="inlineStr"/>
      <c r="M5015">
        <f>HYPERLINK("CSG8.html#group40B8", "40B⁸"), =HYPERLINK("CSG0.html#group5A0", "5A⁰"), =HYPERLINK("CSG4.html#group40A4", "40A⁴"), =HYPERLINK("CSG0.html#group8D0", "8D⁰"), =HYPERLINK("CSG1.html#group10B1", "10B¹"), =HYPERLINK("CSG2.html#group20B2", "20B²"), =HYPERLINK("CSG0.html#group4C0", "4C⁰"), =HYPERLINK("CSG0.html#group8B0", "8B⁰"), =HYPERLINK("CSG1.html#group20A1", "20A¹"), =HYPERLINK("CSG4.html#group20C4", "20C⁴"), =HYPERLINK("CSG0.html#group2B0", "2B⁰"), =HYPERLINK("CSG0.html#group1A0", "1A⁰"), =HYPERLINK("CSG0.html#group8H0", "8H⁰"), =HYPERLINK("CSG4.html#group40C4", "40C⁴"), =HYPERLINK("CSG0.html#group4A0", "4A⁰"), =HYPERLINK("CSG0.html#group4F0", "4F⁰"), =HYPERLINK("CSG1.html#group16H1", "16H¹")</f>
        <v/>
      </c>
      <c r="N5015" t="inlineStr"/>
    </row>
    <row r="5016">
      <c r="A5016" t="inlineStr">
        <is>
          <t>80G¹⁷</t>
        </is>
      </c>
      <c r="B5016" t="inlineStr"/>
      <c r="C5016" t="inlineStr">
        <is>
          <t>240</t>
        </is>
      </c>
      <c r="D5016" t="inlineStr">
        <is>
          <t>1</t>
        </is>
      </c>
      <c r="E5016" t="inlineStr">
        <is>
          <t>60</t>
        </is>
      </c>
      <c r="F5016" t="inlineStr">
        <is>
          <t>4</t>
        </is>
      </c>
      <c r="G5016" t="inlineStr">
        <is>
          <t>0</t>
        </is>
      </c>
      <c r="H5016" t="inlineStr">
        <is>
          <t>20⁴, 80²</t>
        </is>
      </c>
      <c r="I5016" t="n">
        <v>6</v>
      </c>
      <c r="J5016" t="inlineStr">
        <is>
          <t>1², 2¹, 4⁴, 8¹, 16²</t>
        </is>
      </c>
      <c r="K5016">
        <f>HYPERLINK("CSG1.html#group16I1", "16I¹"), =HYPERLINK("CSG8.html#group40B8", "40B⁸"), =HYPERLINK("CSG8.html#group80D8", "80D⁸"), =HYPERLINK("CSG9.html#group80C9", "80C⁹")</f>
        <v/>
      </c>
      <c r="L5016" t="inlineStr"/>
      <c r="M5016">
        <f>HYPERLINK("CSG8.html#group40B8", "40B⁸"), =HYPERLINK("CSG0.html#group5A0", "5A⁰"), =HYPERLINK("CSG4.html#group40A4", "40A⁴"), =HYPERLINK("CSG1.html#group16I1", "16I¹"), =HYPERLINK("CSG0.html#group8D0", "8D⁰"), =HYPERLINK("CSG1.html#group10B1", "10B¹"), =HYPERLINK("CSG2.html#group20B2", "20B²"), =HYPERLINK("CSG0.html#group4C0", "4C⁰"), =HYPERLINK("CSG0.html#group8B0", "8B⁰"), =HYPERLINK("CSG1.html#group20A1", "20A¹"), =HYPERLINK("CSG0.html#group2B0", "2B⁰"), =HYPERLINK("CSG4.html#group20C4", "20C⁴"), =HYPERLINK("CSG0.html#group1A0", "1A⁰"), =HYPERLINK("CSG0.html#group8H0", "8H⁰"), =HYPERLINK("CSG0.html#group16E0", "16E⁰"), =HYPERLINK("CSG4.html#group40C4", "40C⁴"), =HYPERLINK("CSG0.html#group4A0", "4A⁰"), =HYPERLINK("CSG1.html#group16C1", "16C¹"), =HYPERLINK("CSG8.html#group80D8", "80D⁸"), =HYPERLINK("CSG0.html#group4F0", "4F⁰"), =HYPERLINK("CSG9.html#group80C9", "80C⁹")</f>
        <v/>
      </c>
      <c r="N5016" t="inlineStr"/>
    </row>
    <row r="5017">
      <c r="A5017" t="inlineStr">
        <is>
          <t>80H¹⁷</t>
        </is>
      </c>
      <c r="B5017" t="inlineStr"/>
      <c r="C5017" t="inlineStr">
        <is>
          <t>240</t>
        </is>
      </c>
      <c r="D5017" t="inlineStr">
        <is>
          <t>1</t>
        </is>
      </c>
      <c r="E5017" t="inlineStr">
        <is>
          <t>60</t>
        </is>
      </c>
      <c r="F5017" t="inlineStr">
        <is>
          <t>8</t>
        </is>
      </c>
      <c r="G5017" t="inlineStr">
        <is>
          <t>0</t>
        </is>
      </c>
      <c r="H5017" t="inlineStr">
        <is>
          <t>40², 80²</t>
        </is>
      </c>
      <c r="I5017" t="n">
        <v>4</v>
      </c>
      <c r="J5017" t="inlineStr">
        <is>
          <t>2², 4⁶, 8⁴</t>
        </is>
      </c>
      <c r="K5017">
        <f>HYPERLINK("CSG7.html#group40E7", "40E⁷")</f>
        <v/>
      </c>
      <c r="L5017" t="inlineStr"/>
      <c r="M5017">
        <f>HYPERLINK("CSG7.html#group40E7", "40E⁷"), =HYPERLINK("CSG0.html#group4C0", "4C⁰"), =HYPERLINK("CSG0.html#group8B0", "8B⁰"), =HYPERLINK("CSG0.html#group1A0", "1A⁰"), =HYPERLINK("CSG0.html#group2B0", "2B⁰"), =HYPERLINK("CSG0.html#group5C0", "5C⁰"), =HYPERLINK("CSG3.html#group20F3", "20F³"), =HYPERLINK("CSG1.html#group10F1", "10F¹")</f>
        <v/>
      </c>
      <c r="N5017" t="inlineStr"/>
    </row>
    <row r="5018">
      <c r="A5018" t="inlineStr">
        <is>
          <t>80I¹⁷</t>
        </is>
      </c>
      <c r="B5018" t="inlineStr"/>
      <c r="C5018" t="inlineStr">
        <is>
          <t>240</t>
        </is>
      </c>
      <c r="D5018" t="inlineStr">
        <is>
          <t>1</t>
        </is>
      </c>
      <c r="E5018" t="inlineStr">
        <is>
          <t>60</t>
        </is>
      </c>
      <c r="F5018" t="inlineStr">
        <is>
          <t>8</t>
        </is>
      </c>
      <c r="G5018" t="inlineStr">
        <is>
          <t>0</t>
        </is>
      </c>
      <c r="H5018" t="inlineStr">
        <is>
          <t>40², 80²</t>
        </is>
      </c>
      <c r="I5018" t="n">
        <v>4</v>
      </c>
      <c r="J5018" t="inlineStr">
        <is>
          <t>2², 4⁶, 8⁴</t>
        </is>
      </c>
      <c r="K5018">
        <f>HYPERLINK("CSG1.html#group16B1", "16B¹"), =HYPERLINK("CSG7.html#group40E7", "40E⁷")</f>
        <v/>
      </c>
      <c r="L5018" t="inlineStr"/>
      <c r="M5018">
        <f>HYPERLINK("CSG7.html#group40E7", "40E⁷"), =HYPERLINK("CSG0.html#group4C0", "4C⁰"), =HYPERLINK("CSG0.html#group5C0", "5C⁰"), =HYPERLINK("CSG0.html#group8B0", "8B⁰"), =HYPERLINK("CSG1.html#group16B1", "16B¹"), =HYPERLINK("CSG0.html#group2B0", "2B⁰"), =HYPERLINK("CSG0.html#group1A0", "1A⁰"), =HYPERLINK("CSG3.html#group20F3", "20F³"), =HYPERLINK("CSG1.html#group10F1", "10F¹")</f>
        <v/>
      </c>
      <c r="N5018" t="inlineStr"/>
    </row>
    <row r="5019">
      <c r="A5019" t="inlineStr">
        <is>
          <t>80J¹⁷</t>
        </is>
      </c>
      <c r="B5019" t="inlineStr"/>
      <c r="C5019" t="inlineStr">
        <is>
          <t>240</t>
        </is>
      </c>
      <c r="D5019" t="inlineStr">
        <is>
          <t>1</t>
        </is>
      </c>
      <c r="E5019" t="inlineStr">
        <is>
          <t>60</t>
        </is>
      </c>
      <c r="F5019" t="inlineStr">
        <is>
          <t>8</t>
        </is>
      </c>
      <c r="G5019" t="inlineStr">
        <is>
          <t>0</t>
        </is>
      </c>
      <c r="H5019" t="inlineStr">
        <is>
          <t>40², 80²</t>
        </is>
      </c>
      <c r="I5019" t="n">
        <v>4</v>
      </c>
      <c r="J5019" t="inlineStr">
        <is>
          <t>1⁴, 2², 4⁵, 8², 16¹</t>
        </is>
      </c>
      <c r="K5019">
        <f>HYPERLINK("CSG1.html#group16J1", "16J¹"), =HYPERLINK("CSG8.html#group40F8", "40F⁸"), =HYPERLINK("CSG8.html#group80A8", "80A⁸"), =HYPERLINK("CSG9.html#group80D9", "80D⁹")</f>
        <v/>
      </c>
      <c r="L5019" t="inlineStr"/>
      <c r="M5019">
        <f>HYPERLINK("CSG0.html#group5A0", "5A⁰"), =HYPERLINK("CSG4.html#group40A4", "40A⁴"), =HYPERLINK("CSG1.html#group10B1", "10B¹"), =HYPERLINK("CSG9.html#group80D9", "80D⁹"), =HYPERLINK("CSG0.html#group4C0", "4C⁰"), =HYPERLINK("CSG2.html#group20B2", "20B²"), =HYPERLINK("CSG0.html#group8B0", "8B⁰"), =HYPERLINK("CSG0.html#group8L0", "8L⁰"), =HYPERLINK("CSG0.html#group2B0", "2B⁰"), =HYPERLINK("CSG1.html#group16J1", "16J¹"), =HYPERLINK("CSG0.html#group1A0", "1A⁰"), =HYPERLINK("CSG8.html#group40F8", "40F⁸"), =HYPERLINK("CSG0.html#group16B0", "16B⁰"), =HYPERLINK("CSG1.html#group16D1", "16D¹"), =HYPERLINK("CSG8.html#group80A8", "80A⁸")</f>
        <v/>
      </c>
      <c r="N5019" t="inlineStr"/>
    </row>
    <row r="5020">
      <c r="A5020" t="inlineStr">
        <is>
          <t>80K¹⁷</t>
        </is>
      </c>
      <c r="B5020" t="inlineStr"/>
      <c r="C5020" t="inlineStr">
        <is>
          <t>240</t>
        </is>
      </c>
      <c r="D5020" t="inlineStr">
        <is>
          <t>1</t>
        </is>
      </c>
      <c r="E5020" t="inlineStr">
        <is>
          <t>120</t>
        </is>
      </c>
      <c r="F5020" t="inlineStr">
        <is>
          <t>2</t>
        </is>
      </c>
      <c r="G5020" t="inlineStr">
        <is>
          <t>0</t>
        </is>
      </c>
      <c r="H5020" t="inlineStr">
        <is>
          <t>20⁴, 40², 80¹</t>
        </is>
      </c>
      <c r="I5020" t="n">
        <v>7</v>
      </c>
      <c r="J5020" t="inlineStr">
        <is>
          <t>4⁴, 8⁴, 16⁴, 32⁴</t>
        </is>
      </c>
      <c r="K5020">
        <f>HYPERLINK("CSG1.html#group16K1", "16K¹"), =HYPERLINK("CSG8.html#group40E8", "40E⁸")</f>
        <v/>
      </c>
      <c r="L5020" t="inlineStr"/>
      <c r="M5020">
        <f>HYPERLINK("CSG8.html#group40E8", "40E⁸"), =HYPERLINK("CSG0.html#group5A0", "5A⁰"), =HYPERLINK("CSG0.html#group8K0", "8K⁰"), =HYPERLINK("CSG1.html#group10B1", "10B¹"), =HYPERLINK("CSG2.html#group20B2", "20B²"), =HYPERLINK("CSG0.html#group4C0", "4C⁰"), =HYPERLINK("CSG0.html#group4A0", "4A⁰"), =HYPERLINK("CSG1.html#group20A1", "20A¹"), =HYPERLINK("CSG4.html#group20C4", "20C⁴"), =HYPERLINK("CSG0.html#group2B0", "2B⁰"), =HYPERLINK("CSG0.html#group4F0", "4F⁰"), =HYPERLINK("CSG0.html#group1A0", "1A⁰"), =HYPERLINK("CSG1.html#group16K1", "16K¹")</f>
        <v/>
      </c>
      <c r="N5020" t="inlineStr"/>
    </row>
    <row r="5021">
      <c r="A5021" t="inlineStr">
        <is>
          <t>80L¹⁷</t>
        </is>
      </c>
      <c r="B5021" t="inlineStr"/>
      <c r="C5021" t="inlineStr">
        <is>
          <t>240</t>
        </is>
      </c>
      <c r="D5021" t="inlineStr">
        <is>
          <t>1</t>
        </is>
      </c>
      <c r="E5021" t="inlineStr">
        <is>
          <t>120</t>
        </is>
      </c>
      <c r="F5021" t="inlineStr">
        <is>
          <t>2</t>
        </is>
      </c>
      <c r="G5021" t="inlineStr">
        <is>
          <t>0</t>
        </is>
      </c>
      <c r="H5021" t="inlineStr">
        <is>
          <t>20⁴, 40², 80¹</t>
        </is>
      </c>
      <c r="I5021" t="n">
        <v>7</v>
      </c>
      <c r="J5021" t="inlineStr">
        <is>
          <t>4⁴, 8⁴, 16⁴, 32⁴</t>
        </is>
      </c>
      <c r="K5021">
        <f>HYPERLINK("CSG1.html#group16L1", "16L¹"), =HYPERLINK("CSG8.html#group40E8", "40E⁸")</f>
        <v/>
      </c>
      <c r="L5021" t="inlineStr"/>
      <c r="M5021">
        <f>HYPERLINK("CSG8.html#group40E8", "40E⁸"), =HYPERLINK("CSG1.html#group16L1", "16L¹"), =HYPERLINK("CSG0.html#group5A0", "5A⁰"), =HYPERLINK("CSG0.html#group8K0", "8K⁰"), =HYPERLINK("CSG1.html#group10B1", "10B¹"), =HYPERLINK("CSG2.html#group20B2", "20B²"), =HYPERLINK("CSG0.html#group4C0", "4C⁰"), =HYPERLINK("CSG0.html#group4A0", "4A⁰"), =HYPERLINK("CSG1.html#group20A1", "20A¹"), =HYPERLINK("CSG4.html#group20C4", "20C⁴"), =HYPERLINK("CSG0.html#group2B0", "2B⁰"), =HYPERLINK("CSG0.html#group4F0", "4F⁰"), =HYPERLINK("CSG0.html#group1A0", "1A⁰")</f>
        <v/>
      </c>
      <c r="N5021" t="inlineStr"/>
    </row>
    <row r="5022">
      <c r="A5022" t="inlineStr">
        <is>
          <t>80M¹⁷</t>
        </is>
      </c>
      <c r="B5022" t="inlineStr"/>
      <c r="C5022" t="inlineStr">
        <is>
          <t>240</t>
        </is>
      </c>
      <c r="D5022" t="inlineStr">
        <is>
          <t>1</t>
        </is>
      </c>
      <c r="E5022" t="inlineStr">
        <is>
          <t>120</t>
        </is>
      </c>
      <c r="F5022" t="inlineStr">
        <is>
          <t>4</t>
        </is>
      </c>
      <c r="G5022" t="inlineStr">
        <is>
          <t>0</t>
        </is>
      </c>
      <c r="H5022" t="inlineStr">
        <is>
          <t>20⁴, 80²</t>
        </is>
      </c>
      <c r="I5022" t="n">
        <v>6</v>
      </c>
      <c r="J5022" t="inlineStr">
        <is>
          <t>2², 4⁵, 8⁴, 16⁴</t>
        </is>
      </c>
      <c r="K5022">
        <f>HYPERLINK("CSG7.html#group40I7", "40I⁷")</f>
        <v/>
      </c>
      <c r="L5022" t="inlineStr"/>
      <c r="M5022">
        <f>HYPERLINK("CSG7.html#group40I7", "40I⁷"), =HYPERLINK("CSG0.html#group8D0", "8D⁰"), =HYPERLINK("CSG0.html#group4C0", "4C⁰"), =HYPERLINK("CSG0.html#group1A0", "1A⁰"), =HYPERLINK("CSG0.html#group2B0", "2B⁰"), =HYPERLINK("CSG0.html#group5C0", "5C⁰"), =HYPERLINK("CSG3.html#group20F3", "20F³"), =HYPERLINK("CSG1.html#group10F1", "10F¹")</f>
        <v/>
      </c>
      <c r="N5022" t="inlineStr"/>
    </row>
    <row r="5023">
      <c r="A5023" t="inlineStr">
        <is>
          <t>80N¹⁷</t>
        </is>
      </c>
      <c r="B5023" t="inlineStr"/>
      <c r="C5023" t="inlineStr">
        <is>
          <t>240</t>
        </is>
      </c>
      <c r="D5023" t="inlineStr">
        <is>
          <t>1</t>
        </is>
      </c>
      <c r="E5023" t="inlineStr">
        <is>
          <t>120</t>
        </is>
      </c>
      <c r="F5023" t="inlineStr">
        <is>
          <t>4</t>
        </is>
      </c>
      <c r="G5023" t="inlineStr">
        <is>
          <t>0</t>
        </is>
      </c>
      <c r="H5023" t="inlineStr">
        <is>
          <t>20⁴, 80²</t>
        </is>
      </c>
      <c r="I5023" t="n">
        <v>6</v>
      </c>
      <c r="J5023" t="inlineStr">
        <is>
          <t>2², 4⁵, 8⁴, 16⁴</t>
        </is>
      </c>
      <c r="K5023">
        <f>HYPERLINK("CSG1.html#group16C1", "16C¹"), =HYPERLINK("CSG7.html#group40I7", "40I⁷")</f>
        <v/>
      </c>
      <c r="L5023" t="inlineStr"/>
      <c r="M5023">
        <f>HYPERLINK("CSG7.html#group40I7", "40I⁷"), =HYPERLINK("CSG0.html#group8D0", "8D⁰"), =HYPERLINK("CSG1.html#group16C1", "16C¹"), =HYPERLINK("CSG0.html#group4C0", "4C⁰"), =HYPERLINK("CSG0.html#group1A0", "1A⁰"), =HYPERLINK("CSG0.html#group2B0", "2B⁰"), =HYPERLINK("CSG0.html#group5C0", "5C⁰"), =HYPERLINK("CSG3.html#group20F3", "20F³"), =HYPERLINK("CSG1.html#group10F1", "10F¹")</f>
        <v/>
      </c>
      <c r="N5023" t="inlineStr"/>
    </row>
    <row r="5024">
      <c r="A5024" t="inlineStr">
        <is>
          <t>80O¹⁷</t>
        </is>
      </c>
      <c r="B5024" t="inlineStr"/>
      <c r="C5024" t="inlineStr">
        <is>
          <t>240</t>
        </is>
      </c>
      <c r="D5024" t="inlineStr">
        <is>
          <t>1</t>
        </is>
      </c>
      <c r="E5024" t="inlineStr">
        <is>
          <t>120</t>
        </is>
      </c>
      <c r="F5024" t="inlineStr">
        <is>
          <t>8</t>
        </is>
      </c>
      <c r="G5024" t="inlineStr">
        <is>
          <t>0</t>
        </is>
      </c>
      <c r="H5024" t="inlineStr">
        <is>
          <t>40², 80²</t>
        </is>
      </c>
      <c r="I5024" t="n">
        <v>4</v>
      </c>
      <c r="J5024" t="inlineStr">
        <is>
          <t>2⁴, 4¹⁰, 8⁵, 16²</t>
        </is>
      </c>
      <c r="K5024">
        <f>HYPERLINK("CSG7.html#group40E7", "40E⁷")</f>
        <v/>
      </c>
      <c r="L5024" t="inlineStr"/>
      <c r="M5024">
        <f>HYPERLINK("CSG7.html#group40E7", "40E⁷"), =HYPERLINK("CSG0.html#group4C0", "4C⁰"), =HYPERLINK("CSG0.html#group8B0", "8B⁰"), =HYPERLINK("CSG0.html#group1A0", "1A⁰"), =HYPERLINK("CSG0.html#group2B0", "2B⁰"), =HYPERLINK("CSG0.html#group5C0", "5C⁰"), =HYPERLINK("CSG3.html#group20F3", "20F³"), =HYPERLINK("CSG1.html#group10F1", "10F¹")</f>
        <v/>
      </c>
      <c r="N5024" t="inlineStr"/>
    </row>
    <row r="5025">
      <c r="A5025" t="inlineStr">
        <is>
          <t>80P¹⁷</t>
        </is>
      </c>
      <c r="B5025" t="inlineStr"/>
      <c r="C5025" t="inlineStr">
        <is>
          <t>240</t>
        </is>
      </c>
      <c r="D5025" t="inlineStr">
        <is>
          <t>1</t>
        </is>
      </c>
      <c r="E5025" t="inlineStr">
        <is>
          <t>120</t>
        </is>
      </c>
      <c r="F5025" t="inlineStr">
        <is>
          <t>8</t>
        </is>
      </c>
      <c r="G5025" t="inlineStr">
        <is>
          <t>0</t>
        </is>
      </c>
      <c r="H5025" t="inlineStr">
        <is>
          <t>40², 80²</t>
        </is>
      </c>
      <c r="I5025" t="n">
        <v>4</v>
      </c>
      <c r="J5025" t="inlineStr">
        <is>
          <t>2⁴, 4¹⁰, 8⁵, 16²</t>
        </is>
      </c>
      <c r="K5025">
        <f>HYPERLINK("CSG1.html#group16D1", "16D¹"), =HYPERLINK("CSG7.html#group40E7", "40E⁷")</f>
        <v/>
      </c>
      <c r="L5025" t="inlineStr"/>
      <c r="M5025">
        <f>HYPERLINK("CSG1.html#group16D1", "16D¹"), =HYPERLINK("CSG7.html#group40E7", "40E⁷"), =HYPERLINK("CSG0.html#group4C0", "4C⁰"), =HYPERLINK("CSG0.html#group5C0", "5C⁰"), =HYPERLINK("CSG0.html#group8B0", "8B⁰"), =HYPERLINK("CSG0.html#group2B0", "2B⁰"), =HYPERLINK("CSG0.html#group1A0", "1A⁰"), =HYPERLINK("CSG3.html#group20F3", "20F³"), =HYPERLINK("CSG1.html#group10F1", "10F¹")</f>
        <v/>
      </c>
      <c r="N5025" t="inlineStr"/>
    </row>
    <row r="5026">
      <c r="A5026" t="inlineStr">
        <is>
          <t>80Q¹⁷</t>
        </is>
      </c>
      <c r="B5026" t="inlineStr"/>
      <c r="C5026" t="inlineStr">
        <is>
          <t>240</t>
        </is>
      </c>
      <c r="D5026" t="inlineStr">
        <is>
          <t>2</t>
        </is>
      </c>
      <c r="E5026" t="inlineStr">
        <is>
          <t>30</t>
        </is>
      </c>
      <c r="F5026" t="inlineStr">
        <is>
          <t>8</t>
        </is>
      </c>
      <c r="G5026" t="inlineStr">
        <is>
          <t>0</t>
        </is>
      </c>
      <c r="H5026" t="inlineStr">
        <is>
          <t>40², 80²</t>
        </is>
      </c>
      <c r="I5026" t="n">
        <v>4</v>
      </c>
      <c r="J5026" t="inlineStr">
        <is>
          <t>4³, 8⁶</t>
        </is>
      </c>
      <c r="K5026">
        <f>HYPERLINK("CSG7.html#group40D7", "40D⁷")</f>
        <v/>
      </c>
      <c r="L5026" t="inlineStr"/>
      <c r="M5026">
        <f>HYPERLINK("CSG1.html#group10F1", "10F¹"), =HYPERLINK("CSG0.html#group4C0", "4C⁰"), =HYPERLINK("CSG0.html#group2B0", "2B⁰"), =HYPERLINK("CSG0.html#group1A0", "1A⁰"), =HYPERLINK("CSG3.html#group20F3", "20F³"), =HYPERLINK("CSG0.html#group5C0", "5C⁰"), =HYPERLINK("CSG7.html#group40D7", "40D⁷")</f>
        <v/>
      </c>
      <c r="N5026" t="inlineStr"/>
    </row>
    <row r="5027">
      <c r="A5027" t="inlineStr">
        <is>
          <t>80R¹⁷</t>
        </is>
      </c>
      <c r="B5027" t="inlineStr"/>
      <c r="C5027" t="inlineStr">
        <is>
          <t>240</t>
        </is>
      </c>
      <c r="D5027" t="inlineStr">
        <is>
          <t>2</t>
        </is>
      </c>
      <c r="E5027" t="inlineStr">
        <is>
          <t>30</t>
        </is>
      </c>
      <c r="F5027" t="inlineStr">
        <is>
          <t>8</t>
        </is>
      </c>
      <c r="G5027" t="inlineStr">
        <is>
          <t>0</t>
        </is>
      </c>
      <c r="H5027" t="inlineStr">
        <is>
          <t>40², 80²</t>
        </is>
      </c>
      <c r="I5027" t="n">
        <v>4</v>
      </c>
      <c r="J5027" t="inlineStr">
        <is>
          <t>4³, 8⁶</t>
        </is>
      </c>
      <c r="K5027">
        <f>HYPERLINK("CSG7.html#group40D7", "40D⁷")</f>
        <v/>
      </c>
      <c r="L5027" t="inlineStr"/>
      <c r="M5027">
        <f>HYPERLINK("CSG1.html#group10F1", "10F¹"), =HYPERLINK("CSG0.html#group4C0", "4C⁰"), =HYPERLINK("CSG0.html#group2B0", "2B⁰"), =HYPERLINK("CSG0.html#group1A0", "1A⁰"), =HYPERLINK("CSG3.html#group20F3", "20F³"), =HYPERLINK("CSG0.html#group5C0", "5C⁰"), =HYPERLINK("CSG7.html#group40D7", "40D⁷")</f>
        <v/>
      </c>
      <c r="N5027" t="inlineStr"/>
    </row>
    <row r="5028">
      <c r="A5028" t="inlineStr">
        <is>
          <t>80S¹⁷</t>
        </is>
      </c>
      <c r="B5028" t="inlineStr"/>
      <c r="C5028" t="inlineStr">
        <is>
          <t>240</t>
        </is>
      </c>
      <c r="D5028" t="inlineStr">
        <is>
          <t>2</t>
        </is>
      </c>
      <c r="E5028" t="inlineStr">
        <is>
          <t>60</t>
        </is>
      </c>
      <c r="F5028" t="inlineStr">
        <is>
          <t>0</t>
        </is>
      </c>
      <c r="G5028" t="inlineStr">
        <is>
          <t>0</t>
        </is>
      </c>
      <c r="H5028" t="inlineStr">
        <is>
          <t>10⁴, 20², 80²</t>
        </is>
      </c>
      <c r="I5028" t="n">
        <v>8</v>
      </c>
      <c r="J5028" t="inlineStr">
        <is>
          <t>4⁶, 8¹²</t>
        </is>
      </c>
      <c r="K5028">
        <f>HYPERLINK("CSG7.html#group40F7", "40F⁷")</f>
        <v/>
      </c>
      <c r="L5028" t="inlineStr"/>
      <c r="M5028">
        <f>HYPERLINK("CSG0.html#group2B0", "2B⁰"), =HYPERLINK("CSG0.html#group4B0", "4B⁰"), =HYPERLINK("CSG0.html#group1A0", "1A⁰"), =HYPERLINK("CSG3.html#group20E3", "20E³"), =HYPERLINK("CSG7.html#group40F7", "40F⁷"), =HYPERLINK("CSG0.html#group5C0", "5C⁰"), =HYPERLINK("CSG1.html#group10F1", "10F¹")</f>
        <v/>
      </c>
      <c r="N5028" t="inlineStr"/>
    </row>
    <row r="5029">
      <c r="A5029" t="inlineStr">
        <is>
          <t>80T¹⁷</t>
        </is>
      </c>
      <c r="B5029" t="inlineStr"/>
      <c r="C5029" t="inlineStr">
        <is>
          <t>240</t>
        </is>
      </c>
      <c r="D5029" t="inlineStr">
        <is>
          <t>2</t>
        </is>
      </c>
      <c r="E5029" t="inlineStr">
        <is>
          <t>60</t>
        </is>
      </c>
      <c r="F5029" t="inlineStr">
        <is>
          <t>8</t>
        </is>
      </c>
      <c r="G5029" t="inlineStr">
        <is>
          <t>0</t>
        </is>
      </c>
      <c r="H5029" t="inlineStr">
        <is>
          <t>40², 80²</t>
        </is>
      </c>
      <c r="I5029" t="n">
        <v>4</v>
      </c>
      <c r="J5029" t="inlineStr">
        <is>
          <t>4⁶, 8¹²</t>
        </is>
      </c>
      <c r="K5029">
        <f>HYPERLINK("CSG7.html#group40D7", "40D⁷")</f>
        <v/>
      </c>
      <c r="L5029" t="inlineStr"/>
      <c r="M5029">
        <f>HYPERLINK("CSG1.html#group10F1", "10F¹"), =HYPERLINK("CSG0.html#group4C0", "4C⁰"), =HYPERLINK("CSG0.html#group2B0", "2B⁰"), =HYPERLINK("CSG0.html#group1A0", "1A⁰"), =HYPERLINK("CSG3.html#group20F3", "20F³"), =HYPERLINK("CSG0.html#group5C0", "5C⁰"), =HYPERLINK("CSG7.html#group40D7", "40D⁷")</f>
        <v/>
      </c>
      <c r="N5029" t="inlineStr"/>
    </row>
    <row r="5030">
      <c r="A5030" t="inlineStr">
        <is>
          <t>80U¹⁷</t>
        </is>
      </c>
      <c r="B5030" t="inlineStr"/>
      <c r="C5030" t="inlineStr">
        <is>
          <t>288</t>
        </is>
      </c>
      <c r="D5030" t="inlineStr">
        <is>
          <t>1</t>
        </is>
      </c>
      <c r="E5030" t="inlineStr">
        <is>
          <t>36</t>
        </is>
      </c>
      <c r="F5030" t="inlineStr">
        <is>
          <t>0</t>
        </is>
      </c>
      <c r="G5030" t="inlineStr">
        <is>
          <t>0</t>
        </is>
      </c>
      <c r="H5030" t="inlineStr">
        <is>
          <t>2⁴, 4², 10⁴, 16², 20², 80²</t>
        </is>
      </c>
      <c r="I5030" t="n">
        <v>16</v>
      </c>
      <c r="J5030" t="inlineStr">
        <is>
          <t>1⁸, 2², 4⁴, 8¹</t>
        </is>
      </c>
      <c r="K5030">
        <f>HYPERLINK("CSG5.html#group40M5", "40M⁵"), =HYPERLINK("CSG9.html#group80O9", "80O⁹")</f>
        <v/>
      </c>
      <c r="L5030" t="inlineStr"/>
      <c r="M5030">
        <f>HYPERLINK("CSG0.html#group20A0", "20A⁰"), =HYPERLINK("CSG3.html#group40F3", "40F³"), =HYPERLINK("CSG5.html#group40M5", "40M⁵"), =HYPERLINK("CSG9.html#group80O9", "80O⁹"), =HYPERLINK("CSG0.html#group5B0", "5B⁰"), =HYPERLINK("CSG0.html#group10C0", "10C⁰"), =HYPERLINK("CSG0.html#group5D0", "5D⁰"), =HYPERLINK("CSG3.html#group40E3", "40E³"), =HYPERLINK("CSG1.html#group20D1", "20D¹"), =HYPERLINK("CSG0.html#group8C0", "8C⁰"), =HYPERLINK("CSG1.html#group20H1", "20H¹"), =HYPERLINK("CSG0.html#group2B0", "2B⁰"), =HYPERLINK("CSG0.html#group4B0", "4B⁰"), =HYPERLINK("CSG0.html#group1A0", "1A⁰"), =HYPERLINK("CSG0.html#group10F0", "10F⁰")</f>
        <v/>
      </c>
      <c r="N5030" t="inlineStr"/>
    </row>
    <row r="5031">
      <c r="A5031" t="inlineStr">
        <is>
          <t>80V¹⁷</t>
        </is>
      </c>
      <c r="B5031" t="inlineStr"/>
      <c r="C5031" t="inlineStr">
        <is>
          <t>288</t>
        </is>
      </c>
      <c r="D5031" t="inlineStr">
        <is>
          <t>1</t>
        </is>
      </c>
      <c r="E5031" t="inlineStr">
        <is>
          <t>36</t>
        </is>
      </c>
      <c r="F5031" t="inlineStr">
        <is>
          <t>0</t>
        </is>
      </c>
      <c r="G5031" t="inlineStr">
        <is>
          <t>0</t>
        </is>
      </c>
      <c r="H5031" t="inlineStr">
        <is>
          <t>2⁴, 4², 10⁴, 16², 20², 80²</t>
        </is>
      </c>
      <c r="I5031" t="n">
        <v>16</v>
      </c>
      <c r="J5031" t="inlineStr">
        <is>
          <t>1⁸, 2², 4⁴, 8¹</t>
        </is>
      </c>
      <c r="K5031">
        <f>HYPERLINK("CSG5.html#group40M5", "40M⁵"), =HYPERLINK("CSG9.html#group80E9", "80E⁹"), =HYPERLINK("CSG9.html#group80F9", "80F⁹")</f>
        <v/>
      </c>
      <c r="L5031" t="inlineStr"/>
      <c r="M5031">
        <f>HYPERLINK("CSG9.html#group80F9", "80F⁹"), =HYPERLINK("CSG0.html#group5B0", "5B⁰"), =HYPERLINK("CSG0.html#group5D0", "5D⁰"), =HYPERLINK("CSG1.html#group16A1", "16A¹"), =HYPERLINK("CSG1.html#group20D1", "20D¹"), =HYPERLINK("CSG0.html#group8C0", "8C⁰"), =HYPERLINK("CSG1.html#group20H1", "20H¹"), =HYPERLINK("CSG0.html#group2B0", "2B⁰"), =HYPERLINK("CSG0.html#group4B0", "4B⁰"), =HYPERLINK("CSG0.html#group1A0", "1A⁰"), =HYPERLINK("CSG0.html#group10F0", "10F⁰"), =HYPERLINK("CSG0.html#group20A0", "20A⁰"), =HYPERLINK("CSG9.html#group80E9", "80E⁹"), =HYPERLINK("CSG3.html#group40F3", "40F³"), =HYPERLINK("CSG5.html#group40M5", "40M⁵"), =HYPERLINK("CSG0.html#group10C0", "10C⁰"), =HYPERLINK("CSG3.html#group40E3", "40E³")</f>
        <v/>
      </c>
      <c r="N5031" t="inlineStr"/>
    </row>
    <row r="5032">
      <c r="A5032" t="inlineStr">
        <is>
          <t>80W¹⁷</t>
        </is>
      </c>
      <c r="B5032" t="inlineStr"/>
      <c r="C5032" t="inlineStr">
        <is>
          <t>288</t>
        </is>
      </c>
      <c r="D5032" t="inlineStr">
        <is>
          <t>1</t>
        </is>
      </c>
      <c r="E5032" t="inlineStr">
        <is>
          <t>36</t>
        </is>
      </c>
      <c r="F5032" t="inlineStr">
        <is>
          <t>0</t>
        </is>
      </c>
      <c r="G5032" t="inlineStr">
        <is>
          <t>0</t>
        </is>
      </c>
      <c r="H5032" t="inlineStr">
        <is>
          <t>2⁴, 4², 10⁴, 16², 20², 80²</t>
        </is>
      </c>
      <c r="I5032" t="n">
        <v>16</v>
      </c>
      <c r="J5032" t="inlineStr">
        <is>
          <t>1⁸, 2², 4⁴, 8¹</t>
        </is>
      </c>
      <c r="K5032">
        <f>HYPERLINK("CSG7.html#group40M7", "40M⁷"), =HYPERLINK("CSG7.html#group80E7", "80E⁷"), =HYPERLINK("CSG9.html#group80E9", "80E⁹")</f>
        <v/>
      </c>
      <c r="L5032" t="inlineStr"/>
      <c r="M5032">
        <f>HYPERLINK("CSG1.html#group20E1", "20E¹"), =HYPERLINK("CSG0.html#group2A0", "2A⁰"), =HYPERLINK("CSG3.html#group40H3", "40H³"), =HYPERLINK("CSG0.html#group8D0", "8D⁰"), =HYPERLINK("CSG0.html#group4C0", "4C⁰"), =HYPERLINK("CSG0.html#group5B0", "5B⁰"), =HYPERLINK("CSG1.html#group10A1", "10A¹"), =HYPERLINK("CSG1.html#group20D1", "20D¹"), =HYPERLINK("CSG0.html#group8C0", "8C⁰"), =HYPERLINK("CSG0.html#group2B0", "2B⁰"), =HYPERLINK("CSG0.html#group4E0", "4E⁰"), =HYPERLINK("CSG0.html#group4B0", "4B⁰"), =HYPERLINK("CSG0.html#group1A0", "1A⁰"), =HYPERLINK("CSG9.html#group80E9", "80E⁹"), =HYPERLINK("CSG3.html#group40F3", "40F³"), =HYPERLINK("CSG7.html#group40M7", "40M⁷"), =HYPERLINK("CSG0.html#group8G0", "8G⁰"), =HYPERLINK("CSG7.html#group80E7", "80E⁷"), =HYPERLINK("CSG0.html#group10C0", "10C⁰"), =HYPERLINK("CSG3.html#group20J3", "20J³"), =HYPERLINK("CSG0.html#group2C0", "2C⁰"), =HYPERLINK("CSG1.html#group10G1", "10G¹")</f>
        <v/>
      </c>
      <c r="N5032" t="inlineStr"/>
    </row>
    <row r="5033">
      <c r="A5033" t="inlineStr">
        <is>
          <t>80X¹⁷</t>
        </is>
      </c>
      <c r="B5033" t="inlineStr"/>
      <c r="C5033" t="inlineStr">
        <is>
          <t>288</t>
        </is>
      </c>
      <c r="D5033" t="inlineStr">
        <is>
          <t>1</t>
        </is>
      </c>
      <c r="E5033" t="inlineStr">
        <is>
          <t>36</t>
        </is>
      </c>
      <c r="F5033" t="inlineStr">
        <is>
          <t>0</t>
        </is>
      </c>
      <c r="G5033" t="inlineStr">
        <is>
          <t>0</t>
        </is>
      </c>
      <c r="H5033" t="inlineStr">
        <is>
          <t>2⁴, 4², 10⁴, 16², 20², 80²</t>
        </is>
      </c>
      <c r="I5033" t="n">
        <v>16</v>
      </c>
      <c r="J5033" t="inlineStr">
        <is>
          <t>1⁸, 2², 4⁴, 8¹</t>
        </is>
      </c>
      <c r="K5033">
        <f>HYPERLINK("CSG7.html#group40O7", "40O⁷"), =HYPERLINK("CSG7.html#group80E7", "80E⁷"), =HYPERLINK("CSG9.html#group80F9", "80F⁹")</f>
        <v/>
      </c>
      <c r="L5033" t="inlineStr"/>
      <c r="M5033">
        <f>HYPERLINK("CSG0.html#group10G0", "10G⁰"), =HYPERLINK("CSG7.html#group40O7", "40O⁷"), =HYPERLINK("CSG9.html#group80F9", "80F⁹"), =HYPERLINK("CSG0.html#group5B0", "5B⁰"), =HYPERLINK("CSG1.html#group16A1", "16A¹"), =HYPERLINK("CSG1.html#group20D1", "20D¹"), =HYPERLINK("CSG0.html#group8C0", "8C⁰"), =HYPERLINK("CSG0.html#group2B0", "2B⁰"), =HYPERLINK("CSG0.html#group4B0", "4B⁰"), =HYPERLINK("CSG0.html#group1A0", "1A⁰"), =HYPERLINK("CSG3.html#group20H3", "20H³"), =HYPERLINK("CSG0.html#group10B0", "10B⁰"), =HYPERLINK("CSG3.html#group40F3", "40F³"), =HYPERLINK("CSG7.html#group80E7", "80E⁷"), =HYPERLINK("CSG0.html#group10C0", "10C⁰"), =HYPERLINK("CSG3.html#group40E3", "40E³"), =HYPERLINK("CSG2.html#group20C2", "20C²")</f>
        <v/>
      </c>
      <c r="N5033" t="inlineStr"/>
    </row>
    <row r="5034">
      <c r="A5034" t="inlineStr">
        <is>
          <t>80Y¹⁷</t>
        </is>
      </c>
      <c r="B5034" t="inlineStr"/>
      <c r="C5034" t="inlineStr">
        <is>
          <t>288</t>
        </is>
      </c>
      <c r="D5034" t="inlineStr">
        <is>
          <t>1</t>
        </is>
      </c>
      <c r="E5034" t="inlineStr">
        <is>
          <t>36</t>
        </is>
      </c>
      <c r="F5034" t="inlineStr">
        <is>
          <t>0</t>
        </is>
      </c>
      <c r="G5034" t="inlineStr">
        <is>
          <t>0</t>
        </is>
      </c>
      <c r="H5034" t="inlineStr">
        <is>
          <t>2⁴, 4², 10⁴, 16², 20², 80²</t>
        </is>
      </c>
      <c r="I5034" t="n">
        <v>16</v>
      </c>
      <c r="J5034" t="inlineStr">
        <is>
          <t>1⁸, 2², 4⁴, 8¹</t>
        </is>
      </c>
      <c r="K5034">
        <f>HYPERLINK("CSG7.html#group40O7", "40O⁷"), =HYPERLINK("CSG7.html#group80F7", "80F⁷"), =HYPERLINK("CSG9.html#group80E9", "80E⁹")</f>
        <v/>
      </c>
      <c r="L5034" t="inlineStr"/>
      <c r="M5034">
        <f>HYPERLINK("CSG0.html#group10G0", "10G⁰"), =HYPERLINK("CSG7.html#group80F7", "80F⁷"), =HYPERLINK("CSG7.html#group40O7", "40O⁷"), =HYPERLINK("CSG0.html#group5B0", "5B⁰"), =HYPERLINK("CSG1.html#group20D1", "20D¹"), =HYPERLINK("CSG0.html#group8C0", "8C⁰"), =HYPERLINK("CSG0.html#group2B0", "2B⁰"), =HYPERLINK("CSG0.html#group4B0", "4B⁰"), =HYPERLINK("CSG0.html#group1A0", "1A⁰"), =HYPERLINK("CSG3.html#group20H3", "20H³"), =HYPERLINK("CSG0.html#group10B0", "10B⁰"), =HYPERLINK("CSG9.html#group80E9", "80E⁹"), =HYPERLINK("CSG3.html#group40F3", "40F³"), =HYPERLINK("CSG0.html#group16C0", "16C⁰"), =HYPERLINK("CSG0.html#group10C0", "10C⁰"), =HYPERLINK("CSG3.html#group40E3", "40E³"), =HYPERLINK("CSG2.html#group20C2", "20C²")</f>
        <v/>
      </c>
      <c r="N5034" t="inlineStr"/>
    </row>
    <row r="5035">
      <c r="A5035" t="inlineStr">
        <is>
          <t>80Z¹⁷</t>
        </is>
      </c>
      <c r="B5035" t="inlineStr"/>
      <c r="C5035" t="inlineStr">
        <is>
          <t>288</t>
        </is>
      </c>
      <c r="D5035" t="inlineStr">
        <is>
          <t>1</t>
        </is>
      </c>
      <c r="E5035" t="inlineStr">
        <is>
          <t>36</t>
        </is>
      </c>
      <c r="F5035" t="inlineStr">
        <is>
          <t>0</t>
        </is>
      </c>
      <c r="G5035" t="inlineStr">
        <is>
          <t>0</t>
        </is>
      </c>
      <c r="H5035" t="inlineStr">
        <is>
          <t>2⁴, 4², 10⁴, 16², 20², 80²</t>
        </is>
      </c>
      <c r="I5035" t="n">
        <v>16</v>
      </c>
      <c r="J5035" t="inlineStr">
        <is>
          <t>1⁸, 2², 4⁴, 8¹</t>
        </is>
      </c>
      <c r="K5035">
        <f>HYPERLINK("CSG1.html#group16E1", "16E¹"), =HYPERLINK("CSG7.html#group40M7", "40M⁷"), =HYPERLINK("CSG7.html#group80F7", "80F⁷"), =HYPERLINK("CSG9.html#group80F9", "80F⁹")</f>
        <v/>
      </c>
      <c r="L5035" t="inlineStr"/>
      <c r="M5035">
        <f>HYPERLINK("CSG1.html#group20E1", "20E¹"), =HYPERLINK("CSG0.html#group2A0", "2A⁰"), =HYPERLINK("CSG7.html#group80F7", "80F⁷"), =HYPERLINK("CSG0.html#group4C0", "4C⁰"), =HYPERLINK("CSG0.html#group5B0", "5B⁰"), =HYPERLINK("CSG1.html#group10A1", "10A¹"), =HYPERLINK("CSG1.html#group16A1", "16A¹"), =HYPERLINK("CSG0.html#group8C0", "8C⁰"), =HYPERLINK("CSG0.html#group2B0", "2B⁰"), =HYPERLINK("CSG0.html#group4E0", "4E⁰"), =HYPERLINK("CSG0.html#group4B0", "4B⁰"), =HYPERLINK("CSG0.html#group1A0", "1A⁰"), =HYPERLINK("CSG3.html#group40F3", "40F³"), =HYPERLINK("CSG0.html#group8G0", "8G⁰"), =HYPERLINK("CSG0.html#group16C0", "16C⁰"), =HYPERLINK("CSG0.html#group10C0", "10C⁰"), =HYPERLINK("CSG3.html#group20J3", "20J³"), =HYPERLINK("CSG3.html#group40H3", "40H³"), =HYPERLINK("CSG0.html#group8D0", "8D⁰"), =HYPERLINK("CSG9.html#group80F9", "80F⁹"), =HYPERLINK("CSG1.html#group16E1", "16E¹"), =HYPERLINK("CSG1.html#group20D1", "20D¹"), =HYPERLINK("CSG7.html#group40M7", "40M⁷"), =HYPERLINK("CSG0.html#group2C0", "2C⁰"), =HYPERLINK("CSG1.html#group10G1", "10G¹")</f>
        <v/>
      </c>
      <c r="N5035" t="inlineStr"/>
    </row>
    <row r="5036">
      <c r="A5036" t="inlineStr">
        <is>
          <t>80AA¹⁷</t>
        </is>
      </c>
      <c r="B5036" t="inlineStr"/>
      <c r="C5036" t="inlineStr">
        <is>
          <t>288</t>
        </is>
      </c>
      <c r="D5036" t="inlineStr">
        <is>
          <t>1</t>
        </is>
      </c>
      <c r="E5036" t="inlineStr">
        <is>
          <t>36</t>
        </is>
      </c>
      <c r="F5036" t="inlineStr">
        <is>
          <t>16</t>
        </is>
      </c>
      <c r="G5036" t="inlineStr">
        <is>
          <t>0</t>
        </is>
      </c>
      <c r="H5036" t="inlineStr">
        <is>
          <t>8², 16², 40², 80²</t>
        </is>
      </c>
      <c r="I5036" t="n">
        <v>8</v>
      </c>
      <c r="J5036" t="inlineStr">
        <is>
          <t>1⁴, 2⁴, 4², 8²</t>
        </is>
      </c>
      <c r="K5036">
        <f>HYPERLINK("CSG5.html#group40L5", "40L⁵"), =HYPERLINK("CSG9.html#group80G9", "80G⁹"), =HYPERLINK("CSG9.html#group80H9", "80H⁹")</f>
        <v/>
      </c>
      <c r="L5036" t="inlineStr"/>
      <c r="M5036">
        <f>HYPERLINK("CSG1.html#group20E1", "20E¹"), =HYPERLINK("CSG3.html#group40D3", "40D³"), =HYPERLINK("CSG0.html#group10G0", "10G⁰"), =HYPERLINK("CSG0.html#group4C0", "4C⁰"), =HYPERLINK("CSG0.html#group5B0", "5B⁰"), =HYPERLINK("CSG0.html#group8B0", "8B⁰"), =HYPERLINK("CSG1.html#group16B1", "16B¹"), =HYPERLINK("CSG0.html#group2B0", "2B⁰"), =HYPERLINK("CSG0.html#group1A0", "1A⁰"), =HYPERLINK("CSG0.html#group10B0", "10B⁰"), =HYPERLINK("CSG3.html#group40C3", "40C³"), =HYPERLINK("CSG0.html#group20A0", "20A⁰"), =HYPERLINK("CSG1.html#group20I1", "20I¹"), =HYPERLINK("CSG9.html#group80H9", "80H⁹"), =HYPERLINK("CSG0.html#group10C0", "10C⁰"), =HYPERLINK("CSG5.html#group40L5", "40L⁵"), =HYPERLINK("CSG9.html#group80G9", "80G⁹")</f>
        <v/>
      </c>
      <c r="N5036" t="inlineStr"/>
    </row>
    <row r="5037">
      <c r="A5037" t="inlineStr">
        <is>
          <t>80AB¹⁷</t>
        </is>
      </c>
      <c r="B5037" t="inlineStr"/>
      <c r="C5037" t="inlineStr">
        <is>
          <t>288</t>
        </is>
      </c>
      <c r="D5037" t="inlineStr">
        <is>
          <t>1</t>
        </is>
      </c>
      <c r="E5037" t="inlineStr">
        <is>
          <t>36</t>
        </is>
      </c>
      <c r="F5037" t="inlineStr">
        <is>
          <t>16</t>
        </is>
      </c>
      <c r="G5037" t="inlineStr">
        <is>
          <t>0</t>
        </is>
      </c>
      <c r="H5037" t="inlineStr">
        <is>
          <t>8², 16², 40², 80²</t>
        </is>
      </c>
      <c r="I5037" t="n">
        <v>8</v>
      </c>
      <c r="J5037" t="inlineStr">
        <is>
          <t>1⁴, 2⁴, 4², 8²</t>
        </is>
      </c>
      <c r="K5037">
        <f>HYPERLINK("CSG7.html#group40Q7", "40Q⁷"), =HYPERLINK("CSG7.html#group80C7", "80C⁷"), =HYPERLINK("CSG9.html#group80H9", "80H⁹")</f>
        <v/>
      </c>
      <c r="L5037" t="inlineStr"/>
      <c r="M5037">
        <f>HYPERLINK("CSG1.html#group20E1", "20E¹"), =HYPERLINK("CSG3.html#group40D3", "40D³"), =HYPERLINK("CSG7.html#group40Q7", "40Q⁷"), =HYPERLINK("CSG9.html#group80H9", "80H⁹"), =HYPERLINK("CSG0.html#group4C0", "4C⁰"), =HYPERLINK("CSG7.html#group80C7", "80C⁷"), =HYPERLINK("CSG0.html#group8B0", "8B⁰"), =HYPERLINK("CSG0.html#group5B0", "5B⁰"), =HYPERLINK("CSG0.html#group10C0", "10C⁰"), =HYPERLINK("CSG0.html#group2B0", "2B⁰"), =HYPERLINK("CSG1.html#group16B1", "16B¹"), =HYPERLINK("CSG3.html#group20K3", "20K³"), =HYPERLINK("CSG0.html#group1A0", "1A⁰"), =HYPERLINK("CSG3.html#group40G3", "40G³")</f>
        <v/>
      </c>
      <c r="N5037" t="inlineStr"/>
    </row>
    <row r="5038">
      <c r="A5038" t="inlineStr">
        <is>
          <t>80AC¹⁷</t>
        </is>
      </c>
      <c r="B5038" t="inlineStr"/>
      <c r="C5038" t="inlineStr">
        <is>
          <t>288</t>
        </is>
      </c>
      <c r="D5038" t="inlineStr">
        <is>
          <t>1</t>
        </is>
      </c>
      <c r="E5038" t="inlineStr">
        <is>
          <t>36</t>
        </is>
      </c>
      <c r="F5038" t="inlineStr">
        <is>
          <t>16</t>
        </is>
      </c>
      <c r="G5038" t="inlineStr">
        <is>
          <t>0</t>
        </is>
      </c>
      <c r="H5038" t="inlineStr">
        <is>
          <t>8², 16², 40², 80²</t>
        </is>
      </c>
      <c r="I5038" t="n">
        <v>8</v>
      </c>
      <c r="J5038" t="inlineStr">
        <is>
          <t>1⁴, 2⁴, 4², 8²</t>
        </is>
      </c>
      <c r="K5038">
        <f>HYPERLINK("CSG7.html#group40Q7", "40Q⁷"), =HYPERLINK("CSG7.html#group80D7", "80D⁷"), =HYPERLINK("CSG9.html#group80G9", "80G⁹")</f>
        <v/>
      </c>
      <c r="L5038" t="inlineStr"/>
      <c r="M5038">
        <f>HYPERLINK("CSG0.html#group16B0", "16B⁰"), =HYPERLINK("CSG1.html#group20E1", "20E¹"), =HYPERLINK("CSG7.html#group40Q7", "40Q⁷"), =HYPERLINK("CSG7.html#group80D7", "80D⁷"), =HYPERLINK("CSG0.html#group4C0", "4C⁰"), =HYPERLINK("CSG0.html#group8B0", "8B⁰"), =HYPERLINK("CSG0.html#group5B0", "5B⁰"), =HYPERLINK("CSG0.html#group10C0", "10C⁰"), =HYPERLINK("CSG0.html#group1A0", "1A⁰"), =HYPERLINK("CSG0.html#group2B0", "2B⁰"), =HYPERLINK("CSG3.html#group20K3", "20K³"), =HYPERLINK("CSG3.html#group40D3", "40D³"), =HYPERLINK("CSG9.html#group80G9", "80G⁹"), =HYPERLINK("CSG3.html#group40G3", "40G³")</f>
        <v/>
      </c>
      <c r="N5038" t="inlineStr"/>
    </row>
    <row r="5039">
      <c r="A5039" t="inlineStr">
        <is>
          <t>80AD¹⁷</t>
        </is>
      </c>
      <c r="B5039" t="inlineStr"/>
      <c r="C5039" t="inlineStr">
        <is>
          <t>288</t>
        </is>
      </c>
      <c r="D5039" t="inlineStr">
        <is>
          <t>1</t>
        </is>
      </c>
      <c r="E5039" t="inlineStr">
        <is>
          <t>36</t>
        </is>
      </c>
      <c r="F5039" t="inlineStr">
        <is>
          <t>16</t>
        </is>
      </c>
      <c r="G5039" t="inlineStr">
        <is>
          <t>0</t>
        </is>
      </c>
      <c r="H5039" t="inlineStr">
        <is>
          <t>8², 16², 40², 80²</t>
        </is>
      </c>
      <c r="I5039" t="n">
        <v>8</v>
      </c>
      <c r="J5039" t="inlineStr">
        <is>
          <t>1⁴, 2⁴, 4², 8²</t>
        </is>
      </c>
      <c r="K5039">
        <f>HYPERLINK("CSG7.html#group40S7", "40S⁷"), =HYPERLINK("CSG7.html#group80C7", "80C⁷"), =HYPERLINK("CSG9.html#group80G9", "80G⁹")</f>
        <v/>
      </c>
      <c r="L5039" t="inlineStr"/>
      <c r="M5039">
        <f>HYPERLINK("CSG1.html#group20E1", "20E¹"), =HYPERLINK("CSG3.html#group40H3", "40H³"), =HYPERLINK("CSG0.html#group8D0", "8D⁰"), =HYPERLINK("CSG0.html#group4C0", "4C⁰"), =HYPERLINK("CSG7.html#group80C7", "80C⁷"), =HYPERLINK("CSG0.html#group8B0", "8B⁰"), =HYPERLINK("CSG0.html#group5B0", "5B⁰"), =HYPERLINK("CSG0.html#group2B0", "2B⁰"), =HYPERLINK("CSG0.html#group1A0", "1A⁰"), =HYPERLINK("CSG7.html#group40S7", "40S⁷"), =HYPERLINK("CSG3.html#group20L3", "20L³"), =HYPERLINK("CSG1.html#group20B1", "20B¹"), =HYPERLINK("CSG0.html#group8H0", "8H⁰"), =HYPERLINK("CSG0.html#group4A0", "4A⁰"), =HYPERLINK("CSG0.html#group10C0", "10C⁰"), =HYPERLINK("CSG0.html#group4F0", "4F⁰"), =HYPERLINK("CSG3.html#group40D3", "40D³"), =HYPERLINK("CSG9.html#group80G9", "80G⁹")</f>
        <v/>
      </c>
      <c r="N5039" t="inlineStr"/>
    </row>
    <row r="5040">
      <c r="A5040" t="inlineStr">
        <is>
          <t>80AE¹⁷</t>
        </is>
      </c>
      <c r="B5040" t="inlineStr"/>
      <c r="C5040" t="inlineStr">
        <is>
          <t>288</t>
        </is>
      </c>
      <c r="D5040" t="inlineStr">
        <is>
          <t>1</t>
        </is>
      </c>
      <c r="E5040" t="inlineStr">
        <is>
          <t>36</t>
        </is>
      </c>
      <c r="F5040" t="inlineStr">
        <is>
          <t>16</t>
        </is>
      </c>
      <c r="G5040" t="inlineStr">
        <is>
          <t>0</t>
        </is>
      </c>
      <c r="H5040" t="inlineStr">
        <is>
          <t>8², 16², 40², 80²</t>
        </is>
      </c>
      <c r="I5040" t="n">
        <v>8</v>
      </c>
      <c r="J5040" t="inlineStr">
        <is>
          <t>1⁴, 2⁴, 4², 8²</t>
        </is>
      </c>
      <c r="K5040">
        <f>HYPERLINK("CSG1.html#group16F1", "16F¹"), =HYPERLINK("CSG7.html#group40S7", "40S⁷"), =HYPERLINK("CSG7.html#group80D7", "80D⁷"), =HYPERLINK("CSG9.html#group80H9", "80H⁹")</f>
        <v/>
      </c>
      <c r="L5040" t="inlineStr"/>
      <c r="M5040">
        <f>HYPERLINK("CSG1.html#group20E1", "20E¹"), =HYPERLINK("CSG3.html#group40H3", "40H³"), =HYPERLINK("CSG0.html#group8D0", "8D⁰"), =HYPERLINK("CSG0.html#group4C0", "4C⁰"), =HYPERLINK("CSG0.html#group8B0", "8B⁰"), =HYPERLINK("CSG0.html#group5B0", "5B⁰"), =HYPERLINK("CSG1.html#group16B1", "16B¹"), =HYPERLINK("CSG0.html#group2B0", "2B⁰"), =HYPERLINK("CSG0.html#group1A0", "1A⁰"), =HYPERLINK("CSG7.html#group40S7", "40S⁷"), =HYPERLINK("CSG1.html#group20B1", "20B¹"), =HYPERLINK("CSG0.html#group16B0", "16B⁰"), =HYPERLINK("CSG0.html#group8H0", "8H⁰"), =HYPERLINK("CSG7.html#group80D7", "80D⁷"), =HYPERLINK("CSG0.html#group4A0", "4A⁰"), =HYPERLINK("CSG9.html#group80H9", "80H⁹"), =HYPERLINK("CSG0.html#group10C0", "10C⁰"), =HYPERLINK("CSG0.html#group4F0", "4F⁰"), =HYPERLINK("CSG1.html#group16F1", "16F¹"), =HYPERLINK("CSG3.html#group40D3", "40D³"), =HYPERLINK("CSG3.html#group20L3", "20L³")</f>
        <v/>
      </c>
      <c r="N5040" t="inlineStr"/>
    </row>
    <row r="5041">
      <c r="A5041" t="inlineStr">
        <is>
          <t>80AF¹⁷</t>
        </is>
      </c>
      <c r="B5041" t="inlineStr"/>
      <c r="C5041" t="inlineStr">
        <is>
          <t>288</t>
        </is>
      </c>
      <c r="D5041" t="inlineStr">
        <is>
          <t>1</t>
        </is>
      </c>
      <c r="E5041" t="inlineStr">
        <is>
          <t>36</t>
        </is>
      </c>
      <c r="F5041" t="inlineStr">
        <is>
          <t>16</t>
        </is>
      </c>
      <c r="G5041" t="inlineStr">
        <is>
          <t>0</t>
        </is>
      </c>
      <c r="H5041" t="inlineStr">
        <is>
          <t>8², 16², 40², 80²</t>
        </is>
      </c>
      <c r="I5041" t="n">
        <v>8</v>
      </c>
      <c r="J5041" t="inlineStr">
        <is>
          <t>1⁸, 2², 4⁴, 8¹</t>
        </is>
      </c>
      <c r="K5041">
        <f>HYPERLINK("CSG5.html#group40L5", "40L⁵"), =HYPERLINK("CSG9.html#group80P9", "80P⁹")</f>
        <v/>
      </c>
      <c r="L5041" t="inlineStr"/>
      <c r="M5041">
        <f>HYPERLINK("CSG3.html#group40C3", "40C³"), =HYPERLINK("CSG1.html#group20E1", "20E¹"), =HYPERLINK("CSG9.html#group80P9", "80P⁹"), =HYPERLINK("CSG0.html#group20A0", "20A⁰"), =HYPERLINK("CSG3.html#group40D3", "40D³"), =HYPERLINK("CSG0.html#group10G0", "10G⁰"), =HYPERLINK("CSG1.html#group20I1", "20I¹"), =HYPERLINK("CSG0.html#group4C0", "4C⁰"), =HYPERLINK("CSG0.html#group5B0", "5B⁰"), =HYPERLINK("CSG0.html#group10C0", "10C⁰"), =HYPERLINK("CSG0.html#group8B0", "8B⁰"), =HYPERLINK("CSG0.html#group1A0", "1A⁰"), =HYPERLINK("CSG0.html#group2B0", "2B⁰"), =HYPERLINK("CSG5.html#group40L5", "40L⁵"), =HYPERLINK("CSG0.html#group10B0", "10B⁰")</f>
        <v/>
      </c>
      <c r="N5041" t="inlineStr"/>
    </row>
    <row r="5042">
      <c r="A5042" t="inlineStr">
        <is>
          <t>80AG¹⁷</t>
        </is>
      </c>
      <c r="B5042" t="inlineStr"/>
      <c r="C5042" t="inlineStr">
        <is>
          <t>288</t>
        </is>
      </c>
      <c r="D5042" t="inlineStr">
        <is>
          <t>1</t>
        </is>
      </c>
      <c r="E5042" t="inlineStr">
        <is>
          <t>72</t>
        </is>
      </c>
      <c r="F5042" t="inlineStr">
        <is>
          <t>0</t>
        </is>
      </c>
      <c r="G5042" t="inlineStr">
        <is>
          <t>0</t>
        </is>
      </c>
      <c r="H5042" t="inlineStr">
        <is>
          <t>2⁴, 4², 10⁴, 16², 20², 80²</t>
        </is>
      </c>
      <c r="I5042" t="n">
        <v>16</v>
      </c>
      <c r="J5042" t="inlineStr">
        <is>
          <t>1⁸, 2⁴, 4⁶, 8², 16¹</t>
        </is>
      </c>
      <c r="K5042">
        <f>HYPERLINK("CSG7.html#group40U7", "40U⁷"), =HYPERLINK("CSG7.html#group80G7", "80G⁷"), =HYPERLINK("CSG9.html#group80F9", "80F⁹")</f>
        <v/>
      </c>
      <c r="L5042" t="inlineStr"/>
      <c r="M5042">
        <f>HYPERLINK("CSG7.html#group40U7", "40U⁷"), =HYPERLINK("CSG3.html#group40F3", "40F³"), =HYPERLINK("CSG9.html#group80F9", "80F⁹"), =HYPERLINK("CSG0.html#group5B0", "5B⁰"), =HYPERLINK("CSG0.html#group10C0", "10C⁰"), =HYPERLINK("CSG1.html#group16A1", "16A¹"), =HYPERLINK("CSG1.html#group20D1", "20D¹"), =HYPERLINK("CSG0.html#group8C0", "8C⁰"), =HYPERLINK("CSG0.html#group2B0", "2B⁰"), =HYPERLINK("CSG7.html#group80G7", "80G⁷"), =HYPERLINK("CSG0.html#group4B0", "4B⁰"), =HYPERLINK("CSG0.html#group1A0", "1A⁰")</f>
        <v/>
      </c>
      <c r="N5042" t="inlineStr"/>
    </row>
    <row r="5043">
      <c r="A5043" t="inlineStr">
        <is>
          <t>80AH¹⁷</t>
        </is>
      </c>
      <c r="B5043" t="inlineStr"/>
      <c r="C5043" t="inlineStr">
        <is>
          <t>288</t>
        </is>
      </c>
      <c r="D5043" t="inlineStr">
        <is>
          <t>1</t>
        </is>
      </c>
      <c r="E5043" t="inlineStr">
        <is>
          <t>72</t>
        </is>
      </c>
      <c r="F5043" t="inlineStr">
        <is>
          <t>0</t>
        </is>
      </c>
      <c r="G5043" t="inlineStr">
        <is>
          <t>0</t>
        </is>
      </c>
      <c r="H5043" t="inlineStr">
        <is>
          <t>2⁴, 4², 10⁴, 16², 20², 80²</t>
        </is>
      </c>
      <c r="I5043" t="n">
        <v>16</v>
      </c>
      <c r="J5043" t="inlineStr">
        <is>
          <t>1⁸, 2⁴, 4⁶, 8², 16¹</t>
        </is>
      </c>
      <c r="K5043">
        <f>HYPERLINK("CSG7.html#group40U7", "40U⁷"), =HYPERLINK("CSG7.html#group80H7", "80H⁷"), =HYPERLINK("CSG9.html#group80E9", "80E⁹")</f>
        <v/>
      </c>
      <c r="L5043" t="inlineStr"/>
      <c r="M5043">
        <f>HYPERLINK("CSG9.html#group80E9", "80E⁹"), =HYPERLINK("CSG7.html#group40U7", "40U⁷"), =HYPERLINK("CSG3.html#group40F3", "40F³"), =HYPERLINK("CSG0.html#group16D0", "16D⁰"), =HYPERLINK("CSG7.html#group80H7", "80H⁷"), =HYPERLINK("CSG0.html#group5B0", "5B⁰"),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5043" t="inlineStr"/>
    </row>
    <row r="5044">
      <c r="A5044" t="inlineStr">
        <is>
          <t>80AI¹⁷</t>
        </is>
      </c>
      <c r="B5044" t="inlineStr"/>
      <c r="C5044" t="inlineStr">
        <is>
          <t>288</t>
        </is>
      </c>
      <c r="D5044" t="inlineStr">
        <is>
          <t>1</t>
        </is>
      </c>
      <c r="E5044" t="inlineStr">
        <is>
          <t>72</t>
        </is>
      </c>
      <c r="F5044" t="inlineStr">
        <is>
          <t>0</t>
        </is>
      </c>
      <c r="G5044" t="inlineStr">
        <is>
          <t>0</t>
        </is>
      </c>
      <c r="H5044" t="inlineStr">
        <is>
          <t>2⁴, 4², 10⁴, 16², 20², 80²</t>
        </is>
      </c>
      <c r="I5044" t="n">
        <v>16</v>
      </c>
      <c r="J5044" t="inlineStr">
        <is>
          <t>1⁸, 2⁴, 4⁶, 8², 16¹</t>
        </is>
      </c>
      <c r="K5044">
        <f>HYPERLINK("CSG7.html#group40V7", "40V⁷"), =HYPERLINK("CSG7.html#group80G7", "80G⁷"), =HYPERLINK("CSG9.html#group80E9", "80E⁹")</f>
        <v/>
      </c>
      <c r="L5044" t="inlineStr"/>
      <c r="M5044">
        <f>HYPERLINK("CSG9.html#group80E9", "80E⁹"), =HYPERLINK("CSG3.html#group40F3", "40F³"), =HYPERLINK("CSG0.html#group5B0", "5B⁰"), =HYPERLINK("CSG0.html#group10C0", "10C⁰"), =HYPERLINK("CSG1.html#group20D1", "20D¹"), =HYPERLINK("CSG0.html#group8C0", "8C⁰"), =HYPERLINK("CSG0.html#group2B0", "2B⁰"), =HYPERLINK("CSG7.html#group80G7", "80G⁷"), =HYPERLINK("CSG0.html#group4B0", "4B⁰"), =HYPERLINK("CSG0.html#group8I0", "8I⁰"), =HYPERLINK("CSG0.html#group1A0", "1A⁰"), =HYPERLINK("CSG7.html#group40V7", "40V⁷")</f>
        <v/>
      </c>
      <c r="N5044" t="inlineStr"/>
    </row>
    <row r="5045">
      <c r="A5045" t="inlineStr">
        <is>
          <t>80AJ¹⁷</t>
        </is>
      </c>
      <c r="B5045" t="inlineStr"/>
      <c r="C5045" t="inlineStr">
        <is>
          <t>288</t>
        </is>
      </c>
      <c r="D5045" t="inlineStr">
        <is>
          <t>1</t>
        </is>
      </c>
      <c r="E5045" t="inlineStr">
        <is>
          <t>72</t>
        </is>
      </c>
      <c r="F5045" t="inlineStr">
        <is>
          <t>0</t>
        </is>
      </c>
      <c r="G5045" t="inlineStr">
        <is>
          <t>0</t>
        </is>
      </c>
      <c r="H5045" t="inlineStr">
        <is>
          <t>2⁴, 4², 10⁴, 16², 20², 80²</t>
        </is>
      </c>
      <c r="I5045" t="n">
        <v>16</v>
      </c>
      <c r="J5045" t="inlineStr">
        <is>
          <t>1⁸, 2⁴, 4⁶, 8², 16¹</t>
        </is>
      </c>
      <c r="K5045">
        <f>HYPERLINK("CSG1.html#group16G1", "16G¹"), =HYPERLINK("CSG7.html#group40V7", "40V⁷"), =HYPERLINK("CSG7.html#group80H7", "80H⁷"), =HYPERLINK("CSG9.html#group80F9", "80F⁹")</f>
        <v/>
      </c>
      <c r="L5045" t="inlineStr"/>
      <c r="M5045">
        <f>HYPERLINK("CSG9.html#group80F9", "80F⁹"), =HYPERLINK("CSG7.html#group80H7", "80H⁷"), =HYPERLINK("CSG0.html#group5B0", "5B⁰"), =HYPERLINK("CSG1.html#group16A1", "16A¹"), =HYPERLINK("CSG0.html#group8C0", "8C⁰"), =HYPERLINK("CSG0.html#group2B0", "2B⁰"), =HYPERLINK("CSG0.html#group8I0", "8I⁰"), =HYPERLINK("CSG1.html#group20D1", "20D¹"), =HYPERLINK("CSG0.html#group4B0", "4B⁰"), =HYPERLINK("CSG0.html#group1A0", "1A⁰"), =HYPERLINK("CSG7.html#group40V7", "40V⁷"), =HYPERLINK("CSG3.html#group40F3", "40F³"), =HYPERLINK("CSG1.html#group16G1", "16G¹"), =HYPERLINK("CSG0.html#group16D0", "16D⁰"), =HYPERLINK("CSG0.html#group10C0", "10C⁰")</f>
        <v/>
      </c>
      <c r="N5045" t="inlineStr"/>
    </row>
    <row r="5046">
      <c r="A5046" t="inlineStr">
        <is>
          <t>80AK¹⁷</t>
        </is>
      </c>
      <c r="B5046" t="inlineStr"/>
      <c r="C5046" t="inlineStr">
        <is>
          <t>288</t>
        </is>
      </c>
      <c r="D5046" t="inlineStr">
        <is>
          <t>1</t>
        </is>
      </c>
      <c r="E5046" t="inlineStr">
        <is>
          <t>72</t>
        </is>
      </c>
      <c r="F5046" t="inlineStr">
        <is>
          <t>8</t>
        </is>
      </c>
      <c r="G5046" t="inlineStr">
        <is>
          <t>0</t>
        </is>
      </c>
      <c r="H5046" t="inlineStr">
        <is>
          <t>4⁴, 16², 20⁴, 80²</t>
        </is>
      </c>
      <c r="I5046" t="n">
        <v>12</v>
      </c>
      <c r="J5046" t="inlineStr">
        <is>
          <t>2⁴, 4⁴, 8², 16²</t>
        </is>
      </c>
      <c r="K5046">
        <f>HYPERLINK("CSG7.html#group40S7", "40S⁷")</f>
        <v/>
      </c>
      <c r="L5046" t="inlineStr"/>
      <c r="M5046">
        <f>HYPERLINK("CSG1.html#group20E1", "20E¹"), =HYPERLINK("CSG3.html#group40H3", "40H³"), =HYPERLINK("CSG0.html#group8D0", "8D⁰"), =HYPERLINK("CSG0.html#group4C0", "4C⁰"), =HYPERLINK("CSG0.html#group8B0", "8B⁰"), =HYPERLINK("CSG0.html#group5B0", "5B⁰"), =HYPERLINK("CSG0.html#group2B0", "2B⁰"), =HYPERLINK("CSG0.html#group1A0", "1A⁰"), =HYPERLINK("CSG7.html#group40S7", "40S⁷"), =HYPERLINK("CSG1.html#group20B1", "20B¹"), =HYPERLINK("CSG0.html#group8H0", "8H⁰"), =HYPERLINK("CSG0.html#group4A0", "4A⁰"), =HYPERLINK("CSG0.html#group10C0", "10C⁰"), =HYPERLINK("CSG0.html#group4F0", "4F⁰"), =HYPERLINK("CSG3.html#group40D3", "40D³"), =HYPERLINK("CSG3.html#group20L3", "20L³")</f>
        <v/>
      </c>
      <c r="N5046" t="inlineStr"/>
    </row>
    <row r="5047">
      <c r="A5047" t="inlineStr">
        <is>
          <t>80AL¹⁷</t>
        </is>
      </c>
      <c r="B5047" t="inlineStr"/>
      <c r="C5047" t="inlineStr">
        <is>
          <t>288</t>
        </is>
      </c>
      <c r="D5047" t="inlineStr">
        <is>
          <t>1</t>
        </is>
      </c>
      <c r="E5047" t="inlineStr">
        <is>
          <t>72</t>
        </is>
      </c>
      <c r="F5047" t="inlineStr">
        <is>
          <t>8</t>
        </is>
      </c>
      <c r="G5047" t="inlineStr">
        <is>
          <t>0</t>
        </is>
      </c>
      <c r="H5047" t="inlineStr">
        <is>
          <t>4⁴, 16², 20⁴, 80²</t>
        </is>
      </c>
      <c r="I5047" t="n">
        <v>12</v>
      </c>
      <c r="J5047" t="inlineStr">
        <is>
          <t>2⁴, 4⁴, 8², 16²</t>
        </is>
      </c>
      <c r="K5047">
        <f>HYPERLINK("CSG1.html#group16H1", "16H¹"), =HYPERLINK("CSG7.html#group40S7", "40S⁷")</f>
        <v/>
      </c>
      <c r="L5047" t="inlineStr"/>
      <c r="M5047">
        <f>HYPERLINK("CSG1.html#group20E1", "20E¹"), =HYPERLINK("CSG3.html#group40D3", "40D³"), =HYPERLINK("CSG3.html#group40H3", "40H³"), =HYPERLINK("CSG0.html#group8D0", "8D⁰"), =HYPERLINK("CSG0.html#group4C0", "4C⁰"), =HYPERLINK("CSG0.html#group8B0", "8B⁰"), =HYPERLINK("CSG0.html#group5B0", "5B⁰"), =HYPERLINK("CSG0.html#group2B0", "2B⁰"), =HYPERLINK("CSG0.html#group1A0", "1A⁰"), =HYPERLINK("CSG7.html#group40S7", "40S⁷"), =HYPERLINK("CSG1.html#group20B1", "20B¹"), =HYPERLINK("CSG0.html#group8H0", "8H⁰"), =HYPERLINK("CSG0.html#group4A0", "4A⁰"), =HYPERLINK("CSG0.html#group10C0", "10C⁰"), =HYPERLINK("CSG0.html#group4F0", "4F⁰"), =HYPERLINK("CSG1.html#group16H1", "16H¹"), =HYPERLINK("CSG3.html#group20L3", "20L³")</f>
        <v/>
      </c>
      <c r="N5047" t="inlineStr"/>
    </row>
    <row r="5048">
      <c r="A5048" t="inlineStr">
        <is>
          <t>80AM¹⁷</t>
        </is>
      </c>
      <c r="B5048" t="inlineStr"/>
      <c r="C5048" t="inlineStr">
        <is>
          <t>288</t>
        </is>
      </c>
      <c r="D5048" t="inlineStr">
        <is>
          <t>1</t>
        </is>
      </c>
      <c r="E5048" t="inlineStr">
        <is>
          <t>72</t>
        </is>
      </c>
      <c r="F5048" t="inlineStr">
        <is>
          <t>8</t>
        </is>
      </c>
      <c r="G5048" t="inlineStr">
        <is>
          <t>0</t>
        </is>
      </c>
      <c r="H5048" t="inlineStr">
        <is>
          <t>4⁴, 16², 20⁴, 80²</t>
        </is>
      </c>
      <c r="I5048" t="n">
        <v>12</v>
      </c>
      <c r="J5048" t="inlineStr">
        <is>
          <t>1⁴, 2², 4⁶, 8¹, 16²</t>
        </is>
      </c>
      <c r="K5048">
        <f>HYPERLINK("CSG5.html#group40N5", "40N⁵")</f>
        <v/>
      </c>
      <c r="L5048" t="inlineStr"/>
      <c r="M5048">
        <f>HYPERLINK("CSG1.html#group20E1", "20E¹"), =HYPERLINK("CSG0.html#group20A0", "20A⁰"), =HYPERLINK("CSG0.html#group10G0", "10G⁰"), =HYPERLINK("CSG1.html#group20I1", "20I¹"), =HYPERLINK("CSG3.html#group40H3", "40H³"), =HYPERLINK("CSG0.html#group8D0", "8D⁰"), =HYPERLINK("CSG0.html#group4C0", "4C⁰"), =HYPERLINK("CSG0.html#group5B0", "5B⁰"), =HYPERLINK("CSG0.html#group10C0", "10C⁰"), =HYPERLINK("CSG0.html#group2B0", "2B⁰"), =HYPERLINK("CSG5.html#group40N5", "40N⁵"), =HYPERLINK("CSG0.html#group1A0", "1A⁰"), =HYPERLINK("CSG3.html#group40G3", "40G³"), =HYPERLINK("CSG0.html#group10B0", "10B⁰")</f>
        <v/>
      </c>
      <c r="N5048" t="inlineStr"/>
    </row>
    <row r="5049">
      <c r="A5049" t="inlineStr">
        <is>
          <t>80AN¹⁷</t>
        </is>
      </c>
      <c r="B5049" t="inlineStr"/>
      <c r="C5049" t="inlineStr">
        <is>
          <t>288</t>
        </is>
      </c>
      <c r="D5049" t="inlineStr">
        <is>
          <t>1</t>
        </is>
      </c>
      <c r="E5049" t="inlineStr">
        <is>
          <t>72</t>
        </is>
      </c>
      <c r="F5049" t="inlineStr">
        <is>
          <t>8</t>
        </is>
      </c>
      <c r="G5049" t="inlineStr">
        <is>
          <t>0</t>
        </is>
      </c>
      <c r="H5049" t="inlineStr">
        <is>
          <t>4⁴, 16², 20⁴, 80²</t>
        </is>
      </c>
      <c r="I5049" t="n">
        <v>12</v>
      </c>
      <c r="J5049" t="inlineStr">
        <is>
          <t>1⁴, 2², 4⁶, 8¹, 16²</t>
        </is>
      </c>
      <c r="K5049">
        <f>HYPERLINK("CSG5.html#group40N5", "40N⁵"), =HYPERLINK("CSG9.html#group80I9", "80I⁹"), =HYPERLINK("CSG9.html#group80J9", "80J⁹")</f>
        <v/>
      </c>
      <c r="L5049" t="inlineStr"/>
      <c r="M5049">
        <f>HYPERLINK("CSG9.html#group80I9", "80I⁹"), =HYPERLINK("CSG1.html#group20E1", "20E¹"), =HYPERLINK("CSG0.html#group10G0", "10G⁰"), =HYPERLINK("CSG3.html#group40H3", "40H³"), =HYPERLINK("CSG0.html#group8D0", "8D⁰"), =HYPERLINK("CSG9.html#group80J9", "80J⁹"), =HYPERLINK("CSG0.html#group4C0", "4C⁰"), =HYPERLINK("CSG0.html#group5B0", "5B⁰"), =HYPERLINK("CSG0.html#group2B0", "2B⁰"), =HYPERLINK("CSG0.html#group1A0", "1A⁰"), =HYPERLINK("CSG0.html#group10B0", "10B⁰"), =HYPERLINK("CSG0.html#group20A0", "20A⁰"), =HYPERLINK("CSG1.html#group20I1", "20I¹"), =HYPERLINK("CSG1.html#group16C1", "16C¹"), =HYPERLINK("CSG0.html#group10C0", "10C⁰"), =HYPERLINK("CSG5.html#group40N5", "40N⁵"), =HYPERLINK("CSG3.html#group40G3", "40G³")</f>
        <v/>
      </c>
      <c r="N5049" t="inlineStr"/>
    </row>
    <row r="5050">
      <c r="A5050" t="inlineStr">
        <is>
          <t>80AO¹⁷</t>
        </is>
      </c>
      <c r="B5050" t="inlineStr"/>
      <c r="C5050" t="inlineStr">
        <is>
          <t>288</t>
        </is>
      </c>
      <c r="D5050" t="inlineStr">
        <is>
          <t>1</t>
        </is>
      </c>
      <c r="E5050" t="inlineStr">
        <is>
          <t>72</t>
        </is>
      </c>
      <c r="F5050" t="inlineStr">
        <is>
          <t>8</t>
        </is>
      </c>
      <c r="G5050" t="inlineStr">
        <is>
          <t>0</t>
        </is>
      </c>
      <c r="H5050" t="inlineStr">
        <is>
          <t>4⁴, 16², 20⁴, 80²</t>
        </is>
      </c>
      <c r="I5050" t="n">
        <v>12</v>
      </c>
      <c r="J5050" t="inlineStr">
        <is>
          <t>1⁴, 2², 4⁶, 8¹, 16²</t>
        </is>
      </c>
      <c r="K5050">
        <f>HYPERLINK("CSG7.html#group40P7", "40P⁷"), =HYPERLINK("CSG7.html#group80I7", "80I⁷"), =HYPERLINK("CSG9.html#group80J9", "80J⁹")</f>
        <v/>
      </c>
      <c r="L5050" t="inlineStr"/>
      <c r="M5050">
        <f>HYPERLINK("CSG3.html#group40C3", "40C³"), =HYPERLINK("CSG1.html#group20E1", "20E¹"), =HYPERLINK("CSG7.html#group80I7", "80I⁷"), =HYPERLINK("CSG3.html#group40H3", "40H³"), =HYPERLINK("CSG9.html#group80J9", "80J⁹"), =HYPERLINK("CSG0.html#group8D0", "8D⁰"), =HYPERLINK("CSG1.html#group16C1", "16C¹"), =HYPERLINK("CSG0.html#group4C0", "4C⁰"), =HYPERLINK("CSG0.html#group5B0", "5B⁰"), =HYPERLINK("CSG0.html#group10C0", "10C⁰"), =HYPERLINK("CSG0.html#group2B0", "2B⁰"), =HYPERLINK("CSG3.html#group20K3", "20K³"), =HYPERLINK("CSG0.html#group1A0", "1A⁰"), =HYPERLINK("CSG7.html#group40P7", "40P⁷")</f>
        <v/>
      </c>
      <c r="N5050" t="inlineStr"/>
    </row>
    <row r="5051">
      <c r="A5051" t="inlineStr">
        <is>
          <t>80AP¹⁷</t>
        </is>
      </c>
      <c r="B5051" t="inlineStr"/>
      <c r="C5051" t="inlineStr">
        <is>
          <t>288</t>
        </is>
      </c>
      <c r="D5051" t="inlineStr">
        <is>
          <t>1</t>
        </is>
      </c>
      <c r="E5051" t="inlineStr">
        <is>
          <t>72</t>
        </is>
      </c>
      <c r="F5051" t="inlineStr">
        <is>
          <t>8</t>
        </is>
      </c>
      <c r="G5051" t="inlineStr">
        <is>
          <t>0</t>
        </is>
      </c>
      <c r="H5051" t="inlineStr">
        <is>
          <t>4⁴, 16², 20⁴, 80²</t>
        </is>
      </c>
      <c r="I5051" t="n">
        <v>12</v>
      </c>
      <c r="J5051" t="inlineStr">
        <is>
          <t>1⁴, 2², 4⁶, 8¹, 16²</t>
        </is>
      </c>
      <c r="K5051">
        <f>HYPERLINK("CSG7.html#group40P7", "40P⁷"), =HYPERLINK("CSG7.html#group80J7", "80J⁷"), =HYPERLINK("CSG9.html#group80I9", "80I⁹")</f>
        <v/>
      </c>
      <c r="L5051" t="inlineStr"/>
      <c r="M5051">
        <f>HYPERLINK("CSG3.html#group40C3", "40C³"), =HYPERLINK("CSG9.html#group80I9", "80I⁹"), =HYPERLINK("CSG1.html#group20E1", "20E¹"), =HYPERLINK("CSG0.html#group16E0", "16E⁰"), =HYPERLINK("CSG3.html#group40H3", "40H³"), =HYPERLINK("CSG0.html#group8D0", "8D⁰"), =HYPERLINK("CSG0.html#group4C0", "4C⁰"), =HYPERLINK("CSG0.html#group5B0", "5B⁰"), =HYPERLINK("CSG7.html#group80J7", "80J⁷"), =HYPERLINK("CSG0.html#group10C0", "10C⁰"), =HYPERLINK("CSG0.html#group2B0", "2B⁰"), =HYPERLINK("CSG3.html#group20K3", "20K³"), =HYPERLINK("CSG0.html#group1A0", "1A⁰"), =HYPERLINK("CSG7.html#group40P7", "40P⁷")</f>
        <v/>
      </c>
      <c r="N5051" t="inlineStr"/>
    </row>
    <row r="5052">
      <c r="A5052" t="inlineStr">
        <is>
          <t>80AQ¹⁷</t>
        </is>
      </c>
      <c r="B5052" t="inlineStr"/>
      <c r="C5052" t="inlineStr">
        <is>
          <t>288</t>
        </is>
      </c>
      <c r="D5052" t="inlineStr">
        <is>
          <t>1</t>
        </is>
      </c>
      <c r="E5052" t="inlineStr">
        <is>
          <t>72</t>
        </is>
      </c>
      <c r="F5052" t="inlineStr">
        <is>
          <t>8</t>
        </is>
      </c>
      <c r="G5052" t="inlineStr">
        <is>
          <t>0</t>
        </is>
      </c>
      <c r="H5052" t="inlineStr">
        <is>
          <t>4⁴, 16², 20⁴, 80²</t>
        </is>
      </c>
      <c r="I5052" t="n">
        <v>12</v>
      </c>
      <c r="J5052" t="inlineStr">
        <is>
          <t>1⁴, 2², 4⁶, 8¹, 16²</t>
        </is>
      </c>
      <c r="K5052">
        <f>HYPERLINK("CSG7.html#group40S7", "40S⁷"), =HYPERLINK("CSG7.html#group80I7", "80I⁷"), =HYPERLINK("CSG9.html#group80I9", "80I⁹")</f>
        <v/>
      </c>
      <c r="L5052" t="inlineStr"/>
      <c r="M5052">
        <f>HYPERLINK("CSG9.html#group80I9", "80I⁹"), =HYPERLINK("CSG1.html#group20E1", "20E¹"), =HYPERLINK("CSG3.html#group40H3", "40H³"), =HYPERLINK("CSG0.html#group8D0", "8D⁰"), =HYPERLINK("CSG0.html#group4C0", "4C⁰"), =HYPERLINK("CSG0.html#group5B0", "5B⁰"), =HYPERLINK("CSG0.html#group8B0", "8B⁰"), =HYPERLINK("CSG0.html#group2B0", "2B⁰"), =HYPERLINK("CSG0.html#group1A0", "1A⁰"), =HYPERLINK("CSG7.html#group40S7", "40S⁷"), =HYPERLINK("CSG1.html#group20B1", "20B¹"), =HYPERLINK("CSG0.html#group8H0", "8H⁰"), =HYPERLINK("CSG7.html#group80I7", "80I⁷"), =HYPERLINK("CSG0.html#group4A0", "4A⁰"), =HYPERLINK("CSG0.html#group10C0", "10C⁰"), =HYPERLINK("CSG0.html#group4F0", "4F⁰"), =HYPERLINK("CSG3.html#group40D3", "40D³"), =HYPERLINK("CSG3.html#group20L3", "20L³")</f>
        <v/>
      </c>
      <c r="N5052" t="inlineStr"/>
    </row>
    <row r="5053">
      <c r="A5053" t="inlineStr">
        <is>
          <t>80AR¹⁷</t>
        </is>
      </c>
      <c r="B5053" t="inlineStr"/>
      <c r="C5053" t="inlineStr">
        <is>
          <t>288</t>
        </is>
      </c>
      <c r="D5053" t="inlineStr">
        <is>
          <t>1</t>
        </is>
      </c>
      <c r="E5053" t="inlineStr">
        <is>
          <t>72</t>
        </is>
      </c>
      <c r="F5053" t="inlineStr">
        <is>
          <t>8</t>
        </is>
      </c>
      <c r="G5053" t="inlineStr">
        <is>
          <t>0</t>
        </is>
      </c>
      <c r="H5053" t="inlineStr">
        <is>
          <t>4⁴, 16², 20⁴, 80²</t>
        </is>
      </c>
      <c r="I5053" t="n">
        <v>12</v>
      </c>
      <c r="J5053" t="inlineStr">
        <is>
          <t>1⁴, 2², 4⁶, 8¹, 16²</t>
        </is>
      </c>
      <c r="K5053">
        <f>HYPERLINK("CSG1.html#group16I1", "16I¹"), =HYPERLINK("CSG7.html#group40S7", "40S⁷"), =HYPERLINK("CSG7.html#group80J7", "80J⁷"), =HYPERLINK("CSG9.html#group80J9", "80J⁹")</f>
        <v/>
      </c>
      <c r="L5053" t="inlineStr"/>
      <c r="M5053">
        <f>HYPERLINK("CSG1.html#group20E1", "20E¹"), =HYPERLINK("CSG1.html#group16I1", "16I¹"), =HYPERLINK("CSG3.html#group40H3", "40H³"), =HYPERLINK("CSG0.html#group8D0", "8D⁰"), =HYPERLINK("CSG9.html#group80J9", "80J⁹"), =HYPERLINK("CSG0.html#group4C0", "4C⁰"), =HYPERLINK("CSG0.html#group8B0", "8B⁰"), =HYPERLINK("CSG7.html#group80J7", "80J⁷"), =HYPERLINK("CSG0.html#group5B0", "5B⁰"), =HYPERLINK("CSG0.html#group2B0", "2B⁰"), =HYPERLINK("CSG0.html#group1A0", "1A⁰"), =HYPERLINK("CSG7.html#group40S7", "40S⁷"), =HYPERLINK("CSG1.html#group20B1", "20B¹"), =HYPERLINK("CSG0.html#group8H0", "8H⁰"), =HYPERLINK("CSG0.html#group16E0", "16E⁰"), =HYPERLINK("CSG0.html#group4A0", "4A⁰"), =HYPERLINK("CSG1.html#group16C1", "16C¹"), =HYPERLINK("CSG0.html#group10C0", "10C⁰"), =HYPERLINK("CSG0.html#group4F0", "4F⁰"), =HYPERLINK("CSG3.html#group40D3", "40D³"), =HYPERLINK("CSG3.html#group20L3", "20L³")</f>
        <v/>
      </c>
      <c r="N5053" t="inlineStr"/>
    </row>
    <row r="5054">
      <c r="A5054" t="inlineStr">
        <is>
          <t>80AS¹⁷</t>
        </is>
      </c>
      <c r="B5054" t="inlineStr"/>
      <c r="C5054" t="inlineStr">
        <is>
          <t>288</t>
        </is>
      </c>
      <c r="D5054" t="inlineStr">
        <is>
          <t>1</t>
        </is>
      </c>
      <c r="E5054" t="inlineStr">
        <is>
          <t>72</t>
        </is>
      </c>
      <c r="F5054" t="inlineStr">
        <is>
          <t>16</t>
        </is>
      </c>
      <c r="G5054" t="inlineStr">
        <is>
          <t>0</t>
        </is>
      </c>
      <c r="H5054" t="inlineStr">
        <is>
          <t>8², 16², 40², 80²</t>
        </is>
      </c>
      <c r="I5054" t="n">
        <v>8</v>
      </c>
      <c r="J5054" t="inlineStr">
        <is>
          <t>1⁸, 2⁴, 4⁶, 8², 16¹</t>
        </is>
      </c>
      <c r="K5054">
        <f>HYPERLINK("CSG5.html#group40L5", "40L⁵")</f>
        <v/>
      </c>
      <c r="L5054" t="inlineStr"/>
      <c r="M5054">
        <f>HYPERLINK("CSG3.html#group40C3", "40C³"), =HYPERLINK("CSG1.html#group20E1", "20E¹"), =HYPERLINK("CSG0.html#group20A0", "20A⁰"), =HYPERLINK("CSG3.html#group40D3", "40D³"), =HYPERLINK("CSG0.html#group10G0", "10G⁰"), =HYPERLINK("CSG1.html#group20I1", "20I¹"), =HYPERLINK("CSG0.html#group4C0", "4C⁰"), =HYPERLINK("CSG0.html#group5B0", "5B⁰"), =HYPERLINK("CSG0.html#group10C0", "10C⁰"), =HYPERLINK("CSG0.html#group8B0", "8B⁰"), =HYPERLINK("CSG0.html#group1A0", "1A⁰"), =HYPERLINK("CSG0.html#group2B0", "2B⁰"), =HYPERLINK("CSG5.html#group40L5", "40L⁵"), =HYPERLINK("CSG0.html#group10B0", "10B⁰")</f>
        <v/>
      </c>
      <c r="N5054" t="inlineStr"/>
    </row>
    <row r="5055">
      <c r="A5055" t="inlineStr">
        <is>
          <t>80AT¹⁷</t>
        </is>
      </c>
      <c r="B5055" t="inlineStr"/>
      <c r="C5055" t="inlineStr">
        <is>
          <t>288</t>
        </is>
      </c>
      <c r="D5055" t="inlineStr">
        <is>
          <t>1</t>
        </is>
      </c>
      <c r="E5055" t="inlineStr">
        <is>
          <t>72</t>
        </is>
      </c>
      <c r="F5055" t="inlineStr">
        <is>
          <t>16</t>
        </is>
      </c>
      <c r="G5055" t="inlineStr">
        <is>
          <t>0</t>
        </is>
      </c>
      <c r="H5055" t="inlineStr">
        <is>
          <t>8², 16², 40², 80²</t>
        </is>
      </c>
      <c r="I5055" t="n">
        <v>8</v>
      </c>
      <c r="J5055" t="inlineStr">
        <is>
          <t>1⁸, 2⁴, 4⁶, 8², 16¹</t>
        </is>
      </c>
      <c r="K5055">
        <f>HYPERLINK("CSG5.html#group40L5", "40L⁵"), =HYPERLINK("CSG9.html#group80K9", "80K⁹"), =HYPERLINK("CSG9.html#group80L9", "80L⁹")</f>
        <v/>
      </c>
      <c r="L5055" t="inlineStr"/>
      <c r="M5055">
        <f>HYPERLINK("CSG1.html#group20E1", "20E¹"), =HYPERLINK("CSG0.html#group10G0", "10G⁰"), =HYPERLINK("CSG5.html#group40L5", "40L⁵"), =HYPERLINK("CSG9.html#group80K9", "80K⁹"), =HYPERLINK("CSG0.html#group4C0", "4C⁰"), =HYPERLINK("CSG0.html#group8B0", "8B⁰"), =HYPERLINK("CSG0.html#group5B0", "5B⁰"), =HYPERLINK("CSG0.html#group2B0", "2B⁰"), =HYPERLINK("CSG0.html#group1A0", "1A⁰"), =HYPERLINK("CSG0.html#group10B0", "10B⁰"), =HYPERLINK("CSG3.html#group40C3", "40C³"), =HYPERLINK("CSG0.html#group20A0", "20A⁰"), =HYPERLINK("CSG1.html#group16D1", "16D¹"), =HYPERLINK("CSG9.html#group80L9", "80L⁹"), =HYPERLINK("CSG1.html#group20I1", "20I¹"), =HYPERLINK("CSG0.html#group10C0", "10C⁰"), =HYPERLINK("CSG3.html#group40D3", "40D³")</f>
        <v/>
      </c>
      <c r="N5055" t="inlineStr"/>
    </row>
    <row r="5056">
      <c r="A5056" t="inlineStr">
        <is>
          <t>80AU¹⁷</t>
        </is>
      </c>
      <c r="B5056" t="inlineStr"/>
      <c r="C5056" t="inlineStr">
        <is>
          <t>288</t>
        </is>
      </c>
      <c r="D5056" t="inlineStr">
        <is>
          <t>1</t>
        </is>
      </c>
      <c r="E5056" t="inlineStr">
        <is>
          <t>72</t>
        </is>
      </c>
      <c r="F5056" t="inlineStr">
        <is>
          <t>16</t>
        </is>
      </c>
      <c r="G5056" t="inlineStr">
        <is>
          <t>0</t>
        </is>
      </c>
      <c r="H5056" t="inlineStr">
        <is>
          <t>8², 16², 40², 80²</t>
        </is>
      </c>
      <c r="I5056" t="n">
        <v>8</v>
      </c>
      <c r="J5056" t="inlineStr">
        <is>
          <t>1⁸, 2⁴, 4⁶, 8², 16¹</t>
        </is>
      </c>
      <c r="K5056">
        <f>HYPERLINK("CSG7.html#group40AA7", "40AA⁷"), =HYPERLINK("CSG7.html#group80C7", "80C⁷"), =HYPERLINK("CSG9.html#group80L9", "80L⁹")</f>
        <v/>
      </c>
      <c r="L5056" t="inlineStr"/>
      <c r="M5056">
        <f>HYPERLINK("CSG1.html#group20E1", "20E¹"), =HYPERLINK("CSG3.html#group40D3", "40D³"), =HYPERLINK("CSG7.html#group40AA7", "40AA⁷"), =HYPERLINK("CSG9.html#group80L9", "80L⁹"), =HYPERLINK("CSG1.html#group16D1", "16D¹"), =HYPERLINK("CSG0.html#group4C0", "4C⁰"), =HYPERLINK("CSG7.html#group80C7", "80C⁷"), =HYPERLINK("CSG0.html#group8B0", "8B⁰"), =HYPERLINK("CSG0.html#group5B0", "5B⁰"), =HYPERLINK("CSG0.html#group10C0", "10C⁰"), =HYPERLINK("CSG0.html#group2B0", "2B⁰"), =HYPERLINK("CSG0.html#group1A0", "1A⁰")</f>
        <v/>
      </c>
      <c r="N5056" t="inlineStr"/>
    </row>
    <row r="5057">
      <c r="A5057" t="inlineStr">
        <is>
          <t>80AV¹⁷</t>
        </is>
      </c>
      <c r="B5057" t="inlineStr"/>
      <c r="C5057" t="inlineStr">
        <is>
          <t>288</t>
        </is>
      </c>
      <c r="D5057" t="inlineStr">
        <is>
          <t>1</t>
        </is>
      </c>
      <c r="E5057" t="inlineStr">
        <is>
          <t>72</t>
        </is>
      </c>
      <c r="F5057" t="inlineStr">
        <is>
          <t>16</t>
        </is>
      </c>
      <c r="G5057" t="inlineStr">
        <is>
          <t>0</t>
        </is>
      </c>
      <c r="H5057" t="inlineStr">
        <is>
          <t>8², 16², 40², 80²</t>
        </is>
      </c>
      <c r="I5057" t="n">
        <v>8</v>
      </c>
      <c r="J5057" t="inlineStr">
        <is>
          <t>1⁸, 2⁴, 4⁶, 8², 16¹</t>
        </is>
      </c>
      <c r="K5057">
        <f>HYPERLINK("CSG7.html#group40AA7", "40AA⁷"), =HYPERLINK("CSG7.html#group80D7", "80D⁷"), =HYPERLINK("CSG9.html#group80K9", "80K⁹")</f>
        <v/>
      </c>
      <c r="L5057" t="inlineStr"/>
      <c r="M5057">
        <f>HYPERLINK("CSG0.html#group16B0", "16B⁰"), =HYPERLINK("CSG1.html#group20E1", "20E¹"), =HYPERLINK("CSG7.html#group40AA7", "40AA⁷"), =HYPERLINK("CSG7.html#group80D7", "80D⁷"), =HYPERLINK("CSG9.html#group80K9", "80K⁹"), =HYPERLINK("CSG0.html#group4C0", "4C⁰"), =HYPERLINK("CSG0.html#group8B0", "8B⁰"), =HYPERLINK("CSG0.html#group5B0", "5B⁰"), =HYPERLINK("CSG0.html#group10C0", "10C⁰"), =HYPERLINK("CSG0.html#group1A0", "1A⁰"), =HYPERLINK("CSG0.html#group2B0", "2B⁰"), =HYPERLINK("CSG3.html#group40D3", "40D³")</f>
        <v/>
      </c>
      <c r="N5057" t="inlineStr"/>
    </row>
    <row r="5058">
      <c r="A5058" t="inlineStr">
        <is>
          <t>80AW¹⁷</t>
        </is>
      </c>
      <c r="B5058" t="inlineStr"/>
      <c r="C5058" t="inlineStr">
        <is>
          <t>288</t>
        </is>
      </c>
      <c r="D5058" t="inlineStr">
        <is>
          <t>1</t>
        </is>
      </c>
      <c r="E5058" t="inlineStr">
        <is>
          <t>72</t>
        </is>
      </c>
      <c r="F5058" t="inlineStr">
        <is>
          <t>16</t>
        </is>
      </c>
      <c r="G5058" t="inlineStr">
        <is>
          <t>0</t>
        </is>
      </c>
      <c r="H5058" t="inlineStr">
        <is>
          <t>8², 16², 40², 80²</t>
        </is>
      </c>
      <c r="I5058" t="n">
        <v>8</v>
      </c>
      <c r="J5058" t="inlineStr">
        <is>
          <t>1⁸, 2⁴, 4⁶, 8², 16¹</t>
        </is>
      </c>
      <c r="K5058">
        <f>HYPERLINK("CSG7.html#group40AB7", "40AB⁷"), =HYPERLINK("CSG7.html#group80C7", "80C⁷"), =HYPERLINK("CSG9.html#group80K9", "80K⁹")</f>
        <v/>
      </c>
      <c r="L5058" t="inlineStr"/>
      <c r="M5058">
        <f>HYPERLINK("CSG1.html#group20E1", "20E¹"), =HYPERLINK("CSG3.html#group40D3", "40D³"), =HYPERLINK("CSG9.html#group80K9", "80K⁹"), =HYPERLINK("CSG0.html#group4C0", "4C⁰"), =HYPERLINK("CSG7.html#group80C7", "80C⁷"), =HYPERLINK("CSG0.html#group8B0", "8B⁰"), =HYPERLINK("CSG0.html#group5B0", "5B⁰"), =HYPERLINK("CSG0.html#group10C0", "10C⁰"), =HYPERLINK("CSG0.html#group2B0", "2B⁰"), =HYPERLINK("CSG0.html#group8L0", "8L⁰"), =HYPERLINK("CSG0.html#group1A0", "1A⁰"), =HYPERLINK("CSG7.html#group40AB7", "40AB⁷")</f>
        <v/>
      </c>
      <c r="N5058" t="inlineStr"/>
    </row>
    <row r="5059">
      <c r="A5059" t="inlineStr">
        <is>
          <t>80AX¹⁷</t>
        </is>
      </c>
      <c r="B5059" t="inlineStr"/>
      <c r="C5059" t="inlineStr">
        <is>
          <t>288</t>
        </is>
      </c>
      <c r="D5059" t="inlineStr">
        <is>
          <t>1</t>
        </is>
      </c>
      <c r="E5059" t="inlineStr">
        <is>
          <t>72</t>
        </is>
      </c>
      <c r="F5059" t="inlineStr">
        <is>
          <t>16</t>
        </is>
      </c>
      <c r="G5059" t="inlineStr">
        <is>
          <t>0</t>
        </is>
      </c>
      <c r="H5059" t="inlineStr">
        <is>
          <t>8², 16², 40², 80²</t>
        </is>
      </c>
      <c r="I5059" t="n">
        <v>8</v>
      </c>
      <c r="J5059" t="inlineStr">
        <is>
          <t>1⁸, 2⁴, 4⁶, 8², 16¹</t>
        </is>
      </c>
      <c r="K5059">
        <f>HYPERLINK("CSG1.html#group16J1", "16J¹"), =HYPERLINK("CSG7.html#group40AB7", "40AB⁷"), =HYPERLINK("CSG7.html#group80D7", "80D⁷"), =HYPERLINK("CSG9.html#group80L9", "80L⁹")</f>
        <v/>
      </c>
      <c r="L5059" t="inlineStr"/>
      <c r="M5059">
        <f>HYPERLINK("CSG1.html#group20E1", "20E¹"), =HYPERLINK("CSG0.html#group4C0", "4C⁰"), =HYPERLINK("CSG0.html#group8B0", "8B⁰"), =HYPERLINK("CSG0.html#group5B0", "5B⁰"), =HYPERLINK("CSG0.html#group8L0", "8L⁰"), =HYPERLINK("CSG0.html#group2B0", "2B⁰"), =HYPERLINK("CSG1.html#group16J1", "16J¹"), =HYPERLINK("CSG0.html#group1A0", "1A⁰"), =HYPERLINK("CSG0.html#group16B0", "16B⁰"), =HYPERLINK("CSG1.html#group16D1", "16D¹"), =HYPERLINK("CSG9.html#group80L9", "80L⁹"), =HYPERLINK("CSG7.html#group80D7", "80D⁷"), =HYPERLINK("CSG0.html#group10C0", "10C⁰"), =HYPERLINK("CSG3.html#group40D3", "40D³"), =HYPERLINK("CSG7.html#group40AB7", "40AB⁷")</f>
        <v/>
      </c>
      <c r="N5059" t="inlineStr"/>
    </row>
    <row r="5060">
      <c r="A5060" t="inlineStr">
        <is>
          <t>80AY¹⁷</t>
        </is>
      </c>
      <c r="B5060" t="inlineStr"/>
      <c r="C5060" t="inlineStr">
        <is>
          <t>288</t>
        </is>
      </c>
      <c r="D5060" t="inlineStr">
        <is>
          <t>1</t>
        </is>
      </c>
      <c r="E5060" t="inlineStr">
        <is>
          <t>144</t>
        </is>
      </c>
      <c r="F5060" t="inlineStr">
        <is>
          <t>4</t>
        </is>
      </c>
      <c r="G5060" t="inlineStr">
        <is>
          <t>0</t>
        </is>
      </c>
      <c r="H5060" t="inlineStr">
        <is>
          <t>4⁴, 8², 16¹, 20⁴, 40², 80¹</t>
        </is>
      </c>
      <c r="I5060" t="n">
        <v>14</v>
      </c>
      <c r="J5060" t="inlineStr">
        <is>
          <t>4⁸, 8⁸, 16⁴, 32⁴</t>
        </is>
      </c>
      <c r="K5060">
        <f>HYPERLINK("CSG7.html#group40Z7", "40Z⁷")</f>
        <v/>
      </c>
      <c r="L5060" t="inlineStr"/>
      <c r="M5060">
        <f>HYPERLINK("CSG1.html#group20E1", "20E¹"), =HYPERLINK("CSG0.html#group8K0", "8K⁰"), =HYPERLINK("CSG0.html#group4A0", "4A⁰"), =HYPERLINK("CSG0.html#group4C0", "4C⁰"), =HYPERLINK("CSG0.html#group5B0", "5B⁰"), =HYPERLINK("CSG0.html#group10C0", "10C⁰"), =HYPERLINK("CSG0.html#group2B0", "2B⁰"), =HYPERLINK("CSG0.html#group4F0", "4F⁰"), =HYPERLINK("CSG7.html#group40Z7", "40Z⁷"), =HYPERLINK("CSG0.html#group1A0", "1A⁰"), =HYPERLINK("CSG1.html#group20B1", "20B¹"), =HYPERLINK("CSG3.html#group20L3", "20L³")</f>
        <v/>
      </c>
      <c r="N5060" t="inlineStr"/>
    </row>
    <row r="5061">
      <c r="A5061" t="inlineStr">
        <is>
          <t>80AZ¹⁷</t>
        </is>
      </c>
      <c r="B5061" t="inlineStr"/>
      <c r="C5061" t="inlineStr">
        <is>
          <t>288</t>
        </is>
      </c>
      <c r="D5061" t="inlineStr">
        <is>
          <t>1</t>
        </is>
      </c>
      <c r="E5061" t="inlineStr">
        <is>
          <t>144</t>
        </is>
      </c>
      <c r="F5061" t="inlineStr">
        <is>
          <t>4</t>
        </is>
      </c>
      <c r="G5061" t="inlineStr">
        <is>
          <t>0</t>
        </is>
      </c>
      <c r="H5061" t="inlineStr">
        <is>
          <t>4⁴, 8², 16¹, 20⁴, 40², 80¹</t>
        </is>
      </c>
      <c r="I5061" t="n">
        <v>14</v>
      </c>
      <c r="J5061" t="inlineStr">
        <is>
          <t>4⁸, 8⁸, 16⁴, 32⁴</t>
        </is>
      </c>
      <c r="K5061">
        <f>HYPERLINK("CSG7.html#group40Z7", "40Z⁷")</f>
        <v/>
      </c>
      <c r="L5061" t="inlineStr"/>
      <c r="M5061">
        <f>HYPERLINK("CSG1.html#group20E1", "20E¹"), =HYPERLINK("CSG0.html#group8K0", "8K⁰"), =HYPERLINK("CSG0.html#group4A0", "4A⁰"), =HYPERLINK("CSG0.html#group4C0", "4C⁰"), =HYPERLINK("CSG0.html#group5B0", "5B⁰"), =HYPERLINK("CSG0.html#group10C0", "10C⁰"), =HYPERLINK("CSG0.html#group2B0", "2B⁰"), =HYPERLINK("CSG0.html#group4F0", "4F⁰"), =HYPERLINK("CSG7.html#group40Z7", "40Z⁷"), =HYPERLINK("CSG0.html#group1A0", "1A⁰"), =HYPERLINK("CSG1.html#group20B1", "20B¹"), =HYPERLINK("CSG3.html#group20L3", "20L³")</f>
        <v/>
      </c>
      <c r="N5061" t="inlineStr"/>
    </row>
    <row r="5062">
      <c r="A5062" t="inlineStr">
        <is>
          <t>80BA¹⁷</t>
        </is>
      </c>
      <c r="B5062" t="inlineStr"/>
      <c r="C5062" t="inlineStr">
        <is>
          <t>288</t>
        </is>
      </c>
      <c r="D5062" t="inlineStr">
        <is>
          <t>1</t>
        </is>
      </c>
      <c r="E5062" t="inlineStr">
        <is>
          <t>144</t>
        </is>
      </c>
      <c r="F5062" t="inlineStr">
        <is>
          <t>4</t>
        </is>
      </c>
      <c r="G5062" t="inlineStr">
        <is>
          <t>0</t>
        </is>
      </c>
      <c r="H5062" t="inlineStr">
        <is>
          <t>4⁴, 8², 16¹, 20⁴, 40², 80¹</t>
        </is>
      </c>
      <c r="I5062" t="n">
        <v>14</v>
      </c>
      <c r="J5062" t="inlineStr">
        <is>
          <t>4⁸, 8⁸, 16⁴, 32⁴</t>
        </is>
      </c>
      <c r="K5062">
        <f>HYPERLINK("CSG1.html#group16K1", "16K¹"), =HYPERLINK("CSG7.html#group40Z7", "40Z⁷")</f>
        <v/>
      </c>
      <c r="L5062" t="inlineStr"/>
      <c r="M5062">
        <f>HYPERLINK("CSG1.html#group20E1", "20E¹"), =HYPERLINK("CSG0.html#group8K0", "8K⁰"), =HYPERLINK("CSG0.html#group4A0", "4A⁰"), =HYPERLINK("CSG0.html#group4C0", "4C⁰"), =HYPERLINK("CSG0.html#group5B0", "5B⁰"), =HYPERLINK("CSG0.html#group10C0", "10C⁰"), =HYPERLINK("CSG0.html#group2B0", "2B⁰"), =HYPERLINK("CSG0.html#group4F0", "4F⁰"), =HYPERLINK("CSG7.html#group40Z7", "40Z⁷"), =HYPERLINK("CSG0.html#group1A0", "1A⁰"), =HYPERLINK("CSG1.html#group16K1", "16K¹"), =HYPERLINK("CSG1.html#group20B1", "20B¹"), =HYPERLINK("CSG3.html#group20L3", "20L³")</f>
        <v/>
      </c>
      <c r="N5062" t="inlineStr"/>
    </row>
    <row r="5063">
      <c r="A5063" t="inlineStr">
        <is>
          <t>80BB¹⁷</t>
        </is>
      </c>
      <c r="B5063" t="inlineStr"/>
      <c r="C5063" t="inlineStr">
        <is>
          <t>288</t>
        </is>
      </c>
      <c r="D5063" t="inlineStr">
        <is>
          <t>1</t>
        </is>
      </c>
      <c r="E5063" t="inlineStr">
        <is>
          <t>144</t>
        </is>
      </c>
      <c r="F5063" t="inlineStr">
        <is>
          <t>4</t>
        </is>
      </c>
      <c r="G5063" t="inlineStr">
        <is>
          <t>0</t>
        </is>
      </c>
      <c r="H5063" t="inlineStr">
        <is>
          <t>4⁴, 8², 16¹, 20⁴, 40², 80¹</t>
        </is>
      </c>
      <c r="I5063" t="n">
        <v>14</v>
      </c>
      <c r="J5063" t="inlineStr">
        <is>
          <t>4⁸, 8⁸, 16⁴, 32⁴</t>
        </is>
      </c>
      <c r="K5063">
        <f>HYPERLINK("CSG1.html#group16L1", "16L¹"), =HYPERLINK("CSG7.html#group40Z7", "40Z⁷")</f>
        <v/>
      </c>
      <c r="L5063" t="inlineStr"/>
      <c r="M5063">
        <f>HYPERLINK("CSG1.html#group20E1", "20E¹"), =HYPERLINK("CSG1.html#group16L1", "16L¹"), =HYPERLINK("CSG0.html#group8K0", "8K⁰"), =HYPERLINK("CSG0.html#group4A0", "4A⁰"), =HYPERLINK("CSG0.html#group4C0", "4C⁰"), =HYPERLINK("CSG0.html#group5B0", "5B⁰"), =HYPERLINK("CSG0.html#group10C0", "10C⁰"), =HYPERLINK("CSG0.html#group2B0", "2B⁰"), =HYPERLINK("CSG0.html#group4F0", "4F⁰"), =HYPERLINK("CSG7.html#group40Z7", "40Z⁷"), =HYPERLINK("CSG0.html#group1A0", "1A⁰"), =HYPERLINK("CSG1.html#group20B1", "20B¹"), =HYPERLINK("CSG3.html#group20L3", "20L³")</f>
        <v/>
      </c>
      <c r="N5063" t="inlineStr"/>
    </row>
    <row r="5064">
      <c r="A5064" t="inlineStr">
        <is>
          <t>80BC¹⁷</t>
        </is>
      </c>
      <c r="B5064" t="inlineStr"/>
      <c r="C5064" t="inlineStr">
        <is>
          <t>288</t>
        </is>
      </c>
      <c r="D5064" t="inlineStr">
        <is>
          <t>2</t>
        </is>
      </c>
      <c r="E5064" t="inlineStr">
        <is>
          <t>18</t>
        </is>
      </c>
      <c r="F5064" t="inlineStr">
        <is>
          <t>16</t>
        </is>
      </c>
      <c r="G5064" t="inlineStr">
        <is>
          <t>0</t>
        </is>
      </c>
      <c r="H5064" t="inlineStr">
        <is>
          <t>8², 16², 40², 80²</t>
        </is>
      </c>
      <c r="I5064" t="n">
        <v>8</v>
      </c>
      <c r="J5064" t="inlineStr">
        <is>
          <t>2⁶, 8³</t>
        </is>
      </c>
      <c r="K5064">
        <f>HYPERLINK("CSG5.html#group40L5", "40L⁵"), =HYPERLINK("CSG9.html#group80M9", "80M⁹"), =HYPERLINK("CSG9.html#group80N9", "80N⁹")</f>
        <v/>
      </c>
      <c r="L5064" t="inlineStr"/>
      <c r="M5064">
        <f>HYPERLINK("CSG1.html#group20E1", "20E¹"), =HYPERLINK("CSG3.html#group40D3", "40D³"), =HYPERLINK("CSG0.html#group10G0", "10G⁰"), =HYPERLINK("CSG0.html#group4C0", "4C⁰"), =HYPERLINK("CSG0.html#group5B0", "5B⁰"), =HYPERLINK("CSG0.html#group8B0", "8B⁰"), =HYPERLINK("CSG0.html#group2B0", "2B⁰"), =HYPERLINK("CSG9.html#group80N9", "80N⁹"), =HYPERLINK("CSG0.html#group1A0", "1A⁰"), =HYPERLINK("CSG0.html#group10B0", "10B⁰"), =HYPERLINK("CSG3.html#group40C3", "40C³"), =HYPERLINK("CSG0.html#group20A0", "20A⁰"), =HYPERLINK("CSG9.html#group80M9", "80M⁹"), =HYPERLINK("CSG1.html#group20I1", "20I¹"), =HYPERLINK("CSG0.html#group10C0", "10C⁰"), =HYPERLINK("CSG5.html#group40L5", "40L⁵")</f>
        <v/>
      </c>
      <c r="N5064" t="inlineStr"/>
    </row>
    <row r="5065">
      <c r="A5065" t="inlineStr">
        <is>
          <t>80BD¹⁷</t>
        </is>
      </c>
      <c r="B5065" t="inlineStr"/>
      <c r="C5065" t="inlineStr">
        <is>
          <t>288</t>
        </is>
      </c>
      <c r="D5065" t="inlineStr">
        <is>
          <t>2</t>
        </is>
      </c>
      <c r="E5065" t="inlineStr">
        <is>
          <t>36</t>
        </is>
      </c>
      <c r="F5065" t="inlineStr">
        <is>
          <t>0</t>
        </is>
      </c>
      <c r="G5065" t="inlineStr">
        <is>
          <t>0</t>
        </is>
      </c>
      <c r="H5065" t="inlineStr">
        <is>
          <t>2⁴, 4², 10⁴, 16², 20², 80²</t>
        </is>
      </c>
      <c r="I5065" t="n">
        <v>16</v>
      </c>
      <c r="J5065" t="inlineStr">
        <is>
          <t>2¹², 8⁶</t>
        </is>
      </c>
      <c r="K5065">
        <f>HYPERLINK("CSG7.html#group40L7", "40L⁷"), =HYPERLINK("CSG7.html#group80K7", "80K⁷"), =HYPERLINK("CSG9.html#group80O9", "80O⁹")</f>
        <v/>
      </c>
      <c r="L5065" t="inlineStr"/>
      <c r="M5065">
        <f>HYPERLINK("CSG1.html#group20E1", "20E¹"), =HYPERLINK("CSG0.html#group2A0", "2A⁰"), =HYPERLINK("CSG7.html#group40L7", "40L⁷"), =HYPERLINK("CSG0.html#group4C0", "4C⁰"), =HYPERLINK("CSG0.html#group5B0", "5B⁰"), =HYPERLINK("CSG1.html#group10A1", "10A¹"), =HYPERLINK("CSG1.html#group20D1", "20D¹"), =HYPERLINK("CSG0.html#group2B0", "2B⁰"), =HYPERLINK("CSG0.html#group4E0", "4E⁰"), =HYPERLINK("CSG0.html#group4B0", "4B⁰"), =HYPERLINK("CSG0.html#group1A0", "1A⁰"), =HYPERLINK("CSG9.html#group80O9", "80O⁹"), =HYPERLINK("CSG0.html#group10C0", "10C⁰"), =HYPERLINK("CSG3.html#group40E3", "40E³"), =HYPERLINK("CSG7.html#group80K7", "80K⁷"), =HYPERLINK("CSG3.html#group20J3", "20J³"), =HYPERLINK("CSG0.html#group2C0", "2C⁰"), =HYPERLINK("CSG1.html#group10G1", "10G¹"), =HYPERLINK("CSG3.html#group40G3", "40G³")</f>
        <v/>
      </c>
      <c r="N5065" t="inlineStr"/>
    </row>
    <row r="5066">
      <c r="A5066" t="inlineStr">
        <is>
          <t>80BE¹⁷</t>
        </is>
      </c>
      <c r="B5066" t="inlineStr"/>
      <c r="C5066" t="inlineStr">
        <is>
          <t>288</t>
        </is>
      </c>
      <c r="D5066" t="inlineStr">
        <is>
          <t>2</t>
        </is>
      </c>
      <c r="E5066" t="inlineStr">
        <is>
          <t>36</t>
        </is>
      </c>
      <c r="F5066" t="inlineStr">
        <is>
          <t>0</t>
        </is>
      </c>
      <c r="G5066" t="inlineStr">
        <is>
          <t>0</t>
        </is>
      </c>
      <c r="H5066" t="inlineStr">
        <is>
          <t>2⁴, 4², 10⁴, 16², 20², 80²</t>
        </is>
      </c>
      <c r="I5066" t="n">
        <v>16</v>
      </c>
      <c r="J5066" t="inlineStr">
        <is>
          <t>2¹², 8⁶</t>
        </is>
      </c>
      <c r="K5066">
        <f>HYPERLINK("CSG7.html#group40O7", "40O⁷"), =HYPERLINK("CSG7.html#group80K7", "80K⁷"), =HYPERLINK("CSG9.html#group80O9", "80O⁹")</f>
        <v/>
      </c>
      <c r="L5066" t="inlineStr"/>
      <c r="M5066">
        <f>HYPERLINK("CSG0.html#group10G0", "10G⁰"), =HYPERLINK("CSG7.html#group40O7", "40O⁷"), =HYPERLINK("CSG0.html#group5B0", "5B⁰"), =HYPERLINK("CSG1.html#group20D1", "20D¹"), =HYPERLINK("CSG0.html#group2B0", "2B⁰"), =HYPERLINK("CSG0.html#group8C0", "8C⁰"), =HYPERLINK("CSG0.html#group4B0", "4B⁰"), =HYPERLINK("CSG0.html#group1A0", "1A⁰"), =HYPERLINK("CSG3.html#group20H3", "20H³"), =HYPERLINK("CSG0.html#group10B0", "10B⁰"), =HYPERLINK("CSG3.html#group40F3", "40F³"), =HYPERLINK("CSG9.html#group80O9", "80O⁹"), =HYPERLINK("CSG0.html#group10C0", "10C⁰"), =HYPERLINK("CSG3.html#group40E3", "40E³"), =HYPERLINK("CSG7.html#group80K7", "80K⁷"), =HYPERLINK("CSG2.html#group20C2", "20C²")</f>
        <v/>
      </c>
      <c r="N5066" t="inlineStr"/>
    </row>
    <row r="5067">
      <c r="A5067" t="inlineStr">
        <is>
          <t>80BF¹⁷</t>
        </is>
      </c>
      <c r="B5067" t="inlineStr"/>
      <c r="C5067" t="inlineStr">
        <is>
          <t>288</t>
        </is>
      </c>
      <c r="D5067" t="inlineStr">
        <is>
          <t>2</t>
        </is>
      </c>
      <c r="E5067" t="inlineStr">
        <is>
          <t>72</t>
        </is>
      </c>
      <c r="F5067" t="inlineStr">
        <is>
          <t>8</t>
        </is>
      </c>
      <c r="G5067" t="inlineStr">
        <is>
          <t>0</t>
        </is>
      </c>
      <c r="H5067" t="inlineStr">
        <is>
          <t>4⁴, 16², 20⁴, 80²</t>
        </is>
      </c>
      <c r="I5067" t="n">
        <v>12</v>
      </c>
      <c r="J5067" t="inlineStr">
        <is>
          <t>4¹², 16⁶</t>
        </is>
      </c>
      <c r="K5067">
        <f>HYPERLINK("CSG7.html#group40R7", "40R⁷")</f>
        <v/>
      </c>
      <c r="L5067" t="inlineStr"/>
      <c r="M5067">
        <f>HYPERLINK("CSG3.html#group40C3", "40C³"), =HYPERLINK("CSG1.html#group20E1", "20E¹"), =HYPERLINK("CSG0.html#group4A0", "4A⁰"), =HYPERLINK("CSG0.html#group4C0", "4C⁰"), =HYPERLINK("CSG0.html#group5B0", "5B⁰"), =HYPERLINK("CSG0.html#group10C0", "10C⁰"), =HYPERLINK("CSG7.html#group40R7", "40R⁷"), =HYPERLINK("CSG0.html#group2B0", "2B⁰"), =HYPERLINK("CSG0.html#group4F0", "4F⁰"), =HYPERLINK("CSG0.html#group1A0", "1A⁰"), =HYPERLINK("CSG1.html#group20B1", "20B¹"), =HYPERLINK("CSG3.html#group20L3", "20L³"), =HYPERLINK("CSG3.html#group40G3", "40G³")</f>
        <v/>
      </c>
      <c r="N5067" t="inlineStr"/>
    </row>
    <row r="5068">
      <c r="A5068" t="inlineStr">
        <is>
          <t>82A¹⁷</t>
        </is>
      </c>
      <c r="B5068" t="inlineStr"/>
      <c r="C5068" t="inlineStr">
        <is>
          <t>252</t>
        </is>
      </c>
      <c r="D5068" t="inlineStr">
        <is>
          <t>1</t>
        </is>
      </c>
      <c r="E5068" t="inlineStr">
        <is>
          <t>126</t>
        </is>
      </c>
      <c r="F5068" t="inlineStr">
        <is>
          <t>4</t>
        </is>
      </c>
      <c r="G5068" t="inlineStr">
        <is>
          <t>0</t>
        </is>
      </c>
      <c r="H5068" t="inlineStr">
        <is>
          <t>1², 2², 41², 82²</t>
        </is>
      </c>
      <c r="I5068" t="n">
        <v>8</v>
      </c>
      <c r="J5068" t="inlineStr">
        <is>
          <t>1⁶, 40³</t>
        </is>
      </c>
      <c r="K5068">
        <f>HYPERLINK("CSG5.html#group41A5", "41A⁵"), =HYPERLINK("CSG9.html#group82A9", "82A⁹")</f>
        <v/>
      </c>
      <c r="L5068" t="inlineStr"/>
      <c r="M5068">
        <f>HYPERLINK("CSG9.html#group82A9", "82A⁹"), =HYPERLINK("CSG0.html#group2B0", "2B⁰"), =HYPERLINK("CSG3.html#group41A3", "41A³"), =HYPERLINK("CSG0.html#group1A0", "1A⁰"), =HYPERLINK("CSG5.html#group41A5", "41A⁵")</f>
        <v/>
      </c>
      <c r="N5068" t="inlineStr"/>
    </row>
    <row r="5069">
      <c r="A5069" t="inlineStr">
        <is>
          <t>84A¹⁷</t>
        </is>
      </c>
      <c r="B5069" t="inlineStr"/>
      <c r="C5069" t="inlineStr">
        <is>
          <t>224</t>
        </is>
      </c>
      <c r="D5069" t="inlineStr">
        <is>
          <t>2</t>
        </is>
      </c>
      <c r="E5069" t="inlineStr">
        <is>
          <t>112</t>
        </is>
      </c>
      <c r="F5069" t="inlineStr">
        <is>
          <t>0</t>
        </is>
      </c>
      <c r="G5069" t="inlineStr">
        <is>
          <t>2</t>
        </is>
      </c>
      <c r="H5069" t="inlineStr">
        <is>
          <t>28², 84²</t>
        </is>
      </c>
      <c r="I5069" t="n">
        <v>4</v>
      </c>
      <c r="J5069" t="inlineStr">
        <is>
          <t>4⁴, 8², 12⁸, 24⁴</t>
        </is>
      </c>
      <c r="K5069">
        <f>HYPERLINK("CSG2.html#group28E2", "28E²"), =HYPERLINK("CSG4.html#group42D4", "42D⁴"), =HYPERLINK("CSG9.html#group84A9", "84A⁹")</f>
        <v/>
      </c>
      <c r="L5069" t="inlineStr"/>
      <c r="M5069">
        <f>HYPERLINK("CSG0.html#group3B0", "3B⁰"), =HYPERLINK("CSG2.html#group28E2", "28E²"), =HYPERLINK("CSG0.html#group14A0", "14A⁰"), =HYPERLINK("CSG9.html#group84A9", "84A⁹"), =HYPERLINK("CSG2.html#group21B2", "21B²"), =HYPERLINK("CSG0.html#group4A0", "4A⁰"), =HYPERLINK("CSG4.html#group42D4", "42D⁴"), =HYPERLINK("CSG1.html#group12A1", "12A¹"), =HYPERLINK("CSG1.html#group28A1", "28A¹"), =HYPERLINK("CSG0.html#group1A0", "1A⁰"), =HYPERLINK("CSG0.html#group7A0", "7A⁰")</f>
        <v/>
      </c>
      <c r="N5069" t="inlineStr"/>
    </row>
    <row r="5070">
      <c r="A5070" t="inlineStr">
        <is>
          <t>84B¹⁷</t>
        </is>
      </c>
      <c r="B5070" t="inlineStr"/>
      <c r="C5070" t="inlineStr">
        <is>
          <t>224</t>
        </is>
      </c>
      <c r="D5070" t="inlineStr">
        <is>
          <t>2</t>
        </is>
      </c>
      <c r="E5070" t="inlineStr">
        <is>
          <t>112</t>
        </is>
      </c>
      <c r="F5070" t="inlineStr">
        <is>
          <t>0</t>
        </is>
      </c>
      <c r="G5070" t="inlineStr">
        <is>
          <t>2</t>
        </is>
      </c>
      <c r="H5070" t="inlineStr">
        <is>
          <t>28², 84²</t>
        </is>
      </c>
      <c r="I5070" t="n">
        <v>4</v>
      </c>
      <c r="J5070" t="inlineStr">
        <is>
          <t>4⁴, 8², 12⁸, 24⁴</t>
        </is>
      </c>
      <c r="K5070">
        <f>HYPERLINK("CSG3.html#group21B3", "21B³"), =HYPERLINK("CSG3.html#group28D3", "28D³"), =HYPERLINK("CSG9.html#group84A9", "84A⁹")</f>
        <v/>
      </c>
      <c r="L5070" t="inlineStr"/>
      <c r="M5070">
        <f>HYPERLINK("CSG3.html#group21B3", "21B³"), =HYPERLINK("CSG3.html#group28D3", "28D³"), =HYPERLINK("CSG0.html#group3B0", "3B⁰"), =HYPERLINK("CSG9.html#group84A9", "84A⁹"), =HYPERLINK("CSG2.html#group21B2", "21B²"), =HYPERLINK("CSG0.html#group4A0", "4A⁰"), =HYPERLINK("CSG0.html#group7C0", "7C⁰"), =HYPERLINK("CSG1.html#group12A1", "12A¹"), =HYPERLINK("CSG1.html#group28A1", "28A¹"), =HYPERLINK("CSG0.html#group1A0", "1A⁰"), =HYPERLINK("CSG0.html#group7A0", "7A⁰")</f>
        <v/>
      </c>
      <c r="N5070" t="inlineStr"/>
    </row>
    <row r="5071">
      <c r="A5071" t="inlineStr">
        <is>
          <t>84C¹⁷</t>
        </is>
      </c>
      <c r="B5071" t="inlineStr"/>
      <c r="C5071" t="inlineStr">
        <is>
          <t>224</t>
        </is>
      </c>
      <c r="D5071" t="inlineStr">
        <is>
          <t>2</t>
        </is>
      </c>
      <c r="E5071" t="inlineStr">
        <is>
          <t>112</t>
        </is>
      </c>
      <c r="F5071" t="inlineStr">
        <is>
          <t>0</t>
        </is>
      </c>
      <c r="G5071" t="inlineStr">
        <is>
          <t>2</t>
        </is>
      </c>
      <c r="H5071" t="inlineStr">
        <is>
          <t>28², 84²</t>
        </is>
      </c>
      <c r="I5071" t="n">
        <v>4</v>
      </c>
      <c r="J5071" t="inlineStr">
        <is>
          <t>4⁴, 8², 12⁸, 24⁴</t>
        </is>
      </c>
      <c r="K5071">
        <f>HYPERLINK("CSG1.html#group12I1", "12I¹"), =HYPERLINK("CSG4.html#group28A4", "28A⁴"), =HYPERLINK("CSG4.html#group42E4", "42E⁴"), =HYPERLINK("CSG9.html#group84A9", "84A⁹")</f>
        <v/>
      </c>
      <c r="L5071" t="inlineStr"/>
      <c r="M5071">
        <f>HYPERLINK("CSG0.html#group3B0", "3B⁰"), =HYPERLINK("CSG0.html#group2A0", "2A⁰"), =HYPERLINK("CSG1.html#group12I1", "12I¹"), =HYPERLINK("CSG1.html#group14A1", "14A¹"), =HYPERLINK("CSG0.html#group6C0", "6C⁰"), =HYPERLINK("CSG0.html#group1A0", "1A⁰"), =HYPERLINK("CSG9.html#group84A9", "84A⁹"), =HYPERLINK("CSG2.html#group21B2", "21B²"), =HYPERLINK("CSG0.html#group4A0", "4A⁰"), =HYPERLINK("CSG4.html#group28A4", "28A⁴"), =HYPERLINK("CSG4.html#group42E4", "42E⁴"), =HYPERLINK("CSG1.html#group12A1", "12A¹"), =HYPERLINK("CSG0.html#group4D0", "4D⁰"), =HYPERLINK("CSG1.html#group28A1", "28A¹"), =HYPERLINK("CSG0.html#group7A0", "7A⁰")</f>
        <v/>
      </c>
      <c r="N5071" t="inlineStr"/>
    </row>
    <row r="5072">
      <c r="A5072" t="inlineStr">
        <is>
          <t>84D¹⁷</t>
        </is>
      </c>
      <c r="B5072" t="inlineStr"/>
      <c r="C5072" t="inlineStr">
        <is>
          <t>252</t>
        </is>
      </c>
      <c r="D5072" t="inlineStr">
        <is>
          <t>2</t>
        </is>
      </c>
      <c r="E5072" t="inlineStr">
        <is>
          <t>21</t>
        </is>
      </c>
      <c r="F5072" t="inlineStr">
        <is>
          <t>12</t>
        </is>
      </c>
      <c r="G5072" t="inlineStr">
        <is>
          <t>0</t>
        </is>
      </c>
      <c r="H5072" t="inlineStr">
        <is>
          <t>42², 84²</t>
        </is>
      </c>
      <c r="I5072" t="n">
        <v>4</v>
      </c>
      <c r="J5072" t="inlineStr">
        <is>
          <t>2³, 6⁶</t>
        </is>
      </c>
      <c r="K5072">
        <f>HYPERLINK("CSG5.html#group28B5", "28B⁵"), =HYPERLINK("CSG6.html#group84B6", "84B⁶"), =HYPERLINK("CSG8.html#group42A8", "42A⁸"), =HYPERLINK("CSG9.html#group84B9", "84B⁹")</f>
        <v/>
      </c>
      <c r="L5072" t="inlineStr"/>
      <c r="M5072">
        <f>HYPERLINK("CSG0.html#group12C0", "12C⁰"), =HYPERLINK("CSG1.html#group14B1", "14B¹"), =HYPERLINK("CSG0.html#group4C0", "4C⁰"), =HYPERLINK("CSG2.html#group21C2", "21C²"), =HYPERLINK("CSG0.html#group21A0", "21A⁰"), =HYPERLINK("CSG0.html#group2B0", "2B⁰"), =HYPERLINK("CSG8.html#group42A8", "42A⁸"), =HYPERLINK("CSG5.html#group28B5", "28B⁵"), =HYPERLINK("CSG0.html#group1A0", "1A⁰"), =HYPERLINK("CSG2.html#group28C2", "28C²"), =HYPERLINK("CSG2.html#group14A2", "14A²"), =HYPERLINK("CSG0.html#group7C0", "7C⁰"), =HYPERLINK("CSG9.html#group84B9", "84B⁹"), =HYPERLINK("CSG3.html#group28B3", "28B³"), =HYPERLINK("CSG0.html#group3A0", "3A⁰"), =HYPERLINK("CSG3.html#group42C3", "42C³"), =HYPERLINK("CSG6.html#group84B6", "84B⁶"), =HYPERLINK("CSG0.html#group6D0", "6D⁰"), =HYPERLINK("CSG0.html#group7A0", "7A⁰")</f>
        <v/>
      </c>
      <c r="N5072" t="inlineStr"/>
    </row>
    <row r="5073">
      <c r="A5073" t="inlineStr">
        <is>
          <t>84E¹⁷</t>
        </is>
      </c>
      <c r="B5073" t="inlineStr"/>
      <c r="C5073" t="inlineStr">
        <is>
          <t>252</t>
        </is>
      </c>
      <c r="D5073" t="inlineStr">
        <is>
          <t>2</t>
        </is>
      </c>
      <c r="E5073" t="inlineStr">
        <is>
          <t>42</t>
        </is>
      </c>
      <c r="F5073" t="inlineStr">
        <is>
          <t>12</t>
        </is>
      </c>
      <c r="G5073" t="inlineStr">
        <is>
          <t>0</t>
        </is>
      </c>
      <c r="H5073" t="inlineStr">
        <is>
          <t>42², 84²</t>
        </is>
      </c>
      <c r="I5073" t="n">
        <v>4</v>
      </c>
      <c r="J5073" t="inlineStr">
        <is>
          <t>4³, 12⁶</t>
        </is>
      </c>
      <c r="K5073">
        <f>HYPERLINK("CSG5.html#group28B5", "28B⁵"), =HYPERLINK("CSG8.html#group42B8", "42B⁸")</f>
        <v/>
      </c>
      <c r="L5073" t="inlineStr"/>
      <c r="M5073">
        <f>HYPERLINK("CSG2.html#group28C2", "28C²"), =HYPERLINK("CSG2.html#group14A2", "14A²"), =HYPERLINK("CSG8.html#group42B8", "42B⁸"), =HYPERLINK("CSG1.html#group14B1", "14B¹"), =HYPERLINK("CSG0.html#group7C0", "7C⁰"), =HYPERLINK("CSG0.html#group4C0", "4C⁰"), =HYPERLINK("CSG1.html#group21C1", "21C¹"), =HYPERLINK("CSG0.html#group2B0", "2B⁰"), =HYPERLINK("CSG3.html#group28B3", "28B³"), =HYPERLINK("CSG5.html#group28B5", "28B⁵"), =HYPERLINK("CSG0.html#group1A0", "1A⁰"), =HYPERLINK("CSG0.html#group7A0", "7A⁰")</f>
        <v/>
      </c>
      <c r="N5073" t="inlineStr"/>
    </row>
    <row r="5074">
      <c r="A5074" t="inlineStr">
        <is>
          <t>84F¹⁷</t>
        </is>
      </c>
      <c r="B5074" t="inlineStr"/>
      <c r="C5074" t="inlineStr">
        <is>
          <t>252</t>
        </is>
      </c>
      <c r="D5074" t="inlineStr">
        <is>
          <t>2</t>
        </is>
      </c>
      <c r="E5074" t="inlineStr">
        <is>
          <t>63</t>
        </is>
      </c>
      <c r="F5074" t="inlineStr">
        <is>
          <t>8</t>
        </is>
      </c>
      <c r="G5074" t="inlineStr">
        <is>
          <t>0</t>
        </is>
      </c>
      <c r="H5074" t="inlineStr">
        <is>
          <t>21⁴, 84²</t>
        </is>
      </c>
      <c r="I5074" t="n">
        <v>6</v>
      </c>
      <c r="J5074" t="inlineStr">
        <is>
          <t>2³, 4³, 6⁶, 12⁶</t>
        </is>
      </c>
      <c r="K5074">
        <f>HYPERLINK("CSG7.html#group84B7", "84B⁷"), =HYPERLINK("CSG8.html#group42C8", "42C⁸"), =HYPERLINK("CSG8.html#group84F8", "84F⁸")</f>
        <v/>
      </c>
      <c r="L5074" t="inlineStr"/>
      <c r="M5074">
        <f>HYPERLINK("CSG2.html#group21D2", "21D²"), =HYPERLINK("CSG1.html#group14B1", "14B¹"), =HYPERLINK("CSG0.html#group21A0", "21A⁰"), =HYPERLINK("CSG0.html#group6G0", "6G⁰"), =HYPERLINK("CSG0.html#group2B0", "2B⁰"), =HYPERLINK("CSG8.html#group84F8", "84F⁸"), =HYPERLINK("CSG0.html#group1A0", "1A⁰"), =HYPERLINK("CSG7.html#group84B7", "84B⁷"), =HYPERLINK("CSG0.html#group6D0", "6D⁰"), =HYPERLINK("CSG0.html#group3C0", "3C⁰"), =HYPERLINK("CSG8.html#group42C8", "42C⁸"), =HYPERLINK("CSG0.html#group3A0", "3A⁰"), =HYPERLINK("CSG3.html#group42C3", "42C³"), =HYPERLINK("CSG2.html#group28B2", "28B²"), =HYPERLINK("CSG0.html#group7A0", "7A⁰")</f>
        <v/>
      </c>
      <c r="N5074" t="inlineStr"/>
    </row>
    <row r="5075">
      <c r="A5075" t="inlineStr">
        <is>
          <t>84G¹⁷</t>
        </is>
      </c>
      <c r="B5075" t="inlineStr"/>
      <c r="C5075" t="inlineStr">
        <is>
          <t>252</t>
        </is>
      </c>
      <c r="D5075" t="inlineStr">
        <is>
          <t>2</t>
        </is>
      </c>
      <c r="E5075" t="inlineStr">
        <is>
          <t>63</t>
        </is>
      </c>
      <c r="F5075" t="inlineStr">
        <is>
          <t>8</t>
        </is>
      </c>
      <c r="G5075" t="inlineStr">
        <is>
          <t>0</t>
        </is>
      </c>
      <c r="H5075" t="inlineStr">
        <is>
          <t>21⁴, 84²</t>
        </is>
      </c>
      <c r="I5075" t="n">
        <v>6</v>
      </c>
      <c r="J5075" t="inlineStr">
        <is>
          <t>2³, 4³, 6⁶, 12⁶</t>
        </is>
      </c>
      <c r="K5075">
        <f>HYPERLINK("CSG7.html#group84C7", "84C⁷"), =HYPERLINK("CSG8.html#group42A8", "42A⁸"), =HYPERLINK("CSG8.html#group84F8", "84F⁸")</f>
        <v/>
      </c>
      <c r="L5075" t="inlineStr"/>
      <c r="M5075">
        <f>HYPERLINK("CSG1.html#group14B1", "14B¹"), =HYPERLINK("CSG2.html#group21C2", "21C²"), =HYPERLINK("CSG0.html#group21A0", "21A⁰"), =HYPERLINK("CSG0.html#group2B0", "2B⁰"), =HYPERLINK("CSG8.html#group84F8", "84F⁸"), =HYPERLINK("CSG8.html#group42A8", "42A⁸"), =HYPERLINK("CSG0.html#group1A0", "1A⁰"), =HYPERLINK("CSG2.html#group14A2", "14A²"), =HYPERLINK("CSG7.html#group84C7", "84C⁷"), =HYPERLINK("CSG0.html#group7C0", "7C⁰"), =HYPERLINK("CSG0.html#group12D0", "12D⁰"), =HYPERLINK("CSG0.html#group3A0", "3A⁰"), =HYPERLINK("CSG3.html#group42C3", "42C³"), =HYPERLINK("CSG0.html#group6D0", "6D⁰"), =HYPERLINK("CSG0.html#group7A0", "7A⁰")</f>
        <v/>
      </c>
      <c r="N5075" t="inlineStr"/>
    </row>
    <row r="5076">
      <c r="A5076" t="inlineStr">
        <is>
          <t>84H¹⁷</t>
        </is>
      </c>
      <c r="B5076" t="inlineStr"/>
      <c r="C5076" t="inlineStr">
        <is>
          <t>252</t>
        </is>
      </c>
      <c r="D5076" t="inlineStr">
        <is>
          <t>2</t>
        </is>
      </c>
      <c r="E5076" t="inlineStr">
        <is>
          <t>63</t>
        </is>
      </c>
      <c r="F5076" t="inlineStr">
        <is>
          <t>12</t>
        </is>
      </c>
      <c r="G5076" t="inlineStr">
        <is>
          <t>0</t>
        </is>
      </c>
      <c r="H5076" t="inlineStr">
        <is>
          <t>42², 84²</t>
        </is>
      </c>
      <c r="I5076" t="n">
        <v>4</v>
      </c>
      <c r="J5076" t="inlineStr">
        <is>
          <t>2³, 4³, 6⁶, 12⁶</t>
        </is>
      </c>
      <c r="K5076">
        <f>HYPERLINK("CSG1.html#group12L1", "12L¹"), =HYPERLINK("CSG6.html#group84B6", "84B⁶"), =HYPERLINK("CSG8.html#group42C8", "42C⁸"), =HYPERLINK("CSG9.html#group84C9", "84C⁹")</f>
        <v/>
      </c>
      <c r="L5076" t="inlineStr"/>
      <c r="M5076">
        <f>HYPERLINK("CSG2.html#group21D2", "21D²"), =HYPERLINK("CSG0.html#group12C0", "12C⁰"), =HYPERLINK("CSG1.html#group14B1", "14B¹"), =HYPERLINK("CSG0.html#group4C0", "4C⁰"), =HYPERLINK("CSG0.html#group6G0", "6G⁰"), =HYPERLINK("CSG0.html#group21A0", "21A⁰"), =HYPERLINK("CSG0.html#group2B0", "2B⁰"), =HYPERLINK("CSG0.html#group1A0", "1A⁰"), =HYPERLINK("CSG1.html#group12L1", "12L¹"), =HYPERLINK("CSG9.html#group84C9", "84C⁹"), =HYPERLINK("CSG2.html#group28C2", "28C²"), =HYPERLINK("CSG1.html#group12C1", "12C¹"), =HYPERLINK("CSG0.html#group3C0", "3C⁰"), =HYPERLINK("CSG8.html#group42C8", "42C⁸"), =HYPERLINK("CSG0.html#group3A0", "3A⁰"), =HYPERLINK("CSG3.html#group42C3", "42C³"), =HYPERLINK("CSG6.html#group84B6", "84B⁶"), =HYPERLINK("CSG0.html#group6D0", "6D⁰"), =HYPERLINK("CSG0.html#group7A0", "7A⁰")</f>
        <v/>
      </c>
      <c r="N5076" t="inlineStr"/>
    </row>
    <row r="5077">
      <c r="A5077" t="inlineStr">
        <is>
          <t>84I¹⁷</t>
        </is>
      </c>
      <c r="B5077" t="inlineStr"/>
      <c r="C5077" t="inlineStr">
        <is>
          <t>252</t>
        </is>
      </c>
      <c r="D5077" t="inlineStr">
        <is>
          <t>2</t>
        </is>
      </c>
      <c r="E5077" t="inlineStr">
        <is>
          <t>63</t>
        </is>
      </c>
      <c r="F5077" t="inlineStr">
        <is>
          <t>12</t>
        </is>
      </c>
      <c r="G5077" t="inlineStr">
        <is>
          <t>0</t>
        </is>
      </c>
      <c r="H5077" t="inlineStr">
        <is>
          <t>42², 84²</t>
        </is>
      </c>
      <c r="I5077" t="n">
        <v>4</v>
      </c>
      <c r="J5077" t="inlineStr">
        <is>
          <t>4⁹, 12¹⁸</t>
        </is>
      </c>
      <c r="K5077">
        <f>HYPERLINK("CSG7.html#group42L7", "42L⁷"), =HYPERLINK("CSG8.html#group84F8", "84F⁸"), =HYPERLINK("CSG8.html#group84G8", "84G⁸")</f>
        <v/>
      </c>
      <c r="L5077" t="inlineStr"/>
      <c r="M5077">
        <f>HYPERLINK("CSG0.html#group6B0", "6B⁰"), =HYPERLINK("CSG1.html#group14B1", "14B¹"), =HYPERLINK("CSG0.html#group6H0", "6H⁰"), =HYPERLINK("CSG8.html#group84G8", "84G⁸"), =HYPERLINK("CSG7.html#group42L7", "42L⁷"), =HYPERLINK("CSG0.html#group21A0", "21A⁰"), =HYPERLINK("CSG0.html#group2B0", "2B⁰"), =HYPERLINK("CSG8.html#group84F8", "84F⁸"), =HYPERLINK("CSG1.html#group42B1", "42B¹"), =HYPERLINK("CSG0.html#group3A0", "3A⁰"), =HYPERLINK("CSG0.html#group1A0", "1A⁰"), =HYPERLINK("CSG3.html#group42C3", "42C³"), =HYPERLINK("CSG0.html#group6D0", "6D⁰"), =HYPERLINK("CSG0.html#group7A0", "7A⁰")</f>
        <v/>
      </c>
      <c r="N5077" t="inlineStr"/>
    </row>
    <row r="5078">
      <c r="A5078" t="inlineStr">
        <is>
          <t>84J¹⁷</t>
        </is>
      </c>
      <c r="B5078" t="inlineStr"/>
      <c r="C5078" t="inlineStr">
        <is>
          <t>252</t>
        </is>
      </c>
      <c r="D5078" t="inlineStr">
        <is>
          <t>2</t>
        </is>
      </c>
      <c r="E5078" t="inlineStr">
        <is>
          <t>63</t>
        </is>
      </c>
      <c r="F5078" t="inlineStr">
        <is>
          <t>12</t>
        </is>
      </c>
      <c r="G5078" t="inlineStr">
        <is>
          <t>0</t>
        </is>
      </c>
      <c r="H5078" t="inlineStr">
        <is>
          <t>42², 84²</t>
        </is>
      </c>
      <c r="I5078" t="n">
        <v>4</v>
      </c>
      <c r="J5078" t="inlineStr">
        <is>
          <t>4⁹, 12¹⁸</t>
        </is>
      </c>
      <c r="K5078">
        <f>HYPERLINK("CSG7.html#group42L7", "42L⁷"), =HYPERLINK("CSG8.html#group84F8", "84F⁸"), =HYPERLINK("CSG8.html#group84G8", "84G⁸")</f>
        <v/>
      </c>
      <c r="L5078" t="inlineStr"/>
      <c r="M5078">
        <f>HYPERLINK("CSG0.html#group6B0", "6B⁰"), =HYPERLINK("CSG1.html#group14B1", "14B¹"), =HYPERLINK("CSG0.html#group6H0", "6H⁰"), =HYPERLINK("CSG8.html#group84G8", "84G⁸"), =HYPERLINK("CSG7.html#group42L7", "42L⁷"), =HYPERLINK("CSG0.html#group21A0", "21A⁰"), =HYPERLINK("CSG0.html#group2B0", "2B⁰"), =HYPERLINK("CSG8.html#group84F8", "84F⁸"), =HYPERLINK("CSG1.html#group42B1", "42B¹"), =HYPERLINK("CSG0.html#group3A0", "3A⁰"), =HYPERLINK("CSG0.html#group1A0", "1A⁰"), =HYPERLINK("CSG3.html#group42C3", "42C³"), =HYPERLINK("CSG0.html#group6D0", "6D⁰"), =HYPERLINK("CSG0.html#group7A0", "7A⁰")</f>
        <v/>
      </c>
      <c r="N5078" t="inlineStr"/>
    </row>
    <row r="5079">
      <c r="A5079" t="inlineStr">
        <is>
          <t>84K¹⁷</t>
        </is>
      </c>
      <c r="B5079" t="inlineStr"/>
      <c r="C5079" t="inlineStr">
        <is>
          <t>252</t>
        </is>
      </c>
      <c r="D5079" t="inlineStr">
        <is>
          <t>2</t>
        </is>
      </c>
      <c r="E5079" t="inlineStr">
        <is>
          <t>63</t>
        </is>
      </c>
      <c r="F5079" t="inlineStr">
        <is>
          <t>12</t>
        </is>
      </c>
      <c r="G5079" t="inlineStr">
        <is>
          <t>0</t>
        </is>
      </c>
      <c r="H5079" t="inlineStr">
        <is>
          <t>42², 84²</t>
        </is>
      </c>
      <c r="I5079" t="n">
        <v>4</v>
      </c>
      <c r="J5079" t="inlineStr">
        <is>
          <t>4⁹, 12¹⁸</t>
        </is>
      </c>
      <c r="K5079">
        <f>HYPERLINK("CSG7.html#group84C7", "84C⁷"), =HYPERLINK("CSG8.html#group42D8", "42D⁸"), =HYPERLINK("CSG8.html#group84G8", "84G⁸")</f>
        <v/>
      </c>
      <c r="L5079" t="inlineStr"/>
      <c r="M5079">
        <f>HYPERLINK("CSG2.html#group42A2", "42A²"), =HYPERLINK("CSG8.html#group42D8", "42D⁸"), =HYPERLINK("CSG1.html#group14B1", "14B¹"), =HYPERLINK("CSG7.html#group84C7", "84C⁷"), =HYPERLINK("CSG8.html#group84G8", "84G⁸"), =HYPERLINK("CSG0.html#group21A0", "21A⁰"), =HYPERLINK("CSG0.html#group2B0", "2B⁰"), =HYPERLINK("CSG0.html#group12D0", "12D⁰"), =HYPERLINK("CSG0.html#group3A0", "3A⁰"), =HYPERLINK("CSG0.html#group1A0", "1A⁰"), =HYPERLINK("CSG3.html#group42C3", "42C³"), =HYPERLINK("CSG0.html#group6D0", "6D⁰"), =HYPERLINK("CSG0.html#group7A0", "7A⁰")</f>
        <v/>
      </c>
      <c r="N5079" t="inlineStr"/>
    </row>
    <row r="5080">
      <c r="A5080" t="inlineStr">
        <is>
          <t>84L¹⁷</t>
        </is>
      </c>
      <c r="B5080" t="inlineStr"/>
      <c r="C5080" t="inlineStr">
        <is>
          <t>252</t>
        </is>
      </c>
      <c r="D5080" t="inlineStr">
        <is>
          <t>2</t>
        </is>
      </c>
      <c r="E5080" t="inlineStr">
        <is>
          <t>63</t>
        </is>
      </c>
      <c r="F5080" t="inlineStr">
        <is>
          <t>12</t>
        </is>
      </c>
      <c r="G5080" t="inlineStr">
        <is>
          <t>0</t>
        </is>
      </c>
      <c r="H5080" t="inlineStr">
        <is>
          <t>42², 84²</t>
        </is>
      </c>
      <c r="I5080" t="n">
        <v>4</v>
      </c>
      <c r="J5080" t="inlineStr">
        <is>
          <t>4⁹, 12¹⁸</t>
        </is>
      </c>
      <c r="K5080">
        <f>HYPERLINK("CSG7.html#group84C7", "84C⁷"), =HYPERLINK("CSG8.html#group42D8", "42D⁸"), =HYPERLINK("CSG8.html#group84G8", "84G⁸")</f>
        <v/>
      </c>
      <c r="L5080" t="inlineStr"/>
      <c r="M5080">
        <f>HYPERLINK("CSG2.html#group42A2", "42A²"), =HYPERLINK("CSG8.html#group42D8", "42D⁸"), =HYPERLINK("CSG1.html#group14B1", "14B¹"), =HYPERLINK("CSG7.html#group84C7", "84C⁷"), =HYPERLINK("CSG8.html#group84G8", "84G⁸"), =HYPERLINK("CSG0.html#group21A0", "21A⁰"), =HYPERLINK("CSG0.html#group2B0", "2B⁰"), =HYPERLINK("CSG0.html#group12D0", "12D⁰"), =HYPERLINK("CSG0.html#group3A0", "3A⁰"), =HYPERLINK("CSG0.html#group1A0", "1A⁰"), =HYPERLINK("CSG3.html#group42C3", "42C³"), =HYPERLINK("CSG0.html#group6D0", "6D⁰"), =HYPERLINK("CSG0.html#group7A0", "7A⁰")</f>
        <v/>
      </c>
      <c r="N5080" t="inlineStr"/>
    </row>
    <row r="5081">
      <c r="A5081" t="inlineStr">
        <is>
          <t>84M¹⁷</t>
        </is>
      </c>
      <c r="B5081" t="inlineStr"/>
      <c r="C5081" t="inlineStr">
        <is>
          <t>252</t>
        </is>
      </c>
      <c r="D5081" t="inlineStr">
        <is>
          <t>2</t>
        </is>
      </c>
      <c r="E5081" t="inlineStr">
        <is>
          <t>63</t>
        </is>
      </c>
      <c r="F5081" t="inlineStr">
        <is>
          <t>12</t>
        </is>
      </c>
      <c r="G5081" t="inlineStr">
        <is>
          <t>0</t>
        </is>
      </c>
      <c r="H5081" t="inlineStr">
        <is>
          <t>42², 84²</t>
        </is>
      </c>
      <c r="I5081" t="n">
        <v>4</v>
      </c>
      <c r="J5081" t="inlineStr">
        <is>
          <t>4⁹, 12¹⁸</t>
        </is>
      </c>
      <c r="K5081">
        <f>HYPERLINK("CSG1.html#group12N1", "12N¹"), =HYPERLINK("CSG7.html#group42L7", "42L⁷"), =HYPERLINK("CSG7.html#group84C7", "84C⁷"), =HYPERLINK("CSG9.html#group84C9", "84C⁹")</f>
        <v/>
      </c>
      <c r="L5081" t="inlineStr"/>
      <c r="M5081">
        <f>HYPERLINK("CSG0.html#group6B0", "6B⁰"), =HYPERLINK("CSG1.html#group14B1", "14B¹"), =HYPERLINK("CSG0.html#group6H0", "6H⁰"), =HYPERLINK("CSG0.html#group21A0", "21A⁰"), =HYPERLINK("CSG0.html#group2B0", "2B⁰"), =HYPERLINK("CSG1.html#group12N1", "12N¹"), =HYPERLINK("CSG0.html#group1A0", "1A⁰"), =HYPERLINK("CSG9.html#group84C9", "84C⁹"), =HYPERLINK("CSG1.html#group12C1", "12C¹"), =HYPERLINK("CSG7.html#group84C7", "84C⁷"), =HYPERLINK("CSG7.html#group42L7", "42L⁷"), =HYPERLINK("CSG0.html#group12D0", "12D⁰"), =HYPERLINK("CSG1.html#group42B1", "42B¹"), =HYPERLINK("CSG0.html#group3A0", "3A⁰"), =HYPERLINK("CSG3.html#group42C3", "42C³"), =HYPERLINK("CSG0.html#group6D0", "6D⁰"), =HYPERLINK("CSG0.html#group7A0", "7A⁰")</f>
        <v/>
      </c>
      <c r="N5081" t="inlineStr"/>
    </row>
    <row r="5082">
      <c r="A5082" t="inlineStr">
        <is>
          <t>84N¹⁷</t>
        </is>
      </c>
      <c r="B5082" t="inlineStr"/>
      <c r="C5082" t="inlineStr">
        <is>
          <t>252</t>
        </is>
      </c>
      <c r="D5082" t="inlineStr">
        <is>
          <t>2</t>
        </is>
      </c>
      <c r="E5082" t="inlineStr">
        <is>
          <t>63</t>
        </is>
      </c>
      <c r="F5082" t="inlineStr">
        <is>
          <t>12</t>
        </is>
      </c>
      <c r="G5082" t="inlineStr">
        <is>
          <t>0</t>
        </is>
      </c>
      <c r="H5082" t="inlineStr">
        <is>
          <t>42², 84²</t>
        </is>
      </c>
      <c r="I5082" t="n">
        <v>4</v>
      </c>
      <c r="J5082" t="inlineStr">
        <is>
          <t>4⁹, 12¹⁸</t>
        </is>
      </c>
      <c r="K5082">
        <f>HYPERLINK("CSG1.html#group12N1", "12N¹"), =HYPERLINK("CSG7.html#group42L7", "42L⁷"), =HYPERLINK("CSG7.html#group84C7", "84C⁷"), =HYPERLINK("CSG9.html#group84C9", "84C⁹")</f>
        <v/>
      </c>
      <c r="L5082" t="inlineStr"/>
      <c r="M5082">
        <f>HYPERLINK("CSG0.html#group6B0", "6B⁰"), =HYPERLINK("CSG1.html#group14B1", "14B¹"), =HYPERLINK("CSG0.html#group6H0", "6H⁰"), =HYPERLINK("CSG0.html#group21A0", "21A⁰"), =HYPERLINK("CSG0.html#group2B0", "2B⁰"), =HYPERLINK("CSG1.html#group12N1", "12N¹"), =HYPERLINK("CSG0.html#group1A0", "1A⁰"), =HYPERLINK("CSG9.html#group84C9", "84C⁹"), =HYPERLINK("CSG1.html#group12C1", "12C¹"), =HYPERLINK("CSG7.html#group84C7", "84C⁷"), =HYPERLINK("CSG7.html#group42L7", "42L⁷"), =HYPERLINK("CSG0.html#group12D0", "12D⁰"), =HYPERLINK("CSG1.html#group42B1", "42B¹"), =HYPERLINK("CSG0.html#group3A0", "3A⁰"), =HYPERLINK("CSG3.html#group42C3", "42C³"), =HYPERLINK("CSG0.html#group6D0", "6D⁰"), =HYPERLINK("CSG0.html#group7A0", "7A⁰")</f>
        <v/>
      </c>
      <c r="N5082" t="inlineStr"/>
    </row>
    <row r="5083">
      <c r="A5083" t="inlineStr">
        <is>
          <t>84O¹⁷</t>
        </is>
      </c>
      <c r="B5083" t="inlineStr"/>
      <c r="C5083" t="inlineStr">
        <is>
          <t>256</t>
        </is>
      </c>
      <c r="D5083" t="inlineStr">
        <is>
          <t>1</t>
        </is>
      </c>
      <c r="E5083" t="inlineStr">
        <is>
          <t>128</t>
        </is>
      </c>
      <c r="F5083" t="inlineStr">
        <is>
          <t>0</t>
        </is>
      </c>
      <c r="G5083" t="inlineStr">
        <is>
          <t>4</t>
        </is>
      </c>
      <c r="H5083" t="inlineStr">
        <is>
          <t>4², 12², 28², 84²</t>
        </is>
      </c>
      <c r="I5083" t="n">
        <v>8</v>
      </c>
      <c r="J5083" t="inlineStr">
        <is>
          <t>2⁸, 4⁴, 12⁴, 24²</t>
        </is>
      </c>
      <c r="K5083">
        <f>HYPERLINK("CSG1.html#group21F1", "21F¹"), =HYPERLINK("CSG9.html#group84D9", "84D⁹")</f>
        <v/>
      </c>
      <c r="L5083" t="inlineStr"/>
      <c r="M5083">
        <f>HYPERLINK("CSG0.html#group3B0", "3B⁰"), =HYPERLINK("CSG1.html#group21B1", "21B¹"), =HYPERLINK("CSG9.html#group84D9", "84D⁹"), =HYPERLINK("CSG0.html#group7B0", "7B⁰"), =HYPERLINK("CSG0.html#group4A0", "4A⁰"), =HYPERLINK("CSG1.html#group12A1", "12A¹"), =HYPERLINK("CSG0.html#group1A0", "1A⁰"), =HYPERLINK("CSG1.html#group21F1", "21F¹"), =HYPERLINK("CSG2.html#group28A2", "28A²")</f>
        <v/>
      </c>
      <c r="N5083" t="inlineStr"/>
    </row>
    <row r="5084">
      <c r="A5084" t="inlineStr">
        <is>
          <t>84P¹⁷</t>
        </is>
      </c>
      <c r="B5084" t="inlineStr"/>
      <c r="C5084" t="inlineStr">
        <is>
          <t>256</t>
        </is>
      </c>
      <c r="D5084" t="inlineStr">
        <is>
          <t>1</t>
        </is>
      </c>
      <c r="E5084" t="inlineStr">
        <is>
          <t>128</t>
        </is>
      </c>
      <c r="F5084" t="inlineStr">
        <is>
          <t>0</t>
        </is>
      </c>
      <c r="G5084" t="inlineStr">
        <is>
          <t>4</t>
        </is>
      </c>
      <c r="H5084" t="inlineStr">
        <is>
          <t>4², 12², 28², 84²</t>
        </is>
      </c>
      <c r="I5084" t="n">
        <v>8</v>
      </c>
      <c r="J5084" t="inlineStr">
        <is>
          <t>2⁸, 4⁴, 12⁴, 24²</t>
        </is>
      </c>
      <c r="K5084">
        <f>HYPERLINK("CSG3.html#group42D3", "42D³"), =HYPERLINK("CSG9.html#group84D9", "84D⁹")</f>
        <v/>
      </c>
      <c r="L5084" t="inlineStr"/>
      <c r="M5084">
        <f>HYPERLINK("CSG0.html#group3B0", "3B⁰"), =HYPERLINK("CSG1.html#group21B1", "21B¹"), =HYPERLINK("CSG9.html#group84D9", "84D⁹"), =HYPERLINK("CSG0.html#group7B0", "7B⁰"), =HYPERLINK("CSG0.html#group4A0", "4A⁰"), =HYPERLINK("CSG1.html#group12A1", "12A¹"), =HYPERLINK("CSG3.html#group42D3", "42D³"), =HYPERLINK("CSG0.html#group1A0", "1A⁰"), =HYPERLINK("CSG2.html#group28A2", "28A²")</f>
        <v/>
      </c>
      <c r="N5084" t="inlineStr"/>
    </row>
    <row r="5085">
      <c r="A5085" t="inlineStr">
        <is>
          <t>84Q¹⁷</t>
        </is>
      </c>
      <c r="B5085" t="inlineStr"/>
      <c r="C5085" t="inlineStr">
        <is>
          <t>256</t>
        </is>
      </c>
      <c r="D5085" t="inlineStr">
        <is>
          <t>1</t>
        </is>
      </c>
      <c r="E5085" t="inlineStr">
        <is>
          <t>128</t>
        </is>
      </c>
      <c r="F5085" t="inlineStr">
        <is>
          <t>0</t>
        </is>
      </c>
      <c r="G5085" t="inlineStr">
        <is>
          <t>4</t>
        </is>
      </c>
      <c r="H5085" t="inlineStr">
        <is>
          <t>4², 12², 28², 84²</t>
        </is>
      </c>
      <c r="I5085" t="n">
        <v>8</v>
      </c>
      <c r="J5085" t="inlineStr">
        <is>
          <t>2⁸, 4⁴, 12⁴, 24²</t>
        </is>
      </c>
      <c r="K5085">
        <f>HYPERLINK("CSG1.html#group12I1", "12I¹"), =HYPERLINK("CSG3.html#group28E3", "28E³"), =HYPERLINK("CSG3.html#group42E3", "42E³"), =HYPERLINK("CSG9.html#group84D9", "84D⁹")</f>
        <v/>
      </c>
      <c r="L5085" t="inlineStr"/>
      <c r="M5085">
        <f>HYPERLINK("CSG0.html#group3B0", "3B⁰"), =HYPERLINK("CSG0.html#group2A0", "2A⁰"), =HYPERLINK("CSG1.html#group12I1", "12I¹"), =HYPERLINK("CSG9.html#group84D9", "84D⁹"), =HYPERLINK("CSG0.html#group6C0", "6C⁰"), =HYPERLINK("CSG3.html#group28E3", "28E³"), =HYPERLINK("CSG0.html#group1A0", "1A⁰"), =HYPERLINK("CSG2.html#group28A2", "28A²"), =HYPERLINK("CSG1.html#group21B1", "21B¹"), =HYPERLINK("CSG0.html#group4A0", "4A⁰"), =HYPERLINK("CSG0.html#group7B0", "7B⁰"), =HYPERLINK("CSG3.html#group42E3", "42E³"), =HYPERLINK("CSG1.html#group12A1", "12A¹"), =HYPERLINK("CSG0.html#group14B0", "14B⁰"), =HYPERLINK("CSG0.html#group4D0", "4D⁰")</f>
        <v/>
      </c>
      <c r="N5085" t="inlineStr"/>
    </row>
    <row r="5086">
      <c r="A5086" t="inlineStr">
        <is>
          <t>87A¹⁷</t>
        </is>
      </c>
      <c r="B5086" t="inlineStr"/>
      <c r="C5086" t="inlineStr">
        <is>
          <t>240</t>
        </is>
      </c>
      <c r="D5086" t="inlineStr">
        <is>
          <t>1</t>
        </is>
      </c>
      <c r="E5086" t="inlineStr">
        <is>
          <t>120</t>
        </is>
      </c>
      <c r="F5086" t="inlineStr">
        <is>
          <t>0</t>
        </is>
      </c>
      <c r="G5086" t="inlineStr">
        <is>
          <t>0</t>
        </is>
      </c>
      <c r="H5086" t="inlineStr">
        <is>
          <t>1², 3², 29², 87²</t>
        </is>
      </c>
      <c r="I5086" t="n">
        <v>8</v>
      </c>
      <c r="J5086" t="inlineStr">
        <is>
          <t>1⁴, 2², 28², 56¹</t>
        </is>
      </c>
      <c r="K5086">
        <f>HYPERLINK("CSG4.html#group29A4", "29A⁴"), =HYPERLINK("CSG9.html#group87A9", "87A⁹")</f>
        <v/>
      </c>
      <c r="L5086" t="inlineStr"/>
      <c r="M5086">
        <f>HYPERLINK("CSG0.html#group3B0", "3B⁰"), =HYPERLINK("CSG9.html#group87A9", "87A⁹"), =HYPERLINK("CSG4.html#group29A4", "29A⁴"), =HYPERLINK("CSG0.html#group1A0", "1A⁰"), =HYPERLINK("CSG2.html#group29A2", "29A²")</f>
        <v/>
      </c>
      <c r="N5086" t="inlineStr"/>
    </row>
    <row r="5087">
      <c r="A5087" t="inlineStr">
        <is>
          <t>88A¹⁷</t>
        </is>
      </c>
      <c r="B5087" t="inlineStr"/>
      <c r="C5087" t="inlineStr">
        <is>
          <t>288</t>
        </is>
      </c>
      <c r="D5087" t="inlineStr">
        <is>
          <t>1</t>
        </is>
      </c>
      <c r="E5087" t="inlineStr">
        <is>
          <t>72</t>
        </is>
      </c>
      <c r="F5087" t="inlineStr">
        <is>
          <t>0</t>
        </is>
      </c>
      <c r="G5087" t="inlineStr">
        <is>
          <t>0</t>
        </is>
      </c>
      <c r="H5087" t="inlineStr">
        <is>
          <t>1⁴, 2², 8², 11⁴, 22², 88²</t>
        </is>
      </c>
      <c r="I5087" t="n">
        <v>16</v>
      </c>
      <c r="J5087" t="inlineStr">
        <is>
          <t>1⁸, 2², 10⁴, 20¹</t>
        </is>
      </c>
      <c r="K5087">
        <f>HYPERLINK("CSG8.html#group44B8", "44B⁸"), =HYPERLINK("CSG8.html#group88C8", "88C⁸"), =HYPERLINK("CSG9.html#group88B9", "88B⁹")</f>
        <v/>
      </c>
      <c r="L5087" t="inlineStr"/>
      <c r="M5087">
        <f>HYPERLINK("CSG8.html#group88C8", "88C⁸"), =HYPERLINK("CSG1.html#group11A1", "11A¹"), =HYPERLINK("CSG9.html#group88B9", "88B⁹"), =HYPERLINK("CSG0.html#group2B0", "2B⁰"), =HYPERLINK("CSG0.html#group8C0", "8C⁰"), =HYPERLINK("CSG0.html#group4B0", "4B⁰"), =HYPERLINK("CSG2.html#group22C2", "22C²"), =HYPERLINK("CSG0.html#group1A0", "1A⁰"), =HYPERLINK("CSG8.html#group44B8", "44B⁸"), =HYPERLINK("CSG4.html#group44D4", "44D⁴")</f>
        <v/>
      </c>
      <c r="N5087" t="inlineStr"/>
    </row>
    <row r="5088">
      <c r="A5088" t="inlineStr">
        <is>
          <t>90A¹⁷</t>
        </is>
      </c>
      <c r="B5088" t="inlineStr"/>
      <c r="C5088" t="inlineStr">
        <is>
          <t>216</t>
        </is>
      </c>
      <c r="D5088" t="inlineStr">
        <is>
          <t>1</t>
        </is>
      </c>
      <c r="E5088" t="inlineStr">
        <is>
          <t>18</t>
        </is>
      </c>
      <c r="F5088" t="inlineStr">
        <is>
          <t>0</t>
        </is>
      </c>
      <c r="G5088" t="inlineStr">
        <is>
          <t>0</t>
        </is>
      </c>
      <c r="H5088" t="inlineStr">
        <is>
          <t>18², 90²</t>
        </is>
      </c>
      <c r="I5088" t="n">
        <v>4</v>
      </c>
      <c r="J5088" t="inlineStr">
        <is>
          <t>1², 2², 4¹, 8¹</t>
        </is>
      </c>
      <c r="K5088">
        <f>HYPERLINK("CSG5.html#group30E5", "30E⁵"), =HYPERLINK("CSG5.html#group45F5", "45F⁵"), =HYPERLINK("CSG8.html#group90B8", "90B⁸")</f>
        <v/>
      </c>
      <c r="L5088" t="inlineStr"/>
      <c r="M5088">
        <f>HYPERLINK("CSG2.html#group45A2", "45A²"), =HYPERLINK("CSG8.html#group90B8", "90B⁸"), =HYPERLINK("CSG0.html#group15B0", "15B⁰"), =HYPERLINK("CSG5.html#group45F5", "45F⁵"), =HYPERLINK("CSG0.html#group9D0", "9D⁰"), =HYPERLINK("CSG5.html#group30E5", "30E⁵"), =HYPERLINK("CSG0.html#group9A0", "9A⁰"), =HYPERLINK("CSG0.html#group5B0", "5B⁰"), =HYPERLINK("CSG0.html#group3C0", "3C⁰"), =HYPERLINK("CSG0.html#group3A0", "3A⁰"), =HYPERLINK("CSG0.html#group1A0", "1A⁰"), =HYPERLINK("CSG1.html#group15E1", "15E¹"), =HYPERLINK("CSG2.html#group30C2", "30C²")</f>
        <v/>
      </c>
      <c r="N5088" t="inlineStr"/>
    </row>
    <row r="5089">
      <c r="A5089" t="inlineStr">
        <is>
          <t>90B¹⁷</t>
        </is>
      </c>
      <c r="B5089" t="inlineStr"/>
      <c r="C5089" t="inlineStr">
        <is>
          <t>216</t>
        </is>
      </c>
      <c r="D5089" t="inlineStr">
        <is>
          <t>1</t>
        </is>
      </c>
      <c r="E5089" t="inlineStr">
        <is>
          <t>18</t>
        </is>
      </c>
      <c r="F5089" t="inlineStr">
        <is>
          <t>0</t>
        </is>
      </c>
      <c r="G5089" t="inlineStr">
        <is>
          <t>0</t>
        </is>
      </c>
      <c r="H5089" t="inlineStr">
        <is>
          <t>18², 90²</t>
        </is>
      </c>
      <c r="I5089" t="n">
        <v>4</v>
      </c>
      <c r="J5089" t="inlineStr">
        <is>
          <t>1², 2², 4¹, 8¹</t>
        </is>
      </c>
      <c r="K5089">
        <f>HYPERLINK("CSG3.html#group18A3", "18A³"), =HYPERLINK("CSG5.html#group30H5", "30H⁵"), =HYPERLINK("CSG5.html#group45F5", "45F⁵"), =HYPERLINK("CSG7.html#group90C7", "90C⁷"), =HYPERLINK("CSG9.html#group90A9", "90A⁹")</f>
        <v/>
      </c>
      <c r="L5089" t="inlineStr"/>
      <c r="M5089">
        <f>HYPERLINK("CSG0.html#group2A0", "2A⁰"), =HYPERLINK("CSG2.html#group45A2", "45A²"), =HYPERLINK("CSG0.html#group6B0", "6B⁰"), =HYPERLINK("CSG5.html#group45F5", "45F⁵"), =HYPERLINK("CSG1.html#group30C1", "30C¹"), =HYPERLINK("CSG3.html#group18A3", "18A³"), =HYPERLINK("CSG9.html#group90A9", "90A⁹"), =HYPERLINK("CSG0.html#group5B0", "5B⁰"), =HYPERLINK("CSG1.html#group10A1", "10A¹"), =HYPERLINK("CSG2.html#group18A2", "18A²"), =HYPERLINK("CSG0.html#group1A0", "1A⁰"), =HYPERLINK("CSG3.html#group30B3", "30B³"), =HYPERLINK("CSG5.html#group30H5", "30H⁵"), =HYPERLINK("CSG0.html#group15B0", "15B⁰"), =HYPERLINK("CSG0.html#group9D0", "9D⁰"), =HYPERLINK("CSG1.html#group6B1", "6B¹"), =HYPERLINK("CSG7.html#group90C7", "90C⁷"), =HYPERLINK("CSG0.html#group9A0", "9A⁰"), =HYPERLINK("CSG0.html#group3C0", "3C⁰"), =HYPERLINK("CSG1.html#group6A1", "6A¹"), =HYPERLINK("CSG0.html#group3A0", "3A⁰"), =HYPERLINK("CSG1.html#group18A1", "18A¹"), =HYPERLINK("CSG1.html#group15E1", "15E¹")</f>
        <v/>
      </c>
      <c r="N5089" t="inlineStr"/>
    </row>
    <row r="5090">
      <c r="A5090" t="inlineStr">
        <is>
          <t>90C¹⁷</t>
        </is>
      </c>
      <c r="B5090" t="inlineStr"/>
      <c r="C5090" t="inlineStr">
        <is>
          <t>216</t>
        </is>
      </c>
      <c r="D5090" t="inlineStr">
        <is>
          <t>1</t>
        </is>
      </c>
      <c r="E5090" t="inlineStr">
        <is>
          <t>36</t>
        </is>
      </c>
      <c r="F5090" t="inlineStr">
        <is>
          <t>0</t>
        </is>
      </c>
      <c r="G5090" t="inlineStr">
        <is>
          <t>0</t>
        </is>
      </c>
      <c r="H5090" t="inlineStr">
        <is>
          <t>18², 90²</t>
        </is>
      </c>
      <c r="I5090" t="n">
        <v>4</v>
      </c>
      <c r="J5090" t="inlineStr">
        <is>
          <t>2⁶, 8³</t>
        </is>
      </c>
      <c r="K5090">
        <f>HYPERLINK("CSG3.html#group18B3", "18B³"), =HYPERLINK("CSG5.html#group30H5", "30H⁵"), =HYPERLINK("CSG7.html#group90D7", "90D⁷")</f>
        <v/>
      </c>
      <c r="L5090" t="inlineStr"/>
      <c r="M5090">
        <f>HYPERLINK("CSG0.html#group2A0", "2A⁰"), =HYPERLINK("CSG0.html#group6B0", "6B⁰"), =HYPERLINK("CSG0.html#group5B0", "5B⁰"), =HYPERLINK("CSG1.html#group18B1", "18B¹"), =HYPERLINK("CSG1.html#group10A1", "10A¹"), =HYPERLINK("CSG0.html#group1A0", "1A⁰"), =HYPERLINK("CSG3.html#group30B3", "30B³"), =HYPERLINK("CSG5.html#group30H5", "30H⁵"), =HYPERLINK("CSG7.html#group90D7", "90D⁷"), =HYPERLINK("CSG0.html#group15B0", "15B⁰"), =HYPERLINK("CSG1.html#group6B1", "6B¹"), =HYPERLINK("CSG1.html#group15E1", "15E¹"), =HYPERLINK("CSG3.html#group18B3", "18B³"), =HYPERLINK("CSG0.html#group3C0", "3C⁰"), =HYPERLINK("CSG1.html#group6A1", "6A¹"), =HYPERLINK("CSG0.html#group3A0", "3A⁰"), =HYPERLINK("CSG1.html#group30C1", "30C¹")</f>
        <v/>
      </c>
      <c r="N5090" t="inlineStr"/>
    </row>
    <row r="5091">
      <c r="A5091" t="inlineStr">
        <is>
          <t>90D¹⁷</t>
        </is>
      </c>
      <c r="B5091" t="inlineStr"/>
      <c r="C5091" t="inlineStr">
        <is>
          <t>216</t>
        </is>
      </c>
      <c r="D5091" t="inlineStr">
        <is>
          <t>1</t>
        </is>
      </c>
      <c r="E5091" t="inlineStr">
        <is>
          <t>54</t>
        </is>
      </c>
      <c r="F5091" t="inlineStr">
        <is>
          <t>0</t>
        </is>
      </c>
      <c r="G5091" t="inlineStr">
        <is>
          <t>0</t>
        </is>
      </c>
      <c r="H5091" t="inlineStr">
        <is>
          <t>18², 90²</t>
        </is>
      </c>
      <c r="I5091" t="n">
        <v>4</v>
      </c>
      <c r="J5091" t="inlineStr">
        <is>
          <t>1², 2², 4¹, 6², 8¹, 24¹</t>
        </is>
      </c>
      <c r="K5091">
        <f>HYPERLINK("CSG4.html#group90A4", "90A⁴"), =HYPERLINK("CSG5.html#group30C5", "30C⁵"), =HYPERLINK("CSG8.html#group45A8", "45A⁸"), =HYPERLINK("CSG9.html#group90A9", "90A⁹")</f>
        <v/>
      </c>
      <c r="L5091" t="inlineStr"/>
      <c r="M5091">
        <f>HYPERLINK("CSG0.html#group30A0", "30A⁰"), =HYPERLINK("CSG0.html#group2A0", "2A⁰"), =HYPERLINK("CSG5.html#group30C5", "30C⁵"), =HYPERLINK("CSG2.html#group45A2", "45A²"), =HYPERLINK("CSG4.html#group90A4", "90A⁴"), =HYPERLINK("CSG8.html#group45A8", "45A⁸"), =HYPERLINK("CSG0.html#group5B0", "5B⁰"), =HYPERLINK("CSG9.html#group90A9", "90A⁹"), =HYPERLINK("CSG1.html#group10A1", "10A¹"), =HYPERLINK("CSG0.html#group5D0", "5D⁰"), =HYPERLINK("CSG2.html#group18A2", "18A²"), =HYPERLINK("CSG1.html#group10D1", "10D¹"), =HYPERLINK("CSG0.html#group1A0", "1A⁰"), =HYPERLINK("CSG3.html#group30B3", "30B³"), =HYPERLINK("CSG0.html#group10B0", "10B⁰"), =HYPERLINK("CSG0.html#group15B0", "15B⁰"), =HYPERLINK("CSG0.html#group9A0", "9A⁰"), =HYPERLINK("CSG2.html#group15B2", "15B²"), =HYPERLINK("CSG1.html#group6A1", "6A¹"), =HYPERLINK("CSG0.html#group3A0", "3A⁰")</f>
        <v/>
      </c>
      <c r="N5091" t="inlineStr"/>
    </row>
    <row r="5092">
      <c r="A5092" t="inlineStr">
        <is>
          <t>90E¹⁷</t>
        </is>
      </c>
      <c r="B5092" t="inlineStr"/>
      <c r="C5092" t="inlineStr">
        <is>
          <t>216</t>
        </is>
      </c>
      <c r="D5092" t="inlineStr">
        <is>
          <t>1</t>
        </is>
      </c>
      <c r="E5092" t="inlineStr">
        <is>
          <t>54</t>
        </is>
      </c>
      <c r="F5092" t="inlineStr">
        <is>
          <t>0</t>
        </is>
      </c>
      <c r="G5092" t="inlineStr">
        <is>
          <t>0</t>
        </is>
      </c>
      <c r="H5092" t="inlineStr">
        <is>
          <t>18², 90²</t>
        </is>
      </c>
      <c r="I5092" t="n">
        <v>4</v>
      </c>
      <c r="J5092" t="inlineStr">
        <is>
          <t>1², 2², 4¹, 6², 8¹, 24¹</t>
        </is>
      </c>
      <c r="K5092">
        <f>HYPERLINK("CSG5.html#group30F5", "30F⁵"), =HYPERLINK("CSG6.html#group45D6", "45D⁶"), =HYPERLINK("CSG6.html#group90B6", "90B⁶"), =HYPERLINK("CSG9.html#group90A9", "90A⁹")</f>
        <v/>
      </c>
      <c r="L5092" t="inlineStr"/>
      <c r="M5092">
        <f>HYPERLINK("CSG0.html#group2A0", "2A⁰"), =HYPERLINK("CSG2.html#group45A2", "45A²"), =HYPERLINK("CSG6.html#group90B6", "90B⁶"), =HYPERLINK("CSG6.html#group45D6", "45D⁶"), =HYPERLINK("CSG0.html#group5B0", "5B⁰"), =HYPERLINK("CSG9.html#group90A9", "90A⁹"), =HYPERLINK("CSG1.html#group10A1", "10A¹"), =HYPERLINK("CSG2.html#group18A2", "18A²"), =HYPERLINK("CSG0.html#group1A0", "1A⁰"), =HYPERLINK("CSG5.html#group30F5", "30F⁵"), =HYPERLINK("CSG3.html#group30B3", "30B³"), =HYPERLINK("CSG0.html#group15B0", "15B⁰"), =HYPERLINK("CSG0.html#group9A0", "9A⁰"), =HYPERLINK("CSG1.html#group6A1", "6A¹"), =HYPERLINK("CSG0.html#group3A0", "3A⁰"), =HYPERLINK("CSG0.html#group15C0", "15C⁰"), =HYPERLINK("CSG2.html#group30C2", "30C²")</f>
        <v/>
      </c>
      <c r="N5092" t="inlineStr"/>
    </row>
    <row r="5093">
      <c r="A5093" t="inlineStr">
        <is>
          <t>90F¹⁷</t>
        </is>
      </c>
      <c r="B5093" t="inlineStr"/>
      <c r="C5093" t="inlineStr">
        <is>
          <t>216</t>
        </is>
      </c>
      <c r="D5093" t="inlineStr">
        <is>
          <t>1</t>
        </is>
      </c>
      <c r="E5093" t="inlineStr">
        <is>
          <t>54</t>
        </is>
      </c>
      <c r="F5093" t="inlineStr">
        <is>
          <t>0</t>
        </is>
      </c>
      <c r="G5093" t="inlineStr">
        <is>
          <t>0</t>
        </is>
      </c>
      <c r="H5093" t="inlineStr">
        <is>
          <t>18², 90²</t>
        </is>
      </c>
      <c r="I5093" t="n">
        <v>4</v>
      </c>
      <c r="J5093" t="inlineStr">
        <is>
          <t>1², 2², 4¹, 6², 8¹, 24¹</t>
        </is>
      </c>
      <c r="K5093">
        <f>HYPERLINK("CSG5.html#group30G5", "30G⁵"), =HYPERLINK("CSG6.html#group90B6", "90B⁶"), =HYPERLINK("CSG7.html#group90C7", "90C⁷"), =HYPERLINK("CSG8.html#group45A8", "45A⁸")</f>
        <v/>
      </c>
      <c r="L5093" t="inlineStr"/>
      <c r="M5093">
        <f>HYPERLINK("CSG2.html#group45A2", "45A²"), =HYPERLINK("CSG6.html#group90B6", "90B⁶"), =HYPERLINK("CSG0.html#group6B0", "6B⁰"), =HYPERLINK("CSG8.html#group45A8", "45A⁸"), =HYPERLINK("CSG0.html#group5B0", "5B⁰"), =HYPERLINK("CSG0.html#group5D0", "5D⁰"), =HYPERLINK("CSG5.html#group30G5", "30G⁵"), =HYPERLINK("CSG0.html#group1A0", "1A⁰"), =HYPERLINK("CSG0.html#group15B0", "15B⁰"), =HYPERLINK("CSG7.html#group90C7", "90C⁷"), =HYPERLINK("CSG0.html#group9A0", "9A⁰"), =HYPERLINK("CSG2.html#group15B2", "15B²"), =HYPERLINK("CSG0.html#group3A0", "3A⁰"), =HYPERLINK("CSG1.html#group18A1", "18A¹"), =HYPERLINK("CSG1.html#group30C1", "30C¹"), =HYPERLINK("CSG2.html#group30C2", "30C²")</f>
        <v/>
      </c>
      <c r="N5093" t="inlineStr"/>
    </row>
    <row r="5094">
      <c r="A5094" t="inlineStr">
        <is>
          <t>90G¹⁷</t>
        </is>
      </c>
      <c r="B5094" t="inlineStr"/>
      <c r="C5094" t="inlineStr">
        <is>
          <t>216</t>
        </is>
      </c>
      <c r="D5094" t="inlineStr">
        <is>
          <t>1</t>
        </is>
      </c>
      <c r="E5094" t="inlineStr">
        <is>
          <t>108</t>
        </is>
      </c>
      <c r="F5094" t="inlineStr">
        <is>
          <t>0</t>
        </is>
      </c>
      <c r="G5094" t="inlineStr">
        <is>
          <t>0</t>
        </is>
      </c>
      <c r="H5094" t="inlineStr">
        <is>
          <t>18², 90²</t>
        </is>
      </c>
      <c r="I5094" t="n">
        <v>4</v>
      </c>
      <c r="J5094" t="inlineStr">
        <is>
          <t>2⁶, 6⁴, 8³, 24²</t>
        </is>
      </c>
      <c r="K5094">
        <f>HYPERLINK("CSG5.html#group30G5", "30G⁵"), =HYPERLINK("CSG7.html#group90D7", "90D⁷")</f>
        <v/>
      </c>
      <c r="L5094" t="inlineStr"/>
      <c r="M5094">
        <f>HYPERLINK("CSG7.html#group90D7", "90D⁷"), =HYPERLINK("CSG0.html#group15B0", "15B⁰"), =HYPERLINK("CSG0.html#group6B0", "6B⁰"), =HYPERLINK("CSG2.html#group15B2", "15B²"), =HYPERLINK("CSG0.html#group5B0", "5B⁰"), =HYPERLINK("CSG0.html#group5D0", "5D⁰"), =HYPERLINK("CSG5.html#group30G5", "30G⁵"), =HYPERLINK("CSG1.html#group18B1", "18B¹"), =HYPERLINK("CSG0.html#group3A0", "3A⁰"), =HYPERLINK("CSG0.html#group1A0", "1A⁰"), =HYPERLINK("CSG1.html#group30C1", "30C¹"), =HYPERLINK("CSG2.html#group30C2", "30C²")</f>
        <v/>
      </c>
      <c r="N5094" t="inlineStr"/>
    </row>
    <row r="5095">
      <c r="A5095" t="inlineStr">
        <is>
          <t>90H¹⁷</t>
        </is>
      </c>
      <c r="B5095" t="inlineStr"/>
      <c r="C5095" t="inlineStr">
        <is>
          <t>216</t>
        </is>
      </c>
      <c r="D5095" t="inlineStr">
        <is>
          <t>2</t>
        </is>
      </c>
      <c r="E5095" t="inlineStr">
        <is>
          <t>54</t>
        </is>
      </c>
      <c r="F5095" t="inlineStr">
        <is>
          <t>0</t>
        </is>
      </c>
      <c r="G5095" t="inlineStr">
        <is>
          <t>0</t>
        </is>
      </c>
      <c r="H5095" t="inlineStr">
        <is>
          <t>18², 90²</t>
        </is>
      </c>
      <c r="I5095" t="n">
        <v>4</v>
      </c>
      <c r="J5095" t="inlineStr">
        <is>
          <t>2⁶, 6⁴, 8³, 24²</t>
        </is>
      </c>
      <c r="K5095">
        <f>HYPERLINK("CSG4.html#group45C4", "45C⁴"), =HYPERLINK("CSG5.html#group30F5", "30F⁵"), =HYPERLINK("CSG8.html#group90B8", "90B⁸"), =HYPERLINK("CSG9.html#group90A9", "90A⁹")</f>
        <v/>
      </c>
      <c r="L5095" t="inlineStr"/>
      <c r="M5095">
        <f>HYPERLINK("CSG0.html#group2A0", "2A⁰"), =HYPERLINK("CSG2.html#group45A2", "45A²"), =HYPERLINK("CSG0.html#group5B0", "5B⁰"), =HYPERLINK("CSG9.html#group90A9", "90A⁹"), =HYPERLINK("CSG1.html#group10A1", "10A¹"), =HYPERLINK("CSG2.html#group18A2", "18A²"), =HYPERLINK("CSG0.html#group1A0", "1A⁰"), =HYPERLINK("CSG5.html#group30F5", "30F⁵"), =HYPERLINK("CSG3.html#group30B3", "30B³"), =HYPERLINK("CSG8.html#group90B8", "90B⁸"), =HYPERLINK("CSG0.html#group15B0", "15B⁰"), =HYPERLINK("CSG0.html#group9A0", "9A⁰"), =HYPERLINK("CSG4.html#group45C4", "45C⁴"), =HYPERLINK("CSG1.html#group6A1", "6A¹"), =HYPERLINK("CSG0.html#group3A0", "3A⁰"), =HYPERLINK("CSG0.html#group15C0", "15C⁰"), =HYPERLINK("CSG2.html#group30C2", "30C²")</f>
        <v/>
      </c>
      <c r="N5095" t="inlineStr"/>
    </row>
    <row r="5096">
      <c r="A5096" t="inlineStr">
        <is>
          <t>90I¹⁷</t>
        </is>
      </c>
      <c r="B5096" t="inlineStr"/>
      <c r="C5096" t="inlineStr">
        <is>
          <t>216</t>
        </is>
      </c>
      <c r="D5096" t="inlineStr">
        <is>
          <t>2</t>
        </is>
      </c>
      <c r="E5096" t="inlineStr">
        <is>
          <t>54</t>
        </is>
      </c>
      <c r="F5096" t="inlineStr">
        <is>
          <t>0</t>
        </is>
      </c>
      <c r="G5096" t="inlineStr">
        <is>
          <t>0</t>
        </is>
      </c>
      <c r="H5096" t="inlineStr">
        <is>
          <t>18², 90²</t>
        </is>
      </c>
      <c r="I5096" t="n">
        <v>4</v>
      </c>
      <c r="J5096" t="inlineStr">
        <is>
          <t>2⁶, 6⁴, 8³, 24²</t>
        </is>
      </c>
      <c r="K5096">
        <f>HYPERLINK("CSG5.html#group30E5", "30E⁵"), =HYPERLINK("CSG6.html#group90B6", "90B⁶"), =HYPERLINK("CSG7.html#group45B7", "45B⁷"), =HYPERLINK("CSG8.html#group90B8", "90B⁸")</f>
        <v/>
      </c>
      <c r="L5096" t="inlineStr"/>
      <c r="M5096">
        <f>HYPERLINK("CSG2.html#group45A2", "45A²"), =HYPERLINK("CSG8.html#group90B8", "90B⁸"), =HYPERLINK("CSG6.html#group90B6", "90B⁶"), =HYPERLINK("CSG0.html#group15B0", "15B⁰"), =HYPERLINK("CSG5.html#group30E5", "30E⁵"), =HYPERLINK("CSG0.html#group9A0", "9A⁰"), =HYPERLINK("CSG7.html#group45B7", "45B⁷"), =HYPERLINK("CSG0.html#group5B0", "5B⁰"), =HYPERLINK("CSG0.html#group3C0", "3C⁰"), =HYPERLINK("CSG0.html#group3A0", "3A⁰"), =HYPERLINK("CSG0.html#group1A0", "1A⁰"), =HYPERLINK("CSG1.html#group9B1", "9B¹"), =HYPERLINK("CSG1.html#group15E1", "15E¹"), =HYPERLINK("CSG2.html#group30C2", "30C²")</f>
        <v/>
      </c>
      <c r="N5096" t="inlineStr"/>
    </row>
    <row r="5097">
      <c r="A5097" t="inlineStr">
        <is>
          <t>90J¹⁷</t>
        </is>
      </c>
      <c r="B5097" t="inlineStr"/>
      <c r="C5097" t="inlineStr">
        <is>
          <t>216</t>
        </is>
      </c>
      <c r="D5097" t="inlineStr">
        <is>
          <t>2</t>
        </is>
      </c>
      <c r="E5097" t="inlineStr">
        <is>
          <t>54</t>
        </is>
      </c>
      <c r="F5097" t="inlineStr">
        <is>
          <t>0</t>
        </is>
      </c>
      <c r="G5097" t="inlineStr">
        <is>
          <t>0</t>
        </is>
      </c>
      <c r="H5097" t="inlineStr">
        <is>
          <t>18², 90²</t>
        </is>
      </c>
      <c r="I5097" t="n">
        <v>4</v>
      </c>
      <c r="J5097" t="inlineStr">
        <is>
          <t>2⁶, 6⁴, 8³, 24²</t>
        </is>
      </c>
      <c r="K5097">
        <f>HYPERLINK("CSG5.html#group30G5", "30G⁵"), =HYPERLINK("CSG5.html#group90A5", "90A⁵"), =HYPERLINK("CSG8.html#group45A8", "45A⁸"), =HYPERLINK("CSG8.html#group90B8", "90B⁸")</f>
        <v/>
      </c>
      <c r="L5097" t="inlineStr"/>
      <c r="M5097">
        <f>HYPERLINK("CSG2.html#group45A2", "45A²"), =HYPERLINK("CSG0.html#group6B0", "6B⁰"), =HYPERLINK("CSG8.html#group45A8", "45A⁸"), =HYPERLINK("CSG0.html#group5B0", "5B⁰"), =HYPERLINK("CSG0.html#group5D0", "5D⁰"), =HYPERLINK("CSG5.html#group30G5", "30G⁵"), =HYPERLINK("CSG5.html#group90A5", "90A⁵"), =HYPERLINK("CSG0.html#group1A0", "1A⁰"), =HYPERLINK("CSG0.html#group18A0", "18A⁰"), =HYPERLINK("CSG8.html#group90B8", "90B⁸"), =HYPERLINK("CSG0.html#group15B0", "15B⁰"), =HYPERLINK("CSG0.html#group9A0", "9A⁰"), =HYPERLINK("CSG2.html#group15B2", "15B²"), =HYPERLINK("CSG0.html#group3A0", "3A⁰"), =HYPERLINK("CSG1.html#group30C1", "30C¹"), =HYPERLINK("CSG2.html#group30C2", "30C²")</f>
        <v/>
      </c>
      <c r="N5097" t="inlineStr"/>
    </row>
    <row r="5098">
      <c r="A5098" t="inlineStr">
        <is>
          <t>90K¹⁷</t>
        </is>
      </c>
      <c r="B5098" t="inlineStr"/>
      <c r="C5098" t="inlineStr">
        <is>
          <t>216</t>
        </is>
      </c>
      <c r="D5098" t="inlineStr">
        <is>
          <t>2</t>
        </is>
      </c>
      <c r="E5098" t="inlineStr">
        <is>
          <t>54</t>
        </is>
      </c>
      <c r="F5098" t="inlineStr">
        <is>
          <t>0</t>
        </is>
      </c>
      <c r="G5098" t="inlineStr">
        <is>
          <t>0</t>
        </is>
      </c>
      <c r="H5098" t="inlineStr">
        <is>
          <t>18², 90²</t>
        </is>
      </c>
      <c r="I5098" t="n">
        <v>4</v>
      </c>
      <c r="J5098" t="inlineStr">
        <is>
          <t>2⁶, 6⁴, 8³, 24²</t>
        </is>
      </c>
      <c r="K5098">
        <f>HYPERLINK("CSG3.html#group18C3", "18C³"), =HYPERLINK("CSG5.html#group30H5", "30H⁵"), =HYPERLINK("CSG5.html#group90A5", "90A⁵"), =HYPERLINK("CSG7.html#group45B7", "45B⁷"), =HYPERLINK("CSG9.html#group90A9", "90A⁹")</f>
        <v/>
      </c>
      <c r="L5098" t="inlineStr"/>
      <c r="M5098">
        <f>HYPERLINK("CSG0.html#group2A0", "2A⁰"), =HYPERLINK("CSG2.html#group45A2", "45A²"), =HYPERLINK("CSG0.html#group6B0", "6B⁰"), =HYPERLINK("CSG1.html#group30C1", "30C¹"), =HYPERLINK("CSG0.html#group5B0", "5B⁰"), =HYPERLINK("CSG9.html#group90A9", "90A⁹"), =HYPERLINK("CSG1.html#group10A1", "10A¹"), =HYPERLINK("CSG5.html#group90A5", "90A⁵"), =HYPERLINK("CSG2.html#group18A2", "18A²"), =HYPERLINK("CSG0.html#group1A0", "1A⁰"), =HYPERLINK("CSG1.html#group9B1", "9B¹"), =HYPERLINK("CSG0.html#group18A0", "18A⁰"), =HYPERLINK("CSG3.html#group30B3", "30B³"), =HYPERLINK("CSG5.html#group30H5", "30H⁵"), =HYPERLINK("CSG0.html#group15B0", "15B⁰"), =HYPERLINK("CSG1.html#group6B1", "6B¹"), =HYPERLINK("CSG0.html#group9A0", "9A⁰"), =HYPERLINK("CSG3.html#group18C3", "18C³"), =HYPERLINK("CSG7.html#group45B7", "45B⁷"), =HYPERLINK("CSG0.html#group3C0", "3C⁰"), =HYPERLINK("CSG1.html#group6A1", "6A¹"), =HYPERLINK("CSG0.html#group3A0", "3A⁰"), =HYPERLINK("CSG1.html#group15E1", "15E¹")</f>
        <v/>
      </c>
      <c r="N5098" t="inlineStr"/>
    </row>
    <row r="5099">
      <c r="A5099" t="inlineStr">
        <is>
          <t>90L¹⁷</t>
        </is>
      </c>
      <c r="B5099" t="inlineStr"/>
      <c r="C5099" t="inlineStr">
        <is>
          <t>240</t>
        </is>
      </c>
      <c r="D5099" t="inlineStr">
        <is>
          <t>1</t>
        </is>
      </c>
      <c r="E5099" t="inlineStr">
        <is>
          <t>40</t>
        </is>
      </c>
      <c r="F5099" t="inlineStr">
        <is>
          <t>0</t>
        </is>
      </c>
      <c r="G5099" t="inlineStr">
        <is>
          <t>0</t>
        </is>
      </c>
      <c r="H5099" t="inlineStr">
        <is>
          <t>10⁶, 90²</t>
        </is>
      </c>
      <c r="I5099" t="n">
        <v>8</v>
      </c>
      <c r="J5099" t="inlineStr">
        <is>
          <t>2², 4⁵, 8²</t>
        </is>
      </c>
      <c r="K5099">
        <f>HYPERLINK("CSG5.html#group30I5", "30I⁵"), =HYPERLINK("CSG7.html#group45C7", "45C⁷")</f>
        <v/>
      </c>
      <c r="L5099" t="inlineStr"/>
      <c r="M5099">
        <f>HYPERLINK("CSG0.html#group3B0", "3B⁰"), =HYPERLINK("CSG5.html#group30I5", "30I⁵"), =HYPERLINK("CSG0.html#group10D0", "10D⁰"), =HYPERLINK("CSG0.html#group5C0", "5C⁰"), =HYPERLINK("CSG0.html#group9B0", "9B⁰"), =HYPERLINK("CSG7.html#group45C7", "45C⁷"), =HYPERLINK("CSG2.html#group15C2", "15C²"), =HYPERLINK("CSG0.html#group1A0", "1A⁰")</f>
        <v/>
      </c>
      <c r="N5099" t="inlineStr"/>
    </row>
    <row r="5100">
      <c r="A5100" t="inlineStr">
        <is>
          <t>90M¹⁷</t>
        </is>
      </c>
      <c r="B5100" t="inlineStr"/>
      <c r="C5100" t="inlineStr">
        <is>
          <t>240</t>
        </is>
      </c>
      <c r="D5100" t="inlineStr">
        <is>
          <t>1</t>
        </is>
      </c>
      <c r="E5100" t="inlineStr">
        <is>
          <t>40</t>
        </is>
      </c>
      <c r="F5100" t="inlineStr">
        <is>
          <t>0</t>
        </is>
      </c>
      <c r="G5100" t="inlineStr">
        <is>
          <t>0</t>
        </is>
      </c>
      <c r="H5100" t="inlineStr">
        <is>
          <t>10⁶, 90²</t>
        </is>
      </c>
      <c r="I5100" t="n">
        <v>8</v>
      </c>
      <c r="J5100" t="inlineStr">
        <is>
          <t>2², 4⁵, 8²</t>
        </is>
      </c>
      <c r="K5100">
        <f>HYPERLINK("CSG1.html#group18C1", "18C¹"), =HYPERLINK("CSG5.html#group30J5", "30J⁵"), =HYPERLINK("CSG7.html#group45C7", "45C⁷")</f>
        <v/>
      </c>
      <c r="L5100" t="inlineStr"/>
      <c r="M5100">
        <f>HYPERLINK("CSG5.html#group30J5", "30J⁵"), =HYPERLINK("CSG0.html#group2A0", "2A⁰"), =HYPERLINK("CSG0.html#group3B0", "3B⁰"), =HYPERLINK("CSG1.html#group18C1", "18C¹"), =HYPERLINK("CSG0.html#group6C0", "6C⁰"), =HYPERLINK("CSG0.html#group9B0", "9B⁰"), =HYPERLINK("CSG1.html#group10C1", "10C¹"), =HYPERLINK("CSG7.html#group45C7", "45C⁷"), =HYPERLINK("CSG2.html#group15C2", "15C²"), =HYPERLINK("CSG0.html#group1A0", "1A⁰"), =HYPERLINK("CSG0.html#group5C0", "5C⁰")</f>
        <v/>
      </c>
      <c r="N5100" t="inlineStr"/>
    </row>
    <row r="5101">
      <c r="A5101" t="inlineStr">
        <is>
          <t>90N¹⁷</t>
        </is>
      </c>
      <c r="B5101" t="inlineStr"/>
      <c r="C5101" t="inlineStr">
        <is>
          <t>240</t>
        </is>
      </c>
      <c r="D5101" t="inlineStr">
        <is>
          <t>1</t>
        </is>
      </c>
      <c r="E5101" t="inlineStr">
        <is>
          <t>40</t>
        </is>
      </c>
      <c r="F5101" t="inlineStr">
        <is>
          <t>0</t>
        </is>
      </c>
      <c r="G5101" t="inlineStr">
        <is>
          <t>6</t>
        </is>
      </c>
      <c r="H5101" t="inlineStr">
        <is>
          <t>30², 90²</t>
        </is>
      </c>
      <c r="I5101" t="n">
        <v>4</v>
      </c>
      <c r="J5101" t="inlineStr">
        <is>
          <t>2², 4⁵, 8²</t>
        </is>
      </c>
      <c r="K5101">
        <f>HYPERLINK("CSG5.html#group30I5", "30I⁵"), =HYPERLINK("CSG8.html#group45B8", "45B⁸")</f>
        <v/>
      </c>
      <c r="L5101" t="inlineStr"/>
      <c r="M5101">
        <f>HYPERLINK("CSG0.html#group3B0", "3B⁰"), =HYPERLINK("CSG5.html#group30I5", "30I⁵"), =HYPERLINK("CSG0.html#group10D0", "10D⁰"), =HYPERLINK("CSG8.html#group45B8", "45B⁸"), =HYPERLINK("CSG0.html#group1A0", "1A⁰"), =HYPERLINK("CSG2.html#group15C2", "15C²"), =HYPERLINK("CSG0.html#group9C0", "9C⁰"), =HYPERLINK("CSG0.html#group5C0", "5C⁰")</f>
        <v/>
      </c>
      <c r="N5101" t="inlineStr"/>
    </row>
    <row r="5102">
      <c r="A5102" t="inlineStr">
        <is>
          <t>90O¹⁷</t>
        </is>
      </c>
      <c r="B5102" t="inlineStr"/>
      <c r="C5102" t="inlineStr">
        <is>
          <t>240</t>
        </is>
      </c>
      <c r="D5102" t="inlineStr">
        <is>
          <t>1</t>
        </is>
      </c>
      <c r="E5102" t="inlineStr">
        <is>
          <t>40</t>
        </is>
      </c>
      <c r="F5102" t="inlineStr">
        <is>
          <t>0</t>
        </is>
      </c>
      <c r="G5102" t="inlineStr">
        <is>
          <t>6</t>
        </is>
      </c>
      <c r="H5102" t="inlineStr">
        <is>
          <t>30², 90²</t>
        </is>
      </c>
      <c r="I5102" t="n">
        <v>4</v>
      </c>
      <c r="J5102" t="inlineStr">
        <is>
          <t>2², 4⁵, 8²</t>
        </is>
      </c>
      <c r="K5102">
        <f>HYPERLINK("CSG0.html#group18B0", "18B⁰"), =HYPERLINK("CSG5.html#group30J5", "30J⁵"), =HYPERLINK("CSG8.html#group45B8", "45B⁸")</f>
        <v/>
      </c>
      <c r="L5102" t="inlineStr"/>
      <c r="M5102">
        <f>HYPERLINK("CSG5.html#group30J5", "30J⁵"), =HYPERLINK("CSG0.html#group2A0", "2A⁰"), =HYPERLINK("CSG0.html#group3B0", "3B⁰"), =HYPERLINK("CSG0.html#group18B0", "18B⁰"), =HYPERLINK("CSG8.html#group45B8", "45B⁸"), =HYPERLINK("CSG0.html#group6C0", "6C⁰"), =HYPERLINK("CSG1.html#group10C1", "10C¹"), =HYPERLINK("CSG0.html#group1A0", "1A⁰"), =HYPERLINK("CSG2.html#group15C2", "15C²"), =HYPERLINK("CSG0.html#group9C0", "9C⁰"), =HYPERLINK("CSG0.html#group5C0", "5C⁰")</f>
        <v/>
      </c>
      <c r="N5102" t="inlineStr"/>
    </row>
    <row r="5103">
      <c r="A5103" t="inlineStr">
        <is>
          <t>90P¹⁷</t>
        </is>
      </c>
      <c r="B5103" t="inlineStr"/>
      <c r="C5103" t="inlineStr">
        <is>
          <t>270</t>
        </is>
      </c>
      <c r="D5103" t="inlineStr">
        <is>
          <t>1</t>
        </is>
      </c>
      <c r="E5103" t="inlineStr">
        <is>
          <t>135</t>
        </is>
      </c>
      <c r="F5103" t="inlineStr">
        <is>
          <t>20</t>
        </is>
      </c>
      <c r="G5103" t="inlineStr">
        <is>
          <t>0</t>
        </is>
      </c>
      <c r="H5103" t="inlineStr">
        <is>
          <t>90³</t>
        </is>
      </c>
      <c r="I5103" t="n">
        <v>3</v>
      </c>
      <c r="J5103" t="inlineStr">
        <is>
          <t>1¹, 2², 4⁴, 6¹, 8³, 12¹, 24³</t>
        </is>
      </c>
      <c r="K5103">
        <f>HYPERLINK("CSG4.html#group30F4", "30F⁴"), =HYPERLINK("CSG7.html#group45D7", "45D⁷")</f>
        <v/>
      </c>
      <c r="L5103" t="inlineStr"/>
      <c r="M5103">
        <f>HYPERLINK("CSG0.html#group5A0", "5A⁰"), =HYPERLINK("CSG4.html#group30F4", "30F⁴"), =HYPERLINK("CSG1.html#group15A1", "15A¹"), =HYPERLINK("CSG0.html#group9A0", "9A⁰"), =HYPERLINK("CSG1.html#group15F1", "15F¹"), =HYPERLINK("CSG0.html#group5E0", "5E⁰"), =HYPERLINK("CSG3.html#group45A3", "45A³"), =HYPERLINK("CSG0.html#group3A0", "3A⁰"), =HYPERLINK("CSG1.html#group10E1", "10E¹"), =HYPERLINK("CSG0.html#group1A0", "1A⁰"), =HYPERLINK("CSG7.html#group45D7", "45D⁷"), =HYPERLINK("CSG0.html#group15A0", "15A⁰")</f>
        <v/>
      </c>
      <c r="N5103" t="inlineStr"/>
    </row>
    <row r="5104">
      <c r="A5104" t="inlineStr">
        <is>
          <t>90Q¹⁷</t>
        </is>
      </c>
      <c r="B5104" t="inlineStr"/>
      <c r="C5104" t="inlineStr">
        <is>
          <t>288</t>
        </is>
      </c>
      <c r="D5104" t="inlineStr">
        <is>
          <t>1</t>
        </is>
      </c>
      <c r="E5104" t="inlineStr">
        <is>
          <t>24</t>
        </is>
      </c>
      <c r="F5104" t="inlineStr">
        <is>
          <t>0</t>
        </is>
      </c>
      <c r="G5104" t="inlineStr">
        <is>
          <t>0</t>
        </is>
      </c>
      <c r="H5104" t="inlineStr">
        <is>
          <t>2⁶, 10⁶, 18², 90²</t>
        </is>
      </c>
      <c r="I5104" t="n">
        <v>16</v>
      </c>
      <c r="J5104" t="inlineStr">
        <is>
          <t>1⁴, 2², 4², 8¹</t>
        </is>
      </c>
      <c r="K5104">
        <f>HYPERLINK("CSG5.html#group30M5", "30M⁵"), =HYPERLINK("CSG5.html#group45H5", "45H⁵")</f>
        <v/>
      </c>
      <c r="L5104" t="inlineStr"/>
      <c r="M5104">
        <f>HYPERLINK("CSG1.html#group15C1", "15C¹"), =HYPERLINK("CSG0.html#group3B0", "3B⁰"), =HYPERLINK("CSG5.html#group30M5", "30M⁵"), =HYPERLINK("CSG0.html#group5B0", "5B⁰"), =HYPERLINK("CSG0.html#group9B0", "9B⁰"), =HYPERLINK("CSG5.html#group45H5", "45H⁵"), =HYPERLINK("CSG1.html#group15G1", "15G¹"), =HYPERLINK("CSG0.html#group5D0", "5D⁰"), =HYPERLINK("CSG3.html#group45D3", "45D³"), =HYPERLINK("CSG0.html#group1A0", "1A⁰")</f>
        <v/>
      </c>
      <c r="N5104" t="inlineStr"/>
    </row>
    <row r="5105">
      <c r="A5105" t="inlineStr">
        <is>
          <t>90R¹⁷</t>
        </is>
      </c>
      <c r="B5105" t="inlineStr"/>
      <c r="C5105" t="inlineStr">
        <is>
          <t>288</t>
        </is>
      </c>
      <c r="D5105" t="inlineStr">
        <is>
          <t>1</t>
        </is>
      </c>
      <c r="E5105" t="inlineStr">
        <is>
          <t>24</t>
        </is>
      </c>
      <c r="F5105" t="inlineStr">
        <is>
          <t>0</t>
        </is>
      </c>
      <c r="G5105" t="inlineStr">
        <is>
          <t>0</t>
        </is>
      </c>
      <c r="H5105" t="inlineStr">
        <is>
          <t>2⁶, 10⁶, 18², 90²</t>
        </is>
      </c>
      <c r="I5105" t="n">
        <v>16</v>
      </c>
      <c r="J5105" t="inlineStr">
        <is>
          <t>1⁴, 2², 4², 8¹</t>
        </is>
      </c>
      <c r="K5105">
        <f>HYPERLINK("CSG5.html#group30N5", "30N⁵"), =HYPERLINK("CSG5.html#group45H5", "45H⁵"), =HYPERLINK("CSG9.html#group90D9", "90D⁹"), =HYPERLINK("CSG9.html#group90E9", "90E⁹")</f>
        <v/>
      </c>
      <c r="L5105" t="inlineStr"/>
      <c r="M5105">
        <f>HYPERLINK("CSG0.html#group3B0", "3B⁰"), =HYPERLINK("CSG0.html#group2A0", "2A⁰"), =HYPERLINK("CSG0.html#group6C0", "6C⁰"), =HYPERLINK("CSG5.html#group30N5", "30N⁵"), =HYPERLINK("CSG0.html#group5B0", "5B⁰"), =HYPERLINK("CSG0.html#group9B0", "9B⁰"), =HYPERLINK("CSG3.html#group45D3", "45D³"), =HYPERLINK("CSG1.html#group15G1", "15G¹"), =HYPERLINK("CSG9.html#group90E9", "90E⁹"), =HYPERLINK("CSG0.html#group5D0", "5D⁰"), =HYPERLINK("CSG1.html#group10A1", "10A¹"), =HYPERLINK("CSG3.html#group30G3", "30G³"), =HYPERLINK("CSG1.html#group10D1", "10D¹"), =HYPERLINK("CSG0.html#group1A0", "1A⁰"), =HYPERLINK("CSG0.html#group10B0", "10B⁰"), =HYPERLINK("CSG1.html#group15C1", "15C¹"), =HYPERLINK("CSG3.html#group30F3", "30F³"), =HYPERLINK("CSG1.html#group18C1", "18C¹"), =HYPERLINK("CSG9.html#group90D9", "90D⁹"), =HYPERLINK("CSG5.html#group45H5", "45H⁵")</f>
        <v/>
      </c>
      <c r="N5105" t="inlineStr"/>
    </row>
    <row r="5106">
      <c r="A5106" t="inlineStr">
        <is>
          <t>90S¹⁷</t>
        </is>
      </c>
      <c r="B5106" t="inlineStr"/>
      <c r="C5106" t="inlineStr">
        <is>
          <t>288</t>
        </is>
      </c>
      <c r="D5106" t="inlineStr">
        <is>
          <t>1</t>
        </is>
      </c>
      <c r="E5106" t="inlineStr">
        <is>
          <t>48</t>
        </is>
      </c>
      <c r="F5106" t="inlineStr">
        <is>
          <t>0</t>
        </is>
      </c>
      <c r="G5106" t="inlineStr">
        <is>
          <t>0</t>
        </is>
      </c>
      <c r="H5106" t="inlineStr">
        <is>
          <t>2⁶, 10⁶, 18², 90²</t>
        </is>
      </c>
      <c r="I5106" t="n">
        <v>16</v>
      </c>
      <c r="J5106" t="inlineStr">
        <is>
          <t>2⁸, 8⁴</t>
        </is>
      </c>
      <c r="K5106">
        <f>HYPERLINK("CSG5.html#group30N5", "30N⁵"), =HYPERLINK("CSG9.html#group90F9", "90F⁹")</f>
        <v/>
      </c>
      <c r="L5106" t="inlineStr"/>
      <c r="M5106">
        <f>HYPERLINK("CSG0.html#group3B0", "3B⁰"), =HYPERLINK("CSG0.html#group2A0", "2A⁰"), =HYPERLINK("CSG9.html#group90F9", "90F⁹"), =HYPERLINK("CSG0.html#group6C0", "6C⁰"), =HYPERLINK("CSG5.html#group30N5", "30N⁵"), =HYPERLINK("CSG0.html#group5B0", "5B⁰"), =HYPERLINK("CSG1.html#group10A1", "10A¹"), =HYPERLINK("CSG1.html#group15G1", "15G¹"), =HYPERLINK("CSG0.html#group5D0", "5D⁰"), =HYPERLINK("CSG3.html#group30G3", "30G³"), =HYPERLINK("CSG1.html#group10D1", "10D¹"), =HYPERLINK("CSG0.html#group1A0", "1A⁰"), =HYPERLINK("CSG0.html#group10B0", "10B⁰"), =HYPERLINK("CSG0.html#group18C0", "18C⁰"), =HYPERLINK("CSG1.html#group15C1", "15C¹"), =HYPERLINK("CSG3.html#group30F3", "30F³")</f>
        <v/>
      </c>
      <c r="N5106" t="inlineStr"/>
    </row>
    <row r="5107">
      <c r="A5107" t="inlineStr">
        <is>
          <t>93A¹⁷</t>
        </is>
      </c>
      <c r="B5107" t="inlineStr"/>
      <c r="C5107" t="inlineStr">
        <is>
          <t>256</t>
        </is>
      </c>
      <c r="D5107" t="inlineStr">
        <is>
          <t>1</t>
        </is>
      </c>
      <c r="E5107" t="inlineStr">
        <is>
          <t>128</t>
        </is>
      </c>
      <c r="F5107" t="inlineStr">
        <is>
          <t>0</t>
        </is>
      </c>
      <c r="G5107" t="inlineStr">
        <is>
          <t>4</t>
        </is>
      </c>
      <c r="H5107" t="inlineStr">
        <is>
          <t>1², 3², 31², 93²</t>
        </is>
      </c>
      <c r="I5107" t="n">
        <v>8</v>
      </c>
      <c r="J5107" t="inlineStr">
        <is>
          <t>1⁴, 2², 30², 60¹</t>
        </is>
      </c>
      <c r="K5107">
        <f>HYPERLINK("CSG9.html#group93A9", "93A⁹")</f>
        <v/>
      </c>
      <c r="L5107" t="inlineStr"/>
      <c r="M5107">
        <f>HYPERLINK("CSG0.html#group3B0", "3B⁰"), =HYPERLINK("CSG2.html#group31A2", "31A²"), =HYPERLINK("CSG0.html#group1A0", "1A⁰"), =HYPERLINK("CSG9.html#group93A9", "93A⁹")</f>
        <v/>
      </c>
      <c r="N5107" t="inlineStr"/>
    </row>
    <row r="5108">
      <c r="A5108" t="inlineStr">
        <is>
          <t>95A¹⁷</t>
        </is>
      </c>
      <c r="B5108" t="inlineStr"/>
      <c r="C5108" t="inlineStr">
        <is>
          <t>240</t>
        </is>
      </c>
      <c r="D5108" t="inlineStr">
        <is>
          <t>1</t>
        </is>
      </c>
      <c r="E5108" t="inlineStr">
        <is>
          <t>120</t>
        </is>
      </c>
      <c r="F5108" t="inlineStr">
        <is>
          <t>0</t>
        </is>
      </c>
      <c r="G5108" t="inlineStr">
        <is>
          <t>0</t>
        </is>
      </c>
      <c r="H5108" t="inlineStr">
        <is>
          <t>1², 5², 19², 95²</t>
        </is>
      </c>
      <c r="I5108" t="n">
        <v>8</v>
      </c>
      <c r="J5108" t="inlineStr">
        <is>
          <t>1⁴, 4², 18², 72¹</t>
        </is>
      </c>
      <c r="K5108">
        <f>HYPERLINK("CSG0.html#group5D0", "5D⁰"), =HYPERLINK("CSG9.html#group95A9", "95A⁹")</f>
        <v/>
      </c>
      <c r="L5108" t="inlineStr"/>
      <c r="M5108">
        <f>HYPERLINK("CSG0.html#group5B0", "5B⁰"), =HYPERLINK("CSG1.html#group19A1", "19A¹"), =HYPERLINK("CSG0.html#group5D0", "5D⁰"), =HYPERLINK("CSG9.html#group95A9", "95A⁹"), =HYPERLINK("CSG0.html#group1A0", "1A⁰")</f>
        <v/>
      </c>
      <c r="N5108" t="inlineStr"/>
    </row>
    <row r="5109">
      <c r="A5109" t="inlineStr">
        <is>
          <t>96A¹⁷</t>
        </is>
      </c>
      <c r="B5109" t="inlineStr"/>
      <c r="C5109" t="inlineStr">
        <is>
          <t>288</t>
        </is>
      </c>
      <c r="D5109" t="inlineStr">
        <is>
          <t>1</t>
        </is>
      </c>
      <c r="E5109" t="inlineStr">
        <is>
          <t>12</t>
        </is>
      </c>
      <c r="F5109" t="inlineStr">
        <is>
          <t>0</t>
        </is>
      </c>
      <c r="G5109" t="inlineStr">
        <is>
          <t>0</t>
        </is>
      </c>
      <c r="H5109" t="inlineStr">
        <is>
          <t>3⁸, 6⁴, 24², 96²</t>
        </is>
      </c>
      <c r="I5109" t="n">
        <v>16</v>
      </c>
      <c r="J5109" t="inlineStr">
        <is>
          <t>1⁴, 2², 4¹</t>
        </is>
      </c>
      <c r="K5109">
        <f>HYPERLINK("CSG1.html#group32E1", "32E¹"), =HYPERLINK("CSG8.html#group48E8", "48E⁸"), =HYPERLINK("CSG8.html#group96A8", "96A⁸"), =HYPERLINK("CSG9.html#group96A9", "96A⁹")</f>
        <v/>
      </c>
      <c r="L5109" t="inlineStr"/>
      <c r="M5109">
        <f>HYPERLINK("CSG4.html#group24F4", "24F⁴"), =HYPERLINK("CSG9.html#group96A9", "96A⁹"), =HYPERLINK("CSG0.html#group8C0", "8C⁰"), =HYPERLINK("CSG0.html#group2B0", "2B⁰"), =HYPERLINK("CSG0.html#group8I0", "8I⁰"), =HYPERLINK("CSG0.html#group4B0", "4B⁰"), =HYPERLINK("CSG0.html#group1A0", "1A⁰"), =HYPERLINK("CSG4.html#group48B4", "48B⁴"), =HYPERLINK("CSG0.html#group16H0", "16H⁰"), =HYPERLINK("CSG2.html#group24B2", "24B²"), =HYPERLINK("CSG1.html#group32A1", "32A¹"), =HYPERLINK("CSG8.html#group48E8", "48E⁸"), =HYPERLINK("CSG0.html#group16C0", "16C⁰"), =HYPERLINK("CSG0.html#group16D0", "16D⁰"), =HYPERLINK("CSG0.html#group32A0", "32A⁰"), =HYPERLINK("CSG1.html#group12B1", "12B¹"), =HYPERLINK("CSG8.html#group96A8", "96A⁸"), =HYPERLINK("CSG0.html#group3A0", "3A⁰"), =HYPERLINK("CSG1.html#group32E1", "32E¹"), =HYPERLINK("CSG0.html#group6D0", "6D⁰"), =HYPERLINK("CSG4.html#group48D4", "48D⁴")</f>
        <v/>
      </c>
      <c r="N5109" t="inlineStr"/>
    </row>
    <row r="5110">
      <c r="A5110" t="inlineStr">
        <is>
          <t>96B¹⁷</t>
        </is>
      </c>
      <c r="B5110" t="inlineStr"/>
      <c r="C5110" t="inlineStr">
        <is>
          <t>288</t>
        </is>
      </c>
      <c r="D5110" t="inlineStr">
        <is>
          <t>1</t>
        </is>
      </c>
      <c r="E5110" t="inlineStr">
        <is>
          <t>12</t>
        </is>
      </c>
      <c r="F5110" t="inlineStr">
        <is>
          <t>24</t>
        </is>
      </c>
      <c r="G5110" t="inlineStr">
        <is>
          <t>0</t>
        </is>
      </c>
      <c r="H5110" t="inlineStr">
        <is>
          <t>48², 96²</t>
        </is>
      </c>
      <c r="I5110" t="n">
        <v>4</v>
      </c>
      <c r="J5110" t="inlineStr">
        <is>
          <t>2², 4²</t>
        </is>
      </c>
      <c r="K5110">
        <f>HYPERLINK("CSG5.html#group32E5", "32E⁵"), =HYPERLINK("CSG5.html#group48E5", "48E⁵")</f>
        <v/>
      </c>
      <c r="L5110" t="inlineStr"/>
      <c r="M5110">
        <f>HYPERLINK("CSG5.html#group48E5", "48E⁵"), =HYPERLINK("CSG0.html#group12C0", "12C⁰"), =HYPERLINK("CSG5.html#group32E5", "32E⁵"), =HYPERLINK("CSG0.html#group8D0", "8D⁰"), =HYPERLINK("CSG0.html#group4C0", "4C⁰"), =HYPERLINK("CSG0.html#group8B0", "8B⁰"), =HYPERLINK("CSG1.html#group16B1", "16B¹"), =HYPERLINK("CSG0.html#group48A0", "48A⁰"), =HYPERLINK("CSG0.html#group2B0", "2B⁰"), =HYPERLINK("CSG2.html#group24L2", "24L²"), =HYPERLINK("CSG0.html#group1A0", "1A⁰"), =HYPERLINK("CSG0.html#group8H0", "8H⁰"), =HYPERLINK("CSG3.html#group48C3", "48C³"), =HYPERLINK("CSG0.html#group16B0", "16B⁰"),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=HYPERLINK("CSG1.html#group16F1", "16F¹"), =HYPERLINK("CSG0.html#group3A0", "3A⁰"), =HYPERLINK("CSG0.html#group6D0", "6D⁰")</f>
        <v/>
      </c>
      <c r="N5110" t="inlineStr"/>
    </row>
    <row r="5111">
      <c r="A5111" t="inlineStr">
        <is>
          <t>96C¹⁷</t>
        </is>
      </c>
      <c r="B5111" t="inlineStr"/>
      <c r="C5111" t="inlineStr">
        <is>
          <t>288</t>
        </is>
      </c>
      <c r="D5111" t="inlineStr">
        <is>
          <t>1</t>
        </is>
      </c>
      <c r="E5111" t="inlineStr">
        <is>
          <t>12</t>
        </is>
      </c>
      <c r="F5111" t="inlineStr">
        <is>
          <t>24</t>
        </is>
      </c>
      <c r="G5111" t="inlineStr">
        <is>
          <t>0</t>
        </is>
      </c>
      <c r="H5111" t="inlineStr">
        <is>
          <t>48², 96²</t>
        </is>
      </c>
      <c r="I5111" t="n">
        <v>4</v>
      </c>
      <c r="J5111" t="inlineStr">
        <is>
          <t>1², 2¹, 4²</t>
        </is>
      </c>
      <c r="K5111">
        <f>HYPERLINK("CSG5.html#group32F5", "32F⁵"), =HYPERLINK("CSG5.html#group48E5", "48E⁵")</f>
        <v/>
      </c>
      <c r="L5111" t="inlineStr"/>
      <c r="M5111">
        <f>HYPERLINK("CSG0.html#group12C0", "12C⁰"), =HYPERLINK("CSG0.html#group4C0", "4C⁰"), =HYPERLINK("CSG0.html#group2B0", "2B⁰"), =HYPERLINK("CSG0.html#group1A0", "1A⁰"), =HYPERLINK("CSG0.html#group16B0", "16B⁰"), =HYPERLINK("CSG0.html#group24A0", "24A⁰"), =HYPERLINK("CSG1.html#group16F1", "16F¹"), =HYPERLINK("CSG0.html#group3A0", "3A⁰"), =HYPERLINK("CSG5.html#group32F5", "32F⁵"), =HYPERLINK("CSG5.html#group48E5", "48E⁵"), =HYPERLINK("CSG0.html#group8D0", "8D⁰"), =HYPERLINK("CSG0.html#group8B0", "8B⁰"), =HYPERLINK("CSG1.html#group16B1", "16B¹"), =HYPERLINK("CSG0.html#group48A0", "48A⁰"), =HYPERLINK("CSG2.html#group24L2", "24L²"), =HYPERLINK("CSG0.html#group8H0", "8H⁰"), =HYPERLINK("CSG3.html#group48C3", "48C³"), =HYPERLINK("CSG0.html#group12A0", "12A⁰"), =HYPERLINK("CSG0.html#group4A0", "4A⁰"), =HYPERLINK("CSG1.html#group24C1", "24C¹"), =HYPERLINK("CSG1.html#group12J1", "12J¹"), =HYPERLINK("CSG0.html#group4F0", "4F⁰"), =HYPERLINK("CSG0.html#group6D0", "6D⁰")</f>
        <v/>
      </c>
      <c r="N5111" t="inlineStr"/>
    </row>
    <row r="5112">
      <c r="A5112" t="inlineStr">
        <is>
          <t>96D¹⁷</t>
        </is>
      </c>
      <c r="B5112" t="inlineStr"/>
      <c r="C5112" t="inlineStr">
        <is>
          <t>288</t>
        </is>
      </c>
      <c r="D5112" t="inlineStr">
        <is>
          <t>1</t>
        </is>
      </c>
      <c r="E5112" t="inlineStr">
        <is>
          <t>12</t>
        </is>
      </c>
      <c r="F5112" t="inlineStr">
        <is>
          <t>24</t>
        </is>
      </c>
      <c r="G5112" t="inlineStr">
        <is>
          <t>0</t>
        </is>
      </c>
      <c r="H5112" t="inlineStr">
        <is>
          <t>48², 96²</t>
        </is>
      </c>
      <c r="I5112" t="n">
        <v>4</v>
      </c>
      <c r="J5112" t="inlineStr">
        <is>
          <t>2⁶</t>
        </is>
      </c>
      <c r="K5112">
        <f>HYPERLINK("CSG3.html#group96A3", "96A³"), =HYPERLINK("CSG5.html#group32G5", "32G⁵"), =HYPERLINK("CSG5.html#group48E5", "48E⁵"), =HYPERLINK("CSG9.html#group96B9", "96B⁹")</f>
        <v/>
      </c>
      <c r="L5112" t="inlineStr"/>
      <c r="M5112">
        <f>HYPERLINK("CSG0.html#group12C0", "12C⁰"), =HYPERLINK("CSG9.html#group96B9", "96B⁹"), =HYPERLINK("CSG0.html#group4C0", "4C⁰"), =HYPERLINK("CSG0.html#group2B0", "2B⁰"), =HYPERLINK("CSG5.html#group32G5", "32G⁵"), =HYPERLINK("CSG0.html#group1A0", "1A⁰"), =HYPERLINK("CSG0.html#group16B0", "16B⁰"), =HYPERLINK("CSG0.html#group24A0", "24A⁰"), =HYPERLINK("CSG3.html#group32D3", "32D³"), =HYPERLINK("CSG1.html#group32B1", "32B¹"), =HYPERLINK("CSG1.html#group16F1", "16F¹"), =HYPERLINK("CSG0.html#group3A0", "3A⁰"), =HYPERLINK("CSG3.html#group96A3", "96A³"), =HYPERLINK("CSG5.html#group48E5", "48E⁵"), =HYPERLINK("CSG0.html#group8D0", "8D⁰"), =HYPERLINK("CSG0.html#group8B0", "8B⁰"), =HYPERLINK("CSG1.html#group16B1", "16B¹"), =HYPERLINK("CSG0.html#group48A0", "48A⁰"), =HYPERLINK("CSG2.html#group24L2", "24L²"), =HYPERLINK("CSG0.html#group8H0", "8H⁰"), =HYPERLINK("CSG3.html#group48C3", "48C³"), =HYPERLINK("CSG0.html#group12A0", "12A⁰"), =HYPERLINK("CSG0.html#group4A0", "4A⁰"), =HYPERLINK("CSG1.html#group24C1", "24C¹"), =HYPERLINK("CSG1.html#group12J1", "12J¹"), =HYPERLINK("CSG0.html#group4F0", "4F⁰"), =HYPERLINK("CSG0.html#group6D0", "6D⁰")</f>
        <v/>
      </c>
      <c r="N5112" t="inlineStr"/>
    </row>
    <row r="5113">
      <c r="A5113" t="inlineStr">
        <is>
          <t>96E¹⁷</t>
        </is>
      </c>
      <c r="B5113" t="inlineStr"/>
      <c r="C5113" t="inlineStr">
        <is>
          <t>288</t>
        </is>
      </c>
      <c r="D5113" t="inlineStr">
        <is>
          <t>1</t>
        </is>
      </c>
      <c r="E5113" t="inlineStr">
        <is>
          <t>24</t>
        </is>
      </c>
      <c r="F5113" t="inlineStr">
        <is>
          <t>12</t>
        </is>
      </c>
      <c r="G5113" t="inlineStr">
        <is>
          <t>0</t>
        </is>
      </c>
      <c r="H5113" t="inlineStr">
        <is>
          <t>12⁸, 96²</t>
        </is>
      </c>
      <c r="I5113" t="n">
        <v>10</v>
      </c>
      <c r="J5113" t="inlineStr">
        <is>
          <t>1², 2¹, 4¹, 8²</t>
        </is>
      </c>
      <c r="K5113">
        <f>HYPERLINK("CSG3.html#group32P3", "32P³"), =HYPERLINK("CSG7.html#group48P7", "48P⁷")</f>
        <v/>
      </c>
      <c r="L5113" t="inlineStr"/>
      <c r="M5113">
        <f>HYPERLINK("CSG0.html#group12C0", "12C⁰"), =HYPERLINK("CSG1.html#group16I1", "16I¹"), =HYPERLINK("CSG0.html#group4C0", "4C⁰"), =HYPERLINK("CSG7.html#group48P7", "48P⁷"), =HYPERLINK("CSG0.html#group2B0", "2B⁰"), =HYPERLINK("CSG0.html#group1A0", "1A⁰"), =HYPERLINK("CSG0.html#group16E0", "16E⁰"), =HYPERLINK("CSG4.html#group48E4", "48E⁴"), =HYPERLINK("CSG0.html#group24A0", "24A⁰"), =HYPERLINK("CSG3.html#group48D3", "48D³"), =HYPERLINK("CSG0.html#group3A0", "3A⁰"), =HYPERLINK("CSG0.html#group8D0", "8D⁰"), =HYPERLINK("CSG0.html#group8B0", "8B⁰"), =HYPERLINK("CSG2.html#group24L2", "24L²"), =HYPERLINK("CSG0.html#group8H0", "8H⁰"), =HYPERLINK("CSG0.html#group12A0", "12A⁰"), =HYPERLINK("CSG0.html#group4A0", "4A⁰"), =HYPERLINK("CSG1.html#group16C1", "16C¹"), =HYPERLINK("CSG1.html#group24C1", "24C¹"), =HYPERLINK("CSG1.html#group12J1", "12J¹"), =HYPERLINK("CSG0.html#group4F0", "4F⁰"), =HYPERLINK("CSG3.html#group32P3", "32P³"), =HYPERLINK("CSG0.html#group6D0", "6D⁰")</f>
        <v/>
      </c>
      <c r="N5113" t="inlineStr"/>
    </row>
    <row r="5114">
      <c r="A5114" t="inlineStr">
        <is>
          <t>96F¹⁷</t>
        </is>
      </c>
      <c r="B5114" t="inlineStr"/>
      <c r="C5114" t="inlineStr">
        <is>
          <t>288</t>
        </is>
      </c>
      <c r="D5114" t="inlineStr">
        <is>
          <t>1</t>
        </is>
      </c>
      <c r="E5114" t="inlineStr">
        <is>
          <t>24</t>
        </is>
      </c>
      <c r="F5114" t="inlineStr">
        <is>
          <t>12</t>
        </is>
      </c>
      <c r="G5114" t="inlineStr">
        <is>
          <t>0</t>
        </is>
      </c>
      <c r="H5114" t="inlineStr">
        <is>
          <t>12⁸, 96²</t>
        </is>
      </c>
      <c r="I5114" t="n">
        <v>10</v>
      </c>
      <c r="J5114" t="inlineStr">
        <is>
          <t>2⁴, 8²</t>
        </is>
      </c>
      <c r="K5114">
        <f>HYPERLINK("CSG3.html#group32Q3", "32Q³"), =HYPERLINK("CSG7.html#group48P7", "48P⁷"), =HYPERLINK("CSG8.html#group96C8", "96C⁸"), =HYPERLINK("CSG8.html#group96D8", "96D⁸")</f>
        <v/>
      </c>
      <c r="L5114" t="inlineStr"/>
      <c r="M5114">
        <f>HYPERLINK("CSG0.html#group12C0", "12C⁰"), =HYPERLINK("CSG1.html#group16I1", "16I¹"), =HYPERLINK("CSG0.html#group8D0", "8D⁰"), =HYPERLINK("CSG0.html#group4C0", "4C⁰"), =HYPERLINK("CSG7.html#group48P7", "48P⁷"), =HYPERLINK("CSG0.html#group8B0", "8B⁰"), =HYPERLINK("CSG8.html#group96D8", "96D⁸"), =HYPERLINK("CSG1.html#group32D1", "32D¹"), =HYPERLINK("CSG0.html#group2B0", "2B⁰"), =HYPERLINK("CSG2.html#group24L2", "24L²"), =HYPERLINK("CSG0.html#group1A0", "1A⁰"), =HYPERLINK("CSG3.html#group32Q3", "32Q³"), =HYPERLINK("CSG0.html#group8H0", "8H⁰"), =HYPERLINK("CSG0.html#group16E0", "16E⁰"), =HYPERLINK("CSG0.html#group12A0", "12A⁰"), =HYPERLINK("CSG4.html#group48E4", "48E⁴"), =HYPERLINK("CSG1.html#group32C1", "32C¹"), =HYPERLINK("CSG0.html#group24A0", "24A⁰"), =HYPERLINK("CSG0.html#group4A0", "4A⁰"), =HYPERLINK("CSG8.html#group96C8", "96C⁸"), =HYPERLINK("CSG1.html#group16C1", "16C¹"), =HYPERLINK("CSG1.html#group24C1", "24C¹"), =HYPERLINK("CSG1.html#group12J1", "12J¹"), =HYPERLINK("CSG3.html#group48D3", "48D³"), =HYPERLINK("CSG0.html#group4F0", "4F⁰"), =HYPERLINK("CSG0.html#group3A0", "3A⁰"), =HYPERLINK("CSG0.html#group6D0", "6D⁰")</f>
        <v/>
      </c>
      <c r="N5114" t="inlineStr"/>
    </row>
    <row r="5115">
      <c r="A5115" t="inlineStr">
        <is>
          <t>96G¹⁷</t>
        </is>
      </c>
      <c r="B5115" t="inlineStr"/>
      <c r="C5115" t="inlineStr">
        <is>
          <t>288</t>
        </is>
      </c>
      <c r="D5115" t="inlineStr">
        <is>
          <t>1</t>
        </is>
      </c>
      <c r="E5115" t="inlineStr">
        <is>
          <t>24</t>
        </is>
      </c>
      <c r="F5115" t="inlineStr">
        <is>
          <t>24</t>
        </is>
      </c>
      <c r="G5115" t="inlineStr">
        <is>
          <t>0</t>
        </is>
      </c>
      <c r="H5115" t="inlineStr">
        <is>
          <t>48², 96²</t>
        </is>
      </c>
      <c r="I5115" t="n">
        <v>4</v>
      </c>
      <c r="J5115" t="inlineStr">
        <is>
          <t>2⁸, 8¹</t>
        </is>
      </c>
      <c r="K5115">
        <f>HYPERLINK("CSG5.html#group32J5", "32J⁵"), =HYPERLINK("CSG5.html#group48F5", "48F⁵"), =HYPERLINK("CSG9.html#group96C9", "96C⁹"), =HYPERLINK("CSG9.html#group96D9", "96D⁹")</f>
        <v/>
      </c>
      <c r="L5115" t="inlineStr"/>
      <c r="M5115">
        <f>HYPERLINK("CSG5.html#group48F5", "48F⁵"), =HYPERLINK("CSG0.html#group12C0", "12C⁰"), =HYPERLINK("CSG5.html#group32J5", "32J⁵"), =HYPERLINK("CSG0.html#group4C0", "4C⁰"), =HYPERLINK("CSG0.html#group8B0", "8B⁰"), =HYPERLINK("CSG0.html#group48A0", "48A⁰"), =HYPERLINK("CSG0.html#group8L0", "8L⁰"), =HYPERLINK("CSG0.html#group2B0", "2B⁰"), =HYPERLINK("CSG3.html#group32F3", "32F³"), =HYPERLINK("CSG1.html#group16J1", "16J¹"), =HYPERLINK("CSG0.html#group1A0", "1A⁰"), =HYPERLINK("CSG0.html#group16B0", "16B⁰"), =HYPERLINK("CSG1.html#group16D1", "16D¹"), =HYPERLINK("CSG3.html#group48E3", "48E³"), =HYPERLINK("CSG0.html#group24A0", "24A⁰"), =HYPERLINK("CSG9.html#group96D9", "96D⁹"), =HYPERLINK("CSG2.html#group24M2", "24M²"), =HYPERLINK("CSG3.html#group32E3", "32E³"), =HYPERLINK("CSG9.html#group96C9", "96C⁹"), =HYPERLINK("CSG0.html#group3A0", "3A⁰"), =HYPERLINK("CSG0.html#group6D0", "6D⁰")</f>
        <v/>
      </c>
      <c r="N5115" t="inlineStr"/>
    </row>
    <row r="5116">
      <c r="A5116" t="inlineStr">
        <is>
          <t>96H¹⁷</t>
        </is>
      </c>
      <c r="B5116" t="inlineStr"/>
      <c r="C5116" t="inlineStr">
        <is>
          <t>288</t>
        </is>
      </c>
      <c r="D5116" t="inlineStr">
        <is>
          <t>1</t>
        </is>
      </c>
      <c r="E5116" t="inlineStr">
        <is>
          <t>24</t>
        </is>
      </c>
      <c r="F5116" t="inlineStr">
        <is>
          <t>24</t>
        </is>
      </c>
      <c r="G5116" t="inlineStr">
        <is>
          <t>0</t>
        </is>
      </c>
      <c r="H5116" t="inlineStr">
        <is>
          <t>48², 96²</t>
        </is>
      </c>
      <c r="I5116" t="n">
        <v>4</v>
      </c>
      <c r="J5116" t="inlineStr">
        <is>
          <t>2⁸, 8¹</t>
        </is>
      </c>
      <c r="K5116">
        <f>HYPERLINK("CSG5.html#group32K5", "32K⁵"), =HYPERLINK("CSG5.html#group48F5", "48F⁵"), =HYPERLINK("CSG9.html#group96F9", "96F⁹"), =HYPERLINK("CSG9.html#group96E9", "96E⁹")</f>
        <v/>
      </c>
      <c r="L5116" t="inlineStr"/>
      <c r="M5116">
        <f>HYPERLINK("CSG5.html#group48F5", "48F⁵"), =HYPERLINK("CSG0.html#group12C0", "12C⁰"), =HYPERLINK("CSG5.html#group32K5", "32K⁵"), =HYPERLINK("CSG9.html#group96F9", "96F⁹"), =HYPERLINK("CSG0.html#group4C0", "4C⁰"), =HYPERLINK("CSG0.html#group8B0", "8B⁰"), =HYPERLINK("CSG0.html#group8L0", "8L⁰"), =HYPERLINK("CSG0.html#group2B0", "2B⁰"), =HYPERLINK("CSG0.html#group48A0", "48A⁰"), =HYPERLINK("CSG3.html#group32G3", "32G³"), =HYPERLINK("CSG1.html#group16J1", "16J¹"), =HYPERLINK("CSG0.html#group1A0", "1A⁰"), =HYPERLINK("CSG9.html#group96E9", "96E⁹"), =HYPERLINK("CSG0.html#group16B0", "16B⁰"), =HYPERLINK("CSG1.html#group16D1", "16D¹"), =HYPERLINK("CSG3.html#group48E3", "48E³"), =HYPERLINK("CSG0.html#group24A0", "24A⁰"), =HYPERLINK("CSG0.html#group6D0", "6D⁰"), =HYPERLINK("CSG2.html#group24M2", "24M²"), =HYPERLINK("CSG0.html#group3A0", "3A⁰"), =HYPERLINK("CSG3.html#group32H3", "32H³")</f>
        <v/>
      </c>
      <c r="N5116" t="inlineStr"/>
    </row>
    <row r="5117">
      <c r="A5117" t="inlineStr">
        <is>
          <t>96I¹⁷</t>
        </is>
      </c>
      <c r="B5117" t="inlineStr"/>
      <c r="C5117" t="inlineStr">
        <is>
          <t>288</t>
        </is>
      </c>
      <c r="D5117" t="inlineStr">
        <is>
          <t>1</t>
        </is>
      </c>
      <c r="E5117" t="inlineStr">
        <is>
          <t>36</t>
        </is>
      </c>
      <c r="F5117" t="inlineStr">
        <is>
          <t>0</t>
        </is>
      </c>
      <c r="G5117" t="inlineStr">
        <is>
          <t>0</t>
        </is>
      </c>
      <c r="H5117" t="inlineStr">
        <is>
          <t>3⁸, 6⁴, 24², 96²</t>
        </is>
      </c>
      <c r="I5117" t="n">
        <v>16</v>
      </c>
      <c r="J5117" t="inlineStr">
        <is>
          <t>1⁴, 2⁶, 4³, 8¹</t>
        </is>
      </c>
      <c r="K5117">
        <f>HYPERLINK("CSG7.html#group48R7", "48R⁷"), =HYPERLINK("CSG9.html#group96G9", "96G⁹")</f>
        <v/>
      </c>
      <c r="L5117" t="inlineStr"/>
      <c r="M5117">
        <f>HYPERLINK("CSG1.html#group12K1", "12K¹"), =HYPERLINK("CSG4.html#group48F4", "48F⁴"), =HYPERLINK("CSG0.html#group6G0", "6G⁰"), =HYPERLINK("CSG0.html#group8C0", "8C⁰"), =HYPERLINK("CSG0.html#group2B0", "2B⁰"), =HYPERLINK("CSG0.html#group4B0", "4B⁰"), =HYPERLINK("CSG0.html#group1A0", "1A⁰"), =HYPERLINK("CSG9.html#group96G9", "96G⁹"), =HYPERLINK("CSG4.html#group48B4", "48B⁴"), =HYPERLINK("CSG2.html#group24B2", "24B²"), =HYPERLINK("CSG7.html#group48R7", "48R⁷"), =HYPERLINK("CSG0.html#group16C0", "16C⁰"),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</f>
        <v/>
      </c>
      <c r="N5117" t="inlineStr"/>
    </row>
    <row r="5118">
      <c r="A5118" t="inlineStr">
        <is>
          <t>96J¹⁷</t>
        </is>
      </c>
      <c r="B5118" t="inlineStr"/>
      <c r="C5118" t="inlineStr">
        <is>
          <t>288</t>
        </is>
      </c>
      <c r="D5118" t="inlineStr">
        <is>
          <t>1</t>
        </is>
      </c>
      <c r="E5118" t="inlineStr">
        <is>
          <t>36</t>
        </is>
      </c>
      <c r="F5118" t="inlineStr">
        <is>
          <t>0</t>
        </is>
      </c>
      <c r="G5118" t="inlineStr">
        <is>
          <t>0</t>
        </is>
      </c>
      <c r="H5118" t="inlineStr">
        <is>
          <t>3⁸, 6⁴, 24², 96²</t>
        </is>
      </c>
      <c r="I5118" t="n">
        <v>16</v>
      </c>
      <c r="J5118" t="inlineStr">
        <is>
          <t>1⁴, 2⁶, 4³, 8¹</t>
        </is>
      </c>
      <c r="K5118">
        <f>HYPERLINK("CSG7.html#group48R7", "48R⁷"), =HYPERLINK("CSG9.html#group96A9", "96A⁹"), =HYPERLINK("CSG9.html#group96G9", "96G⁹")</f>
        <v/>
      </c>
      <c r="L5118" t="inlineStr"/>
      <c r="M5118">
        <f>HYPERLINK("CSG1.html#group12K1", "12K¹"), =HYPERLINK("CSG9.html#group96A9", "96A⁹"), =HYPERLINK("CSG4.html#group48F4", "48F⁴"), =HYPERLINK("CSG0.html#group6G0", "6G⁰"), =HYPERLINK("CSG0.html#group8C0", "8C⁰"), =HYPERLINK("CSG0.html#group2B0", "2B⁰"), =HYPERLINK("CSG0.html#group4B0", "4B⁰"), =HYPERLINK("CSG0.html#group1A0", "1A⁰"), =HYPERLINK("CSG9.html#group96G9", "96G⁹"), =HYPERLINK("CSG4.html#group48B4", "48B⁴"), =HYPERLINK("CSG2.html#group24B2", "24B²"), =HYPERLINK("CSG7.html#group48R7", "48R⁷"), =HYPERLINK("CSG1.html#group32A1", "32A¹"), =HYPERLINK("CSG0.html#group16C0", "16C⁰"),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</f>
        <v/>
      </c>
      <c r="N5118" t="inlineStr"/>
    </row>
    <row r="5119">
      <c r="A5119" t="inlineStr">
        <is>
          <t>96K¹⁷</t>
        </is>
      </c>
      <c r="B5119" t="inlineStr"/>
      <c r="C5119" t="inlineStr">
        <is>
          <t>288</t>
        </is>
      </c>
      <c r="D5119" t="inlineStr">
        <is>
          <t>1</t>
        </is>
      </c>
      <c r="E5119" t="inlineStr">
        <is>
          <t>36</t>
        </is>
      </c>
      <c r="F5119" t="inlineStr">
        <is>
          <t>0</t>
        </is>
      </c>
      <c r="G5119" t="inlineStr">
        <is>
          <t>0</t>
        </is>
      </c>
      <c r="H5119" t="inlineStr">
        <is>
          <t>3⁸, 6⁴, 24², 96²</t>
        </is>
      </c>
      <c r="I5119" t="n">
        <v>16</v>
      </c>
      <c r="J5119" t="inlineStr">
        <is>
          <t>1⁴, 2⁶, 4³, 8¹</t>
        </is>
      </c>
      <c r="K5119">
        <f>HYPERLINK("CSG8.html#group48E8", "48E⁸"), =HYPERLINK("CSG8.html#group96B8", "96B⁸"), =HYPERLINK("CSG9.html#group96G9", "96G⁹")</f>
        <v/>
      </c>
      <c r="L5119" t="inlineStr"/>
      <c r="M5119">
        <f>HYPERLINK("CSG4.html#group24F4", "24F⁴"), =HYPERLINK("CSG0.html#group8C0", "8C⁰"), =HYPERLINK("CSG0.html#group2B0", "2B⁰"), =HYPERLINK("CSG0.html#group8I0", "8I⁰"), =HYPERLINK("CSG0.html#group4B0", "4B⁰"), =HYPERLINK("CSG0.html#group1A0", "1A⁰"), =HYPERLINK("CSG9.html#group96G9", "96G⁹"), =HYPERLINK("CSG4.html#group48B4", "48B⁴"), =HYPERLINK("CSG0.html#group16H0", "16H⁰"), =HYPERLINK("CSG2.html#group24B2", "24B²"), =HYPERLINK("CSG8.html#group96B8", "96B⁸"), =HYPERLINK("CSG8.html#group48E8", "48E⁸"), =HYPERLINK("CSG0.html#group16C0", "16C⁰"), =HYPERLINK("CSG0.html#group16D0", "16D⁰"), =HYPERLINK("CSG1.html#group12B1", "12B¹"), =HYPERLINK("CSG0.html#group3A0", "3A⁰"), =HYPERLINK("CSG0.html#group6D0", "6D⁰"), =HYPERLINK("CSG4.html#group48D4", "48D⁴")</f>
        <v/>
      </c>
      <c r="N5119" t="inlineStr"/>
    </row>
    <row r="5120">
      <c r="A5120" t="inlineStr">
        <is>
          <t>96L¹⁷</t>
        </is>
      </c>
      <c r="B5120" t="inlineStr"/>
      <c r="C5120" t="inlineStr">
        <is>
          <t>288</t>
        </is>
      </c>
      <c r="D5120" t="inlineStr">
        <is>
          <t>1</t>
        </is>
      </c>
      <c r="E5120" t="inlineStr">
        <is>
          <t>36</t>
        </is>
      </c>
      <c r="F5120" t="inlineStr">
        <is>
          <t>0</t>
        </is>
      </c>
      <c r="G5120" t="inlineStr">
        <is>
          <t>0</t>
        </is>
      </c>
      <c r="H5120" t="inlineStr">
        <is>
          <t>3⁸, 6⁴, 24², 96²</t>
        </is>
      </c>
      <c r="I5120" t="n">
        <v>16</v>
      </c>
      <c r="J5120" t="inlineStr">
        <is>
          <t>1⁴, 2⁶, 4³, 8¹</t>
        </is>
      </c>
      <c r="K5120">
        <f>HYPERLINK("CSG8.html#group48J8", "48J⁸"), =HYPERLINK("CSG8.html#group96A8", "96A⁸"), =HYPERLINK("CSG9.html#group96G9", "96G⁹")</f>
        <v/>
      </c>
      <c r="L5120" t="inlineStr"/>
      <c r="M5120">
        <f>HYPERLINK("CSG2.html#group24B2", "24B²"), =HYPERLINK("CSG0.html#group4B0", "4B⁰"), =HYPERLINK("CSG0.html#group16C0", "16C⁰"), =HYPERLINK("CSG4.html#group24M4", "24M⁴"), =HYPERLINK("CSG0.html#group32A0", "32A⁰"), =HYPERLINK("CSG0.html#group8C0", "8C⁰"), =HYPERLINK("CSG8.html#group48J8", "48J⁸"), =HYPERLINK("CSG8.html#group96A8", "96A⁸"), =HYPERLINK("CSG1.html#group12B1", "12B¹"), =HYPERLINK("CSG0.html#group3A0", "3A⁰"), =HYPERLINK("CSG0.html#group2B0", "2B⁰"), =HYPERLINK("CSG0.html#group1A0", "1A⁰"), =HYPERLINK("CSG9.html#group96G9", "96G⁹"), =HYPERLINK("CSG4.html#group48G4", "48G⁴"), =HYPERLINK("CSG0.html#group6D0", "6D⁰"), =HYPERLINK("CSG4.html#group48B4", "48B⁴")</f>
        <v/>
      </c>
      <c r="N5120" t="inlineStr"/>
    </row>
    <row r="5121">
      <c r="A5121" t="inlineStr">
        <is>
          <t>96M¹⁷</t>
        </is>
      </c>
      <c r="B5121" t="inlineStr"/>
      <c r="C5121" t="inlineStr">
        <is>
          <t>288</t>
        </is>
      </c>
      <c r="D5121" t="inlineStr">
        <is>
          <t>1</t>
        </is>
      </c>
      <c r="E5121" t="inlineStr">
        <is>
          <t>36</t>
        </is>
      </c>
      <c r="F5121" t="inlineStr">
        <is>
          <t>0</t>
        </is>
      </c>
      <c r="G5121" t="inlineStr">
        <is>
          <t>0</t>
        </is>
      </c>
      <c r="H5121" t="inlineStr">
        <is>
          <t>3⁸, 6⁴, 24², 96²</t>
        </is>
      </c>
      <c r="I5121" t="n">
        <v>16</v>
      </c>
      <c r="J5121" t="inlineStr">
        <is>
          <t>1⁴, 2⁶, 4³, 8¹</t>
        </is>
      </c>
      <c r="K5121">
        <f>HYPERLINK("CSG8.html#group48J8", "48J⁸"), =HYPERLINK("CSG8.html#group96B8", "96B⁸"), =HYPERLINK("CSG9.html#group96A9", "96A⁹")</f>
        <v/>
      </c>
      <c r="L5121" t="inlineStr"/>
      <c r="M5121">
        <f>HYPERLINK("CSG2.html#group24B2", "24B²"), =HYPERLINK("CSG1.html#group32A1", "32A¹"), =HYPERLINK("CSG0.html#group4B0", "4B⁰"), =HYPERLINK("CSG9.html#group96A9", "96A⁹"), =HYPERLINK("CSG8.html#group96B8", "96B⁸"), =HYPERLINK("CSG0.html#group16C0", "16C⁰"), =HYPERLINK("CSG4.html#group24M4", "24M⁴"), =HYPERLINK("CSG0.html#group8C0", "8C⁰"), =HYPERLINK("CSG8.html#group48J8", "48J⁸"), =HYPERLINK("CSG1.html#group12B1", "12B¹"), =HYPERLINK("CSG0.html#group2B0", "2B⁰"), =HYPERLINK("CSG0.html#group3A0", "3A⁰"), =HYPERLINK("CSG0.html#group1A0", "1A⁰"), =HYPERLINK("CSG4.html#group48G4", "48G⁴"), =HYPERLINK("CSG0.html#group6D0", "6D⁰"), =HYPERLINK("CSG4.html#group48B4", "48B⁴")</f>
        <v/>
      </c>
      <c r="N5121" t="inlineStr"/>
    </row>
    <row r="5122">
      <c r="A5122" t="inlineStr">
        <is>
          <t>96N¹⁷</t>
        </is>
      </c>
      <c r="B5122" t="inlineStr"/>
      <c r="C5122" t="inlineStr">
        <is>
          <t>288</t>
        </is>
      </c>
      <c r="D5122" t="inlineStr">
        <is>
          <t>1</t>
        </is>
      </c>
      <c r="E5122" t="inlineStr">
        <is>
          <t>36</t>
        </is>
      </c>
      <c r="F5122" t="inlineStr">
        <is>
          <t>24</t>
        </is>
      </c>
      <c r="G5122" t="inlineStr">
        <is>
          <t>0</t>
        </is>
      </c>
      <c r="H5122" t="inlineStr">
        <is>
          <t>48², 96²</t>
        </is>
      </c>
      <c r="I5122" t="n">
        <v>4</v>
      </c>
      <c r="J5122" t="inlineStr">
        <is>
          <t>2², 4⁴, 8²</t>
        </is>
      </c>
      <c r="K5122">
        <f>HYPERLINK("CSG5.html#group48E5", "48E⁵")</f>
        <v/>
      </c>
      <c r="L5122" t="inlineStr"/>
      <c r="M5122">
        <f>HYPERLINK("CSG5.html#group48E5", "48E⁵"), =HYPERLINK("CSG0.html#group12C0", "12C⁰"), =HYPERLINK("CSG0.html#group8D0", "8D⁰"), =HYPERLINK("CSG0.html#group4C0", "4C⁰"), =HYPERLINK("CSG0.html#group8B0", "8B⁰"), =HYPERLINK("CSG1.html#group16B1", "16B¹"), =HYPERLINK("CSG0.html#group48A0", "48A⁰"), =HYPERLINK("CSG0.html#group2B0", "2B⁰"), =HYPERLINK("CSG2.html#group24L2", "24L²"), =HYPERLINK("CSG0.html#group1A0", "1A⁰"), =HYPERLINK("CSG0.html#group8H0", "8H⁰"), =HYPERLINK("CSG3.html#group48C3", "48C³"), =HYPERLINK("CSG0.html#group16B0", "16B⁰"),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=HYPERLINK("CSG1.html#group16F1", "16F¹"), =HYPERLINK("CSG0.html#group3A0", "3A⁰"), =HYPERLINK("CSG0.html#group6D0", "6D⁰")</f>
        <v/>
      </c>
      <c r="N5122" t="inlineStr"/>
    </row>
    <row r="5123">
      <c r="A5123" t="inlineStr">
        <is>
          <t>96O¹⁷</t>
        </is>
      </c>
      <c r="B5123" t="inlineStr"/>
      <c r="C5123" t="inlineStr">
        <is>
          <t>288</t>
        </is>
      </c>
      <c r="D5123" t="inlineStr">
        <is>
          <t>1</t>
        </is>
      </c>
      <c r="E5123" t="inlineStr">
        <is>
          <t>36</t>
        </is>
      </c>
      <c r="F5123" t="inlineStr">
        <is>
          <t>24</t>
        </is>
      </c>
      <c r="G5123" t="inlineStr">
        <is>
          <t>0</t>
        </is>
      </c>
      <c r="H5123" t="inlineStr">
        <is>
          <t>48², 96²</t>
        </is>
      </c>
      <c r="I5123" t="n">
        <v>4</v>
      </c>
      <c r="J5123" t="inlineStr">
        <is>
          <t>1², 2³, 4³, 8²</t>
        </is>
      </c>
      <c r="K5123">
        <f>HYPERLINK("CSG5.html#group48E5", "48E⁵")</f>
        <v/>
      </c>
      <c r="L5123" t="inlineStr"/>
      <c r="M5123">
        <f>HYPERLINK("CSG5.html#group48E5", "48E⁵"), =HYPERLINK("CSG0.html#group12C0", "12C⁰"), =HYPERLINK("CSG0.html#group8D0", "8D⁰"), =HYPERLINK("CSG0.html#group4C0", "4C⁰"), =HYPERLINK("CSG0.html#group8B0", "8B⁰"), =HYPERLINK("CSG1.html#group16B1", "16B¹"), =HYPERLINK("CSG0.html#group48A0", "48A⁰"), =HYPERLINK("CSG0.html#group2B0", "2B⁰"), =HYPERLINK("CSG2.html#group24L2", "24L²"), =HYPERLINK("CSG0.html#group1A0", "1A⁰"), =HYPERLINK("CSG0.html#group8H0", "8H⁰"), =HYPERLINK("CSG3.html#group48C3", "48C³"), =HYPERLINK("CSG0.html#group16B0", "16B⁰"),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=HYPERLINK("CSG1.html#group16F1", "16F¹"), =HYPERLINK("CSG0.html#group3A0", "3A⁰"), =HYPERLINK("CSG0.html#group6D0", "6D⁰")</f>
        <v/>
      </c>
      <c r="N5123" t="inlineStr"/>
    </row>
    <row r="5124">
      <c r="A5124" t="inlineStr">
        <is>
          <t>96P¹⁷</t>
        </is>
      </c>
      <c r="B5124" t="inlineStr"/>
      <c r="C5124" t="inlineStr">
        <is>
          <t>288</t>
        </is>
      </c>
      <c r="D5124" t="inlineStr">
        <is>
          <t>1</t>
        </is>
      </c>
      <c r="E5124" t="inlineStr">
        <is>
          <t>36</t>
        </is>
      </c>
      <c r="F5124" t="inlineStr">
        <is>
          <t>24</t>
        </is>
      </c>
      <c r="G5124" t="inlineStr">
        <is>
          <t>0</t>
        </is>
      </c>
      <c r="H5124" t="inlineStr">
        <is>
          <t>48², 96²</t>
        </is>
      </c>
      <c r="I5124" t="n">
        <v>4</v>
      </c>
      <c r="J5124" t="inlineStr">
        <is>
          <t>2⁶, 4⁶</t>
        </is>
      </c>
      <c r="K5124">
        <f>HYPERLINK("CSG5.html#group96A5", "96A⁵"), =HYPERLINK("CSG7.html#group48N7", "48N⁷")</f>
        <v/>
      </c>
      <c r="L5124" t="inlineStr"/>
      <c r="M5124">
        <f>HYPERLINK("CSG0.html#group12C0", "12C⁰"), =HYPERLINK("CSG5.html#group96A5", "96A⁵"), =HYPERLINK("CSG0.html#group4C0", "4C⁰"), =HYPERLINK("CSG3.html#group24I3", "24I³"), =HYPERLINK("CSG0.html#group8B0", "8B⁰"), =HYPERLINK("CSG0.html#group6G0", "6G⁰"), =HYPERLINK("CSG0.html#group48A0", "48A⁰"), =HYPERLINK("CSG0.html#group2B0", "2B⁰"), =HYPERLINK("CSG2.html#group24C2", "24C²"), =HYPERLINK("CSG0.html#group1A0", "1A⁰"), =HYPERLINK("CSG1.html#group12L1", "12L¹"), =HYPERLINK("CSG4.html#group48C4", "48C⁴"), =HYPERLINK("CSG0.html#group16B0", "16B⁰"), =HYPERLINK("CSG1.html#group12C1", "12C¹"), =HYPERLINK("CSG0.html#group24A0", "24A⁰"), =HYPERLINK("CSG7.html#group48N7", "48N⁷"), =HYPERLINK("CSG0.html#group3C0", "3C⁰"), =HYPERLINK("CSG0.html#group3A0", "3A⁰"), =HYPERLINK("CSG0.html#group6D0", "6D⁰")</f>
        <v/>
      </c>
      <c r="N5124" t="inlineStr"/>
    </row>
    <row r="5125">
      <c r="A5125" t="inlineStr">
        <is>
          <t>96Q¹⁷</t>
        </is>
      </c>
      <c r="B5125" t="inlineStr"/>
      <c r="C5125" t="inlineStr">
        <is>
          <t>288</t>
        </is>
      </c>
      <c r="D5125" t="inlineStr">
        <is>
          <t>1</t>
        </is>
      </c>
      <c r="E5125" t="inlineStr">
        <is>
          <t>36</t>
        </is>
      </c>
      <c r="F5125" t="inlineStr">
        <is>
          <t>24</t>
        </is>
      </c>
      <c r="G5125" t="inlineStr">
        <is>
          <t>0</t>
        </is>
      </c>
      <c r="H5125" t="inlineStr">
        <is>
          <t>48², 96²</t>
        </is>
      </c>
      <c r="I5125" t="n">
        <v>4</v>
      </c>
      <c r="J5125" t="inlineStr">
        <is>
          <t>2⁶, 4⁶</t>
        </is>
      </c>
      <c r="K5125">
        <f>HYPERLINK("CSG3.html#group96A3", "96A³"), =HYPERLINK("CSG7.html#group48N7", "48N⁷"), =HYPERLINK("CSG7.html#group96A7", "96A⁷")</f>
        <v/>
      </c>
      <c r="L5125" t="inlineStr"/>
      <c r="M5125">
        <f>HYPERLINK("CSG0.html#group12C0", "12C⁰"), =HYPERLINK("CSG0.html#group4C0", "4C⁰"), =HYPERLINK("CSG0.html#group8B0", "8B⁰"), =HYPERLINK("CSG3.html#group24I3", "24I³"), =HYPERLINK("CSG0.html#group6G0", "6G⁰"), =HYPERLINK("CSG0.html#group48A0", "48A⁰"), =HYPERLINK("CSG0.html#group2B0", "2B⁰"), =HYPERLINK("CSG2.html#group24C2", "24C²"), =HYPERLINK("CSG0.html#group1A0", "1A⁰"), =HYPERLINK("CSG1.html#group12L1", "12L¹"), =HYPERLINK("CSG4.html#group48C4", "48C⁴"), =HYPERLINK("CSG0.html#group16B0", "16B⁰"), =HYPERLINK("CSG1.html#group12C1", "12C¹"), =HYPERLINK("CSG0.html#group24A0", "24A⁰"), =HYPERLINK("CSG7.html#group48N7", "48N⁷"), =HYPERLINK("CSG7.html#group96A7", "96A⁷"), =HYPERLINK("CSG0.html#group3C0", "3C⁰"), =HYPERLINK("CSG1.html#group32B1", "32B¹"), =HYPERLINK("CSG0.html#group3A0", "3A⁰"), =HYPERLINK("CSG3.html#group96A3", "96A³"), =HYPERLINK("CSG0.html#group6D0", "6D⁰")</f>
        <v/>
      </c>
      <c r="N5125" t="inlineStr"/>
    </row>
    <row r="5126">
      <c r="A5126" t="inlineStr">
        <is>
          <t>96R¹⁷</t>
        </is>
      </c>
      <c r="B5126" t="inlineStr"/>
      <c r="C5126" t="inlineStr">
        <is>
          <t>288</t>
        </is>
      </c>
      <c r="D5126" t="inlineStr">
        <is>
          <t>1</t>
        </is>
      </c>
      <c r="E5126" t="inlineStr">
        <is>
          <t>36</t>
        </is>
      </c>
      <c r="F5126" t="inlineStr">
        <is>
          <t>24</t>
        </is>
      </c>
      <c r="G5126" t="inlineStr">
        <is>
          <t>0</t>
        </is>
      </c>
      <c r="H5126" t="inlineStr">
        <is>
          <t>48², 96²</t>
        </is>
      </c>
      <c r="I5126" t="n">
        <v>4</v>
      </c>
      <c r="J5126" t="inlineStr">
        <is>
          <t>2⁶, 4⁶</t>
        </is>
      </c>
      <c r="K5126">
        <f>HYPERLINK("CSG5.html#group48E5", "48E⁵"), =HYPERLINK("CSG5.html#group96A5", "96A⁵"), =HYPERLINK("CSG7.html#group96A7", "96A⁷")</f>
        <v/>
      </c>
      <c r="L5126" t="inlineStr"/>
      <c r="M5126">
        <f>HYPERLINK("CSG0.html#group12C0", "12C⁰"), =HYPERLINK("CSG5.html#group96A5", "96A⁵"), =HYPERLINK("CSG0.html#group4C0", "4C⁰"), =HYPERLINK("CSG0.html#group2B0", "2B⁰"), =HYPERLINK("CSG0.html#group1A0", "1A⁰"), =HYPERLINK("CSG0.html#group16B0", "16B⁰"), =HYPERLINK("CSG0.html#group24A0", "24A⁰"), =HYPERLINK("CSG7.html#group96A7", "96A⁷"), =HYPERLINK("CSG1.html#group16F1", "16F¹"), =HYPERLINK("CSG0.html#group3A0", "3A⁰"), =HYPERLINK("CSG5.html#group48E5", "48E⁵"), =HYPERLINK("CSG0.html#group8D0", "8D⁰"), =HYPERLINK("CSG0.html#group8B0", "8B⁰"), =HYPERLINK("CSG1.html#group16B1", "16B¹"), =HYPERLINK("CSG0.html#group48A0", "48A⁰"), =HYPERLINK("CSG2.html#group24L2", "24L²"), =HYPERLINK("CSG0.html#group8H0", "8H⁰"), =HYPERLINK("CSG3.html#group48C3", "48C³"), =HYPERLINK("CSG0.html#group12A0", "12A⁰"), =HYPERLINK("CSG0.html#group4A0", "4A⁰"), =HYPERLINK("CSG1.html#group24C1", "24C¹"), =HYPERLINK("CSG1.html#group12J1", "12J¹"), =HYPERLINK("CSG0.html#group4F0", "4F⁰"), =HYPERLINK("CSG0.html#group6D0", "6D⁰")</f>
        <v/>
      </c>
      <c r="N5126" t="inlineStr"/>
    </row>
    <row r="5127">
      <c r="A5127" t="inlineStr">
        <is>
          <t>96S¹⁷</t>
        </is>
      </c>
      <c r="B5127" t="inlineStr"/>
      <c r="C5127" t="inlineStr">
        <is>
          <t>288</t>
        </is>
      </c>
      <c r="D5127" t="inlineStr">
        <is>
          <t>1</t>
        </is>
      </c>
      <c r="E5127" t="inlineStr">
        <is>
          <t>72</t>
        </is>
      </c>
      <c r="F5127" t="inlineStr">
        <is>
          <t>0</t>
        </is>
      </c>
      <c r="G5127" t="inlineStr">
        <is>
          <t>0</t>
        </is>
      </c>
      <c r="H5127" t="inlineStr">
        <is>
          <t>3⁸, 6⁴, 24², 96²</t>
        </is>
      </c>
      <c r="I5127" t="n">
        <v>16</v>
      </c>
      <c r="J5127" t="inlineStr">
        <is>
          <t>2⁴, 4¹⁰, 8³</t>
        </is>
      </c>
      <c r="K5127">
        <f>HYPERLINK("CSG7.html#group48Q7", "48Q⁷")</f>
        <v/>
      </c>
      <c r="L5127" t="inlineStr"/>
      <c r="M5127">
        <f>HYPERLINK("CSG1.html#group12K1", "12K¹"), =HYPERLINK("CSG4.html#group48F4", "48F⁴"), =HYPERLINK("CSG0.html#group6G0", "6G⁰"), =HYPERLINK("CSG0.html#group8C0", "8C⁰"), =HYPERLINK("CSG0.html#group2B0", "2B⁰"), =HYPERLINK("CSG0.html#group4B0", "4B⁰"), =HYPERLINK("CSG0.html#group1A0", "1A⁰"), =HYPERLINK("CSG7.html#group48Q7", "48Q⁷"), =HYPERLINK("CSG2.html#group24B2", "24B²"),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</f>
        <v/>
      </c>
      <c r="N5127" t="inlineStr"/>
    </row>
    <row r="5128">
      <c r="A5128" t="inlineStr">
        <is>
          <t>96T¹⁷</t>
        </is>
      </c>
      <c r="B5128" t="inlineStr"/>
      <c r="C5128" t="inlineStr">
        <is>
          <t>288</t>
        </is>
      </c>
      <c r="D5128" t="inlineStr">
        <is>
          <t>1</t>
        </is>
      </c>
      <c r="E5128" t="inlineStr">
        <is>
          <t>72</t>
        </is>
      </c>
      <c r="F5128" t="inlineStr">
        <is>
          <t>4</t>
        </is>
      </c>
      <c r="G5128" t="inlineStr">
        <is>
          <t>0</t>
        </is>
      </c>
      <c r="H5128" t="inlineStr">
        <is>
          <t>6⁸, 12⁴, 96²</t>
        </is>
      </c>
      <c r="I5128" t="n">
        <v>14</v>
      </c>
      <c r="J5128" t="inlineStr">
        <is>
          <t>2², 4⁵, 8⁷, 16⁴</t>
        </is>
      </c>
      <c r="K5128">
        <f>HYPERLINK("CSG7.html#group48AA7", "48AA⁷"), =HYPERLINK("CSG8.html#group96E8", "96E⁸")</f>
        <v/>
      </c>
      <c r="L5128" t="inlineStr"/>
      <c r="M5128">
        <f>HYPERLINK("CSG1.html#group24E1", "24E¹"), =HYPERLINK("CSG0.html#group12C0", "12C⁰"), =HYPERLINK("CSG3.html#group48G3", "48G³"), =HYPERLINK("CSG0.html#group3A0", "3A⁰"), =HYPERLINK("CSG0.html#group8D0", "8D⁰"), =HYPERLINK("CSG0.html#group4C0", "4C⁰"), =HYPERLINK("CSG0.html#group6G0", "6G⁰"), =HYPERLINK("CSG0.html#group2B0", "2B⁰"), =HYPERLINK("CSG8.html#group96E8", "96E⁸"), =HYPERLINK("CSG0.html#group1A0", "1A⁰"), =HYPERLINK("CSG3.html#group24O3", "24O³"), =HYPERLINK("CSG1.html#group12L1", "12L¹"), =HYPERLINK("CSG0.html#group16E0", "16E⁰"), =HYPERLINK("CSG1.html#group12C1", "12C¹"), =HYPERLINK("CSG1.html#group24C1", "24C¹"), =HYPERLINK("CSG0.html#group3C0", "3C⁰"), =HYPERLINK("CSG3.html#group48D3", "48D³"), =HYPERLINK("CSG7.html#group48AA7", "48AA⁷"), =HYPERLINK("CSG0.html#group6D0", "6D⁰")</f>
        <v/>
      </c>
      <c r="N5128" t="inlineStr"/>
    </row>
    <row r="5129">
      <c r="A5129" t="inlineStr">
        <is>
          <t>96U¹⁷</t>
        </is>
      </c>
      <c r="B5129" t="inlineStr"/>
      <c r="C5129" t="inlineStr">
        <is>
          <t>288</t>
        </is>
      </c>
      <c r="D5129" t="inlineStr">
        <is>
          <t>1</t>
        </is>
      </c>
      <c r="E5129" t="inlineStr">
        <is>
          <t>72</t>
        </is>
      </c>
      <c r="F5129" t="inlineStr">
        <is>
          <t>4</t>
        </is>
      </c>
      <c r="G5129" t="inlineStr">
        <is>
          <t>0</t>
        </is>
      </c>
      <c r="H5129" t="inlineStr">
        <is>
          <t>6⁸, 12⁴, 96²</t>
        </is>
      </c>
      <c r="I5129" t="n">
        <v>14</v>
      </c>
      <c r="J5129" t="inlineStr">
        <is>
          <t>2², 4⁵, 8⁷, 16⁴</t>
        </is>
      </c>
      <c r="K5129">
        <f>HYPERLINK("CSG7.html#group48AA7", "48AA⁷"), =HYPERLINK("CSG8.html#group96F8", "96F⁸")</f>
        <v/>
      </c>
      <c r="L5129" t="inlineStr"/>
      <c r="M5129">
        <f>HYPERLINK("CSG1.html#group24E1", "24E¹"), =HYPERLINK("CSG0.html#group12C0", "12C⁰"), =HYPERLINK("CSG3.html#group48G3", "48G³"), =HYPERLINK("CSG0.html#group3A0", "3A⁰"), =HYPERLINK("CSG0.html#group8D0", "8D⁰"), =HYPERLINK("CSG0.html#group4C0", "4C⁰"), =HYPERLINK("CSG0.html#group6G0", "6G⁰"), =HYPERLINK("CSG0.html#group2B0", "2B⁰"), =HYPERLINK("CSG0.html#group1A0", "1A⁰"), =HYPERLINK("CSG3.html#group24O3", "24O³"), =HYPERLINK("CSG1.html#group12L1", "12L¹"), =HYPERLINK("CSG0.html#group16E0", "16E⁰"), =HYPERLINK("CSG8.html#group96F8", "96F⁸"), =HYPERLINK("CSG1.html#group12C1", "12C¹"), =HYPERLINK("CSG1.html#group24C1", "24C¹"), =HYPERLINK("CSG0.html#group3C0", "3C⁰"), =HYPERLINK("CSG3.html#group48D3", "48D³"), =HYPERLINK("CSG7.html#group48AA7", "48AA⁷"), =HYPERLINK("CSG0.html#group6D0", "6D⁰")</f>
        <v/>
      </c>
      <c r="N5129" t="inlineStr"/>
    </row>
    <row r="5130">
      <c r="A5130" t="inlineStr">
        <is>
          <t>96V¹⁷</t>
        </is>
      </c>
      <c r="B5130" t="inlineStr"/>
      <c r="C5130" t="inlineStr">
        <is>
          <t>288</t>
        </is>
      </c>
      <c r="D5130" t="inlineStr">
        <is>
          <t>1</t>
        </is>
      </c>
      <c r="E5130" t="inlineStr">
        <is>
          <t>72</t>
        </is>
      </c>
      <c r="F5130" t="inlineStr">
        <is>
          <t>4</t>
        </is>
      </c>
      <c r="G5130" t="inlineStr">
        <is>
          <t>0</t>
        </is>
      </c>
      <c r="H5130" t="inlineStr">
        <is>
          <t>6⁸, 12⁴, 96²</t>
        </is>
      </c>
      <c r="I5130" t="n">
        <v>14</v>
      </c>
      <c r="J5130" t="inlineStr">
        <is>
          <t>2², 4⁵, 8⁷, 16⁴</t>
        </is>
      </c>
      <c r="K5130">
        <f>HYPERLINK("CSG7.html#group48AA7", "48AA⁷"), =HYPERLINK("CSG8.html#group96C8", "96C⁸"), =HYPERLINK("CSG8.html#group96E8", "96E⁸")</f>
        <v/>
      </c>
      <c r="L5130" t="inlineStr"/>
      <c r="M5130">
        <f>HYPERLINK("CSG1.html#group24E1", "24E¹"), =HYPERLINK("CSG0.html#group12C0", "12C⁰"), =HYPERLINK("CSG3.html#group48G3", "48G³"), =HYPERLINK("CSG0.html#group3A0", "3A⁰"), =HYPERLINK("CSG0.html#group8D0", "8D⁰"), =HYPERLINK("CSG0.html#group4C0", "4C⁰"), =HYPERLINK("CSG0.html#group6G0", "6G⁰"), =HYPERLINK("CSG0.html#group2B0", "2B⁰"), =HYPERLINK("CSG8.html#group96E8", "96E⁸"), =HYPERLINK("CSG0.html#group1A0", "1A⁰"), =HYPERLINK("CSG3.html#group24O3", "24O³"), =HYPERLINK("CSG1.html#group12L1", "12L¹"), =HYPERLINK("CSG0.html#group16E0", "16E⁰"), =HYPERLINK("CSG1.html#group12C1", "12C¹"), =HYPERLINK("CSG1.html#group32C1", "32C¹"), =HYPERLINK("CSG8.html#group96C8", "96C⁸"), =HYPERLINK("CSG1.html#group24C1", "24C¹"), =HYPERLINK("CSG0.html#group3C0", "3C⁰"), =HYPERLINK("CSG3.html#group48D3", "48D³"), =HYPERLINK("CSG7.html#group48AA7", "48AA⁷"), =HYPERLINK("CSG0.html#group6D0", "6D⁰")</f>
        <v/>
      </c>
      <c r="N5130" t="inlineStr"/>
    </row>
    <row r="5131">
      <c r="A5131" t="inlineStr">
        <is>
          <t>96W¹⁷</t>
        </is>
      </c>
      <c r="B5131" t="inlineStr"/>
      <c r="C5131" t="inlineStr">
        <is>
          <t>288</t>
        </is>
      </c>
      <c r="D5131" t="inlineStr">
        <is>
          <t>1</t>
        </is>
      </c>
      <c r="E5131" t="inlineStr">
        <is>
          <t>72</t>
        </is>
      </c>
      <c r="F5131" t="inlineStr">
        <is>
          <t>4</t>
        </is>
      </c>
      <c r="G5131" t="inlineStr">
        <is>
          <t>0</t>
        </is>
      </c>
      <c r="H5131" t="inlineStr">
        <is>
          <t>6⁸, 12⁴, 96²</t>
        </is>
      </c>
      <c r="I5131" t="n">
        <v>14</v>
      </c>
      <c r="J5131" t="inlineStr">
        <is>
          <t>2², 4⁵, 8⁷, 16⁴</t>
        </is>
      </c>
      <c r="K5131">
        <f>HYPERLINK("CSG7.html#group48AA7", "48AA⁷"), =HYPERLINK("CSG8.html#group96D8", "96D⁸"), =HYPERLINK("CSG8.html#group96F8", "96F⁸")</f>
        <v/>
      </c>
      <c r="L5131" t="inlineStr"/>
      <c r="M5131">
        <f>HYPERLINK("CSG1.html#group24E1", "24E¹"), =HYPERLINK("CSG0.html#group12C0", "12C⁰"), =HYPERLINK("CSG3.html#group48G3", "48G³"), =HYPERLINK("CSG0.html#group3A0", "3A⁰"), =HYPERLINK("CSG0.html#group8D0", "8D⁰"), =HYPERLINK("CSG0.html#group4C0", "4C⁰"), =HYPERLINK("CSG8.html#group96D8", "96D⁸"), =HYPERLINK("CSG0.html#group6G0", "6G⁰"), =HYPERLINK("CSG1.html#group32D1", "32D¹"), =HYPERLINK("CSG0.html#group2B0", "2B⁰"), =HYPERLINK("CSG0.html#group1A0", "1A⁰"), =HYPERLINK("CSG3.html#group24O3", "24O³"), =HYPERLINK("CSG1.html#group12L1", "12L¹"), =HYPERLINK("CSG0.html#group16E0", "16E⁰"), =HYPERLINK("CSG8.html#group96F8", "96F⁸"), =HYPERLINK("CSG1.html#group12C1", "12C¹"), =HYPERLINK("CSG1.html#group24C1", "24C¹"), =HYPERLINK("CSG0.html#group3C0", "3C⁰"), =HYPERLINK("CSG3.html#group48D3", "48D³"), =HYPERLINK("CSG7.html#group48AA7", "48AA⁷"), =HYPERLINK("CSG0.html#group6D0", "6D⁰")</f>
        <v/>
      </c>
      <c r="N5131" t="inlineStr"/>
    </row>
    <row r="5132">
      <c r="A5132" t="inlineStr">
        <is>
          <t>96X¹⁷</t>
        </is>
      </c>
      <c r="B5132" t="inlineStr"/>
      <c r="C5132" t="inlineStr">
        <is>
          <t>288</t>
        </is>
      </c>
      <c r="D5132" t="inlineStr">
        <is>
          <t>1</t>
        </is>
      </c>
      <c r="E5132" t="inlineStr">
        <is>
          <t>72</t>
        </is>
      </c>
      <c r="F5132" t="inlineStr">
        <is>
          <t>12</t>
        </is>
      </c>
      <c r="G5132" t="inlineStr">
        <is>
          <t>0</t>
        </is>
      </c>
      <c r="H5132" t="inlineStr">
        <is>
          <t>12⁸, 96²</t>
        </is>
      </c>
      <c r="I5132" t="n">
        <v>10</v>
      </c>
      <c r="J5132" t="inlineStr">
        <is>
          <t>1², 2³, 4², 8³, 16²</t>
        </is>
      </c>
      <c r="K5132">
        <f>HYPERLINK("CSG7.html#group48P7", "48P⁷")</f>
        <v/>
      </c>
      <c r="L5132" t="inlineStr"/>
      <c r="M5132">
        <f>HYPERLINK("CSG0.html#group12C0", "12C⁰"), =HYPERLINK("CSG1.html#group16I1", "16I¹"), =HYPERLINK("CSG0.html#group8D0", "8D⁰"), =HYPERLINK("CSG0.html#group4C0", "4C⁰"), =HYPERLINK("CSG7.html#group48P7", "48P⁷"), =HYPERLINK("CSG0.html#group8B0", "8B⁰"), =HYPERLINK("CSG0.html#group2B0", "2B⁰"), =HYPERLINK("CSG2.html#group24L2", "24L²"), =HYPERLINK("CSG0.html#group1A0", "1A⁰"), =HYPERLINK("CSG0.html#group8H0", "8H⁰"), =HYPERLINK("CSG0.html#group16E0", "16E⁰"), =HYPERLINK("CSG0.html#group12A0", "12A⁰"), =HYPERLINK("CSG4.html#group48E4", "48E⁴"), =HYPERLINK("CSG0.html#group24A0", "24A⁰"), =HYPERLINK("CSG0.html#group4A0", "4A⁰"), =HYPERLINK("CSG1.html#group16C1", "16C¹"), =HYPERLINK("CSG1.html#group24C1", "24C¹"), =HYPERLINK("CSG1.html#group12J1", "12J¹"), =HYPERLINK("CSG3.html#group48D3", "48D³"), =HYPERLINK("CSG0.html#group4F0", "4F⁰"), =HYPERLINK("CSG0.html#group3A0", "3A⁰"), =HYPERLINK("CSG0.html#group6D0", "6D⁰")</f>
        <v/>
      </c>
      <c r="N5132" t="inlineStr"/>
    </row>
    <row r="5133">
      <c r="A5133" t="inlineStr">
        <is>
          <t>96Y¹⁷</t>
        </is>
      </c>
      <c r="B5133" t="inlineStr"/>
      <c r="C5133" t="inlineStr">
        <is>
          <t>288</t>
        </is>
      </c>
      <c r="D5133" t="inlineStr">
        <is>
          <t>1</t>
        </is>
      </c>
      <c r="E5133" t="inlineStr">
        <is>
          <t>72</t>
        </is>
      </c>
      <c r="F5133" t="inlineStr">
        <is>
          <t>12</t>
        </is>
      </c>
      <c r="G5133" t="inlineStr">
        <is>
          <t>0</t>
        </is>
      </c>
      <c r="H5133" t="inlineStr">
        <is>
          <t>12⁸, 96²</t>
        </is>
      </c>
      <c r="I5133" t="n">
        <v>10</v>
      </c>
      <c r="J5133" t="inlineStr">
        <is>
          <t>2⁴, 4⁴, 8², 16²</t>
        </is>
      </c>
      <c r="K5133">
        <f>HYPERLINK("CSG7.html#group48P7", "48P⁷"), =HYPERLINK("CSG8.html#group96E8", "96E⁸"), =HYPERLINK("CSG8.html#group96F8", "96F⁸")</f>
        <v/>
      </c>
      <c r="L5133" t="inlineStr"/>
      <c r="M5133">
        <f>HYPERLINK("CSG0.html#group12C0", "12C⁰"), =HYPERLINK("CSG1.html#group16I1", "16I¹"), =HYPERLINK("CSG0.html#group4C0", "4C⁰"), =HYPERLINK("CSG7.html#group48P7", "48P⁷"), =HYPERLINK("CSG0.html#group2B0", "2B⁰"), =HYPERLINK("CSG0.html#group1A0", "1A⁰"), =HYPERLINK("CSG0.html#group16E0", "16E⁰"), =HYPERLINK("CSG4.html#group48E4", "48E⁴"), =HYPERLINK("CSG0.html#group24A0", "24A⁰"), =HYPERLINK("CSG3.html#group48D3", "48D³"), =HYPERLINK("CSG0.html#group3A0", "3A⁰"), =HYPERLINK("CSG0.html#group8D0", "8D⁰"), =HYPERLINK("CSG0.html#group8B0", "8B⁰"), =HYPERLINK("CSG2.html#group24L2", "24L²"), =HYPERLINK("CSG8.html#group96E8", "96E⁸"), =HYPERLINK("CSG0.html#group8H0", "8H⁰"), =HYPERLINK("CSG0.html#group12A0", "12A⁰"), =HYPERLINK("CSG8.html#group96F8", "96F⁸"), =HYPERLINK("CSG0.html#group4A0", "4A⁰"), =HYPERLINK("CSG1.html#group16C1", "16C¹"), =HYPERLINK("CSG1.html#group24C1", "24C¹"), =HYPERLINK("CSG1.html#group12J1", "12J¹"), =HYPERLINK("CSG0.html#group4F0", "4F⁰"), =HYPERLINK("CSG0.html#group6D0", "6D⁰")</f>
        <v/>
      </c>
      <c r="N5133" t="inlineStr"/>
    </row>
    <row r="5134">
      <c r="A5134" t="inlineStr">
        <is>
          <t>96Z¹⁷</t>
        </is>
      </c>
      <c r="B5134" t="inlineStr"/>
      <c r="C5134" t="inlineStr">
        <is>
          <t>288</t>
        </is>
      </c>
      <c r="D5134" t="inlineStr">
        <is>
          <t>1</t>
        </is>
      </c>
      <c r="E5134" t="inlineStr">
        <is>
          <t>72</t>
        </is>
      </c>
      <c r="F5134" t="inlineStr">
        <is>
          <t>24</t>
        </is>
      </c>
      <c r="G5134" t="inlineStr">
        <is>
          <t>0</t>
        </is>
      </c>
      <c r="H5134" t="inlineStr">
        <is>
          <t>48², 96²</t>
        </is>
      </c>
      <c r="I5134" t="n">
        <v>4</v>
      </c>
      <c r="J5134" t="inlineStr">
        <is>
          <t>2⁸, 4⁸, 8¹, 16¹</t>
        </is>
      </c>
      <c r="K5134">
        <f>HYPERLINK("CSG5.html#group48F5", "48F⁵"), =HYPERLINK("CSG9.html#group96H9", "96H⁹"), =HYPERLINK("CSG9.html#group96I9", "96I⁹")</f>
        <v/>
      </c>
      <c r="L5134" t="inlineStr"/>
      <c r="M5134">
        <f>HYPERLINK("CSG5.html#group48F5", "48F⁵"), =HYPERLINK("CSG0.html#group12C0", "12C⁰"), =HYPERLINK("CSG0.html#group4C0", "4C⁰"), =HYPERLINK("CSG0.html#group8B0", "8B⁰"), =HYPERLINK("CSG0.html#group48A0", "48A⁰"), =HYPERLINK("CSG0.html#group8L0", "8L⁰"), =HYPERLINK("CSG0.html#group2B0", "2B⁰"), =HYPERLINK("CSG1.html#group16J1", "16J¹"), =HYPERLINK("CSG0.html#group1A0", "1A⁰"), =HYPERLINK("CSG0.html#group16B0", "16B⁰"), =HYPERLINK("CSG9.html#group96I9", "96I⁹"), =HYPERLINK("CSG1.html#group16D1", "16D¹"), =HYPERLINK("CSG3.html#group48E3", "48E³"), =HYPERLINK("CSG0.html#group24A0", "24A⁰"), =HYPERLINK("CSG2.html#group24M2", "24M²"), =HYPERLINK("CSG9.html#group96H9", "96H⁹"), =HYPERLINK("CSG0.html#group3A0", "3A⁰"), =HYPERLINK("CSG0.html#group6D0", "6D⁰")</f>
        <v/>
      </c>
      <c r="N5134" t="inlineStr"/>
    </row>
    <row r="5135">
      <c r="A5135" t="inlineStr">
        <is>
          <t>96AA¹⁷</t>
        </is>
      </c>
      <c r="B5135" t="inlineStr"/>
      <c r="C5135" t="inlineStr">
        <is>
          <t>288</t>
        </is>
      </c>
      <c r="D5135" t="inlineStr">
        <is>
          <t>1</t>
        </is>
      </c>
      <c r="E5135" t="inlineStr">
        <is>
          <t>72</t>
        </is>
      </c>
      <c r="F5135" t="inlineStr">
        <is>
          <t>24</t>
        </is>
      </c>
      <c r="G5135" t="inlineStr">
        <is>
          <t>0</t>
        </is>
      </c>
      <c r="H5135" t="inlineStr">
        <is>
          <t>48², 96²</t>
        </is>
      </c>
      <c r="I5135" t="n">
        <v>4</v>
      </c>
      <c r="J5135" t="inlineStr">
        <is>
          <t>2⁸, 4⁸, 8¹, 16¹</t>
        </is>
      </c>
      <c r="K5135">
        <f>HYPERLINK("CSG5.html#group48F5", "48F⁵"), =HYPERLINK("CSG9.html#group96J9", "96J⁹"), =HYPERLINK("CSG9.html#group96K9", "96K⁹")</f>
        <v/>
      </c>
      <c r="L5135" t="inlineStr"/>
      <c r="M5135">
        <f>HYPERLINK("CSG5.html#group48F5", "48F⁵"), =HYPERLINK("CSG0.html#group12C0", "12C⁰"), =HYPERLINK("CSG0.html#group4C0", "4C⁰"), =HYPERLINK("CSG0.html#group8B0", "8B⁰"), =HYPERLINK("CSG0.html#group48A0", "48A⁰"), =HYPERLINK("CSG0.html#group2B0", "2B⁰"), =HYPERLINK("CSG0.html#group8L0", "8L⁰"), =HYPERLINK("CSG9.html#group96J9", "96J⁹"), =HYPERLINK("CSG1.html#group16J1", "16J¹"), =HYPERLINK("CSG0.html#group1A0", "1A⁰"), =HYPERLINK("CSG0.html#group16B0", "16B⁰"), =HYPERLINK("CSG1.html#group16D1", "16D¹"), =HYPERLINK("CSG3.html#group48E3", "48E³"), =HYPERLINK("CSG0.html#group24A0", "24A⁰"), =HYPERLINK("CSG9.html#group96K9", "96K⁹"), =HYPERLINK("CSG2.html#group24M2", "24M²"), =HYPERLINK("CSG0.html#group3A0", "3A⁰"), =HYPERLINK("CSG0.html#group6D0", "6D⁰")</f>
        <v/>
      </c>
      <c r="N5135" t="inlineStr"/>
    </row>
    <row r="5136">
      <c r="A5136" t="inlineStr">
        <is>
          <t>96AB¹⁷</t>
        </is>
      </c>
      <c r="B5136" t="inlineStr"/>
      <c r="C5136" t="inlineStr">
        <is>
          <t>288</t>
        </is>
      </c>
      <c r="D5136" t="inlineStr">
        <is>
          <t>2</t>
        </is>
      </c>
      <c r="E5136" t="inlineStr">
        <is>
          <t>12</t>
        </is>
      </c>
      <c r="F5136" t="inlineStr">
        <is>
          <t>24</t>
        </is>
      </c>
      <c r="G5136" t="inlineStr">
        <is>
          <t>0</t>
        </is>
      </c>
      <c r="H5136" t="inlineStr">
        <is>
          <t>48², 96²</t>
        </is>
      </c>
      <c r="I5136" t="n">
        <v>4</v>
      </c>
      <c r="J5136" t="inlineStr">
        <is>
          <t>2⁸, 4²</t>
        </is>
      </c>
      <c r="K5136">
        <f>HYPERLINK("CSG3.html#group96A3", "96A³"), =HYPERLINK("CSG5.html#group32L5", "32L⁵"), =HYPERLINK("CSG5.html#group48F5", "48F⁵"), =HYPERLINK("CSG9.html#group96B9", "96B⁹")</f>
        <v/>
      </c>
      <c r="L5136" t="inlineStr"/>
      <c r="M5136">
        <f>HYPERLINK("CSG5.html#group32L5", "32L⁵"), =HYPERLINK("CSG5.html#group48F5", "48F⁵"), =HYPERLINK("CSG0.html#group12C0", "12C⁰"), =HYPERLINK("CSG9.html#group96B9", "96B⁹"), =HYPERLINK("CSG0.html#group4C0", "4C⁰"), =HYPERLINK("CSG0.html#group8B0", "8B⁰"), =HYPERLINK("CSG0.html#group8L0", "8L⁰"), =HYPERLINK("CSG0.html#group2B0", "2B⁰"), =HYPERLINK("CSG0.html#group48A0", "48A⁰"), =HYPERLINK("CSG1.html#group16J1", "16J¹"), =HYPERLINK("CSG0.html#group1A0", "1A⁰"), =HYPERLINK("CSG0.html#group16B0", "16B⁰"), =HYPERLINK("CSG1.html#group16D1", "16D¹"), =HYPERLINK("CSG0.html#group24A0", "24A⁰"), =HYPERLINK("CSG3.html#group48E3", "48E³"), =HYPERLINK("CSG2.html#group24M2", "24M²"), =HYPERLINK("CSG3.html#group32D3", "32D³"), =HYPERLINK("CSG1.html#group32B1", "32B¹"), =HYPERLINK("CSG0.html#group3A0", "3A⁰"), =HYPERLINK("CSG3.html#group96A3", "96A³"), =HYPERLINK("CSG0.html#group6D0", "6D⁰")</f>
        <v/>
      </c>
      <c r="N5136" t="inlineStr"/>
    </row>
    <row r="5137">
      <c r="A5137" t="inlineStr">
        <is>
          <t>96AC¹⁷</t>
        </is>
      </c>
      <c r="B5137" t="inlineStr"/>
      <c r="C5137" t="inlineStr">
        <is>
          <t>288</t>
        </is>
      </c>
      <c r="D5137" t="inlineStr">
        <is>
          <t>2</t>
        </is>
      </c>
      <c r="E5137" t="inlineStr">
        <is>
          <t>36</t>
        </is>
      </c>
      <c r="F5137" t="inlineStr">
        <is>
          <t>0</t>
        </is>
      </c>
      <c r="G5137" t="inlineStr">
        <is>
          <t>0</t>
        </is>
      </c>
      <c r="H5137" t="inlineStr">
        <is>
          <t>3⁸, 6⁴, 24², 96²</t>
        </is>
      </c>
      <c r="I5137" t="n">
        <v>16</v>
      </c>
      <c r="J5137" t="inlineStr">
        <is>
          <t>2¹², 4⁶, 8³</t>
        </is>
      </c>
      <c r="K5137">
        <f>HYPERLINK("CSG8.html#group48J8", "48J⁸"), =HYPERLINK("CSG8.html#group96B8", "96B⁸"), =HYPERLINK("CSG9.html#group96G9", "96G⁹")</f>
        <v/>
      </c>
      <c r="L5137" t="inlineStr"/>
      <c r="M5137">
        <f>HYPERLINK("CSG2.html#group24B2", "24B²"), =HYPERLINK("CSG0.html#group4B0", "4B⁰"), =HYPERLINK("CSG8.html#group96B8", "96B⁸"), =HYPERLINK("CSG0.html#group16C0", "16C⁰"), =HYPERLINK("CSG4.html#group24M4", "24M⁴"), =HYPERLINK("CSG0.html#group8C0", "8C⁰"), =HYPERLINK("CSG8.html#group48J8", "48J⁸"), =HYPERLINK("CSG1.html#group12B1", "12B¹"), =HYPERLINK("CSG0.html#group2B0", "2B⁰"), =HYPERLINK("CSG0.html#group3A0", "3A⁰"), =HYPERLINK("CSG0.html#group1A0", "1A⁰"), =HYPERLINK("CSG9.html#group96G9", "96G⁹"), =HYPERLINK("CSG4.html#group48G4", "48G⁴"), =HYPERLINK("CSG0.html#group6D0", "6D⁰"), =HYPERLINK("CSG4.html#group48B4", "48B⁴")</f>
        <v/>
      </c>
      <c r="N5137" t="inlineStr"/>
    </row>
    <row r="5138">
      <c r="A5138" t="inlineStr">
        <is>
          <t>96AD¹⁷</t>
        </is>
      </c>
      <c r="B5138" t="inlineStr"/>
      <c r="C5138" t="inlineStr">
        <is>
          <t>288</t>
        </is>
      </c>
      <c r="D5138" t="inlineStr">
        <is>
          <t>2</t>
        </is>
      </c>
      <c r="E5138" t="inlineStr">
        <is>
          <t>36</t>
        </is>
      </c>
      <c r="F5138" t="inlineStr">
        <is>
          <t>24</t>
        </is>
      </c>
      <c r="G5138" t="inlineStr">
        <is>
          <t>0</t>
        </is>
      </c>
      <c r="H5138" t="inlineStr">
        <is>
          <t>48², 96²</t>
        </is>
      </c>
      <c r="I5138" t="n">
        <v>4</v>
      </c>
      <c r="J5138" t="inlineStr">
        <is>
          <t>4¹⁸</t>
        </is>
      </c>
      <c r="K5138">
        <f>HYPERLINK("CSG5.html#group48G5", "48G⁵"), =HYPERLINK("CSG5.html#group96A5", "96A⁵"), =HYPERLINK("CSG7.html#group96A7", "96A⁷")</f>
        <v/>
      </c>
      <c r="L5138" t="inlineStr"/>
      <c r="M5138">
        <f>HYPERLINK("CSG1.html#group24E1", "24E¹"), =HYPERLINK("CSG0.html#group12C0", "12C⁰"), =HYPERLINK("CSG5.html#group96A5", "96A⁵"), =HYPERLINK("CSG0.html#group4C0", "4C⁰"), =HYPERLINK("CSG0.html#group8B0", "8B⁰"), =HYPERLINK("CSG2.html#group24P2", "24P²"), =HYPERLINK("CSG0.html#group48A0", "48A⁰"), =HYPERLINK("CSG1.html#group12M1", "12M¹"), =HYPERLINK("CSG0.html#group2B0", "2B⁰"), =HYPERLINK("CSG5.html#group48G5", "48G⁵"), =HYPERLINK("CSG0.html#group1A0", "1A⁰"), =HYPERLINK("CSG0.html#group16B0", "16B⁰"), =HYPERLINK("CSG0.html#group24A0", "24A⁰"), =HYPERLINK("CSG7.html#group96A7", "96A⁷"), =HYPERLINK("CSG3.html#group48F3", "48F³"), =HYPERLINK("CSG0.html#group3A0", "3A⁰"), =HYPERLINK("CSG0.html#group6D0", "6D⁰")</f>
        <v/>
      </c>
      <c r="N5138" t="inlineStr"/>
    </row>
    <row r="5139">
      <c r="A5139" t="inlineStr">
        <is>
          <t>96AE¹⁷</t>
        </is>
      </c>
      <c r="B5139" t="inlineStr"/>
      <c r="C5139" t="inlineStr">
        <is>
          <t>288</t>
        </is>
      </c>
      <c r="D5139" t="inlineStr">
        <is>
          <t>2</t>
        </is>
      </c>
      <c r="E5139" t="inlineStr">
        <is>
          <t>36</t>
        </is>
      </c>
      <c r="F5139" t="inlineStr">
        <is>
          <t>24</t>
        </is>
      </c>
      <c r="G5139" t="inlineStr">
        <is>
          <t>0</t>
        </is>
      </c>
      <c r="H5139" t="inlineStr">
        <is>
          <t>48², 96²</t>
        </is>
      </c>
      <c r="I5139" t="n">
        <v>4</v>
      </c>
      <c r="J5139" t="inlineStr">
        <is>
          <t>2⁸, 4¹⁰, 8²</t>
        </is>
      </c>
      <c r="K5139">
        <f>HYPERLINK("CSG5.html#group48F5", "48F⁵"), =HYPERLINK("CSG5.html#group96A5", "96A⁵"), =HYPERLINK("CSG7.html#group96A7", "96A⁷")</f>
        <v/>
      </c>
      <c r="L5139" t="inlineStr"/>
      <c r="M5139">
        <f>HYPERLINK("CSG5.html#group48F5", "48F⁵"), =HYPERLINK("CSG0.html#group12C0", "12C⁰"), =HYPERLINK("CSG5.html#group96A5", "96A⁵"), =HYPERLINK("CSG0.html#group4C0", "4C⁰"), =HYPERLINK("CSG0.html#group8B0", "8B⁰"), =HYPERLINK("CSG0.html#group48A0", "48A⁰"), =HYPERLINK("CSG0.html#group8L0", "8L⁰"), =HYPERLINK("CSG0.html#group2B0", "2B⁰"), =HYPERLINK("CSG1.html#group16J1", "16J¹"), =HYPERLINK("CSG0.html#group1A0", "1A⁰"), =HYPERLINK("CSG0.html#group16B0", "16B⁰"), =HYPERLINK("CSG1.html#group16D1", "16D¹"), =HYPERLINK("CSG3.html#group48E3", "48E³"), =HYPERLINK("CSG0.html#group24A0", "24A⁰"), =HYPERLINK("CSG7.html#group96A7", "96A⁷"), =HYPERLINK("CSG2.html#group24M2", "24M²"), =HYPERLINK("CSG0.html#group3A0", "3A⁰"), =HYPERLINK("CSG0.html#group6D0", "6D⁰")</f>
        <v/>
      </c>
      <c r="N5139" t="inlineStr"/>
    </row>
    <row r="5140">
      <c r="A5140" t="inlineStr">
        <is>
          <t>96AF¹⁷</t>
        </is>
      </c>
      <c r="B5140" t="inlineStr"/>
      <c r="C5140" t="inlineStr">
        <is>
          <t>288</t>
        </is>
      </c>
      <c r="D5140" t="inlineStr">
        <is>
          <t>2</t>
        </is>
      </c>
      <c r="E5140" t="inlineStr">
        <is>
          <t>36</t>
        </is>
      </c>
      <c r="F5140" t="inlineStr">
        <is>
          <t>24</t>
        </is>
      </c>
      <c r="G5140" t="inlineStr">
        <is>
          <t>0</t>
        </is>
      </c>
      <c r="H5140" t="inlineStr">
        <is>
          <t>48², 96²</t>
        </is>
      </c>
      <c r="I5140" t="n">
        <v>4</v>
      </c>
      <c r="J5140" t="inlineStr">
        <is>
          <t>4²⁴, 8⁶</t>
        </is>
      </c>
      <c r="K5140">
        <f>HYPERLINK("CSG5.html#group48H5", "48H⁵"), =HYPERLINK("CSG5.html#group96A5", "96A⁵"), =HYPERLINK("CSG7.html#group96A7", "96A⁷")</f>
        <v/>
      </c>
      <c r="L5140" t="inlineStr"/>
      <c r="M5140">
        <f>HYPERLINK("CSG0.html#group16B0", "16B⁰"), =HYPERLINK("CSG0.html#group12C0", "12C⁰"), =HYPERLINK("CSG0.html#group24A0", "24A⁰"), =HYPERLINK("CSG5.html#group96A5", "96A⁵"), =HYPERLINK("CSG7.html#group96A7", "96A⁷"), =HYPERLINK("CSG0.html#group4C0", "4C⁰"), =HYPERLINK("CSG0.html#group8B0", "8B⁰"), =HYPERLINK("CSG2.html#group24Q2", "24Q²"), =HYPERLINK("CSG5.html#group48H5", "48H⁵"), =HYPERLINK("CSG0.html#group48A0", "48A⁰"), =HYPERLINK("CSG0.html#group2B0", "2B⁰"), =HYPERLINK("CSG0.html#group3A0", "3A⁰"), =HYPERLINK("CSG0.html#group1A0", "1A⁰"), =HYPERLINK("CSG3.html#group48H3", "48H³"), =HYPERLINK("CSG0.html#group6D0", "6D⁰")</f>
        <v/>
      </c>
      <c r="N5140" t="inlineStr"/>
    </row>
    <row r="5141">
      <c r="A5141" t="inlineStr">
        <is>
          <t>96AG¹⁷</t>
        </is>
      </c>
      <c r="B5141" t="inlineStr"/>
      <c r="C5141" t="inlineStr">
        <is>
          <t>288</t>
        </is>
      </c>
      <c r="D5141" t="inlineStr">
        <is>
          <t>2</t>
        </is>
      </c>
      <c r="E5141" t="inlineStr">
        <is>
          <t>36</t>
        </is>
      </c>
      <c r="F5141" t="inlineStr">
        <is>
          <t>24</t>
        </is>
      </c>
      <c r="G5141" t="inlineStr">
        <is>
          <t>0</t>
        </is>
      </c>
      <c r="H5141" t="inlineStr">
        <is>
          <t>48², 96²</t>
        </is>
      </c>
      <c r="I5141" t="n">
        <v>4</v>
      </c>
      <c r="J5141" t="inlineStr">
        <is>
          <t>4²⁴, 8⁶</t>
        </is>
      </c>
      <c r="K5141">
        <f>HYPERLINK("CSG5.html#group48H5", "48H⁵"), =HYPERLINK("CSG5.html#group96A5", "96A⁵"), =HYPERLINK("CSG7.html#group96A7", "96A⁷")</f>
        <v/>
      </c>
      <c r="L5141" t="inlineStr"/>
      <c r="M5141">
        <f>HYPERLINK("CSG0.html#group16B0", "16B⁰"), =HYPERLINK("CSG0.html#group12C0", "12C⁰"), =HYPERLINK("CSG0.html#group24A0", "24A⁰"), =HYPERLINK("CSG5.html#group96A5", "96A⁵"), =HYPERLINK("CSG7.html#group96A7", "96A⁷"), =HYPERLINK("CSG0.html#group4C0", "4C⁰"), =HYPERLINK("CSG0.html#group8B0", "8B⁰"), =HYPERLINK("CSG2.html#group24Q2", "24Q²"), =HYPERLINK("CSG5.html#group48H5", "48H⁵"), =HYPERLINK("CSG0.html#group48A0", "48A⁰"), =HYPERLINK("CSG0.html#group2B0", "2B⁰"), =HYPERLINK("CSG0.html#group3A0", "3A⁰"), =HYPERLINK("CSG0.html#group1A0", "1A⁰"), =HYPERLINK("CSG3.html#group48H3", "48H³"), =HYPERLINK("CSG0.html#group6D0", "6D⁰")</f>
        <v/>
      </c>
      <c r="N5141" t="inlineStr"/>
    </row>
    <row r="5142">
      <c r="A5142" t="inlineStr">
        <is>
          <t>96AH¹⁷</t>
        </is>
      </c>
      <c r="B5142" t="inlineStr"/>
      <c r="C5142" t="inlineStr">
        <is>
          <t>384</t>
        </is>
      </c>
      <c r="D5142" t="inlineStr">
        <is>
          <t>1</t>
        </is>
      </c>
      <c r="E5142" t="inlineStr">
        <is>
          <t>48</t>
        </is>
      </c>
      <c r="F5142" t="inlineStr">
        <is>
          <t>0</t>
        </is>
      </c>
      <c r="G5142" t="inlineStr">
        <is>
          <t>0</t>
        </is>
      </c>
      <c r="H5142" t="inlineStr">
        <is>
          <t>1⁸, 2⁴, 3⁸, 6⁴, 8², 24², 32², 96²</t>
        </is>
      </c>
      <c r="I5142" t="n">
        <v>32</v>
      </c>
      <c r="J5142" t="inlineStr">
        <is>
          <t>1⁸, 2⁸, 4⁴, 8¹</t>
        </is>
      </c>
      <c r="K5142">
        <f>HYPERLINK("CSG5.html#group48I5", "48I⁵"), =HYPERLINK("CSG9.html#group96L9", "96L⁹"), =HYPERLINK("CSG9.html#group96M9", "96M⁹")</f>
        <v/>
      </c>
      <c r="L5142" t="inlineStr"/>
      <c r="M5142">
        <f>HYPERLINK("CSG0.html#group3B0", "3B⁰"), =HYPERLINK("CSG9.html#group96M9", "96M⁹"), =HYPERLINK("CSG5.html#group48I5", "48I⁵"), =HYPERLINK("CSG9.html#group96L9", "96L⁹"), =HYPERLINK("CSG1.html#group24G1", "24G¹"), =HYPERLINK("CSG0.html#group12J0", "12J⁰"), =HYPERLINK("CSG0.html#group2B0", "2B⁰"), =HYPERLINK("CSG0.html#group8C0", "8C⁰"), =HYPERLINK("CSG0.html#group4B0", "4B⁰"), =HYPERLINK("CSG0.html#group1A0", "1A⁰"), =HYPERLINK("CSG1.html#group24J1", "24J¹"), =HYPERLINK("CSG1.html#group32A1", "32A¹"), =HYPERLINK("CSG0.html#group24B0", "24B⁰"), =HYPERLINK("CSG3.html#group48J3", "48J³"), =HYPERLINK("CSG0.html#group16C0", "16C⁰"), =HYPERLINK("CSG3.html#group48I3", "48I³"), =HYPERLINK("CSG0.html#group6F0", "6F⁰"), =HYPERLINK("CSG0.html#group12E0", "12E⁰")</f>
        <v/>
      </c>
      <c r="N5142" t="inlineStr"/>
    </row>
    <row r="5143">
      <c r="A5143" t="inlineStr">
        <is>
          <t>96AI¹⁷</t>
        </is>
      </c>
      <c r="B5143" t="inlineStr"/>
      <c r="C5143" t="inlineStr">
        <is>
          <t>384</t>
        </is>
      </c>
      <c r="D5143" t="inlineStr">
        <is>
          <t>1</t>
        </is>
      </c>
      <c r="E5143" t="inlineStr">
        <is>
          <t>48</t>
        </is>
      </c>
      <c r="F5143" t="inlineStr">
        <is>
          <t>0</t>
        </is>
      </c>
      <c r="G5143" t="inlineStr">
        <is>
          <t>0</t>
        </is>
      </c>
      <c r="H5143" t="inlineStr">
        <is>
          <t>1⁸, 2⁴, 3⁸, 6⁴, 8², 24², 32², 96²</t>
        </is>
      </c>
      <c r="I5143" t="n">
        <v>32</v>
      </c>
      <c r="J5143" t="inlineStr">
        <is>
          <t>1⁸, 2⁸, 4⁴, 8¹</t>
        </is>
      </c>
      <c r="K5143">
        <f>HYPERLINK("CSG7.html#group48AN7", "48AN⁷"), =HYPERLINK("CSG7.html#group96B7", "96B⁷"), =HYPERLINK("CSG9.html#group96M9", "96M⁹")</f>
        <v/>
      </c>
      <c r="L5143" t="inlineStr"/>
      <c r="M5143">
        <f>HYPERLINK("CSG0.html#group3B0", "3B⁰"), =HYPERLINK("CSG3.html#group24X3", "24X³"), =HYPERLINK("CSG7.html#group48AN7", "48AN⁷"), =HYPERLINK("CSG9.html#group96M9", "96M⁹"), =HYPERLINK("CSG1.html#group32A1", "32A¹"), =HYPERLINK("CSG0.html#group4B0", "4B⁰"), =HYPERLINK("CSG3.html#group48J3", "48J³"), =HYPERLINK("CSG0.html#group16C0", "16C⁰"), =HYPERLINK("CSG1.html#group24G1", "24G¹"), =HYPERLINK("CSG3.html#group48K3", "48K³"), =HYPERLINK("CSG0.html#group6F0", "6F⁰"), =HYPERLINK("CSG0.html#group8C0", "8C⁰"), =HYPERLINK("CSG0.html#group2B0", "2B⁰"), =HYPERLINK("CSG7.html#group96B7", "96B⁷"), =HYPERLINK("CSG0.html#group1A0", "1A⁰"), =HYPERLINK("CSG0.html#group12E0", "12E⁰")</f>
        <v/>
      </c>
      <c r="N5143" t="inlineStr"/>
    </row>
    <row r="5144">
      <c r="A5144" t="inlineStr">
        <is>
          <t>96AJ¹⁷</t>
        </is>
      </c>
      <c r="B5144" t="inlineStr"/>
      <c r="C5144" t="inlineStr">
        <is>
          <t>384</t>
        </is>
      </c>
      <c r="D5144" t="inlineStr">
        <is>
          <t>1</t>
        </is>
      </c>
      <c r="E5144" t="inlineStr">
        <is>
          <t>48</t>
        </is>
      </c>
      <c r="F5144" t="inlineStr">
        <is>
          <t>0</t>
        </is>
      </c>
      <c r="G5144" t="inlineStr">
        <is>
          <t>0</t>
        </is>
      </c>
      <c r="H5144" t="inlineStr">
        <is>
          <t>1⁸, 2⁴, 3⁸, 6⁴, 8², 24², 32², 96²</t>
        </is>
      </c>
      <c r="I5144" t="n">
        <v>32</v>
      </c>
      <c r="J5144" t="inlineStr">
        <is>
          <t>1⁸, 2⁸, 4⁴, 8¹</t>
        </is>
      </c>
      <c r="K5144">
        <f>HYPERLINK("CSG7.html#group48AN7", "48AN⁷"), =HYPERLINK("CSG7.html#group96C7", "96C⁷"), =HYPERLINK("CSG9.html#group96L9", "96L⁹")</f>
        <v/>
      </c>
      <c r="L5144" t="inlineStr"/>
      <c r="M5144">
        <f>HYPERLINK("CSG7.html#group96C7", "96C⁷"), =HYPERLINK("CSG0.html#group3B0", "3B⁰"), =HYPERLINK("CSG3.html#group24X3", "24X³"), =HYPERLINK("CSG7.html#group48AN7", "48AN⁷"), =HYPERLINK("CSG3.html#group48J3", "48J³"), =HYPERLINK("CSG9.html#group96L9", "96L⁹"), =HYPERLINK("CSG0.html#group16C0", "16C⁰"), =HYPERLINK("CSG1.html#group24G1", "24G¹"), =HYPERLINK("CSG0.html#group32A0", "32A⁰"), =HYPERLINK("CSG0.html#group6F0", "6F⁰"), =HYPERLINK("CSG3.html#group48K3", "48K³"), =HYPERLINK("CSG0.html#group8C0", "8C⁰"), =HYPERLINK("CSG0.html#group2B0", "2B⁰"), =HYPERLINK("CSG0.html#group4B0", "4B⁰"), =HYPERLINK("CSG0.html#group1A0", "1A⁰"), =HYPERLINK("CSG0.html#group12E0", "12E⁰")</f>
        <v/>
      </c>
      <c r="N5144" t="inlineStr"/>
    </row>
    <row r="5145">
      <c r="A5145" t="inlineStr">
        <is>
          <t>96AK¹⁷</t>
        </is>
      </c>
      <c r="B5145" t="inlineStr"/>
      <c r="C5145" t="inlineStr">
        <is>
          <t>384</t>
        </is>
      </c>
      <c r="D5145" t="inlineStr">
        <is>
          <t>1</t>
        </is>
      </c>
      <c r="E5145" t="inlineStr">
        <is>
          <t>48</t>
        </is>
      </c>
      <c r="F5145" t="inlineStr">
        <is>
          <t>0</t>
        </is>
      </c>
      <c r="G5145" t="inlineStr">
        <is>
          <t>0</t>
        </is>
      </c>
      <c r="H5145" t="inlineStr">
        <is>
          <t>1⁸, 2⁴, 3⁸, 6⁴, 8², 24², 32², 96²</t>
        </is>
      </c>
      <c r="I5145" t="n">
        <v>32</v>
      </c>
      <c r="J5145" t="inlineStr">
        <is>
          <t>1⁸, 2⁸, 4⁴, 8¹</t>
        </is>
      </c>
      <c r="K5145">
        <f>HYPERLINK("CSG7.html#group48AP7", "48AP⁷"), =HYPERLINK("CSG7.html#group96B7", "96B⁷"), =HYPERLINK("CSG9.html#group96L9", "96L⁹")</f>
        <v/>
      </c>
      <c r="L5145" t="inlineStr"/>
      <c r="M5145">
        <f>HYPERLINK("CSG0.html#group3B0", "3B⁰"), =HYPERLINK("CSG9.html#group96L9", "96L⁹"), =HYPERLINK("CSG1.html#group24G1", "24G¹"), =HYPERLINK("CSG0.html#group8C0", "8C⁰"), =HYPERLINK("CSG0.html#group2B0", "2B⁰"), =HYPERLINK("CSG0.html#group8I0", "8I⁰"), =HYPERLINK("CSG0.html#group4B0", "4B⁰"), =HYPERLINK("CSG7.html#group96B7", "96B⁷"), =HYPERLINK("CSG0.html#group1A0", "1A⁰"), =HYPERLINK("CSG0.html#group16H0", "16H⁰"), =HYPERLINK("CSG3.html#group48J3", "48J³"), =HYPERLINK("CSG0.html#group16C0", "16C⁰"), =HYPERLINK("CSG0.html#group16D0", "16D⁰"), =HYPERLINK("CSG3.html#group24Y3", "24Y³"), =HYPERLINK("CSG0.html#group6F0", "6F⁰"), =HYPERLINK("CSG7.html#group48AP7", "48AP⁷"), =HYPERLINK("CSG0.html#group12E0", "12E⁰"), =HYPERLINK("CSG3.html#group48L3", "48L³")</f>
        <v/>
      </c>
      <c r="N5145" t="inlineStr"/>
    </row>
    <row r="5146">
      <c r="A5146" t="inlineStr">
        <is>
          <t>96AL¹⁷</t>
        </is>
      </c>
      <c r="B5146" t="inlineStr"/>
      <c r="C5146" t="inlineStr">
        <is>
          <t>384</t>
        </is>
      </c>
      <c r="D5146" t="inlineStr">
        <is>
          <t>1</t>
        </is>
      </c>
      <c r="E5146" t="inlineStr">
        <is>
          <t>48</t>
        </is>
      </c>
      <c r="F5146" t="inlineStr">
        <is>
          <t>0</t>
        </is>
      </c>
      <c r="G5146" t="inlineStr">
        <is>
          <t>0</t>
        </is>
      </c>
      <c r="H5146" t="inlineStr">
        <is>
          <t>1⁸, 2⁴, 3⁸, 6⁴, 8², 24², 32², 96²</t>
        </is>
      </c>
      <c r="I5146" t="n">
        <v>32</v>
      </c>
      <c r="J5146" t="inlineStr">
        <is>
          <t>1⁸, 2⁸, 4⁴, 8¹</t>
        </is>
      </c>
      <c r="K5146">
        <f>HYPERLINK("CSG1.html#group32E1", "32E¹"), =HYPERLINK("CSG7.html#group48AP7", "48AP⁷"), =HYPERLINK("CSG7.html#group96C7", "96C⁷"), =HYPERLINK("CSG9.html#group96M9", "96M⁹")</f>
        <v/>
      </c>
      <c r="L5146" t="inlineStr"/>
      <c r="M5146">
        <f>HYPERLINK("CSG7.html#group96C7", "96C⁷"), =HYPERLINK("CSG0.html#group3B0", "3B⁰"), =HYPERLINK("CSG9.html#group96M9", "96M⁹"), =HYPERLINK("CSG1.html#group24G1", "24G¹"), =HYPERLINK("CSG0.html#group8C0", "8C⁰"), =HYPERLINK("CSG0.html#group2B0", "2B⁰"), =HYPERLINK("CSG0.html#group8I0", "8I⁰"), =HYPERLINK("CSG0.html#group4B0", "4B⁰"), =HYPERLINK("CSG0.html#group1A0", "1A⁰"), =HYPERLINK("CSG0.html#group16H0", "16H⁰"), =HYPERLINK("CSG1.html#group32A1", "32A¹"), =HYPERLINK("CSG1.html#group32E1", "32E¹"), =HYPERLINK("CSG3.html#group48J3", "48J³"), =HYPERLINK("CSG0.html#group16C0", "16C⁰"), =HYPERLINK("CSG0.html#group16D0", "16D⁰"), =HYPERLINK("CSG0.html#group32A0", "32A⁰"), =HYPERLINK("CSG3.html#group24Y3", "24Y³"), =HYPERLINK("CSG0.html#group6F0", "6F⁰"), =HYPERLINK("CSG7.html#group48AP7", "48AP⁷"), =HYPERLINK("CSG0.html#group12E0", "12E⁰"), =HYPERLINK("CSG3.html#group48L3", "48L³")</f>
        <v/>
      </c>
      <c r="N5146" t="inlineStr"/>
    </row>
    <row r="5147">
      <c r="A5147" t="inlineStr">
        <is>
          <t>98A¹⁷</t>
        </is>
      </c>
      <c r="B5147" t="inlineStr"/>
      <c r="C5147" t="inlineStr">
        <is>
          <t>336</t>
        </is>
      </c>
      <c r="D5147" t="inlineStr">
        <is>
          <t>1</t>
        </is>
      </c>
      <c r="E5147" t="inlineStr">
        <is>
          <t>8</t>
        </is>
      </c>
      <c r="F5147" t="inlineStr">
        <is>
          <t>0</t>
        </is>
      </c>
      <c r="G5147" t="inlineStr">
        <is>
          <t>0</t>
        </is>
      </c>
      <c r="H5147" t="inlineStr">
        <is>
          <t>2²¹, 98³</t>
        </is>
      </c>
      <c r="I5147" t="n">
        <v>24</v>
      </c>
      <c r="J5147" t="inlineStr">
        <is>
          <t>1², 6¹</t>
        </is>
      </c>
      <c r="K5147">
        <f>HYPERLINK("CSG2.html#group14D2", "14D²"), =HYPERLINK("CSG3.html#group49A3", "49A³"), =HYPERLINK("CSG5.html#group98A5", "98A⁵")</f>
        <v/>
      </c>
      <c r="L5147" t="inlineStr"/>
      <c r="M5147">
        <f>HYPERLINK("CSG0.html#group2A0", "2A⁰"), =HYPERLINK("CSG5.html#group98A5", "98A⁵"), =HYPERLINK("CSG0.html#group7B0", "7B⁰"), =HYPERLINK("CSG2.html#group14D2", "14D²"), =HYPERLINK("CSG1.html#group49A1", "49A¹"), =HYPERLINK("CSG0.html#group14B0", "14B⁰"), =HYPERLINK("CSG0.html#group7E0", "7E⁰"), =HYPERLINK("CSG0.html#group1A0", "1A⁰"), =HYPERLINK("CSG3.html#group49A3", "49A³")</f>
        <v/>
      </c>
      <c r="N5147" t="inlineStr"/>
    </row>
    <row r="5148">
      <c r="A5148" t="inlineStr">
        <is>
          <t>98B¹⁷</t>
        </is>
      </c>
      <c r="B5148" t="inlineStr"/>
      <c r="C5148" t="inlineStr">
        <is>
          <t>336</t>
        </is>
      </c>
      <c r="D5148" t="inlineStr">
        <is>
          <t>1</t>
        </is>
      </c>
      <c r="E5148" t="inlineStr">
        <is>
          <t>56</t>
        </is>
      </c>
      <c r="F5148" t="inlineStr">
        <is>
          <t>0</t>
        </is>
      </c>
      <c r="G5148" t="inlineStr">
        <is>
          <t>0</t>
        </is>
      </c>
      <c r="H5148" t="inlineStr">
        <is>
          <t>2²¹, 98³</t>
        </is>
      </c>
      <c r="I5148" t="n">
        <v>24</v>
      </c>
      <c r="J5148" t="inlineStr">
        <is>
          <t>1², 6², 42¹</t>
        </is>
      </c>
      <c r="K5148">
        <f>HYPERLINK("CSG2.html#group14E2", "14E²"), =HYPERLINK("CSG5.html#group98A5", "98A⁵"), =HYPERLINK("CSG7.html#group98A7", "98A⁷")</f>
        <v/>
      </c>
      <c r="L5148" t="inlineStr"/>
      <c r="M5148">
        <f>HYPERLINK("CSG0.html#group2A0", "2A⁰"), =HYPERLINK("CSG7.html#group98A7", "98A⁷"), =HYPERLINK("CSG5.html#group98A5", "98A⁵"), =HYPERLINK("CSG0.html#group7B0", "7B⁰"), =HYPERLINK("CSG0.html#group14B0", "14B⁰"), =HYPERLINK("CSG1.html#group49A1", "49A¹"), =HYPERLINK("CSG1.html#group14C1", "14C¹"), =HYPERLINK("CSG0.html#group2B0", "2B⁰"), =HYPERLINK("CSG2.html#group14E2", "14E²"), =HYPERLINK("CSG0.html#group1A0", "1A⁰"), =HYPERLINK("CSG0.html#group2C0", "2C⁰")</f>
        <v/>
      </c>
      <c r="N5148" t="inlineStr"/>
    </row>
    <row r="5149">
      <c r="A5149" t="inlineStr">
        <is>
          <t>99A¹⁷</t>
        </is>
      </c>
      <c r="B5149" t="inlineStr"/>
      <c r="C5149" t="inlineStr">
        <is>
          <t>216</t>
        </is>
      </c>
      <c r="D5149" t="inlineStr">
        <is>
          <t>1</t>
        </is>
      </c>
      <c r="E5149" t="inlineStr">
        <is>
          <t>36</t>
        </is>
      </c>
      <c r="F5149" t="inlineStr">
        <is>
          <t>0</t>
        </is>
      </c>
      <c r="G5149" t="inlineStr">
        <is>
          <t>0</t>
        </is>
      </c>
      <c r="H5149" t="inlineStr">
        <is>
          <t>9², 99²</t>
        </is>
      </c>
      <c r="I5149" t="n">
        <v>4</v>
      </c>
      <c r="J5149" t="inlineStr">
        <is>
          <t>1², 2², 10¹, 20¹</t>
        </is>
      </c>
      <c r="K5149">
        <f>HYPERLINK("CSG0.html#group9D0", "9D⁰"), =HYPERLINK("CSG5.html#group33A5", "33A⁵"), =HYPERLINK("CSG9.html#group99A9", "99A⁹")</f>
        <v/>
      </c>
      <c r="L5149" t="inlineStr"/>
      <c r="M5149">
        <f>HYPERLINK("CSG0.html#group9D0", "9D⁰"), =HYPERLINK("CSG1.html#group11A1", "11A¹"), =HYPERLINK("CSG0.html#group9A0", "9A⁰"), =HYPERLINK("CSG5.html#group33A5", "33A⁵"), =HYPERLINK("CSG0.html#group3C0", "3C⁰"), =HYPERLINK("CSG9.html#group99A9", "99A⁹"), =HYPERLINK("CSG0.html#group3A0", "3A⁰"), =HYPERLINK("CSG3.html#group33A3", "33A³"), =HYPERLINK("CSG0.html#group1A0", "1A⁰")</f>
        <v/>
      </c>
      <c r="N5149" t="inlineStr"/>
    </row>
    <row r="5150">
      <c r="A5150" t="inlineStr">
        <is>
          <t>99B¹⁷</t>
        </is>
      </c>
      <c r="B5150" t="inlineStr"/>
      <c r="C5150" t="inlineStr">
        <is>
          <t>216</t>
        </is>
      </c>
      <c r="D5150" t="inlineStr">
        <is>
          <t>2</t>
        </is>
      </c>
      <c r="E5150" t="inlineStr">
        <is>
          <t>108</t>
        </is>
      </c>
      <c r="F5150" t="inlineStr">
        <is>
          <t>0</t>
        </is>
      </c>
      <c r="G5150" t="inlineStr">
        <is>
          <t>0</t>
        </is>
      </c>
      <c r="H5150" t="inlineStr">
        <is>
          <t>9², 99²</t>
        </is>
      </c>
      <c r="I5150" t="n">
        <v>4</v>
      </c>
      <c r="J5150" t="inlineStr">
        <is>
          <t>2⁶, 6⁴, 20³, 60²</t>
        </is>
      </c>
      <c r="K5150">
        <f>HYPERLINK("CSG1.html#group9B1", "9B¹"), =HYPERLINK("CSG5.html#group33A5", "33A⁵"), =HYPERLINK("CSG9.html#group99A9", "99A⁹")</f>
        <v/>
      </c>
      <c r="L5150" t="inlineStr"/>
      <c r="M5150">
        <f>HYPERLINK("CSG1.html#group11A1", "11A¹"), =HYPERLINK("CSG0.html#group9A0", "9A⁰"), =HYPERLINK("CSG5.html#group33A5", "33A⁵"), =HYPERLINK("CSG0.html#group3C0", "3C⁰"), =HYPERLINK("CSG9.html#group99A9", "99A⁹"), =HYPERLINK("CSG0.html#group3A0", "3A⁰"), =HYPERLINK("CSG3.html#group33A3", "33A³"), =HYPERLINK("CSG0.html#group1A0", "1A⁰"), =HYPERLINK("CSG1.html#group9B1", "9B¹")</f>
        <v/>
      </c>
      <c r="N5150" t="inlineStr"/>
    </row>
    <row r="5151">
      <c r="A5151" t="inlineStr">
        <is>
          <t>99C¹⁷</t>
        </is>
      </c>
      <c r="B5151" t="inlineStr"/>
      <c r="C5151" t="inlineStr">
        <is>
          <t>288</t>
        </is>
      </c>
      <c r="D5151" t="inlineStr">
        <is>
          <t>1</t>
        </is>
      </c>
      <c r="E5151" t="inlineStr">
        <is>
          <t>48</t>
        </is>
      </c>
      <c r="F5151" t="inlineStr">
        <is>
          <t>0</t>
        </is>
      </c>
      <c r="G5151" t="inlineStr">
        <is>
          <t>0</t>
        </is>
      </c>
      <c r="H5151" t="inlineStr">
        <is>
          <t>1⁶, 9², 11⁶, 99²</t>
        </is>
      </c>
      <c r="I5151" t="n">
        <v>16</v>
      </c>
      <c r="J5151" t="inlineStr">
        <is>
          <t>1⁴, 2², 10², 20¹</t>
        </is>
      </c>
      <c r="K5151">
        <f>HYPERLINK("CSG5.html#group33B5", "33B⁵"), =HYPERLINK("CSG9.html#group99C9", "99C⁹")</f>
        <v/>
      </c>
      <c r="L5151" t="inlineStr"/>
      <c r="M5151">
        <f>HYPERLINK("CSG5.html#group33B5", "33B⁵"), =HYPERLINK("CSG0.html#group3B0", "3B⁰"), =HYPERLINK("CSG1.html#group11A1", "11A¹"), =HYPERLINK("CSG0.html#group9B0", "9B⁰"), =HYPERLINK("CSG9.html#group99C9", "99C⁹"), =HYPERLINK("CSG0.html#group1A0", "1A⁰"), =HYPERLINK("CSG3.html#group33C3", "33C³")</f>
        <v/>
      </c>
      <c r="N5151" t="inlineStr"/>
    </row>
    <row r="5152">
      <c r="A5152" t="inlineStr">
        <is>
          <t>100A¹⁷</t>
        </is>
      </c>
      <c r="B5152" t="inlineStr"/>
      <c r="C5152" t="inlineStr">
        <is>
          <t>240</t>
        </is>
      </c>
      <c r="D5152" t="inlineStr">
        <is>
          <t>1</t>
        </is>
      </c>
      <c r="E5152" t="inlineStr">
        <is>
          <t>120</t>
        </is>
      </c>
      <c r="F5152" t="inlineStr">
        <is>
          <t>8</t>
        </is>
      </c>
      <c r="G5152" t="inlineStr">
        <is>
          <t>0</t>
        </is>
      </c>
      <c r="H5152" t="inlineStr">
        <is>
          <t>20², 100²</t>
        </is>
      </c>
      <c r="I5152" t="n">
        <v>4</v>
      </c>
      <c r="J5152" t="inlineStr">
        <is>
          <t>4⁴, 8⁸, 40⁴</t>
        </is>
      </c>
      <c r="K5152">
        <f>HYPERLINK("CSG1.html#group20G1", "20G¹"), =HYPERLINK("CSG4.html#group50A4", "50A⁴"), =HYPERLINK("CSG9.html#group100A9", "100A⁹")</f>
        <v/>
      </c>
      <c r="L5152" t="inlineStr"/>
      <c r="M5152">
        <f>HYPERLINK("CSG9.html#group100A9", "100A⁹"), =HYPERLINK("CSG2.html#group25A2", "25A²"), =HYPERLINK("CSG0.html#group4A0", "4A⁰"), =HYPERLINK("CSG1.html#group20G1", "20G¹"), =HYPERLINK("CSG0.html#group5B0", "5B⁰"), =HYPERLINK("CSG0.html#group1A0", "1A⁰"), =HYPERLINK("CSG4.html#group50A4", "50A⁴"), =HYPERLINK("CSG1.html#group20B1", "20B¹"), =HYPERLINK("CSG0.html#group10B0", "10B⁰")</f>
        <v/>
      </c>
      <c r="N5152" t="inlineStr"/>
    </row>
    <row r="5153">
      <c r="A5153" t="inlineStr">
        <is>
          <t>100B¹⁷</t>
        </is>
      </c>
      <c r="B5153" t="inlineStr"/>
      <c r="C5153" t="inlineStr">
        <is>
          <t>240</t>
        </is>
      </c>
      <c r="D5153" t="inlineStr">
        <is>
          <t>1</t>
        </is>
      </c>
      <c r="E5153" t="inlineStr">
        <is>
          <t>120</t>
        </is>
      </c>
      <c r="F5153" t="inlineStr">
        <is>
          <t>8</t>
        </is>
      </c>
      <c r="G5153" t="inlineStr">
        <is>
          <t>0</t>
        </is>
      </c>
      <c r="H5153" t="inlineStr">
        <is>
          <t>20², 100²</t>
        </is>
      </c>
      <c r="I5153" t="n">
        <v>4</v>
      </c>
      <c r="J5153" t="inlineStr">
        <is>
          <t>4⁴, 8⁸, 40⁴</t>
        </is>
      </c>
      <c r="K5153">
        <f>HYPERLINK("CSG1.html#group20G1", "20G¹"), =HYPERLINK("CSG4.html#group50B4", "50B⁴"), =HYPERLINK("CSG9.html#group100B9", "100B⁹")</f>
        <v/>
      </c>
      <c r="L5153" t="inlineStr"/>
      <c r="M5153">
        <f>HYPERLINK("CSG4.html#group50B4", "50B⁴"), =HYPERLINK("CSG0.html#group4A0", "4A⁰"), =HYPERLINK("CSG9.html#group100B9", "100B⁹"), =HYPERLINK("CSG1.html#group20G1", "20G¹"), =HYPERLINK("CSG0.html#group5B0", "5B⁰"), =HYPERLINK("CSG0.html#group1A0", "1A⁰"), =HYPERLINK("CSG1.html#group20B1", "20B¹"), =HYPERLINK("CSG2.html#group25B2", "25B²"), =HYPERLINK("CSG0.html#group10B0", "10B⁰")</f>
        <v/>
      </c>
      <c r="N5153" t="inlineStr"/>
    </row>
    <row r="5154">
      <c r="A5154" t="inlineStr">
        <is>
          <t>100C¹⁷</t>
        </is>
      </c>
      <c r="B5154" t="inlineStr"/>
      <c r="C5154" t="inlineStr">
        <is>
          <t>240</t>
        </is>
      </c>
      <c r="D5154" t="inlineStr">
        <is>
          <t>1</t>
        </is>
      </c>
      <c r="E5154" t="inlineStr">
        <is>
          <t>120</t>
        </is>
      </c>
      <c r="F5154" t="inlineStr">
        <is>
          <t>8</t>
        </is>
      </c>
      <c r="G5154" t="inlineStr">
        <is>
          <t>0</t>
        </is>
      </c>
      <c r="H5154" t="inlineStr">
        <is>
          <t>20², 100²</t>
        </is>
      </c>
      <c r="I5154" t="n">
        <v>4</v>
      </c>
      <c r="J5154" t="inlineStr">
        <is>
          <t>4⁴, 8⁸, 40⁴</t>
        </is>
      </c>
      <c r="K5154">
        <f>HYPERLINK("CSG1.html#group20G1", "20G¹"), =HYPERLINK("CSG4.html#group50C4", "50C⁴"), =HYPERLINK("CSG9.html#group100C9", "100C⁹")</f>
        <v/>
      </c>
      <c r="L5154" t="inlineStr"/>
      <c r="M5154">
        <f>HYPERLINK("CSG0.html#group4A0", "4A⁰"), =HYPERLINK("CSG1.html#group20G1", "20G¹"), =HYPERLINK("CSG0.html#group5B0", "5B⁰"), =HYPERLINK("CSG4.html#group50C4", "50C⁴"), =HYPERLINK("CSG0.html#group1A0", "1A⁰"), =HYPERLINK("CSG2.html#group25C2", "25C²"), =HYPERLINK("CSG1.html#group20B1", "20B¹"), =HYPERLINK("CSG9.html#group100C9", "100C⁹"), =HYPERLINK("CSG0.html#group10B0", "10B⁰")</f>
        <v/>
      </c>
      <c r="N5154" t="inlineStr"/>
    </row>
    <row r="5155">
      <c r="A5155" t="inlineStr">
        <is>
          <t>100D¹⁷</t>
        </is>
      </c>
      <c r="B5155" t="inlineStr"/>
      <c r="C5155" t="inlineStr">
        <is>
          <t>240</t>
        </is>
      </c>
      <c r="D5155" t="inlineStr">
        <is>
          <t>1</t>
        </is>
      </c>
      <c r="E5155" t="inlineStr">
        <is>
          <t>120</t>
        </is>
      </c>
      <c r="F5155" t="inlineStr">
        <is>
          <t>8</t>
        </is>
      </c>
      <c r="G5155" t="inlineStr">
        <is>
          <t>0</t>
        </is>
      </c>
      <c r="H5155" t="inlineStr">
        <is>
          <t>20², 100²</t>
        </is>
      </c>
      <c r="I5155" t="n">
        <v>4</v>
      </c>
      <c r="J5155" t="inlineStr">
        <is>
          <t>4⁴, 8⁸, 40⁴</t>
        </is>
      </c>
      <c r="K5155">
        <f>HYPERLINK("CSG1.html#group20G1", "20G¹"), =HYPERLINK("CSG4.html#group50D4", "50D⁴"), =HYPERLINK("CSG9.html#group100D9", "100D⁹")</f>
        <v/>
      </c>
      <c r="L5155" t="inlineStr"/>
      <c r="M5155">
        <f>HYPERLINK("CSG0.html#group4A0", "4A⁰"), =HYPERLINK("CSG1.html#group20G1", "20G¹"), =HYPERLINK("CSG0.html#group5B0", "5B⁰"), =HYPERLINK("CSG9.html#group100D9", "100D⁹"), =HYPERLINK("CSG4.html#group50D4", "50D⁴"), =HYPERLINK("CSG0.html#group1A0", "1A⁰"), =HYPERLINK("CSG1.html#group20B1", "20B¹"), =HYPERLINK("CSG2.html#group25D2", "25D²"), =HYPERLINK("CSG0.html#group10B0", "10B⁰")</f>
        <v/>
      </c>
      <c r="N5155" t="inlineStr"/>
    </row>
    <row r="5156">
      <c r="A5156" t="inlineStr">
        <is>
          <t>100E¹⁷</t>
        </is>
      </c>
      <c r="B5156" t="inlineStr"/>
      <c r="C5156" t="inlineStr">
        <is>
          <t>360</t>
        </is>
      </c>
      <c r="D5156" t="inlineStr">
        <is>
          <t>1</t>
        </is>
      </c>
      <c r="E5156" t="inlineStr">
        <is>
          <t>90</t>
        </is>
      </c>
      <c r="F5156" t="inlineStr">
        <is>
          <t>8</t>
        </is>
      </c>
      <c r="G5156" t="inlineStr">
        <is>
          <t>0</t>
        </is>
      </c>
      <c r="H5156" t="inlineStr">
        <is>
          <t>2¹⁰, 4¹⁰, 50², 100²</t>
        </is>
      </c>
      <c r="I5156" t="n">
        <v>24</v>
      </c>
      <c r="J5156" t="inlineStr">
        <is>
          <t>1⁶, 4⁶, 20³</t>
        </is>
      </c>
      <c r="K5156">
        <f>HYPERLINK("CSG1.html#group20I1", "20I¹"), =HYPERLINK("CSG6.html#group50E6", "50E⁶"), =HYPERLINK("CSG6.html#group100A6", "100A⁶"), =HYPERLINK("CSG9.html#group100I9", "100I⁹")</f>
        <v/>
      </c>
      <c r="L5156" t="inlineStr"/>
      <c r="M5156">
        <f>HYPERLINK("CSG1.html#group20E1", "20E¹"), =HYPERLINK("CSG6.html#group100A6", "100A⁶"), =HYPERLINK("CSG0.html#group10G0", "10G⁰"), =HYPERLINK("CSG0.html#group4C0", "4C⁰"), =HYPERLINK("CSG0.html#group5B0", "5B⁰"), =HYPERLINK("CSG0.html#group2B0", "2B⁰"), =HYPERLINK("CSG2.html#group50B2", "50B²"), =HYPERLINK("CSG0.html#group1A0", "1A⁰"), =HYPERLINK("CSG0.html#group10B0", "10B⁰"), =HYPERLINK("CSG0.html#group20A0", "20A⁰"), =HYPERLINK("CSG1.html#group20I1", "20I¹"), =HYPERLINK("CSG6.html#group50E6", "50E⁶"), =HYPERLINK("CSG9.html#group100I9", "100I⁹"), =HYPERLINK("CSG2.html#group50A2", "50A²"), =HYPERLINK("CSG0.html#group25A0", "25A⁰"), =HYPERLINK("CSG0.html#group10C0", "10C⁰")</f>
        <v/>
      </c>
      <c r="N5156" t="inlineStr"/>
    </row>
    <row r="5157">
      <c r="A5157" t="inlineStr">
        <is>
          <t>102A¹⁷</t>
        </is>
      </c>
      <c r="B5157" t="inlineStr"/>
      <c r="C5157" t="inlineStr">
        <is>
          <t>216</t>
        </is>
      </c>
      <c r="D5157" t="inlineStr">
        <is>
          <t>1</t>
        </is>
      </c>
      <c r="E5157" t="inlineStr">
        <is>
          <t>18</t>
        </is>
      </c>
      <c r="F5157" t="inlineStr">
        <is>
          <t>0</t>
        </is>
      </c>
      <c r="G5157" t="inlineStr">
        <is>
          <t>0</t>
        </is>
      </c>
      <c r="H5157" t="inlineStr">
        <is>
          <t>6², 102²</t>
        </is>
      </c>
      <c r="I5157" t="n">
        <v>4</v>
      </c>
      <c r="J5157" t="inlineStr">
        <is>
          <t>1², 16¹</t>
        </is>
      </c>
      <c r="K5157">
        <f>HYPERLINK("CSG5.html#group34A5", "34A⁵"), =HYPERLINK("CSG5.html#group51B5", "51B⁵")</f>
        <v/>
      </c>
      <c r="L5157" t="inlineStr"/>
      <c r="M5157">
        <f>HYPERLINK("CSG3.html#group51A3", "51A³"), =HYPERLINK("CSG5.html#group34A5", "34A⁵"), =HYPERLINK("CSG1.html#group17B1", "17B¹"), =HYPERLINK("CSG1.html#group17A1", "17A¹"), =HYPERLINK("CSG5.html#group51B5", "51B⁵"), =HYPERLINK("CSG0.html#group3A0", "3A⁰"), =HYPERLINK("CSG0.html#group1A0", "1A⁰")</f>
        <v/>
      </c>
      <c r="N5157" t="inlineStr"/>
    </row>
    <row r="5158">
      <c r="A5158" t="inlineStr">
        <is>
          <t>102B¹⁷</t>
        </is>
      </c>
      <c r="B5158" t="inlineStr"/>
      <c r="C5158" t="inlineStr">
        <is>
          <t>216</t>
        </is>
      </c>
      <c r="D5158" t="inlineStr">
        <is>
          <t>1</t>
        </is>
      </c>
      <c r="E5158" t="inlineStr">
        <is>
          <t>18</t>
        </is>
      </c>
      <c r="F5158" t="inlineStr">
        <is>
          <t>0</t>
        </is>
      </c>
      <c r="G5158" t="inlineStr">
        <is>
          <t>0</t>
        </is>
      </c>
      <c r="H5158" t="inlineStr">
        <is>
          <t>6², 102²</t>
        </is>
      </c>
      <c r="I5158" t="n">
        <v>4</v>
      </c>
      <c r="J5158" t="inlineStr">
        <is>
          <t>1², 16¹</t>
        </is>
      </c>
      <c r="K5158">
        <f>HYPERLINK("CSG5.html#group34B5", "34B⁵"), =HYPERLINK("CSG5.html#group51B5", "51B⁵"), =HYPERLINK("CSG9.html#group102A9", "102A⁹"), =HYPERLINK("CSG9.html#group102B9", "102B⁹")</f>
        <v/>
      </c>
      <c r="L5158" t="inlineStr"/>
      <c r="M5158">
        <f>HYPERLINK("CSG0.html#group2A0", "2A⁰"), =HYPERLINK("CSG9.html#group102A9", "102A⁹"), =HYPERLINK("CSG3.html#group51A3", "51A³"), =HYPERLINK("CSG1.html#group17B1", "17B¹"), =HYPERLINK("CSG9.html#group102B9", "102B⁹"), =HYPERLINK("CSG5.html#group34B5", "34B⁵"), =HYPERLINK("CSG1.html#group17A1", "17A¹"), =HYPERLINK("CSG1.html#group6A1", "6A¹"), =HYPERLINK("CSG5.html#group51B5", "51B⁵"), =HYPERLINK("CSG0.html#group3A0", "3A⁰"), =HYPERLINK("CSG3.html#group34B3", "34B³"), =HYPERLINK("CSG0.html#group1A0", "1A⁰"), =HYPERLINK("CSG3.html#group34A3", "34A³")</f>
        <v/>
      </c>
      <c r="N5158" t="inlineStr"/>
    </row>
    <row r="5159">
      <c r="A5159" t="inlineStr">
        <is>
          <t>102C¹⁷</t>
        </is>
      </c>
      <c r="B5159" t="inlineStr"/>
      <c r="C5159" t="inlineStr">
        <is>
          <t>216</t>
        </is>
      </c>
      <c r="D5159" t="inlineStr">
        <is>
          <t>1</t>
        </is>
      </c>
      <c r="E5159" t="inlineStr">
        <is>
          <t>36</t>
        </is>
      </c>
      <c r="F5159" t="inlineStr">
        <is>
          <t>0</t>
        </is>
      </c>
      <c r="G5159" t="inlineStr">
        <is>
          <t>0</t>
        </is>
      </c>
      <c r="H5159" t="inlineStr">
        <is>
          <t>6², 102²</t>
        </is>
      </c>
      <c r="I5159" t="n">
        <v>4</v>
      </c>
      <c r="J5159" t="inlineStr">
        <is>
          <t>2², 32¹</t>
        </is>
      </c>
      <c r="K5159">
        <f>HYPERLINK("CSG5.html#group34B5", "34B⁵"), =HYPERLINK("CSG9.html#group102C9", "102C⁹")</f>
        <v/>
      </c>
      <c r="L5159" t="inlineStr"/>
      <c r="M5159">
        <f>HYPERLINK("CSG0.html#group2A0", "2A⁰"), =HYPERLINK("CSG9.html#group102C9", "102C⁹"), =HYPERLINK("CSG0.html#group6A0", "6A⁰"), =HYPERLINK("CSG1.html#group17B1", "17B¹"), =HYPERLINK("CSG5.html#group34B5", "34B⁵"), =HYPERLINK("CSG1.html#group17A1", "17A¹"), =HYPERLINK("CSG3.html#group34B3", "34B³"), =HYPERLINK("CSG0.html#group1A0", "1A⁰"), =HYPERLINK("CSG3.html#group34A3", "34A³")</f>
        <v/>
      </c>
      <c r="N5159" t="inlineStr"/>
    </row>
    <row r="5160">
      <c r="A5160" t="inlineStr">
        <is>
          <t>102D¹⁷</t>
        </is>
      </c>
      <c r="B5160" t="inlineStr"/>
      <c r="C5160" t="inlineStr">
        <is>
          <t>216</t>
        </is>
      </c>
      <c r="D5160" t="inlineStr">
        <is>
          <t>1</t>
        </is>
      </c>
      <c r="E5160" t="inlineStr">
        <is>
          <t>54</t>
        </is>
      </c>
      <c r="F5160" t="inlineStr">
        <is>
          <t>0</t>
        </is>
      </c>
      <c r="G5160" t="inlineStr">
        <is>
          <t>0</t>
        </is>
      </c>
      <c r="H5160" t="inlineStr">
        <is>
          <t>6², 102²</t>
        </is>
      </c>
      <c r="I5160" t="n">
        <v>4</v>
      </c>
      <c r="J5160" t="inlineStr">
        <is>
          <t>1², 2², 16¹, 32¹</t>
        </is>
      </c>
      <c r="K5160">
        <f>HYPERLINK("CSG7.html#group51A7", "51A⁷"), =HYPERLINK("CSG7.html#group102A7", "102A⁷"), =HYPERLINK("CSG9.html#group102B9", "102B⁹")</f>
        <v/>
      </c>
      <c r="L5160" t="inlineStr"/>
      <c r="M5160">
        <f>HYPERLINK("CSG0.html#group2A0", "2A⁰"), =HYPERLINK("CSG3.html#group51A3", "51A³"), =HYPERLINK("CSG7.html#group51A7", "51A⁷"), =HYPERLINK("CSG9.html#group102B9", "102B⁹"), =HYPERLINK("CSG1.html#group17A1", "17A¹"), =HYPERLINK("CSG1.html#group6A1", "6A¹"), =HYPERLINK("CSG7.html#group102A7", "102A⁷"), =HYPERLINK("CSG0.html#group3A0", "3A⁰"), =HYPERLINK("CSG3.html#group34B3", "34B³"), =HYPERLINK("CSG0.html#group1A0", "1A⁰")</f>
        <v/>
      </c>
      <c r="N5160" t="inlineStr"/>
    </row>
    <row r="5161">
      <c r="A5161" t="inlineStr">
        <is>
          <t>102E¹⁷</t>
        </is>
      </c>
      <c r="B5161" t="inlineStr"/>
      <c r="C5161" t="inlineStr">
        <is>
          <t>216</t>
        </is>
      </c>
      <c r="D5161" t="inlineStr">
        <is>
          <t>1</t>
        </is>
      </c>
      <c r="E5161" t="inlineStr">
        <is>
          <t>54</t>
        </is>
      </c>
      <c r="F5161" t="inlineStr">
        <is>
          <t>0</t>
        </is>
      </c>
      <c r="G5161" t="inlineStr">
        <is>
          <t>0</t>
        </is>
      </c>
      <c r="H5161" t="inlineStr">
        <is>
          <t>6², 102²</t>
        </is>
      </c>
      <c r="I5161" t="n">
        <v>4</v>
      </c>
      <c r="J5161" t="inlineStr">
        <is>
          <t>1², 2², 16¹, 32¹</t>
        </is>
      </c>
      <c r="K5161">
        <f>HYPERLINK("CSG7.html#group51A7", "51A⁷"), =HYPERLINK("CSG7.html#group102B7", "102B⁷"), =HYPERLINK("CSG9.html#group102A9", "102A⁹")</f>
        <v/>
      </c>
      <c r="L5161" t="inlineStr"/>
      <c r="M5161">
        <f>HYPERLINK("CSG0.html#group6B0", "6B⁰"), =HYPERLINK("CSG9.html#group102A9", "102A⁹"), =HYPERLINK("CSG7.html#group102B7", "102B⁷"), =HYPERLINK("CSG7.html#group51A7", "51A⁷"), =HYPERLINK("CSG3.html#group51A3", "51A³"), =HYPERLINK("CSG1.html#group17A1", "17A¹"), =HYPERLINK("CSG0.html#group3A0", "3A⁰"), =HYPERLINK("CSG0.html#group1A0", "1A⁰"), =HYPERLINK("CSG3.html#group34A3", "34A³")</f>
        <v/>
      </c>
      <c r="N5161" t="inlineStr"/>
    </row>
    <row r="5162">
      <c r="A5162" t="inlineStr">
        <is>
          <t>102F¹⁷</t>
        </is>
      </c>
      <c r="B5162" t="inlineStr"/>
      <c r="C5162" t="inlineStr">
        <is>
          <t>216</t>
        </is>
      </c>
      <c r="D5162" t="inlineStr">
        <is>
          <t>1</t>
        </is>
      </c>
      <c r="E5162" t="inlineStr">
        <is>
          <t>54</t>
        </is>
      </c>
      <c r="F5162" t="inlineStr">
        <is>
          <t>0</t>
        </is>
      </c>
      <c r="G5162" t="inlineStr">
        <is>
          <t>0</t>
        </is>
      </c>
      <c r="H5162" t="inlineStr">
        <is>
          <t>6², 102²</t>
        </is>
      </c>
      <c r="I5162" t="n">
        <v>4</v>
      </c>
      <c r="J5162" t="inlineStr">
        <is>
          <t>1², 2², 16¹, 32¹</t>
        </is>
      </c>
      <c r="K5162">
        <f>HYPERLINK("CSG7.html#group51B7", "51B⁷"), =HYPERLINK("CSG7.html#group102A7", "102A⁷"), =HYPERLINK("CSG9.html#group102A9", "102A⁹")</f>
        <v/>
      </c>
      <c r="L5162" t="inlineStr"/>
      <c r="M5162">
        <f>HYPERLINK("CSG9.html#group102A9", "102A⁹"), =HYPERLINK("CSG3.html#group51A3", "51A³"), =HYPERLINK("CSG7.html#group51B7", "51B⁷"), =HYPERLINK("CSG0.html#group3C0", "3C⁰"), =HYPERLINK("CSG1.html#group17A1", "17A¹"), =HYPERLINK("CSG7.html#group102A7", "102A⁷"), =HYPERLINK("CSG0.html#group3A0", "3A⁰"), =HYPERLINK("CSG0.html#group1A0", "1A⁰"), =HYPERLINK("CSG3.html#group34A3", "34A³")</f>
        <v/>
      </c>
      <c r="N5162" t="inlineStr"/>
    </row>
    <row r="5163">
      <c r="A5163" t="inlineStr">
        <is>
          <t>102G¹⁷</t>
        </is>
      </c>
      <c r="B5163" t="inlineStr"/>
      <c r="C5163" t="inlineStr">
        <is>
          <t>216</t>
        </is>
      </c>
      <c r="D5163" t="inlineStr">
        <is>
          <t>1</t>
        </is>
      </c>
      <c r="E5163" t="inlineStr">
        <is>
          <t>54</t>
        </is>
      </c>
      <c r="F5163" t="inlineStr">
        <is>
          <t>0</t>
        </is>
      </c>
      <c r="G5163" t="inlineStr">
        <is>
          <t>0</t>
        </is>
      </c>
      <c r="H5163" t="inlineStr">
        <is>
          <t>6², 102²</t>
        </is>
      </c>
      <c r="I5163" t="n">
        <v>4</v>
      </c>
      <c r="J5163" t="inlineStr">
        <is>
          <t>1², 2², 16¹, 32¹</t>
        </is>
      </c>
      <c r="K5163">
        <f>HYPERLINK("CSG1.html#group6B1", "6B¹"), =HYPERLINK("CSG7.html#group51B7", "51B⁷"), =HYPERLINK("CSG7.html#group102B7", "102B⁷"), =HYPERLINK("CSG9.html#group102B9", "102B⁹")</f>
        <v/>
      </c>
      <c r="L5163" t="inlineStr"/>
      <c r="M5163">
        <f>HYPERLINK("CSG0.html#group2A0", "2A⁰"), =HYPERLINK("CSG0.html#group6B0", "6B⁰"), =HYPERLINK("CSG1.html#group6B1", "6B¹"), =HYPERLINK("CSG3.html#group51A3", "51A³"), =HYPERLINK("CSG7.html#group102B7", "102B⁷"), =HYPERLINK("CSG7.html#group51B7", "51B⁷"), =HYPERLINK("CSG9.html#group102B9", "102B⁹"), =HYPERLINK("CSG0.html#group3C0", "3C⁰"), =HYPERLINK("CSG1.html#group17A1", "17A¹"), =HYPERLINK("CSG1.html#group6A1", "6A¹"), =HYPERLINK("CSG0.html#group3A0", "3A⁰"), =HYPERLINK("CSG3.html#group34B3", "34B³"), =HYPERLINK("CSG0.html#group1A0", "1A⁰")</f>
        <v/>
      </c>
      <c r="N5163" t="inlineStr"/>
    </row>
    <row r="5164">
      <c r="A5164" t="inlineStr">
        <is>
          <t>105A¹⁷</t>
        </is>
      </c>
      <c r="B5164" t="inlineStr"/>
      <c r="C5164" t="inlineStr">
        <is>
          <t>252</t>
        </is>
      </c>
      <c r="D5164" t="inlineStr">
        <is>
          <t>2</t>
        </is>
      </c>
      <c r="E5164" t="inlineStr">
        <is>
          <t>42</t>
        </is>
      </c>
      <c r="F5164" t="inlineStr">
        <is>
          <t>12</t>
        </is>
      </c>
      <c r="G5164" t="inlineStr">
        <is>
          <t>0</t>
        </is>
      </c>
      <c r="H5164" t="inlineStr">
        <is>
          <t>21², 105²</t>
        </is>
      </c>
      <c r="I5164" t="n">
        <v>4</v>
      </c>
      <c r="J5164" t="inlineStr">
        <is>
          <t>2², 6⁴, 8¹, 24²</t>
        </is>
      </c>
      <c r="K5164">
        <f>HYPERLINK("CSG2.html#group21C2", "21C²"), =HYPERLINK("CSG5.html#group35B5", "35B⁵"), =HYPERLINK("CSG6.html#group105C6", "105C⁶")</f>
        <v/>
      </c>
      <c r="L5164" t="inlineStr"/>
      <c r="M5164">
        <f>HYPERLINK("CSG2.html#group35C2", "35C²"), =HYPERLINK("CSG0.html#group15B0", "15B⁰"), =HYPERLINK("CSG6.html#group105C6", "105C⁶"), =HYPERLINK("CSG0.html#group7C0", "7C⁰"), =HYPERLINK("CSG2.html#group21C2", "21C²"), =HYPERLINK("CSG0.html#group21A0", "21A⁰"), =HYPERLINK("CSG0.html#group5B0", "5B⁰"), =HYPERLINK("CSG5.html#group35B5", "35B⁵"), =HYPERLINK("CSG0.html#group3A0", "3A⁰"), =HYPERLINK("CSG0.html#group1A0", "1A⁰"), =HYPERLINK("CSG0.html#group7A0", "7A⁰")</f>
        <v/>
      </c>
      <c r="N5164" t="inlineStr"/>
    </row>
    <row r="5165">
      <c r="A5165" t="inlineStr">
        <is>
          <t>105B¹⁷</t>
        </is>
      </c>
      <c r="B5165" t="inlineStr"/>
      <c r="C5165" t="inlineStr">
        <is>
          <t>252</t>
        </is>
      </c>
      <c r="D5165" t="inlineStr">
        <is>
          <t>2</t>
        </is>
      </c>
      <c r="E5165" t="inlineStr">
        <is>
          <t>84</t>
        </is>
      </c>
      <c r="F5165" t="inlineStr">
        <is>
          <t>12</t>
        </is>
      </c>
      <c r="G5165" t="inlineStr">
        <is>
          <t>0</t>
        </is>
      </c>
      <c r="H5165" t="inlineStr">
        <is>
          <t>21², 105²</t>
        </is>
      </c>
      <c r="I5165" t="n">
        <v>4</v>
      </c>
      <c r="J5165" t="inlineStr">
        <is>
          <t>4², 12⁴, 16¹, 48²</t>
        </is>
      </c>
      <c r="K5165">
        <f>HYPERLINK("CSG1.html#group21C1", "21C¹"), =HYPERLINK("CSG5.html#group35B5", "35B⁵")</f>
        <v/>
      </c>
      <c r="L5165" t="inlineStr"/>
      <c r="M5165">
        <f>HYPERLINK("CSG2.html#group35C2", "35C²"), =HYPERLINK("CSG0.html#group5B0", "5B⁰"), =HYPERLINK("CSG5.html#group35B5", "35B⁵"), =HYPERLINK("CSG0.html#group1A0", "1A⁰"), =HYPERLINK("CSG0.html#group7C0", "7C⁰"), =HYPERLINK("CSG0.html#group7A0", "7A⁰"), =HYPERLINK("CSG1.html#group21C1", "21C¹")</f>
        <v/>
      </c>
      <c r="N5165" t="inlineStr"/>
    </row>
    <row r="5166">
      <c r="A5166" t="inlineStr">
        <is>
          <t>105C¹⁷</t>
        </is>
      </c>
      <c r="B5166" t="inlineStr"/>
      <c r="C5166" t="inlineStr">
        <is>
          <t>252</t>
        </is>
      </c>
      <c r="D5166" t="inlineStr">
        <is>
          <t>2</t>
        </is>
      </c>
      <c r="E5166" t="inlineStr">
        <is>
          <t>126</t>
        </is>
      </c>
      <c r="F5166" t="inlineStr">
        <is>
          <t>12</t>
        </is>
      </c>
      <c r="G5166" t="inlineStr">
        <is>
          <t>0</t>
        </is>
      </c>
      <c r="H5166" t="inlineStr">
        <is>
          <t>21², 105²</t>
        </is>
      </c>
      <c r="I5166" t="n">
        <v>4</v>
      </c>
      <c r="J5166" t="inlineStr">
        <is>
          <t>2², 4², 6⁴, 8¹, 12⁴, 16¹, 24², 48²</t>
        </is>
      </c>
      <c r="K5166">
        <f>HYPERLINK("CSG1.html#group15E1", "15E¹"), =HYPERLINK("CSG2.html#group21D2", "21D²"), =HYPERLINK("CSG6.html#group105C6", "105C⁶")</f>
        <v/>
      </c>
      <c r="L5166" t="inlineStr"/>
      <c r="M5166">
        <f>HYPERLINK("CSG2.html#group35C2", "35C²"), =HYPERLINK("CSG2.html#group21D2", "21D²"), =HYPERLINK("CSG0.html#group15B0", "15B⁰"), =HYPERLINK("CSG6.html#group105C6", "105C⁶"), =HYPERLINK("CSG0.html#group5B0", "5B⁰"), =HYPERLINK("CSG0.html#group21A0", "21A⁰"), =HYPERLINK("CSG0.html#group3C0", "3C⁰"), =HYPERLINK("CSG0.html#group7A0", "7A⁰"), =HYPERLINK("CSG0.html#group3A0", "3A⁰"), =HYPERLINK("CSG0.html#group1A0", "1A⁰"), =HYPERLINK("CSG1.html#group15E1", "15E¹")</f>
        <v/>
      </c>
      <c r="N5166" t="inlineStr"/>
    </row>
    <row r="5167">
      <c r="A5167" t="inlineStr">
        <is>
          <t>106A¹⁷</t>
        </is>
      </c>
      <c r="B5167" t="inlineStr"/>
      <c r="C5167" t="inlineStr">
        <is>
          <t>216</t>
        </is>
      </c>
      <c r="D5167" t="inlineStr">
        <is>
          <t>1</t>
        </is>
      </c>
      <c r="E5167" t="inlineStr">
        <is>
          <t>54</t>
        </is>
      </c>
      <c r="F5167" t="inlineStr">
        <is>
          <t>0</t>
        </is>
      </c>
      <c r="G5167" t="inlineStr">
        <is>
          <t>0</t>
        </is>
      </c>
      <c r="H5167" t="inlineStr">
        <is>
          <t>2², 106²</t>
        </is>
      </c>
      <c r="I5167" t="n">
        <v>4</v>
      </c>
      <c r="J5167" t="inlineStr">
        <is>
          <t>1², 52¹</t>
        </is>
      </c>
      <c r="K5167">
        <f>HYPERLINK("CSG8.html#group53A8", "53A⁸"), =HYPERLINK("CSG8.html#group106A8", "106A⁸"), =HYPERLINK("CSG9.html#group106A9", "106A⁹")</f>
        <v/>
      </c>
      <c r="L5167" t="inlineStr"/>
      <c r="M5167">
        <f>HYPERLINK("CSG0.html#group2A0", "2A⁰"), =HYPERLINK("CSG8.html#group106A8", "106A⁸"), =HYPERLINK("CSG8.html#group53A8", "53A⁸"), =HYPERLINK("CSG0.html#group1A0", "1A⁰"), =HYPERLINK("CSG9.html#group106A9", "106A⁹"), =HYPERLINK("CSG4.html#group53A4", "53A⁴")</f>
        <v/>
      </c>
      <c r="N5167" t="inlineStr"/>
    </row>
    <row r="5168">
      <c r="A5168" t="inlineStr">
        <is>
          <t>108A¹⁷</t>
        </is>
      </c>
      <c r="B5168" t="inlineStr"/>
      <c r="C5168" t="inlineStr">
        <is>
          <t>216</t>
        </is>
      </c>
      <c r="D5168" t="inlineStr">
        <is>
          <t>1</t>
        </is>
      </c>
      <c r="E5168" t="inlineStr">
        <is>
          <t>36</t>
        </is>
      </c>
      <c r="F5168" t="inlineStr">
        <is>
          <t>0</t>
        </is>
      </c>
      <c r="G5168" t="inlineStr">
        <is>
          <t>0</t>
        </is>
      </c>
      <c r="H5168" t="inlineStr">
        <is>
          <t>18¹, 36¹, 54¹, 108¹</t>
        </is>
      </c>
      <c r="I5168" t="n">
        <v>4</v>
      </c>
      <c r="J5168" t="inlineStr">
        <is>
          <t>1⁶, 2⁶, 6³</t>
        </is>
      </c>
      <c r="K5168">
        <f>HYPERLINK("CSG5.html#group36A5", "36A⁵"), =HYPERLINK("CSG8.html#group54A8", "54A⁸")</f>
        <v/>
      </c>
      <c r="L5168" t="inlineStr"/>
      <c r="M5168">
        <f>HYPERLINK("CSG0.html#group3B0", "3B⁰"), =HYPERLINK("CSG1.html#group12F1", "12F¹"), =HYPERLINK("CSG0.html#group4C0", "4C⁰"), =HYPERLINK("CSG0.html#group9C0", "9C⁰"), =HYPERLINK("CSG2.html#group18D2", "18D²"), =HYPERLINK("CSG1.html#group27B1", "27B¹"), =HYPERLINK("CSG0.html#group2B0", "2B⁰"), =HYPERLINK("CSG0.html#group1A0", "1A⁰"), =HYPERLINK("CSG5.html#group36A5", "36A⁵"), =HYPERLINK("CSG0.html#group6F0", "6F⁰"), =HYPERLINK("CSG8.html#group54A8", "54A⁸")</f>
        <v/>
      </c>
      <c r="N5168" t="inlineStr"/>
    </row>
    <row r="5169">
      <c r="A5169" t="inlineStr">
        <is>
          <t>108B¹⁷</t>
        </is>
      </c>
      <c r="B5169" t="inlineStr"/>
      <c r="C5169" t="inlineStr">
        <is>
          <t>216</t>
        </is>
      </c>
      <c r="D5169" t="inlineStr">
        <is>
          <t>1</t>
        </is>
      </c>
      <c r="E5169" t="inlineStr">
        <is>
          <t>36</t>
        </is>
      </c>
      <c r="F5169" t="inlineStr">
        <is>
          <t>0</t>
        </is>
      </c>
      <c r="G5169" t="inlineStr">
        <is>
          <t>0</t>
        </is>
      </c>
      <c r="H5169" t="inlineStr">
        <is>
          <t>18¹, 36¹, 54¹, 108¹</t>
        </is>
      </c>
      <c r="I5169" t="n">
        <v>4</v>
      </c>
      <c r="J5169" t="inlineStr">
        <is>
          <t>1⁶, 2⁶, 6³</t>
        </is>
      </c>
      <c r="K5169">
        <f>HYPERLINK("CSG5.html#group36A5", "36A⁵"), =HYPERLINK("CSG8.html#group54B8", "54B⁸")</f>
        <v/>
      </c>
      <c r="L5169" t="inlineStr"/>
      <c r="M5169">
        <f>HYPERLINK("CSG0.html#group3B0", "3B⁰"), =HYPERLINK("CSG2.html#group27B2", "27B²"), =HYPERLINK("CSG1.html#group12F1", "12F¹"), =HYPERLINK("CSG0.html#group4C0", "4C⁰"), =HYPERLINK("CSG0.html#group9C0", "9C⁰"), =HYPERLINK("CSG8.html#group54B8", "54B⁸"), =HYPERLINK("CSG2.html#group18D2", "18D²"), =HYPERLINK("CSG0.html#group2B0", "2B⁰"), =HYPERLINK("CSG0.html#group1A0", "1A⁰"), =HYPERLINK("CSG5.html#group36A5", "36A⁵"), =HYPERLINK("CSG0.html#group6F0", "6F⁰")</f>
        <v/>
      </c>
      <c r="N5169" t="inlineStr"/>
    </row>
    <row r="5170">
      <c r="A5170" t="inlineStr">
        <is>
          <t>108C¹⁷</t>
        </is>
      </c>
      <c r="B5170" t="inlineStr"/>
      <c r="C5170" t="inlineStr">
        <is>
          <t>216</t>
        </is>
      </c>
      <c r="D5170" t="inlineStr">
        <is>
          <t>1</t>
        </is>
      </c>
      <c r="E5170" t="inlineStr">
        <is>
          <t>36</t>
        </is>
      </c>
      <c r="F5170" t="inlineStr">
        <is>
          <t>0</t>
        </is>
      </c>
      <c r="G5170" t="inlineStr">
        <is>
          <t>0</t>
        </is>
      </c>
      <c r="H5170" t="inlineStr">
        <is>
          <t>18¹, 36¹, 54¹, 108¹</t>
        </is>
      </c>
      <c r="I5170" t="n">
        <v>4</v>
      </c>
      <c r="J5170" t="inlineStr">
        <is>
          <t>1⁶, 2⁶, 6³</t>
        </is>
      </c>
      <c r="K5170">
        <f>HYPERLINK("CSG5.html#group36A5", "36A⁵"), =HYPERLINK("CSG8.html#group54C8", "54C⁸")</f>
        <v/>
      </c>
      <c r="L5170" t="inlineStr"/>
      <c r="M5170">
        <f>HYPERLINK("CSG0.html#group3B0", "3B⁰"), =HYPERLINK("CSG1.html#group12F1", "12F¹"), =HYPERLINK("CSG0.html#group4C0", "4C⁰"), =HYPERLINK("CSG0.html#group9C0", "9C⁰"), =HYPERLINK("CSG8.html#group54C8", "54C⁸"), =HYPERLINK("CSG2.html#group18D2", "18D²"), =HYPERLINK("CSG0.html#group1A0", "1A⁰"), =HYPERLINK("CSG0.html#group2B0", "2B⁰"), =HYPERLINK("CSG5.html#group36A5", "36A⁵"), =HYPERLINK("CSG0.html#group6F0", "6F⁰"), =HYPERLINK("CSG3.html#group27A3", "27A³")</f>
        <v/>
      </c>
      <c r="N5170" t="inlineStr"/>
    </row>
    <row r="5171">
      <c r="A5171" t="inlineStr">
        <is>
          <t>108D¹⁷</t>
        </is>
      </c>
      <c r="B5171" t="inlineStr"/>
      <c r="C5171" t="inlineStr">
        <is>
          <t>288</t>
        </is>
      </c>
      <c r="D5171" t="inlineStr">
        <is>
          <t>1</t>
        </is>
      </c>
      <c r="E5171" t="inlineStr">
        <is>
          <t>48</t>
        </is>
      </c>
      <c r="F5171" t="inlineStr">
        <is>
          <t>0</t>
        </is>
      </c>
      <c r="G5171" t="inlineStr">
        <is>
          <t>0</t>
        </is>
      </c>
      <c r="H5171" t="inlineStr">
        <is>
          <t>4¹², 12², 108²</t>
        </is>
      </c>
      <c r="I5171" t="n">
        <v>16</v>
      </c>
      <c r="J5171" t="inlineStr">
        <is>
          <t>2⁴, 4⁴, 12²</t>
        </is>
      </c>
      <c r="K5171">
        <f>HYPERLINK("CSG3.html#group54A3", "54A³"), =HYPERLINK("CSG5.html#group36F5", "36F⁵"), =HYPERLINK("CSG9.html#group108C9", "108C⁹")</f>
        <v/>
      </c>
      <c r="L5171" t="inlineStr"/>
      <c r="M5171">
        <f>HYPERLINK("CSG0.html#group3B0", "3B⁰"), =HYPERLINK("CSG0.html#group2A0", "2A⁰"), =HYPERLINK("CSG1.html#group12I1", "12I¹"), =HYPERLINK("CSG0.html#group4A0", "4A⁰"), =HYPERLINK("CSG1.html#group18C1", "18C¹"), =HYPERLINK("CSG1.html#group12A1", "12A¹"), =HYPERLINK("CSG0.html#group6C0", "6C⁰"), =HYPERLINK("CSG0.html#group4D0", "4D⁰"), =HYPERLINK("CSG0.html#group9B0", "9B⁰"), =HYPERLINK("CSG0.html#group27A0", "27A⁰"), =HYPERLINK("CSG3.html#group54A3", "54A³"), =HYPERLINK("CSG0.html#group1A0", "1A⁰"), =HYPERLINK("CSG3.html#group36B3", "36B³"), =HYPERLINK("CSG5.html#group36F5", "36F⁵"), =HYPERLINK("CSG9.html#group108C9", "108C⁹")</f>
        <v/>
      </c>
      <c r="N5171" t="inlineStr"/>
    </row>
    <row r="5172">
      <c r="A5172" t="inlineStr">
        <is>
          <t>108E¹⁷</t>
        </is>
      </c>
      <c r="B5172" t="inlineStr"/>
      <c r="C5172" t="inlineStr">
        <is>
          <t>288</t>
        </is>
      </c>
      <c r="D5172" t="inlineStr">
        <is>
          <t>1</t>
        </is>
      </c>
      <c r="E5172" t="inlineStr">
        <is>
          <t>96</t>
        </is>
      </c>
      <c r="F5172" t="inlineStr">
        <is>
          <t>0</t>
        </is>
      </c>
      <c r="G5172" t="inlineStr">
        <is>
          <t>0</t>
        </is>
      </c>
      <c r="H5172" t="inlineStr">
        <is>
          <t>4¹², 12², 108²</t>
        </is>
      </c>
      <c r="I5172" t="n">
        <v>16</v>
      </c>
      <c r="J5172" t="inlineStr">
        <is>
          <t>4¹², 12⁴</t>
        </is>
      </c>
      <c r="K5172">
        <f>HYPERLINK("CSG3.html#group54B3", "54B³"), =HYPERLINK("CSG5.html#group36F5", "36F⁵")</f>
        <v/>
      </c>
      <c r="L5172" t="inlineStr"/>
      <c r="M5172">
        <f>HYPERLINK("CSG0.html#group3B0", "3B⁰"), =HYPERLINK("CSG0.html#group2A0", "2A⁰"), =HYPERLINK("CSG1.html#group12I1", "12I¹"), =HYPERLINK("CSG0.html#group4A0", "4A⁰"), =HYPERLINK("CSG3.html#group54B3", "54B³"), =HYPERLINK("CSG1.html#group18C1", "18C¹"), =HYPERLINK("CSG1.html#group12A1", "12A¹"), =HYPERLINK("CSG0.html#group6C0", "6C⁰"), =HYPERLINK("CSG0.html#group4D0", "4D⁰"), =HYPERLINK("CSG0.html#group9B0", "9B⁰"), =HYPERLINK("CSG0.html#group1A0", "1A⁰"), =HYPERLINK("CSG3.html#group36B3", "36B³"), =HYPERLINK("CSG5.html#group36F5", "36F⁵")</f>
        <v/>
      </c>
      <c r="N5172" t="inlineStr"/>
    </row>
    <row r="5173">
      <c r="A5173" t="inlineStr">
        <is>
          <t>108F¹⁷</t>
        </is>
      </c>
      <c r="B5173" t="inlineStr"/>
      <c r="C5173" t="inlineStr">
        <is>
          <t>432</t>
        </is>
      </c>
      <c r="D5173" t="inlineStr">
        <is>
          <t>1</t>
        </is>
      </c>
      <c r="E5173" t="inlineStr">
        <is>
          <t>36</t>
        </is>
      </c>
      <c r="F5173" t="inlineStr">
        <is>
          <t>0</t>
        </is>
      </c>
      <c r="G5173" t="inlineStr">
        <is>
          <t>0</t>
        </is>
      </c>
      <c r="H5173" t="inlineStr">
        <is>
          <t>2²⁴, 4⁶, 6⁴, 12¹, 54⁴, 108¹</t>
        </is>
      </c>
      <c r="I5173" t="n">
        <v>40</v>
      </c>
      <c r="J5173" t="inlineStr">
        <is>
          <t>1⁶, 2⁶, 6³</t>
        </is>
      </c>
      <c r="K5173">
        <f>HYPERLINK("CSG3.html#group36J3", "36J³"), =HYPERLINK("CSG7.html#group54B7", "54B⁷")</f>
        <v/>
      </c>
      <c r="L5173" t="inlineStr"/>
      <c r="M5173">
        <f>HYPERLINK("CSG0.html#group3B0", "3B⁰"), =HYPERLINK("CSG0.html#group2A0", "2A⁰"), =HYPERLINK("CSG2.html#group54B2", "54B²"), =HYPERLINK("CSG0.html#group6I0", "6I⁰"), =HYPERLINK("CSG0.html#group6C0", "6C⁰"), =HYPERLINK("CSG0.html#group12I0", "12I⁰"), =HYPERLINK("CSG0.html#group9B0", "9B⁰"), =HYPERLINK("CSG0.html#group2B0", "2B⁰"), =HYPERLINK("CSG1.html#group18J1", "18J¹"), =HYPERLINK("CSG0.html#group1A0", "1A⁰"), =HYPERLINK("CSG0.html#group18C0", "18C⁰"), =HYPERLINK("CSG0.html#group18E0", "18E⁰"), =HYPERLINK("CSG1.html#group18C1", "18C¹"), =HYPERLINK("CSG3.html#group54B3", "54B³"), =HYPERLINK("CSG0.html#group27A0", "27A⁰"), =HYPERLINK("CSG3.html#group54A3", "54A³"), =HYPERLINK("CSG7.html#group54B7", "54B⁷"), =HYPERLINK("CSG3.html#group36J3", "36J³"), =HYPERLINK("CSG0.html#group6F0", "6F⁰"), =HYPERLINK("CSG0.html#group2C0", "2C⁰")</f>
        <v/>
      </c>
      <c r="N5173" t="inlineStr"/>
    </row>
    <row r="5174">
      <c r="A5174" t="inlineStr">
        <is>
          <t>108G¹⁷</t>
        </is>
      </c>
      <c r="B5174" t="inlineStr"/>
      <c r="C5174" t="inlineStr">
        <is>
          <t>432</t>
        </is>
      </c>
      <c r="D5174" t="inlineStr">
        <is>
          <t>1</t>
        </is>
      </c>
      <c r="E5174" t="inlineStr">
        <is>
          <t>72</t>
        </is>
      </c>
      <c r="F5174" t="inlineStr">
        <is>
          <t>0</t>
        </is>
      </c>
      <c r="G5174" t="inlineStr">
        <is>
          <t>0</t>
        </is>
      </c>
      <c r="H5174" t="inlineStr">
        <is>
          <t>1¹², 2⁶, 3², 4¹², 6¹, 12², 27², 54¹, 108²</t>
        </is>
      </c>
      <c r="I5174" t="n">
        <v>40</v>
      </c>
      <c r="J5174" t="inlineStr">
        <is>
          <t>1⁸, 2¹⁰, 4², 6⁴, 12¹</t>
        </is>
      </c>
      <c r="K5174">
        <f>HYPERLINK("CSG3.html#group36K3", "36K³"), =HYPERLINK("CSG7.html#group108A7", "108A⁷")</f>
        <v/>
      </c>
      <c r="L5174" t="inlineStr"/>
      <c r="M5174">
        <f>HYPERLINK("CSG0.html#group3B0", "3B⁰"), =HYPERLINK("CSG2.html#group54B2", "54B²"), =HYPERLINK("CSG0.html#group18E0", "18E⁰"), =HYPERLINK("CSG7.html#group108A7", "108A⁷"), =HYPERLINK("CSG0.html#group6F0", "6F⁰"), =HYPERLINK("CSG0.html#group27A0", "27A⁰"), =HYPERLINK("CSG0.html#group9B0", "9B⁰"), =HYPERLINK("CSG0.html#group12J0", "12J⁰"), =HYPERLINK("CSG3.html#group36K3", "36K³"), =HYPERLINK("CSG0.html#group2B0", "2B⁰"), =HYPERLINK("CSG1.html#group36C1", "36C¹"), =HYPERLINK("CSG0.html#group4B0", "4B⁰"), =HYPERLINK("CSG0.html#group1A0", "1A⁰"), =HYPERLINK("CSG0.html#group12E0", "12E⁰")</f>
        <v/>
      </c>
      <c r="N5174" t="inlineStr"/>
    </row>
    <row r="5175">
      <c r="A5175" t="inlineStr">
        <is>
          <t>110A¹⁷</t>
        </is>
      </c>
      <c r="B5175" t="inlineStr"/>
      <c r="C5175" t="inlineStr">
        <is>
          <t>220</t>
        </is>
      </c>
      <c r="D5175" t="inlineStr">
        <is>
          <t>2</t>
        </is>
      </c>
      <c r="E5175" t="inlineStr">
        <is>
          <t>110</t>
        </is>
      </c>
      <c r="F5175" t="inlineStr">
        <is>
          <t>0</t>
        </is>
      </c>
      <c r="G5175" t="inlineStr">
        <is>
          <t>4</t>
        </is>
      </c>
      <c r="H5175" t="inlineStr">
        <is>
          <t>110²</t>
        </is>
      </c>
      <c r="I5175" t="n">
        <v>2</v>
      </c>
      <c r="J5175" t="inlineStr">
        <is>
          <t>4¹, 8², 20², 40⁴</t>
        </is>
      </c>
      <c r="K5175">
        <f>HYPERLINK("CSG1.html#group10C1", "10C¹"), =HYPERLINK("CSG1.html#group22A1", "22A¹"), =HYPERLINK("CSG7.html#group55A7", "55A⁷")</f>
        <v/>
      </c>
      <c r="L5175" t="inlineStr"/>
      <c r="M5175">
        <f>HYPERLINK("CSG0.html#group11A0", "11A⁰"), =HYPERLINK("CSG7.html#group55A7", "55A⁷"), =HYPERLINK("CSG0.html#group2A0", "2A⁰"), =HYPERLINK("CSG1.html#group22A1", "22A¹"), =HYPERLINK("CSG0.html#group5C0", "5C⁰"), =HYPERLINK("CSG1.html#group10C1", "10C¹"), =HYPERLINK("CSG0.html#group1A0", "1A⁰")</f>
        <v/>
      </c>
      <c r="N5175" t="inlineStr"/>
    </row>
    <row r="5176">
      <c r="A5176" t="inlineStr">
        <is>
          <t>111A¹⁷</t>
        </is>
      </c>
      <c r="B5176" t="inlineStr"/>
      <c r="C5176" t="inlineStr">
        <is>
          <t>228</t>
        </is>
      </c>
      <c r="D5176" t="inlineStr">
        <is>
          <t>1</t>
        </is>
      </c>
      <c r="E5176" t="inlineStr">
        <is>
          <t>114</t>
        </is>
      </c>
      <c r="F5176" t="inlineStr">
        <is>
          <t>4</t>
        </is>
      </c>
      <c r="G5176" t="inlineStr">
        <is>
          <t>0</t>
        </is>
      </c>
      <c r="H5176" t="inlineStr">
        <is>
          <t>3², 111²</t>
        </is>
      </c>
      <c r="I5176" t="n">
        <v>4</v>
      </c>
      <c r="J5176" t="inlineStr">
        <is>
          <t>1², 2², 36¹, 72¹</t>
        </is>
      </c>
      <c r="K5176">
        <f>HYPERLINK("CSG0.html#group3C0", "3C⁰"), =HYPERLINK("CSG8.html#group111A8", "111A⁸")</f>
        <v/>
      </c>
      <c r="L5176" t="inlineStr"/>
      <c r="M5176">
        <f>HYPERLINK("CSG2.html#group37A2", "37A²"), =HYPERLINK("CSG0.html#group3C0", "3C⁰"), =HYPERLINK("CSG8.html#group111A8", "111A⁸"), =HYPERLINK("CSG0.html#group3A0", "3A⁰"), =HYPERLINK("CSG0.html#group1A0", "1A⁰")</f>
        <v/>
      </c>
      <c r="N5176" t="inlineStr"/>
    </row>
    <row r="5177">
      <c r="A5177" t="inlineStr">
        <is>
          <t>113A¹⁷</t>
        </is>
      </c>
      <c r="B5177" t="inlineStr"/>
      <c r="C5177" t="inlineStr">
        <is>
          <t>228</t>
        </is>
      </c>
      <c r="D5177" t="inlineStr">
        <is>
          <t>1</t>
        </is>
      </c>
      <c r="E5177" t="inlineStr">
        <is>
          <t>114</t>
        </is>
      </c>
      <c r="F5177" t="inlineStr">
        <is>
          <t>4</t>
        </is>
      </c>
      <c r="G5177" t="inlineStr">
        <is>
          <t>0</t>
        </is>
      </c>
      <c r="H5177" t="inlineStr">
        <is>
          <t>1², 113²</t>
        </is>
      </c>
      <c r="I5177" t="n">
        <v>4</v>
      </c>
      <c r="J5177" t="inlineStr">
        <is>
          <t>1², 112¹</t>
        </is>
      </c>
      <c r="K5177">
        <f>HYPERLINK("CSG9.html#group113A9", "113A⁹")</f>
        <v/>
      </c>
      <c r="L5177" t="inlineStr"/>
      <c r="M5177">
        <f>HYPERLINK("CSG0.html#group1A0", "1A⁰"), =HYPERLINK("CSG9.html#group113A9", "113A⁹")</f>
        <v/>
      </c>
      <c r="N5177" t="inlineStr"/>
    </row>
    <row r="5178">
      <c r="A5178" t="inlineStr">
        <is>
          <t>114A¹⁷</t>
        </is>
      </c>
      <c r="B5178" t="inlineStr">
        <is>
          <t>Γ₀(114)</t>
        </is>
      </c>
      <c r="C5178" t="inlineStr">
        <is>
          <t>240</t>
        </is>
      </c>
      <c r="D5178" t="inlineStr">
        <is>
          <t>1</t>
        </is>
      </c>
      <c r="E5178" t="inlineStr">
        <is>
          <t>240</t>
        </is>
      </c>
      <c r="F5178" t="inlineStr">
        <is>
          <t>0</t>
        </is>
      </c>
      <c r="G5178" t="inlineStr">
        <is>
          <t>0</t>
        </is>
      </c>
      <c r="H5178" t="inlineStr">
        <is>
          <t>1¹, 2¹, 3¹, 6¹, 19¹, 38¹, 57¹, 114¹</t>
        </is>
      </c>
      <c r="I5178" t="n">
        <v>8</v>
      </c>
      <c r="J5178" t="inlineStr">
        <is>
          <t>1¹², 2⁶, 18⁶, 36³</t>
        </is>
      </c>
      <c r="K5178">
        <f>HYPERLINK("CSG0.html#group6F0", "6F⁰"), =HYPERLINK("CSG4.html#group38A4", "38A⁴"), =HYPERLINK("CSG5.html#group57C5", "57C⁵")</f>
        <v/>
      </c>
      <c r="L5178" t="inlineStr"/>
      <c r="M5178">
        <f>HYPERLINK("CSG0.html#group3B0", "3B⁰"), =HYPERLINK("CSG1.html#group19A1", "19A¹"), =HYPERLINK("CSG4.html#group38A4", "38A⁴"), =HYPERLINK("CSG0.html#group6F0", "6F⁰"), =HYPERLINK("CSG0.html#group2B0", "2B⁰"), =HYPERLINK("CSG0.html#group1A0", "1A⁰"), =HYPERLINK("CSG5.html#group57C5", "57C⁵")</f>
        <v/>
      </c>
      <c r="N5178" t="inlineStr"/>
    </row>
    <row r="5179">
      <c r="A5179" t="inlineStr">
        <is>
          <t>116A¹⁷</t>
        </is>
      </c>
      <c r="B5179" t="inlineStr"/>
      <c r="C5179" t="inlineStr">
        <is>
          <t>240</t>
        </is>
      </c>
      <c r="D5179" t="inlineStr">
        <is>
          <t>1</t>
        </is>
      </c>
      <c r="E5179" t="inlineStr">
        <is>
          <t>120</t>
        </is>
      </c>
      <c r="F5179" t="inlineStr">
        <is>
          <t>8</t>
        </is>
      </c>
      <c r="G5179" t="inlineStr">
        <is>
          <t>0</t>
        </is>
      </c>
      <c r="H5179" t="inlineStr">
        <is>
          <t>4², 116²</t>
        </is>
      </c>
      <c r="I5179" t="n">
        <v>4</v>
      </c>
      <c r="J5179" t="inlineStr">
        <is>
          <t>2⁴, 56²</t>
        </is>
      </c>
      <c r="K5179">
        <f>HYPERLINK("CSG4.html#group58A4", "58A⁴"), =HYPERLINK("CSG9.html#group116A9", "116A⁹")</f>
        <v/>
      </c>
      <c r="L5179" t="inlineStr"/>
      <c r="M5179">
        <f>HYPERLINK("CSG9.html#group116A9", "116A⁹"), =HYPERLINK("CSG4.html#group58A4", "58A⁴"), =HYPERLINK("CSG0.html#group1A0", "1A⁰"), =HYPERLINK("CSG0.html#group4A0", "4A⁰"), =HYPERLINK("CSG2.html#group29A2", "29A²")</f>
        <v/>
      </c>
      <c r="N5179" t="inlineStr"/>
    </row>
    <row r="5180">
      <c r="A5180" t="inlineStr">
        <is>
          <t>117A¹⁷</t>
        </is>
      </c>
      <c r="B5180" t="inlineStr"/>
      <c r="C5180" t="inlineStr">
        <is>
          <t>252</t>
        </is>
      </c>
      <c r="D5180" t="inlineStr">
        <is>
          <t>1</t>
        </is>
      </c>
      <c r="E5180" t="inlineStr">
        <is>
          <t>42</t>
        </is>
      </c>
      <c r="F5180" t="inlineStr">
        <is>
          <t>12</t>
        </is>
      </c>
      <c r="G5180" t="inlineStr">
        <is>
          <t>0</t>
        </is>
      </c>
      <c r="H5180" t="inlineStr">
        <is>
          <t>9², 117²</t>
        </is>
      </c>
      <c r="I5180" t="n">
        <v>4</v>
      </c>
      <c r="J5180" t="inlineStr">
        <is>
          <t>1², 2², 12¹, 24¹</t>
        </is>
      </c>
      <c r="K5180">
        <f>HYPERLINK("CSG0.html#group9D0", "9D⁰"), =HYPERLINK("CSG5.html#group39A5", "39A⁵"), =HYPERLINK("CSG8.html#group117A8", "117A⁸")</f>
        <v/>
      </c>
      <c r="L5180" t="inlineStr"/>
      <c r="M5180">
        <f>HYPERLINK("CSG8.html#group117A8", "117A⁸"), =HYPERLINK("CSG2.html#group39A2", "39A²"), =HYPERLINK("CSG0.html#group9D0", "9D⁰"), =HYPERLINK("CSG5.html#group39A5", "39A⁵"), =HYPERLINK("CSG0.html#group9A0", "9A⁰"), =HYPERLINK("CSG0.html#group13A0", "13A⁰"), =HYPERLINK("CSG0.html#group3C0", "3C⁰"), =HYPERLINK("CSG0.html#group3A0", "3A⁰"), =HYPERLINK("CSG0.html#group1A0", "1A⁰")</f>
        <v/>
      </c>
      <c r="N5180" t="inlineStr"/>
    </row>
    <row r="5181">
      <c r="A5181" t="inlineStr">
        <is>
          <t>117B¹⁷</t>
        </is>
      </c>
      <c r="B5181" t="inlineStr"/>
      <c r="C5181" t="inlineStr">
        <is>
          <t>252</t>
        </is>
      </c>
      <c r="D5181" t="inlineStr">
        <is>
          <t>1</t>
        </is>
      </c>
      <c r="E5181" t="inlineStr">
        <is>
          <t>84</t>
        </is>
      </c>
      <c r="F5181" t="inlineStr">
        <is>
          <t>12</t>
        </is>
      </c>
      <c r="G5181" t="inlineStr">
        <is>
          <t>0</t>
        </is>
      </c>
      <c r="H5181" t="inlineStr">
        <is>
          <t>9², 117²</t>
        </is>
      </c>
      <c r="I5181" t="n">
        <v>4</v>
      </c>
      <c r="J5181" t="inlineStr">
        <is>
          <t>2⁶, 24³</t>
        </is>
      </c>
      <c r="K5181">
        <f>HYPERLINK("CSG5.html#group39A5", "39A⁵")</f>
        <v/>
      </c>
      <c r="L5181" t="inlineStr"/>
      <c r="M5181">
        <f>HYPERLINK("CSG0.html#group13A0", "13A⁰"), =HYPERLINK("CSG2.html#group39A2", "39A²"), =HYPERLINK("CSG0.html#group3C0", "3C⁰"), =HYPERLINK("CSG0.html#group3A0", "3A⁰"), =HYPERLINK("CSG5.html#group39A5", "39A⁵"), =HYPERLINK("CSG0.html#group1A0", "1A⁰")</f>
        <v/>
      </c>
      <c r="N5181" t="inlineStr"/>
    </row>
    <row r="5182">
      <c r="A5182" t="inlineStr">
        <is>
          <t>117C¹⁷</t>
        </is>
      </c>
      <c r="B5182" t="inlineStr"/>
      <c r="C5182" t="inlineStr">
        <is>
          <t>252</t>
        </is>
      </c>
      <c r="D5182" t="inlineStr">
        <is>
          <t>1</t>
        </is>
      </c>
      <c r="E5182" t="inlineStr">
        <is>
          <t>252</t>
        </is>
      </c>
      <c r="F5182" t="inlineStr">
        <is>
          <t>4</t>
        </is>
      </c>
      <c r="G5182" t="inlineStr">
        <is>
          <t>0</t>
        </is>
      </c>
      <c r="H5182" t="inlineStr">
        <is>
          <t>3³, 9¹, 39³, 117¹</t>
        </is>
      </c>
      <c r="I5182" t="n">
        <v>8</v>
      </c>
      <c r="J5182" t="inlineStr">
        <is>
          <t>1², 2², 3², 6⁴, 12¹, 24¹, 36¹, 72²</t>
        </is>
      </c>
      <c r="K5182">
        <f>HYPERLINK("CSG0.html#group9E0", "9E⁰"), =HYPERLINK("CSG5.html#group39A5", "39A⁵")</f>
        <v/>
      </c>
      <c r="L5182" t="inlineStr"/>
      <c r="M5182">
        <f>HYPERLINK("CSG0.html#group13A0", "13A⁰"), =HYPERLINK("CSG2.html#group39A2", "39A²"), =HYPERLINK("CSG0.html#group3C0", "3C⁰"), =HYPERLINK("CSG0.html#group3A0", "3A⁰"), =HYPERLINK("CSG0.html#group9E0", "9E⁰"), =HYPERLINK("CSG5.html#group39A5", "39A⁵"), =HYPERLINK("CSG0.html#group1A0", "1A⁰")</f>
        <v/>
      </c>
      <c r="N5182" t="inlineStr"/>
    </row>
    <row r="5183">
      <c r="A5183" t="inlineStr">
        <is>
          <t>119A¹⁷</t>
        </is>
      </c>
      <c r="B5183" t="inlineStr"/>
      <c r="C5183" t="inlineStr">
        <is>
          <t>252</t>
        </is>
      </c>
      <c r="D5183" t="inlineStr">
        <is>
          <t>2</t>
        </is>
      </c>
      <c r="E5183" t="inlineStr">
        <is>
          <t>126</t>
        </is>
      </c>
      <c r="F5183" t="inlineStr">
        <is>
          <t>12</t>
        </is>
      </c>
      <c r="G5183" t="inlineStr">
        <is>
          <t>0</t>
        </is>
      </c>
      <c r="H5183" t="inlineStr">
        <is>
          <t>7², 119²</t>
        </is>
      </c>
      <c r="I5183" t="n">
        <v>4</v>
      </c>
      <c r="J5183" t="inlineStr">
        <is>
          <t>2², 6⁴, 32¹, 96²</t>
        </is>
      </c>
      <c r="K5183">
        <f>HYPERLINK("CSG1.html#group17B1", "17B¹"), =HYPERLINK("CSG9.html#group119A9", "119A⁹")</f>
        <v/>
      </c>
      <c r="L5183" t="inlineStr"/>
      <c r="M5183">
        <f>HYPERLINK("CSG9.html#group119A9", "119A⁹"), =HYPERLINK("CSG1.html#group17A1", "17A¹"), =HYPERLINK("CSG0.html#group1A0", "1A⁰"), =HYPERLINK("CSG1.html#group17B1", "17B¹"), =HYPERLINK("CSG0.html#group7A0", "7A⁰")</f>
        <v/>
      </c>
      <c r="N5183" t="inlineStr"/>
    </row>
    <row r="5184">
      <c r="A5184" t="inlineStr">
        <is>
          <t>120A¹⁷</t>
        </is>
      </c>
      <c r="B5184" t="inlineStr"/>
      <c r="C5184" t="inlineStr">
        <is>
          <t>216</t>
        </is>
      </c>
      <c r="D5184" t="inlineStr">
        <is>
          <t>1</t>
        </is>
      </c>
      <c r="E5184" t="inlineStr">
        <is>
          <t>18</t>
        </is>
      </c>
      <c r="F5184" t="inlineStr">
        <is>
          <t>0</t>
        </is>
      </c>
      <c r="G5184" t="inlineStr">
        <is>
          <t>0</t>
        </is>
      </c>
      <c r="H5184" t="inlineStr">
        <is>
          <t>12¹, 24¹, 60¹, 120¹</t>
        </is>
      </c>
      <c r="I5184" t="n">
        <v>4</v>
      </c>
      <c r="J5184" t="inlineStr">
        <is>
          <t>1⁶, 4³</t>
        </is>
      </c>
      <c r="K5184">
        <f>HYPERLINK("CSG5.html#group40B5", "40B⁵"), =HYPERLINK("CSG5.html#group60A5", "60A⁵")</f>
        <v/>
      </c>
      <c r="L5184" t="inlineStr"/>
      <c r="M5184">
        <f>HYPERLINK("CSG1.html#group20E1", "20E¹"), =HYPERLINK("CSG0.html#group15B0", "15B⁰"), =HYPERLINK("CSG0.html#group12C0", "12C⁰"), =HYPERLINK("CSG2.html#group30E2", "30E²"), =HYPERLINK("CSG5.html#group60A5", "60A⁵"), =HYPERLINK("CSG0.html#group4C0", "4C⁰"), =HYPERLINK("CSG0.html#group5B0", "5B⁰"), =HYPERLINK("CSG0.html#group10C0", "10C⁰"), =HYPERLINK("CSG5.html#group40B5", "40B⁵"), =HYPERLINK("CSG0.html#group2B0", "2B⁰"), =HYPERLINK("CSG0.html#group3A0", "3A⁰"), =HYPERLINK("CSG0.html#group1A0", "1A⁰"), =HYPERLINK("CSG0.html#group6D0", "6D⁰")</f>
        <v/>
      </c>
      <c r="N5184" t="inlineStr"/>
    </row>
    <row r="5185">
      <c r="A5185" t="inlineStr">
        <is>
          <t>120B¹⁷</t>
        </is>
      </c>
      <c r="B5185" t="inlineStr"/>
      <c r="C5185" t="inlineStr">
        <is>
          <t>216</t>
        </is>
      </c>
      <c r="D5185" t="inlineStr">
        <is>
          <t>1</t>
        </is>
      </c>
      <c r="E5185" t="inlineStr">
        <is>
          <t>18</t>
        </is>
      </c>
      <c r="F5185" t="inlineStr">
        <is>
          <t>0</t>
        </is>
      </c>
      <c r="G5185" t="inlineStr">
        <is>
          <t>0</t>
        </is>
      </c>
      <c r="H5185" t="inlineStr">
        <is>
          <t>12¹, 24¹, 60¹, 120¹</t>
        </is>
      </c>
      <c r="I5185" t="n">
        <v>4</v>
      </c>
      <c r="J5185" t="inlineStr">
        <is>
          <t>1⁶, 4³</t>
        </is>
      </c>
      <c r="K5185">
        <f>HYPERLINK("CSG3.html#group24A3", "24A³"), =HYPERLINK("CSG5.html#group40C5", "40C⁵"), =HYPERLINK("CSG5.html#group60A5", "60A⁵")</f>
        <v/>
      </c>
      <c r="L5185" t="inlineStr"/>
      <c r="M5185">
        <f>HYPERLINK("CSG1.html#group20E1", "20E¹"), =HYPERLINK("CSG3.html#group24A3", "24A³"), =HYPERLINK("CSG1.html#group8A1", "8A¹"), =HYPERLINK("CSG0.html#group12C0", "12C⁰"), =HYPERLINK("CSG0.html#group4C0", "4C⁰"), =HYPERLINK("CSG5.html#group40C5", "40C⁵"), =HYPERLINK("CSG0.html#group5B0", "5B⁰"), =HYPERLINK("CSG0.html#group2B0", "2B⁰"), =HYPERLINK("CSG0.html#group1A0", "1A⁰"), =HYPERLINK("CSG0.html#group15B0", "15B⁰"), =HYPERLINK("CSG2.html#group30E2", "30E²"), =HYPERLINK("CSG5.html#group60A5", "60A⁵"), =HYPERLINK("CSG0.html#group10C0", "10C⁰"), =HYPERLINK("CSG0.html#group3A0", "3A⁰"), =HYPERLINK("CSG0.html#group6D0", "6D⁰")</f>
        <v/>
      </c>
      <c r="N5185" t="inlineStr"/>
    </row>
    <row r="5186">
      <c r="A5186" t="inlineStr">
        <is>
          <t>120C¹⁷</t>
        </is>
      </c>
      <c r="B5186" t="inlineStr"/>
      <c r="C5186" t="inlineStr">
        <is>
          <t>240</t>
        </is>
      </c>
      <c r="D5186" t="inlineStr">
        <is>
          <t>1</t>
        </is>
      </c>
      <c r="E5186" t="inlineStr">
        <is>
          <t>80</t>
        </is>
      </c>
      <c r="F5186" t="inlineStr">
        <is>
          <t>12</t>
        </is>
      </c>
      <c r="G5186" t="inlineStr">
        <is>
          <t>0</t>
        </is>
      </c>
      <c r="H5186" t="inlineStr">
        <is>
          <t>120²</t>
        </is>
      </c>
      <c r="I5186" t="n">
        <v>2</v>
      </c>
      <c r="J5186" t="inlineStr">
        <is>
          <t>4⁴, 16⁴</t>
        </is>
      </c>
      <c r="K5186">
        <f>HYPERLINK("CSG1.html#group24F1", "24F¹"), =HYPERLINK("CSG4.html#group60A4", "60A⁴"), =HYPERLINK("CSG5.html#group40D5", "40D⁵")</f>
        <v/>
      </c>
      <c r="L5186" t="inlineStr"/>
      <c r="M5186">
        <f>HYPERLINK("CSG1.html#group24F1", "24F¹"), =HYPERLINK("CSG0.html#group5A0", "5A⁰"), =HYPERLINK("CSG0.html#group12A0", "12A⁰"), =HYPERLINK("CSG0.html#group8F0", "8F⁰"), =HYPERLINK("CSG0.html#group4A0", "4A⁰"), =HYPERLINK("CSG4.html#group60A4", "60A⁴"), =HYPERLINK("CSG1.html#group20A1", "20A¹"), =HYPERLINK("CSG0.html#group3A0", "3A⁰"), =HYPERLINK("CSG0.html#group1A0", "1A⁰"), =HYPERLINK("CSG5.html#group40D5", "40D⁵"), =HYPERLINK("CSG1.html#group15A1", "15A¹")</f>
        <v/>
      </c>
      <c r="N5186" t="inlineStr"/>
    </row>
    <row r="5187">
      <c r="A5187" t="inlineStr">
        <is>
          <t>120D¹⁷</t>
        </is>
      </c>
      <c r="B5187" t="inlineStr"/>
      <c r="C5187" t="inlineStr">
        <is>
          <t>240</t>
        </is>
      </c>
      <c r="D5187" t="inlineStr">
        <is>
          <t>1</t>
        </is>
      </c>
      <c r="E5187" t="inlineStr">
        <is>
          <t>120</t>
        </is>
      </c>
      <c r="F5187" t="inlineStr">
        <is>
          <t>0</t>
        </is>
      </c>
      <c r="G5187" t="inlineStr">
        <is>
          <t>0</t>
        </is>
      </c>
      <c r="H5187" t="inlineStr">
        <is>
          <t>5², 10¹, 15², 30¹, 40¹, 120¹</t>
        </is>
      </c>
      <c r="I5187" t="n">
        <v>8</v>
      </c>
      <c r="J5187" t="inlineStr">
        <is>
          <t>1⁸, 2⁶, 4⁹, 8⁶, 16¹</t>
        </is>
      </c>
      <c r="K5187">
        <f>HYPERLINK("CSG1.html#group24G1", "24G¹"), =HYPERLINK("CSG4.html#group40B4", "40B⁴"), =HYPERLINK("CSG8.html#group60C8", "60C⁸")</f>
        <v/>
      </c>
      <c r="L5187" t="inlineStr"/>
      <c r="M5187">
        <f>HYPERLINK("CSG2.html#group20A2", "20A²"), =HYPERLINK("CSG0.html#group3B0", "3B⁰"), =HYPERLINK("CSG0.html#group5A0", "5A⁰"), =HYPERLINK("CSG1.html#group10B1", "10B¹"), =HYPERLINK("CSG1.html#group24G1", "24G¹"), =HYPERLINK("CSG0.html#group8C0", "8C⁰"), =HYPERLINK("CSG0.html#group2B0", "2B⁰"), =HYPERLINK("CSG0.html#group4B0", "4B⁰"), =HYPERLINK("CSG4.html#group40B4", "40B⁴"), =HYPERLINK("CSG0.html#group1A0", "1A⁰"), =HYPERLINK("CSG4.html#group30D4", "30D⁴"), =HYPERLINK("CSG8.html#group60C8", "60C⁸"), =HYPERLINK("CSG1.html#group15B1", "15B¹"), =HYPERLINK("CSG0.html#group6F0", "6F⁰"), =HYPERLINK("CSG0.html#group12E0", "12E⁰")</f>
        <v/>
      </c>
      <c r="N5187" t="inlineStr"/>
    </row>
    <row r="5188">
      <c r="A5188" t="inlineStr">
        <is>
          <t>120E¹⁷</t>
        </is>
      </c>
      <c r="B5188" t="inlineStr"/>
      <c r="C5188" t="inlineStr">
        <is>
          <t>240</t>
        </is>
      </c>
      <c r="D5188" t="inlineStr">
        <is>
          <t>2</t>
        </is>
      </c>
      <c r="E5188" t="inlineStr">
        <is>
          <t>40</t>
        </is>
      </c>
      <c r="F5188" t="inlineStr">
        <is>
          <t>12</t>
        </is>
      </c>
      <c r="G5188" t="inlineStr">
        <is>
          <t>0</t>
        </is>
      </c>
      <c r="H5188" t="inlineStr">
        <is>
          <t>120²</t>
        </is>
      </c>
      <c r="I5188" t="n">
        <v>2</v>
      </c>
      <c r="J5188" t="inlineStr">
        <is>
          <t>8², 16⁴</t>
        </is>
      </c>
      <c r="K5188">
        <f>HYPERLINK("CSG5.html#group40E5", "40E⁵"), =HYPERLINK("CSG7.html#group60J7", "60J⁷")</f>
        <v/>
      </c>
      <c r="L5188" t="inlineStr"/>
      <c r="M5188">
        <f>HYPERLINK("CSG5.html#group40E5", "40E⁵"), =HYPERLINK("CSG7.html#group60J7", "60J⁷"), =HYPERLINK("CSG1.html#group15D1", "15D¹"), =HYPERLINK("CSG0.html#group12A0", "12A⁰"), =HYPERLINK("CSG0.html#group4A0", "4A⁰"), =HYPERLINK("CSG0.html#group5C0", "5C⁰"), =HYPERLINK("CSG0.html#group3A0", "3A⁰"), =HYPERLINK("CSG0.html#group1A0", "1A⁰"), =HYPERLINK("CSG2.html#group20E2", "20E²")</f>
        <v/>
      </c>
      <c r="N5188" t="inlineStr"/>
    </row>
    <row r="5189">
      <c r="A5189" t="inlineStr">
        <is>
          <t>120F¹⁷</t>
        </is>
      </c>
      <c r="B5189" t="inlineStr"/>
      <c r="C5189" t="inlineStr">
        <is>
          <t>240</t>
        </is>
      </c>
      <c r="D5189" t="inlineStr">
        <is>
          <t>2</t>
        </is>
      </c>
      <c r="E5189" t="inlineStr">
        <is>
          <t>40</t>
        </is>
      </c>
      <c r="F5189" t="inlineStr">
        <is>
          <t>12</t>
        </is>
      </c>
      <c r="G5189" t="inlineStr">
        <is>
          <t>0</t>
        </is>
      </c>
      <c r="H5189" t="inlineStr">
        <is>
          <t>120²</t>
        </is>
      </c>
      <c r="I5189" t="n">
        <v>2</v>
      </c>
      <c r="J5189" t="inlineStr">
        <is>
          <t>8², 16⁴</t>
        </is>
      </c>
      <c r="K5189">
        <f>HYPERLINK("CSG1.html#group24A1", "24A¹"), =HYPERLINK("CSG5.html#group40F5", "40F⁵"), =HYPERLINK("CSG7.html#group60J7", "60J⁷")</f>
        <v/>
      </c>
      <c r="L5189" t="inlineStr"/>
      <c r="M5189">
        <f>HYPERLINK("CSG5.html#group40F5", "40F⁵"), =HYPERLINK("CSG7.html#group60J7", "60J⁷"), =HYPERLINK("CSG1.html#group15D1", "15D¹"), =HYPERLINK("CSG0.html#group12A0", "12A⁰"), =HYPERLINK("CSG1.html#group24A1", "24A¹"), =HYPERLINK("CSG0.html#group4A0", "4A⁰"), =HYPERLINK("CSG0.html#group5C0", "5C⁰"), =HYPERLINK("CSG0.html#group8A0", "8A⁰"), =HYPERLINK("CSG0.html#group3A0", "3A⁰"), =HYPERLINK("CSG0.html#group1A0", "1A⁰"), =HYPERLINK("CSG2.html#group20E2", "20E²")</f>
        <v/>
      </c>
      <c r="N5189" t="inlineStr"/>
    </row>
    <row r="5190">
      <c r="A5190" t="inlineStr">
        <is>
          <t>120G¹⁷</t>
        </is>
      </c>
      <c r="B5190" t="inlineStr"/>
      <c r="C5190" t="inlineStr">
        <is>
          <t>240</t>
        </is>
      </c>
      <c r="D5190" t="inlineStr">
        <is>
          <t>2</t>
        </is>
      </c>
      <c r="E5190" t="inlineStr">
        <is>
          <t>120</t>
        </is>
      </c>
      <c r="F5190" t="inlineStr">
        <is>
          <t>12</t>
        </is>
      </c>
      <c r="G5190" t="inlineStr">
        <is>
          <t>0</t>
        </is>
      </c>
      <c r="H5190" t="inlineStr">
        <is>
          <t>120²</t>
        </is>
      </c>
      <c r="I5190" t="n">
        <v>2</v>
      </c>
      <c r="J5190" t="inlineStr">
        <is>
          <t>8², 16⁶, 32⁴</t>
        </is>
      </c>
      <c r="K5190">
        <f>HYPERLINK("CSG7.html#group60J7", "60J⁷")</f>
        <v/>
      </c>
      <c r="L5190" t="inlineStr"/>
      <c r="M5190">
        <f>HYPERLINK("CSG7.html#group60J7", "60J⁷"), =HYPERLINK("CSG1.html#group15D1", "15D¹"), =HYPERLINK("CSG0.html#group12A0", "12A⁰"), =HYPERLINK("CSG0.html#group4A0", "4A⁰"), =HYPERLINK("CSG0.html#group1A0", "1A⁰"), =HYPERLINK("CSG0.html#group3A0", "3A⁰"), =HYPERLINK("CSG0.html#group5C0", "5C⁰"), =HYPERLINK("CSG2.html#group20E2", "20E²")</f>
        <v/>
      </c>
      <c r="N5190" t="inlineStr"/>
    </row>
    <row r="5191">
      <c r="A5191" t="inlineStr">
        <is>
          <t>120H¹⁷</t>
        </is>
      </c>
      <c r="B5191" t="inlineStr"/>
      <c r="C5191" t="inlineStr">
        <is>
          <t>240</t>
        </is>
      </c>
      <c r="D5191" t="inlineStr">
        <is>
          <t>2</t>
        </is>
      </c>
      <c r="E5191" t="inlineStr">
        <is>
          <t>120</t>
        </is>
      </c>
      <c r="F5191" t="inlineStr">
        <is>
          <t>12</t>
        </is>
      </c>
      <c r="G5191" t="inlineStr">
        <is>
          <t>0</t>
        </is>
      </c>
      <c r="H5191" t="inlineStr">
        <is>
          <t>120²</t>
        </is>
      </c>
      <c r="I5191" t="n">
        <v>2</v>
      </c>
      <c r="J5191" t="inlineStr">
        <is>
          <t>8², 16⁶, 32⁴</t>
        </is>
      </c>
      <c r="K5191">
        <f>HYPERLINK("CSG1.html#group24B1", "24B¹"), =HYPERLINK("CSG7.html#group60J7", "60J⁷")</f>
        <v/>
      </c>
      <c r="L5191" t="inlineStr"/>
      <c r="M5191">
        <f>HYPERLINK("CSG7.html#group60J7", "60J⁷"), =HYPERLINK("CSG1.html#group15D1", "15D¹"), =HYPERLINK("CSG0.html#group12A0", "12A⁰"), =HYPERLINK("CSG0.html#group4A0", "4A⁰"), =HYPERLINK("CSG0.html#group1A0", "1A⁰"), =HYPERLINK("CSG1.html#group24B1", "24B¹"), =HYPERLINK("CSG0.html#group3A0", "3A⁰"), =HYPERLINK("CSG0.html#group5C0", "5C⁰"), =HYPERLINK("CSG2.html#group20E2", "20E²")</f>
        <v/>
      </c>
      <c r="N5191" t="inlineStr"/>
    </row>
    <row r="5192">
      <c r="A5192" t="inlineStr">
        <is>
          <t>120I¹⁷</t>
        </is>
      </c>
      <c r="B5192" t="inlineStr"/>
      <c r="C5192" t="inlineStr">
        <is>
          <t>288</t>
        </is>
      </c>
      <c r="D5192" t="inlineStr">
        <is>
          <t>1</t>
        </is>
      </c>
      <c r="E5192" t="inlineStr">
        <is>
          <t>24</t>
        </is>
      </c>
      <c r="F5192" t="inlineStr">
        <is>
          <t>24</t>
        </is>
      </c>
      <c r="G5192" t="inlineStr">
        <is>
          <t>0</t>
        </is>
      </c>
      <c r="H5192" t="inlineStr">
        <is>
          <t>24², 120²</t>
        </is>
      </c>
      <c r="I5192" t="n">
        <v>4</v>
      </c>
      <c r="J5192" t="inlineStr">
        <is>
          <t>4⁴, 16²</t>
        </is>
      </c>
      <c r="K5192">
        <f>HYPERLINK("CSG5.html#group40G5", "40G⁵"), =HYPERLINK("CSG5.html#group60C5", "60C⁵")</f>
        <v/>
      </c>
      <c r="L5192" t="inlineStr"/>
      <c r="M5192">
        <f>HYPERLINK("CSG0.html#group30A0", "30A⁰"), =HYPERLINK("CSG0.html#group15B0", "15B⁰"), =HYPERLINK("CSG0.html#group12A0", "12A⁰"), =HYPERLINK("CSG5.html#group40G5", "40G⁵"), =HYPERLINK("CSG5.html#group60C5", "60C⁵"), =HYPERLINK("CSG0.html#group4A0", "4A⁰"), =HYPERLINK("CSG1.html#group20G1", "20G¹"), =HYPERLINK("CSG0.html#group5B0", "5B⁰"), =HYPERLINK("CSG3.html#group60B3", "60B³"), =HYPERLINK("CSG0.html#group3A0", "3A⁰"), =HYPERLINK("CSG0.html#group1A0", "1A⁰"), =HYPERLINK("CSG1.html#group20B1", "20B¹"), =HYPERLINK("CSG0.html#group10B0", "10B⁰")</f>
        <v/>
      </c>
      <c r="N5192" t="inlineStr"/>
    </row>
    <row r="5193">
      <c r="A5193" t="inlineStr">
        <is>
          <t>120J¹⁷</t>
        </is>
      </c>
      <c r="B5193" t="inlineStr"/>
      <c r="C5193" t="inlineStr">
        <is>
          <t>288</t>
        </is>
      </c>
      <c r="D5193" t="inlineStr">
        <is>
          <t>1</t>
        </is>
      </c>
      <c r="E5193" t="inlineStr">
        <is>
          <t>24</t>
        </is>
      </c>
      <c r="F5193" t="inlineStr">
        <is>
          <t>24</t>
        </is>
      </c>
      <c r="G5193" t="inlineStr">
        <is>
          <t>0</t>
        </is>
      </c>
      <c r="H5193" t="inlineStr">
        <is>
          <t>24², 120²</t>
        </is>
      </c>
      <c r="I5193" t="n">
        <v>4</v>
      </c>
      <c r="J5193" t="inlineStr">
        <is>
          <t>4⁴, 16²</t>
        </is>
      </c>
      <c r="K5193">
        <f>HYPERLINK("CSG5.html#group40H5", "40H⁵"), =HYPERLINK("CSG5.html#group60C5", "60C⁵")</f>
        <v/>
      </c>
      <c r="L5193" t="inlineStr"/>
      <c r="M5193">
        <f>HYPERLINK("CSG0.html#group30A0", "30A⁰"), =HYPERLINK("CSG0.html#group15B0", "15B⁰"), =HYPERLINK("CSG0.html#group12A0", "12A⁰"), =HYPERLINK("CSG5.html#group40H5", "40H⁵"), =HYPERLINK("CSG5.html#group60C5", "60C⁵"), =HYPERLINK("CSG0.html#group4A0", "4A⁰"), =HYPERLINK("CSG1.html#group20G1", "20G¹"), =HYPERLINK("CSG0.html#group5B0", "5B⁰"), =HYPERLINK("CSG3.html#group60B3", "60B³"), =HYPERLINK("CSG0.html#group3A0", "3A⁰"), =HYPERLINK("CSG0.html#group1A0", "1A⁰"), =HYPERLINK("CSG1.html#group20B1", "20B¹"), =HYPERLINK("CSG0.html#group10B0", "10B⁰")</f>
        <v/>
      </c>
      <c r="N5193" t="inlineStr"/>
    </row>
    <row r="5194">
      <c r="A5194" t="inlineStr">
        <is>
          <t>120K¹⁷</t>
        </is>
      </c>
      <c r="B5194" t="inlineStr"/>
      <c r="C5194" t="inlineStr">
        <is>
          <t>288</t>
        </is>
      </c>
      <c r="D5194" t="inlineStr">
        <is>
          <t>1</t>
        </is>
      </c>
      <c r="E5194" t="inlineStr">
        <is>
          <t>72</t>
        </is>
      </c>
      <c r="F5194" t="inlineStr">
        <is>
          <t>24</t>
        </is>
      </c>
      <c r="G5194" t="inlineStr">
        <is>
          <t>0</t>
        </is>
      </c>
      <c r="H5194" t="inlineStr">
        <is>
          <t>24², 120²</t>
        </is>
      </c>
      <c r="I5194" t="n">
        <v>4</v>
      </c>
      <c r="J5194" t="inlineStr">
        <is>
          <t>4⁴, 8⁴, 16², 32²</t>
        </is>
      </c>
      <c r="K5194">
        <f>HYPERLINK("CSG5.html#group60C5", "60C⁵")</f>
        <v/>
      </c>
      <c r="L5194" t="inlineStr"/>
      <c r="M5194">
        <f>HYPERLINK("CSG0.html#group30A0", "30A⁰"), =HYPERLINK("CSG0.html#group15B0", "15B⁰"), =HYPERLINK("CSG0.html#group12A0", "12A⁰"), =HYPERLINK("CSG5.html#group60C5", "60C⁵"), =HYPERLINK("CSG0.html#group4A0", "4A⁰"), =HYPERLINK("CSG1.html#group20G1", "20G¹"), =HYPERLINK("CSG0.html#group5B0", "5B⁰"), =HYPERLINK("CSG3.html#group60B3", "60B³"), =HYPERLINK("CSG0.html#group3A0", "3A⁰"), =HYPERLINK("CSG0.html#group1A0", "1A⁰"), =HYPERLINK("CSG1.html#group20B1", "20B¹"), =HYPERLINK("CSG0.html#group10B0", "10B⁰")</f>
        <v/>
      </c>
      <c r="N5194" t="inlineStr"/>
    </row>
    <row r="5195">
      <c r="A5195" t="inlineStr">
        <is>
          <t>120L¹⁷</t>
        </is>
      </c>
      <c r="B5195" t="inlineStr"/>
      <c r="C5195" t="inlineStr">
        <is>
          <t>288</t>
        </is>
      </c>
      <c r="D5195" t="inlineStr">
        <is>
          <t>1</t>
        </is>
      </c>
      <c r="E5195" t="inlineStr">
        <is>
          <t>72</t>
        </is>
      </c>
      <c r="F5195" t="inlineStr">
        <is>
          <t>24</t>
        </is>
      </c>
      <c r="G5195" t="inlineStr">
        <is>
          <t>0</t>
        </is>
      </c>
      <c r="H5195" t="inlineStr">
        <is>
          <t>24², 120²</t>
        </is>
      </c>
      <c r="I5195" t="n">
        <v>4</v>
      </c>
      <c r="J5195" t="inlineStr">
        <is>
          <t>4⁴, 8⁴, 16², 32²</t>
        </is>
      </c>
      <c r="K5195">
        <f>HYPERLINK("CSG5.html#group60C5", "60C⁵")</f>
        <v/>
      </c>
      <c r="L5195" t="inlineStr"/>
      <c r="M5195">
        <f>HYPERLINK("CSG0.html#group30A0", "30A⁰"), =HYPERLINK("CSG0.html#group15B0", "15B⁰"), =HYPERLINK("CSG0.html#group12A0", "12A⁰"), =HYPERLINK("CSG5.html#group60C5", "60C⁵"), =HYPERLINK("CSG0.html#group4A0", "4A⁰"), =HYPERLINK("CSG1.html#group20G1", "20G¹"), =HYPERLINK("CSG0.html#group5B0", "5B⁰"), =HYPERLINK("CSG3.html#group60B3", "60B³"), =HYPERLINK("CSG0.html#group3A0", "3A⁰"), =HYPERLINK("CSG0.html#group1A0", "1A⁰"), =HYPERLINK("CSG1.html#group20B1", "20B¹"), =HYPERLINK("CSG0.html#group10B0", "10B⁰")</f>
        <v/>
      </c>
      <c r="N5195" t="inlineStr"/>
    </row>
    <row r="5196">
      <c r="A5196" t="inlineStr">
        <is>
          <t>120M¹⁷</t>
        </is>
      </c>
      <c r="B5196" t="inlineStr"/>
      <c r="C5196" t="inlineStr">
        <is>
          <t>288</t>
        </is>
      </c>
      <c r="D5196" t="inlineStr">
        <is>
          <t>1</t>
        </is>
      </c>
      <c r="E5196" t="inlineStr">
        <is>
          <t>96</t>
        </is>
      </c>
      <c r="F5196" t="inlineStr">
        <is>
          <t>24</t>
        </is>
      </c>
      <c r="G5196" t="inlineStr">
        <is>
          <t>0</t>
        </is>
      </c>
      <c r="H5196" t="inlineStr">
        <is>
          <t>24², 120²</t>
        </is>
      </c>
      <c r="I5196" t="n">
        <v>4</v>
      </c>
      <c r="J5196" t="inlineStr">
        <is>
          <t>4⁸, 16⁴</t>
        </is>
      </c>
      <c r="K5196">
        <f>HYPERLINK("CSG1.html#group24F1", "24F¹"), =HYPERLINK("CSG3.html#group60B3", "60B³"), =HYPERLINK("CSG5.html#group40I5", "40I⁵")</f>
        <v/>
      </c>
      <c r="L5196" t="inlineStr"/>
      <c r="M5196">
        <f>HYPERLINK("CSG1.html#group24F1", "24F¹"), =HYPERLINK("CSG5.html#group40I5", "40I⁵"), =HYPERLINK("CSG0.html#group15B0", "15B⁰"), =HYPERLINK("CSG0.html#group12A0", "12A⁰"), =HYPERLINK("CSG0.html#group8F0", "8F⁰"), =HYPERLINK("CSG0.html#group4A0", "4A⁰"), =HYPERLINK("CSG0.html#group5B0", "5B⁰"), =HYPERLINK("CSG3.html#group60B3", "60B³"), =HYPERLINK("CSG0.html#group3A0", "3A⁰"), =HYPERLINK("CSG0.html#group1A0", "1A⁰"), =HYPERLINK("CSG1.html#group20B1", "20B¹")</f>
        <v/>
      </c>
      <c r="N5196" t="inlineStr"/>
    </row>
    <row r="5197">
      <c r="A5197" t="inlineStr">
        <is>
          <t>120N¹⁷</t>
        </is>
      </c>
      <c r="B5197" t="inlineStr"/>
      <c r="C5197" t="inlineStr">
        <is>
          <t>288</t>
        </is>
      </c>
      <c r="D5197" t="inlineStr">
        <is>
          <t>1</t>
        </is>
      </c>
      <c r="E5197" t="inlineStr">
        <is>
          <t>144</t>
        </is>
      </c>
      <c r="F5197" t="inlineStr">
        <is>
          <t>0</t>
        </is>
      </c>
      <c r="G5197" t="inlineStr">
        <is>
          <t>0</t>
        </is>
      </c>
      <c r="H5197" t="inlineStr">
        <is>
          <t>1², 2¹, 3², 5², 6¹, 8¹, 10¹, 15², 24¹, 30¹, 40¹, 120¹</t>
        </is>
      </c>
      <c r="I5197" t="n">
        <v>16</v>
      </c>
      <c r="J5197" t="inlineStr">
        <is>
          <t>1¹⁶, 2¹², 4¹⁰, 8⁶, 16¹</t>
        </is>
      </c>
      <c r="K5197">
        <f>HYPERLINK("CSG3.html#group40E3", "40E³"), =HYPERLINK("CSG7.html#group60P7", "60P⁷")</f>
        <v/>
      </c>
      <c r="L5197" t="inlineStr"/>
      <c r="M5197">
        <f>HYPERLINK("CSG0.html#group3B0", "3B⁰"), =HYPERLINK("CSG0.html#group5B0", "5B⁰"), =HYPERLINK("CSG1.html#group20D1", "20D¹"), =HYPERLINK("CSG0.html#group2B0", "2B⁰"), =HYPERLINK("CSG0.html#group4B0", "4B⁰"), =HYPERLINK("CSG0.html#group1A0", "1A⁰"), =HYPERLINK("CSG1.html#group15C1", "15C¹"), =HYPERLINK("CSG0.html#group10C0", "10C⁰"), =HYPERLINK("CSG3.html#group40E3", "40E³"), =HYPERLINK("CSG7.html#group60P7", "60P⁷"), =HYPERLINK("CSG3.html#group30K3", "30K³"), =HYPERLINK("CSG0.html#group6F0", "6F⁰"), =HYPERLINK("CSG0.html#group12E0", "12E⁰")</f>
        <v/>
      </c>
      <c r="N5197" t="inlineStr"/>
    </row>
    <row r="5198">
      <c r="A5198" t="inlineStr">
        <is>
          <t>120O¹⁷</t>
        </is>
      </c>
      <c r="B5198" t="inlineStr">
        <is>
          <t>Γ₀(120)</t>
        </is>
      </c>
      <c r="C5198" t="inlineStr">
        <is>
          <t>288</t>
        </is>
      </c>
      <c r="D5198" t="inlineStr">
        <is>
          <t>1</t>
        </is>
      </c>
      <c r="E5198" t="inlineStr">
        <is>
          <t>144</t>
        </is>
      </c>
      <c r="F5198" t="inlineStr">
        <is>
          <t>0</t>
        </is>
      </c>
      <c r="G5198" t="inlineStr">
        <is>
          <t>0</t>
        </is>
      </c>
      <c r="H5198" t="inlineStr">
        <is>
          <t>1², 2¹, 3², 5², 6¹, 8¹, 10¹, 15², 24¹, 30¹, 40¹, 120¹</t>
        </is>
      </c>
      <c r="I5198" t="n">
        <v>16</v>
      </c>
      <c r="J5198" t="inlineStr">
        <is>
          <t>1¹⁶, 2¹², 4¹⁰, 8⁶, 16¹</t>
        </is>
      </c>
      <c r="K5198">
        <f>HYPERLINK("CSG1.html#group24G1", "24G¹"), =HYPERLINK("CSG3.html#group40F3", "40F³"), =HYPERLINK("CSG7.html#group60P7", "60P⁷")</f>
        <v/>
      </c>
      <c r="L5198" t="inlineStr"/>
      <c r="M5198">
        <f>HYPERLINK("CSG0.html#group3B0", "3B⁰"), =HYPERLINK("CSG1.html#group24G1", "24G¹"), =HYPERLINK("CSG0.html#group5B0", "5B⁰"), =HYPERLINK("CSG1.html#group20D1", "20D¹"), =HYPERLINK("CSG0.html#group8C0", "8C⁰"), =HYPERLINK("CSG0.html#group2B0", "2B⁰"), =HYPERLINK("CSG0.html#group4B0", "4B⁰"), =HYPERLINK("CSG0.html#group1A0", "1A⁰"), =HYPERLINK("CSG1.html#group15C1", "15C¹"), =HYPERLINK("CSG3.html#group40F3", "40F³"), =HYPERLINK("CSG0.html#group10C0", "10C⁰"), =HYPERLINK("CSG7.html#group60P7", "60P⁷"), =HYPERLINK("CSG3.html#group30K3", "30K³"), =HYPERLINK("CSG0.html#group6F0", "6F⁰"), =HYPERLINK("CSG0.html#group12E0", "12E⁰")</f>
        <v/>
      </c>
      <c r="N5198" t="inlineStr"/>
    </row>
    <row r="5199">
      <c r="A5199" t="inlineStr">
        <is>
          <t>120P¹⁷</t>
        </is>
      </c>
      <c r="B5199" t="inlineStr"/>
      <c r="C5199" t="inlineStr">
        <is>
          <t>288</t>
        </is>
      </c>
      <c r="D5199" t="inlineStr">
        <is>
          <t>2</t>
        </is>
      </c>
      <c r="E5199" t="inlineStr">
        <is>
          <t>24</t>
        </is>
      </c>
      <c r="F5199" t="inlineStr">
        <is>
          <t>24</t>
        </is>
      </c>
      <c r="G5199" t="inlineStr">
        <is>
          <t>0</t>
        </is>
      </c>
      <c r="H5199" t="inlineStr">
        <is>
          <t>24², 120²</t>
        </is>
      </c>
      <c r="I5199" t="n">
        <v>4</v>
      </c>
      <c r="J5199" t="inlineStr">
        <is>
          <t>4⁴, 16²</t>
        </is>
      </c>
      <c r="K5199">
        <f>HYPERLINK("CSG5.html#group40J5", "40J⁵"), =HYPERLINK("CSG5.html#group60C5", "60C⁵"), =HYPERLINK("CSG9.html#group120C9", "120C⁹"), =HYPERLINK("CSG9.html#group120D9", "120D⁹")</f>
        <v/>
      </c>
      <c r="L5199" t="inlineStr"/>
      <c r="M5199">
        <f>HYPERLINK("CSG0.html#group30A0", "30A⁰"), =HYPERLINK("CSG3.html#group40A3", "40A³"), =HYPERLINK("CSG5.html#group60C5", "60C⁵"), =HYPERLINK("CSG0.html#group5B0", "5B⁰"), =HYPERLINK("CSG0.html#group8A0", "8A⁰"), =HYPERLINK("CSG9.html#group120D9", "120D⁹"), =HYPERLINK("CSG0.html#group1A0", "1A⁰"), =HYPERLINK("CSG9.html#group120C9", "120C⁹"), =HYPERLINK("CSG1.html#group20B1", "20B¹"), =HYPERLINK("CSG0.html#group10B0", "10B⁰"), =HYPERLINK("CSG0.html#group15B0", "15B⁰"), =HYPERLINK("CSG0.html#group12A0", "12A⁰"), =HYPERLINK("CSG1.html#group24A1", "24A¹"), =HYPERLINK("CSG0.html#group4A0", "4A⁰"), =HYPERLINK("CSG5.html#group40J5", "40J⁵"), =HYPERLINK("CSG3.html#group40B3", "40B³"), =HYPERLINK("CSG1.html#group20G1", "20G¹"), =HYPERLINK("CSG3.html#group60B3", "60B³"), =HYPERLINK("CSG0.html#group3A0", "3A⁰")</f>
        <v/>
      </c>
      <c r="N5199" t="inlineStr"/>
    </row>
    <row r="5200">
      <c r="A5200" t="inlineStr">
        <is>
          <t>120Q¹⁷</t>
        </is>
      </c>
      <c r="B5200" t="inlineStr"/>
      <c r="C5200" t="inlineStr">
        <is>
          <t>288</t>
        </is>
      </c>
      <c r="D5200" t="inlineStr">
        <is>
          <t>2</t>
        </is>
      </c>
      <c r="E5200" t="inlineStr">
        <is>
          <t>72</t>
        </is>
      </c>
      <c r="F5200" t="inlineStr">
        <is>
          <t>24</t>
        </is>
      </c>
      <c r="G5200" t="inlineStr">
        <is>
          <t>0</t>
        </is>
      </c>
      <c r="H5200" t="inlineStr">
        <is>
          <t>24², 120²</t>
        </is>
      </c>
      <c r="I5200" t="n">
        <v>4</v>
      </c>
      <c r="J5200" t="inlineStr">
        <is>
          <t>4⁴, 8⁴, 16², 32²</t>
        </is>
      </c>
      <c r="K5200">
        <f>HYPERLINK("CSG5.html#group60C5", "60C⁵"), =HYPERLINK("CSG9.html#group120E9", "120E⁹"), =HYPERLINK("CSG9.html#group120F9", "120F⁹")</f>
        <v/>
      </c>
      <c r="L5200" t="inlineStr"/>
      <c r="M5200">
        <f>HYPERLINK("CSG0.html#group30A0", "30A⁰"), =HYPERLINK("CSG0.html#group15B0", "15B⁰"), =HYPERLINK("CSG0.html#group12A0", "12A⁰"), =HYPERLINK("CSG5.html#group60C5", "60C⁵"), =HYPERLINK("CSG9.html#group120F9", "120F⁹"), =HYPERLINK("CSG0.html#group4A0", "4A⁰"), =HYPERLINK("CSG1.html#group20G1", "20G¹"), =HYPERLINK("CSG0.html#group5B0", "5B⁰"), =HYPERLINK("CSG9.html#group120E9", "120E⁹"), =HYPERLINK("CSG3.html#group60B3", "60B³"), =HYPERLINK("CSG1.html#group24B1", "24B¹"), =HYPERLINK("CSG0.html#group3A0", "3A⁰"), =HYPERLINK("CSG0.html#group1A0", "1A⁰"), =HYPERLINK("CSG1.html#group20B1", "20B¹"), =HYPERLINK("CSG0.html#group10B0", "10B⁰")</f>
        <v/>
      </c>
      <c r="N5200" t="inlineStr"/>
    </row>
    <row r="5201">
      <c r="A5201" t="inlineStr">
        <is>
          <t>122A¹⁷</t>
        </is>
      </c>
      <c r="B5201" t="inlineStr"/>
      <c r="C5201" t="inlineStr">
        <is>
          <t>248</t>
        </is>
      </c>
      <c r="D5201" t="inlineStr">
        <is>
          <t>1</t>
        </is>
      </c>
      <c r="E5201" t="inlineStr">
        <is>
          <t>62</t>
        </is>
      </c>
      <c r="F5201" t="inlineStr">
        <is>
          <t>0</t>
        </is>
      </c>
      <c r="G5201" t="inlineStr">
        <is>
          <t>8</t>
        </is>
      </c>
      <c r="H5201" t="inlineStr">
        <is>
          <t>2², 122²</t>
        </is>
      </c>
      <c r="I5201" t="n">
        <v>4</v>
      </c>
      <c r="J5201" t="inlineStr">
        <is>
          <t>1², 60¹</t>
        </is>
      </c>
      <c r="K5201">
        <f>HYPERLINK("CSG8.html#group61A8", "61A⁸"), =HYPERLINK("CSG8.html#group122A8", "122A⁸"), =HYPERLINK("CSG9.html#group122A9", "122A⁹")</f>
        <v/>
      </c>
      <c r="L5201" t="inlineStr"/>
      <c r="M5201">
        <f>HYPERLINK("CSG8.html#group122A8", "122A⁸"), =HYPERLINK("CSG9.html#group122A9", "122A⁹"), =HYPERLINK("CSG0.html#group2A0", "2A⁰"), =HYPERLINK("CSG4.html#group61A4", "61A⁴"), =HYPERLINK("CSG8.html#group61A8", "61A⁸"), =HYPERLINK("CSG0.html#group1A0", "1A⁰")</f>
        <v/>
      </c>
      <c r="N5201" t="inlineStr"/>
    </row>
    <row r="5202">
      <c r="A5202" t="inlineStr">
        <is>
          <t>123A¹⁷</t>
        </is>
      </c>
      <c r="B5202" t="inlineStr"/>
      <c r="C5202" t="inlineStr">
        <is>
          <t>252</t>
        </is>
      </c>
      <c r="D5202" t="inlineStr">
        <is>
          <t>1</t>
        </is>
      </c>
      <c r="E5202" t="inlineStr">
        <is>
          <t>42</t>
        </is>
      </c>
      <c r="F5202" t="inlineStr">
        <is>
          <t>12</t>
        </is>
      </c>
      <c r="G5202" t="inlineStr">
        <is>
          <t>0</t>
        </is>
      </c>
      <c r="H5202" t="inlineStr">
        <is>
          <t>3², 123²</t>
        </is>
      </c>
      <c r="I5202" t="n">
        <v>4</v>
      </c>
      <c r="J5202" t="inlineStr">
        <is>
          <t>1², 40¹</t>
        </is>
      </c>
      <c r="K5202">
        <f>HYPERLINK("CSG5.html#group41A5", "41A⁵"), =HYPERLINK("CSG9.html#group123A9", "123A⁹")</f>
        <v/>
      </c>
      <c r="L5202" t="inlineStr"/>
      <c r="M5202">
        <f>HYPERLINK("CSG9.html#group123A9", "123A⁹"), =HYPERLINK("CSG3.html#group41A3", "41A³"), =HYPERLINK("CSG0.html#group3A0", "3A⁰"), =HYPERLINK("CSG0.html#group1A0", "1A⁰"), =HYPERLINK("CSG5.html#group41A5", "41A⁵")</f>
        <v/>
      </c>
      <c r="N5202" t="inlineStr"/>
    </row>
    <row r="5203">
      <c r="A5203" t="inlineStr">
        <is>
          <t>126A¹⁷</t>
        </is>
      </c>
      <c r="B5203" t="inlineStr"/>
      <c r="C5203" t="inlineStr">
        <is>
          <t>216</t>
        </is>
      </c>
      <c r="D5203" t="inlineStr">
        <is>
          <t>1</t>
        </is>
      </c>
      <c r="E5203" t="inlineStr">
        <is>
          <t>216</t>
        </is>
      </c>
      <c r="F5203" t="inlineStr">
        <is>
          <t>0</t>
        </is>
      </c>
      <c r="G5203" t="inlineStr">
        <is>
          <t>0</t>
        </is>
      </c>
      <c r="H5203" t="inlineStr">
        <is>
          <t>9¹, 18¹, 63¹, 126¹</t>
        </is>
      </c>
      <c r="I5203" t="n">
        <v>4</v>
      </c>
      <c r="J5203" t="inlineStr">
        <is>
          <t>1⁶, 2⁶, 6⁹, 12³, 36³</t>
        </is>
      </c>
      <c r="K5203">
        <f>HYPERLINK("CSG1.html#group18E1", "18E¹"), =HYPERLINK("CSG5.html#group42A5", "42A⁵"), =HYPERLINK("CSG6.html#group63A6", "63A⁶")</f>
        <v/>
      </c>
      <c r="L5203" t="inlineStr"/>
      <c r="M5203">
        <f>HYPERLINK("CSG6.html#group63A6", "63A⁶"), =HYPERLINK("CSG2.html#group21A2", "21A²"), =HYPERLINK("CSG5.html#group42A5", "42A⁵"), =HYPERLINK("CSG0.html#group7B0", "7B⁰"), =HYPERLINK("CSG0.html#group9A0", "9A⁰"), =HYPERLINK("CSG1.html#group14C1", "14C¹"), =HYPERLINK("CSG0.html#group2B0", "2B⁰"), =HYPERLINK("CSG1.html#group18E1", "18E¹"), =HYPERLINK("CSG0.html#group3A0", "3A⁰"), =HYPERLINK("CSG0.html#group1A0", "1A⁰"), =HYPERLINK("CSG0.html#group6D0", "6D⁰")</f>
        <v/>
      </c>
      <c r="N5203" t="inlineStr"/>
    </row>
    <row r="5204">
      <c r="A5204" t="inlineStr">
        <is>
          <t>126B¹⁷</t>
        </is>
      </c>
      <c r="B5204" t="inlineStr"/>
      <c r="C5204" t="inlineStr">
        <is>
          <t>252</t>
        </is>
      </c>
      <c r="D5204" t="inlineStr">
        <is>
          <t>2</t>
        </is>
      </c>
      <c r="E5204" t="inlineStr">
        <is>
          <t>63</t>
        </is>
      </c>
      <c r="F5204" t="inlineStr">
        <is>
          <t>16</t>
        </is>
      </c>
      <c r="G5204" t="inlineStr">
        <is>
          <t>0</t>
        </is>
      </c>
      <c r="H5204" t="inlineStr">
        <is>
          <t>126²</t>
        </is>
      </c>
      <c r="I5204" t="n">
        <v>2</v>
      </c>
      <c r="J5204" t="inlineStr">
        <is>
          <t>2¹, 4¹, 6², 12³, 36²</t>
        </is>
      </c>
      <c r="K5204">
        <f>HYPERLINK("CSG3.html#group42F3", "42F³"), =HYPERLINK("CSG6.html#group126A6", "126A⁶"), =HYPERLINK("CSG7.html#group63D7", "63D⁷"), =HYPERLINK("CSG8.html#group126A8", "126A⁸")</f>
        <v/>
      </c>
      <c r="L5204" t="inlineStr"/>
      <c r="M5204">
        <f>HYPERLINK("CSG0.html#group14A0", "14A⁰"), =HYPERLINK("CSG0.html#group6B0", "6B⁰"), =HYPERLINK("CSG1.html#group42A1", "42A¹"), =HYPERLINK("CSG1.html#group21D1", "21D¹"), =HYPERLINK("CSG0.html#group21A0", "21A⁰"), =HYPERLINK("CSG0.html#group1A0", "1A⁰"), =HYPERLINK("CSG2.html#group63A2", "63A²"), =HYPERLINK("CSG8.html#group126A8", "126A⁸"), =HYPERLINK("CSG6.html#group126A6", "126A⁶"), =HYPERLINK("CSG3.html#group42F3", "42F³"), =HYPERLINK("CSG0.html#group9A0", "9A⁰"), =HYPERLINK("CSG1.html#group42B1", "42B¹"), =HYPERLINK("CSG0.html#group3A0", "3A⁰"), =HYPERLINK("CSG1.html#group18A1", "18A¹"), =HYPERLINK("CSG7.html#group63D7", "63D⁷"), =HYPERLINK("CSG0.html#group7A0", "7A⁰")</f>
        <v/>
      </c>
      <c r="N5204" t="inlineStr"/>
    </row>
    <row r="5205">
      <c r="A5205" t="inlineStr">
        <is>
          <t>126C¹⁷</t>
        </is>
      </c>
      <c r="B5205" t="inlineStr"/>
      <c r="C5205" t="inlineStr">
        <is>
          <t>252</t>
        </is>
      </c>
      <c r="D5205" t="inlineStr">
        <is>
          <t>2</t>
        </is>
      </c>
      <c r="E5205" t="inlineStr">
        <is>
          <t>63</t>
        </is>
      </c>
      <c r="F5205" t="inlineStr">
        <is>
          <t>16</t>
        </is>
      </c>
      <c r="G5205" t="inlineStr">
        <is>
          <t>0</t>
        </is>
      </c>
      <c r="H5205" t="inlineStr">
        <is>
          <t>126²</t>
        </is>
      </c>
      <c r="I5205" t="n">
        <v>2</v>
      </c>
      <c r="J5205" t="inlineStr">
        <is>
          <t>4³, 12⁸, 36⁴</t>
        </is>
      </c>
      <c r="K5205">
        <f>HYPERLINK("CSG5.html#group42F5", "42F⁵"), =HYPERLINK("CSG5.html#group126A5", "126A⁵"), =HYPERLINK("CSG8.html#group63A8", "63A⁸"), =HYPERLINK("CSG8.html#group126C8", "126C⁸")</f>
        <v/>
      </c>
      <c r="L5205" t="inlineStr"/>
      <c r="M5205">
        <f>HYPERLINK("CSG5.html#group42F5", "42F⁵"), =HYPERLINK("CSG0.html#group6B0", "6B⁰"), =HYPERLINK("CSG2.html#group21C2", "21C²"), =HYPERLINK("CSG0.html#group21A0", "21A⁰"), =HYPERLINK("CSG5.html#group126A5", "126A⁵"), =HYPERLINK("CSG0.html#group1A0", "1A⁰"), =HYPERLINK("CSG0.html#group18A0", "18A⁰"), =HYPERLINK("CSG2.html#group63A2", "63A²"), =HYPERLINK("CSG8.html#group63A8", "63A⁸"), =HYPERLINK("CSG8.html#group126C8", "126C⁸"), =HYPERLINK("CSG2.html#group42A2", "42A²"), =HYPERLINK("CSG0.html#group9A0", "9A⁰"), =HYPERLINK("CSG0.html#group7C0", "7C⁰"), =HYPERLINK("CSG1.html#group42B1", "42B¹"), =HYPERLINK("CSG0.html#group3A0", "3A⁰"), =HYPERLINK("CSG0.html#group7A0", "7A⁰")</f>
        <v/>
      </c>
      <c r="N5205" t="inlineStr"/>
    </row>
    <row r="5206">
      <c r="A5206" t="inlineStr">
        <is>
          <t>126D¹⁷</t>
        </is>
      </c>
      <c r="B5206" t="inlineStr"/>
      <c r="C5206" t="inlineStr">
        <is>
          <t>252</t>
        </is>
      </c>
      <c r="D5206" t="inlineStr">
        <is>
          <t>2</t>
        </is>
      </c>
      <c r="E5206" t="inlineStr">
        <is>
          <t>63</t>
        </is>
      </c>
      <c r="F5206" t="inlineStr">
        <is>
          <t>16</t>
        </is>
      </c>
      <c r="G5206" t="inlineStr">
        <is>
          <t>0</t>
        </is>
      </c>
      <c r="H5206" t="inlineStr">
        <is>
          <t>126²</t>
        </is>
      </c>
      <c r="I5206" t="n">
        <v>2</v>
      </c>
      <c r="J5206" t="inlineStr">
        <is>
          <t>4³, 12⁸, 36⁴</t>
        </is>
      </c>
      <c r="K5206">
        <f>HYPERLINK("CSG5.html#group42F5", "42F⁵"), =HYPERLINK("CSG5.html#group126B5", "126B⁵"), =HYPERLINK("CSG8.html#group63A8", "63A⁸"), =HYPERLINK("CSG8.html#group126B8", "126B⁸")</f>
        <v/>
      </c>
      <c r="L5206" t="inlineStr"/>
      <c r="M5206">
        <f>HYPERLINK("CSG5.html#group42F5", "42F⁵"), =HYPERLINK("CSG0.html#group6B0", "6B⁰"), =HYPERLINK("CSG2.html#group21C2", "21C²"), =HYPERLINK("CSG0.html#group21A0", "21A⁰"), =HYPERLINK("CSG0.html#group1A0", "1A⁰"), =HYPERLINK("CSG0.html#group18A0", "18A⁰"), =HYPERLINK("CSG2.html#group63A2", "63A²"), =HYPERLINK("CSG8.html#group63A8", "63A⁸"), =HYPERLINK("CSG2.html#group42A2", "42A²"), =HYPERLINK("CSG0.html#group9A0", "9A⁰"), =HYPERLINK("CSG0.html#group7C0", "7C⁰"), =HYPERLINK("CSG5.html#group126B5", "126B⁵"), =HYPERLINK("CSG1.html#group42B1", "42B¹"), =HYPERLINK("CSG0.html#group3A0", "3A⁰"), =HYPERLINK("CSG8.html#group126B8", "126B⁸"), =HYPERLINK("CSG0.html#group7A0", "7A⁰")</f>
        <v/>
      </c>
      <c r="N5206" t="inlineStr"/>
    </row>
    <row r="5207">
      <c r="A5207" t="inlineStr">
        <is>
          <t>126E¹⁷</t>
        </is>
      </c>
      <c r="B5207" t="inlineStr"/>
      <c r="C5207" t="inlineStr">
        <is>
          <t>252</t>
        </is>
      </c>
      <c r="D5207" t="inlineStr">
        <is>
          <t>2</t>
        </is>
      </c>
      <c r="E5207" t="inlineStr">
        <is>
          <t>126</t>
        </is>
      </c>
      <c r="F5207" t="inlineStr">
        <is>
          <t>12</t>
        </is>
      </c>
      <c r="G5207" t="inlineStr">
        <is>
          <t>0</t>
        </is>
      </c>
      <c r="H5207" t="inlineStr">
        <is>
          <t>42³, 126¹</t>
        </is>
      </c>
      <c r="I5207" t="n">
        <v>4</v>
      </c>
      <c r="J5207" t="inlineStr">
        <is>
          <t>2¹, 4¹, 6³, 12⁴, 18², 36⁴</t>
        </is>
      </c>
      <c r="K5207">
        <f>HYPERLINK("CSG1.html#group18F1", "18F¹"), =HYPERLINK("CSG4.html#group42F4", "42F⁴"), =HYPERLINK("CSG8.html#group63B8", "63B⁸")</f>
        <v/>
      </c>
      <c r="L5207" t="inlineStr"/>
      <c r="M5207">
        <f>HYPERLINK("CSG2.html#group21D2", "21D²"), =HYPERLINK("CSG0.html#group6B0", "6B⁰"), =HYPERLINK("CSG4.html#group42F4", "42F⁴"), =HYPERLINK("CSG1.html#group42B1", "42B¹"), =HYPERLINK("CSG0.html#group6E0", "6E⁰"), =HYPERLINK("CSG0.html#group21A0", "21A⁰"), =HYPERLINK("CSG0.html#group3C0", "3C⁰"), =HYPERLINK("CSG1.html#group18F1", "18F¹"), =HYPERLINK("CSG0.html#group9E0", "9E⁰"), =HYPERLINK("CSG0.html#group3A0", "3A⁰"), =HYPERLINK("CSG0.html#group1A0", "1A⁰"), =HYPERLINK("CSG0.html#group7A0", "7A⁰"), =HYPERLINK("CSG8.html#group63B8", "63B⁸")</f>
        <v/>
      </c>
      <c r="N5207" t="inlineStr"/>
    </row>
    <row r="5208">
      <c r="A5208" t="inlineStr">
        <is>
          <t>126F¹⁷</t>
        </is>
      </c>
      <c r="B5208" t="inlineStr"/>
      <c r="C5208" t="inlineStr">
        <is>
          <t>252</t>
        </is>
      </c>
      <c r="D5208" t="inlineStr">
        <is>
          <t>2</t>
        </is>
      </c>
      <c r="E5208" t="inlineStr">
        <is>
          <t>126</t>
        </is>
      </c>
      <c r="F5208" t="inlineStr">
        <is>
          <t>16</t>
        </is>
      </c>
      <c r="G5208" t="inlineStr">
        <is>
          <t>0</t>
        </is>
      </c>
      <c r="H5208" t="inlineStr">
        <is>
          <t>126²</t>
        </is>
      </c>
      <c r="I5208" t="n">
        <v>2</v>
      </c>
      <c r="J5208" t="inlineStr">
        <is>
          <t>12⁹, 36⁴</t>
        </is>
      </c>
      <c r="K5208">
        <f>HYPERLINK("CSG3.html#group42F3", "42F³"), =HYPERLINK("CSG7.html#group63E7", "63E⁷")</f>
        <v/>
      </c>
      <c r="L5208" t="inlineStr"/>
      <c r="M5208">
        <f>HYPERLINK("CSG0.html#group14A0", "14A⁰"), =HYPERLINK("CSG0.html#group6B0", "6B⁰"), =HYPERLINK("CSG1.html#group42A1", "42A¹"), =HYPERLINK("CSG0.html#group7A0", "7A⁰"), =HYPERLINK("CSG1.html#group21D1", "21D¹"), =HYPERLINK("CSG0.html#group21A0", "21A⁰"), =HYPERLINK("CSG1.html#group42B1", "42B¹"), =HYPERLINK("CSG0.html#group3A0", "3A⁰"), =HYPERLINK("CSG0.html#group1A0", "1A⁰"), =HYPERLINK("CSG3.html#group42F3", "42F³"), =HYPERLINK("CSG7.html#group63E7", "63E⁷")</f>
        <v/>
      </c>
      <c r="N5208" t="inlineStr"/>
    </row>
    <row r="5209">
      <c r="A5209" t="inlineStr">
        <is>
          <t>126G¹⁷</t>
        </is>
      </c>
      <c r="B5209" t="inlineStr"/>
      <c r="C5209" t="inlineStr">
        <is>
          <t>252</t>
        </is>
      </c>
      <c r="D5209" t="inlineStr">
        <is>
          <t>2</t>
        </is>
      </c>
      <c r="E5209" t="inlineStr">
        <is>
          <t>126</t>
        </is>
      </c>
      <c r="F5209" t="inlineStr">
        <is>
          <t>16</t>
        </is>
      </c>
      <c r="G5209" t="inlineStr">
        <is>
          <t>0</t>
        </is>
      </c>
      <c r="H5209" t="inlineStr">
        <is>
          <t>126²</t>
        </is>
      </c>
      <c r="I5209" t="n">
        <v>2</v>
      </c>
      <c r="J5209" t="inlineStr">
        <is>
          <t>4³, 12⁸, 36⁴</t>
        </is>
      </c>
      <c r="K5209">
        <f>HYPERLINK("CSG3.html#group42F3", "42F³"), =HYPERLINK("CSG8.html#group126D8", "126D⁸")</f>
        <v/>
      </c>
      <c r="L5209" t="inlineStr"/>
      <c r="M5209">
        <f>HYPERLINK("CSG0.html#group14A0", "14A⁰"), =HYPERLINK("CSG0.html#group6B0", "6B⁰"), =HYPERLINK("CSG1.html#group42A1", "42A¹"), =HYPERLINK("CSG3.html#group42F3", "42F³"), =HYPERLINK("CSG1.html#group21D1", "21D¹"), =HYPERLINK("CSG1.html#group18B1", "18B¹"), =HYPERLINK("CSG0.html#group21A0", "21A⁰"), =HYPERLINK("CSG1.html#group42B1", "42B¹"), =HYPERLINK("CSG0.html#group3A0", "3A⁰"), =HYPERLINK("CSG0.html#group1A0", "1A⁰"), =HYPERLINK("CSG8.html#group126D8", "126D⁸"), =HYPERLINK("CSG0.html#group7A0", "7A⁰")</f>
        <v/>
      </c>
      <c r="N5209" t="inlineStr"/>
    </row>
    <row r="5210">
      <c r="A5210" t="inlineStr">
        <is>
          <t>126H¹⁷</t>
        </is>
      </c>
      <c r="B5210" t="inlineStr"/>
      <c r="C5210" t="inlineStr">
        <is>
          <t>252</t>
        </is>
      </c>
      <c r="D5210" t="inlineStr">
        <is>
          <t>2</t>
        </is>
      </c>
      <c r="E5210" t="inlineStr">
        <is>
          <t>252</t>
        </is>
      </c>
      <c r="F5210" t="inlineStr">
        <is>
          <t>12</t>
        </is>
      </c>
      <c r="G5210" t="inlineStr">
        <is>
          <t>0</t>
        </is>
      </c>
      <c r="H5210" t="inlineStr">
        <is>
          <t>42³, 126¹</t>
        </is>
      </c>
      <c r="I5210" t="n">
        <v>4</v>
      </c>
      <c r="J5210" t="inlineStr">
        <is>
          <t>4³, 6², 12¹⁰, 18⁴, 36⁸</t>
        </is>
      </c>
      <c r="K5210">
        <f>HYPERLINK("CSG1.html#group18G1", "18G¹"), =HYPERLINK("CSG4.html#group42F4", "42F⁴")</f>
        <v/>
      </c>
      <c r="L5210" t="inlineStr"/>
      <c r="M5210">
        <f>HYPERLINK("CSG2.html#group21D2", "21D²"), =HYPERLINK("CSG0.html#group6B0", "6B⁰"), =HYPERLINK("CSG4.html#group42F4", "42F⁴"), =HYPERLINK("CSG0.html#group21A0", "21A⁰"), =HYPERLINK("CSG0.html#group1A0", "1A⁰"), =HYPERLINK("CSG0.html#group6E0", "6E⁰"), =HYPERLINK("CSG0.html#group3C0", "3C⁰"), =HYPERLINK("CSG1.html#group18G1", "18G¹"), =HYPERLINK("CSG1.html#group42B1", "42B¹"), =HYPERLINK("CSG0.html#group3A0", "3A⁰"), =HYPERLINK("CSG0.html#group7A0", "7A⁰")</f>
        <v/>
      </c>
      <c r="N5210" t="inlineStr"/>
    </row>
    <row r="5211">
      <c r="A5211" t="inlineStr">
        <is>
          <t>126I¹⁷</t>
        </is>
      </c>
      <c r="B5211" t="inlineStr"/>
      <c r="C5211" t="inlineStr">
        <is>
          <t>252</t>
        </is>
      </c>
      <c r="D5211" t="inlineStr">
        <is>
          <t>2</t>
        </is>
      </c>
      <c r="E5211" t="inlineStr">
        <is>
          <t>252</t>
        </is>
      </c>
      <c r="F5211" t="inlineStr">
        <is>
          <t>16</t>
        </is>
      </c>
      <c r="G5211" t="inlineStr">
        <is>
          <t>0</t>
        </is>
      </c>
      <c r="H5211" t="inlineStr">
        <is>
          <t>126²</t>
        </is>
      </c>
      <c r="I5211" t="n">
        <v>2</v>
      </c>
      <c r="J5211" t="inlineStr">
        <is>
          <t>12¹⁸, 36⁸</t>
        </is>
      </c>
      <c r="K5211">
        <f>HYPERLINK("CSG3.html#group42F3", "42F³")</f>
        <v/>
      </c>
      <c r="L5211" t="inlineStr"/>
      <c r="M5211">
        <f>HYPERLINK("CSG0.html#group14A0", "14A⁰"), =HYPERLINK("CSG0.html#group6B0", "6B⁰"), =HYPERLINK("CSG1.html#group42A1", "42A¹"), =HYPERLINK("CSG1.html#group21D1", "21D¹"), =HYPERLINK("CSG0.html#group21A0", "21A⁰"), =HYPERLINK("CSG1.html#group42B1", "42B¹"), =HYPERLINK("CSG0.html#group3A0", "3A⁰"), =HYPERLINK("CSG0.html#group1A0", "1A⁰"), =HYPERLINK("CSG3.html#group42F3", "42F³"), =HYPERLINK("CSG0.html#group7A0", "7A⁰")</f>
        <v/>
      </c>
      <c r="N5211" t="inlineStr"/>
    </row>
    <row r="5212">
      <c r="A5212" t="inlineStr">
        <is>
          <t>126J¹⁷</t>
        </is>
      </c>
      <c r="B5212" t="inlineStr">
        <is>
          <t>Γ₀(126)</t>
        </is>
      </c>
      <c r="C5212" t="inlineStr">
        <is>
          <t>288</t>
        </is>
      </c>
      <c r="D5212" t="inlineStr">
        <is>
          <t>1</t>
        </is>
      </c>
      <c r="E5212" t="inlineStr">
        <is>
          <t>96</t>
        </is>
      </c>
      <c r="F5212" t="inlineStr">
        <is>
          <t>0</t>
        </is>
      </c>
      <c r="G5212" t="inlineStr">
        <is>
          <t>0</t>
        </is>
      </c>
      <c r="H5212" t="inlineStr">
        <is>
          <t>1³, 2³, 7³, 9¹, 14³, 18¹, 63¹, 126¹</t>
        </is>
      </c>
      <c r="I5212" t="n">
        <v>16</v>
      </c>
      <c r="J5212" t="inlineStr">
        <is>
          <t>1¹², 2⁶, 6⁶, 12³</t>
        </is>
      </c>
      <c r="K5212">
        <f>HYPERLINK("CSG0.html#group18E0", "18E⁰"), =HYPERLINK("CSG5.html#group42G5", "42G⁵"), =HYPERLINK("CSG5.html#group63A5", "63A⁵")</f>
        <v/>
      </c>
      <c r="L5212" t="inlineStr"/>
      <c r="M5212">
        <f>HYPERLINK("CSG5.html#group63A5", "63A⁵"), =HYPERLINK("CSG0.html#group3B0", "3B⁰"), =HYPERLINK("CSG0.html#group18E0", "18E⁰"), =HYPERLINK("CSG1.html#group21B1", "21B¹"), =HYPERLINK("CSG0.html#group7B0", "7B⁰"), =HYPERLINK("CSG1.html#group14C1", "14C¹"), =HYPERLINK("CSG0.html#group9B0", "9B⁰"), =HYPERLINK("CSG0.html#group1A0", "1A⁰"), =HYPERLINK("CSG0.html#group2B0", "2B⁰"), =HYPERLINK("CSG5.html#group42G5", "42G⁵"), =HYPERLINK("CSG0.html#group6F0", "6F⁰")</f>
        <v/>
      </c>
      <c r="N5212" t="inlineStr"/>
    </row>
    <row r="5213">
      <c r="A5213" t="inlineStr">
        <is>
          <t>126K¹⁷</t>
        </is>
      </c>
      <c r="B5213" t="inlineStr"/>
      <c r="C5213" t="inlineStr">
        <is>
          <t>288</t>
        </is>
      </c>
      <c r="D5213" t="inlineStr">
        <is>
          <t>2</t>
        </is>
      </c>
      <c r="E5213" t="inlineStr">
        <is>
          <t>96</t>
        </is>
      </c>
      <c r="F5213" t="inlineStr">
        <is>
          <t>0</t>
        </is>
      </c>
      <c r="G5213" t="inlineStr">
        <is>
          <t>0</t>
        </is>
      </c>
      <c r="H5213" t="inlineStr">
        <is>
          <t>1³, 2³, 7³, 9¹, 14³, 18¹, 63¹, 126¹</t>
        </is>
      </c>
      <c r="I5213" t="n">
        <v>16</v>
      </c>
      <c r="J5213" t="inlineStr">
        <is>
          <t>2²⁴, 12¹²</t>
        </is>
      </c>
      <c r="K5213">
        <f>HYPERLINK("CSG4.html#group63A4", "63A⁴"), =HYPERLINK("CSG5.html#group42G5", "42G⁵")</f>
        <v/>
      </c>
      <c r="L5213" t="inlineStr"/>
      <c r="M5213">
        <f>HYPERLINK("CSG0.html#group3B0", "3B⁰"), =HYPERLINK("CSG1.html#group21B1", "21B¹"), =HYPERLINK("CSG0.html#group7B0", "7B⁰"), =HYPERLINK("CSG1.html#group14C1", "14C¹"), =HYPERLINK("CSG0.html#group1A0", "1A⁰"), =HYPERLINK("CSG0.html#group2B0", "2B⁰"), =HYPERLINK("CSG5.html#group42G5", "42G⁵"), =HYPERLINK("CSG0.html#group6F0", "6F⁰"), =HYPERLINK("CSG4.html#group63A4", "63A⁴")</f>
        <v/>
      </c>
      <c r="N5213" t="inlineStr"/>
    </row>
    <row r="5214">
      <c r="A5214" t="inlineStr">
        <is>
          <t>128A¹⁷</t>
        </is>
      </c>
      <c r="B5214" t="inlineStr"/>
      <c r="C5214" t="inlineStr">
        <is>
          <t>384</t>
        </is>
      </c>
      <c r="D5214" t="inlineStr">
        <is>
          <t>1</t>
        </is>
      </c>
      <c r="E5214" t="inlineStr">
        <is>
          <t>24</t>
        </is>
      </c>
      <c r="F5214" t="inlineStr">
        <is>
          <t>0</t>
        </is>
      </c>
      <c r="G5214" t="inlineStr">
        <is>
          <t>0</t>
        </is>
      </c>
      <c r="H5214" t="inlineStr">
        <is>
          <t>1¹⁶, 2⁸, 8⁴, 32², 128²</t>
        </is>
      </c>
      <c r="I5214" t="n">
        <v>32</v>
      </c>
      <c r="J5214" t="inlineStr">
        <is>
          <t>1⁴, 2², 4², 8¹</t>
        </is>
      </c>
      <c r="K5214">
        <f>HYPERLINK("CSG5.html#group64C5", "64C⁵"), =HYPERLINK("CSG9.html#group128A9", "128A⁹"), =HYPERLINK("CSG9.html#group128B9", "128B⁹")</f>
        <v/>
      </c>
      <c r="L5214" t="inlineStr"/>
      <c r="M5214">
        <f>HYPERLINK("CSG5.html#group64C5", "64C⁵"), =HYPERLINK("CSG3.html#group64B3", "64B³"), =HYPERLINK("CSG0.html#group8C0", "8C⁰"), =HYPERLINK("CSG0.html#group2B0", "2B⁰"), =HYPERLINK("CSG0.html#group8I0", "8I⁰"), =HYPERLINK("CSG0.html#group4B0", "4B⁰"), =HYPERLINK("CSG9.html#group128B9", "128B⁹"), =HYPERLINK("CSG0.html#group1A0", "1A⁰"), =HYPERLINK("CSG0.html#group16H0", "16H⁰"), =HYPERLINK("CSG1.html#group32A1", "32A¹"), =HYPERLINK("CSG0.html#group16C0", "16C⁰"), =HYPERLINK("CSG0.html#group16D0", "16D⁰"), =HYPERLINK("CSG0.html#group32A0", "32A⁰"), =HYPERLINK("CSG9.html#group128A9", "128A⁹"), =HYPERLINK("CSG3.html#group64A3", "64A³"), =HYPERLINK("CSG1.html#group32E1", "32E¹")</f>
        <v/>
      </c>
      <c r="N5214" t="inlineStr"/>
    </row>
    <row r="5215">
      <c r="A5215" t="inlineStr">
        <is>
          <t>128B¹⁷</t>
        </is>
      </c>
      <c r="B5215" t="inlineStr"/>
      <c r="C5215" t="inlineStr">
        <is>
          <t>384</t>
        </is>
      </c>
      <c r="D5215" t="inlineStr">
        <is>
          <t>2</t>
        </is>
      </c>
      <c r="E5215" t="inlineStr">
        <is>
          <t>48</t>
        </is>
      </c>
      <c r="F5215" t="inlineStr">
        <is>
          <t>0</t>
        </is>
      </c>
      <c r="G5215" t="inlineStr">
        <is>
          <t>0</t>
        </is>
      </c>
      <c r="H5215" t="inlineStr">
        <is>
          <t>1⁸, 2¹², 4⁸, 32², 128²</t>
        </is>
      </c>
      <c r="I5215" t="n">
        <v>32</v>
      </c>
      <c r="J5215" t="inlineStr">
        <is>
          <t>2⁸, 4⁴, 8⁴, 16²</t>
        </is>
      </c>
      <c r="K5215">
        <f>HYPERLINK("CSG5.html#group64D5", "64D⁵")</f>
        <v/>
      </c>
      <c r="L5215" t="inlineStr"/>
      <c r="M5215">
        <f>HYPERLINK("CSG1.html#group32A1", "32A¹"), =HYPERLINK("CSG1.html#group32E1", "32E¹"), =HYPERLINK("CSG0.html#group16C0", "16C⁰"), =HYPERLINK("CSG0.html#group16D0", "16D⁰"), =HYPERLINK("CSG0.html#group32A0", "32A⁰"), =HYPERLINK("CSG2.html#group64A2", "64A²"), =HYPERLINK("CSG0.html#group8C0", "8C⁰"), =HYPERLINK("CSG5.html#group64D5", "64D⁵"), =HYPERLINK("CSG0.html#group2B0", "2B⁰"), =HYPERLINK("CSG0.html#group8I0", "8I⁰"), =HYPERLINK("CSG0.html#group4B0", "4B⁰"), =HYPERLINK("CSG0.html#group1A0", "1A⁰"), =HYPERLINK("CSG0.html#group16H0", "16H⁰")</f>
        <v/>
      </c>
      <c r="N5215" t="inlineStr"/>
    </row>
    <row r="5216">
      <c r="A5216" t="inlineStr">
        <is>
          <t>130A¹⁷</t>
        </is>
      </c>
      <c r="B5216" t="inlineStr">
        <is>
          <t>Γ₀(130)</t>
        </is>
      </c>
      <c r="C5216" t="inlineStr">
        <is>
          <t>252</t>
        </is>
      </c>
      <c r="D5216" t="inlineStr">
        <is>
          <t>1</t>
        </is>
      </c>
      <c r="E5216" t="inlineStr">
        <is>
          <t>252</t>
        </is>
      </c>
      <c r="F5216" t="inlineStr">
        <is>
          <t>4</t>
        </is>
      </c>
      <c r="G5216" t="inlineStr">
        <is>
          <t>0</t>
        </is>
      </c>
      <c r="H5216" t="inlineStr">
        <is>
          <t>1¹, 2¹, 5¹, 10¹, 13¹, 26¹, 65¹, 130¹</t>
        </is>
      </c>
      <c r="I5216" t="n">
        <v>8</v>
      </c>
      <c r="J5216" t="inlineStr">
        <is>
          <t>1¹², 4⁶, 12⁶, 48³</t>
        </is>
      </c>
      <c r="K5216">
        <f>HYPERLINK("CSG0.html#group10C0", "10C⁰"), =HYPERLINK("CSG2.html#group26A2", "26A²"), =HYPERLINK("CSG5.html#group65A5", "65A⁵")</f>
        <v/>
      </c>
      <c r="L5216" t="inlineStr"/>
      <c r="M5216">
        <f>HYPERLINK("CSG0.html#group5B0", "5B⁰"), =HYPERLINK("CSG0.html#group10C0", "10C⁰"), =HYPERLINK("CSG0.html#group13A0", "13A⁰"), =HYPERLINK("CSG0.html#group2B0", "2B⁰"), =HYPERLINK("CSG5.html#group65A5", "65A⁵"), =HYPERLINK("CSG0.html#group1A0", "1A⁰"), =HYPERLINK("CSG2.html#group26A2", "26A²")</f>
        <v/>
      </c>
      <c r="N5216" t="inlineStr"/>
    </row>
    <row r="5217">
      <c r="A5217" t="inlineStr">
        <is>
          <t>130B¹⁷</t>
        </is>
      </c>
      <c r="B5217" t="inlineStr"/>
      <c r="C5217" t="inlineStr">
        <is>
          <t>280</t>
        </is>
      </c>
      <c r="D5217" t="inlineStr">
        <is>
          <t>1</t>
        </is>
      </c>
      <c r="E5217" t="inlineStr">
        <is>
          <t>70</t>
        </is>
      </c>
      <c r="F5217" t="inlineStr">
        <is>
          <t>0</t>
        </is>
      </c>
      <c r="G5217" t="inlineStr">
        <is>
          <t>16</t>
        </is>
      </c>
      <c r="H5217" t="inlineStr">
        <is>
          <t>10², 130²</t>
        </is>
      </c>
      <c r="I5217" t="n">
        <v>4</v>
      </c>
      <c r="J5217" t="inlineStr">
        <is>
          <t>1², 4², 12¹, 48¹</t>
        </is>
      </c>
      <c r="K5217">
        <f>HYPERLINK("CSG1.html#group26B1", "26B¹"), =HYPERLINK("CSG8.html#group65A8", "65A⁸"), =HYPERLINK("CSG8.html#group130A8", "130A⁸"), =HYPERLINK("CSG9.html#group130A9", "130A⁹")</f>
        <v/>
      </c>
      <c r="L5217" t="inlineStr"/>
      <c r="M5217">
        <f>HYPERLINK("CSG9.html#group130A9", "130A⁹"), =HYPERLINK("CSG0.html#group2A0", "2A⁰"), =HYPERLINK("CSG1.html#group26B1", "26B¹"), =HYPERLINK("CSG1.html#group26A1", "26A¹"), =HYPERLINK("CSG0.html#group5A0", "5A⁰"), =HYPERLINK("CSG0.html#group10A0", "10A⁰"), =HYPERLINK("CSG8.html#group65A8", "65A⁸"), =HYPERLINK("CSG8.html#group130A8", "130A⁸"), =HYPERLINK("CSG0.html#group13A0", "13A⁰"), =HYPERLINK("CSG0.html#group26A0", "26A⁰"), =HYPERLINK("CSG0.html#group13B0", "13B⁰"), =HYPERLINK("CSG0.html#group1A0", "1A⁰"), =HYPERLINK("CSG4.html#group65A4", "65A⁴")</f>
        <v/>
      </c>
      <c r="N5217" t="inlineStr"/>
    </row>
    <row r="5218">
      <c r="A5218" t="inlineStr">
        <is>
          <t>132A¹⁷</t>
        </is>
      </c>
      <c r="B5218" t="inlineStr"/>
      <c r="C5218" t="inlineStr">
        <is>
          <t>216</t>
        </is>
      </c>
      <c r="D5218" t="inlineStr">
        <is>
          <t>1</t>
        </is>
      </c>
      <c r="E5218" t="inlineStr">
        <is>
          <t>36</t>
        </is>
      </c>
      <c r="F5218" t="inlineStr">
        <is>
          <t>0</t>
        </is>
      </c>
      <c r="G5218" t="inlineStr">
        <is>
          <t>0</t>
        </is>
      </c>
      <c r="H5218" t="inlineStr">
        <is>
          <t>6¹, 12¹, 66¹, 132¹</t>
        </is>
      </c>
      <c r="I5218" t="n">
        <v>4</v>
      </c>
      <c r="J5218" t="inlineStr">
        <is>
          <t>1⁶, 10³</t>
        </is>
      </c>
      <c r="K5218">
        <f>HYPERLINK("CSG0.html#group12C0", "12C⁰"), =HYPERLINK("CSG5.html#group44B5", "44B⁵"), =HYPERLINK("CSG8.html#group66A8", "66A⁸")</f>
        <v/>
      </c>
      <c r="L5218" t="inlineStr"/>
      <c r="M5218">
        <f>HYPERLINK("CSG2.html#group22C2", "22C²"), =HYPERLINK("CSG8.html#group66A8", "66A⁸"), =HYPERLINK("CSG0.html#group12C0", "12C⁰"), =HYPERLINK("CSG1.html#group11A1", "11A¹"), =HYPERLINK("CSG0.html#group4C0", "4C⁰"), =HYPERLINK("CSG5.html#group44B5", "44B⁵"), =HYPERLINK("CSG0.html#group2B0", "2B⁰"), =HYPERLINK("CSG0.html#group3A0", "3A⁰"), =HYPERLINK("CSG3.html#group33A3", "33A³"), =HYPERLINK("CSG0.html#group1A0", "1A⁰"), =HYPERLINK("CSG0.html#group6D0", "6D⁰")</f>
        <v/>
      </c>
      <c r="N5218" t="inlineStr"/>
    </row>
    <row r="5219">
      <c r="A5219" t="inlineStr">
        <is>
          <t>132B¹⁷</t>
        </is>
      </c>
      <c r="B5219" t="inlineStr"/>
      <c r="C5219" t="inlineStr">
        <is>
          <t>216</t>
        </is>
      </c>
      <c r="D5219" t="inlineStr">
        <is>
          <t>1</t>
        </is>
      </c>
      <c r="E5219" t="inlineStr">
        <is>
          <t>108</t>
        </is>
      </c>
      <c r="F5219" t="inlineStr">
        <is>
          <t>0</t>
        </is>
      </c>
      <c r="G5219" t="inlineStr">
        <is>
          <t>0</t>
        </is>
      </c>
      <c r="H5219" t="inlineStr">
        <is>
          <t>6¹, 12¹, 66¹, 132¹</t>
        </is>
      </c>
      <c r="I5219" t="n">
        <v>4</v>
      </c>
      <c r="J5219" t="inlineStr">
        <is>
          <t>1⁶, 2⁶, 10³, 20³</t>
        </is>
      </c>
      <c r="K5219">
        <f>HYPERLINK("CSG1.html#group12C1", "12C¹"), =HYPERLINK("CSG8.html#group66A8", "66A⁸")</f>
        <v/>
      </c>
      <c r="L5219" t="inlineStr"/>
      <c r="M5219">
        <f>HYPERLINK("CSG2.html#group22C2", "22C²"), =HYPERLINK("CSG8.html#group66A8", "66A⁸"), =HYPERLINK("CSG1.html#group12C1", "12C¹"), =HYPERLINK("CSG1.html#group11A1", "11A¹"), =HYPERLINK("CSG0.html#group2B0", "2B⁰"), =HYPERLINK("CSG0.html#group3A0", "3A⁰"), =HYPERLINK("CSG3.html#group33A3", "33A³"), =HYPERLINK("CSG0.html#group1A0", "1A⁰"), =HYPERLINK("CSG0.html#group6D0", "6D⁰")</f>
        <v/>
      </c>
      <c r="N5219" t="inlineStr"/>
    </row>
    <row r="5220">
      <c r="A5220" t="inlineStr">
        <is>
          <t>135A¹⁷</t>
        </is>
      </c>
      <c r="B5220" t="inlineStr"/>
      <c r="C5220" t="inlineStr">
        <is>
          <t>216</t>
        </is>
      </c>
      <c r="D5220" t="inlineStr">
        <is>
          <t>1</t>
        </is>
      </c>
      <c r="E5220" t="inlineStr">
        <is>
          <t>72</t>
        </is>
      </c>
      <c r="F5220" t="inlineStr">
        <is>
          <t>0</t>
        </is>
      </c>
      <c r="G5220" t="inlineStr">
        <is>
          <t>0</t>
        </is>
      </c>
      <c r="H5220" t="inlineStr">
        <is>
          <t>9¹, 27¹, 45¹, 135¹</t>
        </is>
      </c>
      <c r="I5220" t="n">
        <v>4</v>
      </c>
      <c r="J5220" t="inlineStr">
        <is>
          <t>1⁴, 2⁴, 4², 6², 8², 24¹</t>
        </is>
      </c>
      <c r="K5220">
        <f>HYPERLINK("CSG1.html#group27B1", "27B¹"), =HYPERLINK("CSG5.html#group45C5", "45C⁵")</f>
        <v/>
      </c>
      <c r="L5220" t="inlineStr"/>
      <c r="M5220">
        <f>HYPERLINK("CSG5.html#group45C5", "45C⁵"), =HYPERLINK("CSG0.html#group5B0", "5B⁰"), =HYPERLINK("CSG1.html#group15C1", "15C¹"), =HYPERLINK("CSG1.html#group27B1", "27B¹"), =HYPERLINK("CSG0.html#group3B0", "3B⁰"), =HYPERLINK("CSG0.html#group9C0", "9C⁰"), =HYPERLINK("CSG0.html#group1A0", "1A⁰")</f>
        <v/>
      </c>
      <c r="N5220" t="inlineStr"/>
    </row>
    <row r="5221">
      <c r="A5221" t="inlineStr">
        <is>
          <t>135B¹⁷</t>
        </is>
      </c>
      <c r="B5221" t="inlineStr"/>
      <c r="C5221" t="inlineStr">
        <is>
          <t>216</t>
        </is>
      </c>
      <c r="D5221" t="inlineStr">
        <is>
          <t>1</t>
        </is>
      </c>
      <c r="E5221" t="inlineStr">
        <is>
          <t>72</t>
        </is>
      </c>
      <c r="F5221" t="inlineStr">
        <is>
          <t>0</t>
        </is>
      </c>
      <c r="G5221" t="inlineStr">
        <is>
          <t>0</t>
        </is>
      </c>
      <c r="H5221" t="inlineStr">
        <is>
          <t>9¹, 27¹, 45¹, 135¹</t>
        </is>
      </c>
      <c r="I5221" t="n">
        <v>4</v>
      </c>
      <c r="J5221" t="inlineStr">
        <is>
          <t>1⁴, 2⁴, 4², 6², 8², 24¹</t>
        </is>
      </c>
      <c r="K5221">
        <f>HYPERLINK("CSG2.html#group27B2", "27B²"), =HYPERLINK("CSG5.html#group45C5", "45C⁵")</f>
        <v/>
      </c>
      <c r="L5221" t="inlineStr"/>
      <c r="M5221">
        <f>HYPERLINK("CSG5.html#group45C5", "45C⁵"), =HYPERLINK("CSG0.html#group5B0", "5B⁰"), =HYPERLINK("CSG1.html#group15C1", "15C¹"), =HYPERLINK("CSG0.html#group3B0", "3B⁰"), =HYPERLINK("CSG0.html#group9C0", "9C⁰"), =HYPERLINK("CSG2.html#group27B2", "27B²"), =HYPERLINK("CSG0.html#group1A0", "1A⁰")</f>
        <v/>
      </c>
      <c r="N5221" t="inlineStr"/>
    </row>
    <row r="5222">
      <c r="A5222" t="inlineStr">
        <is>
          <t>135C¹⁷</t>
        </is>
      </c>
      <c r="B5222" t="inlineStr"/>
      <c r="C5222" t="inlineStr">
        <is>
          <t>216</t>
        </is>
      </c>
      <c r="D5222" t="inlineStr">
        <is>
          <t>1</t>
        </is>
      </c>
      <c r="E5222" t="inlineStr">
        <is>
          <t>72</t>
        </is>
      </c>
      <c r="F5222" t="inlineStr">
        <is>
          <t>0</t>
        </is>
      </c>
      <c r="G5222" t="inlineStr">
        <is>
          <t>0</t>
        </is>
      </c>
      <c r="H5222" t="inlineStr">
        <is>
          <t>9¹, 27¹, 45¹, 135¹</t>
        </is>
      </c>
      <c r="I5222" t="n">
        <v>4</v>
      </c>
      <c r="J5222" t="inlineStr">
        <is>
          <t>1⁴, 2⁴, 4², 6², 8², 24¹</t>
        </is>
      </c>
      <c r="K5222">
        <f>HYPERLINK("CSG3.html#group27A3", "27A³"), =HYPERLINK("CSG5.html#group45C5", "45C⁵")</f>
        <v/>
      </c>
      <c r="L5222" t="inlineStr"/>
      <c r="M5222">
        <f>HYPERLINK("CSG5.html#group45C5", "45C⁵"), =HYPERLINK("CSG0.html#group5B0", "5B⁰"), =HYPERLINK("CSG1.html#group15C1", "15C¹"), =HYPERLINK("CSG0.html#group3B0", "3B⁰"), =HYPERLINK("CSG0.html#group9C0", "9C⁰"), =HYPERLINK("CSG0.html#group1A0", "1A⁰"), =HYPERLINK("CSG3.html#group27A3", "27A³")</f>
        <v/>
      </c>
      <c r="N5222" t="inlineStr"/>
    </row>
    <row r="5223">
      <c r="A5223" t="inlineStr">
        <is>
          <t>136A¹⁷</t>
        </is>
      </c>
      <c r="B5223" t="inlineStr"/>
      <c r="C5223" t="inlineStr">
        <is>
          <t>216</t>
        </is>
      </c>
      <c r="D5223" t="inlineStr">
        <is>
          <t>1</t>
        </is>
      </c>
      <c r="E5223" t="inlineStr">
        <is>
          <t>54</t>
        </is>
      </c>
      <c r="F5223" t="inlineStr">
        <is>
          <t>0</t>
        </is>
      </c>
      <c r="G5223" t="inlineStr">
        <is>
          <t>0</t>
        </is>
      </c>
      <c r="H5223" t="inlineStr">
        <is>
          <t>4¹, 8¹, 68¹, 136¹</t>
        </is>
      </c>
      <c r="I5223" t="n">
        <v>4</v>
      </c>
      <c r="J5223" t="inlineStr">
        <is>
          <t>1⁶, 16³</t>
        </is>
      </c>
      <c r="K5223">
        <f>HYPERLINK("CSG7.html#group68D7", "68D⁷")</f>
        <v/>
      </c>
      <c r="L5223" t="inlineStr"/>
      <c r="M5223">
        <f>HYPERLINK("CSG1.html#group17A1", "17A¹"), =HYPERLINK("CSG0.html#group2B0", "2B⁰"), =HYPERLINK("CSG3.html#group34C3", "34C³"), =HYPERLINK("CSG0.html#group1A0", "1A⁰"), =HYPERLINK("CSG0.html#group4C0", "4C⁰"), =HYPERLINK("CSG7.html#group68D7", "68D⁷")</f>
        <v/>
      </c>
      <c r="N5223" t="inlineStr"/>
    </row>
    <row r="5224">
      <c r="A5224" t="inlineStr">
        <is>
          <t>136B¹⁷</t>
        </is>
      </c>
      <c r="B5224" t="inlineStr"/>
      <c r="C5224" t="inlineStr">
        <is>
          <t>216</t>
        </is>
      </c>
      <c r="D5224" t="inlineStr">
        <is>
          <t>1</t>
        </is>
      </c>
      <c r="E5224" t="inlineStr">
        <is>
          <t>54</t>
        </is>
      </c>
      <c r="F5224" t="inlineStr">
        <is>
          <t>0</t>
        </is>
      </c>
      <c r="G5224" t="inlineStr">
        <is>
          <t>0</t>
        </is>
      </c>
      <c r="H5224" t="inlineStr">
        <is>
          <t>4¹, 8¹, 68¹, 136¹</t>
        </is>
      </c>
      <c r="I5224" t="n">
        <v>4</v>
      </c>
      <c r="J5224" t="inlineStr">
        <is>
          <t>1⁶, 16³</t>
        </is>
      </c>
      <c r="K5224">
        <f>HYPERLINK("CSG1.html#group8A1", "8A¹"), =HYPERLINK("CSG7.html#group68D7", "68D⁷")</f>
        <v/>
      </c>
      <c r="L5224" t="inlineStr"/>
      <c r="M5224">
        <f>HYPERLINK("CSG1.html#group8A1", "8A¹"), =HYPERLINK("CSG3.html#group34C3", "34C³"), =HYPERLINK("CSG0.html#group4C0", "4C⁰"), =HYPERLINK("CSG1.html#group17A1", "17A¹"), =HYPERLINK("CSG0.html#group2B0", "2B⁰"), =HYPERLINK("CSG0.html#group1A0", "1A⁰"), =HYPERLINK("CSG7.html#group68D7", "68D⁷")</f>
        <v/>
      </c>
      <c r="N5224" t="inlineStr"/>
    </row>
    <row r="5225">
      <c r="A5225" t="inlineStr">
        <is>
          <t>136C¹⁷</t>
        </is>
      </c>
      <c r="B5225" t="inlineStr"/>
      <c r="C5225" t="inlineStr">
        <is>
          <t>216</t>
        </is>
      </c>
      <c r="D5225" t="inlineStr">
        <is>
          <t>2</t>
        </is>
      </c>
      <c r="E5225" t="inlineStr">
        <is>
          <t>54</t>
        </is>
      </c>
      <c r="F5225" t="inlineStr">
        <is>
          <t>0</t>
        </is>
      </c>
      <c r="G5225" t="inlineStr">
        <is>
          <t>0</t>
        </is>
      </c>
      <c r="H5225" t="inlineStr">
        <is>
          <t>4¹, 8¹, 68¹, 136¹</t>
        </is>
      </c>
      <c r="I5225" t="n">
        <v>4</v>
      </c>
      <c r="J5225" t="inlineStr">
        <is>
          <t>2⁶, 32³</t>
        </is>
      </c>
      <c r="K5225">
        <f>HYPERLINK("CSG7.html#group68C7", "68C⁷")</f>
        <v/>
      </c>
      <c r="L5225" t="inlineStr"/>
      <c r="M5225">
        <f>HYPERLINK("CSG7.html#group68C7", "68C⁷"), =HYPERLINK("CSG1.html#group17A1", "17A¹"), =HYPERLINK("CSG0.html#group2B0", "2B⁰"), =HYPERLINK("CSG3.html#group34C3", "34C³"), =HYPERLINK("CSG0.html#group1A0", "1A⁰")</f>
        <v/>
      </c>
      <c r="N5225" t="inlineStr"/>
    </row>
    <row r="5226">
      <c r="A5226" t="inlineStr">
        <is>
          <t>138A¹⁷</t>
        </is>
      </c>
      <c r="B5226" t="inlineStr"/>
      <c r="C5226" t="inlineStr">
        <is>
          <t>216</t>
        </is>
      </c>
      <c r="D5226" t="inlineStr">
        <is>
          <t>1</t>
        </is>
      </c>
      <c r="E5226" t="inlineStr">
        <is>
          <t>72</t>
        </is>
      </c>
      <c r="F5226" t="inlineStr">
        <is>
          <t>0</t>
        </is>
      </c>
      <c r="G5226" t="inlineStr">
        <is>
          <t>0</t>
        </is>
      </c>
      <c r="H5226" t="inlineStr">
        <is>
          <t>3¹, 6¹, 69¹, 138¹</t>
        </is>
      </c>
      <c r="I5226" t="n">
        <v>4</v>
      </c>
      <c r="J5226" t="inlineStr">
        <is>
          <t>1⁶, 22³</t>
        </is>
      </c>
      <c r="K5226">
        <f>HYPERLINK("CSG0.html#group6D0", "6D⁰"), =HYPERLINK("CSG5.html#group46A5", "46A⁵"), =HYPERLINK("CSG6.html#group69A6", "69A⁶")</f>
        <v/>
      </c>
      <c r="L5226" t="inlineStr"/>
      <c r="M5226">
        <f>HYPERLINK("CSG6.html#group69A6", "69A⁶"), =HYPERLINK("CSG5.html#group46A5", "46A⁵"), =HYPERLINK("CSG2.html#group23A2", "23A²"), =HYPERLINK("CSG0.html#group2B0", "2B⁰"), =HYPERLINK("CSG0.html#group3A0", "3A⁰"), =HYPERLINK("CSG0.html#group1A0", "1A⁰"), =HYPERLINK("CSG0.html#group6D0", "6D⁰")</f>
        <v/>
      </c>
      <c r="N5226" t="inlineStr"/>
    </row>
    <row r="5227">
      <c r="A5227" t="inlineStr">
        <is>
          <t>140A¹⁷</t>
        </is>
      </c>
      <c r="B5227" t="inlineStr"/>
      <c r="C5227" t="inlineStr">
        <is>
          <t>210</t>
        </is>
      </c>
      <c r="D5227" t="inlineStr">
        <is>
          <t>2</t>
        </is>
      </c>
      <c r="E5227" t="inlineStr">
        <is>
          <t>105</t>
        </is>
      </c>
      <c r="F5227" t="inlineStr">
        <is>
          <t>0</t>
        </is>
      </c>
      <c r="G5227" t="inlineStr">
        <is>
          <t>0</t>
        </is>
      </c>
      <c r="H5227" t="inlineStr">
        <is>
          <t>35², 140¹</t>
        </is>
      </c>
      <c r="I5227" t="n">
        <v>3</v>
      </c>
      <c r="J5227" t="inlineStr">
        <is>
          <t>2³, 6⁶, 8³, 24⁶</t>
        </is>
      </c>
      <c r="K5227">
        <f>HYPERLINK("CSG2.html#group20A2", "20A²"), =HYPERLINK("CSG3.html#group28A3", "28A³"), =HYPERLINK("CSG8.html#group70A8", "70A⁸")</f>
        <v/>
      </c>
      <c r="L5227" t="inlineStr"/>
      <c r="M5227">
        <f>HYPERLINK("CSG2.html#group20A2", "20A²"), =HYPERLINK("CSG0.html#group5A0", "5A⁰"), =HYPERLINK("CSG1.html#group14B1", "14B¹"), =HYPERLINK("CSG1.html#group10B1", "10B¹"), =HYPERLINK("CSG8.html#group70A8", "70A⁸"), =HYPERLINK("CSG3.html#group28A3", "28A³"), =HYPERLINK("CSG0.html#group2B0", "2B⁰"), =HYPERLINK("CSG0.html#group4B0", "4B⁰"), =HYPERLINK("CSG0.html#group1A0", "1A⁰"), =HYPERLINK("CSG2.html#group35A2", "35A²"), =HYPERLINK("CSG0.html#group7A0", "7A⁰")</f>
        <v/>
      </c>
      <c r="N5227" t="inlineStr"/>
    </row>
    <row r="5228">
      <c r="A5228" t="inlineStr">
        <is>
          <t>140B¹⁷</t>
        </is>
      </c>
      <c r="B5228" t="inlineStr"/>
      <c r="C5228" t="inlineStr">
        <is>
          <t>210</t>
        </is>
      </c>
      <c r="D5228" t="inlineStr">
        <is>
          <t>2</t>
        </is>
      </c>
      <c r="E5228" t="inlineStr">
        <is>
          <t>105</t>
        </is>
      </c>
      <c r="F5228" t="inlineStr">
        <is>
          <t>2</t>
        </is>
      </c>
      <c r="G5228" t="inlineStr">
        <is>
          <t>0</t>
        </is>
      </c>
      <c r="H5228" t="inlineStr">
        <is>
          <t>70¹, 140¹</t>
        </is>
      </c>
      <c r="I5228" t="n">
        <v>2</v>
      </c>
      <c r="J5228" t="inlineStr">
        <is>
          <t>2³, 6⁶, 8³, 24⁶</t>
        </is>
      </c>
      <c r="K5228">
        <f>HYPERLINK("CSG3.html#group28B3", "28B³"), =HYPERLINK("CSG8.html#group70A8", "70A⁸")</f>
        <v/>
      </c>
      <c r="L5228" t="inlineStr"/>
      <c r="M5228">
        <f>HYPERLINK("CSG0.html#group5A0", "5A⁰"), =HYPERLINK("CSG1.html#group14B1", "14B¹"), =HYPERLINK("CSG1.html#group10B1", "10B¹"), =HYPERLINK("CSG8.html#group70A8", "70A⁸"), =HYPERLINK("CSG0.html#group2B0", "2B⁰"), =HYPERLINK("CSG3.html#group28B3", "28B³"), =HYPERLINK("CSG0.html#group1A0", "1A⁰"), =HYPERLINK("CSG2.html#group35A2", "35A²"), =HYPERLINK("CSG0.html#group7A0", "7A⁰")</f>
        <v/>
      </c>
      <c r="N5228" t="inlineStr"/>
    </row>
    <row r="5229">
      <c r="A5229" t="inlineStr">
        <is>
          <t>140C¹⁷</t>
        </is>
      </c>
      <c r="B5229" t="inlineStr"/>
      <c r="C5229" t="inlineStr">
        <is>
          <t>252</t>
        </is>
      </c>
      <c r="D5229" t="inlineStr">
        <is>
          <t>2</t>
        </is>
      </c>
      <c r="E5229" t="inlineStr">
        <is>
          <t>126</t>
        </is>
      </c>
      <c r="F5229" t="inlineStr">
        <is>
          <t>8</t>
        </is>
      </c>
      <c r="G5229" t="inlineStr">
        <is>
          <t>0</t>
        </is>
      </c>
      <c r="H5229" t="inlineStr">
        <is>
          <t>7², 28¹, 35², 140¹</t>
        </is>
      </c>
      <c r="I5229" t="n">
        <v>6</v>
      </c>
      <c r="J5229" t="inlineStr">
        <is>
          <t>2⁶, 6¹², 8³, 24⁶</t>
        </is>
      </c>
      <c r="K5229">
        <f>HYPERLINK("CSG2.html#group28B2", "28B²"), =HYPERLINK("CSG8.html#group70B8", "70B⁸")</f>
        <v/>
      </c>
      <c r="L5229" t="inlineStr"/>
      <c r="M5229">
        <f>HYPERLINK("CSG2.html#group35C2", "35C²"), =HYPERLINK("CSG1.html#group14B1", "14B¹"), =HYPERLINK("CSG0.html#group5B0", "5B⁰"), =HYPERLINK("CSG8.html#group70B8", "70B⁸"), =HYPERLINK("CSG0.html#group10C0", "10C⁰"), =HYPERLINK("CSG0.html#group2B0", "2B⁰"), =HYPERLINK("CSG0.html#group1A0", "1A⁰"), =HYPERLINK("CSG2.html#group28B2", "28B²"), =HYPERLINK("CSG0.html#group7A0", "7A⁰")</f>
        <v/>
      </c>
      <c r="N5229" t="inlineStr"/>
    </row>
    <row r="5230">
      <c r="A5230" t="inlineStr">
        <is>
          <t>140D¹⁷</t>
        </is>
      </c>
      <c r="B5230" t="inlineStr"/>
      <c r="C5230" t="inlineStr">
        <is>
          <t>252</t>
        </is>
      </c>
      <c r="D5230" t="inlineStr">
        <is>
          <t>2</t>
        </is>
      </c>
      <c r="E5230" t="inlineStr">
        <is>
          <t>126</t>
        </is>
      </c>
      <c r="F5230" t="inlineStr">
        <is>
          <t>12</t>
        </is>
      </c>
      <c r="G5230" t="inlineStr">
        <is>
          <t>0</t>
        </is>
      </c>
      <c r="H5230" t="inlineStr">
        <is>
          <t>14¹, 28¹, 70¹, 140¹</t>
        </is>
      </c>
      <c r="I5230" t="n">
        <v>4</v>
      </c>
      <c r="J5230" t="inlineStr">
        <is>
          <t>2⁶, 6¹², 8³, 24⁶</t>
        </is>
      </c>
      <c r="K5230">
        <f>HYPERLINK("CSG1.html#group20E1", "20E¹"), =HYPERLINK("CSG2.html#group28C2", "28C²"), =HYPERLINK("CSG8.html#group70B8", "70B⁸")</f>
        <v/>
      </c>
      <c r="L5230" t="inlineStr"/>
      <c r="M5230">
        <f>HYPERLINK("CSG2.html#group35C2", "35C²"), =HYPERLINK("CSG1.html#group20E1", "20E¹"), =HYPERLINK("CSG2.html#group28C2", "28C²"), =HYPERLINK("CSG1.html#group14B1", "14B¹"), =HYPERLINK("CSG0.html#group4C0", "4C⁰"), =HYPERLINK("CSG0.html#group5B0", "5B⁰"), =HYPERLINK("CSG8.html#group70B8", "70B⁸"), =HYPERLINK("CSG0.html#group10C0", "10C⁰"), =HYPERLINK("CSG0.html#group2B0", "2B⁰"), =HYPERLINK("CSG0.html#group1A0", "1A⁰"), =HYPERLINK("CSG0.html#group7A0", "7A⁰")</f>
        <v/>
      </c>
      <c r="N5230" t="inlineStr"/>
    </row>
    <row r="5231">
      <c r="A5231" t="inlineStr">
        <is>
          <t>142A¹⁷</t>
        </is>
      </c>
      <c r="B5231" t="inlineStr">
        <is>
          <t>Γ₀(142)</t>
        </is>
      </c>
      <c r="C5231" t="inlineStr">
        <is>
          <t>216</t>
        </is>
      </c>
      <c r="D5231" t="inlineStr">
        <is>
          <t>1</t>
        </is>
      </c>
      <c r="E5231" t="inlineStr">
        <is>
          <t>216</t>
        </is>
      </c>
      <c r="F5231" t="inlineStr">
        <is>
          <t>0</t>
        </is>
      </c>
      <c r="G5231" t="inlineStr">
        <is>
          <t>0</t>
        </is>
      </c>
      <c r="H5231" t="inlineStr">
        <is>
          <t>1¹, 2¹, 71¹, 142¹</t>
        </is>
      </c>
      <c r="I5231" t="n">
        <v>4</v>
      </c>
      <c r="J5231" t="inlineStr">
        <is>
          <t>1⁶, 70³</t>
        </is>
      </c>
      <c r="K5231">
        <f>HYPERLINK("CSG0.html#group2B0", "2B⁰"), =HYPERLINK("CSG6.html#group71A6", "71A⁶")</f>
        <v/>
      </c>
      <c r="L5231" t="inlineStr"/>
      <c r="M5231">
        <f>HYPERLINK("CSG0.html#group1A0", "1A⁰"), =HYPERLINK("CSG0.html#group2B0", "2B⁰"), =HYPERLINK("CSG6.html#group71A6", "71A⁶")</f>
        <v/>
      </c>
      <c r="N5231" t="inlineStr"/>
    </row>
    <row r="5232">
      <c r="A5232" t="inlineStr">
        <is>
          <t>144A¹⁷</t>
        </is>
      </c>
      <c r="B5232" t="inlineStr"/>
      <c r="C5232" t="inlineStr">
        <is>
          <t>216</t>
        </is>
      </c>
      <c r="D5232" t="inlineStr">
        <is>
          <t>1</t>
        </is>
      </c>
      <c r="E5232" t="inlineStr">
        <is>
          <t>54</t>
        </is>
      </c>
      <c r="F5232" t="inlineStr">
        <is>
          <t>0</t>
        </is>
      </c>
      <c r="G5232" t="inlineStr">
        <is>
          <t>0</t>
        </is>
      </c>
      <c r="H5232" t="inlineStr">
        <is>
          <t>18², 36¹, 144¹</t>
        </is>
      </c>
      <c r="I5232" t="n">
        <v>4</v>
      </c>
      <c r="J5232" t="inlineStr">
        <is>
          <t>1⁴, 2⁵, 4¹, 6⁴, 12¹</t>
        </is>
      </c>
      <c r="K5232">
        <f>HYPERLINK("CSG5.html#group48A5", "48A⁵"), =HYPERLINK("CSG8.html#group72B8", "72B⁸")</f>
        <v/>
      </c>
      <c r="L5232" t="inlineStr"/>
      <c r="M5232">
        <f>HYPERLINK("CSG5.html#group48A5", "48A⁵"), =HYPERLINK("CSG2.html#group24B2", "24B²"), =HYPERLINK("CSG0.html#group3A0", "3A⁰"), =HYPERLINK("CSG0.html#group9A0", "9A⁰"), =HYPERLINK("CSG8.html#group72B8", "72B⁸"), =HYPERLINK("CSG4.html#group36D4", "36D⁴"), =HYPERLINK("CSG1.html#group16A1", "16A¹"), =HYPERLINK("CSG0.html#group8C0", "8C⁰"), =HYPERLINK("CSG1.html#group12B1", "12B¹"), =HYPERLINK("CSG0.html#group2B0", "2B⁰"), =HYPERLINK("CSG1.html#group18E1", "18E¹"), =HYPERLINK("CSG0.html#group4B0", "4B⁰"), =HYPERLINK("CSG0.html#group1A0", "1A⁰"), =HYPERLINK("CSG0.html#group6D0", "6D⁰")</f>
        <v/>
      </c>
      <c r="N5232" t="inlineStr"/>
    </row>
    <row r="5233">
      <c r="A5233" t="inlineStr">
        <is>
          <t>144B¹⁷</t>
        </is>
      </c>
      <c r="B5233" t="inlineStr"/>
      <c r="C5233" t="inlineStr">
        <is>
          <t>216</t>
        </is>
      </c>
      <c r="D5233" t="inlineStr">
        <is>
          <t>1</t>
        </is>
      </c>
      <c r="E5233" t="inlineStr">
        <is>
          <t>54</t>
        </is>
      </c>
      <c r="F5233" t="inlineStr">
        <is>
          <t>0</t>
        </is>
      </c>
      <c r="G5233" t="inlineStr">
        <is>
          <t>0</t>
        </is>
      </c>
      <c r="H5233" t="inlineStr">
        <is>
          <t>18², 36¹, 144¹</t>
        </is>
      </c>
      <c r="I5233" t="n">
        <v>4</v>
      </c>
      <c r="J5233" t="inlineStr">
        <is>
          <t>1⁴, 2⁵, 4¹, 6⁴, 12¹</t>
        </is>
      </c>
      <c r="K5233">
        <f>HYPERLINK("CSG5.html#group48B5", "48B⁵"), =HYPERLINK("CSG8.html#group72B8", "72B⁸")</f>
        <v/>
      </c>
      <c r="L5233" t="inlineStr"/>
      <c r="M5233">
        <f>HYPERLINK("CSG2.html#group24B2", "24B²"), =HYPERLINK("CSG0.html#group4B0", "4B⁰"), =HYPERLINK("CSG0.html#group9A0", "9A⁰"), =HYPERLINK("CSG8.html#group72B8", "72B⁸"), =HYPERLINK("CSG4.html#group36D4", "36D⁴"), =HYPERLINK("CSG1.html#group12B1", "12B¹"), =HYPERLINK("CSG0.html#group2B0", "2B⁰"), =HYPERLINK("CSG0.html#group8C0", "8C⁰"), =HYPERLINK("CSG1.html#group18E1", "18E¹"), =HYPERLINK("CSG0.html#group3A0", "3A⁰"), =HYPERLINK("CSG0.html#group1A0", "1A⁰"), =HYPERLINK("CSG0.html#group6D0", "6D⁰"), =HYPERLINK("CSG5.html#group48B5", "48B⁵")</f>
        <v/>
      </c>
      <c r="N5233" t="inlineStr"/>
    </row>
    <row r="5234">
      <c r="A5234" t="inlineStr">
        <is>
          <t>144C¹⁷</t>
        </is>
      </c>
      <c r="B5234" t="inlineStr"/>
      <c r="C5234" t="inlineStr">
        <is>
          <t>216</t>
        </is>
      </c>
      <c r="D5234" t="inlineStr">
        <is>
          <t>2</t>
        </is>
      </c>
      <c r="E5234" t="inlineStr">
        <is>
          <t>54</t>
        </is>
      </c>
      <c r="F5234" t="inlineStr">
        <is>
          <t>0</t>
        </is>
      </c>
      <c r="G5234" t="inlineStr">
        <is>
          <t>0</t>
        </is>
      </c>
      <c r="H5234" t="inlineStr">
        <is>
          <t>18², 36¹, 144¹</t>
        </is>
      </c>
      <c r="I5234" t="n">
        <v>4</v>
      </c>
      <c r="J5234" t="inlineStr">
        <is>
          <t>2¹², 4³, 6⁸, 12²</t>
        </is>
      </c>
      <c r="K5234">
        <f>HYPERLINK("CSG5.html#group48B5", "48B⁵"), =HYPERLINK("CSG8.html#group72B8", "72B⁸")</f>
        <v/>
      </c>
      <c r="L5234" t="inlineStr"/>
      <c r="M5234">
        <f>HYPERLINK("CSG2.html#group24B2", "24B²"), =HYPERLINK("CSG0.html#group4B0", "4B⁰"), =HYPERLINK("CSG0.html#group9A0", "9A⁰"), =HYPERLINK("CSG8.html#group72B8", "72B⁸"), =HYPERLINK("CSG4.html#group36D4", "36D⁴"), =HYPERLINK("CSG1.html#group12B1", "12B¹"), =HYPERLINK("CSG0.html#group2B0", "2B⁰"), =HYPERLINK("CSG0.html#group8C0", "8C⁰"), =HYPERLINK("CSG1.html#group18E1", "18E¹"), =HYPERLINK("CSG0.html#group3A0", "3A⁰"), =HYPERLINK("CSG0.html#group1A0", "1A⁰"), =HYPERLINK("CSG0.html#group6D0", "6D⁰"), =HYPERLINK("CSG5.html#group48B5", "48B⁵")</f>
        <v/>
      </c>
      <c r="N5234" t="inlineStr"/>
    </row>
    <row r="5235">
      <c r="A5235" t="inlineStr">
        <is>
          <t>144D¹⁷</t>
        </is>
      </c>
      <c r="B5235" t="inlineStr"/>
      <c r="C5235" t="inlineStr">
        <is>
          <t>288</t>
        </is>
      </c>
      <c r="D5235" t="inlineStr">
        <is>
          <t>1</t>
        </is>
      </c>
      <c r="E5235" t="inlineStr">
        <is>
          <t>24</t>
        </is>
      </c>
      <c r="F5235" t="inlineStr">
        <is>
          <t>0</t>
        </is>
      </c>
      <c r="G5235" t="inlineStr">
        <is>
          <t>0</t>
        </is>
      </c>
      <c r="H5235" t="inlineStr">
        <is>
          <t>2⁶, 4³, 16³, 18², 36¹, 144¹</t>
        </is>
      </c>
      <c r="I5235" t="n">
        <v>16</v>
      </c>
      <c r="J5235" t="inlineStr">
        <is>
          <t>1⁸, 2⁶, 4¹</t>
        </is>
      </c>
      <c r="K5235">
        <f>HYPERLINK("CSG5.html#group48C5", "48C⁵"), =HYPERLINK("CSG5.html#group72B5", "72B⁵")</f>
        <v/>
      </c>
      <c r="L5235" t="inlineStr"/>
      <c r="M5235">
        <f>HYPERLINK("CSG5.html#group48C5", "48C⁵"), =HYPERLINK("CSG0.html#group3B0", "3B⁰"), =HYPERLINK("CSG0.html#group18E0", "18E⁰"), =HYPERLINK("CSG5.html#group72B5", "72B⁵"), =HYPERLINK("CSG1.html#group24G1", "24G¹"), =HYPERLINK("CSG0.html#group6F0", "6F⁰"), =HYPERLINK("CSG0.html#group9B0", "9B⁰"), =HYPERLINK("CSG0.html#group8C0", "8C⁰"), =HYPERLINK("CSG0.html#group2B0", "2B⁰"), =HYPERLINK("CSG1.html#group36C1", "36C¹"), =HYPERLINK("CSG0.html#group4B0", "4B⁰"), =HYPERLINK("CSG0.html#group1A0", "1A⁰"), =HYPERLINK("CSG0.html#group12E0", "12E⁰")</f>
        <v/>
      </c>
      <c r="N5235" t="inlineStr"/>
    </row>
    <row r="5236">
      <c r="A5236" t="inlineStr">
        <is>
          <t>144E¹⁷</t>
        </is>
      </c>
      <c r="B5236" t="inlineStr"/>
      <c r="C5236" t="inlineStr">
        <is>
          <t>288</t>
        </is>
      </c>
      <c r="D5236" t="inlineStr">
        <is>
          <t>1</t>
        </is>
      </c>
      <c r="E5236" t="inlineStr">
        <is>
          <t>24</t>
        </is>
      </c>
      <c r="F5236" t="inlineStr">
        <is>
          <t>0</t>
        </is>
      </c>
      <c r="G5236" t="inlineStr">
        <is>
          <t>0</t>
        </is>
      </c>
      <c r="H5236" t="inlineStr">
        <is>
          <t>2⁶, 4³, 16³, 18², 36¹, 144¹</t>
        </is>
      </c>
      <c r="I5236" t="n">
        <v>16</v>
      </c>
      <c r="J5236" t="inlineStr">
        <is>
          <t>1⁸, 2⁶, 4¹</t>
        </is>
      </c>
      <c r="K5236">
        <f>HYPERLINK("CSG5.html#group48D5", "48D⁵"), =HYPERLINK("CSG5.html#group72B5", "72B⁵")</f>
        <v/>
      </c>
      <c r="L5236" t="inlineStr"/>
      <c r="M5236">
        <f>HYPERLINK("CSG0.html#group3B0", "3B⁰"), =HYPERLINK("CSG0.html#group18E0", "18E⁰"), =HYPERLINK("CSG5.html#group72B5", "72B⁵"), =HYPERLINK("CSG1.html#group24G1", "24G¹"), =HYPERLINK("CSG0.html#group9B0", "9B⁰"), =HYPERLINK("CSG1.html#group16A1", "16A¹"), =HYPERLINK("CSG0.html#group8C0", "8C⁰"), =HYPERLINK("CSG0.html#group2B0", "2B⁰"), =HYPERLINK("CSG0.html#group1A0", "1A⁰"), =HYPERLINK("CSG1.html#group36C1", "36C¹"), =HYPERLINK("CSG0.html#group4B0", "4B⁰"), =HYPERLINK("CSG5.html#group48D5", "48D⁵"), =HYPERLINK("CSG0.html#group6F0", "6F⁰"), =HYPERLINK("CSG0.html#group12E0", "12E⁰")</f>
        <v/>
      </c>
      <c r="N5236" t="inlineStr"/>
    </row>
    <row r="5237">
      <c r="A5237" t="inlineStr">
        <is>
          <t>146A¹⁷</t>
        </is>
      </c>
      <c r="B5237" t="inlineStr">
        <is>
          <t>Γ₀(146)</t>
        </is>
      </c>
      <c r="C5237" t="inlineStr">
        <is>
          <t>222</t>
        </is>
      </c>
      <c r="D5237" t="inlineStr">
        <is>
          <t>1</t>
        </is>
      </c>
      <c r="E5237" t="inlineStr">
        <is>
          <t>222</t>
        </is>
      </c>
      <c r="F5237" t="inlineStr">
        <is>
          <t>2</t>
        </is>
      </c>
      <c r="G5237" t="inlineStr">
        <is>
          <t>0</t>
        </is>
      </c>
      <c r="H5237" t="inlineStr">
        <is>
          <t>1¹, 2¹, 73¹, 146¹</t>
        </is>
      </c>
      <c r="I5237" t="n">
        <v>4</v>
      </c>
      <c r="J5237" t="inlineStr">
        <is>
          <t>1⁶, 72³</t>
        </is>
      </c>
      <c r="K5237">
        <f>HYPERLINK("CSG0.html#group2B0", "2B⁰"), =HYPERLINK("CSG5.html#group73A5", "73A⁵")</f>
        <v/>
      </c>
      <c r="L5237" t="inlineStr"/>
      <c r="M5237">
        <f>HYPERLINK("CSG0.html#group1A0", "1A⁰"), =HYPERLINK("CSG5.html#group73A5", "73A⁵"), =HYPERLINK("CSG0.html#group2B0", "2B⁰")</f>
        <v/>
      </c>
      <c r="N5237" t="inlineStr"/>
    </row>
    <row r="5238">
      <c r="A5238" t="inlineStr">
        <is>
          <t>148A¹⁷</t>
        </is>
      </c>
      <c r="B5238" t="inlineStr">
        <is>
          <t>Γ₀(148)</t>
        </is>
      </c>
      <c r="C5238" t="inlineStr">
        <is>
          <t>228</t>
        </is>
      </c>
      <c r="D5238" t="inlineStr">
        <is>
          <t>1</t>
        </is>
      </c>
      <c r="E5238" t="inlineStr">
        <is>
          <t>114</t>
        </is>
      </c>
      <c r="F5238" t="inlineStr">
        <is>
          <t>0</t>
        </is>
      </c>
      <c r="G5238" t="inlineStr">
        <is>
          <t>0</t>
        </is>
      </c>
      <c r="H5238" t="inlineStr">
        <is>
          <t>1², 4¹, 37², 148¹</t>
        </is>
      </c>
      <c r="I5238" t="n">
        <v>6</v>
      </c>
      <c r="J5238" t="inlineStr">
        <is>
          <t>1⁶, 36³</t>
        </is>
      </c>
      <c r="K5238">
        <f>HYPERLINK("CSG0.html#group4B0", "4B⁰"), =HYPERLINK("CSG8.html#group74A8", "74A⁸")</f>
        <v/>
      </c>
      <c r="L5238" t="inlineStr"/>
      <c r="M5238">
        <f>HYPERLINK("CSG2.html#group37A2", "37A²"), =HYPERLINK("CSG0.html#group2B0", "2B⁰"), =HYPERLINK("CSG8.html#group74A8", "74A⁸"), =HYPERLINK("CSG0.html#group4B0", "4B⁰"), =HYPERLINK("CSG0.html#group1A0", "1A⁰")</f>
        <v/>
      </c>
      <c r="N5238" t="inlineStr"/>
    </row>
    <row r="5239">
      <c r="A5239" t="inlineStr">
        <is>
          <t>148B¹⁷</t>
        </is>
      </c>
      <c r="B5239" t="inlineStr"/>
      <c r="C5239" t="inlineStr">
        <is>
          <t>228</t>
        </is>
      </c>
      <c r="D5239" t="inlineStr">
        <is>
          <t>1</t>
        </is>
      </c>
      <c r="E5239" t="inlineStr">
        <is>
          <t>114</t>
        </is>
      </c>
      <c r="F5239" t="inlineStr">
        <is>
          <t>4</t>
        </is>
      </c>
      <c r="G5239" t="inlineStr">
        <is>
          <t>0</t>
        </is>
      </c>
      <c r="H5239" t="inlineStr">
        <is>
          <t>2¹, 4¹, 74¹, 148¹</t>
        </is>
      </c>
      <c r="I5239" t="n">
        <v>4</v>
      </c>
      <c r="J5239" t="inlineStr">
        <is>
          <t>1⁶, 36³</t>
        </is>
      </c>
      <c r="K5239">
        <f>HYPERLINK("CSG0.html#group4C0", "4C⁰"), =HYPERLINK("CSG8.html#group74A8", "74A⁸")</f>
        <v/>
      </c>
      <c r="L5239" t="inlineStr"/>
      <c r="M5239">
        <f>HYPERLINK("CSG2.html#group37A2", "37A²"), =HYPERLINK("CSG0.html#group2B0", "2B⁰"), =HYPERLINK("CSG8.html#group74A8", "74A⁸"), =HYPERLINK("CSG0.html#group1A0", "1A⁰"), =HYPERLINK("CSG0.html#group4C0", "4C⁰")</f>
        <v/>
      </c>
      <c r="N5239" t="inlineStr"/>
    </row>
    <row r="5240">
      <c r="A5240" t="inlineStr">
        <is>
          <t>152A¹⁷</t>
        </is>
      </c>
      <c r="B5240" t="inlineStr">
        <is>
          <t>Γ₀(152)</t>
        </is>
      </c>
      <c r="C5240" t="inlineStr">
        <is>
          <t>240</t>
        </is>
      </c>
      <c r="D5240" t="inlineStr">
        <is>
          <t>1</t>
        </is>
      </c>
      <c r="E5240" t="inlineStr">
        <is>
          <t>120</t>
        </is>
      </c>
      <c r="F5240" t="inlineStr">
        <is>
          <t>0</t>
        </is>
      </c>
      <c r="G5240" t="inlineStr">
        <is>
          <t>0</t>
        </is>
      </c>
      <c r="H5240" t="inlineStr">
        <is>
          <t>1², 2¹, 8¹, 19², 38¹, 152¹</t>
        </is>
      </c>
      <c r="I5240" t="n">
        <v>8</v>
      </c>
      <c r="J5240" t="inlineStr">
        <is>
          <t>1⁸, 2², 18⁴, 36¹</t>
        </is>
      </c>
      <c r="K5240">
        <f>HYPERLINK("CSG0.html#group8C0", "8C⁰"), =HYPERLINK("CSG8.html#group76A8", "76A⁸")</f>
        <v/>
      </c>
      <c r="L5240" t="inlineStr"/>
      <c r="M5240">
        <f>HYPERLINK("CSG8.html#group76A8", "76A⁸"), =HYPERLINK("CSG1.html#group19A1", "19A¹"), =HYPERLINK("CSG0.html#group8C0", "8C⁰"), =HYPERLINK("CSG0.html#group2B0", "2B⁰"), =HYPERLINK("CSG0.html#group4B0", "4B⁰"), =HYPERLINK("CSG0.html#group1A0", "1A⁰"), =HYPERLINK("CSG4.html#group38A4", "38A⁴")</f>
        <v/>
      </c>
      <c r="N5240" t="inlineStr"/>
    </row>
    <row r="5241">
      <c r="A5241" t="inlineStr">
        <is>
          <t>153A¹⁷</t>
        </is>
      </c>
      <c r="B5241" t="inlineStr"/>
      <c r="C5241" t="inlineStr">
        <is>
          <t>216</t>
        </is>
      </c>
      <c r="D5241" t="inlineStr">
        <is>
          <t>1</t>
        </is>
      </c>
      <c r="E5241" t="inlineStr">
        <is>
          <t>72</t>
        </is>
      </c>
      <c r="F5241" t="inlineStr">
        <is>
          <t>0</t>
        </is>
      </c>
      <c r="G5241" t="inlineStr">
        <is>
          <t>0</t>
        </is>
      </c>
      <c r="H5241" t="inlineStr">
        <is>
          <t>3¹, 9¹, 51¹, 153¹</t>
        </is>
      </c>
      <c r="I5241" t="n">
        <v>4</v>
      </c>
      <c r="J5241" t="inlineStr">
        <is>
          <t>1⁴, 2², 16², 32¹</t>
        </is>
      </c>
      <c r="K5241">
        <f>HYPERLINK("CSG0.html#group9C0", "9C⁰"), =HYPERLINK("CSG5.html#group51A5", "51A⁵")</f>
        <v/>
      </c>
      <c r="L5241" t="inlineStr"/>
      <c r="M5241">
        <f>HYPERLINK("CSG0.html#group3B0", "3B⁰"), =HYPERLINK("CSG1.html#group17A1", "17A¹"), =HYPERLINK("CSG5.html#group51A5", "51A⁵"), =HYPERLINK("CSG0.html#group9C0", "9C⁰"), =HYPERLINK("CSG0.html#group1A0", "1A⁰")</f>
        <v/>
      </c>
      <c r="N5241" t="inlineStr"/>
    </row>
    <row r="5242">
      <c r="A5242" t="inlineStr">
        <is>
          <t>153B¹⁷</t>
        </is>
      </c>
      <c r="B5242" t="inlineStr"/>
      <c r="C5242" t="inlineStr">
        <is>
          <t>216</t>
        </is>
      </c>
      <c r="D5242" t="inlineStr">
        <is>
          <t>1</t>
        </is>
      </c>
      <c r="E5242" t="inlineStr">
        <is>
          <t>72</t>
        </is>
      </c>
      <c r="F5242" t="inlineStr">
        <is>
          <t>0</t>
        </is>
      </c>
      <c r="G5242" t="inlineStr">
        <is>
          <t>0</t>
        </is>
      </c>
      <c r="H5242" t="inlineStr">
        <is>
          <t>3¹, 9¹, 51¹, 153¹</t>
        </is>
      </c>
      <c r="I5242" t="n">
        <v>4</v>
      </c>
      <c r="J5242" t="inlineStr">
        <is>
          <t>1⁴, 2², 16², 32¹</t>
        </is>
      </c>
      <c r="K5242">
        <f>HYPERLINK("CSG1.html#group9A1", "9A¹"), =HYPERLINK("CSG5.html#group51A5", "51A⁵")</f>
        <v/>
      </c>
      <c r="L5242" t="inlineStr"/>
      <c r="M5242">
        <f>HYPERLINK("CSG0.html#group3B0", "3B⁰"), =HYPERLINK("CSG1.html#group17A1", "17A¹"), =HYPERLINK("CSG5.html#group51A5", "51A⁵"), =HYPERLINK("CSG0.html#group1A0", "1A⁰"), =HYPERLINK("CSG1.html#group9A1", "9A¹")</f>
        <v/>
      </c>
      <c r="N5242" t="inlineStr"/>
    </row>
    <row r="5243">
      <c r="A5243" t="inlineStr">
        <is>
          <t>154A¹⁷</t>
        </is>
      </c>
      <c r="B5243" t="inlineStr"/>
      <c r="C5243" t="inlineStr">
        <is>
          <t>231</t>
        </is>
      </c>
      <c r="D5243" t="inlineStr">
        <is>
          <t>2</t>
        </is>
      </c>
      <c r="E5243" t="inlineStr">
        <is>
          <t>231</t>
        </is>
      </c>
      <c r="F5243" t="inlineStr">
        <is>
          <t>9</t>
        </is>
      </c>
      <c r="G5243" t="inlineStr">
        <is>
          <t>0</t>
        </is>
      </c>
      <c r="H5243" t="inlineStr">
        <is>
          <t>77¹, 154¹</t>
        </is>
      </c>
      <c r="I5243" t="n">
        <v>2</v>
      </c>
      <c r="J5243" t="inlineStr">
        <is>
          <t>4³, 12⁶, 20⁶, 60¹²</t>
        </is>
      </c>
      <c r="K5243">
        <f>HYPERLINK("CSG2.html#group22B2", "22B²"), =HYPERLINK("CSG4.html#group77A4", "77A⁴")</f>
        <v/>
      </c>
      <c r="L5243" t="inlineStr"/>
      <c r="M5243">
        <f>HYPERLINK("CSG0.html#group11A0", "11A⁰"), =HYPERLINK("CSG0.html#group2B0", "2B⁰"), =HYPERLINK("CSG2.html#group22B2", "22B²"), =HYPERLINK("CSG0.html#group1A0", "1A⁰"), =HYPERLINK("CSG0.html#group7A0", "7A⁰"), =HYPERLINK("CSG4.html#group77A4", "77A⁴")</f>
        <v/>
      </c>
      <c r="N5243" t="inlineStr"/>
    </row>
    <row r="5244">
      <c r="A5244" t="inlineStr">
        <is>
          <t>154B¹⁷</t>
        </is>
      </c>
      <c r="B5244" t="inlineStr"/>
      <c r="C5244" t="inlineStr">
        <is>
          <t>231</t>
        </is>
      </c>
      <c r="D5244" t="inlineStr">
        <is>
          <t>2</t>
        </is>
      </c>
      <c r="E5244" t="inlineStr">
        <is>
          <t>231</t>
        </is>
      </c>
      <c r="F5244" t="inlineStr">
        <is>
          <t>9</t>
        </is>
      </c>
      <c r="G5244" t="inlineStr">
        <is>
          <t>0</t>
        </is>
      </c>
      <c r="H5244" t="inlineStr">
        <is>
          <t>77¹, 154¹</t>
        </is>
      </c>
      <c r="I5244" t="n">
        <v>2</v>
      </c>
      <c r="J5244" t="inlineStr">
        <is>
          <t>4³, 12⁶, 20⁶, 60¹²</t>
        </is>
      </c>
      <c r="K5244">
        <f>HYPERLINK("CSG2.html#group22B2", "22B²"), =HYPERLINK("CSG4.html#group77B4", "77B⁴")</f>
        <v/>
      </c>
      <c r="L5244" t="inlineStr"/>
      <c r="M5244">
        <f>HYPERLINK("CSG0.html#group11A0", "11A⁰"), =HYPERLINK("CSG0.html#group2B0", "2B⁰"), =HYPERLINK("CSG2.html#group22B2", "22B²"), =HYPERLINK("CSG4.html#group77B4", "77B⁴"), =HYPERLINK("CSG0.html#group1A0", "1A⁰"), =HYPERLINK("CSG0.html#group7A0", "7A⁰")</f>
        <v/>
      </c>
      <c r="N5244" t="inlineStr"/>
    </row>
    <row r="5245">
      <c r="A5245" t="inlineStr">
        <is>
          <t>156A¹⁷</t>
        </is>
      </c>
      <c r="B5245" t="inlineStr"/>
      <c r="C5245" t="inlineStr">
        <is>
          <t>224</t>
        </is>
      </c>
      <c r="D5245" t="inlineStr">
        <is>
          <t>1</t>
        </is>
      </c>
      <c r="E5245" t="inlineStr">
        <is>
          <t>224</t>
        </is>
      </c>
      <c r="F5245" t="inlineStr">
        <is>
          <t>0</t>
        </is>
      </c>
      <c r="G5245" t="inlineStr">
        <is>
          <t>2</t>
        </is>
      </c>
      <c r="H5245" t="inlineStr">
        <is>
          <t>4¹, 12¹, 52¹, 156¹</t>
        </is>
      </c>
      <c r="I5245" t="n">
        <v>4</v>
      </c>
      <c r="J5245" t="inlineStr">
        <is>
          <t>2⁸, 4⁴, 24⁴, 48²</t>
        </is>
      </c>
      <c r="K5245">
        <f>HYPERLINK("CSG1.html#group12A1", "12A¹"), =HYPERLINK("CSG3.html#group39A3", "39A³"), =HYPERLINK("CSG3.html#group52A3", "52A³")</f>
        <v/>
      </c>
      <c r="L5245" t="inlineStr"/>
      <c r="M5245">
        <f>HYPERLINK("CSG0.html#group3B0", "3B⁰"), =HYPERLINK("CSG3.html#group39A3", "39A³"), =HYPERLINK("CSG3.html#group52A3", "52A³"), =HYPERLINK("CSG0.html#group4A0", "4A⁰"), =HYPERLINK("CSG1.html#group12A1", "12A¹"), =HYPERLINK("CSG0.html#group13A0", "13A⁰"), =HYPERLINK("CSG0.html#group1A0", "1A⁰")</f>
        <v/>
      </c>
      <c r="N5245" t="inlineStr"/>
    </row>
    <row r="5246">
      <c r="A5246" t="inlineStr">
        <is>
          <t>156B¹⁷</t>
        </is>
      </c>
      <c r="B5246" t="inlineStr"/>
      <c r="C5246" t="inlineStr">
        <is>
          <t>252</t>
        </is>
      </c>
      <c r="D5246" t="inlineStr">
        <is>
          <t>1</t>
        </is>
      </c>
      <c r="E5246" t="inlineStr">
        <is>
          <t>42</t>
        </is>
      </c>
      <c r="F5246" t="inlineStr">
        <is>
          <t>12</t>
        </is>
      </c>
      <c r="G5246" t="inlineStr">
        <is>
          <t>0</t>
        </is>
      </c>
      <c r="H5246" t="inlineStr">
        <is>
          <t>6¹, 12¹, 78¹, 156¹</t>
        </is>
      </c>
      <c r="I5246" t="n">
        <v>4</v>
      </c>
      <c r="J5246" t="inlineStr">
        <is>
          <t>1⁶, 12³</t>
        </is>
      </c>
      <c r="K5246">
        <f>HYPERLINK("CSG0.html#group12C0", "12C⁰"), =HYPERLINK("CSG5.html#group52B5", "52B⁵"), =HYPERLINK("CSG8.html#group78A8", "78A⁸")</f>
        <v/>
      </c>
      <c r="L5246" t="inlineStr"/>
      <c r="M5246">
        <f>HYPERLINK("CSG8.html#group78A8", "78A⁸"), =HYPERLINK("CSG2.html#group39A2", "39A²"), =HYPERLINK("CSG0.html#group12C0", "12C⁰"), =HYPERLINK("CSG0.html#group4C0", "4C⁰"), =HYPERLINK("CSG0.html#group13A0", "13A⁰"), =HYPERLINK("CSG5.html#group52B5", "52B⁵"), =HYPERLINK("CSG0.html#group2B0", "2B⁰"), =HYPERLINK("CSG0.html#group3A0", "3A⁰"), =HYPERLINK("CSG0.html#group1A0", "1A⁰"), =HYPERLINK("CSG2.html#group26A2", "26A²"), =HYPERLINK("CSG0.html#group6D0", "6D⁰")</f>
        <v/>
      </c>
      <c r="N5246" t="inlineStr"/>
    </row>
    <row r="5247">
      <c r="A5247" t="inlineStr">
        <is>
          <t>156C¹⁷</t>
        </is>
      </c>
      <c r="B5247" t="inlineStr"/>
      <c r="C5247" t="inlineStr">
        <is>
          <t>252</t>
        </is>
      </c>
      <c r="D5247" t="inlineStr">
        <is>
          <t>1</t>
        </is>
      </c>
      <c r="E5247" t="inlineStr">
        <is>
          <t>126</t>
        </is>
      </c>
      <c r="F5247" t="inlineStr">
        <is>
          <t>8</t>
        </is>
      </c>
      <c r="G5247" t="inlineStr">
        <is>
          <t>0</t>
        </is>
      </c>
      <c r="H5247" t="inlineStr">
        <is>
          <t>3², 12¹, 39², 156¹</t>
        </is>
      </c>
      <c r="I5247" t="n">
        <v>6</v>
      </c>
      <c r="J5247" t="inlineStr">
        <is>
          <t>1⁶, 2⁶, 12³, 24³</t>
        </is>
      </c>
      <c r="K5247">
        <f>HYPERLINK("CSG0.html#group12D0", "12D⁰"), =HYPERLINK("CSG8.html#group78A8", "78A⁸")</f>
        <v/>
      </c>
      <c r="L5247" t="inlineStr"/>
      <c r="M5247">
        <f>HYPERLINK("CSG8.html#group78A8", "78A⁸"), =HYPERLINK("CSG2.html#group39A2", "39A²"), =HYPERLINK("CSG0.html#group13A0", "13A⁰"), =HYPERLINK("CSG0.html#group2B0", "2B⁰"), =HYPERLINK("CSG0.html#group12D0", "12D⁰"), =HYPERLINK("CSG0.html#group3A0", "3A⁰"), =HYPERLINK("CSG0.html#group1A0", "1A⁰"), =HYPERLINK("CSG2.html#group26A2", "26A²"), =HYPERLINK("CSG0.html#group6D0", "6D⁰")</f>
        <v/>
      </c>
      <c r="N5247" t="inlineStr"/>
    </row>
    <row r="5248">
      <c r="A5248" t="inlineStr">
        <is>
          <t>156D¹⁷</t>
        </is>
      </c>
      <c r="B5248" t="inlineStr"/>
      <c r="C5248" t="inlineStr">
        <is>
          <t>252</t>
        </is>
      </c>
      <c r="D5248" t="inlineStr">
        <is>
          <t>2</t>
        </is>
      </c>
      <c r="E5248" t="inlineStr">
        <is>
          <t>42</t>
        </is>
      </c>
      <c r="F5248" t="inlineStr">
        <is>
          <t>12</t>
        </is>
      </c>
      <c r="G5248" t="inlineStr">
        <is>
          <t>0</t>
        </is>
      </c>
      <c r="H5248" t="inlineStr">
        <is>
          <t>6¹, 12¹, 78¹, 156¹</t>
        </is>
      </c>
      <c r="I5248" t="n">
        <v>4</v>
      </c>
      <c r="J5248" t="inlineStr">
        <is>
          <t>2⁶, 24³</t>
        </is>
      </c>
      <c r="K5248">
        <f>HYPERLINK("CSG5.html#group52B5", "52B⁵"), =HYPERLINK("CSG8.html#group78B8", "78B⁸")</f>
        <v/>
      </c>
      <c r="L5248" t="inlineStr"/>
      <c r="M5248">
        <f>HYPERLINK("CSG8.html#group78B8", "78B⁸"), =HYPERLINK("CSG0.html#group4C0", "4C⁰"), =HYPERLINK("CSG0.html#group13A0", "13A⁰"), =HYPERLINK("CSG5.html#group52B5", "52B⁵"), =HYPERLINK("CSG0.html#group2B0", "2B⁰"), =HYPERLINK("CSG1.html#group39A1", "39A¹"), =HYPERLINK("CSG0.html#group1A0", "1A⁰"), =HYPERLINK("CSG2.html#group26A2", "26A²")</f>
        <v/>
      </c>
      <c r="N5248" t="inlineStr"/>
    </row>
    <row r="5249">
      <c r="A5249" t="inlineStr">
        <is>
          <t>159A¹⁷</t>
        </is>
      </c>
      <c r="B5249" t="inlineStr">
        <is>
          <t>Γ₀(159)</t>
        </is>
      </c>
      <c r="C5249" t="inlineStr">
        <is>
          <t>216</t>
        </is>
      </c>
      <c r="D5249" t="inlineStr">
        <is>
          <t>1</t>
        </is>
      </c>
      <c r="E5249" t="inlineStr">
        <is>
          <t>216</t>
        </is>
      </c>
      <c r="F5249" t="inlineStr">
        <is>
          <t>0</t>
        </is>
      </c>
      <c r="G5249" t="inlineStr">
        <is>
          <t>0</t>
        </is>
      </c>
      <c r="H5249" t="inlineStr">
        <is>
          <t>1¹, 3¹, 53¹, 159¹</t>
        </is>
      </c>
      <c r="I5249" t="n">
        <v>4</v>
      </c>
      <c r="J5249" t="inlineStr">
        <is>
          <t>1⁴, 2², 52², 104¹</t>
        </is>
      </c>
      <c r="K5249">
        <f>HYPERLINK("CSG0.html#group3B0", "3B⁰"), =HYPERLINK("CSG4.html#group53A4", "53A⁴")</f>
        <v/>
      </c>
      <c r="L5249" t="inlineStr"/>
      <c r="M5249">
        <f>HYPERLINK("CSG0.html#group3B0", "3B⁰"), =HYPERLINK("CSG0.html#group1A0", "1A⁰"), =HYPERLINK("CSG4.html#group53A4", "53A⁴")</f>
        <v/>
      </c>
      <c r="N5249" t="inlineStr"/>
    </row>
    <row r="5250">
      <c r="A5250" t="inlineStr">
        <is>
          <t>160A¹⁷</t>
        </is>
      </c>
      <c r="B5250" t="inlineStr"/>
      <c r="C5250" t="inlineStr">
        <is>
          <t>240</t>
        </is>
      </c>
      <c r="D5250" t="inlineStr">
        <is>
          <t>1</t>
        </is>
      </c>
      <c r="E5250" t="inlineStr">
        <is>
          <t>60</t>
        </is>
      </c>
      <c r="F5250" t="inlineStr">
        <is>
          <t>0</t>
        </is>
      </c>
      <c r="G5250" t="inlineStr">
        <is>
          <t>0</t>
        </is>
      </c>
      <c r="H5250" t="inlineStr">
        <is>
          <t>5⁴, 10², 40¹, 160¹</t>
        </is>
      </c>
      <c r="I5250" t="n">
        <v>8</v>
      </c>
      <c r="J5250" t="inlineStr">
        <is>
          <t>1⁴, 2², 4⁵, 8², 16¹</t>
        </is>
      </c>
      <c r="K5250">
        <f>HYPERLINK("CSG1.html#group32A1", "32A¹"), =HYPERLINK("CSG8.html#group80B8", "80B⁸")</f>
        <v/>
      </c>
      <c r="L5250" t="inlineStr"/>
      <c r="M5250">
        <f>HYPERLINK("CSG2.html#group20A2", "20A²"), =HYPERLINK("CSG0.html#group5A0", "5A⁰"), =HYPERLINK("CSG1.html#group32A1", "32A¹"), =HYPERLINK("CSG8.html#group80B8", "80B⁸"), =HYPERLINK("CSG0.html#group16C0", "16C⁰"), =HYPERLINK("CSG1.html#group10B1", "10B¹"), =HYPERLINK("CSG0.html#group8C0", "8C⁰"), =HYPERLINK("CSG0.html#group2B0", "2B⁰"), =HYPERLINK("CSG0.html#group4B0", "4B⁰"), =HYPERLINK("CSG4.html#group40B4", "40B⁴"), =HYPERLINK("CSG0.html#group1A0", "1A⁰")</f>
        <v/>
      </c>
      <c r="N5250" t="inlineStr"/>
    </row>
    <row r="5251">
      <c r="A5251" t="inlineStr">
        <is>
          <t>160B¹⁷</t>
        </is>
      </c>
      <c r="B5251" t="inlineStr"/>
      <c r="C5251" t="inlineStr">
        <is>
          <t>240</t>
        </is>
      </c>
      <c r="D5251" t="inlineStr">
        <is>
          <t>1</t>
        </is>
      </c>
      <c r="E5251" t="inlineStr">
        <is>
          <t>60</t>
        </is>
      </c>
      <c r="F5251" t="inlineStr">
        <is>
          <t>12</t>
        </is>
      </c>
      <c r="G5251" t="inlineStr">
        <is>
          <t>0</t>
        </is>
      </c>
      <c r="H5251" t="inlineStr">
        <is>
          <t>80¹, 160¹</t>
        </is>
      </c>
      <c r="I5251" t="n">
        <v>2</v>
      </c>
      <c r="J5251" t="inlineStr">
        <is>
          <t>2⁶, 8⁶</t>
        </is>
      </c>
      <c r="K5251">
        <f>HYPERLINK("CSG1.html#group32B1", "32B¹"), =HYPERLINK("CSG8.html#group80A8", "80A⁸")</f>
        <v/>
      </c>
      <c r="L5251" t="inlineStr"/>
      <c r="M5251">
        <f>HYPERLINK("CSG0.html#group5A0", "5A⁰"), =HYPERLINK("CSG4.html#group40A4", "40A⁴"), =HYPERLINK("CSG1.html#group10B1", "10B¹"), =HYPERLINK("CSG2.html#group20B2", "20B²"), =HYPERLINK("CSG0.html#group4C0", "4C⁰"), =HYPERLINK("CSG0.html#group8B0", "8B⁰"), =HYPERLINK("CSG0.html#group2B0", "2B⁰"), =HYPERLINK("CSG0.html#group1A0", "1A⁰"), =HYPERLINK("CSG0.html#group16B0", "16B⁰"), =HYPERLINK("CSG1.html#group32B1", "32B¹"), =HYPERLINK("CSG8.html#group80A8", "80A⁸")</f>
        <v/>
      </c>
      <c r="N5251" t="inlineStr"/>
    </row>
    <row r="5252">
      <c r="A5252" t="inlineStr">
        <is>
          <t>160C¹⁷</t>
        </is>
      </c>
      <c r="B5252" t="inlineStr"/>
      <c r="C5252" t="inlineStr">
        <is>
          <t>240</t>
        </is>
      </c>
      <c r="D5252" t="inlineStr">
        <is>
          <t>1</t>
        </is>
      </c>
      <c r="E5252" t="inlineStr">
        <is>
          <t>120</t>
        </is>
      </c>
      <c r="F5252" t="inlineStr">
        <is>
          <t>2</t>
        </is>
      </c>
      <c r="G5252" t="inlineStr">
        <is>
          <t>0</t>
        </is>
      </c>
      <c r="H5252" t="inlineStr">
        <is>
          <t>10⁴, 20², 160¹</t>
        </is>
      </c>
      <c r="I5252" t="n">
        <v>7</v>
      </c>
      <c r="J5252" t="inlineStr">
        <is>
          <t>2², 4³, 8⁶, 16³, 32⁴</t>
        </is>
      </c>
      <c r="K5252">
        <f>HYPERLINK("CSG1.html#group32C1", "32C¹"), =HYPERLINK("CSG8.html#group80D8", "80D⁸")</f>
        <v/>
      </c>
      <c r="L5252" t="inlineStr"/>
      <c r="M5252">
        <f>HYPERLINK("CSG4.html#group40C4", "40C⁴"), =HYPERLINK("CSG0.html#group16E0", "16E⁰"), =HYPERLINK("CSG0.html#group5A0", "5A⁰"), =HYPERLINK("CSG1.html#group32C1", "32C¹"), =HYPERLINK("CSG0.html#group8D0", "8D⁰"), =HYPERLINK("CSG1.html#group10B1", "10B¹"), =HYPERLINK("CSG2.html#group20B2", "20B²"), =HYPERLINK("CSG0.html#group4C0", "4C⁰"), =HYPERLINK("CSG8.html#group80D8", "80D⁸"), =HYPERLINK("CSG0.html#group2B0", "2B⁰"), =HYPERLINK("CSG0.html#group1A0", "1A⁰")</f>
        <v/>
      </c>
      <c r="N5252" t="inlineStr"/>
    </row>
    <row r="5253">
      <c r="A5253" t="inlineStr">
        <is>
          <t>160D¹⁷</t>
        </is>
      </c>
      <c r="B5253" t="inlineStr"/>
      <c r="C5253" t="inlineStr">
        <is>
          <t>240</t>
        </is>
      </c>
      <c r="D5253" t="inlineStr">
        <is>
          <t>1</t>
        </is>
      </c>
      <c r="E5253" t="inlineStr">
        <is>
          <t>120</t>
        </is>
      </c>
      <c r="F5253" t="inlineStr">
        <is>
          <t>2</t>
        </is>
      </c>
      <c r="G5253" t="inlineStr">
        <is>
          <t>0</t>
        </is>
      </c>
      <c r="H5253" t="inlineStr">
        <is>
          <t>10⁴, 20², 160¹</t>
        </is>
      </c>
      <c r="I5253" t="n">
        <v>7</v>
      </c>
      <c r="J5253" t="inlineStr">
        <is>
          <t>2², 4³, 8⁶, 16³, 32⁴</t>
        </is>
      </c>
      <c r="K5253">
        <f>HYPERLINK("CSG1.html#group32D1", "32D¹"), =HYPERLINK("CSG8.html#group80D8", "80D⁸")</f>
        <v/>
      </c>
      <c r="L5253" t="inlineStr"/>
      <c r="M5253">
        <f>HYPERLINK("CSG0.html#group5A0", "5A⁰"), =HYPERLINK("CSG0.html#group8D0", "8D⁰"), =HYPERLINK("CSG1.html#group10B1", "10B¹"), =HYPERLINK("CSG2.html#group20B2", "20B²"), =HYPERLINK("CSG0.html#group4C0", "4C⁰"), =HYPERLINK("CSG1.html#group32D1", "32D¹"), =HYPERLINK("CSG0.html#group2B0", "2B⁰"), =HYPERLINK("CSG0.html#group1A0", "1A⁰"), =HYPERLINK("CSG0.html#group16E0", "16E⁰"), =HYPERLINK("CSG4.html#group40C4", "40C⁴"), =HYPERLINK("CSG8.html#group80D8", "80D⁸")</f>
        <v/>
      </c>
      <c r="N5253" t="inlineStr"/>
    </row>
    <row r="5254">
      <c r="A5254" t="inlineStr">
        <is>
          <t>160E¹⁷</t>
        </is>
      </c>
      <c r="B5254" t="inlineStr"/>
      <c r="C5254" t="inlineStr">
        <is>
          <t>288</t>
        </is>
      </c>
      <c r="D5254" t="inlineStr">
        <is>
          <t>1</t>
        </is>
      </c>
      <c r="E5254" t="inlineStr">
        <is>
          <t>72</t>
        </is>
      </c>
      <c r="F5254" t="inlineStr">
        <is>
          <t>0</t>
        </is>
      </c>
      <c r="G5254" t="inlineStr">
        <is>
          <t>0</t>
        </is>
      </c>
      <c r="H5254" t="inlineStr">
        <is>
          <t>1⁴, 2², 5⁴, 8¹, 10², 32¹, 40¹, 160¹</t>
        </is>
      </c>
      <c r="I5254" t="n">
        <v>16</v>
      </c>
      <c r="J5254" t="inlineStr">
        <is>
          <t>1⁸, 2⁴, 4⁶, 8², 16¹</t>
        </is>
      </c>
      <c r="K5254">
        <f>HYPERLINK("CSG7.html#group80F7", "80F⁷")</f>
        <v/>
      </c>
      <c r="L5254" t="inlineStr"/>
      <c r="M5254">
        <f>HYPERLINK("CSG7.html#group80F7", "80F⁷"), =HYPERLINK("CSG3.html#group40F3", "40F³"), =HYPERLINK("CSG0.html#group16C0", "16C⁰"), =HYPERLINK("CSG0.html#group5B0", "5B⁰"),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5254" t="inlineStr"/>
    </row>
    <row r="5255">
      <c r="A5255" t="inlineStr">
        <is>
          <t>160F¹⁷</t>
        </is>
      </c>
      <c r="B5255" t="inlineStr">
        <is>
          <t>Γ₀(160)</t>
        </is>
      </c>
      <c r="C5255" t="inlineStr">
        <is>
          <t>288</t>
        </is>
      </c>
      <c r="D5255" t="inlineStr">
        <is>
          <t>1</t>
        </is>
      </c>
      <c r="E5255" t="inlineStr">
        <is>
          <t>72</t>
        </is>
      </c>
      <c r="F5255" t="inlineStr">
        <is>
          <t>0</t>
        </is>
      </c>
      <c r="G5255" t="inlineStr">
        <is>
          <t>0</t>
        </is>
      </c>
      <c r="H5255" t="inlineStr">
        <is>
          <t>1⁴, 2², 5⁴, 8¹, 10², 32¹, 40¹, 160¹</t>
        </is>
      </c>
      <c r="I5255" t="n">
        <v>16</v>
      </c>
      <c r="J5255" t="inlineStr">
        <is>
          <t>1⁸, 2⁴, 4⁶, 8², 16¹</t>
        </is>
      </c>
      <c r="K5255">
        <f>HYPERLINK("CSG1.html#group32A1", "32A¹"), =HYPERLINK("CSG7.html#group80F7", "80F⁷")</f>
        <v/>
      </c>
      <c r="L5255" t="inlineStr"/>
      <c r="M5255">
        <f>HYPERLINK("CSG1.html#group32A1", "32A¹"), =HYPERLINK("CSG7.html#group80F7", "80F⁷"), =HYPERLINK("CSG3.html#group40F3", "40F³"), =HYPERLINK("CSG0.html#group16C0", "16C⁰"), =HYPERLINK("CSG0.html#group5B0", "5B⁰"),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5255" t="inlineStr"/>
    </row>
    <row r="5256">
      <c r="A5256" t="inlineStr">
        <is>
          <t>160G¹⁷</t>
        </is>
      </c>
      <c r="B5256" t="inlineStr"/>
      <c r="C5256" t="inlineStr">
        <is>
          <t>288</t>
        </is>
      </c>
      <c r="D5256" t="inlineStr">
        <is>
          <t>1</t>
        </is>
      </c>
      <c r="E5256" t="inlineStr">
        <is>
          <t>72</t>
        </is>
      </c>
      <c r="F5256" t="inlineStr">
        <is>
          <t>24</t>
        </is>
      </c>
      <c r="G5256" t="inlineStr">
        <is>
          <t>0</t>
        </is>
      </c>
      <c r="H5256" t="inlineStr">
        <is>
          <t>16¹, 32¹, 80¹, 160¹</t>
        </is>
      </c>
      <c r="I5256" t="n">
        <v>4</v>
      </c>
      <c r="J5256" t="inlineStr">
        <is>
          <t>2¹², 8⁶</t>
        </is>
      </c>
      <c r="K5256">
        <f>HYPERLINK("CSG7.html#group80D7", "80D⁷")</f>
        <v/>
      </c>
      <c r="L5256" t="inlineStr"/>
      <c r="M5256">
        <f>HYPERLINK("CSG0.html#group16B0", "16B⁰"), =HYPERLINK("CSG1.html#group20E1", "20E¹"), =HYPERLINK("CSG7.html#group80D7", "80D⁷"), =HYPERLINK("CSG0.html#group4C0", "4C⁰"), =HYPERLINK("CSG0.html#group8B0", "8B⁰"), =HYPERLINK("CSG0.html#group5B0", "5B⁰"), =HYPERLINK("CSG0.html#group10C0", "10C⁰"), =HYPERLINK("CSG0.html#group1A0", "1A⁰"), =HYPERLINK("CSG0.html#group2B0", "2B⁰"), =HYPERLINK("CSG3.html#group40D3", "40D³")</f>
        <v/>
      </c>
      <c r="N5256" t="inlineStr"/>
    </row>
    <row r="5257">
      <c r="A5257" t="inlineStr">
        <is>
          <t>160H¹⁷</t>
        </is>
      </c>
      <c r="B5257" t="inlineStr"/>
      <c r="C5257" t="inlineStr">
        <is>
          <t>288</t>
        </is>
      </c>
      <c r="D5257" t="inlineStr">
        <is>
          <t>1</t>
        </is>
      </c>
      <c r="E5257" t="inlineStr">
        <is>
          <t>72</t>
        </is>
      </c>
      <c r="F5257" t="inlineStr">
        <is>
          <t>24</t>
        </is>
      </c>
      <c r="G5257" t="inlineStr">
        <is>
          <t>0</t>
        </is>
      </c>
      <c r="H5257" t="inlineStr">
        <is>
          <t>16¹, 32¹, 80¹, 160¹</t>
        </is>
      </c>
      <c r="I5257" t="n">
        <v>4</v>
      </c>
      <c r="J5257" t="inlineStr">
        <is>
          <t>2¹², 8⁶</t>
        </is>
      </c>
      <c r="K5257">
        <f>HYPERLINK("CSG1.html#group32B1", "32B¹"), =HYPERLINK("CSG7.html#group80D7", "80D⁷")</f>
        <v/>
      </c>
      <c r="L5257" t="inlineStr"/>
      <c r="M5257">
        <f>HYPERLINK("CSG0.html#group16B0", "16B⁰"), =HYPERLINK("CSG1.html#group20E1", "20E¹"), =HYPERLINK("CSG7.html#group80D7", "80D⁷"), =HYPERLINK("CSG0.html#group4C0", "4C⁰"), =HYPERLINK("CSG0.html#group8B0", "8B⁰"), =HYPERLINK("CSG0.html#group5B0", "5B⁰"), =HYPERLINK("CSG0.html#group10C0", "10C⁰"), =HYPERLINK("CSG0.html#group1A0", "1A⁰"), =HYPERLINK("CSG1.html#group32B1", "32B¹"), =HYPERLINK("CSG0.html#group2B0", "2B⁰"), =HYPERLINK("CSG3.html#group40D3", "40D³")</f>
        <v/>
      </c>
      <c r="N5257" t="inlineStr"/>
    </row>
    <row r="5258">
      <c r="A5258" t="inlineStr">
        <is>
          <t>160I¹⁷</t>
        </is>
      </c>
      <c r="B5258" t="inlineStr"/>
      <c r="C5258" t="inlineStr">
        <is>
          <t>288</t>
        </is>
      </c>
      <c r="D5258" t="inlineStr">
        <is>
          <t>1</t>
        </is>
      </c>
      <c r="E5258" t="inlineStr">
        <is>
          <t>144</t>
        </is>
      </c>
      <c r="F5258" t="inlineStr">
        <is>
          <t>4</t>
        </is>
      </c>
      <c r="G5258" t="inlineStr">
        <is>
          <t>0</t>
        </is>
      </c>
      <c r="H5258" t="inlineStr">
        <is>
          <t>2⁴, 4², 10⁴, 20², 32¹, 160¹</t>
        </is>
      </c>
      <c r="I5258" t="n">
        <v>14</v>
      </c>
      <c r="J5258" t="inlineStr">
        <is>
          <t>2⁴, 4⁶, 8¹⁰, 16³, 32⁴</t>
        </is>
      </c>
      <c r="K5258">
        <f>HYPERLINK("CSG7.html#group80J7", "80J⁷")</f>
        <v/>
      </c>
      <c r="L5258" t="inlineStr"/>
      <c r="M5258">
        <f>HYPERLINK("CSG1.html#group20E1", "20E¹"), =HYPERLINK("CSG0.html#group16E0", "16E⁰"), =HYPERLINK("CSG3.html#group40H3", "40H³"), =HYPERLINK("CSG0.html#group8D0", "8D⁰"), =HYPERLINK("CSG0.html#group4C0", "4C⁰"), =HYPERLINK("CSG0.html#group5B0", "5B⁰"), =HYPERLINK("CSG7.html#group80J7", "80J⁷"), =HYPERLINK("CSG0.html#group10C0", "10C⁰"), =HYPERLINK("CSG0.html#group2B0", "2B⁰"), =HYPERLINK("CSG0.html#group1A0", "1A⁰")</f>
        <v/>
      </c>
      <c r="N5258" t="inlineStr"/>
    </row>
    <row r="5259">
      <c r="A5259" t="inlineStr">
        <is>
          <t>160J¹⁷</t>
        </is>
      </c>
      <c r="B5259" t="inlineStr"/>
      <c r="C5259" t="inlineStr">
        <is>
          <t>288</t>
        </is>
      </c>
      <c r="D5259" t="inlineStr">
        <is>
          <t>1</t>
        </is>
      </c>
      <c r="E5259" t="inlineStr">
        <is>
          <t>144</t>
        </is>
      </c>
      <c r="F5259" t="inlineStr">
        <is>
          <t>4</t>
        </is>
      </c>
      <c r="G5259" t="inlineStr">
        <is>
          <t>0</t>
        </is>
      </c>
      <c r="H5259" t="inlineStr">
        <is>
          <t>2⁴, 4², 10⁴, 20², 32¹, 160¹</t>
        </is>
      </c>
      <c r="I5259" t="n">
        <v>14</v>
      </c>
      <c r="J5259" t="inlineStr">
        <is>
          <t>2⁴, 4⁶, 8¹⁰, 16³, 32⁴</t>
        </is>
      </c>
      <c r="K5259">
        <f>HYPERLINK("CSG7.html#group80J7", "80J⁷")</f>
        <v/>
      </c>
      <c r="L5259" t="inlineStr"/>
      <c r="M5259">
        <f>HYPERLINK("CSG1.html#group20E1", "20E¹"), =HYPERLINK("CSG0.html#group16E0", "16E⁰"), =HYPERLINK("CSG3.html#group40H3", "40H³"), =HYPERLINK("CSG0.html#group8D0", "8D⁰"), =HYPERLINK("CSG0.html#group4C0", "4C⁰"), =HYPERLINK("CSG0.html#group5B0", "5B⁰"), =HYPERLINK("CSG7.html#group80J7", "80J⁷"), =HYPERLINK("CSG0.html#group10C0", "10C⁰"), =HYPERLINK("CSG0.html#group2B0", "2B⁰"), =HYPERLINK("CSG0.html#group1A0", "1A⁰")</f>
        <v/>
      </c>
      <c r="N5259" t="inlineStr"/>
    </row>
    <row r="5260">
      <c r="A5260" t="inlineStr">
        <is>
          <t>160K¹⁷</t>
        </is>
      </c>
      <c r="B5260" t="inlineStr"/>
      <c r="C5260" t="inlineStr">
        <is>
          <t>288</t>
        </is>
      </c>
      <c r="D5260" t="inlineStr">
        <is>
          <t>1</t>
        </is>
      </c>
      <c r="E5260" t="inlineStr">
        <is>
          <t>144</t>
        </is>
      </c>
      <c r="F5260" t="inlineStr">
        <is>
          <t>4</t>
        </is>
      </c>
      <c r="G5260" t="inlineStr">
        <is>
          <t>0</t>
        </is>
      </c>
      <c r="H5260" t="inlineStr">
        <is>
          <t>2⁴, 4², 10⁴, 20², 32¹, 160¹</t>
        </is>
      </c>
      <c r="I5260" t="n">
        <v>14</v>
      </c>
      <c r="J5260" t="inlineStr">
        <is>
          <t>2⁴, 4⁶, 8¹⁰, 16³, 32⁴</t>
        </is>
      </c>
      <c r="K5260">
        <f>HYPERLINK("CSG1.html#group32C1", "32C¹"), =HYPERLINK("CSG7.html#group80J7", "80J⁷")</f>
        <v/>
      </c>
      <c r="L5260" t="inlineStr"/>
      <c r="M5260">
        <f>HYPERLINK("CSG1.html#group20E1", "20E¹"), =HYPERLINK("CSG0.html#group16E0", "16E⁰"), =HYPERLINK("CSG1.html#group32C1", "32C¹"), =HYPERLINK("CSG3.html#group40H3", "40H³"), =HYPERLINK("CSG0.html#group8D0", "8D⁰"), =HYPERLINK("CSG0.html#group4C0", "4C⁰"), =HYPERLINK("CSG0.html#group5B0", "5B⁰"), =HYPERLINK("CSG7.html#group80J7", "80J⁷"), =HYPERLINK("CSG0.html#group10C0", "10C⁰"), =HYPERLINK("CSG0.html#group2B0", "2B⁰"), =HYPERLINK("CSG0.html#group1A0", "1A⁰")</f>
        <v/>
      </c>
      <c r="N5260" t="inlineStr"/>
    </row>
    <row r="5261">
      <c r="A5261" t="inlineStr">
        <is>
          <t>160L¹⁷</t>
        </is>
      </c>
      <c r="B5261" t="inlineStr"/>
      <c r="C5261" t="inlineStr">
        <is>
          <t>288</t>
        </is>
      </c>
      <c r="D5261" t="inlineStr">
        <is>
          <t>1</t>
        </is>
      </c>
      <c r="E5261" t="inlineStr">
        <is>
          <t>144</t>
        </is>
      </c>
      <c r="F5261" t="inlineStr">
        <is>
          <t>4</t>
        </is>
      </c>
      <c r="G5261" t="inlineStr">
        <is>
          <t>0</t>
        </is>
      </c>
      <c r="H5261" t="inlineStr">
        <is>
          <t>2⁴, 4², 10⁴, 20², 32¹, 160¹</t>
        </is>
      </c>
      <c r="I5261" t="n">
        <v>14</v>
      </c>
      <c r="J5261" t="inlineStr">
        <is>
          <t>2⁴, 4⁶, 8¹⁰, 16³, 32⁴</t>
        </is>
      </c>
      <c r="K5261">
        <f>HYPERLINK("CSG1.html#group32D1", "32D¹"), =HYPERLINK("CSG7.html#group80J7", "80J⁷")</f>
        <v/>
      </c>
      <c r="L5261" t="inlineStr"/>
      <c r="M5261">
        <f>HYPERLINK("CSG1.html#group20E1", "20E¹"), =HYPERLINK("CSG0.html#group16E0", "16E⁰"), =HYPERLINK("CSG3.html#group40H3", "40H³"), =HYPERLINK("CSG0.html#group8D0", "8D⁰"), =HYPERLINK("CSG0.html#group4C0", "4C⁰"), =HYPERLINK("CSG0.html#group5B0", "5B⁰"), =HYPERLINK("CSG7.html#group80J7", "80J⁷"), =HYPERLINK("CSG0.html#group10C0", "10C⁰"), =HYPERLINK("CSG1.html#group32D1", "32D¹"), =HYPERLINK("CSG0.html#group2B0", "2B⁰"), =HYPERLINK("CSG0.html#group1A0", "1A⁰")</f>
        <v/>
      </c>
      <c r="N5261" t="inlineStr"/>
    </row>
    <row r="5262">
      <c r="A5262" t="inlineStr">
        <is>
          <t>160M¹⁷</t>
        </is>
      </c>
      <c r="B5262" t="inlineStr"/>
      <c r="C5262" t="inlineStr">
        <is>
          <t>288</t>
        </is>
      </c>
      <c r="D5262" t="inlineStr">
        <is>
          <t>2</t>
        </is>
      </c>
      <c r="E5262" t="inlineStr">
        <is>
          <t>72</t>
        </is>
      </c>
      <c r="F5262" t="inlineStr">
        <is>
          <t>0</t>
        </is>
      </c>
      <c r="G5262" t="inlineStr">
        <is>
          <t>0</t>
        </is>
      </c>
      <c r="H5262" t="inlineStr">
        <is>
          <t>1⁴, 2², 5⁴, 8¹, 10², 32¹, 40¹, 160¹</t>
        </is>
      </c>
      <c r="I5262" t="n">
        <v>16</v>
      </c>
      <c r="J5262" t="inlineStr">
        <is>
          <t>2¹⁶, 4⁴, 8⁸, 16²</t>
        </is>
      </c>
      <c r="K5262">
        <f>HYPERLINK("CSG7.html#group80E7", "80E⁷")</f>
        <v/>
      </c>
      <c r="L5262" t="inlineStr"/>
      <c r="M5262">
        <f>HYPERLINK("CSG3.html#group40F3", "40F³"), =HYPERLINK("CSG0.html#group5B0", "5B⁰"), =HYPERLINK("CSG7.html#group80E7", "80E⁷"),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5262" t="inlineStr"/>
    </row>
    <row r="5263">
      <c r="A5263" t="inlineStr">
        <is>
          <t>165A¹⁷</t>
        </is>
      </c>
      <c r="B5263" t="inlineStr"/>
      <c r="C5263" t="inlineStr">
        <is>
          <t>216</t>
        </is>
      </c>
      <c r="D5263" t="inlineStr">
        <is>
          <t>1</t>
        </is>
      </c>
      <c r="E5263" t="inlineStr">
        <is>
          <t>72</t>
        </is>
      </c>
      <c r="F5263" t="inlineStr">
        <is>
          <t>0</t>
        </is>
      </c>
      <c r="G5263" t="inlineStr">
        <is>
          <t>0</t>
        </is>
      </c>
      <c r="H5263" t="inlineStr">
        <is>
          <t>3¹, 15¹, 33¹, 165¹</t>
        </is>
      </c>
      <c r="I5263" t="n">
        <v>4</v>
      </c>
      <c r="J5263" t="inlineStr">
        <is>
          <t>1⁴, 4², 10², 40¹</t>
        </is>
      </c>
      <c r="K5263">
        <f>HYPERLINK("CSG0.html#group15B0", "15B⁰"), =HYPERLINK("CSG3.html#group33A3", "33A³"), =HYPERLINK("CSG5.html#group55B5", "55B⁵")</f>
        <v/>
      </c>
      <c r="L5263" t="inlineStr"/>
      <c r="M5263">
        <f>HYPERLINK("CSG0.html#group15B0", "15B⁰"), =HYPERLINK("CSG5.html#group55B5", "55B⁵"), =HYPERLINK("CSG1.html#group11A1", "11A¹"), =HYPERLINK("CSG0.html#group5B0", "5B⁰"), =HYPERLINK("CSG0.html#group3A0", "3A⁰"), =HYPERLINK("CSG3.html#group33A3", "33A³"), =HYPERLINK("CSG0.html#group1A0", "1A⁰")</f>
        <v/>
      </c>
      <c r="N5263" t="inlineStr"/>
    </row>
    <row r="5264">
      <c r="A5264" t="inlineStr">
        <is>
          <t>165B¹⁷</t>
        </is>
      </c>
      <c r="B5264" t="inlineStr"/>
      <c r="C5264" t="inlineStr">
        <is>
          <t>220</t>
        </is>
      </c>
      <c r="D5264" t="inlineStr">
        <is>
          <t>2</t>
        </is>
      </c>
      <c r="E5264" t="inlineStr">
        <is>
          <t>220</t>
        </is>
      </c>
      <c r="F5264" t="inlineStr">
        <is>
          <t>0</t>
        </is>
      </c>
      <c r="G5264" t="inlineStr">
        <is>
          <t>4</t>
        </is>
      </c>
      <c r="H5264" t="inlineStr">
        <is>
          <t>55¹, 165¹</t>
        </is>
      </c>
      <c r="I5264" t="n">
        <v>2</v>
      </c>
      <c r="J5264" t="inlineStr">
        <is>
          <t>2², 4¹, 8², 10⁴, 16¹, 20², 40⁴, 80²</t>
        </is>
      </c>
      <c r="K5264">
        <f>HYPERLINK("CSG1.html#group15B1", "15B¹"), =HYPERLINK("CSG3.html#group33B3", "33B³"), =HYPERLINK("CSG3.html#group55A3", "55A³")</f>
        <v/>
      </c>
      <c r="L5264" t="inlineStr"/>
      <c r="M5264">
        <f>HYPERLINK("CSG0.html#group11A0", "11A⁰"), =HYPERLINK("CSG0.html#group3B0", "3B⁰"), =HYPERLINK("CSG3.html#group55A3", "55A³"), =HYPERLINK("CSG0.html#group5A0", "5A⁰"), =HYPERLINK("CSG3.html#group33B3", "33B³"), =HYPERLINK("CSG1.html#group15B1", "15B¹"), =HYPERLINK("CSG0.html#group1A0", "1A⁰")</f>
        <v/>
      </c>
      <c r="N5264" t="inlineStr"/>
    </row>
    <row r="5265">
      <c r="A5265" t="inlineStr">
        <is>
          <t>168A¹⁷</t>
        </is>
      </c>
      <c r="B5265" t="inlineStr"/>
      <c r="C5265" t="inlineStr">
        <is>
          <t>252</t>
        </is>
      </c>
      <c r="D5265" t="inlineStr">
        <is>
          <t>2</t>
        </is>
      </c>
      <c r="E5265" t="inlineStr">
        <is>
          <t>63</t>
        </is>
      </c>
      <c r="F5265" t="inlineStr">
        <is>
          <t>16</t>
        </is>
      </c>
      <c r="G5265" t="inlineStr">
        <is>
          <t>0</t>
        </is>
      </c>
      <c r="H5265" t="inlineStr">
        <is>
          <t>84¹, 168¹</t>
        </is>
      </c>
      <c r="I5265" t="n">
        <v>2</v>
      </c>
      <c r="J5265" t="inlineStr">
        <is>
          <t>2³, 4³, 6⁶, 12⁶</t>
        </is>
      </c>
      <c r="K5265">
        <f>HYPERLINK("CSG6.html#group84B6", "84B⁶")</f>
        <v/>
      </c>
      <c r="L5265" t="inlineStr"/>
      <c r="M5265">
        <f>HYPERLINK("CSG2.html#group28C2", "28C²"), =HYPERLINK("CSG0.html#group12C0", "12C⁰"), =HYPERLINK("CSG1.html#group14B1", "14B¹"), =HYPERLINK("CSG0.html#group4C0", "4C⁰"), =HYPERLINK("CSG0.html#group21A0", "21A⁰"), =HYPERLINK("CSG0.html#group2B0", "2B⁰"), =HYPERLINK("CSG0.html#group3A0", "3A⁰"), =HYPERLINK("CSG0.html#group1A0", "1A⁰"), =HYPERLINK("CSG3.html#group42C3", "42C³"), =HYPERLINK("CSG6.html#group84B6", "84B⁶"), =HYPERLINK("CSG0.html#group6D0", "6D⁰"), =HYPERLINK("CSG0.html#group7A0", "7A⁰")</f>
        <v/>
      </c>
      <c r="N5265" t="inlineStr"/>
    </row>
    <row r="5266">
      <c r="A5266" t="inlineStr">
        <is>
          <t>170A¹⁷</t>
        </is>
      </c>
      <c r="B5266" t="inlineStr"/>
      <c r="C5266" t="inlineStr">
        <is>
          <t>216</t>
        </is>
      </c>
      <c r="D5266" t="inlineStr">
        <is>
          <t>1</t>
        </is>
      </c>
      <c r="E5266" t="inlineStr">
        <is>
          <t>108</t>
        </is>
      </c>
      <c r="F5266" t="inlineStr">
        <is>
          <t>0</t>
        </is>
      </c>
      <c r="G5266" t="inlineStr">
        <is>
          <t>0</t>
        </is>
      </c>
      <c r="H5266" t="inlineStr">
        <is>
          <t>2¹, 10¹, 34¹, 170¹</t>
        </is>
      </c>
      <c r="I5266" t="n">
        <v>4</v>
      </c>
      <c r="J5266" t="inlineStr">
        <is>
          <t>1⁴, 4², 16², 64¹</t>
        </is>
      </c>
      <c r="K5266">
        <f>HYPERLINK("CSG3.html#group34A3", "34A³"), =HYPERLINK("CSG7.html#group85B7", "85B⁷")</f>
        <v/>
      </c>
      <c r="L5266" t="inlineStr"/>
      <c r="M5266">
        <f>HYPERLINK("CSG0.html#group5B0", "5B⁰"), =HYPERLINK("CSG1.html#group17A1", "17A¹"), =HYPERLINK("CSG7.html#group85B7", "85B⁷"), =HYPERLINK("CSG0.html#group1A0", "1A⁰"), =HYPERLINK("CSG3.html#group34A3", "34A³")</f>
        <v/>
      </c>
      <c r="N5266" t="inlineStr"/>
    </row>
    <row r="5267">
      <c r="A5267" t="inlineStr">
        <is>
          <t>170B¹⁷</t>
        </is>
      </c>
      <c r="B5267" t="inlineStr"/>
      <c r="C5267" t="inlineStr">
        <is>
          <t>216</t>
        </is>
      </c>
      <c r="D5267" t="inlineStr">
        <is>
          <t>1</t>
        </is>
      </c>
      <c r="E5267" t="inlineStr">
        <is>
          <t>108</t>
        </is>
      </c>
      <c r="F5267" t="inlineStr">
        <is>
          <t>0</t>
        </is>
      </c>
      <c r="G5267" t="inlineStr">
        <is>
          <t>0</t>
        </is>
      </c>
      <c r="H5267" t="inlineStr">
        <is>
          <t>2¹, 10¹, 34¹, 170¹</t>
        </is>
      </c>
      <c r="I5267" t="n">
        <v>4</v>
      </c>
      <c r="J5267" t="inlineStr">
        <is>
          <t>1⁴, 4², 16², 64¹</t>
        </is>
      </c>
      <c r="K5267">
        <f>HYPERLINK("CSG1.html#group10A1", "10A¹"), =HYPERLINK("CSG3.html#group34B3", "34B³"), =HYPERLINK("CSG7.html#group85B7", "85B⁷")</f>
        <v/>
      </c>
      <c r="L5267" t="inlineStr"/>
      <c r="M5267">
        <f>HYPERLINK("CSG0.html#group2A0", "2A⁰"), =HYPERLINK("CSG0.html#group5B0", "5B⁰"), =HYPERLINK("CSG1.html#group10A1", "10A¹"), =HYPERLINK("CSG1.html#group17A1", "17A¹"), =HYPERLINK("CSG7.html#group85B7", "85B⁷"), =HYPERLINK("CSG3.html#group34B3", "34B³"), =HYPERLINK("CSG0.html#group1A0", "1A⁰")</f>
        <v/>
      </c>
      <c r="N5267" t="inlineStr"/>
    </row>
    <row r="5268">
      <c r="A5268" t="inlineStr">
        <is>
          <t>171A¹⁷</t>
        </is>
      </c>
      <c r="B5268" t="inlineStr">
        <is>
          <t>Γ₀(171)</t>
        </is>
      </c>
      <c r="C5268" t="inlineStr">
        <is>
          <t>240</t>
        </is>
      </c>
      <c r="D5268" t="inlineStr">
        <is>
          <t>1</t>
        </is>
      </c>
      <c r="E5268" t="inlineStr">
        <is>
          <t>80</t>
        </is>
      </c>
      <c r="F5268" t="inlineStr">
        <is>
          <t>0</t>
        </is>
      </c>
      <c r="G5268" t="inlineStr">
        <is>
          <t>0</t>
        </is>
      </c>
      <c r="H5268" t="inlineStr">
        <is>
          <t>1³, 9¹, 19³, 171¹</t>
        </is>
      </c>
      <c r="I5268" t="n">
        <v>8</v>
      </c>
      <c r="J5268" t="inlineStr">
        <is>
          <t>1⁴, 2², 18², 36¹</t>
        </is>
      </c>
      <c r="K5268">
        <f>HYPERLINK("CSG0.html#group9B0", "9B⁰"), =HYPERLINK("CSG5.html#group57C5", "57C⁵")</f>
        <v/>
      </c>
      <c r="L5268" t="inlineStr"/>
      <c r="M5268">
        <f>HYPERLINK("CSG0.html#group3B0", "3B⁰"), =HYPERLINK("CSG0.html#group9B0", "9B⁰"), =HYPERLINK("CSG1.html#group19A1", "19A¹"), =HYPERLINK("CSG0.html#group1A0", "1A⁰"), =HYPERLINK("CSG5.html#group57C5", "57C⁵")</f>
        <v/>
      </c>
      <c r="N5268" t="inlineStr"/>
    </row>
    <row r="5269">
      <c r="A5269" t="inlineStr">
        <is>
          <t>171B¹⁷</t>
        </is>
      </c>
      <c r="B5269" t="inlineStr"/>
      <c r="C5269" t="inlineStr">
        <is>
          <t>240</t>
        </is>
      </c>
      <c r="D5269" t="inlineStr">
        <is>
          <t>1</t>
        </is>
      </c>
      <c r="E5269" t="inlineStr">
        <is>
          <t>80</t>
        </is>
      </c>
      <c r="F5269" t="inlineStr">
        <is>
          <t>0</t>
        </is>
      </c>
      <c r="G5269" t="inlineStr">
        <is>
          <t>6</t>
        </is>
      </c>
      <c r="H5269" t="inlineStr">
        <is>
          <t>3¹, 9¹, 57¹, 171¹</t>
        </is>
      </c>
      <c r="I5269" t="n">
        <v>4</v>
      </c>
      <c r="J5269" t="inlineStr">
        <is>
          <t>1⁴, 2², 18², 36¹</t>
        </is>
      </c>
      <c r="K5269">
        <f>HYPERLINK("CSG0.html#group9C0", "9C⁰"), =HYPERLINK("CSG5.html#group57C5", "57C⁵")</f>
        <v/>
      </c>
      <c r="L5269" t="inlineStr"/>
      <c r="M5269">
        <f>HYPERLINK("CSG0.html#group3B0", "3B⁰"), =HYPERLINK("CSG1.html#group19A1", "19A¹"), =HYPERLINK("CSG0.html#group9C0", "9C⁰"), =HYPERLINK("CSG0.html#group1A0", "1A⁰"), =HYPERLINK("CSG5.html#group57C5", "57C⁵")</f>
        <v/>
      </c>
      <c r="N5269" t="inlineStr"/>
    </row>
    <row r="5270">
      <c r="A5270" t="inlineStr">
        <is>
          <t>171C¹⁷</t>
        </is>
      </c>
      <c r="B5270" t="inlineStr"/>
      <c r="C5270" t="inlineStr">
        <is>
          <t>240</t>
        </is>
      </c>
      <c r="D5270" t="inlineStr">
        <is>
          <t>2</t>
        </is>
      </c>
      <c r="E5270" t="inlineStr">
        <is>
          <t>80</t>
        </is>
      </c>
      <c r="F5270" t="inlineStr">
        <is>
          <t>0</t>
        </is>
      </c>
      <c r="G5270" t="inlineStr">
        <is>
          <t>0</t>
        </is>
      </c>
      <c r="H5270" t="inlineStr">
        <is>
          <t>1³, 9¹, 19³, 171¹</t>
        </is>
      </c>
      <c r="I5270" t="n">
        <v>8</v>
      </c>
      <c r="J5270" t="inlineStr">
        <is>
          <t>2⁸, 36⁴</t>
        </is>
      </c>
      <c r="K5270">
        <f>HYPERLINK("CSG5.html#group57C5", "57C⁵")</f>
        <v/>
      </c>
      <c r="L5270" t="inlineStr"/>
      <c r="M5270">
        <f>HYPERLINK("CSG0.html#group3B0", "3B⁰"), =HYPERLINK("CSG0.html#group1A0", "1A⁰"), =HYPERLINK("CSG1.html#group19A1", "19A¹"), =HYPERLINK("CSG5.html#group57C5", "57C⁵")</f>
        <v/>
      </c>
      <c r="N5270" t="inlineStr"/>
    </row>
    <row r="5271">
      <c r="A5271" t="inlineStr">
        <is>
          <t>171D¹⁷</t>
        </is>
      </c>
      <c r="B5271" t="inlineStr"/>
      <c r="C5271" t="inlineStr">
        <is>
          <t>240</t>
        </is>
      </c>
      <c r="D5271" t="inlineStr">
        <is>
          <t>2</t>
        </is>
      </c>
      <c r="E5271" t="inlineStr">
        <is>
          <t>80</t>
        </is>
      </c>
      <c r="F5271" t="inlineStr">
        <is>
          <t>0</t>
        </is>
      </c>
      <c r="G5271" t="inlineStr">
        <is>
          <t>6</t>
        </is>
      </c>
      <c r="H5271" t="inlineStr">
        <is>
          <t>3¹, 9¹, 57¹, 171¹</t>
        </is>
      </c>
      <c r="I5271" t="n">
        <v>4</v>
      </c>
      <c r="J5271" t="inlineStr">
        <is>
          <t>2⁸, 36⁴</t>
        </is>
      </c>
      <c r="K5271">
        <f>HYPERLINK("CSG5.html#group57C5", "57C⁵")</f>
        <v/>
      </c>
      <c r="L5271" t="inlineStr"/>
      <c r="M5271">
        <f>HYPERLINK("CSG0.html#group3B0", "3B⁰"), =HYPERLINK("CSG0.html#group1A0", "1A⁰"), =HYPERLINK("CSG1.html#group19A1", "19A¹"), =HYPERLINK("CSG5.html#group57C5", "57C⁵")</f>
        <v/>
      </c>
      <c r="N5271" t="inlineStr"/>
    </row>
    <row r="5272">
      <c r="A5272" t="inlineStr">
        <is>
          <t>180A¹⁷</t>
        </is>
      </c>
      <c r="B5272" t="inlineStr"/>
      <c r="C5272" t="inlineStr">
        <is>
          <t>240</t>
        </is>
      </c>
      <c r="D5272" t="inlineStr">
        <is>
          <t>2</t>
        </is>
      </c>
      <c r="E5272" t="inlineStr">
        <is>
          <t>40</t>
        </is>
      </c>
      <c r="F5272" t="inlineStr">
        <is>
          <t>0</t>
        </is>
      </c>
      <c r="G5272" t="inlineStr">
        <is>
          <t>6</t>
        </is>
      </c>
      <c r="H5272" t="inlineStr">
        <is>
          <t>20³, 180¹</t>
        </is>
      </c>
      <c r="I5272" t="n">
        <v>4</v>
      </c>
      <c r="J5272" t="inlineStr">
        <is>
          <t>4⁴, 8⁸</t>
        </is>
      </c>
      <c r="K5272">
        <f>HYPERLINK("CSG4.html#group60B4", "60B⁴"), =HYPERLINK("CSG8.html#group90E8", "90E⁸")</f>
        <v/>
      </c>
      <c r="L5272" t="inlineStr"/>
      <c r="M5272">
        <f>HYPERLINK("CSG0.html#group3B0", "3B⁰"), =HYPERLINK("CSG0.html#group2A0", "2A⁰"), =HYPERLINK("CSG0.html#group5A0", "5A⁰"), =HYPERLINK("CSG0.html#group10A0", "10A⁰"), =HYPERLINK("CSG8.html#group90E8", "90E⁸"), =HYPERLINK("CSG2.html#group30D2", "30D²"), =HYPERLINK("CSG4.html#group60B4", "60B⁴"), =HYPERLINK("CSG0.html#group6C0", "6C⁰"), =HYPERLINK("CSG1.html#group15B1", "15B¹"), =HYPERLINK("CSG0.html#group1A0", "1A⁰"), =HYPERLINK("CSG0.html#group12B0", "12B⁰")</f>
        <v/>
      </c>
      <c r="N5272" t="inlineStr"/>
    </row>
    <row r="5273">
      <c r="A5273" t="inlineStr">
        <is>
          <t>185A¹⁷</t>
        </is>
      </c>
      <c r="B5273" t="inlineStr">
        <is>
          <t>Γ₀(185)</t>
        </is>
      </c>
      <c r="C5273" t="inlineStr">
        <is>
          <t>228</t>
        </is>
      </c>
      <c r="D5273" t="inlineStr">
        <is>
          <t>1</t>
        </is>
      </c>
      <c r="E5273" t="inlineStr">
        <is>
          <t>228</t>
        </is>
      </c>
      <c r="F5273" t="inlineStr">
        <is>
          <t>4</t>
        </is>
      </c>
      <c r="G5273" t="inlineStr">
        <is>
          <t>0</t>
        </is>
      </c>
      <c r="H5273" t="inlineStr">
        <is>
          <t>1¹, 5¹, 37¹, 185¹</t>
        </is>
      </c>
      <c r="I5273" t="n">
        <v>4</v>
      </c>
      <c r="J5273" t="inlineStr">
        <is>
          <t>1⁴, 4², 36², 144¹</t>
        </is>
      </c>
      <c r="K5273">
        <f>HYPERLINK("CSG0.html#group5B0", "5B⁰"), =HYPERLINK("CSG2.html#group37A2", "37A²")</f>
        <v/>
      </c>
      <c r="L5273" t="inlineStr"/>
      <c r="M5273">
        <f>HYPERLINK("CSG0.html#group5B0", "5B⁰"), =HYPERLINK("CSG0.html#group1A0", "1A⁰"), =HYPERLINK("CSG2.html#group37A2", "37A²")</f>
        <v/>
      </c>
      <c r="N5273" t="inlineStr"/>
    </row>
    <row r="5274">
      <c r="A5274" t="inlineStr">
        <is>
          <t>187A¹⁷</t>
        </is>
      </c>
      <c r="B5274" t="inlineStr">
        <is>
          <t>Γ₀(187)</t>
        </is>
      </c>
      <c r="C5274" t="inlineStr">
        <is>
          <t>216</t>
        </is>
      </c>
      <c r="D5274" t="inlineStr">
        <is>
          <t>1</t>
        </is>
      </c>
      <c r="E5274" t="inlineStr">
        <is>
          <t>216</t>
        </is>
      </c>
      <c r="F5274" t="inlineStr">
        <is>
          <t>0</t>
        </is>
      </c>
      <c r="G5274" t="inlineStr">
        <is>
          <t>0</t>
        </is>
      </c>
      <c r="H5274" t="inlineStr">
        <is>
          <t>1¹, 11¹, 17¹, 187¹</t>
        </is>
      </c>
      <c r="I5274" t="n">
        <v>4</v>
      </c>
      <c r="J5274" t="inlineStr">
        <is>
          <t>1⁴, 10², 16², 160¹</t>
        </is>
      </c>
      <c r="K5274">
        <f>HYPERLINK("CSG1.html#group11A1", "11A¹"), =HYPERLINK("CSG1.html#group17A1", "17A¹")</f>
        <v/>
      </c>
      <c r="L5274" t="inlineStr"/>
      <c r="M5274">
        <f>HYPERLINK("CSG1.html#group17A1", "17A¹"), =HYPERLINK("CSG0.html#group1A0", "1A⁰"), =HYPERLINK("CSG1.html#group11A1", "11A¹")</f>
        <v/>
      </c>
      <c r="N5274" t="inlineStr"/>
    </row>
    <row r="5275">
      <c r="A5275" t="inlineStr">
        <is>
          <t>189A¹⁷</t>
        </is>
      </c>
      <c r="B5275" t="inlineStr"/>
      <c r="C5275" t="inlineStr">
        <is>
          <t>288</t>
        </is>
      </c>
      <c r="D5275" t="inlineStr">
        <is>
          <t>1</t>
        </is>
      </c>
      <c r="E5275" t="inlineStr">
        <is>
          <t>96</t>
        </is>
      </c>
      <c r="F5275" t="inlineStr">
        <is>
          <t>0</t>
        </is>
      </c>
      <c r="G5275" t="inlineStr">
        <is>
          <t>0</t>
        </is>
      </c>
      <c r="H5275" t="inlineStr">
        <is>
          <t>1⁶, 3¹, 7⁶, 21¹, 27¹, 189¹</t>
        </is>
      </c>
      <c r="I5275" t="n">
        <v>16</v>
      </c>
      <c r="J5275" t="inlineStr">
        <is>
          <t>1⁴, 2⁴, 6⁴, 12², 36¹</t>
        </is>
      </c>
      <c r="K5275">
        <f>HYPERLINK("CSG0.html#group27A0", "27A⁰"), =HYPERLINK("CSG5.html#group63A5", "63A⁵")</f>
        <v/>
      </c>
      <c r="L5275" t="inlineStr"/>
      <c r="M5275">
        <f>HYPERLINK("CSG5.html#group63A5", "63A⁵"), =HYPERLINK("CSG0.html#group3B0", "3B⁰"), =HYPERLINK("CSG1.html#group21B1", "21B¹"), =HYPERLINK("CSG0.html#group7B0", "7B⁰"), =HYPERLINK("CSG0.html#group27A0", "27A⁰"), =HYPERLINK("CSG0.html#group9B0", "9B⁰"), =HYPERLINK("CSG0.html#group1A0", "1A⁰")</f>
        <v/>
      </c>
      <c r="N5275" t="inlineStr"/>
    </row>
    <row r="5276">
      <c r="A5276" t="inlineStr">
        <is>
          <t>189B¹⁷</t>
        </is>
      </c>
      <c r="B5276" t="inlineStr"/>
      <c r="C5276" t="inlineStr">
        <is>
          <t>288</t>
        </is>
      </c>
      <c r="D5276" t="inlineStr">
        <is>
          <t>2</t>
        </is>
      </c>
      <c r="E5276" t="inlineStr">
        <is>
          <t>96</t>
        </is>
      </c>
      <c r="F5276" t="inlineStr">
        <is>
          <t>0</t>
        </is>
      </c>
      <c r="G5276" t="inlineStr">
        <is>
          <t>0</t>
        </is>
      </c>
      <c r="H5276" t="inlineStr">
        <is>
          <t>1⁶, 3¹, 7⁶, 21¹, 27¹, 189¹</t>
        </is>
      </c>
      <c r="I5276" t="n">
        <v>16</v>
      </c>
      <c r="J5276" t="inlineStr">
        <is>
          <t>2¹², 6⁴, 12⁶, 36²</t>
        </is>
      </c>
      <c r="K5276">
        <f>HYPERLINK("CSG5.html#group63A5", "63A⁵")</f>
        <v/>
      </c>
      <c r="L5276" t="inlineStr"/>
      <c r="M5276">
        <f>HYPERLINK("CSG5.html#group63A5", "63A⁵"), =HYPERLINK("CSG0.html#group3B0", "3B⁰"), =HYPERLINK("CSG0.html#group9B0", "9B⁰"), =HYPERLINK("CSG1.html#group21B1", "21B¹"), =HYPERLINK("CSG0.html#group1A0", "1A⁰"), =HYPERLINK("CSG0.html#group7B0", "7B⁰")</f>
        <v/>
      </c>
      <c r="N5276" t="inlineStr"/>
    </row>
    <row r="5277">
      <c r="A5277" t="inlineStr">
        <is>
          <t>195A¹⁷</t>
        </is>
      </c>
      <c r="B5277" t="inlineStr"/>
      <c r="C5277" t="inlineStr">
        <is>
          <t>252</t>
        </is>
      </c>
      <c r="D5277" t="inlineStr">
        <is>
          <t>1</t>
        </is>
      </c>
      <c r="E5277" t="inlineStr">
        <is>
          <t>84</t>
        </is>
      </c>
      <c r="F5277" t="inlineStr">
        <is>
          <t>12</t>
        </is>
      </c>
      <c r="G5277" t="inlineStr">
        <is>
          <t>0</t>
        </is>
      </c>
      <c r="H5277" t="inlineStr">
        <is>
          <t>3¹, 15¹, 39¹, 195¹</t>
        </is>
      </c>
      <c r="I5277" t="n">
        <v>4</v>
      </c>
      <c r="J5277" t="inlineStr">
        <is>
          <t>1⁴, 4², 12², 48¹</t>
        </is>
      </c>
      <c r="K5277">
        <f>HYPERLINK("CSG0.html#group15B0", "15B⁰"), =HYPERLINK("CSG2.html#group39A2", "39A²"), =HYPERLINK("CSG5.html#group65A5", "65A⁵")</f>
        <v/>
      </c>
      <c r="L5277" t="inlineStr"/>
      <c r="M5277">
        <f>HYPERLINK("CSG2.html#group39A2", "39A²"), =HYPERLINK("CSG0.html#group15B0", "15B⁰"), =HYPERLINK("CSG0.html#group13A0", "13A⁰"), =HYPERLINK("CSG0.html#group5B0", "5B⁰"), =HYPERLINK("CSG5.html#group65A5", "65A⁵"), =HYPERLINK("CSG0.html#group3A0", "3A⁰"), =HYPERLINK("CSG0.html#group1A0", "1A⁰")</f>
        <v/>
      </c>
      <c r="N5277" t="inlineStr"/>
    </row>
    <row r="5278">
      <c r="A5278" t="inlineStr">
        <is>
          <t>195B¹⁷</t>
        </is>
      </c>
      <c r="B5278" t="inlineStr"/>
      <c r="C5278" t="inlineStr">
        <is>
          <t>252</t>
        </is>
      </c>
      <c r="D5278" t="inlineStr">
        <is>
          <t>2</t>
        </is>
      </c>
      <c r="E5278" t="inlineStr">
        <is>
          <t>84</t>
        </is>
      </c>
      <c r="F5278" t="inlineStr">
        <is>
          <t>12</t>
        </is>
      </c>
      <c r="G5278" t="inlineStr">
        <is>
          <t>0</t>
        </is>
      </c>
      <c r="H5278" t="inlineStr">
        <is>
          <t>3¹, 15¹, 39¹, 195¹</t>
        </is>
      </c>
      <c r="I5278" t="n">
        <v>4</v>
      </c>
      <c r="J5278" t="inlineStr">
        <is>
          <t>2⁴, 8², 24², 96¹</t>
        </is>
      </c>
      <c r="K5278">
        <f>HYPERLINK("CSG1.html#group39A1", "39A¹"), =HYPERLINK("CSG5.html#group65A5", "65A⁵")</f>
        <v/>
      </c>
      <c r="L5278" t="inlineStr"/>
      <c r="M5278">
        <f>HYPERLINK("CSG0.html#group5B0", "5B⁰"), =HYPERLINK("CSG0.html#group13A0", "13A⁰"), =HYPERLINK("CSG5.html#group65A5", "65A⁵"), =HYPERLINK("CSG1.html#group39A1", "39A¹"), =HYPERLINK("CSG0.html#group1A0", "1A⁰")</f>
        <v/>
      </c>
      <c r="N5278" t="inlineStr"/>
    </row>
    <row r="5279">
      <c r="A5279" t="inlineStr">
        <is>
          <t>196A¹⁷</t>
        </is>
      </c>
      <c r="B5279" t="inlineStr">
        <is>
          <t>Γ₀(196)</t>
        </is>
      </c>
      <c r="C5279" t="inlineStr">
        <is>
          <t>336</t>
        </is>
      </c>
      <c r="D5279" t="inlineStr">
        <is>
          <t>1</t>
        </is>
      </c>
      <c r="E5279" t="inlineStr">
        <is>
          <t>168</t>
        </is>
      </c>
      <c r="F5279" t="inlineStr">
        <is>
          <t>0</t>
        </is>
      </c>
      <c r="G5279" t="inlineStr">
        <is>
          <t>0</t>
        </is>
      </c>
      <c r="H5279" t="inlineStr">
        <is>
          <t>1¹⁴, 4⁷, 49², 196¹</t>
        </is>
      </c>
      <c r="I5279" t="n">
        <v>24</v>
      </c>
      <c r="J5279" t="inlineStr">
        <is>
          <t>1⁶, 6⁶, 42³</t>
        </is>
      </c>
      <c r="K5279">
        <f>HYPERLINK("CSG2.html#group28D2", "28D²"), =HYPERLINK("CSG7.html#group98A7", "98A⁷")</f>
        <v/>
      </c>
      <c r="L5279" t="inlineStr"/>
      <c r="M5279">
        <f>HYPERLINK("CSG7.html#group98A7", "98A⁷"), =HYPERLINK("CSG0.html#group7B0", "7B⁰"), =HYPERLINK("CSG2.html#group28D2", "28D²"), =HYPERLINK("CSG1.html#group14C1", "14C¹"), =HYPERLINK("CSG1.html#group49A1", "49A¹"), =HYPERLINK("CSG0.html#group2B0", "2B⁰"), =HYPERLINK("CSG0.html#group4B0", "4B⁰"), =HYPERLINK("CSG0.html#group1A0", "1A⁰")</f>
        <v/>
      </c>
      <c r="N5279" t="inlineStr"/>
    </row>
    <row r="5280">
      <c r="A5280" t="inlineStr">
        <is>
          <t>198A¹⁷</t>
        </is>
      </c>
      <c r="B5280" t="inlineStr"/>
      <c r="C5280" t="inlineStr">
        <is>
          <t>198</t>
        </is>
      </c>
      <c r="D5280" t="inlineStr">
        <is>
          <t>2</t>
        </is>
      </c>
      <c r="E5280" t="inlineStr">
        <is>
          <t>99</t>
        </is>
      </c>
      <c r="F5280" t="inlineStr">
        <is>
          <t>0</t>
        </is>
      </c>
      <c r="G5280" t="inlineStr">
        <is>
          <t>0</t>
        </is>
      </c>
      <c r="H5280" t="inlineStr">
        <is>
          <t>198¹</t>
        </is>
      </c>
      <c r="I5280" t="n">
        <v>1</v>
      </c>
      <c r="J5280" t="inlineStr">
        <is>
          <t>2¹, 4¹, 10², 12¹, 20², 60²</t>
        </is>
      </c>
      <c r="K5280">
        <f>HYPERLINK("CSG2.html#group18A2", "18A²"), =HYPERLINK("CSG5.html#group99A5", "99A⁵"), =HYPERLINK("CSG6.html#group66A6", "66A⁶")</f>
        <v/>
      </c>
      <c r="L5280" t="inlineStr"/>
      <c r="M5280">
        <f>HYPERLINK("CSG0.html#group11A0", "11A⁰"), =HYPERLINK("CSG0.html#group2A0", "2A⁰"), =HYPERLINK("CSG1.html#group22A1", "22A¹"), =HYPERLINK("CSG0.html#group9A0", "9A⁰"), =HYPERLINK("CSG1.html#group33A1", "33A¹"), =HYPERLINK("CSG5.html#group99A5", "99A⁵"), =HYPERLINK("CSG1.html#group6A1", "6A¹"), =HYPERLINK("CSG2.html#group18A2", "18A²"), =HYPERLINK("CSG0.html#group3A0", "3A⁰"), =HYPERLINK("CSG0.html#group1A0", "1A⁰"), =HYPERLINK("CSG6.html#group66A6", "66A⁶")</f>
        <v/>
      </c>
      <c r="N5280" t="inlineStr"/>
    </row>
    <row r="5281">
      <c r="A5281" t="inlineStr">
        <is>
          <t>200A¹⁷</t>
        </is>
      </c>
      <c r="B5281" t="inlineStr"/>
      <c r="C5281" t="inlineStr">
        <is>
          <t>240</t>
        </is>
      </c>
      <c r="D5281" t="inlineStr">
        <is>
          <t>2</t>
        </is>
      </c>
      <c r="E5281" t="inlineStr">
        <is>
          <t>120</t>
        </is>
      </c>
      <c r="F5281" t="inlineStr">
        <is>
          <t>4</t>
        </is>
      </c>
      <c r="G5281" t="inlineStr">
        <is>
          <t>0</t>
        </is>
      </c>
      <c r="H5281" t="inlineStr">
        <is>
          <t>8⁵, 200¹</t>
        </is>
      </c>
      <c r="I5281" t="n">
        <v>6</v>
      </c>
      <c r="J5281" t="inlineStr">
        <is>
          <t>4⁴, 16⁴, 80²</t>
        </is>
      </c>
      <c r="K5281">
        <f>HYPERLINK("CSG3.html#group40A3", "40A³"), =HYPERLINK("CSG7.html#group100A7", "100A⁷")</f>
        <v/>
      </c>
      <c r="L5281" t="inlineStr"/>
      <c r="M5281">
        <f>HYPERLINK("CSG0.html#group25A0", "25A⁰"), =HYPERLINK("CSG0.html#group5B0", "5B⁰"), =HYPERLINK("CSG7.html#group100A7", "100A⁷"), =HYPERLINK("CSG3.html#group40A3", "40A³"), =HYPERLINK("CSG0.html#group1A0", "1A⁰"), =HYPERLINK("CSG0.html#group4A0", "4A⁰"), =HYPERLINK("CSG1.html#group20B1", "20B¹")</f>
        <v/>
      </c>
      <c r="N5281" t="inlineStr"/>
    </row>
    <row r="5282">
      <c r="A5282" t="inlineStr">
        <is>
          <t>200B¹⁷</t>
        </is>
      </c>
      <c r="B5282" t="inlineStr"/>
      <c r="C5282" t="inlineStr">
        <is>
          <t>240</t>
        </is>
      </c>
      <c r="D5282" t="inlineStr">
        <is>
          <t>2</t>
        </is>
      </c>
      <c r="E5282" t="inlineStr">
        <is>
          <t>120</t>
        </is>
      </c>
      <c r="F5282" t="inlineStr">
        <is>
          <t>4</t>
        </is>
      </c>
      <c r="G5282" t="inlineStr">
        <is>
          <t>0</t>
        </is>
      </c>
      <c r="H5282" t="inlineStr">
        <is>
          <t>8⁵, 200¹</t>
        </is>
      </c>
      <c r="I5282" t="n">
        <v>6</v>
      </c>
      <c r="J5282" t="inlineStr">
        <is>
          <t>4⁴, 16⁴, 80²</t>
        </is>
      </c>
      <c r="K5282">
        <f>HYPERLINK("CSG3.html#group40B3", "40B³"), =HYPERLINK("CSG7.html#group100A7", "100A⁷")</f>
        <v/>
      </c>
      <c r="L5282" t="inlineStr"/>
      <c r="M5282">
        <f>HYPERLINK("CSG7.html#group100A7", "100A⁷"), =HYPERLINK("CSG0.html#group4A0", "4A⁰"), =HYPERLINK("CSG3.html#group40B3", "40B³"), =HYPERLINK("CSG0.html#group25A0", "25A⁰"), =HYPERLINK("CSG0.html#group5B0", "5B⁰"), =HYPERLINK("CSG0.html#group8A0", "8A⁰"), =HYPERLINK("CSG0.html#group1A0", "1A⁰"), =HYPERLINK("CSG1.html#group20B1", "20B¹")</f>
        <v/>
      </c>
      <c r="N5282" t="inlineStr"/>
    </row>
    <row r="5283">
      <c r="A5283" t="inlineStr">
        <is>
          <t>201A¹⁷</t>
        </is>
      </c>
      <c r="B5283" t="inlineStr"/>
      <c r="C5283" t="inlineStr">
        <is>
          <t>204</t>
        </is>
      </c>
      <c r="D5283" t="inlineStr">
        <is>
          <t>1</t>
        </is>
      </c>
      <c r="E5283" t="inlineStr">
        <is>
          <t>68</t>
        </is>
      </c>
      <c r="F5283" t="inlineStr">
        <is>
          <t>0</t>
        </is>
      </c>
      <c r="G5283" t="inlineStr">
        <is>
          <t>0</t>
        </is>
      </c>
      <c r="H5283" t="inlineStr">
        <is>
          <t>3¹, 201¹</t>
        </is>
      </c>
      <c r="I5283" t="n">
        <v>2</v>
      </c>
      <c r="J5283" t="inlineStr">
        <is>
          <t>1², 66¹</t>
        </is>
      </c>
      <c r="K5283">
        <f>HYPERLINK("CSG0.html#group3A0", "3A⁰"), =HYPERLINK("CSG5.html#group67A5", "67A⁵")</f>
        <v/>
      </c>
      <c r="L5283" t="inlineStr"/>
      <c r="M5283">
        <f>HYPERLINK("CSG0.html#group3A0", "3A⁰"), =HYPERLINK("CSG0.html#group1A0", "1A⁰"), =HYPERLINK("CSG5.html#group67A5", "67A⁵")</f>
        <v/>
      </c>
      <c r="N5283" t="inlineStr"/>
    </row>
    <row r="5284">
      <c r="A5284" t="inlineStr">
        <is>
          <t>202A¹⁷</t>
        </is>
      </c>
      <c r="B5284" t="inlineStr"/>
      <c r="C5284" t="inlineStr">
        <is>
          <t>204</t>
        </is>
      </c>
      <c r="D5284" t="inlineStr">
        <is>
          <t>1</t>
        </is>
      </c>
      <c r="E5284" t="inlineStr">
        <is>
          <t>102</t>
        </is>
      </c>
      <c r="F5284" t="inlineStr">
        <is>
          <t>0</t>
        </is>
      </c>
      <c r="G5284" t="inlineStr">
        <is>
          <t>0</t>
        </is>
      </c>
      <c r="H5284" t="inlineStr">
        <is>
          <t>2¹, 202¹</t>
        </is>
      </c>
      <c r="I5284" t="n">
        <v>2</v>
      </c>
      <c r="J5284" t="inlineStr">
        <is>
          <t>1², 100¹</t>
        </is>
      </c>
      <c r="K5284">
        <f>HYPERLINK("CSG0.html#group2A0", "2A⁰"), =HYPERLINK("CSG8.html#group101A8", "101A⁸")</f>
        <v/>
      </c>
      <c r="L5284" t="inlineStr"/>
      <c r="M5284">
        <f>HYPERLINK("CSG0.html#group2A0", "2A⁰"), =HYPERLINK("CSG0.html#group1A0", "1A⁰"), =HYPERLINK("CSG8.html#group101A8", "101A⁸")</f>
        <v/>
      </c>
      <c r="N5284" t="inlineStr"/>
    </row>
    <row r="5285">
      <c r="A5285" t="inlineStr">
        <is>
          <t>205A¹⁷</t>
        </is>
      </c>
      <c r="B5285" t="inlineStr"/>
      <c r="C5285" t="inlineStr">
        <is>
          <t>210</t>
        </is>
      </c>
      <c r="D5285" t="inlineStr">
        <is>
          <t>1</t>
        </is>
      </c>
      <c r="E5285" t="inlineStr">
        <is>
          <t>210</t>
        </is>
      </c>
      <c r="F5285" t="inlineStr">
        <is>
          <t>2</t>
        </is>
      </c>
      <c r="G5285" t="inlineStr">
        <is>
          <t>0</t>
        </is>
      </c>
      <c r="H5285" t="inlineStr">
        <is>
          <t>5¹, 205¹</t>
        </is>
      </c>
      <c r="I5285" t="n">
        <v>2</v>
      </c>
      <c r="J5285" t="inlineStr">
        <is>
          <t>1², 4², 40¹, 160¹</t>
        </is>
      </c>
      <c r="K5285">
        <f>HYPERLINK("CSG0.html#group5A0", "5A⁰"), =HYPERLINK("CSG3.html#group41A3", "41A³")</f>
        <v/>
      </c>
      <c r="L5285" t="inlineStr"/>
      <c r="M5285">
        <f>HYPERLINK("CSG0.html#group1A0", "1A⁰"), =HYPERLINK("CSG0.html#group5A0", "5A⁰"), =HYPERLINK("CSG3.html#group41A3", "41A³")</f>
        <v/>
      </c>
      <c r="N5285" t="inlineStr"/>
    </row>
    <row r="5286">
      <c r="A5286" t="inlineStr">
        <is>
          <t>209A¹⁷</t>
        </is>
      </c>
      <c r="B5286" t="inlineStr"/>
      <c r="C5286" t="inlineStr">
        <is>
          <t>220</t>
        </is>
      </c>
      <c r="D5286" t="inlineStr">
        <is>
          <t>2</t>
        </is>
      </c>
      <c r="E5286" t="inlineStr">
        <is>
          <t>220</t>
        </is>
      </c>
      <c r="F5286" t="inlineStr">
        <is>
          <t>0</t>
        </is>
      </c>
      <c r="G5286" t="inlineStr">
        <is>
          <t>4</t>
        </is>
      </c>
      <c r="H5286" t="inlineStr">
        <is>
          <t>11¹, 209¹</t>
        </is>
      </c>
      <c r="I5286" t="n">
        <v>2</v>
      </c>
      <c r="J5286" t="inlineStr">
        <is>
          <t>2², 10⁴, 36¹, 180²</t>
        </is>
      </c>
      <c r="K5286">
        <f>HYPERLINK("CSG0.html#group11A0", "11A⁰"), =HYPERLINK("CSG1.html#group19A1", "19A¹")</f>
        <v/>
      </c>
      <c r="L5286" t="inlineStr"/>
      <c r="M5286">
        <f>HYPERLINK("CSG0.html#group11A0", "11A⁰"), =HYPERLINK("CSG1.html#group19A1", "19A¹"), =HYPERLINK("CSG0.html#group1A0", "1A⁰")</f>
        <v/>
      </c>
      <c r="N5286" t="inlineStr"/>
    </row>
    <row r="5287">
      <c r="A5287" t="inlineStr">
        <is>
          <t>210A¹⁷</t>
        </is>
      </c>
      <c r="B5287" t="inlineStr"/>
      <c r="C5287" t="inlineStr">
        <is>
          <t>210</t>
        </is>
      </c>
      <c r="D5287" t="inlineStr">
        <is>
          <t>2</t>
        </is>
      </c>
      <c r="E5287" t="inlineStr">
        <is>
          <t>70</t>
        </is>
      </c>
      <c r="F5287" t="inlineStr">
        <is>
          <t>0</t>
        </is>
      </c>
      <c r="G5287" t="inlineStr">
        <is>
          <t>3</t>
        </is>
      </c>
      <c r="H5287" t="inlineStr">
        <is>
          <t>210¹</t>
        </is>
      </c>
      <c r="I5287" t="n">
        <v>1</v>
      </c>
      <c r="J5287" t="inlineStr">
        <is>
          <t>8¹, 16², 24², 48⁴</t>
        </is>
      </c>
      <c r="K5287">
        <f>HYPERLINK("CSG2.html#group30B2", "30B²"), =HYPERLINK("CSG5.html#group70A5", "70A⁵")</f>
        <v/>
      </c>
      <c r="L5287" t="inlineStr"/>
      <c r="M5287">
        <f>HYPERLINK("CSG0.html#group2A0", "2A⁰"), =HYPERLINK("CSG2.html#group30B2", "30B²"), =HYPERLINK("CSG0.html#group5A0", "5A⁰"), =HYPERLINK("CSG0.html#group10A0", "10A⁰"), =HYPERLINK("CSG1.html#group14A1", "14A¹"), =HYPERLINK("CSG5.html#group70A5", "70A⁵"), =HYPERLINK("CSG0.html#group1A0", "1A⁰"), =HYPERLINK("CSG2.html#group35A2", "35A²"), =HYPERLINK("CSG0.html#group7A0", "7A⁰")</f>
        <v/>
      </c>
      <c r="N5287" t="inlineStr"/>
    </row>
    <row r="5288">
      <c r="A5288" t="inlineStr">
        <is>
          <t>210B¹⁷</t>
        </is>
      </c>
      <c r="B5288" t="inlineStr"/>
      <c r="C5288" t="inlineStr">
        <is>
          <t>210</t>
        </is>
      </c>
      <c r="D5288" t="inlineStr">
        <is>
          <t>2</t>
        </is>
      </c>
      <c r="E5288" t="inlineStr">
        <is>
          <t>70</t>
        </is>
      </c>
      <c r="F5288" t="inlineStr">
        <is>
          <t>0</t>
        </is>
      </c>
      <c r="G5288" t="inlineStr">
        <is>
          <t>3</t>
        </is>
      </c>
      <c r="H5288" t="inlineStr">
        <is>
          <t>210¹</t>
        </is>
      </c>
      <c r="I5288" t="n">
        <v>1</v>
      </c>
      <c r="J5288" t="inlineStr">
        <is>
          <t>8¹, 16², 24², 48⁴</t>
        </is>
      </c>
      <c r="K5288">
        <f>HYPERLINK("CSG2.html#group30B2", "30B²"), =HYPERLINK("CSG5.html#group70A5", "70A⁵")</f>
        <v/>
      </c>
      <c r="L5288" t="inlineStr"/>
      <c r="M5288">
        <f>HYPERLINK("CSG0.html#group2A0", "2A⁰"), =HYPERLINK("CSG2.html#group30B2", "30B²"), =HYPERLINK("CSG0.html#group5A0", "5A⁰"), =HYPERLINK("CSG0.html#group10A0", "10A⁰"), =HYPERLINK("CSG1.html#group14A1", "14A¹"), =HYPERLINK("CSG5.html#group70A5", "70A⁵"), =HYPERLINK("CSG0.html#group1A0", "1A⁰"), =HYPERLINK("CSG2.html#group35A2", "35A²"), =HYPERLINK("CSG0.html#group7A0", "7A⁰")</f>
        <v/>
      </c>
      <c r="N5288" t="inlineStr"/>
    </row>
    <row r="5289">
      <c r="A5289" t="inlineStr">
        <is>
          <t>210C¹⁷</t>
        </is>
      </c>
      <c r="B5289" t="inlineStr"/>
      <c r="C5289" t="inlineStr">
        <is>
          <t>240</t>
        </is>
      </c>
      <c r="D5289" t="inlineStr">
        <is>
          <t>2</t>
        </is>
      </c>
      <c r="E5289" t="inlineStr">
        <is>
          <t>80</t>
        </is>
      </c>
      <c r="F5289" t="inlineStr">
        <is>
          <t>0</t>
        </is>
      </c>
      <c r="G5289" t="inlineStr">
        <is>
          <t>9</t>
        </is>
      </c>
      <c r="H5289" t="inlineStr">
        <is>
          <t>30¹, 210¹</t>
        </is>
      </c>
      <c r="I5289" t="n">
        <v>2</v>
      </c>
      <c r="J5289" t="inlineStr">
        <is>
          <t>4⁴, 8⁸, 24², 48⁴</t>
        </is>
      </c>
      <c r="K5289">
        <f>HYPERLINK("CSG4.html#group70B4", "70B⁴")</f>
        <v/>
      </c>
      <c r="L5289" t="inlineStr"/>
      <c r="M5289">
        <f>HYPERLINK("CSG0.html#group2A0", "2A⁰"), =HYPERLINK("CSG0.html#group5A0", "5A⁰"), =HYPERLINK("CSG0.html#group10A0", "10A⁰"), =HYPERLINK("CSG4.html#group70B4", "70B⁴"), =HYPERLINK("CSG0.html#group7B0", "7B⁰"), =HYPERLINK("CSG0.html#group14B0", "14B⁰"), =HYPERLINK("CSG2.html#group35B2", "35B²"), =HYPERLINK("CSG0.html#group1A0", "1A⁰")</f>
        <v/>
      </c>
      <c r="N5289" t="inlineStr"/>
    </row>
    <row r="5290">
      <c r="A5290" t="inlineStr">
        <is>
          <t>210D¹⁷</t>
        </is>
      </c>
      <c r="B5290" t="inlineStr"/>
      <c r="C5290" t="inlineStr">
        <is>
          <t>240</t>
        </is>
      </c>
      <c r="D5290" t="inlineStr">
        <is>
          <t>2</t>
        </is>
      </c>
      <c r="E5290" t="inlineStr">
        <is>
          <t>80</t>
        </is>
      </c>
      <c r="F5290" t="inlineStr">
        <is>
          <t>0</t>
        </is>
      </c>
      <c r="G5290" t="inlineStr">
        <is>
          <t>9</t>
        </is>
      </c>
      <c r="H5290" t="inlineStr">
        <is>
          <t>30¹, 210¹</t>
        </is>
      </c>
      <c r="I5290" t="n">
        <v>2</v>
      </c>
      <c r="J5290" t="inlineStr">
        <is>
          <t>4⁴, 8⁸, 24², 48⁴</t>
        </is>
      </c>
      <c r="K5290">
        <f>HYPERLINK("CSG4.html#group70B4", "70B⁴")</f>
        <v/>
      </c>
      <c r="L5290" t="inlineStr"/>
      <c r="M5290">
        <f>HYPERLINK("CSG0.html#group2A0", "2A⁰"), =HYPERLINK("CSG0.html#group5A0", "5A⁰"), =HYPERLINK("CSG0.html#group10A0", "10A⁰"), =HYPERLINK("CSG4.html#group70B4", "70B⁴"), =HYPERLINK("CSG0.html#group7B0", "7B⁰"), =HYPERLINK("CSG0.html#group14B0", "14B⁰"), =HYPERLINK("CSG2.html#group35B2", "35B²"), =HYPERLINK("CSG0.html#group1A0", "1A⁰")</f>
        <v/>
      </c>
      <c r="N5290" t="inlineStr"/>
    </row>
    <row r="5291">
      <c r="A5291" t="inlineStr">
        <is>
          <t>210E¹⁷</t>
        </is>
      </c>
      <c r="B5291" t="inlineStr"/>
      <c r="C5291" t="inlineStr">
        <is>
          <t>252</t>
        </is>
      </c>
      <c r="D5291" t="inlineStr">
        <is>
          <t>2</t>
        </is>
      </c>
      <c r="E5291" t="inlineStr">
        <is>
          <t>126</t>
        </is>
      </c>
      <c r="F5291" t="inlineStr">
        <is>
          <t>16</t>
        </is>
      </c>
      <c r="G5291" t="inlineStr">
        <is>
          <t>0</t>
        </is>
      </c>
      <c r="H5291" t="inlineStr">
        <is>
          <t>42¹, 210¹</t>
        </is>
      </c>
      <c r="I5291" t="n">
        <v>2</v>
      </c>
      <c r="J5291" t="inlineStr">
        <is>
          <t>2², 4², 6⁴, 8¹, 12⁴, 16¹, 24², 48²</t>
        </is>
      </c>
      <c r="K5291">
        <f>HYPERLINK("CSG2.html#group42A2", "42A²"), =HYPERLINK("CSG6.html#group105C6", "105C⁶")</f>
        <v/>
      </c>
      <c r="L5291" t="inlineStr"/>
      <c r="M5291">
        <f>HYPERLINK("CSG2.html#group35C2", "35C²"), =HYPERLINK("CSG0.html#group15B0", "15B⁰"), =HYPERLINK("CSG2.html#group42A2", "42A²"), =HYPERLINK("CSG6.html#group105C6", "105C⁶"), =HYPERLINK("CSG0.html#group5B0", "5B⁰"), =HYPERLINK("CSG0.html#group21A0", "21A⁰"), =HYPERLINK("CSG0.html#group3A0", "3A⁰"), =HYPERLINK("CSG0.html#group1A0", "1A⁰"), =HYPERLINK("CSG0.html#group7A0", "7A⁰")</f>
        <v/>
      </c>
      <c r="N5291" t="inlineStr"/>
    </row>
    <row r="5292">
      <c r="A5292" t="inlineStr">
        <is>
          <t>211A¹⁷</t>
        </is>
      </c>
      <c r="B5292" t="inlineStr">
        <is>
          <t>Γ₀(211)</t>
        </is>
      </c>
      <c r="C5292" t="inlineStr">
        <is>
          <t>212</t>
        </is>
      </c>
      <c r="D5292" t="inlineStr">
        <is>
          <t>1</t>
        </is>
      </c>
      <c r="E5292" t="inlineStr">
        <is>
          <t>212</t>
        </is>
      </c>
      <c r="F5292" t="inlineStr">
        <is>
          <t>0</t>
        </is>
      </c>
      <c r="G5292" t="inlineStr">
        <is>
          <t>2</t>
        </is>
      </c>
      <c r="H5292" t="inlineStr">
        <is>
          <t>1¹, 211¹</t>
        </is>
      </c>
      <c r="I5292" t="n">
        <v>2</v>
      </c>
      <c r="J5292" t="inlineStr">
        <is>
          <t>1², 210¹</t>
        </is>
      </c>
      <c r="K5292">
        <f>HYPERLINK("CSG0.html#group1A0", "1A⁰")</f>
        <v/>
      </c>
      <c r="L5292" t="inlineStr"/>
      <c r="M5292">
        <f>HYPERLINK("CSG0.html#group1A0", "1A⁰")</f>
        <v/>
      </c>
      <c r="N5292" t="inlineStr"/>
    </row>
    <row r="5293">
      <c r="A5293" t="inlineStr">
        <is>
          <t>212A¹⁷</t>
        </is>
      </c>
      <c r="B5293" t="inlineStr"/>
      <c r="C5293" t="inlineStr">
        <is>
          <t>216</t>
        </is>
      </c>
      <c r="D5293" t="inlineStr">
        <is>
          <t>1</t>
        </is>
      </c>
      <c r="E5293" t="inlineStr">
        <is>
          <t>216</t>
        </is>
      </c>
      <c r="F5293" t="inlineStr">
        <is>
          <t>4</t>
        </is>
      </c>
      <c r="G5293" t="inlineStr">
        <is>
          <t>0</t>
        </is>
      </c>
      <c r="H5293" t="inlineStr">
        <is>
          <t>4¹, 212¹</t>
        </is>
      </c>
      <c r="I5293" t="n">
        <v>2</v>
      </c>
      <c r="J5293" t="inlineStr">
        <is>
          <t>2⁴, 104²</t>
        </is>
      </c>
      <c r="K5293">
        <f>HYPERLINK("CSG0.html#group4A0", "4A⁰"), =HYPERLINK("CSG4.html#group53A4", "53A⁴")</f>
        <v/>
      </c>
      <c r="L5293" t="inlineStr"/>
      <c r="M5293">
        <f>HYPERLINK("CSG0.html#group1A0", "1A⁰"), =HYPERLINK("CSG0.html#group4A0", "4A⁰"), =HYPERLINK("CSG4.html#group53A4", "53A⁴")</f>
        <v/>
      </c>
      <c r="N5293" t="inlineStr"/>
    </row>
    <row r="5294">
      <c r="A5294" t="inlineStr">
        <is>
          <t>212B¹⁷</t>
        </is>
      </c>
      <c r="B5294" t="inlineStr"/>
      <c r="C5294" t="inlineStr">
        <is>
          <t>216</t>
        </is>
      </c>
      <c r="D5294" t="inlineStr">
        <is>
          <t>2</t>
        </is>
      </c>
      <c r="E5294" t="inlineStr">
        <is>
          <t>54</t>
        </is>
      </c>
      <c r="F5294" t="inlineStr">
        <is>
          <t>4</t>
        </is>
      </c>
      <c r="G5294" t="inlineStr">
        <is>
          <t>0</t>
        </is>
      </c>
      <c r="H5294" t="inlineStr">
        <is>
          <t>4¹, 212¹</t>
        </is>
      </c>
      <c r="I5294" t="n">
        <v>2</v>
      </c>
      <c r="J5294" t="inlineStr">
        <is>
          <t>2², 104¹</t>
        </is>
      </c>
      <c r="K5294">
        <f>HYPERLINK("CSG8.html#group106A8", "106A⁸")</f>
        <v/>
      </c>
      <c r="L5294" t="inlineStr"/>
      <c r="M5294">
        <f>HYPERLINK("CSG0.html#group1A0", "1A⁰"), =HYPERLINK("CSG4.html#group53A4", "53A⁴"), =HYPERLINK("CSG8.html#group106A8", "106A⁸")</f>
        <v/>
      </c>
      <c r="N5294" t="inlineStr"/>
    </row>
    <row r="5295">
      <c r="A5295" t="inlineStr">
        <is>
          <t>215A¹⁷</t>
        </is>
      </c>
      <c r="B5295" t="inlineStr"/>
      <c r="C5295" t="inlineStr">
        <is>
          <t>220</t>
        </is>
      </c>
      <c r="D5295" t="inlineStr">
        <is>
          <t>1</t>
        </is>
      </c>
      <c r="E5295" t="inlineStr">
        <is>
          <t>220</t>
        </is>
      </c>
      <c r="F5295" t="inlineStr">
        <is>
          <t>0</t>
        </is>
      </c>
      <c r="G5295" t="inlineStr">
        <is>
          <t>4</t>
        </is>
      </c>
      <c r="H5295" t="inlineStr">
        <is>
          <t>5¹, 215¹</t>
        </is>
      </c>
      <c r="I5295" t="n">
        <v>2</v>
      </c>
      <c r="J5295" t="inlineStr">
        <is>
          <t>1², 4², 42¹, 168¹</t>
        </is>
      </c>
      <c r="K5295">
        <f>HYPERLINK("CSG0.html#group5A0", "5A⁰"), =HYPERLINK("CSG3.html#group43A3", "43A³")</f>
        <v/>
      </c>
      <c r="L5295" t="inlineStr"/>
      <c r="M5295">
        <f>HYPERLINK("CSG3.html#group43A3", "43A³"), =HYPERLINK("CSG0.html#group1A0", "1A⁰"), =HYPERLINK("CSG0.html#group5A0", "5A⁰")</f>
        <v/>
      </c>
      <c r="N5295" t="inlineStr"/>
    </row>
    <row r="5296">
      <c r="A5296" t="inlineStr">
        <is>
          <t>216A¹⁷</t>
        </is>
      </c>
      <c r="B5296" t="inlineStr"/>
      <c r="C5296" t="inlineStr">
        <is>
          <t>432</t>
        </is>
      </c>
      <c r="D5296" t="inlineStr">
        <is>
          <t>1</t>
        </is>
      </c>
      <c r="E5296" t="inlineStr">
        <is>
          <t>36</t>
        </is>
      </c>
      <c r="F5296" t="inlineStr">
        <is>
          <t>0</t>
        </is>
      </c>
      <c r="G5296" t="inlineStr">
        <is>
          <t>0</t>
        </is>
      </c>
      <c r="H5296" t="inlineStr">
        <is>
          <t>1²⁴, 3⁴, 8⁶, 24¹, 27⁴, 216¹</t>
        </is>
      </c>
      <c r="I5296" t="n">
        <v>40</v>
      </c>
      <c r="J5296" t="inlineStr">
        <is>
          <t>1⁶, 2⁶, 6³</t>
        </is>
      </c>
      <c r="K5296">
        <f>HYPERLINK("CSG3.html#group72A3", "72A³"), =HYPERLINK("CSG7.html#group108A7", "108A⁷")</f>
        <v/>
      </c>
      <c r="L5296" t="inlineStr"/>
      <c r="M5296">
        <f>HYPERLINK("CSG3.html#group72A3", "72A³"), =HYPERLINK("CSG0.html#group3B0", "3B⁰"), =HYPERLINK("CSG0.html#group18E0", "18E⁰"), =HYPERLINK("CSG2.html#group54B2", "54B²"), =HYPERLINK("CSG7.html#group108A7", "108A⁷"), =HYPERLINK("CSG0.html#group24B0", "24B⁰"), =HYPERLINK("CSG0.html#group6F0", "6F⁰"), =HYPERLINK("CSG0.html#group9B0", "9B⁰"), =HYPERLINK("CSG0.html#group27A0", "27A⁰"), =HYPERLINK("CSG0.html#group2B0", "2B⁰"), =HYPERLINK("CSG1.html#group36C1", "36C¹"), =HYPERLINK("CSG0.html#group4B0", "4B⁰"), =HYPERLINK("CSG0.html#group1A0", "1A⁰"), =HYPERLINK("CSG0.html#group12E0", "12E⁰")</f>
        <v/>
      </c>
      <c r="N5296" t="inlineStr"/>
    </row>
    <row r="5297">
      <c r="A5297" t="inlineStr">
        <is>
          <t>218A¹⁷</t>
        </is>
      </c>
      <c r="B5297" t="inlineStr"/>
      <c r="C5297" t="inlineStr">
        <is>
          <t>220</t>
        </is>
      </c>
      <c r="D5297" t="inlineStr">
        <is>
          <t>1</t>
        </is>
      </c>
      <c r="E5297" t="inlineStr">
        <is>
          <t>110</t>
        </is>
      </c>
      <c r="F5297" t="inlineStr">
        <is>
          <t>0</t>
        </is>
      </c>
      <c r="G5297" t="inlineStr">
        <is>
          <t>4</t>
        </is>
      </c>
      <c r="H5297" t="inlineStr">
        <is>
          <t>2¹, 218¹</t>
        </is>
      </c>
      <c r="I5297" t="n">
        <v>2</v>
      </c>
      <c r="J5297" t="inlineStr">
        <is>
          <t>1², 108¹</t>
        </is>
      </c>
      <c r="K5297">
        <f>HYPERLINK("CSG0.html#group2A0", "2A⁰"), =HYPERLINK("CSG8.html#group109A8", "109A⁸")</f>
        <v/>
      </c>
      <c r="L5297" t="inlineStr"/>
      <c r="M5297">
        <f>HYPERLINK("CSG0.html#group2A0", "2A⁰"), =HYPERLINK("CSG0.html#group1A0", "1A⁰"), =HYPERLINK("CSG8.html#group109A8", "109A⁸")</f>
        <v/>
      </c>
      <c r="N5297" t="inlineStr"/>
    </row>
    <row r="5298">
      <c r="A5298" t="inlineStr">
        <is>
          <t>219A¹⁷</t>
        </is>
      </c>
      <c r="B5298" t="inlineStr"/>
      <c r="C5298" t="inlineStr">
        <is>
          <t>222</t>
        </is>
      </c>
      <c r="D5298" t="inlineStr">
        <is>
          <t>1</t>
        </is>
      </c>
      <c r="E5298" t="inlineStr">
        <is>
          <t>74</t>
        </is>
      </c>
      <c r="F5298" t="inlineStr">
        <is>
          <t>6</t>
        </is>
      </c>
      <c r="G5298" t="inlineStr">
        <is>
          <t>0</t>
        </is>
      </c>
      <c r="H5298" t="inlineStr">
        <is>
          <t>3¹, 219¹</t>
        </is>
      </c>
      <c r="I5298" t="n">
        <v>2</v>
      </c>
      <c r="J5298" t="inlineStr">
        <is>
          <t>1², 72¹</t>
        </is>
      </c>
      <c r="K5298">
        <f>HYPERLINK("CSG0.html#group3A0", "3A⁰"), =HYPERLINK("CSG5.html#group73A5", "73A⁵")</f>
        <v/>
      </c>
      <c r="L5298" t="inlineStr"/>
      <c r="M5298">
        <f>HYPERLINK("CSG0.html#group3A0", "3A⁰"), =HYPERLINK("CSG0.html#group1A0", "1A⁰"), =HYPERLINK("CSG5.html#group73A5", "73A⁵")</f>
        <v/>
      </c>
      <c r="N5298" t="inlineStr"/>
    </row>
    <row r="5299">
      <c r="A5299" t="inlineStr">
        <is>
          <t>219B¹⁷</t>
        </is>
      </c>
      <c r="B5299" t="inlineStr"/>
      <c r="C5299" t="inlineStr">
        <is>
          <t>222</t>
        </is>
      </c>
      <c r="D5299" t="inlineStr">
        <is>
          <t>2</t>
        </is>
      </c>
      <c r="E5299" t="inlineStr">
        <is>
          <t>74</t>
        </is>
      </c>
      <c r="F5299" t="inlineStr">
        <is>
          <t>6</t>
        </is>
      </c>
      <c r="G5299" t="inlineStr">
        <is>
          <t>0</t>
        </is>
      </c>
      <c r="H5299" t="inlineStr">
        <is>
          <t>3¹, 219¹</t>
        </is>
      </c>
      <c r="I5299" t="n">
        <v>2</v>
      </c>
      <c r="J5299" t="inlineStr">
        <is>
          <t>2², 144¹</t>
        </is>
      </c>
      <c r="K5299">
        <f>HYPERLINK("CSG5.html#group73A5", "73A⁵")</f>
        <v/>
      </c>
      <c r="L5299" t="inlineStr"/>
      <c r="M5299">
        <f>HYPERLINK("CSG0.html#group1A0", "1A⁰"), =HYPERLINK("CSG5.html#group73A5", "73A⁵")</f>
        <v/>
      </c>
      <c r="N5299" t="inlineStr"/>
    </row>
    <row r="5300">
      <c r="A5300" t="inlineStr">
        <is>
          <t>222A¹⁷</t>
        </is>
      </c>
      <c r="B5300" t="inlineStr"/>
      <c r="C5300" t="inlineStr">
        <is>
          <t>228</t>
        </is>
      </c>
      <c r="D5300" t="inlineStr">
        <is>
          <t>1</t>
        </is>
      </c>
      <c r="E5300" t="inlineStr">
        <is>
          <t>76</t>
        </is>
      </c>
      <c r="F5300" t="inlineStr">
        <is>
          <t>0</t>
        </is>
      </c>
      <c r="G5300" t="inlineStr">
        <is>
          <t>6</t>
        </is>
      </c>
      <c r="H5300" t="inlineStr">
        <is>
          <t>6¹, 222¹</t>
        </is>
      </c>
      <c r="I5300" t="n">
        <v>2</v>
      </c>
      <c r="J5300" t="inlineStr">
        <is>
          <t>2², 72¹</t>
        </is>
      </c>
      <c r="K5300">
        <f>HYPERLINK("CSG0.html#group6A0", "6A⁰"), =HYPERLINK("CSG5.html#group74A5", "74A⁵")</f>
        <v/>
      </c>
      <c r="L5300" t="inlineStr"/>
      <c r="M5300">
        <f>HYPERLINK("CSG2.html#group37A2", "37A²"), =HYPERLINK("CSG5.html#group74A5", "74A⁵"), =HYPERLINK("CSG0.html#group2A0", "2A⁰"), =HYPERLINK("CSG0.html#group6A0", "6A⁰"), =HYPERLINK("CSG0.html#group1A0", "1A⁰")</f>
        <v/>
      </c>
      <c r="N5300" t="inlineStr"/>
    </row>
    <row r="5301">
      <c r="A5301" t="inlineStr">
        <is>
          <t>222B¹⁷</t>
        </is>
      </c>
      <c r="B5301" t="inlineStr"/>
      <c r="C5301" t="inlineStr">
        <is>
          <t>228</t>
        </is>
      </c>
      <c r="D5301" t="inlineStr">
        <is>
          <t>1</t>
        </is>
      </c>
      <c r="E5301" t="inlineStr">
        <is>
          <t>114</t>
        </is>
      </c>
      <c r="F5301" t="inlineStr">
        <is>
          <t>8</t>
        </is>
      </c>
      <c r="G5301" t="inlineStr">
        <is>
          <t>0</t>
        </is>
      </c>
      <c r="H5301" t="inlineStr">
        <is>
          <t>6¹, 222¹</t>
        </is>
      </c>
      <c r="I5301" t="n">
        <v>2</v>
      </c>
      <c r="J5301" t="inlineStr">
        <is>
          <t>1², 2², 36¹, 72¹</t>
        </is>
      </c>
      <c r="K5301">
        <f>HYPERLINK("CSG0.html#group6B0", "6B⁰"), =HYPERLINK("CSG8.html#group111A8", "111A⁸")</f>
        <v/>
      </c>
      <c r="L5301" t="inlineStr"/>
      <c r="M5301">
        <f>HYPERLINK("CSG2.html#group37A2", "37A²"), =HYPERLINK("CSG8.html#group111A8", "111A⁸"), =HYPERLINK("CSG0.html#group6B0", "6B⁰"), =HYPERLINK("CSG0.html#group3A0", "3A⁰"), =HYPERLINK("CSG0.html#group1A0", "1A⁰")</f>
        <v/>
      </c>
      <c r="N5301" t="inlineStr"/>
    </row>
    <row r="5302">
      <c r="A5302" t="inlineStr">
        <is>
          <t>222C¹⁷</t>
        </is>
      </c>
      <c r="B5302" t="inlineStr"/>
      <c r="C5302" t="inlineStr">
        <is>
          <t>228</t>
        </is>
      </c>
      <c r="D5302" t="inlineStr">
        <is>
          <t>2</t>
        </is>
      </c>
      <c r="E5302" t="inlineStr">
        <is>
          <t>76</t>
        </is>
      </c>
      <c r="F5302" t="inlineStr">
        <is>
          <t>0</t>
        </is>
      </c>
      <c r="G5302" t="inlineStr">
        <is>
          <t>6</t>
        </is>
      </c>
      <c r="H5302" t="inlineStr">
        <is>
          <t>6¹, 222¹</t>
        </is>
      </c>
      <c r="I5302" t="n">
        <v>2</v>
      </c>
      <c r="J5302" t="inlineStr">
        <is>
          <t>2⁴, 72²</t>
        </is>
      </c>
      <c r="K5302">
        <f>HYPERLINK("CSG5.html#group74A5", "74A⁵")</f>
        <v/>
      </c>
      <c r="L5302" t="inlineStr"/>
      <c r="M5302">
        <f>HYPERLINK("CSG2.html#group37A2", "37A²"), =HYPERLINK("CSG5.html#group74A5", "74A⁵"), =HYPERLINK("CSG0.html#group2A0", "2A⁰"), =HYPERLINK("CSG0.html#group1A0", "1A⁰")</f>
        <v/>
      </c>
      <c r="N5302" t="inlineStr"/>
    </row>
    <row r="5303">
      <c r="A5303" t="inlineStr">
        <is>
          <t>234A¹⁷</t>
        </is>
      </c>
      <c r="B5303" t="inlineStr"/>
      <c r="C5303" t="inlineStr">
        <is>
          <t>252</t>
        </is>
      </c>
      <c r="D5303" t="inlineStr">
        <is>
          <t>2</t>
        </is>
      </c>
      <c r="E5303" t="inlineStr">
        <is>
          <t>126</t>
        </is>
      </c>
      <c r="F5303" t="inlineStr">
        <is>
          <t>16</t>
        </is>
      </c>
      <c r="G5303" t="inlineStr">
        <is>
          <t>0</t>
        </is>
      </c>
      <c r="H5303" t="inlineStr">
        <is>
          <t>18¹, 234¹</t>
        </is>
      </c>
      <c r="I5303" t="n">
        <v>2</v>
      </c>
      <c r="J5303" t="inlineStr">
        <is>
          <t>2⁶, 6⁴, 24³, 72²</t>
        </is>
      </c>
      <c r="K5303">
        <f>HYPERLINK("CSG0.html#group18A0", "18A⁰"), =HYPERLINK("CSG5.html#group78B5", "78B⁵"), =HYPERLINK("CSG8.html#group117A8", "117A⁸")</f>
        <v/>
      </c>
      <c r="L5303" t="inlineStr"/>
      <c r="M5303">
        <f>HYPERLINK("CSG8.html#group117A8", "117A⁸"), =HYPERLINK("CSG2.html#group39A2", "39A²"), =HYPERLINK("CSG0.html#group6B0", "6B⁰"), =HYPERLINK("CSG5.html#group78B5", "78B⁵"), =HYPERLINK("CSG0.html#group9A0", "9A⁰"), =HYPERLINK("CSG0.html#group13A0", "13A⁰"), =HYPERLINK("CSG0.html#group3A0", "3A⁰"), =HYPERLINK("CSG0.html#group1A0", "1A⁰"), =HYPERLINK("CSG0.html#group18A0", "18A⁰")</f>
        <v/>
      </c>
      <c r="N5303" t="inlineStr"/>
    </row>
    <row r="5304">
      <c r="A5304" t="inlineStr">
        <is>
          <t>242A¹⁷</t>
        </is>
      </c>
      <c r="B5304" t="inlineStr"/>
      <c r="C5304" t="inlineStr">
        <is>
          <t>264</t>
        </is>
      </c>
      <c r="D5304" t="inlineStr">
        <is>
          <t>1</t>
        </is>
      </c>
      <c r="E5304" t="inlineStr">
        <is>
          <t>132</t>
        </is>
      </c>
      <c r="F5304" t="inlineStr">
        <is>
          <t>0</t>
        </is>
      </c>
      <c r="G5304" t="inlineStr">
        <is>
          <t>0</t>
        </is>
      </c>
      <c r="H5304" t="inlineStr">
        <is>
          <t>2¹¹, 242¹</t>
        </is>
      </c>
      <c r="I5304" t="n">
        <v>12</v>
      </c>
      <c r="J5304" t="inlineStr">
        <is>
          <t>1², 10², 110¹</t>
        </is>
      </c>
      <c r="K5304">
        <f>HYPERLINK("CSG2.html#group22A2", "22A²"), =HYPERLINK("CSG6.html#group121A6", "121A⁶")</f>
        <v/>
      </c>
      <c r="L5304" t="inlineStr"/>
      <c r="M5304">
        <f>HYPERLINK("CSG0.html#group2A0", "2A⁰"), =HYPERLINK("CSG6.html#group121A6", "121A⁶"), =HYPERLINK("CSG0.html#group1A0", "1A⁰"), =HYPERLINK("CSG1.html#group11A1", "11A¹"), =HYPERLINK("CSG2.html#group22A2", "22A²")</f>
        <v/>
      </c>
      <c r="N5304" t="inlineStr"/>
    </row>
    <row r="5305">
      <c r="A5305" t="inlineStr">
        <is>
          <t>244A¹⁷</t>
        </is>
      </c>
      <c r="B5305" t="inlineStr"/>
      <c r="C5305" t="inlineStr">
        <is>
          <t>248</t>
        </is>
      </c>
      <c r="D5305" t="inlineStr">
        <is>
          <t>2</t>
        </is>
      </c>
      <c r="E5305" t="inlineStr">
        <is>
          <t>62</t>
        </is>
      </c>
      <c r="F5305" t="inlineStr">
        <is>
          <t>4</t>
        </is>
      </c>
      <c r="G5305" t="inlineStr">
        <is>
          <t>8</t>
        </is>
      </c>
      <c r="H5305" t="inlineStr">
        <is>
          <t>4¹, 244¹</t>
        </is>
      </c>
      <c r="I5305" t="n">
        <v>2</v>
      </c>
      <c r="J5305" t="inlineStr">
        <is>
          <t>2², 120¹</t>
        </is>
      </c>
      <c r="K5305">
        <f>HYPERLINK("CSG8.html#group122A8", "122A⁸")</f>
        <v/>
      </c>
      <c r="L5305" t="inlineStr"/>
      <c r="M5305">
        <f>HYPERLINK("CSG8.html#group122A8", "122A⁸"), =HYPERLINK("CSG0.html#group1A0", "1A⁰"), =HYPERLINK("CSG4.html#group61A4", "61A⁴")</f>
        <v/>
      </c>
      <c r="N5305" t="inlineStr"/>
    </row>
    <row r="5306">
      <c r="A5306" t="inlineStr">
        <is>
          <t>260A¹⁷</t>
        </is>
      </c>
      <c r="B5306" t="inlineStr"/>
      <c r="C5306" t="inlineStr">
        <is>
          <t>280</t>
        </is>
      </c>
      <c r="D5306" t="inlineStr">
        <is>
          <t>2</t>
        </is>
      </c>
      <c r="E5306" t="inlineStr">
        <is>
          <t>70</t>
        </is>
      </c>
      <c r="F5306" t="inlineStr">
        <is>
          <t>4</t>
        </is>
      </c>
      <c r="G5306" t="inlineStr">
        <is>
          <t>16</t>
        </is>
      </c>
      <c r="H5306" t="inlineStr">
        <is>
          <t>20¹, 260¹</t>
        </is>
      </c>
      <c r="I5306" t="n">
        <v>2</v>
      </c>
      <c r="J5306" t="inlineStr">
        <is>
          <t>2², 8², 24¹, 96¹</t>
        </is>
      </c>
      <c r="K5306">
        <f>HYPERLINK("CSG1.html#group52A1", "52A¹"), =HYPERLINK("CSG8.html#group130A8", "130A⁸")</f>
        <v/>
      </c>
      <c r="L5306" t="inlineStr"/>
      <c r="M5306">
        <f>HYPERLINK("CSG0.html#group5A0", "5A⁰"), =HYPERLINK("CSG8.html#group130A8", "130A⁸"), =HYPERLINK("CSG0.html#group13A0", "13A⁰"), =HYPERLINK("CSG0.html#group26A0", "26A⁰"), =HYPERLINK("CSG1.html#group52A1", "52A¹"), =HYPERLINK("CSG0.html#group1A0", "1A⁰"), =HYPERLINK("CSG4.html#group65A4", "65A⁴")</f>
        <v/>
      </c>
      <c r="N5306" t="inlineStr"/>
    </row>
    <row r="5307">
      <c r="A5307" t="inlineStr">
        <is>
          <t>289A¹⁷</t>
        </is>
      </c>
      <c r="B5307" t="inlineStr">
        <is>
          <t>Γ₀(289)</t>
        </is>
      </c>
      <c r="C5307" t="inlineStr">
        <is>
          <t>306</t>
        </is>
      </c>
      <c r="D5307" t="inlineStr">
        <is>
          <t>1</t>
        </is>
      </c>
      <c r="E5307" t="inlineStr">
        <is>
          <t>306</t>
        </is>
      </c>
      <c r="F5307" t="inlineStr">
        <is>
          <t>2</t>
        </is>
      </c>
      <c r="G5307" t="inlineStr">
        <is>
          <t>0</t>
        </is>
      </c>
      <c r="H5307" t="inlineStr">
        <is>
          <t>1¹⁷, 289¹</t>
        </is>
      </c>
      <c r="I5307" t="n">
        <v>18</v>
      </c>
      <c r="J5307" t="inlineStr">
        <is>
          <t>1², 16², 272¹</t>
        </is>
      </c>
      <c r="K5307">
        <f>HYPERLINK("CSG1.html#group17A1", "17A¹")</f>
        <v/>
      </c>
      <c r="L5307" t="inlineStr"/>
      <c r="M5307">
        <f>HYPERLINK("CSG0.html#group1A0", "1A⁰"), =HYPERLINK("CSG1.html#group17A1", "17A¹")</f>
        <v/>
      </c>
      <c r="N5307" t="inlineStr"/>
    </row>
    <row r="5308">
      <c r="A5308" t="inlineStr">
        <is>
          <t>18A¹⁸</t>
        </is>
      </c>
      <c r="B5308" t="inlineStr"/>
      <c r="C5308" t="inlineStr">
        <is>
          <t>324</t>
        </is>
      </c>
      <c r="D5308" t="inlineStr">
        <is>
          <t>1</t>
        </is>
      </c>
      <c r="E5308" t="inlineStr">
        <is>
          <t>81</t>
        </is>
      </c>
      <c r="F5308" t="inlineStr">
        <is>
          <t>4</t>
        </is>
      </c>
      <c r="G5308" t="inlineStr">
        <is>
          <t>0</t>
        </is>
      </c>
      <c r="H5308" t="inlineStr">
        <is>
          <t>18¹⁸</t>
        </is>
      </c>
      <c r="I5308" t="n">
        <v>18</v>
      </c>
      <c r="J5308" t="inlineStr">
        <is>
          <t>3³, 6¹²</t>
        </is>
      </c>
      <c r="K5308">
        <f>HYPERLINK("CSG3.html#group18K3", "18K³"), =HYPERLINK("CSG6.html#group18B6", "18B⁶"), =HYPERLINK("CSG6.html#group18C6", "18C⁶"), =HYPERLINK("CSG6.html#group18D6", "18D⁶"), =HYPERLINK("CSG6.html#group18E6", "18E⁶"), =HYPERLINK("CSG8.html#group18A8", "18A⁸"), =HYPERLINK("CSG8.html#group18B8", "18B⁸")</f>
        <v/>
      </c>
      <c r="L5308" t="inlineStr"/>
      <c r="M5308">
        <f>HYPERLINK("CSG2.html#group18K2", "18K²"), =HYPERLINK("CSG1.html#group18B1", "18B¹"), =HYPERLINK("CSG0.html#group6G0", "6G⁰"), =HYPERLINK("CSG0.html#group2B0", "2B⁰"), =HYPERLINK("CSG2.html#group9B2", "9B²"), =HYPERLINK("CSG0.html#group9E0", "9E⁰"), =HYPERLINK("CSG0.html#group1A0", "1A⁰"), =HYPERLINK("CSG1.html#group9B1", "9B¹"), =HYPERLINK("CSG0.html#group18A0", "18A⁰"), =HYPERLINK("CSG2.html#group18L2", "18L²"), =HYPERLINK("CSG3.html#group18D3", "18D³"), =HYPERLINK("CSG0.html#group3C0", "3C⁰"), =HYPERLINK("CSG3.html#group18K3", "18K³"), =HYPERLINK("CSG8.html#group18B8", "18B⁸"), =HYPERLINK("CSG1.html#group18G1", "18G¹"), =HYPERLINK("CSG1.html#group18E1", "18E¹"), =HYPERLINK("CSG0.html#group3A0", "3A⁰"), =HYPERLINK("CSG0.html#group6H0", "6H⁰"), =HYPERLINK("CSG6.html#group18E6", "18E⁶"), =HYPERLINK("CSG0.html#group6B0", "6B⁰"), =HYPERLINK("CSG1.html#group18I1", "18I¹"), =HYPERLINK("CSG6.html#group18B6", "18B⁶"), =HYPERLINK("CSG0.html#group9G0", "9G⁰"), =HYPERLINK("CSG2.html#group18M2", "18M²"), =HYPERLINK("CSG3.html#group18E3", "18E³"), =HYPERLINK("CSG8.html#group18A8", "18A⁸"), =HYPERLINK("CSG6.html#group18C6", "18C⁶"), =HYPERLINK("CSG6.html#group18D6", "18D⁶"), =HYPERLINK("CSG2.html#group18H2", "18H²"), =HYPERLINK("CSG0.html#group6E0", "6E⁰"), =HYPERLINK("CSG0.html#group6L0", "6L⁰"), =HYPERLINK("CSG3.html#group18J3", "18J³"), =HYPERLINK("CSG0.html#group9A0", "9A⁰"), =HYPERLINK("CSG1.html#group18F1", "18F¹"), =HYPERLINK("CSG2.html#group18G2", "18G²"), =HYPERLINK("CSG1.html#group18A1", "18A¹"), =HYPERLINK("CSG0.html#group6D0", "6D⁰")</f>
        <v/>
      </c>
      <c r="N5308" t="inlineStr"/>
    </row>
    <row r="5309">
      <c r="A5309" t="inlineStr">
        <is>
          <t>19A¹⁸</t>
        </is>
      </c>
      <c r="B5309" t="inlineStr"/>
      <c r="C5309" t="inlineStr">
        <is>
          <t>342</t>
        </is>
      </c>
      <c r="D5309" t="inlineStr">
        <is>
          <t>2</t>
        </is>
      </c>
      <c r="E5309" t="inlineStr">
        <is>
          <t>171</t>
        </is>
      </c>
      <c r="F5309" t="inlineStr">
        <is>
          <t>10</t>
        </is>
      </c>
      <c r="G5309" t="inlineStr">
        <is>
          <t>0</t>
        </is>
      </c>
      <c r="H5309" t="inlineStr">
        <is>
          <t>19¹⁸</t>
        </is>
      </c>
      <c r="I5309" t="n">
        <v>18</v>
      </c>
      <c r="J5309" t="inlineStr">
        <is>
          <t>18¹⁹</t>
        </is>
      </c>
      <c r="K5309">
        <f>HYPERLINK("CSG2.html#group19A2", "19A²"), =HYPERLINK("CSG8.html#group19A8", "19A⁸")</f>
        <v/>
      </c>
      <c r="L5309" t="inlineStr"/>
      <c r="M5309">
        <f>HYPERLINK("CSG2.html#group19A2", "19A²"), =HYPERLINK("CSG0.html#group1A0", "1A⁰"), =HYPERLINK("CSG8.html#group19A8", "19A⁸")</f>
        <v/>
      </c>
      <c r="N5309" t="inlineStr"/>
    </row>
    <row r="5310">
      <c r="A5310" t="inlineStr">
        <is>
          <t>22A¹⁸</t>
        </is>
      </c>
      <c r="B5310" t="inlineStr"/>
      <c r="C5310" t="inlineStr">
        <is>
          <t>330</t>
        </is>
      </c>
      <c r="D5310" t="inlineStr">
        <is>
          <t>1</t>
        </is>
      </c>
      <c r="E5310" t="inlineStr">
        <is>
          <t>165</t>
        </is>
      </c>
      <c r="F5310" t="inlineStr">
        <is>
          <t>2</t>
        </is>
      </c>
      <c r="G5310" t="inlineStr">
        <is>
          <t>0</t>
        </is>
      </c>
      <c r="H5310" t="inlineStr">
        <is>
          <t>11¹⁰, 22¹⁰</t>
        </is>
      </c>
      <c r="I5310" t="n">
        <v>20</v>
      </c>
      <c r="J5310" t="inlineStr">
        <is>
          <t>5³, 10¹⁵</t>
        </is>
      </c>
      <c r="K5310">
        <f>HYPERLINK("CSG4.html#group11A4", "11A⁴"), =HYPERLINK("CSG8.html#group22A8", "22A⁸")</f>
        <v/>
      </c>
      <c r="L5310" t="inlineStr"/>
      <c r="M5310">
        <f>HYPERLINK("CSG1.html#group11C1", "11C¹"), =HYPERLINK("CSG0.html#group1A0", "1A⁰"), =HYPERLINK("CSG0.html#group2B0", "2B⁰"), =HYPERLINK("CSG4.html#group11A4", "11A⁴"), =HYPERLINK("CSG8.html#group22A8", "22A⁸")</f>
        <v/>
      </c>
      <c r="N5310" t="inlineStr"/>
    </row>
    <row r="5311">
      <c r="A5311" t="inlineStr">
        <is>
          <t>22B¹⁸</t>
        </is>
      </c>
      <c r="B5311" t="inlineStr"/>
      <c r="C5311" t="inlineStr">
        <is>
          <t>330</t>
        </is>
      </c>
      <c r="D5311" t="inlineStr">
        <is>
          <t>1</t>
        </is>
      </c>
      <c r="E5311" t="inlineStr">
        <is>
          <t>165</t>
        </is>
      </c>
      <c r="F5311" t="inlineStr">
        <is>
          <t>12</t>
        </is>
      </c>
      <c r="G5311" t="inlineStr">
        <is>
          <t>0</t>
        </is>
      </c>
      <c r="H5311" t="inlineStr">
        <is>
          <t>22¹⁵</t>
        </is>
      </c>
      <c r="I5311" t="n">
        <v>15</v>
      </c>
      <c r="J5311" t="inlineStr">
        <is>
          <t>5¹, 10¹⁶</t>
        </is>
      </c>
      <c r="K5311">
        <f>HYPERLINK("CSG4.html#group22B4", "22B⁴"), =HYPERLINK("CSG5.html#group11A5", "11A⁵"), =HYPERLINK("CSG5.html#group22C5", "22C⁵")</f>
        <v/>
      </c>
      <c r="L5311" t="inlineStr"/>
      <c r="M5311">
        <f>HYPERLINK("CSG0.html#group11A0", "11A⁰"), =HYPERLINK("CSG1.html#group11C1", "11C¹"), =HYPERLINK("CSG5.html#group22C5", "22C⁵"), =HYPERLINK("CSG5.html#group11A5", "11A⁵"), =HYPERLINK("CSG4.html#group22B4", "22B⁴"), =HYPERLINK("CSG1.html#group11B1", "11B¹"), =HYPERLINK("CSG0.html#group1A0", "1A⁰")</f>
        <v/>
      </c>
      <c r="N5311" t="inlineStr"/>
    </row>
    <row r="5312">
      <c r="A5312" t="inlineStr">
        <is>
          <t>22C¹⁸</t>
        </is>
      </c>
      <c r="B5312" t="inlineStr"/>
      <c r="C5312" t="inlineStr">
        <is>
          <t>330</t>
        </is>
      </c>
      <c r="D5312" t="inlineStr">
        <is>
          <t>1</t>
        </is>
      </c>
      <c r="E5312" t="inlineStr">
        <is>
          <t>165</t>
        </is>
      </c>
      <c r="F5312" t="inlineStr">
        <is>
          <t>12</t>
        </is>
      </c>
      <c r="G5312" t="inlineStr">
        <is>
          <t>0</t>
        </is>
      </c>
      <c r="H5312" t="inlineStr">
        <is>
          <t>22¹⁵</t>
        </is>
      </c>
      <c r="I5312" t="n">
        <v>15</v>
      </c>
      <c r="J5312" t="inlineStr">
        <is>
          <t>5³, 10¹⁵</t>
        </is>
      </c>
      <c r="K5312">
        <f>HYPERLINK("CSG4.html#group22B4", "22B⁴"), =HYPERLINK("CSG8.html#group22A8", "22A⁸")</f>
        <v/>
      </c>
      <c r="L5312" t="inlineStr"/>
      <c r="M5312">
        <f>HYPERLINK("CSG1.html#group11C1", "11C¹"), =HYPERLINK("CSG0.html#group2B0", "2B⁰"), =HYPERLINK("CSG0.html#group1A0", "1A⁰"), =HYPERLINK("CSG8.html#group22A8", "22A⁸"), =HYPERLINK("CSG4.html#group22B4", "22B⁴")</f>
        <v/>
      </c>
      <c r="N5312" t="inlineStr"/>
    </row>
    <row r="5313">
      <c r="A5313" t="inlineStr">
        <is>
          <t>27A¹⁸</t>
        </is>
      </c>
      <c r="B5313" t="inlineStr"/>
      <c r="C5313" t="inlineStr">
        <is>
          <t>324</t>
        </is>
      </c>
      <c r="D5313" t="inlineStr">
        <is>
          <t>1</t>
        </is>
      </c>
      <c r="E5313" t="inlineStr">
        <is>
          <t>108</t>
        </is>
      </c>
      <c r="F5313" t="inlineStr">
        <is>
          <t>0</t>
        </is>
      </c>
      <c r="G5313" t="inlineStr">
        <is>
          <t>3</t>
        </is>
      </c>
      <c r="H5313" t="inlineStr">
        <is>
          <t>9⁹, 27⁹</t>
        </is>
      </c>
      <c r="I5313" t="n">
        <v>18</v>
      </c>
      <c r="J5313" t="inlineStr">
        <is>
          <t>3², 6⁸, 18³</t>
        </is>
      </c>
      <c r="K5313">
        <f>HYPERLINK("CSG6.html#group27A6", "27A⁶")</f>
        <v/>
      </c>
      <c r="L5313" t="inlineStr"/>
      <c r="M5313">
        <f>HYPERLINK("CSG0.html#group3B0", "3B⁰"), =HYPERLINK("CSG0.html#group9J0", "9J⁰"), =HYPERLINK("CSG0.html#group9C0", "9C⁰"), =HYPERLINK("CSG0.html#group1A0", "1A⁰"), =HYPERLINK("CSG6.html#group27A6", "27A⁶")</f>
        <v/>
      </c>
      <c r="N5313" t="inlineStr"/>
    </row>
    <row r="5314">
      <c r="A5314" t="inlineStr">
        <is>
          <t>27B¹⁸</t>
        </is>
      </c>
      <c r="B5314" t="inlineStr"/>
      <c r="C5314" t="inlineStr">
        <is>
          <t>324</t>
        </is>
      </c>
      <c r="D5314" t="inlineStr">
        <is>
          <t>2</t>
        </is>
      </c>
      <c r="E5314" t="inlineStr">
        <is>
          <t>108</t>
        </is>
      </c>
      <c r="F5314" t="inlineStr">
        <is>
          <t>0</t>
        </is>
      </c>
      <c r="G5314" t="inlineStr">
        <is>
          <t>3</t>
        </is>
      </c>
      <c r="H5314" t="inlineStr">
        <is>
          <t>9⁹, 27⁹</t>
        </is>
      </c>
      <c r="I5314" t="n">
        <v>18</v>
      </c>
      <c r="J5314" t="inlineStr">
        <is>
          <t>6¹⁸, 18⁶</t>
        </is>
      </c>
      <c r="K5314">
        <f>HYPERLINK("CSG6.html#group27A6", "27A⁶")</f>
        <v/>
      </c>
      <c r="L5314" t="inlineStr"/>
      <c r="M5314">
        <f>HYPERLINK("CSG0.html#group3B0", "3B⁰"), =HYPERLINK("CSG0.html#group9J0", "9J⁰"), =HYPERLINK("CSG0.html#group9C0", "9C⁰"), =HYPERLINK("CSG0.html#group1A0", "1A⁰"), =HYPERLINK("CSG6.html#group27A6", "27A⁶")</f>
        <v/>
      </c>
      <c r="N5314" t="inlineStr"/>
    </row>
    <row r="5315">
      <c r="A5315" t="inlineStr">
        <is>
          <t>32A¹⁸</t>
        </is>
      </c>
      <c r="B5315" t="inlineStr"/>
      <c r="C5315" t="inlineStr">
        <is>
          <t>384</t>
        </is>
      </c>
      <c r="D5315" t="inlineStr">
        <is>
          <t>1</t>
        </is>
      </c>
      <c r="E5315" t="inlineStr">
        <is>
          <t>96</t>
        </is>
      </c>
      <c r="F5315" t="inlineStr">
        <is>
          <t>4</t>
        </is>
      </c>
      <c r="G5315" t="inlineStr">
        <is>
          <t>0</t>
        </is>
      </c>
      <c r="H5315" t="inlineStr">
        <is>
          <t>8¹⁶, 16⁸, 32⁴</t>
        </is>
      </c>
      <c r="I5315" t="n">
        <v>28</v>
      </c>
      <c r="J5315" t="inlineStr">
        <is>
          <t>8⁴, 16¹⁰</t>
        </is>
      </c>
      <c r="K5315">
        <f>HYPERLINK("CSG6.html#group16C6", "16C⁶"), =HYPERLINK("CSG9.html#group32Q9", "32Q⁹")</f>
        <v/>
      </c>
      <c r="L5315" t="inlineStr"/>
      <c r="M5315">
        <f>HYPERLINK("CSG3.html#group16Q3", "16Q³"), =HYPERLINK("CSG0.html#group8D0", "8D⁰"), =HYPERLINK("CSG0.html#group4C0", "4C⁰"), =HYPERLINK("CSG2.html#group8C2", "8C²"), =HYPERLINK("CSG0.html#group8B0", "8B⁰"), =HYPERLINK("CSG3.html#group16P3", "16P³"), =HYPERLINK("CSG0.html#group8A0", "8A⁰"), =HYPERLINK("CSG0.html#group8L0", "8L⁰"), =HYPERLINK("CSG0.html#group2B0", "2B⁰"), =HYPERLINK("CSG0.html#group1A0", "1A⁰"), =HYPERLINK("CSG0.html#group8K0", "8K⁰"), =HYPERLINK("CSG1.html#group8D1", "8D¹"), =HYPERLINK("CSG1.html#group8H1", "8H¹"), =HYPERLINK("CSG0.html#group8H0", "8H⁰"), =HYPERLINK("CSG1.html#group16L1", "16L¹"), =HYPERLINK("CSG0.html#group8F0", "8F⁰"), =HYPERLINK("CSG0.html#group4A0", "4A⁰"), =HYPERLINK("CSG1.html#group8I1", "8I¹"), =HYPERLINK("CSG9.html#group32Q9", "32Q⁹"), =HYPERLINK("CSG0.html#group4F0", "4F⁰"), =HYPERLINK("CSG0.html#group8M0", "8M⁰"), =HYPERLINK("CSG6.html#group16C6", "16C⁶"), =HYPERLINK("CSG0.html#group8P0", "8P⁰"), =HYPERLINK("CSG1.html#group16K1", "16K¹")</f>
        <v/>
      </c>
      <c r="N5315" t="inlineStr"/>
    </row>
    <row r="5316">
      <c r="A5316" t="inlineStr">
        <is>
          <t>32B¹⁸</t>
        </is>
      </c>
      <c r="B5316" t="inlineStr"/>
      <c r="C5316" t="inlineStr">
        <is>
          <t>384</t>
        </is>
      </c>
      <c r="D5316" t="inlineStr">
        <is>
          <t>1</t>
        </is>
      </c>
      <c r="E5316" t="inlineStr">
        <is>
          <t>96</t>
        </is>
      </c>
      <c r="F5316" t="inlineStr">
        <is>
          <t>4</t>
        </is>
      </c>
      <c r="G5316" t="inlineStr">
        <is>
          <t>0</t>
        </is>
      </c>
      <c r="H5316" t="inlineStr">
        <is>
          <t>8¹⁶, 16⁸, 32⁴</t>
        </is>
      </c>
      <c r="I5316" t="n">
        <v>28</v>
      </c>
      <c r="J5316" t="inlineStr">
        <is>
          <t>8⁴, 16¹⁰</t>
        </is>
      </c>
      <c r="K5316">
        <f>HYPERLINK("CSG6.html#group16C6", "16C⁶"), =HYPERLINK("CSG9.html#group32R9", "32R⁹")</f>
        <v/>
      </c>
      <c r="L5316" t="inlineStr"/>
      <c r="M5316">
        <f>HYPERLINK("CSG3.html#group16Q3", "16Q³"), =HYPERLINK("CSG0.html#group8D0", "8D⁰"), =HYPERLINK("CSG0.html#group4C0", "4C⁰"), =HYPERLINK("CSG2.html#group8C2", "8C²"), =HYPERLINK("CSG0.html#group8B0", "8B⁰"), =HYPERLINK("CSG9.html#group32R9", "32R⁹"), =HYPERLINK("CSG3.html#group16P3", "16P³"), =HYPERLINK("CSG0.html#group8A0", "8A⁰"), =HYPERLINK("CSG0.html#group8L0", "8L⁰"), =HYPERLINK("CSG0.html#group2B0", "2B⁰"), =HYPERLINK("CSG0.html#group1A0", "1A⁰"), =HYPERLINK("CSG0.html#group8K0", "8K⁰"), =HYPERLINK("CSG1.html#group8D1", "8D¹"), =HYPERLINK("CSG1.html#group8H1", "8H¹"), =HYPERLINK("CSG0.html#group8H0", "8H⁰"), =HYPERLINK("CSG1.html#group16L1", "16L¹"), =HYPERLINK("CSG0.html#group8F0", "8F⁰"), =HYPERLINK("CSG0.html#group4A0", "4A⁰"), =HYPERLINK("CSG1.html#group8I1", "8I¹"), =HYPERLINK("CSG0.html#group4F0", "4F⁰"), =HYPERLINK("CSG0.html#group8M0", "8M⁰"), =HYPERLINK("CSG6.html#group16C6", "16C⁶"), =HYPERLINK("CSG0.html#group8P0", "8P⁰"), =HYPERLINK("CSG1.html#group16K1", "16K¹")</f>
        <v/>
      </c>
      <c r="N5316" t="inlineStr"/>
    </row>
    <row r="5317">
      <c r="A5317" t="inlineStr">
        <is>
          <t>33A¹⁸</t>
        </is>
      </c>
      <c r="B5317" t="inlineStr"/>
      <c r="C5317" t="inlineStr">
        <is>
          <t>330</t>
        </is>
      </c>
      <c r="D5317" t="inlineStr">
        <is>
          <t>2</t>
        </is>
      </c>
      <c r="E5317" t="inlineStr">
        <is>
          <t>165</t>
        </is>
      </c>
      <c r="F5317" t="inlineStr">
        <is>
          <t>22</t>
        </is>
      </c>
      <c r="G5317" t="inlineStr">
        <is>
          <t>0</t>
        </is>
      </c>
      <c r="H5317" t="inlineStr">
        <is>
          <t>33¹⁰</t>
        </is>
      </c>
      <c r="I5317" t="n">
        <v>10</v>
      </c>
      <c r="J5317" t="inlineStr">
        <is>
          <t>10¹¹, 20¹¹</t>
        </is>
      </c>
      <c r="K5317">
        <f>HYPERLINK("CSG7.html#group33A7", "33A⁷")</f>
        <v/>
      </c>
      <c r="L5317" t="inlineStr"/>
      <c r="M5317">
        <f>HYPERLINK("CSG0.html#group3A0", "3A⁰"), =HYPERLINK("CSG1.html#group11C1", "11C¹"), =HYPERLINK("CSG7.html#group33A7", "33A⁷"), =HYPERLINK("CSG0.html#group1A0", "1A⁰")</f>
        <v/>
      </c>
      <c r="N5317" t="inlineStr"/>
    </row>
    <row r="5318">
      <c r="A5318" t="inlineStr">
        <is>
          <t>34A¹⁸</t>
        </is>
      </c>
      <c r="B5318" t="inlineStr"/>
      <c r="C5318" t="inlineStr">
        <is>
          <t>306</t>
        </is>
      </c>
      <c r="D5318" t="inlineStr">
        <is>
          <t>1</t>
        </is>
      </c>
      <c r="E5318" t="inlineStr">
        <is>
          <t>153</t>
        </is>
      </c>
      <c r="F5318" t="inlineStr">
        <is>
          <t>16</t>
        </is>
      </c>
      <c r="G5318" t="inlineStr">
        <is>
          <t>0</t>
        </is>
      </c>
      <c r="H5318" t="inlineStr">
        <is>
          <t>34⁹</t>
        </is>
      </c>
      <c r="I5318" t="n">
        <v>9</v>
      </c>
      <c r="J5318" t="inlineStr">
        <is>
          <t>1¹, 8¹, 16⁹</t>
        </is>
      </c>
      <c r="K5318">
        <f>HYPERLINK("CSG7.html#group17A7", "17A⁷")</f>
        <v/>
      </c>
      <c r="L5318" t="inlineStr"/>
      <c r="M5318">
        <f>HYPERLINK("CSG0.html#group1A0", "1A⁰"), =HYPERLINK("CSG7.html#group17A7", "17A⁷")</f>
        <v/>
      </c>
      <c r="N5318" t="inlineStr"/>
    </row>
    <row r="5319">
      <c r="A5319" t="inlineStr">
        <is>
          <t>35A¹⁸</t>
        </is>
      </c>
      <c r="B5319" t="inlineStr"/>
      <c r="C5319" t="inlineStr">
        <is>
          <t>280</t>
        </is>
      </c>
      <c r="D5319" t="inlineStr">
        <is>
          <t>1</t>
        </is>
      </c>
      <c r="E5319" t="inlineStr">
        <is>
          <t>280</t>
        </is>
      </c>
      <c r="F5319" t="inlineStr">
        <is>
          <t>8</t>
        </is>
      </c>
      <c r="G5319" t="inlineStr">
        <is>
          <t>1</t>
        </is>
      </c>
      <c r="H5319" t="inlineStr">
        <is>
          <t>35⁸</t>
        </is>
      </c>
      <c r="I5319" t="n">
        <v>8</v>
      </c>
      <c r="J5319" t="inlineStr">
        <is>
          <t>2¹, 4², 6¹, 12⁶, 24⁸</t>
        </is>
      </c>
      <c r="K5319">
        <f>HYPERLINK("CSG0.html#group7F0", "7F⁰"), =HYPERLINK("CSG4.html#group35B4", "35B⁴")</f>
        <v/>
      </c>
      <c r="L5319" t="inlineStr"/>
      <c r="M5319">
        <f>HYPERLINK("CSG0.html#group7F0", "7F⁰"), =HYPERLINK("CSG0.html#group5C0", "5C⁰"), =HYPERLINK("CSG0.html#group1A0", "1A⁰"), =HYPERLINK("CSG4.html#group35B4", "35B⁴"), =HYPERLINK("CSG0.html#group7A0", "7A⁰")</f>
        <v/>
      </c>
      <c r="N5319" t="inlineStr"/>
    </row>
    <row r="5320">
      <c r="A5320" t="inlineStr">
        <is>
          <t>36A¹⁸</t>
        </is>
      </c>
      <c r="B5320" t="inlineStr"/>
      <c r="C5320" t="inlineStr">
        <is>
          <t>324</t>
        </is>
      </c>
      <c r="D5320" t="inlineStr">
        <is>
          <t>1</t>
        </is>
      </c>
      <c r="E5320" t="inlineStr">
        <is>
          <t>81</t>
        </is>
      </c>
      <c r="F5320" t="inlineStr">
        <is>
          <t>4</t>
        </is>
      </c>
      <c r="G5320" t="inlineStr">
        <is>
          <t>0</t>
        </is>
      </c>
      <c r="H5320" t="inlineStr">
        <is>
          <t>9¹², 36⁶</t>
        </is>
      </c>
      <c r="I5320" t="n">
        <v>18</v>
      </c>
      <c r="J5320" t="inlineStr">
        <is>
          <t>3³, 6¹²</t>
        </is>
      </c>
      <c r="K5320">
        <f>HYPERLINK("CSG3.html#group36I3", "36I³"), =HYPERLINK("CSG6.html#group36H6", "36H⁶"), =HYPERLINK("CSG8.html#group18A8", "18A⁸"), =HYPERLINK("CSG8.html#group36M8", "36M⁸")</f>
        <v/>
      </c>
      <c r="L5320" t="inlineStr"/>
      <c r="M5320">
        <f>HYPERLINK("CSG1.html#group18I1", "18I¹"), =HYPERLINK("CSG0.html#group9G0", "9G⁰"), =HYPERLINK("CSG0.html#group6G0", "6G⁰"), =HYPERLINK("CSG0.html#group2B0", "2B⁰"), =HYPERLINK("CSG2.html#group9B2", "9B²"), =HYPERLINK("CSG0.html#group9E0", "9E⁰"), =HYPERLINK("CSG0.html#group1A0", "1A⁰"), =HYPERLINK("CSG1.html#group9B1", "9B¹"), =HYPERLINK("CSG3.html#group18E3", "18E³"), =HYPERLINK("CSG8.html#group18A8", "18A⁸"), =HYPERLINK("CSG8.html#group36M8", "36M⁸"), =HYPERLINK("CSG6.html#group36H6", "36H⁶"), =HYPERLINK("CSG0.html#group12G0", "12G⁰"), =HYPERLINK("CSG3.html#group18J3", "18J³"), =HYPERLINK("CSG0.html#group9A0", "9A⁰"), =HYPERLINK("CSG0.html#group3C0", "3C⁰"), =HYPERLINK("CSG0.html#group12D0", "12D⁰"), =HYPERLINK("CSG3.html#group36I3", "36I³"), =HYPERLINK("CSG1.html#group18E1", "18E¹"), =HYPERLINK("CSG0.html#group3A0", "3A⁰"), =HYPERLINK("CSG3.html#group36D3", "36D³"), =HYPERLINK("CSG0.html#group6D0", "6D⁰"), =HYPERLINK("CSG2.html#group36C2", "36C²")</f>
        <v/>
      </c>
      <c r="N5320" t="inlineStr"/>
    </row>
    <row r="5321">
      <c r="A5321" t="inlineStr">
        <is>
          <t>36B¹⁸</t>
        </is>
      </c>
      <c r="B5321" t="inlineStr"/>
      <c r="C5321" t="inlineStr">
        <is>
          <t>324</t>
        </is>
      </c>
      <c r="D5321" t="inlineStr">
        <is>
          <t>2</t>
        </is>
      </c>
      <c r="E5321" t="inlineStr">
        <is>
          <t>81</t>
        </is>
      </c>
      <c r="F5321" t="inlineStr">
        <is>
          <t>16</t>
        </is>
      </c>
      <c r="G5321" t="inlineStr">
        <is>
          <t>0</t>
        </is>
      </c>
      <c r="H5321" t="inlineStr">
        <is>
          <t>18⁶, 36⁶</t>
        </is>
      </c>
      <c r="I5321" t="n">
        <v>12</v>
      </c>
      <c r="J5321" t="inlineStr">
        <is>
          <t>6²⁷</t>
        </is>
      </c>
      <c r="K5321">
        <f>HYPERLINK("CSG4.html#group36R4", "36R⁴"), =HYPERLINK("CSG6.html#group36C6", "36C⁶"), =HYPERLINK("CSG8.html#group18B8", "18B⁸"), =HYPERLINK("CSG8.html#group36L8", "36L⁸"), =HYPERLINK("CSG8.html#group36M8", "36M⁸")</f>
        <v/>
      </c>
      <c r="L5321" t="inlineStr"/>
      <c r="M5321">
        <f>HYPERLINK("CSG0.html#group6B0", "6B⁰"), =HYPERLINK("CSG0.html#group12C0", "12C⁰"), =HYPERLINK("CSG8.html#group36L8", "36L⁸"), =HYPERLINK("CSG0.html#group9G0", "9G⁰"), =HYPERLINK("CSG2.html#group36B2", "36B²"), =HYPERLINK("CSG0.html#group4C0", "4C⁰"), =HYPERLINK("CSG0.html#group6H0", "6H⁰"), =HYPERLINK("CSG4.html#group36R4", "36R⁴"), =HYPERLINK("CSG1.html#group18B1", "18B¹"), =HYPERLINK("CSG2.html#group18K2", "18K²"), =HYPERLINK("CSG0.html#group2B0", "2B⁰"), =HYPERLINK("CSG0.html#group12H0", "12H⁰"), =HYPERLINK("CSG2.html#group18M2", "18M²"), =HYPERLINK("CSG0.html#group1A0", "1A⁰"), =HYPERLINK("CSG0.html#group18A0", "18A⁰"), =HYPERLINK("CSG2.html#group18L2", "18L²"), =HYPERLINK("CSG8.html#group36M8", "36M⁸"), =HYPERLINK("CSG3.html#group18D3", "18D³"), =HYPERLINK("CSG3.html#group18J3", "18J³"), =HYPERLINK("CSG6.html#group36C6", "36C⁶"), =HYPERLINK("CSG0.html#group9A0", "9A⁰"), =HYPERLINK("CSG8.html#group18B8", "18B⁸"), =HYPERLINK("CSG0.html#group12D0", "12D⁰"), =HYPERLINK("CSG1.html#group18E1", "18E¹"), =HYPERLINK("CSG0.html#group3A0", "3A⁰"), =HYPERLINK("CSG3.html#group36D3", "36D³"), =HYPERLINK("CSG1.html#group18A1", "18A¹"), =HYPERLINK("CSG0.html#group6D0", "6D⁰"), =HYPERLINK("CSG2.html#group36C2", "36C²")</f>
        <v/>
      </c>
      <c r="N5321" t="inlineStr"/>
    </row>
    <row r="5322">
      <c r="A5322" t="inlineStr">
        <is>
          <t>39A¹⁸</t>
        </is>
      </c>
      <c r="B5322" t="inlineStr"/>
      <c r="C5322" t="inlineStr">
        <is>
          <t>273</t>
        </is>
      </c>
      <c r="D5322" t="inlineStr">
        <is>
          <t>1</t>
        </is>
      </c>
      <c r="E5322" t="inlineStr">
        <is>
          <t>91</t>
        </is>
      </c>
      <c r="F5322" t="inlineStr">
        <is>
          <t>9</t>
        </is>
      </c>
      <c r="G5322" t="inlineStr">
        <is>
          <t>0</t>
        </is>
      </c>
      <c r="H5322" t="inlineStr">
        <is>
          <t>39⁷</t>
        </is>
      </c>
      <c r="I5322" t="n">
        <v>7</v>
      </c>
      <c r="J5322" t="inlineStr">
        <is>
          <t>3¹, 4¹, 12⁷</t>
        </is>
      </c>
      <c r="K5322">
        <f>HYPERLINK("CSG0.html#group3A0", "3A⁰"), =HYPERLINK("CSG3.html#group13B3", "13B³")</f>
        <v/>
      </c>
      <c r="L5322" t="inlineStr"/>
      <c r="M5322">
        <f>HYPERLINK("CSG0.html#group3A0", "3A⁰"), =HYPERLINK("CSG0.html#group1A0", "1A⁰"), =HYPERLINK("CSG3.html#group13B3", "13B³")</f>
        <v/>
      </c>
      <c r="N5322" t="inlineStr"/>
    </row>
    <row r="5323">
      <c r="A5323" t="inlineStr">
        <is>
          <t>40A¹⁸</t>
        </is>
      </c>
      <c r="B5323" t="inlineStr"/>
      <c r="C5323" t="inlineStr">
        <is>
          <t>240</t>
        </is>
      </c>
      <c r="D5323" t="inlineStr">
        <is>
          <t>1</t>
        </is>
      </c>
      <c r="E5323" t="inlineStr">
        <is>
          <t>5</t>
        </is>
      </c>
      <c r="F5323" t="inlineStr">
        <is>
          <t>0</t>
        </is>
      </c>
      <c r="G5323" t="inlineStr">
        <is>
          <t>0</t>
        </is>
      </c>
      <c r="H5323" t="inlineStr">
        <is>
          <t>40⁶</t>
        </is>
      </c>
      <c r="I5323" t="n">
        <v>6</v>
      </c>
      <c r="J5323" t="inlineStr">
        <is>
          <t>1¹, 4¹</t>
        </is>
      </c>
      <c r="K5323">
        <f>HYPERLINK("CSG2.html#group8A2", "8A²"), =HYPERLINK("CSG4.html#group40D4", "40D⁴"), =HYPERLINK("CSG8.html#group20A8", "20A⁸"), =HYPERLINK("CSG9.html#group40E9", "40E⁹")</f>
        <v/>
      </c>
      <c r="L5323" t="inlineStr"/>
      <c r="M5323">
        <f>HYPERLINK("CSG0.html#group2A0", "2A⁰"), =HYPERLINK("CSG4.html#group40D4", "40D⁴"), =HYPERLINK("CSG0.html#group5A0", "5A⁰"), =HYPERLINK("CSG0.html#group4C0", "4C⁰"), =HYPERLINK("CSG0.html#group8A0", "8A⁰"), =HYPERLINK("CSG0.html#group4G0", "4G⁰"), =HYPERLINK("CSG0.html#group2B0", "2B⁰"), =HYPERLINK("CSG0.html#group4E0", "4E⁰"), =HYPERLINK("CSG1.html#group20A1", "20A¹"), =HYPERLINK("CSG0.html#group4B0", "4B⁰"), =HYPERLINK("CSG0.html#group1A0", "1A⁰"), =HYPERLINK("CSG0.html#group10A0", "10A⁰"), =HYPERLINK("CSG2.html#group20D2", "20D²"), =HYPERLINK("CSG0.html#group4D0", "4D⁰"), =HYPERLINK("CSG9.html#group40E9", "40E⁹"), =HYPERLINK("CSG2.html#group40A2", "40A²"), =HYPERLINK("CSG2.html#group20A2", "20A²"), =HYPERLINK("CSG1.html#group10B1", "10B¹"), =HYPERLINK("CSG2.html#group20B2", "20B²"), =HYPERLINK("CSG0.html#group8E0", "8E⁰"), =HYPERLINK("CSG4.html#group20C4", "20C⁴"), =HYPERLINK("CSG2.html#group10B2", "10B²"), =HYPERLINK("CSG1.html#group8D1", "8D¹"), =HYPERLINK("CSG2.html#group8A2", "8A²"), =HYPERLINK("CSG0.html#group4A0", "4A⁰"), =HYPERLINK("CSG4.html#group20A4", "20A⁴"), =HYPERLINK("CSG8.html#group20A8", "20A⁸"), =HYPERLINK("CSG0.html#group4F0", "4F⁰"), =HYPERLINK("CSG0.html#group2C0", "2C⁰")</f>
        <v/>
      </c>
      <c r="N5323" t="inlineStr"/>
    </row>
    <row r="5324">
      <c r="A5324" t="inlineStr">
        <is>
          <t>40B¹⁸</t>
        </is>
      </c>
      <c r="B5324" t="inlineStr"/>
      <c r="C5324" t="inlineStr">
        <is>
          <t>240</t>
        </is>
      </c>
      <c r="D5324" t="inlineStr">
        <is>
          <t>1</t>
        </is>
      </c>
      <c r="E5324" t="inlineStr">
        <is>
          <t>20</t>
        </is>
      </c>
      <c r="F5324" t="inlineStr">
        <is>
          <t>0</t>
        </is>
      </c>
      <c r="G5324" t="inlineStr">
        <is>
          <t>0</t>
        </is>
      </c>
      <c r="H5324" t="inlineStr">
        <is>
          <t>40⁶</t>
        </is>
      </c>
      <c r="I5324" t="n">
        <v>6</v>
      </c>
      <c r="J5324" t="inlineStr">
        <is>
          <t>2², 8²</t>
        </is>
      </c>
      <c r="K5324">
        <f>HYPERLINK("CSG4.html#group40D4", "40D⁴"), =HYPERLINK("CSG8.html#group20B8", "20B⁸"), =HYPERLINK("CSG8.html#group40G8", "40G⁸")</f>
        <v/>
      </c>
      <c r="L5324" t="inlineStr"/>
      <c r="M5324">
        <f>HYPERLINK("CSG0.html#group2A0", "2A⁰"), =HYPERLINK("CSG4.html#group40D4", "40D⁴"), =HYPERLINK("CSG0.html#group5A0", "5A⁰"), =HYPERLINK("CSG2.html#group10A2", "10A²"), =HYPERLINK("CSG8.html#group40G8", "40G⁸"), =HYPERLINK("CSG0.html#group8A0", "8A⁰"), =HYPERLINK("CSG0.html#group8E0", "8E⁰"), =HYPERLINK("CSG1.html#group20A1", "20A¹"), =HYPERLINK("CSG0.html#group1A0", "1A⁰"), =HYPERLINK("CSG8.html#group20B8", "20B⁸"), =HYPERLINK("CSG0.html#group10A0", "10A⁰"), =HYPERLINK("CSG2.html#group20D2", "20D²"), =HYPERLINK("CSG0.html#group4A0", "4A⁰"), =HYPERLINK("CSG0.html#group4D0", "4D⁰"), =HYPERLINK("CSG0.html#group5E0", "5E⁰"), =HYPERLINK("CSG2.html#group40A2", "40A²"), =HYPERLINK("CSG3.html#group20D3", "20D³")</f>
        <v/>
      </c>
      <c r="N5324" t="inlineStr"/>
    </row>
    <row r="5325">
      <c r="A5325" t="inlineStr">
        <is>
          <t>40C¹⁸</t>
        </is>
      </c>
      <c r="B5325" t="inlineStr"/>
      <c r="C5325" t="inlineStr">
        <is>
          <t>240</t>
        </is>
      </c>
      <c r="D5325" t="inlineStr">
        <is>
          <t>1</t>
        </is>
      </c>
      <c r="E5325" t="inlineStr">
        <is>
          <t>60</t>
        </is>
      </c>
      <c r="F5325" t="inlineStr">
        <is>
          <t>0</t>
        </is>
      </c>
      <c r="G5325" t="inlineStr">
        <is>
          <t>0</t>
        </is>
      </c>
      <c r="H5325" t="inlineStr">
        <is>
          <t>40⁶</t>
        </is>
      </c>
      <c r="I5325" t="n">
        <v>6</v>
      </c>
      <c r="J5325" t="inlineStr">
        <is>
          <t>2², 4², 8², 16²</t>
        </is>
      </c>
      <c r="K5325">
        <f>HYPERLINK("CSG2.html#group8B2", "8B²"), =HYPERLINK("CSG8.html#group40E8", "40E⁸"), =HYPERLINK("CSG9.html#group40B9", "40B⁹"), =HYPERLINK("CSG9.html#group40E9", "40E⁹")</f>
        <v/>
      </c>
      <c r="L5325" t="inlineStr"/>
      <c r="M5325">
        <f>HYPERLINK("CSG0.html#group5A0", "5A⁰"), =HYPERLINK("CSG1.html#group8A1", "8A¹"), =HYPERLINK("CSG9.html#group40B9", "40B⁹"), =HYPERLINK("CSG0.html#group8D0", "8D⁰"), =HYPERLINK("CSG1.html#group10B1", "10B¹"), =HYPERLINK("CSG2.html#group20B2", "20B²"), =HYPERLINK("CSG0.html#group4C0", "4C⁰"), =HYPERLINK("CSG2.html#group8B2", "8B²"), =HYPERLINK("CSG0.html#group8A0", "8A⁰"), =HYPERLINK("CSG1.html#group20A1", "20A¹"), =HYPERLINK("CSG4.html#group20C4", "20C⁴"), =HYPERLINK("CSG0.html#group2B0", "2B⁰"), =HYPERLINK("CSG0.html#group8K0", "8K⁰"), =HYPERLINK("CSG0.html#group1A0", "1A⁰"), =HYPERLINK("CSG1.html#group8D1", "8D¹"), =HYPERLINK("CSG8.html#group40E8", "40E⁸"), =HYPERLINK("CSG4.html#group40C4", "40C⁴"), =HYPERLINK("CSG1.html#group8C1", "8C¹"), =HYPERLINK("CSG0.html#group4A0", "4A⁰"), =HYPERLINK("CSG0.html#group4F0", "4F⁰"), =HYPERLINK("CSG5.html#group40A5", "40A⁵"), =HYPERLINK("CSG9.html#group40E9", "40E⁹"), =HYPERLINK("CSG2.html#group40A2", "40A²")</f>
        <v/>
      </c>
      <c r="N5325" t="inlineStr"/>
    </row>
    <row r="5326">
      <c r="A5326" t="inlineStr">
        <is>
          <t>40D¹⁸</t>
        </is>
      </c>
      <c r="B5326" t="inlineStr"/>
      <c r="C5326" t="inlineStr">
        <is>
          <t>240</t>
        </is>
      </c>
      <c r="D5326" t="inlineStr">
        <is>
          <t>1</t>
        </is>
      </c>
      <c r="E5326" t="inlineStr">
        <is>
          <t>60</t>
        </is>
      </c>
      <c r="F5326" t="inlineStr">
        <is>
          <t>0</t>
        </is>
      </c>
      <c r="G5326" t="inlineStr">
        <is>
          <t>0</t>
        </is>
      </c>
      <c r="H5326" t="inlineStr">
        <is>
          <t>40⁶</t>
        </is>
      </c>
      <c r="I5326" t="n">
        <v>6</v>
      </c>
      <c r="J5326" t="inlineStr">
        <is>
          <t>2², 4², 8⁶</t>
        </is>
      </c>
      <c r="K5326">
        <f>HYPERLINK("CSG8.html#group20B8", "20B⁸"), =HYPERLINK("CSG8.html#group40H8", "40H⁸")</f>
        <v/>
      </c>
      <c r="L5326" t="inlineStr"/>
      <c r="M5326">
        <f>HYPERLINK("CSG0.html#group2A0", "2A⁰"), =HYPERLINK("CSG0.html#group5A0", "5A⁰"), =HYPERLINK("CSG2.html#group10A2", "10A²"), =HYPERLINK("CSG2.html#group20D2", "20D²"), =HYPERLINK("CSG0.html#group10A0", "10A⁰"), =HYPERLINK("CSG0.html#group4A0", "4A⁰"), =HYPERLINK("CSG0.html#group4D0", "4D⁰"), =HYPERLINK("CSG8.html#group40H8", "40H⁸"), =HYPERLINK("CSG0.html#group5E0", "5E⁰"), =HYPERLINK("CSG1.html#group20A1", "20A¹"), =HYPERLINK("CSG0.html#group1A0", "1A⁰"), =HYPERLINK("CSG8.html#group20B8", "20B⁸"), =HYPERLINK("CSG3.html#group20D3", "20D³")</f>
        <v/>
      </c>
      <c r="N5326" t="inlineStr"/>
    </row>
    <row r="5327">
      <c r="A5327" t="inlineStr">
        <is>
          <t>42A¹⁸</t>
        </is>
      </c>
      <c r="B5327" t="inlineStr"/>
      <c r="C5327" t="inlineStr">
        <is>
          <t>252</t>
        </is>
      </c>
      <c r="D5327" t="inlineStr">
        <is>
          <t>1</t>
        </is>
      </c>
      <c r="E5327" t="inlineStr">
        <is>
          <t>63</t>
        </is>
      </c>
      <c r="F5327" t="inlineStr">
        <is>
          <t>4</t>
        </is>
      </c>
      <c r="G5327" t="inlineStr">
        <is>
          <t>0</t>
        </is>
      </c>
      <c r="H5327" t="inlineStr">
        <is>
          <t>42⁶</t>
        </is>
      </c>
      <c r="I5327" t="n">
        <v>6</v>
      </c>
      <c r="J5327" t="inlineStr">
        <is>
          <t>3¹, 6⁴, 12³</t>
        </is>
      </c>
      <c r="K5327">
        <f>HYPERLINK("CSG6.html#group21C6", "21C⁶"), =HYPERLINK("CSG7.html#group42G7", "42G⁷")</f>
        <v/>
      </c>
      <c r="L5327" t="inlineStr"/>
      <c r="M5327">
        <f>HYPERLINK("CSG2.html#group21D2", "21D²"), =HYPERLINK("CSG6.html#group21C6", "21C⁶"), =HYPERLINK("CSG0.html#group7D0", "7D⁰"), =HYPERLINK("CSG1.html#group21E1", "21E¹"), =HYPERLINK("CSG7.html#group42G7", "42G⁷"), =HYPERLINK("CSG0.html#group21A0", "21A⁰"), =HYPERLINK("CSG0.html#group3C0", "3C⁰"), =HYPERLINK("CSG0.html#group3A0", "3A⁰"), =HYPERLINK("CSG0.html#group1A0", "1A⁰"), =HYPERLINK("CSG0.html#group7A0", "7A⁰")</f>
        <v/>
      </c>
      <c r="N5327" t="inlineStr"/>
    </row>
    <row r="5328">
      <c r="A5328" t="inlineStr">
        <is>
          <t>42B¹⁸</t>
        </is>
      </c>
      <c r="B5328" t="inlineStr"/>
      <c r="C5328" t="inlineStr">
        <is>
          <t>252</t>
        </is>
      </c>
      <c r="D5328" t="inlineStr">
        <is>
          <t>2</t>
        </is>
      </c>
      <c r="E5328" t="inlineStr">
        <is>
          <t>21</t>
        </is>
      </c>
      <c r="F5328" t="inlineStr">
        <is>
          <t>0</t>
        </is>
      </c>
      <c r="G5328" t="inlineStr">
        <is>
          <t>0</t>
        </is>
      </c>
      <c r="H5328" t="inlineStr">
        <is>
          <t>21⁴, 42⁴</t>
        </is>
      </c>
      <c r="I5328" t="n">
        <v>8</v>
      </c>
      <c r="J5328" t="inlineStr">
        <is>
          <t>2³, 6⁶</t>
        </is>
      </c>
      <c r="K5328">
        <f>HYPERLINK("CSG0.html#group6K0", "6K⁰"), =HYPERLINK("CSG6.html#group21A6", "21A⁶"), =HYPERLINK("CSG6.html#group42C6", "42C⁶"), =HYPERLINK("CSG8.html#group42C8", "42C⁸")</f>
        <v/>
      </c>
      <c r="L5328" t="inlineStr"/>
      <c r="M5328">
        <f>HYPERLINK("CSG0.html#group3B0", "3B⁰"), =HYPERLINK("CSG2.html#group21D2", "21D²"), =HYPERLINK("CSG1.html#group14B1", "14B¹"), =HYPERLINK("CSG0.html#group21A0", "21A⁰"), =HYPERLINK("CSG0.html#group6G0", "6G⁰"), =HYPERLINK("CSG0.html#group2B0", "2B⁰"), =HYPERLINK("CSG0.html#group1A0", "1A⁰"), =HYPERLINK("CSG6.html#group21A6", "21A⁶"), =HYPERLINK("CSG2.html#group21B2", "21B²"), =HYPERLINK("CSG6.html#group42C6", "42C⁶"), =HYPERLINK("CSG0.html#group6F0", "6F⁰"), =HYPERLINK("CSG0.html#group3C0", "3C⁰"), =HYPERLINK("CSG0.html#group6K0", "6K⁰"), =HYPERLINK("CSG8.html#group42C8", "42C⁸"), =HYPERLINK("CSG0.html#group3A0", "3A⁰"), =HYPERLINK("CSG0.html#group3D0", "3D⁰"), =HYPERLINK("CSG3.html#group42C3", "42C³"), =HYPERLINK("CSG0.html#group6D0", "6D⁰"), =HYPERLINK("CSG0.html#group7A0", "7A⁰")</f>
        <v/>
      </c>
      <c r="N5328" t="inlineStr"/>
    </row>
    <row r="5329">
      <c r="A5329" t="inlineStr">
        <is>
          <t>42C¹⁸</t>
        </is>
      </c>
      <c r="B5329" t="inlineStr"/>
      <c r="C5329" t="inlineStr">
        <is>
          <t>252</t>
        </is>
      </c>
      <c r="D5329" t="inlineStr">
        <is>
          <t>2</t>
        </is>
      </c>
      <c r="E5329" t="inlineStr">
        <is>
          <t>63</t>
        </is>
      </c>
      <c r="F5329" t="inlineStr">
        <is>
          <t>4</t>
        </is>
      </c>
      <c r="G5329" t="inlineStr">
        <is>
          <t>0</t>
        </is>
      </c>
      <c r="H5329" t="inlineStr">
        <is>
          <t>42⁶</t>
        </is>
      </c>
      <c r="I5329" t="n">
        <v>6</v>
      </c>
      <c r="J5329" t="inlineStr">
        <is>
          <t>2³, 4³, 6⁶, 12⁶</t>
        </is>
      </c>
      <c r="K5329">
        <f>HYPERLINK("CSG6.html#group42A6", "42A⁶"), =HYPERLINK("CSG8.html#group42C8", "42C⁸"), =HYPERLINK("CSG8.html#group42D8", "42D⁸")</f>
        <v/>
      </c>
      <c r="L5329" t="inlineStr"/>
      <c r="M5329">
        <f>HYPERLINK("CSG2.html#group21D2", "21D²"), =HYPERLINK("CSG8.html#group42D8", "42D⁸"), =HYPERLINK("CSG1.html#group14B1", "14B¹"), =HYPERLINK("CSG0.html#group21A0", "21A⁰"), =HYPERLINK("CSG0.html#group6G0", "6G⁰"), =HYPERLINK("CSG0.html#group2B0", "2B⁰"), =HYPERLINK("CSG0.html#group1A0", "1A⁰"), =HYPERLINK("CSG2.html#group42A2", "42A²"), =HYPERLINK("CSG6.html#group42A6", "42A⁶"), =HYPERLINK("CSG0.html#group3C0", "3C⁰"), =HYPERLINK("CSG8.html#group42C8", "42C⁸"), =HYPERLINK("CSG0.html#group3A0", "3A⁰"), =HYPERLINK("CSG3.html#group42C3", "42C³"), =HYPERLINK("CSG0.html#group6D0", "6D⁰"), =HYPERLINK("CSG0.html#group7A0", "7A⁰")</f>
        <v/>
      </c>
      <c r="N5329" t="inlineStr"/>
    </row>
    <row r="5330">
      <c r="A5330" t="inlineStr">
        <is>
          <t>44A¹⁸</t>
        </is>
      </c>
      <c r="B5330" t="inlineStr"/>
      <c r="C5330" t="inlineStr">
        <is>
          <t>330</t>
        </is>
      </c>
      <c r="D5330" t="inlineStr">
        <is>
          <t>1</t>
        </is>
      </c>
      <c r="E5330" t="inlineStr">
        <is>
          <t>165</t>
        </is>
      </c>
      <c r="F5330" t="inlineStr">
        <is>
          <t>12</t>
        </is>
      </c>
      <c r="G5330" t="inlineStr">
        <is>
          <t>0</t>
        </is>
      </c>
      <c r="H5330" t="inlineStr">
        <is>
          <t>11¹⁰, 44⁵</t>
        </is>
      </c>
      <c r="I5330" t="n">
        <v>15</v>
      </c>
      <c r="J5330" t="inlineStr">
        <is>
          <t>5³, 10¹⁵</t>
        </is>
      </c>
      <c r="K5330">
        <f>HYPERLINK("CSG8.html#group22A8", "22A⁸")</f>
        <v/>
      </c>
      <c r="L5330" t="inlineStr"/>
      <c r="M5330">
        <f>HYPERLINK("CSG1.html#group11C1", "11C¹"), =HYPERLINK("CSG0.html#group1A0", "1A⁰"), =HYPERLINK("CSG8.html#group22A8", "22A⁸"), =HYPERLINK("CSG0.html#group2B0", "2B⁰")</f>
        <v/>
      </c>
      <c r="N5330" t="inlineStr"/>
    </row>
    <row r="5331">
      <c r="A5331" t="inlineStr">
        <is>
          <t>45A¹⁸</t>
        </is>
      </c>
      <c r="B5331" t="inlineStr"/>
      <c r="C5331" t="inlineStr">
        <is>
          <t>270</t>
        </is>
      </c>
      <c r="D5331" t="inlineStr">
        <is>
          <t>1</t>
        </is>
      </c>
      <c r="E5331" t="inlineStr">
        <is>
          <t>135</t>
        </is>
      </c>
      <c r="F5331" t="inlineStr">
        <is>
          <t>10</t>
        </is>
      </c>
      <c r="G5331" t="inlineStr">
        <is>
          <t>0</t>
        </is>
      </c>
      <c r="H5331" t="inlineStr">
        <is>
          <t>45⁶</t>
        </is>
      </c>
      <c r="I5331" t="n">
        <v>6</v>
      </c>
      <c r="J5331" t="inlineStr">
        <is>
          <t>1¹, 2², 4⁴, 6¹, 8³, 12¹, 24³</t>
        </is>
      </c>
      <c r="K5331">
        <f>HYPERLINK("CSG2.html#group45A2", "45A²"), =HYPERLINK("CSG4.html#group15D4", "15D⁴"), =HYPERLINK("CSG5.html#group45E5", "45E⁵"), =HYPERLINK("CSG7.html#group45D7", "45D⁷")</f>
        <v/>
      </c>
      <c r="L5331" t="inlineStr"/>
      <c r="M5331">
        <f>HYPERLINK("CSG2.html#group45A2", "45A²"), =HYPERLINK("CSG4.html#group15D4", "15D⁴"), =HYPERLINK("CSG0.html#group5A0", "5A⁰"), =HYPERLINK("CSG5.html#group45E5", "45E⁵"), =HYPERLINK("CSG0.html#group5B0", "5B⁰"), =HYPERLINK("CSG1.html#group15F1", "15F¹"), =HYPERLINK("CSG0.html#group1A0", "1A⁰"), =HYPERLINK("CSG7.html#group45D7", "45D⁷"), =HYPERLINK("CSG1.html#group15D1", "15D¹"), =HYPERLINK("CSG0.html#group15B0", "15B⁰"), =HYPERLINK("CSG0.html#group9A0", "9A⁰"), =HYPERLINK("CSG0.html#group5E0", "5E⁰"), =HYPERLINK("CSG3.html#group45A3", "45A³"), =HYPERLINK("CSG0.html#group3A0", "3A⁰"), =HYPERLINK("CSG0.html#group5C0", "5C⁰"), =HYPERLINK("CSG0.html#group5G0", "5G⁰"), =HYPERLINK("CSG1.html#group15A1", "15A¹"), =HYPERLINK("CSG0.html#group15A0", "15A⁰")</f>
        <v/>
      </c>
      <c r="N5331" t="inlineStr"/>
    </row>
    <row r="5332">
      <c r="A5332" t="inlineStr">
        <is>
          <t>45B¹⁸</t>
        </is>
      </c>
      <c r="B5332" t="inlineStr"/>
      <c r="C5332" t="inlineStr">
        <is>
          <t>270</t>
        </is>
      </c>
      <c r="D5332" t="inlineStr">
        <is>
          <t>1</t>
        </is>
      </c>
      <c r="E5332" t="inlineStr">
        <is>
          <t>270</t>
        </is>
      </c>
      <c r="F5332" t="inlineStr">
        <is>
          <t>6</t>
        </is>
      </c>
      <c r="G5332" t="inlineStr">
        <is>
          <t>3</t>
        </is>
      </c>
      <c r="H5332" t="inlineStr">
        <is>
          <t>45⁶</t>
        </is>
      </c>
      <c r="I5332" t="n">
        <v>6</v>
      </c>
      <c r="J5332" t="inlineStr">
        <is>
          <t>6¹, 12⁶, 24⁸</t>
        </is>
      </c>
      <c r="K5332">
        <f>HYPERLINK("CSG0.html#group5C0", "5C⁰"), =HYPERLINK("CSG0.html#group9F0", "9F⁰")</f>
        <v/>
      </c>
      <c r="L5332" t="inlineStr"/>
      <c r="M5332">
        <f>HYPERLINK("CSG0.html#group9F0", "9F⁰"), =HYPERLINK("CSG0.html#group5C0", "5C⁰"), =HYPERLINK("CSG0.html#group1A0", "1A⁰")</f>
        <v/>
      </c>
      <c r="N5332" t="inlineStr"/>
    </row>
    <row r="5333">
      <c r="A5333" t="inlineStr">
        <is>
          <t>45C¹⁸</t>
        </is>
      </c>
      <c r="B5333" t="inlineStr"/>
      <c r="C5333" t="inlineStr">
        <is>
          <t>324</t>
        </is>
      </c>
      <c r="D5333" t="inlineStr">
        <is>
          <t>2</t>
        </is>
      </c>
      <c r="E5333" t="inlineStr">
        <is>
          <t>162</t>
        </is>
      </c>
      <c r="F5333" t="inlineStr">
        <is>
          <t>16</t>
        </is>
      </c>
      <c r="G5333" t="inlineStr">
        <is>
          <t>0</t>
        </is>
      </c>
      <c r="H5333" t="inlineStr">
        <is>
          <t>9⁶, 45⁶</t>
        </is>
      </c>
      <c r="I5333" t="n">
        <v>12</v>
      </c>
      <c r="J5333" t="inlineStr">
        <is>
          <t>6¹⁸, 24⁹</t>
        </is>
      </c>
      <c r="K5333">
        <f>HYPERLINK("CSG4.html#group45C4", "45C⁴"), =HYPERLINK("CSG6.html#group45D6", "45D⁶"), =HYPERLINK("CSG8.html#group45D8", "45D⁸")</f>
        <v/>
      </c>
      <c r="L5333" t="inlineStr"/>
      <c r="M5333">
        <f>HYPERLINK("CSG2.html#group45A2", "45A²"), =HYPERLINK("CSG0.html#group15B0", "15B⁰"), =HYPERLINK("CSG6.html#group45D6", "45D⁶"), =HYPERLINK("CSG8.html#group45D8", "45D⁸"), =HYPERLINK("CSG0.html#group9A0", "9A⁰"), =HYPERLINK("CSG0.html#group9G0", "9G⁰"), =HYPERLINK("CSG4.html#group45C4", "45C⁴"), =HYPERLINK("CSG0.html#group5B0", "5B⁰"), =HYPERLINK("CSG0.html#group3A0", "3A⁰"), =HYPERLINK("CSG0.html#group1A0", "1A⁰"), =HYPERLINK("CSG0.html#group15C0", "15C⁰")</f>
        <v/>
      </c>
      <c r="N5333" t="inlineStr"/>
    </row>
    <row r="5334">
      <c r="A5334" t="inlineStr">
        <is>
          <t>48A¹⁸</t>
        </is>
      </c>
      <c r="B5334" t="inlineStr"/>
      <c r="C5334" t="inlineStr">
        <is>
          <t>256</t>
        </is>
      </c>
      <c r="D5334" t="inlineStr">
        <is>
          <t>1</t>
        </is>
      </c>
      <c r="E5334" t="inlineStr">
        <is>
          <t>256</t>
        </is>
      </c>
      <c r="F5334" t="inlineStr">
        <is>
          <t>0</t>
        </is>
      </c>
      <c r="G5334" t="inlineStr">
        <is>
          <t>1</t>
        </is>
      </c>
      <c r="H5334" t="inlineStr">
        <is>
          <t>16⁴, 48⁴</t>
        </is>
      </c>
      <c r="I5334" t="n">
        <v>8</v>
      </c>
      <c r="J5334" t="inlineStr">
        <is>
          <t>8¹⁶, 16⁸</t>
        </is>
      </c>
      <c r="K5334">
        <f>HYPERLINK("CSG2.html#group16G2", "16G²"), =HYPERLINK("CSG4.html#group24C4", "24C⁴")</f>
        <v/>
      </c>
      <c r="L5334" t="inlineStr"/>
      <c r="M5334">
        <f>HYPERLINK("CSG4.html#group24C4", "24C⁴"), =HYPERLINK("CSG0.html#group3B0", "3B⁰"), =HYPERLINK("CSG2.html#group16G2", "16G²"), =HYPERLINK("CSG0.html#group8F0", "8F⁰"), =HYPERLINK("CSG0.html#group1A0", "1A⁰"), =HYPERLINK("CSG0.html#group4A0", "4A⁰"), =HYPERLINK("CSG1.html#group12A1", "12A¹")</f>
        <v/>
      </c>
      <c r="N5334" t="inlineStr"/>
    </row>
    <row r="5335">
      <c r="A5335" t="inlineStr">
        <is>
          <t>48B¹⁸</t>
        </is>
      </c>
      <c r="B5335" t="inlineStr"/>
      <c r="C5335" t="inlineStr">
        <is>
          <t>288</t>
        </is>
      </c>
      <c r="D5335" t="inlineStr">
        <is>
          <t>1</t>
        </is>
      </c>
      <c r="E5335" t="inlineStr">
        <is>
          <t>12</t>
        </is>
      </c>
      <c r="F5335" t="inlineStr">
        <is>
          <t>0</t>
        </is>
      </c>
      <c r="G5335" t="inlineStr">
        <is>
          <t>0</t>
        </is>
      </c>
      <c r="H5335" t="inlineStr">
        <is>
          <t>12⁸, 24⁴, 48²</t>
        </is>
      </c>
      <c r="I5335" t="n">
        <v>14</v>
      </c>
      <c r="J5335" t="inlineStr">
        <is>
          <t>1⁴, 2⁴</t>
        </is>
      </c>
      <c r="K5335">
        <f>HYPERLINK("CSG2.html#group16I2", "16I²"), =HYPERLINK("CSG8.html#group24A8", "24A⁸"), =HYPERLINK("CSG8.html#group48G8", "48G⁸"), =HYPERLINK("CSG8.html#group48H8", "48H⁸")</f>
        <v/>
      </c>
      <c r="L5335" t="inlineStr"/>
      <c r="M5335">
        <f>HYPERLINK("CSG0.html#group2A0", "2A⁰"), =HYPERLINK("CSG0.html#group12C0", "12C⁰"), =HYPERLINK("CSG1.html#group6C1", "6C¹"), =HYPERLINK("CSG0.html#group4C0", "4C⁰"), =HYPERLINK("CSG2.html#group12B2", "12B²"), =HYPERLINK("CSG0.html#group4G0", "4G⁰"), =HYPERLINK("CSG0.html#group2B0", "2B⁰"), =HYPERLINK("CSG0.html#group4E0", "4E⁰"), =HYPERLINK("CSG0.html#group4B0", "4B⁰"), =HYPERLINK("CSG0.html#group1A0", "1A⁰"), =HYPERLINK("CSG0.html#group8K0", "8K⁰"), =HYPERLINK("CSG4.html#group12A4", "12A⁴"), =HYPERLINK("CSG0.html#group4D0", "4D⁰"), =HYPERLINK("CSG2.html#group12A2", "12A²"), =HYPERLINK("CSG1.html#group6A1", "6A¹"), =HYPERLINK("CSG1.html#group12B1", "12B¹"), =HYPERLINK("CSG0.html#group3A0", "3A⁰"), =HYPERLINK("CSG1.html#group16K1", "16K¹"), =HYPERLINK("CSG0.html#group8N0", "8N⁰"), =HYPERLINK("CSG8.html#group24A8", "24A⁸"), =HYPERLINK("CSG2.html#group16I2", "16I²"), =HYPERLINK("CSG1.html#group12E1", "12E¹"), =HYPERLINK("CSG8.html#group48H8", "48H⁸"), =HYPERLINK("CSG3.html#group24J3", "24J³"), =HYPERLINK("CSG1.html#group16L1", "16L¹"), =HYPERLINK("CSG0.html#group12A0", "12A⁰"), =HYPERLINK("CSG0.html#group6A0", "6A⁰"), =HYPERLINK("CSG0.html#group4A0", "4A⁰"), =HYPERLINK("CSG8.html#group48G8", "48G⁸"), =HYPERLINK("CSG1.html#group12J1", "12J¹"), =HYPERLINK("CSG0.html#group4F0", "4F⁰"), =HYPERLINK("CSG0.html#group8J0", "8J⁰"), =HYPERLINK("CSG0.html#group2C0", "2C⁰"), =HYPERLINK("CSG0.html#group6D0", "6D⁰"), =HYPERLINK("CSG4.html#group24G4", "24G⁴")</f>
        <v/>
      </c>
      <c r="N5335" t="inlineStr"/>
    </row>
    <row r="5336">
      <c r="A5336" t="inlineStr">
        <is>
          <t>48C¹⁸</t>
        </is>
      </c>
      <c r="B5336" t="inlineStr"/>
      <c r="C5336" t="inlineStr">
        <is>
          <t>288</t>
        </is>
      </c>
      <c r="D5336" t="inlineStr">
        <is>
          <t>1</t>
        </is>
      </c>
      <c r="E5336" t="inlineStr">
        <is>
          <t>24</t>
        </is>
      </c>
      <c r="F5336" t="inlineStr">
        <is>
          <t>0</t>
        </is>
      </c>
      <c r="G5336" t="inlineStr">
        <is>
          <t>0</t>
        </is>
      </c>
      <c r="H5336" t="inlineStr">
        <is>
          <t>3⁴, 6², 12², 24², 48⁴</t>
        </is>
      </c>
      <c r="I5336" t="n">
        <v>14</v>
      </c>
      <c r="J5336" t="inlineStr">
        <is>
          <t>1⁴, 2², 4², 8¹</t>
        </is>
      </c>
      <c r="K5336">
        <f>HYPERLINK("CSG2.html#group16J2", "16J²"), =HYPERLINK("CSG8.html#group48E8", "48E⁸")</f>
        <v/>
      </c>
      <c r="L5336" t="inlineStr"/>
      <c r="M5336">
        <f>HYPERLINK("CSG4.html#group24F4", "24F⁴"), =HYPERLINK("CSG0.html#group8C0", "8C⁰"), =HYPERLINK("CSG0.html#group2B0", "2B⁰"), =HYPERLINK("CSG0.html#group8I0", "8I⁰"), =HYPERLINK("CSG0.html#group4B0", "4B⁰"), =HYPERLINK("CSG0.html#group1A0", "1A⁰"), =HYPERLINK("CSG2.html#group16J2", "16J²"), =HYPERLINK("CSG4.html#group48B4", "48B⁴"), =HYPERLINK("CSG0.html#group16H0", "16H⁰"), =HYPERLINK("CSG2.html#group24B2", "24B²"), =HYPERLINK("CSG8.html#group48E8", "48E⁸"), =HYPERLINK("CSG0.html#group16C0", "16C⁰"), =HYPERLINK("CSG0.html#group16D0", "16D⁰"), =HYPERLINK("CSG1.html#group12B1", "12B¹"), =HYPERLINK("CSG0.html#group3A0", "3A⁰"), =HYPERLINK("CSG0.html#group6D0", "6D⁰"), =HYPERLINK("CSG4.html#group48D4", "48D⁴")</f>
        <v/>
      </c>
      <c r="N5336" t="inlineStr"/>
    </row>
    <row r="5337">
      <c r="A5337" t="inlineStr">
        <is>
          <t>48D¹⁸</t>
        </is>
      </c>
      <c r="B5337" t="inlineStr"/>
      <c r="C5337" t="inlineStr">
        <is>
          <t>288</t>
        </is>
      </c>
      <c r="D5337" t="inlineStr">
        <is>
          <t>1</t>
        </is>
      </c>
      <c r="E5337" t="inlineStr">
        <is>
          <t>24</t>
        </is>
      </c>
      <c r="F5337" t="inlineStr">
        <is>
          <t>0</t>
        </is>
      </c>
      <c r="G5337" t="inlineStr">
        <is>
          <t>0</t>
        </is>
      </c>
      <c r="H5337" t="inlineStr">
        <is>
          <t>6⁴, 12², 24⁶, 48²</t>
        </is>
      </c>
      <c r="I5337" t="n">
        <v>14</v>
      </c>
      <c r="J5337" t="inlineStr">
        <is>
          <t>1⁸, 2⁴, 4²</t>
        </is>
      </c>
      <c r="K5337">
        <f>HYPERLINK("CSG2.html#group16K2", "16K²"), =HYPERLINK("CSG8.html#group24B8", "24B⁸")</f>
        <v/>
      </c>
      <c r="L5337" t="inlineStr"/>
      <c r="M5337">
        <f>HYPERLINK("CSG0.html#group2A0", "2A⁰"), =HYPERLINK("CSG0.html#group12C0", "12C⁰"), =HYPERLINK("CSG0.html#group4C0", "4C⁰"), =HYPERLINK("CSG1.html#group6C1", "6C¹"), =HYPERLINK("CSG2.html#group12B2", "12B²"), =HYPERLINK("CSG0.html#group2B0", "2B⁰"), =HYPERLINK("CSG0.html#group4E0", "4E⁰"), =HYPERLINK("CSG0.html#group8C0", "8C⁰"), =HYPERLINK("CSG0.html#group4B0", "4B⁰"), =HYPERLINK("CSG0.html#group1A0", "1A⁰"), =HYPERLINK("CSG2.html#group24B2", "24B²"), =HYPERLINK("CSG0.html#group8G0", "8G⁰"), =HYPERLINK("CSG1.html#group12B1", "12B¹"), =HYPERLINK("CSG1.html#group6A1", "6A¹"), =HYPERLINK("CSG0.html#group3A0", "3A⁰"), =HYPERLINK("CSG4.html#group24F4", "24F⁴"), =HYPERLINK("CSG0.html#group8D0", "8D⁰"), =HYPERLINK("CSG8.html#group24B8", "24B⁸"), =HYPERLINK("CSG0.html#group8I0", "8I⁰"), =HYPERLINK("CSG2.html#group16K2", "16K²"), =HYPERLINK("CSG4.html#group24D4", "24D⁴"), =HYPERLINK("CSG0.html#group6A0", "6A⁰"), =HYPERLINK("CSG1.html#group24C1", "24C¹"), =HYPERLINK("CSG0.html#group8J0", "8J⁰"), =HYPERLINK("CSG0.html#group2C0", "2C⁰"), =HYPERLINK("CSG0.html#group6D0", "6D⁰"), =HYPERLINK("CSG4.html#group24G4", "24G⁴"), =HYPERLINK("CSG0.html#group8O0", "8O⁰")</f>
        <v/>
      </c>
      <c r="N5337" t="inlineStr"/>
    </row>
    <row r="5338">
      <c r="A5338" t="inlineStr">
        <is>
          <t>48E¹⁸</t>
        </is>
      </c>
      <c r="B5338" t="inlineStr"/>
      <c r="C5338" t="inlineStr">
        <is>
          <t>288</t>
        </is>
      </c>
      <c r="D5338" t="inlineStr">
        <is>
          <t>1</t>
        </is>
      </c>
      <c r="E5338" t="inlineStr">
        <is>
          <t>24</t>
        </is>
      </c>
      <c r="F5338" t="inlineStr">
        <is>
          <t>12</t>
        </is>
      </c>
      <c r="G5338" t="inlineStr">
        <is>
          <t>0</t>
        </is>
      </c>
      <c r="H5338" t="inlineStr">
        <is>
          <t>24⁴, 48⁴</t>
        </is>
      </c>
      <c r="I5338" t="n">
        <v>8</v>
      </c>
      <c r="J5338" t="inlineStr">
        <is>
          <t>2², 4⁵</t>
        </is>
      </c>
      <c r="K5338">
        <f>HYPERLINK("CSG4.html#group16B4", "16B⁴"), =HYPERLINK("CSG7.html#group24K7", "24K⁷"), =HYPERLINK("CSG7.html#group48P7", "48P⁷"), =HYPERLINK("CSG8.html#group48F8", "48F⁸")</f>
        <v/>
      </c>
      <c r="L5338" t="inlineStr"/>
      <c r="M5338">
        <f>HYPERLINK("CSG8.html#group48F8", "48F⁸"), =HYPERLINK("CSG0.html#group12C0", "12C⁰"), =HYPERLINK("CSG1.html#group16I1", "16I¹"), =HYPERLINK("CSG0.html#group4C0", "4C⁰"), =HYPERLINK("CSG7.html#group48P7", "48P⁷"), =HYPERLINK("CSG0.html#group8A0", "8A⁰"), =HYPERLINK("CSG0.html#group2B0", "2B⁰"), =HYPERLINK("CSG0.html#group8K0", "8K⁰"), =HYPERLINK("CSG0.html#group1A0", "1A⁰"), =HYPERLINK("CSG1.html#group8H1", "8H¹"), =HYPERLINK("CSG2.html#group16E2", "16E²"), =HYPERLINK("CSG0.html#group16E0", "16E⁰"), =HYPERLINK("CSG4.html#group16B4", "16B⁴"), =HYPERLINK("CSG1.html#group24A1", "24A¹"), =HYPERLINK("CSG1.html#group16D1", "16D¹"), =HYPERLINK("CSG4.html#group48E4", "48E⁴"), =HYPERLINK("CSG0.html#group24A0", "24A⁰"), =HYPERLINK("CSG3.html#group48D3", "48D³"), =HYPERLINK("CSG0.html#group3A0", "3A⁰"), =HYPERLINK("CSG7.html#group24K7", "24K⁷"), =HYPERLINK("CSG0.html#group8D0", "8D⁰"), =HYPERLINK("CSG0.html#group8B0", "8B⁰"), =HYPERLINK("CSG2.html#group24L2", "24L²"), =HYPERLINK("CSG1.html#group8D1", "8D¹"), =HYPERLINK("CSG3.html#group24J3", "24J³"), =HYPERLINK("CSG0.html#group8H0", "8H⁰"), =HYPERLINK("CSG4.html#group24H4", "24H⁴"), =HYPERLINK("CSG0.html#group12A0", "12A⁰"), =HYPERLINK("CSG3.html#group48E3", "48E³"), =HYPERLINK("CSG0.html#group4A0", "4A⁰"), =HYPERLINK("CSG1.html#group16C1", "16C¹"), =HYPERLINK("CSG1.html#group24C1", "24C¹"), =HYPERLINK("CSG1.html#group12J1", "12J¹"), =HYPERLINK("CSG0.html#group4F0", "4F⁰"), =HYPERLINK("CSG0.html#group6D0", "6D⁰")</f>
        <v/>
      </c>
      <c r="N5338" t="inlineStr"/>
    </row>
    <row r="5339">
      <c r="A5339" t="inlineStr">
        <is>
          <t>48F¹⁸</t>
        </is>
      </c>
      <c r="B5339" t="inlineStr"/>
      <c r="C5339" t="inlineStr">
        <is>
          <t>288</t>
        </is>
      </c>
      <c r="D5339" t="inlineStr">
        <is>
          <t>1</t>
        </is>
      </c>
      <c r="E5339" t="inlineStr">
        <is>
          <t>24</t>
        </is>
      </c>
      <c r="F5339" t="inlineStr">
        <is>
          <t>12</t>
        </is>
      </c>
      <c r="G5339" t="inlineStr">
        <is>
          <t>0</t>
        </is>
      </c>
      <c r="H5339" t="inlineStr">
        <is>
          <t>24⁴, 48⁴</t>
        </is>
      </c>
      <c r="I5339" t="n">
        <v>8</v>
      </c>
      <c r="J5339" t="inlineStr">
        <is>
          <t>2², 4⁵</t>
        </is>
      </c>
      <c r="K5339">
        <f>HYPERLINK("CSG4.html#group16C4", "16C⁴"), =HYPERLINK("CSG7.html#group24L7", "24L⁷"), =HYPERLINK("CSG7.html#group48O7", "48O⁷"), =HYPERLINK("CSG8.html#group48F8", "48F⁸")</f>
        <v/>
      </c>
      <c r="L5339" t="inlineStr"/>
      <c r="M5339">
        <f>HYPERLINK("CSG8.html#group48F8", "48F⁸"), =HYPERLINK("CSG0.html#group12C0", "12C⁰"), =HYPERLINK("CSG0.html#group8D0", "8D⁰"), =HYPERLINK("CSG0.html#group4C0", "4C⁰"), =HYPERLINK("CSG0.html#group8B0", "8B⁰"), =HYPERLINK("CSG0.html#group2B0", "2B⁰"), =HYPERLINK("CSG2.html#group24L2", "24L²"), =HYPERLINK("CSG0.html#group1A0", "1A⁰"), =HYPERLINK("CSG2.html#group16E2", "16E²"), =HYPERLINK("CSG0.html#group8H0", "8H⁰"), =HYPERLINK("CSG1.html#group24F1", "24F¹"), =HYPERLINK("CSG0.html#group8F0", "8F⁰"), =HYPERLINK("CSG1.html#group16D1", "16D¹"), =HYPERLINK("CSG0.html#group12A0", "12A⁰"), =HYPERLINK("CSG0.html#group24A0", "24A⁰"), =HYPERLINK("CSG3.html#group48E3", "48E³"), =HYPERLINK("CSG0.html#group4A0", "4A⁰"), =HYPERLINK("CSG1.html#group8I1", "8I¹"), =HYPERLINK("CSG4.html#group16C4", "16C⁴"), =HYPERLINK("CSG1.html#group24C1", "24C¹"), =HYPERLINK("CSG7.html#group24L7", "24L⁷"), =HYPERLINK("CSG1.html#group12J1", "12J¹"), =HYPERLINK("CSG0.html#group4F0", "4F⁰"), =HYPERLINK("CSG0.html#group3A0", "3A⁰"), =HYPERLINK("CSG7.html#group48O7", "48O⁷"), =HYPERLINK("CSG1.html#group16H1", "16H¹"), =HYPERLINK("CSG0.html#group6D0", "6D⁰")</f>
        <v/>
      </c>
      <c r="N5339" t="inlineStr"/>
    </row>
    <row r="5340">
      <c r="A5340" t="inlineStr">
        <is>
          <t>48G¹⁸</t>
        </is>
      </c>
      <c r="B5340" t="inlineStr"/>
      <c r="C5340" t="inlineStr">
        <is>
          <t>288</t>
        </is>
      </c>
      <c r="D5340" t="inlineStr">
        <is>
          <t>1</t>
        </is>
      </c>
      <c r="E5340" t="inlineStr">
        <is>
          <t>36</t>
        </is>
      </c>
      <c r="F5340" t="inlineStr">
        <is>
          <t>0</t>
        </is>
      </c>
      <c r="G5340" t="inlineStr">
        <is>
          <t>0</t>
        </is>
      </c>
      <c r="H5340" t="inlineStr">
        <is>
          <t>12⁸, 24⁴, 48²</t>
        </is>
      </c>
      <c r="I5340" t="n">
        <v>14</v>
      </c>
      <c r="J5340" t="inlineStr">
        <is>
          <t>1⁴, 2⁸, 4⁴</t>
        </is>
      </c>
      <c r="K5340">
        <f>HYPERLINK("CSG8.html#group24A8", "24A⁸"), =HYPERLINK("CSG8.html#group48U8", "48U⁸"), =HYPERLINK("CSG8.html#group48V8", "48V⁸")</f>
        <v/>
      </c>
      <c r="L5340" t="inlineStr"/>
      <c r="M5340">
        <f>HYPERLINK("CSG0.html#group2A0", "2A⁰"), =HYPERLINK("CSG0.html#group12C0", "12C⁰"), =HYPERLINK("CSG0.html#group4C0", "4C⁰"), =HYPERLINK("CSG1.html#group6C1", "6C¹"), =HYPERLINK("CSG2.html#group12B2", "12B²"), =HYPERLINK("CSG0.html#group4G0", "4G⁰"), =HYPERLINK("CSG0.html#group2B0", "2B⁰"), =HYPERLINK("CSG0.html#group4E0", "4E⁰"), =HYPERLINK("CSG0.html#group4B0", "4B⁰"), =HYPERLINK("CSG0.html#group1A0", "1A⁰"), =HYPERLINK("CSG0.html#group8K0", "8K⁰"), =HYPERLINK("CSG4.html#group12A4", "12A⁴"), =HYPERLINK("CSG0.html#group4D0", "4D⁰"), =HYPERLINK("CSG2.html#group12A2", "12A²"), =HYPERLINK("CSG1.html#group6A1", "6A¹"), =HYPERLINK("CSG1.html#group12B1", "12B¹"), =HYPERLINK("CSG0.html#group3A0", "3A⁰"), =HYPERLINK("CSG0.html#group8N0", "8N⁰"), =HYPERLINK("CSG8.html#group24A8", "24A⁸"), =HYPERLINK("CSG1.html#group12E1", "12E¹"), =HYPERLINK("CSG8.html#group48U8", "48U⁸"), =HYPERLINK("CSG8.html#group48V8", "48V⁸"), =HYPERLINK("CSG3.html#group24J3", "24J³"), =HYPERLINK("CSG0.html#group12A0", "12A⁰"), =HYPERLINK("CSG0.html#group6A0", "6A⁰"), =HYPERLINK("CSG0.html#group4A0", "4A⁰"), =HYPERLINK("CSG1.html#group12J1", "12J¹"), =HYPERLINK("CSG0.html#group4F0", "4F⁰"), =HYPERLINK("CSG0.html#group8J0", "8J⁰"), =HYPERLINK("CSG0.html#group2C0", "2C⁰"), =HYPERLINK("CSG0.html#group6D0", "6D⁰"), =HYPERLINK("CSG4.html#group24G4", "24G⁴")</f>
        <v/>
      </c>
      <c r="N5340" t="inlineStr"/>
    </row>
    <row r="5341">
      <c r="A5341" t="inlineStr">
        <is>
          <t>48H¹⁸</t>
        </is>
      </c>
      <c r="B5341" t="inlineStr"/>
      <c r="C5341" t="inlineStr">
        <is>
          <t>288</t>
        </is>
      </c>
      <c r="D5341" t="inlineStr">
        <is>
          <t>1</t>
        </is>
      </c>
      <c r="E5341" t="inlineStr">
        <is>
          <t>72</t>
        </is>
      </c>
      <c r="F5341" t="inlineStr">
        <is>
          <t>0</t>
        </is>
      </c>
      <c r="G5341" t="inlineStr">
        <is>
          <t>0</t>
        </is>
      </c>
      <c r="H5341" t="inlineStr">
        <is>
          <t>3⁴, 6², 12², 24², 48⁴</t>
        </is>
      </c>
      <c r="I5341" t="n">
        <v>14</v>
      </c>
      <c r="J5341" t="inlineStr">
        <is>
          <t>1⁴, 2⁶, 4⁴, 8³, 16¹</t>
        </is>
      </c>
      <c r="K5341">
        <f>HYPERLINK("CSG8.html#group48E8", "48E⁸")</f>
        <v/>
      </c>
      <c r="L5341" t="inlineStr"/>
      <c r="M5341">
        <f>HYPERLINK("CSG4.html#group24F4", "24F⁴"), =HYPERLINK("CSG0.html#group8C0", "8C⁰"), =HYPERLINK("CSG0.html#group2B0", "2B⁰"), =HYPERLINK("CSG0.html#group8I0", "8I⁰"), =HYPERLINK("CSG0.html#group4B0", "4B⁰"), =HYPERLINK("CSG0.html#group1A0", "1A⁰"), =HYPERLINK("CSG4.html#group48B4", "48B⁴"), =HYPERLINK("CSG0.html#group16H0", "16H⁰"), =HYPERLINK("CSG2.html#group24B2", "24B²"), =HYPERLINK("CSG8.html#group48E8", "48E⁸"), =HYPERLINK("CSG0.html#group16C0", "16C⁰"), =HYPERLINK("CSG0.html#group16D0", "16D⁰"), =HYPERLINK("CSG1.html#group12B1", "12B¹"), =HYPERLINK("CSG0.html#group3A0", "3A⁰"), =HYPERLINK("CSG0.html#group6D0", "6D⁰"), =HYPERLINK("CSG4.html#group48D4", "48D⁴")</f>
        <v/>
      </c>
      <c r="N5341" t="inlineStr"/>
    </row>
    <row r="5342">
      <c r="A5342" t="inlineStr">
        <is>
          <t>48I¹⁸</t>
        </is>
      </c>
      <c r="B5342" t="inlineStr"/>
      <c r="C5342" t="inlineStr">
        <is>
          <t>288</t>
        </is>
      </c>
      <c r="D5342" t="inlineStr">
        <is>
          <t>1</t>
        </is>
      </c>
      <c r="E5342" t="inlineStr">
        <is>
          <t>72</t>
        </is>
      </c>
      <c r="F5342" t="inlineStr">
        <is>
          <t>0</t>
        </is>
      </c>
      <c r="G5342" t="inlineStr">
        <is>
          <t>0</t>
        </is>
      </c>
      <c r="H5342" t="inlineStr">
        <is>
          <t>6⁴, 12², 24⁶, 48²</t>
        </is>
      </c>
      <c r="I5342" t="n">
        <v>14</v>
      </c>
      <c r="J5342" t="inlineStr">
        <is>
          <t>1⁸, 2¹², 4⁶, 8²</t>
        </is>
      </c>
      <c r="K5342">
        <f>HYPERLINK("CSG8.html#group24B8", "24B⁸")</f>
        <v/>
      </c>
      <c r="L5342" t="inlineStr"/>
      <c r="M5342">
        <f>HYPERLINK("CSG0.html#group2A0", "2A⁰"), =HYPERLINK("CSG4.html#group24F4", "24F⁴"), =HYPERLINK("CSG0.html#group12C0", "12C⁰"), =HYPERLINK("CSG0.html#group8D0", "8D⁰"), =HYPERLINK("CSG8.html#group24B8", "24B⁸"), =HYPERLINK("CSG1.html#group6C1", "6C¹"), =HYPERLINK("CSG0.html#group4C0", "4C⁰"), =HYPERLINK("CSG2.html#group12B2", "12B²"), =HYPERLINK("CSG0.html#group8C0", "8C⁰"), =HYPERLINK("CSG0.html#group2B0", "2B⁰"), =HYPERLINK("CSG0.html#group4E0", "4E⁰"), =HYPERLINK("CSG0.html#group8I0", "8I⁰"), =HYPERLINK("CSG0.html#group4B0", "4B⁰"), =HYPERLINK("CSG0.html#group1A0", "1A⁰"), =HYPERLINK("CSG4.html#group24D4", "24D⁴"), =HYPERLINK("CSG2.html#group24B2", "24B²"), =HYPERLINK("CSG0.html#group6A0", "6A⁰"), =HYPERLINK("CSG0.html#group8G0", "8G⁰"), =HYPERLINK("CSG1.html#group24C1", "24C¹"), =HYPERLINK("CSG1.html#group12B1", "12B¹"), =HYPERLINK("CSG1.html#group6A1", "6A¹"), =HYPERLINK("CSG0.html#group3A0", "3A⁰"), =HYPERLINK("CSG0.html#group8J0", "8J⁰"), =HYPERLINK("CSG0.html#group2C0", "2C⁰"), =HYPERLINK("CSG0.html#group6D0", "6D⁰"), =HYPERLINK("CSG4.html#group24G4", "24G⁴"), =HYPERLINK("CSG0.html#group8O0", "8O⁰")</f>
        <v/>
      </c>
      <c r="N5342" t="inlineStr"/>
    </row>
    <row r="5343">
      <c r="A5343" t="inlineStr">
        <is>
          <t>48J¹⁸</t>
        </is>
      </c>
      <c r="B5343" t="inlineStr"/>
      <c r="C5343" t="inlineStr">
        <is>
          <t>288</t>
        </is>
      </c>
      <c r="D5343" t="inlineStr">
        <is>
          <t>1</t>
        </is>
      </c>
      <c r="E5343" t="inlineStr">
        <is>
          <t>72</t>
        </is>
      </c>
      <c r="F5343" t="inlineStr">
        <is>
          <t>8</t>
        </is>
      </c>
      <c r="G5343" t="inlineStr">
        <is>
          <t>0</t>
        </is>
      </c>
      <c r="H5343" t="inlineStr">
        <is>
          <t>24⁸, 48²</t>
        </is>
      </c>
      <c r="I5343" t="n">
        <v>10</v>
      </c>
      <c r="J5343" t="inlineStr">
        <is>
          <t>4⁴, 8⁸, 16⁴</t>
        </is>
      </c>
      <c r="K5343">
        <f>HYPERLINK("CSG8.html#group24K8", "24K⁸"), =HYPERLINK("CSG8.html#group48G8", "48G⁸"), =HYPERLINK("CSG8.html#group48V8", "48V⁸")</f>
        <v/>
      </c>
      <c r="L5343" t="inlineStr"/>
      <c r="M5343">
        <f>HYPERLINK("CSG4.html#group24O4", "24O⁴"), =HYPERLINK("CSG1.html#group24E1", "24E¹"), =HYPERLINK("CSG0.html#group12C0", "12C⁰"), =HYPERLINK("CSG0.html#group4C0", "4C⁰"), =HYPERLINK("CSG1.html#group24D1", "24D¹"), =HYPERLINK("CSG0.html#group2B0", "2B⁰"), =HYPERLINK("CSG3.html#group24P3", "24P³"), =HYPERLINK("CSG1.html#group24B1", "24B¹"), =HYPERLINK("CSG8.html#group48V8", "48V⁸"), =HYPERLINK("CSG0.html#group1A0", "1A⁰"), =HYPERLINK("CSG0.html#group8K0", "8K⁰"), =HYPERLINK("CSG3.html#group24J3", "24J³"), =HYPERLINK("CSG0.html#group12A0", "12A⁰"), =HYPERLINK("CSG0.html#group4A0", "4A⁰"), =HYPERLINK("CSG8.html#group24K8", "24K⁸"), =HYPERLINK("CSG8.html#group48G8", "48G⁸"), =HYPERLINK("CSG1.html#group12J1", "12J¹"), =HYPERLINK("CSG0.html#group4F0", "4F⁰"), =HYPERLINK("CSG0.html#group3A0", "3A⁰"), =HYPERLINK("CSG1.html#group16K1", "16K¹"), =HYPERLINK("CSG0.html#group6D0", "6D⁰")</f>
        <v/>
      </c>
      <c r="N5343" t="inlineStr"/>
    </row>
    <row r="5344">
      <c r="A5344" t="inlineStr">
        <is>
          <t>48K¹⁸</t>
        </is>
      </c>
      <c r="B5344" t="inlineStr"/>
      <c r="C5344" t="inlineStr">
        <is>
          <t>288</t>
        </is>
      </c>
      <c r="D5344" t="inlineStr">
        <is>
          <t>1</t>
        </is>
      </c>
      <c r="E5344" t="inlineStr">
        <is>
          <t>72</t>
        </is>
      </c>
      <c r="F5344" t="inlineStr">
        <is>
          <t>8</t>
        </is>
      </c>
      <c r="G5344" t="inlineStr">
        <is>
          <t>0</t>
        </is>
      </c>
      <c r="H5344" t="inlineStr">
        <is>
          <t>24⁸, 48²</t>
        </is>
      </c>
      <c r="I5344" t="n">
        <v>10</v>
      </c>
      <c r="J5344" t="inlineStr">
        <is>
          <t>4⁴, 8⁸, 16⁴</t>
        </is>
      </c>
      <c r="K5344">
        <f>HYPERLINK("CSG8.html#group24K8", "24K⁸"), =HYPERLINK("CSG8.html#group48H8", "48H⁸"), =HYPERLINK("CSG8.html#group48U8", "48U⁸")</f>
        <v/>
      </c>
      <c r="L5344" t="inlineStr"/>
      <c r="M5344">
        <f>HYPERLINK("CSG4.html#group24O4", "24O⁴"), =HYPERLINK("CSG1.html#group24E1", "24E¹"), =HYPERLINK("CSG0.html#group12C0", "12C⁰"), =HYPERLINK("CSG0.html#group4C0", "4C⁰"), =HYPERLINK("CSG1.html#group24D1", "24D¹"), =HYPERLINK("CSG8.html#group48U8", "48U⁸"), =HYPERLINK("CSG0.html#group2B0", "2B⁰"), =HYPERLINK("CSG8.html#group48H8", "48H⁸"), =HYPERLINK("CSG3.html#group24P3", "24P³"), =HYPERLINK("CSG1.html#group24B1", "24B¹"), =HYPERLINK("CSG0.html#group1A0", "1A⁰"), =HYPERLINK("CSG0.html#group8K0", "8K⁰"), =HYPERLINK("CSG3.html#group24J3", "24J³"), =HYPERLINK("CSG1.html#group16L1", "16L¹"), =HYPERLINK("CSG0.html#group12A0", "12A⁰"), =HYPERLINK("CSG0.html#group4A0", "4A⁰"), =HYPERLINK("CSG8.html#group24K8", "24K⁸"), =HYPERLINK("CSG1.html#group12J1", "12J¹"), =HYPERLINK("CSG0.html#group4F0", "4F⁰"), =HYPERLINK("CSG0.html#group3A0", "3A⁰"), =HYPERLINK("CSG0.html#group6D0", "6D⁰")</f>
        <v/>
      </c>
      <c r="N5344" t="inlineStr"/>
    </row>
    <row r="5345">
      <c r="A5345" t="inlineStr">
        <is>
          <t>48L¹⁸</t>
        </is>
      </c>
      <c r="B5345" t="inlineStr"/>
      <c r="C5345" t="inlineStr">
        <is>
          <t>288</t>
        </is>
      </c>
      <c r="D5345" t="inlineStr">
        <is>
          <t>1</t>
        </is>
      </c>
      <c r="E5345" t="inlineStr">
        <is>
          <t>72</t>
        </is>
      </c>
      <c r="F5345" t="inlineStr">
        <is>
          <t>12</t>
        </is>
      </c>
      <c r="G5345" t="inlineStr">
        <is>
          <t>0</t>
        </is>
      </c>
      <c r="H5345" t="inlineStr">
        <is>
          <t>24⁴, 48⁴</t>
        </is>
      </c>
      <c r="I5345" t="n">
        <v>8</v>
      </c>
      <c r="J5345" t="inlineStr">
        <is>
          <t>2², 4⁷, 8⁵</t>
        </is>
      </c>
      <c r="K5345">
        <f>HYPERLINK("CSG7.html#group24K7", "24K⁷"), =HYPERLINK("CSG7.html#group48AC7", "48AC⁷"), =HYPERLINK("CSG8.html#group48R8", "48R⁸")</f>
        <v/>
      </c>
      <c r="L5345" t="inlineStr"/>
      <c r="M5345">
        <f>HYPERLINK("CSG7.html#group24K7", "24K⁷"), =HYPERLINK("CSG0.html#group12C0", "12C⁰"), =HYPERLINK("CSG3.html#group48G3", "48G³"), =HYPERLINK("CSG8.html#group48R8", "48R⁸"), =HYPERLINK("CSG7.html#group48AC7", "48AC⁷"), =HYPERLINK("CSG0.html#group8D0", "8D⁰"), =HYPERLINK("CSG4.html#group48H4", "48H⁴"), =HYPERLINK("CSG0.html#group4C0", "4C⁰"), =HYPERLINK("CSG0.html#group8B0", "8B⁰"), =HYPERLINK("CSG0.html#group8A0", "8A⁰"), =HYPERLINK("CSG0.html#group2B0", "2B⁰"), =HYPERLINK("CSG2.html#group24L2", "24L²"), =HYPERLINK("CSG0.html#group8K0", "8K⁰"), =HYPERLINK("CSG0.html#group1A0", "1A⁰"), =HYPERLINK("CSG1.html#group8D1", "8D¹"), =HYPERLINK("CSG1.html#group8H1", "8H¹"), =HYPERLINK("CSG3.html#group48H3", "48H³"), =HYPERLINK("CSG3.html#group24J3", "24J³"), =HYPERLINK("CSG0.html#group8H0", "8H⁰"), =HYPERLINK("CSG4.html#group24H4", "24H⁴"), =HYPERLINK("CSG0.html#group12A0", "12A⁰"), =HYPERLINK("CSG1.html#group24A1", "24A¹"),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5345" t="inlineStr"/>
    </row>
    <row r="5346">
      <c r="A5346" t="inlineStr">
        <is>
          <t>48M¹⁸</t>
        </is>
      </c>
      <c r="B5346" t="inlineStr"/>
      <c r="C5346" t="inlineStr">
        <is>
          <t>288</t>
        </is>
      </c>
      <c r="D5346" t="inlineStr">
        <is>
          <t>1</t>
        </is>
      </c>
      <c r="E5346" t="inlineStr">
        <is>
          <t>72</t>
        </is>
      </c>
      <c r="F5346" t="inlineStr">
        <is>
          <t>12</t>
        </is>
      </c>
      <c r="G5346" t="inlineStr">
        <is>
          <t>0</t>
        </is>
      </c>
      <c r="H5346" t="inlineStr">
        <is>
          <t>24⁴, 48⁴</t>
        </is>
      </c>
      <c r="I5346" t="n">
        <v>8</v>
      </c>
      <c r="J5346" t="inlineStr">
        <is>
          <t>2², 4⁷, 8⁵</t>
        </is>
      </c>
      <c r="K5346">
        <f>HYPERLINK("CSG7.html#group24L7", "24L⁷"), =HYPERLINK("CSG7.html#group48AB7", "48AB⁷"), =HYPERLINK("CSG8.html#group48R8", "48R⁸")</f>
        <v/>
      </c>
      <c r="L5346" t="inlineStr"/>
      <c r="M5346">
        <f>HYPERLINK("CSG0.html#group12C0", "12C⁰"), =HYPERLINK("CSG8.html#group48R8", "48R⁸"), =HYPERLINK("CSG0.html#group8D0", "8D⁰"), =HYPERLINK("CSG0.html#group4C0", "4C⁰"), =HYPERLINK("CSG0.html#group8B0", "8B⁰"), =HYPERLINK("CSG0.html#group2B0", "2B⁰"), =HYPERLINK("CSG2.html#group24L2", "24L²"), =HYPERLINK("CSG0.html#group1A0", "1A⁰"), =HYPERLINK("CSG3.html#group48H3", "48H³"), =HYPERLINK("CSG0.html#group8H0", "8H⁰"), =HYPERLINK("CSG1.html#group24F1", "24F¹"), =HYPERLINK("CSG7.html#group48AB7", "48AB⁷"), =HYPERLINK("CSG0.html#group12A0", "12A⁰"), =HYPERLINK("CSG0.html#group8F0", "8F⁰"), =HYPERLINK("CSG0.html#group24A0", "24A⁰"), =HYPERLINK("CSG0.html#group4A0", "4A⁰"), =HYPERLINK("CSG1.html#group8I1", "8I¹"), =HYPERLINK("CSG1.html#group24C1", "24C¹"), =HYPERLINK("CSG7.html#group24L7", "24L⁷"), =HYPERLINK("CSG1.html#group12J1", "12J¹"), =HYPERLINK("CSG0.html#group4F0", "4F⁰"), =HYPERLINK("CSG0.html#group3A0", "3A⁰"), =HYPERLINK("CSG0.html#group6D0", "6D⁰")</f>
        <v/>
      </c>
      <c r="N5346" t="inlineStr"/>
    </row>
    <row r="5347">
      <c r="A5347" t="inlineStr">
        <is>
          <t>48N¹⁸</t>
        </is>
      </c>
      <c r="B5347" t="inlineStr"/>
      <c r="C5347" t="inlineStr">
        <is>
          <t>288</t>
        </is>
      </c>
      <c r="D5347" t="inlineStr">
        <is>
          <t>1</t>
        </is>
      </c>
      <c r="E5347" t="inlineStr">
        <is>
          <t>72</t>
        </is>
      </c>
      <c r="F5347" t="inlineStr">
        <is>
          <t>12</t>
        </is>
      </c>
      <c r="G5347" t="inlineStr">
        <is>
          <t>0</t>
        </is>
      </c>
      <c r="H5347" t="inlineStr">
        <is>
          <t>24⁴, 48⁴</t>
        </is>
      </c>
      <c r="I5347" t="n">
        <v>8</v>
      </c>
      <c r="J5347" t="inlineStr">
        <is>
          <t>2², 4⁷, 8⁵</t>
        </is>
      </c>
      <c r="K5347">
        <f>HYPERLINK("CSG7.html#group24AB7", "24AB⁷"), =HYPERLINK("CSG7.html#group48P7", "48P⁷"), =HYPERLINK("CSG8.html#group48R8", "48R⁸")</f>
        <v/>
      </c>
      <c r="L5347" t="inlineStr"/>
      <c r="M5347">
        <f>HYPERLINK("CSG4.html#group24O4", "24O⁴"), =HYPERLINK("CSG0.html#group12C0", "12C⁰"), =HYPERLINK("CSG1.html#group16I1", "16I¹"), =HYPERLINK("CSG8.html#group48R8", "48R⁸"), =HYPERLINK("CSG0.html#group8D0", "8D⁰"), =HYPERLINK("CSG0.html#group4C0", "4C⁰"), =HYPERLINK("CSG7.html#group48P7", "48P⁷"), =HYPERLINK("CSG0.html#group8B0", "8B⁰"), =HYPERLINK("CSG0.html#group2B0", "2B⁰"), =HYPERLINK("CSG1.html#group24B1", "24B¹"), =HYPERLINK("CSG2.html#group24L2", "24L²"), =HYPERLINK("CSG0.html#group1A0", "1A⁰"), =HYPERLINK("CSG3.html#group48H3", "48H³"), =HYPERLINK("CSG0.html#group8H0", "8H⁰"), =HYPERLINK("CSG0.html#group16E0", "16E⁰"), =HYPERLINK("CSG0.html#group12A0", "12A⁰"), =HYPERLINK("CSG4.html#group48E4", "48E⁴"), =HYPERLINK("CSG0.html#group24A0", "24A⁰"), =HYPERLINK("CSG0.html#group4A0", "4A⁰"), =HYPERLINK("CSG1.html#group16C1", "16C¹"), =HYPERLINK("CSG1.html#group24C1", "24C¹"), =HYPERLINK("CSG7.html#group24AB7", "24AB⁷"), =HYPERLINK("CSG1.html#group12J1", "12J¹"), =HYPERLINK("CSG0.html#group4F0", "4F⁰"), =HYPERLINK("CSG3.html#group24R3", "24R³"), =HYPERLINK("CSG0.html#group3A0", "3A⁰"), =HYPERLINK("CSG3.html#group48D3", "48D³"), =HYPERLINK("CSG0.html#group6D0", "6D⁰")</f>
        <v/>
      </c>
      <c r="N5347" t="inlineStr"/>
    </row>
    <row r="5348">
      <c r="A5348" t="inlineStr">
        <is>
          <t>48O¹⁸</t>
        </is>
      </c>
      <c r="B5348" t="inlineStr"/>
      <c r="C5348" t="inlineStr">
        <is>
          <t>288</t>
        </is>
      </c>
      <c r="D5348" t="inlineStr">
        <is>
          <t>1</t>
        </is>
      </c>
      <c r="E5348" t="inlineStr">
        <is>
          <t>72</t>
        </is>
      </c>
      <c r="F5348" t="inlineStr">
        <is>
          <t>12</t>
        </is>
      </c>
      <c r="G5348" t="inlineStr">
        <is>
          <t>0</t>
        </is>
      </c>
      <c r="H5348" t="inlineStr">
        <is>
          <t>24⁴, 48⁴</t>
        </is>
      </c>
      <c r="I5348" t="n">
        <v>8</v>
      </c>
      <c r="J5348" t="inlineStr">
        <is>
          <t>2², 4⁷, 8⁵</t>
        </is>
      </c>
      <c r="K5348">
        <f>HYPERLINK("CSG7.html#group24AB7", "24AB⁷"), =HYPERLINK("CSG7.html#group48AC7", "48AC⁷"), =HYPERLINK("CSG8.html#group48F8", "48F⁸")</f>
        <v/>
      </c>
      <c r="L5348" t="inlineStr"/>
      <c r="M5348">
        <f>HYPERLINK("CSG4.html#group24O4", "24O⁴"), =HYPERLINK("CSG8.html#group48F8", "48F⁸"), =HYPERLINK("CSG0.html#group12C0", "12C⁰"), =HYPERLINK("CSG3.html#group48G3", "48G³"), =HYPERLINK("CSG7.html#group48AC7", "48AC⁷"), =HYPERLINK("CSG4.html#group48H4", "48H⁴"), =HYPERLINK("CSG0.html#group8D0", "8D⁰"), =HYPERLINK("CSG0.html#group4C0", "4C⁰"), =HYPERLINK("CSG0.html#group8B0", "8B⁰"), =HYPERLINK("CSG0.html#group2B0", "2B⁰"), =HYPERLINK("CSG1.html#group24B1", "24B¹"), =HYPERLINK("CSG2.html#group24L2", "24L²"), =HYPERLINK("CSG0.html#group1A0", "1A⁰"), =HYPERLINK("CSG2.html#group16E2", "16E²"), =HYPERLINK("CSG0.html#group8H0", "8H⁰"), =HYPERLINK("CSG0.html#group12A0", "12A⁰"), =HYPERLINK("CSG1.html#group16D1", "16D¹"), =HYPERLINK("CSG0.html#group24A0", "24A⁰"), =HYPERLINK("CSG3.html#group48E3", "48E³"), =HYPERLINK("CSG0.html#group4A0", "4A⁰"), =HYPERLINK("CSG1.html#group24C1", "24C¹"), =HYPERLINK("CSG7.html#group24AB7", "24AB⁷"), =HYPERLINK("CSG1.html#group12J1", "12J¹"), =HYPERLINK("CSG0.html#group4F0", "4F⁰"), =HYPERLINK("CSG3.html#group24R3", "24R³"), =HYPERLINK("CSG0.html#group3A0", "3A⁰"), =HYPERLINK("CSG0.html#group6D0", "6D⁰")</f>
        <v/>
      </c>
      <c r="N5348" t="inlineStr"/>
    </row>
    <row r="5349">
      <c r="A5349" t="inlineStr">
        <is>
          <t>48P¹⁸</t>
        </is>
      </c>
      <c r="B5349" t="inlineStr"/>
      <c r="C5349" t="inlineStr">
        <is>
          <t>288</t>
        </is>
      </c>
      <c r="D5349" t="inlineStr">
        <is>
          <t>1</t>
        </is>
      </c>
      <c r="E5349" t="inlineStr">
        <is>
          <t>72</t>
        </is>
      </c>
      <c r="F5349" t="inlineStr">
        <is>
          <t>12</t>
        </is>
      </c>
      <c r="G5349" t="inlineStr">
        <is>
          <t>0</t>
        </is>
      </c>
      <c r="H5349" t="inlineStr">
        <is>
          <t>24⁴, 48⁴</t>
        </is>
      </c>
      <c r="I5349" t="n">
        <v>8</v>
      </c>
      <c r="J5349" t="inlineStr">
        <is>
          <t>2², 4⁷, 8⁵</t>
        </is>
      </c>
      <c r="K5349">
        <f>HYPERLINK("CSG7.html#group24AC7", "24AC⁷"), =HYPERLINK("CSG7.html#group48O7", "48O⁷"), =HYPERLINK("CSG8.html#group48R8", "48R⁸")</f>
        <v/>
      </c>
      <c r="L5349" t="inlineStr"/>
      <c r="M5349">
        <f>HYPERLINK("CSG0.html#group12C0", "12C⁰"), =HYPERLINK("CSG7.html#group24AC7", "24AC⁷"), =HYPERLINK("CSG8.html#group48R8", "48R⁸"), =HYPERLINK("CSG0.html#group8D0", "8D⁰"), =HYPERLINK("CSG0.html#group4C0", "4C⁰"), =HYPERLINK("CSG0.html#group8B0", "8B⁰"), =HYPERLINK("CSG0.html#group2B0", "2B⁰"), =HYPERLINK("CSG2.html#group24L2", "24L²"), =HYPERLINK("CSG0.html#group1A0", "1A⁰"), =HYPERLINK("CSG3.html#group48H3", "48H³"), =HYPERLINK("CSG0.html#group8H0", "8H⁰"),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=HYPERLINK("CSG7.html#group48O7", "48O⁷"), =HYPERLINK("CSG1.html#group16H1", "16H¹"), =HYPERLINK("CSG0.html#group6D0", "6D⁰")</f>
        <v/>
      </c>
      <c r="N5349" t="inlineStr"/>
    </row>
    <row r="5350">
      <c r="A5350" t="inlineStr">
        <is>
          <t>48Q¹⁸</t>
        </is>
      </c>
      <c r="B5350" t="inlineStr"/>
      <c r="C5350" t="inlineStr">
        <is>
          <t>288</t>
        </is>
      </c>
      <c r="D5350" t="inlineStr">
        <is>
          <t>1</t>
        </is>
      </c>
      <c r="E5350" t="inlineStr">
        <is>
          <t>72</t>
        </is>
      </c>
      <c r="F5350" t="inlineStr">
        <is>
          <t>12</t>
        </is>
      </c>
      <c r="G5350" t="inlineStr">
        <is>
          <t>0</t>
        </is>
      </c>
      <c r="H5350" t="inlineStr">
        <is>
          <t>24⁴, 48⁴</t>
        </is>
      </c>
      <c r="I5350" t="n">
        <v>8</v>
      </c>
      <c r="J5350" t="inlineStr">
        <is>
          <t>2², 4⁷, 8⁵</t>
        </is>
      </c>
      <c r="K5350">
        <f>HYPERLINK("CSG7.html#group24AC7", "24AC⁷"), =HYPERLINK("CSG7.html#group48AB7", "48AB⁷"), =HYPERLINK("CSG8.html#group48F8", "48F⁸")</f>
        <v/>
      </c>
      <c r="L5350" t="inlineStr"/>
      <c r="M5350">
        <f>HYPERLINK("CSG8.html#group48F8", "48F⁸"), =HYPERLINK("CSG0.html#group12C0", "12C⁰"), =HYPERLINK("CSG7.html#group24AC7", "24AC⁷"), =HYPERLINK("CSG0.html#group8D0", "8D⁰"), =HYPERLINK("CSG0.html#group4C0", "4C⁰"), =HYPERLINK("CSG0.html#group8B0", "8B⁰"), =HYPERLINK("CSG0.html#group2B0", "2B⁰"), =HYPERLINK("CSG2.html#group24L2", "24L²"), =HYPERLINK("CSG0.html#group1A0", "1A⁰"), =HYPERLINK("CSG2.html#group16E2", "16E²"), =HYPERLINK("CSG0.html#group8H0", "8H⁰"), =HYPERLINK("CSG7.html#group48AB7", "48AB⁷"), =HYPERLINK("CSG0.html#group12A0", "12A⁰"), =HYPERLINK("CSG1.html#group16D1", "16D¹"), =HYPERLINK("CSG0.html#group24A0", "24A⁰"), =HYPERLINK("CSG3.html#group48E3", "48E³"),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5350" t="inlineStr"/>
    </row>
    <row r="5351">
      <c r="A5351" t="inlineStr">
        <is>
          <t>48R¹⁸</t>
        </is>
      </c>
      <c r="B5351" t="inlineStr"/>
      <c r="C5351" t="inlineStr">
        <is>
          <t>288</t>
        </is>
      </c>
      <c r="D5351" t="inlineStr">
        <is>
          <t>2</t>
        </is>
      </c>
      <c r="E5351" t="inlineStr">
        <is>
          <t>72</t>
        </is>
      </c>
      <c r="F5351" t="inlineStr">
        <is>
          <t>8</t>
        </is>
      </c>
      <c r="G5351" t="inlineStr">
        <is>
          <t>0</t>
        </is>
      </c>
      <c r="H5351" t="inlineStr">
        <is>
          <t>24⁸, 48²</t>
        </is>
      </c>
      <c r="I5351" t="n">
        <v>10</v>
      </c>
      <c r="J5351" t="inlineStr">
        <is>
          <t>8⁶, 16⁶</t>
        </is>
      </c>
      <c r="K5351">
        <f>HYPERLINK("CSG8.html#group24K8", "24K⁸"), =HYPERLINK("CSG8.html#group48U8", "48U⁸"), =HYPERLINK("CSG8.html#group48V8", "48V⁸")</f>
        <v/>
      </c>
      <c r="L5351" t="inlineStr"/>
      <c r="M5351">
        <f>HYPERLINK("CSG4.html#group24O4", "24O⁴"), =HYPERLINK("CSG1.html#group24E1", "24E¹"), =HYPERLINK("CSG0.html#group12C0", "12C⁰"), =HYPERLINK("CSG0.html#group4C0", "4C⁰"), =HYPERLINK("CSG1.html#group24D1", "24D¹"), =HYPERLINK("CSG8.html#group48U8", "48U⁸"), =HYPERLINK("CSG0.html#group2B0", "2B⁰"), =HYPERLINK("CSG3.html#group24P3", "24P³"), =HYPERLINK("CSG1.html#group24B1", "24B¹"), =HYPERLINK("CSG8.html#group48V8", "48V⁸"), =HYPERLINK("CSG0.html#group1A0", "1A⁰"), =HYPERLINK("CSG0.html#group8K0", "8K⁰"), =HYPERLINK("CSG3.html#group24J3", "24J³"), =HYPERLINK("CSG0.html#group12A0", "12A⁰"), =HYPERLINK("CSG0.html#group4A0", "4A⁰"), =HYPERLINK("CSG8.html#group24K8", "24K⁸"), =HYPERLINK("CSG1.html#group12J1", "12J¹"), =HYPERLINK("CSG0.html#group4F0", "4F⁰"), =HYPERLINK("CSG0.html#group3A0", "3A⁰"), =HYPERLINK("CSG0.html#group6D0", "6D⁰")</f>
        <v/>
      </c>
      <c r="N5351" t="inlineStr"/>
    </row>
    <row r="5352">
      <c r="A5352" t="inlineStr">
        <is>
          <t>48S¹⁸</t>
        </is>
      </c>
      <c r="B5352" t="inlineStr"/>
      <c r="C5352" t="inlineStr">
        <is>
          <t>288</t>
        </is>
      </c>
      <c r="D5352" t="inlineStr">
        <is>
          <t>2</t>
        </is>
      </c>
      <c r="E5352" t="inlineStr">
        <is>
          <t>72</t>
        </is>
      </c>
      <c r="F5352" t="inlineStr">
        <is>
          <t>12</t>
        </is>
      </c>
      <c r="G5352" t="inlineStr">
        <is>
          <t>0</t>
        </is>
      </c>
      <c r="H5352" t="inlineStr">
        <is>
          <t>24⁴, 48⁴</t>
        </is>
      </c>
      <c r="I5352" t="n">
        <v>8</v>
      </c>
      <c r="J5352" t="inlineStr">
        <is>
          <t>4⁶, 8¹⁵</t>
        </is>
      </c>
      <c r="K5352">
        <f>HYPERLINK("CSG7.html#group24AB7", "24AB⁷"), =HYPERLINK("CSG7.html#group48AC7", "48AC⁷"), =HYPERLINK("CSG8.html#group48R8", "48R⁸")</f>
        <v/>
      </c>
      <c r="L5352" t="inlineStr"/>
      <c r="M5352">
        <f>HYPERLINK("CSG4.html#group24O4", "24O⁴"), =HYPERLINK("CSG0.html#group12C0", "12C⁰"), =HYPERLINK("CSG3.html#group48G3", "48G³"), =HYPERLINK("CSG8.html#group48R8", "48R⁸"), =HYPERLINK("CSG7.html#group48AC7", "48AC⁷"), =HYPERLINK("CSG0.html#group8D0", "8D⁰"), =HYPERLINK("CSG4.html#group48H4", "48H⁴"), =HYPERLINK("CSG0.html#group4C0", "4C⁰"), =HYPERLINK("CSG0.html#group8B0", "8B⁰"), =HYPERLINK("CSG0.html#group2B0", "2B⁰"), =HYPERLINK("CSG1.html#group24B1", "24B¹"), =HYPERLINK("CSG2.html#group24L2", "24L²"), =HYPERLINK("CSG0.html#group1A0", "1A⁰"), =HYPERLINK("CSG3.html#group48H3", "48H³"), =HYPERLINK("CSG0.html#group8H0", "8H⁰"), =HYPERLINK("CSG0.html#group12A0", "12A⁰"), =HYPERLINK("CSG0.html#group24A0", "24A⁰"), =HYPERLINK("CSG0.html#group4A0", "4A⁰"), =HYPERLINK("CSG1.html#group24C1", "24C¹"), =HYPERLINK("CSG7.html#group24AB7", "24AB⁷"), =HYPERLINK("CSG1.html#group12J1", "12J¹"), =HYPERLINK("CSG0.html#group4F0", "4F⁰"), =HYPERLINK("CSG3.html#group24R3", "24R³"), =HYPERLINK("CSG0.html#group3A0", "3A⁰"), =HYPERLINK("CSG0.html#group6D0", "6D⁰")</f>
        <v/>
      </c>
      <c r="N5352" t="inlineStr"/>
    </row>
    <row r="5353">
      <c r="A5353" t="inlineStr">
        <is>
          <t>48T¹⁸</t>
        </is>
      </c>
      <c r="B5353" t="inlineStr"/>
      <c r="C5353" t="inlineStr">
        <is>
          <t>288</t>
        </is>
      </c>
      <c r="D5353" t="inlineStr">
        <is>
          <t>2</t>
        </is>
      </c>
      <c r="E5353" t="inlineStr">
        <is>
          <t>72</t>
        </is>
      </c>
      <c r="F5353" t="inlineStr">
        <is>
          <t>12</t>
        </is>
      </c>
      <c r="G5353" t="inlineStr">
        <is>
          <t>0</t>
        </is>
      </c>
      <c r="H5353" t="inlineStr">
        <is>
          <t>24⁴, 48⁴</t>
        </is>
      </c>
      <c r="I5353" t="n">
        <v>8</v>
      </c>
      <c r="J5353" t="inlineStr">
        <is>
          <t>4⁶, 8¹⁵</t>
        </is>
      </c>
      <c r="K5353">
        <f>HYPERLINK("CSG7.html#group24AC7", "24AC⁷"), =HYPERLINK("CSG7.html#group48AB7", "48AB⁷"), =HYPERLINK("CSG8.html#group48R8", "48R⁸")</f>
        <v/>
      </c>
      <c r="L5353" t="inlineStr"/>
      <c r="M5353">
        <f>HYPERLINK("CSG0.html#group12C0", "12C⁰"), =HYPERLINK("CSG7.html#group24AC7", "24AC⁷"), =HYPERLINK("CSG8.html#group48R8", "48R⁸"), =HYPERLINK("CSG0.html#group8D0", "8D⁰"), =HYPERLINK("CSG0.html#group4C0", "4C⁰"), =HYPERLINK("CSG0.html#group8B0", "8B⁰"), =HYPERLINK("CSG0.html#group2B0", "2B⁰"), =HYPERLINK("CSG2.html#group24L2", "24L²"), =HYPERLINK("CSG0.html#group1A0", "1A⁰"), =HYPERLINK("CSG3.html#group48H3", "48H³"), =HYPERLINK("CSG0.html#group8H0", "8H⁰"), =HYPERLINK("CSG7.html#group48AB7", "48AB⁷"),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5353" t="inlineStr"/>
    </row>
    <row r="5354">
      <c r="A5354" t="inlineStr">
        <is>
          <t>49A¹⁸</t>
        </is>
      </c>
      <c r="B5354" t="inlineStr"/>
      <c r="C5354" t="inlineStr">
        <is>
          <t>294</t>
        </is>
      </c>
      <c r="D5354" t="inlineStr">
        <is>
          <t>2</t>
        </is>
      </c>
      <c r="E5354" t="inlineStr">
        <is>
          <t>147</t>
        </is>
      </c>
      <c r="F5354" t="inlineStr">
        <is>
          <t>18</t>
        </is>
      </c>
      <c r="G5354" t="inlineStr">
        <is>
          <t>0</t>
        </is>
      </c>
      <c r="H5354" t="inlineStr">
        <is>
          <t>49⁶</t>
        </is>
      </c>
      <c r="I5354" t="n">
        <v>6</v>
      </c>
      <c r="J5354" t="inlineStr">
        <is>
          <t>6⁷, 42⁶</t>
        </is>
      </c>
      <c r="K5354">
        <f>HYPERLINK("CSG0.html#group7G0", "7G⁰"), =HYPERLINK("CSG9.html#group49A9", "49A⁹")</f>
        <v/>
      </c>
      <c r="L5354" t="inlineStr"/>
      <c r="M5354">
        <f>HYPERLINK("CSG0.html#group7G0", "7G⁰"), =HYPERLINK("CSG0.html#group7D0", "7D⁰"), =HYPERLINK("CSG0.html#group1A0", "1A⁰"), =HYPERLINK("CSG9.html#group49A9", "49A⁹"), =HYPERLINK("CSG0.html#group7C0", "7C⁰"), =HYPERLINK("CSG0.html#group7A0", "7A⁰")</f>
        <v/>
      </c>
      <c r="N5354" t="inlineStr"/>
    </row>
    <row r="5355">
      <c r="A5355" t="inlineStr">
        <is>
          <t>50A¹⁸</t>
        </is>
      </c>
      <c r="B5355" t="inlineStr"/>
      <c r="C5355" t="inlineStr">
        <is>
          <t>300</t>
        </is>
      </c>
      <c r="D5355" t="inlineStr">
        <is>
          <t>1</t>
        </is>
      </c>
      <c r="E5355" t="inlineStr">
        <is>
          <t>75</t>
        </is>
      </c>
      <c r="F5355" t="inlineStr">
        <is>
          <t>4</t>
        </is>
      </c>
      <c r="G5355" t="inlineStr">
        <is>
          <t>0</t>
        </is>
      </c>
      <c r="H5355" t="inlineStr">
        <is>
          <t>10¹⁰, 50⁴</t>
        </is>
      </c>
      <c r="I5355" t="n">
        <v>14</v>
      </c>
      <c r="J5355" t="inlineStr">
        <is>
          <t>2², 4⁴, 10¹, 20⁶</t>
        </is>
      </c>
      <c r="K5355">
        <f>HYPERLINK("CSG2.html#group10C2", "10C²"), =HYPERLINK("CSG6.html#group25E6", "25E⁶"), =HYPERLINK("CSG7.html#group50A7", "50A⁷"), =HYPERLINK("CSG9.html#group50E9", "50E⁹")</f>
        <v/>
      </c>
      <c r="L5355" t="inlineStr"/>
      <c r="M5355">
        <f>HYPERLINK("CSG2.html#group25F2", "25F²"), =HYPERLINK("CSG0.html#group5A0", "5A⁰"), =HYPERLINK("CSG0.html#group10D0", "10D⁰"), =HYPERLINK("CSG2.html#group10C2", "10C²"), =HYPERLINK("CSG0.html#group5B0", "5B⁰"), =HYPERLINK("CSG0.html#group5E0", "5E⁰"), =HYPERLINK("CSG0.html#group1A0", "1A⁰"), =HYPERLINK("CSG6.html#group25E6", "25E⁶"), =HYPERLINK("CSG9.html#group50E9", "50E⁹"), =HYPERLINK("CSG1.html#group10E1", "10E¹"), =HYPERLINK("CSG0.html#group5C0", "5C⁰"), =HYPERLINK("CSG7.html#group50A7", "50A⁷"), =HYPERLINK("CSG0.html#group5G0", "5G⁰"), =HYPERLINK("CSG0.html#group10B0", "10B⁰")</f>
        <v/>
      </c>
      <c r="N5355" t="inlineStr"/>
    </row>
    <row r="5356">
      <c r="A5356" t="inlineStr">
        <is>
          <t>50B¹⁸</t>
        </is>
      </c>
      <c r="B5356" t="inlineStr"/>
      <c r="C5356" t="inlineStr">
        <is>
          <t>300</t>
        </is>
      </c>
      <c r="D5356" t="inlineStr">
        <is>
          <t>1</t>
        </is>
      </c>
      <c r="E5356" t="inlineStr">
        <is>
          <t>75</t>
        </is>
      </c>
      <c r="F5356" t="inlineStr">
        <is>
          <t>4</t>
        </is>
      </c>
      <c r="G5356" t="inlineStr">
        <is>
          <t>0</t>
        </is>
      </c>
      <c r="H5356" t="inlineStr">
        <is>
          <t>10¹⁰, 50⁴</t>
        </is>
      </c>
      <c r="I5356" t="n">
        <v>14</v>
      </c>
      <c r="J5356" t="inlineStr">
        <is>
          <t>2², 4⁴, 10¹, 20⁶</t>
        </is>
      </c>
      <c r="K5356">
        <f>HYPERLINK("CSG2.html#group10C2", "10C²"), =HYPERLINK("CSG6.html#group25F6", "25F⁶"), =HYPERLINK("CSG7.html#group50B7", "50B⁷"), =HYPERLINK("CSG9.html#group50E9", "50E⁹")</f>
        <v/>
      </c>
      <c r="L5356" t="inlineStr"/>
      <c r="M5356">
        <f>HYPERLINK("CSG2.html#group25F2", "25F²"), =HYPERLINK("CSG7.html#group50B7", "50B⁷"), =HYPERLINK("CSG0.html#group5A0", "5A⁰"), =HYPERLINK("CSG0.html#group10D0", "10D⁰"), =HYPERLINK("CSG2.html#group10C2", "10C²"), =HYPERLINK("CSG0.html#group5B0", "5B⁰"), =HYPERLINK("CSG0.html#group5E0", "5E⁰"), =HYPERLINK("CSG6.html#group25F6", "25F⁶"), =HYPERLINK("CSG0.html#group1A0", "1A⁰"), =HYPERLINK("CSG9.html#group50E9", "50E⁹"), =HYPERLINK("CSG1.html#group10E1", "10E¹"), =HYPERLINK("CSG0.html#group5C0", "5C⁰"), =HYPERLINK("CSG0.html#group5G0", "5G⁰"), =HYPERLINK("CSG0.html#group10B0", "10B⁰")</f>
        <v/>
      </c>
      <c r="N5356" t="inlineStr"/>
    </row>
    <row r="5357">
      <c r="A5357" t="inlineStr">
        <is>
          <t>55A¹⁸</t>
        </is>
      </c>
      <c r="B5357" t="inlineStr"/>
      <c r="C5357" t="inlineStr">
        <is>
          <t>275</t>
        </is>
      </c>
      <c r="D5357" t="inlineStr">
        <is>
          <t>1</t>
        </is>
      </c>
      <c r="E5357" t="inlineStr">
        <is>
          <t>275</t>
        </is>
      </c>
      <c r="F5357" t="inlineStr">
        <is>
          <t>3</t>
        </is>
      </c>
      <c r="G5357" t="inlineStr">
        <is>
          <t>8</t>
        </is>
      </c>
      <c r="H5357" t="inlineStr">
        <is>
          <t>55⁵</t>
        </is>
      </c>
      <c r="I5357" t="n">
        <v>5</v>
      </c>
      <c r="J5357" t="inlineStr">
        <is>
          <t>5¹, 10⁵, 20¹, 40⁵</t>
        </is>
      </c>
      <c r="K5357">
        <f>HYPERLINK("CSG1.html#group11B1", "11B¹"), =HYPERLINK("CSG3.html#group55A3", "55A³")</f>
        <v/>
      </c>
      <c r="L5357" t="inlineStr"/>
      <c r="M5357">
        <f>HYPERLINK("CSG0.html#group11A0", "11A⁰"), =HYPERLINK("CSG3.html#group55A3", "55A³"), =HYPERLINK("CSG0.html#group5A0", "5A⁰"), =HYPERLINK("CSG1.html#group11B1", "11B¹"), =HYPERLINK("CSG0.html#group1A0", "1A⁰")</f>
        <v/>
      </c>
      <c r="N5357" t="inlineStr"/>
    </row>
    <row r="5358">
      <c r="A5358" t="inlineStr">
        <is>
          <t>56A¹⁸</t>
        </is>
      </c>
      <c r="B5358" t="inlineStr"/>
      <c r="C5358" t="inlineStr">
        <is>
          <t>252</t>
        </is>
      </c>
      <c r="D5358" t="inlineStr">
        <is>
          <t>1</t>
        </is>
      </c>
      <c r="E5358" t="inlineStr">
        <is>
          <t>63</t>
        </is>
      </c>
      <c r="F5358" t="inlineStr">
        <is>
          <t>4</t>
        </is>
      </c>
      <c r="G5358" t="inlineStr">
        <is>
          <t>0</t>
        </is>
      </c>
      <c r="H5358" t="inlineStr">
        <is>
          <t>28³, 56³</t>
        </is>
      </c>
      <c r="I5358" t="n">
        <v>6</v>
      </c>
      <c r="J5358" t="inlineStr">
        <is>
          <t>3³, 6⁹</t>
        </is>
      </c>
      <c r="K5358">
        <f>HYPERLINK("CSG6.html#group28I6", "28I⁶")</f>
        <v/>
      </c>
      <c r="L5358" t="inlineStr"/>
      <c r="M5358">
        <f>HYPERLINK("CSG2.html#group28C2", "28C²"), =HYPERLINK("CSG0.html#group7D0", "7D⁰"), =HYPERLINK("CSG1.html#group14B1", "14B¹"), =HYPERLINK("CSG0.html#group4C0", "4C⁰"), =HYPERLINK("CSG2.html#group14F2", "14F²"), =HYPERLINK("CSG0.html#group2B0", "2B⁰"), =HYPERLINK("CSG6.html#group28I6", "28I⁶"), =HYPERLINK("CSG0.html#group1A0", "1A⁰"), =HYPERLINK("CSG0.html#group7A0", "7A⁰")</f>
        <v/>
      </c>
      <c r="N5358" t="inlineStr"/>
    </row>
    <row r="5359">
      <c r="A5359" t="inlineStr">
        <is>
          <t>60A¹⁸</t>
        </is>
      </c>
      <c r="B5359" t="inlineStr"/>
      <c r="C5359" t="inlineStr">
        <is>
          <t>240</t>
        </is>
      </c>
      <c r="D5359" t="inlineStr">
        <is>
          <t>1</t>
        </is>
      </c>
      <c r="E5359" t="inlineStr">
        <is>
          <t>20</t>
        </is>
      </c>
      <c r="F5359" t="inlineStr">
        <is>
          <t>0</t>
        </is>
      </c>
      <c r="G5359" t="inlineStr">
        <is>
          <t>0</t>
        </is>
      </c>
      <c r="H5359" t="inlineStr">
        <is>
          <t>20³, 60³</t>
        </is>
      </c>
      <c r="I5359" t="n">
        <v>6</v>
      </c>
      <c r="J5359" t="inlineStr">
        <is>
          <t>1², 2¹, 4², 8¹</t>
        </is>
      </c>
      <c r="K5359">
        <f>HYPERLINK("CSG4.html#group60B4", "60B⁴"), =HYPERLINK("CSG8.html#group30A8", "30A⁸")</f>
        <v/>
      </c>
      <c r="L5359" t="inlineStr"/>
      <c r="M5359">
        <f>HYPERLINK("CSG0.html#group3B0", "3B⁰"), =HYPERLINK("CSG3.html#group15A3", "15A³"), =HYPERLINK("CSG0.html#group5A0", "5A⁰"), =HYPERLINK("CSG8.html#group30A8", "30A⁸"), =HYPERLINK("CSG0.html#group2A0", "2A⁰"), =HYPERLINK("CSG2.html#group10A2", "10A²"), =HYPERLINK("CSG0.html#group10A0", "10A⁰"), =HYPERLINK("CSG2.html#group30D2", "30D²"), =HYPERLINK("CSG4.html#group60B4", "60B⁴"), =HYPERLINK("CSG0.html#group6C0", "6C⁰"), =HYPERLINK("CSG0.html#group5E0", "5E⁰"), =HYPERLINK("CSG1.html#group15B1", "15B¹"), =HYPERLINK("CSG0.html#group1A0", "1A⁰"), =HYPERLINK("CSG0.html#group12B0", "12B⁰")</f>
        <v/>
      </c>
      <c r="N5359" t="inlineStr"/>
    </row>
    <row r="5360">
      <c r="A5360" t="inlineStr">
        <is>
          <t>60B¹⁸</t>
        </is>
      </c>
      <c r="B5360" t="inlineStr"/>
      <c r="C5360" t="inlineStr">
        <is>
          <t>240</t>
        </is>
      </c>
      <c r="D5360" t="inlineStr">
        <is>
          <t>1</t>
        </is>
      </c>
      <c r="E5360" t="inlineStr">
        <is>
          <t>20</t>
        </is>
      </c>
      <c r="F5360" t="inlineStr">
        <is>
          <t>0</t>
        </is>
      </c>
      <c r="G5360" t="inlineStr">
        <is>
          <t>0</t>
        </is>
      </c>
      <c r="H5360" t="inlineStr">
        <is>
          <t>20³, 60³</t>
        </is>
      </c>
      <c r="I5360" t="n">
        <v>6</v>
      </c>
      <c r="J5360" t="inlineStr">
        <is>
          <t>1², 2¹, 4², 8¹</t>
        </is>
      </c>
      <c r="K5360">
        <f>HYPERLINK("CSG2.html#group12F2", "12F²"), =HYPERLINK("CSG4.html#group60B4", "60B⁴"), =HYPERLINK("CSG8.html#group30B8", "30B⁸")</f>
        <v/>
      </c>
      <c r="L5360" t="inlineStr"/>
      <c r="M5360">
        <f>HYPERLINK("CSG0.html#group3B0", "3B⁰"), =HYPERLINK("CSG0.html#group2A0", "2A⁰"), =HYPERLINK("CSG0.html#group5A0", "5A⁰"), =HYPERLINK("CSG0.html#group6I0", "6I⁰"), =HYPERLINK("CSG1.html#group10B1", "10B¹"), =HYPERLINK("CSG0.html#group6C0", "6C⁰"), =HYPERLINK("CSG4.html#group60B4", "60B⁴"), =HYPERLINK("CSG2.html#group30D2", "30D²"), =HYPERLINK("CSG0.html#group2B0", "2B⁰"), =HYPERLINK("CSG2.html#group10B2", "10B²"), =HYPERLINK("CSG0.html#group1A0", "1A⁰"), =HYPERLINK("CSG2.html#group12F2", "12F²"), =HYPERLINK("CSG0.html#group10A0", "10A⁰"), =HYPERLINK("CSG8.html#group30B8", "30B⁸"), =HYPERLINK("CSG4.html#group30D4", "30D⁴"), =HYPERLINK("CSG1.html#group15B1", "15B¹"), =HYPERLINK("CSG0.html#group6F0", "6F⁰"), =HYPERLINK("CSG0.html#group2C0", "2C⁰"), =HYPERLINK("CSG0.html#group12B0", "12B⁰")</f>
        <v/>
      </c>
      <c r="N5360" t="inlineStr"/>
    </row>
    <row r="5361">
      <c r="A5361" t="inlineStr">
        <is>
          <t>60C¹⁸</t>
        </is>
      </c>
      <c r="B5361" t="inlineStr"/>
      <c r="C5361" t="inlineStr">
        <is>
          <t>240</t>
        </is>
      </c>
      <c r="D5361" t="inlineStr">
        <is>
          <t>1</t>
        </is>
      </c>
      <c r="E5361" t="inlineStr">
        <is>
          <t>60</t>
        </is>
      </c>
      <c r="F5361" t="inlineStr">
        <is>
          <t>0</t>
        </is>
      </c>
      <c r="G5361" t="inlineStr">
        <is>
          <t>0</t>
        </is>
      </c>
      <c r="H5361" t="inlineStr">
        <is>
          <t>20³, 60³</t>
        </is>
      </c>
      <c r="I5361" t="n">
        <v>6</v>
      </c>
      <c r="J5361" t="inlineStr">
        <is>
          <t>1², 2³, 4⁷, 8³</t>
        </is>
      </c>
      <c r="K5361">
        <f>HYPERLINK("CSG8.html#group30A8", "30A⁸")</f>
        <v/>
      </c>
      <c r="L5361" t="inlineStr"/>
      <c r="M5361">
        <f>HYPERLINK("CSG0.html#group3B0", "3B⁰"), =HYPERLINK("CSG3.html#group15A3", "15A³"), =HYPERLINK("CSG0.html#group5A0", "5A⁰"), =HYPERLINK("CSG8.html#group30A8", "30A⁸"), =HYPERLINK("CSG0.html#group2A0", "2A⁰"), =HYPERLINK("CSG2.html#group10A2", "10A²"), =HYPERLINK("CSG0.html#group10A0", "10A⁰"), =HYPERLINK("CSG2.html#group30D2", "30D²"), =HYPERLINK("CSG0.html#group6C0", "6C⁰"), =HYPERLINK("CSG0.html#group5E0", "5E⁰"), =HYPERLINK("CSG1.html#group15B1", "15B¹"), =HYPERLINK("CSG0.html#group1A0", "1A⁰")</f>
        <v/>
      </c>
      <c r="N5361" t="inlineStr"/>
    </row>
    <row r="5362">
      <c r="A5362" t="inlineStr">
        <is>
          <t>60D¹⁸</t>
        </is>
      </c>
      <c r="B5362" t="inlineStr"/>
      <c r="C5362" t="inlineStr">
        <is>
          <t>240</t>
        </is>
      </c>
      <c r="D5362" t="inlineStr">
        <is>
          <t>1</t>
        </is>
      </c>
      <c r="E5362" t="inlineStr">
        <is>
          <t>80</t>
        </is>
      </c>
      <c r="F5362" t="inlineStr">
        <is>
          <t>0</t>
        </is>
      </c>
      <c r="G5362" t="inlineStr">
        <is>
          <t>0</t>
        </is>
      </c>
      <c r="H5362" t="inlineStr">
        <is>
          <t>20³, 60³</t>
        </is>
      </c>
      <c r="I5362" t="n">
        <v>6</v>
      </c>
      <c r="J5362" t="inlineStr">
        <is>
          <t>2⁴, 4², 8⁴, 16²</t>
        </is>
      </c>
      <c r="K5362">
        <f>HYPERLINK("CSG3.html#group15A3", "15A³"), =HYPERLINK("CSG3.html#group20D3", "20D³"), =HYPERLINK("CSG6.html#group60A6", "60A⁶")</f>
        <v/>
      </c>
      <c r="L5362" t="inlineStr"/>
      <c r="M5362">
        <f>HYPERLINK("CSG0.html#group3B0", "3B⁰"), =HYPERLINK("CSG3.html#group15A3", "15A³"), =HYPERLINK("CSG0.html#group5A0", "5A⁰"), =HYPERLINK("CSG0.html#group4A0", "4A⁰"), =HYPERLINK("CSG1.html#group12A1", "12A¹"), =HYPERLINK("CSG1.html#group15B1", "15B¹"), =HYPERLINK("CSG0.html#group5E0", "5E⁰"), =HYPERLINK("CSG1.html#group20A1", "20A¹"), =HYPERLINK("CSG6.html#group60A6", "60A⁶"), =HYPERLINK("CSG0.html#group1A0", "1A⁰"), =HYPERLINK("CSG3.html#group20D3", "20D³")</f>
        <v/>
      </c>
      <c r="N5362" t="inlineStr"/>
    </row>
    <row r="5363">
      <c r="A5363" t="inlineStr">
        <is>
          <t>60E¹⁸</t>
        </is>
      </c>
      <c r="B5363" t="inlineStr"/>
      <c r="C5363" t="inlineStr">
        <is>
          <t>240</t>
        </is>
      </c>
      <c r="D5363" t="inlineStr">
        <is>
          <t>1</t>
        </is>
      </c>
      <c r="E5363" t="inlineStr">
        <is>
          <t>80</t>
        </is>
      </c>
      <c r="F5363" t="inlineStr">
        <is>
          <t>0</t>
        </is>
      </c>
      <c r="G5363" t="inlineStr">
        <is>
          <t>3</t>
        </is>
      </c>
      <c r="H5363" t="inlineStr">
        <is>
          <t>60⁴</t>
        </is>
      </c>
      <c r="I5363" t="n">
        <v>4</v>
      </c>
      <c r="J5363" t="inlineStr">
        <is>
          <t>8², 16⁴</t>
        </is>
      </c>
      <c r="K5363">
        <f>HYPERLINK("CSG1.html#group12E1", "12E¹"), =HYPERLINK("CSG4.html#group30B4", "30B⁴"), =HYPERLINK("CSG5.html#group20A5", "20A⁵")</f>
        <v/>
      </c>
      <c r="L5363" t="inlineStr"/>
      <c r="M5363">
        <f>HYPERLINK("CSG0.html#group2A0", "2A⁰"), =HYPERLINK("CSG4.html#group30B4", "30B⁴"), =HYPERLINK("CSG0.html#group6A0", "6A⁰"), =HYPERLINK("CSG0.html#group4A0", "4A⁰"), =HYPERLINK("CSG0.html#group4D0", "4D⁰"), =HYPERLINK("CSG1.html#group12E1", "12E¹"), =HYPERLINK("CSG1.html#group10C1", "10C¹"), =HYPERLINK("CSG0.html#group1A0", "1A⁰"), =HYPERLINK("CSG5.html#group20A5", "20A⁵"), =HYPERLINK("CSG0.html#group5C0", "5C⁰"), =HYPERLINK("CSG2.html#group20E2", "20E²")</f>
        <v/>
      </c>
      <c r="N5363" t="inlineStr"/>
    </row>
    <row r="5364">
      <c r="A5364" t="inlineStr">
        <is>
          <t>60F¹⁸</t>
        </is>
      </c>
      <c r="B5364" t="inlineStr"/>
      <c r="C5364" t="inlineStr">
        <is>
          <t>240</t>
        </is>
      </c>
      <c r="D5364" t="inlineStr">
        <is>
          <t>1</t>
        </is>
      </c>
      <c r="E5364" t="inlineStr">
        <is>
          <t>80</t>
        </is>
      </c>
      <c r="F5364" t="inlineStr">
        <is>
          <t>0</t>
        </is>
      </c>
      <c r="G5364" t="inlineStr">
        <is>
          <t>3</t>
        </is>
      </c>
      <c r="H5364" t="inlineStr">
        <is>
          <t>60⁴</t>
        </is>
      </c>
      <c r="I5364" t="n">
        <v>4</v>
      </c>
      <c r="J5364" t="inlineStr">
        <is>
          <t>8², 16⁴</t>
        </is>
      </c>
      <c r="K5364">
        <f>HYPERLINK("CSG3.html#group15B3", "15B³"), =HYPERLINK("CSG3.html#group60A3", "60A³"), =HYPERLINK("CSG5.html#group20B5", "20B⁵")</f>
        <v/>
      </c>
      <c r="L5364" t="inlineStr"/>
      <c r="M5364">
        <f>HYPERLINK("CSG0.html#group5A0", "5A⁰"), =HYPERLINK("CSG0.html#group4A0", "4A⁰"), =HYPERLINK("CSG5.html#group20B5", "20B⁵"), =HYPERLINK("CSG0.html#group5F0", "5F⁰"), =HYPERLINK("CSG3.html#group15B3", "15B³"), =HYPERLINK("CSG1.html#group20A1", "20A¹"), =HYPERLINK("CSG0.html#group1A0", "1A⁰"), =HYPERLINK("CSG0.html#group15A0", "15A⁰"), =HYPERLINK("CSG0.html#group5C0", "5C⁰"), =HYPERLINK("CSG2.html#group20E2", "20E²"), =HYPERLINK("CSG3.html#group60A3", "60A³")</f>
        <v/>
      </c>
      <c r="N5364" t="inlineStr"/>
    </row>
    <row r="5365">
      <c r="A5365" t="inlineStr">
        <is>
          <t>60G¹⁸</t>
        </is>
      </c>
      <c r="B5365" t="inlineStr"/>
      <c r="C5365" t="inlineStr">
        <is>
          <t>240</t>
        </is>
      </c>
      <c r="D5365" t="inlineStr">
        <is>
          <t>1</t>
        </is>
      </c>
      <c r="E5365" t="inlineStr">
        <is>
          <t>120</t>
        </is>
      </c>
      <c r="F5365" t="inlineStr">
        <is>
          <t>0</t>
        </is>
      </c>
      <c r="G5365" t="inlineStr">
        <is>
          <t>0</t>
        </is>
      </c>
      <c r="H5365" t="inlineStr">
        <is>
          <t>20³, 60³</t>
        </is>
      </c>
      <c r="I5365" t="n">
        <v>6</v>
      </c>
      <c r="J5365" t="inlineStr">
        <is>
          <t>1⁴, 2⁶, 4⁶, 8⁶, 16²</t>
        </is>
      </c>
      <c r="K5365">
        <f>HYPERLINK("CSG2.html#group12G2", "12G²"), =HYPERLINK("CSG4.html#group20C4", "20C⁴"), =HYPERLINK("CSG6.html#group60A6", "60A⁶"), =HYPERLINK("CSG9.html#group60B9", "60B⁹")</f>
        <v/>
      </c>
      <c r="L5365" t="inlineStr"/>
      <c r="M5365">
        <f>HYPERLINK("CSG0.html#group3B0", "3B⁰"), =HYPERLINK("CSG0.html#group5A0", "5A⁰"), =HYPERLINK("CSG9.html#group60B9", "60B⁹"), =HYPERLINK("CSG1.html#group12F1", "12F¹"), =HYPERLINK("CSG1.html#group10B1", "10B¹"), =HYPERLINK("CSG2.html#group20B2", "20B²"), =HYPERLINK("CSG0.html#group4C0", "4C⁰"), =HYPERLINK("CSG1.html#group20A1", "20A¹"), =HYPERLINK("CSG4.html#group20C4", "20C⁴"), =HYPERLINK("CSG0.html#group2B0", "2B⁰"), =HYPERLINK("CSG6.html#group60A6", "60A⁶"), =HYPERLINK("CSG0.html#group1A0", "1A⁰"), =HYPERLINK("CSG4.html#group30D4", "30D⁴"), =HYPERLINK("CSG0.html#group4A0", "4A⁰"), =HYPERLINK("CSG1.html#group12A1", "12A¹"), =HYPERLINK("CSG1.html#group15B1", "15B¹"), =HYPERLINK("CSG2.html#group12G2", "12G²"), =HYPERLINK("CSG0.html#group4F0", "4F⁰"), =HYPERLINK("CSG0.html#group6F0", "6F⁰")</f>
        <v/>
      </c>
      <c r="N5365" t="inlineStr"/>
    </row>
    <row r="5366">
      <c r="A5366" t="inlineStr">
        <is>
          <t>60H¹⁸</t>
        </is>
      </c>
      <c r="B5366" t="inlineStr"/>
      <c r="C5366" t="inlineStr">
        <is>
          <t>240</t>
        </is>
      </c>
      <c r="D5366" t="inlineStr">
        <is>
          <t>1</t>
        </is>
      </c>
      <c r="E5366" t="inlineStr">
        <is>
          <t>240</t>
        </is>
      </c>
      <c r="F5366" t="inlineStr">
        <is>
          <t>0</t>
        </is>
      </c>
      <c r="G5366" t="inlineStr">
        <is>
          <t>3</t>
        </is>
      </c>
      <c r="H5366" t="inlineStr">
        <is>
          <t>60⁴</t>
        </is>
      </c>
      <c r="I5366" t="n">
        <v>4</v>
      </c>
      <c r="J5366" t="inlineStr">
        <is>
          <t>8⁶, 16¹²</t>
        </is>
      </c>
      <c r="K5366">
        <f>HYPERLINK("CSG1.html#group12H1", "12H¹"), =HYPERLINK("CSG4.html#group30B4", "30B⁴")</f>
        <v/>
      </c>
      <c r="L5366" t="inlineStr"/>
      <c r="M5366">
        <f>HYPERLINK("CSG0.html#group2A0", "2A⁰"), =HYPERLINK("CSG1.html#group10C1", "10C¹"), =HYPERLINK("CSG4.html#group30B4", "30B⁴"), =HYPERLINK("CSG1.html#group12H1", "12H¹"), =HYPERLINK("CSG0.html#group6A0", "6A⁰"), =HYPERLINK("CSG0.html#group1A0", "1A⁰"), =HYPERLINK("CSG0.html#group5C0", "5C⁰")</f>
        <v/>
      </c>
      <c r="N5366" t="inlineStr"/>
    </row>
    <row r="5367">
      <c r="A5367" t="inlineStr">
        <is>
          <t>60I¹⁸</t>
        </is>
      </c>
      <c r="B5367" t="inlineStr"/>
      <c r="C5367" t="inlineStr">
        <is>
          <t>240</t>
        </is>
      </c>
      <c r="D5367" t="inlineStr">
        <is>
          <t>2</t>
        </is>
      </c>
      <c r="E5367" t="inlineStr">
        <is>
          <t>80</t>
        </is>
      </c>
      <c r="F5367" t="inlineStr">
        <is>
          <t>0</t>
        </is>
      </c>
      <c r="G5367" t="inlineStr">
        <is>
          <t>3</t>
        </is>
      </c>
      <c r="H5367" t="inlineStr">
        <is>
          <t>60⁴</t>
        </is>
      </c>
      <c r="I5367" t="n">
        <v>4</v>
      </c>
      <c r="J5367" t="inlineStr">
        <is>
          <t>4⁴, 8², 16⁸</t>
        </is>
      </c>
      <c r="K5367">
        <f>HYPERLINK("CSG3.html#group15D3", "15D³"), =HYPERLINK("CSG3.html#group60A3", "60A³"), =HYPERLINK("CSG6.html#group60A6", "60A⁶")</f>
        <v/>
      </c>
      <c r="L5367" t="inlineStr"/>
      <c r="M5367">
        <f>HYPERLINK("CSG0.html#group3B0", "3B⁰"), =HYPERLINK("CSG0.html#group5A0", "5A⁰"), =HYPERLINK("CSG3.html#group15D3", "15D³"), =HYPERLINK("CSG0.html#group4A0", "4A⁰"), =HYPERLINK("CSG1.html#group12A1", "12A¹"), =HYPERLINK("CSG1.html#group15B1", "15B¹"), =HYPERLINK("CSG1.html#group20A1", "20A¹"), =HYPERLINK("CSG0.html#group15A0", "15A⁰"), =HYPERLINK("CSG6.html#group60A6", "60A⁶"), =HYPERLINK("CSG0.html#group1A0", "1A⁰"), =HYPERLINK("CSG3.html#group60A3", "60A³")</f>
        <v/>
      </c>
      <c r="N5367" t="inlineStr"/>
    </row>
    <row r="5368">
      <c r="A5368" t="inlineStr">
        <is>
          <t>60J¹⁸</t>
        </is>
      </c>
      <c r="B5368" t="inlineStr"/>
      <c r="C5368" t="inlineStr">
        <is>
          <t>270</t>
        </is>
      </c>
      <c r="D5368" t="inlineStr">
        <is>
          <t>1</t>
        </is>
      </c>
      <c r="E5368" t="inlineStr">
        <is>
          <t>135</t>
        </is>
      </c>
      <c r="F5368" t="inlineStr">
        <is>
          <t>10</t>
        </is>
      </c>
      <c r="G5368" t="inlineStr">
        <is>
          <t>0</t>
        </is>
      </c>
      <c r="H5368" t="inlineStr">
        <is>
          <t>30³, 60³</t>
        </is>
      </c>
      <c r="I5368" t="n">
        <v>6</v>
      </c>
      <c r="J5368" t="inlineStr">
        <is>
          <t>1³, 2⁶, 4¹², 8⁹</t>
        </is>
      </c>
      <c r="K5368">
        <f>HYPERLINK("CSG7.html#group30P7", "30P⁷")</f>
        <v/>
      </c>
      <c r="L5368" t="inlineStr"/>
      <c r="M5368">
        <f>HYPERLINK("CSG7.html#group30P7", "30P⁷"), =HYPERLINK("CSG3.html#group30D3", "30D³"), =HYPERLINK("CSG0.html#group5A0", "5A⁰"), =HYPERLINK("CSG1.html#group10I1", "10I¹"), =HYPERLINK("CSG3.html#group30E3", "30E³"), =HYPERLINK("CSG1.html#group15A1", "15A¹"), =HYPERLINK("CSG1.html#group10B1", "10B¹"), =HYPERLINK("CSG1.html#group15F1", "15F¹"), =HYPERLINK("CSG0.html#group5E0", "5E⁰"), =HYPERLINK("CSG0.html#group2B0", "2B⁰"), =HYPERLINK("CSG0.html#group3A0", "3A⁰"), =HYPERLINK("CSG0.html#group1A0", "1A⁰"), =HYPERLINK("CSG0.html#group6D0", "6D⁰"), =HYPERLINK("CSG0.html#group15A0", "15A⁰")</f>
        <v/>
      </c>
      <c r="N5368" t="inlineStr"/>
    </row>
    <row r="5369">
      <c r="A5369" t="inlineStr">
        <is>
          <t>63A¹⁸</t>
        </is>
      </c>
      <c r="B5369" t="inlineStr"/>
      <c r="C5369" t="inlineStr">
        <is>
          <t>252</t>
        </is>
      </c>
      <c r="D5369" t="inlineStr">
        <is>
          <t>2</t>
        </is>
      </c>
      <c r="E5369" t="inlineStr">
        <is>
          <t>42</t>
        </is>
      </c>
      <c r="F5369" t="inlineStr">
        <is>
          <t>0</t>
        </is>
      </c>
      <c r="G5369" t="inlineStr">
        <is>
          <t>0</t>
        </is>
      </c>
      <c r="H5369" t="inlineStr">
        <is>
          <t>21⁶, 63²</t>
        </is>
      </c>
      <c r="I5369" t="n">
        <v>8</v>
      </c>
      <c r="J5369" t="inlineStr">
        <is>
          <t>2², 4², 6⁴, 12⁴</t>
        </is>
      </c>
      <c r="K5369">
        <f>HYPERLINK("CSG0.html#group9H0", "9H⁰"), =HYPERLINK("CSG6.html#group21A6", "21A⁶"), =HYPERLINK("CSG8.html#group63B8", "63B⁸")</f>
        <v/>
      </c>
      <c r="L5369" t="inlineStr"/>
      <c r="M5369">
        <f>HYPERLINK("CSG0.html#group3B0", "3B⁰"), =HYPERLINK("CSG2.html#group21D2", "21D²"), =HYPERLINK("CSG2.html#group21B2", "21B²"), =HYPERLINK("CSG0.html#group3D0", "3D⁰"), =HYPERLINK("CSG0.html#group21A0", "21A⁰"), =HYPERLINK("CSG0.html#group3C0", "3C⁰"), =HYPERLINK("CSG0.html#group1A0", "1A⁰"), =HYPERLINK("CSG0.html#group9H0", "9H⁰"), =HYPERLINK("CSG0.html#group9E0", "9E⁰"), =HYPERLINK("CSG0.html#group3A0", "3A⁰"), =HYPERLINK("CSG6.html#group21A6", "21A⁶"), =HYPERLINK("CSG0.html#group7A0", "7A⁰"), =HYPERLINK("CSG8.html#group63B8", "63B⁸")</f>
        <v/>
      </c>
      <c r="N5369" t="inlineStr"/>
    </row>
    <row r="5370">
      <c r="A5370" t="inlineStr">
        <is>
          <t>63B¹⁸</t>
        </is>
      </c>
      <c r="B5370" t="inlineStr"/>
      <c r="C5370" t="inlineStr">
        <is>
          <t>252</t>
        </is>
      </c>
      <c r="D5370" t="inlineStr">
        <is>
          <t>2</t>
        </is>
      </c>
      <c r="E5370" t="inlineStr">
        <is>
          <t>63</t>
        </is>
      </c>
      <c r="F5370" t="inlineStr">
        <is>
          <t>8</t>
        </is>
      </c>
      <c r="G5370" t="inlineStr">
        <is>
          <t>0</t>
        </is>
      </c>
      <c r="H5370" t="inlineStr">
        <is>
          <t>63⁴</t>
        </is>
      </c>
      <c r="I5370" t="n">
        <v>4</v>
      </c>
      <c r="J5370" t="inlineStr">
        <is>
          <t>4³, 12⁸, 36⁴</t>
        </is>
      </c>
      <c r="K5370">
        <f>HYPERLINK("CSG4.html#group21B4", "21B⁴"), =HYPERLINK("CSG6.html#group63F6", "63F⁶"), =HYPERLINK("CSG7.html#group63D7", "63D⁷"), =HYPERLINK("CSG9.html#group63A9", "63A⁹")</f>
        <v/>
      </c>
      <c r="L5370" t="inlineStr"/>
      <c r="M5370">
        <f>HYPERLINK("CSG9.html#group63A9", "63A⁹"), =HYPERLINK("CSG2.html#group21D2", "21D²"), =HYPERLINK("CSG6.html#group63F6", "63F⁶"), =HYPERLINK("CSG1.html#group21D1", "21D¹"), =HYPERLINK("CSG0.html#group9A0", "9A⁰"), =HYPERLINK("CSG2.html#group63A2", "63A²"), =HYPERLINK("CSG0.html#group21A0", "21A⁰"), =HYPERLINK("CSG0.html#group3C0", "3C⁰"), =HYPERLINK("CSG0.html#group7A0", "7A⁰"), =HYPERLINK("CSG0.html#group3A0", "3A⁰"), =HYPERLINK("CSG0.html#group1A0", "1A⁰"), =HYPERLINK("CSG1.html#group9B1", "9B¹"), =HYPERLINK("CSG7.html#group63D7", "63D⁷"), =HYPERLINK("CSG4.html#group21B4", "21B⁴")</f>
        <v/>
      </c>
      <c r="N5370" t="inlineStr"/>
    </row>
    <row r="5371">
      <c r="A5371" t="inlineStr">
        <is>
          <t>63C¹⁸</t>
        </is>
      </c>
      <c r="B5371" t="inlineStr"/>
      <c r="C5371" t="inlineStr">
        <is>
          <t>252</t>
        </is>
      </c>
      <c r="D5371" t="inlineStr">
        <is>
          <t>2</t>
        </is>
      </c>
      <c r="E5371" t="inlineStr">
        <is>
          <t>63</t>
        </is>
      </c>
      <c r="F5371" t="inlineStr">
        <is>
          <t>8</t>
        </is>
      </c>
      <c r="G5371" t="inlineStr">
        <is>
          <t>0</t>
        </is>
      </c>
      <c r="H5371" t="inlineStr">
        <is>
          <t>63⁴</t>
        </is>
      </c>
      <c r="I5371" t="n">
        <v>4</v>
      </c>
      <c r="J5371" t="inlineStr">
        <is>
          <t>4³, 12⁸, 36⁴</t>
        </is>
      </c>
      <c r="K5371">
        <f>HYPERLINK("CSG4.html#group21B4", "21B⁴"), =HYPERLINK("CSG6.html#group63G6", "63G⁶"), =HYPERLINK("CSG7.html#group63D7", "63D⁷"), =HYPERLINK("CSG9.html#group63B9", "63B⁹")</f>
        <v/>
      </c>
      <c r="L5371" t="inlineStr"/>
      <c r="M5371">
        <f>HYPERLINK("CSG2.html#group21D2", "21D²"), =HYPERLINK("CSG0.html#group3A0", "3A⁰"), =HYPERLINK("CSG1.html#group21D1", "21D¹"), =HYPERLINK("CSG0.html#group9A0", "9A⁰"), =HYPERLINK("CSG2.html#group63A2", "63A²"), =HYPERLINK("CSG0.html#group21A0", "21A⁰"), =HYPERLINK("CSG0.html#group3C0", "3C⁰"), =HYPERLINK("CSG6.html#group63G6", "63G⁶"), =HYPERLINK("CSG0.html#group7A0", "7A⁰"), =HYPERLINK("CSG9.html#group63B9", "63B⁹"), =HYPERLINK("CSG0.html#group1A0", "1A⁰"), =HYPERLINK("CSG1.html#group9B1", "9B¹"), =HYPERLINK("CSG7.html#group63D7", "63D⁷"), =HYPERLINK("CSG4.html#group21B4", "21B⁴")</f>
        <v/>
      </c>
      <c r="N5371" t="inlineStr"/>
    </row>
    <row r="5372">
      <c r="A5372" t="inlineStr">
        <is>
          <t>63D¹⁸</t>
        </is>
      </c>
      <c r="B5372" t="inlineStr"/>
      <c r="C5372" t="inlineStr">
        <is>
          <t>252</t>
        </is>
      </c>
      <c r="D5372" t="inlineStr">
        <is>
          <t>2</t>
        </is>
      </c>
      <c r="E5372" t="inlineStr">
        <is>
          <t>84</t>
        </is>
      </c>
      <c r="F5372" t="inlineStr">
        <is>
          <t>0</t>
        </is>
      </c>
      <c r="G5372" t="inlineStr">
        <is>
          <t>0</t>
        </is>
      </c>
      <c r="H5372" t="inlineStr">
        <is>
          <t>7³, 21², 63³</t>
        </is>
      </c>
      <c r="I5372" t="n">
        <v>8</v>
      </c>
      <c r="J5372" t="inlineStr">
        <is>
          <t>2², 4², 6⁴, 12⁵, 36²</t>
        </is>
      </c>
      <c r="K5372">
        <f>HYPERLINK("CSG0.html#group9I0", "9I⁰"), =HYPERLINK("CSG6.html#group63B6", "63B⁶")</f>
        <v/>
      </c>
      <c r="L5372" t="inlineStr"/>
      <c r="M5372">
        <f>HYPERLINK("CSG0.html#group3B0", "3B⁰"), =HYPERLINK("CSG2.html#group21B2", "21B²"), =HYPERLINK("CSG0.html#group9I0", "9I⁰"), =HYPERLINK("CSG6.html#group63B6", "63B⁶"), =HYPERLINK("CSG0.html#group9B0", "9B⁰"), =HYPERLINK("CSG0.html#group1A0", "1A⁰"), =HYPERLINK("CSG0.html#group7A0", "7A⁰")</f>
        <v/>
      </c>
      <c r="N5372" t="inlineStr"/>
    </row>
    <row r="5373">
      <c r="A5373" t="inlineStr">
        <is>
          <t>63E¹⁸</t>
        </is>
      </c>
      <c r="B5373" t="inlineStr"/>
      <c r="C5373" t="inlineStr">
        <is>
          <t>252</t>
        </is>
      </c>
      <c r="D5373" t="inlineStr">
        <is>
          <t>2</t>
        </is>
      </c>
      <c r="E5373" t="inlineStr">
        <is>
          <t>84</t>
        </is>
      </c>
      <c r="F5373" t="inlineStr">
        <is>
          <t>0</t>
        </is>
      </c>
      <c r="G5373" t="inlineStr">
        <is>
          <t>3</t>
        </is>
      </c>
      <c r="H5373" t="inlineStr">
        <is>
          <t>21³, 63³</t>
        </is>
      </c>
      <c r="I5373" t="n">
        <v>6</v>
      </c>
      <c r="J5373" t="inlineStr">
        <is>
          <t>2², 4², 6⁴, 12⁵, 36²</t>
        </is>
      </c>
      <c r="K5373">
        <f>HYPERLINK("CSG0.html#group9J0", "9J⁰"), =HYPERLINK("CSG6.html#group63C6", "63C⁶")</f>
        <v/>
      </c>
      <c r="L5373" t="inlineStr"/>
      <c r="M5373">
        <f>HYPERLINK("CSG0.html#group3B0", "3B⁰"), =HYPERLINK("CSG0.html#group9J0", "9J⁰"), =HYPERLINK("CSG2.html#group21B2", "21B²"), =HYPERLINK("CSG0.html#group9C0", "9C⁰"), =HYPERLINK("CSG6.html#group63C6", "63C⁶"), =HYPERLINK("CSG0.html#group1A0", "1A⁰"), =HYPERLINK("CSG0.html#group7A0", "7A⁰")</f>
        <v/>
      </c>
      <c r="N5373" t="inlineStr"/>
    </row>
    <row r="5374">
      <c r="A5374" t="inlineStr">
        <is>
          <t>63F¹⁸</t>
        </is>
      </c>
      <c r="B5374" t="inlineStr"/>
      <c r="C5374" t="inlineStr">
        <is>
          <t>252</t>
        </is>
      </c>
      <c r="D5374" t="inlineStr">
        <is>
          <t>2</t>
        </is>
      </c>
      <c r="E5374" t="inlineStr">
        <is>
          <t>126</t>
        </is>
      </c>
      <c r="F5374" t="inlineStr">
        <is>
          <t>8</t>
        </is>
      </c>
      <c r="G5374" t="inlineStr">
        <is>
          <t>0</t>
        </is>
      </c>
      <c r="H5374" t="inlineStr">
        <is>
          <t>63⁴</t>
        </is>
      </c>
      <c r="I5374" t="n">
        <v>4</v>
      </c>
      <c r="J5374" t="inlineStr">
        <is>
          <t>12¹⁸, 36⁸</t>
        </is>
      </c>
      <c r="K5374">
        <f>HYPERLINK("CSG4.html#group21B4", "21B⁴"), =HYPERLINK("CSG7.html#group63E7", "63E⁷")</f>
        <v/>
      </c>
      <c r="L5374" t="inlineStr"/>
      <c r="M5374">
        <f>HYPERLINK("CSG2.html#group21D2", "21D²"), =HYPERLINK("CSG7.html#group63E7", "63E⁷"), =HYPERLINK("CSG1.html#group21D1", "21D¹"), =HYPERLINK("CSG0.html#group21A0", "21A⁰"), =HYPERLINK("CSG0.html#group3C0", "3C⁰"), =HYPERLINK("CSG0.html#group7A0", "7A⁰"), =HYPERLINK("CSG0.html#group3A0", "3A⁰"), =HYPERLINK("CSG0.html#group1A0", "1A⁰"), =HYPERLINK("CSG4.html#group21B4", "21B⁴")</f>
        <v/>
      </c>
      <c r="N5374" t="inlineStr"/>
    </row>
    <row r="5375">
      <c r="A5375" t="inlineStr">
        <is>
          <t>63G¹⁸</t>
        </is>
      </c>
      <c r="B5375" t="inlineStr"/>
      <c r="C5375" t="inlineStr">
        <is>
          <t>252</t>
        </is>
      </c>
      <c r="D5375" t="inlineStr">
        <is>
          <t>2</t>
        </is>
      </c>
      <c r="E5375" t="inlineStr">
        <is>
          <t>126</t>
        </is>
      </c>
      <c r="F5375" t="inlineStr">
        <is>
          <t>8</t>
        </is>
      </c>
      <c r="G5375" t="inlineStr">
        <is>
          <t>0</t>
        </is>
      </c>
      <c r="H5375" t="inlineStr">
        <is>
          <t>63⁴</t>
        </is>
      </c>
      <c r="I5375" t="n">
        <v>4</v>
      </c>
      <c r="J5375" t="inlineStr">
        <is>
          <t>12¹⁸, 36⁸</t>
        </is>
      </c>
      <c r="K5375">
        <f>HYPERLINK("CSG4.html#group21B4", "21B⁴"), =HYPERLINK("CSG7.html#group63E7", "63E⁷")</f>
        <v/>
      </c>
      <c r="L5375" t="inlineStr"/>
      <c r="M5375">
        <f>HYPERLINK("CSG2.html#group21D2", "21D²"), =HYPERLINK("CSG7.html#group63E7", "63E⁷"), =HYPERLINK("CSG1.html#group21D1", "21D¹"), =HYPERLINK("CSG0.html#group21A0", "21A⁰"), =HYPERLINK("CSG0.html#group3C0", "3C⁰"), =HYPERLINK("CSG0.html#group7A0", "7A⁰"), =HYPERLINK("CSG0.html#group3A0", "3A⁰"), =HYPERLINK("CSG0.html#group1A0", "1A⁰"), =HYPERLINK("CSG4.html#group21B4", "21B⁴")</f>
        <v/>
      </c>
      <c r="N5375" t="inlineStr"/>
    </row>
    <row r="5376">
      <c r="A5376" t="inlineStr">
        <is>
          <t>64A¹⁸</t>
        </is>
      </c>
      <c r="B5376" t="inlineStr"/>
      <c r="C5376" t="inlineStr">
        <is>
          <t>384</t>
        </is>
      </c>
      <c r="D5376" t="inlineStr">
        <is>
          <t>1</t>
        </is>
      </c>
      <c r="E5376" t="inlineStr">
        <is>
          <t>96</t>
        </is>
      </c>
      <c r="F5376" t="inlineStr">
        <is>
          <t>4</t>
        </is>
      </c>
      <c r="G5376" t="inlineStr">
        <is>
          <t>0</t>
        </is>
      </c>
      <c r="H5376" t="inlineStr">
        <is>
          <t>4¹⁶, 8⁸, 64⁴</t>
        </is>
      </c>
      <c r="I5376" t="n">
        <v>28</v>
      </c>
      <c r="J5376" t="inlineStr">
        <is>
          <t>2⁴, 4⁶, 8⁴, 16⁸</t>
        </is>
      </c>
      <c r="K5376">
        <f>HYPERLINK("CSG6.html#group32H6", "32H⁶"), =HYPERLINK("CSG9.html#group64G9", "64G⁹")</f>
        <v/>
      </c>
      <c r="L5376" t="inlineStr"/>
      <c r="M5376">
        <f>HYPERLINK("CSG9.html#group64G9", "64G⁹"), =HYPERLINK("CSG1.html#group16I1", "16I¹"), =HYPERLINK("CSG0.html#group8D0", "8D⁰"), =HYPERLINK("CSG0.html#group4C0", "4C⁰"), =HYPERLINK("CSG0.html#group8B0", "8B⁰"), =HYPERLINK("CSG0.html#group8L0", "8L⁰"), =HYPERLINK("CSG0.html#group2B0", "2B⁰"), =HYPERLINK("CSG1.html#group32D1", "32D¹"), =HYPERLINK("CSG3.html#group32P3", "32P³"), =HYPERLINK("CSG2.html#group16L2", "16L²"), =HYPERLINK("CSG0.html#group1A0", "1A⁰"), =HYPERLINK("CSG3.html#group32Q3", "32Q³"), =HYPERLINK("CSG0.html#group8H0", "8H⁰"), =HYPERLINK("CSG0.html#group16E0", "16E⁰"), =HYPERLINK("CSG1.html#group32C1", "32C¹"), =HYPERLINK("CSG0.html#group4A0", "4A⁰"), =HYPERLINK("CSG1.html#group16C1", "16C¹"), =HYPERLINK("CSG0.html#group4F0", "4F⁰"), =HYPERLINK("CSG0.html#group8P0", "8P⁰"), =HYPERLINK("CSG6.html#group32H6", "32H⁶"), =HYPERLINK("CSG1.html#group16H1", "16H¹")</f>
        <v/>
      </c>
      <c r="N5376" t="inlineStr"/>
    </row>
    <row r="5377">
      <c r="A5377" t="inlineStr">
        <is>
          <t>64B¹⁸</t>
        </is>
      </c>
      <c r="B5377" t="inlineStr"/>
      <c r="C5377" t="inlineStr">
        <is>
          <t>384</t>
        </is>
      </c>
      <c r="D5377" t="inlineStr">
        <is>
          <t>1</t>
        </is>
      </c>
      <c r="E5377" t="inlineStr">
        <is>
          <t>96</t>
        </is>
      </c>
      <c r="F5377" t="inlineStr">
        <is>
          <t>4</t>
        </is>
      </c>
      <c r="G5377" t="inlineStr">
        <is>
          <t>0</t>
        </is>
      </c>
      <c r="H5377" t="inlineStr">
        <is>
          <t>4¹⁶, 8⁸, 64⁴</t>
        </is>
      </c>
      <c r="I5377" t="n">
        <v>28</v>
      </c>
      <c r="J5377" t="inlineStr">
        <is>
          <t>2⁴, 4⁶, 8⁴, 16⁸</t>
        </is>
      </c>
      <c r="K5377">
        <f>HYPERLINK("CSG6.html#group32H6", "32H⁶"), =HYPERLINK("CSG9.html#group64H9", "64H⁹")</f>
        <v/>
      </c>
      <c r="L5377" t="inlineStr"/>
      <c r="M5377">
        <f>HYPERLINK("CSG1.html#group16I1", "16I¹"), =HYPERLINK("CSG0.html#group8D0", "8D⁰"), =HYPERLINK("CSG0.html#group4C0", "4C⁰"), =HYPERLINK("CSG0.html#group8B0", "8B⁰"), =HYPERLINK("CSG0.html#group8L0", "8L⁰"), =HYPERLINK("CSG0.html#group2B0", "2B⁰"), =HYPERLINK("CSG1.html#group32D1", "32D¹"), =HYPERLINK("CSG1.html#group16H1", "16H¹"), =HYPERLINK("CSG2.html#group16L2", "16L²"), =HYPERLINK("CSG0.html#group1A0", "1A⁰"), =HYPERLINK("CSG0.html#group8P0", "8P⁰"), =HYPERLINK("CSG3.html#group32Q3", "32Q³"), =HYPERLINK("CSG0.html#group8H0", "8H⁰"), =HYPERLINK("CSG0.html#group16E0", "16E⁰"), =HYPERLINK("CSG1.html#group32C1", "32C¹"), =HYPERLINK("CSG0.html#group4A0", "4A⁰"), =HYPERLINK("CSG1.html#group16C1", "16C¹"), =HYPERLINK("CSG0.html#group4F0", "4F⁰"), =HYPERLINK("CSG9.html#group64H9", "64H⁹"), =HYPERLINK("CSG6.html#group32H6", "32H⁶"), =HYPERLINK("CSG3.html#group32P3", "32P³")</f>
        <v/>
      </c>
      <c r="N5377" t="inlineStr"/>
    </row>
    <row r="5378">
      <c r="A5378" t="inlineStr">
        <is>
          <t>70A¹⁸</t>
        </is>
      </c>
      <c r="B5378" t="inlineStr"/>
      <c r="C5378" t="inlineStr">
        <is>
          <t>240</t>
        </is>
      </c>
      <c r="D5378" t="inlineStr">
        <is>
          <t>1</t>
        </is>
      </c>
      <c r="E5378" t="inlineStr">
        <is>
          <t>40</t>
        </is>
      </c>
      <c r="F5378" t="inlineStr">
        <is>
          <t>0</t>
        </is>
      </c>
      <c r="G5378" t="inlineStr">
        <is>
          <t>0</t>
        </is>
      </c>
      <c r="H5378" t="inlineStr">
        <is>
          <t>10³, 70³</t>
        </is>
      </c>
      <c r="I5378" t="n">
        <v>6</v>
      </c>
      <c r="J5378" t="inlineStr">
        <is>
          <t>1², 4², 6¹, 24¹</t>
        </is>
      </c>
      <c r="K5378">
        <f>HYPERLINK("CSG2.html#group10A2", "10A²"), =HYPERLINK("CSG4.html#group70B4", "70B⁴"), =HYPERLINK("CSG8.html#group35A8", "35A⁸")</f>
        <v/>
      </c>
      <c r="L5378" t="inlineStr"/>
      <c r="M5378">
        <f>HYPERLINK("CSG0.html#group2A0", "2A⁰"), =HYPERLINK("CSG0.html#group5A0", "5A⁰"), =HYPERLINK("CSG2.html#group10A2", "10A²"), =HYPERLINK("CSG0.html#group10A0", "10A⁰"), =HYPERLINK("CSG4.html#group70B4", "70B⁴"), =HYPERLINK("CSG0.html#group7B0", "7B⁰"), =HYPERLINK("CSG0.html#group14B0", "14B⁰"), =HYPERLINK("CSG0.html#group5E0", "5E⁰"), =HYPERLINK("CSG2.html#group35B2", "35B²"), =HYPERLINK("CSG8.html#group35A8", "35A⁸"), =HYPERLINK("CSG0.html#group1A0", "1A⁰")</f>
        <v/>
      </c>
      <c r="N5378" t="inlineStr"/>
    </row>
    <row r="5379">
      <c r="A5379" t="inlineStr">
        <is>
          <t>70B¹⁸</t>
        </is>
      </c>
      <c r="B5379" t="inlineStr"/>
      <c r="C5379" t="inlineStr">
        <is>
          <t>240</t>
        </is>
      </c>
      <c r="D5379" t="inlineStr">
        <is>
          <t>1</t>
        </is>
      </c>
      <c r="E5379" t="inlineStr">
        <is>
          <t>40</t>
        </is>
      </c>
      <c r="F5379" t="inlineStr">
        <is>
          <t>0</t>
        </is>
      </c>
      <c r="G5379" t="inlineStr">
        <is>
          <t>0</t>
        </is>
      </c>
      <c r="H5379" t="inlineStr">
        <is>
          <t>10³, 70³</t>
        </is>
      </c>
      <c r="I5379" t="n">
        <v>6</v>
      </c>
      <c r="J5379" t="inlineStr">
        <is>
          <t>1², 4², 6¹, 24¹</t>
        </is>
      </c>
      <c r="K5379">
        <f>HYPERLINK("CSG2.html#group14D2", "14D²"), =HYPERLINK("CSG4.html#group70B4", "70B⁴"), =HYPERLINK("CSG8.html#group35B8", "35B⁸")</f>
        <v/>
      </c>
      <c r="L5379" t="inlineStr"/>
      <c r="M5379">
        <f>HYPERLINK("CSG0.html#group2A0", "2A⁰"), =HYPERLINK("CSG0.html#group5A0", "5A⁰"), =HYPERLINK("CSG0.html#group10A0", "10A⁰"), =HYPERLINK("CSG8.html#group35B8", "35B⁸"), =HYPERLINK("CSG4.html#group70B4", "70B⁴"), =HYPERLINK("CSG0.html#group7B0", "7B⁰"), =HYPERLINK("CSG2.html#group14D2", "14D²"), =HYPERLINK("CSG0.html#group14B0", "14B⁰"), =HYPERLINK("CSG0.html#group7E0", "7E⁰"), =HYPERLINK("CSG2.html#group35B2", "35B²"), =HYPERLINK("CSG0.html#group1A0", "1A⁰")</f>
        <v/>
      </c>
      <c r="N5379" t="inlineStr"/>
    </row>
    <row r="5380">
      <c r="A5380" t="inlineStr">
        <is>
          <t>70C¹⁸</t>
        </is>
      </c>
      <c r="B5380" t="inlineStr"/>
      <c r="C5380" t="inlineStr">
        <is>
          <t>240</t>
        </is>
      </c>
      <c r="D5380" t="inlineStr">
        <is>
          <t>1</t>
        </is>
      </c>
      <c r="E5380" t="inlineStr">
        <is>
          <t>40</t>
        </is>
      </c>
      <c r="F5380" t="inlineStr">
        <is>
          <t>0</t>
        </is>
      </c>
      <c r="G5380" t="inlineStr">
        <is>
          <t>0</t>
        </is>
      </c>
      <c r="H5380" t="inlineStr">
        <is>
          <t>10³, 70³</t>
        </is>
      </c>
      <c r="I5380" t="n">
        <v>6</v>
      </c>
      <c r="J5380" t="inlineStr">
        <is>
          <t>1², 4², 6¹, 24¹</t>
        </is>
      </c>
      <c r="K5380">
        <f>HYPERLINK("CSG2.html#group10B2", "10B²"), =HYPERLINK("CSG2.html#group14E2", "14E²"), =HYPERLINK("CSG4.html#group70B4", "70B⁴"), =HYPERLINK("CSG9.html#group70A9", "70A⁹")</f>
        <v/>
      </c>
      <c r="L5380" t="inlineStr"/>
      <c r="M5380">
        <f>HYPERLINK("CSG0.html#group2A0", "2A⁰"), =HYPERLINK("CSG0.html#group5A0", "5A⁰"), =HYPERLINK("CSG9.html#group70A9", "70A⁹"), =HYPERLINK("CSG1.html#group10B1", "10B¹"), =HYPERLINK("CSG0.html#group2B0", "2B⁰"), =HYPERLINK("CSG2.html#group14E2", "14E²"), =HYPERLINK("CSG2.html#group10B2", "10B²"), =HYPERLINK("CSG0.html#group1A0", "1A⁰"), =HYPERLINK("CSG0.html#group10A0", "10A⁰"), =HYPERLINK("CSG4.html#group70B4", "70B⁴"), =HYPERLINK("CSG0.html#group7B0", "7B⁰"), =HYPERLINK("CSG0.html#group14B0", "14B⁰"), =HYPERLINK("CSG1.html#group14C1", "14C¹"), =HYPERLINK("CSG2.html#group35B2", "35B²"), =HYPERLINK("CSG0.html#group2C0", "2C⁰")</f>
        <v/>
      </c>
      <c r="N5380" t="inlineStr"/>
    </row>
    <row r="5381">
      <c r="A5381" t="inlineStr">
        <is>
          <t>70D¹⁸</t>
        </is>
      </c>
      <c r="B5381" t="inlineStr"/>
      <c r="C5381" t="inlineStr">
        <is>
          <t>240</t>
        </is>
      </c>
      <c r="D5381" t="inlineStr">
        <is>
          <t>1</t>
        </is>
      </c>
      <c r="E5381" t="inlineStr">
        <is>
          <t>120</t>
        </is>
      </c>
      <c r="F5381" t="inlineStr">
        <is>
          <t>0</t>
        </is>
      </c>
      <c r="G5381" t="inlineStr">
        <is>
          <t>0</t>
        </is>
      </c>
      <c r="H5381" t="inlineStr">
        <is>
          <t>10³, 70³</t>
        </is>
      </c>
      <c r="I5381" t="n">
        <v>6</v>
      </c>
      <c r="J5381" t="inlineStr">
        <is>
          <t>1², 2², 4⁶, 6¹, 12¹, 24³</t>
        </is>
      </c>
      <c r="K5381">
        <f>HYPERLINK("CSG1.html#group10E1", "10E¹"), =HYPERLINK("CSG8.html#group35A8", "35A⁸")</f>
        <v/>
      </c>
      <c r="L5381" t="inlineStr"/>
      <c r="M5381">
        <f>HYPERLINK("CSG0.html#group5A0", "5A⁰"), =HYPERLINK("CSG0.html#group7B0", "7B⁰"), =HYPERLINK("CSG0.html#group5E0", "5E⁰"), =HYPERLINK("CSG2.html#group35B2", "35B²"), =HYPERLINK("CSG8.html#group35A8", "35A⁸"), =HYPERLINK("CSG1.html#group10E1", "10E¹"), =HYPERLINK("CSG0.html#group1A0", "1A⁰")</f>
        <v/>
      </c>
      <c r="N5381" t="inlineStr"/>
    </row>
    <row r="5382">
      <c r="A5382" t="inlineStr">
        <is>
          <t>70E¹⁸</t>
        </is>
      </c>
      <c r="B5382" t="inlineStr"/>
      <c r="C5382" t="inlineStr">
        <is>
          <t>252</t>
        </is>
      </c>
      <c r="D5382" t="inlineStr">
        <is>
          <t>1</t>
        </is>
      </c>
      <c r="E5382" t="inlineStr">
        <is>
          <t>126</t>
        </is>
      </c>
      <c r="F5382" t="inlineStr">
        <is>
          <t>4</t>
        </is>
      </c>
      <c r="G5382" t="inlineStr">
        <is>
          <t>0</t>
        </is>
      </c>
      <c r="H5382" t="inlineStr">
        <is>
          <t>14³, 70³</t>
        </is>
      </c>
      <c r="I5382" t="n">
        <v>6</v>
      </c>
      <c r="J5382" t="inlineStr">
        <is>
          <t>3², 6⁶, 12¹, 24³</t>
        </is>
      </c>
      <c r="K5382">
        <f>HYPERLINK("CSG6.html#group35E6", "35E⁶")</f>
        <v/>
      </c>
      <c r="L5382" t="inlineStr"/>
      <c r="M5382">
        <f>HYPERLINK("CSG2.html#group35C2", "35C²"), =HYPERLINK("CSG0.html#group5B0", "5B⁰"), =HYPERLINK("CSG0.html#group7D0", "7D⁰"), =HYPERLINK("CSG0.html#group1A0", "1A⁰"), =HYPERLINK("CSG6.html#group35E6", "35E⁶"), =HYPERLINK("CSG0.html#group7A0", "7A⁰")</f>
        <v/>
      </c>
      <c r="N5382" t="inlineStr"/>
    </row>
    <row r="5383">
      <c r="A5383" t="inlineStr">
        <is>
          <t>70F¹⁸</t>
        </is>
      </c>
      <c r="B5383" t="inlineStr"/>
      <c r="C5383" t="inlineStr">
        <is>
          <t>252</t>
        </is>
      </c>
      <c r="D5383" t="inlineStr">
        <is>
          <t>2</t>
        </is>
      </c>
      <c r="E5383" t="inlineStr">
        <is>
          <t>126</t>
        </is>
      </c>
      <c r="F5383" t="inlineStr">
        <is>
          <t>0</t>
        </is>
      </c>
      <c r="G5383" t="inlineStr">
        <is>
          <t>0</t>
        </is>
      </c>
      <c r="H5383" t="inlineStr">
        <is>
          <t>7², 14², 35², 70²</t>
        </is>
      </c>
      <c r="I5383" t="n">
        <v>8</v>
      </c>
      <c r="J5383" t="inlineStr">
        <is>
          <t>2⁶, 6¹², 8³, 24⁶</t>
        </is>
      </c>
      <c r="K5383">
        <f>HYPERLINK("CSG0.html#group10F0", "10F⁰"), =HYPERLINK("CSG6.html#group35A6", "35A⁶"), =HYPERLINK("CSG8.html#group70B8", "70B⁸")</f>
        <v/>
      </c>
      <c r="L5383" t="inlineStr"/>
      <c r="M5383">
        <f>HYPERLINK("CSG2.html#group35C2", "35C²"), =HYPERLINK("CSG1.html#group14B1", "14B¹"), =HYPERLINK("CSG0.html#group5B0", "5B⁰"), =HYPERLINK("CSG8.html#group70B8", "70B⁸"), =HYPERLINK("CSG0.html#group5D0", "5D⁰"), =HYPERLINK("CSG0.html#group10F0", "10F⁰"), =HYPERLINK("CSG0.html#group10C0", "10C⁰"), =HYPERLINK("CSG0.html#group2B0", "2B⁰"), =HYPERLINK("CSG0.html#group1A0", "1A⁰"), =HYPERLINK("CSG6.html#group35A6", "35A⁶"), =HYPERLINK("CSG0.html#group7A0", "7A⁰")</f>
        <v/>
      </c>
      <c r="N5383" t="inlineStr"/>
    </row>
    <row r="5384">
      <c r="A5384" t="inlineStr">
        <is>
          <t>70G¹⁸</t>
        </is>
      </c>
      <c r="B5384" t="inlineStr"/>
      <c r="C5384" t="inlineStr">
        <is>
          <t>252</t>
        </is>
      </c>
      <c r="D5384" t="inlineStr">
        <is>
          <t>2</t>
        </is>
      </c>
      <c r="E5384" t="inlineStr">
        <is>
          <t>126</t>
        </is>
      </c>
      <c r="F5384" t="inlineStr">
        <is>
          <t>4</t>
        </is>
      </c>
      <c r="G5384" t="inlineStr">
        <is>
          <t>0</t>
        </is>
      </c>
      <c r="H5384" t="inlineStr">
        <is>
          <t>14³, 70³</t>
        </is>
      </c>
      <c r="I5384" t="n">
        <v>6</v>
      </c>
      <c r="J5384" t="inlineStr">
        <is>
          <t>2⁶, 6¹², 8³, 24⁶</t>
        </is>
      </c>
      <c r="K5384">
        <f>HYPERLINK("CSG6.html#group70A6", "70A⁶"), =HYPERLINK("CSG8.html#group70B8", "70B⁸")</f>
        <v/>
      </c>
      <c r="L5384" t="inlineStr"/>
      <c r="M5384">
        <f>HYPERLINK("CSG2.html#group35C2", "35C²"), =HYPERLINK("CSG1.html#group14B1", "14B¹"), =HYPERLINK("CSG0.html#group5B0", "5B⁰"), =HYPERLINK("CSG8.html#group70B8", "70B⁸"), =HYPERLINK("CSG0.html#group10C0", "10C⁰"), =HYPERLINK("CSG0.html#group2B0", "2B⁰"), =HYPERLINK("CSG0.html#group1A0", "1A⁰"), =HYPERLINK("CSG6.html#group70A6", "70A⁶"), =HYPERLINK("CSG0.html#group7A0", "7A⁰")</f>
        <v/>
      </c>
      <c r="N5384" t="inlineStr"/>
    </row>
    <row r="5385">
      <c r="A5385" t="inlineStr">
        <is>
          <t>72A¹⁸</t>
        </is>
      </c>
      <c r="B5385" t="inlineStr"/>
      <c r="C5385" t="inlineStr">
        <is>
          <t>288</t>
        </is>
      </c>
      <c r="D5385" t="inlineStr">
        <is>
          <t>2</t>
        </is>
      </c>
      <c r="E5385" t="inlineStr">
        <is>
          <t>144</t>
        </is>
      </c>
      <c r="F5385" t="inlineStr">
        <is>
          <t>20</t>
        </is>
      </c>
      <c r="G5385" t="inlineStr">
        <is>
          <t>0</t>
        </is>
      </c>
      <c r="H5385" t="inlineStr">
        <is>
          <t>72⁴</t>
        </is>
      </c>
      <c r="I5385" t="n">
        <v>4</v>
      </c>
      <c r="J5385" t="inlineStr">
        <is>
          <t>4⁸, 8⁸, 24⁸</t>
        </is>
      </c>
      <c r="K5385">
        <f>HYPERLINK("CSG4.html#group24S4", "24S⁴"), =HYPERLINK("CSG4.html#group72A4", "72A⁴"), =HYPERLINK("CSG7.html#group72E7", "72E⁷")</f>
        <v/>
      </c>
      <c r="L5385" t="inlineStr"/>
      <c r="M5385">
        <f>HYPERLINK("CSG1.html#group36A1", "36A¹"), =HYPERLINK("CSG1.html#group24F1", "24F¹"), =HYPERLINK("CSG0.html#group12A0", "12A⁰"), =HYPERLINK("CSG1.html#group24A1", "24A¹"), =HYPERLINK("CSG4.html#group24S4", "24S⁴"), =HYPERLINK("CSG0.html#group8F0", "8F⁰"), =HYPERLINK("CSG0.html#group4A0", "4A⁰"), =HYPERLINK("CSG0.html#group9A0", "9A⁰"), =HYPERLINK("CSG0.html#group8A0", "8A⁰"), =HYPERLINK("CSG0.html#group8M0", "8M⁰"), =HYPERLINK("CSG0.html#group3A0", "3A⁰"), =HYPERLINK("CSG0.html#group1A0", "1A⁰"), =HYPERLINK("CSG7.html#group72E7", "72E⁷"), =HYPERLINK("CSG4.html#group72A4", "72A⁴")</f>
        <v/>
      </c>
      <c r="N5385" t="inlineStr"/>
    </row>
    <row r="5386">
      <c r="A5386" t="inlineStr">
        <is>
          <t>72B¹⁸</t>
        </is>
      </c>
      <c r="B5386" t="inlineStr"/>
      <c r="C5386" t="inlineStr">
        <is>
          <t>288</t>
        </is>
      </c>
      <c r="D5386" t="inlineStr">
        <is>
          <t>2</t>
        </is>
      </c>
      <c r="E5386" t="inlineStr">
        <is>
          <t>144</t>
        </is>
      </c>
      <c r="F5386" t="inlineStr">
        <is>
          <t>20</t>
        </is>
      </c>
      <c r="G5386" t="inlineStr">
        <is>
          <t>0</t>
        </is>
      </c>
      <c r="H5386" t="inlineStr">
        <is>
          <t>72⁴</t>
        </is>
      </c>
      <c r="I5386" t="n">
        <v>4</v>
      </c>
      <c r="J5386" t="inlineStr">
        <is>
          <t>4⁸, 8⁸, 24⁸</t>
        </is>
      </c>
      <c r="K5386">
        <f>HYPERLINK("CSG4.html#group24T4", "24T⁴"), =HYPERLINK("CSG4.html#group72B4", "72B⁴"), =HYPERLINK("CSG7.html#group72E7", "72E⁷")</f>
        <v/>
      </c>
      <c r="L5386" t="inlineStr"/>
      <c r="M5386">
        <f>HYPERLINK("CSG1.html#group36A1", "36A¹"), =HYPERLINK("CSG1.html#group24F1", "24F¹"), =HYPERLINK("CSG0.html#group12A0", "12A⁰"), =HYPERLINK("CSG0.html#group8F0", "8F⁰"), =HYPERLINK("CSG4.html#group72B4", "72B⁴"), =HYPERLINK("CSG0.html#group4A0", "4A⁰"), =HYPERLINK("CSG0.html#group9A0", "9A⁰"), =HYPERLINK("CSG1.html#group24B1", "24B¹"), =HYPERLINK("CSG0.html#group3A0", "3A⁰"), =HYPERLINK("CSG0.html#group1A0", "1A⁰"), =HYPERLINK("CSG4.html#group24T4", "24T⁴"), =HYPERLINK("CSG7.html#group72E7", "72E⁷")</f>
        <v/>
      </c>
      <c r="N5386" t="inlineStr"/>
    </row>
    <row r="5387">
      <c r="A5387" t="inlineStr">
        <is>
          <t>72C¹⁸</t>
        </is>
      </c>
      <c r="B5387" t="inlineStr"/>
      <c r="C5387" t="inlineStr">
        <is>
          <t>288</t>
        </is>
      </c>
      <c r="D5387" t="inlineStr">
        <is>
          <t>2</t>
        </is>
      </c>
      <c r="E5387" t="inlineStr">
        <is>
          <t>144</t>
        </is>
      </c>
      <c r="F5387" t="inlineStr">
        <is>
          <t>20</t>
        </is>
      </c>
      <c r="G5387" t="inlineStr">
        <is>
          <t>0</t>
        </is>
      </c>
      <c r="H5387" t="inlineStr">
        <is>
          <t>72⁴</t>
        </is>
      </c>
      <c r="I5387" t="n">
        <v>4</v>
      </c>
      <c r="J5387" t="inlineStr">
        <is>
          <t>8²⁴, 24¹⁶</t>
        </is>
      </c>
      <c r="K5387">
        <f>HYPERLINK("CSG4.html#group24T4", "24T⁴"), =HYPERLINK("CSG4.html#group72C4", "72C⁴"), =HYPERLINK("CSG7.html#group72E7", "72E⁷")</f>
        <v/>
      </c>
      <c r="L5387" t="inlineStr"/>
      <c r="M5387">
        <f>HYPERLINK("CSG1.html#group36A1", "36A¹"), =HYPERLINK("CSG1.html#group24F1", "24F¹"), =HYPERLINK("CSG0.html#group12A0", "12A⁰"), =HYPERLINK("CSG0.html#group8F0", "8F⁰"), =HYPERLINK("CSG0.html#group4A0", "4A⁰"), =HYPERLINK("CSG0.html#group9A0", "9A⁰"), =HYPERLINK("CSG4.html#group72C4", "72C⁴"), =HYPERLINK("CSG1.html#group24B1", "24B¹"), =HYPERLINK("CSG0.html#group3A0", "3A⁰"), =HYPERLINK("CSG0.html#group1A0", "1A⁰"), =HYPERLINK("CSG4.html#group24T4", "24T⁴"), =HYPERLINK("CSG7.html#group72E7", "72E⁷")</f>
        <v/>
      </c>
      <c r="N5387" t="inlineStr"/>
    </row>
    <row r="5388">
      <c r="A5388" t="inlineStr">
        <is>
          <t>72D¹⁸</t>
        </is>
      </c>
      <c r="B5388" t="inlineStr"/>
      <c r="C5388" t="inlineStr">
        <is>
          <t>288</t>
        </is>
      </c>
      <c r="D5388" t="inlineStr">
        <is>
          <t>2</t>
        </is>
      </c>
      <c r="E5388" t="inlineStr">
        <is>
          <t>144</t>
        </is>
      </c>
      <c r="F5388" t="inlineStr">
        <is>
          <t>20</t>
        </is>
      </c>
      <c r="G5388" t="inlineStr">
        <is>
          <t>0</t>
        </is>
      </c>
      <c r="H5388" t="inlineStr">
        <is>
          <t>72⁴</t>
        </is>
      </c>
      <c r="I5388" t="n">
        <v>4</v>
      </c>
      <c r="J5388" t="inlineStr">
        <is>
          <t>8²⁴, 24¹⁶</t>
        </is>
      </c>
      <c r="K5388">
        <f>HYPERLINK("CSG4.html#group24T4", "24T⁴"), =HYPERLINK("CSG4.html#group72D4", "72D⁴"), =HYPERLINK("CSG7.html#group72E7", "72E⁷")</f>
        <v/>
      </c>
      <c r="L5388" t="inlineStr"/>
      <c r="M5388">
        <f>HYPERLINK("CSG1.html#group24F1", "24F¹"), =HYPERLINK("CSG1.html#group36A1", "36A¹"), =HYPERLINK("CSG0.html#group12A0", "12A⁰"), =HYPERLINK("CSG0.html#group8F0", "8F⁰"), =HYPERLINK("CSG0.html#group4A0", "4A⁰"), =HYPERLINK("CSG0.html#group9A0", "9A⁰"), =HYPERLINK("CSG1.html#group24B1", "24B¹"), =HYPERLINK("CSG4.html#group72D4", "72D⁴"), =HYPERLINK("CSG0.html#group3A0", "3A⁰"), =HYPERLINK("CSG0.html#group1A0", "1A⁰"), =HYPERLINK("CSG4.html#group24T4", "24T⁴"), =HYPERLINK("CSG7.html#group72E7", "72E⁷")</f>
        <v/>
      </c>
      <c r="N5388" t="inlineStr"/>
    </row>
    <row r="5389">
      <c r="A5389" t="inlineStr">
        <is>
          <t>72E¹⁸</t>
        </is>
      </c>
      <c r="B5389" t="inlineStr"/>
      <c r="C5389" t="inlineStr">
        <is>
          <t>324</t>
        </is>
      </c>
      <c r="D5389" t="inlineStr">
        <is>
          <t>1</t>
        </is>
      </c>
      <c r="E5389" t="inlineStr">
        <is>
          <t>81</t>
        </is>
      </c>
      <c r="F5389" t="inlineStr">
        <is>
          <t>28</t>
        </is>
      </c>
      <c r="G5389" t="inlineStr">
        <is>
          <t>0</t>
        </is>
      </c>
      <c r="H5389" t="inlineStr">
        <is>
          <t>36³, 72³</t>
        </is>
      </c>
      <c r="I5389" t="n">
        <v>6</v>
      </c>
      <c r="J5389" t="inlineStr">
        <is>
          <t>3³, 6¹²</t>
        </is>
      </c>
      <c r="K5389">
        <f>HYPERLINK("CSG4.html#group72E4", "72E⁴"), =HYPERLINK("CSG8.html#group36L8", "36L⁸")</f>
        <v/>
      </c>
      <c r="L5389" t="inlineStr"/>
      <c r="M5389">
        <f>HYPERLINK("CSG0.html#group12C0", "12C⁰"), =HYPERLINK("CSG0.html#group24A0", "24A⁰"), =HYPERLINK("CSG4.html#group72E4", "72E⁴"), =HYPERLINK("CSG8.html#group36L8", "36L⁸"), =HYPERLINK("CSG0.html#group9A0", "9A⁰"), =HYPERLINK("CSG2.html#group36B2", "36B²"), =HYPERLINK("CSG0.html#group4C0", "4C⁰"), =HYPERLINK("CSG0.html#group8B0", "8B⁰"), =HYPERLINK("CSG3.html#group18J3", "18J³"), =HYPERLINK("CSG0.html#group9G0", "9G⁰"), =HYPERLINK("CSG0.html#group2B0", "2B⁰"), =HYPERLINK("CSG1.html#group18E1", "18E¹"), =HYPERLINK("CSG0.html#group3A0", "3A⁰"), =HYPERLINK("CSG0.html#group1A0", "1A⁰"), =HYPERLINK("CSG0.html#group6D0", "6D⁰")</f>
        <v/>
      </c>
      <c r="N5389" t="inlineStr"/>
    </row>
    <row r="5390">
      <c r="A5390" t="inlineStr">
        <is>
          <t>76A¹⁸</t>
        </is>
      </c>
      <c r="B5390" t="inlineStr"/>
      <c r="C5390" t="inlineStr">
        <is>
          <t>240</t>
        </is>
      </c>
      <c r="D5390" t="inlineStr">
        <is>
          <t>1</t>
        </is>
      </c>
      <c r="E5390" t="inlineStr">
        <is>
          <t>20</t>
        </is>
      </c>
      <c r="F5390" t="inlineStr">
        <is>
          <t>0</t>
        </is>
      </c>
      <c r="G5390" t="inlineStr">
        <is>
          <t>0</t>
        </is>
      </c>
      <c r="H5390" t="inlineStr">
        <is>
          <t>4³, 76³</t>
        </is>
      </c>
      <c r="I5390" t="n">
        <v>6</v>
      </c>
      <c r="J5390" t="inlineStr">
        <is>
          <t>1², 18¹</t>
        </is>
      </c>
      <c r="K5390">
        <f>HYPERLINK("CSG4.html#group76A4", "76A⁴"), =HYPERLINK("CSG8.html#group38A8", "38A⁸")</f>
        <v/>
      </c>
      <c r="L5390" t="inlineStr"/>
      <c r="M5390">
        <f>HYPERLINK("CSG0.html#group2A0", "2A⁰"), =HYPERLINK("CSG1.html#group19A1", "19A¹"), =HYPERLINK("CSG8.html#group38A8", "38A⁸"), =HYPERLINK("CSG2.html#group38A2", "38A²"), =HYPERLINK("CSG4.html#group38A4", "38A⁴"), =HYPERLINK("CSG4.html#group76A4", "76A⁴"), =HYPERLINK("CSG0.html#group2B0", "2B⁰"), =HYPERLINK("CSG0.html#group1A0", "1A⁰"), =HYPERLINK("CSG0.html#group2C0", "2C⁰")</f>
        <v/>
      </c>
      <c r="N5390" t="inlineStr"/>
    </row>
    <row r="5391">
      <c r="A5391" t="inlineStr">
        <is>
          <t>76B¹⁸</t>
        </is>
      </c>
      <c r="B5391" t="inlineStr"/>
      <c r="C5391" t="inlineStr">
        <is>
          <t>240</t>
        </is>
      </c>
      <c r="D5391" t="inlineStr">
        <is>
          <t>1</t>
        </is>
      </c>
      <c r="E5391" t="inlineStr">
        <is>
          <t>40</t>
        </is>
      </c>
      <c r="F5391" t="inlineStr">
        <is>
          <t>0</t>
        </is>
      </c>
      <c r="G5391" t="inlineStr">
        <is>
          <t>0</t>
        </is>
      </c>
      <c r="H5391" t="inlineStr">
        <is>
          <t>4³, 76³</t>
        </is>
      </c>
      <c r="I5391" t="n">
        <v>6</v>
      </c>
      <c r="J5391" t="inlineStr">
        <is>
          <t>1⁴, 18²</t>
        </is>
      </c>
      <c r="K5391">
        <f>HYPERLINK("CSG4.html#group76A4", "76A⁴"), =HYPERLINK("CSG8.html#group38B8", "38B⁸")</f>
        <v/>
      </c>
      <c r="L5391" t="inlineStr"/>
      <c r="M5391">
        <f>HYPERLINK("CSG0.html#group2A0", "2A⁰"), =HYPERLINK("CSG1.html#group19A1", "19A¹"), =HYPERLINK("CSG4.html#group76A4", "76A⁴"), =HYPERLINK("CSG2.html#group38A2", "38A²"), =HYPERLINK("CSG8.html#group38B8", "38B⁸"), =HYPERLINK("CSG0.html#group1A0", "1A⁰")</f>
        <v/>
      </c>
      <c r="N5391" t="inlineStr"/>
    </row>
    <row r="5392">
      <c r="A5392" t="inlineStr">
        <is>
          <t>76C¹⁸</t>
        </is>
      </c>
      <c r="B5392" t="inlineStr"/>
      <c r="C5392" t="inlineStr">
        <is>
          <t>240</t>
        </is>
      </c>
      <c r="D5392" t="inlineStr">
        <is>
          <t>1</t>
        </is>
      </c>
      <c r="E5392" t="inlineStr">
        <is>
          <t>120</t>
        </is>
      </c>
      <c r="F5392" t="inlineStr">
        <is>
          <t>0</t>
        </is>
      </c>
      <c r="G5392" t="inlineStr">
        <is>
          <t>0</t>
        </is>
      </c>
      <c r="H5392" t="inlineStr">
        <is>
          <t>4³, 76³</t>
        </is>
      </c>
      <c r="I5392" t="n">
        <v>6</v>
      </c>
      <c r="J5392" t="inlineStr">
        <is>
          <t>1⁴, 2⁴, 18², 36²</t>
        </is>
      </c>
      <c r="K5392">
        <f>HYPERLINK("CSG0.html#group4F0", "4F⁰"), =HYPERLINK("CSG6.html#group76A6", "76A⁶"), =HYPERLINK("CSG9.html#group76A9", "76A⁹")</f>
        <v/>
      </c>
      <c r="L5392" t="inlineStr"/>
      <c r="M5392">
        <f>HYPERLINK("CSG1.html#group19A1", "19A¹"), =HYPERLINK("CSG0.html#group4A0", "4A⁰"), =HYPERLINK("CSG0.html#group4C0", "4C⁰"), =HYPERLINK("CSG4.html#group38A4", "38A⁴"), =HYPERLINK("CSG6.html#group76A6", "76A⁶"), =HYPERLINK("CSG0.html#group2B0", "2B⁰"), =HYPERLINK("CSG0.html#group4F0", "4F⁰"), =HYPERLINK("CSG9.html#group76A9", "76A⁹"), =HYPERLINK("CSG0.html#group1A0", "1A⁰")</f>
        <v/>
      </c>
      <c r="N5392" t="inlineStr"/>
    </row>
    <row r="5393">
      <c r="A5393" t="inlineStr">
        <is>
          <t>78A¹⁸</t>
        </is>
      </c>
      <c r="B5393" t="inlineStr"/>
      <c r="C5393" t="inlineStr">
        <is>
          <t>252</t>
        </is>
      </c>
      <c r="D5393" t="inlineStr">
        <is>
          <t>1</t>
        </is>
      </c>
      <c r="E5393" t="inlineStr">
        <is>
          <t>42</t>
        </is>
      </c>
      <c r="F5393" t="inlineStr">
        <is>
          <t>0</t>
        </is>
      </c>
      <c r="G5393" t="inlineStr">
        <is>
          <t>0</t>
        </is>
      </c>
      <c r="H5393" t="inlineStr">
        <is>
          <t>3², 6², 39², 78²</t>
        </is>
      </c>
      <c r="I5393" t="n">
        <v>8</v>
      </c>
      <c r="J5393" t="inlineStr">
        <is>
          <t>1⁶, 12³</t>
        </is>
      </c>
      <c r="K5393">
        <f>HYPERLINK("CSG4.html#group26A4", "26A⁴"), =HYPERLINK("CSG6.html#group39A6", "39A⁶"), =HYPERLINK("CSG8.html#group78A8", "78A⁸")</f>
        <v/>
      </c>
      <c r="L5393" t="inlineStr"/>
      <c r="M5393">
        <f>HYPERLINK("CSG8.html#group78A8", "78A⁸"), =HYPERLINK("CSG2.html#group39A2", "39A²"), =HYPERLINK("CSG0.html#group6D0", "6D⁰"), =HYPERLINK("CSG0.html#group13A0", "13A⁰"), =HYPERLINK("CSG0.html#group2B0", "2B⁰"), =HYPERLINK("CSG0.html#group13B0", "13B⁰"), =HYPERLINK("CSG6.html#group39A6", "39A⁶"), =HYPERLINK("CSG0.html#group3A0", "3A⁰"), =HYPERLINK("CSG0.html#group1A0", "1A⁰"), =HYPERLINK("CSG2.html#group26A2", "26A²"), =HYPERLINK("CSG4.html#group26A4", "26A⁴")</f>
        <v/>
      </c>
      <c r="N5393" t="inlineStr"/>
    </row>
    <row r="5394">
      <c r="A5394" t="inlineStr">
        <is>
          <t>78B¹⁸</t>
        </is>
      </c>
      <c r="B5394" t="inlineStr"/>
      <c r="C5394" t="inlineStr">
        <is>
          <t>252</t>
        </is>
      </c>
      <c r="D5394" t="inlineStr">
        <is>
          <t>1</t>
        </is>
      </c>
      <c r="E5394" t="inlineStr">
        <is>
          <t>126</t>
        </is>
      </c>
      <c r="F5394" t="inlineStr">
        <is>
          <t>4</t>
        </is>
      </c>
      <c r="G5394" t="inlineStr">
        <is>
          <t>0</t>
        </is>
      </c>
      <c r="H5394" t="inlineStr">
        <is>
          <t>6³, 78³</t>
        </is>
      </c>
      <c r="I5394" t="n">
        <v>6</v>
      </c>
      <c r="J5394" t="inlineStr">
        <is>
          <t>1⁶, 2⁶, 12³, 24³</t>
        </is>
      </c>
      <c r="K5394">
        <f>HYPERLINK("CSG6.html#group78A6", "78A⁶"), =HYPERLINK("CSG8.html#group78A8", "78A⁸")</f>
        <v/>
      </c>
      <c r="L5394" t="inlineStr"/>
      <c r="M5394">
        <f>HYPERLINK("CSG8.html#group78A8", "78A⁸"), =HYPERLINK("CSG2.html#group39A2", "39A²"), =HYPERLINK("CSG0.html#group13A0", "13A⁰"), =HYPERLINK("CSG0.html#group2B0", "2B⁰"), =HYPERLINK("CSG6.html#group78A6", "78A⁶"), =HYPERLINK("CSG0.html#group3A0", "3A⁰"), =HYPERLINK("CSG0.html#group1A0", "1A⁰"), =HYPERLINK("CSG2.html#group26A2", "26A²"), =HYPERLINK("CSG0.html#group6D0", "6D⁰")</f>
        <v/>
      </c>
      <c r="N5394" t="inlineStr"/>
    </row>
    <row r="5395">
      <c r="A5395" t="inlineStr">
        <is>
          <t>78C¹⁸</t>
        </is>
      </c>
      <c r="B5395" t="inlineStr"/>
      <c r="C5395" t="inlineStr">
        <is>
          <t>252</t>
        </is>
      </c>
      <c r="D5395" t="inlineStr">
        <is>
          <t>2</t>
        </is>
      </c>
      <c r="E5395" t="inlineStr">
        <is>
          <t>42</t>
        </is>
      </c>
      <c r="F5395" t="inlineStr">
        <is>
          <t>0</t>
        </is>
      </c>
      <c r="G5395" t="inlineStr">
        <is>
          <t>0</t>
        </is>
      </c>
      <c r="H5395" t="inlineStr">
        <is>
          <t>3², 6², 39², 78²</t>
        </is>
      </c>
      <c r="I5395" t="n">
        <v>8</v>
      </c>
      <c r="J5395" t="inlineStr">
        <is>
          <t>2⁶, 24³</t>
        </is>
      </c>
      <c r="K5395">
        <f>HYPERLINK("CSG4.html#group26A4", "26A⁴"), =HYPERLINK("CSG4.html#group39B4", "39B⁴"), =HYPERLINK("CSG8.html#group78B8", "78B⁸")</f>
        <v/>
      </c>
      <c r="L5395" t="inlineStr"/>
      <c r="M5395">
        <f>HYPERLINK("CSG4.html#group39B4", "39B⁴"), =HYPERLINK("CSG2.html#group26A2", "26A²"), =HYPERLINK("CSG0.html#group13A0", "13A⁰"), =HYPERLINK("CSG0.html#group2B0", "2B⁰"), =HYPERLINK("CSG0.html#group13B0", "13B⁰"), =HYPERLINK("CSG1.html#group39A1", "39A¹"), =HYPERLINK("CSG0.html#group1A0", "1A⁰"), =HYPERLINK("CSG8.html#group78B8", "78B⁸"), =HYPERLINK("CSG4.html#group26A4", "26A⁴")</f>
        <v/>
      </c>
      <c r="N5395" t="inlineStr"/>
    </row>
    <row r="5396">
      <c r="A5396" t="inlineStr">
        <is>
          <t>79A¹⁸</t>
        </is>
      </c>
      <c r="B5396" t="inlineStr"/>
      <c r="C5396" t="inlineStr">
        <is>
          <t>240</t>
        </is>
      </c>
      <c r="D5396" t="inlineStr">
        <is>
          <t>1</t>
        </is>
      </c>
      <c r="E5396" t="inlineStr">
        <is>
          <t>80</t>
        </is>
      </c>
      <c r="F5396" t="inlineStr">
        <is>
          <t>0</t>
        </is>
      </c>
      <c r="G5396" t="inlineStr">
        <is>
          <t>0</t>
        </is>
      </c>
      <c r="H5396" t="inlineStr">
        <is>
          <t>1³, 79³</t>
        </is>
      </c>
      <c r="I5396" t="n">
        <v>6</v>
      </c>
      <c r="J5396" t="inlineStr">
        <is>
          <t>1², 78¹</t>
        </is>
      </c>
      <c r="K5396">
        <f>HYPERLINK("CSG6.html#group79A6", "79A⁶")</f>
        <v/>
      </c>
      <c r="L5396" t="inlineStr"/>
      <c r="M5396">
        <f>HYPERLINK("CSG6.html#group79A6", "79A⁶"), =HYPERLINK("CSG0.html#group1A0", "1A⁰")</f>
        <v/>
      </c>
      <c r="N5396" t="inlineStr"/>
    </row>
    <row r="5397">
      <c r="A5397" t="inlineStr">
        <is>
          <t>80A¹⁸</t>
        </is>
      </c>
      <c r="B5397" t="inlineStr"/>
      <c r="C5397" t="inlineStr">
        <is>
          <t>240</t>
        </is>
      </c>
      <c r="D5397" t="inlineStr">
        <is>
          <t>1</t>
        </is>
      </c>
      <c r="E5397" t="inlineStr">
        <is>
          <t>15</t>
        </is>
      </c>
      <c r="F5397" t="inlineStr">
        <is>
          <t>0</t>
        </is>
      </c>
      <c r="G5397" t="inlineStr">
        <is>
          <t>0</t>
        </is>
      </c>
      <c r="H5397" t="inlineStr">
        <is>
          <t>20⁴, 80²</t>
        </is>
      </c>
      <c r="I5397" t="n">
        <v>6</v>
      </c>
      <c r="J5397" t="inlineStr">
        <is>
          <t>1³, 4³</t>
        </is>
      </c>
      <c r="K5397">
        <f>HYPERLINK("CSG2.html#group16C2", "16C²"), =HYPERLINK("CSG8.html#group40A8", "40A⁸"), =HYPERLINK("CSG9.html#group80C9", "80C⁹")</f>
        <v/>
      </c>
      <c r="L5397" t="inlineStr"/>
      <c r="M5397">
        <f>HYPERLINK("CSG2.html#group20A2", "20A²"), =HYPERLINK("CSG0.html#group2A0", "2A⁰"), =HYPERLINK("CSG0.html#group5A0", "5A⁰"), =HYPERLINK("CSG2.html#group16C2", "16C²"), =HYPERLINK("CSG0.html#group8D0", "8D⁰"), =HYPERLINK("CSG1.html#group10B1", "10B¹"), =HYPERLINK("CSG2.html#group20B2", "20B²"), =HYPERLINK("CSG0.html#group4C0", "4C⁰"), =HYPERLINK("CSG8.html#group40A8", "40A⁸"), =HYPERLINK("CSG0.html#group2B0", "2B⁰"), =HYPERLINK("CSG0.html#group8C0", "8C⁰"), =HYPERLINK("CSG0.html#group4E0", "4E⁰"), =HYPERLINK("CSG2.html#group10B2", "10B²"), =HYPERLINK("CSG0.html#group4B0", "4B⁰"), =HYPERLINK("CSG4.html#group40B4", "40B⁴"), =HYPERLINK("CSG0.html#group1A0", "1A⁰"), =HYPERLINK("CSG4.html#group40C4", "40C⁴"), =HYPERLINK("CSG0.html#group10A0", "10A⁰"), =HYPERLINK("CSG0.html#group8G0", "8G⁰"), =HYPERLINK("CSG1.html#group16C1", "16C¹"), =HYPERLINK("CSG4.html#group20A4", "20A⁴"), =HYPERLINK("CSG0.html#group2C0", "2C⁰"), =HYPERLINK("CSG9.html#group80C9", "80C⁹")</f>
        <v/>
      </c>
      <c r="N5397" t="inlineStr"/>
    </row>
    <row r="5398">
      <c r="A5398" t="inlineStr">
        <is>
          <t>80B¹⁸</t>
        </is>
      </c>
      <c r="B5398" t="inlineStr"/>
      <c r="C5398" t="inlineStr">
        <is>
          <t>240</t>
        </is>
      </c>
      <c r="D5398" t="inlineStr">
        <is>
          <t>1</t>
        </is>
      </c>
      <c r="E5398" t="inlineStr">
        <is>
          <t>60</t>
        </is>
      </c>
      <c r="F5398" t="inlineStr">
        <is>
          <t>0</t>
        </is>
      </c>
      <c r="G5398" t="inlineStr">
        <is>
          <t>0</t>
        </is>
      </c>
      <c r="H5398" t="inlineStr">
        <is>
          <t>20⁴, 80²</t>
        </is>
      </c>
      <c r="I5398" t="n">
        <v>6</v>
      </c>
      <c r="J5398" t="inlineStr">
        <is>
          <t>1², 2¹, 4⁴, 8¹, 16²</t>
        </is>
      </c>
      <c r="K5398">
        <f>HYPERLINK("CSG2.html#group16D2", "16D²"), =HYPERLINK("CSG8.html#group80D8", "80D⁸"), =HYPERLINK("CSG9.html#group40B9", "40B⁹"), =HYPERLINK("CSG9.html#group80C9", "80C⁹")</f>
        <v/>
      </c>
      <c r="L5398" t="inlineStr"/>
      <c r="M5398">
        <f>HYPERLINK("CSG2.html#group16D2", "16D²"), =HYPERLINK("CSG0.html#group5A0", "5A⁰"), =HYPERLINK("CSG1.html#group8A1", "8A¹"), =HYPERLINK("CSG9.html#group40B9", "40B⁹"), =HYPERLINK("CSG0.html#group8D0", "8D⁰"), =HYPERLINK("CSG1.html#group10B1", "10B¹"), =HYPERLINK("CSG2.html#group20B2", "20B²"), =HYPERLINK("CSG0.html#group4C0", "4C⁰"), =HYPERLINK("CSG1.html#group20A1", "20A¹"), =HYPERLINK("CSG0.html#group2B0", "2B⁰"), =HYPERLINK("CSG4.html#group20C4", "20C⁴"), =HYPERLINK("CSG0.html#group1A0", "1A⁰"), =HYPERLINK("CSG0.html#group16E0", "16E⁰"), =HYPERLINK("CSG4.html#group40C4", "40C⁴"), =HYPERLINK("CSG1.html#group8C1", "8C¹"), =HYPERLINK("CSG0.html#group4A0", "4A⁰"), =HYPERLINK("CSG1.html#group16C1", "16C¹"), =HYPERLINK("CSG8.html#group80D8", "80D⁸"), =HYPERLINK("CSG0.html#group4F0", "4F⁰"), =HYPERLINK("CSG5.html#group40A5", "40A⁵"), =HYPERLINK("CSG9.html#group80C9", "80C⁹")</f>
        <v/>
      </c>
      <c r="N5398" t="inlineStr"/>
    </row>
    <row r="5399">
      <c r="A5399" t="inlineStr">
        <is>
          <t>80C¹⁸</t>
        </is>
      </c>
      <c r="B5399" t="inlineStr"/>
      <c r="C5399" t="inlineStr">
        <is>
          <t>240</t>
        </is>
      </c>
      <c r="D5399" t="inlineStr">
        <is>
          <t>1</t>
        </is>
      </c>
      <c r="E5399" t="inlineStr">
        <is>
          <t>60</t>
        </is>
      </c>
      <c r="F5399" t="inlineStr">
        <is>
          <t>4</t>
        </is>
      </c>
      <c r="G5399" t="inlineStr">
        <is>
          <t>0</t>
        </is>
      </c>
      <c r="H5399" t="inlineStr">
        <is>
          <t>40², 80²</t>
        </is>
      </c>
      <c r="I5399" t="n">
        <v>4</v>
      </c>
      <c r="J5399" t="inlineStr">
        <is>
          <t>2⁶, 8⁶</t>
        </is>
      </c>
      <c r="K5399">
        <f>HYPERLINK("CSG2.html#group16E2", "16E²"), =HYPERLINK("CSG8.html#group40B8", "40B⁸"), =HYPERLINK("CSG9.html#group80D9", "80D⁹")</f>
        <v/>
      </c>
      <c r="L5399" t="inlineStr"/>
      <c r="M5399">
        <f>HYPERLINK("CSG8.html#group40B8", "40B⁸"), =HYPERLINK("CSG0.html#group5A0", "5A⁰"), =HYPERLINK("CSG4.html#group40A4", "40A⁴"), =HYPERLINK("CSG0.html#group8D0", "8D⁰"), =HYPERLINK("CSG1.html#group10B1", "10B¹"), =HYPERLINK("CSG9.html#group80D9", "80D⁹"), =HYPERLINK("CSG2.html#group20B2", "20B²"), =HYPERLINK("CSG0.html#group4C0", "4C⁰"), =HYPERLINK("CSG0.html#group8B0", "8B⁰"), =HYPERLINK("CSG1.html#group20A1", "20A¹"), =HYPERLINK("CSG4.html#group20C4", "20C⁴"), =HYPERLINK("CSG0.html#group2B0", "2B⁰"), =HYPERLINK("CSG0.html#group1A0", "1A⁰"), =HYPERLINK("CSG2.html#group16E2", "16E²"), =HYPERLINK("CSG0.html#group8H0", "8H⁰"), =HYPERLINK("CSG4.html#group40C4", "40C⁴"), =HYPERLINK("CSG1.html#group16D1", "16D¹"), =HYPERLINK("CSG0.html#group4A0", "4A⁰"), =HYPERLINK("CSG0.html#group4F0", "4F⁰")</f>
        <v/>
      </c>
      <c r="N5399" t="inlineStr"/>
    </row>
    <row r="5400">
      <c r="A5400" t="inlineStr">
        <is>
          <t>80D¹⁸</t>
        </is>
      </c>
      <c r="B5400" t="inlineStr"/>
      <c r="C5400" t="inlineStr">
        <is>
          <t>240</t>
        </is>
      </c>
      <c r="D5400" t="inlineStr">
        <is>
          <t>2</t>
        </is>
      </c>
      <c r="E5400" t="inlineStr">
        <is>
          <t>40</t>
        </is>
      </c>
      <c r="F5400" t="inlineStr">
        <is>
          <t>6</t>
        </is>
      </c>
      <c r="G5400" t="inlineStr">
        <is>
          <t>0</t>
        </is>
      </c>
      <c r="H5400" t="inlineStr">
        <is>
          <t>80³</t>
        </is>
      </c>
      <c r="I5400" t="n">
        <v>3</v>
      </c>
      <c r="J5400" t="inlineStr">
        <is>
          <t>8², 32²</t>
        </is>
      </c>
      <c r="K5400">
        <f>HYPERLINK("CSG4.html#group80A4", "80A⁴"), =HYPERLINK("CSG8.html#group40G8", "40G⁸")</f>
        <v/>
      </c>
      <c r="L5400" t="inlineStr"/>
      <c r="M5400">
        <f>HYPERLINK("CSG0.html#group5A0", "5A⁰"), =HYPERLINK("CSG4.html#group80A4", "80A⁴"), =HYPERLINK("CSG0.html#group16A0", "16A⁰"), =HYPERLINK("CSG8.html#group40G8", "40G⁸"), =HYPERLINK("CSG0.html#group4A0", "4A⁰"), =HYPERLINK("CSG0.html#group8A0", "8A⁰"), =HYPERLINK("CSG0.html#group5E0", "5E⁰"), =HYPERLINK("CSG1.html#group20A1", "20A¹"), =HYPERLINK("CSG0.html#group1A0", "1A⁰"), =HYPERLINK("CSG2.html#group40A2", "40A²"), =HYPERLINK("CSG3.html#group20D3", "20D³")</f>
        <v/>
      </c>
      <c r="N5400" t="inlineStr"/>
    </row>
    <row r="5401">
      <c r="A5401" t="inlineStr">
        <is>
          <t>80E¹⁸</t>
        </is>
      </c>
      <c r="B5401" t="inlineStr"/>
      <c r="C5401" t="inlineStr">
        <is>
          <t>240</t>
        </is>
      </c>
      <c r="D5401" t="inlineStr">
        <is>
          <t>2</t>
        </is>
      </c>
      <c r="E5401" t="inlineStr">
        <is>
          <t>60</t>
        </is>
      </c>
      <c r="F5401" t="inlineStr">
        <is>
          <t>4</t>
        </is>
      </c>
      <c r="G5401" t="inlineStr">
        <is>
          <t>0</t>
        </is>
      </c>
      <c r="H5401" t="inlineStr">
        <is>
          <t>40², 80²</t>
        </is>
      </c>
      <c r="I5401" t="n">
        <v>4</v>
      </c>
      <c r="J5401" t="inlineStr">
        <is>
          <t>2⁸, 4², 8⁸, 16²</t>
        </is>
      </c>
      <c r="K5401">
        <f>HYPERLINK("CSG2.html#group16F2", "16F²"), =HYPERLINK("CSG8.html#group40F8", "40F⁸"), =HYPERLINK("CSG9.html#group80B9", "80B⁹"), =HYPERLINK("CSG9.html#group80D9", "80D⁹")</f>
        <v/>
      </c>
      <c r="L5401" t="inlineStr"/>
      <c r="M5401">
        <f>HYPERLINK("CSG0.html#group5A0", "5A⁰"), =HYPERLINK("CSG1.html#group16D1", "16D¹"), =HYPERLINK("CSG4.html#group40A4", "40A⁴"), =HYPERLINK("CSG2.html#group16F2", "16F²"), =HYPERLINK("CSG1.html#group10B1", "10B¹"), =HYPERLINK("CSG9.html#group80D9", "80D⁹"), =HYPERLINK("CSG2.html#group20B2", "20B²"), =HYPERLINK("CSG0.html#group4C0", "4C⁰"), =HYPERLINK("CSG0.html#group8B0", "8B⁰"), =HYPERLINK("CSG1.html#group16B1", "16B¹"), =HYPERLINK("CSG0.html#group8L0", "8L⁰"), =HYPERLINK("CSG0.html#group2B0", "2B⁰"), =HYPERLINK("CSG9.html#group80B9", "80B⁹"), =HYPERLINK("CSG0.html#group1A0", "1A⁰"), =HYPERLINK("CSG8.html#group40F8", "40F⁸")</f>
        <v/>
      </c>
      <c r="N5401" t="inlineStr"/>
    </row>
    <row r="5402">
      <c r="A5402" t="inlineStr">
        <is>
          <t>80F¹⁸</t>
        </is>
      </c>
      <c r="B5402" t="inlineStr"/>
      <c r="C5402" t="inlineStr">
        <is>
          <t>240</t>
        </is>
      </c>
      <c r="D5402" t="inlineStr">
        <is>
          <t>2</t>
        </is>
      </c>
      <c r="E5402" t="inlineStr">
        <is>
          <t>120</t>
        </is>
      </c>
      <c r="F5402" t="inlineStr">
        <is>
          <t>6</t>
        </is>
      </c>
      <c r="G5402" t="inlineStr">
        <is>
          <t>0</t>
        </is>
      </c>
      <c r="H5402" t="inlineStr">
        <is>
          <t>80³</t>
        </is>
      </c>
      <c r="I5402" t="n">
        <v>3</v>
      </c>
      <c r="J5402" t="inlineStr">
        <is>
          <t>8², 16², 32⁶</t>
        </is>
      </c>
      <c r="K5402">
        <f>HYPERLINK("CSG8.html#group40G8", "40G⁸")</f>
        <v/>
      </c>
      <c r="L5402" t="inlineStr"/>
      <c r="M5402">
        <f>HYPERLINK("CSG0.html#group5A0", "5A⁰"), =HYPERLINK("CSG8.html#group40G8", "40G⁸"), =HYPERLINK("CSG0.html#group4A0", "4A⁰"), =HYPERLINK("CSG0.html#group8A0", "8A⁰"), =HYPERLINK("CSG0.html#group5E0", "5E⁰"), =HYPERLINK("CSG1.html#group20A1", "20A¹"), =HYPERLINK("CSG0.html#group1A0", "1A⁰"), =HYPERLINK("CSG2.html#group40A2", "40A²"), =HYPERLINK("CSG3.html#group20D3", "20D³")</f>
        <v/>
      </c>
      <c r="N5402" t="inlineStr"/>
    </row>
    <row r="5403">
      <c r="A5403" t="inlineStr">
        <is>
          <t>84A¹⁸</t>
        </is>
      </c>
      <c r="B5403" t="inlineStr"/>
      <c r="C5403" t="inlineStr">
        <is>
          <t>252</t>
        </is>
      </c>
      <c r="D5403" t="inlineStr">
        <is>
          <t>2</t>
        </is>
      </c>
      <c r="E5403" t="inlineStr">
        <is>
          <t>63</t>
        </is>
      </c>
      <c r="F5403" t="inlineStr">
        <is>
          <t>4</t>
        </is>
      </c>
      <c r="G5403" t="inlineStr">
        <is>
          <t>0</t>
        </is>
      </c>
      <c r="H5403" t="inlineStr">
        <is>
          <t>21⁴, 84²</t>
        </is>
      </c>
      <c r="I5403" t="n">
        <v>6</v>
      </c>
      <c r="J5403" t="inlineStr">
        <is>
          <t>2³, 4³, 6⁶, 12⁶</t>
        </is>
      </c>
      <c r="K5403">
        <f>HYPERLINK("CSG8.html#group42C8", "42C⁸"), =HYPERLINK("CSG8.html#group84F8", "84F⁸")</f>
        <v/>
      </c>
      <c r="L5403" t="inlineStr"/>
      <c r="M5403">
        <f>HYPERLINK("CSG2.html#group21D2", "21D²"), =HYPERLINK("CSG1.html#group14B1", "14B¹"), =HYPERLINK("CSG0.html#group6G0", "6G⁰"), =HYPERLINK("CSG0.html#group3C0", "3C⁰"), =HYPERLINK("CSG8.html#group42C8", "42C⁸"), =HYPERLINK("CSG0.html#group21A0", "21A⁰"), =HYPERLINK("CSG0.html#group2B0", "2B⁰"), =HYPERLINK("CSG8.html#group84F8", "84F⁸"), =HYPERLINK("CSG0.html#group3A0", "3A⁰"), =HYPERLINK("CSG0.html#group1A0", "1A⁰"), =HYPERLINK("CSG3.html#group42C3", "42C³"), =HYPERLINK("CSG0.html#group6D0", "6D⁰"), =HYPERLINK("CSG0.html#group7A0", "7A⁰")</f>
        <v/>
      </c>
      <c r="N5403" t="inlineStr"/>
    </row>
    <row r="5404">
      <c r="A5404" t="inlineStr">
        <is>
          <t>84B¹⁸</t>
        </is>
      </c>
      <c r="B5404" t="inlineStr"/>
      <c r="C5404" t="inlineStr">
        <is>
          <t>252</t>
        </is>
      </c>
      <c r="D5404" t="inlineStr">
        <is>
          <t>2</t>
        </is>
      </c>
      <c r="E5404" t="inlineStr">
        <is>
          <t>63</t>
        </is>
      </c>
      <c r="F5404" t="inlineStr">
        <is>
          <t>8</t>
        </is>
      </c>
      <c r="G5404" t="inlineStr">
        <is>
          <t>0</t>
        </is>
      </c>
      <c r="H5404" t="inlineStr">
        <is>
          <t>42², 84²</t>
        </is>
      </c>
      <c r="I5404" t="n">
        <v>4</v>
      </c>
      <c r="J5404" t="inlineStr">
        <is>
          <t>2³, 4³, 6⁶, 12⁶</t>
        </is>
      </c>
      <c r="K5404">
        <f>HYPERLINK("CSG8.html#group42C8", "42C⁸"), =HYPERLINK("CSG8.html#group84G8", "84G⁸")</f>
        <v/>
      </c>
      <c r="L5404" t="inlineStr"/>
      <c r="M5404">
        <f>HYPERLINK("CSG2.html#group21D2", "21D²"), =HYPERLINK("CSG1.html#group14B1", "14B¹"), =HYPERLINK("CSG8.html#group84G8", "84G⁸"), =HYPERLINK("CSG0.html#group6G0", "6G⁰"), =HYPERLINK("CSG0.html#group3C0", "3C⁰"), =HYPERLINK("CSG8.html#group42C8", "42C⁸"), =HYPERLINK("CSG0.html#group21A0", "21A⁰"), =HYPERLINK("CSG0.html#group2B0", "2B⁰"), =HYPERLINK("CSG0.html#group3A0", "3A⁰"), =HYPERLINK("CSG0.html#group1A0", "1A⁰"), =HYPERLINK("CSG3.html#group42C3", "42C³"), =HYPERLINK("CSG0.html#group6D0", "6D⁰"), =HYPERLINK("CSG0.html#group7A0", "7A⁰")</f>
        <v/>
      </c>
      <c r="N5404" t="inlineStr"/>
    </row>
    <row r="5405">
      <c r="A5405" t="inlineStr">
        <is>
          <t>84C¹⁸</t>
        </is>
      </c>
      <c r="B5405" t="inlineStr"/>
      <c r="C5405" t="inlineStr">
        <is>
          <t>252</t>
        </is>
      </c>
      <c r="D5405" t="inlineStr">
        <is>
          <t>2</t>
        </is>
      </c>
      <c r="E5405" t="inlineStr">
        <is>
          <t>63</t>
        </is>
      </c>
      <c r="F5405" t="inlineStr">
        <is>
          <t>8</t>
        </is>
      </c>
      <c r="G5405" t="inlineStr">
        <is>
          <t>0</t>
        </is>
      </c>
      <c r="H5405" t="inlineStr">
        <is>
          <t>42², 84²</t>
        </is>
      </c>
      <c r="I5405" t="n">
        <v>4</v>
      </c>
      <c r="J5405" t="inlineStr">
        <is>
          <t>2³, 4³, 6⁶, 12⁶</t>
        </is>
      </c>
      <c r="K5405">
        <f>HYPERLINK("CSG7.html#group42I7", "42I⁷"), =HYPERLINK("CSG8.html#group84F8", "84F⁸"), =HYPERLINK("CSG9.html#group84C9", "84C⁹")</f>
        <v/>
      </c>
      <c r="L5405" t="inlineStr"/>
      <c r="M5405">
        <f>HYPERLINK("CSG0.html#group14A0", "14A⁰"), =HYPERLINK("CSG1.html#group42A1", "42A¹"), =HYPERLINK("CSG1.html#group14B1", "14B¹"), =HYPERLINK("CSG2.html#group14C2", "14C²"), =HYPERLINK("CSG0.html#group21A0", "21A⁰"), =HYPERLINK("CSG0.html#group2B0", "2B⁰"), =HYPERLINK("CSG8.html#group84F8", "84F⁸"), =HYPERLINK("CSG0.html#group1A0", "1A⁰"), =HYPERLINK("CSG9.html#group84C9", "84C⁹"), =HYPERLINK("CSG7.html#group42I7", "42I⁷"), =HYPERLINK("CSG1.html#group12C1", "12C¹"), =HYPERLINK("CSG0.html#group3A0", "3A⁰"), =HYPERLINK("CSG3.html#group42C3", "42C³"), =HYPERLINK("CSG0.html#group6D0", "6D⁰"), =HYPERLINK("CSG0.html#group7A0", "7A⁰")</f>
        <v/>
      </c>
      <c r="N5405" t="inlineStr"/>
    </row>
    <row r="5406">
      <c r="A5406" t="inlineStr">
        <is>
          <t>84D¹⁸</t>
        </is>
      </c>
      <c r="B5406" t="inlineStr"/>
      <c r="C5406" t="inlineStr">
        <is>
          <t>252</t>
        </is>
      </c>
      <c r="D5406" t="inlineStr">
        <is>
          <t>2</t>
        </is>
      </c>
      <c r="E5406" t="inlineStr">
        <is>
          <t>63</t>
        </is>
      </c>
      <c r="F5406" t="inlineStr">
        <is>
          <t>8</t>
        </is>
      </c>
      <c r="G5406" t="inlineStr">
        <is>
          <t>0</t>
        </is>
      </c>
      <c r="H5406" t="inlineStr">
        <is>
          <t>42², 84²</t>
        </is>
      </c>
      <c r="I5406" t="n">
        <v>4</v>
      </c>
      <c r="J5406" t="inlineStr">
        <is>
          <t>2³, 4³, 6⁶, 12⁶</t>
        </is>
      </c>
      <c r="K5406">
        <f>HYPERLINK("CSG7.html#group42L7", "42L⁷"), =HYPERLINK("CSG8.html#group84F8", "84F⁸"), =HYPERLINK("CSG9.html#group84B9", "84B⁹")</f>
        <v/>
      </c>
      <c r="L5406" t="inlineStr"/>
      <c r="M5406">
        <f>HYPERLINK("CSG0.html#group6B0", "6B⁰"), =HYPERLINK("CSG1.html#group42B1", "42B¹"), =HYPERLINK("CSG1.html#group14B1", "14B¹"), =HYPERLINK("CSG0.html#group6H0", "6H⁰"), =HYPERLINK("CSG0.html#group21A0", "21A⁰"), =HYPERLINK("CSG0.html#group2B0", "2B⁰"), =HYPERLINK("CSG8.html#group84F8", "84F⁸"), =HYPERLINK("CSG0.html#group1A0", "1A⁰"), =HYPERLINK("CSG7.html#group42L7", "42L⁷"), =HYPERLINK("CSG9.html#group84B9", "84B⁹"), =HYPERLINK("CSG3.html#group28B3", "28B³"), =HYPERLINK("CSG0.html#group3A0", "3A⁰"), =HYPERLINK("CSG3.html#group42C3", "42C³"), =HYPERLINK("CSG0.html#group6D0", "6D⁰"), =HYPERLINK("CSG0.html#group7A0", "7A⁰")</f>
        <v/>
      </c>
      <c r="N5406" t="inlineStr"/>
    </row>
    <row r="5407">
      <c r="A5407" t="inlineStr">
        <is>
          <t>84E¹⁸</t>
        </is>
      </c>
      <c r="B5407" t="inlineStr"/>
      <c r="C5407" t="inlineStr">
        <is>
          <t>252</t>
        </is>
      </c>
      <c r="D5407" t="inlineStr">
        <is>
          <t>2</t>
        </is>
      </c>
      <c r="E5407" t="inlineStr">
        <is>
          <t>63</t>
        </is>
      </c>
      <c r="F5407" t="inlineStr">
        <is>
          <t>8</t>
        </is>
      </c>
      <c r="G5407" t="inlineStr">
        <is>
          <t>0</t>
        </is>
      </c>
      <c r="H5407" t="inlineStr">
        <is>
          <t>42², 84²</t>
        </is>
      </c>
      <c r="I5407" t="n">
        <v>4</v>
      </c>
      <c r="J5407" t="inlineStr">
        <is>
          <t>2³, 4³, 6⁶, 12⁶</t>
        </is>
      </c>
      <c r="K5407">
        <f>HYPERLINK("CSG7.html#group84B7", "84B⁷"), =HYPERLINK("CSG8.html#group42D8", "42D⁸"), =HYPERLINK("CSG9.html#group84C9", "84C⁹")</f>
        <v/>
      </c>
      <c r="L5407" t="inlineStr"/>
      <c r="M5407">
        <f>HYPERLINK("CSG7.html#group84B7", "84B⁷"), =HYPERLINK("CSG2.html#group28B2", "28B²"), =HYPERLINK("CSG2.html#group42A2", "42A²"), =HYPERLINK("CSG1.html#group12C1", "12C¹"), =HYPERLINK("CSG8.html#group42D8", "42D⁸"), =HYPERLINK("CSG1.html#group14B1", "14B¹"), =HYPERLINK("CSG0.html#group21A0", "21A⁰"), =HYPERLINK("CSG0.html#group2B0", "2B⁰"), =HYPERLINK("CSG0.html#group3A0", "3A⁰"), =HYPERLINK("CSG0.html#group1A0", "1A⁰"), =HYPERLINK("CSG9.html#group84C9", "84C⁹"), =HYPERLINK("CSG0.html#group6D0", "6D⁰"), =HYPERLINK("CSG0.html#group7A0", "7A⁰"), =HYPERLINK("CSG3.html#group42C3", "42C³")</f>
        <v/>
      </c>
      <c r="N5407" t="inlineStr"/>
    </row>
    <row r="5408">
      <c r="A5408" t="inlineStr">
        <is>
          <t>84F¹⁸</t>
        </is>
      </c>
      <c r="B5408" t="inlineStr"/>
      <c r="C5408" t="inlineStr">
        <is>
          <t>252</t>
        </is>
      </c>
      <c r="D5408" t="inlineStr">
        <is>
          <t>2</t>
        </is>
      </c>
      <c r="E5408" t="inlineStr">
        <is>
          <t>63</t>
        </is>
      </c>
      <c r="F5408" t="inlineStr">
        <is>
          <t>8</t>
        </is>
      </c>
      <c r="G5408" t="inlineStr">
        <is>
          <t>0</t>
        </is>
      </c>
      <c r="H5408" t="inlineStr">
        <is>
          <t>42², 84²</t>
        </is>
      </c>
      <c r="I5408" t="n">
        <v>4</v>
      </c>
      <c r="J5408" t="inlineStr">
        <is>
          <t>2³, 4³, 6⁶, 12⁶</t>
        </is>
      </c>
      <c r="K5408">
        <f>HYPERLINK("CSG7.html#group84C7", "84C⁷"), =HYPERLINK("CSG8.html#group42D8", "42D⁸"), =HYPERLINK("CSG9.html#group84B9", "84B⁹")</f>
        <v/>
      </c>
      <c r="L5408" t="inlineStr"/>
      <c r="M5408">
        <f>HYPERLINK("CSG2.html#group42A2", "42A²"), =HYPERLINK("CSG8.html#group42D8", "42D⁸"), =HYPERLINK("CSG1.html#group14B1", "14B¹"), =HYPERLINK("CSG7.html#group84C7", "84C⁷"), =HYPERLINK("CSG0.html#group21A0", "21A⁰"), =HYPERLINK("CSG9.html#group84B9", "84B⁹"), =HYPERLINK("CSG0.html#group2B0", "2B⁰"), =HYPERLINK("CSG0.html#group12D0", "12D⁰"), =HYPERLINK("CSG3.html#group28B3", "28B³"), =HYPERLINK("CSG0.html#group3A0", "3A⁰"), =HYPERLINK("CSG0.html#group1A0", "1A⁰"), =HYPERLINK("CSG3.html#group42C3", "42C³"), =HYPERLINK("CSG0.html#group6D0", "6D⁰"), =HYPERLINK("CSG0.html#group7A0", "7A⁰")</f>
        <v/>
      </c>
      <c r="N5408" t="inlineStr"/>
    </row>
    <row r="5409">
      <c r="A5409" t="inlineStr">
        <is>
          <t>84G¹⁸</t>
        </is>
      </c>
      <c r="B5409" t="inlineStr"/>
      <c r="C5409" t="inlineStr">
        <is>
          <t>252</t>
        </is>
      </c>
      <c r="D5409" t="inlineStr">
        <is>
          <t>2</t>
        </is>
      </c>
      <c r="E5409" t="inlineStr">
        <is>
          <t>63</t>
        </is>
      </c>
      <c r="F5409" t="inlineStr">
        <is>
          <t>8</t>
        </is>
      </c>
      <c r="G5409" t="inlineStr">
        <is>
          <t>0</t>
        </is>
      </c>
      <c r="H5409" t="inlineStr">
        <is>
          <t>42², 84²</t>
        </is>
      </c>
      <c r="I5409" t="n">
        <v>4</v>
      </c>
      <c r="J5409" t="inlineStr">
        <is>
          <t>4⁹, 12¹⁸</t>
        </is>
      </c>
      <c r="K5409">
        <f>HYPERLINK("CSG7.html#group42K7", "42K⁷"), =HYPERLINK("CSG8.html#group84G8", "84G⁸"), =HYPERLINK("CSG9.html#group84C9", "84C⁹")</f>
        <v/>
      </c>
      <c r="L5409" t="inlineStr"/>
      <c r="M5409">
        <f>HYPERLINK("CSG1.html#group12C1", "12C¹"), =HYPERLINK("CSG1.html#group14B1", "14B¹"), =HYPERLINK("CSG1.html#group21D1", "21D¹"), =HYPERLINK("CSG8.html#group84G8", "84G⁸"), =HYPERLINK("CSG0.html#group21A0", "21A⁰"), =HYPERLINK("CSG7.html#group42K7", "42K⁷"), =HYPERLINK("CSG0.html#group2B0", "2B⁰"), =HYPERLINK("CSG0.html#group3A0", "3A⁰"), =HYPERLINK("CSG0.html#group1A0", "1A⁰"), =HYPERLINK("CSG9.html#group84C9", "84C⁹"), =HYPERLINK("CSG0.html#group6D0", "6D⁰"), =HYPERLINK("CSG0.html#group7A0", "7A⁰"), =HYPERLINK("CSG3.html#group42C3", "42C³")</f>
        <v/>
      </c>
      <c r="N5409" t="inlineStr"/>
    </row>
    <row r="5410">
      <c r="A5410" t="inlineStr">
        <is>
          <t>84H¹⁸</t>
        </is>
      </c>
      <c r="B5410" t="inlineStr"/>
      <c r="C5410" t="inlineStr">
        <is>
          <t>252</t>
        </is>
      </c>
      <c r="D5410" t="inlineStr">
        <is>
          <t>2</t>
        </is>
      </c>
      <c r="E5410" t="inlineStr">
        <is>
          <t>63</t>
        </is>
      </c>
      <c r="F5410" t="inlineStr">
        <is>
          <t>8</t>
        </is>
      </c>
      <c r="G5410" t="inlineStr">
        <is>
          <t>0</t>
        </is>
      </c>
      <c r="H5410" t="inlineStr">
        <is>
          <t>42², 84²</t>
        </is>
      </c>
      <c r="I5410" t="n">
        <v>4</v>
      </c>
      <c r="J5410" t="inlineStr">
        <is>
          <t>4⁹, 12¹⁸</t>
        </is>
      </c>
      <c r="K5410">
        <f>HYPERLINK("CSG7.html#group42K7", "42K⁷"), =HYPERLINK("CSG8.html#group84G8", "84G⁸"), =HYPERLINK("CSG9.html#group84C9", "84C⁹")</f>
        <v/>
      </c>
      <c r="L5410" t="inlineStr"/>
      <c r="M5410">
        <f>HYPERLINK("CSG1.html#group12C1", "12C¹"), =HYPERLINK("CSG1.html#group14B1", "14B¹"), =HYPERLINK("CSG1.html#group21D1", "21D¹"), =HYPERLINK("CSG8.html#group84G8", "84G⁸"), =HYPERLINK("CSG0.html#group21A0", "21A⁰"), =HYPERLINK("CSG7.html#group42K7", "42K⁷"), =HYPERLINK("CSG0.html#group2B0", "2B⁰"), =HYPERLINK("CSG0.html#group3A0", "3A⁰"), =HYPERLINK("CSG0.html#group1A0", "1A⁰"), =HYPERLINK("CSG9.html#group84C9", "84C⁹"), =HYPERLINK("CSG0.html#group6D0", "6D⁰"), =HYPERLINK("CSG0.html#group7A0", "7A⁰"), =HYPERLINK("CSG3.html#group42C3", "42C³")</f>
        <v/>
      </c>
      <c r="N5410" t="inlineStr"/>
    </row>
    <row r="5411">
      <c r="A5411" t="inlineStr">
        <is>
          <t>86A¹⁸</t>
        </is>
      </c>
      <c r="B5411" t="inlineStr"/>
      <c r="C5411" t="inlineStr">
        <is>
          <t>264</t>
        </is>
      </c>
      <c r="D5411" t="inlineStr">
        <is>
          <t>1</t>
        </is>
      </c>
      <c r="E5411" t="inlineStr">
        <is>
          <t>88</t>
        </is>
      </c>
      <c r="F5411" t="inlineStr">
        <is>
          <t>0</t>
        </is>
      </c>
      <c r="G5411" t="inlineStr">
        <is>
          <t>6</t>
        </is>
      </c>
      <c r="H5411" t="inlineStr">
        <is>
          <t>2³, 86³</t>
        </is>
      </c>
      <c r="I5411" t="n">
        <v>6</v>
      </c>
      <c r="J5411" t="inlineStr">
        <is>
          <t>1⁴, 42²</t>
        </is>
      </c>
      <c r="K5411">
        <f>HYPERLINK("CSG6.html#group86A6", "86A⁶")</f>
        <v/>
      </c>
      <c r="L5411" t="inlineStr"/>
      <c r="M5411">
        <f>HYPERLINK("CSG3.html#group43A3", "43A³"), =HYPERLINK("CSG0.html#group2A0", "2A⁰"), =HYPERLINK("CSG6.html#group86A6", "86A⁶"), =HYPERLINK("CSG0.html#group1A0", "1A⁰")</f>
        <v/>
      </c>
      <c r="N5411" t="inlineStr"/>
    </row>
    <row r="5412">
      <c r="A5412" t="inlineStr">
        <is>
          <t>88A¹⁸</t>
        </is>
      </c>
      <c r="B5412" t="inlineStr"/>
      <c r="C5412" t="inlineStr">
        <is>
          <t>264</t>
        </is>
      </c>
      <c r="D5412" t="inlineStr">
        <is>
          <t>2</t>
        </is>
      </c>
      <c r="E5412" t="inlineStr">
        <is>
          <t>66</t>
        </is>
      </c>
      <c r="F5412" t="inlineStr">
        <is>
          <t>12</t>
        </is>
      </c>
      <c r="G5412" t="inlineStr">
        <is>
          <t>0</t>
        </is>
      </c>
      <c r="H5412" t="inlineStr">
        <is>
          <t>44², 88²</t>
        </is>
      </c>
      <c r="I5412" t="n">
        <v>4</v>
      </c>
      <c r="J5412" t="inlineStr">
        <is>
          <t>2², 4², 10⁴, 20⁴</t>
        </is>
      </c>
      <c r="K5412">
        <f>HYPERLINK("CSG0.html#group8H0", "8H⁰"), =HYPERLINK("CSG8.html#group88B8", "88B⁸"), =HYPERLINK("CSG9.html#group44A9", "44A⁹"), =HYPERLINK("CSG9.html#group88A9", "88A⁹")</f>
        <v/>
      </c>
      <c r="L5412" t="inlineStr"/>
      <c r="M5412">
        <f>HYPERLINK("CSG2.html#group44A2", "44A²"), =HYPERLINK("CSG0.html#group8D0", "8D⁰"), =HYPERLINK("CSG4.html#group44C4", "44C⁴"), =HYPERLINK("CSG0.html#group4C0", "4C⁰"), =HYPERLINK("CSG0.html#group8B0", "8B⁰"), =HYPERLINK("CSG0.html#group2B0", "2B⁰"), =HYPERLINK("CSG2.html#group22B2", "22B²"), =HYPERLINK("CSG0.html#group1A0", "1A⁰"), =HYPERLINK("CSG8.html#group88B8", "88B⁸"), =HYPERLINK("CSG0.html#group8H0", "8H⁰"), =HYPERLINK("CSG9.html#group88A9", "88A⁹"), =HYPERLINK("CSG0.html#group11A0", "11A⁰"), =HYPERLINK("CSG0.html#group4A0", "4A⁰"), =HYPERLINK("CSG0.html#group4F0", "4F⁰"), =HYPERLINK("CSG9.html#group44A9", "44A⁹")</f>
        <v/>
      </c>
      <c r="N5412" t="inlineStr"/>
    </row>
    <row r="5413">
      <c r="A5413" t="inlineStr">
        <is>
          <t>88B¹⁸</t>
        </is>
      </c>
      <c r="B5413" t="inlineStr"/>
      <c r="C5413" t="inlineStr">
        <is>
          <t>264</t>
        </is>
      </c>
      <c r="D5413" t="inlineStr">
        <is>
          <t>2</t>
        </is>
      </c>
      <c r="E5413" t="inlineStr">
        <is>
          <t>132</t>
        </is>
      </c>
      <c r="F5413" t="inlineStr">
        <is>
          <t>12</t>
        </is>
      </c>
      <c r="G5413" t="inlineStr">
        <is>
          <t>0</t>
        </is>
      </c>
      <c r="H5413" t="inlineStr">
        <is>
          <t>44², 88²</t>
        </is>
      </c>
      <c r="I5413" t="n">
        <v>4</v>
      </c>
      <c r="J5413" t="inlineStr">
        <is>
          <t>2⁴, 4², 8¹, 10⁸, 20⁴, 40²</t>
        </is>
      </c>
      <c r="K5413">
        <f>HYPERLINK("CSG0.html#group8L0", "8L⁰"), =HYPERLINK("CSG8.html#group88B8", "88B⁸")</f>
        <v/>
      </c>
      <c r="L5413" t="inlineStr"/>
      <c r="M5413">
        <f>HYPERLINK("CSG0.html#group11A0", "11A⁰"), =HYPERLINK("CSG4.html#group44C4", "44C⁴"), =HYPERLINK("CSG0.html#group4C0", "4C⁰"), =HYPERLINK("CSG0.html#group8B0", "8B⁰"), =HYPERLINK("CSG0.html#group8L0", "8L⁰"), =HYPERLINK("CSG0.html#group2B0", "2B⁰"), =HYPERLINK("CSG2.html#group22B2", "22B²"), =HYPERLINK("CSG0.html#group1A0", "1A⁰"), =HYPERLINK("CSG8.html#group88B8", "88B⁸")</f>
        <v/>
      </c>
      <c r="N5413" t="inlineStr"/>
    </row>
    <row r="5414">
      <c r="A5414" t="inlineStr">
        <is>
          <t>90A¹⁸</t>
        </is>
      </c>
      <c r="B5414" t="inlineStr"/>
      <c r="C5414" t="inlineStr">
        <is>
          <t>240</t>
        </is>
      </c>
      <c r="D5414" t="inlineStr">
        <is>
          <t>1</t>
        </is>
      </c>
      <c r="E5414" t="inlineStr">
        <is>
          <t>80</t>
        </is>
      </c>
      <c r="F5414" t="inlineStr">
        <is>
          <t>0</t>
        </is>
      </c>
      <c r="G5414" t="inlineStr">
        <is>
          <t>3</t>
        </is>
      </c>
      <c r="H5414" t="inlineStr">
        <is>
          <t>30², 90²</t>
        </is>
      </c>
      <c r="I5414" t="n">
        <v>4</v>
      </c>
      <c r="J5414" t="inlineStr">
        <is>
          <t>4⁴, 8⁸</t>
        </is>
      </c>
      <c r="K5414">
        <f>HYPERLINK("CSG1.html#group18D1", "18D¹"), =HYPERLINK("CSG5.html#group30J5", "30J⁵")</f>
        <v/>
      </c>
      <c r="L5414" t="inlineStr"/>
      <c r="M5414">
        <f>HYPERLINK("CSG5.html#group30J5", "30J⁵"), =HYPERLINK("CSG0.html#group2A0", "2A⁰"), =HYPERLINK("CSG0.html#group3B0", "3B⁰"), =HYPERLINK("CSG0.html#group6C0", "6C⁰"), =HYPERLINK("CSG1.html#group10C1", "10C¹"), =HYPERLINK("CSG0.html#group1A0", "1A⁰"), =HYPERLINK("CSG2.html#group15C2", "15C²"), =HYPERLINK("CSG0.html#group5C0", "5C⁰"), =HYPERLINK("CSG1.html#group18D1", "18D¹")</f>
        <v/>
      </c>
      <c r="N5414" t="inlineStr"/>
    </row>
    <row r="5415">
      <c r="A5415" t="inlineStr">
        <is>
          <t>90B¹⁸</t>
        </is>
      </c>
      <c r="B5415" t="inlineStr"/>
      <c r="C5415" t="inlineStr">
        <is>
          <t>270</t>
        </is>
      </c>
      <c r="D5415" t="inlineStr">
        <is>
          <t>1</t>
        </is>
      </c>
      <c r="E5415" t="inlineStr">
        <is>
          <t>135</t>
        </is>
      </c>
      <c r="F5415" t="inlineStr">
        <is>
          <t>0</t>
        </is>
      </c>
      <c r="G5415" t="inlineStr">
        <is>
          <t>12</t>
        </is>
      </c>
      <c r="H5415" t="inlineStr">
        <is>
          <t>90³</t>
        </is>
      </c>
      <c r="I5415" t="n">
        <v>3</v>
      </c>
      <c r="J5415" t="inlineStr">
        <is>
          <t>3¹, 6⁴, 12¹, 24⁴</t>
        </is>
      </c>
      <c r="K5415">
        <f>HYPERLINK("CSG0.html#group10A0", "10A⁰"), =HYPERLINK("CSG2.html#group18J2", "18J²"), =HYPERLINK("CSG8.html#group45C8", "45C⁸")</f>
        <v/>
      </c>
      <c r="L5415" t="inlineStr"/>
      <c r="M5415">
        <f>HYPERLINK("CSG0.html#group2A0", "2A⁰"), =HYPERLINK("CSG0.html#group5A0", "5A⁰"), =HYPERLINK("CSG0.html#group10A0", "10A⁰"), =HYPERLINK("CSG2.html#group18J2", "18J²"), =HYPERLINK("CSG8.html#group45C8", "45C⁸"), =HYPERLINK("CSG0.html#group9F0", "9F⁰"), =HYPERLINK("CSG0.html#group1A0", "1A⁰")</f>
        <v/>
      </c>
      <c r="N5415" t="inlineStr"/>
    </row>
    <row r="5416">
      <c r="A5416" t="inlineStr">
        <is>
          <t>90C¹⁸</t>
        </is>
      </c>
      <c r="B5416" t="inlineStr"/>
      <c r="C5416" t="inlineStr">
        <is>
          <t>270</t>
        </is>
      </c>
      <c r="D5416" t="inlineStr">
        <is>
          <t>1</t>
        </is>
      </c>
      <c r="E5416" t="inlineStr">
        <is>
          <t>135</t>
        </is>
      </c>
      <c r="F5416" t="inlineStr">
        <is>
          <t>16</t>
        </is>
      </c>
      <c r="G5416" t="inlineStr">
        <is>
          <t>0</t>
        </is>
      </c>
      <c r="H5416" t="inlineStr">
        <is>
          <t>90³</t>
        </is>
      </c>
      <c r="I5416" t="n">
        <v>3</v>
      </c>
      <c r="J5416" t="inlineStr">
        <is>
          <t>1¹, 2², 4⁴, 6¹, 8³, 12¹, 24³</t>
        </is>
      </c>
      <c r="K5416">
        <f>HYPERLINK("CSG5.html#group30L5", "30L⁵"), =HYPERLINK("CSG7.html#group45D7", "45D⁷")</f>
        <v/>
      </c>
      <c r="L5416" t="inlineStr"/>
      <c r="M5416">
        <f>HYPERLINK("CSG0.html#group5A0", "5A⁰"), =HYPERLINK("CSG5.html#group30L5", "30L⁵"), =HYPERLINK("CSG1.html#group15A1", "15A¹"), =HYPERLINK("CSG0.html#group9A0", "9A⁰"), =HYPERLINK("CSG1.html#group15F1", "15F¹"), =HYPERLINK("CSG0.html#group5E0", "5E⁰"), =HYPERLINK("CSG3.html#group45A3", "45A³"), =HYPERLINK("CSG0.html#group3A0", "3A⁰"), =HYPERLINK("CSG0.html#group1A0", "1A⁰"), =HYPERLINK("CSG7.html#group45D7", "45D⁷"), =HYPERLINK("CSG0.html#group15A0", "15A⁰")</f>
        <v/>
      </c>
      <c r="N5416" t="inlineStr"/>
    </row>
    <row r="5417">
      <c r="A5417" t="inlineStr">
        <is>
          <t>90D¹⁸</t>
        </is>
      </c>
      <c r="B5417" t="inlineStr"/>
      <c r="C5417" t="inlineStr">
        <is>
          <t>324</t>
        </is>
      </c>
      <c r="D5417" t="inlineStr">
        <is>
          <t>1</t>
        </is>
      </c>
      <c r="E5417" t="inlineStr">
        <is>
          <t>162</t>
        </is>
      </c>
      <c r="F5417" t="inlineStr">
        <is>
          <t>28</t>
        </is>
      </c>
      <c r="G5417" t="inlineStr">
        <is>
          <t>0</t>
        </is>
      </c>
      <c r="H5417" t="inlineStr">
        <is>
          <t>18³, 90³</t>
        </is>
      </c>
      <c r="I5417" t="n">
        <v>6</v>
      </c>
      <c r="J5417" t="inlineStr">
        <is>
          <t>3², 6⁸, 12¹, 24⁴</t>
        </is>
      </c>
      <c r="K5417">
        <f>HYPERLINK("CSG4.html#group90A4", "90A⁴"), =HYPERLINK("CSG8.html#group45D8", "45D⁸")</f>
        <v/>
      </c>
      <c r="L5417" t="inlineStr"/>
      <c r="M5417">
        <f>HYPERLINK("CSG0.html#group30A0", "30A⁰"), =HYPERLINK("CSG2.html#group45A2", "45A²"), =HYPERLINK("CSG0.html#group15B0", "15B⁰"), =HYPERLINK("CSG4.html#group90A4", "90A⁴"), =HYPERLINK("CSG8.html#group45D8", "45D⁸"), =HYPERLINK("CSG0.html#group9A0", "9A⁰"), =HYPERLINK("CSG0.html#group9G0", "9G⁰"), =HYPERLINK("CSG0.html#group5B0", "5B⁰"), =HYPERLINK("CSG0.html#group3A0", "3A⁰"), =HYPERLINK("CSG0.html#group1A0", "1A⁰"), =HYPERLINK("CSG0.html#group10B0", "10B⁰")</f>
        <v/>
      </c>
      <c r="N5417" t="inlineStr"/>
    </row>
    <row r="5418">
      <c r="A5418" t="inlineStr">
        <is>
          <t>91A¹⁸</t>
        </is>
      </c>
      <c r="B5418" t="inlineStr"/>
      <c r="C5418" t="inlineStr">
        <is>
          <t>294</t>
        </is>
      </c>
      <c r="D5418" t="inlineStr">
        <is>
          <t>2</t>
        </is>
      </c>
      <c r="E5418" t="inlineStr">
        <is>
          <t>98</t>
        </is>
      </c>
      <c r="F5418" t="inlineStr">
        <is>
          <t>18</t>
        </is>
      </c>
      <c r="G5418" t="inlineStr">
        <is>
          <t>0</t>
        </is>
      </c>
      <c r="H5418" t="inlineStr">
        <is>
          <t>7³, 91³</t>
        </is>
      </c>
      <c r="I5418" t="n">
        <v>6</v>
      </c>
      <c r="J5418" t="inlineStr">
        <is>
          <t>2², 6⁴, 24¹, 72²</t>
        </is>
      </c>
      <c r="K5418">
        <f>HYPERLINK("CSG0.html#group13C0", "13C⁰"), =HYPERLINK("CSG6.html#group91A6", "91A⁶")</f>
        <v/>
      </c>
      <c r="L5418" t="inlineStr"/>
      <c r="M5418">
        <f>HYPERLINK("CSG0.html#group13A0", "13A⁰"), =HYPERLINK("CSG0.html#group13C0", "13C⁰"), =HYPERLINK("CSG6.html#group91A6", "91A⁶"), =HYPERLINK("CSG0.html#group1A0", "1A⁰"), =HYPERLINK("CSG0.html#group7A0", "7A⁰")</f>
        <v/>
      </c>
      <c r="N5418" t="inlineStr"/>
    </row>
    <row r="5419">
      <c r="A5419" t="inlineStr">
        <is>
          <t>96A¹⁸</t>
        </is>
      </c>
      <c r="B5419" t="inlineStr"/>
      <c r="C5419" t="inlineStr">
        <is>
          <t>288</t>
        </is>
      </c>
      <c r="D5419" t="inlineStr">
        <is>
          <t>1</t>
        </is>
      </c>
      <c r="E5419" t="inlineStr">
        <is>
          <t>12</t>
        </is>
      </c>
      <c r="F5419" t="inlineStr">
        <is>
          <t>0</t>
        </is>
      </c>
      <c r="G5419" t="inlineStr">
        <is>
          <t>0</t>
        </is>
      </c>
      <c r="H5419" t="inlineStr">
        <is>
          <t>6⁸, 12⁴, 96²</t>
        </is>
      </c>
      <c r="I5419" t="n">
        <v>14</v>
      </c>
      <c r="J5419" t="inlineStr">
        <is>
          <t>2⁶</t>
        </is>
      </c>
      <c r="K5419">
        <f>HYPERLINK("CSG2.html#group32B2", "32B²"), =HYPERLINK("CSG8.html#group48C8", "48C⁸"), =HYPERLINK("CSG8.html#group96C8", "96C⁸"), =HYPERLINK("CSG8.html#group96D8", "96D⁸")</f>
        <v/>
      </c>
      <c r="L5419" t="inlineStr"/>
      <c r="M5419">
        <f>HYPERLINK("CSG0.html#group16G0", "16G⁰"), =HYPERLINK("CSG0.html#group2A0", "2A⁰"), =HYPERLINK("CSG0.html#group12C0", "12C⁰"), =HYPERLINK("CSG0.html#group8D0", "8D⁰"), =HYPERLINK("CSG0.html#group4C0", "4C⁰"), =HYPERLINK("CSG1.html#group6C1", "6C¹"), =HYPERLINK("CSG2.html#group12B2", "12B²"), =HYPERLINK("CSG8.html#group96D8", "96D⁸"), =HYPERLINK("CSG1.html#group32D1", "32D¹"), =HYPERLINK("CSG0.html#group8C0", "8C⁰"), =HYPERLINK("CSG0.html#group2B0", "2B⁰"), =HYPERLINK("CSG0.html#group4E0", "4E⁰"), =HYPERLINK("CSG0.html#group4B0", "4B⁰"), =HYPERLINK("CSG0.html#group1A0", "1A⁰"), =HYPERLINK("CSG4.html#group24D4", "24D⁴"), =HYPERLINK("CSG2.html#group24B2", "24B²"), =HYPERLINK("CSG0.html#group16E0", "16E⁰"), =HYPERLINK("CSG2.html#group32B2", "32B²"), =HYPERLINK("CSG0.html#group6A0", "6A⁰"), =HYPERLINK("CSG1.html#group32C1", "32C¹"), =HYPERLINK("CSG0.html#group8G0", "8G⁰"), =HYPERLINK("CSG8.html#group96C8", "96C⁸"), =HYPERLINK("CSG0.html#group16D0", "16D⁰"), =HYPERLINK("CSG8.html#group48C8", "48C⁸"), =HYPERLINK("CSG1.html#group24C1", "24C¹"), =HYPERLINK("CSG1.html#group12B1", "12B¹"), =HYPERLINK("CSG1.html#group6A1", "6A¹"), =HYPERLINK("CSG3.html#group48D3", "48D³"), =HYPERLINK("CSG0.html#group3A0", "3A⁰"), =HYPERLINK("CSG0.html#group2C0", "2C⁰"), =HYPERLINK("CSG0.html#group6D0", "6D⁰"), =HYPERLINK("CSG4.html#group48D4", "48D⁴")</f>
        <v/>
      </c>
      <c r="N5419" t="inlineStr"/>
    </row>
    <row r="5420">
      <c r="A5420" t="inlineStr">
        <is>
          <t>96B¹⁸</t>
        </is>
      </c>
      <c r="B5420" t="inlineStr"/>
      <c r="C5420" t="inlineStr">
        <is>
          <t>288</t>
        </is>
      </c>
      <c r="D5420" t="inlineStr">
        <is>
          <t>1</t>
        </is>
      </c>
      <c r="E5420" t="inlineStr">
        <is>
          <t>24</t>
        </is>
      </c>
      <c r="F5420" t="inlineStr">
        <is>
          <t>0</t>
        </is>
      </c>
      <c r="G5420" t="inlineStr">
        <is>
          <t>0</t>
        </is>
      </c>
      <c r="H5420" t="inlineStr">
        <is>
          <t>3⁴, 6², 12⁶, 96²</t>
        </is>
      </c>
      <c r="I5420" t="n">
        <v>14</v>
      </c>
      <c r="J5420" t="inlineStr">
        <is>
          <t>1⁴, 2², 4², 8¹</t>
        </is>
      </c>
      <c r="K5420">
        <f>HYPERLINK("CSG2.html#group32C2", "32C²"), =HYPERLINK("CSG8.html#group48E8", "48E⁸")</f>
        <v/>
      </c>
      <c r="L5420" t="inlineStr"/>
      <c r="M5420">
        <f>HYPERLINK("CSG4.html#group24F4", "24F⁴"), =HYPERLINK("CSG2.html#group32C2", "32C²"), =HYPERLINK("CSG0.html#group8C0", "8C⁰"), =HYPERLINK("CSG0.html#group2B0", "2B⁰"), =HYPERLINK("CSG0.html#group8I0", "8I⁰"), =HYPERLINK("CSG0.html#group4B0", "4B⁰"), =HYPERLINK("CSG0.html#group1A0", "1A⁰"), =HYPERLINK("CSG4.html#group48B4", "48B⁴"), =HYPERLINK("CSG0.html#group16H0", "16H⁰"), =HYPERLINK("CSG2.html#group24B2", "24B²"), =HYPERLINK("CSG8.html#group48E8", "48E⁸"), =HYPERLINK("CSG0.html#group16C0", "16C⁰"), =HYPERLINK("CSG0.html#group16D0", "16D⁰"), =HYPERLINK("CSG1.html#group12B1", "12B¹"), =HYPERLINK("CSG0.html#group3A0", "3A⁰"), =HYPERLINK("CSG0.html#group6D0", "6D⁰"), =HYPERLINK("CSG4.html#group48D4", "48D⁴")</f>
        <v/>
      </c>
      <c r="N5420" t="inlineStr"/>
    </row>
    <row r="5421">
      <c r="A5421" t="inlineStr">
        <is>
          <t>96C¹⁸</t>
        </is>
      </c>
      <c r="B5421" t="inlineStr"/>
      <c r="C5421" t="inlineStr">
        <is>
          <t>288</t>
        </is>
      </c>
      <c r="D5421" t="inlineStr">
        <is>
          <t>1</t>
        </is>
      </c>
      <c r="E5421" t="inlineStr">
        <is>
          <t>36</t>
        </is>
      </c>
      <c r="F5421" t="inlineStr">
        <is>
          <t>0</t>
        </is>
      </c>
      <c r="G5421" t="inlineStr">
        <is>
          <t>0</t>
        </is>
      </c>
      <c r="H5421" t="inlineStr">
        <is>
          <t>6⁸, 12⁴, 96²</t>
        </is>
      </c>
      <c r="I5421" t="n">
        <v>14</v>
      </c>
      <c r="J5421" t="inlineStr">
        <is>
          <t>2⁶, 4⁶</t>
        </is>
      </c>
      <c r="K5421">
        <f>HYPERLINK("CSG8.html#group48C8", "48C⁸"), =HYPERLINK("CSG8.html#group96E8", "96E⁸"), =HYPERLINK("CSG8.html#group96F8", "96F⁸")</f>
        <v/>
      </c>
      <c r="L5421" t="inlineStr"/>
      <c r="M5421">
        <f>HYPERLINK("CSG0.html#group16G0", "16G⁰"), =HYPERLINK("CSG0.html#group2A0", "2A⁰"), =HYPERLINK("CSG0.html#group12C0", "12C⁰"), =HYPERLINK("CSG0.html#group4C0", "4C⁰"), =HYPERLINK("CSG1.html#group6C1", "6C¹"), =HYPERLINK("CSG2.html#group12B2", "12B²"), =HYPERLINK("CSG0.html#group2B0", "2B⁰"), =HYPERLINK("CSG0.html#group8C0", "8C⁰"), =HYPERLINK("CSG0.html#group4E0", "4E⁰"), =HYPERLINK("CSG0.html#group4B0", "4B⁰"), =HYPERLINK("CSG0.html#group1A0", "1A⁰"), =HYPERLINK("CSG0.html#group16E0", "16E⁰"), =HYPERLINK("CSG2.html#group24B2", "24B²"), =HYPERLINK("CSG0.html#group8G0", "8G⁰"), =HYPERLINK("CSG1.html#group12B1", "12B¹"), =HYPERLINK("CSG1.html#group6A1", "6A¹"), =HYPERLINK("CSG3.html#group48D3", "48D³"), =HYPERLINK("CSG0.html#group3A0", "3A⁰"), =HYPERLINK("CSG4.html#group48D4", "48D⁴"), =HYPERLINK("CSG0.html#group8D0", "8D⁰"), =HYPERLINK("CSG8.html#group96E8", "96E⁸"), =HYPERLINK("CSG4.html#group24D4", "24D⁴"), =HYPERLINK("CSG8.html#group96F8", "96F⁸"), =HYPERLINK("CSG0.html#group6A0", "6A⁰"), =HYPERLINK("CSG0.html#group16D0", "16D⁰"), =HYPERLINK("CSG8.html#group48C8", "48C⁸"), =HYPERLINK("CSG1.html#group24C1", "24C¹"), =HYPERLINK("CSG0.html#group2C0", "2C⁰"), =HYPERLINK("CSG0.html#group6D0", "6D⁰")</f>
        <v/>
      </c>
      <c r="N5421" t="inlineStr"/>
    </row>
    <row r="5422">
      <c r="A5422" t="inlineStr">
        <is>
          <t>96D¹⁸</t>
        </is>
      </c>
      <c r="B5422" t="inlineStr"/>
      <c r="C5422" t="inlineStr">
        <is>
          <t>288</t>
        </is>
      </c>
      <c r="D5422" t="inlineStr">
        <is>
          <t>1</t>
        </is>
      </c>
      <c r="E5422" t="inlineStr">
        <is>
          <t>72</t>
        </is>
      </c>
      <c r="F5422" t="inlineStr">
        <is>
          <t>0</t>
        </is>
      </c>
      <c r="G5422" t="inlineStr">
        <is>
          <t>0</t>
        </is>
      </c>
      <c r="H5422" t="inlineStr">
        <is>
          <t>3⁴, 6², 12⁶, 96²</t>
        </is>
      </c>
      <c r="I5422" t="n">
        <v>14</v>
      </c>
      <c r="J5422" t="inlineStr">
        <is>
          <t>1⁴, 2⁶, 4⁴, 8³, 16¹</t>
        </is>
      </c>
      <c r="K5422">
        <f>HYPERLINK("CSG8.html#group48E8", "48E⁸")</f>
        <v/>
      </c>
      <c r="L5422" t="inlineStr"/>
      <c r="M5422">
        <f>HYPERLINK("CSG4.html#group24F4", "24F⁴"), =HYPERLINK("CSG0.html#group8C0", "8C⁰"), =HYPERLINK("CSG0.html#group2B0", "2B⁰"), =HYPERLINK("CSG0.html#group8I0", "8I⁰"), =HYPERLINK("CSG0.html#group4B0", "4B⁰"), =HYPERLINK("CSG0.html#group1A0", "1A⁰"), =HYPERLINK("CSG4.html#group48B4", "48B⁴"), =HYPERLINK("CSG0.html#group16H0", "16H⁰"), =HYPERLINK("CSG2.html#group24B2", "24B²"), =HYPERLINK("CSG8.html#group48E8", "48E⁸"), =HYPERLINK("CSG0.html#group16C0", "16C⁰"), =HYPERLINK("CSG0.html#group16D0", "16D⁰"), =HYPERLINK("CSG1.html#group12B1", "12B¹"), =HYPERLINK("CSG0.html#group3A0", "3A⁰"), =HYPERLINK("CSG0.html#group6D0", "6D⁰"), =HYPERLINK("CSG4.html#group48D4", "48D⁴")</f>
        <v/>
      </c>
      <c r="N5422" t="inlineStr"/>
    </row>
    <row r="5423">
      <c r="A5423" t="inlineStr">
        <is>
          <t>96E¹⁸</t>
        </is>
      </c>
      <c r="B5423" t="inlineStr"/>
      <c r="C5423" t="inlineStr">
        <is>
          <t>288</t>
        </is>
      </c>
      <c r="D5423" t="inlineStr">
        <is>
          <t>1</t>
        </is>
      </c>
      <c r="E5423" t="inlineStr">
        <is>
          <t>72</t>
        </is>
      </c>
      <c r="F5423" t="inlineStr">
        <is>
          <t>8</t>
        </is>
      </c>
      <c r="G5423" t="inlineStr">
        <is>
          <t>0</t>
        </is>
      </c>
      <c r="H5423" t="inlineStr">
        <is>
          <t>12⁸, 96²</t>
        </is>
      </c>
      <c r="I5423" t="n">
        <v>10</v>
      </c>
      <c r="J5423" t="inlineStr">
        <is>
          <t>2², 4⁵, 8⁷, 16⁴</t>
        </is>
      </c>
      <c r="K5423">
        <f>HYPERLINK("CSG8.html#group48P8", "48P⁸"), =HYPERLINK("CSG8.html#group96C8", "96C⁸"), =HYPERLINK("CSG8.html#group96F8", "96F⁸")</f>
        <v/>
      </c>
      <c r="L5423" t="inlineStr"/>
      <c r="M5423">
        <f>HYPERLINK("CSG3.html#group24Q3", "24Q³"), =HYPERLINK("CSG0.html#group12C0", "12C⁰"), =HYPERLINK("CSG0.html#group8D0", "8D⁰"), =HYPERLINK("CSG4.html#group48H4", "48H⁴"), =HYPERLINK("CSG0.html#group4C0", "4C⁰"), =HYPERLINK("CSG1.html#group24D1", "24D¹"), =HYPERLINK("CSG0.html#group2B0", "2B⁰"), =HYPERLINK("CSG1.html#group12M1", "12M¹"), =HYPERLINK("CSG8.html#group48P8", "48P⁸"), =HYPERLINK("CSG0.html#group1A0", "1A⁰"), =HYPERLINK("CSG0.html#group16E0", "16E⁰"), =HYPERLINK("CSG8.html#group96F8", "96F⁸"), =HYPERLINK("CSG1.html#group32C1", "32C¹"), =HYPERLINK("CSG8.html#group96C8", "96C⁸"), =HYPERLINK("CSG1.html#group24C1", "24C¹"), =HYPERLINK("CSG3.html#group48D3", "48D³"), =HYPERLINK("CSG0.html#group3A0", "3A⁰"), =HYPERLINK("CSG0.html#group6D0", "6D⁰")</f>
        <v/>
      </c>
      <c r="N5423" t="inlineStr"/>
    </row>
    <row r="5424">
      <c r="A5424" t="inlineStr">
        <is>
          <t>96F¹⁸</t>
        </is>
      </c>
      <c r="B5424" t="inlineStr"/>
      <c r="C5424" t="inlineStr">
        <is>
          <t>288</t>
        </is>
      </c>
      <c r="D5424" t="inlineStr">
        <is>
          <t>1</t>
        </is>
      </c>
      <c r="E5424" t="inlineStr">
        <is>
          <t>72</t>
        </is>
      </c>
      <c r="F5424" t="inlineStr">
        <is>
          <t>8</t>
        </is>
      </c>
      <c r="G5424" t="inlineStr">
        <is>
          <t>0</t>
        </is>
      </c>
      <c r="H5424" t="inlineStr">
        <is>
          <t>12⁸, 96²</t>
        </is>
      </c>
      <c r="I5424" t="n">
        <v>10</v>
      </c>
      <c r="J5424" t="inlineStr">
        <is>
          <t>2², 4⁵, 8⁷, 16⁴</t>
        </is>
      </c>
      <c r="K5424">
        <f>HYPERLINK("CSG8.html#group48P8", "48P⁸"), =HYPERLINK("CSG8.html#group96D8", "96D⁸"), =HYPERLINK("CSG8.html#group96E8", "96E⁸")</f>
        <v/>
      </c>
      <c r="L5424" t="inlineStr"/>
      <c r="M5424">
        <f>HYPERLINK("CSG3.html#group24Q3", "24Q³"), =HYPERLINK("CSG0.html#group12C0", "12C⁰"), =HYPERLINK("CSG0.html#group8D0", "8D⁰"), =HYPERLINK("CSG4.html#group48H4", "48H⁴"), =HYPERLINK("CSG0.html#group4C0", "4C⁰"), =HYPERLINK("CSG1.html#group24D1", "24D¹"), =HYPERLINK("CSG8.html#group96D8", "96D⁸"), =HYPERLINK("CSG1.html#group32D1", "32D¹"), =HYPERLINK("CSG0.html#group2B0", "2B⁰"), =HYPERLINK("CSG1.html#group12M1", "12M¹"), =HYPERLINK("CSG8.html#group48P8", "48P⁸"), =HYPERLINK("CSG8.html#group96E8", "96E⁸"), =HYPERLINK("CSG0.html#group1A0", "1A⁰"), =HYPERLINK("CSG0.html#group16E0", "16E⁰"), =HYPERLINK("CSG1.html#group24C1", "24C¹"), =HYPERLINK("CSG3.html#group48D3", "48D³"), =HYPERLINK("CSG0.html#group3A0", "3A⁰"), =HYPERLINK("CSG0.html#group6D0", "6D⁰")</f>
        <v/>
      </c>
      <c r="N5424" t="inlineStr"/>
    </row>
    <row r="5425">
      <c r="A5425" t="inlineStr">
        <is>
          <t>96G¹⁸</t>
        </is>
      </c>
      <c r="B5425" t="inlineStr"/>
      <c r="C5425" t="inlineStr">
        <is>
          <t>288</t>
        </is>
      </c>
      <c r="D5425" t="inlineStr">
        <is>
          <t>2</t>
        </is>
      </c>
      <c r="E5425" t="inlineStr">
        <is>
          <t>72</t>
        </is>
      </c>
      <c r="F5425" t="inlineStr">
        <is>
          <t>8</t>
        </is>
      </c>
      <c r="G5425" t="inlineStr">
        <is>
          <t>0</t>
        </is>
      </c>
      <c r="H5425" t="inlineStr">
        <is>
          <t>12⁸, 96²</t>
        </is>
      </c>
      <c r="I5425" t="n">
        <v>10</v>
      </c>
      <c r="J5425" t="inlineStr">
        <is>
          <t>2², 4³, 8⁴, 16⁶</t>
        </is>
      </c>
      <c r="K5425">
        <f>HYPERLINK("CSG8.html#group48P8", "48P⁸"), =HYPERLINK("CSG8.html#group96E8", "96E⁸"), =HYPERLINK("CSG8.html#group96F8", "96F⁸")</f>
        <v/>
      </c>
      <c r="L5425" t="inlineStr"/>
      <c r="M5425">
        <f>HYPERLINK("CSG3.html#group24Q3", "24Q³"), =HYPERLINK("CSG0.html#group12C0", "12C⁰"), =HYPERLINK("CSG0.html#group8D0", "8D⁰"), =HYPERLINK("CSG4.html#group48H4", "48H⁴"), =HYPERLINK("CSG0.html#group4C0", "4C⁰"), =HYPERLINK("CSG1.html#group24D1", "24D¹"), =HYPERLINK("CSG0.html#group2B0", "2B⁰"), =HYPERLINK("CSG1.html#group12M1", "12M¹"), =HYPERLINK("CSG8.html#group48P8", "48P⁸"), =HYPERLINK("CSG8.html#group96E8", "96E⁸"), =HYPERLINK("CSG0.html#group1A0", "1A⁰"), =HYPERLINK("CSG0.html#group16E0", "16E⁰"), =HYPERLINK("CSG8.html#group96F8", "96F⁸"), =HYPERLINK("CSG1.html#group24C1", "24C¹"), =HYPERLINK("CSG3.html#group48D3", "48D³"), =HYPERLINK("CSG0.html#group3A0", "3A⁰"), =HYPERLINK("CSG0.html#group6D0", "6D⁰")</f>
        <v/>
      </c>
      <c r="N5425" t="inlineStr"/>
    </row>
    <row r="5426">
      <c r="A5426" t="inlineStr">
        <is>
          <t>105A¹⁸</t>
        </is>
      </c>
      <c r="B5426" t="inlineStr"/>
      <c r="C5426" t="inlineStr">
        <is>
          <t>240</t>
        </is>
      </c>
      <c r="D5426" t="inlineStr">
        <is>
          <t>2</t>
        </is>
      </c>
      <c r="E5426" t="inlineStr">
        <is>
          <t>80</t>
        </is>
      </c>
      <c r="F5426" t="inlineStr">
        <is>
          <t>0</t>
        </is>
      </c>
      <c r="G5426" t="inlineStr">
        <is>
          <t>3</t>
        </is>
      </c>
      <c r="H5426" t="inlineStr">
        <is>
          <t>15², 105²</t>
        </is>
      </c>
      <c r="I5426" t="n">
        <v>4</v>
      </c>
      <c r="J5426" t="inlineStr">
        <is>
          <t>4², 8⁴, 24¹, 48²</t>
        </is>
      </c>
      <c r="K5426">
        <f>HYPERLINK("CSG1.html#group21A1", "21A¹"), =HYPERLINK("CSG5.html#group35A5", "35A⁵")</f>
        <v/>
      </c>
      <c r="L5426" t="inlineStr"/>
      <c r="M5426">
        <f>HYPERLINK("CSG5.html#group35A5", "35A⁵"), =HYPERLINK("CSG0.html#group1A0", "1A⁰"), =HYPERLINK("CSG0.html#group5C0", "5C⁰"), =HYPERLINK("CSG0.html#group7B0", "7B⁰"), =HYPERLINK("CSG1.html#group21A1", "21A¹")</f>
        <v/>
      </c>
      <c r="N5426" t="inlineStr"/>
    </row>
    <row r="5427">
      <c r="A5427" t="inlineStr">
        <is>
          <t>111A¹⁸</t>
        </is>
      </c>
      <c r="B5427" t="inlineStr"/>
      <c r="C5427" t="inlineStr">
        <is>
          <t>228</t>
        </is>
      </c>
      <c r="D5427" t="inlineStr">
        <is>
          <t>1</t>
        </is>
      </c>
      <c r="E5427" t="inlineStr">
        <is>
          <t>38</t>
        </is>
      </c>
      <c r="F5427" t="inlineStr">
        <is>
          <t>0</t>
        </is>
      </c>
      <c r="G5427" t="inlineStr">
        <is>
          <t>0</t>
        </is>
      </c>
      <c r="H5427" t="inlineStr">
        <is>
          <t>3², 111²</t>
        </is>
      </c>
      <c r="I5427" t="n">
        <v>4</v>
      </c>
      <c r="J5427" t="inlineStr">
        <is>
          <t>1², 36¹</t>
        </is>
      </c>
      <c r="K5427">
        <f>HYPERLINK("CSG4.html#group37A4", "37A⁴"), =HYPERLINK("CSG8.html#group111A8", "111A⁸")</f>
        <v/>
      </c>
      <c r="L5427" t="inlineStr"/>
      <c r="M5427">
        <f>HYPERLINK("CSG2.html#group37A2", "37A²"), =HYPERLINK("CSG8.html#group111A8", "111A⁸"), =HYPERLINK("CSG0.html#group3A0", "3A⁰"), =HYPERLINK("CSG4.html#group37A4", "37A⁴"), =HYPERLINK("CSG0.html#group1A0", "1A⁰")</f>
        <v/>
      </c>
      <c r="N5427" t="inlineStr"/>
    </row>
    <row r="5428">
      <c r="A5428" t="inlineStr">
        <is>
          <t>111B¹⁸</t>
        </is>
      </c>
      <c r="B5428" t="inlineStr"/>
      <c r="C5428" t="inlineStr">
        <is>
          <t>228</t>
        </is>
      </c>
      <c r="D5428" t="inlineStr">
        <is>
          <t>2</t>
        </is>
      </c>
      <c r="E5428" t="inlineStr">
        <is>
          <t>38</t>
        </is>
      </c>
      <c r="F5428" t="inlineStr">
        <is>
          <t>0</t>
        </is>
      </c>
      <c r="G5428" t="inlineStr">
        <is>
          <t>0</t>
        </is>
      </c>
      <c r="H5428" t="inlineStr">
        <is>
          <t>3², 111²</t>
        </is>
      </c>
      <c r="I5428" t="n">
        <v>4</v>
      </c>
      <c r="J5428" t="inlineStr">
        <is>
          <t>2², 72¹</t>
        </is>
      </c>
      <c r="K5428">
        <f>HYPERLINK("CSG4.html#group37A4", "37A⁴"), =HYPERLINK("CSG8.html#group111B8", "111B⁸")</f>
        <v/>
      </c>
      <c r="L5428" t="inlineStr"/>
      <c r="M5428">
        <f>HYPERLINK("CSG2.html#group37A2", "37A²"), =HYPERLINK("CSG8.html#group111B8", "111B⁸"), =HYPERLINK("CSG4.html#group37A4", "37A⁴"), =HYPERLINK("CSG0.html#group1A0", "1A⁰")</f>
        <v/>
      </c>
      <c r="N5428" t="inlineStr"/>
    </row>
    <row r="5429">
      <c r="A5429" t="inlineStr">
        <is>
          <t>117A¹⁸</t>
        </is>
      </c>
      <c r="B5429" t="inlineStr"/>
      <c r="C5429" t="inlineStr">
        <is>
          <t>252</t>
        </is>
      </c>
      <c r="D5429" t="inlineStr">
        <is>
          <t>1</t>
        </is>
      </c>
      <c r="E5429" t="inlineStr">
        <is>
          <t>126</t>
        </is>
      </c>
      <c r="F5429" t="inlineStr">
        <is>
          <t>8</t>
        </is>
      </c>
      <c r="G5429" t="inlineStr">
        <is>
          <t>0</t>
        </is>
      </c>
      <c r="H5429" t="inlineStr">
        <is>
          <t>9², 117²</t>
        </is>
      </c>
      <c r="I5429" t="n">
        <v>4</v>
      </c>
      <c r="J5429" t="inlineStr">
        <is>
          <t>1², 2², 6², 12¹, 24¹, 72¹</t>
        </is>
      </c>
      <c r="K5429">
        <f>HYPERLINK("CSG4.html#group39A4", "39A⁴"), =HYPERLINK("CSG8.html#group117A8", "117A⁸")</f>
        <v/>
      </c>
      <c r="L5429" t="inlineStr"/>
      <c r="M5429">
        <f>HYPERLINK("CSG8.html#group117A8", "117A⁸"), =HYPERLINK("CSG0.html#group13A0", "13A⁰"), =HYPERLINK("CSG2.html#group39A2", "39A²"), =HYPERLINK("CSG4.html#group39A4", "39A⁴"), =HYPERLINK("CSG0.html#group3A0", "3A⁰"), =HYPERLINK("CSG0.html#group1A0", "1A⁰"), =HYPERLINK("CSG0.html#group9A0", "9A⁰")</f>
        <v/>
      </c>
      <c r="N5429" t="inlineStr"/>
    </row>
    <row r="5430">
      <c r="A5430" t="inlineStr">
        <is>
          <t>120A¹⁸</t>
        </is>
      </c>
      <c r="B5430" t="inlineStr"/>
      <c r="C5430" t="inlineStr">
        <is>
          <t>240</t>
        </is>
      </c>
      <c r="D5430" t="inlineStr">
        <is>
          <t>1</t>
        </is>
      </c>
      <c r="E5430" t="inlineStr">
        <is>
          <t>60</t>
        </is>
      </c>
      <c r="F5430" t="inlineStr">
        <is>
          <t>0</t>
        </is>
      </c>
      <c r="G5430" t="inlineStr">
        <is>
          <t>0</t>
        </is>
      </c>
      <c r="H5430" t="inlineStr">
        <is>
          <t>10², 30², 40¹, 120¹</t>
        </is>
      </c>
      <c r="I5430" t="n">
        <v>6</v>
      </c>
      <c r="J5430" t="inlineStr">
        <is>
          <t>1⁶, 2³, 4⁶, 8³</t>
        </is>
      </c>
      <c r="K5430">
        <f>HYPERLINK("CSG2.html#group24F2", "24F²"), =HYPERLINK("CSG8.html#group60C8", "60C⁸")</f>
        <v/>
      </c>
      <c r="L5430" t="inlineStr"/>
      <c r="M5430">
        <f>HYPERLINK("CSG2.html#group20A2", "20A²"), =HYPERLINK("CSG0.html#group3B0", "3B⁰"), =HYPERLINK("CSG0.html#group5A0", "5A⁰"), =HYPERLINK("CSG1.html#group10B1", "10B¹"), =HYPERLINK("CSG0.html#group2B0", "2B⁰"), =HYPERLINK("CSG0.html#group4B0", "4B⁰"), =HYPERLINK("CSG0.html#group1A0", "1A⁰"), =HYPERLINK("CSG4.html#group30D4", "30D⁴"), =HYPERLINK("CSG8.html#group60C8", "60C⁸"), =HYPERLINK("CSG1.html#group15B1", "15B¹"), =HYPERLINK("CSG2.html#group24F2", "24F²"), =HYPERLINK("CSG0.html#group6F0", "6F⁰"), =HYPERLINK("CSG0.html#group12E0", "12E⁰")</f>
        <v/>
      </c>
      <c r="N5430" t="inlineStr"/>
    </row>
    <row r="5431">
      <c r="A5431" t="inlineStr">
        <is>
          <t>120B¹⁸</t>
        </is>
      </c>
      <c r="B5431" t="inlineStr"/>
      <c r="C5431" t="inlineStr">
        <is>
          <t>240</t>
        </is>
      </c>
      <c r="D5431" t="inlineStr">
        <is>
          <t>1</t>
        </is>
      </c>
      <c r="E5431" t="inlineStr">
        <is>
          <t>60</t>
        </is>
      </c>
      <c r="F5431" t="inlineStr">
        <is>
          <t>8</t>
        </is>
      </c>
      <c r="G5431" t="inlineStr">
        <is>
          <t>0</t>
        </is>
      </c>
      <c r="H5431" t="inlineStr">
        <is>
          <t>120²</t>
        </is>
      </c>
      <c r="I5431" t="n">
        <v>2</v>
      </c>
      <c r="J5431" t="inlineStr">
        <is>
          <t>4², 8², 16², 32²</t>
        </is>
      </c>
      <c r="K5431">
        <f>HYPERLINK("CSG2.html#group24G2", "24G²"), =HYPERLINK("CSG8.html#group60D8", "60D⁸"), =HYPERLINK("CSG9.html#group120B9", "120B⁹")</f>
        <v/>
      </c>
      <c r="L5431" t="inlineStr"/>
      <c r="M5431">
        <f>HYPERLINK("CSG0.html#group5A0", "5A⁰"), =HYPERLINK("CSG2.html#group30A2", "30A²"), =HYPERLINK("CSG0.html#group12A0", "12A⁰"), =HYPERLINK("CSG0.html#group6B0", "6B⁰"), =HYPERLINK("CSG8.html#group60D8", "60D⁸"), =HYPERLINK("CSG0.html#group4A0", "4A⁰"), =HYPERLINK("CSG4.html#group60A4", "60A⁴"), =HYPERLINK("CSG0.html#group12F0", "12F⁰"), =HYPERLINK("CSG9.html#group120B9", "120B⁹"), =HYPERLINK("CSG1.html#group20A1", "20A¹"), =HYPERLINK("CSG1.html#group24B1", "24B¹"), =HYPERLINK("CSG0.html#group3A0", "3A⁰"), =HYPERLINK("CSG0.html#group1A0", "1A⁰"), =HYPERLINK("CSG2.html#group24G2", "24G²"), =HYPERLINK("CSG1.html#group15A1", "15A¹")</f>
        <v/>
      </c>
      <c r="N5431" t="inlineStr"/>
    </row>
    <row r="5432">
      <c r="A5432" t="inlineStr">
        <is>
          <t>120C¹⁸</t>
        </is>
      </c>
      <c r="B5432" t="inlineStr"/>
      <c r="C5432" t="inlineStr">
        <is>
          <t>240</t>
        </is>
      </c>
      <c r="D5432" t="inlineStr">
        <is>
          <t>1</t>
        </is>
      </c>
      <c r="E5432" t="inlineStr">
        <is>
          <t>60</t>
        </is>
      </c>
      <c r="F5432" t="inlineStr">
        <is>
          <t>8</t>
        </is>
      </c>
      <c r="G5432" t="inlineStr">
        <is>
          <t>0</t>
        </is>
      </c>
      <c r="H5432" t="inlineStr">
        <is>
          <t>120²</t>
        </is>
      </c>
      <c r="I5432" t="n">
        <v>2</v>
      </c>
      <c r="J5432" t="inlineStr">
        <is>
          <t>4², 8², 16², 32²</t>
        </is>
      </c>
      <c r="K5432">
        <f>HYPERLINK("CSG2.html#group24H2", "24H²"), =HYPERLINK("CSG8.html#group60D8", "60D⁸"), =HYPERLINK("CSG9.html#group120B9", "120B⁹")</f>
        <v/>
      </c>
      <c r="L5432" t="inlineStr"/>
      <c r="M5432">
        <f>HYPERLINK("CSG0.html#group5A0", "5A⁰"), =HYPERLINK("CSG2.html#group30A2", "30A²"), =HYPERLINK("CSG0.html#group12A0", "12A⁰"), =HYPERLINK("CSG0.html#group6B0", "6B⁰"), =HYPERLINK("CSG8.html#group60D8", "60D⁸"), =HYPERLINK("CSG0.html#group4A0", "4A⁰"), =HYPERLINK("CSG1.html#group15A1", "15A¹"), =HYPERLINK("CSG4.html#group60A4", "60A⁴"), =HYPERLINK("CSG0.html#group12F0", "12F⁰"), =HYPERLINK("CSG9.html#group120B9", "120B⁹"), =HYPERLINK("CSG1.html#group20A1", "20A¹"), =HYPERLINK("CSG1.html#group24B1", "24B¹"), =HYPERLINK("CSG0.html#group3A0", "3A⁰"), =HYPERLINK("CSG0.html#group1A0", "1A⁰"), =HYPERLINK("CSG2.html#group24H2", "24H²")</f>
        <v/>
      </c>
      <c r="N5432" t="inlineStr"/>
    </row>
    <row r="5433">
      <c r="A5433" t="inlineStr">
        <is>
          <t>120D¹⁸</t>
        </is>
      </c>
      <c r="B5433" t="inlineStr"/>
      <c r="C5433" t="inlineStr">
        <is>
          <t>240</t>
        </is>
      </c>
      <c r="D5433" t="inlineStr">
        <is>
          <t>1</t>
        </is>
      </c>
      <c r="E5433" t="inlineStr">
        <is>
          <t>120</t>
        </is>
      </c>
      <c r="F5433" t="inlineStr">
        <is>
          <t>0</t>
        </is>
      </c>
      <c r="G5433" t="inlineStr">
        <is>
          <t>0</t>
        </is>
      </c>
      <c r="H5433" t="inlineStr">
        <is>
          <t>10², 30², 40¹, 120¹</t>
        </is>
      </c>
      <c r="I5433" t="n">
        <v>6</v>
      </c>
      <c r="J5433" t="inlineStr">
        <is>
          <t>1⁴, 2⁶, 4⁶, 8⁶, 16²</t>
        </is>
      </c>
      <c r="K5433">
        <f>HYPERLINK("CSG2.html#group24I2", "24I²"), =HYPERLINK("CSG4.html#group40C4", "40C⁴"), =HYPERLINK("CSG9.html#group60B9", "60B⁹")</f>
        <v/>
      </c>
      <c r="L5433" t="inlineStr"/>
      <c r="M5433">
        <f>HYPERLINK("CSG0.html#group3B0", "3B⁰"), =HYPERLINK("CSG0.html#group5A0", "5A⁰"), =HYPERLINK("CSG9.html#group60B9", "60B⁹"), =HYPERLINK("CSG0.html#group8D0", "8D⁰"), =HYPERLINK("CSG1.html#group12F1", "12F¹"), =HYPERLINK("CSG1.html#group10B1", "10B¹"), =HYPERLINK("CSG2.html#group20B2", "20B²"), =HYPERLINK("CSG0.html#group4C0", "4C⁰"), =HYPERLINK("CSG0.html#group2B0", "2B⁰"), =HYPERLINK("CSG0.html#group1A0", "1A⁰"), =HYPERLINK("CSG4.html#group40C4", "40C⁴"), =HYPERLINK("CSG2.html#group24I2", "24I²"), =HYPERLINK("CSG4.html#group30D4", "30D⁴"), =HYPERLINK("CSG1.html#group15B1", "15B¹"), =HYPERLINK("CSG0.html#group6F0", "6F⁰")</f>
        <v/>
      </c>
      <c r="N5433" t="inlineStr"/>
    </row>
    <row r="5434">
      <c r="A5434" t="inlineStr">
        <is>
          <t>120E¹⁸</t>
        </is>
      </c>
      <c r="B5434" t="inlineStr"/>
      <c r="C5434" t="inlineStr">
        <is>
          <t>240</t>
        </is>
      </c>
      <c r="D5434" t="inlineStr">
        <is>
          <t>2</t>
        </is>
      </c>
      <c r="E5434" t="inlineStr">
        <is>
          <t>40</t>
        </is>
      </c>
      <c r="F5434" t="inlineStr">
        <is>
          <t>0</t>
        </is>
      </c>
      <c r="G5434" t="inlineStr">
        <is>
          <t>6</t>
        </is>
      </c>
      <c r="H5434" t="inlineStr">
        <is>
          <t>120²</t>
        </is>
      </c>
      <c r="I5434" t="n">
        <v>2</v>
      </c>
      <c r="J5434" t="inlineStr">
        <is>
          <t>8², 16⁴</t>
        </is>
      </c>
      <c r="K5434">
        <f>HYPERLINK("CSG4.html#group40D4", "40D⁴"), =HYPERLINK("CSG9.html#group60D9", "60D⁹")</f>
        <v/>
      </c>
      <c r="L5434" t="inlineStr"/>
      <c r="M5434">
        <f>HYPERLINK("CSG0.html#group2A0", "2A⁰"), =HYPERLINK("CSG2.html#group30B2", "30B²"), =HYPERLINK("CSG4.html#group40D4", "40D⁴"), =HYPERLINK("CSG0.html#group5A0", "5A⁰"), =HYPERLINK("CSG0.html#group10A0", "10A⁰"), =HYPERLINK("CSG2.html#group20D2", "20D²"), =HYPERLINK("CSG0.html#group4A0", "4A⁰"), =HYPERLINK("CSG0.html#group4D0", "4D⁰"), =HYPERLINK("CSG0.html#group8A0", "8A⁰"), =HYPERLINK("CSG0.html#group8E0", "8E⁰"), =HYPERLINK("CSG1.html#group20A1", "20A¹"), =HYPERLINK("CSG9.html#group60D9", "60D⁹"), =HYPERLINK("CSG0.html#group1A0", "1A⁰"), =HYPERLINK("CSG2.html#group40A2", "40A²")</f>
        <v/>
      </c>
      <c r="N5434" t="inlineStr"/>
    </row>
    <row r="5435">
      <c r="A5435" t="inlineStr">
        <is>
          <t>120F¹⁸</t>
        </is>
      </c>
      <c r="B5435" t="inlineStr"/>
      <c r="C5435" t="inlineStr">
        <is>
          <t>240</t>
        </is>
      </c>
      <c r="D5435" t="inlineStr">
        <is>
          <t>2</t>
        </is>
      </c>
      <c r="E5435" t="inlineStr">
        <is>
          <t>60</t>
        </is>
      </c>
      <c r="F5435" t="inlineStr">
        <is>
          <t>8</t>
        </is>
      </c>
      <c r="G5435" t="inlineStr">
        <is>
          <t>0</t>
        </is>
      </c>
      <c r="H5435" t="inlineStr">
        <is>
          <t>120²</t>
        </is>
      </c>
      <c r="I5435" t="n">
        <v>2</v>
      </c>
      <c r="J5435" t="inlineStr">
        <is>
          <t>4², 8², 16², 32²</t>
        </is>
      </c>
      <c r="K5435">
        <f>HYPERLINK("CSG2.html#group24K2", "24K²"), =HYPERLINK("CSG8.html#group60D8", "60D⁸"), =HYPERLINK("CSG9.html#group120A9", "120A⁹"), =HYPERLINK("CSG9.html#group120B9", "120B⁹")</f>
        <v/>
      </c>
      <c r="L5435" t="inlineStr"/>
      <c r="M5435">
        <f>HYPERLINK("CSG9.html#group120A9", "120A⁹"), =HYPERLINK("CSG0.html#group5A0", "5A⁰"), =HYPERLINK("CSG0.html#group6B0", "6B⁰"), =HYPERLINK("CSG8.html#group60D8", "60D⁸"), =HYPERLINK("CSG0.html#group12F0", "12F⁰"), =HYPERLINK("CSG0.html#group8A0", "8A⁰"), =HYPERLINK("CSG9.html#group120B9", "120B⁹"), =HYPERLINK("CSG1.html#group20A1", "20A¹"), =HYPERLINK("CSG1.html#group24B1", "24B¹"), =HYPERLINK("CSG0.html#group1A0", "1A⁰"), =HYPERLINK("CSG2.html#group30A2", "30A²"), =HYPERLINK("CSG2.html#group24K2", "24K²"), =HYPERLINK("CSG0.html#group12A0", "12A⁰"), =HYPERLINK("CSG1.html#group24A1", "24A¹"), =HYPERLINK("CSG0.html#group4A0", "4A⁰"), =HYPERLINK("CSG4.html#group60A4", "60A⁴"), =HYPERLINK("CSG0.html#group3A0", "3A⁰"), =HYPERLINK("CSG2.html#group40A2", "40A²"), =HYPERLINK("CSG1.html#group15A1", "15A¹")</f>
        <v/>
      </c>
      <c r="N5435" t="inlineStr"/>
    </row>
    <row r="5436">
      <c r="A5436" t="inlineStr">
        <is>
          <t>126A¹⁸</t>
        </is>
      </c>
      <c r="B5436" t="inlineStr"/>
      <c r="C5436" t="inlineStr">
        <is>
          <t>252</t>
        </is>
      </c>
      <c r="D5436" t="inlineStr">
        <is>
          <t>2</t>
        </is>
      </c>
      <c r="E5436" t="inlineStr">
        <is>
          <t>21</t>
        </is>
      </c>
      <c r="F5436" t="inlineStr">
        <is>
          <t>12</t>
        </is>
      </c>
      <c r="G5436" t="inlineStr">
        <is>
          <t>0</t>
        </is>
      </c>
      <c r="H5436" t="inlineStr">
        <is>
          <t>126²</t>
        </is>
      </c>
      <c r="I5436" t="n">
        <v>2</v>
      </c>
      <c r="J5436" t="inlineStr">
        <is>
          <t>2¹, 4¹, 6², 12²</t>
        </is>
      </c>
      <c r="K5436">
        <f>HYPERLINK("CSG6.html#group42A6", "42A⁶"), =HYPERLINK("CSG6.html#group63E6", "63E⁶"), =HYPERLINK("CSG8.html#group126B8", "126B⁸"), =HYPERLINK("CSG8.html#group126C8", "126C⁸")</f>
        <v/>
      </c>
      <c r="L5436" t="inlineStr"/>
      <c r="M5436">
        <f>HYPERLINK("CSG8.html#group126C8", "126C⁸"), =HYPERLINK("CSG2.html#group21D2", "21D²"), =HYPERLINK("CSG2.html#group42A2", "42A²"), =HYPERLINK("CSG0.html#group9D0", "9D⁰"), =HYPERLINK("CSG6.html#group42A6", "42A⁶"), =HYPERLINK("CSG0.html#group9A0", "9A⁰"), =HYPERLINK("CSG6.html#group63E6", "63E⁶"), =HYPERLINK("CSG0.html#group21A0", "21A⁰"), =HYPERLINK("CSG0.html#group1A0", "1A⁰"), =HYPERLINK("CSG0.html#group3C0", "3C⁰"), =HYPERLINK("CSG0.html#group7A0", "7A⁰"), =HYPERLINK("CSG0.html#group3A0", "3A⁰"), =HYPERLINK("CSG8.html#group126B8", "126B⁸"), =HYPERLINK("CSG2.html#group63A2", "63A²")</f>
        <v/>
      </c>
      <c r="N5436" t="inlineStr"/>
    </row>
    <row r="5437">
      <c r="A5437" t="inlineStr">
        <is>
          <t>126B¹⁸</t>
        </is>
      </c>
      <c r="B5437" t="inlineStr"/>
      <c r="C5437" t="inlineStr">
        <is>
          <t>252</t>
        </is>
      </c>
      <c r="D5437" t="inlineStr">
        <is>
          <t>2</t>
        </is>
      </c>
      <c r="E5437" t="inlineStr">
        <is>
          <t>63</t>
        </is>
      </c>
      <c r="F5437" t="inlineStr">
        <is>
          <t>12</t>
        </is>
      </c>
      <c r="G5437" t="inlineStr">
        <is>
          <t>0</t>
        </is>
      </c>
      <c r="H5437" t="inlineStr">
        <is>
          <t>126²</t>
        </is>
      </c>
      <c r="I5437" t="n">
        <v>2</v>
      </c>
      <c r="J5437" t="inlineStr">
        <is>
          <t>4³, 12⁸, 36⁴</t>
        </is>
      </c>
      <c r="K5437">
        <f>HYPERLINK("CSG4.html#group42G4", "42G⁴"), =HYPERLINK("CSG6.html#group63G6", "63G⁶"), =HYPERLINK("CSG8.html#group126A8", "126A⁸"), =HYPERLINK("CSG8.html#group126C8", "126C⁸")</f>
        <v/>
      </c>
      <c r="L5437" t="inlineStr"/>
      <c r="M5437">
        <f>HYPERLINK("CSG0.html#group6B0", "6B⁰"), =HYPERLINK("CSG1.html#group21D1", "21D¹"), =HYPERLINK("CSG0.html#group21A0", "21A⁰"), =HYPERLINK("CSG6.html#group63G6", "63G⁶"), =HYPERLINK("CSG0.html#group1A0", "1A⁰"), =HYPERLINK("CSG2.html#group63A2", "63A²"), =HYPERLINK("CSG8.html#group126A8", "126A⁸"), =HYPERLINK("CSG8.html#group126C8", "126C⁸"), =HYPERLINK("CSG2.html#group42A2", "42A²"), =HYPERLINK("CSG4.html#group42G4", "42G⁴"), =HYPERLINK("CSG0.html#group9A0", "9A⁰"), =HYPERLINK("CSG1.html#group42B1", "42B¹"), =HYPERLINK("CSG0.html#group3A0", "3A⁰"), =HYPERLINK("CSG1.html#group18A1", "18A¹"), =HYPERLINK("CSG0.html#group7A0", "7A⁰")</f>
        <v/>
      </c>
      <c r="N5437" t="inlineStr"/>
    </row>
    <row r="5438">
      <c r="A5438" t="inlineStr">
        <is>
          <t>126C¹⁸</t>
        </is>
      </c>
      <c r="B5438" t="inlineStr"/>
      <c r="C5438" t="inlineStr">
        <is>
          <t>252</t>
        </is>
      </c>
      <c r="D5438" t="inlineStr">
        <is>
          <t>2</t>
        </is>
      </c>
      <c r="E5438" t="inlineStr">
        <is>
          <t>63</t>
        </is>
      </c>
      <c r="F5438" t="inlineStr">
        <is>
          <t>12</t>
        </is>
      </c>
      <c r="G5438" t="inlineStr">
        <is>
          <t>0</t>
        </is>
      </c>
      <c r="H5438" t="inlineStr">
        <is>
          <t>126²</t>
        </is>
      </c>
      <c r="I5438" t="n">
        <v>2</v>
      </c>
      <c r="J5438" t="inlineStr">
        <is>
          <t>4³, 12⁸, 36⁴</t>
        </is>
      </c>
      <c r="K5438">
        <f>HYPERLINK("CSG4.html#group42H4", "42H⁴"), =HYPERLINK("CSG6.html#group63F6", "63F⁶"), =HYPERLINK("CSG8.html#group126A8", "126A⁸"), =HYPERLINK("CSG8.html#group126B8", "126B⁸")</f>
        <v/>
      </c>
      <c r="L5438" t="inlineStr"/>
      <c r="M5438">
        <f>HYPERLINK("CSG0.html#group6B0", "6B⁰"), =HYPERLINK("CSG6.html#group63F6", "63F⁶"), =HYPERLINK("CSG4.html#group42H4", "42H⁴"), =HYPERLINK("CSG1.html#group21D1", "21D¹"), =HYPERLINK("CSG0.html#group21A0", "21A⁰"), =HYPERLINK("CSG0.html#group1A0", "1A⁰"), =HYPERLINK("CSG2.html#group63A2", "63A²"), =HYPERLINK("CSG8.html#group126A8", "126A⁸"), =HYPERLINK("CSG2.html#group42A2", "42A²"), =HYPERLINK("CSG0.html#group9A0", "9A⁰"), =HYPERLINK("CSG1.html#group42B1", "42B¹"), =HYPERLINK("CSG0.html#group3A0", "3A⁰"), =HYPERLINK("CSG8.html#group126B8", "126B⁸"), =HYPERLINK("CSG1.html#group18A1", "18A¹"), =HYPERLINK("CSG0.html#group7A0", "7A⁰")</f>
        <v/>
      </c>
      <c r="N5438" t="inlineStr"/>
    </row>
    <row r="5439">
      <c r="A5439" t="inlineStr">
        <is>
          <t>126D¹⁸</t>
        </is>
      </c>
      <c r="B5439" t="inlineStr"/>
      <c r="C5439" t="inlineStr">
        <is>
          <t>252</t>
        </is>
      </c>
      <c r="D5439" t="inlineStr">
        <is>
          <t>2</t>
        </is>
      </c>
      <c r="E5439" t="inlineStr">
        <is>
          <t>63</t>
        </is>
      </c>
      <c r="F5439" t="inlineStr">
        <is>
          <t>12</t>
        </is>
      </c>
      <c r="G5439" t="inlineStr">
        <is>
          <t>0</t>
        </is>
      </c>
      <c r="H5439" t="inlineStr">
        <is>
          <t>126²</t>
        </is>
      </c>
      <c r="I5439" t="n">
        <v>2</v>
      </c>
      <c r="J5439" t="inlineStr">
        <is>
          <t>4³, 12⁸, 36⁴</t>
        </is>
      </c>
      <c r="K5439">
        <f>HYPERLINK("CSG2.html#group18G2", "18G²"), =HYPERLINK("CSG4.html#group42F4", "42F⁴"), =HYPERLINK("CSG5.html#group126A5", "126A⁵"), =HYPERLINK("CSG8.html#group126A8", "126A⁸"), =HYPERLINK("CSG9.html#group63A9", "63A⁹")</f>
        <v/>
      </c>
      <c r="L5439" t="inlineStr"/>
      <c r="M5439">
        <f>HYPERLINK("CSG9.html#group63A9", "63A⁹"), =HYPERLINK("CSG2.html#group21D2", "21D²"), =HYPERLINK("CSG0.html#group6B0", "6B⁰"), =HYPERLINK("CSG4.html#group42F4", "42F⁴"), =HYPERLINK("CSG0.html#group21A0", "21A⁰"), =HYPERLINK("CSG5.html#group126A5", "126A⁵"), =HYPERLINK("CSG0.html#group1A0", "1A⁰"), =HYPERLINK("CSG1.html#group9B1", "9B¹"), =HYPERLINK("CSG0.html#group18A0", "18A⁰"), =HYPERLINK("CSG2.html#group63A2", "63A²"), =HYPERLINK("CSG8.html#group126A8", "126A⁸"), =HYPERLINK("CSG0.html#group6E0", "6E⁰"), =HYPERLINK("CSG0.html#group9A0", "9A⁰"), =HYPERLINK("CSG0.html#group3C0", "3C⁰"), =HYPERLINK("CSG2.html#group18G2", "18G²"), =HYPERLINK("CSG1.html#group42B1", "42B¹"), =HYPERLINK("CSG0.html#group3A0", "3A⁰"), =HYPERLINK("CSG1.html#group18A1", "18A¹"), =HYPERLINK("CSG0.html#group7A0", "7A⁰")</f>
        <v/>
      </c>
      <c r="N5439" t="inlineStr"/>
    </row>
    <row r="5440">
      <c r="A5440" t="inlineStr">
        <is>
          <t>126E¹⁸</t>
        </is>
      </c>
      <c r="B5440" t="inlineStr"/>
      <c r="C5440" t="inlineStr">
        <is>
          <t>252</t>
        </is>
      </c>
      <c r="D5440" t="inlineStr">
        <is>
          <t>2</t>
        </is>
      </c>
      <c r="E5440" t="inlineStr">
        <is>
          <t>63</t>
        </is>
      </c>
      <c r="F5440" t="inlineStr">
        <is>
          <t>12</t>
        </is>
      </c>
      <c r="G5440" t="inlineStr">
        <is>
          <t>0</t>
        </is>
      </c>
      <c r="H5440" t="inlineStr">
        <is>
          <t>126²</t>
        </is>
      </c>
      <c r="I5440" t="n">
        <v>2</v>
      </c>
      <c r="J5440" t="inlineStr">
        <is>
          <t>4³, 12⁸, 36⁴</t>
        </is>
      </c>
      <c r="K5440">
        <f>HYPERLINK("CSG2.html#group18G2", "18G²"), =HYPERLINK("CSG4.html#group42F4", "42F⁴"), =HYPERLINK("CSG5.html#group126B5", "126B⁵"), =HYPERLINK("CSG8.html#group126A8", "126A⁸"), =HYPERLINK("CSG9.html#group63B9", "63B⁹")</f>
        <v/>
      </c>
      <c r="L5440" t="inlineStr"/>
      <c r="M5440">
        <f>HYPERLINK("CSG2.html#group21D2", "21D²"), =HYPERLINK("CSG0.html#group6B0", "6B⁰"), =HYPERLINK("CSG4.html#group42F4", "42F⁴"), =HYPERLINK("CSG0.html#group21A0", "21A⁰"), =HYPERLINK("CSG9.html#group63B9", "63B⁹"), =HYPERLINK("CSG0.html#group1A0", "1A⁰"), =HYPERLINK("CSG0.html#group18A0", "18A⁰"), =HYPERLINK("CSG1.html#group9B1", "9B¹"), =HYPERLINK("CSG8.html#group126A8", "126A⁸"), =HYPERLINK("CSG2.html#group63A2", "63A²"), =HYPERLINK("CSG0.html#group6E0", "6E⁰"), =HYPERLINK("CSG0.html#group9A0", "9A⁰"), =HYPERLINK("CSG5.html#group126B5", "126B⁵"), =HYPERLINK("CSG0.html#group3C0", "3C⁰"), =HYPERLINK("CSG2.html#group18G2", "18G²"), =HYPERLINK("CSG1.html#group42B1", "42B¹"), =HYPERLINK("CSG0.html#group3A0", "3A⁰"), =HYPERLINK("CSG1.html#group18A1", "18A¹"), =HYPERLINK("CSG0.html#group7A0", "7A⁰")</f>
        <v/>
      </c>
      <c r="N5440" t="inlineStr"/>
    </row>
    <row r="5441">
      <c r="A5441" t="inlineStr">
        <is>
          <t>126F¹⁸</t>
        </is>
      </c>
      <c r="B5441" t="inlineStr"/>
      <c r="C5441" t="inlineStr">
        <is>
          <t>252</t>
        </is>
      </c>
      <c r="D5441" t="inlineStr">
        <is>
          <t>2</t>
        </is>
      </c>
      <c r="E5441" t="inlineStr">
        <is>
          <t>84</t>
        </is>
      </c>
      <c r="F5441" t="inlineStr">
        <is>
          <t>0</t>
        </is>
      </c>
      <c r="G5441" t="inlineStr">
        <is>
          <t>0</t>
        </is>
      </c>
      <c r="H5441" t="inlineStr">
        <is>
          <t>7³, 14³, 63¹, 126¹</t>
        </is>
      </c>
      <c r="I5441" t="n">
        <v>8</v>
      </c>
      <c r="J5441" t="inlineStr">
        <is>
          <t>2⁶, 4³, 6¹², 12⁶</t>
        </is>
      </c>
      <c r="K5441">
        <f>HYPERLINK("CSG0.html#group18E0", "18E⁰"), =HYPERLINK("CSG6.html#group42C6", "42C⁶"), =HYPERLINK("CSG6.html#group63B6", "63B⁶")</f>
        <v/>
      </c>
      <c r="L5441" t="inlineStr"/>
      <c r="M5441">
        <f>HYPERLINK("CSG0.html#group3B0", "3B⁰"), =HYPERLINK("CSG0.html#group18E0", "18E⁰"), =HYPERLINK("CSG2.html#group21B2", "21B²"), =HYPERLINK("CSG1.html#group14B1", "14B¹"), =HYPERLINK("CSG6.html#group42C6", "42C⁶"), =HYPERLINK("CSG0.html#group6F0", "6F⁰"), =HYPERLINK("CSG6.html#group63B6", "63B⁶"), =HYPERLINK("CSG0.html#group9B0", "9B⁰"), =HYPERLINK("CSG0.html#group2B0", "2B⁰"), =HYPERLINK("CSG0.html#group1A0", "1A⁰"), =HYPERLINK("CSG0.html#group7A0", "7A⁰")</f>
        <v/>
      </c>
      <c r="N5441" t="inlineStr"/>
    </row>
    <row r="5442">
      <c r="A5442" t="inlineStr">
        <is>
          <t>126G¹⁸</t>
        </is>
      </c>
      <c r="B5442" t="inlineStr"/>
      <c r="C5442" t="inlineStr">
        <is>
          <t>252</t>
        </is>
      </c>
      <c r="D5442" t="inlineStr">
        <is>
          <t>2</t>
        </is>
      </c>
      <c r="E5442" t="inlineStr">
        <is>
          <t>126</t>
        </is>
      </c>
      <c r="F5442" t="inlineStr">
        <is>
          <t>8</t>
        </is>
      </c>
      <c r="G5442" t="inlineStr">
        <is>
          <t>0</t>
        </is>
      </c>
      <c r="H5442" t="inlineStr">
        <is>
          <t>42³, 126¹</t>
        </is>
      </c>
      <c r="I5442" t="n">
        <v>4</v>
      </c>
      <c r="J5442" t="inlineStr">
        <is>
          <t>2¹, 4¹, 6³, 12⁴, 18², 36⁴</t>
        </is>
      </c>
      <c r="K5442">
        <f>HYPERLINK("CSG5.html#group42E5", "42E⁵"), =HYPERLINK("CSG8.html#group63B8", "63B⁸")</f>
        <v/>
      </c>
      <c r="L5442" t="inlineStr"/>
      <c r="M5442">
        <f>HYPERLINK("CSG0.html#group14A0", "14A⁰"), =HYPERLINK("CSG2.html#group21D2", "21D²"), =HYPERLINK("CSG2.html#group42A2", "42A²"), =HYPERLINK("CSG1.html#group42A1", "42A¹"), =HYPERLINK("CSG5.html#group42E5", "42E⁵"), =HYPERLINK("CSG0.html#group21A0", "21A⁰"), =HYPERLINK("CSG0.html#group3C0", "3C⁰"), =HYPERLINK("CSG0.html#group9E0", "9E⁰"), =HYPERLINK("CSG0.html#group3A0", "3A⁰"), =HYPERLINK("CSG0.html#group1A0", "1A⁰"), =HYPERLINK("CSG0.html#group7A0", "7A⁰"), =HYPERLINK("CSG8.html#group63B8", "63B⁸")</f>
        <v/>
      </c>
      <c r="N5442" t="inlineStr"/>
    </row>
    <row r="5443">
      <c r="A5443" t="inlineStr">
        <is>
          <t>126H¹⁸</t>
        </is>
      </c>
      <c r="B5443" t="inlineStr"/>
      <c r="C5443" t="inlineStr">
        <is>
          <t>252</t>
        </is>
      </c>
      <c r="D5443" t="inlineStr">
        <is>
          <t>2</t>
        </is>
      </c>
      <c r="E5443" t="inlineStr">
        <is>
          <t>126</t>
        </is>
      </c>
      <c r="F5443" t="inlineStr">
        <is>
          <t>12</t>
        </is>
      </c>
      <c r="G5443" t="inlineStr">
        <is>
          <t>0</t>
        </is>
      </c>
      <c r="H5443" t="inlineStr">
        <is>
          <t>126²</t>
        </is>
      </c>
      <c r="I5443" t="n">
        <v>2</v>
      </c>
      <c r="J5443" t="inlineStr">
        <is>
          <t>4⁶, 12¹⁶, 36⁸</t>
        </is>
      </c>
      <c r="K5443">
        <f>HYPERLINK("CSG4.html#group42G4", "42G⁴"), =HYPERLINK("CSG8.html#group126D8", "126D⁸")</f>
        <v/>
      </c>
      <c r="L5443" t="inlineStr"/>
      <c r="M5443">
        <f>HYPERLINK("CSG0.html#group6B0", "6B⁰"), =HYPERLINK("CSG2.html#group42A2", "42A²"), =HYPERLINK("CSG4.html#group42G4", "42G⁴"), =HYPERLINK("CSG1.html#group21D1", "21D¹"), =HYPERLINK("CSG0.html#group21A0", "21A⁰"), =HYPERLINK("CSG1.html#group18B1", "18B¹"), =HYPERLINK("CSG1.html#group42B1", "42B¹"), =HYPERLINK("CSG0.html#group3A0", "3A⁰"), =HYPERLINK("CSG0.html#group1A0", "1A⁰"), =HYPERLINK("CSG8.html#group126D8", "126D⁸"), =HYPERLINK("CSG0.html#group7A0", "7A⁰")</f>
        <v/>
      </c>
      <c r="N5443" t="inlineStr"/>
    </row>
    <row r="5444">
      <c r="A5444" t="inlineStr">
        <is>
          <t>126I¹⁸</t>
        </is>
      </c>
      <c r="B5444" t="inlineStr"/>
      <c r="C5444" t="inlineStr">
        <is>
          <t>252</t>
        </is>
      </c>
      <c r="D5444" t="inlineStr">
        <is>
          <t>2</t>
        </is>
      </c>
      <c r="E5444" t="inlineStr">
        <is>
          <t>126</t>
        </is>
      </c>
      <c r="F5444" t="inlineStr">
        <is>
          <t>12</t>
        </is>
      </c>
      <c r="G5444" t="inlineStr">
        <is>
          <t>0</t>
        </is>
      </c>
      <c r="H5444" t="inlineStr">
        <is>
          <t>126²</t>
        </is>
      </c>
      <c r="I5444" t="n">
        <v>2</v>
      </c>
      <c r="J5444" t="inlineStr">
        <is>
          <t>4⁶, 12¹⁶, 36⁸</t>
        </is>
      </c>
      <c r="K5444">
        <f>HYPERLINK("CSG4.html#group42H4", "42H⁴"), =HYPERLINK("CSG8.html#group126D8", "126D⁸")</f>
        <v/>
      </c>
      <c r="L5444" t="inlineStr"/>
      <c r="M5444">
        <f>HYPERLINK("CSG0.html#group6B0", "6B⁰"), =HYPERLINK("CSG2.html#group42A2", "42A²"), =HYPERLINK("CSG4.html#group42H4", "42H⁴"), =HYPERLINK("CSG1.html#group21D1", "21D¹"), =HYPERLINK("CSG0.html#group21A0", "21A⁰"), =HYPERLINK("CSG1.html#group18B1", "18B¹"), =HYPERLINK("CSG1.html#group42B1", "42B¹"), =HYPERLINK("CSG0.html#group3A0", "3A⁰"), =HYPERLINK("CSG0.html#group1A0", "1A⁰"), =HYPERLINK("CSG8.html#group126D8", "126D⁸"), =HYPERLINK("CSG0.html#group7A0", "7A⁰")</f>
        <v/>
      </c>
      <c r="N5444" t="inlineStr"/>
    </row>
    <row r="5445">
      <c r="A5445" t="inlineStr">
        <is>
          <t>126J¹⁸</t>
        </is>
      </c>
      <c r="B5445" t="inlineStr"/>
      <c r="C5445" t="inlineStr">
        <is>
          <t>252</t>
        </is>
      </c>
      <c r="D5445" t="inlineStr">
        <is>
          <t>2</t>
        </is>
      </c>
      <c r="E5445" t="inlineStr">
        <is>
          <t>126</t>
        </is>
      </c>
      <c r="F5445" t="inlineStr">
        <is>
          <t>12</t>
        </is>
      </c>
      <c r="G5445" t="inlineStr">
        <is>
          <t>0</t>
        </is>
      </c>
      <c r="H5445" t="inlineStr">
        <is>
          <t>126²</t>
        </is>
      </c>
      <c r="I5445" t="n">
        <v>2</v>
      </c>
      <c r="J5445" t="inlineStr">
        <is>
          <t>4⁶, 12¹⁶, 36⁸</t>
        </is>
      </c>
      <c r="K5445">
        <f>HYPERLINK("CSG2.html#group18H2", "18H²"), =HYPERLINK("CSG4.html#group42F4", "42F⁴"), =HYPERLINK("CSG8.html#group126D8", "126D⁸")</f>
        <v/>
      </c>
      <c r="L5445" t="inlineStr"/>
      <c r="M5445">
        <f>HYPERLINK("CSG2.html#group21D2", "21D²"), =HYPERLINK("CSG0.html#group6B0", "6B⁰"), =HYPERLINK("CSG4.html#group42F4", "42F⁴"), =HYPERLINK("CSG2.html#group18H2", "18H²"), =HYPERLINK("CSG0.html#group6E0", "6E⁰"), =HYPERLINK("CSG1.html#group18B1", "18B¹"), =HYPERLINK("CSG0.html#group3C0", "3C⁰"), =HYPERLINK("CSG0.html#group21A0", "21A⁰"), =HYPERLINK("CSG1.html#group42B1", "42B¹"), =HYPERLINK("CSG0.html#group3A0", "3A⁰"), =HYPERLINK("CSG0.html#group1A0", "1A⁰"), =HYPERLINK("CSG8.html#group126D8", "126D⁸"), =HYPERLINK("CSG0.html#group7A0", "7A⁰")</f>
        <v/>
      </c>
      <c r="N5445" t="inlineStr"/>
    </row>
    <row r="5446">
      <c r="A5446" t="inlineStr">
        <is>
          <t>126K¹⁸</t>
        </is>
      </c>
      <c r="B5446" t="inlineStr"/>
      <c r="C5446" t="inlineStr">
        <is>
          <t>252</t>
        </is>
      </c>
      <c r="D5446" t="inlineStr">
        <is>
          <t>2</t>
        </is>
      </c>
      <c r="E5446" t="inlineStr">
        <is>
          <t>126</t>
        </is>
      </c>
      <c r="F5446" t="inlineStr">
        <is>
          <t>12</t>
        </is>
      </c>
      <c r="G5446" t="inlineStr">
        <is>
          <t>0</t>
        </is>
      </c>
      <c r="H5446" t="inlineStr">
        <is>
          <t>126²</t>
        </is>
      </c>
      <c r="I5446" t="n">
        <v>2</v>
      </c>
      <c r="J5446" t="inlineStr">
        <is>
          <t>4⁶, 12¹⁶, 36⁸</t>
        </is>
      </c>
      <c r="K5446">
        <f>HYPERLINK("CSG2.html#group18H2", "18H²"), =HYPERLINK("CSG4.html#group42F4", "42F⁴"), =HYPERLINK("CSG8.html#group126D8", "126D⁸")</f>
        <v/>
      </c>
      <c r="L5446" t="inlineStr"/>
      <c r="M5446">
        <f>HYPERLINK("CSG2.html#group21D2", "21D²"), =HYPERLINK("CSG0.html#group6B0", "6B⁰"), =HYPERLINK("CSG4.html#group42F4", "42F⁴"), =HYPERLINK("CSG2.html#group18H2", "18H²"), =HYPERLINK("CSG0.html#group6E0", "6E⁰"), =HYPERLINK("CSG1.html#group18B1", "18B¹"), =HYPERLINK("CSG0.html#group3C0", "3C⁰"), =HYPERLINK("CSG0.html#group21A0", "21A⁰"), =HYPERLINK("CSG1.html#group42B1", "42B¹"), =HYPERLINK("CSG0.html#group3A0", "3A⁰"), =HYPERLINK("CSG0.html#group1A0", "1A⁰"), =HYPERLINK("CSG8.html#group126D8", "126D⁸"), =HYPERLINK("CSG0.html#group7A0", "7A⁰")</f>
        <v/>
      </c>
      <c r="N5446" t="inlineStr"/>
    </row>
    <row r="5447">
      <c r="A5447" t="inlineStr">
        <is>
          <t>140A¹⁸</t>
        </is>
      </c>
      <c r="B5447" t="inlineStr"/>
      <c r="C5447" t="inlineStr">
        <is>
          <t>240</t>
        </is>
      </c>
      <c r="D5447" t="inlineStr">
        <is>
          <t>1</t>
        </is>
      </c>
      <c r="E5447" t="inlineStr">
        <is>
          <t>120</t>
        </is>
      </c>
      <c r="F5447" t="inlineStr">
        <is>
          <t>0</t>
        </is>
      </c>
      <c r="G5447" t="inlineStr">
        <is>
          <t>0</t>
        </is>
      </c>
      <c r="H5447" t="inlineStr">
        <is>
          <t>5², 20¹, 35², 140¹</t>
        </is>
      </c>
      <c r="I5447" t="n">
        <v>6</v>
      </c>
      <c r="J5447" t="inlineStr">
        <is>
          <t>1⁶, 4⁶, 6³, 24³</t>
        </is>
      </c>
      <c r="K5447">
        <f>HYPERLINK("CSG2.html#group20A2", "20A²"), =HYPERLINK("CSG2.html#group28D2", "28D²"), =HYPERLINK("CSG9.html#group70A9", "70A⁹")</f>
        <v/>
      </c>
      <c r="L5447" t="inlineStr"/>
      <c r="M5447">
        <f>HYPERLINK("CSG2.html#group20A2", "20A²"), =HYPERLINK("CSG0.html#group5A0", "5A⁰"), =HYPERLINK("CSG9.html#group70A9", "70A⁹"), =HYPERLINK("CSG1.html#group10B1", "10B¹"), =HYPERLINK("CSG0.html#group7B0", "7B⁰"), =HYPERLINK("CSG2.html#group28D2", "28D²"), =HYPERLINK("CSG1.html#group14C1", "14C¹"), =HYPERLINK("CSG0.html#group2B0", "2B⁰"), =HYPERLINK("CSG2.html#group35B2", "35B²"), =HYPERLINK("CSG0.html#group4B0", "4B⁰"), =HYPERLINK("CSG0.html#group1A0", "1A⁰")</f>
        <v/>
      </c>
      <c r="N5447" t="inlineStr"/>
    </row>
    <row r="5448">
      <c r="A5448" t="inlineStr">
        <is>
          <t>140B¹⁸</t>
        </is>
      </c>
      <c r="B5448" t="inlineStr"/>
      <c r="C5448" t="inlineStr">
        <is>
          <t>252</t>
        </is>
      </c>
      <c r="D5448" t="inlineStr">
        <is>
          <t>2</t>
        </is>
      </c>
      <c r="E5448" t="inlineStr">
        <is>
          <t>126</t>
        </is>
      </c>
      <c r="F5448" t="inlineStr">
        <is>
          <t>4</t>
        </is>
      </c>
      <c r="G5448" t="inlineStr">
        <is>
          <t>0</t>
        </is>
      </c>
      <c r="H5448" t="inlineStr">
        <is>
          <t>7², 28¹, 35², 140¹</t>
        </is>
      </c>
      <c r="I5448" t="n">
        <v>6</v>
      </c>
      <c r="J5448" t="inlineStr">
        <is>
          <t>2⁶, 6¹², 8³, 24⁶</t>
        </is>
      </c>
      <c r="K5448">
        <f>HYPERLINK("CSG8.html#group70B8", "70B⁸")</f>
        <v/>
      </c>
      <c r="L5448" t="inlineStr"/>
      <c r="M5448">
        <f>HYPERLINK("CSG2.html#group35C2", "35C²"), =HYPERLINK("CSG1.html#group14B1", "14B¹"), =HYPERLINK("CSG0.html#group5B0", "5B⁰"), =HYPERLINK("CSG8.html#group70B8", "70B⁸"), =HYPERLINK("CSG0.html#group10C0", "10C⁰"), =HYPERLINK("CSG0.html#group2B0", "2B⁰"), =HYPERLINK("CSG0.html#group1A0", "1A⁰"), =HYPERLINK("CSG0.html#group7A0", "7A⁰")</f>
        <v/>
      </c>
      <c r="N5448" t="inlineStr"/>
    </row>
    <row r="5449">
      <c r="A5449" t="inlineStr">
        <is>
          <t>140C¹⁸</t>
        </is>
      </c>
      <c r="B5449" t="inlineStr"/>
      <c r="C5449" t="inlineStr">
        <is>
          <t>252</t>
        </is>
      </c>
      <c r="D5449" t="inlineStr">
        <is>
          <t>2</t>
        </is>
      </c>
      <c r="E5449" t="inlineStr">
        <is>
          <t>126</t>
        </is>
      </c>
      <c r="F5449" t="inlineStr">
        <is>
          <t>8</t>
        </is>
      </c>
      <c r="G5449" t="inlineStr">
        <is>
          <t>0</t>
        </is>
      </c>
      <c r="H5449" t="inlineStr">
        <is>
          <t>14¹, 28¹, 70¹, 140¹</t>
        </is>
      </c>
      <c r="I5449" t="n">
        <v>4</v>
      </c>
      <c r="J5449" t="inlineStr">
        <is>
          <t>2⁶, 6¹², 8³, 24⁶</t>
        </is>
      </c>
      <c r="K5449">
        <f>HYPERLINK("CSG8.html#group70B8", "70B⁸")</f>
        <v/>
      </c>
      <c r="L5449" t="inlineStr"/>
      <c r="M5449">
        <f>HYPERLINK("CSG2.html#group35C2", "35C²"), =HYPERLINK("CSG1.html#group14B1", "14B¹"), =HYPERLINK("CSG0.html#group5B0", "5B⁰"), =HYPERLINK("CSG8.html#group70B8", "70B⁸"), =HYPERLINK("CSG0.html#group10C0", "10C⁰"), =HYPERLINK("CSG0.html#group2B0", "2B⁰"), =HYPERLINK("CSG0.html#group1A0", "1A⁰"), =HYPERLINK("CSG0.html#group7A0", "7A⁰")</f>
        <v/>
      </c>
      <c r="N5449" t="inlineStr"/>
    </row>
    <row r="5450">
      <c r="A5450" t="inlineStr">
        <is>
          <t>144A¹⁸</t>
        </is>
      </c>
      <c r="B5450" t="inlineStr"/>
      <c r="C5450" t="inlineStr">
        <is>
          <t>216</t>
        </is>
      </c>
      <c r="D5450" t="inlineStr">
        <is>
          <t>1</t>
        </is>
      </c>
      <c r="E5450" t="inlineStr">
        <is>
          <t>27</t>
        </is>
      </c>
      <c r="F5450" t="inlineStr">
        <is>
          <t>0</t>
        </is>
      </c>
      <c r="G5450" t="inlineStr">
        <is>
          <t>0</t>
        </is>
      </c>
      <c r="H5450" t="inlineStr">
        <is>
          <t>72¹, 144¹</t>
        </is>
      </c>
      <c r="I5450" t="n">
        <v>2</v>
      </c>
      <c r="J5450" t="inlineStr">
        <is>
          <t>1³, 2³, 6³</t>
        </is>
      </c>
      <c r="K5450">
        <f>HYPERLINK("CSG4.html#group72E4", "72E⁴"), =HYPERLINK("CSG6.html#group48A6", "48A⁶")</f>
        <v/>
      </c>
      <c r="L5450" t="inlineStr"/>
      <c r="M5450">
        <f>HYPERLINK("CSG0.html#group12C0", "12C⁰"), =HYPERLINK("CSG0.html#group24A0", "24A⁰"), =HYPERLINK("CSG4.html#group72E4", "72E⁴"), =HYPERLINK("CSG0.html#group9A0", "9A⁰"), =HYPERLINK("CSG2.html#group36B2", "36B²"), =HYPERLINK("CSG0.html#group4C0", "4C⁰"), =HYPERLINK("CSG0.html#group8B0", "8B⁰"), =HYPERLINK("CSG1.html#group18E1", "18E¹"), =HYPERLINK("CSG0.html#group2B0", "2B⁰"), =HYPERLINK("CSG6.html#group48A6", "48A⁶"), =HYPERLINK("CSG0.html#group3A0", "3A⁰"), =HYPERLINK("CSG0.html#group1A0", "1A⁰"), =HYPERLINK("CSG0.html#group6D0", "6D⁰"), =HYPERLINK("CSG2.html#group16A2", "16A²")</f>
        <v/>
      </c>
      <c r="N5450" t="inlineStr"/>
    </row>
    <row r="5451">
      <c r="A5451" t="inlineStr">
        <is>
          <t>144B¹⁸</t>
        </is>
      </c>
      <c r="B5451" t="inlineStr"/>
      <c r="C5451" t="inlineStr">
        <is>
          <t>216</t>
        </is>
      </c>
      <c r="D5451" t="inlineStr">
        <is>
          <t>1</t>
        </is>
      </c>
      <c r="E5451" t="inlineStr">
        <is>
          <t>108</t>
        </is>
      </c>
      <c r="F5451" t="inlineStr">
        <is>
          <t>0</t>
        </is>
      </c>
      <c r="G5451" t="inlineStr">
        <is>
          <t>0</t>
        </is>
      </c>
      <c r="H5451" t="inlineStr">
        <is>
          <t>72¹, 144¹</t>
        </is>
      </c>
      <c r="I5451" t="n">
        <v>2</v>
      </c>
      <c r="J5451" t="inlineStr">
        <is>
          <t>1⁴, 2⁶, 4³, 6⁴, 8¹, 12², 24¹</t>
        </is>
      </c>
      <c r="K5451">
        <f>HYPERLINK("CSG6.html#group48B6", "48B⁶"), =HYPERLINK("CSG9.html#group72A9", "72A⁹")</f>
        <v/>
      </c>
      <c r="L5451" t="inlineStr"/>
      <c r="M5451">
        <f>HYPERLINK("CSG3.html#group24A3", "24A³"), =HYPERLINK("CSG2.html#group16B2", "16B²"), =HYPERLINK("CSG1.html#group8A1", "8A¹"), =HYPERLINK("CSG6.html#group48B6", "48B⁶"), =HYPERLINK("CSG9.html#group72A9", "72A⁹"), =HYPERLINK("CSG0.html#group12C0", "12C⁰"), =HYPERLINK("CSG0.html#group9A0", "9A⁰"), =HYPERLINK("CSG0.html#group4C0", "4C⁰"), =HYPERLINK("CSG2.html#group36B2", "36B²"), =HYPERLINK("CSG0.html#group2B0", "2B⁰"), =HYPERLINK("CSG1.html#group18E1", "18E¹"), =HYPERLINK("CSG0.html#group3A0", "3A⁰"), =HYPERLINK("CSG0.html#group1A0", "1A⁰"), =HYPERLINK("CSG0.html#group6D0", "6D⁰")</f>
        <v/>
      </c>
      <c r="N5451" t="inlineStr"/>
    </row>
    <row r="5452">
      <c r="A5452" t="inlineStr">
        <is>
          <t>144C¹⁸</t>
        </is>
      </c>
      <c r="B5452" t="inlineStr"/>
      <c r="C5452" t="inlineStr">
        <is>
          <t>216</t>
        </is>
      </c>
      <c r="D5452" t="inlineStr">
        <is>
          <t>1</t>
        </is>
      </c>
      <c r="E5452" t="inlineStr">
        <is>
          <t>108</t>
        </is>
      </c>
      <c r="F5452" t="inlineStr">
        <is>
          <t>0</t>
        </is>
      </c>
      <c r="G5452" t="inlineStr">
        <is>
          <t>0</t>
        </is>
      </c>
      <c r="H5452" t="inlineStr">
        <is>
          <t>72¹, 144¹</t>
        </is>
      </c>
      <c r="I5452" t="n">
        <v>2</v>
      </c>
      <c r="J5452" t="inlineStr">
        <is>
          <t>1⁴, 2⁶, 4³, 6⁴, 8¹, 12², 24¹</t>
        </is>
      </c>
      <c r="K5452">
        <f>HYPERLINK("CSG6.html#group48C6", "48C⁶"), =HYPERLINK("CSG9.html#group72A9", "72A⁹")</f>
        <v/>
      </c>
      <c r="L5452" t="inlineStr"/>
      <c r="M5452">
        <f>HYPERLINK("CSG3.html#group24A3", "24A³"), =HYPERLINK("CSG1.html#group8A1", "8A¹"), =HYPERLINK("CSG0.html#group12C0", "12C⁰"), =HYPERLINK("CSG9.html#group72A9", "72A⁹"), =HYPERLINK("CSG6.html#group48C6", "48C⁶"), =HYPERLINK("CSG0.html#group9A0", "9A⁰"), =HYPERLINK("CSG2.html#group36B2", "36B²"), =HYPERLINK("CSG0.html#group4C0", "4C⁰"), =HYPERLINK("CSG0.html#group2B0", "2B⁰"), =HYPERLINK("CSG1.html#group18E1", "18E¹"), =HYPERLINK("CSG0.html#group3A0", "3A⁰"), =HYPERLINK("CSG0.html#group1A0", "1A⁰"), =HYPERLINK("CSG0.html#group6D0", "6D⁰")</f>
        <v/>
      </c>
      <c r="N5452" t="inlineStr"/>
    </row>
    <row r="5453">
      <c r="A5453" t="inlineStr">
        <is>
          <t>144D¹⁸</t>
        </is>
      </c>
      <c r="B5453" t="inlineStr"/>
      <c r="C5453" t="inlineStr">
        <is>
          <t>216</t>
        </is>
      </c>
      <c r="D5453" t="inlineStr">
        <is>
          <t>2</t>
        </is>
      </c>
      <c r="E5453" t="inlineStr">
        <is>
          <t>108</t>
        </is>
      </c>
      <c r="F5453" t="inlineStr">
        <is>
          <t>0</t>
        </is>
      </c>
      <c r="G5453" t="inlineStr">
        <is>
          <t>0</t>
        </is>
      </c>
      <c r="H5453" t="inlineStr">
        <is>
          <t>72¹, 144¹</t>
        </is>
      </c>
      <c r="I5453" t="n">
        <v>2</v>
      </c>
      <c r="J5453" t="inlineStr">
        <is>
          <t>2¹², 4⁶, 6⁸, 8³, 12⁴, 24²</t>
        </is>
      </c>
      <c r="K5453">
        <f>HYPERLINK("CSG6.html#group48C6", "48C⁶"), =HYPERLINK("CSG9.html#group72A9", "72A⁹")</f>
        <v/>
      </c>
      <c r="L5453" t="inlineStr"/>
      <c r="M5453">
        <f>HYPERLINK("CSG3.html#group24A3", "24A³"), =HYPERLINK("CSG1.html#group8A1", "8A¹"), =HYPERLINK("CSG0.html#group12C0", "12C⁰"), =HYPERLINK("CSG9.html#group72A9", "72A⁹"), =HYPERLINK("CSG6.html#group48C6", "48C⁶"), =HYPERLINK("CSG0.html#group9A0", "9A⁰"), =HYPERLINK("CSG2.html#group36B2", "36B²"), =HYPERLINK("CSG0.html#group4C0", "4C⁰"), =HYPERLINK("CSG0.html#group2B0", "2B⁰"), =HYPERLINK("CSG1.html#group18E1", "18E¹"), =HYPERLINK("CSG0.html#group3A0", "3A⁰"), =HYPERLINK("CSG0.html#group1A0", "1A⁰"), =HYPERLINK("CSG0.html#group6D0", "6D⁰")</f>
        <v/>
      </c>
      <c r="N5453" t="inlineStr"/>
    </row>
    <row r="5454">
      <c r="A5454" t="inlineStr">
        <is>
          <t>148A¹⁸</t>
        </is>
      </c>
      <c r="B5454" t="inlineStr"/>
      <c r="C5454" t="inlineStr">
        <is>
          <t>228</t>
        </is>
      </c>
      <c r="D5454" t="inlineStr">
        <is>
          <t>1</t>
        </is>
      </c>
      <c r="E5454" t="inlineStr">
        <is>
          <t>114</t>
        </is>
      </c>
      <c r="F5454" t="inlineStr">
        <is>
          <t>0</t>
        </is>
      </c>
      <c r="G5454" t="inlineStr">
        <is>
          <t>0</t>
        </is>
      </c>
      <c r="H5454" t="inlineStr">
        <is>
          <t>2¹, 4¹, 74¹, 148¹</t>
        </is>
      </c>
      <c r="I5454" t="n">
        <v>4</v>
      </c>
      <c r="J5454" t="inlineStr">
        <is>
          <t>1⁶, 36³</t>
        </is>
      </c>
      <c r="K5454">
        <f>HYPERLINK("CSG8.html#group74A8", "74A⁸")</f>
        <v/>
      </c>
      <c r="L5454" t="inlineStr"/>
      <c r="M5454">
        <f>HYPERLINK("CSG2.html#group37A2", "37A²"), =HYPERLINK("CSG0.html#group1A0", "1A⁰"), =HYPERLINK("CSG0.html#group2B0", "2B⁰"), =HYPERLINK("CSG8.html#group74A8", "74A⁸")</f>
        <v/>
      </c>
      <c r="N5454" t="inlineStr"/>
    </row>
    <row r="5455">
      <c r="A5455" t="inlineStr">
        <is>
          <t>152A¹⁸</t>
        </is>
      </c>
      <c r="B5455" t="inlineStr"/>
      <c r="C5455" t="inlineStr">
        <is>
          <t>240</t>
        </is>
      </c>
      <c r="D5455" t="inlineStr">
        <is>
          <t>1</t>
        </is>
      </c>
      <c r="E5455" t="inlineStr">
        <is>
          <t>60</t>
        </is>
      </c>
      <c r="F5455" t="inlineStr">
        <is>
          <t>0</t>
        </is>
      </c>
      <c r="G5455" t="inlineStr">
        <is>
          <t>0</t>
        </is>
      </c>
      <c r="H5455" t="inlineStr">
        <is>
          <t>2², 8¹, 38², 152¹</t>
        </is>
      </c>
      <c r="I5455" t="n">
        <v>6</v>
      </c>
      <c r="J5455" t="inlineStr">
        <is>
          <t>1⁶, 18³</t>
        </is>
      </c>
      <c r="K5455">
        <f>HYPERLINK("CSG8.html#group76A8", "76A⁸")</f>
        <v/>
      </c>
      <c r="L5455" t="inlineStr"/>
      <c r="M5455">
        <f>HYPERLINK("CSG8.html#group76A8", "76A⁸"), =HYPERLINK("CSG1.html#group19A1", "19A¹"), =HYPERLINK("CSG0.html#group2B0", "2B⁰"), =HYPERLINK("CSG0.html#group4B0", "4B⁰"), =HYPERLINK("CSG0.html#group1A0", "1A⁰"), =HYPERLINK("CSG4.html#group38A4", "38A⁴")</f>
        <v/>
      </c>
      <c r="N5455" t="inlineStr"/>
    </row>
    <row r="5456">
      <c r="A5456" t="inlineStr">
        <is>
          <t>152B¹⁸</t>
        </is>
      </c>
      <c r="B5456" t="inlineStr"/>
      <c r="C5456" t="inlineStr">
        <is>
          <t>240</t>
        </is>
      </c>
      <c r="D5456" t="inlineStr">
        <is>
          <t>1</t>
        </is>
      </c>
      <c r="E5456" t="inlineStr">
        <is>
          <t>120</t>
        </is>
      </c>
      <c r="F5456" t="inlineStr">
        <is>
          <t>0</t>
        </is>
      </c>
      <c r="G5456" t="inlineStr">
        <is>
          <t>0</t>
        </is>
      </c>
      <c r="H5456" t="inlineStr">
        <is>
          <t>2², 8¹, 38², 152¹</t>
        </is>
      </c>
      <c r="I5456" t="n">
        <v>6</v>
      </c>
      <c r="J5456" t="inlineStr">
        <is>
          <t>1⁴, 2⁴, 18², 36²</t>
        </is>
      </c>
      <c r="K5456">
        <f>HYPERLINK("CSG0.html#group8D0", "8D⁰"), =HYPERLINK("CSG9.html#group76A9", "76A⁹")</f>
        <v/>
      </c>
      <c r="L5456" t="inlineStr"/>
      <c r="M5456">
        <f>HYPERLINK("CSG1.html#group19A1", "19A¹"), =HYPERLINK("CSG0.html#group1A0", "1A⁰"), =HYPERLINK("CSG0.html#group2B0", "2B⁰"), =HYPERLINK("CSG9.html#group76A9", "76A⁹"), =HYPERLINK("CSG0.html#group8D0", "8D⁰"), =HYPERLINK("CSG0.html#group4C0", "4C⁰"), =HYPERLINK("CSG4.html#group38A4", "38A⁴")</f>
        <v/>
      </c>
      <c r="N5456" t="inlineStr"/>
    </row>
    <row r="5457">
      <c r="A5457" t="inlineStr">
        <is>
          <t>156A¹⁸</t>
        </is>
      </c>
      <c r="B5457" t="inlineStr"/>
      <c r="C5457" t="inlineStr">
        <is>
          <t>252</t>
        </is>
      </c>
      <c r="D5457" t="inlineStr">
        <is>
          <t>1</t>
        </is>
      </c>
      <c r="E5457" t="inlineStr">
        <is>
          <t>126</t>
        </is>
      </c>
      <c r="F5457" t="inlineStr">
        <is>
          <t>4</t>
        </is>
      </c>
      <c r="G5457" t="inlineStr">
        <is>
          <t>0</t>
        </is>
      </c>
      <c r="H5457" t="inlineStr">
        <is>
          <t>3², 12¹, 39², 156¹</t>
        </is>
      </c>
      <c r="I5457" t="n">
        <v>6</v>
      </c>
      <c r="J5457" t="inlineStr">
        <is>
          <t>1⁶, 2⁶, 12³, 24³</t>
        </is>
      </c>
      <c r="K5457">
        <f>HYPERLINK("CSG8.html#group78A8", "78A⁸")</f>
        <v/>
      </c>
      <c r="L5457" t="inlineStr"/>
      <c r="M5457">
        <f>HYPERLINK("CSG8.html#group78A8", "78A⁸"), =HYPERLINK("CSG2.html#group39A2", "39A²"), =HYPERLINK("CSG0.html#group13A0", "13A⁰"), =HYPERLINK("CSG0.html#group2B0", "2B⁰"), =HYPERLINK("CSG0.html#group3A0", "3A⁰"), =HYPERLINK("CSG0.html#group1A0", "1A⁰"), =HYPERLINK("CSG2.html#group26A2", "26A²"), =HYPERLINK("CSG0.html#group6D0", "6D⁰")</f>
        <v/>
      </c>
      <c r="N5457" t="inlineStr"/>
    </row>
    <row r="5458">
      <c r="A5458" t="inlineStr">
        <is>
          <t>156B¹⁸</t>
        </is>
      </c>
      <c r="B5458" t="inlineStr"/>
      <c r="C5458" t="inlineStr">
        <is>
          <t>252</t>
        </is>
      </c>
      <c r="D5458" t="inlineStr">
        <is>
          <t>1</t>
        </is>
      </c>
      <c r="E5458" t="inlineStr">
        <is>
          <t>126</t>
        </is>
      </c>
      <c r="F5458" t="inlineStr">
        <is>
          <t>8</t>
        </is>
      </c>
      <c r="G5458" t="inlineStr">
        <is>
          <t>0</t>
        </is>
      </c>
      <c r="H5458" t="inlineStr">
        <is>
          <t>6¹, 12¹, 78¹, 156¹</t>
        </is>
      </c>
      <c r="I5458" t="n">
        <v>4</v>
      </c>
      <c r="J5458" t="inlineStr">
        <is>
          <t>1⁶, 2⁶, 12³, 24³</t>
        </is>
      </c>
      <c r="K5458">
        <f>HYPERLINK("CSG8.html#group78A8", "78A⁸")</f>
        <v/>
      </c>
      <c r="L5458" t="inlineStr"/>
      <c r="M5458">
        <f>HYPERLINK("CSG8.html#group78A8", "78A⁸"), =HYPERLINK("CSG2.html#group39A2", "39A²"), =HYPERLINK("CSG0.html#group13A0", "13A⁰"), =HYPERLINK("CSG0.html#group2B0", "2B⁰"), =HYPERLINK("CSG0.html#group3A0", "3A⁰"), =HYPERLINK("CSG0.html#group1A0", "1A⁰"), =HYPERLINK("CSG2.html#group26A2", "26A²"), =HYPERLINK("CSG0.html#group6D0", "6D⁰")</f>
        <v/>
      </c>
      <c r="N5458" t="inlineStr"/>
    </row>
    <row r="5459">
      <c r="A5459" t="inlineStr">
        <is>
          <t>160A¹⁸</t>
        </is>
      </c>
      <c r="B5459" t="inlineStr"/>
      <c r="C5459" t="inlineStr">
        <is>
          <t>240</t>
        </is>
      </c>
      <c r="D5459" t="inlineStr">
        <is>
          <t>1</t>
        </is>
      </c>
      <c r="E5459" t="inlineStr">
        <is>
          <t>30</t>
        </is>
      </c>
      <c r="F5459" t="inlineStr">
        <is>
          <t>0</t>
        </is>
      </c>
      <c r="G5459" t="inlineStr">
        <is>
          <t>0</t>
        </is>
      </c>
      <c r="H5459" t="inlineStr">
        <is>
          <t>10⁴, 40¹, 160¹</t>
        </is>
      </c>
      <c r="I5459" t="n">
        <v>6</v>
      </c>
      <c r="J5459" t="inlineStr">
        <is>
          <t>1⁴, 2¹, 4⁴, 8¹</t>
        </is>
      </c>
      <c r="K5459">
        <f>HYPERLINK("CSG2.html#group32A2", "32A²"), =HYPERLINK("CSG8.html#group80B8", "80B⁸")</f>
        <v/>
      </c>
      <c r="L5459" t="inlineStr"/>
      <c r="M5459">
        <f>HYPERLINK("CSG2.html#group20A2", "20A²"), =HYPERLINK("CSG0.html#group5A0", "5A⁰"), =HYPERLINK("CSG8.html#group80B8", "80B⁸"), =HYPERLINK("CSG0.html#group16C0", "16C⁰"), =HYPERLINK("CSG1.html#group10B1", "10B¹"), =HYPERLINK("CSG2.html#group32A2", "32A²"), =HYPERLINK("CSG0.html#group8C0", "8C⁰"), =HYPERLINK("CSG0.html#group2B0", "2B⁰"), =HYPERLINK("CSG0.html#group4B0", "4B⁰"), =HYPERLINK("CSG4.html#group40B4", "40B⁴"), =HYPERLINK("CSG0.html#group1A0", "1A⁰")</f>
        <v/>
      </c>
      <c r="N5459" t="inlineStr"/>
    </row>
    <row r="5460">
      <c r="A5460" t="inlineStr">
        <is>
          <t>168A¹⁸</t>
        </is>
      </c>
      <c r="B5460" t="inlineStr"/>
      <c r="C5460" t="inlineStr">
        <is>
          <t>224</t>
        </is>
      </c>
      <c r="D5460" t="inlineStr">
        <is>
          <t>2</t>
        </is>
      </c>
      <c r="E5460" t="inlineStr">
        <is>
          <t>112</t>
        </is>
      </c>
      <c r="F5460" t="inlineStr">
        <is>
          <t>0</t>
        </is>
      </c>
      <c r="G5460" t="inlineStr">
        <is>
          <t>2</t>
        </is>
      </c>
      <c r="H5460" t="inlineStr">
        <is>
          <t>56¹, 168¹</t>
        </is>
      </c>
      <c r="I5460" t="n">
        <v>2</v>
      </c>
      <c r="J5460" t="inlineStr">
        <is>
          <t>8⁴, 16², 24⁸, 48⁴</t>
        </is>
      </c>
      <c r="K5460">
        <f>HYPERLINK("CSG3.html#group56A3", "56A³"), =HYPERLINK("CSG9.html#group84A9", "84A⁹")</f>
        <v/>
      </c>
      <c r="L5460" t="inlineStr"/>
      <c r="M5460">
        <f>HYPERLINK("CSG0.html#group3B0", "3B⁰"), =HYPERLINK("CSG9.html#group84A9", "84A⁹"), =HYPERLINK("CSG2.html#group21B2", "21B²"), =HYPERLINK("CSG0.html#group4A0", "4A⁰"), =HYPERLINK("CSG1.html#group12A1", "12A¹"), =HYPERLINK("CSG1.html#group28A1", "28A¹"), =HYPERLINK("CSG0.html#group1A0", "1A⁰"), =HYPERLINK("CSG0.html#group7A0", "7A⁰"), =HYPERLINK("CSG3.html#group56A3", "56A³")</f>
        <v/>
      </c>
      <c r="N5460" t="inlineStr"/>
    </row>
    <row r="5461">
      <c r="A5461" t="inlineStr">
        <is>
          <t>168B¹⁸</t>
        </is>
      </c>
      <c r="B5461" t="inlineStr"/>
      <c r="C5461" t="inlineStr">
        <is>
          <t>224</t>
        </is>
      </c>
      <c r="D5461" t="inlineStr">
        <is>
          <t>2</t>
        </is>
      </c>
      <c r="E5461" t="inlineStr">
        <is>
          <t>112</t>
        </is>
      </c>
      <c r="F5461" t="inlineStr">
        <is>
          <t>0</t>
        </is>
      </c>
      <c r="G5461" t="inlineStr">
        <is>
          <t>2</t>
        </is>
      </c>
      <c r="H5461" t="inlineStr">
        <is>
          <t>56¹, 168¹</t>
        </is>
      </c>
      <c r="I5461" t="n">
        <v>2</v>
      </c>
      <c r="J5461" t="inlineStr">
        <is>
          <t>8⁴, 16², 24⁸, 48⁴</t>
        </is>
      </c>
      <c r="K5461">
        <f>HYPERLINK("CSG3.html#group56B3", "56B³"), =HYPERLINK("CSG9.html#group84A9", "84A⁹")</f>
        <v/>
      </c>
      <c r="L5461" t="inlineStr"/>
      <c r="M5461">
        <f>HYPERLINK("CSG0.html#group3B0", "3B⁰"), =HYPERLINK("CSG3.html#group56B3", "56B³"), =HYPERLINK("CSG9.html#group84A9", "84A⁹"), =HYPERLINK("CSG2.html#group21B2", "21B²"), =HYPERLINK("CSG0.html#group4A0", "4A⁰"), =HYPERLINK("CSG1.html#group12A1", "12A¹"), =HYPERLINK("CSG1.html#group28A1", "28A¹"), =HYPERLINK("CSG0.html#group1A0", "1A⁰"), =HYPERLINK("CSG0.html#group7A0", "7A⁰")</f>
        <v/>
      </c>
      <c r="N5461" t="inlineStr"/>
    </row>
    <row r="5462">
      <c r="A5462" t="inlineStr">
        <is>
          <t>168C¹⁸</t>
        </is>
      </c>
      <c r="B5462" t="inlineStr"/>
      <c r="C5462" t="inlineStr">
        <is>
          <t>224</t>
        </is>
      </c>
      <c r="D5462" t="inlineStr">
        <is>
          <t>2</t>
        </is>
      </c>
      <c r="E5462" t="inlineStr">
        <is>
          <t>112</t>
        </is>
      </c>
      <c r="F5462" t="inlineStr">
        <is>
          <t>0</t>
        </is>
      </c>
      <c r="G5462" t="inlineStr">
        <is>
          <t>2</t>
        </is>
      </c>
      <c r="H5462" t="inlineStr">
        <is>
          <t>56¹, 168¹</t>
        </is>
      </c>
      <c r="I5462" t="n">
        <v>2</v>
      </c>
      <c r="J5462" t="inlineStr">
        <is>
          <t>8⁴, 16², 24⁸, 48⁴</t>
        </is>
      </c>
      <c r="K5462">
        <f>HYPERLINK("CSG2.html#group24A2", "24A²"), =HYPERLINK("CSG3.html#group56C3", "56C³"), =HYPERLINK("CSG9.html#group84A9", "84A⁹")</f>
        <v/>
      </c>
      <c r="L5462" t="inlineStr"/>
      <c r="M5462">
        <f>HYPERLINK("CSG0.html#group3B0", "3B⁰"), =HYPERLINK("CSG9.html#group84A9", "84A⁹"), =HYPERLINK("CSG2.html#group21B2", "21B²"), =HYPERLINK("CSG2.html#group24A2", "24A²"), =HYPERLINK("CSG0.html#group4A0", "4A⁰"), =HYPERLINK("CSG1.html#group12A1", "12A¹"), =HYPERLINK("CSG0.html#group8A0", "8A⁰"), =HYPERLINK("CSG3.html#group56C3", "56C³"), =HYPERLINK("CSG1.html#group28A1", "28A¹"), =HYPERLINK("CSG0.html#group1A0", "1A⁰"), =HYPERLINK("CSG0.html#group7A0", "7A⁰")</f>
        <v/>
      </c>
      <c r="N5462" t="inlineStr"/>
    </row>
    <row r="5463">
      <c r="A5463" t="inlineStr">
        <is>
          <t>168D¹⁸</t>
        </is>
      </c>
      <c r="B5463" t="inlineStr"/>
      <c r="C5463" t="inlineStr">
        <is>
          <t>224</t>
        </is>
      </c>
      <c r="D5463" t="inlineStr">
        <is>
          <t>2</t>
        </is>
      </c>
      <c r="E5463" t="inlineStr">
        <is>
          <t>112</t>
        </is>
      </c>
      <c r="F5463" t="inlineStr">
        <is>
          <t>0</t>
        </is>
      </c>
      <c r="G5463" t="inlineStr">
        <is>
          <t>2</t>
        </is>
      </c>
      <c r="H5463" t="inlineStr">
        <is>
          <t>56¹, 168¹</t>
        </is>
      </c>
      <c r="I5463" t="n">
        <v>2</v>
      </c>
      <c r="J5463" t="inlineStr">
        <is>
          <t>8⁴, 16², 24⁸, 48⁴</t>
        </is>
      </c>
      <c r="K5463">
        <f>HYPERLINK("CSG2.html#group24A2", "24A²"), =HYPERLINK("CSG3.html#group56D3", "56D³"), =HYPERLINK("CSG9.html#group84A9", "84A⁹")</f>
        <v/>
      </c>
      <c r="L5463" t="inlineStr"/>
      <c r="M5463">
        <f>HYPERLINK("CSG0.html#group3B0", "3B⁰"), =HYPERLINK("CSG3.html#group56D3", "56D³"), =HYPERLINK("CSG9.html#group84A9", "84A⁹"), =HYPERLINK("CSG2.html#group21B2", "21B²"), =HYPERLINK("CSG2.html#group24A2", "24A²"), =HYPERLINK("CSG0.html#group4A0", "4A⁰"), =HYPERLINK("CSG1.html#group12A1", "12A¹"), =HYPERLINK("CSG0.html#group8A0", "8A⁰"), =HYPERLINK("CSG1.html#group28A1", "28A¹"), =HYPERLINK("CSG0.html#group1A0", "1A⁰"), =HYPERLINK("CSG0.html#group7A0", "7A⁰")</f>
        <v/>
      </c>
      <c r="N5463" t="inlineStr"/>
    </row>
    <row r="5464">
      <c r="A5464" t="inlineStr">
        <is>
          <t>168E¹⁸</t>
        </is>
      </c>
      <c r="B5464" t="inlineStr"/>
      <c r="C5464" t="inlineStr">
        <is>
          <t>252</t>
        </is>
      </c>
      <c r="D5464" t="inlineStr">
        <is>
          <t>2</t>
        </is>
      </c>
      <c r="E5464" t="inlineStr">
        <is>
          <t>21</t>
        </is>
      </c>
      <c r="F5464" t="inlineStr">
        <is>
          <t>12</t>
        </is>
      </c>
      <c r="G5464" t="inlineStr">
        <is>
          <t>0</t>
        </is>
      </c>
      <c r="H5464" t="inlineStr">
        <is>
          <t>84¹, 168¹</t>
        </is>
      </c>
      <c r="I5464" t="n">
        <v>2</v>
      </c>
      <c r="J5464" t="inlineStr">
        <is>
          <t>2³, 6⁶</t>
        </is>
      </c>
      <c r="K5464">
        <f>HYPERLINK("CSG6.html#group56A6", "56A⁶"), =HYPERLINK("CSG6.html#group84B6", "84B⁶")</f>
        <v/>
      </c>
      <c r="L5464" t="inlineStr"/>
      <c r="M5464">
        <f>HYPERLINK("CSG6.html#group56A6", "56A⁶"), =HYPERLINK("CSG2.html#group28C2", "28C²"), =HYPERLINK("CSG0.html#group12C0", "12C⁰"), =HYPERLINK("CSG1.html#group14B1", "14B¹"), =HYPERLINK("CSG0.html#group4C0", "4C⁰"), =HYPERLINK("CSG0.html#group21A0", "21A⁰"), =HYPERLINK("CSG0.html#group2B0", "2B⁰"), =HYPERLINK("CSG0.html#group3A0", "3A⁰"), =HYPERLINK("CSG0.html#group1A0", "1A⁰"), =HYPERLINK("CSG3.html#group42C3", "42C³"), =HYPERLINK("CSG6.html#group84B6", "84B⁶"), =HYPERLINK("CSG0.html#group6D0", "6D⁰"), =HYPERLINK("CSG0.html#group7A0", "7A⁰")</f>
        <v/>
      </c>
      <c r="N5464" t="inlineStr"/>
    </row>
    <row r="5465">
      <c r="A5465" t="inlineStr">
        <is>
          <t>168F¹⁸</t>
        </is>
      </c>
      <c r="B5465" t="inlineStr"/>
      <c r="C5465" t="inlineStr">
        <is>
          <t>252</t>
        </is>
      </c>
      <c r="D5465" t="inlineStr">
        <is>
          <t>2</t>
        </is>
      </c>
      <c r="E5465" t="inlineStr">
        <is>
          <t>63</t>
        </is>
      </c>
      <c r="F5465" t="inlineStr">
        <is>
          <t>12</t>
        </is>
      </c>
      <c r="G5465" t="inlineStr">
        <is>
          <t>0</t>
        </is>
      </c>
      <c r="H5465" t="inlineStr">
        <is>
          <t>84¹, 168¹</t>
        </is>
      </c>
      <c r="I5465" t="n">
        <v>2</v>
      </c>
      <c r="J5465" t="inlineStr">
        <is>
          <t>2³, 4³, 6⁶, 12⁶</t>
        </is>
      </c>
      <c r="K5465">
        <f>HYPERLINK("CSG2.html#group24C2", "24C²"), =HYPERLINK("CSG6.html#group84B6", "84B⁶")</f>
        <v/>
      </c>
      <c r="L5465" t="inlineStr"/>
      <c r="M5465">
        <f>HYPERLINK("CSG2.html#group28C2", "28C²"), =HYPERLINK("CSG0.html#group12C0", "12C⁰"), =HYPERLINK("CSG1.html#group14B1", "14B¹"), =HYPERLINK("CSG0.html#group4C0", "4C⁰"), =HYPERLINK("CSG0.html#group21A0", "21A⁰"), =HYPERLINK("CSG0.html#group2B0", "2B⁰"), =HYPERLINK("CSG2.html#group24C2", "24C²"), =HYPERLINK("CSG0.html#group3A0", "3A⁰"), =HYPERLINK("CSG0.html#group1A0", "1A⁰"), =HYPERLINK("CSG3.html#group42C3", "42C³"), =HYPERLINK("CSG6.html#group84B6", "84B⁶"), =HYPERLINK("CSG0.html#group6D0", "6D⁰"), =HYPERLINK("CSG0.html#group7A0", "7A⁰")</f>
        <v/>
      </c>
      <c r="N5465" t="inlineStr"/>
    </row>
    <row r="5466">
      <c r="A5466" t="inlineStr">
        <is>
          <t>180A¹⁸</t>
        </is>
      </c>
      <c r="B5466" t="inlineStr"/>
      <c r="C5466" t="inlineStr">
        <is>
          <t>240</t>
        </is>
      </c>
      <c r="D5466" t="inlineStr">
        <is>
          <t>1</t>
        </is>
      </c>
      <c r="E5466" t="inlineStr">
        <is>
          <t>80</t>
        </is>
      </c>
      <c r="F5466" t="inlineStr">
        <is>
          <t>0</t>
        </is>
      </c>
      <c r="G5466" t="inlineStr">
        <is>
          <t>6</t>
        </is>
      </c>
      <c r="H5466" t="inlineStr">
        <is>
          <t>60¹, 180¹</t>
        </is>
      </c>
      <c r="I5466" t="n">
        <v>2</v>
      </c>
      <c r="J5466" t="inlineStr">
        <is>
          <t>2⁴, 4², 8⁴, 16²</t>
        </is>
      </c>
      <c r="K5466">
        <f>HYPERLINK("CSG3.html#group36C3", "36C³"), =HYPERLINK("CSG3.html#group45B3", "45B³"), =HYPERLINK("CSG6.html#group60A6", "60A⁶")</f>
        <v/>
      </c>
      <c r="L5466" t="inlineStr"/>
      <c r="M5466">
        <f>HYPERLINK("CSG0.html#group3B0", "3B⁰"), =HYPERLINK("CSG0.html#group5A0", "5A⁰"), =HYPERLINK("CSG3.html#group45B3", "45B³"), =HYPERLINK("CSG0.html#group4A0", "4A⁰"), =HYPERLINK("CSG1.html#group12A1", "12A¹"), =HYPERLINK("CSG1.html#group15B1", "15B¹"), =HYPERLINK("CSG1.html#group20A1", "20A¹"), =HYPERLINK("CSG0.html#group9C0", "9C⁰"), =HYPERLINK("CSG6.html#group60A6", "60A⁶"), =HYPERLINK("CSG0.html#group1A0", "1A⁰"), =HYPERLINK("CSG3.html#group36C3", "36C³")</f>
        <v/>
      </c>
      <c r="N5466" t="inlineStr"/>
    </row>
    <row r="5467">
      <c r="A5467" t="inlineStr">
        <is>
          <t>180B¹⁸</t>
        </is>
      </c>
      <c r="B5467" t="inlineStr"/>
      <c r="C5467" t="inlineStr">
        <is>
          <t>240</t>
        </is>
      </c>
      <c r="D5467" t="inlineStr">
        <is>
          <t>2</t>
        </is>
      </c>
      <c r="E5467" t="inlineStr">
        <is>
          <t>40</t>
        </is>
      </c>
      <c r="F5467" t="inlineStr">
        <is>
          <t>0</t>
        </is>
      </c>
      <c r="G5467" t="inlineStr">
        <is>
          <t>6</t>
        </is>
      </c>
      <c r="H5467" t="inlineStr">
        <is>
          <t>60¹, 180¹</t>
        </is>
      </c>
      <c r="I5467" t="n">
        <v>2</v>
      </c>
      <c r="J5467" t="inlineStr">
        <is>
          <t>4⁴, 8⁸</t>
        </is>
      </c>
      <c r="K5467">
        <f>HYPERLINK("CSG4.html#group60B4", "60B⁴"), =HYPERLINK("CSG9.html#group90C9", "90C⁹")</f>
        <v/>
      </c>
      <c r="L5467" t="inlineStr"/>
      <c r="M5467">
        <f>HYPERLINK("CSG0.html#group3B0", "3B⁰"), =HYPERLINK("CSG0.html#group2A0", "2A⁰"), =HYPERLINK("CSG0.html#group5A0", "5A⁰"), =HYPERLINK("CSG0.html#group10A0", "10A⁰"), =HYPERLINK("CSG9.html#group90C9", "90C⁹"), =HYPERLINK("CSG2.html#group30D2", "30D²"), =HYPERLINK("CSG4.html#group60B4", "60B⁴"), =HYPERLINK("CSG0.html#group6C0", "6C⁰"), =HYPERLINK("CSG1.html#group15B1", "15B¹"), =HYPERLINK("CSG0.html#group1A0", "1A⁰"), =HYPERLINK("CSG0.html#group12B0", "12B⁰")</f>
        <v/>
      </c>
      <c r="N5467" t="inlineStr"/>
    </row>
    <row r="5468">
      <c r="A5468" t="inlineStr">
        <is>
          <t>180C¹⁸</t>
        </is>
      </c>
      <c r="B5468" t="inlineStr"/>
      <c r="C5468" t="inlineStr">
        <is>
          <t>240</t>
        </is>
      </c>
      <c r="D5468" t="inlineStr">
        <is>
          <t>2</t>
        </is>
      </c>
      <c r="E5468" t="inlineStr">
        <is>
          <t>80</t>
        </is>
      </c>
      <c r="F5468" t="inlineStr">
        <is>
          <t>0</t>
        </is>
      </c>
      <c r="G5468" t="inlineStr">
        <is>
          <t>3</t>
        </is>
      </c>
      <c r="H5468" t="inlineStr">
        <is>
          <t>20³, 180¹</t>
        </is>
      </c>
      <c r="I5468" t="n">
        <v>4</v>
      </c>
      <c r="J5468" t="inlineStr">
        <is>
          <t>4⁴, 8², 16⁸</t>
        </is>
      </c>
      <c r="K5468">
        <f>HYPERLINK("CSG3.html#group45C3", "45C³"), =HYPERLINK("CSG6.html#group60A6", "60A⁶")</f>
        <v/>
      </c>
      <c r="L5468" t="inlineStr"/>
      <c r="M5468">
        <f>HYPERLINK("CSG0.html#group3B0", "3B⁰"), =HYPERLINK("CSG3.html#group45C3", "45C³"), =HYPERLINK("CSG0.html#group5A0", "5A⁰"), =HYPERLINK("CSG0.html#group4A0", "4A⁰"), =HYPERLINK("CSG1.html#group12A1", "12A¹"), =HYPERLINK("CSG1.html#group15B1", "15B¹"), =HYPERLINK("CSG1.html#group20A1", "20A¹"), =HYPERLINK("CSG6.html#group60A6", "60A⁶"), =HYPERLINK("CSG0.html#group1A0", "1A⁰")</f>
        <v/>
      </c>
      <c r="N5468" t="inlineStr"/>
    </row>
    <row r="5469">
      <c r="A5469" t="inlineStr">
        <is>
          <t>189A¹⁸</t>
        </is>
      </c>
      <c r="B5469" t="inlineStr"/>
      <c r="C5469" t="inlineStr">
        <is>
          <t>252</t>
        </is>
      </c>
      <c r="D5469" t="inlineStr">
        <is>
          <t>2</t>
        </is>
      </c>
      <c r="E5469" t="inlineStr">
        <is>
          <t>84</t>
        </is>
      </c>
      <c r="F5469" t="inlineStr">
        <is>
          <t>0</t>
        </is>
      </c>
      <c r="G5469" t="inlineStr">
        <is>
          <t>0</t>
        </is>
      </c>
      <c r="H5469" t="inlineStr">
        <is>
          <t>7⁶, 21¹, 189¹</t>
        </is>
      </c>
      <c r="I5469" t="n">
        <v>8</v>
      </c>
      <c r="J5469" t="inlineStr">
        <is>
          <t>2², 4², 6⁴, 12⁵, 36²</t>
        </is>
      </c>
      <c r="K5469">
        <f>HYPERLINK("CSG0.html#group27A0", "27A⁰"), =HYPERLINK("CSG6.html#group63B6", "63B⁶")</f>
        <v/>
      </c>
      <c r="L5469" t="inlineStr"/>
      <c r="M5469">
        <f>HYPERLINK("CSG0.html#group3B0", "3B⁰"), =HYPERLINK("CSG2.html#group21B2", "21B²"), =HYPERLINK("CSG0.html#group27A0", "27A⁰"), =HYPERLINK("CSG6.html#group63B6", "63B⁶"), =HYPERLINK("CSG0.html#group9B0", "9B⁰"), =HYPERLINK("CSG0.html#group1A0", "1A⁰"), =HYPERLINK("CSG0.html#group7A0", "7A⁰")</f>
        <v/>
      </c>
      <c r="N5469" t="inlineStr"/>
    </row>
    <row r="5470">
      <c r="A5470" t="inlineStr">
        <is>
          <t>192A¹⁸</t>
        </is>
      </c>
      <c r="B5470" t="inlineStr"/>
      <c r="C5470" t="inlineStr">
        <is>
          <t>288</t>
        </is>
      </c>
      <c r="D5470" t="inlineStr">
        <is>
          <t>1</t>
        </is>
      </c>
      <c r="E5470" t="inlineStr">
        <is>
          <t>24</t>
        </is>
      </c>
      <c r="F5470" t="inlineStr">
        <is>
          <t>0</t>
        </is>
      </c>
      <c r="G5470" t="inlineStr">
        <is>
          <t>0</t>
        </is>
      </c>
      <c r="H5470" t="inlineStr">
        <is>
          <t>3⁸, 6⁴, 48¹, 192¹</t>
        </is>
      </c>
      <c r="I5470" t="n">
        <v>14</v>
      </c>
      <c r="J5470" t="inlineStr">
        <is>
          <t>2⁸, 8¹</t>
        </is>
      </c>
      <c r="K5470">
        <f>HYPERLINK("CSG2.html#group64A2", "64A²"), =HYPERLINK("CSG8.html#group96A8", "96A⁸")</f>
        <v/>
      </c>
      <c r="L5470" t="inlineStr"/>
      <c r="M5470">
        <f>HYPERLINK("CSG2.html#group24B2", "24B²"), =HYPERLINK("CSG0.html#group4B0", "4B⁰"), =HYPERLINK("CSG0.html#group16C0", "16C⁰"), =HYPERLINK("CSG0.html#group32A0", "32A⁰"), =HYPERLINK("CSG0.html#group8C0", "8C⁰"), =HYPERLINK("CSG1.html#group12B1", "12B¹"), =HYPERLINK("CSG8.html#group96A8", "96A⁸"), =HYPERLINK("CSG2.html#group64A2", "64A²"), =HYPERLINK("CSG0.html#group3A0", "3A⁰"), =HYPERLINK("CSG0.html#group2B0", "2B⁰"), =HYPERLINK("CSG0.html#group1A0", "1A⁰"), =HYPERLINK("CSG0.html#group6D0", "6D⁰"), =HYPERLINK("CSG4.html#group48B4", "48B⁴")</f>
        <v/>
      </c>
      <c r="N5470" t="inlineStr"/>
    </row>
    <row r="5471">
      <c r="A5471" t="inlineStr">
        <is>
          <t>192B¹⁸</t>
        </is>
      </c>
      <c r="B5471" t="inlineStr"/>
      <c r="C5471" t="inlineStr">
        <is>
          <t>288</t>
        </is>
      </c>
      <c r="D5471" t="inlineStr">
        <is>
          <t>1</t>
        </is>
      </c>
      <c r="E5471" t="inlineStr">
        <is>
          <t>72</t>
        </is>
      </c>
      <c r="F5471" t="inlineStr">
        <is>
          <t>0</t>
        </is>
      </c>
      <c r="G5471" t="inlineStr">
        <is>
          <t>0</t>
        </is>
      </c>
      <c r="H5471" t="inlineStr">
        <is>
          <t>3⁸, 6⁴, 48¹, 192¹</t>
        </is>
      </c>
      <c r="I5471" t="n">
        <v>14</v>
      </c>
      <c r="J5471" t="inlineStr">
        <is>
          <t>2⁸, 4⁸, 8¹, 16¹</t>
        </is>
      </c>
      <c r="K5471">
        <f>HYPERLINK("CSG8.html#group96A8", "96A⁸")</f>
        <v/>
      </c>
      <c r="L5471" t="inlineStr"/>
      <c r="M5471">
        <f>HYPERLINK("CSG2.html#group24B2", "24B²"), =HYPERLINK("CSG0.html#group4B0", "4B⁰"), =HYPERLINK("CSG0.html#group16C0", "16C⁰"), =HYPERLINK("CSG0.html#group32A0", "32A⁰"), =HYPERLINK("CSG0.html#group8C0", "8C⁰"), =HYPERLINK("CSG1.html#group12B1", "12B¹"), =HYPERLINK("CSG8.html#group96A8", "96A⁸"), =HYPERLINK("CSG0.html#group2B0", "2B⁰"), =HYPERLINK("CSG0.html#group3A0", "3A⁰"), =HYPERLINK("CSG0.html#group1A0", "1A⁰"), =HYPERLINK("CSG0.html#group6D0", "6D⁰"), =HYPERLINK("CSG4.html#group48B4", "48B⁴")</f>
        <v/>
      </c>
      <c r="N5471" t="inlineStr"/>
    </row>
    <row r="5472">
      <c r="A5472" t="inlineStr">
        <is>
          <t>198A¹⁸</t>
        </is>
      </c>
      <c r="B5472" t="inlineStr"/>
      <c r="C5472" t="inlineStr">
        <is>
          <t>216</t>
        </is>
      </c>
      <c r="D5472" t="inlineStr">
        <is>
          <t>1</t>
        </is>
      </c>
      <c r="E5472" t="inlineStr">
        <is>
          <t>108</t>
        </is>
      </c>
      <c r="F5472" t="inlineStr">
        <is>
          <t>0</t>
        </is>
      </c>
      <c r="G5472" t="inlineStr">
        <is>
          <t>0</t>
        </is>
      </c>
      <c r="H5472" t="inlineStr">
        <is>
          <t>18¹, 198¹</t>
        </is>
      </c>
      <c r="I5472" t="n">
        <v>2</v>
      </c>
      <c r="J5472" t="inlineStr">
        <is>
          <t>1², 2², 6², 10¹, 20¹, 60¹</t>
        </is>
      </c>
      <c r="K5472">
        <f>HYPERLINK("CSG1.html#group18A1", "18A¹"), =HYPERLINK("CSG6.html#group66D6", "66D⁶"), =HYPERLINK("CSG9.html#group99A9", "99A⁹")</f>
        <v/>
      </c>
      <c r="L5472" t="inlineStr"/>
      <c r="M5472">
        <f>HYPERLINK("CSG0.html#group6B0", "6B⁰"), =HYPERLINK("CSG6.html#group66D6", "66D⁶"), =HYPERLINK("CSG1.html#group11A1", "11A¹"), =HYPERLINK("CSG0.html#group9A0", "9A⁰"), =HYPERLINK("CSG9.html#group99A9", "99A⁹"), =HYPERLINK("CSG0.html#group3A0", "3A⁰"), =HYPERLINK("CSG3.html#group33A3", "33A³"), =HYPERLINK("CSG0.html#group1A0", "1A⁰"), =HYPERLINK("CSG1.html#group18A1", "18A¹")</f>
        <v/>
      </c>
      <c r="N5472" t="inlineStr"/>
    </row>
    <row r="5473">
      <c r="A5473" t="inlineStr">
        <is>
          <t>198B¹⁸</t>
        </is>
      </c>
      <c r="B5473" t="inlineStr"/>
      <c r="C5473" t="inlineStr">
        <is>
          <t>216</t>
        </is>
      </c>
      <c r="D5473" t="inlineStr">
        <is>
          <t>1</t>
        </is>
      </c>
      <c r="E5473" t="inlineStr">
        <is>
          <t>108</t>
        </is>
      </c>
      <c r="F5473" t="inlineStr">
        <is>
          <t>0</t>
        </is>
      </c>
      <c r="G5473" t="inlineStr">
        <is>
          <t>0</t>
        </is>
      </c>
      <c r="H5473" t="inlineStr">
        <is>
          <t>18¹, 198¹</t>
        </is>
      </c>
      <c r="I5473" t="n">
        <v>2</v>
      </c>
      <c r="J5473" t="inlineStr">
        <is>
          <t>1², 2², 6², 10¹, 20¹, 60¹</t>
        </is>
      </c>
      <c r="K5473">
        <f>HYPERLINK("CSG2.html#group18A2", "18A²"), =HYPERLINK("CSG6.html#group66B6", "66B⁶"), =HYPERLINK("CSG9.html#group99A9", "99A⁹")</f>
        <v/>
      </c>
      <c r="L5473" t="inlineStr"/>
      <c r="M5473">
        <f>HYPERLINK("CSG0.html#group2A0", "2A⁰"), =HYPERLINK("CSG1.html#group11A1", "11A¹"), =HYPERLINK("CSG2.html#group22A2", "22A²"), =HYPERLINK("CSG0.html#group9A0", "9A⁰"), =HYPERLINK("CSG6.html#group66B6", "66B⁶"), =HYPERLINK("CSG1.html#group6A1", "6A¹"), =HYPERLINK("CSG2.html#group18A2", "18A²"), =HYPERLINK("CSG9.html#group99A9", "99A⁹"), =HYPERLINK("CSG0.html#group3A0", "3A⁰"), =HYPERLINK("CSG3.html#group33A3", "33A³"), =HYPERLINK("CSG0.html#group1A0", "1A⁰")</f>
        <v/>
      </c>
      <c r="N5473" t="inlineStr"/>
    </row>
    <row r="5474">
      <c r="A5474" t="inlineStr">
        <is>
          <t>198C¹⁸</t>
        </is>
      </c>
      <c r="B5474" t="inlineStr"/>
      <c r="C5474" t="inlineStr">
        <is>
          <t>216</t>
        </is>
      </c>
      <c r="D5474" t="inlineStr">
        <is>
          <t>1</t>
        </is>
      </c>
      <c r="E5474" t="inlineStr">
        <is>
          <t>216</t>
        </is>
      </c>
      <c r="F5474" t="inlineStr">
        <is>
          <t>0</t>
        </is>
      </c>
      <c r="G5474" t="inlineStr">
        <is>
          <t>0</t>
        </is>
      </c>
      <c r="H5474" t="inlineStr">
        <is>
          <t>18¹, 198¹</t>
        </is>
      </c>
      <c r="I5474" t="n">
        <v>2</v>
      </c>
      <c r="J5474" t="inlineStr">
        <is>
          <t>2⁶, 6⁴, 20³, 60²</t>
        </is>
      </c>
      <c r="K5474">
        <f>HYPERLINK("CSG1.html#group18B1", "18B¹"), =HYPERLINK("CSG6.html#group66D6", "66D⁶")</f>
        <v/>
      </c>
      <c r="L5474" t="inlineStr"/>
      <c r="M5474">
        <f>HYPERLINK("CSG0.html#group6B0", "6B⁰"), =HYPERLINK("CSG6.html#group66D6", "66D⁶"), =HYPERLINK("CSG1.html#group11A1", "11A¹"), =HYPERLINK("CSG1.html#group18B1", "18B¹"), =HYPERLINK("CSG0.html#group3A0", "3A⁰"), =HYPERLINK("CSG3.html#group33A3", "33A³"), =HYPERLINK("CSG0.html#group1A0", "1A⁰")</f>
        <v/>
      </c>
      <c r="N5474" t="inlineStr"/>
    </row>
    <row r="5475">
      <c r="A5475" t="inlineStr">
        <is>
          <t>198D¹⁸</t>
        </is>
      </c>
      <c r="B5475" t="inlineStr"/>
      <c r="C5475" t="inlineStr">
        <is>
          <t>216</t>
        </is>
      </c>
      <c r="D5475" t="inlineStr">
        <is>
          <t>2</t>
        </is>
      </c>
      <c r="E5475" t="inlineStr">
        <is>
          <t>108</t>
        </is>
      </c>
      <c r="F5475" t="inlineStr">
        <is>
          <t>0</t>
        </is>
      </c>
      <c r="G5475" t="inlineStr">
        <is>
          <t>0</t>
        </is>
      </c>
      <c r="H5475" t="inlineStr">
        <is>
          <t>18¹, 198¹</t>
        </is>
      </c>
      <c r="I5475" t="n">
        <v>2</v>
      </c>
      <c r="J5475" t="inlineStr">
        <is>
          <t>2⁶, 6⁴, 20³, 60²</t>
        </is>
      </c>
      <c r="K5475">
        <f>HYPERLINK("CSG0.html#group18A0", "18A⁰"), =HYPERLINK("CSG6.html#group66D6", "66D⁶"), =HYPERLINK("CSG9.html#group99A9", "99A⁹")</f>
        <v/>
      </c>
      <c r="L5475" t="inlineStr"/>
      <c r="M5475">
        <f>HYPERLINK("CSG0.html#group6B0", "6B⁰"), =HYPERLINK("CSG6.html#group66D6", "66D⁶"), =HYPERLINK("CSG1.html#group11A1", "11A¹"), =HYPERLINK("CSG0.html#group9A0", "9A⁰"), =HYPERLINK("CSG9.html#group99A9", "99A⁹"), =HYPERLINK("CSG0.html#group3A0", "3A⁰"), =HYPERLINK("CSG3.html#group33A3", "33A³"), =HYPERLINK("CSG0.html#group1A0", "1A⁰"), =HYPERLINK("CSG0.html#group18A0", "18A⁰")</f>
        <v/>
      </c>
      <c r="N5475" t="inlineStr"/>
    </row>
    <row r="5476">
      <c r="A5476" t="inlineStr">
        <is>
          <t>198E¹⁸</t>
        </is>
      </c>
      <c r="B5476" t="inlineStr"/>
      <c r="C5476" t="inlineStr">
        <is>
          <t>264</t>
        </is>
      </c>
      <c r="D5476" t="inlineStr">
        <is>
          <t>2</t>
        </is>
      </c>
      <c r="E5476" t="inlineStr">
        <is>
          <t>44</t>
        </is>
      </c>
      <c r="F5476" t="inlineStr">
        <is>
          <t>0</t>
        </is>
      </c>
      <c r="G5476" t="inlineStr">
        <is>
          <t>12</t>
        </is>
      </c>
      <c r="H5476" t="inlineStr">
        <is>
          <t>66¹, 198¹</t>
        </is>
      </c>
      <c r="I5476" t="n">
        <v>2</v>
      </c>
      <c r="J5476" t="inlineStr">
        <is>
          <t>2², 4¹, 10⁴, 20²</t>
        </is>
      </c>
      <c r="K5476">
        <f>HYPERLINK("CSG0.html#group18B0", "18B⁰"), =HYPERLINK("CSG6.html#group66E6", "66E⁶"), =HYPERLINK("CSG9.html#group99B9", "99B⁹")</f>
        <v/>
      </c>
      <c r="L5476" t="inlineStr"/>
      <c r="M5476">
        <f>HYPERLINK("CSG0.html#group11A0", "11A⁰"), =HYPERLINK("CSG0.html#group3B0", "3B⁰"), =HYPERLINK("CSG0.html#group2A0", "2A⁰"), =HYPERLINK("CSG1.html#group22A1", "22A¹"), =HYPERLINK("CSG3.html#group33B3", "33B³"), =HYPERLINK("CSG0.html#group18B0", "18B⁰"), =HYPERLINK("CSG9.html#group99B9", "99B⁹"), =HYPERLINK("CSG0.html#group6C0", "6C⁰"), =HYPERLINK("CSG6.html#group66E6", "66E⁶"), =HYPERLINK("CSG0.html#group9C0", "9C⁰"), =HYPERLINK("CSG0.html#group1A0", "1A⁰")</f>
        <v/>
      </c>
      <c r="N5476" t="inlineStr"/>
    </row>
    <row r="5477">
      <c r="A5477" t="inlineStr">
        <is>
          <t>207A¹⁸</t>
        </is>
      </c>
      <c r="B5477" t="inlineStr"/>
      <c r="C5477" t="inlineStr">
        <is>
          <t>216</t>
        </is>
      </c>
      <c r="D5477" t="inlineStr">
        <is>
          <t>1</t>
        </is>
      </c>
      <c r="E5477" t="inlineStr">
        <is>
          <t>216</t>
        </is>
      </c>
      <c r="F5477" t="inlineStr">
        <is>
          <t>0</t>
        </is>
      </c>
      <c r="G5477" t="inlineStr">
        <is>
          <t>0</t>
        </is>
      </c>
      <c r="H5477" t="inlineStr">
        <is>
          <t>9¹, 207¹</t>
        </is>
      </c>
      <c r="I5477" t="n">
        <v>2</v>
      </c>
      <c r="J5477" t="inlineStr">
        <is>
          <t>1², 2², 6², 22¹, 44¹, 132¹</t>
        </is>
      </c>
      <c r="K5477">
        <f>HYPERLINK("CSG0.html#group9A0", "9A⁰"), =HYPERLINK("CSG6.html#group69A6", "69A⁶")</f>
        <v/>
      </c>
      <c r="L5477" t="inlineStr"/>
      <c r="M5477">
        <f>HYPERLINK("CSG2.html#group23A2", "23A²"), =HYPERLINK("CSG6.html#group69A6", "69A⁶"), =HYPERLINK("CSG0.html#group3A0", "3A⁰"), =HYPERLINK("CSG0.html#group1A0", "1A⁰"), =HYPERLINK("CSG0.html#group9A0", "9A⁰")</f>
        <v/>
      </c>
      <c r="N5477" t="inlineStr"/>
    </row>
    <row r="5478">
      <c r="A5478" t="inlineStr">
        <is>
          <t>210A¹⁸</t>
        </is>
      </c>
      <c r="B5478" t="inlineStr"/>
      <c r="C5478" t="inlineStr">
        <is>
          <t>210</t>
        </is>
      </c>
      <c r="D5478" t="inlineStr">
        <is>
          <t>2</t>
        </is>
      </c>
      <c r="E5478" t="inlineStr">
        <is>
          <t>35</t>
        </is>
      </c>
      <c r="F5478" t="inlineStr">
        <is>
          <t>0</t>
        </is>
      </c>
      <c r="G5478" t="inlineStr">
        <is>
          <t>0</t>
        </is>
      </c>
      <c r="H5478" t="inlineStr">
        <is>
          <t>210¹</t>
        </is>
      </c>
      <c r="I5478" t="n">
        <v>1</v>
      </c>
      <c r="J5478" t="inlineStr">
        <is>
          <t>2¹, 6², 8¹, 24²</t>
        </is>
      </c>
      <c r="K5478">
        <f>HYPERLINK("CSG3.html#group30A3", "30A³"), =HYPERLINK("CSG4.html#group42A4", "42A⁴"), =HYPERLINK("CSG5.html#group70A5", "70A⁵"), =HYPERLINK("CSG7.html#group105A7", "105A⁷")</f>
        <v/>
      </c>
      <c r="L5478" t="inlineStr"/>
      <c r="M5478">
        <f>HYPERLINK("CSG0.html#group2A0", "2A⁰"), =HYPERLINK("CSG3.html#group30A3", "30A³"), =HYPERLINK("CSG0.html#group5A0", "5A⁰"), =HYPERLINK("CSG1.html#group14A1", "14A¹"), =HYPERLINK("CSG0.html#group21A0", "21A⁰"), =HYPERLINK("CSG4.html#group42A4", "42A⁴"), =HYPERLINK("CSG0.html#group1A0", "1A⁰"), =HYPERLINK("CSG2.html#group35A2", "35A²"), =HYPERLINK("CSG7.html#group105A7", "105A⁷"), =HYPERLINK("CSG0.html#group10A0", "10A⁰"), =HYPERLINK("CSG5.html#group70A5", "70A⁵"), =HYPERLINK("CSG1.html#group6A1", "6A¹"), =HYPERLINK("CSG0.html#group3A0", "3A⁰"), =HYPERLINK("CSG1.html#group15A1", "15A¹"), =HYPERLINK("CSG0.html#group7A0", "7A⁰")</f>
        <v/>
      </c>
      <c r="N5478" t="inlineStr"/>
    </row>
    <row r="5479">
      <c r="A5479" t="inlineStr">
        <is>
          <t>210B¹⁸</t>
        </is>
      </c>
      <c r="B5479" t="inlineStr"/>
      <c r="C5479" t="inlineStr">
        <is>
          <t>240</t>
        </is>
      </c>
      <c r="D5479" t="inlineStr">
        <is>
          <t>2</t>
        </is>
      </c>
      <c r="E5479" t="inlineStr">
        <is>
          <t>40</t>
        </is>
      </c>
      <c r="F5479" t="inlineStr">
        <is>
          <t>0</t>
        </is>
      </c>
      <c r="G5479" t="inlineStr">
        <is>
          <t>6</t>
        </is>
      </c>
      <c r="H5479" t="inlineStr">
        <is>
          <t>30¹, 210¹</t>
        </is>
      </c>
      <c r="I5479" t="n">
        <v>2</v>
      </c>
      <c r="J5479" t="inlineStr">
        <is>
          <t>4², 8⁴, 24¹, 48²</t>
        </is>
      </c>
      <c r="K5479">
        <f>HYPERLINK("CSG4.html#group70B4", "70B⁴"), =HYPERLINK("CSG9.html#group105A9", "105A⁹")</f>
        <v/>
      </c>
      <c r="L5479" t="inlineStr"/>
      <c r="M5479">
        <f>HYPERLINK("CSG0.html#group2A0", "2A⁰"), =HYPERLINK("CSG0.html#group5A0", "5A⁰"), =HYPERLINK("CSG0.html#group10A0", "10A⁰"), =HYPERLINK("CSG4.html#group70B4", "70B⁴"), =HYPERLINK("CSG0.html#group7B0", "7B⁰"), =HYPERLINK("CSG0.html#group14B0", "14B⁰"), =HYPERLINK("CSG9.html#group105A9", "105A⁹"), =HYPERLINK("CSG2.html#group35B2", "35B²"), =HYPERLINK("CSG0.html#group1A0", "1A⁰")</f>
        <v/>
      </c>
      <c r="N5479" t="inlineStr"/>
    </row>
    <row r="5480">
      <c r="A5480" t="inlineStr">
        <is>
          <t>210C¹⁸</t>
        </is>
      </c>
      <c r="B5480" t="inlineStr"/>
      <c r="C5480" t="inlineStr">
        <is>
          <t>240</t>
        </is>
      </c>
      <c r="D5480" t="inlineStr">
        <is>
          <t>2</t>
        </is>
      </c>
      <c r="E5480" t="inlineStr">
        <is>
          <t>40</t>
        </is>
      </c>
      <c r="F5480" t="inlineStr">
        <is>
          <t>0</t>
        </is>
      </c>
      <c r="G5480" t="inlineStr">
        <is>
          <t>6</t>
        </is>
      </c>
      <c r="H5480" t="inlineStr">
        <is>
          <t>30¹, 210¹</t>
        </is>
      </c>
      <c r="I5480" t="n">
        <v>2</v>
      </c>
      <c r="J5480" t="inlineStr">
        <is>
          <t>4², 8⁴, 24¹, 48²</t>
        </is>
      </c>
      <c r="K5480">
        <f>HYPERLINK("CSG4.html#group70B4", "70B⁴"), =HYPERLINK("CSG9.html#group105B9", "105B⁹")</f>
        <v/>
      </c>
      <c r="L5480" t="inlineStr"/>
      <c r="M5480">
        <f>HYPERLINK("CSG9.html#group105B9", "105B⁹"), =HYPERLINK("CSG0.html#group2A0", "2A⁰"), =HYPERLINK("CSG0.html#group5A0", "5A⁰"), =HYPERLINK("CSG0.html#group10A0", "10A⁰"), =HYPERLINK("CSG4.html#group70B4", "70B⁴"), =HYPERLINK("CSG0.html#group7B0", "7B⁰"), =HYPERLINK("CSG0.html#group14B0", "14B⁰"), =HYPERLINK("CSG2.html#group35B2", "35B²"), =HYPERLINK("CSG0.html#group1A0", "1A⁰")</f>
        <v/>
      </c>
      <c r="N5480" t="inlineStr"/>
    </row>
    <row r="5481">
      <c r="A5481" t="inlineStr">
        <is>
          <t>210D¹⁸</t>
        </is>
      </c>
      <c r="B5481" t="inlineStr"/>
      <c r="C5481" t="inlineStr">
        <is>
          <t>240</t>
        </is>
      </c>
      <c r="D5481" t="inlineStr">
        <is>
          <t>2</t>
        </is>
      </c>
      <c r="E5481" t="inlineStr">
        <is>
          <t>80</t>
        </is>
      </c>
      <c r="F5481" t="inlineStr">
        <is>
          <t>0</t>
        </is>
      </c>
      <c r="G5481" t="inlineStr">
        <is>
          <t>6</t>
        </is>
      </c>
      <c r="H5481" t="inlineStr">
        <is>
          <t>30¹, 210¹</t>
        </is>
      </c>
      <c r="I5481" t="n">
        <v>2</v>
      </c>
      <c r="J5481" t="inlineStr">
        <is>
          <t>4², 8⁴, 24¹, 48²</t>
        </is>
      </c>
      <c r="K5481">
        <f>HYPERLINK("CSG2.html#group30B2", "30B²"), =HYPERLINK("CSG4.html#group70B4", "70B⁴")</f>
        <v/>
      </c>
      <c r="L5481" t="inlineStr"/>
      <c r="M5481">
        <f>HYPERLINK("CSG0.html#group2A0", "2A⁰"), =HYPERLINK("CSG2.html#group30B2", "30B²"), =HYPERLINK("CSG0.html#group5A0", "5A⁰"), =HYPERLINK("CSG0.html#group10A0", "10A⁰"), =HYPERLINK("CSG4.html#group70B4", "70B⁴"), =HYPERLINK("CSG0.html#group7B0", "7B⁰"), =HYPERLINK("CSG0.html#group14B0", "14B⁰"), =HYPERLINK("CSG2.html#group35B2", "35B²"), =HYPERLINK("CSG0.html#group1A0", "1A⁰")</f>
        <v/>
      </c>
      <c r="N5481" t="inlineStr"/>
    </row>
    <row r="5482">
      <c r="A5482" t="inlineStr">
        <is>
          <t>210E¹⁸</t>
        </is>
      </c>
      <c r="B5482" t="inlineStr"/>
      <c r="C5482" t="inlineStr">
        <is>
          <t>240</t>
        </is>
      </c>
      <c r="D5482" t="inlineStr">
        <is>
          <t>2</t>
        </is>
      </c>
      <c r="E5482" t="inlineStr">
        <is>
          <t>80</t>
        </is>
      </c>
      <c r="F5482" t="inlineStr">
        <is>
          <t>0</t>
        </is>
      </c>
      <c r="G5482" t="inlineStr">
        <is>
          <t>6</t>
        </is>
      </c>
      <c r="H5482" t="inlineStr">
        <is>
          <t>30¹, 210¹</t>
        </is>
      </c>
      <c r="I5482" t="n">
        <v>2</v>
      </c>
      <c r="J5482" t="inlineStr">
        <is>
          <t>2⁴, 8⁴, 12², 48²</t>
        </is>
      </c>
      <c r="K5482">
        <f>HYPERLINK("CSG3.html#group42B3", "42B³"), =HYPERLINK("CSG4.html#group70B4", "70B⁴")</f>
        <v/>
      </c>
      <c r="L5482" t="inlineStr"/>
      <c r="M5482">
        <f>HYPERLINK("CSG0.html#group2A0", "2A⁰"), =HYPERLINK("CSG0.html#group5A0", "5A⁰"), =HYPERLINK("CSG0.html#group10A0", "10A⁰"), =HYPERLINK("CSG4.html#group70B4", "70B⁴"), =HYPERLINK("CSG0.html#group7B0", "7B⁰"), =HYPERLINK("CSG0.html#group14B0", "14B⁰"), =HYPERLINK("CSG2.html#group35B2", "35B²"), =HYPERLINK("CSG0.html#group1A0", "1A⁰"), =HYPERLINK("CSG3.html#group42B3", "42B³")</f>
        <v/>
      </c>
      <c r="N5482" t="inlineStr"/>
    </row>
    <row r="5483">
      <c r="A5483" t="inlineStr">
        <is>
          <t>210F¹⁸</t>
        </is>
      </c>
      <c r="B5483" t="inlineStr"/>
      <c r="C5483" t="inlineStr">
        <is>
          <t>252</t>
        </is>
      </c>
      <c r="D5483" t="inlineStr">
        <is>
          <t>2</t>
        </is>
      </c>
      <c r="E5483" t="inlineStr">
        <is>
          <t>42</t>
        </is>
      </c>
      <c r="F5483" t="inlineStr">
        <is>
          <t>12</t>
        </is>
      </c>
      <c r="G5483" t="inlineStr">
        <is>
          <t>0</t>
        </is>
      </c>
      <c r="H5483" t="inlineStr">
        <is>
          <t>42¹, 210¹</t>
        </is>
      </c>
      <c r="I5483" t="n">
        <v>2</v>
      </c>
      <c r="J5483" t="inlineStr">
        <is>
          <t>2², 6⁴, 8¹, 24²</t>
        </is>
      </c>
      <c r="K5483">
        <f>HYPERLINK("CSG6.html#group70A6", "70A⁶"), =HYPERLINK("CSG6.html#group105C6", "105C⁶")</f>
        <v/>
      </c>
      <c r="L5483" t="inlineStr"/>
      <c r="M5483">
        <f>HYPERLINK("CSG2.html#group35C2", "35C²"), =HYPERLINK("CSG0.html#group15B0", "15B⁰"), =HYPERLINK("CSG6.html#group105C6", "105C⁶"), =HYPERLINK("CSG0.html#group5B0", "5B⁰"), =HYPERLINK("CSG0.html#group21A0", "21A⁰"), =HYPERLINK("CSG0.html#group3A0", "3A⁰"), =HYPERLINK("CSG0.html#group1A0", "1A⁰"), =HYPERLINK("CSG6.html#group70A6", "70A⁶"), =HYPERLINK("CSG0.html#group7A0", "7A⁰")</f>
        <v/>
      </c>
      <c r="N5483" t="inlineStr"/>
    </row>
    <row r="5484">
      <c r="A5484" t="inlineStr">
        <is>
          <t>210G¹⁸</t>
        </is>
      </c>
      <c r="B5484" t="inlineStr"/>
      <c r="C5484" t="inlineStr">
        <is>
          <t>252</t>
        </is>
      </c>
      <c r="D5484" t="inlineStr">
        <is>
          <t>2</t>
        </is>
      </c>
      <c r="E5484" t="inlineStr">
        <is>
          <t>126</t>
        </is>
      </c>
      <c r="F5484" t="inlineStr">
        <is>
          <t>12</t>
        </is>
      </c>
      <c r="G5484" t="inlineStr">
        <is>
          <t>0</t>
        </is>
      </c>
      <c r="H5484" t="inlineStr">
        <is>
          <t>42¹, 210¹</t>
        </is>
      </c>
      <c r="I5484" t="n">
        <v>2</v>
      </c>
      <c r="J5484" t="inlineStr">
        <is>
          <t>2², 4², 6⁴, 8¹, 12⁴, 16¹, 24², 48²</t>
        </is>
      </c>
      <c r="K5484">
        <f>HYPERLINK("CSG2.html#group30C2", "30C²"), =HYPERLINK("CSG6.html#group105C6", "105C⁶")</f>
        <v/>
      </c>
      <c r="L5484" t="inlineStr"/>
      <c r="M5484">
        <f>HYPERLINK("CSG2.html#group35C2", "35C²"), =HYPERLINK("CSG0.html#group15B0", "15B⁰"), =HYPERLINK("CSG6.html#group105C6", "105C⁶"), =HYPERLINK("CSG0.html#group5B0", "5B⁰"), =HYPERLINK("CSG0.html#group21A0", "21A⁰"), =HYPERLINK("CSG0.html#group3A0", "3A⁰"), =HYPERLINK("CSG0.html#group1A0", "1A⁰"), =HYPERLINK("CSG0.html#group7A0", "7A⁰"), =HYPERLINK("CSG2.html#group30C2", "30C²")</f>
        <v/>
      </c>
      <c r="N5484" t="inlineStr"/>
    </row>
    <row r="5485">
      <c r="A5485" t="inlineStr">
        <is>
          <t>213A¹⁸</t>
        </is>
      </c>
      <c r="B5485" t="inlineStr"/>
      <c r="C5485" t="inlineStr">
        <is>
          <t>216</t>
        </is>
      </c>
      <c r="D5485" t="inlineStr">
        <is>
          <t>1</t>
        </is>
      </c>
      <c r="E5485" t="inlineStr">
        <is>
          <t>72</t>
        </is>
      </c>
      <c r="F5485" t="inlineStr">
        <is>
          <t>0</t>
        </is>
      </c>
      <c r="G5485" t="inlineStr">
        <is>
          <t>0</t>
        </is>
      </c>
      <c r="H5485" t="inlineStr">
        <is>
          <t>3¹, 213¹</t>
        </is>
      </c>
      <c r="I5485" t="n">
        <v>2</v>
      </c>
      <c r="J5485" t="inlineStr">
        <is>
          <t>1², 70¹</t>
        </is>
      </c>
      <c r="K5485">
        <f>HYPERLINK("CSG0.html#group3A0", "3A⁰"), =HYPERLINK("CSG6.html#group71A6", "71A⁶")</f>
        <v/>
      </c>
      <c r="L5485" t="inlineStr"/>
      <c r="M5485">
        <f>HYPERLINK("CSG0.html#group3A0", "3A⁰"), =HYPERLINK("CSG0.html#group1A0", "1A⁰"), =HYPERLINK("CSG6.html#group71A6", "71A⁶")</f>
        <v/>
      </c>
      <c r="N5485" t="inlineStr"/>
    </row>
    <row r="5486">
      <c r="A5486" t="inlineStr">
        <is>
          <t>214A¹⁸</t>
        </is>
      </c>
      <c r="B5486" t="inlineStr"/>
      <c r="C5486" t="inlineStr">
        <is>
          <t>216</t>
        </is>
      </c>
      <c r="D5486" t="inlineStr">
        <is>
          <t>1</t>
        </is>
      </c>
      <c r="E5486" t="inlineStr">
        <is>
          <t>108</t>
        </is>
      </c>
      <c r="F5486" t="inlineStr">
        <is>
          <t>0</t>
        </is>
      </c>
      <c r="G5486" t="inlineStr">
        <is>
          <t>0</t>
        </is>
      </c>
      <c r="H5486" t="inlineStr">
        <is>
          <t>2¹, 214¹</t>
        </is>
      </c>
      <c r="I5486" t="n">
        <v>2</v>
      </c>
      <c r="J5486" t="inlineStr">
        <is>
          <t>1², 106¹</t>
        </is>
      </c>
      <c r="K5486">
        <f>HYPERLINK("CSG0.html#group2A0", "2A⁰"), =HYPERLINK("CSG9.html#group107A9", "107A⁹")</f>
        <v/>
      </c>
      <c r="L5486" t="inlineStr"/>
      <c r="M5486">
        <f>HYPERLINK("CSG0.html#group2A0", "2A⁰"), =HYPERLINK("CSG0.html#group1A0", "1A⁰"), =HYPERLINK("CSG9.html#group107A9", "107A⁹")</f>
        <v/>
      </c>
      <c r="N5486" t="inlineStr"/>
    </row>
    <row r="5487">
      <c r="A5487" t="inlineStr">
        <is>
          <t>217A¹⁸</t>
        </is>
      </c>
      <c r="B5487" t="inlineStr"/>
      <c r="C5487" t="inlineStr">
        <is>
          <t>224</t>
        </is>
      </c>
      <c r="D5487" t="inlineStr">
        <is>
          <t>2</t>
        </is>
      </c>
      <c r="E5487" t="inlineStr">
        <is>
          <t>224</t>
        </is>
      </c>
      <c r="F5487" t="inlineStr">
        <is>
          <t>0</t>
        </is>
      </c>
      <c r="G5487" t="inlineStr">
        <is>
          <t>2</t>
        </is>
      </c>
      <c r="H5487" t="inlineStr">
        <is>
          <t>7¹, 217¹</t>
        </is>
      </c>
      <c r="I5487" t="n">
        <v>2</v>
      </c>
      <c r="J5487" t="inlineStr">
        <is>
          <t>2², 6⁴, 60¹, 180²</t>
        </is>
      </c>
      <c r="K5487">
        <f>HYPERLINK("CSG0.html#group7A0", "7A⁰"), =HYPERLINK("CSG2.html#group31A2", "31A²")</f>
        <v/>
      </c>
      <c r="L5487" t="inlineStr"/>
      <c r="M5487">
        <f>HYPERLINK("CSG2.html#group31A2", "31A²"), =HYPERLINK("CSG0.html#group1A0", "1A⁰"), =HYPERLINK("CSG0.html#group7A0", "7A⁰")</f>
        <v/>
      </c>
      <c r="N5487" t="inlineStr"/>
    </row>
    <row r="5488">
      <c r="A5488" t="inlineStr">
        <is>
          <t>222A¹⁸</t>
        </is>
      </c>
      <c r="B5488" t="inlineStr"/>
      <c r="C5488" t="inlineStr">
        <is>
          <t>228</t>
        </is>
      </c>
      <c r="D5488" t="inlineStr">
        <is>
          <t>1</t>
        </is>
      </c>
      <c r="E5488" t="inlineStr">
        <is>
          <t>114</t>
        </is>
      </c>
      <c r="F5488" t="inlineStr">
        <is>
          <t>4</t>
        </is>
      </c>
      <c r="G5488" t="inlineStr">
        <is>
          <t>0</t>
        </is>
      </c>
      <c r="H5488" t="inlineStr">
        <is>
          <t>6¹, 222¹</t>
        </is>
      </c>
      <c r="I5488" t="n">
        <v>2</v>
      </c>
      <c r="J5488" t="inlineStr">
        <is>
          <t>1², 2², 36¹, 72¹</t>
        </is>
      </c>
      <c r="K5488">
        <f>HYPERLINK("CSG8.html#group111A8", "111A⁸")</f>
        <v/>
      </c>
      <c r="L5488" t="inlineStr"/>
      <c r="M5488">
        <f>HYPERLINK("CSG0.html#group3A0", "3A⁰"), =HYPERLINK("CSG0.html#group1A0", "1A⁰"), =HYPERLINK("CSG8.html#group111A8", "111A⁸"), =HYPERLINK("CSG2.html#group37A2", "37A²")</f>
        <v/>
      </c>
      <c r="N5488" t="inlineStr"/>
    </row>
    <row r="5489">
      <c r="A5489" t="inlineStr">
        <is>
          <t>223A¹⁸</t>
        </is>
      </c>
      <c r="B5489" t="inlineStr">
        <is>
          <t>Γ₀(223)</t>
        </is>
      </c>
      <c r="C5489" t="inlineStr">
        <is>
          <t>224</t>
        </is>
      </c>
      <c r="D5489" t="inlineStr">
        <is>
          <t>1</t>
        </is>
      </c>
      <c r="E5489" t="inlineStr">
        <is>
          <t>224</t>
        </is>
      </c>
      <c r="F5489" t="inlineStr">
        <is>
          <t>0</t>
        </is>
      </c>
      <c r="G5489" t="inlineStr">
        <is>
          <t>2</t>
        </is>
      </c>
      <c r="H5489" t="inlineStr">
        <is>
          <t>1¹, 223¹</t>
        </is>
      </c>
      <c r="I5489" t="n">
        <v>2</v>
      </c>
      <c r="J5489" t="inlineStr">
        <is>
          <t>1², 222¹</t>
        </is>
      </c>
      <c r="K5489">
        <f>HYPERLINK("CSG0.html#group1A0", "1A⁰")</f>
        <v/>
      </c>
      <c r="L5489" t="inlineStr"/>
      <c r="M5489">
        <f>HYPERLINK("CSG0.html#group1A0", "1A⁰")</f>
        <v/>
      </c>
      <c r="N5489" t="inlineStr"/>
    </row>
    <row r="5490">
      <c r="A5490" t="inlineStr">
        <is>
          <t>225A¹⁸</t>
        </is>
      </c>
      <c r="B5490" t="inlineStr"/>
      <c r="C5490" t="inlineStr">
        <is>
          <t>270</t>
        </is>
      </c>
      <c r="D5490" t="inlineStr">
        <is>
          <t>1</t>
        </is>
      </c>
      <c r="E5490" t="inlineStr">
        <is>
          <t>270</t>
        </is>
      </c>
      <c r="F5490" t="inlineStr">
        <is>
          <t>10</t>
        </is>
      </c>
      <c r="G5490" t="inlineStr">
        <is>
          <t>0</t>
        </is>
      </c>
      <c r="H5490" t="inlineStr">
        <is>
          <t>9⁵, 225¹</t>
        </is>
      </c>
      <c r="I5490" t="n">
        <v>6</v>
      </c>
      <c r="J5490" t="inlineStr">
        <is>
          <t>1², 2², 4², 6², 8², 20¹, 24², 40¹, 120¹</t>
        </is>
      </c>
      <c r="K5490">
        <f>HYPERLINK("CSG2.html#group45A2", "45A²"), =HYPERLINK("CSG4.html#group75A4", "75A⁴")</f>
        <v/>
      </c>
      <c r="L5490" t="inlineStr"/>
      <c r="M5490">
        <f>HYPERLINK("CSG2.html#group45A2", "45A²"), =HYPERLINK("CSG0.html#group15B0", "15B⁰"), =HYPERLINK("CSG0.html#group9A0", "9A⁰"), =HYPERLINK("CSG0.html#group5B0", "5B⁰"), =HYPERLINK("CSG0.html#group25A0", "25A⁰"), =HYPERLINK("CSG4.html#group75A4", "75A⁴"), =HYPERLINK("CSG0.html#group3A0", "3A⁰"), =HYPERLINK("CSG0.html#group1A0", "1A⁰")</f>
        <v/>
      </c>
      <c r="N5490" t="inlineStr"/>
    </row>
    <row r="5491">
      <c r="A5491" t="inlineStr">
        <is>
          <t>229A¹⁸</t>
        </is>
      </c>
      <c r="B5491" t="inlineStr">
        <is>
          <t>Γ₀(229)</t>
        </is>
      </c>
      <c r="C5491" t="inlineStr">
        <is>
          <t>230</t>
        </is>
      </c>
      <c r="D5491" t="inlineStr">
        <is>
          <t>1</t>
        </is>
      </c>
      <c r="E5491" t="inlineStr">
        <is>
          <t>230</t>
        </is>
      </c>
      <c r="F5491" t="inlineStr">
        <is>
          <t>2</t>
        </is>
      </c>
      <c r="G5491" t="inlineStr">
        <is>
          <t>2</t>
        </is>
      </c>
      <c r="H5491" t="inlineStr">
        <is>
          <t>1¹, 229¹</t>
        </is>
      </c>
      <c r="I5491" t="n">
        <v>2</v>
      </c>
      <c r="J5491" t="inlineStr">
        <is>
          <t>1², 228¹</t>
        </is>
      </c>
      <c r="K5491">
        <f>HYPERLINK("CSG0.html#group1A0", "1A⁰")</f>
        <v/>
      </c>
      <c r="L5491" t="inlineStr"/>
      <c r="M5491">
        <f>HYPERLINK("CSG0.html#group1A0", "1A⁰")</f>
        <v/>
      </c>
      <c r="N5491" t="inlineStr"/>
    </row>
    <row r="5492">
      <c r="A5492" t="inlineStr">
        <is>
          <t>234A¹⁸</t>
        </is>
      </c>
      <c r="B5492" t="inlineStr"/>
      <c r="C5492" t="inlineStr">
        <is>
          <t>252</t>
        </is>
      </c>
      <c r="D5492" t="inlineStr">
        <is>
          <t>1</t>
        </is>
      </c>
      <c r="E5492" t="inlineStr">
        <is>
          <t>126</t>
        </is>
      </c>
      <c r="F5492" t="inlineStr">
        <is>
          <t>12</t>
        </is>
      </c>
      <c r="G5492" t="inlineStr">
        <is>
          <t>0</t>
        </is>
      </c>
      <c r="H5492" t="inlineStr">
        <is>
          <t>18¹, 234¹</t>
        </is>
      </c>
      <c r="I5492" t="n">
        <v>2</v>
      </c>
      <c r="J5492" t="inlineStr">
        <is>
          <t>1², 2², 6², 12¹, 24¹, 72¹</t>
        </is>
      </c>
      <c r="K5492">
        <f>HYPERLINK("CSG6.html#group78A6", "78A⁶"), =HYPERLINK("CSG8.html#group117A8", "117A⁸")</f>
        <v/>
      </c>
      <c r="L5492" t="inlineStr"/>
      <c r="M5492">
        <f>HYPERLINK("CSG8.html#group117A8", "117A⁸"), =HYPERLINK("CSG0.html#group13A0", "13A⁰"), =HYPERLINK("CSG2.html#group39A2", "39A²"), =HYPERLINK("CSG6.html#group78A6", "78A⁶"), =HYPERLINK("CSG0.html#group3A0", "3A⁰"), =HYPERLINK("CSG0.html#group1A0", "1A⁰"), =HYPERLINK("CSG0.html#group9A0", "9A⁰")</f>
        <v/>
      </c>
      <c r="N5492" t="inlineStr"/>
    </row>
    <row r="5493">
      <c r="A5493" t="inlineStr">
        <is>
          <t>250A¹⁸</t>
        </is>
      </c>
      <c r="B5493" t="inlineStr"/>
      <c r="C5493" t="inlineStr">
        <is>
          <t>300</t>
        </is>
      </c>
      <c r="D5493" t="inlineStr">
        <is>
          <t>1</t>
        </is>
      </c>
      <c r="E5493" t="inlineStr">
        <is>
          <t>150</t>
        </is>
      </c>
      <c r="F5493" t="inlineStr">
        <is>
          <t>4</t>
        </is>
      </c>
      <c r="G5493" t="inlineStr">
        <is>
          <t>0</t>
        </is>
      </c>
      <c r="H5493" t="inlineStr">
        <is>
          <t>2¹⁰, 10³, 250¹</t>
        </is>
      </c>
      <c r="I5493" t="n">
        <v>14</v>
      </c>
      <c r="J5493" t="inlineStr">
        <is>
          <t>2², 4⁴, 20⁴, 100²</t>
        </is>
      </c>
      <c r="K5493">
        <f>HYPERLINK("CSG2.html#group50A2", "50A²"), =HYPERLINK("CSG6.html#group125A6", "125A⁶")</f>
        <v/>
      </c>
      <c r="L5493" t="inlineStr"/>
      <c r="M5493">
        <f>HYPERLINK("CSG0.html#group25A0", "25A⁰"), =HYPERLINK("CSG0.html#group5B0", "5B⁰"), =HYPERLINK("CSG0.html#group1A0", "1A⁰"), =HYPERLINK("CSG6.html#group125A6", "125A⁶"), =HYPERLINK("CSG2.html#group50A2", "50A²"), =HYPERLINK("CSG0.html#group10B0", "10B⁰")</f>
        <v/>
      </c>
      <c r="N5493" t="inlineStr"/>
    </row>
    <row r="5494">
      <c r="A5494" t="inlineStr">
        <is>
          <t>250B¹⁸</t>
        </is>
      </c>
      <c r="B5494" t="inlineStr"/>
      <c r="C5494" t="inlineStr">
        <is>
          <t>300</t>
        </is>
      </c>
      <c r="D5494" t="inlineStr">
        <is>
          <t>1</t>
        </is>
      </c>
      <c r="E5494" t="inlineStr">
        <is>
          <t>150</t>
        </is>
      </c>
      <c r="F5494" t="inlineStr">
        <is>
          <t>4</t>
        </is>
      </c>
      <c r="G5494" t="inlineStr">
        <is>
          <t>0</t>
        </is>
      </c>
      <c r="H5494" t="inlineStr">
        <is>
          <t>2¹⁰, 10³, 250¹</t>
        </is>
      </c>
      <c r="I5494" t="n">
        <v>14</v>
      </c>
      <c r="J5494" t="inlineStr">
        <is>
          <t>2², 4⁴, 20⁴, 100²</t>
        </is>
      </c>
      <c r="K5494">
        <f>HYPERLINK("CSG2.html#group50A2", "50A²"), =HYPERLINK("CSG6.html#group125B6", "125B⁶")</f>
        <v/>
      </c>
      <c r="L5494" t="inlineStr"/>
      <c r="M5494">
        <f>HYPERLINK("CSG0.html#group25A0", "25A⁰"), =HYPERLINK("CSG0.html#group5B0", "5B⁰"), =HYPERLINK("CSG6.html#group125B6", "125B⁶"), =HYPERLINK("CSG0.html#group1A0", "1A⁰"), =HYPERLINK("CSG2.html#group50A2", "50A²"), =HYPERLINK("CSG0.html#group10B0", "10B⁰")</f>
        <v/>
      </c>
      <c r="N5494" t="inlineStr"/>
    </row>
    <row r="5495">
      <c r="A5495" t="inlineStr">
        <is>
          <t>264A¹⁸</t>
        </is>
      </c>
      <c r="B5495" t="inlineStr"/>
      <c r="C5495" t="inlineStr">
        <is>
          <t>264</t>
        </is>
      </c>
      <c r="D5495" t="inlineStr">
        <is>
          <t>2</t>
        </is>
      </c>
      <c r="E5495" t="inlineStr">
        <is>
          <t>44</t>
        </is>
      </c>
      <c r="F5495" t="inlineStr">
        <is>
          <t>18</t>
        </is>
      </c>
      <c r="G5495" t="inlineStr">
        <is>
          <t>0</t>
        </is>
      </c>
      <c r="H5495" t="inlineStr">
        <is>
          <t>264¹</t>
        </is>
      </c>
      <c r="I5495" t="n">
        <v>1</v>
      </c>
      <c r="J5495" t="inlineStr">
        <is>
          <t>8², 40⁴</t>
        </is>
      </c>
      <c r="K5495">
        <f>HYPERLINK("CSG1.html#group24A1", "24A¹"), =HYPERLINK("CSG5.html#group88A5", "88A⁵"), =HYPERLINK("CSG7.html#group132A7", "132A⁷")</f>
        <v/>
      </c>
      <c r="L5495" t="inlineStr"/>
      <c r="M5495">
        <f>HYPERLINK("CSG0.html#group11A0", "11A⁰"), =HYPERLINK("CSG7.html#group132A7", "132A⁷"), =HYPERLINK("CSG0.html#group12A0", "12A⁰"), =HYPERLINK("CSG1.html#group24A1", "24A¹"), =HYPERLINK("CSG2.html#group44A2", "44A²"), =HYPERLINK("CSG0.html#group4A0", "4A⁰"), =HYPERLINK("CSG1.html#group33A1", "33A¹"), =HYPERLINK("CSG0.html#group8A0", "8A⁰"), =HYPERLINK("CSG5.html#group88A5", "88A⁵"), =HYPERLINK("CSG0.html#group3A0", "3A⁰"), =HYPERLINK("CSG0.html#group1A0", "1A⁰")</f>
        <v/>
      </c>
      <c r="N5495" t="inlineStr"/>
    </row>
    <row r="5496">
      <c r="A5496" t="inlineStr">
        <is>
          <t>264B¹⁸</t>
        </is>
      </c>
      <c r="B5496" t="inlineStr"/>
      <c r="C5496" t="inlineStr">
        <is>
          <t>264</t>
        </is>
      </c>
      <c r="D5496" t="inlineStr">
        <is>
          <t>2</t>
        </is>
      </c>
      <c r="E5496" t="inlineStr">
        <is>
          <t>44</t>
        </is>
      </c>
      <c r="F5496" t="inlineStr">
        <is>
          <t>18</t>
        </is>
      </c>
      <c r="G5496" t="inlineStr">
        <is>
          <t>0</t>
        </is>
      </c>
      <c r="H5496" t="inlineStr">
        <is>
          <t>264¹</t>
        </is>
      </c>
      <c r="I5496" t="n">
        <v>1</v>
      </c>
      <c r="J5496" t="inlineStr">
        <is>
          <t>8², 40⁴</t>
        </is>
      </c>
      <c r="K5496">
        <f>HYPERLINK("CSG1.html#group24A1", "24A¹"), =HYPERLINK("CSG5.html#group88B5", "88B⁵"), =HYPERLINK("CSG7.html#group132A7", "132A⁷")</f>
        <v/>
      </c>
      <c r="L5496" t="inlineStr"/>
      <c r="M5496">
        <f>HYPERLINK("CSG0.html#group11A0", "11A⁰"), =HYPERLINK("CSG7.html#group132A7", "132A⁷"), =HYPERLINK("CSG0.html#group12A0", "12A⁰"), =HYPERLINK("CSG1.html#group24A1", "24A¹"), =HYPERLINK("CSG2.html#group44A2", "44A²"), =HYPERLINK("CSG0.html#group4A0", "4A⁰"), =HYPERLINK("CSG1.html#group33A1", "33A¹"), =HYPERLINK("CSG0.html#group8A0", "8A⁰"), =HYPERLINK("CSG5.html#group88B5", "88B⁵"), =HYPERLINK("CSG0.html#group3A0", "3A⁰"), =HYPERLINK("CSG0.html#group1A0", "1A⁰")</f>
        <v/>
      </c>
      <c r="N5496" t="inlineStr"/>
    </row>
    <row r="5497">
      <c r="A5497" t="inlineStr">
        <is>
          <t>264C¹⁸</t>
        </is>
      </c>
      <c r="B5497" t="inlineStr"/>
      <c r="C5497" t="inlineStr">
        <is>
          <t>264</t>
        </is>
      </c>
      <c r="D5497" t="inlineStr">
        <is>
          <t>2</t>
        </is>
      </c>
      <c r="E5497" t="inlineStr">
        <is>
          <t>132</t>
        </is>
      </c>
      <c r="F5497" t="inlineStr">
        <is>
          <t>18</t>
        </is>
      </c>
      <c r="G5497" t="inlineStr">
        <is>
          <t>0</t>
        </is>
      </c>
      <c r="H5497" t="inlineStr">
        <is>
          <t>264¹</t>
        </is>
      </c>
      <c r="I5497" t="n">
        <v>1</v>
      </c>
      <c r="J5497" t="inlineStr">
        <is>
          <t>8², 16², 40⁴, 80⁴</t>
        </is>
      </c>
      <c r="K5497">
        <f>HYPERLINK("CSG1.html#group24B1", "24B¹"), =HYPERLINK("CSG7.html#group132A7", "132A⁷")</f>
        <v/>
      </c>
      <c r="L5497" t="inlineStr"/>
      <c r="M5497">
        <f>HYPERLINK("CSG0.html#group11A0", "11A⁰"), =HYPERLINK("CSG7.html#group132A7", "132A⁷"), =HYPERLINK("CSG0.html#group12A0", "12A⁰"), =HYPERLINK("CSG2.html#group44A2", "44A²"), =HYPERLINK("CSG0.html#group4A0", "4A⁰"), =HYPERLINK("CSG1.html#group33A1", "33A¹"), =HYPERLINK("CSG1.html#group24B1", "24B¹"), =HYPERLINK("CSG0.html#group3A0", "3A⁰"), =HYPERLINK("CSG0.html#group1A0", "1A⁰")</f>
        <v/>
      </c>
      <c r="N5497" t="inlineStr"/>
    </row>
    <row r="5498">
      <c r="A5498" t="inlineStr">
        <is>
          <t>264D¹⁸</t>
        </is>
      </c>
      <c r="B5498" t="inlineStr"/>
      <c r="C5498" t="inlineStr">
        <is>
          <t>264</t>
        </is>
      </c>
      <c r="D5498" t="inlineStr">
        <is>
          <t>2</t>
        </is>
      </c>
      <c r="E5498" t="inlineStr">
        <is>
          <t>132</t>
        </is>
      </c>
      <c r="F5498" t="inlineStr">
        <is>
          <t>18</t>
        </is>
      </c>
      <c r="G5498" t="inlineStr">
        <is>
          <t>0</t>
        </is>
      </c>
      <c r="H5498" t="inlineStr">
        <is>
          <t>264¹</t>
        </is>
      </c>
      <c r="I5498" t="n">
        <v>1</v>
      </c>
      <c r="J5498" t="inlineStr">
        <is>
          <t>8², 16², 40⁴, 80⁴</t>
        </is>
      </c>
      <c r="K5498">
        <f>HYPERLINK("CSG1.html#group24B1", "24B¹"), =HYPERLINK("CSG7.html#group132A7", "132A⁷")</f>
        <v/>
      </c>
      <c r="L5498" t="inlineStr"/>
      <c r="M5498">
        <f>HYPERLINK("CSG0.html#group11A0", "11A⁰"), =HYPERLINK("CSG7.html#group132A7", "132A⁷"), =HYPERLINK("CSG0.html#group12A0", "12A⁰"), =HYPERLINK("CSG2.html#group44A2", "44A²"), =HYPERLINK("CSG0.html#group4A0", "4A⁰"), =HYPERLINK("CSG1.html#group33A1", "33A¹"), =HYPERLINK("CSG1.html#group24B1", "24B¹"), =HYPERLINK("CSG0.html#group3A0", "3A⁰"), =HYPERLINK("CSG0.html#group1A0", "1A⁰")</f>
        <v/>
      </c>
      <c r="N5498" t="inlineStr"/>
    </row>
    <row r="5499">
      <c r="A5499" t="inlineStr">
        <is>
          <t>14A¹⁹</t>
        </is>
      </c>
      <c r="B5499" t="inlineStr"/>
      <c r="C5499" t="inlineStr">
        <is>
          <t>504</t>
        </is>
      </c>
      <c r="D5499" t="inlineStr">
        <is>
          <t>1</t>
        </is>
      </c>
      <c r="E5499" t="inlineStr">
        <is>
          <t>3</t>
        </is>
      </c>
      <c r="F5499" t="inlineStr">
        <is>
          <t>0</t>
        </is>
      </c>
      <c r="G5499" t="inlineStr">
        <is>
          <t>0</t>
        </is>
      </c>
      <c r="H5499" t="inlineStr">
        <is>
          <t>7²⁴, 14²⁴</t>
        </is>
      </c>
      <c r="I5499" t="n">
        <v>48</v>
      </c>
      <c r="J5499" t="inlineStr">
        <is>
          <t>1³</t>
        </is>
      </c>
      <c r="K5499">
        <f>HYPERLINK("CSG1.html#group14H1", "14H¹"), =HYPERLINK("CSG3.html#group7A3", "7A³"), =HYPERLINK("CSG7.html#group14C7", "14C⁷"), =HYPERLINK("CSG9.html#group14C9", "14C⁹")</f>
        <v/>
      </c>
      <c r="L5499" t="inlineStr"/>
      <c r="M5499">
        <f>HYPERLINK("CSG4.html#group14A4", "14A⁴"), =HYPERLINK("CSG0.html#group7D0", "7D⁰"), =HYPERLINK("CSG1.html#group14B1", "14B¹"), =HYPERLINK("CSG9.html#group14C9", "14C⁹"), =HYPERLINK("CSG7.html#group14C7", "14C⁷"), =HYPERLINK("CSG0.html#group2B0", "2B⁰"), =HYPERLINK("CSG0.html#group7E0", "7E⁰"), =HYPERLINK("CSG0.html#group7G0", "7G⁰"), =HYPERLINK("CSG1.html#group7C1", "7C¹"), =HYPERLINK("CSG5.html#group14F5", "14F⁵"), =HYPERLINK("CSG0.html#group1A0", "1A⁰"), =HYPERLINK("CSG3.html#group7A3", "7A³"), =HYPERLINK("CSG3.html#group14D3", "14D³"), =HYPERLINK("CSG2.html#group14A2", "14A²"), =HYPERLINK("CSG0.html#group7B0", "7B⁰"), =HYPERLINK("CSG0.html#group7C0", "7C⁰"), =HYPERLINK("CSG1.html#group14H1", "14H¹"), =HYPERLINK("CSG1.html#group14C1", "14C¹"), =HYPERLINK("CSG0.html#group7F0", "7F⁰"), =HYPERLINK("CSG1.html#group7A1", "7A¹"), =HYPERLINK("CSG2.html#group14F2", "14F²"), =HYPERLINK("CSG1.html#group7B1", "7B¹"), =HYPERLINK("CSG0.html#group7A0", "7A⁰")</f>
        <v/>
      </c>
      <c r="N5499" t="inlineStr"/>
    </row>
    <row r="5500">
      <c r="A5500" t="inlineStr">
        <is>
          <t>15A¹⁹</t>
        </is>
      </c>
      <c r="B5500" t="inlineStr"/>
      <c r="C5500" t="inlineStr">
        <is>
          <t>360</t>
        </is>
      </c>
      <c r="D5500" t="inlineStr">
        <is>
          <t>1</t>
        </is>
      </c>
      <c r="E5500" t="inlineStr">
        <is>
          <t>3</t>
        </is>
      </c>
      <c r="F5500" t="inlineStr">
        <is>
          <t>0</t>
        </is>
      </c>
      <c r="G5500" t="inlineStr">
        <is>
          <t>0</t>
        </is>
      </c>
      <c r="H5500" t="inlineStr">
        <is>
          <t>15²⁴</t>
        </is>
      </c>
      <c r="I5500" t="n">
        <v>24</v>
      </c>
      <c r="J5500" t="inlineStr">
        <is>
          <t>1¹, 2¹</t>
        </is>
      </c>
      <c r="K5500">
        <f>HYPERLINK("CSG3.html#group15F3", "15F³"), =HYPERLINK("CSG7.html#group15B7", "15B⁷"), =HYPERLINK("CSG8.html#group15B8", "15B⁸"), =HYPERLINK("CSG9.html#group15A9", "15A⁹"), =HYPERLINK("CSG10.html#group15A10", "15A¹⁰")</f>
        <v/>
      </c>
      <c r="L5500" t="inlineStr"/>
      <c r="M5500">
        <f>HYPERLINK("CSG0.html#group5A0", "5A⁰"), =HYPERLINK("CSG7.html#group15B7", "15B⁷"), =HYPERLINK("CSG4.html#group15B4", "15B⁴"), =HYPERLINK("CSG1.html#group15F1", "15F¹"), =HYPERLINK("CSG0.html#group5B0", "5B⁰"), =HYPERLINK("CSG0.html#group5F0", "5F⁰"), =HYPERLINK("CSG0.html#group5D0", "5D⁰"), =HYPERLINK("CSG2.html#group15D2", "15D²"), =HYPERLINK("CSG3.html#group15C3", "15C³"), =HYPERLINK("CSG0.html#group1A0", "1A⁰"), =HYPERLINK("CSG9.html#group15A9", "15A⁹"), =HYPERLINK("CSG10.html#group15A10", "15A¹⁰"), =HYPERLINK("CSG2.html#group15B2", "15B²"), =HYPERLINK("CSG0.html#group3C0", "3C⁰"), =HYPERLINK("CSG3.html#group15B3", "15B³"), =HYPERLINK("CSG0.html#group3A0", "3A⁰"), =HYPERLINK("CSG0.html#group5G0", "5G⁰"), =HYPERLINK("CSG3.html#group15H3", "15H³"), =HYPERLINK("CSG1.html#group15A1", "15A¹"), =HYPERLINK("CSG0.html#group15C0", "15C⁰"), =HYPERLINK("CSG4.html#group15D4", "15D⁴"), =HYPERLINK("CSG3.html#group15F3", "15F³"), =HYPERLINK("CSG0.html#group5H0", "5H⁰"), =HYPERLINK("CSG4.html#group15C4", "15C⁴"), =HYPERLINK("CSG1.html#group15D1", "15D¹"), =HYPERLINK("CSG0.html#group15B0", "15B⁰"), =HYPERLINK("CSG2.html#group15A2", "15A²"), =HYPERLINK("CSG0.html#group5E0", "5E⁰"), =HYPERLINK("CSG8.html#group15B8", "15B⁸"), =HYPERLINK("CSG0.html#group5C0", "5C⁰"), =HYPERLINK("CSG1.html#group15E1", "15E¹"), =HYPERLINK("CSG0.html#group15A0", "15A⁰")</f>
        <v/>
      </c>
      <c r="N5500" t="inlineStr"/>
    </row>
    <row r="5501">
      <c r="A5501" t="inlineStr">
        <is>
          <t>15B¹⁹</t>
        </is>
      </c>
      <c r="B5501" t="inlineStr"/>
      <c r="C5501" t="inlineStr">
        <is>
          <t>360</t>
        </is>
      </c>
      <c r="D5501" t="inlineStr">
        <is>
          <t>1</t>
        </is>
      </c>
      <c r="E5501" t="inlineStr">
        <is>
          <t>15</t>
        </is>
      </c>
      <c r="F5501" t="inlineStr">
        <is>
          <t>0</t>
        </is>
      </c>
      <c r="G5501" t="inlineStr">
        <is>
          <t>0</t>
        </is>
      </c>
      <c r="H5501" t="inlineStr">
        <is>
          <t>15²⁴</t>
        </is>
      </c>
      <c r="I5501" t="n">
        <v>24</v>
      </c>
      <c r="J5501" t="inlineStr">
        <is>
          <t>1¹, 2¹, 4³</t>
        </is>
      </c>
      <c r="K5501">
        <f>HYPERLINK("CSG3.html#group15E3", "15E³"), =HYPERLINK("CSG5.html#group15B5", "15B⁵"), =HYPERLINK("CSG7.html#group15A7", "15A⁷"), =HYPERLINK("CSG8.html#group15A8", "15A⁸"), =HYPERLINK("CSG9.html#group15A9", "15A⁹"), =HYPERLINK("CSG10.html#group15B10", "15B¹⁰")</f>
        <v/>
      </c>
      <c r="L5501" t="inlineStr"/>
      <c r="M5501">
        <f>HYPERLINK("CSG0.html#group5A0", "5A⁰"), =HYPERLINK("CSG4.html#group15A4", "15A⁴"), =HYPERLINK("CSG1.html#group15F1", "15F¹"), =HYPERLINK("CSG0.html#group5B0", "5B⁰"), =HYPERLINK("CSG3.html#group15C3", "15C³"), =HYPERLINK("CSG0.html#group1A0", "1A⁰"), =HYPERLINK("CSG9.html#group15A9", "15A⁹"), =HYPERLINK("CSG0.html#group3C0", "3C⁰"), =HYPERLINK("CSG2.html#group15C2", "15C²"), =HYPERLINK("CSG0.html#group3A0", "3A⁰"), =HYPERLINK("CSG0.html#group5G0", "5G⁰"), =HYPERLINK("CSG3.html#group15H3", "15H³"), =HYPERLINK("CSG1.html#group15A1", "15A¹"), =HYPERLINK("CSG8.html#group15A8", "15A⁸"), =HYPERLINK("CSG0.html#group3B0", "3B⁰"), =HYPERLINK("CSG4.html#group15D4", "15D⁴"), =HYPERLINK("CSG3.html#group15D3", "15D³"), =HYPERLINK("CSG7.html#group15A7", "15A⁷"), =HYPERLINK("CSG10.html#group15B10", "15B¹⁰"), =HYPERLINK("CSG0.html#group3D0", "3D⁰"), =HYPERLINK("CSG4.html#group15C4", "15C⁴"), =HYPERLINK("CSG1.html#group15C1", "15C¹"), =HYPERLINK("CSG3.html#group15A3", "15A³"), =HYPERLINK("CSG1.html#group15D1", "15D¹"), =HYPERLINK("CSG0.html#group15B0", "15B⁰"), =HYPERLINK("CSG2.html#group15A2", "15A²"), =HYPERLINK("CSG3.html#group15E3", "15E³"), =HYPERLINK("CSG0.html#group5E0", "5E⁰"), =HYPERLINK("CSG1.html#group15B1", "15B¹"), =HYPERLINK("CSG0.html#group5C0", "5C⁰"), =HYPERLINK("CSG5.html#group15B5", "15B⁵"), =HYPERLINK("CSG1.html#group15E1", "15E¹"), =HYPERLINK("CSG0.html#group15A0", "15A⁰")</f>
        <v/>
      </c>
      <c r="N5501" t="inlineStr"/>
    </row>
    <row r="5502">
      <c r="A5502" t="inlineStr">
        <is>
          <t>16A¹⁹</t>
        </is>
      </c>
      <c r="B5502" t="inlineStr"/>
      <c r="C5502" t="inlineStr">
        <is>
          <t>384</t>
        </is>
      </c>
      <c r="D5502" t="inlineStr">
        <is>
          <t>1</t>
        </is>
      </c>
      <c r="E5502" t="inlineStr">
        <is>
          <t>48</t>
        </is>
      </c>
      <c r="F5502" t="inlineStr">
        <is>
          <t>8</t>
        </is>
      </c>
      <c r="G5502" t="inlineStr">
        <is>
          <t>0</t>
        </is>
      </c>
      <c r="H5502" t="inlineStr">
        <is>
          <t>16²⁴</t>
        </is>
      </c>
      <c r="I5502" t="n">
        <v>24</v>
      </c>
      <c r="J5502" t="inlineStr">
        <is>
          <t>4², 8⁵</t>
        </is>
      </c>
      <c r="K5502">
        <f>HYPERLINK("CSG6.html#group16C6", "16C⁶"), =HYPERLINK("CSG7.html#group16D7", "16D⁷"), =HYPERLINK("CSG9.html#group16I9", "16I⁹"), =HYPERLINK("CSG9.html#group16J9", "16J⁹"), =HYPERLINK("CSG10.html#group16A10", "16A¹⁰"), =HYPERLINK("CSG10.html#group16B10", "16B¹⁰"), =HYPERLINK("CSG10.html#group16C10", "16C¹⁰")</f>
        <v/>
      </c>
      <c r="L5502" t="inlineStr"/>
      <c r="M5502">
        <f>HYPERLINK("CSG1.html#group16I1", "16I¹"), =HYPERLINK("CSG0.html#group4C0", "4C⁰"), =HYPERLINK("CSG2.html#group8C2", "8C²"), =HYPERLINK("CSG0.html#group8A0", "8A⁰"), =HYPERLINK("CSG3.html#group16P3", "16P³"), =HYPERLINK("CSG0.html#group8L0", "8L⁰"), =HYPERLINK("CSG0.html#group2B0", "2B⁰"), =HYPERLINK("CSG0.html#group8K0", "8K⁰"), =HYPERLINK("CSG0.html#group1A0", "1A⁰"), =HYPERLINK("CSG1.html#group8H1", "8H¹"), =HYPERLINK("CSG2.html#group16E2", "16E²"), =HYPERLINK("CSG10.html#group16A10", "16A¹⁰"), =HYPERLINK("CSG0.html#group16B0", "16B⁰"), =HYPERLINK("CSG0.html#group16E0", "16E⁰"), =HYPERLINK("CSG4.html#group16B4", "16B⁴"), =HYPERLINK("CSG1.html#group16D1", "16D¹"), =HYPERLINK("CSG10.html#group16B10", "16B¹⁰"), =HYPERLINK("CSG2.html#group16H2", "16H²"), =HYPERLINK("CSG7.html#group16D7", "16D⁷"), =HYPERLINK("CSG1.html#group16F1", "16F¹"), =HYPERLINK("CSG0.html#group8M0", "8M⁰"), =HYPERLINK("CSG3.html#group16Q3", "16Q³"), =HYPERLINK("CSG6.html#group16C6", "16C⁶"), =HYPERLINK("CSG0.html#group8P0", "8P⁰"), =HYPERLINK("CSG1.html#group16K1", "16K¹"), =HYPERLINK("CSG9.html#group16I9", "16I⁹"), =HYPERLINK("CSG1.html#group16H1", "16H¹"), =HYPERLINK("CSG0.html#group16A0", "16A⁰"), =HYPERLINK("CSG0.html#group8D0", "8D⁰"), =HYPERLINK("CSG3.html#group16M3", "16M³"), =HYPERLINK("CSG0.html#group8B0", "8B⁰"), =HYPERLINK("CSG1.html#group16B1", "16B¹"), =HYPERLINK("CSG3.html#group16G3", "16G³"), =HYPERLINK("CSG10.html#group16C10", "16C¹⁰"), =HYPERLINK("CSG2.html#group16L2", "16L²"), =HYPERLINK("CSG1.html#group16J1", "16J¹"), =HYPERLINK("CSG9.html#group16J9", "16J⁹"), =HYPERLINK("CSG1.html#group8D1", "8D¹"), =HYPERLINK("CSG0.html#group8H0", "8H⁰"), =HYPERLINK("CSG1.html#group16L1", "16L¹"), =HYPERLINK("CSG3.html#group16K3", "16K³"), =HYPERLINK("CSG0.html#group8F0", "8F⁰"), =HYPERLINK("CSG3.html#group16L3", "16L³"), =HYPERLINK("CSG2.html#group16F2", "16F²"), =HYPERLINK("CSG0.html#group4A0", "4A⁰"), =HYPERLINK("CSG1.html#group8I1", "8I¹"), =HYPERLINK("CSG1.html#group16C1", "16C¹"), =HYPERLINK("CSG5.html#group16I5", "16I⁵"), =HYPERLINK("CSG4.html#group16C4", "16C⁴"), =HYPERLINK("CSG0.html#group4F0", "4F⁰"), =HYPERLINK("CSG5.html#group16J5", "16J⁵")</f>
        <v/>
      </c>
      <c r="N5502" t="inlineStr"/>
    </row>
    <row r="5503">
      <c r="A5503" t="inlineStr">
        <is>
          <t>16B¹⁹</t>
        </is>
      </c>
      <c r="B5503" t="inlineStr"/>
      <c r="C5503" t="inlineStr">
        <is>
          <t>384</t>
        </is>
      </c>
      <c r="D5503" t="inlineStr">
        <is>
          <t>1</t>
        </is>
      </c>
      <c r="E5503" t="inlineStr">
        <is>
          <t>48</t>
        </is>
      </c>
      <c r="F5503" t="inlineStr">
        <is>
          <t>8</t>
        </is>
      </c>
      <c r="G5503" t="inlineStr">
        <is>
          <t>0</t>
        </is>
      </c>
      <c r="H5503" t="inlineStr">
        <is>
          <t>16²⁴</t>
        </is>
      </c>
      <c r="I5503" t="n">
        <v>24</v>
      </c>
      <c r="J5503" t="inlineStr">
        <is>
          <t>2², 4³, 8⁴</t>
        </is>
      </c>
      <c r="K5503">
        <f>HYPERLINK("CSG5.html#group16L5", "16L⁵"), =HYPERLINK("CSG7.html#group16D7", "16D⁷"), =HYPERLINK("CSG9.html#group16K9", "16K⁹"), =HYPERLINK("CSG9.html#group16L9", "16L⁹")</f>
        <v/>
      </c>
      <c r="L5503" t="inlineStr"/>
      <c r="M5503">
        <f>HYPERLINK("CSG1.html#group16I1", "16I¹"), =HYPERLINK("CSG0.html#group4C0", "4C⁰"), =HYPERLINK("CSG2.html#group8C2", "8C²"), =HYPERLINK("CSG0.html#group8A0", "8A⁰"), =HYPERLINK("CSG0.html#group8L0", "8L⁰"), =HYPERLINK("CSG0.html#group2B0", "2B⁰"), =HYPERLINK("CSG9.html#group16K9", "16K⁹"), =HYPERLINK("CSG0.html#group8K0", "8K⁰"), =HYPERLINK("CSG9.html#group16L9", "16L⁹"), =HYPERLINK("CSG0.html#group1A0", "1A⁰"), =HYPERLINK("CSG1.html#group8H1", "8H¹"), =HYPERLINK("CSG2.html#group16E2", "16E²"), =HYPERLINK("CSG0.html#group16B0", "16B⁰"), =HYPERLINK("CSG0.html#group16E0", "16E⁰"), =HYPERLINK("CSG4.html#group16B4", "16B⁴"), =HYPERLINK("CSG1.html#group16D1", "16D¹"), =HYPERLINK("CSG5.html#group16L5", "16L⁵"), =HYPERLINK("CSG7.html#group16D7", "16D⁷"), =HYPERLINK("CSG1.html#group16F1", "16F¹"), =HYPERLINK("CSG0.html#group8P0", "8P⁰"), =HYPERLINK("CSG0.html#group8M0", "8M⁰"), =HYPERLINK("CSG1.html#group16H1", "16H¹"), =HYPERLINK("CSG0.html#group8D0", "8D⁰"), =HYPERLINK("CSG3.html#group16M3", "16M³"), =HYPERLINK("CSG0.html#group8B0", "8B⁰"), =HYPERLINK("CSG1.html#group16B1", "16B¹"), =HYPERLINK("CSG2.html#group16L2", "16L²"), =HYPERLINK("CSG1.html#group16J1", "16J¹"), =HYPERLINK("CSG1.html#group8D1", "8D¹"), =HYPERLINK("CSG0.html#group8H0", "8H⁰"), =HYPERLINK("CSG3.html#group16K3", "16K³"), =HYPERLINK("CSG0.html#group8F0", "8F⁰"), =HYPERLINK("CSG3.html#group16L3", "16L³"), =HYPERLINK("CSG2.html#group16F2", "16F²"), =HYPERLINK("CSG0.html#group4A0", "4A⁰"), =HYPERLINK("CSG1.html#group8I1", "8I¹"), =HYPERLINK("CSG1.html#group16C1", "16C¹"), =HYPERLINK("CSG4.html#group16C4", "16C⁴"), =HYPERLINK("CSG2.html#group16G2", "16G²"), =HYPERLINK("CSG0.html#group4F0", "4F⁰")</f>
        <v/>
      </c>
      <c r="N5503" t="inlineStr"/>
    </row>
    <row r="5504">
      <c r="A5504" t="inlineStr">
        <is>
          <t>18A¹⁹</t>
        </is>
      </c>
      <c r="B5504" t="inlineStr"/>
      <c r="C5504" t="inlineStr">
        <is>
          <t>324</t>
        </is>
      </c>
      <c r="D5504" t="inlineStr">
        <is>
          <t>1</t>
        </is>
      </c>
      <c r="E5504" t="inlineStr">
        <is>
          <t>18</t>
        </is>
      </c>
      <c r="F5504" t="inlineStr">
        <is>
          <t>0</t>
        </is>
      </c>
      <c r="G5504" t="inlineStr">
        <is>
          <t>0</t>
        </is>
      </c>
      <c r="H5504" t="inlineStr">
        <is>
          <t>18¹⁸</t>
        </is>
      </c>
      <c r="I5504" t="n">
        <v>18</v>
      </c>
      <c r="J5504" t="inlineStr">
        <is>
          <t>1¹, 2¹, 3¹, 6²</t>
        </is>
      </c>
      <c r="K5504">
        <f>HYPERLINK("CSG4.html#group18N4", "18N⁴"), =HYPERLINK("CSG7.html#group18A7", "18A⁷"), =HYPERLINK("CSG7.html#group18B7", "18B⁷"), =HYPERLINK("CSG7.html#group18D7", "18D⁷"), =HYPERLINK("CSG7.html#group18I7", "18I⁷")</f>
        <v/>
      </c>
      <c r="L5504" t="inlineStr"/>
      <c r="M5504">
        <f>HYPERLINK("CSG0.html#group2A0", "2A⁰"), =HYPERLINK("CSG7.html#group18A7", "18A⁷"), =HYPERLINK("CSG1.html#group6C1", "6C¹"), =HYPERLINK("CSG3.html#group18A3", "18A³"), =HYPERLINK("CSG0.html#group6G0", "6G⁰"), =HYPERLINK("CSG1.html#group18B1", "18B¹"), =HYPERLINK("CSG7.html#group18I7", "18I⁷"), =HYPERLINK("CSG0.html#group2B0", "2B⁰"), =HYPERLINK("CSG0.html#group9E0", "9E⁰"), =HYPERLINK("CSG0.html#group1A0", "1A⁰"), =HYPERLINK("CSG3.html#group18D3", "18D³"), =HYPERLINK("CSG4.html#group18N4", "18N⁴"), =HYPERLINK("CSG1.html#group6B1", "6B¹"), =HYPERLINK("CSG4.html#group18A4", "18A⁴"), =HYPERLINK("CSG3.html#group18B3", "18B³"), =HYPERLINK("CSG0.html#group3C0", "3C⁰"), =HYPERLINK("CSG1.html#group6A1", "6A¹"), =HYPERLINK("CSG0.html#group6H0", "6H⁰"), =HYPERLINK("CSG1.html#group18E1", "18E¹"), =HYPERLINK("CSG0.html#group3A0", "3A⁰"), =HYPERLINK("CSG1.html#group18A1", "18A¹"), =HYPERLINK("CSG1.html#group6E1", "6E¹"), =HYPERLINK("CSG2.html#group18F2", "18F²"), =HYPERLINK("CSG0.html#group6B0", "6B⁰"), =HYPERLINK("CSG1.html#group18I1", "18I¹"), =HYPERLINK("CSG7.html#group18B7", "18B⁷"), =HYPERLINK("CSG1.html#group9E1", "9E¹"), =HYPERLINK("CSG2.html#group18A2", "18A²"), =HYPERLINK("CSG7.html#group18D7", "18D⁷"), =HYPERLINK("CSG0.html#group9D0", "9D⁰"), =HYPERLINK("CSG0.html#group6A0", "6A⁰"), =HYPERLINK("CSG0.html#group9A0", "9A⁰"), =HYPERLINK("CSG0.html#group2C0", "2C⁰"), =HYPERLINK("CSG2.html#group18I2", "18I²"), =HYPERLINK("CSG0.html#group6D0", "6D⁰")</f>
        <v/>
      </c>
      <c r="N5504" t="inlineStr"/>
    </row>
    <row r="5505">
      <c r="A5505" t="inlineStr">
        <is>
          <t>18B¹⁹</t>
        </is>
      </c>
      <c r="B5505" t="inlineStr"/>
      <c r="C5505" t="inlineStr">
        <is>
          <t>324</t>
        </is>
      </c>
      <c r="D5505" t="inlineStr">
        <is>
          <t>1</t>
        </is>
      </c>
      <c r="E5505" t="inlineStr">
        <is>
          <t>27</t>
        </is>
      </c>
      <c r="F5505" t="inlineStr">
        <is>
          <t>0</t>
        </is>
      </c>
      <c r="G5505" t="inlineStr">
        <is>
          <t>0</t>
        </is>
      </c>
      <c r="H5505" t="inlineStr">
        <is>
          <t>18¹⁸</t>
        </is>
      </c>
      <c r="I5505" t="n">
        <v>18</v>
      </c>
      <c r="J5505" t="inlineStr">
        <is>
          <t>3¹, 6⁴</t>
        </is>
      </c>
      <c r="K5505">
        <f>HYPERLINK("CSG4.html#group9C4", "9C⁴"), =HYPERLINK("CSG7.html#group18B7", "18B⁷"), =HYPERLINK("CSG7.html#group18C7", "18C⁷"), =HYPERLINK("CSG7.html#group18F7", "18F⁷"), =HYPERLINK("CSG7.html#group18J7", "18J⁷"), =HYPERLINK("CSG10.html#group18B10", "18B¹⁰")</f>
        <v/>
      </c>
      <c r="L5505" t="inlineStr"/>
      <c r="M5505">
        <f>HYPERLINK("CSG0.html#group2A0", "2A⁰"), =HYPERLINK("CSG2.html#group18K2", "18K²"), =HYPERLINK("CSG3.html#group18A3", "18A³"), =HYPERLINK("CSG2.html#group18J2", "18J²"), =HYPERLINK("CSG2.html#group9B2", "9B²"), =HYPERLINK("CSG0.html#group9E0", "9E⁰"), =HYPERLINK("CSG7.html#group18C7", "18C⁷"), =HYPERLINK("CSG10.html#group18B10", "18B¹⁰"), =HYPERLINK("CSG0.html#group1A0", "1A⁰"), =HYPERLINK("CSG1.html#group9B1", "9B¹"), =HYPERLINK("CSG0.html#group18A0", "18A⁰"), =HYPERLINK("CSG1.html#group6B1", "6B¹"), =HYPERLINK("CSG0.html#group3C0", "3C⁰"), =HYPERLINK("CSG1.html#group9G1", "9G¹"), =HYPERLINK("CSG1.html#group6A1", "6A¹"), =HYPERLINK("CSG0.html#group3A0", "3A⁰"), =HYPERLINK("CSG7.html#group18J7", "18J⁷"), =HYPERLINK("CSG1.html#group9F1", "9F¹"), =HYPERLINK("CSG2.html#group18F2", "18F²"), =HYPERLINK("CSG0.html#group6B0", "6B⁰"), =HYPERLINK("CSG4.html#group18B4", "18B⁴"), =HYPERLINK("CSG1.html#group18H1", "18H¹"), =HYPERLINK("CSG0.html#group9G0", "9G⁰"), =HYPERLINK("CSG7.html#group18B7", "18B⁷"), =HYPERLINK("CSG1.html#group9E1", "9E¹"), =HYPERLINK("CSG2.html#group18A2", "18A²"), =HYPERLINK("CSG0.html#group9D0", "9D⁰"), =HYPERLINK("CSG4.html#group9C4", "9C⁴"), =HYPERLINK("CSG0.html#group9A0", "9A⁰"), =HYPERLINK("CSG3.html#group18C3", "18C³"), =HYPERLINK("CSG7.html#group18F7", "18F⁷"), =HYPERLINK("CSG0.html#group9F0", "9F⁰"), =HYPERLINK("CSG1.html#group18A1", "18A¹")</f>
        <v/>
      </c>
      <c r="N5505" t="inlineStr"/>
    </row>
    <row r="5506">
      <c r="A5506" t="inlineStr">
        <is>
          <t>18C¹⁹</t>
        </is>
      </c>
      <c r="B5506" t="inlineStr"/>
      <c r="C5506" t="inlineStr">
        <is>
          <t>324</t>
        </is>
      </c>
      <c r="D5506" t="inlineStr">
        <is>
          <t>1</t>
        </is>
      </c>
      <c r="E5506" t="inlineStr">
        <is>
          <t>27</t>
        </is>
      </c>
      <c r="F5506" t="inlineStr">
        <is>
          <t>0</t>
        </is>
      </c>
      <c r="G5506" t="inlineStr">
        <is>
          <t>0</t>
        </is>
      </c>
      <c r="H5506" t="inlineStr">
        <is>
          <t>18¹⁸</t>
        </is>
      </c>
      <c r="I5506" t="n">
        <v>18</v>
      </c>
      <c r="J5506" t="inlineStr">
        <is>
          <t>3¹, 6⁴</t>
        </is>
      </c>
      <c r="K5506">
        <f>HYPERLINK("CSG4.html#group18N4", "18N⁴"), =HYPERLINK("CSG7.html#group18C7", "18C⁷"), =HYPERLINK("CSG7.html#group18E7", "18E⁷"), =HYPERLINK("CSG7.html#group18K7", "18K⁷"), =HYPERLINK("CSG8.html#group18A8", "18A⁸"), =HYPERLINK("CSG10.html#group18C10", "18C¹⁰")</f>
        <v/>
      </c>
      <c r="L5506" t="inlineStr"/>
      <c r="M5506">
        <f>HYPERLINK("CSG0.html#group2A0", "2A⁰"), =HYPERLINK("CSG7.html#group18E7", "18E⁷"), =HYPERLINK("CSG1.html#group6C1", "6C¹"), =HYPERLINK("CSG0.html#group6G0", "6G⁰"), =HYPERLINK("CSG0.html#group2B0", "2B⁰"), =HYPERLINK("CSG2.html#group9B2", "9B²"), =HYPERLINK("CSG0.html#group9E0", "9E⁰"), =HYPERLINK("CSG7.html#group18C7", "18C⁷"), =HYPERLINK("CSG0.html#group1A0", "1A⁰"), =HYPERLINK("CSG0.html#group18A0", "18A⁰"), =HYPERLINK("CSG1.html#group9B1", "9B¹"), =HYPERLINK("CSG2.html#group18L2", "18L²"), =HYPERLINK("CSG4.html#group18N4", "18N⁴"), =HYPERLINK("CSG1.html#group6B1", "6B¹"), =HYPERLINK("CSG4.html#group18A4", "18A⁴"), =HYPERLINK("CSG0.html#group3C0", "3C⁰"), =HYPERLINK("CSG1.html#group6A1", "6A¹"), =HYPERLINK("CSG0.html#group6H0", "6H⁰"), =HYPERLINK("CSG0.html#group3A0", "3A⁰"), =HYPERLINK("CSG1.html#group18E1", "18E¹"), =HYPERLINK("CSG1.html#group6E1", "6E¹"), =HYPERLINK("CSG2.html#group18F2", "18F²"), =HYPERLINK("CSG0.html#group6B0", "6B⁰"), =HYPERLINK("CSG4.html#group18B4", "18B⁴"), =HYPERLINK("CSG7.html#group18K7", "18K⁷"), =HYPERLINK("CSG1.html#group18H1", "18H¹"), =HYPERLINK("CSG1.html#group18I1", "18I¹"), =HYPERLINK("CSG0.html#group9G0", "9G⁰"), =HYPERLINK("CSG2.html#group18A2", "18A²"), =HYPERLINK("CSG3.html#group18E3", "18E³"), =HYPERLINK("CSG8.html#group18A8", "18A⁸"), =HYPERLINK("CSG0.html#group6A0", "6A⁰"), =HYPERLINK("CSG3.html#group18J3", "18J³"), =HYPERLINK("CSG0.html#group9A0", "9A⁰"), =HYPERLINK("CSG3.html#group18C3", "18C³"), =HYPERLINK("CSG0.html#group2C0", "2C⁰"), =HYPERLINK("CSG0.html#group6D0", "6D⁰"), =HYPERLINK("CSG10.html#group18C10", "18C¹⁰")</f>
        <v/>
      </c>
      <c r="N5506" t="inlineStr"/>
    </row>
    <row r="5507">
      <c r="A5507" t="inlineStr">
        <is>
          <t>18D¹⁹</t>
        </is>
      </c>
      <c r="B5507" t="inlineStr"/>
      <c r="C5507" t="inlineStr">
        <is>
          <t>324</t>
        </is>
      </c>
      <c r="D5507" t="inlineStr">
        <is>
          <t>1</t>
        </is>
      </c>
      <c r="E5507" t="inlineStr">
        <is>
          <t>54</t>
        </is>
      </c>
      <c r="F5507" t="inlineStr">
        <is>
          <t>0</t>
        </is>
      </c>
      <c r="G5507" t="inlineStr">
        <is>
          <t>0</t>
        </is>
      </c>
      <c r="H5507" t="inlineStr">
        <is>
          <t>18¹⁸</t>
        </is>
      </c>
      <c r="I5507" t="n">
        <v>18</v>
      </c>
      <c r="J5507" t="inlineStr">
        <is>
          <t>6⁹</t>
        </is>
      </c>
      <c r="K5507">
        <f>HYPERLINK("CSG7.html#group18C7", "18C⁷"), =HYPERLINK("CSG7.html#group18D7", "18D⁷"), =HYPERLINK("CSG7.html#group18G7", "18G⁷"), =HYPERLINK("CSG7.html#group18L7", "18L⁷")</f>
        <v/>
      </c>
      <c r="L5507" t="inlineStr"/>
      <c r="M5507">
        <f>HYPERLINK("CSG2.html#group18F2", "18F²"), =HYPERLINK("CSG0.html#group2A0", "2A⁰"), =HYPERLINK("CSG0.html#group6B0", "6B⁰"), =HYPERLINK("CSG4.html#group18B4", "18B⁴"), =HYPERLINK("CSG7.html#group18G7", "18G⁷"), =HYPERLINK("CSG1.html#group18H1", "18H¹"), =HYPERLINK("CSG0.html#group9G0", "9G⁰"), =HYPERLINK("CSG1.html#group18B1", "18B¹"), =HYPERLINK("CSG2.html#group18A2", "18A²"), =HYPERLINK("CSG2.html#group9B2", "9B²"), =HYPERLINK("CSG0.html#group9E0", "9E⁰"), =HYPERLINK("CSG2.html#group18M2", "18M²"), =HYPERLINK("CSG7.html#group18C7", "18C⁷"), =HYPERLINK("CSG0.html#group1A0", "1A⁰"), =HYPERLINK("CSG0.html#group18A0", "18A⁰"), =HYPERLINK("CSG7.html#group18L7", "18L⁷"), =HYPERLINK("CSG1.html#group9B1", "9B¹"), =HYPERLINK("CSG7.html#group18D7", "18D⁷"), =HYPERLINK("CSG1.html#group6B1", "6B¹"), =HYPERLINK("CSG3.html#group18B3", "18B³"), =HYPERLINK("CSG0.html#group9A0", "9A⁰"), =HYPERLINK("CSG3.html#group18C3", "18C³"), =HYPERLINK("CSG0.html#group3C0", "3C⁰"), =HYPERLINK("CSG1.html#group6A1", "6A¹"), =HYPERLINK("CSG0.html#group3A0", "3A⁰")</f>
        <v/>
      </c>
      <c r="N5507" t="inlineStr"/>
    </row>
    <row r="5508">
      <c r="A5508" t="inlineStr">
        <is>
          <t>18E¹⁹</t>
        </is>
      </c>
      <c r="B5508" t="inlineStr"/>
      <c r="C5508" t="inlineStr">
        <is>
          <t>324</t>
        </is>
      </c>
      <c r="D5508" t="inlineStr">
        <is>
          <t>2</t>
        </is>
      </c>
      <c r="E5508" t="inlineStr">
        <is>
          <t>9</t>
        </is>
      </c>
      <c r="F5508" t="inlineStr">
        <is>
          <t>0</t>
        </is>
      </c>
      <c r="G5508" t="inlineStr">
        <is>
          <t>0</t>
        </is>
      </c>
      <c r="H5508" t="inlineStr">
        <is>
          <t>18¹⁸</t>
        </is>
      </c>
      <c r="I5508" t="n">
        <v>18</v>
      </c>
      <c r="J5508" t="inlineStr">
        <is>
          <t>2³, 6²</t>
        </is>
      </c>
      <c r="K5508">
        <f>HYPERLINK("CSG7.html#group18A7", "18A⁷"), =HYPERLINK("CSG7.html#group18E7", "18E⁷"), =HYPERLINK("CSG7.html#group18F7", "18F⁷"), =HYPERLINK("CSG7.html#group18G7", "18G⁷"), =HYPERLINK("CSG7.html#group18M7", "18M⁷"), =HYPERLINK("CSG8.html#group18B8", "18B⁸"), =HYPERLINK("CSG10.html#group18C10", "18C¹⁰")</f>
        <v/>
      </c>
      <c r="L5508" t="inlineStr"/>
      <c r="M5508">
        <f>HYPERLINK("CSG0.html#group2A0", "2A⁰"), =HYPERLINK("CSG7.html#group18A7", "18A⁷"), =HYPERLINK("CSG7.html#group18E7", "18E⁷"), =HYPERLINK("CSG1.html#group6C1", "6C¹"), =HYPERLINK("CSG2.html#group18K2", "18K²"), =HYPERLINK("CSG3.html#group18A3", "18A³"), =HYPERLINK("CSG0.html#group6G0", "6G⁰"), =HYPERLINK("CSG1.html#group18B1", "18B¹"), =HYPERLINK("CSG0.html#group2B0", "2B⁰"), =HYPERLINK("CSG2.html#group18I2", "18I²"), =HYPERLINK("CSG0.html#group1A0", "1A⁰"), =HYPERLINK("CSG1.html#group9B1", "9B¹"), =HYPERLINK("CSG0.html#group18A0", "18A⁰"), =HYPERLINK("CSG2.html#group18L2", "18L²"), =HYPERLINK("CSG3.html#group18D3", "18D³"), =HYPERLINK("CSG1.html#group6B1", "6B¹"), =HYPERLINK("CSG4.html#group18A4", "18A⁴"), =HYPERLINK("CSG3.html#group18B3", "18B³"), =HYPERLINK("CSG0.html#group3C0", "3C⁰"), =HYPERLINK("CSG8.html#group18B8", "18B⁸"), =HYPERLINK("CSG1.html#group6A1", "6A¹"), =HYPERLINK("CSG1.html#group18E1", "18E¹"), =HYPERLINK("CSG0.html#group6H0", "6H⁰"), =HYPERLINK("CSG0.html#group3A0", "3A⁰"), =HYPERLINK("CSG1.html#group9F1", "9F¹"), =HYPERLINK("CSG1.html#group6E1", "6E¹"), =HYPERLINK("CSG0.html#group6B0", "6B⁰"), =HYPERLINK("CSG4.html#group18B4", "18B⁴"), =HYPERLINK("CSG7.html#group18G7", "18G⁷"), =HYPERLINK("CSG0.html#group9G0", "9G⁰"), =HYPERLINK("CSG7.html#group18M7", "18M⁷"), =HYPERLINK("CSG2.html#group18A2", "18A²"), =HYPERLINK("CSG2.html#group18M2", "18M²"), =HYPERLINK("CSG3.html#group18E3", "18E³"), =HYPERLINK("CSG0.html#group9D0", "9D⁰"), =HYPERLINK("CSG0.html#group6A0", "6A⁰"), =HYPERLINK("CSG3.html#group18J3", "18J³"), =HYPERLINK("CSG0.html#group9A0", "9A⁰"), =HYPERLINK("CSG3.html#group18C3", "18C³"), =HYPERLINK("CSG7.html#group18F7", "18F⁷"), =HYPERLINK("CSG0.html#group2C0", "2C⁰"), =HYPERLINK("CSG1.html#group18A1", "18A¹"), =HYPERLINK("CSG0.html#group6D0", "6D⁰"), =HYPERLINK("CSG10.html#group18C10", "18C¹⁰")</f>
        <v/>
      </c>
      <c r="N5508" t="inlineStr"/>
    </row>
    <row r="5509">
      <c r="A5509" t="inlineStr">
        <is>
          <t>20A¹⁹</t>
        </is>
      </c>
      <c r="B5509" t="inlineStr"/>
      <c r="C5509" t="inlineStr">
        <is>
          <t>360</t>
        </is>
      </c>
      <c r="D5509" t="inlineStr">
        <is>
          <t>1</t>
        </is>
      </c>
      <c r="E5509" t="inlineStr">
        <is>
          <t>3</t>
        </is>
      </c>
      <c r="F5509" t="inlineStr">
        <is>
          <t>0</t>
        </is>
      </c>
      <c r="G5509" t="inlineStr">
        <is>
          <t>0</t>
        </is>
      </c>
      <c r="H5509" t="inlineStr">
        <is>
          <t>10¹², 20¹²</t>
        </is>
      </c>
      <c r="I5509" t="n">
        <v>24</v>
      </c>
      <c r="J5509" t="inlineStr">
        <is>
          <t>1³</t>
        </is>
      </c>
      <c r="K5509">
        <f>HYPERLINK("CSG3.html#group20G3", "20G³"), =HYPERLINK("CSG4.html#group10B4", "10B⁴"), =HYPERLINK("CSG7.html#group20D7", "20D⁷"), =HYPERLINK("CSG9.html#group20B9", "20B⁹"), =HYPERLINK("CSG10.html#group20E10", "20E¹⁰")</f>
        <v/>
      </c>
      <c r="L5509" t="inlineStr"/>
      <c r="M5509">
        <f>HYPERLINK("CSG7.html#group20D7", "20D⁷"), =HYPERLINK("CSG1.html#group20E1", "20E¹"), =HYPERLINK("CSG0.html#group5A0", "5A⁰"), =HYPERLINK("CSG4.html#group20E4", "20E⁴"), =HYPERLINK("CSG10.html#group20E10", "20E¹⁰"), =HYPERLINK("CSG1.html#group10B1", "10B¹"), =HYPERLINK("CSG2.html#group20B2", "20B²"), =HYPERLINK("CSG3.html#group20G3", "20G³"), =HYPERLINK("CSG0.html#group4C0", "4C⁰"), =HYPERLINK("CSG9.html#group20B9", "20B⁹"), =HYPERLINK("CSG0.html#group5B0", "5B⁰"), =HYPERLINK("CSG0.html#group5F0", "5F⁰"), =HYPERLINK("CSG0.html#group5D0", "5D⁰"), =HYPERLINK("CSG0.html#group2B0", "2B⁰"), =HYPERLINK("CSG0.html#group1A0", "1A⁰"), =HYPERLINK("CSG2.html#group10D2", "10D²"), =HYPERLINK("CSG3.html#group20F3", "20F³"), =HYPERLINK("CSG2.html#group20C2", "20C²"), =HYPERLINK("CSG0.html#group10F0", "10F⁰"), =HYPERLINK("CSG1.html#group10F1", "10F¹"), =HYPERLINK("CSG0.html#group5H0", "5H⁰"), =HYPERLINK("CSG1.html#group10I1", "10I¹"), =HYPERLINK("CSG2.html#group10F2", "10F²"), =HYPERLINK("CSG5.html#group20C5", "20C⁵"), =HYPERLINK("CSG0.html#group10C0", "10C⁰"), =HYPERLINK("CSG0.html#group5E0", "5E⁰"), =HYPERLINK("CSG4.html#group20B4", "20B⁴"), =HYPERLINK("CSG4.html#group10B4", "10B⁴"), =HYPERLINK("CSG0.html#group5C0", "5C⁰"), =HYPERLINK("CSG0.html#group5G0", "5G⁰")</f>
        <v/>
      </c>
      <c r="N5509" t="inlineStr"/>
    </row>
    <row r="5510">
      <c r="A5510" t="inlineStr">
        <is>
          <t>20B¹⁹</t>
        </is>
      </c>
      <c r="B5510" t="inlineStr"/>
      <c r="C5510" t="inlineStr">
        <is>
          <t>360</t>
        </is>
      </c>
      <c r="D5510" t="inlineStr">
        <is>
          <t>1</t>
        </is>
      </c>
      <c r="E5510" t="inlineStr">
        <is>
          <t>45</t>
        </is>
      </c>
      <c r="F5510" t="inlineStr">
        <is>
          <t>0</t>
        </is>
      </c>
      <c r="G5510" t="inlineStr">
        <is>
          <t>0</t>
        </is>
      </c>
      <c r="H5510" t="inlineStr">
        <is>
          <t>10¹², 20¹²</t>
        </is>
      </c>
      <c r="I5510" t="n">
        <v>24</v>
      </c>
      <c r="J5510" t="inlineStr">
        <is>
          <t>1³, 2³, 4⁹</t>
        </is>
      </c>
      <c r="K5510">
        <f>HYPERLINK("CSG3.html#group20H3", "20H³"), =HYPERLINK("CSG6.html#group10A6", "10A⁶"), =HYPERLINK("CSG7.html#group20A7", "20A⁷"), =HYPERLINK("CSG7.html#group20P7", "20P⁷"), =HYPERLINK("CSG9.html#group20C9", "20C⁹"), =HYPERLINK("CSG9.html#group20D9", "20D⁹"), =HYPERLINK("CSG10.html#group20C10", "20C¹⁰"), =HYPERLINK("CSG10.html#group20E10", "20E¹⁰")</f>
        <v/>
      </c>
      <c r="L5510" t="inlineStr"/>
      <c r="M5510">
        <f>HYPERLINK("CSG4.html#group20D4", "20D⁴"), =HYPERLINK("CSG0.html#group5A0", "5A⁰"), =HYPERLINK("CSG0.html#group10G0", "10G⁰"), =HYPERLINK("CSG10.html#group20E10", "20E¹⁰"), =HYPERLINK("CSG0.html#group10D0", "10D⁰"), =HYPERLINK("CSG3.html#group20E3", "20E³"), =HYPERLINK("CSG0.html#group5B0", "5B⁰"), =HYPERLINK("CSG0.html#group2B0", "2B⁰"), =HYPERLINK("CSG0.html#group4B0", "4B⁰"), =HYPERLINK("CSG0.html#group1A0", "1A⁰"), =HYPERLINK("CSG3.html#group20H3", "20H³"), =HYPERLINK("CSG1.html#group10J1", "10J¹"), =HYPERLINK("CSG1.html#group10I1", "10I¹"), =HYPERLINK("CSG2.html#group10F2", "10F²"), =HYPERLINK("CSG10.html#group20C10", "20C¹⁰"), =HYPERLINK("CSG5.html#group20C5", "20C⁵"), =HYPERLINK("CSG2.html#group10C2", "10C²"), =HYPERLINK("CSG0.html#group10C0", "10C⁰"), =HYPERLINK("CSG3.html#group20P3", "20P³"), =HYPERLINK("CSG7.html#group20P7", "20P⁷"), =HYPERLINK("CSG2.html#group20C2", "20C²"), =HYPERLINK("CSG0.html#group5G0", "5G⁰"), =HYPERLINK("CSG6.html#group10A6", "10A⁶"), =HYPERLINK("CSG9.html#group20D9", "20D⁹"), =HYPERLINK("CSG2.html#group20A2", "20A²"), =HYPERLINK("CSG1.html#group10B1", "10B¹"), =HYPERLINK("CSG1.html#group20D1", "20D¹"), =HYPERLINK("CSG1.html#group10E1", "10E¹"), =HYPERLINK("CSG9.html#group20C9", "20C⁹"), =HYPERLINK("CSG1.html#group10F1", "10F¹"), =HYPERLINK("CSG0.html#group10B0", "10B⁰"), =HYPERLINK("CSG3.html#group10C3", "10C³"), =HYPERLINK("CSG2.html#group10E2", "10E²"), =HYPERLINK("CSG7.html#group20A7", "20A⁷"), =HYPERLINK("CSG0.html#group5E0", "5E⁰"), =HYPERLINK("CSG4.html#group20B4", "20B⁴"), =HYPERLINK("CSG0.html#group5C0", "5C⁰")</f>
        <v/>
      </c>
      <c r="N5510" t="inlineStr"/>
    </row>
    <row r="5511">
      <c r="A5511" t="inlineStr">
        <is>
          <t>20C¹⁹</t>
        </is>
      </c>
      <c r="B5511" t="inlineStr"/>
      <c r="C5511" t="inlineStr">
        <is>
          <t>360</t>
        </is>
      </c>
      <c r="D5511" t="inlineStr">
        <is>
          <t>1</t>
        </is>
      </c>
      <c r="E5511" t="inlineStr">
        <is>
          <t>45</t>
        </is>
      </c>
      <c r="F5511" t="inlineStr">
        <is>
          <t>0</t>
        </is>
      </c>
      <c r="G5511" t="inlineStr">
        <is>
          <t>0</t>
        </is>
      </c>
      <c r="H5511" t="inlineStr">
        <is>
          <t>10¹², 20¹²</t>
        </is>
      </c>
      <c r="I5511" t="n">
        <v>24</v>
      </c>
      <c r="J5511" t="inlineStr">
        <is>
          <t>1³, 2³, 4⁹</t>
        </is>
      </c>
      <c r="K5511">
        <f>HYPERLINK("CSG3.html#group20I3", "20I³"), =HYPERLINK("CSG6.html#group20D6", "20D⁶"), =HYPERLINK("CSG7.html#group10A7", "10A⁷"), =HYPERLINK("CSG7.html#group20B7", "20B⁷"), =HYPERLINK("CSG9.html#group20C9", "20C⁹"), =HYPERLINK("CSG9.html#group20D9", "20D⁹"), =HYPERLINK("CSG10.html#group20D10", "20D¹⁰"), =HYPERLINK("CSG10.html#group20E10", "20E¹⁰")</f>
        <v/>
      </c>
      <c r="L5511" t="inlineStr"/>
      <c r="M5511">
        <f>HYPERLINK("CSG0.html#group2A0", "2A⁰"), =HYPERLINK("CSG0.html#group5A0", "5A⁰"), =HYPERLINK("CSG2.html#group10A2", "10A²"), =HYPERLINK("CSG10.html#group20E10", "20E¹⁰"), =HYPERLINK("CSG0.html#group5B0", "5B⁰"), =HYPERLINK("CSG1.html#group10A1", "10A¹"), =HYPERLINK("CSG3.html#group10A3", "10A³"), =HYPERLINK("CSG0.html#group2B0", "2B⁰"), =HYPERLINK("CSG0.html#group1A0", "1A⁰"), =HYPERLINK("CSG6.html#group20D6", "20D⁶"), =HYPERLINK("CSG0.html#group10A0", "10A⁰"), =HYPERLINK("CSG1.html#group10I1", "10I¹"), =HYPERLINK("CSG2.html#group10F2", "10F²"), =HYPERLINK("CSG10.html#group20D10", "20D¹⁰"), =HYPERLINK("CSG5.html#group20C5", "20C⁵"), =HYPERLINK("CSG0.html#group10C0", "10C⁰"), =HYPERLINK("CSG3.html#group20P3", "20P³"), =HYPERLINK("CSG0.html#group5G0", "5G⁰"), =HYPERLINK("CSG2.html#group20C2", "20C²"), =HYPERLINK("CSG9.html#group20D9", "20D⁹"), =HYPERLINK("CSG4.html#group10A4", "10A⁴"), =HYPERLINK("CSG7.html#group20B7", "20B⁷"), =HYPERLINK("CSG7.html#group10A7", "10A⁷"), =HYPERLINK("CSG1.html#group10B1", "10B¹"), =HYPERLINK("CSG2.html#group10B2", "10B²"), =HYPERLINK("CSG2.html#group20F2", "20F²"), =HYPERLINK("CSG1.html#group10E1", "10E¹"), =HYPERLINK("CSG9.html#group20C9", "20C⁹"), =HYPERLINK("CSG1.html#group10F1", "10F¹"), =HYPERLINK("CSG3.html#group10C3", "10C³"), =HYPERLINK("CSG0.html#group20A0", "20A⁰"), =HYPERLINK("CSG0.html#group10E0", "10E⁰"), =HYPERLINK("CSG3.html#group10B3", "10B³"), =HYPERLINK("CSG0.html#group5E0", "5E⁰"), =HYPERLINK("CSG4.html#group20B4", "20B⁴"), =HYPERLINK("CSG1.html#group10C1", "10C¹"), =HYPERLINK("CSG3.html#group20I3", "20I³"), =HYPERLINK("CSG0.html#group5C0", "5C⁰"), =HYPERLINK("CSG0.html#group2C0", "2C⁰"), =HYPERLINK("CSG1.html#group10G1", "10G¹")</f>
        <v/>
      </c>
      <c r="N5511" t="inlineStr"/>
    </row>
    <row r="5512">
      <c r="A5512" t="inlineStr">
        <is>
          <t>20D¹⁹</t>
        </is>
      </c>
      <c r="B5512" t="inlineStr"/>
      <c r="C5512" t="inlineStr">
        <is>
          <t>360</t>
        </is>
      </c>
      <c r="D5512" t="inlineStr">
        <is>
          <t>1</t>
        </is>
      </c>
      <c r="E5512" t="inlineStr">
        <is>
          <t>45</t>
        </is>
      </c>
      <c r="F5512" t="inlineStr">
        <is>
          <t>0</t>
        </is>
      </c>
      <c r="G5512" t="inlineStr">
        <is>
          <t>0</t>
        </is>
      </c>
      <c r="H5512" t="inlineStr">
        <is>
          <t>10¹², 20¹²</t>
        </is>
      </c>
      <c r="I5512" t="n">
        <v>24</v>
      </c>
      <c r="J5512" t="inlineStr">
        <is>
          <t>1³, 2³, 4⁹</t>
        </is>
      </c>
      <c r="K5512">
        <f>HYPERLINK("CSG3.html#group20J3", "20J³"), =HYPERLINK("CSG7.html#group10A7", "10A⁷"), =HYPERLINK("CSG7.html#group20C7", "20C⁷"), =HYPERLINK("CSG7.html#group20P7", "20P⁷"), =HYPERLINK("CSG8.html#group20C8", "20C⁸"), =HYPERLINK("CSG9.html#group20B9", "20B⁹"), =HYPERLINK("CSG10.html#group20A10", "20A¹⁰"), =HYPERLINK("CSG10.html#group20C10", "20C¹⁰"), =HYPERLINK("CSG10.html#group20D10", "20D¹⁰")</f>
        <v/>
      </c>
      <c r="L5512" t="inlineStr"/>
      <c r="M5512">
        <f>HYPERLINK("CSG4.html#group20D4", "20D⁴"), =HYPERLINK("CSG0.html#group2A0", "2A⁰"), =HYPERLINK("CSG0.html#group5A0", "5A⁰"), =HYPERLINK("CSG1.html#group20E1", "20E¹"), =HYPERLINK("CSG2.html#group10A2", "10A²"), =HYPERLINK("CSG4.html#group20E4", "20E⁴"), =HYPERLINK("CSG3.html#group20E3", "20E³"), =HYPERLINK("CSG0.html#group4C0", "4C⁰"), =HYPERLINK("CSG0.html#group5B0", "5B⁰"), =HYPERLINK("CSG1.html#group10A1", "10A¹"), =HYPERLINK("CSG3.html#group10A3", "10A³"), =HYPERLINK("CSG0.html#group2B0", "2B⁰"), =HYPERLINK("CSG0.html#group4E0", "4E⁰"), =HYPERLINK("CSG0.html#group4B0", "4B⁰"), =HYPERLINK("CSG0.html#group1A0", "1A⁰"), =HYPERLINK("CSG10.html#group20A10", "20A¹⁰"), =HYPERLINK("CSG0.html#group10A0", "10A⁰"), =HYPERLINK("CSG1.html#group10I1", "10I¹"), =HYPERLINK("CSG2.html#group10F2", "10F²"), =HYPERLINK("CSG10.html#group20C10", "20C¹⁰"), =HYPERLINK("CSG10.html#group20D10", "20D¹⁰"), =HYPERLINK("CSG5.html#group20C5", "20C⁵"), =HYPERLINK("CSG0.html#group10C0", "10C⁰"), =HYPERLINK("CSG3.html#group20P3", "20P³"), =HYPERLINK("CSG7.html#group20P7", "20P⁷"), =HYPERLINK("CSG3.html#group20J3", "20J³"), =HYPERLINK("CSG0.html#group5G0", "5G⁰"), =HYPERLINK("CSG2.html#group20A2", "20A²"), =HYPERLINK("CSG4.html#group10A4", "10A⁴"), =HYPERLINK("CSG7.html#group10A7", "10A⁷"), =HYPERLINK("CSG1.html#group10B1", "10B¹"), =HYPERLINK("CSG2.html#group20B2", "20B²"), =HYPERLINK("CSG9.html#group20B9", "20B⁹"), =HYPERLINK("CSG1.html#group20D1", "20D¹"), =HYPERLINK("CSG2.html#group10B2", "10B²"), =HYPERLINK("CSG1.html#group10E1", "10E¹"), =HYPERLINK("CSG3.html#group20F3", "20F³"), =HYPERLINK("CSG8.html#group20C8", "20C⁸"), =HYPERLINK("CSG1.html#group10F1", "10F¹"), =HYPERLINK("CSG3.html#group10C3", "10C³"), =HYPERLINK("CSG0.html#group10E0", "10E⁰"), =HYPERLINK("CSG3.html#group10B3", "10B³"), =HYPERLINK("CSG4.html#group20A4", "20A⁴"), =HYPERLINK("CSG0.html#group5E0", "5E⁰"), =HYPERLINK("CSG7.html#group20C7", "20C⁷"), =HYPERLINK("CSG1.html#group10C1", "10C¹"), =HYPERLINK("CSG0.html#group5C0", "5C⁰"), =HYPERLINK("CSG0.html#group2C0", "2C⁰"), =HYPERLINK("CSG1.html#group10G1", "10G¹")</f>
        <v/>
      </c>
      <c r="N5512" t="inlineStr"/>
    </row>
    <row r="5513">
      <c r="A5513" t="inlineStr">
        <is>
          <t>22A¹⁹</t>
        </is>
      </c>
      <c r="B5513" t="inlineStr"/>
      <c r="C5513" t="inlineStr">
        <is>
          <t>330</t>
        </is>
      </c>
      <c r="D5513" t="inlineStr">
        <is>
          <t>2</t>
        </is>
      </c>
      <c r="E5513" t="inlineStr">
        <is>
          <t>165</t>
        </is>
      </c>
      <c r="F5513" t="inlineStr">
        <is>
          <t>8</t>
        </is>
      </c>
      <c r="G5513" t="inlineStr">
        <is>
          <t>0</t>
        </is>
      </c>
      <c r="H5513" t="inlineStr">
        <is>
          <t>22¹⁵</t>
        </is>
      </c>
      <c r="I5513" t="n">
        <v>15</v>
      </c>
      <c r="J5513" t="inlineStr">
        <is>
          <t>10³³</t>
        </is>
      </c>
      <c r="K5513">
        <f>HYPERLINK("CSG5.html#group22C5", "22C⁵"), =HYPERLINK("CSG8.html#group22A8", "22A⁸")</f>
        <v/>
      </c>
      <c r="L5513" t="inlineStr"/>
      <c r="M5513">
        <f>HYPERLINK("CSG1.html#group11C1", "11C¹"), =HYPERLINK("CSG5.html#group22C5", "22C⁵"), =HYPERLINK("CSG0.html#group2B0", "2B⁰"), =HYPERLINK("CSG0.html#group1A0", "1A⁰"), =HYPERLINK("CSG8.html#group22A8", "22A⁸")</f>
        <v/>
      </c>
      <c r="N5513" t="inlineStr"/>
    </row>
    <row r="5514">
      <c r="A5514" t="inlineStr">
        <is>
          <t>24A¹⁹</t>
        </is>
      </c>
      <c r="B5514" t="inlineStr"/>
      <c r="C5514" t="inlineStr">
        <is>
          <t>288</t>
        </is>
      </c>
      <c r="D5514" t="inlineStr">
        <is>
          <t>1</t>
        </is>
      </c>
      <c r="E5514" t="inlineStr">
        <is>
          <t>1</t>
        </is>
      </c>
      <c r="F5514" t="inlineStr">
        <is>
          <t>0</t>
        </is>
      </c>
      <c r="G5514" t="inlineStr">
        <is>
          <t>0</t>
        </is>
      </c>
      <c r="H5514" t="inlineStr">
        <is>
          <t>24¹²</t>
        </is>
      </c>
      <c r="I5514" t="n">
        <v>12</v>
      </c>
      <c r="J5514" t="inlineStr">
        <is>
          <t>1¹</t>
        </is>
      </c>
      <c r="K5514">
        <f>HYPERLINK("CSG3.html#group8A3", "8A³"), =HYPERLINK("CSG6.html#group24A6", "24A⁶"), =HYPERLINK("CSG7.html#group24C7", "24C⁷"), =HYPERLINK("CSG7.html#group24L7", "24L⁷"), =HYPERLINK("CSG9.html#group24C9", "24C⁹")</f>
        <v/>
      </c>
      <c r="L5514" t="inlineStr"/>
      <c r="M5514">
        <f>HYPERLINK("CSG0.html#group2A0", "2A⁰"), =HYPERLINK("CSG3.html#group24A3", "24A³"), =HYPERLINK("CSG0.html#group12C0", "12C⁰"), =HYPERLINK("CSG6.html#group24A6", "24A⁶"), =HYPERLINK("CSG0.html#group4C0", "4C⁰"), =HYPERLINK("CSG1.html#group6C1", "6C¹"), =HYPERLINK("CSG5.html#group24A5", "24A⁵"), =HYPERLINK("CSG2.html#group12B2", "12B²"), =HYPERLINK("CSG0.html#group4G0", "4G⁰"), =HYPERLINK("CSG0.html#group2B0", "2B⁰"), =HYPERLINK("CSG0.html#group8C0", "8C⁰"), =HYPERLINK("CSG0.html#group4E0", "4E⁰"), =HYPERLINK("CSG1.html#group8E1", "8E¹"), =HYPERLINK("CSG0.html#group4B0", "4B⁰"), =HYPERLINK("CSG1.html#group8F1", "8F¹"), =HYPERLINK("CSG0.html#group1A0", "1A⁰"), =HYPERLINK("CSG4.html#group12A4", "12A⁴"), =HYPERLINK("CSG2.html#group24B2", "24B²"), =HYPERLINK("CSG7.html#group24C7", "24C⁷"), =HYPERLINK("CSG0.html#group24A0", "24A⁰"), =HYPERLINK("CSG0.html#group8G0", "8G⁰"), =HYPERLINK("CSG0.html#group4D0", "4D⁰"), =HYPERLINK("CSG2.html#group12A2", "12A²"), =HYPERLINK("CSG7.html#group24L7", "24L⁷"), =HYPERLINK("CSG1.html#group6A1", "6A¹"), =HYPERLINK("CSG1.html#group12B1", "12B¹"), =HYPERLINK("CSG0.html#group3A0", "3A⁰"), =HYPERLINK("CSG1.html#group8A1", "8A¹"), =HYPERLINK("CSG3.html#group8A3", "8A³"), =HYPERLINK("CSG0.html#group8D0", "8D⁰"), =HYPERLINK("CSG1.html#group12E1", "12E¹"), =HYPERLINK("CSG0.html#group8B0", "8B⁰"), =HYPERLINK("CSG1.html#group8B1", "8B¹"), =HYPERLINK("CSG2.html#group24L2", "24L²"), =HYPERLINK("CSG4.html#group24D4", "24D⁴"), =HYPERLINK("CSG1.html#group24F1", "24F¹"), =HYPERLINK("CSG0.html#group8H0", "8H⁰"), =HYPERLINK("CSG0.html#group12A0", "12A⁰"), =HYPERLINK("CSG0.html#group8F0", "8F⁰"), =HYPERLINK("CSG1.html#group8C1", "8C¹"), =HYPERLINK("CSG0.html#group6A0", "6A⁰"), =HYPERLINK("CSG0.html#group4A0", "4A⁰"), =HYPERLINK("CSG1.html#group8I1", "8I¹"), =HYPERLINK("CSG1.html#group24C1", "24C¹"), =HYPERLINK("CSG1.html#group12J1", "12J¹"), =HYPERLINK("CSG0.html#group4F0", "4F⁰"), =HYPERLINK("CSG9.html#group24C9", "24C⁹"), =HYPERLINK("CSG0.html#group2C0", "2C⁰"), =HYPERLINK("CSG0.html#group6D0", "6D⁰"), =HYPERLINK("CSG5.html#group24B5", "24B⁵")</f>
        <v/>
      </c>
      <c r="N5514" t="inlineStr"/>
    </row>
    <row r="5515">
      <c r="A5515" t="inlineStr">
        <is>
          <t>24B¹⁹</t>
        </is>
      </c>
      <c r="B5515" t="inlineStr"/>
      <c r="C5515" t="inlineStr">
        <is>
          <t>288</t>
        </is>
      </c>
      <c r="D5515" t="inlineStr">
        <is>
          <t>1</t>
        </is>
      </c>
      <c r="E5515" t="inlineStr">
        <is>
          <t>3</t>
        </is>
      </c>
      <c r="F5515" t="inlineStr">
        <is>
          <t>0</t>
        </is>
      </c>
      <c r="G5515" t="inlineStr">
        <is>
          <t>0</t>
        </is>
      </c>
      <c r="H5515" t="inlineStr">
        <is>
          <t>24¹²</t>
        </is>
      </c>
      <c r="I5515" t="n">
        <v>12</v>
      </c>
      <c r="J5515" t="inlineStr">
        <is>
          <t>1¹, 2¹</t>
        </is>
      </c>
      <c r="K5515">
        <f>HYPERLINK("CSG7.html#group12B7", "12B⁷"), =HYPERLINK("CSG7.html#group24A7", "24A⁷"), =HYPERLINK("CSG8.html#group24M8", "24M⁸"), =HYPERLINK("CSG9.html#group24V9", "24V⁹"), =HYPERLINK("CSG10.html#group24B10", "24B¹⁰")</f>
        <v/>
      </c>
      <c r="L5515" t="inlineStr"/>
      <c r="M5515">
        <f>HYPERLINK("CSG0.html#group12C0", "12C⁰"), =HYPERLINK("CSG1.html#group6C1", "6C¹"), =HYPERLINK("CSG2.html#group12B2", "12B²"), =HYPERLINK("CSG2.html#group12E2", "12E²"), =HYPERLINK("CSG0.html#group2B0", "2B⁰"), =HYPERLINK("CSG1.html#group12M1", "12M¹"), =HYPERLINK("CSG0.html#group4B0", "4B⁰"), =HYPERLINK("CSG3.html#group12G3", "12G³"), =HYPERLINK("CSG8.html#group24M8", "24M⁸"), =HYPERLINK("CSG0.html#group1A0", "1A⁰"), =HYPERLINK("CSG4.html#group12A4", "12A⁴"), =HYPERLINK("CSG0.html#group4D0", "4D⁰"), =HYPERLINK("CSG0.html#group3C0", "3C⁰"), =HYPERLINK("CSG1.html#group12B1", "12B¹"), =HYPERLINK("CSG0.html#group6H0", "6H⁰"), =HYPERLINK("CSG1.html#group12G1", "12G¹"), =HYPERLINK("CSG1.html#group6E1", "6E¹"), =HYPERLINK("CSG3.html#group24D3", "24D³"), =HYPERLINK("CSG3.html#group12C3", "12C³"), =HYPERLINK("CSG0.html#group12F0", "12F⁰"), =HYPERLINK("CSG1.html#group12L1", "12L¹"), =HYPERLINK("CSG3.html#group12J3", "12J³"), =HYPERLINK("CSG1.html#group12C1", "12C¹"), =HYPERLINK("CSG0.html#group6A0", "6A⁰"), =HYPERLINK("CSG9.html#group24V9", "24V⁹"), =HYPERLINK("CSG1.html#group12J1", "12J¹"), =HYPERLINK("CSG0.html#group4F0", "4F⁰"), =HYPERLINK("CSG0.html#group2C0", "2C⁰"), =HYPERLINK("CSG0.html#group6D0", "6D⁰"), =HYPERLINK("CSG2.html#group24H2", "24H²"), =HYPERLINK("CSG4.html#group24O4", "24O⁴"), =HYPERLINK("CSG2.html#group12I2", "12I²"), =HYPERLINK("CSG0.html#group2A0", "2A⁰"), =HYPERLINK("CSG1.html#group12K1", "12K¹"), =HYPERLINK("CSG2.html#group12D2", "12D²"), =HYPERLINK("CSG0.html#group4C0", "4C⁰"), =HYPERLINK("CSG0.html#group6G0", "6G⁰"), =HYPERLINK("CSG0.html#group4G0", "4G⁰"), =HYPERLINK("CSG0.html#group4E0", "4E⁰"), =HYPERLINK("CSG1.html#group6B1", "6B¹"), =HYPERLINK("CSG4.html#group24B4", "24B⁴"), =HYPERLINK("CSG7.html#group12B7", "12B⁷"), =HYPERLINK("CSG2.html#group12A2", "12A²"), =HYPERLINK("CSG1.html#group6A1", "6A¹"), =HYPERLINK("CSG10.html#group24B10", "24B¹⁰"), =HYPERLINK("CSG0.html#group3A0", "3A⁰"), =HYPERLINK("CSG2.html#group24G2", "24G²"), =HYPERLINK("CSG0.html#group6B0", "6B⁰"), =HYPERLINK("CSG1.html#group12E1", "12E¹"), =HYPERLINK("CSG1.html#group24B1", "24B¹"), =HYPERLINK("CSG7.html#group24A7", "24A⁷"), =HYPERLINK("CSG0.html#group12A0", "12A⁰"), =HYPERLINK("CSG0.html#group4A0", "4A⁰"), =HYPERLINK("CSG0.html#group12D0", "12D⁰"), =HYPERLINK("CSG4.html#group12C4", "12C⁴"), =HYPERLINK("CSG0.html#group12H0", "12H⁰")</f>
        <v/>
      </c>
      <c r="N5515" t="inlineStr"/>
    </row>
    <row r="5516">
      <c r="A5516" t="inlineStr">
        <is>
          <t>24C¹⁹</t>
        </is>
      </c>
      <c r="B5516" t="inlineStr"/>
      <c r="C5516" t="inlineStr">
        <is>
          <t>288</t>
        </is>
      </c>
      <c r="D5516" t="inlineStr">
        <is>
          <t>1</t>
        </is>
      </c>
      <c r="E5516" t="inlineStr">
        <is>
          <t>3</t>
        </is>
      </c>
      <c r="F5516" t="inlineStr">
        <is>
          <t>0</t>
        </is>
      </c>
      <c r="G5516" t="inlineStr">
        <is>
          <t>0</t>
        </is>
      </c>
      <c r="H5516" t="inlineStr">
        <is>
          <t>24¹²</t>
        </is>
      </c>
      <c r="I5516" t="n">
        <v>12</v>
      </c>
      <c r="J5516" t="inlineStr">
        <is>
          <t>1¹, 2¹</t>
        </is>
      </c>
      <c r="K5516">
        <f>HYPERLINK("CSG7.html#group12B7", "12B⁷"), =HYPERLINK("CSG7.html#group24B7", "24B⁷"), =HYPERLINK("CSG8.html#group24N8", "24N⁸"), =HYPERLINK("CSG9.html#group24Y9", "24Y⁹"), =HYPERLINK("CSG10.html#group24A10", "24A¹⁰"), =HYPERLINK("CSG10.html#group24B10", "24B¹⁰")</f>
        <v/>
      </c>
      <c r="L5516" t="inlineStr"/>
      <c r="M5516">
        <f>HYPERLINK("CSG0.html#group12C0", "12C⁰"), =HYPERLINK("CSG1.html#group6C1", "6C¹"), =HYPERLINK("CSG2.html#group12B2", "12B²"), =HYPERLINK("CSG0.html#group8A0", "8A⁰"), =HYPERLINK("CSG2.html#group12E2", "12E²"), =HYPERLINK("CSG0.html#group2B0", "2B⁰"), =HYPERLINK("CSG1.html#group12M1", "12M¹"), =HYPERLINK("CSG0.html#group4B0", "4B⁰"), =HYPERLINK("CSG3.html#group12G3", "12G³"), =HYPERLINK("CSG0.html#group1A0", "1A⁰"), =HYPERLINK("CSG4.html#group12A4", "12A⁴"), =HYPERLINK("CSG1.html#group24A1", "24A¹"), =HYPERLINK("CSG0.html#group4D0", "4D⁰"), =HYPERLINK("CSG9.html#group24Y9", "24Y⁹"), =HYPERLINK("CSG0.html#group3C0", "3C⁰"), =HYPERLINK("CSG1.html#group12B1", "12B¹"), =HYPERLINK("CSG0.html#group6H0", "6H⁰"), =HYPERLINK("CSG1.html#group12G1", "12G¹"), =HYPERLINK("CSG1.html#group6E1", "6E¹"), =HYPERLINK("CSG2.html#group24E2", "24E²"), =HYPERLINK("CSG0.html#group12F0", "12F⁰"), =HYPERLINK("CSG3.html#group12C3", "12C³"), =HYPERLINK("CSG0.html#group8E0", "8E⁰"), =HYPERLINK("CSG1.html#group12L1", "12L¹"), =HYPERLINK("CSG1.html#group8D1", "8D¹"), =HYPERLINK("CSG3.html#group12J3", "12J³"), =HYPERLINK("CSG3.html#group24E3", "24E³"), =HYPERLINK("CSG4.html#group24H4", "24H⁴"), =HYPERLINK("CSG2.html#group24K2", "24K²"), =HYPERLINK("CSG0.html#group6A0", "6A⁰"), =HYPERLINK("CSG1.html#group12C1", "12C¹"), =HYPERLINK("CSG1.html#group12J1", "12J¹"), =HYPERLINK("CSG0.html#group4F0", "4F⁰"), =HYPERLINK("CSG0.html#group2C0", "2C⁰"), =HYPERLINK("CSG0.html#group6D0", "6D⁰"), =HYPERLINK("CSG10.html#group24A10", "24A¹⁰"), =HYPERLINK("CSG0.html#group2A0", "2A⁰"), =HYPERLINK("CSG4.html#group24O4", "24O⁴"), =HYPERLINK("CSG2.html#group12I2", "12I²"), =HYPERLINK("CSG1.html#group12K1", "12K¹"), =HYPERLINK("CSG2.html#group12D2", "12D²"), =HYPERLINK("CSG0.html#group4C0", "4C⁰"), =HYPERLINK("CSG0.html#group6G0", "6G⁰"), =HYPERLINK("CSG0.html#group4G0", "4G⁰"), =HYPERLINK("CSG0.html#group4E0", "4E⁰"), =HYPERLINK("CSG1.html#group6B1", "6B¹"), =HYPERLINK("CSG8.html#group24N8", "24N⁸"), =HYPERLINK("CSG4.html#group24B4", "24B⁴"), =HYPERLINK("CSG7.html#group12B7", "12B⁷"), =HYPERLINK("CSG2.html#group12A2", "12A²"), =HYPERLINK("CSG1.html#group6A1", "6A¹"), =HYPERLINK("CSG10.html#group24B10", "24B¹⁰"), =HYPERLINK("CSG0.html#group3A0", "3A⁰"), =HYPERLINK("CSG0.html#group6B0", "6B⁰"), =HYPERLINK("CSG1.html#group12E1", "12E¹"), =HYPERLINK("CSG4.html#group24A4", "24A⁴"), =HYPERLINK("CSG1.html#group24B1", "24B¹"), =HYPERLINK("CSG2.html#group8A2", "8A²"), =HYPERLINK("CSG0.html#group12A0", "12A⁰"), =HYPERLINK("CSG0.html#group4A0", "4A⁰"), =HYPERLINK("CSG0.html#group12D0", "12D⁰"), =HYPERLINK("CSG4.html#group12C4", "12C⁴"), =HYPERLINK("CSG0.html#group12H0", "12H⁰"), =HYPERLINK("CSG7.html#group24B7", "24B⁷")</f>
        <v/>
      </c>
      <c r="N5516" t="inlineStr"/>
    </row>
    <row r="5517">
      <c r="A5517" t="inlineStr">
        <is>
          <t>24D¹⁹</t>
        </is>
      </c>
      <c r="B5517" t="inlineStr"/>
      <c r="C5517" t="inlineStr">
        <is>
          <t>288</t>
        </is>
      </c>
      <c r="D5517" t="inlineStr">
        <is>
          <t>1</t>
        </is>
      </c>
      <c r="E5517" t="inlineStr">
        <is>
          <t>3</t>
        </is>
      </c>
      <c r="F5517" t="inlineStr">
        <is>
          <t>0</t>
        </is>
      </c>
      <c r="G5517" t="inlineStr">
        <is>
          <t>0</t>
        </is>
      </c>
      <c r="H5517" t="inlineStr">
        <is>
          <t>24¹²</t>
        </is>
      </c>
      <c r="I5517" t="n">
        <v>12</v>
      </c>
      <c r="J5517" t="inlineStr">
        <is>
          <t>1³</t>
        </is>
      </c>
      <c r="K5517">
        <f>HYPERLINK("CSG3.html#group8B3", "8B³"), =HYPERLINK("CSG7.html#group24K7", "24K⁷"), =HYPERLINK("CSG8.html#group24A8", "24A⁸"), =HYPERLINK("CSG9.html#group24C9", "24C⁹"), =HYPERLINK("CSG10.html#group24A10", "24A¹⁰"), =HYPERLINK("CSG10.html#group24C10", "24C¹⁰")</f>
        <v/>
      </c>
      <c r="L5517" t="inlineStr"/>
      <c r="M5517">
        <f>HYPERLINK("CSG10.html#group24A10", "24A¹⁰"), =HYPERLINK("CSG10.html#group24C10", "24C¹⁰"), =HYPERLINK("CSG0.html#group2A0", "2A⁰"), =HYPERLINK("CSG3.html#group8B3", "8B³"), =HYPERLINK("CSG3.html#group24A3", "24A³"), =HYPERLINK("CSG0.html#group12C0", "12C⁰"), =HYPERLINK("CSG0.html#group4C0", "4C⁰"), =HYPERLINK("CSG1.html#group6C1", "6C¹"), =HYPERLINK("CSG0.html#group8A0", "8A⁰"), =HYPERLINK("CSG2.html#group12B2", "12B²"), =HYPERLINK("CSG5.html#group24A5", "24A⁵"),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=HYPERLINK("CSG0.html#group8K0", "8K⁰"), =HYPERLINK("CSG0.html#group1A0", "1A⁰"), =HYPERLINK("CSG1.html#group8H1", "8H¹"), =HYPERLINK("CSG4.html#group12A4", "12A⁴"), =HYPERLINK("CSG2.html#group24B2", "24B²"), =HYPERLINK("CSG1.html#group24A1", "24A¹"), =HYPERLINK("CSG0.html#group24A0", "24A⁰"), =HYPERLINK("CSG0.html#group8G0", "8G⁰"), =HYPERLINK("CSG0.html#group4D0", "4D⁰"), =HYPERLINK("CSG4.html#group24G4", "24G⁴"), =HYPERLINK("CSG2.html#group12A2", "12A²"), =HYPERLINK("CSG1.html#group6A1", "6A¹"), =HYPERLINK("CSG1.html#group12B1", "12B¹"), =HYPERLINK("CSG0.html#group3A0", "3A⁰"), =HYPERLINK("CSG7.html#group24K7", "24K⁷"), =HYPERLINK("CSG0.html#group8N0", "8N⁰"), =HYPERLINK("CSG1.html#group8A1", "8A¹"), =HYPERLINK("CSG8.html#group24A8", "24A⁸"), =HYPERLINK("CSG0.html#group8D0", "8D⁰"), =HYPERLINK("CSG2.html#group24E2", "24E²"), =HYPERLINK("CSG1.html#group12E1", "12E¹"), =HYPERLINK("CSG0.html#group8B0", "8B⁰"), =HYPERLINK("CSG4.html#group24A4", "24A⁴"), =HYPERLINK("CSG0.html#group8E0", "8E⁰"), =HYPERLINK("CSG2.html#group8B2", "8B²"), =HYPERLINK("CSG1.html#group8B1", "8B¹"), =HYPERLINK("CSG2.html#group24L2", "24L²"), =HYPERLINK("CSG1.html#group8D1", "8D¹"), =HYPERLINK("CSG4.html#group24D4", "24D⁴"), =HYPERLINK("CSG3.html#group24J3", "24J³"), =HYPERLINK("CSG0.html#group8H0", "8H⁰"), =HYPERLINK("CSG2.html#group8A2", "8A²"), =HYPERLINK("CSG4.html#group24H4", "24H⁴"), =HYPERLINK("CSG0.html#group12A0", "12A⁰"), =HYPERLINK("CSG0.html#group6A0", "6A⁰"), =HYPERLINK("CSG1.html#group8C1", "8C¹"), =HYPERLINK("CSG0.html#group4A0", "4A⁰"), =HYPERLINK("CSG1.html#group24C1", "24C¹"), =HYPERLINK("CSG1.html#group12J1", "12J¹"), =HYPERLINK("CSG0.html#group4F0", "4F⁰"), =HYPERLINK("CSG9.html#group24C9", "24C⁹"), =HYPERLINK("CSG0.html#group8J0", "8J⁰"), =HYPERLINK("CSG0.html#group2C0", "2C⁰"), =HYPERLINK("CSG0.html#group6D0", "6D⁰"), =HYPERLINK("CSG5.html#group24B5", "24B⁵")</f>
        <v/>
      </c>
      <c r="N5517" t="inlineStr"/>
    </row>
    <row r="5518">
      <c r="A5518" t="inlineStr">
        <is>
          <t>24E¹⁹</t>
        </is>
      </c>
      <c r="B5518" t="inlineStr"/>
      <c r="C5518" t="inlineStr">
        <is>
          <t>288</t>
        </is>
      </c>
      <c r="D5518" t="inlineStr">
        <is>
          <t>1</t>
        </is>
      </c>
      <c r="E5518" t="inlineStr">
        <is>
          <t>6</t>
        </is>
      </c>
      <c r="F5518" t="inlineStr">
        <is>
          <t>0</t>
        </is>
      </c>
      <c r="G5518" t="inlineStr">
        <is>
          <t>0</t>
        </is>
      </c>
      <c r="H5518" t="inlineStr">
        <is>
          <t>24¹²</t>
        </is>
      </c>
      <c r="I5518" t="n">
        <v>12</v>
      </c>
      <c r="J5518" t="inlineStr">
        <is>
          <t>2³</t>
        </is>
      </c>
      <c r="K5518">
        <f>HYPERLINK("CSG6.html#group24C6", "24C⁶"), =HYPERLINK("CSG9.html#group24H9", "24H⁹")</f>
        <v/>
      </c>
      <c r="L5518" t="inlineStr"/>
      <c r="M5518">
        <f>HYPERLINK("CSG0.html#group2A0", "2A⁰"), =HYPERLINK("CSG1.html#group24E1", "24E¹"), =HYPERLINK("CSG0.html#group12C0", "12C⁰"), =HYPERLINK("CSG1.html#group6C1", "6C¹"), =HYPERLINK("CSG0.html#group4C0", "4C⁰"), =HYPERLINK("CSG2.html#group12B2", "12B²"), =HYPERLINK("CSG0.html#group4G0", "4G⁰"), =HYPERLINK("CSG0.html#group2B0", "2B⁰"), =HYPERLINK("CSG3.html#group24P3", "24P³"), =HYPERLINK("CSG0.html#group4E0", "4E⁰"), =HYPERLINK("CSG2.html#group24C2", "24C²"), =HYPERLINK("CSG0.html#group4B0", "4B⁰"), =HYPERLINK("CSG0.html#group1A0", "1A⁰"), =HYPERLINK("CSG5.html#group24F5", "24F⁵"), =HYPERLINK("CSG4.html#group12A4", "12A⁴"), =HYPERLINK("CSG0.html#group4D0", "4D⁰"), =HYPERLINK("CSG2.html#group12A2", "12A²"), =HYPERLINK("CSG2.html#group24D2", "24D²"), =HYPERLINK("CSG1.html#group6A1", "6A¹"), =HYPERLINK("CSG1.html#group12B1", "12B¹"), =HYPERLINK("CSG0.html#group3A0", "3A⁰"), =HYPERLINK("CSG9.html#group24H9", "24H⁹"), =HYPERLINK("CSG1.html#group12E1", "12E¹"), =HYPERLINK("CSG1.html#group24D1", "24D¹"), =HYPERLINK("CSG6.html#group24C6", "24C⁶"), =HYPERLINK("CSG0.html#group12A0", "12A⁰"), =HYPERLINK("CSG0.html#group6A0", "6A⁰"), =HYPERLINK("CSG0.html#group4A0", "4A⁰"), =HYPERLINK("CSG4.html#group24K4", "24K⁴"), =HYPERLINK("CSG4.html#group24E4", "24E⁴"), =HYPERLINK("CSG1.html#group12J1", "12J¹"), =HYPERLINK("CSG0.html#group4F0", "4F⁰"), =HYPERLINK("CSG0.html#group2C0", "2C⁰"), =HYPERLINK("CSG0.html#group6D0", "6D⁰")</f>
        <v/>
      </c>
      <c r="N5518" t="inlineStr"/>
    </row>
    <row r="5519">
      <c r="A5519" t="inlineStr">
        <is>
          <t>24F¹⁹</t>
        </is>
      </c>
      <c r="B5519" t="inlineStr"/>
      <c r="C5519" t="inlineStr">
        <is>
          <t>288</t>
        </is>
      </c>
      <c r="D5519" t="inlineStr">
        <is>
          <t>1</t>
        </is>
      </c>
      <c r="E5519" t="inlineStr">
        <is>
          <t>9</t>
        </is>
      </c>
      <c r="F5519" t="inlineStr">
        <is>
          <t>0</t>
        </is>
      </c>
      <c r="G5519" t="inlineStr">
        <is>
          <t>0</t>
        </is>
      </c>
      <c r="H5519" t="inlineStr">
        <is>
          <t>24¹²</t>
        </is>
      </c>
      <c r="I5519" t="n">
        <v>12</v>
      </c>
      <c r="J5519" t="inlineStr">
        <is>
          <t>1³, 2³</t>
        </is>
      </c>
      <c r="K5519">
        <f>HYPERLINK("CSG7.html#group24AC7", "24AC⁷"), =HYPERLINK("CSG9.html#group24C9", "24C⁹"), =HYPERLINK("CSG9.html#group24H9", "24H⁹")</f>
        <v/>
      </c>
      <c r="L5519" t="inlineStr"/>
      <c r="M5519">
        <f>HYPERLINK("CSG0.html#group2A0", "2A⁰"), =HYPERLINK("CSG3.html#group24A3", "24A³"), =HYPERLINK("CSG1.html#group24E1", "24E¹"), =HYPERLINK("CSG0.html#group12C0", "12C⁰"), =HYPERLINK("CSG7.html#group24AC7", "24AC⁷"), =HYPERLINK("CSG1.html#group6C1", "6C¹"), =HYPERLINK("CSG5.html#group24A5", "24A⁵"), =HYPERLINK("CSG2.html#group12B2", "12B²"), =HYPERLINK("CSG0.html#group4C0", "4C⁰"), =HYPERLINK("CSG0.html#group4G0", "4G⁰"), =HYPERLINK("CSG0.html#group2B0", "2B⁰"), =HYPERLINK("CSG0.html#group4E0", "4E⁰"), =HYPERLINK("CSG0.html#group8C0", "8C⁰"), =HYPERLINK("CSG3.html#group24P3", "24P³"), =HYPERLINK("CSG0.html#group4B0", "4B⁰"), =HYPERLINK("CSG1.html#group8F1", "8F¹"), =HYPERLINK("CSG0.html#group1A0", "1A⁰"), =HYPERLINK("CSG2.html#group24C2", "24C²"), =HYPERLINK("CSG5.html#group24F5", "24F⁵"), =HYPERLINK("CSG4.html#group12A4", "12A⁴"), =HYPERLINK("CSG2.html#group24B2", "24B²"), =HYPERLINK("CSG0.html#group24A0", "24A⁰"), =HYPERLINK("CSG0.html#group8G0", "8G⁰"), =HYPERLINK("CSG0.html#group4D0", "4D⁰"), =HYPERLINK("CSG2.html#group12A2", "12A²"), =HYPERLINK("CSG2.html#group24D2", "24D²"), =HYPERLINK("CSG1.html#group6A1", "6A¹"), =HYPERLINK("CSG1.html#group12B1", "12B¹"), =HYPERLINK("CSG0.html#group3A0", "3A⁰"), =HYPERLINK("CSG9.html#group24H9", "24H⁹"), =HYPERLINK("CSG1.html#group8A1", "8A¹"), =HYPERLINK("CSG0.html#group8D0", "8D⁰"), =HYPERLINK("CSG1.html#group12E1", "12E¹"), =HYPERLINK("CSG0.html#group8B0", "8B⁰"), =HYPERLINK("CSG1.html#group24D1", "24D¹"), =HYPERLINK("CSG1.html#group8B1", "8B¹"), =HYPERLINK("CSG2.html#group24L2", "24L²"), =HYPERLINK("CSG4.html#group24D4", "24D⁴"), =HYPERLINK("CSG0.html#group8H0", "8H⁰"), =HYPERLINK("CSG0.html#group12A0", "12A⁰"), =HYPERLINK("CSG1.html#group8C1", "8C¹"), =HYPERLINK("CSG0.html#group6A0", "6A⁰"), =HYPERLINK("CSG0.html#group4A0", "4A⁰"), =HYPERLINK("CSG4.html#group24K4", "24K⁴"), =HYPERLINK("CSG1.html#group24C1", "24C¹"), =HYPERLINK("CSG4.html#group24E4", "24E⁴"), =HYPERLINK("CSG1.html#group12J1", "12J¹"), =HYPERLINK("CSG0.html#group4F0", "4F⁰"), =HYPERLINK("CSG9.html#group24C9", "24C⁹"), =HYPERLINK("CSG0.html#group2C0", "2C⁰"), =HYPERLINK("CSG0.html#group6D0", "6D⁰"), =HYPERLINK("CSG5.html#group24B5", "24B⁵")</f>
        <v/>
      </c>
      <c r="N5519" t="inlineStr"/>
    </row>
    <row r="5520">
      <c r="A5520" t="inlineStr">
        <is>
          <t>24G¹⁹</t>
        </is>
      </c>
      <c r="B5520" t="inlineStr"/>
      <c r="C5520" t="inlineStr">
        <is>
          <t>288</t>
        </is>
      </c>
      <c r="D5520" t="inlineStr">
        <is>
          <t>1</t>
        </is>
      </c>
      <c r="E5520" t="inlineStr">
        <is>
          <t>9</t>
        </is>
      </c>
      <c r="F5520" t="inlineStr">
        <is>
          <t>0</t>
        </is>
      </c>
      <c r="G5520" t="inlineStr">
        <is>
          <t>0</t>
        </is>
      </c>
      <c r="H5520" t="inlineStr">
        <is>
          <t>24¹²</t>
        </is>
      </c>
      <c r="I5520" t="n">
        <v>12</v>
      </c>
      <c r="J5520" t="inlineStr">
        <is>
          <t>1³, 2³</t>
        </is>
      </c>
      <c r="K5520">
        <f>HYPERLINK("CSG7.html#group24AB7", "24AB⁷"), =HYPERLINK("CSG8.html#group24C8", "24C⁸"), =HYPERLINK("CSG9.html#group24C9", "24C⁹"), =HYPERLINK("CSG10.html#group24B10", "24B¹⁰"), =HYPERLINK("CSG10.html#group24E10", "24E¹⁰")</f>
        <v/>
      </c>
      <c r="L5520" t="inlineStr"/>
      <c r="M5520">
        <f>HYPERLINK("CSG4.html#group24O4", "24O⁴"), =HYPERLINK("CSG0.html#group2A0", "2A⁰"), =HYPERLINK("CSG3.html#group24A3", "24A³"), =HYPERLINK("CSG0.html#group12C0", "12C⁰"), =HYPERLINK("CSG0.html#group4C0", "4C⁰"), =HYPERLINK("CSG1.html#group6C1", "6C¹"), =HYPERLINK("CSG2.html#group12B2", "12B²"), =HYPERLINK("CSG5.html#group24A5", "24A⁵"),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=HYPERLINK("CSG4.html#group12A4", "12A⁴"), =HYPERLINK("CSG2.html#group24B2", "24B²"), =HYPERLINK("CSG0.html#group24A0", "24A⁰"), =HYPERLINK("CSG0.html#group8G0", "8G⁰"), =HYPERLINK("CSG4.html#group24N4", "24N⁴"), =HYPERLINK("CSG0.html#group4D0", "4D⁰"), =HYPERLINK("CSG4.html#group24B4", "24B⁴"), =HYPERLINK("CSG2.html#group12A2", "12A²"), =HYPERLINK("CSG7.html#group24AB7", "24AB⁷"), =HYPERLINK("CSG10.html#group24B10", "24B¹⁰"), =HYPERLINK("CSG3.html#group24R3", "24R³"), =HYPERLINK("CSG1.html#group6A1", "6A¹"), =HYPERLINK("CSG0.html#group3A0", "3A⁰"), =HYPERLINK("CSG1.html#group12B1", "12B¹"), =HYPERLINK("CSG10.html#group24E10", "24E¹⁰"), =HYPERLINK("CSG1.html#group8A1", "8A¹"), =HYPERLINK("CSG0.html#group8D0", "8D⁰"), =HYPERLINK("CSG1.html#group12E1", "12E¹"), =HYPERLINK("CSG0.html#group8B0", "8B⁰"), =HYPERLINK("CSG1.html#group24B1", "24B¹"), =HYPERLINK("CSG1.html#group8B1", "8B¹"), =HYPERLINK("CSG2.html#group24L2", "24L²"), =HYPERLINK("CSG4.html#group24D4", "24D⁴"), =HYPERLINK("CSG0.html#group8H0", "8H⁰"), =HYPERLINK("CSG0.html#group12A0", "12A⁰"), =HYPERLINK("CSG1.html#group8C1", "8C¹"), =HYPERLINK("CSG0.html#group6A0", "6A⁰"), =HYPERLINK("CSG8.html#group24C8", "24C⁸"), =HYPERLINK("CSG0.html#group4A0", "4A⁰"), =HYPERLINK("CSG1.html#group24C1", "24C¹"), =HYPERLINK("CSG1.html#group12J1", "12J¹"), =HYPERLINK("CSG0.html#group4F0", "4F⁰"), =HYPERLINK("CSG9.html#group24C9", "24C⁹"), =HYPERLINK("CSG0.html#group2C0", "2C⁰"), =HYPERLINK("CSG0.html#group6D0", "6D⁰"), =HYPERLINK("CSG5.html#group24B5", "24B⁵")</f>
        <v/>
      </c>
      <c r="N5520" t="inlineStr"/>
    </row>
    <row r="5521">
      <c r="A5521" t="inlineStr">
        <is>
          <t>24H¹⁹</t>
        </is>
      </c>
      <c r="B5521" t="inlineStr"/>
      <c r="C5521" t="inlineStr">
        <is>
          <t>288</t>
        </is>
      </c>
      <c r="D5521" t="inlineStr">
        <is>
          <t>1</t>
        </is>
      </c>
      <c r="E5521" t="inlineStr">
        <is>
          <t>9</t>
        </is>
      </c>
      <c r="F5521" t="inlineStr">
        <is>
          <t>0</t>
        </is>
      </c>
      <c r="G5521" t="inlineStr">
        <is>
          <t>0</t>
        </is>
      </c>
      <c r="H5521" t="inlineStr">
        <is>
          <t>24¹²</t>
        </is>
      </c>
      <c r="I5521" t="n">
        <v>12</v>
      </c>
      <c r="J5521" t="inlineStr">
        <is>
          <t>1³, 2³</t>
        </is>
      </c>
      <c r="K5521">
        <f>HYPERLINK("CSG8.html#group24A8", "24A⁸"), =HYPERLINK("CSG8.html#group24K8", "24K⁸"), =HYPERLINK("CSG9.html#group24H9", "24H⁹"), =HYPERLINK("CSG9.html#group24W9", "24W⁹"), =HYPERLINK("CSG10.html#group24B10", "24B¹⁰")</f>
        <v/>
      </c>
      <c r="L5521" t="inlineStr"/>
      <c r="M5521">
        <f>HYPERLINK("CSG4.html#group24O4", "24O⁴"), =HYPERLINK("CSG0.html#group2A0", "2A⁰"), =HYPERLINK("CSG1.html#group24E1", "24E¹"), =HYPERLINK("CSG0.html#group12C0", "12C⁰"), =HYPERLINK("CSG1.html#group6C1", "6C¹"), =HYPERLINK("CSG0.html#group4C0", "4C⁰"), =HYPERLINK("CSG2.html#group12B2", "12B²"), =HYPERLINK("CSG0.html#group4G0", "4G⁰"), =HYPERLINK("CSG0.html#group2B0", "2B⁰"), =HYPERLINK("CSG3.html#group24P3", "24P³"), =HYPERLINK("CSG0.html#group4E0", "4E⁰"), =HYPERLINK("CSG2.html#group24C2", "24C²"), =HYPERLINK("CSG0.html#group4B0", "4B⁰"), =HYPERLINK("CSG0.html#group1A0", "1A⁰"), =HYPERLINK("CSG0.html#group8K0", "8K⁰"), =HYPERLINK("CSG5.html#group24F5", "24F⁵"), =HYPERLINK("CSG4.html#group12A4", "12A⁴"), =HYPERLINK("CSG0.html#group4D0", "4D⁰"), =HYPERLINK("CSG4.html#group24B4", "24B⁴"), =HYPERLINK("CSG2.html#group12A2", "12A²"), =HYPERLINK("CSG2.html#group24D2", "24D²"), =HYPERLINK("CSG1.html#group6A1", "6A¹"), =HYPERLINK("CSG10.html#group24B10", "24B¹⁰"), =HYPERLINK("CSG1.html#group12B1", "12B¹"), =HYPERLINK("CSG0.html#group3A0", "3A⁰"), =HYPERLINK("CSG9.html#group24H9", "24H⁹"), =HYPERLINK("CSG0.html#group8N0", "8N⁰"), =HYPERLINK("CSG8.html#group24A8", "24A⁸"), =HYPERLINK("CSG1.html#group12E1", "12E¹"), =HYPERLINK("CSG1.html#group24D1", "24D¹"), =HYPERLINK("CSG9.html#group24W9", "24W⁹"), =HYPERLINK("CSG1.html#group24B1", "24B¹"), =HYPERLINK("CSG3.html#group24J3", "24J³"), =HYPERLINK("CSG0.html#group12A0", "12A⁰"), =HYPERLINK("CSG0.html#group6A0", "6A⁰"), =HYPERLINK("CSG0.html#group4A0", "4A⁰"), =HYPERLINK("CSG8.html#group24K8", "24K⁸"), =HYPERLINK("CSG4.html#group24K4", "24K⁴"), =HYPERLINK("CSG4.html#group24E4", "24E⁴"), =HYPERLINK("CSG1.html#group12J1", "12J¹"), =HYPERLINK("CSG0.html#group4F0", "4F⁰"), =HYPERLINK("CSG0.html#group8J0", "8J⁰"), =HYPERLINK("CSG0.html#group2C0", "2C⁰"), =HYPERLINK("CSG0.html#group6D0", "6D⁰"), =HYPERLINK("CSG4.html#group24G4", "24G⁴")</f>
        <v/>
      </c>
      <c r="N5521" t="inlineStr"/>
    </row>
    <row r="5522">
      <c r="A5522" t="inlineStr">
        <is>
          <t>24I¹⁹</t>
        </is>
      </c>
      <c r="B5522" t="inlineStr"/>
      <c r="C5522" t="inlineStr">
        <is>
          <t>288</t>
        </is>
      </c>
      <c r="D5522" t="inlineStr">
        <is>
          <t>1</t>
        </is>
      </c>
      <c r="E5522" t="inlineStr">
        <is>
          <t>9</t>
        </is>
      </c>
      <c r="F5522" t="inlineStr">
        <is>
          <t>0</t>
        </is>
      </c>
      <c r="G5522" t="inlineStr">
        <is>
          <t>0</t>
        </is>
      </c>
      <c r="H5522" t="inlineStr">
        <is>
          <t>24¹²</t>
        </is>
      </c>
      <c r="I5522" t="n">
        <v>12</v>
      </c>
      <c r="J5522" t="inlineStr">
        <is>
          <t>1³, 2³</t>
        </is>
      </c>
      <c r="K5522">
        <f>HYPERLINK("CSG8.html#group24C8", "24C⁸"), =HYPERLINK("CSG8.html#group24L8", "24L⁸"), =HYPERLINK("CSG9.html#group24H9", "24H⁹"), =HYPERLINK("CSG9.html#group24X9", "24X⁹"), =HYPERLINK("CSG10.html#group24A10", "24A¹⁰")</f>
        <v/>
      </c>
      <c r="L5522" t="inlineStr"/>
      <c r="M5522">
        <f>HYPERLINK("CSG10.html#group24A10", "24A¹⁰"), =HYPERLINK("CSG0.html#group2A0", "2A⁰"), =HYPERLINK("CSG1.html#group24E1", "24E¹"), =HYPERLINK("CSG0.html#group12C0", "12C⁰"), =HYPERLINK("CSG1.html#group6C1", "6C¹"), =HYPERLINK("CSG0.html#group4C0", "4C⁰"), =HYPERLINK("CSG2.html#group12B2", "12B²"), =HYPERLINK("CSG0.html#group8A0", "8A⁰"), =HYPERLINK("CSG0.html#group4G0", "4G⁰"), =HYPERLINK("CSG0.html#group2B0", "2B⁰"), =HYPERLINK("CSG0.html#group4E0", "4E⁰"), =HYPERLINK("CSG3.html#group24P3", "24P³"), =HYPERLINK("CSG2.html#group24C2", "24C²"), =HYPERLINK("CSG0.html#group4B0", "4B⁰"), =HYPERLINK("CSG0.html#group1A0", "1A⁰"), =HYPERLINK("CSG5.html#group24F5", "24F⁵"), =HYPERLINK("CSG4.html#group12A4", "12A⁴"), =HYPERLINK("CSG1.html#group24A1", "24A¹"), =HYPERLINK("CSG4.html#group24N4", "24N⁴"), =HYPERLINK("CSG0.html#group4D0", "4D⁰"), =HYPERLINK("CSG2.html#group12A2", "12A²"), =HYPERLINK("CSG2.html#group24D2", "24D²"), =HYPERLINK("CSG1.html#group6A1", "6A¹"), =HYPERLINK("CSG1.html#group12B1", "12B¹"), =HYPERLINK("CSG3.html#group24R3", "24R³"), =HYPERLINK("CSG0.html#group3A0", "3A⁰"), =HYPERLINK("CSG9.html#group24H9", "24H⁹"), =HYPERLINK("CSG2.html#group24E2", "24E²"), =HYPERLINK("CSG1.html#group12E1", "12E¹"), =HYPERLINK("CSG1.html#group24D1", "24D¹"), =HYPERLINK("CSG4.html#group24A4", "24A⁴"), =HYPERLINK("CSG0.html#group8E0", "8E⁰"), =HYPERLINK("CSG1.html#group8D1", "8D¹"), =HYPERLINK("CSG2.html#group8A2", "8A²"), =HYPERLINK("CSG4.html#group24H4", "24H⁴"), =HYPERLINK("CSG0.html#group12A0", "12A⁰"), =HYPERLINK("CSG0.html#group6A0", "6A⁰"), =HYPERLINK("CSG8.html#group24C8", "24C⁸"), =HYPERLINK("CSG0.html#group4A0", "4A⁰"), =HYPERLINK("CSG8.html#group24L8", "24L⁸"), =HYPERLINK("CSG9.html#group24X9", "24X⁹"), =HYPERLINK("CSG4.html#group24K4", "24K⁴"), =HYPERLINK("CSG4.html#group24E4", "24E⁴"), =HYPERLINK("CSG1.html#group12J1", "12J¹"), =HYPERLINK("CSG0.html#group4F0", "4F⁰"), =HYPERLINK("CSG0.html#group2C0", "2C⁰"), =HYPERLINK("CSG0.html#group6D0", "6D⁰")</f>
        <v/>
      </c>
      <c r="N5522" t="inlineStr"/>
    </row>
    <row r="5523">
      <c r="A5523" t="inlineStr">
        <is>
          <t>24J¹⁹</t>
        </is>
      </c>
      <c r="B5523" t="inlineStr"/>
      <c r="C5523" t="inlineStr">
        <is>
          <t>288</t>
        </is>
      </c>
      <c r="D5523" t="inlineStr">
        <is>
          <t>1</t>
        </is>
      </c>
      <c r="E5523" t="inlineStr">
        <is>
          <t>12</t>
        </is>
      </c>
      <c r="F5523" t="inlineStr">
        <is>
          <t>0</t>
        </is>
      </c>
      <c r="G5523" t="inlineStr">
        <is>
          <t>0</t>
        </is>
      </c>
      <c r="H5523" t="inlineStr">
        <is>
          <t>24¹²</t>
        </is>
      </c>
      <c r="I5523" t="n">
        <v>12</v>
      </c>
      <c r="J5523" t="inlineStr">
        <is>
          <t>2², 4²</t>
        </is>
      </c>
      <c r="K5523">
        <f>HYPERLINK("CSG6.html#group24B6", "24B⁶"), =HYPERLINK("CSG7.html#group12C7", "12C⁷"), =HYPERLINK("CSG7.html#group24D7", "24D⁷"), =HYPERLINK("CSG9.html#group24V9", "24V⁹"), =HYPERLINK("CSG9.html#group24Y9", "24Y⁹")</f>
        <v/>
      </c>
      <c r="L5523" t="inlineStr"/>
      <c r="M5523">
        <f>HYPERLINK("CSG4.html#group24O4", "24O⁴"), =HYPERLINK("CSG0.html#group12C0", "12C⁰"), =HYPERLINK("CSG2.html#group24A2", "24A²"), =HYPERLINK("CSG0.html#group4C0", "4C⁰"), =HYPERLINK("CSG2.html#group12C2", "12C²"), =HYPERLINK("CSG0.html#group8A0", "8A⁰"), =HYPERLINK("CSG0.html#group6G0", "6G⁰"), =HYPERLINK("CSG7.html#group24D7", "24D⁷"), =HYPERLINK("CSG0.html#group2B0", "2B⁰"), =HYPERLINK("CSG1.html#group12M1", "12M¹"), =HYPERLINK("CSG0.html#group1A0", "1A⁰"), =HYPERLINK("CSG1.html#group24A1", "24A¹"), =HYPERLINK("CSG1.html#group12A1", "12A¹"), =HYPERLINK("CSG9.html#group24Y9", "24Y⁹"), =HYPERLINK("CSG0.html#group3C0", "3C⁰"), =HYPERLINK("CSG0.html#group6K0", "6K⁰"), =HYPERLINK("CSG6.html#group24B6", "24B⁶"), =HYPERLINK("CSG0.html#group3A0", "3A⁰"), =HYPERLINK("CSG0.html#group6F0", "6F⁰"), =HYPERLINK("CSG1.html#group12G1", "12G¹"), =HYPERLINK("CSG0.html#group3B0", "3B⁰"), =HYPERLINK("CSG3.html#group24D3", "24D³"), =HYPERLINK("CSG3.html#group12B3", "12B³"), =HYPERLINK("CSG1.html#group12F1", "12F¹"), =HYPERLINK("CSG1.html#group24B1", "24B¹"), =HYPERLINK("CSG1.html#group12L1", "12L¹"), =HYPERLINK("CSG1.html#group8D1", "8D¹"), =HYPERLINK("CSG3.html#group12J3", "12J³"), =HYPERLINK("CSG3.html#group24E3", "24E³"), =HYPERLINK("CSG0.html#group12A0", "12A⁰"), =HYPERLINK("CSG4.html#group24H4", "24H⁴"), =HYPERLINK("CSG1.html#group12C1", "12C¹"), =HYPERLINK("CSG3.html#group12D3", "12D³"), =HYPERLINK("CSG3.html#group12I3", "12I³"), =HYPERLINK("CSG0.html#group4A0", "4A⁰"), =HYPERLINK("CSG9.html#group24V9", "24V⁹"), =HYPERLINK("CSG7.html#group12C7", "12C⁷"), =HYPERLINK("CSG1.html#group12J1", "12J¹"), =HYPERLINK("CSG0.html#group4F0", "4F⁰"), =HYPERLINK("CSG2.html#group12G2", "12G²"), =HYPERLINK("CSG0.html#group3D0", "3D⁰"), =HYPERLINK("CSG0.html#group6D0", "6D⁰")</f>
        <v/>
      </c>
      <c r="N5523" t="inlineStr"/>
    </row>
    <row r="5524">
      <c r="A5524" t="inlineStr">
        <is>
          <t>24K¹⁹</t>
        </is>
      </c>
      <c r="B5524" t="inlineStr"/>
      <c r="C5524" t="inlineStr">
        <is>
          <t>288</t>
        </is>
      </c>
      <c r="D5524" t="inlineStr">
        <is>
          <t>1</t>
        </is>
      </c>
      <c r="E5524" t="inlineStr">
        <is>
          <t>18</t>
        </is>
      </c>
      <c r="F5524" t="inlineStr">
        <is>
          <t>0</t>
        </is>
      </c>
      <c r="G5524" t="inlineStr">
        <is>
          <t>0</t>
        </is>
      </c>
      <c r="H5524" t="inlineStr">
        <is>
          <t>24¹²</t>
        </is>
      </c>
      <c r="I5524" t="n">
        <v>12</v>
      </c>
      <c r="J5524" t="inlineStr">
        <is>
          <t>2⁵, 4²</t>
        </is>
      </c>
      <c r="K5524">
        <f>HYPERLINK("CSG7.html#group12D7", "12D⁷"), =HYPERLINK("CSG8.html#group24O8", "24O⁸"), =HYPERLINK("CSG10.html#group24D10", "24D¹⁰")</f>
        <v/>
      </c>
      <c r="L5524" t="inlineStr"/>
      <c r="M5524">
        <f>HYPERLINK("CSG0.html#group2A0", "2A⁰"), =HYPERLINK("CSG0.html#group12C0", "12C⁰"), =HYPERLINK("CSG1.html#group12K1", "12K¹"), =HYPERLINK("CSG10.html#group24D10", "24D¹⁰"), =HYPERLINK("CSG2.html#group12D2", "12D²"), =HYPERLINK("CSG1.html#group6C1", "6C¹"), =HYPERLINK("CSG3.html#group12F3", "12F³"), =HYPERLINK("CSG0.html#group4C0", "4C⁰"), =HYPERLINK("CSG2.html#group12E2", "12E²"), =HYPERLINK("CSG0.html#group6G0", "6G⁰"), =HYPERLINK("CSG4.html#group12B4", "12B⁴"), =HYPERLINK("CSG0.html#group2B0", "2B⁰"), =HYPERLINK("CSG1.html#group12M1", "12M¹"), =HYPERLINK("CSG2.html#group12B2", "12B²"), =HYPERLINK("CSG1.html#group12N1", "12N¹"), =HYPERLINK("CSG0.html#group4E0", "4E⁰"), =HYPERLINK("CSG3.html#group12G3", "12G³"), =HYPERLINK("CSG0.html#group1A0", "1A⁰"), =HYPERLINK("CSG0.html#group4B0", "4B⁰"), =HYPERLINK("CSG2.html#group12H2", "12H²"), =HYPERLINK("CSG1.html#group6B1", "6B¹"), =HYPERLINK("CSG0.html#group3C0", "3C⁰"), =HYPERLINK("CSG1.html#group6A1", "6A¹"), =HYPERLINK("CSG1.html#group12B1", "12B¹"), =HYPERLINK("CSG0.html#group6H0", "6H⁰"), =HYPERLINK("CSG0.html#group3A0", "3A⁰"), =HYPERLINK("CSG1.html#group6E1", "6E¹"), =HYPERLINK("CSG0.html#group6B0", "6B⁰"), =HYPERLINK("CSG1.html#group12H1", "12H¹"), =HYPERLINK("CSG1.html#group12L1", "12L¹"), =HYPERLINK("CSG0.html#group12G0", "12G⁰"), =HYPERLINK("CSG7.html#group12D7", "12D⁷"), =HYPERLINK("CSG1.html#group12C1", "12C¹"), =HYPERLINK("CSG0.html#group6A0", "6A⁰"), =HYPERLINK("CSG3.html#group12I3", "12I³"), =HYPERLINK("CSG8.html#group24O8", "24O⁸"), =HYPERLINK("CSG0.html#group12D0", "12D⁰"), =HYPERLINK("CSG4.html#group12C4", "12C⁴"), =HYPERLINK("CSG0.html#group12H0", "12H⁰"), =HYPERLINK("CSG2.html#group12C2", "12C²"), =HYPERLINK("CSG0.html#group2C0", "2C⁰"), =HYPERLINK("CSG2.html#group24J2", "24J²"), =HYPERLINK("CSG0.html#group6D0", "6D⁰")</f>
        <v/>
      </c>
      <c r="N5524" t="inlineStr"/>
    </row>
    <row r="5525">
      <c r="A5525" t="inlineStr">
        <is>
          <t>24L¹⁹</t>
        </is>
      </c>
      <c r="B5525" t="inlineStr"/>
      <c r="C5525" t="inlineStr">
        <is>
          <t>288</t>
        </is>
      </c>
      <c r="D5525" t="inlineStr">
        <is>
          <t>1</t>
        </is>
      </c>
      <c r="E5525" t="inlineStr">
        <is>
          <t>36</t>
        </is>
      </c>
      <c r="F5525" t="inlineStr">
        <is>
          <t>0</t>
        </is>
      </c>
      <c r="G5525" t="inlineStr">
        <is>
          <t>0</t>
        </is>
      </c>
      <c r="H5525" t="inlineStr">
        <is>
          <t>24¹²</t>
        </is>
      </c>
      <c r="I5525" t="n">
        <v>12</v>
      </c>
      <c r="J5525" t="inlineStr">
        <is>
          <t>2², 4⁴, 8²</t>
        </is>
      </c>
      <c r="K5525">
        <f>HYPERLINK("CSG6.html#group24E6", "24E⁶"), =HYPERLINK("CSG8.html#group24M8", "24M⁸"), =HYPERLINK("CSG9.html#group24Q9", "24Q⁹"), =HYPERLINK("CSG9.html#group24AA9", "24AA⁹"), =HYPERLINK("CSG10.html#group24E10", "24E¹⁰")</f>
        <v/>
      </c>
      <c r="L5525" t="inlineStr"/>
      <c r="M5525">
        <f>HYPERLINK("CSG4.html#group24O4", "24O⁴"), =HYPERLINK("CSG2.html#group12I2", "12I²"), =HYPERLINK("CSG2.html#group24O2", "24O²"), =HYPERLINK("CSG1.html#group24E1", "24E¹"), =HYPERLINK("CSG3.html#group24A3", "24A³"), =HYPERLINK("CSG0.html#group12C0", "12C⁰"), =HYPERLINK("CSG0.html#group4C0", "4C⁰"), =HYPERLINK("CSG1.html#group12M1", "12M¹"), =HYPERLINK("CSG0.html#group2B0", "2B⁰"), =HYPERLINK("CSG2.html#group24C2", "24C²"), =HYPERLINK("CSG8.html#group24M8", "24M⁸"), =HYPERLINK("CSG0.html#group1A0", "1A⁰"), =HYPERLINK("CSG9.html#group24Q9", "24Q⁹"), =HYPERLINK("CSG9.html#group24AA9", "24AA⁹"), =HYPERLINK("CSG3.html#group24R3", "24R³"), =HYPERLINK("CSG0.html#group6H0", "6H⁰"), =HYPERLINK("CSG0.html#group3A0", "3A⁰"), =HYPERLINK("CSG2.html#group24G2", "24G²"), =HYPERLINK("CSG2.html#group24H2", "24H²"), =HYPERLINK("CSG5.html#group24G5", "24G⁵"), =HYPERLINK("CSG10.html#group24E10", "24E¹⁰"), =HYPERLINK("CSG0.html#group6B0", "6B⁰"), =HYPERLINK("CSG1.html#group8A1", "8A¹"), =HYPERLINK("CSG6.html#group24E6", "24E⁶"), =HYPERLINK("CSG0.html#group8D0", "8D⁰"), =HYPERLINK("CSG0.html#group12F0", "12F⁰"), =HYPERLINK("CSG1.html#group24B1", "24B¹"), =HYPERLINK("CSG5.html#group24D5", "24D⁵"), =HYPERLINK("CSG0.html#group12A0", "12A⁰"), =HYPERLINK("CSG1.html#group8C1", "8C¹"), =HYPERLINK("CSG0.html#group4A0", "4A⁰"), =HYPERLINK("CSG4.html#group24K4", "24K⁴"), =HYPERLINK("CSG1.html#group24C1", "24C¹"), =HYPERLINK("CSG1.html#group12J1", "12J¹"), =HYPERLINK("CSG0.html#group12D0", "12D⁰"), =HYPERLINK("CSG0.html#group4F0", "4F⁰"), =HYPERLINK("CSG0.html#group12H0", "12H⁰"), =HYPERLINK("CSG4.html#group24L4", "24L⁴"), =HYPERLINK("CSG0.html#group6D0", "6D⁰"), =HYPERLINK("CSG5.html#group24B5", "24B⁵")</f>
        <v/>
      </c>
      <c r="N5525" t="inlineStr"/>
    </row>
    <row r="5526">
      <c r="A5526" t="inlineStr">
        <is>
          <t>24M¹⁹</t>
        </is>
      </c>
      <c r="B5526" t="inlineStr"/>
      <c r="C5526" t="inlineStr">
        <is>
          <t>288</t>
        </is>
      </c>
      <c r="D5526" t="inlineStr">
        <is>
          <t>1</t>
        </is>
      </c>
      <c r="E5526" t="inlineStr">
        <is>
          <t>36</t>
        </is>
      </c>
      <c r="F5526" t="inlineStr">
        <is>
          <t>0</t>
        </is>
      </c>
      <c r="G5526" t="inlineStr">
        <is>
          <t>0</t>
        </is>
      </c>
      <c r="H5526" t="inlineStr">
        <is>
          <t>24¹²</t>
        </is>
      </c>
      <c r="I5526" t="n">
        <v>12</v>
      </c>
      <c r="J5526" t="inlineStr">
        <is>
          <t>2², 4⁴, 8²</t>
        </is>
      </c>
      <c r="K5526">
        <f>HYPERLINK("CSG7.html#group24X7", "24X⁷"), =HYPERLINK("CSG8.html#group24P8", "24P⁸"), =HYPERLINK("CSG9.html#group24R9", "24R⁹"), =HYPERLINK("CSG9.html#group24V9", "24V⁹"), =HYPERLINK("CSG10.html#group24E10", "24E¹⁰")</f>
        <v/>
      </c>
      <c r="L5526" t="inlineStr"/>
      <c r="M5526">
        <f>HYPERLINK("CSG4.html#group24O4", "24O⁴"), =HYPERLINK("CSG3.html#group24Q3", "24Q³"), =HYPERLINK("CSG3.html#group24A3", "24A³"), =HYPERLINK("CSG1.html#group24E1", "24E¹"), =HYPERLINK("CSG0.html#group12C0", "12C⁰"), =HYPERLINK("CSG0.html#group4C0", "4C⁰"), =HYPERLINK("CSG7.html#group24X7", "24X⁷"), =HYPERLINK("CSG0.html#group6G0", "6G⁰"), =HYPERLINK("CSG0.html#group2B0", "2B⁰"), =HYPERLINK("CSG1.html#group12M1", "12M¹"), =HYPERLINK("CSG3.html#group24P3", "24P³"), =HYPERLINK("CSG5.html#group24E5", "24E⁵"), =HYPERLINK("CSG0.html#group1A0", "1A⁰"), =HYPERLINK("CSG3.html#group24O3", "24O³"), =HYPERLINK("CSG0.html#group3C0", "3C⁰"), =HYPERLINK("CSG3.html#group24R3", "24R³"), =HYPERLINK("CSG0.html#group3A0", "3A⁰"), =HYPERLINK("CSG1.html#group12G1", "12G¹"), =HYPERLINK("CSG5.html#group24G5", "24G⁵"), =HYPERLINK("CSG10.html#group24E10", "24E¹⁰"), =HYPERLINK("CSG1.html#group8A1", "8A¹"), =HYPERLINK("CSG3.html#group24D3", "24D³"), =HYPERLINK("CSG0.html#group8D0", "8D⁰"), =HYPERLINK("CSG1.html#group24D1", "24D¹"), =HYPERLINK("CSG1.html#group24B1", "24B¹"), =HYPERLINK("CSG8.html#group24P8", "24P⁸"), =HYPERLINK("CSG1.html#group12L1", "12L¹"), =HYPERLINK("CSG3.html#group12J3", "12J³"), =HYPERLINK("CSG9.html#group24R9", "24R⁹"), =HYPERLINK("CSG0.html#group12A0", "12A⁰"), =HYPERLINK("CSG1.html#group8C1", "8C¹"), =HYPERLINK("CSG1.html#group12C1", "12C¹"), =HYPERLINK("CSG0.html#group4A0", "4A⁰"), =HYPERLINK("CSG9.html#group24V9", "24V⁹"), =HYPERLINK("CSG1.html#group24C1", "24C¹"), =HYPERLINK("CSG1.html#group12J1", "12J¹"), =HYPERLINK("CSG0.html#group4F0", "4F⁰"), =HYPERLINK("CSG0.html#group6D0", "6D⁰"), =HYPERLINK("CSG5.html#group24B5", "24B⁵")</f>
        <v/>
      </c>
      <c r="N5526" t="inlineStr"/>
    </row>
    <row r="5527">
      <c r="A5527" t="inlineStr">
        <is>
          <t>24N¹⁹</t>
        </is>
      </c>
      <c r="B5527" t="inlineStr"/>
      <c r="C5527" t="inlineStr">
        <is>
          <t>288</t>
        </is>
      </c>
      <c r="D5527" t="inlineStr">
        <is>
          <t>1</t>
        </is>
      </c>
      <c r="E5527" t="inlineStr">
        <is>
          <t>36</t>
        </is>
      </c>
      <c r="F5527" t="inlineStr">
        <is>
          <t>0</t>
        </is>
      </c>
      <c r="G5527" t="inlineStr">
        <is>
          <t>0</t>
        </is>
      </c>
      <c r="H5527" t="inlineStr">
        <is>
          <t>24¹²</t>
        </is>
      </c>
      <c r="I5527" t="n">
        <v>12</v>
      </c>
      <c r="J5527" t="inlineStr">
        <is>
          <t>2², 4⁴, 8²</t>
        </is>
      </c>
      <c r="K5527">
        <f>HYPERLINK("CSG7.html#group24X7", "24X⁷"), =HYPERLINK("CSG9.html#group24P9", "24P⁹"), =HYPERLINK("CSG9.html#group24X9", "24X⁹"), =HYPERLINK("CSG9.html#group24Y9", "24Y⁹"), =HYPERLINK("CSG9.html#group24AA9", "24AA⁹")</f>
        <v/>
      </c>
      <c r="L5527" t="inlineStr"/>
      <c r="M5527">
        <f>HYPERLINK("CSG4.html#group24O4", "24O⁴"), =HYPERLINK("CSG1.html#group24E1", "24E¹"), =HYPERLINK("CSG0.html#group12C0", "12C⁰"), =HYPERLINK("CSG4.html#group24P4", "24P⁴"), =HYPERLINK("CSG0.html#group4C0", "4C⁰"), =HYPERLINK("CSG7.html#group24X7", "24X⁷"), =HYPERLINK("CSG0.html#group6G0", "6G⁰"), =HYPERLINK("CSG0.html#group8A0", "8A⁰"), =HYPERLINK("CSG1.html#group12M1", "12M¹"), =HYPERLINK("CSG0.html#group2B0", "2B⁰"), =HYPERLINK("CSG2.html#group24C2", "24C²"), =HYPERLINK("CSG0.html#group1A0", "1A⁰"), =HYPERLINK("CSG1.html#group24A1", "24A¹"), =HYPERLINK("CSG3.html#group24N3", "24N³"), =HYPERLINK("CSG9.html#group24Y9", "24Y⁹"), =HYPERLINK("CSG0.html#group3C0", "3C⁰"), =HYPERLINK("CSG9.html#group24AA9", "24AA⁹"), =HYPERLINK("CSG3.html#group24R3", "24R³"), =HYPERLINK("CSG0.html#group3A0", "3A⁰"), =HYPERLINK("CSG9.html#group24P9", "24P⁹"), =HYPERLINK("CSG1.html#group12G1", "12G¹"), =HYPERLINK("CSG1.html#group24B1", "24B¹"), =HYPERLINK("CSG1.html#group12L1", "12L¹"), =HYPERLINK("CSG1.html#group8D1", "8D¹"), =HYPERLINK("CSG3.html#group12J3", "12J³"), =HYPERLINK("CSG3.html#group24E3", "24E³"), =HYPERLINK("CSG0.html#group12A0", "12A⁰"), =HYPERLINK("CSG4.html#group24H4", "24H⁴"), =HYPERLINK("CSG1.html#group12C1", "12C¹"), =HYPERLINK("CSG0.html#group4A0", "4A⁰"), =HYPERLINK("CSG5.html#group24C5", "24C⁵"), =HYPERLINK("CSG9.html#group24X9", "24X⁹"), =HYPERLINK("CSG4.html#group24K4", "24K⁴"), =HYPERLINK("CSG1.html#group12J1", "12J¹"), =HYPERLINK("CSG0.html#group4F0", "4F⁰"), =HYPERLINK("CSG0.html#group6D0", "6D⁰")</f>
        <v/>
      </c>
      <c r="N5527" t="inlineStr"/>
    </row>
    <row r="5528">
      <c r="A5528" t="inlineStr">
        <is>
          <t>24O¹⁹</t>
        </is>
      </c>
      <c r="B5528" t="inlineStr"/>
      <c r="C5528" t="inlineStr">
        <is>
          <t>288</t>
        </is>
      </c>
      <c r="D5528" t="inlineStr">
        <is>
          <t>1</t>
        </is>
      </c>
      <c r="E5528" t="inlineStr">
        <is>
          <t>36</t>
        </is>
      </c>
      <c r="F5528" t="inlineStr">
        <is>
          <t>0</t>
        </is>
      </c>
      <c r="G5528" t="inlineStr">
        <is>
          <t>0</t>
        </is>
      </c>
      <c r="H5528" t="inlineStr">
        <is>
          <t>24¹²</t>
        </is>
      </c>
      <c r="I5528" t="n">
        <v>12</v>
      </c>
      <c r="J5528" t="inlineStr">
        <is>
          <t>2², 4⁴, 8²</t>
        </is>
      </c>
      <c r="K5528">
        <f>HYPERLINK("CSG7.html#group24Y7", "24Y⁷"), =HYPERLINK("CSG9.html#group24P9", "24P⁹"), =HYPERLINK("CSG9.html#group24V9", "24V⁹"), =HYPERLINK("CSG9.html#group24W9", "24W⁹"), =HYPERLINK("CSG9.html#group24AA9", "24AA⁹")</f>
        <v/>
      </c>
      <c r="L5528" t="inlineStr"/>
      <c r="M5528">
        <f>HYPERLINK("CSG4.html#group24O4", "24O⁴"), =HYPERLINK("CSG1.html#group24E1", "24E¹"), =HYPERLINK("CSG0.html#group12C0", "12C⁰"), =HYPERLINK("CSG4.html#group24P4", "24P⁴"), =HYPERLINK("CSG0.html#group4C0", "4C⁰"), =HYPERLINK("CSG0.html#group6G0", "6G⁰"), =HYPERLINK("CSG0.html#group2B0", "2B⁰"), =HYPERLINK("CSG1.html#group12M1", "12M¹"), =HYPERLINK("CSG2.html#group24C2", "24C²"), =HYPERLINK("CSG0.html#group1A0", "1A⁰"), =HYPERLINK("CSG0.html#group8K0", "8K⁰"), =HYPERLINK("CSG3.html#group24N3", "24N³"), =HYPERLINK("CSG0.html#group3C0", "3C⁰"), =HYPERLINK("CSG9.html#group24AA9", "24AA⁹"), =HYPERLINK("CSG3.html#group24R3", "24R³"), =HYPERLINK("CSG0.html#group3A0", "3A⁰"), =HYPERLINK("CSG9.html#group24P9", "24P⁹"), =HYPERLINK("CSG1.html#group12G1", "12G¹"), =HYPERLINK("CSG3.html#group24D3", "24D³"), =HYPERLINK("CSG9.html#group24W9", "24W⁹"), =HYPERLINK("CSG1.html#group24B1", "24B¹"), =HYPERLINK("CSG1.html#group12L1", "12L¹"), =HYPERLINK("CSG3.html#group12J3", "12J³"), =HYPERLINK("CSG3.html#group24J3", "24J³"), =HYPERLINK("CSG0.html#group12A0", "12A⁰"), =HYPERLINK("CSG1.html#group12C1", "12C¹"), =HYPERLINK("CSG0.html#group4A0", "4A⁰"), =HYPERLINK("CSG5.html#group24C5", "24C⁵"), =HYPERLINK("CSG9.html#group24V9", "24V⁹"), =HYPERLINK("CSG4.html#group24K4", "24K⁴"), =HYPERLINK("CSG1.html#group12J1", "12J¹"), =HYPERLINK("CSG0.html#group4F0", "4F⁰"), =HYPERLINK("CSG7.html#group24Y7", "24Y⁷"), =HYPERLINK("CSG0.html#group6D0", "6D⁰")</f>
        <v/>
      </c>
      <c r="N5528" t="inlineStr"/>
    </row>
    <row r="5529">
      <c r="A5529" t="inlineStr">
        <is>
          <t>24P¹⁹</t>
        </is>
      </c>
      <c r="B5529" t="inlineStr"/>
      <c r="C5529" t="inlineStr">
        <is>
          <t>288</t>
        </is>
      </c>
      <c r="D5529" t="inlineStr">
        <is>
          <t>1</t>
        </is>
      </c>
      <c r="E5529" t="inlineStr">
        <is>
          <t>36</t>
        </is>
      </c>
      <c r="F5529" t="inlineStr">
        <is>
          <t>0</t>
        </is>
      </c>
      <c r="G5529" t="inlineStr">
        <is>
          <t>0</t>
        </is>
      </c>
      <c r="H5529" t="inlineStr">
        <is>
          <t>24¹²</t>
        </is>
      </c>
      <c r="I5529" t="n">
        <v>12</v>
      </c>
      <c r="J5529" t="inlineStr">
        <is>
          <t>2², 4⁴, 8²</t>
        </is>
      </c>
      <c r="K5529">
        <f>HYPERLINK("CSG6.html#group24F6", "24F⁶"), =HYPERLINK("CSG8.html#group24N8", "24N⁸"), =HYPERLINK("CSG9.html#group24Q9", "24Q⁹"), =HYPERLINK("CSG9.html#group24W9", "24W⁹"), =HYPERLINK("CSG9.html#group24X9", "24X⁹"), =HYPERLINK("CSG10.html#group24C10", "24C¹⁰"), =HYPERLINK("CSG10.html#group24E10", "24E¹⁰")</f>
        <v/>
      </c>
      <c r="L5529" t="inlineStr"/>
      <c r="M5529">
        <f>HYPERLINK("CSG10.html#group24C10", "24C¹⁰"), =HYPERLINK("CSG2.html#group12I2", "12I²"), =HYPERLINK("CSG3.html#group24A3", "24A³"), =HYPERLINK("CSG2.html#group24O2", "24O²"), =HYPERLINK("CSG1.html#group24E1", "24E¹"), =HYPERLINK("CSG4.html#group24O4", "24O⁴"), =HYPERLINK("CSG0.html#group12C0", "12C⁰"), =HYPERLINK("CSG0.html#group4C0", "4C⁰"), =HYPERLINK("CSG0.html#group8A0", "8A⁰"), =HYPERLINK("CSG6.html#group24F6", "24F⁶"), =HYPERLINK("CSG0.html#group2B0", "2B⁰"), =HYPERLINK("CSG1.html#group12M1", "12M¹"), =HYPERLINK("CSG2.html#group24C2", "24C²"), =HYPERLINK("CSG0.html#group1A0", "1A⁰"), =HYPERLINK("CSG0.html#group8K0", "8K⁰"), =HYPERLINK("CSG9.html#group24Q9", "24Q⁹"), =HYPERLINK("CSG1.html#group24A1", "24A¹"), =HYPERLINK("CSG8.html#group24N8", "24N⁸"), =HYPERLINK("CSG3.html#group24R3", "24R³"), =HYPERLINK("CSG0.html#group6H0", "6H⁰"), =HYPERLINK("CSG0.html#group3A0", "3A⁰"), =HYPERLINK("CSG5.html#group24G5", "24G⁵"), =HYPERLINK("CSG10.html#group24E10", "24E¹⁰"), =HYPERLINK("CSG0.html#group6B0", "6B⁰"), =HYPERLINK("CSG1.html#group8A1", "8A¹"), =HYPERLINK("CSG0.html#group8D0", "8D⁰"), =HYPERLINK("CSG2.html#group8B2", "8B²"), =HYPERLINK("CSG0.html#group12F0", "12F⁰"), =HYPERLINK("CSG9.html#group24W9", "24W⁹"), =HYPERLINK("CSG1.html#group24B1", "24B¹"), =HYPERLINK("CSG1.html#group8D1", "8D¹"), =HYPERLINK("CSG3.html#group24J3", "24J³"), =HYPERLINK("CSG5.html#group24D5", "24D⁵"), =HYPERLINK("CSG4.html#group24H4", "24H⁴"), =HYPERLINK("CSG0.html#group12A0", "12A⁰"), =HYPERLINK("CSG1.html#group8C1", "8C¹"), =HYPERLINK("CSG2.html#group24K2", "24K²"), =HYPERLINK("CSG0.html#group4A0", "4A⁰"), =HYPERLINK("CSG9.html#group24X9", "24X⁹"), =HYPERLINK("CSG1.html#group24C1", "24C¹"), =HYPERLINK("CSG4.html#group24K4", "24K⁴"), =HYPERLINK("CSG1.html#group12J1", "12J¹"), =HYPERLINK("CSG0.html#group12D0", "12D⁰"), =HYPERLINK("CSG0.html#group4F0", "4F⁰"), =HYPERLINK("CSG0.html#group12H0", "12H⁰"), =HYPERLINK("CSG4.html#group24L4", "24L⁴"), =HYPERLINK("CSG0.html#group6D0", "6D⁰"), =HYPERLINK("CSG5.html#group24B5", "24B⁵")</f>
        <v/>
      </c>
      <c r="N5529" t="inlineStr"/>
    </row>
    <row r="5530">
      <c r="A5530" t="inlineStr">
        <is>
          <t>24Q¹⁹</t>
        </is>
      </c>
      <c r="B5530" t="inlineStr"/>
      <c r="C5530" t="inlineStr">
        <is>
          <t>288</t>
        </is>
      </c>
      <c r="D5530" t="inlineStr">
        <is>
          <t>1</t>
        </is>
      </c>
      <c r="E5530" t="inlineStr">
        <is>
          <t>36</t>
        </is>
      </c>
      <c r="F5530" t="inlineStr">
        <is>
          <t>0</t>
        </is>
      </c>
      <c r="G5530" t="inlineStr">
        <is>
          <t>0</t>
        </is>
      </c>
      <c r="H5530" t="inlineStr">
        <is>
          <t>24¹²</t>
        </is>
      </c>
      <c r="I5530" t="n">
        <v>12</v>
      </c>
      <c r="J5530" t="inlineStr">
        <is>
          <t>2², 4⁴, 8²</t>
        </is>
      </c>
      <c r="K5530">
        <f>HYPERLINK("CSG7.html#group24Y7", "24Y⁷"), =HYPERLINK("CSG8.html#group24K8", "24K⁸"), =HYPERLINK("CSG8.html#group24L8", "24L⁸"), =HYPERLINK("CSG9.html#group24R9", "24R⁹"), =HYPERLINK("CSG9.html#group24Y9", "24Y⁹"), =HYPERLINK("CSG10.html#group24C10", "24C¹⁰"), =HYPERLINK("CSG10.html#group24E10", "24E¹⁰")</f>
        <v/>
      </c>
      <c r="L5530" t="inlineStr"/>
      <c r="M5530">
        <f>HYPERLINK("CSG10.html#group24C10", "24C¹⁰"), =HYPERLINK("CSG4.html#group24O4", "24O⁴"), =HYPERLINK("CSG3.html#group24A3", "24A³"), =HYPERLINK("CSG1.html#group24E1", "24E¹"), =HYPERLINK("CSG3.html#group24Q3", "24Q³"), =HYPERLINK("CSG0.html#group12C0", "12C⁰"), =HYPERLINK("CSG0.html#group4C0", "4C⁰"), =HYPERLINK("CSG0.html#group8A0", "8A⁰"), =HYPERLINK("CSG0.html#group6G0", "6G⁰"), =HYPERLINK("CSG0.html#group2B0", "2B⁰"), =HYPERLINK("CSG3.html#group24P3", "24P³"), =HYPERLINK("CSG1.html#group12M1", "12M¹"), =HYPERLINK("CSG5.html#group24E5", "24E⁵"), =HYPERLINK("CSG0.html#group1A0", "1A⁰"), =HYPERLINK("CSG0.html#group8K0", "8K⁰"), =HYPERLINK("CSG3.html#group24O3", "24O³"), =HYPERLINK("CSG1.html#group24A1", "24A¹"), =HYPERLINK("CSG9.html#group24Y9", "24Y⁹"), =HYPERLINK("CSG0.html#group3C0", "3C⁰"), =HYPERLINK("CSG3.html#group24R3", "24R³"), =HYPERLINK("CSG0.html#group3A0", "3A⁰"), =HYPERLINK("CSG1.html#group12G1", "12G¹"), =HYPERLINK("CSG5.html#group24G5", "24G⁵"), =HYPERLINK("CSG10.html#group24E10", "24E¹⁰"), =HYPERLINK("CSG1.html#group8A1", "8A¹"), =HYPERLINK("CSG0.html#group8D0", "8D⁰"), =HYPERLINK("CSG2.html#group8B2", "8B²"), =HYPERLINK("CSG1.html#group24D1", "24D¹"), =HYPERLINK("CSG1.html#group24B1", "24B¹"), =HYPERLINK("CSG1.html#group12L1", "12L¹"), =HYPERLINK("CSG1.html#group8D1", "8D¹"), =HYPERLINK("CSG3.html#group12J3", "12J³"), =HYPERLINK("CSG9.html#group24R9", "24R⁹"), =HYPERLINK("CSG3.html#group24J3", "24J³"), =HYPERLINK("CSG3.html#group24E3", "24E³"), =HYPERLINK("CSG4.html#group24H4", "24H⁴"), =HYPERLINK("CSG0.html#group12A0", "12A⁰"), =HYPERLINK("CSG1.html#group8C1", "8C¹"), =HYPERLINK("CSG1.html#group12C1", "12C¹"), =HYPERLINK("CSG0.html#group4A0", "4A⁰"), =HYPERLINK("CSG8.html#group24K8", "24K⁸"), =HYPERLINK("CSG8.html#group24L8", "24L⁸"), =HYPERLINK("CSG1.html#group24C1", "24C¹"), =HYPERLINK("CSG1.html#group12J1", "12J¹"), =HYPERLINK("CSG0.html#group4F0", "4F⁰"), =HYPERLINK("CSG7.html#group24Y7", "24Y⁷"), =HYPERLINK("CSG0.html#group6D0", "6D⁰"), =HYPERLINK("CSG5.html#group24B5", "24B⁵")</f>
        <v/>
      </c>
      <c r="N5530" t="inlineStr"/>
    </row>
    <row r="5531">
      <c r="A5531" t="inlineStr">
        <is>
          <t>24R¹⁹</t>
        </is>
      </c>
      <c r="B5531" t="inlineStr"/>
      <c r="C5531" t="inlineStr">
        <is>
          <t>288</t>
        </is>
      </c>
      <c r="D5531" t="inlineStr">
        <is>
          <t>1</t>
        </is>
      </c>
      <c r="E5531" t="inlineStr">
        <is>
          <t>72</t>
        </is>
      </c>
      <c r="F5531" t="inlineStr">
        <is>
          <t>0</t>
        </is>
      </c>
      <c r="G5531" t="inlineStr">
        <is>
          <t>0</t>
        </is>
      </c>
      <c r="H5531" t="inlineStr">
        <is>
          <t>24¹²</t>
        </is>
      </c>
      <c r="I5531" t="n">
        <v>12</v>
      </c>
      <c r="J5531" t="inlineStr">
        <is>
          <t>4¹⁰, 8⁴</t>
        </is>
      </c>
      <c r="K5531">
        <f>HYPERLINK("CSG6.html#group24J6", "24J⁶"), =HYPERLINK("CSG8.html#group24O8", "24O⁸"), =HYPERLINK("CSG9.html#group24M9", "24M⁹")</f>
        <v/>
      </c>
      <c r="L5531" t="inlineStr"/>
      <c r="M5531">
        <f>HYPERLINK("CSG5.html#group24G5", "24G⁵"), =HYPERLINK("CSG1.html#group24E1", "24E¹"), =HYPERLINK("CSG3.html#group24A3", "24A³"), =HYPERLINK("CSG0.html#group6B0", "6B⁰"), =HYPERLINK("CSG0.html#group12C0", "12C⁰"), =HYPERLINK("CSG1.html#group8A1", "8A¹"), =HYPERLINK("CSG4.html#group24P4", "24P⁴"), =HYPERLINK("CSG2.html#group24N2", "24N²"), =HYPERLINK("CSG0.html#group4C0", "4C⁰"), =HYPERLINK("CSG1.html#group12M1", "12M¹"), =HYPERLINK("CSG9.html#group24M9", "24M⁹"), =HYPERLINK("CSG6.html#group24J6", "24J⁶"), =HYPERLINK("CSG0.html#group2B0", "2B⁰"), =HYPERLINK("CSG0.html#group12H0", "12H⁰"), =HYPERLINK("CSG2.html#group24C2", "24C²"), =HYPERLINK("CSG0.html#group1A0", "1A⁰"), =HYPERLINK("CSG2.html#group12H2", "12H²"), =HYPERLINK("CSG5.html#group24D5", "24D⁵"), =HYPERLINK("CSG8.html#group24O8", "24O⁸"), =HYPERLINK("CSG0.html#group12D0", "12D⁰"), =HYPERLINK("CSG0.html#group6H0", "6H⁰"), =HYPERLINK("CSG0.html#group3A0", "3A⁰"), =HYPERLINK("CSG0.html#group6D0", "6D⁰")</f>
        <v/>
      </c>
      <c r="N5531" t="inlineStr"/>
    </row>
    <row r="5532">
      <c r="A5532" t="inlineStr">
        <is>
          <t>24S¹⁹</t>
        </is>
      </c>
      <c r="B5532" t="inlineStr"/>
      <c r="C5532" t="inlineStr">
        <is>
          <t>288</t>
        </is>
      </c>
      <c r="D5532" t="inlineStr">
        <is>
          <t>2</t>
        </is>
      </c>
      <c r="E5532" t="inlineStr">
        <is>
          <t>9</t>
        </is>
      </c>
      <c r="F5532" t="inlineStr">
        <is>
          <t>0</t>
        </is>
      </c>
      <c r="G5532" t="inlineStr">
        <is>
          <t>0</t>
        </is>
      </c>
      <c r="H5532" t="inlineStr">
        <is>
          <t>24¹²</t>
        </is>
      </c>
      <c r="I5532" t="n">
        <v>12</v>
      </c>
      <c r="J5532" t="inlineStr">
        <is>
          <t>2⁹</t>
        </is>
      </c>
      <c r="K5532">
        <f>HYPERLINK("CSG8.html#group24C8", "24C⁸"), =HYPERLINK("CSG8.html#group24P8", "24P⁸"), =HYPERLINK("CSG9.html#group24H9", "24H⁹"), =HYPERLINK("CSG9.html#group24AA9", "24AA⁹"), =HYPERLINK("CSG10.html#group24B10", "24B¹⁰")</f>
        <v/>
      </c>
      <c r="L5532" t="inlineStr"/>
      <c r="M5532">
        <f>HYPERLINK("CSG4.html#group24O4", "24O⁴"), =HYPERLINK("CSG0.html#group2A0", "2A⁰"), =HYPERLINK("CSG1.html#group24E1", "24E¹"), =HYPERLINK("CSG0.html#group12C0", "12C⁰"), =HYPERLINK("CSG1.html#group6C1", "6C¹"), =HYPERLINK("CSG0.html#group4C0", "4C⁰"), =HYPERLINK("CSG2.html#group12B2", "12B²"), =HYPERLINK("CSG0.html#group4G0", "4G⁰"), =HYPERLINK("CSG0.html#group2B0", "2B⁰"), =HYPERLINK("CSG3.html#group24P3", "24P³"), =HYPERLINK("CSG0.html#group4E0", "4E⁰"), =HYPERLINK("CSG2.html#group24C2", "24C²"), =HYPERLINK("CSG0.html#group4B0", "4B⁰"), =HYPERLINK("CSG0.html#group1A0", "1A⁰"), =HYPERLINK("CSG5.html#group24F5", "24F⁵"), =HYPERLINK("CSG4.html#group12A4", "12A⁴"), =HYPERLINK("CSG4.html#group24N4", "24N⁴"), =HYPERLINK("CSG0.html#group4D0", "4D⁰"), =HYPERLINK("CSG4.html#group24B4", "24B⁴"), =HYPERLINK("CSG2.html#group12A2", "12A²"), =HYPERLINK("CSG2.html#group24D2", "24D²"), =HYPERLINK("CSG9.html#group24AA9", "24AA⁹"), =HYPERLINK("CSG1.html#group6A1", "6A¹"), =HYPERLINK("CSG10.html#group24B10", "24B¹⁰"), =HYPERLINK("CSG1.html#group12B1", "12B¹"), =HYPERLINK("CSG3.html#group24R3", "24R³"), =HYPERLINK("CSG0.html#group3A0", "3A⁰"), =HYPERLINK("CSG9.html#group24H9", "24H⁹"), =HYPERLINK("CSG1.html#group12E1", "12E¹"), =HYPERLINK("CSG1.html#group24D1", "24D¹"), =HYPERLINK("CSG1.html#group24B1", "24B¹"), =HYPERLINK("CSG8.html#group24P8", "24P⁸"), =HYPERLINK("CSG0.html#group12A0", "12A⁰"), =HYPERLINK("CSG0.html#group6A0", "6A⁰"), =HYPERLINK("CSG8.html#group24C8", "24C⁸"), =HYPERLINK("CSG0.html#group4A0", "4A⁰"), =HYPERLINK("CSG4.html#group24K4", "24K⁴"), =HYPERLINK("CSG4.html#group24E4", "24E⁴"), =HYPERLINK("CSG1.html#group12J1", "12J¹"), =HYPERLINK("CSG0.html#group4F0", "4F⁰"), =HYPERLINK("CSG0.html#group2C0", "2C⁰"), =HYPERLINK("CSG0.html#group6D0", "6D⁰")</f>
        <v/>
      </c>
      <c r="N5532" t="inlineStr"/>
    </row>
    <row r="5533">
      <c r="A5533" t="inlineStr">
        <is>
          <t>27A¹⁹</t>
        </is>
      </c>
      <c r="B5533" t="inlineStr"/>
      <c r="C5533" t="inlineStr">
        <is>
          <t>324</t>
        </is>
      </c>
      <c r="D5533" t="inlineStr">
        <is>
          <t>1</t>
        </is>
      </c>
      <c r="E5533" t="inlineStr">
        <is>
          <t>4</t>
        </is>
      </c>
      <c r="F5533" t="inlineStr">
        <is>
          <t>0</t>
        </is>
      </c>
      <c r="G5533" t="inlineStr">
        <is>
          <t>0</t>
        </is>
      </c>
      <c r="H5533" t="inlineStr">
        <is>
          <t>9⁹, 27⁹</t>
        </is>
      </c>
      <c r="I5533" t="n">
        <v>18</v>
      </c>
      <c r="J5533" t="inlineStr">
        <is>
          <t>1², 2¹</t>
        </is>
      </c>
      <c r="K5533">
        <f>HYPERLINK("CSG1.html#group9H1", "9H¹"), =HYPERLINK("CSG6.html#group27A6", "27A⁶"), =HYPERLINK("CSG7.html#group27A7", "27A⁷")</f>
        <v/>
      </c>
      <c r="L5533" t="inlineStr"/>
      <c r="M5533">
        <f>HYPERLINK("CSG7.html#group27A7", "27A⁷"), =HYPERLINK("CSG0.html#group3B0", "3B⁰"), =HYPERLINK("CSG0.html#group9J0", "9J⁰"), =HYPERLINK("CSG6.html#group27A6", "27A⁶"), =HYPERLINK("CSG1.html#group9H1", "9H¹"), =HYPERLINK("CSG0.html#group9B0", "9B⁰"), =HYPERLINK("CSG0.html#group9E0", "9E⁰"), =HYPERLINK("CSG0.html#group9C0", "9C⁰"), =HYPERLINK("CSG0.html#group1A0", "1A⁰"), =HYPERLINK("CSG1.html#group9A1", "9A¹"), =HYPERLINK("CSG0.html#group9I0", "9I⁰"), =HYPERLINK("CSG0.html#group3C0", "3C⁰"), =HYPERLINK("CSG1.html#group9C1", "9C¹"), =HYPERLINK("CSG0.html#group9H0", "9H⁰"), =HYPERLINK("CSG0.html#group3A0", "3A⁰"), =HYPERLINK("CSG1.html#group9D1", "9D¹"), =HYPERLINK("CSG0.html#group3D0", "3D⁰")</f>
        <v/>
      </c>
      <c r="N5533" t="inlineStr"/>
    </row>
    <row r="5534">
      <c r="A5534" t="inlineStr">
        <is>
          <t>27B¹⁹</t>
        </is>
      </c>
      <c r="B5534" t="inlineStr"/>
      <c r="C5534" t="inlineStr">
        <is>
          <t>324</t>
        </is>
      </c>
      <c r="D5534" t="inlineStr">
        <is>
          <t>1</t>
        </is>
      </c>
      <c r="E5534" t="inlineStr">
        <is>
          <t>4</t>
        </is>
      </c>
      <c r="F5534" t="inlineStr">
        <is>
          <t>0</t>
        </is>
      </c>
      <c r="G5534" t="inlineStr">
        <is>
          <t>0</t>
        </is>
      </c>
      <c r="H5534" t="inlineStr">
        <is>
          <t>9⁹, 27⁹</t>
        </is>
      </c>
      <c r="I5534" t="n">
        <v>18</v>
      </c>
      <c r="J5534" t="inlineStr">
        <is>
          <t>1², 2¹</t>
        </is>
      </c>
      <c r="K5534">
        <f>HYPERLINK("CSG1.html#group9H1", "9H¹"), =HYPERLINK("CSG4.html#group27D4", "27D⁴"), =HYPERLINK("CSG7.html#group27B7", "27B⁷"), =HYPERLINK("CSG7.html#group27C7", "27C⁷"), =HYPERLINK("CSG7.html#group27D7", "27D⁷"), =HYPERLINK("CSG7.html#group27E7", "27E⁷")</f>
        <v/>
      </c>
      <c r="L5534" t="inlineStr"/>
      <c r="M5534">
        <f>HYPERLINK("CSG0.html#group3B0", "3B⁰"), =HYPERLINK("CSG7.html#group27B7", "27B⁷"), =HYPERLINK("CSG0.html#group9J0", "9J⁰"), =HYPERLINK("CSG1.html#group9H1", "9H¹"), =HYPERLINK("CSG7.html#group27C7", "27C⁷"), =HYPERLINK("CSG0.html#group9B0", "9B⁰"), =HYPERLINK("CSG1.html#group27B1", "27B¹"), =HYPERLINK("CSG0.html#group9C0", "9C⁰"), =HYPERLINK("CSG0.html#group9E0", "9E⁰"), =HYPERLINK("CSG0.html#group1A0", "1A⁰"), =HYPERLINK("CSG7.html#group27E7", "27E⁷"), =HYPERLINK("CSG4.html#group27D4", "27D⁴"), =HYPERLINK("CSG2.html#group27B2", "27B²"), =HYPERLINK("CSG1.html#group9A1", "9A¹"), =HYPERLINK("CSG0.html#group9I0", "9I⁰"), =HYPERLINK("CSG7.html#group27D7", "27D⁷"), =HYPERLINK("CSG1.html#group9C1", "9C¹"), =HYPERLINK("CSG0.html#group3C0", "3C⁰"), =HYPERLINK("CSG0.html#group9H0", "9H⁰"), =HYPERLINK("CSG0.html#group3A0", "3A⁰"), =HYPERLINK("CSG1.html#group9D1", "9D¹"), =HYPERLINK("CSG0.html#group3D0", "3D⁰"), =HYPERLINK("CSG3.html#group27A3", "27A³")</f>
        <v/>
      </c>
      <c r="N5534" t="inlineStr"/>
    </row>
    <row r="5535">
      <c r="A5535" t="inlineStr">
        <is>
          <t>27C¹⁹</t>
        </is>
      </c>
      <c r="B5535" t="inlineStr"/>
      <c r="C5535" t="inlineStr">
        <is>
          <t>324</t>
        </is>
      </c>
      <c r="D5535" t="inlineStr">
        <is>
          <t>1</t>
        </is>
      </c>
      <c r="E5535" t="inlineStr">
        <is>
          <t>36</t>
        </is>
      </c>
      <c r="F5535" t="inlineStr">
        <is>
          <t>0</t>
        </is>
      </c>
      <c r="G5535" t="inlineStr">
        <is>
          <t>0</t>
        </is>
      </c>
      <c r="H5535" t="inlineStr">
        <is>
          <t>9⁹, 27⁹</t>
        </is>
      </c>
      <c r="I5535" t="n">
        <v>18</v>
      </c>
      <c r="J5535" t="inlineStr">
        <is>
          <t>3², 6⁵</t>
        </is>
      </c>
      <c r="K5535">
        <f>HYPERLINK("CSG3.html#group9A3", "9A³"), =HYPERLINK("CSG3.html#group27C3", "27C³"), =HYPERLINK("CSG6.html#group27A6", "27A⁶"), =HYPERLINK("CSG7.html#group27B7", "27B⁷")</f>
        <v/>
      </c>
      <c r="L5535" t="inlineStr"/>
      <c r="M5535">
        <f>HYPERLINK("CSG0.html#group3B0", "3B⁰"), =HYPERLINK("CSG7.html#group27B7", "27B⁷"), =HYPERLINK("CSG3.html#group27C3", "27C³"), =HYPERLINK("CSG0.html#group9J0", "9J⁰"), =HYPERLINK("CSG6.html#group27A6", "27A⁶"), =HYPERLINK("CSG3.html#group9A3", "9A³"), =HYPERLINK("CSG1.html#group27B1", "27B¹"), =HYPERLINK("CSG0.html#group9C0", "9C⁰"), =HYPERLINK("CSG0.html#group9F0", "9F⁰"), =HYPERLINK("CSG0.html#group1A0", "1A⁰"), =HYPERLINK("CSG3.html#group27A3", "27A³")</f>
        <v/>
      </c>
      <c r="N5535" t="inlineStr"/>
    </row>
    <row r="5536">
      <c r="A5536" t="inlineStr">
        <is>
          <t>27D¹⁹</t>
        </is>
      </c>
      <c r="B5536" t="inlineStr"/>
      <c r="C5536" t="inlineStr">
        <is>
          <t>324</t>
        </is>
      </c>
      <c r="D5536" t="inlineStr">
        <is>
          <t>1</t>
        </is>
      </c>
      <c r="E5536" t="inlineStr">
        <is>
          <t>36</t>
        </is>
      </c>
      <c r="F5536" t="inlineStr">
        <is>
          <t>0</t>
        </is>
      </c>
      <c r="G5536" t="inlineStr">
        <is>
          <t>0</t>
        </is>
      </c>
      <c r="H5536" t="inlineStr">
        <is>
          <t>9⁹, 27⁹</t>
        </is>
      </c>
      <c r="I5536" t="n">
        <v>18</v>
      </c>
      <c r="J5536" t="inlineStr">
        <is>
          <t>3², 6⁵</t>
        </is>
      </c>
      <c r="K5536">
        <f>HYPERLINK("CSG3.html#group9A3", "9A³"), =HYPERLINK("CSG3.html#group27C3", "27C³"), =HYPERLINK("CSG6.html#group27A6", "27A⁶"), =HYPERLINK("CSG7.html#group27C7", "27C⁷")</f>
        <v/>
      </c>
      <c r="L5536" t="inlineStr"/>
      <c r="M5536">
        <f>HYPERLINK("CSG0.html#group3B0", "3B⁰"), =HYPERLINK("CSG3.html#group27C3", "27C³"), =HYPERLINK("CSG0.html#group9J0", "9J⁰"), =HYPERLINK("CSG2.html#group27B2", "27B²"), =HYPERLINK("CSG6.html#group27A6", "27A⁶"), =HYPERLINK("CSG3.html#group9A3", "9A³"), =HYPERLINK("CSG7.html#group27C7", "27C⁷"), =HYPERLINK("CSG0.html#group9C0", "9C⁰"), =HYPERLINK("CSG0.html#group9F0", "9F⁰"), =HYPERLINK("CSG0.html#group1A0", "1A⁰"), =HYPERLINK("CSG3.html#group27A3", "27A³")</f>
        <v/>
      </c>
      <c r="N5536" t="inlineStr"/>
    </row>
    <row r="5537">
      <c r="A5537" t="inlineStr">
        <is>
          <t>27E¹⁹</t>
        </is>
      </c>
      <c r="B5537" t="inlineStr"/>
      <c r="C5537" t="inlineStr">
        <is>
          <t>324</t>
        </is>
      </c>
      <c r="D5537" t="inlineStr">
        <is>
          <t>1</t>
        </is>
      </c>
      <c r="E5537" t="inlineStr">
        <is>
          <t>36</t>
        </is>
      </c>
      <c r="F5537" t="inlineStr">
        <is>
          <t>0</t>
        </is>
      </c>
      <c r="G5537" t="inlineStr">
        <is>
          <t>0</t>
        </is>
      </c>
      <c r="H5537" t="inlineStr">
        <is>
          <t>9⁹, 27⁹</t>
        </is>
      </c>
      <c r="I5537" t="n">
        <v>18</v>
      </c>
      <c r="J5537" t="inlineStr">
        <is>
          <t>1², 2⁸, 6³</t>
        </is>
      </c>
      <c r="K5537">
        <f>HYPERLINK("CSG4.html#group9B4", "9B⁴"), =HYPERLINK("CSG4.html#group27C4", "27C⁴"), =HYPERLINK("CSG7.html#group27A7", "27A⁷"), =HYPERLINK("CSG7.html#group27D7", "27D⁷")</f>
        <v/>
      </c>
      <c r="L5537" t="inlineStr"/>
      <c r="M5537">
        <f>HYPERLINK("CSG7.html#group27A7", "27A⁷"), =HYPERLINK("CSG0.html#group3B0", "3B⁰"), =HYPERLINK("CSG2.html#group27A2", "27A²"), =HYPERLINK("CSG4.html#group27C4", "27C⁴"), =HYPERLINK("CSG0.html#group9B0", "9B⁰"), =HYPERLINK("CSG1.html#group9E1", "9E¹"), =HYPERLINK("CSG1.html#group27B1", "27B¹"), =HYPERLINK("CSG0.html#group9C0", "9C⁰"), =HYPERLINK("CSG0.html#group9E0", "9E⁰"), =HYPERLINK("CSG0.html#group1A0", "1A⁰"), =HYPERLINK("CSG1.html#group9B1", "9B¹"), =HYPERLINK("CSG0.html#group9D0", "9D⁰"), =HYPERLINK("CSG1.html#group27A1", "27A¹"), =HYPERLINK("CSG4.html#group9B4", "9B⁴"), =HYPERLINK("CSG2.html#group9A2", "9A²"), =HYPERLINK("CSG2.html#group27B2", "27B²"), =HYPERLINK("CSG0.html#group9A0", "9A⁰"), =HYPERLINK("CSG1.html#group9A1", "9A¹"), =HYPERLINK("CSG0.html#group27A0", "27A⁰"), =HYPERLINK("CSG7.html#group27D7", "27D⁷"), =HYPERLINK("CSG0.html#group3C0", "3C⁰"), =HYPERLINK("CSG1.html#group9C1", "9C¹"), =HYPERLINK("CSG0.html#group9H0", "9H⁰"), =HYPERLINK("CSG0.html#group3A0", "3A⁰"), =HYPERLINK("CSG0.html#group3D0", "3D⁰"), =HYPERLINK("CSG3.html#group27A3", "27A³")</f>
        <v/>
      </c>
      <c r="N5537" t="inlineStr"/>
    </row>
    <row r="5538">
      <c r="A5538" t="inlineStr">
        <is>
          <t>27F¹⁹</t>
        </is>
      </c>
      <c r="B5538" t="inlineStr"/>
      <c r="C5538" t="inlineStr">
        <is>
          <t>324</t>
        </is>
      </c>
      <c r="D5538" t="inlineStr">
        <is>
          <t>1</t>
        </is>
      </c>
      <c r="E5538" t="inlineStr">
        <is>
          <t>108</t>
        </is>
      </c>
      <c r="F5538" t="inlineStr">
        <is>
          <t>0</t>
        </is>
      </c>
      <c r="G5538" t="inlineStr">
        <is>
          <t>0</t>
        </is>
      </c>
      <c r="H5538" t="inlineStr">
        <is>
          <t>9⁹, 27⁹</t>
        </is>
      </c>
      <c r="I5538" t="n">
        <v>18</v>
      </c>
      <c r="J5538" t="inlineStr">
        <is>
          <t>3², 6⁸, 18³</t>
        </is>
      </c>
      <c r="K5538">
        <f>HYPERLINK("CSG7.html#group27E7", "27E⁷")</f>
        <v/>
      </c>
      <c r="L5538" t="inlineStr"/>
      <c r="M5538">
        <f>HYPERLINK("CSG0.html#group3B0", "3B⁰"), =HYPERLINK("CSG7.html#group27E7", "27E⁷"), =HYPERLINK("CSG1.html#group9D1", "9D¹"), =HYPERLINK("CSG0.html#group1A0", "1A⁰"), =HYPERLINK("CSG1.html#group9A1", "9A¹")</f>
        <v/>
      </c>
      <c r="N5538" t="inlineStr"/>
    </row>
    <row r="5539">
      <c r="A5539" t="inlineStr">
        <is>
          <t>28A¹⁹</t>
        </is>
      </c>
      <c r="B5539" t="inlineStr"/>
      <c r="C5539" t="inlineStr">
        <is>
          <t>336</t>
        </is>
      </c>
      <c r="D5539" t="inlineStr">
        <is>
          <t>1</t>
        </is>
      </c>
      <c r="E5539" t="inlineStr">
        <is>
          <t>168</t>
        </is>
      </c>
      <c r="F5539" t="inlineStr">
        <is>
          <t>8</t>
        </is>
      </c>
      <c r="G5539" t="inlineStr">
        <is>
          <t>6</t>
        </is>
      </c>
      <c r="H5539" t="inlineStr">
        <is>
          <t>28¹²</t>
        </is>
      </c>
      <c r="I5539" t="n">
        <v>12</v>
      </c>
      <c r="J5539" t="inlineStr">
        <is>
          <t>6², 12²⁷</t>
        </is>
      </c>
      <c r="K5539">
        <f>HYPERLINK("CSG5.html#group28F5", "28F⁵"), =HYPERLINK("CSG6.html#group14B6", "14B⁶")</f>
        <v/>
      </c>
      <c r="L5539" t="inlineStr"/>
      <c r="M5539">
        <f>HYPERLINK("CSG5.html#group28F5", "28F⁵"), =HYPERLINK("CSG0.html#group14A0", "14A⁰"), =HYPERLINK("CSG1.html#group14F1", "14F¹"), =HYPERLINK("CSG0.html#group7F0", "7F⁰"), =HYPERLINK("CSG1.html#group14G1", "14G¹"), =HYPERLINK("CSG6.html#group14B6", "14B⁶"), =HYPERLINK("CSG0.html#group1A0", "1A⁰"), =HYPERLINK("CSG0.html#group7A0", "7A⁰")</f>
        <v/>
      </c>
      <c r="N5539" t="inlineStr"/>
    </row>
    <row r="5540">
      <c r="A5540" t="inlineStr">
        <is>
          <t>28B¹⁹</t>
        </is>
      </c>
      <c r="B5540" t="inlineStr"/>
      <c r="C5540" t="inlineStr">
        <is>
          <t>336</t>
        </is>
      </c>
      <c r="D5540" t="inlineStr">
        <is>
          <t>1</t>
        </is>
      </c>
      <c r="E5540" t="inlineStr">
        <is>
          <t>168</t>
        </is>
      </c>
      <c r="F5540" t="inlineStr">
        <is>
          <t>8</t>
        </is>
      </c>
      <c r="G5540" t="inlineStr">
        <is>
          <t>6</t>
        </is>
      </c>
      <c r="H5540" t="inlineStr">
        <is>
          <t>28¹²</t>
        </is>
      </c>
      <c r="I5540" t="n">
        <v>12</v>
      </c>
      <c r="J5540" t="inlineStr">
        <is>
          <t>6², 12²⁷</t>
        </is>
      </c>
      <c r="K5540">
        <f>HYPERLINK("CSG5.html#group28G5", "28G⁵"), =HYPERLINK("CSG6.html#group14B6", "14B⁶")</f>
        <v/>
      </c>
      <c r="L5540" t="inlineStr"/>
      <c r="M5540">
        <f>HYPERLINK("CSG0.html#group14A0", "14A⁰"), =HYPERLINK("CSG1.html#group14F1", "14F¹"), =HYPERLINK("CSG5.html#group28G5", "28G⁵"), =HYPERLINK("CSG0.html#group7F0", "7F⁰"), =HYPERLINK("CSG1.html#group14G1", "14G¹"), =HYPERLINK("CSG6.html#group14B6", "14B⁶"), =HYPERLINK("CSG0.html#group1A0", "1A⁰"), =HYPERLINK("CSG0.html#group7A0", "7A⁰")</f>
        <v/>
      </c>
      <c r="N5540" t="inlineStr"/>
    </row>
    <row r="5541">
      <c r="A5541" t="inlineStr">
        <is>
          <t>28C¹⁹</t>
        </is>
      </c>
      <c r="B5541" t="inlineStr"/>
      <c r="C5541" t="inlineStr">
        <is>
          <t>336</t>
        </is>
      </c>
      <c r="D5541" t="inlineStr">
        <is>
          <t>2</t>
        </is>
      </c>
      <c r="E5541" t="inlineStr">
        <is>
          <t>84</t>
        </is>
      </c>
      <c r="F5541" t="inlineStr">
        <is>
          <t>16</t>
        </is>
      </c>
      <c r="G5541" t="inlineStr">
        <is>
          <t>0</t>
        </is>
      </c>
      <c r="H5541" t="inlineStr">
        <is>
          <t>28¹²</t>
        </is>
      </c>
      <c r="I5541" t="n">
        <v>12</v>
      </c>
      <c r="J5541" t="inlineStr">
        <is>
          <t>12¹⁴</t>
        </is>
      </c>
      <c r="K5541">
        <f>HYPERLINK("CSG3.html#group14F3", "14F³"), =HYPERLINK("CSG8.html#group28B8", "28B⁸"), =HYPERLINK("CSG9.html#group28C9", "28C⁹"), =HYPERLINK("CSG10.html#group28B10", "28B¹⁰")</f>
        <v/>
      </c>
      <c r="L5541" t="inlineStr"/>
      <c r="M5541">
        <f>HYPERLINK("CSG3.html#group28D3", "28D³"), =HYPERLINK("CSG0.html#group14A0", "14A⁰"), =HYPERLINK("CSG2.html#group28E2", "28E²"), =HYPERLINK("CSG10.html#group28B10", "28B¹⁰"), =HYPERLINK("CSG2.html#group14B2", "14B²"), =HYPERLINK("CSG0.html#group7D0", "7D⁰"), =HYPERLINK("CSG0.html#group7G0", "7G⁰"), =HYPERLINK("CSG4.html#group28B4", "28B⁴"), =HYPERLINK("CSG0.html#group1A0", "1A⁰"), =HYPERLINK("CSG0.html#group4A0", "4A⁰"), =HYPERLINK("CSG8.html#group28B8", "28B⁸"), =HYPERLINK("CSG0.html#group7C0", "7C⁰"), =HYPERLINK("CSG3.html#group14F3", "14F³"), =HYPERLINK("CSG1.html#group28A1", "28A¹"), =HYPERLINK("CSG1.html#group14E1", "14E¹"), =HYPERLINK("CSG9.html#group28C9", "28C⁹"), =HYPERLINK("CSG0.html#group7A0", "7A⁰")</f>
        <v/>
      </c>
      <c r="N5541" t="inlineStr"/>
    </row>
    <row r="5542">
      <c r="A5542" t="inlineStr">
        <is>
          <t>30A¹⁹</t>
        </is>
      </c>
      <c r="B5542" t="inlineStr"/>
      <c r="C5542" t="inlineStr">
        <is>
          <t>270</t>
        </is>
      </c>
      <c r="D5542" t="inlineStr">
        <is>
          <t>1</t>
        </is>
      </c>
      <c r="E5542" t="inlineStr">
        <is>
          <t>5</t>
        </is>
      </c>
      <c r="F5542" t="inlineStr">
        <is>
          <t>0</t>
        </is>
      </c>
      <c r="G5542" t="inlineStr">
        <is>
          <t>0</t>
        </is>
      </c>
      <c r="H5542" t="inlineStr">
        <is>
          <t>30⁹</t>
        </is>
      </c>
      <c r="I5542" t="n">
        <v>9</v>
      </c>
      <c r="J5542" t="inlineStr">
        <is>
          <t>1¹, 4¹</t>
        </is>
      </c>
      <c r="K5542">
        <f>HYPERLINK("CSG4.html#group10A4", "10A⁴"), =HYPERLINK("CSG4.html#group30G4", "30G⁴"), =HYPERLINK("CSG7.html#group30A7", "30A⁷"), =HYPERLINK("CSG7.html#group30B7", "30B⁷"), =HYPERLINK("CSG7.html#group30C7", "30C⁷"), =HYPERLINK("CSG7.html#group30D7", "30D⁷"), =HYPERLINK("CSG7.html#group30E7", "30E⁷"), =HYPERLINK("CSG7.html#group30P7", "30P⁷")</f>
        <v/>
      </c>
      <c r="L5542" t="inlineStr"/>
      <c r="M5542">
        <f>HYPERLINK("CSG0.html#group2A0", "2A⁰"), =HYPERLINK("CSG3.html#group30A3", "30A³"), =HYPERLINK("CSG0.html#group5A0", "5A⁰"), =HYPERLINK("CSG2.html#group10A2", "10A²"), =HYPERLINK("CSG1.html#group6C1", "6C¹"), =HYPERLINK("CSG1.html#group15F1", "15F¹"), =HYPERLINK("CSG7.html#group30B7", "30B⁷"), =HYPERLINK("CSG0.html#group2B0", "2B⁰"), =HYPERLINK("CSG0.html#group1A0", "1A⁰"), =HYPERLINK("CSG7.html#group30C7", "30C⁷"), =HYPERLINK("CSG7.html#group30P7", "30P⁷"), =HYPERLINK("CSG2.html#group30B2", "30B²"), =HYPERLINK("CSG1.html#group30A1", "30A¹"), =HYPERLINK("CSG0.html#group10A0", "10A⁰"), =HYPERLINK("CSG1.html#group10I1", "10I¹"), =HYPERLINK("CSG1.html#group6A1", "6A¹"), =HYPERLINK("CSG0.html#group3A0", "3A⁰"), =HYPERLINK("CSG1.html#group15A1", "15A¹"), =HYPERLINK("CSG4.html#group10A4", "10A⁴"), =HYPERLINK("CSG7.html#group30A7", "30A⁷"), =HYPERLINK("CSG1.html#group10B1", "10B¹"), =HYPERLINK("CSG2.html#group10B2", "10B²"), =HYPERLINK("CSG3.html#group30D3", "30D³"), =HYPERLINK("CSG0.html#group6A0", "6A⁰"), =HYPERLINK("CSG3.html#group30E3", "30E³"), =HYPERLINK("CSG7.html#group30E7", "30E⁷"), =HYPERLINK("CSG1.html#group30B1", "30B¹"), =HYPERLINK("CSG0.html#group10E0", "10E⁰"), =HYPERLINK("CSG7.html#group30D7", "30D⁷"), =HYPERLINK("CSG0.html#group5E0", "5E⁰"), =HYPERLINK("CSG4.html#group30G4", "30G⁴"), =HYPERLINK("CSG0.html#group2C0", "2C⁰"), =HYPERLINK("CSG0.html#group6D0", "6D⁰"), =HYPERLINK("CSG0.html#group15A0", "15A⁰")</f>
        <v/>
      </c>
      <c r="N5542" t="inlineStr"/>
    </row>
    <row r="5543">
      <c r="A5543" t="inlineStr">
        <is>
          <t>30B¹⁹</t>
        </is>
      </c>
      <c r="B5543" t="inlineStr"/>
      <c r="C5543" t="inlineStr">
        <is>
          <t>360</t>
        </is>
      </c>
      <c r="D5543" t="inlineStr">
        <is>
          <t>1</t>
        </is>
      </c>
      <c r="E5543" t="inlineStr">
        <is>
          <t>180</t>
        </is>
      </c>
      <c r="F5543" t="inlineStr">
        <is>
          <t>0</t>
        </is>
      </c>
      <c r="G5543" t="inlineStr">
        <is>
          <t>0</t>
        </is>
      </c>
      <c r="H5543" t="inlineStr">
        <is>
          <t>5⁶, 10⁶, 15⁶, 30⁶</t>
        </is>
      </c>
      <c r="I5543" t="n">
        <v>24</v>
      </c>
      <c r="J5543" t="inlineStr">
        <is>
          <t>1⁶, 2⁹, 4²¹, 8⁹</t>
        </is>
      </c>
      <c r="K5543">
        <f>HYPERLINK("CSG2.html#group10F2", "10F²"), =HYPERLINK("CSG3.html#group30K3", "30K³"), =HYPERLINK("CSG5.html#group15B5", "15B⁵"), =HYPERLINK("CSG7.html#group30L7", "30L⁷"), =HYPERLINK("CSG10.html#group30F10", "30F¹⁰")</f>
        <v/>
      </c>
      <c r="L5543" t="inlineStr"/>
      <c r="M5543">
        <f>HYPERLINK("CSG0.html#group3B0", "3B⁰"), =HYPERLINK("CSG0.html#group5A0", "5A⁰"), =HYPERLINK("CSG10.html#group30F10", "30F¹⁰"), =HYPERLINK("CSG1.html#group10B1", "10B¹"), =HYPERLINK("CSG0.html#group5B0", "5B⁰"), =HYPERLINK("CSG0.html#group2B0", "2B⁰"), =HYPERLINK("CSG7.html#group30L7", "30L⁷"), =HYPERLINK("CSG0.html#group1A0", "1A⁰"), =HYPERLINK("CSG1.html#group10F1", "10F¹"), =HYPERLINK("CSG1.html#group15C1", "15C¹"), =HYPERLINK("CSG3.html#group15A3", "15A³"), =HYPERLINK("CSG1.html#group10I1", "10I¹"), =HYPERLINK("CSG4.html#group30D4", "30D⁴"), =HYPERLINK("CSG2.html#group10F2", "10F²"), =HYPERLINK("CSG0.html#group6F0", "6F⁰"), =HYPERLINK("CSG0.html#group10C0", "10C⁰"), =HYPERLINK("CSG0.html#group5E0", "5E⁰"), =HYPERLINK("CSG1.html#group15B1", "15B¹"), =HYPERLINK("CSG3.html#group30K3", "30K³"), =HYPERLINK("CSG2.html#group15C2", "15C²"), =HYPERLINK("CSG0.html#group5C0", "5C⁰"), =HYPERLINK("CSG5.html#group15B5", "15B⁵"), =HYPERLINK("CSG0.html#group5G0", "5G⁰")</f>
        <v/>
      </c>
      <c r="N5543" t="inlineStr"/>
    </row>
    <row r="5544">
      <c r="A5544" t="inlineStr">
        <is>
          <t>30C¹⁹</t>
        </is>
      </c>
      <c r="B5544" t="inlineStr"/>
      <c r="C5544" t="inlineStr">
        <is>
          <t>432</t>
        </is>
      </c>
      <c r="D5544" t="inlineStr">
        <is>
          <t>1</t>
        </is>
      </c>
      <c r="E5544" t="inlineStr">
        <is>
          <t>108</t>
        </is>
      </c>
      <c r="F5544" t="inlineStr">
        <is>
          <t>8</t>
        </is>
      </c>
      <c r="G5544" t="inlineStr">
        <is>
          <t>0</t>
        </is>
      </c>
      <c r="H5544" t="inlineStr">
        <is>
          <t>3⁸, 6⁸, 15⁸, 30⁸</t>
        </is>
      </c>
      <c r="I5544" t="n">
        <v>32</v>
      </c>
      <c r="J5544" t="inlineStr">
        <is>
          <t>2¹⁸, 8⁹</t>
        </is>
      </c>
      <c r="K5544">
        <f>HYPERLINK("CSG3.html#group15I3", "15I³"), =HYPERLINK("CSG9.html#group30Q9", "30Q⁹")</f>
        <v/>
      </c>
      <c r="L5544" t="inlineStr"/>
      <c r="M5544">
        <f>HYPERLINK("CSG0.html#group5B0", "5B⁰"), =HYPERLINK("CSG0.html#group6G0", "6G⁰"), =HYPERLINK("CSG0.html#group2B0", "2B⁰"), =HYPERLINK("CSG5.html#group30O5", "30O⁵"), =HYPERLINK("CSG1.html#group15H1", "15H¹"), =HYPERLINK("CSG0.html#group1A0", "1A⁰"), =HYPERLINK("CSG3.html#group15I3", "15I³"), =HYPERLINK("CSG0.html#group15B0", "15B⁰"), =HYPERLINK("CSG2.html#group30E2", "30E²"), =HYPERLINK("CSG1.html#group15E1", "15E¹"), =HYPERLINK("CSG9.html#group30Q9", "30Q⁹"), =HYPERLINK("CSG4.html#group30I4", "30I⁴"), =HYPERLINK("CSG0.html#group10C0", "10C⁰"), =HYPERLINK("CSG0.html#group3C0", "3C⁰"), =HYPERLINK("CSG0.html#group3A0", "3A⁰"), =HYPERLINK("CSG0.html#group6D0", "6D⁰"), =HYPERLINK("CSG0.html#group15C0", "15C⁰")</f>
        <v/>
      </c>
      <c r="N5544" t="inlineStr"/>
    </row>
    <row r="5545">
      <c r="A5545" t="inlineStr">
        <is>
          <t>32A¹⁹</t>
        </is>
      </c>
      <c r="B5545" t="inlineStr"/>
      <c r="C5545" t="inlineStr">
        <is>
          <t>384</t>
        </is>
      </c>
      <c r="D5545" t="inlineStr">
        <is>
          <t>1</t>
        </is>
      </c>
      <c r="E5545" t="inlineStr">
        <is>
          <t>24</t>
        </is>
      </c>
      <c r="F5545" t="inlineStr">
        <is>
          <t>0</t>
        </is>
      </c>
      <c r="G5545" t="inlineStr">
        <is>
          <t>0</t>
        </is>
      </c>
      <c r="H5545" t="inlineStr">
        <is>
          <t>8¹⁶, 16⁸, 32⁴</t>
        </is>
      </c>
      <c r="I5545" t="n">
        <v>28</v>
      </c>
      <c r="J5545" t="inlineStr">
        <is>
          <t>1⁴, 2², 4⁴</t>
        </is>
      </c>
      <c r="K5545">
        <f>HYPERLINK("CSG7.html#group16B7", "16B⁷"), =HYPERLINK("CSG9.html#group32Q9", "32Q⁹"), =HYPERLINK("CSG9.html#group32R9", "32R⁹")</f>
        <v/>
      </c>
      <c r="L5545" t="inlineStr"/>
      <c r="M5545">
        <f>HYPERLINK("CSG0.html#group2A0", "2A⁰"), =HYPERLINK("CSG3.html#group8B3", "8B³"), =HYPERLINK("CSG4.html#group16A4", "16A⁴"), =HYPERLINK("CSG0.html#group4C0", "4C⁰"), =HYPERLINK("CSG0.html#group8A0", "8A⁰"), =HYPERLINK("CSG7.html#group16B7", "16B⁷"), =HYPERLINK("CSG9.html#group32R9", "32R⁹"), =HYPERLINK("CSG3.html#group16P3", "16P³"),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=HYPERLINK("CSG0.html#group8K0", "8K⁰"), =HYPERLINK("CSG1.html#group8H1", "8H¹"), =HYPERLINK("CSG0.html#group8G0", "8G⁰"), =HYPERLINK("CSG0.html#group4D0", "4D⁰"), =HYPERLINK("CSG9.html#group32Q9", "32Q⁹"), =HYPERLINK("CSG3.html#group16Q3", "16Q³"), =HYPERLINK("CSG1.html#group16K1", "16K¹"), =HYPERLINK("CSG0.html#group8N0", "8N⁰"), =HYPERLINK("CSG1.html#group8A1", "8A¹"), =HYPERLINK("CSG0.html#group8D0", "8D⁰"), =HYPERLINK("CSG2.html#group16I2", "16I²"), =HYPERLINK("CSG2.html#group8B2", "8B²"), =HYPERLINK("CSG0.html#group8B0", "8B⁰"), =HYPERLINK("CSG0.html#group8E0", "8E⁰"), =HYPERLINK("CSG1.html#group8B1", "8B¹"), =HYPERLINK("CSG1.html#group8D1", "8D¹"), =HYPERLINK("CSG0.html#group8H0", "8H⁰"), =HYPERLINK("CSG2.html#group8A2", "8A²"), =HYPERLINK("CSG1.html#group16L1", "16L¹"), =HYPERLINK("CSG1.html#group8C1", "8C¹"), =HYPERLINK("CSG0.html#group4A0", "4A⁰"), =HYPERLINK("CSG0.html#group4F0", "4F⁰"), =HYPERLINK("CSG0.html#group8J0", "8J⁰"), =HYPERLINK("CSG0.html#group2C0", "2C⁰")</f>
        <v/>
      </c>
      <c r="N5545" t="inlineStr"/>
    </row>
    <row r="5546">
      <c r="A5546" t="inlineStr">
        <is>
          <t>32B¹⁹</t>
        </is>
      </c>
      <c r="B5546" t="inlineStr"/>
      <c r="C5546" t="inlineStr">
        <is>
          <t>384</t>
        </is>
      </c>
      <c r="D5546" t="inlineStr">
        <is>
          <t>1</t>
        </is>
      </c>
      <c r="E5546" t="inlineStr">
        <is>
          <t>48</t>
        </is>
      </c>
      <c r="F5546" t="inlineStr">
        <is>
          <t>0</t>
        </is>
      </c>
      <c r="G5546" t="inlineStr">
        <is>
          <t>0</t>
        </is>
      </c>
      <c r="H5546" t="inlineStr">
        <is>
          <t>2⁸, 4⁴, 8⁴, 16⁴, 32⁸</t>
        </is>
      </c>
      <c r="I5546" t="n">
        <v>28</v>
      </c>
      <c r="J5546" t="inlineStr">
        <is>
          <t>1⁴, 2², 4², 8², 16¹</t>
        </is>
      </c>
      <c r="K5546">
        <f>HYPERLINK("CSG7.html#group32M7", "32M⁷")</f>
        <v/>
      </c>
      <c r="L5546" t="inlineStr"/>
      <c r="M5546">
        <f>HYPERLINK("CSG1.html#group32A1", "32A¹"), =HYPERLINK("CSG2.html#group32C2", "32C²"), =HYPERLINK("CSG0.html#group4B0", "4B⁰"), =HYPERLINK("CSG0.html#group16C0", "16C⁰"), =HYPERLINK("CSG0.html#group16D0", "16D⁰"), =HYPERLINK("CSG3.html#group32M3", "32M³"), =HYPERLINK("CSG0.html#group8C0", "8C⁰"), =HYPERLINK("CSG7.html#group32M7", "32M⁷"), =HYPERLINK("CSG0.html#group2B0", "2B⁰"), =HYPERLINK("CSG0.html#group8I0", "8I⁰"), =HYPERLINK("CSG2.html#group32A2", "32A²"), =HYPERLINK("CSG0.html#group1A0", "1A⁰"), =HYPERLINK("CSG2.html#group16J2", "16J²"), =HYPERLINK("CSG0.html#group16H0", "16H⁰")</f>
        <v/>
      </c>
      <c r="N5546" t="inlineStr"/>
    </row>
    <row r="5547">
      <c r="A5547" t="inlineStr">
        <is>
          <t>32C¹⁹</t>
        </is>
      </c>
      <c r="B5547" t="inlineStr"/>
      <c r="C5547" t="inlineStr">
        <is>
          <t>384</t>
        </is>
      </c>
      <c r="D5547" t="inlineStr">
        <is>
          <t>1</t>
        </is>
      </c>
      <c r="E5547" t="inlineStr">
        <is>
          <t>48</t>
        </is>
      </c>
      <c r="F5547" t="inlineStr">
        <is>
          <t>0</t>
        </is>
      </c>
      <c r="G5547" t="inlineStr">
        <is>
          <t>0</t>
        </is>
      </c>
      <c r="H5547" t="inlineStr">
        <is>
          <t>4⁸, 8⁴, 16¹², 32⁴</t>
        </is>
      </c>
      <c r="I5547" t="n">
        <v>28</v>
      </c>
      <c r="J5547" t="inlineStr">
        <is>
          <t>1⁸, 2⁴, 4⁴, 8²</t>
        </is>
      </c>
      <c r="K5547">
        <f>HYPERLINK("CSG7.html#group16C7", "16C⁷")</f>
        <v/>
      </c>
      <c r="L5547" t="inlineStr"/>
      <c r="M5547">
        <f>HYPERLINK("CSG0.html#group2A0", "2A⁰"), =HYPERLINK("CSG2.html#group16C2", "16C²"), =HYPERLINK("CSG0.html#group8D0", "8D⁰"), =HYPERLINK("CSG1.html#group16E1", "16E¹"), =HYPERLINK("CSG0.html#group4C0", "4C⁰"), =HYPERLINK("CSG1.html#group16A1", "16A¹"), =HYPERLINK("CSG0.html#group8C0", "8C⁰"), =HYPERLINK("CSG0.html#group4E0", "4E⁰"), =HYPERLINK("CSG7.html#group16C7", "16C⁷"), =HYPERLINK("CSG0.html#group2B0", "2B⁰"), =HYPERLINK("CSG0.html#group8I0", "8I⁰"), =HYPERLINK("CSG3.html#group16J3", "16J³"), =HYPERLINK("CSG0.html#group4B0", "4B⁰"), =HYPERLINK("CSG0.html#group1A0", "1A⁰"), =HYPERLINK("CSG2.html#group16K2", "16K²"), =HYPERLINK("CSG0.html#group8G0", "8G⁰"), =HYPERLINK("CSG0.html#group16C0", "16C⁰"), =HYPERLINK("CSG1.html#group16C1", "16C¹"), =HYPERLINK("CSG0.html#group8J0", "8J⁰"), =HYPERLINK("CSG0.html#group2C0", "2C⁰"), =HYPERLINK("CSG0.html#group8O0", "8O⁰")</f>
        <v/>
      </c>
      <c r="N5547" t="inlineStr"/>
    </row>
    <row r="5548">
      <c r="A5548" t="inlineStr">
        <is>
          <t>32D¹⁹</t>
        </is>
      </c>
      <c r="B5548" t="inlineStr"/>
      <c r="C5548" t="inlineStr">
        <is>
          <t>384</t>
        </is>
      </c>
      <c r="D5548" t="inlineStr">
        <is>
          <t>1</t>
        </is>
      </c>
      <c r="E5548" t="inlineStr">
        <is>
          <t>48</t>
        </is>
      </c>
      <c r="F5548" t="inlineStr">
        <is>
          <t>8</t>
        </is>
      </c>
      <c r="G5548" t="inlineStr">
        <is>
          <t>0</t>
        </is>
      </c>
      <c r="H5548" t="inlineStr">
        <is>
          <t>8¹⁶, 32⁸</t>
        </is>
      </c>
      <c r="I5548" t="n">
        <v>24</v>
      </c>
      <c r="J5548" t="inlineStr">
        <is>
          <t>4², 8⁵</t>
        </is>
      </c>
      <c r="K5548">
        <f>HYPERLINK("CSG7.html#group16D7", "16D⁷"), =HYPERLINK("CSG9.html#group32K9", "32K⁹"), =HYPERLINK("CSG9.html#group32L9", "32L⁹")</f>
        <v/>
      </c>
      <c r="L5548" t="inlineStr"/>
      <c r="M5548">
        <f>HYPERLINK("CSG1.html#group16I1", "16I¹"), =HYPERLINK("CSG0.html#group4C0", "4C⁰"), =HYPERLINK("CSG2.html#group8C2", "8C²"), =HYPERLINK("CSG0.html#group8A0", "8A⁰"), =HYPERLINK("CSG0.html#group8L0", "8L⁰"), =HYPERLINK("CSG0.html#group2B0", "2B⁰"), =HYPERLINK("CSG0.html#group8K0", "8K⁰"), =HYPERLINK("CSG0.html#group1A0", "1A⁰"), =HYPERLINK("CSG1.html#group8H1", "8H¹"), =HYPERLINK("CSG2.html#group16E2", "16E²"), =HYPERLINK("CSG0.html#group16B0", "16B⁰"), =HYPERLINK("CSG0.html#group16E0", "16E⁰"), =HYPERLINK("CSG4.html#group16B4", "16B⁴"), =HYPERLINK("CSG1.html#group16D1", "16D¹"), =HYPERLINK("CSG7.html#group16D7", "16D⁷"), =HYPERLINK("CSG9.html#group32L9", "32L⁹"), =HYPERLINK("CSG1.html#group16F1", "16F¹"), =HYPERLINK("CSG0.html#group8P0", "8P⁰"), =HYPERLINK("CSG0.html#group8M0", "8M⁰"), =HYPERLINK("CSG1.html#group16H1", "16H¹"), =HYPERLINK("CSG0.html#group8D0", "8D⁰"), =HYPERLINK("CSG3.html#group16M3", "16M³"), =HYPERLINK("CSG0.html#group8B0", "8B⁰"), =HYPERLINK("CSG1.html#group16B1", "16B¹"), =HYPERLINK("CSG2.html#group16L2", "16L²"), =HYPERLINK("CSG1.html#group16J1", "16J¹"), =HYPERLINK("CSG1.html#group8D1", "8D¹"), =HYPERLINK("CSG0.html#group8H0", "8H⁰"), =HYPERLINK("CSG9.html#group32K9", "32K⁹"), =HYPERLINK("CSG3.html#group16K3", "16K³"), =HYPERLINK("CSG0.html#group8F0", "8F⁰"), =HYPERLINK("CSG3.html#group16L3", "16L³"), =HYPERLINK("CSG2.html#group16F2", "16F²"), =HYPERLINK("CSG0.html#group4A0", "4A⁰"), =HYPERLINK("CSG1.html#group8I1", "8I¹"), =HYPERLINK("CSG1.html#group16C1", "16C¹"), =HYPERLINK("CSG4.html#group16C4", "16C⁴"), =HYPERLINK("CSG0.html#group4F0", "4F⁰")</f>
        <v/>
      </c>
      <c r="N5548" t="inlineStr"/>
    </row>
    <row r="5549">
      <c r="A5549" t="inlineStr">
        <is>
          <t>32E¹⁹</t>
        </is>
      </c>
      <c r="B5549" t="inlineStr"/>
      <c r="C5549" t="inlineStr">
        <is>
          <t>384</t>
        </is>
      </c>
      <c r="D5549" t="inlineStr">
        <is>
          <t>1</t>
        </is>
      </c>
      <c r="E5549" t="inlineStr">
        <is>
          <t>48</t>
        </is>
      </c>
      <c r="F5549" t="inlineStr">
        <is>
          <t>8</t>
        </is>
      </c>
      <c r="G5549" t="inlineStr">
        <is>
          <t>0</t>
        </is>
      </c>
      <c r="H5549" t="inlineStr">
        <is>
          <t>8¹⁶, 32⁸</t>
        </is>
      </c>
      <c r="I5549" t="n">
        <v>24</v>
      </c>
      <c r="J5549" t="inlineStr">
        <is>
          <t>2², 4³, 8⁴</t>
        </is>
      </c>
      <c r="K5549">
        <f>HYPERLINK("CSG6.html#group32H6", "32H⁶"), =HYPERLINK("CSG7.html#group16D7", "16D⁷"), =HYPERLINK("CSG9.html#group32M9", "32M⁹"), =HYPERLINK("CSG9.html#group32N9", "32N⁹"), =HYPERLINK("CSG10.html#group32A10", "32A¹⁰"), =HYPERLINK("CSG10.html#group32B10", "32B¹⁰"), =HYPERLINK("CSG10.html#group32C10", "32C¹⁰")</f>
        <v/>
      </c>
      <c r="L5549" t="inlineStr"/>
      <c r="M5549">
        <f>HYPERLINK("CSG1.html#group16I1", "16I¹"), =HYPERLINK("CSG9.html#group32M9", "32M⁹"), =HYPERLINK("CSG0.html#group4C0", "4C⁰"), =HYPERLINK("CSG2.html#group8C2", "8C²"), =HYPERLINK("CSG0.html#group8A0", "8A⁰"), =HYPERLINK("CSG1.html#group32D1", "32D¹"), =HYPERLINK("CSG0.html#group2B0", "2B⁰"), =HYPERLINK("CSG0.html#group8L0", "8L⁰"), =HYPERLINK("CSG0.html#group1A0", "1A⁰"), =HYPERLINK("CSG0.html#group8K0", "8K⁰"), =HYPERLINK("CSG3.html#group32Q3", "32Q³"), =HYPERLINK("CSG1.html#group8H1", "8H¹"), =HYPERLINK("CSG2.html#group16E2", "16E²"), =HYPERLINK("CSG0.html#group16B0", "16B⁰"), =HYPERLINK("CSG0.html#group16E0", "16E⁰"), =HYPERLINK("CSG4.html#group16B4", "16B⁴"), =HYPERLINK("CSG1.html#group16D1", "16D¹"), =HYPERLINK("CSG10.html#group32A10", "32A¹⁰"), =HYPERLINK("CSG7.html#group16D7", "16D⁷"), =HYPERLINK("CSG1.html#group16F1", "16F¹"), =HYPERLINK("CSG0.html#group8P0", "8P⁰"), =HYPERLINK("CSG0.html#group8M0", "8M⁰"), =HYPERLINK("CSG9.html#group32N9", "32N⁹"), =HYPERLINK("CSG1.html#group16H1", "16H¹"), =HYPERLINK("CSG5.html#group32I5", "32I⁵"), =HYPERLINK("CSG0.html#group8D0", "8D⁰"), =HYPERLINK("CSG3.html#group16M3", "16M³"), =HYPERLINK("CSG5.html#group32H5", "32H⁵"), =HYPERLINK("CSG0.html#group8B0", "8B⁰"), =HYPERLINK("CSG1.html#group16B1", "16B¹"), =HYPERLINK("CSG3.html#group32I3", "32I³"), =HYPERLINK("CSG2.html#group16L2", "16L²"), =HYPERLINK("CSG1.html#group16J1", "16J¹"), =HYPERLINK("CSG1.html#group8D1", "8D¹"), =HYPERLINK("CSG0.html#group8H0", "8H⁰"), =HYPERLINK("CSG3.html#group16K3", "16K³"), =HYPERLINK("CSG0.html#group8F0", "8F⁰"), =HYPERLINK("CSG10.html#group32C10", "32C¹⁰"), =HYPERLINK("CSG1.html#group32C1", "32C¹"), =HYPERLINK("CSG3.html#group16L3", "16L³"), =HYPERLINK("CSG2.html#group16F2", "16F²"), =HYPERLINK("CSG0.html#group4A0", "4A⁰"), =HYPERLINK("CSG10.html#group32B10", "32B¹⁰"), =HYPERLINK("CSG1.html#group16C1", "16C¹"), =HYPERLINK("CSG1.html#group8I1", "8I¹"), =HYPERLINK("CSG4.html#group16C4", "16C⁴"), =HYPERLINK("CSG0.html#group4F0", "4F⁰"), =HYPERLINK("CSG6.html#group32H6", "32H⁶"), =HYPERLINK("CSG3.html#group32P3", "32P³")</f>
        <v/>
      </c>
      <c r="N5549" t="inlineStr"/>
    </row>
    <row r="5550">
      <c r="A5550" t="inlineStr">
        <is>
          <t>33A¹⁹</t>
        </is>
      </c>
      <c r="B5550" t="inlineStr"/>
      <c r="C5550" t="inlineStr">
        <is>
          <t>330</t>
        </is>
      </c>
      <c r="D5550" t="inlineStr">
        <is>
          <t>2</t>
        </is>
      </c>
      <c r="E5550" t="inlineStr">
        <is>
          <t>55</t>
        </is>
      </c>
      <c r="F5550" t="inlineStr">
        <is>
          <t>18</t>
        </is>
      </c>
      <c r="G5550" t="inlineStr">
        <is>
          <t>0</t>
        </is>
      </c>
      <c r="H5550" t="inlineStr">
        <is>
          <t>33¹⁰</t>
        </is>
      </c>
      <c r="I5550" t="n">
        <v>10</v>
      </c>
      <c r="J5550" t="inlineStr">
        <is>
          <t>10¹¹</t>
        </is>
      </c>
      <c r="K5550">
        <f>HYPERLINK("CSG1.html#group33A1", "33A¹"), =HYPERLINK("CSG3.html#group11A3", "11A³"), =HYPERLINK("CSG7.html#group33A7", "33A⁷")</f>
        <v/>
      </c>
      <c r="L5550" t="inlineStr"/>
      <c r="M5550">
        <f>HYPERLINK("CSG0.html#group11A0", "11A⁰"), =HYPERLINK("CSG1.html#group11C1", "11C¹"), =HYPERLINK("CSG7.html#group33A7", "33A⁷"), =HYPERLINK("CSG3.html#group11A3", "11A³"), =HYPERLINK("CSG1.html#group33A1", "33A¹"), =HYPERLINK("CSG0.html#group3A0", "3A⁰"), =HYPERLINK("CSG0.html#group1A0", "1A⁰")</f>
        <v/>
      </c>
      <c r="N5550" t="inlineStr"/>
    </row>
    <row r="5551">
      <c r="A5551" t="inlineStr">
        <is>
          <t>34A¹⁹</t>
        </is>
      </c>
      <c r="B5551" t="inlineStr"/>
      <c r="C5551" t="inlineStr">
        <is>
          <t>272</t>
        </is>
      </c>
      <c r="D5551" t="inlineStr">
        <is>
          <t>1</t>
        </is>
      </c>
      <c r="E5551" t="inlineStr">
        <is>
          <t>136</t>
        </is>
      </c>
      <c r="F5551" t="inlineStr">
        <is>
          <t>0</t>
        </is>
      </c>
      <c r="G5551" t="inlineStr">
        <is>
          <t>2</t>
        </is>
      </c>
      <c r="H5551" t="inlineStr">
        <is>
          <t>34⁸</t>
        </is>
      </c>
      <c r="I5551" t="n">
        <v>8</v>
      </c>
      <c r="J5551" t="inlineStr">
        <is>
          <t>8¹, 16⁸</t>
        </is>
      </c>
      <c r="K5551">
        <f>HYPERLINK("CSG0.html#group2A0", "2A⁰"), =HYPERLINK("CSG6.html#group17A6", "17A⁶")</f>
        <v/>
      </c>
      <c r="L5551" t="inlineStr"/>
      <c r="M5551">
        <f>HYPERLINK("CSG0.html#group2A0", "2A⁰"), =HYPERLINK("CSG0.html#group1A0", "1A⁰"), =HYPERLINK("CSG6.html#group17A6", "17A⁶")</f>
        <v/>
      </c>
      <c r="N5551" t="inlineStr"/>
    </row>
    <row r="5552">
      <c r="A5552" t="inlineStr">
        <is>
          <t>34B¹⁹</t>
        </is>
      </c>
      <c r="B5552" t="inlineStr"/>
      <c r="C5552" t="inlineStr">
        <is>
          <t>306</t>
        </is>
      </c>
      <c r="D5552" t="inlineStr">
        <is>
          <t>1</t>
        </is>
      </c>
      <c r="E5552" t="inlineStr">
        <is>
          <t>306</t>
        </is>
      </c>
      <c r="F5552" t="inlineStr">
        <is>
          <t>6</t>
        </is>
      </c>
      <c r="G5552" t="inlineStr">
        <is>
          <t>0</t>
        </is>
      </c>
      <c r="H5552" t="inlineStr">
        <is>
          <t>17⁶, 34⁶</t>
        </is>
      </c>
      <c r="I5552" t="n">
        <v>12</v>
      </c>
      <c r="J5552" t="inlineStr">
        <is>
          <t>4³, 8³, 16³⁶</t>
        </is>
      </c>
      <c r="K5552">
        <f>HYPERLINK("CSG0.html#group2B0", "2B⁰"), =HYPERLINK("CSG4.html#group17A4", "17A⁴")</f>
        <v/>
      </c>
      <c r="L5552" t="inlineStr"/>
      <c r="M5552">
        <f>HYPERLINK("CSG0.html#group1A0", "1A⁰"), =HYPERLINK("CSG0.html#group2B0", "2B⁰"), =HYPERLINK("CSG4.html#group17A4", "17A⁴")</f>
        <v/>
      </c>
      <c r="N5552" t="inlineStr"/>
    </row>
    <row r="5553">
      <c r="A5553" t="inlineStr">
        <is>
          <t>34C¹⁹</t>
        </is>
      </c>
      <c r="B5553" t="inlineStr"/>
      <c r="C5553" t="inlineStr">
        <is>
          <t>306</t>
        </is>
      </c>
      <c r="D5553" t="inlineStr">
        <is>
          <t>1</t>
        </is>
      </c>
      <c r="E5553" t="inlineStr">
        <is>
          <t>306</t>
        </is>
      </c>
      <c r="F5553" t="inlineStr">
        <is>
          <t>6</t>
        </is>
      </c>
      <c r="G5553" t="inlineStr">
        <is>
          <t>0</t>
        </is>
      </c>
      <c r="H5553" t="inlineStr">
        <is>
          <t>17⁶, 34⁶</t>
        </is>
      </c>
      <c r="I5553" t="n">
        <v>12</v>
      </c>
      <c r="J5553" t="inlineStr">
        <is>
          <t>4³, 8³, 16³⁶</t>
        </is>
      </c>
      <c r="K5553">
        <f>HYPERLINK("CSG0.html#group2B0", "2B⁰"), =HYPERLINK("CSG4.html#group17B4", "17B⁴")</f>
        <v/>
      </c>
      <c r="L5553" t="inlineStr"/>
      <c r="M5553">
        <f>HYPERLINK("CSG0.html#group1A0", "1A⁰"), =HYPERLINK("CSG0.html#group2B0", "2B⁰"), =HYPERLINK("CSG4.html#group17B4", "17B⁴")</f>
        <v/>
      </c>
      <c r="N5553" t="inlineStr"/>
    </row>
    <row r="5554">
      <c r="A5554" t="inlineStr">
        <is>
          <t>35A¹⁹</t>
        </is>
      </c>
      <c r="B5554" t="inlineStr"/>
      <c r="C5554" t="inlineStr">
        <is>
          <t>280</t>
        </is>
      </c>
      <c r="D5554" t="inlineStr">
        <is>
          <t>1</t>
        </is>
      </c>
      <c r="E5554" t="inlineStr">
        <is>
          <t>140</t>
        </is>
      </c>
      <c r="F5554" t="inlineStr">
        <is>
          <t>0</t>
        </is>
      </c>
      <c r="G5554" t="inlineStr">
        <is>
          <t>4</t>
        </is>
      </c>
      <c r="H5554" t="inlineStr">
        <is>
          <t>35⁸</t>
        </is>
      </c>
      <c r="I5554" t="n">
        <v>8</v>
      </c>
      <c r="J5554" t="inlineStr">
        <is>
          <t>1¹, 3¹, 4¹, 6⁴, 12¹, 24⁴</t>
        </is>
      </c>
      <c r="K5554">
        <f>HYPERLINK("CSG1.html#group7B1", "7B¹"), =HYPERLINK("CSG2.html#group35B2", "35B²"), =HYPERLINK("CSG4.html#group35A4", "35A⁴"), =HYPERLINK("CSG9.html#group35A9", "35A⁹")</f>
        <v/>
      </c>
      <c r="L5554" t="inlineStr"/>
      <c r="M5554">
        <f>HYPERLINK("CSG0.html#group5A0", "5A⁰"), =HYPERLINK("CSG9.html#group35A9", "35A⁹"), =HYPERLINK("CSG0.html#group7B0", "7B⁰"), =HYPERLINK("CSG4.html#group35A4", "35A⁴"), =HYPERLINK("CSG0.html#group7C0", "7C⁰"), =HYPERLINK("CSG0.html#group7F0", "7F⁰"), =HYPERLINK("CSG2.html#group35A2", "35A²"), =HYPERLINK("CSG2.html#group35B2", "35B²"), =HYPERLINK("CSG0.html#group1A0", "1A⁰"), =HYPERLINK("CSG1.html#group7B1", "7B¹"), =HYPERLINK("CSG0.html#group7A0", "7A⁰")</f>
        <v/>
      </c>
      <c r="N5554" t="inlineStr"/>
    </row>
    <row r="5555">
      <c r="A5555" t="inlineStr">
        <is>
          <t>35B¹⁹</t>
        </is>
      </c>
      <c r="B5555" t="inlineStr"/>
      <c r="C5555" t="inlineStr">
        <is>
          <t>280</t>
        </is>
      </c>
      <c r="D5555" t="inlineStr">
        <is>
          <t>2</t>
        </is>
      </c>
      <c r="E5555" t="inlineStr">
        <is>
          <t>70</t>
        </is>
      </c>
      <c r="F5555" t="inlineStr">
        <is>
          <t>0</t>
        </is>
      </c>
      <c r="G5555" t="inlineStr">
        <is>
          <t>4</t>
        </is>
      </c>
      <c r="H5555" t="inlineStr">
        <is>
          <t>35⁸</t>
        </is>
      </c>
      <c r="I5555" t="n">
        <v>8</v>
      </c>
      <c r="J5555" t="inlineStr">
        <is>
          <t>4¹, 8², 12², 24⁴</t>
        </is>
      </c>
      <c r="K5555">
        <f>HYPERLINK("CSG4.html#group35A4", "35A⁴"), =HYPERLINK("CSG8.html#group35C8", "35C⁸"), =HYPERLINK("CSG9.html#group35B9", "35B⁹"), =HYPERLINK("CSG10.html#group35A10", "35A¹⁰")</f>
        <v/>
      </c>
      <c r="L5555" t="inlineStr"/>
      <c r="M5555">
        <f>HYPERLINK("CSG9.html#group35B9", "35B⁹"), =HYPERLINK("CSG10.html#group35A10", "35A¹⁰"), =HYPERLINK("CSG0.html#group5A0", "5A⁰"), =HYPERLINK("CSG4.html#group35A4", "35A⁴"), =HYPERLINK("CSG0.html#group5C0", "5C⁰"), =HYPERLINK("CSG4.html#group35B4", "35B⁴"), =HYPERLINK("CSG0.html#group7C0", "7C⁰"), =HYPERLINK("CSG0.html#group5F0", "5F⁰"), =HYPERLINK("CSG8.html#group35C8", "35C⁸"), =HYPERLINK("CSG0.html#group1A0", "1A⁰"), =HYPERLINK("CSG2.html#group35A2", "35A²"), =HYPERLINK("CSG0.html#group7A0", "7A⁰")</f>
        <v/>
      </c>
      <c r="N5555" t="inlineStr"/>
    </row>
    <row r="5556">
      <c r="A5556" t="inlineStr">
        <is>
          <t>35C¹⁹</t>
        </is>
      </c>
      <c r="B5556" t="inlineStr"/>
      <c r="C5556" t="inlineStr">
        <is>
          <t>315</t>
        </is>
      </c>
      <c r="D5556" t="inlineStr">
        <is>
          <t>1</t>
        </is>
      </c>
      <c r="E5556" t="inlineStr">
        <is>
          <t>105</t>
        </is>
      </c>
      <c r="F5556" t="inlineStr">
        <is>
          <t>15</t>
        </is>
      </c>
      <c r="G5556" t="inlineStr">
        <is>
          <t>0</t>
        </is>
      </c>
      <c r="H5556" t="inlineStr">
        <is>
          <t>35⁹</t>
        </is>
      </c>
      <c r="I5556" t="n">
        <v>9</v>
      </c>
      <c r="J5556" t="inlineStr">
        <is>
          <t>3¹, 6³, 12¹, 24³</t>
        </is>
      </c>
      <c r="K5556">
        <f>HYPERLINK("CSG6.html#group35B6", "35B⁶"), =HYPERLINK("CSG7.html#group35A7", "35A⁷")</f>
        <v/>
      </c>
      <c r="L5556" t="inlineStr"/>
      <c r="M5556">
        <f>HYPERLINK("CSG0.html#group5A0", "5A⁰"), =HYPERLINK("CSG0.html#group7D0", "7D⁰"), =HYPERLINK("CSG7.html#group35A7", "35A⁷"), =HYPERLINK("CSG0.html#group5E0", "5E⁰"), =HYPERLINK("CSG6.html#group35B6", "35B⁶"), =HYPERLINK("CSG0.html#group1A0", "1A⁰"), =HYPERLINK("CSG2.html#group35A2", "35A²"), =HYPERLINK("CSG0.html#group7A0", "7A⁰")</f>
        <v/>
      </c>
      <c r="N5556" t="inlineStr"/>
    </row>
    <row r="5557">
      <c r="A5557" t="inlineStr">
        <is>
          <t>36A¹⁹</t>
        </is>
      </c>
      <c r="B5557" t="inlineStr"/>
      <c r="C5557" t="inlineStr">
        <is>
          <t>288</t>
        </is>
      </c>
      <c r="D5557" t="inlineStr">
        <is>
          <t>1</t>
        </is>
      </c>
      <c r="E5557" t="inlineStr">
        <is>
          <t>4</t>
        </is>
      </c>
      <c r="F5557" t="inlineStr">
        <is>
          <t>0</t>
        </is>
      </c>
      <c r="G5557" t="inlineStr">
        <is>
          <t>0</t>
        </is>
      </c>
      <c r="H5557" t="inlineStr">
        <is>
          <t>12⁶, 36⁶</t>
        </is>
      </c>
      <c r="I5557" t="n">
        <v>12</v>
      </c>
      <c r="J5557" t="inlineStr">
        <is>
          <t>1², 2¹</t>
        </is>
      </c>
      <c r="K5557">
        <f>HYPERLINK("CSG3.html#group12K3", "12K³"), =HYPERLINK("CSG5.html#group36G5", "36G⁵"), =HYPERLINK("CSG7.html#group36B7", "36B⁷"), =HYPERLINK("CSG9.html#group36C9", "36C⁹"), =HYPERLINK("CSG10.html#group36J10", "36J¹⁰")</f>
        <v/>
      </c>
      <c r="L5557" t="inlineStr"/>
      <c r="M5557">
        <f>HYPERLINK("CSG0.html#group2A0", "2A⁰"), =HYPERLINK("CSG10.html#group36J10", "36J¹⁰"), =HYPERLINK("CSG7.html#group36B7", "36B⁷"), =HYPERLINK("CSG0.html#group4C0", "4C⁰"), =HYPERLINK("CSG2.html#group18D2", "18D²"), =HYPERLINK("CSG0.html#group4G0", "4G⁰"), =HYPERLINK("CSG0.html#group2B0", "2B⁰"), =HYPERLINK("CSG0.html#group4E0", "4E⁰"), =HYPERLINK("CSG0.html#group9C0", "9C⁰"), =HYPERLINK("CSG5.html#group36A5", "36A⁵"), =HYPERLINK("CSG0.html#group4B0", "4B⁰"), =HYPERLINK("CSG0.html#group1A0", "1A⁰"), =HYPERLINK("CSG5.html#group36G5", "36G⁵"), =HYPERLINK("CSG2.html#group18C2", "18C²"), =HYPERLINK("CSG0.html#group4D0", "4D⁰"), =HYPERLINK("CSG1.html#group12A1", "12A¹"), =HYPERLINK("CSG0.html#group6F0", "6F⁰"), =HYPERLINK("CSG0.html#group3B0", "3B⁰"), =HYPERLINK("CSG1.html#group12I1", "12I¹"), =HYPERLINK("CSG1.html#group12F1", "12F¹"), =HYPERLINK("CSG0.html#group18B0", "18B⁰"), =HYPERLINK("CSG0.html#group6I0", "6I⁰"), =HYPERLINK("CSG0.html#group6C0", "6C⁰"), =HYPERLINK("CSG4.html#group36F4", "36F⁴"), =HYPERLINK("CSG1.html#group12P1", "12P¹"), =HYPERLINK("CSG3.html#group36C3", "36C³"), =HYPERLINK("CSG9.html#group36C9", "36C⁹"), =HYPERLINK("CSG0.html#group4A0", "4A⁰"), =HYPERLINK("CSG2.html#group12G2", "12G²"), =HYPERLINK("CSG3.html#group12K3", "12K³"), =HYPERLINK("CSG0.html#group4F0", "4F⁰"), =HYPERLINK("CSG0.html#group2C0", "2C⁰"), =HYPERLINK("CSG0.html#group12E0", "12E⁰"), =HYPERLINK("CSG4.html#group18C4", "18C⁴")</f>
        <v/>
      </c>
      <c r="N5557" t="inlineStr"/>
    </row>
    <row r="5558">
      <c r="A5558" t="inlineStr">
        <is>
          <t>36B¹⁹</t>
        </is>
      </c>
      <c r="B5558" t="inlineStr"/>
      <c r="C5558" t="inlineStr">
        <is>
          <t>288</t>
        </is>
      </c>
      <c r="D5558" t="inlineStr">
        <is>
          <t>1</t>
        </is>
      </c>
      <c r="E5558" t="inlineStr">
        <is>
          <t>4</t>
        </is>
      </c>
      <c r="F5558" t="inlineStr">
        <is>
          <t>0</t>
        </is>
      </c>
      <c r="G5558" t="inlineStr">
        <is>
          <t>0</t>
        </is>
      </c>
      <c r="H5558" t="inlineStr">
        <is>
          <t>12⁶, 36⁶</t>
        </is>
      </c>
      <c r="I5558" t="n">
        <v>12</v>
      </c>
      <c r="J5558" t="inlineStr">
        <is>
          <t>1², 2¹</t>
        </is>
      </c>
      <c r="K5558">
        <f>HYPERLINK("CSG3.html#group12K3", "12K³"), =HYPERLINK("CSG6.html#group36B6", "36B⁶"), =HYPERLINK("CSG7.html#group36A7", "36A⁷"), =HYPERLINK("CSG9.html#group36D9", "36D⁹"), =HYPERLINK("CSG10.html#group36K10", "36K¹⁰")</f>
        <v/>
      </c>
      <c r="L5558" t="inlineStr"/>
      <c r="M5558">
        <f>HYPERLINK("CSG0.html#group2A0", "2A⁰"), =HYPERLINK("CSG1.html#group18D1", "18D¹"), =HYPERLINK("CSG0.html#group4C0", "4C⁰"), =HYPERLINK("CSG2.html#group18E2", "18E²"), =HYPERLINK("CSG0.html#group4G0", "4G⁰"), =HYPERLINK("CSG0.html#group2B0", "2B⁰"), =HYPERLINK("CSG0.html#group4E0", "4E⁰"), =HYPERLINK("CSG0.html#group4B0", "4B⁰"), =HYPERLINK("CSG0.html#group1A0", "1A⁰"), =HYPERLINK("CSG7.html#group36A7", "36A⁷"), =HYPERLINK("CSG0.html#group4D0", "4D⁰"), =HYPERLINK("CSG1.html#group12A1", "12A¹"), =HYPERLINK("CSG0.html#group6F0", "6F⁰"), =HYPERLINK("CSG0.html#group3B0", "3B⁰"), =HYPERLINK("CSG1.html#group12I1", "12I¹"), =HYPERLINK("CSG6.html#group36B6", "36B⁶"), =HYPERLINK("CSG1.html#group12F1", "12F¹"), =HYPERLINK("CSG0.html#group6I0", "6I⁰"), =HYPERLINK("CSG0.html#group6C0", "6C⁰"), =HYPERLINK("CSG4.html#group36G4", "36G⁴"), =HYPERLINK("CSG5.html#group36B5", "36B⁵"), =HYPERLINK("CSG1.html#group12P1", "12P¹"), =HYPERLINK("CSG10.html#group36K10", "36K¹⁰"), =HYPERLINK("CSG2.html#group18B2", "18B²"), =HYPERLINK("CSG0.html#group4A0", "4A⁰"), =HYPERLINK("CSG1.html#group9A1", "9A¹"), =HYPERLINK("CSG4.html#group36C4", "36C⁴"), =HYPERLINK("CSG2.html#group12G2", "12G²"), =HYPERLINK("CSG3.html#group12K3", "12K³"), =HYPERLINK("CSG0.html#group4F0", "4F⁰"), =HYPERLINK("CSG4.html#group18D4", "18D⁴"), =HYPERLINK("CSG0.html#group2C0", "2C⁰"), =HYPERLINK("CSG0.html#group12E0", "12E⁰"), =HYPERLINK("CSG9.html#group36D9", "36D⁹")</f>
        <v/>
      </c>
      <c r="N5558" t="inlineStr"/>
    </row>
    <row r="5559">
      <c r="A5559" t="inlineStr">
        <is>
          <t>36C¹⁹</t>
        </is>
      </c>
      <c r="B5559" t="inlineStr"/>
      <c r="C5559" t="inlineStr">
        <is>
          <t>288</t>
        </is>
      </c>
      <c r="D5559" t="inlineStr">
        <is>
          <t>1</t>
        </is>
      </c>
      <c r="E5559" t="inlineStr">
        <is>
          <t>12</t>
        </is>
      </c>
      <c r="F5559" t="inlineStr">
        <is>
          <t>0</t>
        </is>
      </c>
      <c r="G5559" t="inlineStr">
        <is>
          <t>0</t>
        </is>
      </c>
      <c r="H5559" t="inlineStr">
        <is>
          <t>12⁶, 36⁶</t>
        </is>
      </c>
      <c r="I5559" t="n">
        <v>12</v>
      </c>
      <c r="J5559" t="inlineStr">
        <is>
          <t>1⁶, 2³</t>
        </is>
      </c>
      <c r="K5559">
        <f>HYPERLINK("CSG3.html#group12L3", "12L³"), =HYPERLINK("CSG8.html#group36H8", "36H⁸"), =HYPERLINK("CSG9.html#group36C9", "36C⁹"), =HYPERLINK("CSG10.html#group36A10", "36A¹⁰")</f>
        <v/>
      </c>
      <c r="L5559" t="inlineStr"/>
      <c r="M5559">
        <f>HYPERLINK("CSG0.html#group3B0", "3B⁰"), =HYPERLINK("CSG0.html#group2A0", "2A⁰"), =HYPERLINK("CSG4.html#group18C4", "18C⁴"), =HYPERLINK("CSG0.html#group18B0", "18B⁰"), =HYPERLINK("CSG0.html#group6I0", "6I⁰"), =HYPERLINK("CSG1.html#group12F1", "12F¹"), =HYPERLINK("CSG0.html#group6C0", "6C⁰"), =HYPERLINK("CSG0.html#group12I0", "12I⁰"), =HYPERLINK("CSG0.html#group4C0", "4C⁰"), =HYPERLINK("CSG2.html#group18D2", "18D²"), =HYPERLINK("CSG4.html#group36F4", "36F⁴"), =HYPERLINK("CSG0.html#group2B0", "2B⁰"), =HYPERLINK("CSG0.html#group4E0", "4E⁰"), =HYPERLINK("CSG0.html#group9C0", "9C⁰"), =HYPERLINK("CSG0.html#group12B0", "12B⁰"), =HYPERLINK("CSG5.html#group36A5", "36A⁵"), =HYPERLINK("CSG0.html#group1A0", "1A⁰"), =HYPERLINK("CSG0.html#group4B0", "4B⁰"), =HYPERLINK("CSG1.html#group12P1", "12P¹"), =HYPERLINK("CSG2.html#group12F2", "12F²"), =HYPERLINK("CSG9.html#group36C9", "36C⁹"), =HYPERLINK("CSG8.html#group36H8", "36H⁸"), =HYPERLINK("CSG10.html#group36A10", "36A¹⁰"), =HYPERLINK("CSG3.html#group12L3", "12L³"), =HYPERLINK("CSG4.html#group36B4", "36B⁴"), =HYPERLINK("CSG0.html#group6F0", "6F⁰"), =HYPERLINK("CSG0.html#group2C0", "2C⁰"), =HYPERLINK("CSG0.html#group12E0", "12E⁰"), =HYPERLINK("CSG0.html#group36A0", "36A⁰"), =HYPERLINK("CSG2.html#group18C2", "18C²")</f>
        <v/>
      </c>
      <c r="N5559" t="inlineStr"/>
    </row>
    <row r="5560">
      <c r="A5560" t="inlineStr">
        <is>
          <t>36D¹⁹</t>
        </is>
      </c>
      <c r="B5560" t="inlineStr"/>
      <c r="C5560" t="inlineStr">
        <is>
          <t>288</t>
        </is>
      </c>
      <c r="D5560" t="inlineStr">
        <is>
          <t>1</t>
        </is>
      </c>
      <c r="E5560" t="inlineStr">
        <is>
          <t>12</t>
        </is>
      </c>
      <c r="F5560" t="inlineStr">
        <is>
          <t>0</t>
        </is>
      </c>
      <c r="G5560" t="inlineStr">
        <is>
          <t>0</t>
        </is>
      </c>
      <c r="H5560" t="inlineStr">
        <is>
          <t>12⁶, 36⁶</t>
        </is>
      </c>
      <c r="I5560" t="n">
        <v>12</v>
      </c>
      <c r="J5560" t="inlineStr">
        <is>
          <t>1⁶, 2³</t>
        </is>
      </c>
      <c r="K5560">
        <f>HYPERLINK("CSG3.html#group12L3", "12L³"), =HYPERLINK("CSG8.html#group36I8", "36I⁸"), =HYPERLINK("CSG9.html#group36D9", "36D⁹"), =HYPERLINK("CSG10.html#group36B10", "36B¹⁰")</f>
        <v/>
      </c>
      <c r="L5560" t="inlineStr"/>
      <c r="M5560">
        <f>HYPERLINK("CSG0.html#group3B0", "3B⁰"), =HYPERLINK("CSG0.html#group2A0", "2A⁰"), =HYPERLINK("CSG0.html#group6I0", "6I⁰"), =HYPERLINK("CSG1.html#group18D1", "18D¹"), =HYPERLINK("CSG1.html#group12F1", "12F¹"), =HYPERLINK("CSG0.html#group6C0", "6C⁰"), =HYPERLINK("CSG2.html#group18E2", "18E²"), =HYPERLINK("CSG0.html#group12I0", "12I⁰"), =HYPERLINK("CSG0.html#group4C0", "4C⁰"), =HYPERLINK("CSG4.html#group36G4", "36G⁴"), =HYPERLINK("CSG8.html#group36I8", "36I⁸"), =HYPERLINK("CSG0.html#group2B0", "2B⁰"), =HYPERLINK("CSG0.html#group4E0", "4E⁰"), =HYPERLINK("CSG5.html#group36B5", "36B⁵"), =HYPERLINK("CSG0.html#group12B0", "12B⁰"), =HYPERLINK("CSG1.html#group12P1", "12P¹"), =HYPERLINK("CSG0.html#group4B0", "4B⁰"), =HYPERLINK("CSG0.html#group1A0", "1A⁰"), =HYPERLINK("CSG10.html#group36B10", "36B¹⁰"), =HYPERLINK("CSG2.html#group12F2", "12F²"), =HYPERLINK("CSG2.html#group18B2", "18B²"), =HYPERLINK("CSG3.html#group12L3", "12L³"), =HYPERLINK("CSG1.html#group9A1", "9A¹"), =HYPERLINK("CSG4.html#group36A4", "36A⁴"), =HYPERLINK("CSG4.html#group18D4", "18D⁴"), =HYPERLINK("CSG2.html#group36A2", "36A²"), =HYPERLINK("CSG0.html#group6F0", "6F⁰"), =HYPERLINK("CSG0.html#group2C0", "2C⁰"), =HYPERLINK("CSG0.html#group12E0", "12E⁰"), =HYPERLINK("CSG9.html#group36D9", "36D⁹")</f>
        <v/>
      </c>
      <c r="N5560" t="inlineStr"/>
    </row>
    <row r="5561">
      <c r="A5561" t="inlineStr">
        <is>
          <t>36E¹⁹</t>
        </is>
      </c>
      <c r="B5561" t="inlineStr"/>
      <c r="C5561" t="inlineStr">
        <is>
          <t>288</t>
        </is>
      </c>
      <c r="D5561" t="inlineStr">
        <is>
          <t>1</t>
        </is>
      </c>
      <c r="E5561" t="inlineStr">
        <is>
          <t>16</t>
        </is>
      </c>
      <c r="F5561" t="inlineStr">
        <is>
          <t>0</t>
        </is>
      </c>
      <c r="G5561" t="inlineStr">
        <is>
          <t>0</t>
        </is>
      </c>
      <c r="H5561" t="inlineStr">
        <is>
          <t>12⁶, 36⁶</t>
        </is>
      </c>
      <c r="I5561" t="n">
        <v>12</v>
      </c>
      <c r="J5561" t="inlineStr">
        <is>
          <t>2⁴, 4²</t>
        </is>
      </c>
      <c r="K5561">
        <f>HYPERLINK("CSG4.html#group18E4", "18E⁴"), =HYPERLINK("CSG5.html#group12A5", "12A⁵"), =HYPERLINK("CSG5.html#group36F5", "36F⁵"), =HYPERLINK("CSG5.html#group36G5", "36G⁵"), =HYPERLINK("CSG7.html#group36A7", "36A⁷"), =HYPERLINK("CSG10.html#group36H10", "36H¹⁰")</f>
        <v/>
      </c>
      <c r="L5561" t="inlineStr"/>
      <c r="M5561">
        <f>HYPERLINK("CSG0.html#group2A0", "2A⁰"), =HYPERLINK("CSG10.html#group36H10", "36H¹⁰"), =HYPERLINK("CSG0.html#group9C0", "9C⁰"), =HYPERLINK("CSG5.html#group12A5", "12A⁵"), =HYPERLINK("CSG0.html#group1A0", "1A⁰"), =HYPERLINK("CSG5.html#group36G5", "36G⁵"), =HYPERLINK("CSG7.html#group36A7", "36A⁷"), =HYPERLINK("CSG1.html#group6B1", "6B¹"), =HYPERLINK("CSG1.html#group18C1", "18C¹"), =HYPERLINK("CSG1.html#group12A1", "12A¹"), =HYPERLINK("CSG0.html#group4D0", "4D⁰"), =HYPERLINK("CSG2.html#group12A2", "12A²"), =HYPERLINK("CSG0.html#group3C0", "3C⁰"), =HYPERLINK("CSG1.html#group12Q1", "12Q¹"), =HYPERLINK("CSG1.html#group6A1", "6A¹"), =HYPERLINK("CSG4.html#group18E4", "18E⁴"), =HYPERLINK("CSG0.html#group3A0", "3A⁰"), =HYPERLINK("CSG3.html#group36B3", "36B³"), =HYPERLINK("CSG5.html#group36F5", "36F⁵"), =HYPERLINK("CSG1.html#group12G1", "12G¹"), =HYPERLINK("CSG0.html#group3B0", "3B⁰"), =HYPERLINK("CSG0.html#group6B0", "6B⁰"), =HYPERLINK("CSG1.html#group12I1", "12I¹"), =HYPERLINK("CSG3.html#group12B3", "12B³"), =HYPERLINK("CSG0.html#group18B0", "18B⁰"), =HYPERLINK("CSG0.html#group6C0", "6C⁰"), =HYPERLINK("CSG3.html#group12C3", "12C³"), =HYPERLINK("CSG0.html#group9B0", "9B⁰"), =HYPERLINK("CSG0.html#group12F0", "12F⁰"), =HYPERLINK("CSG3.html#group36C3", "36C³"), =HYPERLINK("CSG2.html#group18B2", "18B²"), =HYPERLINK("CSG0.html#group12A0", "12A⁰"), =HYPERLINK("CSG1.html#group6D1", "6D¹"), =HYPERLINK("CSG0.html#group6E0", "6E⁰"), =HYPERLINK("CSG0.html#group4A0", "4A⁰"), =HYPERLINK("CSG1.html#group9A1", "9A¹"), =HYPERLINK("CSG1.html#group9C1", "9C¹"), =HYPERLINK("CSG4.html#group36C4", "36C⁴"), =HYPERLINK("CSG0.html#group3D0", "3D⁰")</f>
        <v/>
      </c>
      <c r="N5561" t="inlineStr"/>
    </row>
    <row r="5562">
      <c r="A5562" t="inlineStr">
        <is>
          <t>36F¹⁹</t>
        </is>
      </c>
      <c r="B5562" t="inlineStr"/>
      <c r="C5562" t="inlineStr">
        <is>
          <t>288</t>
        </is>
      </c>
      <c r="D5562" t="inlineStr">
        <is>
          <t>1</t>
        </is>
      </c>
      <c r="E5562" t="inlineStr">
        <is>
          <t>32</t>
        </is>
      </c>
      <c r="F5562" t="inlineStr">
        <is>
          <t>0</t>
        </is>
      </c>
      <c r="G5562" t="inlineStr">
        <is>
          <t>0</t>
        </is>
      </c>
      <c r="H5562" t="inlineStr">
        <is>
          <t>12⁶, 36⁶</t>
        </is>
      </c>
      <c r="I5562" t="n">
        <v>12</v>
      </c>
      <c r="J5562" t="inlineStr">
        <is>
          <t>4⁸</t>
        </is>
      </c>
      <c r="K5562">
        <f>HYPERLINK("CSG4.html#group12D4", "12D⁴"), =HYPERLINK("CSG4.html#group18F4", "18F⁴"), =HYPERLINK("CSG4.html#group36O4", "36O⁴"), =HYPERLINK("CSG7.html#group36A7", "36A⁷"), =HYPERLINK("CSG7.html#group36B7", "36B⁷")</f>
        <v/>
      </c>
      <c r="L5562" t="inlineStr"/>
      <c r="M5562">
        <f>HYPERLINK("CSG0.html#group3B0", "3B⁰"), =HYPERLINK("CSG0.html#group2A0", "2A⁰"), =HYPERLINK("CSG1.html#group12I1", "12I¹"), =HYPERLINK("CSG1.html#group12H1", "12H¹"), =HYPERLINK("CSG7.html#group36B7", "36B⁷"), =HYPERLINK("CSG0.html#group6C0", "6C⁰"), =HYPERLINK("CSG1.html#group12E1", "12E¹"), =HYPERLINK("CSG4.html#group18F4", "18F⁴"), =HYPERLINK("CSG4.html#group36O4", "36O⁴"), =HYPERLINK("CSG0.html#group1A0", "1A⁰"), =HYPERLINK("CSG7.html#group36A7", "36A⁷"), =HYPERLINK("CSG0.html#group18C0", "18C⁰"), =HYPERLINK("CSG2.html#group18B2", "18B²"), =HYPERLINK("CSG4.html#group12D4", "12D⁴"), =HYPERLINK("CSG0.html#group6A0", "6A⁰"), =HYPERLINK("CSG0.html#group4A0", "4A⁰"), =HYPERLINK("CSG0.html#group4D0", "4D⁰"), =HYPERLINK("CSG1.html#group12A1", "12A¹"), =HYPERLINK("CSG1.html#group9A1", "9A¹"), =HYPERLINK("CSG0.html#group6J0", "6J⁰"), =HYPERLINK("CSG4.html#group36C4", "36C⁴"), =HYPERLINK("CSG2.html#group18C2", "18C²")</f>
        <v/>
      </c>
      <c r="N5562" t="inlineStr"/>
    </row>
    <row r="5563">
      <c r="A5563" t="inlineStr">
        <is>
          <t>36G¹⁹</t>
        </is>
      </c>
      <c r="B5563" t="inlineStr"/>
      <c r="C5563" t="inlineStr">
        <is>
          <t>288</t>
        </is>
      </c>
      <c r="D5563" t="inlineStr">
        <is>
          <t>1</t>
        </is>
      </c>
      <c r="E5563" t="inlineStr">
        <is>
          <t>32</t>
        </is>
      </c>
      <c r="F5563" t="inlineStr">
        <is>
          <t>0</t>
        </is>
      </c>
      <c r="G5563" t="inlineStr">
        <is>
          <t>0</t>
        </is>
      </c>
      <c r="H5563" t="inlineStr">
        <is>
          <t>12⁶, 36⁶</t>
        </is>
      </c>
      <c r="I5563" t="n">
        <v>12</v>
      </c>
      <c r="J5563" t="inlineStr">
        <is>
          <t>4⁸</t>
        </is>
      </c>
      <c r="K5563">
        <f>HYPERLINK("CSG4.html#group12D4", "12D⁴"), =HYPERLINK("CSG4.html#group18G4", "18G⁴"), =HYPERLINK("CSG5.html#group36F5", "36F⁵"), =HYPERLINK("CSG6.html#group36B6", "36B⁶"), =HYPERLINK("CSG7.html#group36B7", "36B⁷")</f>
        <v/>
      </c>
      <c r="L5563" t="inlineStr"/>
      <c r="M5563">
        <f>HYPERLINK("CSG0.html#group3B0", "3B⁰"), =HYPERLINK("CSG0.html#group2A0", "2A⁰"), =HYPERLINK("CSG1.html#group12I1", "12I¹"), =HYPERLINK("CSG1.html#group12H1", "12H¹"), =HYPERLINK("CSG6.html#group36B6", "36B⁶"), =HYPERLINK("CSG1.html#group18D1", "18D¹"), =HYPERLINK("CSG7.html#group36B7", "36B⁷"), =HYPERLINK("CSG0.html#group6C0", "6C⁰"), =HYPERLINK("CSG1.html#group12E1", "12E¹"), =HYPERLINK("CSG0.html#group9B0", "9B⁰"), =HYPERLINK("CSG0.html#group1A0", "1A⁰"), =HYPERLINK("CSG4.html#group12D4", "12D⁴"), =HYPERLINK("CSG0.html#group6A0", "6A⁰"), =HYPERLINK("CSG0.html#group4A0", "4A⁰"), =HYPERLINK("CSG0.html#group4D0", "4D⁰"), =HYPERLINK("CSG1.html#group12A1", "12A¹"), =HYPERLINK("CSG2.html#group18C2", "18C²"), =HYPERLINK("CSG1.html#group18C1", "18C¹"), =HYPERLINK("CSG0.html#group6J0", "6J⁰"), =HYPERLINK("CSG3.html#group36B3", "36B³"), =HYPERLINK("CSG5.html#group36F5", "36F⁵"), =HYPERLINK("CSG4.html#group18G4", "18G⁴")</f>
        <v/>
      </c>
      <c r="N5563" t="inlineStr"/>
    </row>
    <row r="5564">
      <c r="A5564" t="inlineStr">
        <is>
          <t>36H¹⁹</t>
        </is>
      </c>
      <c r="B5564" t="inlineStr"/>
      <c r="C5564" t="inlineStr">
        <is>
          <t>288</t>
        </is>
      </c>
      <c r="D5564" t="inlineStr">
        <is>
          <t>1</t>
        </is>
      </c>
      <c r="E5564" t="inlineStr">
        <is>
          <t>32</t>
        </is>
      </c>
      <c r="F5564" t="inlineStr">
        <is>
          <t>0</t>
        </is>
      </c>
      <c r="G5564" t="inlineStr">
        <is>
          <t>0</t>
        </is>
      </c>
      <c r="H5564" t="inlineStr">
        <is>
          <t>12⁶, 36⁶</t>
        </is>
      </c>
      <c r="I5564" t="n">
        <v>12</v>
      </c>
      <c r="J5564" t="inlineStr">
        <is>
          <t>4⁸</t>
        </is>
      </c>
      <c r="K5564">
        <f>HYPERLINK("CSG4.html#group18H4", "18H⁴"), =HYPERLINK("CSG4.html#group36O4", "36O⁴"), =HYPERLINK("CSG5.html#group12A5", "12A⁵"), =HYPERLINK("CSG6.html#group36B6", "36B⁶"), =HYPERLINK("CSG7.html#group36B7", "36B⁷")</f>
        <v/>
      </c>
      <c r="L5564" t="inlineStr"/>
      <c r="M5564">
        <f>HYPERLINK("CSG0.html#group2A0", "2A⁰"), =HYPERLINK("CSG1.html#group18D1", "18D¹"), =HYPERLINK("CSG7.html#group36B7", "36B⁷"), =HYPERLINK("CSG5.html#group12A5", "12A⁵"), =HYPERLINK("CSG4.html#group36O4", "36O⁴"), =HYPERLINK("CSG0.html#group1A0", "1A⁰"), =HYPERLINK("CSG0.html#group18C0", "18C⁰"), =HYPERLINK("CSG1.html#group6B1", "6B¹"), =HYPERLINK("CSG0.html#group4D0", "4D⁰"), =HYPERLINK("CSG1.html#group12A1", "12A¹"), =HYPERLINK("CSG2.html#group12A2", "12A²"), =HYPERLINK("CSG1.html#group12Q1", "12Q¹"), =HYPERLINK("CSG0.html#group3C0", "3C⁰"), =HYPERLINK("CSG1.html#group6A1", "6A¹"), =HYPERLINK("CSG0.html#group3A0", "3A⁰"), =HYPERLINK("CSG1.html#group12G1", "12G¹"), =HYPERLINK("CSG0.html#group3B0", "3B⁰"), =HYPERLINK("CSG0.html#group6B0", "6B⁰"), =HYPERLINK("CSG1.html#group12I1", "12I¹"), =HYPERLINK("CSG6.html#group36B6", "36B⁶"), =HYPERLINK("CSG3.html#group12B3", "12B³"), =HYPERLINK("CSG0.html#group6C0", "6C⁰"), =HYPERLINK("CSG3.html#group12C3", "12C³"), =HYPERLINK("CSG0.html#group12F0", "12F⁰"), =HYPERLINK("CSG4.html#group18H4", "18H⁴"), =HYPERLINK("CSG0.html#group12A0", "12A⁰"), =HYPERLINK("CSG1.html#group6D1", "6D¹"), =HYPERLINK("CSG0.html#group6E0", "6E⁰"), =HYPERLINK("CSG0.html#group4A0", "4A⁰"), =HYPERLINK("CSG0.html#group3D0", "3D⁰"), =HYPERLINK("CSG2.html#group18C2", "18C²")</f>
        <v/>
      </c>
      <c r="N5564" t="inlineStr"/>
    </row>
    <row r="5565">
      <c r="A5565" t="inlineStr">
        <is>
          <t>36I¹⁹</t>
        </is>
      </c>
      <c r="B5565" t="inlineStr"/>
      <c r="C5565" t="inlineStr">
        <is>
          <t>288</t>
        </is>
      </c>
      <c r="D5565" t="inlineStr">
        <is>
          <t>1</t>
        </is>
      </c>
      <c r="E5565" t="inlineStr">
        <is>
          <t>48</t>
        </is>
      </c>
      <c r="F5565" t="inlineStr">
        <is>
          <t>0</t>
        </is>
      </c>
      <c r="G5565" t="inlineStr">
        <is>
          <t>0</t>
        </is>
      </c>
      <c r="H5565" t="inlineStr">
        <is>
          <t>12⁶, 36⁶</t>
        </is>
      </c>
      <c r="I5565" t="n">
        <v>12</v>
      </c>
      <c r="J5565" t="inlineStr">
        <is>
          <t>2⁴, 4⁴, 12²</t>
        </is>
      </c>
      <c r="K5565">
        <f>HYPERLINK("CSG4.html#group18I4", "18I⁴"), =HYPERLINK("CSG7.html#group36A7", "36A⁷"), =HYPERLINK("CSG10.html#group36L10", "36L¹⁰")</f>
        <v/>
      </c>
      <c r="L5565" t="inlineStr"/>
      <c r="M5565">
        <f>HYPERLINK("CSG0.html#group3B0", "3B⁰"), =HYPERLINK("CSG0.html#group2A0", "2A⁰"), =HYPERLINK("CSG2.html#group18B2", "18B²"), =HYPERLINK("CSG1.html#group12I1", "12I¹"), =HYPERLINK("CSG0.html#group4A0", "4A⁰"), =HYPERLINK("CSG0.html#group4D0", "4D⁰"), =HYPERLINK("CSG1.html#group12A1", "12A¹"), =HYPERLINK("CSG0.html#group6C0", "6C⁰"), =HYPERLINK("CSG10.html#group36L10", "36L¹⁰"), =HYPERLINK("CSG1.html#group9A1", "9A¹"), =HYPERLINK("CSG4.html#group36C4", "36C⁴"), =HYPERLINK("CSG4.html#group18I4", "18I⁴"), =HYPERLINK("CSG1.html#group9D1", "9D¹"), =HYPERLINK("CSG0.html#group1A0", "1A⁰"), =HYPERLINK("CSG7.html#group36A7", "36A⁷")</f>
        <v/>
      </c>
      <c r="N5565" t="inlineStr"/>
    </row>
    <row r="5566">
      <c r="A5566" t="inlineStr">
        <is>
          <t>36J¹⁹</t>
        </is>
      </c>
      <c r="B5566" t="inlineStr"/>
      <c r="C5566" t="inlineStr">
        <is>
          <t>288</t>
        </is>
      </c>
      <c r="D5566" t="inlineStr">
        <is>
          <t>1</t>
        </is>
      </c>
      <c r="E5566" t="inlineStr">
        <is>
          <t>96</t>
        </is>
      </c>
      <c r="F5566" t="inlineStr">
        <is>
          <t>0</t>
        </is>
      </c>
      <c r="G5566" t="inlineStr">
        <is>
          <t>0</t>
        </is>
      </c>
      <c r="H5566" t="inlineStr">
        <is>
          <t>12⁶, 36⁶</t>
        </is>
      </c>
      <c r="I5566" t="n">
        <v>12</v>
      </c>
      <c r="J5566" t="inlineStr">
        <is>
          <t>2⁸, 4⁸, 12⁴</t>
        </is>
      </c>
      <c r="K5566">
        <f>HYPERLINK("CSG4.html#group18J4", "18J⁴"), =HYPERLINK("CSG7.html#group36A7", "36A⁷")</f>
        <v/>
      </c>
      <c r="L5566" t="inlineStr"/>
      <c r="M5566">
        <f>HYPERLINK("CSG0.html#group3B0", "3B⁰"), =HYPERLINK("CSG0.html#group2A0", "2A⁰"), =HYPERLINK("CSG2.html#group18B2", "18B²"), =HYPERLINK("CSG1.html#group12I1", "12I¹"), =HYPERLINK("CSG4.html#group18J4", "18J⁴"), =HYPERLINK("CSG0.html#group4A0", "4A⁰"), =HYPERLINK("CSG0.html#group4D0", "4D⁰"), =HYPERLINK("CSG1.html#group12A1", "12A¹"), =HYPERLINK("CSG0.html#group6C0", "6C⁰"), =HYPERLINK("CSG1.html#group9A1", "9A¹"), =HYPERLINK("CSG4.html#group36C4", "36C⁴"), =HYPERLINK("CSG0.html#group1A0", "1A⁰"), =HYPERLINK("CSG7.html#group36A7", "36A⁷")</f>
        <v/>
      </c>
      <c r="N5566" t="inlineStr"/>
    </row>
    <row r="5567">
      <c r="A5567" t="inlineStr">
        <is>
          <t>36K¹⁹</t>
        </is>
      </c>
      <c r="B5567" t="inlineStr"/>
      <c r="C5567" t="inlineStr">
        <is>
          <t>288</t>
        </is>
      </c>
      <c r="D5567" t="inlineStr">
        <is>
          <t>2</t>
        </is>
      </c>
      <c r="E5567" t="inlineStr">
        <is>
          <t>72</t>
        </is>
      </c>
      <c r="F5567" t="inlineStr">
        <is>
          <t>8</t>
        </is>
      </c>
      <c r="G5567" t="inlineStr">
        <is>
          <t>0</t>
        </is>
      </c>
      <c r="H5567" t="inlineStr">
        <is>
          <t>36⁸</t>
        </is>
      </c>
      <c r="I5567" t="n">
        <v>8</v>
      </c>
      <c r="J5567" t="inlineStr">
        <is>
          <t>4¹², 12⁸</t>
        </is>
      </c>
      <c r="K5567">
        <f>HYPERLINK("CSG3.html#group12M3", "12M³"), =HYPERLINK("CSG5.html#group36C5", "36C⁵"), =HYPERLINK("CSG9.html#group36K9", "36K⁹")</f>
        <v/>
      </c>
      <c r="L5567" t="inlineStr"/>
      <c r="M5567">
        <f>HYPERLINK("CSG1.html#group12G1", "12G¹"), =HYPERLINK("CSG1.html#group12D1", "12D¹"), =HYPERLINK("CSG0.html#group6B0", "6B⁰"), =HYPERLINK("CSG2.html#group36D2", "36D²"), =HYPERLINK("CSG0.html#group12F0", "12F⁰"), =HYPERLINK("CSG9.html#group36K9", "36K⁹"), =HYPERLINK("CSG0.html#group1A0", "1A⁰"), =HYPERLINK("CSG1.html#group9B1", "9B¹"), =HYPERLINK("CSG0.html#group18A0", "18A⁰"), =HYPERLINK("CSG1.html#group36A1", "36A¹"), =HYPERLINK("CSG5.html#group36C5", "36C⁵"), =HYPERLINK("CSG0.html#group12A0", "12A⁰"), =HYPERLINK("CSG0.html#group6E0", "6E⁰"), =HYPERLINK("CSG0.html#group4A0", "4A⁰"), =HYPERLINK("CSG0.html#group9A0", "9A⁰"), =HYPERLINK("CSG5.html#group36E5", "36E⁵"), =HYPERLINK("CSG3.html#group12M3", "12M³"), =HYPERLINK("CSG1.html#group12Q1", "12Q¹"), =HYPERLINK("CSG0.html#group3C0", "3C⁰"), =HYPERLINK("CSG2.html#group18G2", "18G²"), =HYPERLINK("CSG0.html#group3A0", "3A⁰"), =HYPERLINK("CSG1.html#group18A1", "18A¹"), =HYPERLINK("CSG4.html#group36L4", "36L⁴")</f>
        <v/>
      </c>
      <c r="N5567" t="inlineStr"/>
    </row>
    <row r="5568">
      <c r="A5568" t="inlineStr">
        <is>
          <t>36L¹⁹</t>
        </is>
      </c>
      <c r="B5568" t="inlineStr"/>
      <c r="C5568" t="inlineStr">
        <is>
          <t>288</t>
        </is>
      </c>
      <c r="D5568" t="inlineStr">
        <is>
          <t>2</t>
        </is>
      </c>
      <c r="E5568" t="inlineStr">
        <is>
          <t>144</t>
        </is>
      </c>
      <c r="F5568" t="inlineStr">
        <is>
          <t>8</t>
        </is>
      </c>
      <c r="G5568" t="inlineStr">
        <is>
          <t>0</t>
        </is>
      </c>
      <c r="H5568" t="inlineStr">
        <is>
          <t>36⁸</t>
        </is>
      </c>
      <c r="I5568" t="n">
        <v>8</v>
      </c>
      <c r="J5568" t="inlineStr">
        <is>
          <t>4²⁴, 12¹⁶</t>
        </is>
      </c>
      <c r="K5568">
        <f>HYPERLINK("CSG3.html#group12M3", "12M³"), =HYPERLINK("CSG5.html#group36D5", "36D⁵"), =HYPERLINK("CSG9.html#group36L9", "36L⁹")</f>
        <v/>
      </c>
      <c r="L5568" t="inlineStr"/>
      <c r="M5568">
        <f>HYPERLINK("CSG1.html#group12G1", "12G¹"), =HYPERLINK("CSG1.html#group12D1", "12D¹"), =HYPERLINK("CSG0.html#group6B0", "6B⁰"), =HYPERLINK("CSG0.html#group12F0", "12F⁰"), =HYPERLINK("CSG1.html#group18B1", "18B¹"), =HYPERLINK("CSG0.html#group1A0", "1A⁰"), =HYPERLINK("CSG4.html#group36N4", "36N⁴"), =HYPERLINK("CSG0.html#group12A0", "12A⁰"), =HYPERLINK("CSG2.html#group18H2", "18H²"), =HYPERLINK("CSG0.html#group6E0", "6E⁰"), =HYPERLINK("CSG5.html#group36D5", "36D⁵"), =HYPERLINK("CSG0.html#group4A0", "4A⁰"), =HYPERLINK("CSG3.html#group12M3", "12M³"), =HYPERLINK("CSG1.html#group12Q1", "12Q¹"), =HYPERLINK("CSG0.html#group3C0", "3C⁰"), =HYPERLINK("CSG0.html#group3A0", "3A⁰"), =HYPERLINK("CSG9.html#group36L9", "36L⁹")</f>
        <v/>
      </c>
      <c r="N5568" t="inlineStr"/>
    </row>
    <row r="5569">
      <c r="A5569" t="inlineStr">
        <is>
          <t>36M¹⁹</t>
        </is>
      </c>
      <c r="B5569" t="inlineStr"/>
      <c r="C5569" t="inlineStr">
        <is>
          <t>324</t>
        </is>
      </c>
      <c r="D5569" t="inlineStr">
        <is>
          <t>1</t>
        </is>
      </c>
      <c r="E5569" t="inlineStr">
        <is>
          <t>54</t>
        </is>
      </c>
      <c r="F5569" t="inlineStr">
        <is>
          <t>0</t>
        </is>
      </c>
      <c r="G5569" t="inlineStr">
        <is>
          <t>0</t>
        </is>
      </c>
      <c r="H5569" t="inlineStr">
        <is>
          <t>9¹², 36⁶</t>
        </is>
      </c>
      <c r="I5569" t="n">
        <v>18</v>
      </c>
      <c r="J5569" t="inlineStr">
        <is>
          <t>1³, 2³, 3³, 6⁶</t>
        </is>
      </c>
      <c r="K5569">
        <f>HYPERLINK("CSG4.html#group36Q4", "36Q⁴"), =HYPERLINK("CSG7.html#group18I7", "18I⁷"), =HYPERLINK("CSG7.html#group36C7", "36C⁷")</f>
        <v/>
      </c>
      <c r="L5569" t="inlineStr"/>
      <c r="M5569">
        <f>HYPERLINK("CSG1.html#group12K1", "12K¹"), =HYPERLINK("CSG1.html#group18I1", "18I¹"), =HYPERLINK("CSG0.html#group6G0", "6G⁰"), =HYPERLINK("CSG1.html#group9E1", "9E¹"), =HYPERLINK("CSG7.html#group18I7", "18I⁷"), =HYPERLINK("CSG0.html#group2B0", "2B⁰"), =HYPERLINK("CSG0.html#group9E0", "9E⁰"), =HYPERLINK("CSG0.html#group4B0", "4B⁰"), =HYPERLINK("CSG0.html#group1A0", "1A⁰"), =HYPERLINK("CSG7.html#group36C7", "36C⁷"), =HYPERLINK("CSG0.html#group9D0", "9D⁰"), =HYPERLINK("CSG0.html#group9A0", "9A⁰"), =HYPERLINK("CSG4.html#group36D4", "36D⁴"), =HYPERLINK("CSG4.html#group36Q4", "36Q⁴"), =HYPERLINK("CSG0.html#group3C0", "3C⁰"), =HYPERLINK("CSG1.html#group12B1", "12B¹"), =HYPERLINK("CSG0.html#group12D0", "12D⁰"), =HYPERLINK("CSG1.html#group18E1", "18E¹"), =HYPERLINK("CSG0.html#group3A0", "3A⁰"), =HYPERLINK("CSG3.html#group36D3", "36D³"), =HYPERLINK("CSG2.html#group18I2", "18I²"), =HYPERLINK("CSG0.html#group6D0", "6D⁰")</f>
        <v/>
      </c>
      <c r="N5569" t="inlineStr"/>
    </row>
    <row r="5570">
      <c r="A5570" t="inlineStr">
        <is>
          <t>36N¹⁹</t>
        </is>
      </c>
      <c r="B5570" t="inlineStr"/>
      <c r="C5570" t="inlineStr">
        <is>
          <t>324</t>
        </is>
      </c>
      <c r="D5570" t="inlineStr">
        <is>
          <t>1</t>
        </is>
      </c>
      <c r="E5570" t="inlineStr">
        <is>
          <t>54</t>
        </is>
      </c>
      <c r="F5570" t="inlineStr">
        <is>
          <t>12</t>
        </is>
      </c>
      <c r="G5570" t="inlineStr">
        <is>
          <t>0</t>
        </is>
      </c>
      <c r="H5570" t="inlineStr">
        <is>
          <t>18⁶, 36⁶</t>
        </is>
      </c>
      <c r="I5570" t="n">
        <v>12</v>
      </c>
      <c r="J5570" t="inlineStr">
        <is>
          <t>1³, 2³, 3³, 6⁶</t>
        </is>
      </c>
      <c r="K5570">
        <f>HYPERLINK("CSG5.html#group36H5", "36H⁵"), =HYPERLINK("CSG5.html#group36I5", "36I⁵"), =HYPERLINK("CSG7.html#group18I7", "18I⁷")</f>
        <v/>
      </c>
      <c r="L5570" t="inlineStr"/>
      <c r="M5570">
        <f>HYPERLINK("CSG5.html#group36I5", "36I⁵"), =HYPERLINK("CSG0.html#group12C0", "12C⁰"), =HYPERLINK("CSG3.html#group36E3", "36E³"), =HYPERLINK("CSG1.html#group18I1", "18I¹"), =HYPERLINK("CSG0.html#group4C0", "4C⁰"), =HYPERLINK("CSG2.html#group36B2", "36B²"), =HYPERLINK("CSG0.html#group6G0", "6G⁰"), =HYPERLINK("CSG1.html#group9E1", "9E¹"), =HYPERLINK("CSG7.html#group18I7", "18I⁷"), =HYPERLINK("CSG5.html#group36H5", "36H⁵"), =HYPERLINK("CSG0.html#group2B0", "2B⁰"), =HYPERLINK("CSG0.html#group9E0", "9E⁰"), =HYPERLINK("CSG1.html#group12L1", "12L¹"), =HYPERLINK("CSG0.html#group1A0", "1A⁰"), =HYPERLINK("CSG0.html#group9D0", "9D⁰"), =HYPERLINK("CSG1.html#group12C1", "12C¹"), =HYPERLINK("CSG0.html#group9A0", "9A⁰"), =HYPERLINK("CSG0.html#group3C0", "3C⁰"), =HYPERLINK("CSG1.html#group18E1", "18E¹"), =HYPERLINK("CSG0.html#group3A0", "3A⁰"), =HYPERLINK("CSG2.html#group18I2", "18I²"), =HYPERLINK("CSG0.html#group6D0", "6D⁰")</f>
        <v/>
      </c>
      <c r="N5570" t="inlineStr"/>
    </row>
    <row r="5571">
      <c r="A5571" t="inlineStr">
        <is>
          <t>36O¹⁹</t>
        </is>
      </c>
      <c r="B5571" t="inlineStr"/>
      <c r="C5571" t="inlineStr">
        <is>
          <t>324</t>
        </is>
      </c>
      <c r="D5571" t="inlineStr">
        <is>
          <t>1</t>
        </is>
      </c>
      <c r="E5571" t="inlineStr">
        <is>
          <t>81</t>
        </is>
      </c>
      <c r="F5571" t="inlineStr">
        <is>
          <t>0</t>
        </is>
      </c>
      <c r="G5571" t="inlineStr">
        <is>
          <t>0</t>
        </is>
      </c>
      <c r="H5571" t="inlineStr">
        <is>
          <t>9¹², 36⁶</t>
        </is>
      </c>
      <c r="I5571" t="n">
        <v>18</v>
      </c>
      <c r="J5571" t="inlineStr">
        <is>
          <t>3³, 6¹²</t>
        </is>
      </c>
      <c r="K5571">
        <f>HYPERLINK("CSG4.html#group36Q4", "36Q⁴"), =HYPERLINK("CSG7.html#group36D7", "36D⁷"), =HYPERLINK("CSG7.html#group36L7", "36L⁷"), =HYPERLINK("CSG8.html#group18A8", "18A⁸"), =HYPERLINK("CSG10.html#group36N10", "36N¹⁰")</f>
        <v/>
      </c>
      <c r="L5571" t="inlineStr"/>
      <c r="M5571">
        <f>HYPERLINK("CSG1.html#group12K1", "12K¹"), =HYPERLINK("CSG10.html#group36N10", "36N¹⁰"), =HYPERLINK("CSG1.html#group18I1", "18I¹"), =HYPERLINK("CSG0.html#group9G0", "9G⁰"), =HYPERLINK("CSG0.html#group6G0", "6G⁰"), =HYPERLINK("CSG0.html#group2B0", "2B⁰"), =HYPERLINK("CSG2.html#group9B2", "9B²"), =HYPERLINK("CSG0.html#group9E0", "9E⁰"), =HYPERLINK("CSG0.html#group4B0", "4B⁰"), =HYPERLINK("CSG7.html#group36D7", "36D⁷"), =HYPERLINK("CSG0.html#group1A0", "1A⁰"), =HYPERLINK("CSG1.html#group9B1", "9B¹"), =HYPERLINK("CSG3.html#group18E3", "18E³"), =HYPERLINK("CSG8.html#group18A8", "18A⁸"), =HYPERLINK("CSG7.html#group36L7", "36L⁷"), =HYPERLINK("CSG3.html#group18J3", "18J³"), =HYPERLINK("CSG0.html#group9A0", "9A⁰"), =HYPERLINK("CSG4.html#group36D4", "36D⁴"), =HYPERLINK("CSG4.html#group36Q4", "36Q⁴"), =HYPERLINK("CSG0.html#group3C0", "3C⁰"), =HYPERLINK("CSG1.html#group12B1", "12B¹"), =HYPERLINK("CSG0.html#group12D0", "12D⁰"), =HYPERLINK("CSG1.html#group18E1", "18E¹"), =HYPERLINK("CSG0.html#group3A0", "3A⁰"), =HYPERLINK("CSG0.html#group6D0", "6D⁰"), =HYPERLINK("CSG2.html#group36C2", "36C²")</f>
        <v/>
      </c>
      <c r="N5571" t="inlineStr"/>
    </row>
    <row r="5572">
      <c r="A5572" t="inlineStr">
        <is>
          <t>36P¹⁹</t>
        </is>
      </c>
      <c r="B5572" t="inlineStr"/>
      <c r="C5572" t="inlineStr">
        <is>
          <t>324</t>
        </is>
      </c>
      <c r="D5572" t="inlineStr">
        <is>
          <t>1</t>
        </is>
      </c>
      <c r="E5572" t="inlineStr">
        <is>
          <t>108</t>
        </is>
      </c>
      <c r="F5572" t="inlineStr">
        <is>
          <t>18</t>
        </is>
      </c>
      <c r="G5572" t="inlineStr">
        <is>
          <t>0</t>
        </is>
      </c>
      <c r="H5572" t="inlineStr">
        <is>
          <t>36⁹</t>
        </is>
      </c>
      <c r="I5572" t="n">
        <v>9</v>
      </c>
      <c r="J5572" t="inlineStr">
        <is>
          <t>6², 12⁸</t>
        </is>
      </c>
      <c r="K5572">
        <f>HYPERLINK("CSG1.html#group9G1", "9G¹"), =HYPERLINK("CSG5.html#group36J5", "36J⁵"), =HYPERLINK("CSG6.html#group36G6", "36G⁶")</f>
        <v/>
      </c>
      <c r="L5572" t="inlineStr"/>
      <c r="M5572">
        <f>HYPERLINK("CSG1.html#group36A1", "36A¹"), =HYPERLINK("CSG5.html#group36J5", "36J⁵"), =HYPERLINK("CSG0.html#group12A0", "12A⁰"), =HYPERLINK("CSG0.html#group4A0", "4A⁰"), =HYPERLINK("CSG0.html#group9A0", "9A⁰"), =HYPERLINK("CSG0.html#group9G0", "9G⁰"), =HYPERLINK("CSG1.html#group9G1", "9G¹"), =HYPERLINK("CSG0.html#group3A0", "3A⁰"), =HYPERLINK("CSG0.html#group9F0", "9F⁰"), =HYPERLINK("CSG0.html#group1A0", "1A⁰"), =HYPERLINK("CSG6.html#group36G6", "36G⁶")</f>
        <v/>
      </c>
      <c r="N5572" t="inlineStr"/>
    </row>
    <row r="5573">
      <c r="A5573" t="inlineStr">
        <is>
          <t>36Q¹⁹</t>
        </is>
      </c>
      <c r="B5573" t="inlineStr"/>
      <c r="C5573" t="inlineStr">
        <is>
          <t>324</t>
        </is>
      </c>
      <c r="D5573" t="inlineStr">
        <is>
          <t>2</t>
        </is>
      </c>
      <c r="E5573" t="inlineStr">
        <is>
          <t>27</t>
        </is>
      </c>
      <c r="F5573" t="inlineStr">
        <is>
          <t>0</t>
        </is>
      </c>
      <c r="G5573" t="inlineStr">
        <is>
          <t>0</t>
        </is>
      </c>
      <c r="H5573" t="inlineStr">
        <is>
          <t>9¹², 36⁶</t>
        </is>
      </c>
      <c r="I5573" t="n">
        <v>18</v>
      </c>
      <c r="J5573" t="inlineStr">
        <is>
          <t>2⁹, 6⁶</t>
        </is>
      </c>
      <c r="K5573">
        <f>HYPERLINK("CSG7.html#group18M7", "18M⁷"), =HYPERLINK("CSG7.html#group36C7", "36C⁷"), =HYPERLINK("CSG7.html#group36D7", "36D⁷"), =HYPERLINK("CSG8.html#group36M8", "36M⁸"), =HYPERLINK("CSG10.html#group36N10", "36N¹⁰")</f>
        <v/>
      </c>
      <c r="L5573" t="inlineStr"/>
      <c r="M5573">
        <f>HYPERLINK("CSG1.html#group12K1", "12K¹"), =HYPERLINK("CSG10.html#group36N10", "36N¹⁰"), =HYPERLINK("CSG0.html#group9G0", "9G⁰"), =HYPERLINK("CSG7.html#group18M7", "18M⁷"), =HYPERLINK("CSG0.html#group6G0", "6G⁰"), =HYPERLINK("CSG0.html#group2B0", "2B⁰"), =HYPERLINK("CSG0.html#group4B0", "4B⁰"), =HYPERLINK("CSG7.html#group36D7", "36D⁷"), =HYPERLINK("CSG0.html#group1A0", "1A⁰"), =HYPERLINK("CSG1.html#group9B1", "9B¹"), =HYPERLINK("CSG3.html#group18E3", "18E³"), =HYPERLINK("CSG8.html#group36M8", "36M⁸"), =HYPERLINK("CSG7.html#group36C7", "36C⁷"), =HYPERLINK("CSG0.html#group9D0", "9D⁰"), =HYPERLINK("CSG3.html#group18J3", "18J³"), =HYPERLINK("CSG0.html#group9A0", "9A⁰"), =HYPERLINK("CSG4.html#group36D4", "36D⁴"), =HYPERLINK("CSG0.html#group3C0", "3C⁰"), =HYPERLINK("CSG1.html#group12B1", "12B¹"), =HYPERLINK("CSG0.html#group12D0", "12D⁰"), =HYPERLINK("CSG1.html#group18E1", "18E¹"), =HYPERLINK("CSG0.html#group3A0", "3A⁰"), =HYPERLINK("CSG3.html#group36D3", "36D³"), =HYPERLINK("CSG2.html#group18I2", "18I²"), =HYPERLINK("CSG0.html#group6D0", "6D⁰"), =HYPERLINK("CSG2.html#group36C2", "36C²"), =HYPERLINK("CSG1.html#group9F1", "9F¹")</f>
        <v/>
      </c>
      <c r="N5573" t="inlineStr"/>
    </row>
    <row r="5574">
      <c r="A5574" t="inlineStr">
        <is>
          <t>36R¹⁹</t>
        </is>
      </c>
      <c r="B5574" t="inlineStr"/>
      <c r="C5574" t="inlineStr">
        <is>
          <t>324</t>
        </is>
      </c>
      <c r="D5574" t="inlineStr">
        <is>
          <t>2</t>
        </is>
      </c>
      <c r="E5574" t="inlineStr">
        <is>
          <t>27</t>
        </is>
      </c>
      <c r="F5574" t="inlineStr">
        <is>
          <t>12</t>
        </is>
      </c>
      <c r="G5574" t="inlineStr">
        <is>
          <t>0</t>
        </is>
      </c>
      <c r="H5574" t="inlineStr">
        <is>
          <t>18⁶, 36⁶</t>
        </is>
      </c>
      <c r="I5574" t="n">
        <v>12</v>
      </c>
      <c r="J5574" t="inlineStr">
        <is>
          <t>2⁹, 6⁶</t>
        </is>
      </c>
      <c r="K5574">
        <f>HYPERLINK("CSG5.html#group36H5", "36H⁵"), =HYPERLINK("CSG7.html#group18M7", "18M⁷"), =HYPERLINK("CSG7.html#group36E7", "36E⁷"), =HYPERLINK("CSG8.html#group36L8", "36L⁸"), =HYPERLINK("CSG10.html#group36P10", "36P¹⁰")</f>
        <v/>
      </c>
      <c r="L5574" t="inlineStr"/>
      <c r="M5574">
        <f>HYPERLINK("CSG0.html#group12C0", "12C⁰"), =HYPERLINK("CSG3.html#group36E3", "36E³"), =HYPERLINK("CSG8.html#group36L8", "36L⁸"), =HYPERLINK("CSG0.html#group9G0", "9G⁰"), =HYPERLINK("CSG0.html#group4C0", "4C⁰"), =HYPERLINK("CSG2.html#group36B2", "36B²"), =HYPERLINK("CSG7.html#group18M7", "18M⁷"), =HYPERLINK("CSG0.html#group6G0", "6G⁰"), =HYPERLINK("CSG4.html#group36E4", "36E⁴"), =HYPERLINK("CSG0.html#group2B0", "2B⁰"), =HYPERLINK("CSG5.html#group36H5", "36H⁵"), =HYPERLINK("CSG0.html#group1A0", "1A⁰"), =HYPERLINK("CSG1.html#group9B1", "9B¹"), =HYPERLINK("CSG1.html#group12L1", "12L¹"), =HYPERLINK("CSG3.html#group18E3", "18E³"), =HYPERLINK("CSG10.html#group36P10", "36P¹⁰"), =HYPERLINK("CSG0.html#group9D0", "9D⁰"), =HYPERLINK("CSG1.html#group12C1", "12C¹"), =HYPERLINK("CSG3.html#group18J3", "18J³"), =HYPERLINK("CSG0.html#group9A0", "9A⁰"), =HYPERLINK("CSG7.html#group36E7", "36E⁷"), =HYPERLINK("CSG0.html#group3C0", "3C⁰"), =HYPERLINK("CSG1.html#group18E1", "18E¹"), =HYPERLINK("CSG0.html#group3A0", "3A⁰"), =HYPERLINK("CSG2.html#group18I2", "18I²"), =HYPERLINK("CSG0.html#group6D0", "6D⁰"), =HYPERLINK("CSG1.html#group9F1", "9F¹")</f>
        <v/>
      </c>
      <c r="N5574" t="inlineStr"/>
    </row>
    <row r="5575">
      <c r="A5575" t="inlineStr">
        <is>
          <t>36S¹⁹</t>
        </is>
      </c>
      <c r="B5575" t="inlineStr"/>
      <c r="C5575" t="inlineStr">
        <is>
          <t>324</t>
        </is>
      </c>
      <c r="D5575" t="inlineStr">
        <is>
          <t>2</t>
        </is>
      </c>
      <c r="E5575" t="inlineStr">
        <is>
          <t>81</t>
        </is>
      </c>
      <c r="F5575" t="inlineStr">
        <is>
          <t>12</t>
        </is>
      </c>
      <c r="G5575" t="inlineStr">
        <is>
          <t>0</t>
        </is>
      </c>
      <c r="H5575" t="inlineStr">
        <is>
          <t>18⁶, 36⁶</t>
        </is>
      </c>
      <c r="I5575" t="n">
        <v>12</v>
      </c>
      <c r="J5575" t="inlineStr">
        <is>
          <t>6²⁷</t>
        </is>
      </c>
      <c r="K5575">
        <f>HYPERLINK("CSG5.html#group36K5", "36K⁵"), =HYPERLINK("CSG7.html#group18K7", "18K⁷"), =HYPERLINK("CSG7.html#group36F7", "36F⁷"), =HYPERLINK("CSG8.html#group36M8", "36M⁸"), =HYPERLINK("CSG10.html#group36P10", "36P¹⁰")</f>
        <v/>
      </c>
      <c r="L5575" t="inlineStr"/>
      <c r="M5575">
        <f>HYPERLINK("CSG0.html#group6B0", "6B⁰"), =HYPERLINK("CSG3.html#group36E3", "36E³"), =HYPERLINK("CSG7.html#group18K7", "18K⁷"), =HYPERLINK("CSG1.html#group18H1", "18H¹"), =HYPERLINK("CSG5.html#group36K5", "36K⁵"), =HYPERLINK("CSG0.html#group9G0", "9G⁰"), =HYPERLINK("CSG0.html#group6H0", "6H⁰"), =HYPERLINK("CSG4.html#group36E4", "36E⁴"), =HYPERLINK("CSG0.html#group2B0", "2B⁰"), =HYPERLINK("CSG1.html#group12N1", "12N¹"), =HYPERLINK("CSG0.html#group1A0", "1A⁰"), =HYPERLINK("CSG7.html#group36F7", "36F⁷"), =HYPERLINK("CSG0.html#group18A0", "18A⁰"), =HYPERLINK("CSG2.html#group18L2", "18L²"), =HYPERLINK("CSG8.html#group36M8", "36M⁸"), =HYPERLINK("CSG10.html#group36P10", "36P¹⁰"), =HYPERLINK("CSG1.html#group12C1", "12C¹"), =HYPERLINK("CSG3.html#group18J3", "18J³"), =HYPERLINK("CSG0.html#group9A0", "9A⁰"), =HYPERLINK("CSG0.html#group12D0", "12D⁰"), =HYPERLINK("CSG1.html#group18E1", "18E¹"), =HYPERLINK("CSG0.html#group3A0", "3A⁰"), =HYPERLINK("CSG3.html#group36D3", "36D³"), =HYPERLINK("CSG0.html#group6D0", "6D⁰"), =HYPERLINK("CSG2.html#group36C2", "36C²")</f>
        <v/>
      </c>
      <c r="N5575" t="inlineStr"/>
    </row>
    <row r="5576">
      <c r="A5576" t="inlineStr">
        <is>
          <t>36T¹⁹</t>
        </is>
      </c>
      <c r="B5576" t="inlineStr"/>
      <c r="C5576" t="inlineStr">
        <is>
          <t>324</t>
        </is>
      </c>
      <c r="D5576" t="inlineStr">
        <is>
          <t>2</t>
        </is>
      </c>
      <c r="E5576" t="inlineStr">
        <is>
          <t>81</t>
        </is>
      </c>
      <c r="F5576" t="inlineStr">
        <is>
          <t>12</t>
        </is>
      </c>
      <c r="G5576" t="inlineStr">
        <is>
          <t>0</t>
        </is>
      </c>
      <c r="H5576" t="inlineStr">
        <is>
          <t>18⁶, 36⁶</t>
        </is>
      </c>
      <c r="I5576" t="n">
        <v>12</v>
      </c>
      <c r="J5576" t="inlineStr">
        <is>
          <t>6²⁷</t>
        </is>
      </c>
      <c r="K5576">
        <f>HYPERLINK("CSG5.html#group36K5", "36K⁵"), =HYPERLINK("CSG7.html#group36G7", "36G⁷"), =HYPERLINK("CSG7.html#group36L7", "36L⁷"), =HYPERLINK("CSG8.html#group18B8", "18B⁸"), =HYPERLINK("CSG10.html#group36P10", "36P¹⁰")</f>
        <v/>
      </c>
      <c r="L5576" t="inlineStr"/>
      <c r="M5576">
        <f>HYPERLINK("CSG0.html#group6B0", "6B⁰"), =HYPERLINK("CSG3.html#group36E3", "36E³"), =HYPERLINK("CSG5.html#group36K5", "36K⁵"), =HYPERLINK("CSG0.html#group9G0", "9G⁰"), =HYPERLINK("CSG0.html#group6H0", "6H⁰"), =HYPERLINK("CSG2.html#group18K2", "18K²"), =HYPERLINK("CSG1.html#group18B1", "18B¹"), =HYPERLINK("CSG4.html#group36E4", "36E⁴"), =HYPERLINK("CSG0.html#group2B0", "2B⁰"), =HYPERLINK("CSG1.html#group12N1", "12N¹"), =HYPERLINK("CSG2.html#group18M2", "18M²"), =HYPERLINK("CSG0.html#group1A0", "1A⁰"), =HYPERLINK("CSG0.html#group18A0", "18A⁰"), =HYPERLINK("CSG2.html#group18L2", "18L²"), =HYPERLINK("CSG7.html#group36L7", "36L⁷"), =HYPERLINK("CSG3.html#group18D3", "18D³"), =HYPERLINK("CSG10.html#group36P10", "36P¹⁰"), =HYPERLINK("CSG1.html#group12C1", "12C¹"), =HYPERLINK("CSG3.html#group18J3", "18J³"), =HYPERLINK("CSG0.html#group9A0", "9A⁰"), =HYPERLINK("CSG8.html#group18B8", "18B⁸"), =HYPERLINK("CSG0.html#group12D0", "12D⁰"), =HYPERLINK("CSG1.html#group18E1", "18E¹"), =HYPERLINK("CSG0.html#group3A0", "3A⁰"), =HYPERLINK("CSG7.html#group36G7", "36G⁷"), =HYPERLINK("CSG1.html#group18A1", "18A¹"), =HYPERLINK("CSG0.html#group6D0", "6D⁰"), =HYPERLINK("CSG2.html#group36C2", "36C²")</f>
        <v/>
      </c>
      <c r="N5576" t="inlineStr"/>
    </row>
    <row r="5577">
      <c r="A5577" t="inlineStr">
        <is>
          <t>36U¹⁹</t>
        </is>
      </c>
      <c r="B5577" t="inlineStr"/>
      <c r="C5577" t="inlineStr">
        <is>
          <t>432</t>
        </is>
      </c>
      <c r="D5577" t="inlineStr">
        <is>
          <t>1</t>
        </is>
      </c>
      <c r="E5577" t="inlineStr">
        <is>
          <t>108</t>
        </is>
      </c>
      <c r="F5577" t="inlineStr">
        <is>
          <t>8</t>
        </is>
      </c>
      <c r="G5577" t="inlineStr">
        <is>
          <t>0</t>
        </is>
      </c>
      <c r="H5577" t="inlineStr">
        <is>
          <t>6¹², 12¹², 18⁴, 36⁴</t>
        </is>
      </c>
      <c r="I5577" t="n">
        <v>32</v>
      </c>
      <c r="J5577" t="inlineStr">
        <is>
          <t>2⁷, 4¹, 6¹¹, 12²</t>
        </is>
      </c>
      <c r="K5577">
        <f>HYPERLINK("CSG3.html#group12P3", "12P³"), =HYPERLINK("CSG9.html#group36P9", "36P⁹")</f>
        <v/>
      </c>
      <c r="L5577" t="inlineStr"/>
      <c r="M5577">
        <f>HYPERLINK("CSG1.html#group12T1", "12T¹"), =HYPERLINK("CSG5.html#group36I5", "36I⁵"), =HYPERLINK("CSG0.html#group6B0", "6B⁰"), =HYPERLINK("CSG0.html#group12C0", "12C⁰"), =HYPERLINK("CSG1.html#group18I1", "18I¹"), =HYPERLINK("CSG0.html#group4C0", "4C⁰"), =HYPERLINK("CSG0.html#group6G0", "6G⁰"), =HYPERLINK("CSG0.html#group2B0", "2B⁰"), =HYPERLINK("CSG1.html#group12N1", "12N¹"), =HYPERLINK("CSG0.html#group12H0", "12H⁰"), =HYPERLINK("CSG0.html#group9E0", "9E⁰"), =HYPERLINK("CSG0.html#group1A0", "1A⁰"), =HYPERLINK("CSG1.html#group12L1", "12L¹"), =HYPERLINK("CSG9.html#group36P9", "36P⁹"), =HYPERLINK("CSG0.html#group12G0", "12G⁰"), =HYPERLINK("CSG1.html#group12C1", "12C¹"), =HYPERLINK("CSG0.html#group6E0", "6E⁰"), =HYPERLINK("CSG0.html#group6L0", "6L⁰"), =HYPERLINK("CSG3.html#group12P3", "12P³"), =HYPERLINK("CSG0.html#group3C0", "3C⁰"), =HYPERLINK("CSG3.html#group18K3", "18K³"), =HYPERLINK("CSG0.html#group12D0", "12D⁰"), =HYPERLINK("CSG1.html#group18G1", "18G¹"), =HYPERLINK("CSG0.html#group6H0", "6H⁰"), =HYPERLINK("CSG0.html#group3A0", "3A⁰"), =HYPERLINK("CSG3.html#group36I3", "36I³"), =HYPERLINK("CSG1.html#group18F1", "18F¹"), =HYPERLINK("CSG0.html#group6D0", "6D⁰")</f>
        <v/>
      </c>
      <c r="N5577" t="inlineStr"/>
    </row>
    <row r="5578">
      <c r="A5578" t="inlineStr">
        <is>
          <t>39A¹⁹</t>
        </is>
      </c>
      <c r="B5578" t="inlineStr"/>
      <c r="C5578" t="inlineStr">
        <is>
          <t>336</t>
        </is>
      </c>
      <c r="D5578" t="inlineStr">
        <is>
          <t>1</t>
        </is>
      </c>
      <c r="E5578" t="inlineStr">
        <is>
          <t>84</t>
        </is>
      </c>
      <c r="F5578" t="inlineStr">
        <is>
          <t>8</t>
        </is>
      </c>
      <c r="G5578" t="inlineStr">
        <is>
          <t>0</t>
        </is>
      </c>
      <c r="H5578" t="inlineStr">
        <is>
          <t>3⁸, 39⁸</t>
        </is>
      </c>
      <c r="I5578" t="n">
        <v>16</v>
      </c>
      <c r="J5578" t="inlineStr">
        <is>
          <t>2⁶, 24³</t>
        </is>
      </c>
      <c r="K5578">
        <f>HYPERLINK("CSG9.html#group39A9", "39A⁹")</f>
        <v/>
      </c>
      <c r="L5578" t="inlineStr"/>
      <c r="M5578">
        <f>HYPERLINK("CSG2.html#group39A2", "39A²"), =HYPERLINK("CSG5.html#group39A5", "39A⁵"), =HYPERLINK("CSG9.html#group39A9", "39A⁹"), =HYPERLINK("CSG0.html#group13A0", "13A⁰"), =HYPERLINK("CSG0.html#group3C0", "3C⁰"), =HYPERLINK("CSG4.html#group39A4", "39A⁴"), =HYPERLINK("CSG0.html#group3A0", "3A⁰"), =HYPERLINK("CSG0.html#group1A0", "1A⁰")</f>
        <v/>
      </c>
      <c r="N5578" t="inlineStr"/>
    </row>
    <row r="5579">
      <c r="A5579" t="inlineStr">
        <is>
          <t>39B¹⁹</t>
        </is>
      </c>
      <c r="B5579" t="inlineStr"/>
      <c r="C5579" t="inlineStr">
        <is>
          <t>336</t>
        </is>
      </c>
      <c r="D5579" t="inlineStr">
        <is>
          <t>2</t>
        </is>
      </c>
      <c r="E5579" t="inlineStr">
        <is>
          <t>56</t>
        </is>
      </c>
      <c r="F5579" t="inlineStr">
        <is>
          <t>0</t>
        </is>
      </c>
      <c r="G5579" t="inlineStr">
        <is>
          <t>6</t>
        </is>
      </c>
      <c r="H5579" t="inlineStr">
        <is>
          <t>3⁸, 39⁸</t>
        </is>
      </c>
      <c r="I5579" t="n">
        <v>16</v>
      </c>
      <c r="J5579" t="inlineStr">
        <is>
          <t>2⁸, 24⁴</t>
        </is>
      </c>
      <c r="K5579">
        <f>HYPERLINK("CSG4.html#group39B4", "39B⁴"), =HYPERLINK("CSG5.html#group39B5", "39B⁵"), =HYPERLINK("CSG10.html#group39A10", "39A¹⁰")</f>
        <v/>
      </c>
      <c r="L5579" t="inlineStr"/>
      <c r="M5579">
        <f>HYPERLINK("CSG4.html#group39B4", "39B⁴"), =HYPERLINK("CSG0.html#group3B0", "3B⁰"), =HYPERLINK("CSG3.html#group39A3", "39A³"), =HYPERLINK("CSG10.html#group39A10", "39A¹⁰"), =HYPERLINK("CSG0.html#group13A0", "13A⁰"), =HYPERLINK("CSG0.html#group13B0", "13B⁰"), =HYPERLINK("CSG1.html#group39A1", "39A¹"), =HYPERLINK("CSG0.html#group1A0", "1A⁰"), =HYPERLINK("CSG5.html#group39B5", "39B⁵")</f>
        <v/>
      </c>
      <c r="N5579" t="inlineStr"/>
    </row>
    <row r="5580">
      <c r="A5580" t="inlineStr">
        <is>
          <t>40A¹⁹</t>
        </is>
      </c>
      <c r="B5580" t="inlineStr"/>
      <c r="C5580" t="inlineStr">
        <is>
          <t>288</t>
        </is>
      </c>
      <c r="D5580" t="inlineStr">
        <is>
          <t>1</t>
        </is>
      </c>
      <c r="E5580" t="inlineStr">
        <is>
          <t>6</t>
        </is>
      </c>
      <c r="F5580" t="inlineStr">
        <is>
          <t>0</t>
        </is>
      </c>
      <c r="G5580" t="inlineStr">
        <is>
          <t>0</t>
        </is>
      </c>
      <c r="H5580" t="inlineStr">
        <is>
          <t>8⁶, 40⁶</t>
        </is>
      </c>
      <c r="I5580" t="n">
        <v>12</v>
      </c>
      <c r="J5580" t="inlineStr">
        <is>
          <t>1², 4¹</t>
        </is>
      </c>
      <c r="K5580">
        <f>HYPERLINK("CSG7.html#group20K7", "20K⁷"), =HYPERLINK("CSG7.html#group40A7", "40A⁷"), =HYPERLINK("CSG9.html#group40Q9", "40Q⁹")</f>
        <v/>
      </c>
      <c r="L5580" t="inlineStr"/>
      <c r="M5580">
        <f>HYPERLINK("CSG0.html#group2A0", "2A⁰"), =HYPERLINK("CSG1.html#group20E1", "20E¹"), =HYPERLINK("CSG3.html#group40A3", "40A³"), =HYPERLINK("CSG0.html#group4C0", "4C⁰"), =HYPERLINK("CSG0.html#group5B0", "5B⁰"), =HYPERLINK("CSG1.html#group10A1", "10A¹"), =HYPERLINK("CSG0.html#group4G0", "4G⁰"), =HYPERLINK("CSG0.html#group2B0", "2B⁰"), =HYPERLINK("CSG0.html#group4E0", "4E⁰"), =HYPERLINK("CSG0.html#group4B0", "4B⁰"), =HYPERLINK("CSG0.html#group1A0", "1A⁰"), =HYPERLINK("CSG1.html#group20B1", "20B¹"), =HYPERLINK("CSG7.html#group20K7", "20K⁷"), =HYPERLINK("CSG0.html#group4D0", "4D⁰"), =HYPERLINK("CSG0.html#group10C0", "10C⁰"), =HYPERLINK("CSG3.html#group20J3", "20J³"), =HYPERLINK("CSG3.html#group20C3", "20C³"), =HYPERLINK("CSG1.html#group20D1", "20D¹"), =HYPERLINK("CSG7.html#group40A7", "40A⁷"), =HYPERLINK("CSG0.html#group4A0", "4A⁰"), =HYPERLINK("CSG9.html#group40Q9", "40Q⁹"), =HYPERLINK("CSG0.html#group4F0", "4F⁰"), =HYPERLINK("CSG3.html#group20L3", "20L³"), =HYPERLINK("CSG0.html#group2C0", "2C⁰"), =HYPERLINK("CSG1.html#group10G1", "10G¹")</f>
        <v/>
      </c>
      <c r="N5580" t="inlineStr"/>
    </row>
    <row r="5581">
      <c r="A5581" t="inlineStr">
        <is>
          <t>40B¹⁹</t>
        </is>
      </c>
      <c r="B5581" t="inlineStr"/>
      <c r="C5581" t="inlineStr">
        <is>
          <t>288</t>
        </is>
      </c>
      <c r="D5581" t="inlineStr">
        <is>
          <t>1</t>
        </is>
      </c>
      <c r="E5581" t="inlineStr">
        <is>
          <t>6</t>
        </is>
      </c>
      <c r="F5581" t="inlineStr">
        <is>
          <t>0</t>
        </is>
      </c>
      <c r="G5581" t="inlineStr">
        <is>
          <t>0</t>
        </is>
      </c>
      <c r="H5581" t="inlineStr">
        <is>
          <t>8⁶, 40⁶</t>
        </is>
      </c>
      <c r="I5581" t="n">
        <v>12</v>
      </c>
      <c r="J5581" t="inlineStr">
        <is>
          <t>1², 4¹</t>
        </is>
      </c>
      <c r="K5581">
        <f>HYPERLINK("CSG2.html#group8A2", "8A²"), =HYPERLINK("CSG7.html#group20K7", "20K⁷"), =HYPERLINK("CSG7.html#group40B7", "40B⁷"), =HYPERLINK("CSG9.html#group40R9", "40R⁹")</f>
        <v/>
      </c>
      <c r="L5581" t="inlineStr"/>
      <c r="M5581">
        <f>HYPERLINK("CSG0.html#group2A0", "2A⁰"), =HYPERLINK("CSG1.html#group20E1", "20E¹"), =HYPERLINK("CSG0.html#group4C0", "4C⁰"), =HYPERLINK("CSG0.html#group8A0", "8A⁰"), =HYPERLINK("CSG0.html#group5B0", "5B⁰"), =HYPERLINK("CSG1.html#group10A1", "10A¹"), =HYPERLINK("CSG0.html#group4G0", "4G⁰"), =HYPERLINK("CSG0.html#group2B0", "2B⁰"), =HYPERLINK("CSG0.html#group4E0", "4E⁰"), =HYPERLINK("CSG0.html#group4B0", "4B⁰"), =HYPERLINK("CSG0.html#group1A0", "1A⁰"), =HYPERLINK("CSG1.html#group20B1", "20B¹"), =HYPERLINK("CSG7.html#group20K7", "20K⁷"), =HYPERLINK("CSG0.html#group4D0", "4D⁰"), =HYPERLINK("CSG0.html#group10C0", "10C⁰"), =HYPERLINK("CSG3.html#group20J3", "20J³"), =HYPERLINK("CSG3.html#group20L3", "20L³"), =HYPERLINK("CSG3.html#group20C3", "20C³"), =HYPERLINK("CSG0.html#group8E0", "8E⁰"), =HYPERLINK("CSG1.html#group20D1", "20D¹"), =HYPERLINK("CSG1.html#group8D1", "8D¹"), =HYPERLINK("CSG2.html#group8A2", "8A²"), =HYPERLINK("CSG0.html#group4A0", "4A⁰"), =HYPERLINK("CSG7.html#group40B7", "40B⁷"), =HYPERLINK("CSG3.html#group40B3", "40B³"), =HYPERLINK("CSG0.html#group4F0", "4F⁰"), =HYPERLINK("CSG9.html#group40R9", "40R⁹"), =HYPERLINK("CSG0.html#group2C0", "2C⁰"), =HYPERLINK("CSG1.html#group10G1", "10G¹")</f>
        <v/>
      </c>
      <c r="N5581" t="inlineStr"/>
    </row>
    <row r="5582">
      <c r="A5582" t="inlineStr">
        <is>
          <t>40C¹⁹</t>
        </is>
      </c>
      <c r="B5582" t="inlineStr"/>
      <c r="C5582" t="inlineStr">
        <is>
          <t>288</t>
        </is>
      </c>
      <c r="D5582" t="inlineStr">
        <is>
          <t>1</t>
        </is>
      </c>
      <c r="E5582" t="inlineStr">
        <is>
          <t>36</t>
        </is>
      </c>
      <c r="F5582" t="inlineStr">
        <is>
          <t>0</t>
        </is>
      </c>
      <c r="G5582" t="inlineStr">
        <is>
          <t>0</t>
        </is>
      </c>
      <c r="H5582" t="inlineStr">
        <is>
          <t>8⁶, 40⁶</t>
        </is>
      </c>
      <c r="I5582" t="n">
        <v>12</v>
      </c>
      <c r="J5582" t="inlineStr">
        <is>
          <t>1⁴, 2⁴, 4², 8²</t>
        </is>
      </c>
      <c r="K5582">
        <f>HYPERLINK("CSG7.html#group20L7", "20L⁷")</f>
        <v/>
      </c>
      <c r="L5582" t="inlineStr"/>
      <c r="M5582">
        <f>HYPERLINK("CSG0.html#group2A0", "2A⁰"), =HYPERLINK("CSG1.html#group20E1", "20E¹"), =HYPERLINK("CSG7.html#group20L7", "20L⁷"), =HYPERLINK("CSG0.html#group4C0", "4C⁰"), =HYPERLINK("CSG0.html#group5B0", "5B⁰"), =HYPERLINK("CSG1.html#group10A1", "10A¹"), =HYPERLINK("CSG0.html#group2B0", "2B⁰"), =HYPERLINK("CSG1.html#group20D1", "20D¹"), =HYPERLINK("CSG0.html#group4E0", "4E⁰"), =HYPERLINK("CSG3.html#group20K3", "20K³"), =HYPERLINK("CSG0.html#group4B0", "4B⁰"), =HYPERLINK("CSG0.html#group1A0", "1A⁰"), =HYPERLINK("CSG0.html#group20A0", "20A⁰"), =HYPERLINK("CSG0.html#group10C0", "10C⁰"), =HYPERLINK("CSG3.html#group20I3", "20I³"), =HYPERLINK("CSG3.html#group20J3", "20J³"), =HYPERLINK("CSG0.html#group2C0", "2C⁰"), =HYPERLINK("CSG2.html#group20C2", "20C²"), =HYPERLINK("CSG1.html#group10G1", "10G¹")</f>
        <v/>
      </c>
      <c r="N5582" t="inlineStr"/>
    </row>
    <row r="5583">
      <c r="A5583" t="inlineStr">
        <is>
          <t>40D¹⁹</t>
        </is>
      </c>
      <c r="B5583" t="inlineStr"/>
      <c r="C5583" t="inlineStr">
        <is>
          <t>288</t>
        </is>
      </c>
      <c r="D5583" t="inlineStr">
        <is>
          <t>1</t>
        </is>
      </c>
      <c r="E5583" t="inlineStr">
        <is>
          <t>72</t>
        </is>
      </c>
      <c r="F5583" t="inlineStr">
        <is>
          <t>0</t>
        </is>
      </c>
      <c r="G5583" t="inlineStr">
        <is>
          <t>0</t>
        </is>
      </c>
      <c r="H5583" t="inlineStr">
        <is>
          <t>8⁶, 40⁶</t>
        </is>
      </c>
      <c r="I5583" t="n">
        <v>12</v>
      </c>
      <c r="J5583" t="inlineStr">
        <is>
          <t>2⁴, 4⁴, 8², 16²</t>
        </is>
      </c>
      <c r="K5583">
        <f>HYPERLINK("CSG7.html#group40Y7", "40Y⁷"), =HYPERLINK("CSG9.html#group40O9", "40O⁹"), =HYPERLINK("CSG9.html#group40R9", "40R⁹")</f>
        <v/>
      </c>
      <c r="L5583" t="inlineStr"/>
      <c r="M5583">
        <f>HYPERLINK("CSG1.html#group20E1", "20E¹"), =HYPERLINK("CSG9.html#group40O9", "40O⁹"), =HYPERLINK("CSG0.html#group4C0", "4C⁰"), =HYPERLINK("CSG0.html#group5B0", "5B⁰"), =HYPERLINK("CSG0.html#group8A0", "8A⁰"), =HYPERLINK("CSG5.html#group40B5", "40B⁵"), =HYPERLINK("CSG0.html#group2B0", "2B⁰"), =HYPERLINK("CSG0.html#group1A0", "1A⁰"), =HYPERLINK("CSG1.html#group8D1", "8D¹"), =HYPERLINK("CSG1.html#group20B1", "20B¹"), =HYPERLINK("CSG0.html#group4A0", "4A⁰"), =HYPERLINK("CSG3.html#group40B3", "40B³"), =HYPERLINK("CSG0.html#group10C0", "10C⁰"), =HYPERLINK("CSG7.html#group40Y7", "40Y⁷"), =HYPERLINK("CSG0.html#group4F0", "4F⁰"), =HYPERLINK("CSG9.html#group40R9", "40R⁹"), =HYPERLINK("CSG3.html#group20L3", "20L³"), =HYPERLINK("CSG3.html#group40G3", "40G³")</f>
        <v/>
      </c>
      <c r="N5583" t="inlineStr"/>
    </row>
    <row r="5584">
      <c r="A5584" t="inlineStr">
        <is>
          <t>40E¹⁹</t>
        </is>
      </c>
      <c r="B5584" t="inlineStr"/>
      <c r="C5584" t="inlineStr">
        <is>
          <t>288</t>
        </is>
      </c>
      <c r="D5584" t="inlineStr">
        <is>
          <t>1</t>
        </is>
      </c>
      <c r="E5584" t="inlineStr">
        <is>
          <t>72</t>
        </is>
      </c>
      <c r="F5584" t="inlineStr">
        <is>
          <t>0</t>
        </is>
      </c>
      <c r="G5584" t="inlineStr">
        <is>
          <t>0</t>
        </is>
      </c>
      <c r="H5584" t="inlineStr">
        <is>
          <t>8⁶, 40⁶</t>
        </is>
      </c>
      <c r="I5584" t="n">
        <v>12</v>
      </c>
      <c r="J5584" t="inlineStr">
        <is>
          <t>2⁴, 4⁴, 8², 16²</t>
        </is>
      </c>
      <c r="K5584">
        <f>HYPERLINK("CSG7.html#group40Y7", "40Y⁷"), =HYPERLINK("CSG9.html#group40P9", "40P⁹"), =HYPERLINK("CSG9.html#group40Q9", "40Q⁹")</f>
        <v/>
      </c>
      <c r="L5584" t="inlineStr"/>
      <c r="M5584">
        <f>HYPERLINK("CSG1.html#group20E1", "20E¹"), =HYPERLINK("CSG3.html#group40A3", "40A³"), =HYPERLINK("CSG1.html#group8A1", "8A¹"), =HYPERLINK("CSG3.html#group40H3", "40H³"), =HYPERLINK("CSG0.html#group8D0", "8D⁰"), =HYPERLINK("CSG0.html#group4C0", "4C⁰"), =HYPERLINK("CSG0.html#group5B0", "5B⁰"), =HYPERLINK("CSG5.html#group40C5", "40C⁵"), =HYPERLINK("CSG0.html#group2B0", "2B⁰"), =HYPERLINK("CSG0.html#group1A0", "1A⁰"), =HYPERLINK("CSG1.html#group20B1", "20B¹"), =HYPERLINK("CSG9.html#group40P9", "40P⁹"), =HYPERLINK("CSG1.html#group8C1", "8C¹"), =HYPERLINK("CSG0.html#group4A0", "4A⁰"), =HYPERLINK("CSG9.html#group40Q9", "40Q⁹"), =HYPERLINK("CSG0.html#group10C0", "10C⁰"), =HYPERLINK("CSG7.html#group40Y7", "40Y⁷"), =HYPERLINK("CSG0.html#group4F0", "4F⁰"), =HYPERLINK("CSG3.html#group20L3", "20L³")</f>
        <v/>
      </c>
      <c r="N5584" t="inlineStr"/>
    </row>
    <row r="5585">
      <c r="A5585" t="inlineStr">
        <is>
          <t>40F¹⁹</t>
        </is>
      </c>
      <c r="B5585" t="inlineStr"/>
      <c r="C5585" t="inlineStr">
        <is>
          <t>288</t>
        </is>
      </c>
      <c r="D5585" t="inlineStr">
        <is>
          <t>1</t>
        </is>
      </c>
      <c r="E5585" t="inlineStr">
        <is>
          <t>72</t>
        </is>
      </c>
      <c r="F5585" t="inlineStr">
        <is>
          <t>0</t>
        </is>
      </c>
      <c r="G5585" t="inlineStr">
        <is>
          <t>0</t>
        </is>
      </c>
      <c r="H5585" t="inlineStr">
        <is>
          <t>8⁶, 40⁶</t>
        </is>
      </c>
      <c r="I5585" t="n">
        <v>12</v>
      </c>
      <c r="J5585" t="inlineStr">
        <is>
          <t>2⁴, 4⁴, 8², 16²</t>
        </is>
      </c>
      <c r="K5585">
        <f>HYPERLINK("CSG7.html#group40Z7", "40Z⁷"), =HYPERLINK("CSG9.html#group40O9", "40O⁹"), =HYPERLINK("CSG9.html#group40Q9", "40Q⁹")</f>
        <v/>
      </c>
      <c r="L5585" t="inlineStr"/>
      <c r="M5585">
        <f>HYPERLINK("CSG1.html#group20E1", "20E¹"), =HYPERLINK("CSG3.html#group40A3", "40A³"), =HYPERLINK("CSG9.html#group40O9", "40O⁹"), =HYPERLINK("CSG0.html#group4C0", "4C⁰"), =HYPERLINK("CSG0.html#group5B0", "5B⁰"), =HYPERLINK("CSG0.html#group2B0", "2B⁰"), =HYPERLINK("CSG5.html#group40B5", "40B⁵"), =HYPERLINK("CSG0.html#group8K0", "8K⁰"), =HYPERLINK("CSG0.html#group1A0", "1A⁰"), =HYPERLINK("CSG1.html#group20B1", "20B¹"), =HYPERLINK("CSG0.html#group4A0", "4A⁰"), =HYPERLINK("CSG9.html#group40Q9", "40Q⁹"), =HYPERLINK("CSG0.html#group10C0", "10C⁰"), =HYPERLINK("CSG0.html#group4F0", "4F⁰"), =HYPERLINK("CSG7.html#group40Z7", "40Z⁷"), =HYPERLINK("CSG3.html#group20L3", "20L³"), =HYPERLINK("CSG3.html#group40G3", "40G³")</f>
        <v/>
      </c>
      <c r="N5585" t="inlineStr"/>
    </row>
    <row r="5586">
      <c r="A5586" t="inlineStr">
        <is>
          <t>40G¹⁹</t>
        </is>
      </c>
      <c r="B5586" t="inlineStr"/>
      <c r="C5586" t="inlineStr">
        <is>
          <t>288</t>
        </is>
      </c>
      <c r="D5586" t="inlineStr">
        <is>
          <t>1</t>
        </is>
      </c>
      <c r="E5586" t="inlineStr">
        <is>
          <t>72</t>
        </is>
      </c>
      <c r="F5586" t="inlineStr">
        <is>
          <t>0</t>
        </is>
      </c>
      <c r="G5586" t="inlineStr">
        <is>
          <t>0</t>
        </is>
      </c>
      <c r="H5586" t="inlineStr">
        <is>
          <t>8⁶, 40⁶</t>
        </is>
      </c>
      <c r="I5586" t="n">
        <v>12</v>
      </c>
      <c r="J5586" t="inlineStr">
        <is>
          <t>2⁴, 4⁴, 8², 16²</t>
        </is>
      </c>
      <c r="K5586">
        <f>HYPERLINK("CSG2.html#group8B2", "8B²"), =HYPERLINK("CSG7.html#group40Z7", "40Z⁷"), =HYPERLINK("CSG9.html#group40P9", "40P⁹"), =HYPERLINK("CSG9.html#group40R9", "40R⁹")</f>
        <v/>
      </c>
      <c r="L5586" t="inlineStr"/>
      <c r="M5586">
        <f>HYPERLINK("CSG1.html#group20E1", "20E¹"), =HYPERLINK("CSG1.html#group8A1", "8A¹"), =HYPERLINK("CSG3.html#group40H3", "40H³"), =HYPERLINK("CSG0.html#group8D0", "8D⁰"), =HYPERLINK("CSG0.html#group4C0", "4C⁰"), =HYPERLINK("CSG2.html#group8B2", "8B²"), =HYPERLINK("CSG0.html#group5B0", "5B⁰"), =HYPERLINK("CSG0.html#group8A0", "8A⁰"), =HYPERLINK("CSG5.html#group40C5", "40C⁵"), =HYPERLINK("CSG0.html#group2B0", "2B⁰"), =HYPERLINK("CSG0.html#group8K0", "8K⁰"), =HYPERLINK("CSG0.html#group1A0", "1A⁰"), =HYPERLINK("CSG1.html#group8D1", "8D¹"), =HYPERLINK("CSG1.html#group20B1", "20B¹"), =HYPERLINK("CSG9.html#group40P9", "40P⁹"), =HYPERLINK("CSG1.html#group8C1", "8C¹"), =HYPERLINK("CSG0.html#group4A0", "4A⁰"), =HYPERLINK("CSG3.html#group40B3", "40B³"), =HYPERLINK("CSG0.html#group10C0", "10C⁰"), =HYPERLINK("CSG0.html#group4F0", "4F⁰"), =HYPERLINK("CSG7.html#group40Z7", "40Z⁷"), =HYPERLINK("CSG9.html#group40R9", "40R⁹"), =HYPERLINK("CSG3.html#group20L3", "20L³")</f>
        <v/>
      </c>
      <c r="N5586" t="inlineStr"/>
    </row>
    <row r="5587">
      <c r="A5587" t="inlineStr">
        <is>
          <t>40H¹⁹</t>
        </is>
      </c>
      <c r="B5587" t="inlineStr"/>
      <c r="C5587" t="inlineStr">
        <is>
          <t>288</t>
        </is>
      </c>
      <c r="D5587" t="inlineStr">
        <is>
          <t>1</t>
        </is>
      </c>
      <c r="E5587" t="inlineStr">
        <is>
          <t>72</t>
        </is>
      </c>
      <c r="F5587" t="inlineStr">
        <is>
          <t>0</t>
        </is>
      </c>
      <c r="G5587" t="inlineStr">
        <is>
          <t>0</t>
        </is>
      </c>
      <c r="H5587" t="inlineStr">
        <is>
          <t>8⁶, 40⁶</t>
        </is>
      </c>
      <c r="I5587" t="n">
        <v>12</v>
      </c>
      <c r="J5587" t="inlineStr">
        <is>
          <t>2⁴, 4⁴, 8², 16²</t>
        </is>
      </c>
      <c r="K5587">
        <f>HYPERLINK("CSG7.html#group20M7", "20M⁷"), =HYPERLINK("CSG7.html#group40C7", "40C⁷"), =HYPERLINK("CSG9.html#group40Q9", "40Q⁹"), =HYPERLINK("CSG9.html#group40R9", "40R⁹")</f>
        <v/>
      </c>
      <c r="L5587" t="inlineStr"/>
      <c r="M5587">
        <f>HYPERLINK("CSG1.html#group20E1", "20E¹"), =HYPERLINK("CSG7.html#group20M7", "20M⁷"), =HYPERLINK("CSG3.html#group40A3", "40A³"), =HYPERLINK("CSG7.html#group40C7", "40C⁷"), =HYPERLINK("CSG0.html#group4C0", "4C⁰"), =HYPERLINK("CSG3.html#group20G3", "20G³"), =HYPERLINK("CSG0.html#group5B0", "5B⁰"), =HYPERLINK("CSG0.html#group8A0", "8A⁰"), =HYPERLINK("CSG0.html#group5D0", "5D⁰"), =HYPERLINK("CSG0.html#group2B0", "2B⁰"), =HYPERLINK("CSG3.html#group20K3", "20K³"), =HYPERLINK("CSG0.html#group1A0", "1A⁰"), =HYPERLINK("CSG3.html#group20B3", "20B³"), =HYPERLINK("CSG1.html#group8D1", "8D¹"), =HYPERLINK("CSG1.html#group20B1", "20B¹"), =HYPERLINK("CSG0.html#group10F0", "10F⁰"), =HYPERLINK("CSG0.html#group4A0", "4A⁰"), =HYPERLINK("CSG3.html#group40B3", "40B³"), =HYPERLINK("CSG9.html#group40Q9", "40Q⁹"), =HYPERLINK("CSG0.html#group10C0", "10C⁰"), =HYPERLINK("CSG0.html#group4F0", "4F⁰"), =HYPERLINK("CSG9.html#group40R9", "40R⁹"), =HYPERLINK("CSG2.html#group20C2", "20C²"), =HYPERLINK("CSG3.html#group20L3", "20L³")</f>
        <v/>
      </c>
      <c r="N5587" t="inlineStr"/>
    </row>
    <row r="5588">
      <c r="A5588" t="inlineStr">
        <is>
          <t>40I¹⁹</t>
        </is>
      </c>
      <c r="B5588" t="inlineStr"/>
      <c r="C5588" t="inlineStr">
        <is>
          <t>320</t>
        </is>
      </c>
      <c r="D5588" t="inlineStr">
        <is>
          <t>1</t>
        </is>
      </c>
      <c r="E5588" t="inlineStr">
        <is>
          <t>160</t>
        </is>
      </c>
      <c r="F5588" t="inlineStr">
        <is>
          <t>16</t>
        </is>
      </c>
      <c r="G5588" t="inlineStr">
        <is>
          <t>2</t>
        </is>
      </c>
      <c r="H5588" t="inlineStr">
        <is>
          <t>40⁸</t>
        </is>
      </c>
      <c r="I5588" t="n">
        <v>8</v>
      </c>
      <c r="J5588" t="inlineStr">
        <is>
          <t>8⁴, 16⁸</t>
        </is>
      </c>
      <c r="K5588">
        <f>HYPERLINK("CSG3.html#group20O3", "20O³"), =HYPERLINK("CSG10.html#group40A10", "40A¹⁰")</f>
        <v/>
      </c>
      <c r="L5588" t="inlineStr"/>
      <c r="M5588">
        <f>HYPERLINK("CSG0.html#group8F0", "8F⁰"), =HYPERLINK("CSG3.html#group20O3", "20O³"), =HYPERLINK("CSG0.html#group4A0", "4A⁰"), =HYPERLINK("CSG0.html#group10D0", "10D⁰"), =HYPERLINK("CSG0.html#group5C0", "5C⁰"), =HYPERLINK("CSG10.html#group40A10", "40A¹⁰"), =HYPERLINK("CSG0.html#group1A0", "1A⁰"), =HYPERLINK("CSG2.html#group20E2", "20E²")</f>
        <v/>
      </c>
      <c r="N5588" t="inlineStr"/>
    </row>
    <row r="5589">
      <c r="A5589" t="inlineStr">
        <is>
          <t>40J¹⁹</t>
        </is>
      </c>
      <c r="B5589" t="inlineStr"/>
      <c r="C5589" t="inlineStr">
        <is>
          <t>320</t>
        </is>
      </c>
      <c r="D5589" t="inlineStr">
        <is>
          <t>2</t>
        </is>
      </c>
      <c r="E5589" t="inlineStr">
        <is>
          <t>40</t>
        </is>
      </c>
      <c r="F5589" t="inlineStr">
        <is>
          <t>8</t>
        </is>
      </c>
      <c r="G5589" t="inlineStr">
        <is>
          <t>8</t>
        </is>
      </c>
      <c r="H5589" t="inlineStr">
        <is>
          <t>40⁸</t>
        </is>
      </c>
      <c r="I5589" t="n">
        <v>8</v>
      </c>
      <c r="J5589" t="inlineStr">
        <is>
          <t>8⁴, 16⁸</t>
        </is>
      </c>
      <c r="K5589">
        <f>HYPERLINK("CSG7.html#group20O7", "20O⁷"), =HYPERLINK("CSG9.html#group40S9", "40S⁹"), =HYPERLINK("CSG9.html#group40U9", "40U⁹")</f>
        <v/>
      </c>
      <c r="L5589" t="inlineStr"/>
      <c r="M5589">
        <f>HYPERLINK("CSG5.html#group40F5", "40F⁵"), =HYPERLINK("CSG5.html#group40E5", "40E⁵"), =HYPERLINK("CSG9.html#group40S9", "40S⁹"), =HYPERLINK("CSG3.html#group20O3", "20O³"), =HYPERLINK("CSG0.html#group4A0", "4A⁰"), =HYPERLINK("CSG0.html#group10D0", "10D⁰"), =HYPERLINK("CSG9.html#group40U9", "40U⁹"), =HYPERLINK("CSG0.html#group8A0", "8A⁰"), =HYPERLINK("CSG0.html#group1A0", "1A⁰"), =HYPERLINK("CSG7.html#group20O7", "20O⁷"), =HYPERLINK("CSG0.html#group5C0", "5C⁰"), =HYPERLINK("CSG2.html#group20E2", "20E²"), =HYPERLINK("CSG1.html#group20F1", "20F¹")</f>
        <v/>
      </c>
      <c r="N5589" t="inlineStr"/>
    </row>
    <row r="5590">
      <c r="A5590" t="inlineStr">
        <is>
          <t>40K¹⁹</t>
        </is>
      </c>
      <c r="B5590" t="inlineStr"/>
      <c r="C5590" t="inlineStr">
        <is>
          <t>320</t>
        </is>
      </c>
      <c r="D5590" t="inlineStr">
        <is>
          <t>2</t>
        </is>
      </c>
      <c r="E5590" t="inlineStr">
        <is>
          <t>40</t>
        </is>
      </c>
      <c r="F5590" t="inlineStr">
        <is>
          <t>8</t>
        </is>
      </c>
      <c r="G5590" t="inlineStr">
        <is>
          <t>8</t>
        </is>
      </c>
      <c r="H5590" t="inlineStr">
        <is>
          <t>40⁸</t>
        </is>
      </c>
      <c r="I5590" t="n">
        <v>8</v>
      </c>
      <c r="J5590" t="inlineStr">
        <is>
          <t>8⁴, 16⁸</t>
        </is>
      </c>
      <c r="K5590">
        <f>HYPERLINK("CSG7.html#group20O7", "20O⁷"), =HYPERLINK("CSG9.html#group40T9", "40T⁹"), =HYPERLINK("CSG9.html#group40U9", "40U⁹")</f>
        <v/>
      </c>
      <c r="L5590" t="inlineStr"/>
      <c r="M5590">
        <f>HYPERLINK("CSG5.html#group40F5", "40F⁵"), =HYPERLINK("CSG5.html#group40E5", "40E⁵"), =HYPERLINK("CSG3.html#group20O3", "20O³"), =HYPERLINK("CSG0.html#group4A0", "4A⁰"), =HYPERLINK("CSG0.html#group10D0", "10D⁰"), =HYPERLINK("CSG9.html#group40U9", "40U⁹"), =HYPERLINK("CSG0.html#group8A0", "8A⁰"), =HYPERLINK("CSG0.html#group1A0", "1A⁰"), =HYPERLINK("CSG7.html#group20O7", "20O⁷"), =HYPERLINK("CSG9.html#group40T9", "40T⁹"), =HYPERLINK("CSG0.html#group5C0", "5C⁰"), =HYPERLINK("CSG2.html#group20E2", "20E²"), =HYPERLINK("CSG1.html#group20F1", "20F¹")</f>
        <v/>
      </c>
      <c r="N5590" t="inlineStr"/>
    </row>
    <row r="5591">
      <c r="A5591" t="inlineStr">
        <is>
          <t>40L¹⁹</t>
        </is>
      </c>
      <c r="B5591" t="inlineStr"/>
      <c r="C5591" t="inlineStr">
        <is>
          <t>360</t>
        </is>
      </c>
      <c r="D5591" t="inlineStr">
        <is>
          <t>1</t>
        </is>
      </c>
      <c r="E5591" t="inlineStr">
        <is>
          <t>90</t>
        </is>
      </c>
      <c r="F5591" t="inlineStr">
        <is>
          <t>0</t>
        </is>
      </c>
      <c r="G5591" t="inlineStr">
        <is>
          <t>0</t>
        </is>
      </c>
      <c r="H5591" t="inlineStr">
        <is>
          <t>5¹², 10⁶, 40⁶</t>
        </is>
      </c>
      <c r="I5591" t="n">
        <v>24</v>
      </c>
      <c r="J5591" t="inlineStr">
        <is>
          <t>1⁴, 2⁵, 4¹³, 8³</t>
        </is>
      </c>
      <c r="K5591">
        <f>HYPERLINK("CSG3.html#group40E3", "40E³"), =HYPERLINK("CSG7.html#group20P7", "20P⁷"), =HYPERLINK("CSG7.html#group40F7", "40F⁷"), =HYPERLINK("CSG10.html#group40F10", "40F¹⁰")</f>
        <v/>
      </c>
      <c r="L5591" t="inlineStr"/>
      <c r="M5591">
        <f>HYPERLINK("CSG2.html#group20A2", "20A²"), =HYPERLINK("CSG4.html#group20D4", "20D⁴"), =HYPERLINK("CSG0.html#group5A0", "5A⁰"), =HYPERLINK("CSG1.html#group10B1", "10B¹"), =HYPERLINK("CSG3.html#group20E3", "20E³"), =HYPERLINK("CSG0.html#group5B0", "5B⁰"), =HYPERLINK("CSG0.html#group2B0", "2B⁰"), =HYPERLINK("CSG1.html#group20D1", "20D¹"), =HYPERLINK("CSG0.html#group4B0", "4B⁰"), =HYPERLINK("CSG0.html#group1A0", "1A⁰"), =HYPERLINK("CSG7.html#group40F7", "40F⁷"), =HYPERLINK("CSG1.html#group10F1", "10F¹"), =HYPERLINK("CSG1.html#group10I1", "10I¹"), =HYPERLINK("CSG2.html#group10F2", "10F²"), =HYPERLINK("CSG0.html#group5E0", "5E⁰"), =HYPERLINK("CSG0.html#group10C0", "10C⁰"), =HYPERLINK("CSG3.html#group40E3", "40E³"), =HYPERLINK("CSG3.html#group20P3", "20P³"), =HYPERLINK("CSG7.html#group20P7", "20P⁷"), =HYPERLINK("CSG10.html#group40F10", "40F¹⁰"), =HYPERLINK("CSG0.html#group5C0", "5C⁰"), =HYPERLINK("CSG0.html#group5G0", "5G⁰")</f>
        <v/>
      </c>
      <c r="N5591" t="inlineStr"/>
    </row>
    <row r="5592">
      <c r="A5592" t="inlineStr">
        <is>
          <t>40M¹⁹</t>
        </is>
      </c>
      <c r="B5592" t="inlineStr"/>
      <c r="C5592" t="inlineStr">
        <is>
          <t>360</t>
        </is>
      </c>
      <c r="D5592" t="inlineStr">
        <is>
          <t>1</t>
        </is>
      </c>
      <c r="E5592" t="inlineStr">
        <is>
          <t>90</t>
        </is>
      </c>
      <c r="F5592" t="inlineStr">
        <is>
          <t>0</t>
        </is>
      </c>
      <c r="G5592" t="inlineStr">
        <is>
          <t>0</t>
        </is>
      </c>
      <c r="H5592" t="inlineStr">
        <is>
          <t>5¹², 10⁶, 40⁶</t>
        </is>
      </c>
      <c r="I5592" t="n">
        <v>24</v>
      </c>
      <c r="J5592" t="inlineStr">
        <is>
          <t>1⁴, 2⁵, 4¹³, 8³</t>
        </is>
      </c>
      <c r="K5592">
        <f>HYPERLINK("CSG3.html#group40F3", "40F³"), =HYPERLINK("CSG7.html#group20P7", "20P⁷"), =HYPERLINK("CSG7.html#group40G7", "40G⁷"), =HYPERLINK("CSG10.html#group40D10", "40D¹⁰"), =HYPERLINK("CSG10.html#group40F10", "40F¹⁰")</f>
        <v/>
      </c>
      <c r="L5592" t="inlineStr"/>
      <c r="M5592">
        <f>HYPERLINK("CSG2.html#group20A2", "20A²"), =HYPERLINK("CSG4.html#group20D4", "20D⁴"), =HYPERLINK("CSG7.html#group40G7", "40G⁷"), =HYPERLINK("CSG0.html#group5A0", "5A⁰"), =HYPERLINK("CSG3.html#group20E3", "20E³"), =HYPERLINK("CSG1.html#group10B1", "10B¹"), =HYPERLINK("CSG0.html#group5B0", "5B⁰"), =HYPERLINK("CSG0.html#group8C0", "8C⁰"), =HYPERLINK("CSG0.html#group2B0", "2B⁰"), =HYPERLINK("CSG1.html#group20D1", "20D¹"), =HYPERLINK("CSG0.html#group4B0", "4B⁰"), =HYPERLINK("CSG4.html#group40B4", "40B⁴"), =HYPERLINK("CSG0.html#group1A0", "1A⁰"), =HYPERLINK("CSG1.html#group10F1", "10F¹"), =HYPERLINK("CSG10.html#group40D10", "40D¹⁰"), =HYPERLINK("CSG1.html#group10I1", "10I¹"), =HYPERLINK("CSG3.html#group40F3", "40F³"), =HYPERLINK("CSG2.html#group10F2", "10F²"), =HYPERLINK("CSG0.html#group10C0", "10C⁰"), =HYPERLINK("CSG0.html#group5E0", "5E⁰"), =HYPERLINK("CSG3.html#group20P3", "20P³"), =HYPERLINK("CSG7.html#group20P7", "20P⁷"), =HYPERLINK("CSG10.html#group40F10", "40F¹⁰"), =HYPERLINK("CSG0.html#group5C0", "5C⁰"), =HYPERLINK("CSG0.html#group5G0", "5G⁰")</f>
        <v/>
      </c>
      <c r="N5592" t="inlineStr"/>
    </row>
    <row r="5593">
      <c r="A5593" t="inlineStr">
        <is>
          <t>42A¹⁹</t>
        </is>
      </c>
      <c r="B5593" t="inlineStr"/>
      <c r="C5593" t="inlineStr">
        <is>
          <t>252</t>
        </is>
      </c>
      <c r="D5593" t="inlineStr">
        <is>
          <t>1</t>
        </is>
      </c>
      <c r="E5593" t="inlineStr">
        <is>
          <t>21</t>
        </is>
      </c>
      <c r="F5593" t="inlineStr">
        <is>
          <t>0</t>
        </is>
      </c>
      <c r="G5593" t="inlineStr">
        <is>
          <t>0</t>
        </is>
      </c>
      <c r="H5593" t="inlineStr">
        <is>
          <t>42⁶</t>
        </is>
      </c>
      <c r="I5593" t="n">
        <v>6</v>
      </c>
      <c r="J5593" t="inlineStr">
        <is>
          <t>3¹, 6³</t>
        </is>
      </c>
      <c r="K5593">
        <f>HYPERLINK("CSG5.html#group14A5", "14A⁵"), =HYPERLINK("CSG7.html#group21A7", "21A⁷"), =HYPERLINK("CSG7.html#group42H7", "42H⁷")</f>
        <v/>
      </c>
      <c r="L5593" t="inlineStr"/>
      <c r="M5593">
        <f>HYPERLINK("CSG0.html#group14A0", "14A⁰"), =HYPERLINK("CSG2.html#group14B2", "14B²"), =HYPERLINK("CSG1.html#group42A1", "42A¹"), =HYPERLINK("CSG5.html#group14A5", "14A⁵"), =HYPERLINK("CSG0.html#group7D0", "7D⁰"), =HYPERLINK("CSG7.html#group42H7", "42H⁷"), =HYPERLINK("CSG1.html#group21E1", "21E¹"), =HYPERLINK("CSG1.html#group7A1", "7A¹"), =HYPERLINK("CSG0.html#group21A0", "21A⁰"), =HYPERLINK("CSG7.html#group21A7", "21A⁷"), =HYPERLINK("CSG0.html#group3A0", "3A⁰"), =HYPERLINK("CSG0.html#group1A0", "1A⁰"), =HYPERLINK("CSG0.html#group7A0", "7A⁰")</f>
        <v/>
      </c>
      <c r="N5593" t="inlineStr"/>
    </row>
    <row r="5594">
      <c r="A5594" t="inlineStr">
        <is>
          <t>42B¹⁹</t>
        </is>
      </c>
      <c r="B5594" t="inlineStr"/>
      <c r="C5594" t="inlineStr">
        <is>
          <t>252</t>
        </is>
      </c>
      <c r="D5594" t="inlineStr">
        <is>
          <t>1</t>
        </is>
      </c>
      <c r="E5594" t="inlineStr">
        <is>
          <t>21</t>
        </is>
      </c>
      <c r="F5594" t="inlineStr">
        <is>
          <t>0</t>
        </is>
      </c>
      <c r="G5594" t="inlineStr">
        <is>
          <t>0</t>
        </is>
      </c>
      <c r="H5594" t="inlineStr">
        <is>
          <t>42⁶</t>
        </is>
      </c>
      <c r="I5594" t="n">
        <v>6</v>
      </c>
      <c r="J5594" t="inlineStr">
        <is>
          <t>3¹, 6³</t>
        </is>
      </c>
      <c r="K5594">
        <f>HYPERLINK("CSG4.html#group42I4", "42I⁴"), =HYPERLINK("CSG5.html#group14B5", "14B⁵"), =HYPERLINK("CSG7.html#group21A7", "21A⁷"), =HYPERLINK("CSG10.html#group42A10", "42A¹⁰")</f>
        <v/>
      </c>
      <c r="L5594" t="inlineStr"/>
      <c r="M5594">
        <f>HYPERLINK("CSG0.html#group2A0", "2A⁰"), =HYPERLINK("CSG4.html#group42I4", "42I⁴"), =HYPERLINK("CSG0.html#group7D0", "7D⁰"), =HYPERLINK("CSG1.html#group14A1", "14A¹"), =HYPERLINK("CSG0.html#group21A0", "21A⁰"), =HYPERLINK("CSG5.html#group14B5", "14B⁵"), =HYPERLINK("CSG4.html#group42A4", "42A⁴"), =HYPERLINK("CSG0.html#group1A0", "1A⁰"), =HYPERLINK("CSG10.html#group42A10", "42A¹⁰"), =HYPERLINK("CSG1.html#group21E1", "21E¹"), =HYPERLINK("CSG3.html#group14A3", "14A³"), =HYPERLINK("CSG1.html#group7A1", "7A¹"), =HYPERLINK("CSG7.html#group21A7", "21A⁷"), =HYPERLINK("CSG1.html#group6A1", "6A¹"), =HYPERLINK("CSG0.html#group3A0", "3A⁰"), =HYPERLINK("CSG1.html#group14E1", "14E¹"), =HYPERLINK("CSG0.html#group7A0", "7A⁰")</f>
        <v/>
      </c>
      <c r="N5594" t="inlineStr"/>
    </row>
    <row r="5595">
      <c r="A5595" t="inlineStr">
        <is>
          <t>42C¹⁹</t>
        </is>
      </c>
      <c r="B5595" t="inlineStr"/>
      <c r="C5595" t="inlineStr">
        <is>
          <t>252</t>
        </is>
      </c>
      <c r="D5595" t="inlineStr">
        <is>
          <t>1</t>
        </is>
      </c>
      <c r="E5595" t="inlineStr">
        <is>
          <t>42</t>
        </is>
      </c>
      <c r="F5595" t="inlineStr">
        <is>
          <t>0</t>
        </is>
      </c>
      <c r="G5595" t="inlineStr">
        <is>
          <t>0</t>
        </is>
      </c>
      <c r="H5595" t="inlineStr">
        <is>
          <t>42⁶</t>
        </is>
      </c>
      <c r="I5595" t="n">
        <v>6</v>
      </c>
      <c r="J5595" t="inlineStr">
        <is>
          <t>6¹, 12³</t>
        </is>
      </c>
      <c r="K5595">
        <f>HYPERLINK("CSG5.html#group14B5", "14B⁵"), =HYPERLINK("CSG10.html#group42B10", "42B¹⁰")</f>
        <v/>
      </c>
      <c r="L5595" t="inlineStr"/>
      <c r="M5595">
        <f>HYPERLINK("CSG0.html#group2A0", "2A⁰"), =HYPERLINK("CSG0.html#group6A0", "6A⁰"), =HYPERLINK("CSG0.html#group7D0", "7D⁰"), =HYPERLINK("CSG3.html#group14A3", "14A³"), =HYPERLINK("CSG3.html#group42A3", "42A³"), =HYPERLINK("CSG1.html#group14A1", "14A¹"), =HYPERLINK("CSG1.html#group7A1", "7A¹"), =HYPERLINK("CSG0.html#group1A0", "1A⁰"), =HYPERLINK("CSG5.html#group14B5", "14B⁵"), =HYPERLINK("CSG1.html#group14E1", "14E¹"), =HYPERLINK("CSG0.html#group7A0", "7A⁰"), =HYPERLINK("CSG10.html#group42B10", "42B¹⁰")</f>
        <v/>
      </c>
      <c r="N5595" t="inlineStr"/>
    </row>
    <row r="5596">
      <c r="A5596" t="inlineStr">
        <is>
          <t>42D¹⁹</t>
        </is>
      </c>
      <c r="B5596" t="inlineStr"/>
      <c r="C5596" t="inlineStr">
        <is>
          <t>252</t>
        </is>
      </c>
      <c r="D5596" t="inlineStr">
        <is>
          <t>1</t>
        </is>
      </c>
      <c r="E5596" t="inlineStr">
        <is>
          <t>63</t>
        </is>
      </c>
      <c r="F5596" t="inlineStr">
        <is>
          <t>0</t>
        </is>
      </c>
      <c r="G5596" t="inlineStr">
        <is>
          <t>0</t>
        </is>
      </c>
      <c r="H5596" t="inlineStr">
        <is>
          <t>42⁶</t>
        </is>
      </c>
      <c r="I5596" t="n">
        <v>6</v>
      </c>
      <c r="J5596" t="inlineStr">
        <is>
          <t>3¹, 6⁴, 12³</t>
        </is>
      </c>
      <c r="K5596">
        <f>HYPERLINK("CSG4.html#group21D4", "21D⁴"), =HYPERLINK("CSG7.html#group42G7", "42G⁷"), =HYPERLINK("CSG10.html#group42A10", "42A¹⁰")</f>
        <v/>
      </c>
      <c r="L5596" t="inlineStr"/>
      <c r="M5596">
        <f>HYPERLINK("CSG0.html#group2A0", "2A⁰"), =HYPERLINK("CSG4.html#group21D4", "21D⁴"), =HYPERLINK("CSG0.html#group7D0", "7D⁰"), =HYPERLINK("CSG1.html#group14A1", "14A¹"), =HYPERLINK("CSG7.html#group42G7", "42G⁷"), =HYPERLINK("CSG0.html#group21A0", "21A⁰"), =HYPERLINK("CSG4.html#group42A4", "42A⁴"), =HYPERLINK("CSG0.html#group1A0", "1A⁰"), =HYPERLINK("CSG10.html#group42A10", "42A¹⁰"), =HYPERLINK("CSG1.html#group21E1", "21E¹"), =HYPERLINK("CSG3.html#group14A3", "14A³"), =HYPERLINK("CSG1.html#group6A1", "6A¹"), =HYPERLINK("CSG0.html#group3A0", "3A⁰"), =HYPERLINK("CSG0.html#group7A0", "7A⁰")</f>
        <v/>
      </c>
      <c r="N5596" t="inlineStr"/>
    </row>
    <row r="5597">
      <c r="A5597" t="inlineStr">
        <is>
          <t>42E¹⁹</t>
        </is>
      </c>
      <c r="B5597" t="inlineStr"/>
      <c r="C5597" t="inlineStr">
        <is>
          <t>252</t>
        </is>
      </c>
      <c r="D5597" t="inlineStr">
        <is>
          <t>1</t>
        </is>
      </c>
      <c r="E5597" t="inlineStr">
        <is>
          <t>63</t>
        </is>
      </c>
      <c r="F5597" t="inlineStr">
        <is>
          <t>0</t>
        </is>
      </c>
      <c r="G5597" t="inlineStr">
        <is>
          <t>0</t>
        </is>
      </c>
      <c r="H5597" t="inlineStr">
        <is>
          <t>42⁶</t>
        </is>
      </c>
      <c r="I5597" t="n">
        <v>6</v>
      </c>
      <c r="J5597" t="inlineStr">
        <is>
          <t>3¹, 6⁴, 12³</t>
        </is>
      </c>
      <c r="K5597">
        <f>HYPERLINK("CSG5.html#group42H5", "42H⁵"), =HYPERLINK("CSG6.html#group21C6", "21C⁶"), =HYPERLINK("CSG7.html#group42C7", "42C⁷"), =HYPERLINK("CSG10.html#group42A10", "42A¹⁰")</f>
        <v/>
      </c>
      <c r="L5597" t="inlineStr"/>
      <c r="M5597">
        <f>HYPERLINK("CSG0.html#group2A0", "2A⁰"), =HYPERLINK("CSG2.html#group21D2", "21D²"), =HYPERLINK("CSG0.html#group6B0", "6B⁰"), =HYPERLINK("CSG0.html#group3A0", "3A⁰"), =HYPERLINK("CSG0.html#group7D0", "7D⁰"), =HYPERLINK("CSG1.html#group14A1", "14A¹"), =HYPERLINK("CSG0.html#group21A0", "21A⁰"), =HYPERLINK("CSG4.html#group42A4", "42A⁴"), =HYPERLINK("CSG0.html#group1A0", "1A⁰"), =HYPERLINK("CSG6.html#group21C6", "21C⁶"), =HYPERLINK("CSG10.html#group42A10", "42A¹⁰"), =HYPERLINK("CSG1.html#group6B1", "6B¹"), =HYPERLINK("CSG1.html#group21E1", "21E¹"), =HYPERLINK("CSG3.html#group14A3", "14A³"), =HYPERLINK("CSG5.html#group42H5", "42H⁵"), =HYPERLINK("CSG0.html#group3C0", "3C⁰"), =HYPERLINK("CSG1.html#group6A1", "6A¹"), =HYPERLINK("CSG1.html#group42B1", "42B¹"), =HYPERLINK("CSG7.html#group42C7", "42C⁷"), =HYPERLINK("CSG0.html#group7A0", "7A⁰")</f>
        <v/>
      </c>
      <c r="N5597" t="inlineStr"/>
    </row>
    <row r="5598">
      <c r="A5598" t="inlineStr">
        <is>
          <t>42F¹⁹</t>
        </is>
      </c>
      <c r="B5598" t="inlineStr"/>
      <c r="C5598" t="inlineStr">
        <is>
          <t>252</t>
        </is>
      </c>
      <c r="D5598" t="inlineStr">
        <is>
          <t>2</t>
        </is>
      </c>
      <c r="E5598" t="inlineStr">
        <is>
          <t>7</t>
        </is>
      </c>
      <c r="F5598" t="inlineStr">
        <is>
          <t>0</t>
        </is>
      </c>
      <c r="G5598" t="inlineStr">
        <is>
          <t>0</t>
        </is>
      </c>
      <c r="H5598" t="inlineStr">
        <is>
          <t>42⁶</t>
        </is>
      </c>
      <c r="I5598" t="n">
        <v>6</v>
      </c>
      <c r="J5598" t="inlineStr">
        <is>
          <t>2¹, 6²</t>
        </is>
      </c>
      <c r="K5598">
        <f>HYPERLINK("CSG4.html#group21E4", "21E⁴"), =HYPERLINK("CSG5.html#group14C5", "14C⁵"), =HYPERLINK("CSG5.html#group42C5", "42C⁵"), =HYPERLINK("CSG7.html#group42A7", "42A⁷"), =HYPERLINK("CSG7.html#group42H7", "42H⁷"), =HYPERLINK("CSG10.html#group42A10", "42A¹⁰")</f>
        <v/>
      </c>
      <c r="L5598" t="inlineStr"/>
      <c r="M5598">
        <f>HYPERLINK("CSG0.html#group2A0", "2A⁰"), =HYPERLINK("CSG0.html#group14A0", "14A⁰"), =HYPERLINK("CSG2.html#group14B2", "14B²"), =HYPERLINK("CSG1.html#group42A1", "42A¹"), =HYPERLINK("CSG0.html#group7D0", "7D⁰"), =HYPERLINK("CSG7.html#group42H7", "42H⁷"), =HYPERLINK("CSG1.html#group14A1", "14A¹"), =HYPERLINK("CSG2.html#group21C2", "21C²"), =HYPERLINK("CSG0.html#group21A0", "21A⁰"), =HYPERLINK("CSG5.html#group14C5", "14C⁵"), =HYPERLINK("CSG4.html#group42A4", "42A⁴"), =HYPERLINK("CSG0.html#group7G0", "7G⁰"), =HYPERLINK("CSG0.html#group1A0", "1A⁰"), =HYPERLINK("CSG1.html#group14D1", "14D¹"), =HYPERLINK("CSG5.html#group42C5", "42C⁵"), =HYPERLINK("CSG10.html#group42A10", "42A¹⁰"), =HYPERLINK("CSG1.html#group21E1", "21E¹"), =HYPERLINK("CSG3.html#group14A3", "14A³"), =HYPERLINK("CSG0.html#group7C0", "7C⁰"), =HYPERLINK("CSG7.html#group42A7", "42A⁷"), =HYPERLINK("CSG1.html#group21C1", "21C¹"), =HYPERLINK("CSG1.html#group6A1", "6A¹"), =HYPERLINK("CSG0.html#group3A0", "3A⁰"), =HYPERLINK("CSG4.html#group21E4", "21E⁴"), =HYPERLINK("CSG0.html#group7A0", "7A⁰")</f>
        <v/>
      </c>
      <c r="N5598" t="inlineStr"/>
    </row>
    <row r="5599">
      <c r="A5599" t="inlineStr">
        <is>
          <t>42G¹⁹</t>
        </is>
      </c>
      <c r="B5599" t="inlineStr"/>
      <c r="C5599" t="inlineStr">
        <is>
          <t>252</t>
        </is>
      </c>
      <c r="D5599" t="inlineStr">
        <is>
          <t>2</t>
        </is>
      </c>
      <c r="E5599" t="inlineStr">
        <is>
          <t>7</t>
        </is>
      </c>
      <c r="F5599" t="inlineStr">
        <is>
          <t>0</t>
        </is>
      </c>
      <c r="G5599" t="inlineStr">
        <is>
          <t>0</t>
        </is>
      </c>
      <c r="H5599" t="inlineStr">
        <is>
          <t>42⁶</t>
        </is>
      </c>
      <c r="I5599" t="n">
        <v>6</v>
      </c>
      <c r="J5599" t="inlineStr">
        <is>
          <t>2¹, 6²</t>
        </is>
      </c>
      <c r="K5599">
        <f>HYPERLINK("CSG5.html#group14D5", "14D⁵"), =HYPERLINK("CSG5.html#group42D5", "42D⁵"), =HYPERLINK("CSG7.html#group42A7", "42A⁷"), =HYPERLINK("CSG7.html#group42I7", "42I⁷"), =HYPERLINK("CSG8.html#group42A8", "42A⁸"), =HYPERLINK("CSG10.html#group42C10", "42C¹⁰")</f>
        <v/>
      </c>
      <c r="L5599" t="inlineStr"/>
      <c r="M5599">
        <f>HYPERLINK("CSG0.html#group2A0", "2A⁰"), =HYPERLINK("CSG0.html#group14A0", "14A⁰"), =HYPERLINK("CSG1.html#group42A1", "42A¹"), =HYPERLINK("CSG3.html#group14B3", "14B³"), =HYPERLINK("CSG1.html#group14B1", "14B¹"), =HYPERLINK("CSG5.html#group14D5", "14D⁵"), =HYPERLINK("CSG1.html#group6C1", "6C¹"), =HYPERLINK("CSG1.html#group14A1", "14A¹"), =HYPERLINK("CSG2.html#group14C2", "14C²"), =HYPERLINK("CSG0.html#group21A0", "21A⁰"), =HYPERLINK("CSG2.html#group21C2", "21C²"), =HYPERLINK("CSG0.html#group2B0", "2B⁰"), =HYPERLINK("CSG4.html#group42A4", "42A⁴"), =HYPERLINK("CSG8.html#group42A8", "42A⁸"), =HYPERLINK("CSG0.html#group1A0", "1A⁰"), =HYPERLINK("CSG1.html#group14D1", "14D¹"), =HYPERLINK("CSG10.html#group42C10", "42C¹⁰"), =HYPERLINK("CSG7.html#group42I7", "42I⁷"), =HYPERLINK("CSG2.html#group14A2", "14A²"), =HYPERLINK("CSG0.html#group6A0", "6A⁰"), =HYPERLINK("CSG3.html#group42A3", "42A³"), =HYPERLINK("CSG0.html#group7C0", "7C⁰"), =HYPERLINK("CSG7.html#group42A7", "42A⁷"), =HYPERLINK("CSG5.html#group42D5", "42D⁵"), =HYPERLINK("CSG1.html#group6A1", "6A¹"), =HYPERLINK("CSG0.html#group3A0", "3A⁰"), =HYPERLINK("CSG0.html#group2C0", "2C⁰"), =HYPERLINK("CSG0.html#group6D0", "6D⁰"), =HYPERLINK("CSG0.html#group7A0", "7A⁰"), =HYPERLINK("CSG3.html#group42C3", "42C³")</f>
        <v/>
      </c>
      <c r="N5599" t="inlineStr"/>
    </row>
    <row r="5600">
      <c r="A5600" t="inlineStr">
        <is>
          <t>42H¹⁹</t>
        </is>
      </c>
      <c r="B5600" t="inlineStr"/>
      <c r="C5600" t="inlineStr">
        <is>
          <t>252</t>
        </is>
      </c>
      <c r="D5600" t="inlineStr">
        <is>
          <t>2</t>
        </is>
      </c>
      <c r="E5600" t="inlineStr">
        <is>
          <t>14</t>
        </is>
      </c>
      <c r="F5600" t="inlineStr">
        <is>
          <t>0</t>
        </is>
      </c>
      <c r="G5600" t="inlineStr">
        <is>
          <t>0</t>
        </is>
      </c>
      <c r="H5600" t="inlineStr">
        <is>
          <t>42⁶</t>
        </is>
      </c>
      <c r="I5600" t="n">
        <v>6</v>
      </c>
      <c r="J5600" t="inlineStr">
        <is>
          <t>4¹, 12²</t>
        </is>
      </c>
      <c r="K5600">
        <f>HYPERLINK("CSG5.html#group14C5", "14C⁵"), =HYPERLINK("CSG5.html#group42D5", "42D⁵"), =HYPERLINK("CSG6.html#group42B6", "42B⁶"), =HYPERLINK("CSG10.html#group42B10", "42B¹⁰")</f>
        <v/>
      </c>
      <c r="L5600" t="inlineStr"/>
      <c r="M5600">
        <f>HYPERLINK("CSG0.html#group2A0", "2A⁰"), =HYPERLINK("CSG0.html#group14A0", "14A⁰"), =HYPERLINK("CSG2.html#group14B2", "14B²"), =HYPERLINK("CSG0.html#group7D0", "7D⁰"), =HYPERLINK("CSG1.html#group14A1", "14A¹"), =HYPERLINK("CSG5.html#group14C5", "14C⁵"), =HYPERLINK("CSG0.html#group7G0", "7G⁰"), =HYPERLINK("CSG1.html#group14D1", "14D¹"), =HYPERLINK("CSG0.html#group1A0", "1A⁰"), =HYPERLINK("CSG10.html#group42B10", "42B¹⁰"), =HYPERLINK("CSG0.html#group6A0", "6A⁰"), =HYPERLINK("CSG3.html#group14A3", "14A³"), =HYPERLINK("CSG3.html#group42A3", "42A³"), =HYPERLINK("CSG0.html#group7C0", "7C⁰"), =HYPERLINK("CSG6.html#group42B6", "42B⁶"), =HYPERLINK("CSG5.html#group42D5", "42D⁵"), =HYPERLINK("CSG0.html#group7A0", "7A⁰")</f>
        <v/>
      </c>
      <c r="N5600" t="inlineStr"/>
    </row>
    <row r="5601">
      <c r="A5601" t="inlineStr">
        <is>
          <t>42I¹⁹</t>
        </is>
      </c>
      <c r="B5601" t="inlineStr"/>
      <c r="C5601" t="inlineStr">
        <is>
          <t>252</t>
        </is>
      </c>
      <c r="D5601" t="inlineStr">
        <is>
          <t>2</t>
        </is>
      </c>
      <c r="E5601" t="inlineStr">
        <is>
          <t>14</t>
        </is>
      </c>
      <c r="F5601" t="inlineStr">
        <is>
          <t>0</t>
        </is>
      </c>
      <c r="G5601" t="inlineStr">
        <is>
          <t>0</t>
        </is>
      </c>
      <c r="H5601" t="inlineStr">
        <is>
          <t>42⁶</t>
        </is>
      </c>
      <c r="I5601" t="n">
        <v>6</v>
      </c>
      <c r="J5601" t="inlineStr">
        <is>
          <t>4¹, 12²</t>
        </is>
      </c>
      <c r="K5601">
        <f>HYPERLINK("CSG5.html#group14D5", "14D⁵"), =HYPERLINK("CSG5.html#group42C5", "42C⁵"), =HYPERLINK("CSG6.html#group42B6", "42B⁶"), =HYPERLINK("CSG8.html#group42B8", "42B⁸")</f>
        <v/>
      </c>
      <c r="L5601" t="inlineStr"/>
      <c r="M5601">
        <f>HYPERLINK("CSG0.html#group2A0", "2A⁰"), =HYPERLINK("CSG0.html#group14A0", "14A⁰"), =HYPERLINK("CSG8.html#group42B8", "42B⁸"), =HYPERLINK("CSG1.html#group14B1", "14B¹"), =HYPERLINK("CSG3.html#group14B3", "14B³"), =HYPERLINK("CSG5.html#group14D5", "14D⁵"), =HYPERLINK("CSG1.html#group14A1", "14A¹"), =HYPERLINK("CSG2.html#group14C2", "14C²"), =HYPERLINK("CSG0.html#group2B0", "2B⁰"), =HYPERLINK("CSG0.html#group1A0", "1A⁰"), =HYPERLINK("CSG1.html#group14D1", "14D¹"), =HYPERLINK("CSG5.html#group42C5", "42C⁵"), =HYPERLINK("CSG2.html#group14A2", "14A²"), =HYPERLINK("CSG0.html#group7C0", "7C⁰"), =HYPERLINK("CSG6.html#group42B6", "42B⁶"), =HYPERLINK("CSG1.html#group21C1", "21C¹"), =HYPERLINK("CSG0.html#group2C0", "2C⁰"), =HYPERLINK("CSG0.html#group7A0", "7A⁰")</f>
        <v/>
      </c>
      <c r="N5601" t="inlineStr"/>
    </row>
    <row r="5602">
      <c r="A5602" t="inlineStr">
        <is>
          <t>42J¹⁹</t>
        </is>
      </c>
      <c r="B5602" t="inlineStr"/>
      <c r="C5602" t="inlineStr">
        <is>
          <t>252</t>
        </is>
      </c>
      <c r="D5602" t="inlineStr">
        <is>
          <t>2</t>
        </is>
      </c>
      <c r="E5602" t="inlineStr">
        <is>
          <t>14</t>
        </is>
      </c>
      <c r="F5602" t="inlineStr">
        <is>
          <t>0</t>
        </is>
      </c>
      <c r="G5602" t="inlineStr">
        <is>
          <t>0</t>
        </is>
      </c>
      <c r="H5602" t="inlineStr">
        <is>
          <t>42⁶</t>
        </is>
      </c>
      <c r="I5602" t="n">
        <v>6</v>
      </c>
      <c r="J5602" t="inlineStr">
        <is>
          <t>2², 6⁴</t>
        </is>
      </c>
      <c r="K5602">
        <f>HYPERLINK("CSG3.html#group14E3", "14E³"), =HYPERLINK("CSG6.html#group42B6", "42B⁶"), =HYPERLINK("CSG7.html#group42A7", "42A⁷"), =HYPERLINK("CSG7.html#group42J7", "42J⁷")</f>
        <v/>
      </c>
      <c r="L5602" t="inlineStr"/>
      <c r="M5602">
        <f>HYPERLINK("CSG0.html#group2A0", "2A⁰"), =HYPERLINK("CSG0.html#group14A0", "14A⁰"), =HYPERLINK("CSG7.html#group42J7", "42J⁷"), =HYPERLINK("CSG1.html#group42A1", "42A¹"), =HYPERLINK("CSG1.html#group14A1", "14A¹"), =HYPERLINK("CSG2.html#group21C2", "21C²"), =HYPERLINK("CSG0.html#group21A0", "21A⁰"), =HYPERLINK("CSG4.html#group42A4", "42A⁴"), =HYPERLINK("CSG1.html#group14D1", "14D¹"), =HYPERLINK("CSG0.html#group1A0", "1A⁰"), =HYPERLINK("CSG1.html#group14F1", "14F¹"), =HYPERLINK("CSG3.html#group14E3", "14E³"), =HYPERLINK("CSG0.html#group7C0", "7C⁰"), =HYPERLINK("CSG7.html#group42A7", "42A⁷"), =HYPERLINK("CSG6.html#group42B6", "42B⁶"), =HYPERLINK("CSG1.html#group6A1", "6A¹"), =HYPERLINK("CSG0.html#group3A0", "3A⁰"), =HYPERLINK("CSG0.html#group7A0", "7A⁰")</f>
        <v/>
      </c>
      <c r="N5602" t="inlineStr"/>
    </row>
    <row r="5603">
      <c r="A5603" t="inlineStr">
        <is>
          <t>42K¹⁹</t>
        </is>
      </c>
      <c r="B5603" t="inlineStr"/>
      <c r="C5603" t="inlineStr">
        <is>
          <t>252</t>
        </is>
      </c>
      <c r="D5603" t="inlineStr">
        <is>
          <t>2</t>
        </is>
      </c>
      <c r="E5603" t="inlineStr">
        <is>
          <t>21</t>
        </is>
      </c>
      <c r="F5603" t="inlineStr">
        <is>
          <t>0</t>
        </is>
      </c>
      <c r="G5603" t="inlineStr">
        <is>
          <t>0</t>
        </is>
      </c>
      <c r="H5603" t="inlineStr">
        <is>
          <t>42⁶</t>
        </is>
      </c>
      <c r="I5603" t="n">
        <v>6</v>
      </c>
      <c r="J5603" t="inlineStr">
        <is>
          <t>2¹, 4¹, 6², 12²</t>
        </is>
      </c>
      <c r="K5603">
        <f>HYPERLINK("CSG7.html#group42B7", "42B⁷"), =HYPERLINK("CSG7.html#group42K7", "42K⁷"), =HYPERLINK("CSG8.html#group42D8", "42D⁸"), =HYPERLINK("CSG10.html#group42C10", "42C¹⁰")</f>
        <v/>
      </c>
      <c r="L5603" t="inlineStr"/>
      <c r="M5603">
        <f>HYPERLINK("CSG0.html#group2A0", "2A⁰"), =HYPERLINK("CSG8.html#group42D8", "42D⁸"), =HYPERLINK("CSG1.html#group14B1", "14B¹"), =HYPERLINK("CSG3.html#group14B3", "14B³"), =HYPERLINK("CSG0.html#group2C0", "2C⁰"), =HYPERLINK("CSG1.html#group21D1", "21D¹"), =HYPERLINK("CSG1.html#group14A1", "14A¹"), =HYPERLINK("CSG1.html#group6C1", "6C¹"), =HYPERLINK("CSG0.html#group21A0", "21A⁰"), =HYPERLINK("CSG7.html#group42K7", "42K⁷"), =HYPERLINK("CSG0.html#group2B0", "2B⁰"), =HYPERLINK("CSG7.html#group42B7", "42B⁷"), =HYPERLINK("CSG4.html#group42A4", "42A⁴"), =HYPERLINK("CSG0.html#group1A0", "1A⁰"), =HYPERLINK("CSG10.html#group42C10", "42C¹⁰"), =HYPERLINK("CSG2.html#group42A2", "42A²"), =HYPERLINK("CSG0.html#group6A0", "6A⁰"), =HYPERLINK("CSG3.html#group42A3", "42A³"), =HYPERLINK("CSG1.html#group6A1", "6A¹"), =HYPERLINK("CSG0.html#group3A0", "3A⁰"), =HYPERLINK("CSG3.html#group42C3", "42C³"), =HYPERLINK("CSG0.html#group6D0", "6D⁰"), =HYPERLINK("CSG0.html#group7A0", "7A⁰")</f>
        <v/>
      </c>
      <c r="N5603" t="inlineStr"/>
    </row>
    <row r="5604">
      <c r="A5604" t="inlineStr">
        <is>
          <t>42L¹⁹</t>
        </is>
      </c>
      <c r="B5604" t="inlineStr"/>
      <c r="C5604" t="inlineStr">
        <is>
          <t>252</t>
        </is>
      </c>
      <c r="D5604" t="inlineStr">
        <is>
          <t>2</t>
        </is>
      </c>
      <c r="E5604" t="inlineStr">
        <is>
          <t>21</t>
        </is>
      </c>
      <c r="F5604" t="inlineStr">
        <is>
          <t>0</t>
        </is>
      </c>
      <c r="G5604" t="inlineStr">
        <is>
          <t>0</t>
        </is>
      </c>
      <c r="H5604" t="inlineStr">
        <is>
          <t>42⁶</t>
        </is>
      </c>
      <c r="I5604" t="n">
        <v>6</v>
      </c>
      <c r="J5604" t="inlineStr">
        <is>
          <t>2¹, 4¹, 6², 12²</t>
        </is>
      </c>
      <c r="K5604">
        <f>HYPERLINK("CSG1.html#group6E1", "6E¹"), =HYPERLINK("CSG7.html#group42C7", "42C⁷"), =HYPERLINK("CSG7.html#group42L7", "42L⁷"), =HYPERLINK("CSG8.html#group42C8", "42C⁸"), =HYPERLINK("CSG10.html#group42C10", "42C¹⁰")</f>
        <v/>
      </c>
      <c r="L5604" t="inlineStr"/>
      <c r="M5604">
        <f>HYPERLINK("CSG1.html#group6E1", "6E¹"), =HYPERLINK("CSG0.html#group2A0", "2A⁰"), =HYPERLINK("CSG2.html#group21D2", "21D²"), =HYPERLINK("CSG0.html#group6B0", "6B⁰"), =HYPERLINK("CSG0.html#group3A0", "3A⁰"), =HYPERLINK("CSG1.html#group42B1", "42B¹"), =HYPERLINK("CSG1.html#group14B1", "14B¹"), =HYPERLINK("CSG3.html#group14B3", "14B³"), =HYPERLINK("CSG1.html#group6C1", "6C¹"), =HYPERLINK("CSG1.html#group14A1", "14A¹"), =HYPERLINK("CSG0.html#group6G0", "6G⁰"), =HYPERLINK("CSG0.html#group21A0", "21A⁰"), =HYPERLINK("CSG0.html#group2B0", "2B⁰"), =HYPERLINK("CSG4.html#group42A4", "42A⁴"), =HYPERLINK("CSG0.html#group1A0", "1A⁰"), =HYPERLINK("CSG10.html#group42C10", "42C¹⁰"), =HYPERLINK("CSG0.html#group6A0", "6A⁰"), =HYPERLINK("CSG1.html#group6B1", "6B¹"), =HYPERLINK("CSG3.html#group42A3", "42A³"), =HYPERLINK("CSG7.html#group42L7", "42L⁷"), =HYPERLINK("CSG0.html#group3C0", "3C⁰"), =HYPERLINK("CSG8.html#group42C8", "42C⁸"), =HYPERLINK("CSG1.html#group6A1", "6A¹"), =HYPERLINK("CSG0.html#group6H0", "6H⁰"), =HYPERLINK("CSG7.html#group42C7", "42C⁷"), =HYPERLINK("CSG0.html#group2C0", "2C⁰"), =HYPERLINK("CSG0.html#group6D0", "6D⁰"), =HYPERLINK("CSG0.html#group7A0", "7A⁰"), =HYPERLINK("CSG3.html#group42C3", "42C³")</f>
        <v/>
      </c>
      <c r="N5604" t="inlineStr"/>
    </row>
    <row r="5605">
      <c r="A5605" t="inlineStr">
        <is>
          <t>42M¹⁹</t>
        </is>
      </c>
      <c r="B5605" t="inlineStr"/>
      <c r="C5605" t="inlineStr">
        <is>
          <t>252</t>
        </is>
      </c>
      <c r="D5605" t="inlineStr">
        <is>
          <t>2</t>
        </is>
      </c>
      <c r="E5605" t="inlineStr">
        <is>
          <t>63</t>
        </is>
      </c>
      <c r="F5605" t="inlineStr">
        <is>
          <t>0</t>
        </is>
      </c>
      <c r="G5605" t="inlineStr">
        <is>
          <t>0</t>
        </is>
      </c>
      <c r="H5605" t="inlineStr">
        <is>
          <t>42⁶</t>
        </is>
      </c>
      <c r="I5605" t="n">
        <v>6</v>
      </c>
      <c r="J5605" t="inlineStr">
        <is>
          <t>6⁷, 12⁷</t>
        </is>
      </c>
      <c r="K5605">
        <f>HYPERLINK("CSG5.html#group21D5", "21D⁵"), =HYPERLINK("CSG6.html#group42D6", "42D⁶"), =HYPERLINK("CSG7.html#group42B7", "42B⁷"), =HYPERLINK("CSG10.html#group42A10", "42A¹⁰")</f>
        <v/>
      </c>
      <c r="L5605" t="inlineStr"/>
      <c r="M5605">
        <f>HYPERLINK("CSG0.html#group2A0", "2A⁰"), =HYPERLINK("CSG0.html#group7D0", "7D⁰"), =HYPERLINK("CSG1.html#group21D1", "21D¹"), =HYPERLINK("CSG1.html#group14A1", "14A¹"), =HYPERLINK("CSG0.html#group21A0", "21A⁰"), =HYPERLINK("CSG6.html#group42D6", "42D⁶"), =HYPERLINK("CSG7.html#group42B7", "42B⁷"), =HYPERLINK("CSG4.html#group42A4", "42A⁴"), =HYPERLINK("CSG0.html#group1A0", "1A⁰"), =HYPERLINK("CSG5.html#group21D5", "21D⁵"), =HYPERLINK("CSG2.html#group42A2", "42A²"), =HYPERLINK("CSG10.html#group42A10", "42A¹⁰"), =HYPERLINK("CSG1.html#group21E1", "21E¹"), =HYPERLINK("CSG3.html#group14A3", "14A³"), =HYPERLINK("CSG1.html#group6A1", "6A¹"), =HYPERLINK("CSG0.html#group3A0", "3A⁰"), =HYPERLINK("CSG0.html#group7A0", "7A⁰")</f>
        <v/>
      </c>
      <c r="N5605" t="inlineStr"/>
    </row>
    <row r="5606">
      <c r="A5606" t="inlineStr">
        <is>
          <t>42N¹⁹</t>
        </is>
      </c>
      <c r="B5606" t="inlineStr"/>
      <c r="C5606" t="inlineStr">
        <is>
          <t>288</t>
        </is>
      </c>
      <c r="D5606" t="inlineStr">
        <is>
          <t>1</t>
        </is>
      </c>
      <c r="E5606" t="inlineStr">
        <is>
          <t>24</t>
        </is>
      </c>
      <c r="F5606" t="inlineStr">
        <is>
          <t>0</t>
        </is>
      </c>
      <c r="G5606" t="inlineStr">
        <is>
          <t>0</t>
        </is>
      </c>
      <c r="H5606" t="inlineStr">
        <is>
          <t>6⁶, 42⁶</t>
        </is>
      </c>
      <c r="I5606" t="n">
        <v>12</v>
      </c>
      <c r="J5606" t="inlineStr">
        <is>
          <t>1², 2², 6¹, 12¹</t>
        </is>
      </c>
      <c r="K5606">
        <f>HYPERLINK("CSG7.html#group21B7", "21B⁷"), =HYPERLINK("CSG7.html#group42D7", "42D⁷"), =HYPERLINK("CSG10.html#group42H10", "42H¹⁰")</f>
        <v/>
      </c>
      <c r="L5606" t="inlineStr"/>
      <c r="M5606">
        <f>HYPERLINK("CSG7.html#group42D7", "42D⁷"), =HYPERLINK("CSG0.html#group6B0", "6B⁰"), =HYPERLINK("CSG4.html#group21A4", "21A⁴"), =HYPERLINK("CSG0.html#group7E0", "7E⁰"), =HYPERLINK("CSG4.html#group42C4", "42C⁴"), =HYPERLINK("CSG0.html#group1A0", "1A⁰"), =HYPERLINK("CSG3.html#group21A3", "21A³"), =HYPERLINK("CSG7.html#group21B7", "21B⁷"), =HYPERLINK("CSG2.html#group21A2", "21A²"), =HYPERLINK("CSG0.html#group6E0", "6E⁰"), =HYPERLINK("CSG10.html#group42H10", "42H¹⁰"), =HYPERLINK("CSG0.html#group7B0", "7B⁰"), =HYPERLINK("CSG0.html#group3C0", "3C⁰"), =HYPERLINK("CSG0.html#group3A0", "3A⁰"), =HYPERLINK("CSG1.html#group21A1", "21A¹")</f>
        <v/>
      </c>
      <c r="N5606" t="inlineStr"/>
    </row>
    <row r="5607">
      <c r="A5607" t="inlineStr">
        <is>
          <t>42O¹⁹</t>
        </is>
      </c>
      <c r="B5607" t="inlineStr"/>
      <c r="C5607" t="inlineStr">
        <is>
          <t>288</t>
        </is>
      </c>
      <c r="D5607" t="inlineStr">
        <is>
          <t>1</t>
        </is>
      </c>
      <c r="E5607" t="inlineStr">
        <is>
          <t>24</t>
        </is>
      </c>
      <c r="F5607" t="inlineStr">
        <is>
          <t>0</t>
        </is>
      </c>
      <c r="G5607" t="inlineStr">
        <is>
          <t>0</t>
        </is>
      </c>
      <c r="H5607" t="inlineStr">
        <is>
          <t>6⁶, 42⁶</t>
        </is>
      </c>
      <c r="I5607" t="n">
        <v>12</v>
      </c>
      <c r="J5607" t="inlineStr">
        <is>
          <t>1², 2², 6¹, 12¹</t>
        </is>
      </c>
      <c r="K5607">
        <f>HYPERLINK("CSG7.html#group21B7", "21B⁷"), =HYPERLINK("CSG7.html#group42E7", "42E⁷"), =HYPERLINK("CSG10.html#group42D10", "42D¹⁰"), =HYPERLINK("CSG10.html#group42H10", "42H¹⁰")</f>
        <v/>
      </c>
      <c r="L5607" t="inlineStr"/>
      <c r="M5607">
        <f>HYPERLINK("CSG7.html#group42E7", "42E⁷"), =HYPERLINK("CSG0.html#group2A0", "2A⁰"), =HYPERLINK("CSG0.html#group6B0", "6B⁰"), =HYPERLINK("CSG2.html#group14D2", "14D²"), =HYPERLINK("CSG4.html#group21A4", "21A⁴"), =HYPERLINK("CSG0.html#group7E0", "7E⁰"), =HYPERLINK("CSG4.html#group42C4", "42C⁴"), =HYPERLINK("CSG0.html#group1A0", "1A⁰"), =HYPERLINK("CSG3.html#group21A3", "21A³"), =HYPERLINK("CSG7.html#group21B7", "21B⁷"), =HYPERLINK("CSG2.html#group21A2", "21A²"), =HYPERLINK("CSG4.html#group42B4", "42B⁴"), =HYPERLINK("CSG1.html#group6B1", "6B¹"), =HYPERLINK("CSG10.html#group42H10", "42H¹⁰"), =HYPERLINK("CSG10.html#group42D10", "42D¹⁰"), =HYPERLINK("CSG0.html#group7B0", "7B⁰"), =HYPERLINK("CSG0.html#group14B0", "14B⁰"), =HYPERLINK("CSG2.html#group42C2", "42C²"), =HYPERLINK("CSG0.html#group3C0", "3C⁰"), =HYPERLINK("CSG1.html#group6A1", "6A¹"), =HYPERLINK("CSG0.html#group3A0", "3A⁰"), =HYPERLINK("CSG1.html#group21A1", "21A¹")</f>
        <v/>
      </c>
      <c r="N5607" t="inlineStr"/>
    </row>
    <row r="5608">
      <c r="A5608" t="inlineStr">
        <is>
          <t>42P¹⁹</t>
        </is>
      </c>
      <c r="B5608" t="inlineStr"/>
      <c r="C5608" t="inlineStr">
        <is>
          <t>288</t>
        </is>
      </c>
      <c r="D5608" t="inlineStr">
        <is>
          <t>1</t>
        </is>
      </c>
      <c r="E5608" t="inlineStr">
        <is>
          <t>24</t>
        </is>
      </c>
      <c r="F5608" t="inlineStr">
        <is>
          <t>0</t>
        </is>
      </c>
      <c r="G5608" t="inlineStr">
        <is>
          <t>0</t>
        </is>
      </c>
      <c r="H5608" t="inlineStr">
        <is>
          <t>6⁶, 42⁶</t>
        </is>
      </c>
      <c r="I5608" t="n">
        <v>12</v>
      </c>
      <c r="J5608" t="inlineStr">
        <is>
          <t>1², 2², 6¹, 12¹</t>
        </is>
      </c>
      <c r="K5608">
        <f>HYPERLINK("CSG1.html#group6E1", "6E¹"), =HYPERLINK("CSG7.html#group42E7", "42E⁷"), =HYPERLINK("CSG9.html#group42A9", "42A⁹"), =HYPERLINK("CSG10.html#group42E10", "42E¹⁰"), =HYPERLINK("CSG10.html#group42I10", "42I¹⁰")</f>
        <v/>
      </c>
      <c r="L5608" t="inlineStr"/>
      <c r="M5608">
        <f>HYPERLINK("CSG1.html#group6E1", "6E¹"), =HYPERLINK("CSG7.html#group42E7", "42E⁷"), =HYPERLINK("CSG0.html#group2A0", "2A⁰"), =HYPERLINK("CSG0.html#group6B0", "6B⁰"), =HYPERLINK("CSG1.html#group6C1", "6C¹"), =HYPERLINK("CSG10.html#group42I10", "42I¹⁰"), =HYPERLINK("CSG0.html#group6G0", "6G⁰"), =HYPERLINK("CSG10.html#group42E10", "42E¹⁰"), =HYPERLINK("CSG0.html#group2B0", "2B⁰"), =HYPERLINK("CSG2.html#group14E2", "14E²"), =HYPERLINK("CSG4.html#group42C4", "42C⁴"), =HYPERLINK("CSG0.html#group1A0", "1A⁰"), =HYPERLINK("CSG9.html#group42A9", "42A⁹"), =HYPERLINK("CSG3.html#group21A3", "21A³"), =HYPERLINK("CSG2.html#group42B2", "42B²"), =HYPERLINK("CSG0.html#group6A0", "6A⁰"), =HYPERLINK("CSG2.html#group21A2", "21A²"), =HYPERLINK("CSG1.html#group6B1", "6B¹"), =HYPERLINK("CSG4.html#group42B4", "42B⁴"), =HYPERLINK("CSG0.html#group7B0", "7B⁰"), =HYPERLINK("CSG5.html#group42A5", "42A⁵"), =HYPERLINK("CSG0.html#group14B0", "14B⁰"), =HYPERLINK("CSG1.html#group14C1", "14C¹"), =HYPERLINK("CSG0.html#group3C0", "3C⁰"), =HYPERLINK("CSG1.html#group6A1", "6A¹"), =HYPERLINK("CSG0.html#group6H0", "6H⁰"), =HYPERLINK("CSG0.html#group3A0", "3A⁰"), =HYPERLINK("CSG0.html#group2C0", "2C⁰"), =HYPERLINK("CSG0.html#group6D0", "6D⁰")</f>
        <v/>
      </c>
      <c r="N5608" t="inlineStr"/>
    </row>
    <row r="5609">
      <c r="A5609" t="inlineStr">
        <is>
          <t>42Q¹⁹</t>
        </is>
      </c>
      <c r="B5609" t="inlineStr"/>
      <c r="C5609" t="inlineStr">
        <is>
          <t>288</t>
        </is>
      </c>
      <c r="D5609" t="inlineStr">
        <is>
          <t>1</t>
        </is>
      </c>
      <c r="E5609" t="inlineStr">
        <is>
          <t>48</t>
        </is>
      </c>
      <c r="F5609" t="inlineStr">
        <is>
          <t>0</t>
        </is>
      </c>
      <c r="G5609" t="inlineStr">
        <is>
          <t>0</t>
        </is>
      </c>
      <c r="H5609" t="inlineStr">
        <is>
          <t>6⁶, 42⁶</t>
        </is>
      </c>
      <c r="I5609" t="n">
        <v>12</v>
      </c>
      <c r="J5609" t="inlineStr">
        <is>
          <t>1⁴, 2⁴, 6², 12²</t>
        </is>
      </c>
      <c r="K5609">
        <f>HYPERLINK("CSG7.html#group42E7", "42E⁷"), =HYPERLINK("CSG10.html#group42G10", "42G¹⁰")</f>
        <v/>
      </c>
      <c r="L5609" t="inlineStr"/>
      <c r="M5609">
        <f>HYPERLINK("CSG7.html#group42E7", "42E⁷"), =HYPERLINK("CSG0.html#group2A0", "2A⁰"), =HYPERLINK("CSG0.html#group14C0", "14C⁰"), =HYPERLINK("CSG0.html#group6B0", "6B⁰"), =HYPERLINK("CSG10.html#group42G10", "42G¹⁰"), =HYPERLINK("CSG4.html#group42C4", "42C⁴"), =HYPERLINK("CSG0.html#group1A0", "1A⁰"), =HYPERLINK("CSG3.html#group21A3", "21A³"), =HYPERLINK("CSG2.html#group21A2", "21A²"), =HYPERLINK("CSG4.html#group42B4", "42B⁴"), =HYPERLINK("CSG1.html#group6B1", "6B¹"), =HYPERLINK("CSG0.html#group7B0", "7B⁰"), =HYPERLINK("CSG0.html#group14B0", "14B⁰"), =HYPERLINK("CSG0.html#group3C0", "3C⁰"), =HYPERLINK("CSG1.html#group6A1", "6A¹"), =HYPERLINK("CSG0.html#group3A0", "3A⁰"), =HYPERLINK("CSG3.html#group42B3", "42B³")</f>
        <v/>
      </c>
      <c r="N5609" t="inlineStr"/>
    </row>
    <row r="5610">
      <c r="A5610" t="inlineStr">
        <is>
          <t>42R¹⁹</t>
        </is>
      </c>
      <c r="B5610" t="inlineStr"/>
      <c r="C5610" t="inlineStr">
        <is>
          <t>288</t>
        </is>
      </c>
      <c r="D5610" t="inlineStr">
        <is>
          <t>1</t>
        </is>
      </c>
      <c r="E5610" t="inlineStr">
        <is>
          <t>72</t>
        </is>
      </c>
      <c r="F5610" t="inlineStr">
        <is>
          <t>0</t>
        </is>
      </c>
      <c r="G5610" t="inlineStr">
        <is>
          <t>0</t>
        </is>
      </c>
      <c r="H5610" t="inlineStr">
        <is>
          <t>6⁶, 42⁶</t>
        </is>
      </c>
      <c r="I5610" t="n">
        <v>12</v>
      </c>
      <c r="J5610" t="inlineStr">
        <is>
          <t>1⁶, 2⁶, 6³, 12³</t>
        </is>
      </c>
      <c r="K5610">
        <f>HYPERLINK("CSG0.html#group6L0", "6L⁰"), =HYPERLINK("CSG7.html#group42D7", "42D⁷"), =HYPERLINK("CSG9.html#group42A9", "42A⁹"), =HYPERLINK("CSG10.html#group42I10", "42I¹⁰")</f>
        <v/>
      </c>
      <c r="L5610" t="inlineStr"/>
      <c r="M5610">
        <f>HYPERLINK("CSG7.html#group42D7", "42D⁷"), =HYPERLINK("CSG0.html#group6B0", "6B⁰"), =HYPERLINK("CSG10.html#group42I10", "42I¹⁰"), =HYPERLINK("CSG0.html#group6G0", "6G⁰"), =HYPERLINK("CSG0.html#group2B0", "2B⁰"), =HYPERLINK("CSG4.html#group42C4", "42C⁴"), =HYPERLINK("CSG0.html#group1A0", "1A⁰"), =HYPERLINK("CSG9.html#group42A9", "42A⁹"), =HYPERLINK("CSG3.html#group21A3", "21A³"), =HYPERLINK("CSG2.html#group21A2", "21A²"), =HYPERLINK("CSG0.html#group6E0", "6E⁰"), =HYPERLINK("CSG0.html#group6L0", "6L⁰"), =HYPERLINK("CSG5.html#group42A5", "42A⁵"), =HYPERLINK("CSG0.html#group7B0", "7B⁰"), =HYPERLINK("CSG1.html#group14C1", "14C¹"), =HYPERLINK("CSG0.html#group3C0", "3C⁰"), =HYPERLINK("CSG0.html#group6H0", "6H⁰"), =HYPERLINK("CSG0.html#group3A0", "3A⁰"), =HYPERLINK("CSG0.html#group6D0", "6D⁰")</f>
        <v/>
      </c>
      <c r="N5610" t="inlineStr"/>
    </row>
    <row r="5611">
      <c r="A5611" t="inlineStr">
        <is>
          <t>44A¹⁹</t>
        </is>
      </c>
      <c r="B5611" t="inlineStr"/>
      <c r="C5611" t="inlineStr">
        <is>
          <t>288</t>
        </is>
      </c>
      <c r="D5611" t="inlineStr">
        <is>
          <t>1</t>
        </is>
      </c>
      <c r="E5611" t="inlineStr">
        <is>
          <t>12</t>
        </is>
      </c>
      <c r="F5611" t="inlineStr">
        <is>
          <t>0</t>
        </is>
      </c>
      <c r="G5611" t="inlineStr">
        <is>
          <t>0</t>
        </is>
      </c>
      <c r="H5611" t="inlineStr">
        <is>
          <t>4⁶, 44⁶</t>
        </is>
      </c>
      <c r="I5611" t="n">
        <v>12</v>
      </c>
      <c r="J5611" t="inlineStr">
        <is>
          <t>1², 10¹</t>
        </is>
      </c>
      <c r="K5611">
        <f>HYPERLINK("CSG0.html#group4G0", "4G⁰"), =HYPERLINK("CSG7.html#group44A7", "44A⁷"), =HYPERLINK("CSG9.html#group44B9", "44B⁹"), =HYPERLINK("CSG10.html#group44C10", "44C¹⁰")</f>
        <v/>
      </c>
      <c r="L5611" t="inlineStr"/>
      <c r="M5611">
        <f>HYPERLINK("CSG0.html#group2A0", "2A⁰"), =HYPERLINK("CSG10.html#group44C10", "44C¹⁰"), =HYPERLINK("CSG4.html#group44B4", "44B⁴"), =HYPERLINK("CSG0.html#group4C0", "4C⁰"), =HYPERLINK("CSG5.html#group44B5", "44B⁵"), =HYPERLINK("CSG0.html#group4G0", "4G⁰"), =HYPERLINK("CSG0.html#group2B0", "2B⁰"), =HYPERLINK("CSG0.html#group4E0", "4E⁰"), =HYPERLINK("CSG0.html#group4B0", "4B⁰"), =HYPERLINK("CSG2.html#group22C2", "22C²"), =HYPERLINK("CSG9.html#group44B9", "44B⁹"), =HYPERLINK("CSG0.html#group1A0", "1A⁰"), =HYPERLINK("CSG4.html#group22A4", "22A⁴"), =HYPERLINK("CSG4.html#group44D4", "44D⁴"), =HYPERLINK("CSG1.html#group11A1", "11A¹"), =HYPERLINK("CSG2.html#group22A2", "22A²"), =HYPERLINK("CSG0.html#group4A0", "4A⁰"), =HYPERLINK("CSG0.html#group4D0", "4D⁰"), =HYPERLINK("CSG7.html#group44A7", "44A⁷"), =HYPERLINK("CSG0.html#group4F0", "4F⁰"), =HYPERLINK("CSG0.html#group2C0", "2C⁰")</f>
        <v/>
      </c>
      <c r="N5611" t="inlineStr"/>
    </row>
    <row r="5612">
      <c r="A5612" t="inlineStr">
        <is>
          <t>44B¹⁹</t>
        </is>
      </c>
      <c r="B5612" t="inlineStr"/>
      <c r="C5612" t="inlineStr">
        <is>
          <t>288</t>
        </is>
      </c>
      <c r="D5612" t="inlineStr">
        <is>
          <t>1</t>
        </is>
      </c>
      <c r="E5612" t="inlineStr">
        <is>
          <t>36</t>
        </is>
      </c>
      <c r="F5612" t="inlineStr">
        <is>
          <t>0</t>
        </is>
      </c>
      <c r="G5612" t="inlineStr">
        <is>
          <t>0</t>
        </is>
      </c>
      <c r="H5612" t="inlineStr">
        <is>
          <t>4⁶, 44⁶</t>
        </is>
      </c>
      <c r="I5612" t="n">
        <v>12</v>
      </c>
      <c r="J5612" t="inlineStr">
        <is>
          <t>1⁶, 10³</t>
        </is>
      </c>
      <c r="K5612">
        <f>HYPERLINK("CSG8.html#group44A8", "44A⁸"), =HYPERLINK("CSG9.html#group44B9", "44B⁹"), =HYPERLINK("CSG10.html#group44B10", "44B¹⁰")</f>
        <v/>
      </c>
      <c r="L5612" t="inlineStr"/>
      <c r="M5612">
        <f>HYPERLINK("CSG0.html#group2A0", "2A⁰"), =HYPERLINK("CSG0.html#group4C0", "4C⁰"), =HYPERLINK("CSG5.html#group44B5", "44B⁵"), =HYPERLINK("CSG0.html#group2B0", "2B⁰"), =HYPERLINK("CSG0.html#group4E0", "4E⁰"), =HYPERLINK("CSG0.html#group4B0", "4B⁰"), =HYPERLINK("CSG2.html#group22C2", "22C²"), =HYPERLINK("CSG0.html#group1A0", "1A⁰"), =HYPERLINK("CSG4.html#group22A4", "22A⁴"), =HYPERLINK("CSG9.html#group44B9", "44B⁹"), =HYPERLINK("CSG4.html#group44D4", "44D⁴"), =HYPERLINK("CSG10.html#group44B10", "44B¹⁰"), =HYPERLINK("CSG8.html#group44A8", "44A⁸"), =HYPERLINK("CSG4.html#group44A4", "44A⁴"), =HYPERLINK("CSG1.html#group11A1", "11A¹"), =HYPERLINK("CSG2.html#group22A2", "22A²"), =HYPERLINK("CSG0.html#group2C0", "2C⁰")</f>
        <v/>
      </c>
      <c r="N5612" t="inlineStr"/>
    </row>
    <row r="5613">
      <c r="A5613" t="inlineStr">
        <is>
          <t>44C¹⁹</t>
        </is>
      </c>
      <c r="B5613" t="inlineStr"/>
      <c r="C5613" t="inlineStr">
        <is>
          <t>330</t>
        </is>
      </c>
      <c r="D5613" t="inlineStr">
        <is>
          <t>2</t>
        </is>
      </c>
      <c r="E5613" t="inlineStr">
        <is>
          <t>165</t>
        </is>
      </c>
      <c r="F5613" t="inlineStr">
        <is>
          <t>8</t>
        </is>
      </c>
      <c r="G5613" t="inlineStr">
        <is>
          <t>0</t>
        </is>
      </c>
      <c r="H5613" t="inlineStr">
        <is>
          <t>11¹⁰, 44⁵</t>
        </is>
      </c>
      <c r="I5613" t="n">
        <v>15</v>
      </c>
      <c r="J5613" t="inlineStr">
        <is>
          <t>10³³</t>
        </is>
      </c>
      <c r="K5613">
        <f>HYPERLINK("CSG8.html#group22A8", "22A⁸")</f>
        <v/>
      </c>
      <c r="L5613" t="inlineStr"/>
      <c r="M5613">
        <f>HYPERLINK("CSG1.html#group11C1", "11C¹"), =HYPERLINK("CSG0.html#group1A0", "1A⁰"), =HYPERLINK("CSG8.html#group22A8", "22A⁸"), =HYPERLINK("CSG0.html#group2B0", "2B⁰")</f>
        <v/>
      </c>
      <c r="N5613" t="inlineStr"/>
    </row>
    <row r="5614">
      <c r="A5614" t="inlineStr">
        <is>
          <t>45A¹⁹</t>
        </is>
      </c>
      <c r="B5614" t="inlineStr"/>
      <c r="C5614" t="inlineStr">
        <is>
          <t>270</t>
        </is>
      </c>
      <c r="D5614" t="inlineStr">
        <is>
          <t>1</t>
        </is>
      </c>
      <c r="E5614" t="inlineStr">
        <is>
          <t>90</t>
        </is>
      </c>
      <c r="F5614" t="inlineStr">
        <is>
          <t>6</t>
        </is>
      </c>
      <c r="G5614" t="inlineStr">
        <is>
          <t>0</t>
        </is>
      </c>
      <c r="H5614" t="inlineStr">
        <is>
          <t>45⁶</t>
        </is>
      </c>
      <c r="I5614" t="n">
        <v>6</v>
      </c>
      <c r="J5614" t="inlineStr">
        <is>
          <t>1¹, 2¹, 3¹, 4¹, 6², 8¹, 12¹, 24²</t>
        </is>
      </c>
      <c r="K5614">
        <f>HYPERLINK("CSG1.html#group9E1", "9E¹"), =HYPERLINK("CSG6.html#group45A6", "45A⁶"), =HYPERLINK("CSG6.html#group45C6", "45C⁶")</f>
        <v/>
      </c>
      <c r="L5614" t="inlineStr"/>
      <c r="M5614">
        <f>HYPERLINK("CSG6.html#group45C6", "45C⁶"), =HYPERLINK("CSG0.html#group5A0", "5A⁰"), =HYPERLINK("CSG0.html#group9D0", "9D⁰"), =HYPERLINK("CSG2.html#group15A2", "15A²"), =HYPERLINK("CSG6.html#group45A6", "45A⁶"), =HYPERLINK("CSG0.html#group9A0", "9A⁰"), =HYPERLINK("CSG0.html#group3C0", "3C⁰"), =HYPERLINK("CSG1.html#group9E1", "9E¹"), =HYPERLINK("CSG0.html#group9E0", "9E⁰"), =HYPERLINK("CSG0.html#group3A0", "3A⁰"), =HYPERLINK("CSG0.html#group1A0", "1A⁰"), =HYPERLINK("CSG1.html#group15A1", "15A¹"), =HYPERLINK("CSG3.html#group45A3", "45A³")</f>
        <v/>
      </c>
      <c r="N5614" t="inlineStr"/>
    </row>
    <row r="5615">
      <c r="A5615" t="inlineStr">
        <is>
          <t>45B¹⁹</t>
        </is>
      </c>
      <c r="B5615" t="inlineStr"/>
      <c r="C5615" t="inlineStr">
        <is>
          <t>270</t>
        </is>
      </c>
      <c r="D5615" t="inlineStr">
        <is>
          <t>2</t>
        </is>
      </c>
      <c r="E5615" t="inlineStr">
        <is>
          <t>45</t>
        </is>
      </c>
      <c r="F5615" t="inlineStr">
        <is>
          <t>6</t>
        </is>
      </c>
      <c r="G5615" t="inlineStr">
        <is>
          <t>0</t>
        </is>
      </c>
      <c r="H5615" t="inlineStr">
        <is>
          <t>45⁶</t>
        </is>
      </c>
      <c r="I5615" t="n">
        <v>6</v>
      </c>
      <c r="J5615" t="inlineStr">
        <is>
          <t>2³, 6², 8³, 24²</t>
        </is>
      </c>
      <c r="K5615">
        <f>HYPERLINK("CSG4.html#group15C4", "15C⁴"), =HYPERLINK("CSG7.html#group45A7", "45A⁷"), =HYPERLINK("CSG7.html#group45D7", "45D⁷")</f>
        <v/>
      </c>
      <c r="L5615" t="inlineStr"/>
      <c r="M5615">
        <f>HYPERLINK("CSG0.html#group5A0", "5A⁰"), =HYPERLINK("CSG7.html#group45A7", "45A⁷"), =HYPERLINK("CSG1.html#group15F1", "15F¹"), =HYPERLINK("CSG0.html#group1A0", "1A⁰"), =HYPERLINK("CSG1.html#group9B1", "9B¹"), =HYPERLINK("CSG7.html#group45D7", "45D⁷"), =HYPERLINK("CSG4.html#group15C4", "15C⁴"), =HYPERLINK("CSG2.html#group15A2", "15A²"), =HYPERLINK("CSG0.html#group9A0", "9A⁰"), =HYPERLINK("CSG0.html#group5E0", "5E⁰"), =HYPERLINK("CSG0.html#group3C0", "3C⁰"), =HYPERLINK("CSG3.html#group45A3", "45A³"), =HYPERLINK("CSG0.html#group3A0", "3A⁰"), =HYPERLINK("CSG1.html#group15A1", "15A¹"), =HYPERLINK("CSG0.html#group15A0", "15A⁰")</f>
        <v/>
      </c>
      <c r="N5615" t="inlineStr"/>
    </row>
    <row r="5616">
      <c r="A5616" t="inlineStr">
        <is>
          <t>45C¹⁹</t>
        </is>
      </c>
      <c r="B5616" t="inlineStr"/>
      <c r="C5616" t="inlineStr">
        <is>
          <t>270</t>
        </is>
      </c>
      <c r="D5616" t="inlineStr">
        <is>
          <t>2</t>
        </is>
      </c>
      <c r="E5616" t="inlineStr">
        <is>
          <t>45</t>
        </is>
      </c>
      <c r="F5616" t="inlineStr">
        <is>
          <t>6</t>
        </is>
      </c>
      <c r="G5616" t="inlineStr">
        <is>
          <t>0</t>
        </is>
      </c>
      <c r="H5616" t="inlineStr">
        <is>
          <t>45⁶</t>
        </is>
      </c>
      <c r="I5616" t="n">
        <v>6</v>
      </c>
      <c r="J5616" t="inlineStr">
        <is>
          <t>2³, 6², 8³, 24²</t>
        </is>
      </c>
      <c r="K5616">
        <f>HYPERLINK("CSG1.html#group9F1", "9F¹"), =HYPERLINK("CSG6.html#group45A6", "45A⁶"), =HYPERLINK("CSG7.html#group45A7", "45A⁷"), =HYPERLINK("CSG9.html#group45B9", "45B⁹")</f>
        <v/>
      </c>
      <c r="L5616" t="inlineStr"/>
      <c r="M5616">
        <f>HYPERLINK("CSG0.html#group5A0", "5A⁰"), =HYPERLINK("CSG6.html#group45A6", "45A⁶"), =HYPERLINK("CSG7.html#group45A7", "45A⁷"), =HYPERLINK("CSG0.html#group9G0", "9G⁰"), =HYPERLINK("CSG1.html#group9F1", "9F¹"), =HYPERLINK("CSG0.html#group1A0", "1A⁰"), =HYPERLINK("CSG1.html#group9B1", "9B¹"), =HYPERLINK("CSG9.html#group45B9", "45B⁹"), =HYPERLINK("CSG0.html#group9D0", "9D⁰"), =HYPERLINK("CSG2.html#group15A2", "15A²"), =HYPERLINK("CSG0.html#group9A0", "9A⁰"), =HYPERLINK("CSG0.html#group3C0", "3C⁰"), =HYPERLINK("CSG0.html#group3A0", "3A⁰"), =HYPERLINK("CSG1.html#group15A1", "15A¹"), =HYPERLINK("CSG3.html#group45A3", "45A³")</f>
        <v/>
      </c>
      <c r="N5616" t="inlineStr"/>
    </row>
    <row r="5617">
      <c r="A5617" t="inlineStr">
        <is>
          <t>45D¹⁹</t>
        </is>
      </c>
      <c r="B5617" t="inlineStr"/>
      <c r="C5617" t="inlineStr">
        <is>
          <t>270</t>
        </is>
      </c>
      <c r="D5617" t="inlineStr">
        <is>
          <t>2</t>
        </is>
      </c>
      <c r="E5617" t="inlineStr">
        <is>
          <t>90</t>
        </is>
      </c>
      <c r="F5617" t="inlineStr">
        <is>
          <t>6</t>
        </is>
      </c>
      <c r="G5617" t="inlineStr">
        <is>
          <t>0</t>
        </is>
      </c>
      <c r="H5617" t="inlineStr">
        <is>
          <t>45⁶</t>
        </is>
      </c>
      <c r="I5617" t="n">
        <v>6</v>
      </c>
      <c r="J5617" t="inlineStr">
        <is>
          <t>2¹, 4¹, 6¹, 8³, 12², 24⁵</t>
        </is>
      </c>
      <c r="K5617">
        <f>HYPERLINK("CSG6.html#group45B6", "45B⁶"), =HYPERLINK("CSG6.html#group45C6", "45C⁶")</f>
        <v/>
      </c>
      <c r="L5617" t="inlineStr"/>
      <c r="M5617">
        <f>HYPERLINK("CSG6.html#group45B6", "45B⁶"), =HYPERLINK("CSG6.html#group45C6", "45C⁶"), =HYPERLINK("CSG0.html#group5A0", "5A⁰"), =HYPERLINK("CSG2.html#group15A2", "15A²"), =HYPERLINK("CSG0.html#group3C0", "3C⁰"), =HYPERLINK("CSG0.html#group9E0", "9E⁰"), =HYPERLINK("CSG0.html#group3A0", "3A⁰"), =HYPERLINK("CSG0.html#group1A0", "1A⁰"), =HYPERLINK("CSG1.html#group15A1", "15A¹")</f>
        <v/>
      </c>
      <c r="N5617" t="inlineStr"/>
    </row>
    <row r="5618">
      <c r="A5618" t="inlineStr">
        <is>
          <t>45E¹⁹</t>
        </is>
      </c>
      <c r="B5618" t="inlineStr"/>
      <c r="C5618" t="inlineStr">
        <is>
          <t>270</t>
        </is>
      </c>
      <c r="D5618" t="inlineStr">
        <is>
          <t>2</t>
        </is>
      </c>
      <c r="E5618" t="inlineStr">
        <is>
          <t>90</t>
        </is>
      </c>
      <c r="F5618" t="inlineStr">
        <is>
          <t>6</t>
        </is>
      </c>
      <c r="G5618" t="inlineStr">
        <is>
          <t>0</t>
        </is>
      </c>
      <c r="H5618" t="inlineStr">
        <is>
          <t>45⁶</t>
        </is>
      </c>
      <c r="I5618" t="n">
        <v>6</v>
      </c>
      <c r="J5618" t="inlineStr">
        <is>
          <t>4³, 8⁶, 12², 24⁴</t>
        </is>
      </c>
      <c r="K5618">
        <f>HYPERLINK("CSG6.html#group45B6", "45B⁶"), =HYPERLINK("CSG7.html#group45A7", "45A⁷")</f>
        <v/>
      </c>
      <c r="L5618" t="inlineStr"/>
      <c r="M5618">
        <f>HYPERLINK("CSG6.html#group45B6", "45B⁶"), =HYPERLINK("CSG0.html#group5A0", "5A⁰"), =HYPERLINK("CSG2.html#group15A2", "15A²"), =HYPERLINK("CSG7.html#group45A7", "45A⁷"), =HYPERLINK("CSG0.html#group9A0", "9A⁰"), =HYPERLINK("CSG0.html#group3C0", "3C⁰"), =HYPERLINK("CSG0.html#group3A0", "3A⁰"), =HYPERLINK("CSG0.html#group1A0", "1A⁰"), =HYPERLINK("CSG1.html#group9B1", "9B¹"), =HYPERLINK("CSG1.html#group15A1", "15A¹"), =HYPERLINK("CSG3.html#group45A3", "45A³")</f>
        <v/>
      </c>
      <c r="N5618" t="inlineStr"/>
    </row>
    <row r="5619">
      <c r="A5619" t="inlineStr">
        <is>
          <t>45F¹⁹</t>
        </is>
      </c>
      <c r="B5619" t="inlineStr"/>
      <c r="C5619" t="inlineStr">
        <is>
          <t>324</t>
        </is>
      </c>
      <c r="D5619" t="inlineStr">
        <is>
          <t>1</t>
        </is>
      </c>
      <c r="E5619" t="inlineStr">
        <is>
          <t>108</t>
        </is>
      </c>
      <c r="F5619" t="inlineStr">
        <is>
          <t>12</t>
        </is>
      </c>
      <c r="G5619" t="inlineStr">
        <is>
          <t>0</t>
        </is>
      </c>
      <c r="H5619" t="inlineStr">
        <is>
          <t>9⁶, 45⁶</t>
        </is>
      </c>
      <c r="I5619" t="n">
        <v>12</v>
      </c>
      <c r="J5619" t="inlineStr">
        <is>
          <t>1², 2², 3², 4¹, 6⁴, 8¹, 12¹, 24²</t>
        </is>
      </c>
      <c r="K5619">
        <f>HYPERLINK("CSG1.html#group9E1", "9E¹"), =HYPERLINK("CSG5.html#group45F5", "45F⁵"), =HYPERLINK("CSG5.html#group45G5", "45G⁵")</f>
        <v/>
      </c>
      <c r="L5619" t="inlineStr"/>
      <c r="M5619">
        <f>HYPERLINK("CSG2.html#group45A2", "45A²"), =HYPERLINK("CSG0.html#group15B0", "15B⁰"), =HYPERLINK("CSG5.html#group45F5", "45F⁵"), =HYPERLINK("CSG0.html#group9D0", "9D⁰"), =HYPERLINK("CSG5.html#group45G5", "45G⁵"), =HYPERLINK("CSG0.html#group9A0", "9A⁰"), =HYPERLINK("CSG0.html#group5B0", "5B⁰"), =HYPERLINK("CSG0.html#group3C0", "3C⁰"), =HYPERLINK("CSG1.html#group9E1", "9E¹"), =HYPERLINK("CSG0.html#group9E0", "9E⁰"), =HYPERLINK("CSG0.html#group3A0", "3A⁰"), =HYPERLINK("CSG0.html#group1A0", "1A⁰"), =HYPERLINK("CSG1.html#group15E1", "15E¹")</f>
        <v/>
      </c>
      <c r="N5619" t="inlineStr"/>
    </row>
    <row r="5620">
      <c r="A5620" t="inlineStr">
        <is>
          <t>45G¹⁹</t>
        </is>
      </c>
      <c r="B5620" t="inlineStr"/>
      <c r="C5620" t="inlineStr">
        <is>
          <t>324</t>
        </is>
      </c>
      <c r="D5620" t="inlineStr">
        <is>
          <t>2</t>
        </is>
      </c>
      <c r="E5620" t="inlineStr">
        <is>
          <t>54</t>
        </is>
      </c>
      <c r="F5620" t="inlineStr">
        <is>
          <t>12</t>
        </is>
      </c>
      <c r="G5620" t="inlineStr">
        <is>
          <t>0</t>
        </is>
      </c>
      <c r="H5620" t="inlineStr">
        <is>
          <t>9⁶, 45⁶</t>
        </is>
      </c>
      <c r="I5620" t="n">
        <v>12</v>
      </c>
      <c r="J5620" t="inlineStr">
        <is>
          <t>2⁶, 6⁴, 8³, 24²</t>
        </is>
      </c>
      <c r="K5620">
        <f>HYPERLINK("CSG1.html#group9F1", "9F¹"), =HYPERLINK("CSG5.html#group45F5", "45F⁵"), =HYPERLINK("CSG7.html#group45B7", "45B⁷"), =HYPERLINK("CSG8.html#group45D8", "45D⁸")</f>
        <v/>
      </c>
      <c r="L5620" t="inlineStr"/>
      <c r="M5620">
        <f>HYPERLINK("CSG2.html#group45A2", "45A²"), =HYPERLINK("CSG5.html#group45F5", "45F⁵"), =HYPERLINK("CSG0.html#group9G0", "9G⁰"), =HYPERLINK("CSG0.html#group5B0", "5B⁰"), =HYPERLINK("CSG0.html#group1A0", "1A⁰"), =HYPERLINK("CSG1.html#group9B1", "9B¹"), =HYPERLINK("CSG0.html#group15B0", "15B⁰"), =HYPERLINK("CSG0.html#group9D0", "9D⁰"), =HYPERLINK("CSG8.html#group45D8", "45D⁸"), =HYPERLINK("CSG0.html#group9A0", "9A⁰"), =HYPERLINK("CSG7.html#group45B7", "45B⁷"), =HYPERLINK("CSG0.html#group3C0", "3C⁰"), =HYPERLINK("CSG0.html#group3A0", "3A⁰"), =HYPERLINK("CSG1.html#group15E1", "15E¹"), =HYPERLINK("CSG1.html#group9F1", "9F¹")</f>
        <v/>
      </c>
      <c r="N5620" t="inlineStr"/>
    </row>
    <row r="5621">
      <c r="A5621" t="inlineStr">
        <is>
          <t>45H¹⁹</t>
        </is>
      </c>
      <c r="B5621" t="inlineStr"/>
      <c r="C5621" t="inlineStr">
        <is>
          <t>360</t>
        </is>
      </c>
      <c r="D5621" t="inlineStr">
        <is>
          <t>1</t>
        </is>
      </c>
      <c r="E5621" t="inlineStr">
        <is>
          <t>60</t>
        </is>
      </c>
      <c r="F5621" t="inlineStr">
        <is>
          <t>0</t>
        </is>
      </c>
      <c r="G5621" t="inlineStr">
        <is>
          <t>0</t>
        </is>
      </c>
      <c r="H5621" t="inlineStr">
        <is>
          <t>5¹⁸, 45⁶</t>
        </is>
      </c>
      <c r="I5621" t="n">
        <v>24</v>
      </c>
      <c r="J5621" t="inlineStr">
        <is>
          <t>1², 2³, 4⁷, 8³</t>
        </is>
      </c>
      <c r="K5621">
        <f>HYPERLINK("CSG3.html#group45D3", "45D³"), =HYPERLINK("CSG5.html#group15B5", "15B⁵"), =HYPERLINK("CSG7.html#group45C7", "45C⁷"), =HYPERLINK("CSG10.html#group45B10", "45B¹⁰")</f>
        <v/>
      </c>
      <c r="L5621" t="inlineStr"/>
      <c r="M5621">
        <f>HYPERLINK("CSG0.html#group3B0", "3B⁰"), =HYPERLINK("CSG3.html#group45C3", "45C³"), =HYPERLINK("CSG0.html#group5A0", "5A⁰"), =HYPERLINK("CSG10.html#group45B10", "45B¹⁰"), =HYPERLINK("CSG0.html#group5B0", "5B⁰"), =HYPERLINK("CSG0.html#group9B0", "9B⁰"), =HYPERLINK("CSG3.html#group45D3", "45D³"), =HYPERLINK("CSG7.html#group45C7", "45C⁷"), =HYPERLINK("CSG0.html#group1A0", "1A⁰"), =HYPERLINK("CSG1.html#group15C1", "15C¹"), =HYPERLINK("CSG3.html#group15A3", "15A³"), =HYPERLINK("CSG1.html#group15B1", "15B¹"), =HYPERLINK("CSG0.html#group5E0", "5E⁰"), =HYPERLINK("CSG2.html#group15C2", "15C²"), =HYPERLINK("CSG4.html#group45A4", "45A⁴"), =HYPERLINK("CSG0.html#group5C0", "5C⁰"), =HYPERLINK("CSG5.html#group15B5", "15B⁵"), =HYPERLINK("CSG0.html#group5G0", "5G⁰")</f>
        <v/>
      </c>
      <c r="N5621" t="inlineStr"/>
    </row>
    <row r="5622">
      <c r="A5622" t="inlineStr">
        <is>
          <t>45I¹⁹</t>
        </is>
      </c>
      <c r="B5622" t="inlineStr"/>
      <c r="C5622" t="inlineStr">
        <is>
          <t>432</t>
        </is>
      </c>
      <c r="D5622" t="inlineStr">
        <is>
          <t>2</t>
        </is>
      </c>
      <c r="E5622" t="inlineStr">
        <is>
          <t>108</t>
        </is>
      </c>
      <c r="F5622" t="inlineStr">
        <is>
          <t>8</t>
        </is>
      </c>
      <c r="G5622" t="inlineStr">
        <is>
          <t>0</t>
        </is>
      </c>
      <c r="H5622" t="inlineStr">
        <is>
          <t>3¹², 9⁴, 15¹², 45⁴</t>
        </is>
      </c>
      <c r="I5622" t="n">
        <v>32</v>
      </c>
      <c r="J5622" t="inlineStr">
        <is>
          <t>2⁶, 6¹⁰, 8³, 24⁵</t>
        </is>
      </c>
      <c r="K5622">
        <f>HYPERLINK("CSG3.html#group15I3", "15I³"), =HYPERLINK("CSG9.html#group45F9", "45F⁹")</f>
        <v/>
      </c>
      <c r="L5622" t="inlineStr"/>
      <c r="M5622">
        <f>HYPERLINK("CSG0.html#group15B0", "15B⁰"), =HYPERLINK("CSG9.html#group45F9", "45F⁹"), =HYPERLINK("CSG5.html#group45G5", "45G⁵"), =HYPERLINK("CSG0.html#group5B0", "5B⁰"), =HYPERLINK("CSG0.html#group3C0", "3C⁰"), =HYPERLINK("CSG0.html#group15C0", "15C⁰"), =HYPERLINK("CSG0.html#group9E0", "9E⁰"), =HYPERLINK("CSG0.html#group3A0", "3A⁰"), =HYPERLINK("CSG1.html#group15H1", "15H¹"), =HYPERLINK("CSG0.html#group1A0", "1A⁰"), =HYPERLINK("CSG3.html#group15I3", "15I³"), =HYPERLINK("CSG1.html#group15E1", "15E¹")</f>
        <v/>
      </c>
      <c r="N5622" t="inlineStr"/>
    </row>
    <row r="5623">
      <c r="A5623" t="inlineStr">
        <is>
          <t>48A¹⁹</t>
        </is>
      </c>
      <c r="B5623" t="inlineStr"/>
      <c r="C5623" t="inlineStr">
        <is>
          <t>288</t>
        </is>
      </c>
      <c r="D5623" t="inlineStr">
        <is>
          <t>1</t>
        </is>
      </c>
      <c r="E5623" t="inlineStr">
        <is>
          <t>3</t>
        </is>
      </c>
      <c r="F5623" t="inlineStr">
        <is>
          <t>0</t>
        </is>
      </c>
      <c r="G5623" t="inlineStr">
        <is>
          <t>0</t>
        </is>
      </c>
      <c r="H5623" t="inlineStr">
        <is>
          <t>12⁸, 48⁴</t>
        </is>
      </c>
      <c r="I5623" t="n">
        <v>12</v>
      </c>
      <c r="J5623" t="inlineStr">
        <is>
          <t>1³</t>
        </is>
      </c>
      <c r="K5623">
        <f>HYPERLINK("CSG3.html#group16H3", "16H³"), =HYPERLINK("CSG7.html#group48O7", "48O⁷"), =HYPERLINK("CSG9.html#group24C9", "24C⁹"), =HYPERLINK("CSG9.html#group48A9", "48A⁹")</f>
        <v/>
      </c>
      <c r="L5623" t="inlineStr"/>
      <c r="M5623">
        <f>HYPERLINK("CSG0.html#group2A0", "2A⁰"), =HYPERLINK("CSG3.html#group24A3", "24A³"), =HYPERLINK("CSG0.html#group12C0", "12C⁰"), =HYPERLINK("CSG0.html#group4C0", "4C⁰"), =HYPERLINK("CSG1.html#group6C1", "6C¹"), =HYPERLINK("CSG2.html#group12B2", "12B²"), =HYPERLINK("CSG5.html#group24A5", "24A⁵"), =HYPERLINK("CSG1.html#group16A1", "16A¹"), =HYPERLINK("CSG0.html#group2B0", "2B⁰"), =HYPERLINK("CSG0.html#group8C0", "8C⁰"), =HYPERLINK("CSG0.html#group4E0", "4E⁰"), =HYPERLINK("CSG0.html#group4G0", "4G⁰"), =HYPERLINK("CSG0.html#group4B0", "4B⁰"), =HYPERLINK("CSG1.html#group8F1", "8F¹"), =HYPERLINK("CSG0.html#group1A0", "1A⁰"), =HYPERLINK("CSG4.html#group12A4", "12A⁴"), =HYPERLINK("CSG2.html#group24B2", "24B²"), =HYPERLINK("CSG0.html#group24A0", "24A⁰"), =HYPERLINK("CSG0.html#group8G0", "8G⁰"), =HYPERLINK("CSG0.html#group16C0", "16C⁰"), =HYPERLINK("CSG0.html#group4D0", "4D⁰"), =HYPERLINK("CSG2.html#group12A2", "12A²"), =HYPERLINK("CSG1.html#group12B1", "12B¹"), =HYPERLINK("CSG1.html#group6A1", "6A¹"), =HYPERLINK("CSG0.html#group3A0", "3A⁰"), =HYPERLINK("CSG1.html#group16H1", "16H¹"), =HYPERLINK("CSG5.html#group48A5", "48A⁵"), =HYPERLINK("CSG1.html#group8A1", "8A¹"), =HYPERLINK("CSG0.html#group8D0", "8D⁰"), =HYPERLINK("CSG1.html#group16E1", "16E¹"), =HYPERLINK("CSG1.html#group12E1", "12E¹"), =HYPERLINK("CSG0.html#group8B0", "8B⁰"), =HYPERLINK("CSG1.html#group8B1", "8B¹"), =HYPERLINK("CSG2.html#group24L2", "24L²"), =HYPERLINK("CSG4.html#group24D4", "24D⁴"), =HYPERLINK("CSG3.html#group16H3", "16H³"), =HYPERLINK("CSG4.html#group48B4", "48B⁴"), =HYPERLINK("CSG0.html#group8H0", "8H⁰"), =HYPERLINK("CSG9.html#group48A9", "48A⁹"), =HYPERLINK("CSG0.html#group12A0", "12A⁰"), =HYPERLINK("CSG1.html#group8C1", "8C¹"), =HYPERLINK("CSG0.html#group6A0", "6A⁰"), =HYPERLINK("CSG0.html#group4A0", "4A⁰"), =HYPERLINK("CSG1.html#group24C1", "24C¹"), =HYPERLINK("CSG1.html#group12J1", "12J¹"), =HYPERLINK("CSG0.html#group4F0", "4F⁰"), =HYPERLINK("CSG9.html#group24C9", "24C⁹"), =HYPERLINK("CSG7.html#group48O7", "48O⁷"), =HYPERLINK("CSG0.html#group2C0", "2C⁰"), =HYPERLINK("CSG0.html#group6D0", "6D⁰"), =HYPERLINK("CSG5.html#group24B5", "24B⁵")</f>
        <v/>
      </c>
      <c r="N5623" t="inlineStr"/>
    </row>
    <row r="5624">
      <c r="A5624" t="inlineStr">
        <is>
          <t>48B¹⁹</t>
        </is>
      </c>
      <c r="B5624" t="inlineStr"/>
      <c r="C5624" t="inlineStr">
        <is>
          <t>288</t>
        </is>
      </c>
      <c r="D5624" t="inlineStr">
        <is>
          <t>1</t>
        </is>
      </c>
      <c r="E5624" t="inlineStr">
        <is>
          <t>3</t>
        </is>
      </c>
      <c r="F5624" t="inlineStr">
        <is>
          <t>0</t>
        </is>
      </c>
      <c r="G5624" t="inlineStr">
        <is>
          <t>0</t>
        </is>
      </c>
      <c r="H5624" t="inlineStr">
        <is>
          <t>12⁸, 48⁴</t>
        </is>
      </c>
      <c r="I5624" t="n">
        <v>12</v>
      </c>
      <c r="J5624" t="inlineStr">
        <is>
          <t>1³</t>
        </is>
      </c>
      <c r="K5624">
        <f>HYPERLINK("CSG3.html#group16I3", "16I³"), =HYPERLINK("CSG7.html#group48P7", "48P⁷"), =HYPERLINK("CSG8.html#group48C8", "48C⁸"), =HYPERLINK("CSG9.html#group24C9", "24C⁹"), =HYPERLINK("CSG10.html#group48A10", "48A¹⁰"), =HYPERLINK("CSG10.html#group48C10", "48C¹⁰")</f>
        <v/>
      </c>
      <c r="L5624" t="inlineStr"/>
      <c r="M5624">
        <f>HYPERLINK("CSG0.html#group2A0", "2A⁰"), =HYPERLINK("CSG0.html#group16G0", "16G⁰"), =HYPERLINK("CSG10.html#group48A10", "48A¹⁰"), =HYPERLINK("CSG3.html#group24A3", "24A³"), =HYPERLINK("CSG0.html#group12C0", "12C⁰"), =HYPERLINK("CSG1.html#group16I1", "16I¹"), =HYPERLINK("CSG1.html#group6C1", "6C¹"), =HYPERLINK("CSG7.html#group48P7", "48P⁷"), =HYPERLINK("CSG0.html#group4C0", "4C⁰"), =HYPERLINK("CSG2.html#group12B2", "12B²"), =HYPERLINK("CSG5.html#group24A5", "24A⁵"),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=HYPERLINK("CSG4.html#group12A4", "12A⁴"), =HYPERLINK("CSG2.html#group24B2", "24B²"), =HYPERLINK("CSG0.html#group16E0", "16E⁰"), =HYPERLINK("CSG4.html#group48E4", "48E⁴"), =HYPERLINK("CSG0.html#group24A0", "24A⁰"), =HYPERLINK("CSG0.html#group8G0", "8G⁰"), =HYPERLINK("CSG0.html#group4D0", "4D⁰"), =HYPERLINK("CSG2.html#group12A2", "12A²"), =HYPERLINK("CSG1.html#group12B1", "12B¹"), =HYPERLINK("CSG1.html#group6A1", "6A¹"), =HYPERLINK("CSG3.html#group48D3", "48D³"), =HYPERLINK("CSG0.html#group3A0", "3A⁰"), =HYPERLINK("CSG4.html#group48D4", "48D⁴"), =HYPERLINK("CSG2.html#group16D2", "16D²"), =HYPERLINK("CSG1.html#group8A1", "8A¹"), =HYPERLINK("CSG2.html#group16C2", "16C²"), =HYPERLINK("CSG0.html#group8D0", "8D⁰"), =HYPERLINK("CSG1.html#group12E1", "12E¹"), =HYPERLINK("CSG0.html#group8B0", "8B⁰"), =HYPERLINK("CSG1.html#group8B1", "8B¹"), =HYPERLINK("CSG2.html#group24L2", "24L²"), =HYPERLINK("CSG3.html#group16I3", "16I³"), =HYPERLINK("CSG4.html#group24D4", "24D⁴"), =HYPERLINK("CSG0.html#group8H0", "8H⁰"), =HYPERLINK("CSG0.html#group12A0", "12A⁰"), =HYPERLINK("CSG1.html#group8C1", "8C¹"), =HYPERLINK("CSG0.html#group6A0", "6A⁰"), =HYPERLINK("CSG9.html#group24C9", "24C⁹"), =HYPERLINK("CSG0.html#group4A0", "4A⁰"), =HYPERLINK("CSG1.html#group16C1", "16C¹"), =HYPERLINK("CSG0.html#group16D0", "16D⁰"), =HYPERLINK("CSG8.html#group48C8", "48C⁸"), =HYPERLINK("CSG1.html#group24C1", "24C¹"), =HYPERLINK("CSG1.html#group12J1", "12J¹"), =HYPERLINK("CSG0.html#group4F0", "4F⁰"), =HYPERLINK("CSG10.html#group48C10", "48C¹⁰"), =HYPERLINK("CSG0.html#group2C0", "2C⁰"), =HYPERLINK("CSG0.html#group6D0", "6D⁰"), =HYPERLINK("CSG5.html#group24B5", "24B⁵")</f>
        <v/>
      </c>
      <c r="N5624" t="inlineStr"/>
    </row>
    <row r="5625">
      <c r="A5625" t="inlineStr">
        <is>
          <t>48C¹⁹</t>
        </is>
      </c>
      <c r="B5625" t="inlineStr"/>
      <c r="C5625" t="inlineStr">
        <is>
          <t>288</t>
        </is>
      </c>
      <c r="D5625" t="inlineStr">
        <is>
          <t>1</t>
        </is>
      </c>
      <c r="E5625" t="inlineStr">
        <is>
          <t>6</t>
        </is>
      </c>
      <c r="F5625" t="inlineStr">
        <is>
          <t>0</t>
        </is>
      </c>
      <c r="G5625" t="inlineStr">
        <is>
          <t>0</t>
        </is>
      </c>
      <c r="H5625" t="inlineStr">
        <is>
          <t>12⁸, 48⁴</t>
        </is>
      </c>
      <c r="I5625" t="n">
        <v>12</v>
      </c>
      <c r="J5625" t="inlineStr">
        <is>
          <t>1⁴, 2¹</t>
        </is>
      </c>
      <c r="K5625">
        <f>HYPERLINK("CSG3.html#group16J3", "16J³"), =HYPERLINK("CSG8.html#group24B8", "24B⁸"), =HYPERLINK("CSG9.html#group48A9", "48A⁹"), =HYPERLINK("CSG10.html#group48A10", "48A¹⁰")</f>
        <v/>
      </c>
      <c r="L5625" t="inlineStr"/>
      <c r="M5625">
        <f>HYPERLINK("CSG0.html#group2A0", "2A⁰"), =HYPERLINK("CSG10.html#group48A10", "48A¹⁰"), =HYPERLINK("CSG0.html#group12C0", "12C⁰"), =HYPERLINK("CSG0.html#group4C0", "4C⁰"), =HYPERLINK("CSG1.html#group6C1", "6C¹"), =HYPERLINK("CSG2.html#group12B2", "12B²"), =HYPERLINK("CSG1.html#group16A1", "16A¹"), =HYPERLINK("CSG0.html#group8C0", "8C⁰"), =HYPERLINK("CSG0.html#group4E0", "4E⁰"), =HYPERLINK("CSG0.html#group2B0", "2B⁰"), =HYPERLINK("CSG3.html#group16J3", "16J³"), =HYPERLINK("CSG0.html#group4B0", "4B⁰"), =HYPERLINK("CSG0.html#group1A0", "1A⁰"), =HYPERLINK("CSG2.html#group24B2", "24B²"), =HYPERLINK("CSG4.html#group48E4", "48E⁴"), =HYPERLINK("CSG0.html#group8G0", "8G⁰"), =HYPERLINK("CSG0.html#group16C0", "16C⁰"), =HYPERLINK("CSG1.html#group12B1", "12B¹"), =HYPERLINK("CSG1.html#group6A1", "6A¹"), =HYPERLINK("CSG0.html#group3A0", "3A⁰"), =HYPERLINK("CSG5.html#group48A5", "48A⁵"), =HYPERLINK("CSG4.html#group24F4", "24F⁴"), =HYPERLINK("CSG2.html#group16C2", "16C²"), =HYPERLINK("CSG0.html#group8D0", "8D⁰"), =HYPERLINK("CSG1.html#group16E1", "16E¹"), =HYPERLINK("CSG8.html#group24B8", "24B⁸"), =HYPERLINK("CSG0.html#group8I0", "8I⁰"), =HYPERLINK("CSG4.html#group24D4", "24D⁴"), =HYPERLINK("CSG4.html#group48B4", "48B⁴"), =HYPERLINK("CSG9.html#group48A9", "48A⁹"), =HYPERLINK("CSG0.html#group6A0", "6A⁰"), =HYPERLINK("CSG1.html#group16C1", "16C¹"), =HYPERLINK("CSG1.html#group24C1", "24C¹"), =HYPERLINK("CSG0.html#group8J0", "8J⁰"), =HYPERLINK("CSG0.html#group2C0", "2C⁰"), =HYPERLINK("CSG0.html#group6D0", "6D⁰"), =HYPERLINK("CSG4.html#group24G4", "24G⁴"), =HYPERLINK("CSG0.html#group8O0", "8O⁰")</f>
        <v/>
      </c>
      <c r="N5625" t="inlineStr"/>
    </row>
    <row r="5626">
      <c r="A5626" t="inlineStr">
        <is>
          <t>48D¹⁹</t>
        </is>
      </c>
      <c r="B5626" t="inlineStr"/>
      <c r="C5626" t="inlineStr">
        <is>
          <t>288</t>
        </is>
      </c>
      <c r="D5626" t="inlineStr">
        <is>
          <t>1</t>
        </is>
      </c>
      <c r="E5626" t="inlineStr">
        <is>
          <t>9</t>
        </is>
      </c>
      <c r="F5626" t="inlineStr">
        <is>
          <t>0</t>
        </is>
      </c>
      <c r="G5626" t="inlineStr">
        <is>
          <t>0</t>
        </is>
      </c>
      <c r="H5626" t="inlineStr">
        <is>
          <t>12⁸, 48⁴</t>
        </is>
      </c>
      <c r="I5626" t="n">
        <v>12</v>
      </c>
      <c r="J5626" t="inlineStr">
        <is>
          <t>1³, 2³</t>
        </is>
      </c>
      <c r="K5626">
        <f>HYPERLINK("CSG7.html#group48AB7", "48AB⁷"), =HYPERLINK("CSG9.html#group24C9", "24C⁹"), =HYPERLINK("CSG9.html#group48E9", "48E⁹")</f>
        <v/>
      </c>
      <c r="L5626" t="inlineStr"/>
      <c r="M5626">
        <f>HYPERLINK("CSG0.html#group2A0", "2A⁰"), =HYPERLINK("CSG3.html#group24A3", "24A³"), =HYPERLINK("CSG0.html#group12C0", "12C⁰"), =HYPERLINK("CSG0.html#group4C0", "4C⁰"), =HYPERLINK("CSG1.html#group6C1", "6C¹"), =HYPERLINK("CSG4.html#group48F4", "48F⁴"), =HYPERLINK("CSG2.html#group12B2", "12B²"), =HYPERLINK("CSG5.html#group24A5", "24A⁵"), =HYPERLINK("CSG0.html#group4G0", "4G⁰"), =HYPERLINK("CSG0.html#group2B0", "2B⁰"), =HYPERLINK("CSG0.html#group8C0", "8C⁰"), =HYPERLINK("CSG0.html#group4E0", "4E⁰"), =HYPERLINK("CSG0.html#group4B0", "4B⁰"), =HYPERLINK("CSG1.html#group8F1", "8F¹"), =HYPERLINK("CSG0.html#group1A0", "1A⁰"), =HYPERLINK("CSG4.html#group12A4", "12A⁴"), =HYPERLINK("CSG2.html#group24B2", "24B²"), =HYPERLINK("CSG0.html#group24A0", "24A⁰"), =HYPERLINK("CSG0.html#group8G0", "8G⁰"), =HYPERLINK("CSG0.html#group4D0", "4D⁰"), =HYPERLINK("CSG2.html#group12A2", "12A²"), =HYPERLINK("CSG1.html#group12B1", "12B¹"), =HYPERLINK("CSG1.html#group6A1", "6A¹"), =HYPERLINK("CSG0.html#group3A0", "3A⁰"), =HYPERLINK("CSG5.html#group48B5", "48B⁵"), =HYPERLINK("CSG9.html#group48E9", "48E⁹"), =HYPERLINK("CSG1.html#group8A1", "8A¹"), =HYPERLINK("CSG0.html#group8D0", "8D⁰"), =HYPERLINK("CSG1.html#group12E1", "12E¹"), =HYPERLINK("CSG0.html#group8B0", "8B⁰"), =HYPERLINK("CSG1.html#group8B1", "8B¹"), =HYPERLINK("CSG2.html#group24L2", "24L²"), =HYPERLINK("CSG4.html#group24D4", "24D⁴"), =HYPERLINK("CSG0.html#group8H0", "8H⁰"), =HYPERLINK("CSG7.html#group48AB7", "48AB⁷"), =HYPERLINK("CSG0.html#group12A0", "12A⁰"), =HYPERLINK("CSG1.html#group8C1", "8C¹"), =HYPERLINK("CSG0.html#group6A0", "6A⁰"), =HYPERLINK("CSG0.html#group4A0", "4A⁰"), =HYPERLINK("CSG1.html#group24C1", "24C¹"), =HYPERLINK("CSG1.html#group12J1", "12J¹"), =HYPERLINK("CSG0.html#group4F0", "4F⁰"), =HYPERLINK("CSG9.html#group24C9", "24C⁹"), =HYPERLINK("CSG0.html#group2C0", "2C⁰"), =HYPERLINK("CSG0.html#group6D0", "6D⁰"), =HYPERLINK("CSG5.html#group24B5", "24B⁵")</f>
        <v/>
      </c>
      <c r="N5626" t="inlineStr"/>
    </row>
    <row r="5627">
      <c r="A5627" t="inlineStr">
        <is>
          <t>48E¹⁹</t>
        </is>
      </c>
      <c r="B5627" t="inlineStr"/>
      <c r="C5627" t="inlineStr">
        <is>
          <t>288</t>
        </is>
      </c>
      <c r="D5627" t="inlineStr">
        <is>
          <t>1</t>
        </is>
      </c>
      <c r="E5627" t="inlineStr">
        <is>
          <t>9</t>
        </is>
      </c>
      <c r="F5627" t="inlineStr">
        <is>
          <t>0</t>
        </is>
      </c>
      <c r="G5627" t="inlineStr">
        <is>
          <t>0</t>
        </is>
      </c>
      <c r="H5627" t="inlineStr">
        <is>
          <t>12⁸, 48⁴</t>
        </is>
      </c>
      <c r="I5627" t="n">
        <v>12</v>
      </c>
      <c r="J5627" t="inlineStr">
        <is>
          <t>1³, 2³</t>
        </is>
      </c>
      <c r="K5627">
        <f>HYPERLINK("CSG7.html#group24J7", "24J⁷"), =HYPERLINK("CSG8.html#group48N8", "48N⁸"), =HYPERLINK("CSG9.html#group48R9", "48R⁹"), =HYPERLINK("CSG10.html#group48B10", "48B¹⁰")</f>
        <v/>
      </c>
      <c r="L5627" t="inlineStr"/>
      <c r="M5627">
        <f>HYPERLINK("CSG0.html#group2A0", "2A⁰"), =HYPERLINK("CSG2.html#group24O2", "24O²"), =HYPERLINK("CSG1.html#group24E1", "24E¹"), =HYPERLINK("CSG0.html#group12C0", "12C⁰"), =HYPERLINK("CSG1.html#group12K1", "12K¹"), =HYPERLINK("CSG2.html#group12D2", "12D²"), =HYPERLINK("CSG0.html#group4C0", "4C⁰"), =HYPERLINK("CSG1.html#group6C1", "6C¹"), =HYPERLINK("CSG2.html#group12B2", "12B²"), =HYPERLINK("CSG0.html#group6G0", "6G⁰"), =HYPERLINK("CSG2.html#group12E2", "12E²"), =HYPERLINK("CSG7.html#group24J7", "24J⁷"), =HYPERLINK("CSG0.html#group2B0", "2B⁰"), =HYPERLINK("CSG0.html#group4E0", "4E⁰"), =HYPERLINK("CSG0.html#group8C0", "8C⁰"), =HYPERLINK("CSG0.html#group4B0", "4B⁰"), =HYPERLINK("CSG3.html#group12G3", "12G³"), =HYPERLINK("CSG0.html#group1A0", "1A⁰"), =HYPERLINK("CSG3.html#group24O3", "24O³"), =HYPERLINK("CSG2.html#group24B2", "24B²"), =HYPERLINK("CSG1.html#group6B1", "6B¹"), =HYPERLINK("CSG0.html#group8G0", "8G⁰"), =HYPERLINK("CSG2.html#group24D2", "24D²"), =HYPERLINK("CSG0.html#group3C0", "3C⁰"), =HYPERLINK("CSG1.html#group12B1", "12B¹"), =HYPERLINK("CSG8.html#group48N8", "48N⁸"), =HYPERLINK("CSG1.html#group6A1", "6A¹"), =HYPERLINK("CSG0.html#group6H0", "6H⁰"), =HYPERLINK("CSG0.html#group3A0", "3A⁰"), =HYPERLINK("CSG9.html#group48R9", "48R⁹"), =HYPERLINK("CSG1.html#group6E1", "6E¹"), =HYPERLINK("CSG0.html#group6B0", "6B⁰"), =HYPERLINK("CSG4.html#group48H4", "48H⁴"), =HYPERLINK("CSG0.html#group8D0", "8D⁰"), =HYPERLINK("CSG4.html#group24J4", "24J⁴"), =HYPERLINK("CSG10.html#group48B10", "48B¹⁰"), =HYPERLINK("CSG1.html#group12L1", "12L¹"), =HYPERLINK("CSG4.html#group24D4", "24D⁴"), =HYPERLINK("CSG0.html#group6A0", "6A⁰"), =HYPERLINK("CSG1.html#group12C1", "12C¹"), =HYPERLINK("CSG1.html#group24C1", "24C¹"), =HYPERLINK("CSG4.html#group24E4", "24E⁴"), =HYPERLINK("CSG0.html#group12D0", "12D⁰"), =HYPERLINK("CSG0.html#group12H0", "12H⁰"), =HYPERLINK("CSG3.html#group24L3", "24L³"), =HYPERLINK("CSG0.html#group2C0", "2C⁰"), =HYPERLINK("CSG0.html#group6D0", "6D⁰")</f>
        <v/>
      </c>
      <c r="N5627" t="inlineStr"/>
    </row>
    <row r="5628">
      <c r="A5628" t="inlineStr">
        <is>
          <t>48F¹⁹</t>
        </is>
      </c>
      <c r="B5628" t="inlineStr"/>
      <c r="C5628" t="inlineStr">
        <is>
          <t>288</t>
        </is>
      </c>
      <c r="D5628" t="inlineStr">
        <is>
          <t>1</t>
        </is>
      </c>
      <c r="E5628" t="inlineStr">
        <is>
          <t>9</t>
        </is>
      </c>
      <c r="F5628" t="inlineStr">
        <is>
          <t>0</t>
        </is>
      </c>
      <c r="G5628" t="inlineStr">
        <is>
          <t>0</t>
        </is>
      </c>
      <c r="H5628" t="inlineStr">
        <is>
          <t>12⁸, 48⁴</t>
        </is>
      </c>
      <c r="I5628" t="n">
        <v>12</v>
      </c>
      <c r="J5628" t="inlineStr">
        <is>
          <t>1³, 2³</t>
        </is>
      </c>
      <c r="K5628">
        <f>HYPERLINK("CSG7.html#group24J7", "24J⁷"), =HYPERLINK("CSG8.html#group48O8", "48O⁸"), =HYPERLINK("CSG9.html#group48S9", "48S⁹"), =HYPERLINK("CSG10.html#group48A10", "48A¹⁰"), =HYPERLINK("CSG10.html#group48B10", "48B¹⁰")</f>
        <v/>
      </c>
      <c r="L5628" t="inlineStr"/>
      <c r="M5628">
        <f>HYPERLINK("CSG0.html#group2A0", "2A⁰"), =HYPERLINK("CSG1.html#group24E1", "24E¹"), =HYPERLINK("CSG10.html#group48A10", "48A¹⁰"), =HYPERLINK("CSG2.html#group24O2", "24O²"), =HYPERLINK("CSG0.html#group12C0", "12C⁰"), =HYPERLINK("CSG1.html#group12K1", "12K¹"), =HYPERLINK("CSG2.html#group12D2", "12D²"), =HYPERLINK("CSG8.html#group48O8", "48O⁸"), =HYPERLINK("CSG1.html#group6C1", "6C¹"), =HYPERLINK("CSG0.html#group4C0", "4C⁰"), =HYPERLINK("CSG2.html#group12B2", "12B²"), =HYPERLINK("CSG0.html#group6G0", "6G⁰"), =HYPERLINK("CSG7.html#group24J7", "24J⁷"), =HYPERLINK("CSG0.html#group2B0", "2B⁰"), =HYPERLINK("CSG0.html#group4E0", "4E⁰"), =HYPERLINK("CSG0.html#group8C0", "8C⁰"), =HYPERLINK("CSG2.html#group12E2", "12E²"), =HYPERLINK("CSG0.html#group4B0", "4B⁰"), =HYPERLINK("CSG3.html#group12G3", "12G³"), =HYPERLINK("CSG0.html#group1A0", "1A⁰"), =HYPERLINK("CSG3.html#group24O3", "24O³"), =HYPERLINK("CSG2.html#group24B2", "24B²"), =HYPERLINK("CSG4.html#group48E4", "48E⁴"), =HYPERLINK("CSG1.html#group6B1", "6B¹"), =HYPERLINK("CSG0.html#group8G0", "8G⁰"), =HYPERLINK("CSG9.html#group48S9", "48S⁹"), =HYPERLINK("CSG2.html#group24D2", "24D²"), =HYPERLINK("CSG0.html#group3C0", "3C⁰"), =HYPERLINK("CSG1.html#group12B1", "12B¹"), =HYPERLINK("CSG1.html#group6A1", "6A¹"), =HYPERLINK("CSG0.html#group6H0", "6H⁰"), =HYPERLINK("CSG0.html#group3A0", "3A⁰"), =HYPERLINK("CSG1.html#group6E1", "6E¹"), =HYPERLINK("CSG0.html#group6B0", "6B⁰"), =HYPERLINK("CSG2.html#group16C2", "16C²"), =HYPERLINK("CSG0.html#group8D0", "8D⁰"), =HYPERLINK("CSG4.html#group48H4", "48H⁴"), =HYPERLINK("CSG4.html#group24J4", "24J⁴"), =HYPERLINK("CSG10.html#group48B10", "48B¹⁰"), =HYPERLINK("CSG1.html#group12L1", "12L¹"), =HYPERLINK("CSG4.html#group24D4", "24D⁴"), =HYPERLINK("CSG0.html#group6A0", "6A⁰"), =HYPERLINK("CSG1.html#group12C1", "12C¹"), =HYPERLINK("CSG1.html#group16C1", "16C¹"), =HYPERLINK("CSG1.html#group24C1", "24C¹"), =HYPERLINK("CSG4.html#group24E4", "24E⁴"), =HYPERLINK("CSG0.html#group12D0", "12D⁰"), =HYPERLINK("CSG0.html#group12H0", "12H⁰"), =HYPERLINK("CSG3.html#group24L3", "24L³"), =HYPERLINK("CSG0.html#group2C0", "2C⁰"), =HYPERLINK("CSG0.html#group6D0", "6D⁰")</f>
        <v/>
      </c>
      <c r="N5628" t="inlineStr"/>
    </row>
    <row r="5629">
      <c r="A5629" t="inlineStr">
        <is>
          <t>48G¹⁹</t>
        </is>
      </c>
      <c r="B5629" t="inlineStr"/>
      <c r="C5629" t="inlineStr">
        <is>
          <t>288</t>
        </is>
      </c>
      <c r="D5629" t="inlineStr">
        <is>
          <t>1</t>
        </is>
      </c>
      <c r="E5629" t="inlineStr">
        <is>
          <t>9</t>
        </is>
      </c>
      <c r="F5629" t="inlineStr">
        <is>
          <t>0</t>
        </is>
      </c>
      <c r="G5629" t="inlineStr">
        <is>
          <t>0</t>
        </is>
      </c>
      <c r="H5629" t="inlineStr">
        <is>
          <t>12⁸, 48⁴</t>
        </is>
      </c>
      <c r="I5629" t="n">
        <v>12</v>
      </c>
      <c r="J5629" t="inlineStr">
        <is>
          <t>1³, 2³</t>
        </is>
      </c>
      <c r="K5629">
        <f>HYPERLINK("CSG7.html#group48AC7", "48AC⁷"), =HYPERLINK("CSG8.html#group48D8", "48D⁸"), =HYPERLINK("CSG9.html#group24C9", "24C⁹"), =HYPERLINK("CSG10.html#group48B10", "48B¹⁰"), =HYPERLINK("CSG10.html#group48D10", "48D¹⁰")</f>
        <v/>
      </c>
      <c r="L5629" t="inlineStr"/>
      <c r="M5629">
        <f>HYPERLINK("CSG0.html#group2A0", "2A⁰"), =HYPERLINK("CSG3.html#group24A3", "24A³"), =HYPERLINK("CSG0.html#group12C0", "12C⁰"), =HYPERLINK("CSG3.html#group48G3", "48G³"), =HYPERLINK("CSG7.html#group48AC7", "48AC⁷"), =HYPERLINK("CSG0.html#group4C0", "4C⁰"), =HYPERLINK("CSG1.html#group6C1", "6C¹"), =HYPERLINK("CSG2.html#group12B2", "12B²"), =HYPERLINK("CSG10.html#group48D10", "48D¹⁰"), =HYPERLINK("CSG5.html#group24A5", "24A⁵"), =HYPERLINK("CSG0.html#group4G0", "4G⁰"), =HYPERLINK("CSG0.html#group2B0", "2B⁰"), =HYPERLINK("CSG0.html#group8C0", "8C⁰"), =HYPERLINK("CSG0.html#group4E0", "4E⁰"), =HYPERLINK("CSG0.html#group4B0", "4B⁰"), =HYPERLINK("CSG1.html#group8F1", "8F¹"), =HYPERLINK("CSG0.html#group1A0", "1A⁰"), =HYPERLINK("CSG4.html#group12A4", "12A⁴"), =HYPERLINK("CSG2.html#group24B2", "24B²"), =HYPERLINK("CSG0.html#group24A0", "24A⁰"), =HYPERLINK("CSG0.html#group8G0", "8G⁰"), =HYPERLINK("CSG0.html#group4D0", "4D⁰"), =HYPERLINK("CSG2.html#group12A2", "12A²"), =HYPERLINK("CSG1.html#group12B1", "12B¹"), =HYPERLINK("CSG1.html#group6A1", "6A¹"), =HYPERLINK("CSG0.html#group3A0", "3A⁰"), =HYPERLINK("CSG1.html#group8A1", "8A¹"), =HYPERLINK("CSG4.html#group48H4", "48H⁴"), =HYPERLINK("CSG0.html#group8D0", "8D⁰"), =HYPERLINK("CSG1.html#group12E1", "12E¹"), =HYPERLINK("CSG0.html#group8B0", "8B⁰"), =HYPERLINK("CSG1.html#group8B1", "8B¹"), =HYPERLINK("CSG2.html#group24L2", "24L²"), =HYPERLINK("CSG10.html#group48B10", "48B¹⁰"), =HYPERLINK("CSG4.html#group24D4", "24D⁴"), =HYPERLINK("CSG4.html#group48G4", "48G⁴"), =HYPERLINK("CSG0.html#group8H0", "8H⁰"), =HYPERLINK("CSG0.html#group12A0", "12A⁰"), =HYPERLINK("CSG1.html#group8C1", "8C¹"), =HYPERLINK("CSG0.html#group6A0", "6A⁰"), =HYPERLINK("CSG0.html#group4A0", "4A⁰"), =HYPERLINK("CSG8.html#group48D8", "48D⁸"), =HYPERLINK("CSG1.html#group24C1", "24C¹"), =HYPERLINK("CSG1.html#group12J1", "12J¹"), =HYPERLINK("CSG0.html#group4F0", "4F⁰"), =HYPERLINK("CSG9.html#group24C9", "24C⁹"), =HYPERLINK("CSG0.html#group2C0", "2C⁰"), =HYPERLINK("CSG0.html#group6D0", "6D⁰"), =HYPERLINK("CSG5.html#group24B5", "24B⁵")</f>
        <v/>
      </c>
      <c r="N5629" t="inlineStr"/>
    </row>
    <row r="5630">
      <c r="A5630" t="inlineStr">
        <is>
          <t>48H¹⁹</t>
        </is>
      </c>
      <c r="B5630" t="inlineStr"/>
      <c r="C5630" t="inlineStr">
        <is>
          <t>288</t>
        </is>
      </c>
      <c r="D5630" t="inlineStr">
        <is>
          <t>1</t>
        </is>
      </c>
      <c r="E5630" t="inlineStr">
        <is>
          <t>9</t>
        </is>
      </c>
      <c r="F5630" t="inlineStr">
        <is>
          <t>0</t>
        </is>
      </c>
      <c r="G5630" t="inlineStr">
        <is>
          <t>0</t>
        </is>
      </c>
      <c r="H5630" t="inlineStr">
        <is>
          <t>12⁸, 48⁴</t>
        </is>
      </c>
      <c r="I5630" t="n">
        <v>12</v>
      </c>
      <c r="J5630" t="inlineStr">
        <is>
          <t>1³, 2³</t>
        </is>
      </c>
      <c r="K5630">
        <f>HYPERLINK("CSG8.html#group48C8", "48C⁸"), =HYPERLINK("CSG8.html#group48P8", "48P⁸"), =HYPERLINK("CSG9.html#group24I9", "24I⁹"), =HYPERLINK("CSG9.html#group48T9", "48T⁹"), =HYPERLINK("CSG10.html#group48B10", "48B¹⁰")</f>
        <v/>
      </c>
      <c r="L5630" t="inlineStr"/>
      <c r="M5630">
        <f>HYPERLINK("CSG3.html#group24Q3", "24Q³"), =HYPERLINK("CSG0.html#group2A0", "2A⁰"), =HYPERLINK("CSG0.html#group16G0", "16G⁰"), =HYPERLINK("CSG0.html#group12C0", "12C⁰"), =HYPERLINK("CSG0.html#group4C0", "4C⁰"), =HYPERLINK("CSG1.html#group6C1", "6C¹"), =HYPERLINK("CSG2.html#group12B2", "12B²"), =HYPERLINK("CSG2.html#group12E2", "12E²"), =HYPERLINK("CSG0.html#group2B0", "2B⁰"), =HYPERLINK("CSG1.html#group12M1", "12M¹"), =HYPERLINK("CSG2.html#group24C2", "24C²"), =HYPERLINK("CSG0.html#group4E0", "4E⁰"), =HYPERLINK("CSG0.html#group8C0", "8C⁰"), =HYPERLINK("CSG0.html#group4B0", "4B⁰"), =HYPERLINK("CSG0.html#group1A0", "1A⁰"), =HYPERLINK("CSG5.html#group24F5", "24F⁵"), =HYPERLINK("CSG0.html#group16E0", "16E⁰"), =HYPERLINK("CSG2.html#group24B2", "24B²"), =HYPERLINK("CSG0.html#group8G0", "8G⁰"), =HYPERLINK("CSG1.html#group12B1", "12B¹"), =HYPERLINK("CSG1.html#group6A1", "6A¹"), =HYPERLINK("CSG3.html#group48D3", "48D³"), =HYPERLINK("CSG0.html#group3A0", "3A⁰"), =HYPERLINK("CSG4.html#group48D4", "48D⁴"), =HYPERLINK("CSG9.html#group48T9", "48T⁹"), =HYPERLINK("CSG4.html#group48H4", "48H⁴"), =HYPERLINK("CSG0.html#group8D0", "8D⁰"), =HYPERLINK("CSG0.html#group2C0", "2C⁰"), =HYPERLINK("CSG1.html#group24D1", "24D¹"), =HYPERLINK("CSG8.html#group48P8", "48P⁸"), =HYPERLINK("CSG10.html#group48B10", "48B¹⁰"), =HYPERLINK("CSG4.html#group24D4", "24D⁴"), =HYPERLINK("CSG0.html#group6A0", "6A⁰"), =HYPERLINK("CSG1.html#group12C1", "12C¹"), =HYPERLINK("CSG9.html#group24I9", "24I⁹"), =HYPERLINK("CSG0.html#group16D0", "16D⁰"), =HYPERLINK("CSG8.html#group48C8", "48C⁸"), =HYPERLINK("CSG1.html#group24C1", "24C¹"), =HYPERLINK("CSG0.html#group12D0", "12D⁰"), =HYPERLINK("CSG4.html#group12C4", "12C⁴"), =HYPERLINK("CSG4.html#group24L4", "24L⁴"), =HYPERLINK("CSG0.html#group6D0", "6D⁰")</f>
        <v/>
      </c>
      <c r="N5630" t="inlineStr"/>
    </row>
    <row r="5631">
      <c r="A5631" t="inlineStr">
        <is>
          <t>48I¹⁹</t>
        </is>
      </c>
      <c r="B5631" t="inlineStr"/>
      <c r="C5631" t="inlineStr">
        <is>
          <t>288</t>
        </is>
      </c>
      <c r="D5631" t="inlineStr">
        <is>
          <t>1</t>
        </is>
      </c>
      <c r="E5631" t="inlineStr">
        <is>
          <t>9</t>
        </is>
      </c>
      <c r="F5631" t="inlineStr">
        <is>
          <t>0</t>
        </is>
      </c>
      <c r="G5631" t="inlineStr">
        <is>
          <t>0</t>
        </is>
      </c>
      <c r="H5631" t="inlineStr">
        <is>
          <t>12⁸, 48⁴</t>
        </is>
      </c>
      <c r="I5631" t="n">
        <v>12</v>
      </c>
      <c r="J5631" t="inlineStr">
        <is>
          <t>1³, 2³</t>
        </is>
      </c>
      <c r="K5631">
        <f>HYPERLINK("CSG8.html#group48D8", "48D⁸"), =HYPERLINK("CSG8.html#group48Q8", "48Q⁸"), =HYPERLINK("CSG9.html#group24I9", "24I⁹"), =HYPERLINK("CSG9.html#group48U9", "48U⁹"), =HYPERLINK("CSG10.html#group48A10", "48A¹⁰")</f>
        <v/>
      </c>
      <c r="L5631" t="inlineStr"/>
      <c r="M5631">
        <f>HYPERLINK("CSG0.html#group2A0", "2A⁰"), =HYPERLINK("CSG3.html#group24Q3", "24Q³"), =HYPERLINK("CSG10.html#group48A10", "48A¹⁰"), =HYPERLINK("CSG0.html#group12C0", "12C⁰"), =HYPERLINK("CSG3.html#group48G3", "48G³"), =HYPERLINK("CSG1.html#group6C1", "6C¹"), =HYPERLINK("CSG0.html#group4C0", "4C⁰"), =HYPERLINK("CSG2.html#group12B2", "12B²"), =HYPERLINK("CSG2.html#group12E2", "12E²"), =HYPERLINK("CSG4.html#group24L4", "24L⁴"), =HYPERLINK("CSG0.html#group2B0", "2B⁰"), =HYPERLINK("CSG0.html#group4E0", "4E⁰"), =HYPERLINK("CSG0.html#group8C0", "8C⁰"), =HYPERLINK("CSG1.html#group12M1", "12M¹"), =HYPERLINK("CSG0.html#group4B0", "4B⁰"), =HYPERLINK("CSG2.html#group24C2", "24C²"), =HYPERLINK("CSG0.html#group1A0", "1A⁰"), =HYPERLINK("CSG5.html#group24F5", "24F⁵"), =HYPERLINK("CSG2.html#group24B2", "24B²"), =HYPERLINK("CSG4.html#group48E4", "48E⁴"), =HYPERLINK("CSG0.html#group8G0", "8G⁰"), =HYPERLINK("CSG1.html#group12B1", "12B¹"), =HYPERLINK("CSG1.html#group6A1", "6A¹"), =HYPERLINK("CSG0.html#group3A0", "3A⁰"), =HYPERLINK("CSG2.html#group16C2", "16C²"), =HYPERLINK("CSG0.html#group8D0", "8D⁰"), =HYPERLINK("CSG1.html#group24D1", "24D¹"), =HYPERLINK("CSG9.html#group48U9", "48U⁹"), =HYPERLINK("CSG8.html#group48Q8", "48Q⁸"), =HYPERLINK("CSG4.html#group24D4", "24D⁴"), =HYPERLINK("CSG4.html#group48G4", "48G⁴"), =HYPERLINK("CSG0.html#group6A0", "6A⁰"), =HYPERLINK("CSG1.html#group12C1", "12C¹"), =HYPERLINK("CSG9.html#group24I9", "24I⁹"), =HYPERLINK("CSG1.html#group16C1", "16C¹"), =HYPERLINK("CSG8.html#group48D8", "48D⁸"), =HYPERLINK("CSG1.html#group24C1", "24C¹"), =HYPERLINK("CSG0.html#group12D0", "12D⁰"), =HYPERLINK("CSG4.html#group12C4", "12C⁴"), =HYPERLINK("CSG0.html#group2C0", "2C⁰"), =HYPERLINK("CSG0.html#group6D0", "6D⁰")</f>
        <v/>
      </c>
      <c r="N5631" t="inlineStr"/>
    </row>
    <row r="5632">
      <c r="A5632" t="inlineStr">
        <is>
          <t>48J¹⁹</t>
        </is>
      </c>
      <c r="B5632" t="inlineStr"/>
      <c r="C5632" t="inlineStr">
        <is>
          <t>288</t>
        </is>
      </c>
      <c r="D5632" t="inlineStr">
        <is>
          <t>1</t>
        </is>
      </c>
      <c r="E5632" t="inlineStr">
        <is>
          <t>12</t>
        </is>
      </c>
      <c r="F5632" t="inlineStr">
        <is>
          <t>0</t>
        </is>
      </c>
      <c r="G5632" t="inlineStr">
        <is>
          <t>0</t>
        </is>
      </c>
      <c r="H5632" t="inlineStr">
        <is>
          <t>12⁸, 48⁴</t>
        </is>
      </c>
      <c r="I5632" t="n">
        <v>12</v>
      </c>
      <c r="J5632" t="inlineStr">
        <is>
          <t>1², 2¹, 4²</t>
        </is>
      </c>
      <c r="K5632">
        <f>HYPERLINK("CSG6.html#group48D6", "48D⁶"), =HYPERLINK("CSG7.html#group24H7", "24H⁷"), =HYPERLINK("CSG9.html#group48R9", "48R⁹"), =HYPERLINK("CSG9.html#group48S9", "48S⁹")</f>
        <v/>
      </c>
      <c r="L5632" t="inlineStr"/>
      <c r="M5632">
        <f>HYPERLINK("CSG0.html#group3B0", "3B⁰"), =HYPERLINK("CSG1.html#group24E1", "24E¹"), =HYPERLINK("CSG0.html#group12C0", "12C⁰"), =HYPERLINK("CSG0.html#group8D0", "8D⁰"), =HYPERLINK("CSG1.html#group12F1", "12F¹"), =HYPERLINK("CSG6.html#group48D6", "48D⁶"), =HYPERLINK("CSG4.html#group48H4", "48H⁴"), =HYPERLINK("CSG0.html#group4C0", "4C⁰"), =HYPERLINK("CSG2.html#group12C2", "12C²"), =HYPERLINK("CSG0.html#group6G0", "6G⁰"), =HYPERLINK("CSG0.html#group2B0", "2B⁰"), =HYPERLINK("CSG0.html#group1A0", "1A⁰"), =HYPERLINK("CSG3.html#group24O3", "24O³"), =HYPERLINK("CSG1.html#group12L1", "12L¹"), =HYPERLINK("CSG4.html#group48E4", "48E⁴"), =HYPERLINK("CSG3.html#group12D3", "12D³"), =HYPERLINK("CSG2.html#group24I2", "24I²"), =HYPERLINK("CSG1.html#group12C1", "12C¹"), =HYPERLINK("CSG3.html#group24N3", "24N³"), =HYPERLINK("CSG9.html#group48S9", "48S⁹"), =HYPERLINK("CSG0.html#group6D0", "6D⁰"), =HYPERLINK("CSG1.html#group16C1", "16C¹"), =HYPERLINK("CSG0.html#group6F0", "6F⁰"), =HYPERLINK("CSG1.html#group24C1", "24C¹"), =HYPERLINK("CSG0.html#group3C0", "3C⁰"), =HYPERLINK("CSG0.html#group6K0", "6K⁰"), =HYPERLINK("CSG0.html#group3A0", "3A⁰"), =HYPERLINK("CSG7.html#group24H7", "24H⁷"), =HYPERLINK("CSG0.html#group3D0", "3D⁰"), =HYPERLINK("CSG9.html#group48R9", "48R⁹")</f>
        <v/>
      </c>
      <c r="N5632" t="inlineStr"/>
    </row>
    <row r="5633">
      <c r="A5633" t="inlineStr">
        <is>
          <t>48K¹⁹</t>
        </is>
      </c>
      <c r="B5633" t="inlineStr"/>
      <c r="C5633" t="inlineStr">
        <is>
          <t>288</t>
        </is>
      </c>
      <c r="D5633" t="inlineStr">
        <is>
          <t>1</t>
        </is>
      </c>
      <c r="E5633" t="inlineStr">
        <is>
          <t>18</t>
        </is>
      </c>
      <c r="F5633" t="inlineStr">
        <is>
          <t>0</t>
        </is>
      </c>
      <c r="G5633" t="inlineStr">
        <is>
          <t>0</t>
        </is>
      </c>
      <c r="H5633" t="inlineStr">
        <is>
          <t>12⁸, 48⁴</t>
        </is>
      </c>
      <c r="I5633" t="n">
        <v>12</v>
      </c>
      <c r="J5633" t="inlineStr">
        <is>
          <t>2³, 4³</t>
        </is>
      </c>
      <c r="K5633">
        <f>HYPERLINK("CSG7.html#group24I7", "24I⁷"), =HYPERLINK("CSG8.html#group48W8", "48W⁸"), =HYPERLINK("CSG10.html#group48E10", "48E¹⁰")</f>
        <v/>
      </c>
      <c r="L5633" t="inlineStr"/>
      <c r="M5633">
        <f>HYPERLINK("CSG4.html#group24I4", "24I⁴"), =HYPERLINK("CSG0.html#group2A0", "2A⁰"), =HYPERLINK("CSG1.html#group24E1", "24E¹"), =HYPERLINK("CSG0.html#group12C0", "12C⁰"), =HYPERLINK("CSG1.html#group12K1", "12K¹"), =HYPERLINK("CSG2.html#group12D2", "12D²"), =HYPERLINK("CSG0.html#group4C0", "4C⁰"), =HYPERLINK("CSG1.html#group6C1", "6C¹"), =HYPERLINK("CSG2.html#group12B2", "12B²"), =HYPERLINK("CSG0.html#group6G0", "6G⁰"), =HYPERLINK("CSG2.html#group12E2", "12E²"), =HYPERLINK("CSG0.html#group2B0", "2B⁰"), =HYPERLINK("CSG0.html#group4E0", "4E⁰"), =HYPERLINK("CSG0.html#group4B0", "4B⁰"), =HYPERLINK("CSG3.html#group12G3", "12G³"), =HYPERLINK("CSG0.html#group1A0", "1A⁰"), =HYPERLINK("CSG1.html#group6B1", "6B¹"), =HYPERLINK("CSG3.html#group24N3", "24N³"), =HYPERLINK("CSG2.html#group24D2", "24D²"), =HYPERLINK("CSG7.html#group24I7", "24I⁷"), =HYPERLINK("CSG0.html#group3C0", "3C⁰"), =HYPERLINK("CSG1.html#group12B1", "12B¹"), =HYPERLINK("CSG3.html#group24K3", "24K³"), =HYPERLINK("CSG1.html#group6A1", "6A¹"), =HYPERLINK("CSG0.html#group6H0", "6H⁰"), =HYPERLINK("CSG0.html#group3A0", "3A⁰"), =HYPERLINK("CSG10.html#group48E10", "48E¹⁰"), =HYPERLINK("CSG1.html#group6E1", "6E¹"), =HYPERLINK("CSG0.html#group6B0", "6B⁰"), =HYPERLINK("CSG2.html#group24N2", "24N²"), =HYPERLINK("CSG8.html#group48W8", "48W⁸"), =HYPERLINK("CSG1.html#group12L1", "12L¹"), =HYPERLINK("CSG1.html#group12C1", "12C¹"), =HYPERLINK("CSG0.html#group6A0", "6A⁰"), =HYPERLINK("CSG4.html#group24E4", "24E⁴"), =HYPERLINK("CSG0.html#group12D0", "12D⁰"), =HYPERLINK("CSG0.html#group12H0", "12H⁰"), =HYPERLINK("CSG0.html#group2C0", "2C⁰"), =HYPERLINK("CSG0.html#group6D0", "6D⁰")</f>
        <v/>
      </c>
      <c r="N5633" t="inlineStr"/>
    </row>
    <row r="5634">
      <c r="A5634" t="inlineStr">
        <is>
          <t>48L¹⁹</t>
        </is>
      </c>
      <c r="B5634" t="inlineStr"/>
      <c r="C5634" t="inlineStr">
        <is>
          <t>288</t>
        </is>
      </c>
      <c r="D5634" t="inlineStr">
        <is>
          <t>1</t>
        </is>
      </c>
      <c r="E5634" t="inlineStr">
        <is>
          <t>18</t>
        </is>
      </c>
      <c r="F5634" t="inlineStr">
        <is>
          <t>0</t>
        </is>
      </c>
      <c r="G5634" t="inlineStr">
        <is>
          <t>0</t>
        </is>
      </c>
      <c r="H5634" t="inlineStr">
        <is>
          <t>12⁸, 48⁴</t>
        </is>
      </c>
      <c r="I5634" t="n">
        <v>12</v>
      </c>
      <c r="J5634" t="inlineStr">
        <is>
          <t>2⁷, 4¹</t>
        </is>
      </c>
      <c r="K5634">
        <f>HYPERLINK("CSG9.html#group24I9", "24I⁹"), =HYPERLINK("CSG9.html#group48E9", "48E⁹")</f>
        <v/>
      </c>
      <c r="L5634" t="inlineStr"/>
      <c r="M5634">
        <f>HYPERLINK("CSG3.html#group24Q3", "24Q³"), =HYPERLINK("CSG0.html#group2A0", "2A⁰"), =HYPERLINK("CSG0.html#group12C0", "12C⁰"), =HYPERLINK("CSG0.html#group4C0", "4C⁰"), =HYPERLINK("CSG1.html#group6C1", "6C¹"), =HYPERLINK("CSG2.html#group12B2", "12B²"), =HYPERLINK("CSG2.html#group12E2", "12E²"), =HYPERLINK("CSG4.html#group24L4", "24L⁴"), =HYPERLINK("CSG4.html#group48F4", "48F⁴"), =HYPERLINK("CSG1.html#group12M1", "12M¹"), =HYPERLINK("CSG0.html#group2B0", "2B⁰"), =HYPERLINK("CSG0.html#group4E0", "4E⁰"), =HYPERLINK("CSG2.html#group24C2", "24C²"), =HYPERLINK("CSG0.html#group4B0", "4B⁰"), =HYPERLINK("CSG0.html#group8C0", "8C⁰"), =HYPERLINK("CSG0.html#group1A0", "1A⁰"), =HYPERLINK("CSG5.html#group24F5", "24F⁵"), =HYPERLINK("CSG2.html#group24B2", "24B²"), =HYPERLINK("CSG0.html#group8G0", "8G⁰"), =HYPERLINK("CSG1.html#group12B1", "12B¹"), =HYPERLINK("CSG1.html#group6A1", "6A¹"), =HYPERLINK("CSG0.html#group3A0", "3A⁰"), =HYPERLINK("CSG5.html#group48B5", "48B⁵"), =HYPERLINK("CSG9.html#group48E9", "48E⁹"), =HYPERLINK("CSG0.html#group8D0", "8D⁰"), =HYPERLINK("CSG1.html#group24D1", "24D¹"), =HYPERLINK("CSG4.html#group24D4", "24D⁴"), =HYPERLINK("CSG0.html#group6A0", "6A⁰"), =HYPERLINK("CSG1.html#group12C1", "12C¹"), =HYPERLINK("CSG9.html#group24I9", "24I⁹"), =HYPERLINK("CSG1.html#group24C1", "24C¹"), =HYPERLINK("CSG0.html#group12D0", "12D⁰"), =HYPERLINK("CSG4.html#group12C4", "12C⁴"), =HYPERLINK("CSG0.html#group2C0", "2C⁰"), =HYPERLINK("CSG0.html#group6D0", "6D⁰")</f>
        <v/>
      </c>
      <c r="N5634" t="inlineStr"/>
    </row>
    <row r="5635">
      <c r="A5635" t="inlineStr">
        <is>
          <t>48M¹⁹</t>
        </is>
      </c>
      <c r="B5635" t="inlineStr"/>
      <c r="C5635" t="inlineStr">
        <is>
          <t>288</t>
        </is>
      </c>
      <c r="D5635" t="inlineStr">
        <is>
          <t>1</t>
        </is>
      </c>
      <c r="E5635" t="inlineStr">
        <is>
          <t>18</t>
        </is>
      </c>
      <c r="F5635" t="inlineStr">
        <is>
          <t>0</t>
        </is>
      </c>
      <c r="G5635" t="inlineStr">
        <is>
          <t>0</t>
        </is>
      </c>
      <c r="H5635" t="inlineStr">
        <is>
          <t>12⁸, 48⁴</t>
        </is>
      </c>
      <c r="I5635" t="n">
        <v>12</v>
      </c>
      <c r="J5635" t="inlineStr">
        <is>
          <t>1⁴, 2⁵, 4¹</t>
        </is>
      </c>
      <c r="K5635">
        <f>HYPERLINK("CSG8.html#group24B8", "24B⁸"), =HYPERLINK("CSG9.html#group48E9", "48E⁹"), =HYPERLINK("CSG10.html#group48B10", "48B¹⁰")</f>
        <v/>
      </c>
      <c r="L5635" t="inlineStr"/>
      <c r="M5635">
        <f>HYPERLINK("CSG0.html#group2A0", "2A⁰"), =HYPERLINK("CSG0.html#group12C0", "12C⁰"), =HYPERLINK("CSG0.html#group4C0", "4C⁰"), =HYPERLINK("CSG1.html#group6C1", "6C¹"), =HYPERLINK("CSG2.html#group12B2", "12B²"), =HYPERLINK("CSG4.html#group48F4", "48F⁴"), =HYPERLINK("CSG0.html#group2B0", "2B⁰"), =HYPERLINK("CSG0.html#group4E0", "4E⁰"), =HYPERLINK("CSG0.html#group8C0", "8C⁰"), =HYPERLINK("CSG0.html#group4B0", "4B⁰"), =HYPERLINK("CSG0.html#group1A0", "1A⁰"), =HYPERLINK("CSG2.html#group24B2", "24B²"), =HYPERLINK("CSG0.html#group8G0", "8G⁰"), =HYPERLINK("CSG1.html#group12B1", "12B¹"), =HYPERLINK("CSG1.html#group6A1", "6A¹"), =HYPERLINK("CSG0.html#group3A0", "3A⁰"), =HYPERLINK("CSG5.html#group48B5", "48B⁵"), =HYPERLINK("CSG4.html#group24F4", "24F⁴"), =HYPERLINK("CSG9.html#group48E9", "48E⁹"), =HYPERLINK("CSG4.html#group48H4", "48H⁴"), =HYPERLINK("CSG0.html#group8D0", "8D⁰"), =HYPERLINK("CSG8.html#group24B8", "24B⁸"), =HYPERLINK("CSG0.html#group8I0", "8I⁰"), =HYPERLINK("CSG10.html#group48B10", "48B¹⁰"), =HYPERLINK("CSG4.html#group24D4", "24D⁴"), =HYPERLINK("CSG0.html#group6A0", "6A⁰"), =HYPERLINK("CSG1.html#group24C1", "24C¹"), =HYPERLINK("CSG0.html#group8J0", "8J⁰"), =HYPERLINK("CSG0.html#group2C0", "2C⁰"), =HYPERLINK("CSG0.html#group6D0", "6D⁰"), =HYPERLINK("CSG4.html#group24G4", "24G⁴"), =HYPERLINK("CSG0.html#group8O0", "8O⁰")</f>
        <v/>
      </c>
      <c r="N5635" t="inlineStr"/>
    </row>
    <row r="5636">
      <c r="A5636" t="inlineStr">
        <is>
          <t>48N¹⁹</t>
        </is>
      </c>
      <c r="B5636" t="inlineStr"/>
      <c r="C5636" t="inlineStr">
        <is>
          <t>288</t>
        </is>
      </c>
      <c r="D5636" t="inlineStr">
        <is>
          <t>1</t>
        </is>
      </c>
      <c r="E5636" t="inlineStr">
        <is>
          <t>18</t>
        </is>
      </c>
      <c r="F5636" t="inlineStr">
        <is>
          <t>0</t>
        </is>
      </c>
      <c r="G5636" t="inlineStr">
        <is>
          <t>0</t>
        </is>
      </c>
      <c r="H5636" t="inlineStr">
        <is>
          <t>12⁸, 48⁴</t>
        </is>
      </c>
      <c r="I5636" t="n">
        <v>12</v>
      </c>
      <c r="J5636" t="inlineStr">
        <is>
          <t>1⁴, 2⁵, 4¹</t>
        </is>
      </c>
      <c r="K5636">
        <f>HYPERLINK("CSG8.html#group24D8", "24D⁸"), =HYPERLINK("CSG9.html#group48A9", "48A⁹"), =HYPERLINK("CSG10.html#group48B10", "48B¹⁰")</f>
        <v/>
      </c>
      <c r="L5636" t="inlineStr"/>
      <c r="M5636">
        <f>HYPERLINK("CSG0.html#group2A0", "2A⁰"), =HYPERLINK("CSG5.html#group48A5", "48A⁵"), =HYPERLINK("CSG0.html#group12C0", "12C⁰"), =HYPERLINK("CSG8.html#group24D8", "24D⁸"), =HYPERLINK("CSG4.html#group48H4", "48H⁴"), =HYPERLINK("CSG0.html#group8D0", "8D⁰"), =HYPERLINK("CSG1.html#group16E1", "16E¹"), =HYPERLINK("CSG0.html#group4C0", "4C⁰"), =HYPERLINK("CSG1.html#group6C1", "6C¹"), =HYPERLINK("CSG2.html#group12B2", "12B²"), =HYPERLINK("CSG1.html#group16A1", "16A¹"), =HYPERLINK("CSG0.html#group2B0", "2B⁰"), =HYPERLINK("CSG0.html#group4E0", "4E⁰"), =HYPERLINK("CSG0.html#group8C0", "8C⁰"), =HYPERLINK("CSG0.html#group4B0", "4B⁰"), =HYPERLINK("CSG10.html#group48B10", "48B¹⁰"), =HYPERLINK("CSG0.html#group1A0", "1A⁰"), =HYPERLINK("CSG4.html#group24D4", "24D⁴"), =HYPERLINK("CSG4.html#group48B4", "48B⁴"), =HYPERLINK("CSG2.html#group24B2", "24B²"), =HYPERLINK("CSG9.html#group48A9", "48A⁹"), =HYPERLINK("CSG0.html#group6A0", "6A⁰"), =HYPERLINK("CSG0.html#group8G0", "8G⁰"), =HYPERLINK("CSG4.html#group24N4", "24N⁴"), =HYPERLINK("CSG0.html#group16C0", "16C⁰"), =HYPERLINK("CSG4.html#group24M4", "24M⁴"), =HYPERLINK("CSG1.html#group24C1", "24C¹"), =HYPERLINK("CSG1.html#group12B1", "12B¹"), =HYPERLINK("CSG1.html#group6A1", "6A¹"), =HYPERLINK("CSG0.html#group3A0", "3A⁰"), =HYPERLINK("CSG0.html#group2C0", "2C⁰"), =HYPERLINK("CSG0.html#group6D0", "6D⁰")</f>
        <v/>
      </c>
      <c r="N5636" t="inlineStr"/>
    </row>
    <row r="5637">
      <c r="A5637" t="inlineStr">
        <is>
          <t>48O¹⁹</t>
        </is>
      </c>
      <c r="B5637" t="inlineStr"/>
      <c r="C5637" t="inlineStr">
        <is>
          <t>288</t>
        </is>
      </c>
      <c r="D5637" t="inlineStr">
        <is>
          <t>1</t>
        </is>
      </c>
      <c r="E5637" t="inlineStr">
        <is>
          <t>18</t>
        </is>
      </c>
      <c r="F5637" t="inlineStr">
        <is>
          <t>0</t>
        </is>
      </c>
      <c r="G5637" t="inlineStr">
        <is>
          <t>0</t>
        </is>
      </c>
      <c r="H5637" t="inlineStr">
        <is>
          <t>12⁸, 48⁴</t>
        </is>
      </c>
      <c r="I5637" t="n">
        <v>12</v>
      </c>
      <c r="J5637" t="inlineStr">
        <is>
          <t>1⁴, 2⁵, 4¹</t>
        </is>
      </c>
      <c r="K5637">
        <f>HYPERLINK("CSG8.html#group24D8", "24D⁸"), =HYPERLINK("CSG9.html#group48E9", "48E⁹"), =HYPERLINK("CSG10.html#group48A10", "48A¹⁰")</f>
        <v/>
      </c>
      <c r="L5637" t="inlineStr"/>
      <c r="M5637">
        <f>HYPERLINK("CSG0.html#group2A0", "2A⁰"), =HYPERLINK("CSG10.html#group48A10", "48A¹⁰"), =HYPERLINK("CSG9.html#group48E9", "48E⁹"), =HYPERLINK("CSG0.html#group12C0", "12C⁰"), =HYPERLINK("CSG8.html#group24D8", "24D⁸"), =HYPERLINK("CSG2.html#group16C2", "16C²"), =HYPERLINK("CSG0.html#group8D0", "8D⁰"), =HYPERLINK("CSG1.html#group6C1", "6C¹"), =HYPERLINK("CSG0.html#group4C0", "4C⁰"), =HYPERLINK("CSG2.html#group12B2", "12B²"), =HYPERLINK("CSG4.html#group48F4", "48F⁴"), =HYPERLINK("CSG0.html#group2B0", "2B⁰"), =HYPERLINK("CSG0.html#group4E0", "4E⁰"), =HYPERLINK("CSG0.html#group8C0", "8C⁰"), =HYPERLINK("CSG0.html#group4B0", "4B⁰"), =HYPERLINK("CSG0.html#group1A0", "1A⁰"), =HYPERLINK("CSG4.html#group24D4", "24D⁴"), =HYPERLINK("CSG2.html#group24B2", "24B²"), =HYPERLINK("CSG4.html#group48E4", "48E⁴"), =HYPERLINK("CSG0.html#group6A0", "6A⁰"), =HYPERLINK("CSG0.html#group8G0", "8G⁰"), =HYPERLINK("CSG4.html#group24N4", "24N⁴"), =HYPERLINK("CSG1.html#group16C1", "16C¹"), =HYPERLINK("CSG4.html#group24M4", "24M⁴"), =HYPERLINK("CSG1.html#group24C1", "24C¹"), =HYPERLINK("CSG1.html#group12B1", "12B¹"), =HYPERLINK("CSG1.html#group6A1", "6A¹"), =HYPERLINK("CSG0.html#group3A0", "3A⁰"), =HYPERLINK("CSG0.html#group2C0", "2C⁰"), =HYPERLINK("CSG0.html#group6D0", "6D⁰"), =HYPERLINK("CSG5.html#group48B5", "48B⁵")</f>
        <v/>
      </c>
      <c r="N5637" t="inlineStr"/>
    </row>
    <row r="5638">
      <c r="A5638" t="inlineStr">
        <is>
          <t>48P¹⁹</t>
        </is>
      </c>
      <c r="B5638" t="inlineStr"/>
      <c r="C5638" t="inlineStr">
        <is>
          <t>288</t>
        </is>
      </c>
      <c r="D5638" t="inlineStr">
        <is>
          <t>1</t>
        </is>
      </c>
      <c r="E5638" t="inlineStr">
        <is>
          <t>18</t>
        </is>
      </c>
      <c r="F5638" t="inlineStr">
        <is>
          <t>0</t>
        </is>
      </c>
      <c r="G5638" t="inlineStr">
        <is>
          <t>0</t>
        </is>
      </c>
      <c r="H5638" t="inlineStr">
        <is>
          <t>12⁸, 48⁴</t>
        </is>
      </c>
      <c r="I5638" t="n">
        <v>12</v>
      </c>
      <c r="J5638" t="inlineStr">
        <is>
          <t>1⁴, 2⁵, 4¹</t>
        </is>
      </c>
      <c r="K5638">
        <f>HYPERLINK("CSG9.html#group24I9", "24I⁹"), =HYPERLINK("CSG9.html#group48A9", "48A⁹"), =HYPERLINK("CSG9.html#group48E9", "48E⁹")</f>
        <v/>
      </c>
      <c r="L5638" t="inlineStr"/>
      <c r="M5638">
        <f>HYPERLINK("CSG0.html#group2A0", "2A⁰"), =HYPERLINK("CSG3.html#group24Q3", "24Q³"), =HYPERLINK("CSG0.html#group12C0", "12C⁰"), =HYPERLINK("CSG0.html#group4C0", "4C⁰"), =HYPERLINK("CSG1.html#group6C1", "6C¹"), =HYPERLINK("CSG2.html#group12B2", "12B²"), =HYPERLINK("CSG2.html#group12E2", "12E²"), =HYPERLINK("CSG4.html#group24L4", "24L⁴"), =HYPERLINK("CSG1.html#group16A1", "16A¹"), =HYPERLINK("CSG0.html#group8C0", "8C⁰"), =HYPERLINK("CSG0.html#group2B0", "2B⁰"), =HYPERLINK("CSG0.html#group4E0", "4E⁰"), =HYPERLINK("CSG1.html#group12M1", "12M¹"), =HYPERLINK("CSG0.html#group4B0", "4B⁰"), =HYPERLINK("CSG2.html#group24C2", "24C²"), =HYPERLINK("CSG0.html#group1A0", "1A⁰"), =HYPERLINK("CSG5.html#group24F5", "24F⁵"), =HYPERLINK("CSG2.html#group24B2", "24B²"), =HYPERLINK("CSG0.html#group8G0", "8G⁰"), =HYPERLINK("CSG0.html#group16C0", "16C⁰"), =HYPERLINK("CSG1.html#group12B1", "12B¹"), =HYPERLINK("CSG1.html#group6A1", "6A¹"), =HYPERLINK("CSG0.html#group3A0", "3A⁰"), =HYPERLINK("CSG5.html#group48B5", "48B⁵"), =HYPERLINK("CSG5.html#group48A5", "48A⁵"), =HYPERLINK("CSG9.html#group48E9", "48E⁹"), =HYPERLINK("CSG0.html#group8D0", "8D⁰"), =HYPERLINK("CSG1.html#group16E1", "16E¹"), =HYPERLINK("CSG1.html#group24D1", "24D¹"), =HYPERLINK("CSG4.html#group48F4", "48F⁴"), =HYPERLINK("CSG4.html#group24D4", "24D⁴"), =HYPERLINK("CSG4.html#group48B4", "48B⁴"), =HYPERLINK("CSG9.html#group48A9", "48A⁹"), =HYPERLINK("CSG0.html#group6A0", "6A⁰"), =HYPERLINK("CSG1.html#group12C1", "12C¹"), =HYPERLINK("CSG9.html#group24I9", "24I⁹"), =HYPERLINK("CSG1.html#group24C1", "24C¹"), =HYPERLINK("CSG0.html#group12D0", "12D⁰"), =HYPERLINK("CSG4.html#group12C4", "12C⁴"), =HYPERLINK("CSG0.html#group2C0", "2C⁰"), =HYPERLINK("CSG0.html#group6D0", "6D⁰")</f>
        <v/>
      </c>
      <c r="N5638" t="inlineStr"/>
    </row>
    <row r="5639">
      <c r="A5639" t="inlineStr">
        <is>
          <t>48Q¹⁹</t>
        </is>
      </c>
      <c r="B5639" t="inlineStr"/>
      <c r="C5639" t="inlineStr">
        <is>
          <t>288</t>
        </is>
      </c>
      <c r="D5639" t="inlineStr">
        <is>
          <t>1</t>
        </is>
      </c>
      <c r="E5639" t="inlineStr">
        <is>
          <t>24</t>
        </is>
      </c>
      <c r="F5639" t="inlineStr">
        <is>
          <t>0</t>
        </is>
      </c>
      <c r="G5639" t="inlineStr">
        <is>
          <t>0</t>
        </is>
      </c>
      <c r="H5639" t="inlineStr">
        <is>
          <t>6⁴, 12², 24², 48⁴</t>
        </is>
      </c>
      <c r="I5639" t="n">
        <v>12</v>
      </c>
      <c r="J5639" t="inlineStr">
        <is>
          <t>1⁴, 2², 4², 8¹</t>
        </is>
      </c>
      <c r="K5639">
        <f>HYPERLINK("CSG3.html#group16N3", "16N³"), =HYPERLINK("CSG9.html#group48B9", "48B⁹")</f>
        <v/>
      </c>
      <c r="L5639" t="inlineStr"/>
      <c r="M5639">
        <f>HYPERLINK("CSG5.html#group48A5", "48A⁵"), =HYPERLINK("CSG4.html#group24F4", "24F⁴"), =HYPERLINK("CSG9.html#group48B9", "48B⁹"), =HYPERLINK("CSG1.html#group16A1", "16A¹"), =HYPERLINK("CSG0.html#group8C0", "8C⁰"), =HYPERLINK("CSG0.html#group2B0", "2B⁰"), =HYPERLINK("CSG0.html#group8I0", "8I⁰"), =HYPERLINK("CSG0.html#group4B0", "4B⁰"), =HYPERLINK("CSG0.html#group1A0", "1A⁰"), =HYPERLINK("CSG3.html#group16N3", "16N³"), =HYPERLINK("CSG2.html#group24B2", "24B²"), =HYPERLINK("CSG1.html#group16G1", "16G¹"), =HYPERLINK("CSG0.html#group16D0", "16D⁰"), =HYPERLINK("CSG1.html#group12B1", "12B¹"), =HYPERLINK("CSG0.html#group3A0", "3A⁰"), =HYPERLINK("CSG0.html#group6D0", "6D⁰"), =HYPERLINK("CSG4.html#group48D4", "48D⁴")</f>
        <v/>
      </c>
      <c r="N5639" t="inlineStr"/>
    </row>
    <row r="5640">
      <c r="A5640" t="inlineStr">
        <is>
          <t>48R¹⁹</t>
        </is>
      </c>
      <c r="B5640" t="inlineStr"/>
      <c r="C5640" t="inlineStr">
        <is>
          <t>288</t>
        </is>
      </c>
      <c r="D5640" t="inlineStr">
        <is>
          <t>1</t>
        </is>
      </c>
      <c r="E5640" t="inlineStr">
        <is>
          <t>24</t>
        </is>
      </c>
      <c r="F5640" t="inlineStr">
        <is>
          <t>0</t>
        </is>
      </c>
      <c r="G5640" t="inlineStr">
        <is>
          <t>0</t>
        </is>
      </c>
      <c r="H5640" t="inlineStr">
        <is>
          <t>12⁴, 24⁶, 48²</t>
        </is>
      </c>
      <c r="I5640" t="n">
        <v>12</v>
      </c>
      <c r="J5640" t="inlineStr">
        <is>
          <t>1⁸, 2⁴, 4²</t>
        </is>
      </c>
      <c r="K5640">
        <f>HYPERLINK("CSG3.html#group16O3", "16O³"), =HYPERLINK("CSG9.html#group24D9", "24D⁹")</f>
        <v/>
      </c>
      <c r="L5640" t="inlineStr"/>
      <c r="M5640">
        <f>HYPERLINK("CSG0.html#group2A0", "2A⁰"), =HYPERLINK("CSG3.html#group24A3", "24A³"), =HYPERLINK("CSG1.html#group8A1", "8A¹"), =HYPERLINK("CSG0.html#group12C0", "12C⁰"), =HYPERLINK("CSG3.html#group16O3", "16O³"), =HYPERLINK("CSG0.html#group4C0", "4C⁰"), =HYPERLINK("CSG5.html#group24A5", "24A⁵"), =HYPERLINK("CSG0.html#group8B0", "8B⁰"), =HYPERLINK("CSG1.html#group6C1", "6C¹"), =HYPERLINK("CSG2.html#group12B2", "12B²"), =HYPERLINK("CSG0.html#group8L0", "8L⁰"), =HYPERLINK("CSG0.html#group2B0", "2B⁰"), =HYPERLINK("CSG1.html#group8B1", "8B¹"), =HYPERLINK("CSG0.html#group4E0", "4E⁰"), =HYPERLINK("CSG0.html#group4B0", "4B⁰"), =HYPERLINK("CSG0.html#group1A0", "1A⁰"), =HYPERLINK("CSG9.html#group24D9", "24D⁹"), =HYPERLINK("CSG0.html#group6A0", "6A⁰"), =HYPERLINK("CSG0.html#group24A0", "24A⁰"), =HYPERLINK("CSG1.html#group8G1", "8G¹"), =HYPERLINK("CSG2.html#group24M2", "24M²"), =HYPERLINK("CSG1.html#group12B1", "12B¹"), =HYPERLINK("CSG1.html#group6A1", "6A¹"), =HYPERLINK("CSG0.html#group3A0", "3A⁰"), =HYPERLINK("CSG0.html#group8J0", "8J⁰"), =HYPERLINK("CSG0.html#group2C0", "2C⁰"), =HYPERLINK("CSG0.html#group6D0", "6D⁰"), =HYPERLINK("CSG4.html#group24G4", "24G⁴")</f>
        <v/>
      </c>
      <c r="N5640" t="inlineStr"/>
    </row>
    <row r="5641">
      <c r="A5641" t="inlineStr">
        <is>
          <t>48S¹⁹</t>
        </is>
      </c>
      <c r="B5641" t="inlineStr"/>
      <c r="C5641" t="inlineStr">
        <is>
          <t>288</t>
        </is>
      </c>
      <c r="D5641" t="inlineStr">
        <is>
          <t>1</t>
        </is>
      </c>
      <c r="E5641" t="inlineStr">
        <is>
          <t>24</t>
        </is>
      </c>
      <c r="F5641" t="inlineStr">
        <is>
          <t>12</t>
        </is>
      </c>
      <c r="G5641" t="inlineStr">
        <is>
          <t>0</t>
        </is>
      </c>
      <c r="H5641" t="inlineStr">
        <is>
          <t>48⁶</t>
        </is>
      </c>
      <c r="I5641" t="n">
        <v>6</v>
      </c>
      <c r="J5641" t="inlineStr">
        <is>
          <t>4², 8²</t>
        </is>
      </c>
      <c r="K5641">
        <f>HYPERLINK("CSG5.html#group16I5", "16I⁵"), =HYPERLINK("CSG7.html#group24K7", "24K⁷")</f>
        <v/>
      </c>
      <c r="L5641" t="inlineStr"/>
      <c r="M5641">
        <f>HYPERLINK("CSG7.html#group24K7", "24K⁷"), =HYPERLINK("CSG0.html#group12C0", "12C⁰"), =HYPERLINK("CSG0.html#group8D0", "8D⁰"), =HYPERLINK("CSG0.html#group4C0", "4C⁰"), =HYPERLINK("CSG0.html#group8B0", "8B⁰"), =HYPERLINK("CSG0.html#group8A0", "8A⁰"), =HYPERLINK("CSG0.html#group2B0", "2B⁰"), =HYPERLINK("CSG2.html#group24L2", "24L²"), =HYPERLINK("CSG0.html#group8K0", "8K⁰"), =HYPERLINK("CSG0.html#group1A0", "1A⁰"), =HYPERLINK("CSG1.html#group8D1", "8D¹"), =HYPERLINK("CSG1.html#group8H1", "8H¹"), =HYPERLINK("CSG3.html#group24J3", "24J³"), =HYPERLINK("CSG0.html#group8H0", "8H⁰"), =HYPERLINK("CSG4.html#group24H4", "24H⁴"), =HYPERLINK("CSG0.html#group12A0", "12A⁰"), =HYPERLINK("CSG1.html#group24A1", "24A¹"), =HYPERLINK("CSG0.html#group24A0", "24A⁰"), =HYPERLINK("CSG0.html#group4A0", "4A⁰"), =HYPERLINK("CSG5.html#group16I5", "16I⁵"), =HYPERLINK("CSG1.html#group24C1", "24C¹"), =HYPERLINK("CSG1.html#group12J1", "12J¹"), =HYPERLINK("CSG0.html#group4F0", "4F⁰"), =HYPERLINK("CSG0.html#group3A0", "3A⁰"), =HYPERLINK("CSG0.html#group6D0", "6D⁰")</f>
        <v/>
      </c>
      <c r="N5641" t="inlineStr"/>
    </row>
    <row r="5642">
      <c r="A5642" t="inlineStr">
        <is>
          <t>48T¹⁹</t>
        </is>
      </c>
      <c r="B5642" t="inlineStr"/>
      <c r="C5642" t="inlineStr">
        <is>
          <t>288</t>
        </is>
      </c>
      <c r="D5642" t="inlineStr">
        <is>
          <t>1</t>
        </is>
      </c>
      <c r="E5642" t="inlineStr">
        <is>
          <t>24</t>
        </is>
      </c>
      <c r="F5642" t="inlineStr">
        <is>
          <t>12</t>
        </is>
      </c>
      <c r="G5642" t="inlineStr">
        <is>
          <t>0</t>
        </is>
      </c>
      <c r="H5642" t="inlineStr">
        <is>
          <t>48⁶</t>
        </is>
      </c>
      <c r="I5642" t="n">
        <v>6</v>
      </c>
      <c r="J5642" t="inlineStr">
        <is>
          <t>4², 8²</t>
        </is>
      </c>
      <c r="K5642">
        <f>HYPERLINK("CSG5.html#group16J5", "16J⁵"), =HYPERLINK("CSG7.html#group24K7", "24K⁷"), =HYPERLINK("CSG10.html#group48F10", "48F¹⁰")</f>
        <v/>
      </c>
      <c r="L5642" t="inlineStr"/>
      <c r="M5642">
        <f>HYPERLINK("CSG7.html#group24K7", "24K⁷"), =HYPERLINK("CSG0.html#group12C0", "12C⁰"), =HYPERLINK("CSG0.html#group16A0", "16A⁰"), =HYPERLINK("CSG0.html#group8D0", "8D⁰"), =HYPERLINK("CSG0.html#group4C0", "4C⁰"), =HYPERLINK("CSG0.html#group8B0", "8B⁰"), =HYPERLINK("CSG0.html#group8A0", "8A⁰"), =HYPERLINK("CSG3.html#group16G3", "16G³"), =HYPERLINK("CSG0.html#group2B0", "2B⁰"), =HYPERLINK("CSG10.html#group48F10", "48F¹⁰"), =HYPERLINK("CSG2.html#group24L2", "24L²"), =HYPERLINK("CSG0.html#group8K0", "8K⁰"), =HYPERLINK("CSG0.html#group1A0", "1A⁰"), =HYPERLINK("CSG1.html#group8D1", "8D¹"), =HYPERLINK("CSG1.html#group8H1", "8H¹"), =HYPERLINK("CSG3.html#group24J3", "24J³"), =HYPERLINK("CSG0.html#group8H0", "8H⁰"), =HYPERLINK("CSG4.html#group24H4", "24H⁴"), =HYPERLINK("CSG0.html#group12A0", "12A⁰"), =HYPERLINK("CSG1.html#group24A1", "24A¹"), =HYPERLINK("CSG3.html#group48A3", "48A³"),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=HYPERLINK("CSG5.html#group16J5", "16J⁵"), =HYPERLINK("CSG0.html#group6D0", "6D⁰")</f>
        <v/>
      </c>
      <c r="N5642" t="inlineStr"/>
    </row>
    <row r="5643">
      <c r="A5643" t="inlineStr">
        <is>
          <t>48U¹⁹</t>
        </is>
      </c>
      <c r="B5643" t="inlineStr"/>
      <c r="C5643" t="inlineStr">
        <is>
          <t>288</t>
        </is>
      </c>
      <c r="D5643" t="inlineStr">
        <is>
          <t>1</t>
        </is>
      </c>
      <c r="E5643" t="inlineStr">
        <is>
          <t>36</t>
        </is>
      </c>
      <c r="F5643" t="inlineStr">
        <is>
          <t>0</t>
        </is>
      </c>
      <c r="G5643" t="inlineStr">
        <is>
          <t>0</t>
        </is>
      </c>
      <c r="H5643" t="inlineStr">
        <is>
          <t>12⁸, 48⁴</t>
        </is>
      </c>
      <c r="I5643" t="n">
        <v>12</v>
      </c>
      <c r="J5643" t="inlineStr">
        <is>
          <t>2⁴, 4³, 8²</t>
        </is>
      </c>
      <c r="K5643">
        <f>HYPERLINK("CSG6.html#group48I6", "48I⁶"), =HYPERLINK("CSG8.html#group48N8", "48N⁸"), =HYPERLINK("CSG9.html#group24Q9", "24Q⁹"), =HYPERLINK("CSG9.html#group48AD9", "48AD⁹"), =HYPERLINK("CSG10.html#group48D10", "48D¹⁰")</f>
        <v/>
      </c>
      <c r="L5643" t="inlineStr"/>
      <c r="M5643">
        <f>HYPERLINK("CSG2.html#group12I2", "12I²"), =HYPERLINK("CSG9.html#group48AD9", "48AD⁹"), =HYPERLINK("CSG2.html#group24O2", "24O²"), =HYPERLINK("CSG1.html#group24E1", "24E¹"), =HYPERLINK("CSG3.html#group24A3", "24A³"), =HYPERLINK("CSG0.html#group12C0", "12C⁰"), =HYPERLINK("CSG3.html#group48G3", "48G³"), =HYPERLINK("CSG0.html#group4C0", "4C⁰"), =HYPERLINK("CSG10.html#group48D10", "48D¹⁰"), =HYPERLINK("CSG1.html#group12M1", "12M¹"), =HYPERLINK("CSG0.html#group2B0", "2B⁰"), =HYPERLINK("CSG2.html#group24C2", "24C²"), =HYPERLINK("CSG0.html#group1A0", "1A⁰"), =HYPERLINK("CSG9.html#group24Q9", "24Q⁹"), =HYPERLINK("CSG8.html#group48N8", "48N⁸"), =HYPERLINK("CSG0.html#group6H0", "6H⁰"), =HYPERLINK("CSG0.html#group3A0", "3A⁰"), =HYPERLINK("CSG5.html#group24G5", "24G⁵"), =HYPERLINK("CSG0.html#group6B0", "6B⁰"), =HYPERLINK("CSG1.html#group8A1", "8A¹"), =HYPERLINK("CSG6.html#group48I6", "48I⁶"), =HYPERLINK("CSG0.html#group8D0", "8D⁰"), =HYPERLINK("CSG4.html#group48H4", "48H⁴"), =HYPERLINK("CSG0.html#group12F0", "12F⁰"), =HYPERLINK("CSG5.html#group24D5", "24D⁵"), =HYPERLINK("CSG0.html#group12A0", "12A⁰"), =HYPERLINK("CSG1.html#group8C1", "8C¹"), =HYPERLINK("CSG0.html#group4A0", "4A⁰"), =HYPERLINK("CSG4.html#group24K4", "24K⁴"), =HYPERLINK("CSG1.html#group24C1", "24C¹"), =HYPERLINK("CSG1.html#group12J1", "12J¹"), =HYPERLINK("CSG0.html#group12D0", "12D⁰"), =HYPERLINK("CSG0.html#group4F0", "4F⁰"), =HYPERLINK("CSG0.html#group12H0", "12H⁰"), =HYPERLINK("CSG4.html#group24L4", "24L⁴"), =HYPERLINK("CSG0.html#group6D0", "6D⁰"), =HYPERLINK("CSG5.html#group24B5", "24B⁵")</f>
        <v/>
      </c>
      <c r="N5643" t="inlineStr"/>
    </row>
    <row r="5644">
      <c r="A5644" t="inlineStr">
        <is>
          <t>48V¹⁹</t>
        </is>
      </c>
      <c r="B5644" t="inlineStr"/>
      <c r="C5644" t="inlineStr">
        <is>
          <t>288</t>
        </is>
      </c>
      <c r="D5644" t="inlineStr">
        <is>
          <t>1</t>
        </is>
      </c>
      <c r="E5644" t="inlineStr">
        <is>
          <t>36</t>
        </is>
      </c>
      <c r="F5644" t="inlineStr">
        <is>
          <t>0</t>
        </is>
      </c>
      <c r="G5644" t="inlineStr">
        <is>
          <t>0</t>
        </is>
      </c>
      <c r="H5644" t="inlineStr">
        <is>
          <t>12⁸, 48⁴</t>
        </is>
      </c>
      <c r="I5644" t="n">
        <v>12</v>
      </c>
      <c r="J5644" t="inlineStr">
        <is>
          <t>1², 2³, 4³, 8²</t>
        </is>
      </c>
      <c r="K5644">
        <f>HYPERLINK("CSG7.html#group48Z7", "48Z⁷"), =HYPERLINK("CSG8.html#group48Z8", "48Z⁸"), =HYPERLINK("CSG9.html#group24R9", "24R⁹"), =HYPERLINK("CSG9.html#group48R9", "48R⁹"), =HYPERLINK("CSG10.html#group48D10", "48D¹⁰")</f>
        <v/>
      </c>
      <c r="L5644" t="inlineStr"/>
      <c r="M5644">
        <f>HYPERLINK("CSG3.html#group24Q3", "24Q³"), =HYPERLINK("CSG1.html#group24E1", "24E¹"), =HYPERLINK("CSG3.html#group24A3", "24A³"), =HYPERLINK("CSG0.html#group12C0", "12C⁰"), =HYPERLINK("CSG3.html#group48G3", "48G³"), =HYPERLINK("CSG8.html#group48Z8", "48Z⁸"), =HYPERLINK("CSG0.html#group4C0", "4C⁰"), =HYPERLINK("CSG10.html#group48D10", "48D¹⁰"), =HYPERLINK("CSG0.html#group6G0", "6G⁰"), =HYPERLINK("CSG1.html#group12M1", "12M¹"), =HYPERLINK("CSG0.html#group2B0", "2B⁰"), =HYPERLINK("CSG3.html#group24P3", "24P³"), =HYPERLINK("CSG5.html#group24E5", "24E⁵"), =HYPERLINK("CSG0.html#group1A0", "1A⁰"), =HYPERLINK("CSG3.html#group24O3", "24O³"), =HYPERLINK("CSG0.html#group3C0", "3C⁰"), =HYPERLINK("CSG0.html#group3A0", "3A⁰"), =HYPERLINK("CSG9.html#group48R9", "48R⁹"), =HYPERLINK("CSG5.html#group24G5", "24G⁵"), =HYPERLINK("CSG1.html#group12G1", "12G¹"), =HYPERLINK("CSG1.html#group8A1", "8A¹"), =HYPERLINK("CSG4.html#group48H4", "48H⁴"), =HYPERLINK("CSG0.html#group8D0", "8D⁰"), =HYPERLINK("CSG1.html#group24D1", "24D¹"), =HYPERLINK("CSG7.html#group48Z7", "48Z⁷"), =HYPERLINK("CSG1.html#group12L1", "12L¹"), =HYPERLINK("CSG3.html#group12J3", "12J³"), =HYPERLINK("CSG9.html#group24R9", "24R⁹"), =HYPERLINK("CSG0.html#group12A0", "12A⁰"), =HYPERLINK("CSG1.html#group8C1", "8C¹"), =HYPERLINK("CSG1.html#group12C1", "12C¹"), =HYPERLINK("CSG0.html#group4A0", "4A⁰"), =HYPERLINK("CSG1.html#group24C1", "24C¹"), =HYPERLINK("CSG1.html#group12J1", "12J¹"), =HYPERLINK("CSG0.html#group4F0", "4F⁰"), =HYPERLINK("CSG0.html#group6D0", "6D⁰"), =HYPERLINK("CSG5.html#group24B5", "24B⁵")</f>
        <v/>
      </c>
      <c r="N5644" t="inlineStr"/>
    </row>
    <row r="5645">
      <c r="A5645" t="inlineStr">
        <is>
          <t>48W¹⁹</t>
        </is>
      </c>
      <c r="B5645" t="inlineStr"/>
      <c r="C5645" t="inlineStr">
        <is>
          <t>288</t>
        </is>
      </c>
      <c r="D5645" t="inlineStr">
        <is>
          <t>1</t>
        </is>
      </c>
      <c r="E5645" t="inlineStr">
        <is>
          <t>36</t>
        </is>
      </c>
      <c r="F5645" t="inlineStr">
        <is>
          <t>0</t>
        </is>
      </c>
      <c r="G5645" t="inlineStr">
        <is>
          <t>0</t>
        </is>
      </c>
      <c r="H5645" t="inlineStr">
        <is>
          <t>12⁸, 48⁴</t>
        </is>
      </c>
      <c r="I5645" t="n">
        <v>12</v>
      </c>
      <c r="J5645" t="inlineStr">
        <is>
          <t>1², 2³, 4³, 8²</t>
        </is>
      </c>
      <c r="K5645">
        <f>HYPERLINK("CSG7.html#group48Z7", "48Z⁷"), =HYPERLINK("CSG9.html#group24O9", "24O⁹"), =HYPERLINK("CSG9.html#group48S9", "48S⁹"), =HYPERLINK("CSG9.html#group48U9", "48U⁹"), =HYPERLINK("CSG9.html#group48AD9", "48AD⁹")</f>
        <v/>
      </c>
      <c r="L5645" t="inlineStr"/>
      <c r="M5645">
        <f>HYPERLINK("CSG9.html#group48AD9", "48AD⁹"), =HYPERLINK("CSG1.html#group24E1", "24E¹"), =HYPERLINK("CSG0.html#group12C0", "12C⁰"), =HYPERLINK("CSG3.html#group48G3", "48G³"), =HYPERLINK("CSG4.html#group24P4", "24P⁴"), =HYPERLINK("CSG4.html#group48H4", "48H⁴"), =HYPERLINK("CSG0.html#group8D0", "8D⁰"), =HYPERLINK("CSG0.html#group4C0", "4C⁰"), =HYPERLINK("CSG9.html#group48U9", "48U⁹"), =HYPERLINK("CSG0.html#group6G0", "6G⁰"), =HYPERLINK("CSG0.html#group2B0", "2B⁰"), =HYPERLINK("CSG1.html#group12M1", "12M¹"), =HYPERLINK("CSG2.html#group24C2", "24C²"), =HYPERLINK("CSG7.html#group48Z7", "48Z⁷"), =HYPERLINK("CSG0.html#group1A0", "1A⁰"), =HYPERLINK("CSG1.html#group12L1", "12L¹"), =HYPERLINK("CSG3.html#group24O3", "24O³"), =HYPERLINK("CSG9.html#group24O9", "24O⁹"), =HYPERLINK("CSG4.html#group48E4", "48E⁴"), =HYPERLINK("CSG1.html#group12C1", "12C¹"), =HYPERLINK("CSG3.html#group12I3", "12I³"), =HYPERLINK("CSG5.html#group24C5", "24C⁵"), =HYPERLINK("CSG9.html#group48S9", "48S⁹"), =HYPERLINK("CSG1.html#group16C1", "16C¹"), =HYPERLINK("CSG1.html#group24C1", "24C¹"), =HYPERLINK("CSG0.html#group3C0", "3C⁰"), =HYPERLINK("CSG0.html#group3A0", "3A⁰"), =HYPERLINK("CSG4.html#group24L4", "24L⁴"), =HYPERLINK("CSG0.html#group6D0", "6D⁰")</f>
        <v/>
      </c>
      <c r="N5645" t="inlineStr"/>
    </row>
    <row r="5646">
      <c r="A5646" t="inlineStr">
        <is>
          <t>48X¹⁹</t>
        </is>
      </c>
      <c r="B5646" t="inlineStr"/>
      <c r="C5646" t="inlineStr">
        <is>
          <t>288</t>
        </is>
      </c>
      <c r="D5646" t="inlineStr">
        <is>
          <t>1</t>
        </is>
      </c>
      <c r="E5646" t="inlineStr">
        <is>
          <t>36</t>
        </is>
      </c>
      <c r="F5646" t="inlineStr">
        <is>
          <t>0</t>
        </is>
      </c>
      <c r="G5646" t="inlineStr">
        <is>
          <t>0</t>
        </is>
      </c>
      <c r="H5646" t="inlineStr">
        <is>
          <t>12⁸, 48⁴</t>
        </is>
      </c>
      <c r="I5646" t="n">
        <v>12</v>
      </c>
      <c r="J5646" t="inlineStr">
        <is>
          <t>1², 2³, 4³, 8²</t>
        </is>
      </c>
      <c r="K5646">
        <f>HYPERLINK("CSG7.html#group48AA7", "48AA⁷"), =HYPERLINK("CSG9.html#group24O9", "24O⁹"), =HYPERLINK("CSG9.html#group48R9", "48R⁹"), =HYPERLINK("CSG9.html#group48T9", "48T⁹"), =HYPERLINK("CSG9.html#group48AD9", "48AD⁹")</f>
        <v/>
      </c>
      <c r="L5646" t="inlineStr"/>
      <c r="M5646">
        <f>HYPERLINK("CSG9.html#group48AD9", "48AD⁹"), =HYPERLINK("CSG1.html#group24E1", "24E¹"), =HYPERLINK("CSG9.html#group48T9", "48T⁹"), =HYPERLINK("CSG0.html#group12C0", "12C⁰"), =HYPERLINK("CSG3.html#group48G3", "48G³"), =HYPERLINK("CSG0.html#group3A0", "3A⁰"), =HYPERLINK("CSG4.html#group24P4", "24P⁴"), =HYPERLINK("CSG4.html#group48H4", "48H⁴"), =HYPERLINK("CSG0.html#group8D0", "8D⁰"), =HYPERLINK("CSG0.html#group4C0", "4C⁰"), =HYPERLINK("CSG0.html#group6G0", "6G⁰"), =HYPERLINK("CSG0.html#group2B0", "2B⁰"), =HYPERLINK("CSG1.html#group12M1", "12M¹"), =HYPERLINK("CSG2.html#group24C2", "24C²"), =HYPERLINK("CSG0.html#group1A0", "1A⁰"), =HYPERLINK("CSG1.html#group12L1", "12L¹"), =HYPERLINK("CSG3.html#group24O3", "24O³"), =HYPERLINK("CSG9.html#group24O9", "24O⁹"), =HYPERLINK("CSG0.html#group16E0", "16E⁰"), =HYPERLINK("CSG1.html#group12C1", "12C¹"), =HYPERLINK("CSG3.html#group12I3", "12I³"), =HYPERLINK("CSG5.html#group24C5", "24C⁵"), =HYPERLINK("CSG0.html#group6D0", "6D⁰"), =HYPERLINK("CSG1.html#group24C1", "24C¹"), =HYPERLINK("CSG0.html#group3C0", "3C⁰"), =HYPERLINK("CSG3.html#group48D3", "48D³"), =HYPERLINK("CSG7.html#group48AA7", "48AA⁷"), =HYPERLINK("CSG4.html#group24L4", "24L⁴"), =HYPERLINK("CSG9.html#group48R9", "48R⁹")</f>
        <v/>
      </c>
      <c r="N5646" t="inlineStr"/>
    </row>
    <row r="5647">
      <c r="A5647" t="inlineStr">
        <is>
          <t>48Y¹⁹</t>
        </is>
      </c>
      <c r="B5647" t="inlineStr"/>
      <c r="C5647" t="inlineStr">
        <is>
          <t>288</t>
        </is>
      </c>
      <c r="D5647" t="inlineStr">
        <is>
          <t>1</t>
        </is>
      </c>
      <c r="E5647" t="inlineStr">
        <is>
          <t>36</t>
        </is>
      </c>
      <c r="F5647" t="inlineStr">
        <is>
          <t>0</t>
        </is>
      </c>
      <c r="G5647" t="inlineStr">
        <is>
          <t>0</t>
        </is>
      </c>
      <c r="H5647" t="inlineStr">
        <is>
          <t>12⁸, 48⁴</t>
        </is>
      </c>
      <c r="I5647" t="n">
        <v>12</v>
      </c>
      <c r="J5647" t="inlineStr">
        <is>
          <t>1², 2³, 4³, 8²</t>
        </is>
      </c>
      <c r="K5647">
        <f>HYPERLINK("CSG6.html#group48J6", "48J⁶"), =HYPERLINK("CSG8.html#group48O8", "48O⁸"), =HYPERLINK("CSG9.html#group24Q9", "24Q⁹"), =HYPERLINK("CSG9.html#group48T9", "48T⁹"), =HYPERLINK("CSG9.html#group48U9", "48U⁹"), =HYPERLINK("CSG10.html#group48C10", "48C¹⁰"), =HYPERLINK("CSG10.html#group48D10", "48D¹⁰")</f>
        <v/>
      </c>
      <c r="L5647" t="inlineStr"/>
      <c r="M5647">
        <f>HYPERLINK("CSG2.html#group12I2", "12I²"), =HYPERLINK("CSG2.html#group24O2", "24O²"), =HYPERLINK("CSG1.html#group24E1", "24E¹"), =HYPERLINK("CSG3.html#group24A3", "24A³"), =HYPERLINK("CSG0.html#group12C0", "12C⁰"), =HYPERLINK("CSG3.html#group48G3", "48G³"), =HYPERLINK("CSG8.html#group48O8", "48O⁸"), =HYPERLINK("CSG0.html#group4C0", "4C⁰"), =HYPERLINK("CSG10.html#group48D10", "48D¹⁰"), =HYPERLINK("CSG1.html#group12M1", "12M¹"), =HYPERLINK("CSG0.html#group2B0", "2B⁰"), =HYPERLINK("CSG2.html#group24C2", "24C²"), =HYPERLINK("CSG0.html#group1A0", "1A⁰"), =HYPERLINK("CSG9.html#group24Q9", "24Q⁹"), =HYPERLINK("CSG0.html#group16E0", "16E⁰"), =HYPERLINK("CSG4.html#group48E4", "48E⁴"), =HYPERLINK("CSG3.html#group48D3", "48D³"), =HYPERLINK("CSG0.html#group6H0", "6H⁰"), =HYPERLINK("CSG0.html#group3A0", "3A⁰"), =HYPERLINK("CSG5.html#group24G5", "24G⁵"), =HYPERLINK("CSG2.html#group16D2", "16D²"), =HYPERLINK("CSG9.html#group48T9", "48T⁹"), =HYPERLINK("CSG0.html#group6B0", "6B⁰"), =HYPERLINK("CSG1.html#group8A1", "8A¹"), =HYPERLINK("CSG0.html#group8D0", "8D⁰"), =HYPERLINK("CSG4.html#group48H4", "48H⁴"), =HYPERLINK("CSG0.html#group12F0", "12F⁰"), =HYPERLINK("CSG9.html#group48U9", "48U⁹"), =HYPERLINK("CSG5.html#group24D5", "24D⁵"), =HYPERLINK("CSG0.html#group12A0", "12A⁰"), =HYPERLINK("CSG1.html#group8C1", "8C¹"), =HYPERLINK("CSG0.html#group4A0", "4A⁰"), =HYPERLINK("CSG6.html#group48J6", "48J⁶"), =HYPERLINK("CSG1.html#group16C1", "16C¹"), =HYPERLINK("CSG4.html#group24K4", "24K⁴"), =HYPERLINK("CSG1.html#group24C1", "24C¹"), =HYPERLINK("CSG1.html#group12J1", "12J¹"), =HYPERLINK("CSG0.html#group12D0", "12D⁰"), =HYPERLINK("CSG0.html#group4F0", "4F⁰"), =HYPERLINK("CSG10.html#group48C10", "48C¹⁰"), =HYPERLINK("CSG0.html#group12H0", "12H⁰"), =HYPERLINK("CSG4.html#group24L4", "24L⁴"), =HYPERLINK("CSG0.html#group6D0", "6D⁰"), =HYPERLINK("CSG5.html#group24B5", "24B⁵")</f>
        <v/>
      </c>
      <c r="N5647" t="inlineStr"/>
    </row>
    <row r="5648">
      <c r="A5648" t="inlineStr">
        <is>
          <t>48Z¹⁹</t>
        </is>
      </c>
      <c r="B5648" t="inlineStr"/>
      <c r="C5648" t="inlineStr">
        <is>
          <t>288</t>
        </is>
      </c>
      <c r="D5648" t="inlineStr">
        <is>
          <t>1</t>
        </is>
      </c>
      <c r="E5648" t="inlineStr">
        <is>
          <t>36</t>
        </is>
      </c>
      <c r="F5648" t="inlineStr">
        <is>
          <t>0</t>
        </is>
      </c>
      <c r="G5648" t="inlineStr">
        <is>
          <t>0</t>
        </is>
      </c>
      <c r="H5648" t="inlineStr">
        <is>
          <t>12⁸, 48⁴</t>
        </is>
      </c>
      <c r="I5648" t="n">
        <v>12</v>
      </c>
      <c r="J5648" t="inlineStr">
        <is>
          <t>1², 2³, 4³, 8²</t>
        </is>
      </c>
      <c r="K5648">
        <f>HYPERLINK("CSG7.html#group48AA7", "48AA⁷"), =HYPERLINK("CSG8.html#group48P8", "48P⁸"), =HYPERLINK("CSG8.html#group48Q8", "48Q⁸"), =HYPERLINK("CSG9.html#group24R9", "24R⁹"), =HYPERLINK("CSG9.html#group48S9", "48S⁹"), =HYPERLINK("CSG10.html#group48C10", "48C¹⁰"), =HYPERLINK("CSG10.html#group48D10", "48D¹⁰")</f>
        <v/>
      </c>
      <c r="L5648" t="inlineStr"/>
      <c r="M5648">
        <f>HYPERLINK("CSG3.html#group24Q3", "24Q³"), =HYPERLINK("CSG1.html#group24E1", "24E¹"), =HYPERLINK("CSG3.html#group24A3", "24A³"), =HYPERLINK("CSG0.html#group12C0", "12C⁰"), =HYPERLINK("CSG3.html#group48G3", "48G³"), =HYPERLINK("CSG0.html#group4C0", "4C⁰"), =HYPERLINK("CSG10.html#group48D10", "48D¹⁰"), =HYPERLINK("CSG0.html#group6G0", "6G⁰"), =HYPERLINK("CSG0.html#group2B0", "2B⁰"), =HYPERLINK("CSG1.html#group12M1", "12M¹"), =HYPERLINK("CSG3.html#group24P3", "24P³"), =HYPERLINK("CSG5.html#group24E5", "24E⁵"), =HYPERLINK("CSG0.html#group1A0", "1A⁰"), =HYPERLINK("CSG3.html#group24O3", "24O³"), =HYPERLINK("CSG0.html#group16E0", "16E⁰"), =HYPERLINK("CSG4.html#group48E4", "48E⁴"), =HYPERLINK("CSG9.html#group48S9", "48S⁹"), =HYPERLINK("CSG0.html#group3C0", "3C⁰"), =HYPERLINK("CSG3.html#group48D3", "48D³"), =HYPERLINK("CSG0.html#group3A0", "3A⁰"), =HYPERLINK("CSG2.html#group16D2", "16D²"), =HYPERLINK("CSG5.html#group24G5", "24G⁵"), =HYPERLINK("CSG1.html#group12G1", "12G¹"), =HYPERLINK("CSG1.html#group8A1", "8A¹"), =HYPERLINK("CSG4.html#group48H4", "48H⁴"), =HYPERLINK("CSG0.html#group8D0", "8D⁰"), =HYPERLINK("CSG1.html#group24D1", "24D¹"), =HYPERLINK("CSG8.html#group48P8", "48P⁸"), =HYPERLINK("CSG8.html#group48Q8", "48Q⁸"), =HYPERLINK("CSG1.html#group12L1", "12L¹"), =HYPERLINK("CSG3.html#group12J3", "12J³"), =HYPERLINK("CSG9.html#group24R9", "24R⁹"), =HYPERLINK("CSG0.html#group12A0", "12A⁰"), =HYPERLINK("CSG1.html#group8C1", "8C¹"), =HYPERLINK("CSG1.html#group12C1", "12C¹"), =HYPERLINK("CSG0.html#group4A0", "4A⁰"), =HYPERLINK("CSG1.html#group16C1", "16C¹"), =HYPERLINK("CSG1.html#group24C1", "24C¹"), =HYPERLINK("CSG1.html#group12J1", "12J¹"), =HYPERLINK("CSG0.html#group4F0", "4F⁰"), =HYPERLINK("CSG10.html#group48C10", "48C¹⁰"), =HYPERLINK("CSG7.html#group48AA7", "48AA⁷"), =HYPERLINK("CSG0.html#group6D0", "6D⁰"), =HYPERLINK("CSG5.html#group24B5", "24B⁵")</f>
        <v/>
      </c>
      <c r="N5648" t="inlineStr"/>
    </row>
    <row r="5649">
      <c r="A5649" t="inlineStr">
        <is>
          <t>48AA¹⁹</t>
        </is>
      </c>
      <c r="B5649" t="inlineStr"/>
      <c r="C5649" t="inlineStr">
        <is>
          <t>288</t>
        </is>
      </c>
      <c r="D5649" t="inlineStr">
        <is>
          <t>1</t>
        </is>
      </c>
      <c r="E5649" t="inlineStr">
        <is>
          <t>36</t>
        </is>
      </c>
      <c r="F5649" t="inlineStr">
        <is>
          <t>0</t>
        </is>
      </c>
      <c r="G5649" t="inlineStr">
        <is>
          <t>0</t>
        </is>
      </c>
      <c r="H5649" t="inlineStr">
        <is>
          <t>12⁸, 48⁴</t>
        </is>
      </c>
      <c r="I5649" t="n">
        <v>12</v>
      </c>
      <c r="J5649" t="inlineStr">
        <is>
          <t>2⁸, 4³, 8¹</t>
        </is>
      </c>
      <c r="K5649">
        <f>HYPERLINK("CSG7.html#group24N7", "24N⁷"), =HYPERLINK("CSG10.html#group48E10", "48E¹⁰")</f>
        <v/>
      </c>
      <c r="L5649" t="inlineStr"/>
      <c r="M5649">
        <f>HYPERLINK("CSG4.html#group24I4", "24I⁴"), =HYPERLINK("CSG1.html#group12K1", "12K¹"), =HYPERLINK("CSG2.html#group12D2", "12D²"), =HYPERLINK("CSG0.html#group6G0", "6G⁰"), =HYPERLINK("CSG0.html#group2B0", "2B⁰"), =HYPERLINK("CSG0.html#group8C0", "8C⁰"), =HYPERLINK("CSG1.html#group12N1", "12N¹"), =HYPERLINK("CSG0.html#group4B0", "4B⁰"), =HYPERLINK("CSG0.html#group1A0", "1A⁰"), =HYPERLINK("CSG2.html#group24B2", "24B²"), =HYPERLINK("CSG2.html#group24D2", "24D²"), =HYPERLINK("CSG0.html#group3C0", "3C⁰"), =HYPERLINK("CSG1.html#group12B1", "12B¹"), =HYPERLINK("CSG3.html#group24K3", "24K³"), =HYPERLINK("CSG0.html#group6H0", "6H⁰"), =HYPERLINK("CSG0.html#group3A0", "3A⁰"), =HYPERLINK("CSG10.html#group48E10", "48E¹⁰"), =HYPERLINK("CSG0.html#group6B0", "6B⁰"), =HYPERLINK("CSG7.html#group24N7", "24N⁷"), =HYPERLINK("CSG4.html#group24J4", "24J⁴"), =HYPERLINK("CSG1.html#group12C1", "12C¹"), =HYPERLINK("CSG0.html#group6E0", "6E⁰"), =HYPERLINK("CSG0.html#group6L0", "6L⁰"), =HYPERLINK("CSG3.html#group12E3", "12E³"), =HYPERLINK("CSG0.html#group12D0", "12D⁰"), =HYPERLINK("CSG3.html#group24L3", "24L³"), =HYPERLINK("CSG2.html#group12C2", "12C²"), =HYPERLINK("CSG0.html#group6D0", "6D⁰")</f>
        <v/>
      </c>
      <c r="N5649" t="inlineStr"/>
    </row>
    <row r="5650">
      <c r="A5650" t="inlineStr">
        <is>
          <t>48AB¹⁹</t>
        </is>
      </c>
      <c r="B5650" t="inlineStr"/>
      <c r="C5650" t="inlineStr">
        <is>
          <t>288</t>
        </is>
      </c>
      <c r="D5650" t="inlineStr">
        <is>
          <t>1</t>
        </is>
      </c>
      <c r="E5650" t="inlineStr">
        <is>
          <t>36</t>
        </is>
      </c>
      <c r="F5650" t="inlineStr">
        <is>
          <t>8</t>
        </is>
      </c>
      <c r="G5650" t="inlineStr">
        <is>
          <t>0</t>
        </is>
      </c>
      <c r="H5650" t="inlineStr">
        <is>
          <t>24⁴, 48⁴</t>
        </is>
      </c>
      <c r="I5650" t="n">
        <v>8</v>
      </c>
      <c r="J5650" t="inlineStr">
        <is>
          <t>2², 4⁴, 8²</t>
        </is>
      </c>
      <c r="K5650">
        <f>HYPERLINK("CSG7.html#group24K7", "24K⁷"), =HYPERLINK("CSG7.html#group48AB7", "48AB⁷"), =HYPERLINK("CSG9.html#group48K9", "48K⁹")</f>
        <v/>
      </c>
      <c r="L5650" t="inlineStr"/>
      <c r="M5650">
        <f>HYPERLINK("CSG7.html#group24K7", "24K⁷"), =HYPERLINK("CSG0.html#group12C0", "12C⁰"), =HYPERLINK("CSG0.html#group8D0", "8D⁰"), =HYPERLINK("CSG9.html#group48K9", "48K⁹"), =HYPERLINK("CSG0.html#group4C0", "4C⁰"), =HYPERLINK("CSG0.html#group8B0", "8B⁰"), =HYPERLINK("CSG0.html#group8A0", "8A⁰"), =HYPERLINK("CSG0.html#group2B0", "2B⁰"), =HYPERLINK("CSG2.html#group24L2", "24L²"), =HYPERLINK("CSG0.html#group8K0", "8K⁰"), =HYPERLINK("CSG0.html#group1A0", "1A⁰"), =HYPERLINK("CSG1.html#group8D1", "8D¹"), =HYPERLINK("CSG1.html#group8H1", "8H¹"), =HYPERLINK("CSG3.html#group24J3", "24J³"), =HYPERLINK("CSG0.html#group8H0", "8H⁰"), =HYPERLINK("CSG4.html#group48C4", "48C⁴"), =HYPERLINK("CSG7.html#group48AB7", "48AB⁷"), =HYPERLINK("CSG4.html#group24H4", "24H⁴"), =HYPERLINK("CSG0.html#group12A0", "12A⁰"), =HYPERLINK("CSG1.html#group24A1", "24A¹"), =HYPERLINK("CSG0.html#group24A0", "24A⁰"), =HYPERLINK("CSG0.html#group4A0", "4A⁰"), =HYPERLINK("CSG1.html#group24C1", "24C¹"), =HYPERLINK("CSG1.html#group12J1", "12J¹"), =HYPERLINK("CSG0.html#group4F0", "4F⁰"), =HYPERLINK("CSG3.html#group48F3", "48F³"), =HYPERLINK("CSG0.html#group3A0", "3A⁰"), =HYPERLINK("CSG0.html#group6D0", "6D⁰")</f>
        <v/>
      </c>
      <c r="N5650" t="inlineStr"/>
    </row>
    <row r="5651">
      <c r="A5651" t="inlineStr">
        <is>
          <t>48AC¹⁹</t>
        </is>
      </c>
      <c r="B5651" t="inlineStr"/>
      <c r="C5651" t="inlineStr">
        <is>
          <t>288</t>
        </is>
      </c>
      <c r="D5651" t="inlineStr">
        <is>
          <t>1</t>
        </is>
      </c>
      <c r="E5651" t="inlineStr">
        <is>
          <t>36</t>
        </is>
      </c>
      <c r="F5651" t="inlineStr">
        <is>
          <t>8</t>
        </is>
      </c>
      <c r="G5651" t="inlineStr">
        <is>
          <t>0</t>
        </is>
      </c>
      <c r="H5651" t="inlineStr">
        <is>
          <t>24⁴, 48⁴</t>
        </is>
      </c>
      <c r="I5651" t="n">
        <v>8</v>
      </c>
      <c r="J5651" t="inlineStr">
        <is>
          <t>2², 4⁴, 8²</t>
        </is>
      </c>
      <c r="K5651">
        <f>HYPERLINK("CSG7.html#group24AB7", "24AB⁷"), =HYPERLINK("CSG7.html#group48O7", "48O⁷"), =HYPERLINK("CSG9.html#group48K9", "48K⁹")</f>
        <v/>
      </c>
      <c r="L5651" t="inlineStr"/>
      <c r="M5651">
        <f>HYPERLINK("CSG4.html#group24O4", "24O⁴"), =HYPERLINK("CSG0.html#group12C0", "12C⁰"), =HYPERLINK("CSG0.html#group8D0", "8D⁰"), =HYPERLINK("CSG9.html#group48K9", "48K⁹"), =HYPERLINK("CSG0.html#group4C0", "4C⁰"), =HYPERLINK("CSG0.html#group8B0", "8B⁰"), =HYPERLINK("CSG0.html#group2B0", "2B⁰"), =HYPERLINK("CSG1.html#group24B1", "24B¹"), =HYPERLINK("CSG2.html#group24L2", "24L²"), =HYPERLINK("CSG0.html#group1A0", "1A⁰"), =HYPERLINK("CSG4.html#group48C4", "48C⁴"), =HYPERLINK("CSG0.html#group8H0", "8H⁰"), =HYPERLINK("CSG0.html#group12A0", "12A⁰"), =HYPERLINK("CSG0.html#group24A0", "24A⁰"), =HYPERLINK("CSG0.html#group4A0", "4A⁰"), =HYPERLINK("CSG1.html#group24C1", "24C¹"), =HYPERLINK("CSG3.html#group48F3", "48F³"), =HYPERLINK("CSG7.html#group24AB7", "24AB⁷"), =HYPERLINK("CSG1.html#group12J1", "12J¹"), =HYPERLINK("CSG0.html#group4F0", "4F⁰"), =HYPERLINK("CSG3.html#group24R3", "24R³"), =HYPERLINK("CSG0.html#group3A0", "3A⁰"), =HYPERLINK("CSG7.html#group48O7", "48O⁷"), =HYPERLINK("CSG1.html#group16H1", "16H¹"), =HYPERLINK("CSG0.html#group6D0", "6D⁰")</f>
        <v/>
      </c>
      <c r="N5651" t="inlineStr"/>
    </row>
    <row r="5652">
      <c r="A5652" t="inlineStr">
        <is>
          <t>48AD¹⁹</t>
        </is>
      </c>
      <c r="B5652" t="inlineStr"/>
      <c r="C5652" t="inlineStr">
        <is>
          <t>288</t>
        </is>
      </c>
      <c r="D5652" t="inlineStr">
        <is>
          <t>1</t>
        </is>
      </c>
      <c r="E5652" t="inlineStr">
        <is>
          <t>36</t>
        </is>
      </c>
      <c r="F5652" t="inlineStr">
        <is>
          <t>8</t>
        </is>
      </c>
      <c r="G5652" t="inlineStr">
        <is>
          <t>0</t>
        </is>
      </c>
      <c r="H5652" t="inlineStr">
        <is>
          <t>24⁴, 48⁴</t>
        </is>
      </c>
      <c r="I5652" t="n">
        <v>8</v>
      </c>
      <c r="J5652" t="inlineStr">
        <is>
          <t>1², 2³, 4³, 8²</t>
        </is>
      </c>
      <c r="K5652">
        <f>HYPERLINK("CSG7.html#group24L7", "24L⁷"), =HYPERLINK("CSG7.html#group48AC7", "48AC⁷"), =HYPERLINK("CSG9.html#group48K9", "48K⁹")</f>
        <v/>
      </c>
      <c r="L5652" t="inlineStr"/>
      <c r="M5652">
        <f>HYPERLINK("CSG0.html#group12C0", "12C⁰"), =HYPERLINK("CSG3.html#group48G3", "48G³"), =HYPERLINK("CSG7.html#group48AC7", "48AC⁷"), =HYPERLINK("CSG4.html#group48H4", "48H⁴"), =HYPERLINK("CSG0.html#group8D0", "8D⁰"), =HYPERLINK("CSG9.html#group48K9", "48K⁹"), =HYPERLINK("CSG0.html#group4C0", "4C⁰"), =HYPERLINK("CSG0.html#group8B0", "8B⁰"), =HYPERLINK("CSG0.html#group2B0", "2B⁰"), =HYPERLINK("CSG2.html#group24L2", "24L²"), =HYPERLINK("CSG0.html#group1A0", "1A⁰"), =HYPERLINK("CSG4.html#group48C4", "48C⁴"), =HYPERLINK("CSG0.html#group8H0", "8H⁰"), =HYPERLINK("CSG1.html#group24F1", "24F¹"), =HYPERLINK("CSG0.html#group12A0", "12A⁰"), =HYPERLINK("CSG0.html#group8F0", "8F⁰"), =HYPERLINK("CSG0.html#group24A0", "24A⁰"), =HYPERLINK("CSG0.html#group4A0", "4A⁰"), =HYPERLINK("CSG1.html#group8I1", "8I¹"), =HYPERLINK("CSG1.html#group24C1", "24C¹"), =HYPERLINK("CSG7.html#group24L7", "24L⁷"), =HYPERLINK("CSG1.html#group12J1", "12J¹"), =HYPERLINK("CSG0.html#group4F0", "4F⁰"), =HYPERLINK("CSG3.html#group48F3", "48F³"), =HYPERLINK("CSG0.html#group3A0", "3A⁰"), =HYPERLINK("CSG0.html#group6D0", "6D⁰")</f>
        <v/>
      </c>
      <c r="N5652" t="inlineStr"/>
    </row>
    <row r="5653">
      <c r="A5653" t="inlineStr">
        <is>
          <t>48AE¹⁹</t>
        </is>
      </c>
      <c r="B5653" t="inlineStr"/>
      <c r="C5653" t="inlineStr">
        <is>
          <t>288</t>
        </is>
      </c>
      <c r="D5653" t="inlineStr">
        <is>
          <t>1</t>
        </is>
      </c>
      <c r="E5653" t="inlineStr">
        <is>
          <t>36</t>
        </is>
      </c>
      <c r="F5653" t="inlineStr">
        <is>
          <t>8</t>
        </is>
      </c>
      <c r="G5653" t="inlineStr">
        <is>
          <t>0</t>
        </is>
      </c>
      <c r="H5653" t="inlineStr">
        <is>
          <t>24⁴, 48⁴</t>
        </is>
      </c>
      <c r="I5653" t="n">
        <v>8</v>
      </c>
      <c r="J5653" t="inlineStr">
        <is>
          <t>1², 2³, 4³, 8²</t>
        </is>
      </c>
      <c r="K5653">
        <f>HYPERLINK("CSG7.html#group24AC7", "24AC⁷"), =HYPERLINK("CSG7.html#group48P7", "48P⁷"), =HYPERLINK("CSG9.html#group48K9", "48K⁹")</f>
        <v/>
      </c>
      <c r="L5653" t="inlineStr"/>
      <c r="M5653">
        <f>HYPERLINK("CSG0.html#group12C0", "12C⁰"), =HYPERLINK("CSG7.html#group24AC7", "24AC⁷"), =HYPERLINK("CSG1.html#group16I1", "16I¹"), =HYPERLINK("CSG0.html#group8D0", "8D⁰"), =HYPERLINK("CSG9.html#group48K9", "48K⁹"), =HYPERLINK("CSG0.html#group4C0", "4C⁰"), =HYPERLINK("CSG7.html#group48P7", "48P⁷"), =HYPERLINK("CSG0.html#group8B0", "8B⁰"), =HYPERLINK("CSG0.html#group2B0", "2B⁰"), =HYPERLINK("CSG2.html#group24L2", "24L²"), =HYPERLINK("CSG0.html#group1A0", "1A⁰"), =HYPERLINK("CSG4.html#group48C4", "48C⁴"), =HYPERLINK("CSG0.html#group8H0", "8H⁰"), =HYPERLINK("CSG0.html#group16E0", "16E⁰"), =HYPERLINK("CSG0.html#group12A0", "12A⁰"), =HYPERLINK("CSG4.html#group48E4", "48E⁴"), =HYPERLINK("CSG0.html#group24A0", "24A⁰"), =HYPERLINK("CSG0.html#group4A0", "4A⁰"), =HYPERLINK("CSG1.html#group16C1", "16C¹"), =HYPERLINK("CSG1.html#group24C1", "24C¹"), =HYPERLINK("CSG3.html#group48F3", "48F³"), =HYPERLINK("CSG1.html#group12J1", "12J¹"), =HYPERLINK("CSG3.html#group48D3", "48D³"), =HYPERLINK("CSG0.html#group4F0", "4F⁰"), =HYPERLINK("CSG0.html#group3A0", "3A⁰"), =HYPERLINK("CSG0.html#group6D0", "6D⁰")</f>
        <v/>
      </c>
      <c r="N5653" t="inlineStr"/>
    </row>
    <row r="5654">
      <c r="A5654" t="inlineStr">
        <is>
          <t>48AF¹⁹</t>
        </is>
      </c>
      <c r="B5654" t="inlineStr"/>
      <c r="C5654" t="inlineStr">
        <is>
          <t>288</t>
        </is>
      </c>
      <c r="D5654" t="inlineStr">
        <is>
          <t>1</t>
        </is>
      </c>
      <c r="E5654" t="inlineStr">
        <is>
          <t>36</t>
        </is>
      </c>
      <c r="F5654" t="inlineStr">
        <is>
          <t>8</t>
        </is>
      </c>
      <c r="G5654" t="inlineStr">
        <is>
          <t>0</t>
        </is>
      </c>
      <c r="H5654" t="inlineStr">
        <is>
          <t>24⁴, 48⁴</t>
        </is>
      </c>
      <c r="I5654" t="n">
        <v>8</v>
      </c>
      <c r="J5654" t="inlineStr">
        <is>
          <t>2², 4⁸</t>
        </is>
      </c>
      <c r="K5654">
        <f>HYPERLINK("CSG7.html#group24P7", "24P⁷"), =HYPERLINK("CSG9.html#group48H9", "48H⁹"), =HYPERLINK("CSG9.html#group48V9", "48V⁹")</f>
        <v/>
      </c>
      <c r="L5654" t="inlineStr"/>
      <c r="M5654">
        <f>HYPERLINK("CSG9.html#group48V9", "48V⁹"), =HYPERLINK("CSG3.html#group24Q3", "24Q³"), =HYPERLINK("CSG1.html#group24E1", "24E¹"), =HYPERLINK("CSG7.html#group24P7", "24P⁷"), =HYPERLINK("CSG0.html#group12C0", "12C⁰"), =HYPERLINK("CSG0.html#group8D0", "8D⁰"), =HYPERLINK("CSG0.html#group4C0", "4C⁰"), =HYPERLINK("CSG1.html#group24D1", "24D¹"), =HYPERLINK("CSG0.html#group6G0", "6G⁰"), =HYPERLINK("CSG0.html#group2B0", "2B⁰"), =HYPERLINK("CSG1.html#group12M1", "12M¹"), =HYPERLINK("CSG0.html#group1A0", "1A⁰"), =HYPERLINK("CSG1.html#group12L1", "12L¹"), =HYPERLINK("CSG3.html#group24O3", "24O³"), =HYPERLINK("CSG1.html#group12C1", "12C¹"), =HYPERLINK("CSG3.html#group24H3", "24H³"), =HYPERLINK("CSG9.html#group48H9", "48H⁹"), =HYPERLINK("CSG3.html#group12I3", "12I³"), =HYPERLINK("CSG3.html#group24T3", "24T³"), =HYPERLINK("CSG0.html#group3C0", "3C⁰"), =HYPERLINK("CSG1.html#group24C1", "24C¹"), =HYPERLINK("CSG0.html#group3A0", "3A⁰"), =HYPERLINK("CSG0.html#group6D0", "6D⁰")</f>
        <v/>
      </c>
      <c r="N5654" t="inlineStr"/>
    </row>
    <row r="5655">
      <c r="A5655" t="inlineStr">
        <is>
          <t>48AG¹⁹</t>
        </is>
      </c>
      <c r="B5655" t="inlineStr"/>
      <c r="C5655" t="inlineStr">
        <is>
          <t>288</t>
        </is>
      </c>
      <c r="D5655" t="inlineStr">
        <is>
          <t>1</t>
        </is>
      </c>
      <c r="E5655" t="inlineStr">
        <is>
          <t>36</t>
        </is>
      </c>
      <c r="F5655" t="inlineStr">
        <is>
          <t>8</t>
        </is>
      </c>
      <c r="G5655" t="inlineStr">
        <is>
          <t>0</t>
        </is>
      </c>
      <c r="H5655" t="inlineStr">
        <is>
          <t>24⁴, 48⁴</t>
        </is>
      </c>
      <c r="I5655" t="n">
        <v>8</v>
      </c>
      <c r="J5655" t="inlineStr">
        <is>
          <t>2², 4⁸</t>
        </is>
      </c>
      <c r="K5655">
        <f>HYPERLINK("CSG7.html#group24P7", "24P⁷"), =HYPERLINK("CSG9.html#group48I9", "48I⁹"), =HYPERLINK("CSG9.html#group48V9", "48V⁹")</f>
        <v/>
      </c>
      <c r="L5655" t="inlineStr"/>
      <c r="M5655">
        <f>HYPERLINK("CSG9.html#group48V9", "48V⁹"), =HYPERLINK("CSG3.html#group24Q3", "24Q³"), =HYPERLINK("CSG1.html#group24E1", "24E¹"), =HYPERLINK("CSG7.html#group24P7", "24P⁷"), =HYPERLINK("CSG0.html#group12C0", "12C⁰"), =HYPERLINK("CSG0.html#group8D0", "8D⁰"), =HYPERLINK("CSG0.html#group4C0", "4C⁰"), =HYPERLINK("CSG1.html#group24D1", "24D¹"), =HYPERLINK("CSG0.html#group6G0", "6G⁰"), =HYPERLINK("CSG0.html#group2B0", "2B⁰"), =HYPERLINK("CSG9.html#group48I9", "48I⁹"), =HYPERLINK("CSG1.html#group12M1", "12M¹"), =HYPERLINK("CSG0.html#group1A0", "1A⁰"), =HYPERLINK("CSG1.html#group12L1", "12L¹"), =HYPERLINK("CSG3.html#group24O3", "24O³"), =HYPERLINK("CSG1.html#group12C1", "12C¹"), =HYPERLINK("CSG3.html#group24H3", "24H³"), =HYPERLINK("CSG3.html#group12I3", "12I³"), =HYPERLINK("CSG3.html#group24T3", "24T³"), =HYPERLINK("CSG0.html#group3C0", "3C⁰"), =HYPERLINK("CSG1.html#group24C1", "24C¹"), =HYPERLINK("CSG0.html#group3A0", "3A⁰"), =HYPERLINK("CSG0.html#group6D0", "6D⁰")</f>
        <v/>
      </c>
      <c r="N5655" t="inlineStr"/>
    </row>
    <row r="5656">
      <c r="A5656" t="inlineStr">
        <is>
          <t>48AH¹⁹</t>
        </is>
      </c>
      <c r="B5656" t="inlineStr"/>
      <c r="C5656" t="inlineStr">
        <is>
          <t>288</t>
        </is>
      </c>
      <c r="D5656" t="inlineStr">
        <is>
          <t>1</t>
        </is>
      </c>
      <c r="E5656" t="inlineStr">
        <is>
          <t>36</t>
        </is>
      </c>
      <c r="F5656" t="inlineStr">
        <is>
          <t>8</t>
        </is>
      </c>
      <c r="G5656" t="inlineStr">
        <is>
          <t>0</t>
        </is>
      </c>
      <c r="H5656" t="inlineStr">
        <is>
          <t>24⁴, 48⁴</t>
        </is>
      </c>
      <c r="I5656" t="n">
        <v>8</v>
      </c>
      <c r="J5656" t="inlineStr">
        <is>
          <t>2², 4⁸</t>
        </is>
      </c>
      <c r="K5656">
        <f>HYPERLINK("CSG7.html#group24Q7", "24Q⁷"), =HYPERLINK("CSG9.html#group48H9", "48H⁹"), =HYPERLINK("CSG9.html#group48V9", "48V⁹")</f>
        <v/>
      </c>
      <c r="L5656" t="inlineStr"/>
      <c r="M5656">
        <f>HYPERLINK("CSG1.html#group24E1", "24E¹"), =HYPERLINK("CSG0.html#group12C0", "12C⁰"), =HYPERLINK("CSG0.html#group4C0", "4C⁰"), =HYPERLINK("CSG0.html#group6G0", "6G⁰"), =HYPERLINK("CSG0.html#group2B0", "2B⁰"), =HYPERLINK("CSG1.html#group12M1", "12M¹"), =HYPERLINK("CSG3.html#group24P3", "24P³"), =HYPERLINK("CSG0.html#group1A0", "1A⁰"), =HYPERLINK("CSG3.html#group24H3", "24H³"), =HYPERLINK("CSG3.html#group24N3", "24N³"), =HYPERLINK("CSG3.html#group24T3", "24T³"), =HYPERLINK("CSG0.html#group3C0", "3C⁰"), =HYPERLINK("CSG0.html#group3A0", "3A⁰"), =HYPERLINK("CSG9.html#group48V9", "48V⁹"), =HYPERLINK("CSG1.html#group12G1", "12G¹"), =HYPERLINK("CSG1.html#group24D1", "24D¹"), =HYPERLINK("CSG1.html#group12L1", "12L¹"), =HYPERLINK("CSG3.html#group12J3", "12J³"), =HYPERLINK("CSG0.html#group12A0", "12A⁰"), =HYPERLINK("CSG1.html#group12C1", "12C¹"), =HYPERLINK("CSG9.html#group48H9", "48H⁹"), =HYPERLINK("CSG0.html#group4A0", "4A⁰"), =HYPERLINK("CSG1.html#group12J1", "12J¹"), =HYPERLINK("CSG0.html#group4F0", "4F⁰"), =HYPERLINK("CSG7.html#group24Q7", "24Q⁷"), =HYPERLINK("CSG0.html#group6D0", "6D⁰")</f>
        <v/>
      </c>
      <c r="N5656" t="inlineStr"/>
    </row>
    <row r="5657">
      <c r="A5657" t="inlineStr">
        <is>
          <t>48AI¹⁹</t>
        </is>
      </c>
      <c r="B5657" t="inlineStr"/>
      <c r="C5657" t="inlineStr">
        <is>
          <t>288</t>
        </is>
      </c>
      <c r="D5657" t="inlineStr">
        <is>
          <t>1</t>
        </is>
      </c>
      <c r="E5657" t="inlineStr">
        <is>
          <t>36</t>
        </is>
      </c>
      <c r="F5657" t="inlineStr">
        <is>
          <t>8</t>
        </is>
      </c>
      <c r="G5657" t="inlineStr">
        <is>
          <t>0</t>
        </is>
      </c>
      <c r="H5657" t="inlineStr">
        <is>
          <t>24⁴, 48⁴</t>
        </is>
      </c>
      <c r="I5657" t="n">
        <v>8</v>
      </c>
      <c r="J5657" t="inlineStr">
        <is>
          <t>2², 4⁸</t>
        </is>
      </c>
      <c r="K5657">
        <f>HYPERLINK("CSG7.html#group24Q7", "24Q⁷"), =HYPERLINK("CSG9.html#group48I9", "48I⁹"), =HYPERLINK("CSG9.html#group48V9", "48V⁹")</f>
        <v/>
      </c>
      <c r="L5657" t="inlineStr"/>
      <c r="M5657">
        <f>HYPERLINK("CSG1.html#group24E1", "24E¹"), =HYPERLINK("CSG0.html#group12C0", "12C⁰"), =HYPERLINK("CSG0.html#group4C0", "4C⁰"), =HYPERLINK("CSG0.html#group6G0", "6G⁰"), =HYPERLINK("CSG0.html#group2B0", "2B⁰"), =HYPERLINK("CSG1.html#group12M1", "12M¹"), =HYPERLINK("CSG3.html#group24P3", "24P³"), =HYPERLINK("CSG0.html#group1A0", "1A⁰"), =HYPERLINK("CSG3.html#group24H3", "24H³"), =HYPERLINK("CSG3.html#group24N3", "24N³"), =HYPERLINK("CSG3.html#group24T3", "24T³"), =HYPERLINK("CSG0.html#group3C0", "3C⁰"), =HYPERLINK("CSG0.html#group3A0", "3A⁰"), =HYPERLINK("CSG9.html#group48V9", "48V⁹"), =HYPERLINK("CSG1.html#group12G1", "12G¹"), =HYPERLINK("CSG1.html#group24D1", "24D¹"), =HYPERLINK("CSG9.html#group48I9", "48I⁹"), =HYPERLINK("CSG1.html#group12L1", "12L¹"), =HYPERLINK("CSG3.html#group12J3", "12J³"), =HYPERLINK("CSG0.html#group12A0", "12A⁰"), =HYPERLINK("CSG1.html#group12C1", "12C¹"), =HYPERLINK("CSG0.html#group4A0", "4A⁰"), =HYPERLINK("CSG1.html#group12J1", "12J¹"), =HYPERLINK("CSG0.html#group4F0", "4F⁰"), =HYPERLINK("CSG7.html#group24Q7", "24Q⁷"), =HYPERLINK("CSG0.html#group6D0", "6D⁰")</f>
        <v/>
      </c>
      <c r="N5657" t="inlineStr"/>
    </row>
    <row r="5658">
      <c r="A5658" t="inlineStr">
        <is>
          <t>48AJ¹⁹</t>
        </is>
      </c>
      <c r="B5658" t="inlineStr"/>
      <c r="C5658" t="inlineStr">
        <is>
          <t>288</t>
        </is>
      </c>
      <c r="D5658" t="inlineStr">
        <is>
          <t>1</t>
        </is>
      </c>
      <c r="E5658" t="inlineStr">
        <is>
          <t>36</t>
        </is>
      </c>
      <c r="F5658" t="inlineStr">
        <is>
          <t>8</t>
        </is>
      </c>
      <c r="G5658" t="inlineStr">
        <is>
          <t>0</t>
        </is>
      </c>
      <c r="H5658" t="inlineStr">
        <is>
          <t>24⁴, 48⁴</t>
        </is>
      </c>
      <c r="I5658" t="n">
        <v>8</v>
      </c>
      <c r="J5658" t="inlineStr">
        <is>
          <t>2⁶, 4⁶</t>
        </is>
      </c>
      <c r="K5658">
        <f>HYPERLINK("CSG6.html#group24D6", "24D⁶"), =HYPERLINK("CSG8.html#group48R8", "48R⁸"), =HYPERLINK("CSG8.html#group48AA8", "48AA⁸"), =HYPERLINK("CSG9.html#group48K9", "48K⁹"), =HYPERLINK("CSG9.html#group48X9", "48X⁹")</f>
        <v/>
      </c>
      <c r="L5658" t="inlineStr"/>
      <c r="M5658">
        <f>HYPERLINK("CSG6.html#group24D6", "24D⁶"), =HYPERLINK("CSG0.html#group12C0", "12C⁰"), =HYPERLINK("CSG8.html#group48R8", "48R⁸"), =HYPERLINK("CSG0.html#group8D0", "8D⁰"), =HYPERLINK("CSG9.html#group48K9", "48K⁹"), =HYPERLINK("CSG0.html#group4C0", "4C⁰"), =HYPERLINK("CSG0.html#group8B0", "8B⁰"), =HYPERLINK("CSG0.html#group8L0", "8L⁰"), =HYPERLINK("CSG0.html#group2B0", "2B⁰"), =HYPERLINK("CSG2.html#group24L2", "24L²"), =HYPERLINK("CSG0.html#group1A0", "1A⁰"), =HYPERLINK("CSG3.html#group48H3", "48H³"), =HYPERLINK("CSG4.html#group48C4", "48C⁴"), =HYPERLINK("CSG0.html#group8H0", "8H⁰"), =HYPERLINK("CSG0.html#group12A0", "12A⁰"), =HYPERLINK("CSG0.html#group24A0", "24A⁰"), =HYPERLINK("CSG0.html#group4A0", "4A⁰"), =HYPERLINK("CSG2.html#group24M2", "24M²"), =HYPERLINK("CSG0.html#group6D0", "6D⁰"), =HYPERLINK("CSG9.html#group48X9", "48X⁹"), =HYPERLINK("CSG1.html#group24C1", "24C¹"), =HYPERLINK("CSG1.html#group12J1", "12J¹"), =HYPERLINK("CSG0.html#group4F0", "4F⁰"), =HYPERLINK("CSG3.html#group48F3", "48F³"), =HYPERLINK("CSG0.html#group3A0", "3A⁰"), =HYPERLINK("CSG0.html#group8P0", "8P⁰"), =HYPERLINK("CSG8.html#group48AA8", "48AA⁸")</f>
        <v/>
      </c>
      <c r="N5658" t="inlineStr"/>
    </row>
    <row r="5659">
      <c r="A5659" t="inlineStr">
        <is>
          <t>48AK¹⁹</t>
        </is>
      </c>
      <c r="B5659" t="inlineStr"/>
      <c r="C5659" t="inlineStr">
        <is>
          <t>288</t>
        </is>
      </c>
      <c r="D5659" t="inlineStr">
        <is>
          <t>1</t>
        </is>
      </c>
      <c r="E5659" t="inlineStr">
        <is>
          <t>36</t>
        </is>
      </c>
      <c r="F5659" t="inlineStr">
        <is>
          <t>8</t>
        </is>
      </c>
      <c r="G5659" t="inlineStr">
        <is>
          <t>0</t>
        </is>
      </c>
      <c r="H5659" t="inlineStr">
        <is>
          <t>24⁴, 48⁴</t>
        </is>
      </c>
      <c r="I5659" t="n">
        <v>8</v>
      </c>
      <c r="J5659" t="inlineStr">
        <is>
          <t>2⁶, 4⁶</t>
        </is>
      </c>
      <c r="K5659">
        <f>HYPERLINK("CSG6.html#group24G6", "24G⁶"), =HYPERLINK("CSG8.html#group48F8", "48F⁸"), =HYPERLINK("CSG8.html#group48AD8", "48AD⁸"), =HYPERLINK("CSG9.html#group48K9", "48K⁹"), =HYPERLINK("CSG9.html#group48Y9", "48Y⁹")</f>
        <v/>
      </c>
      <c r="L5659" t="inlineStr"/>
      <c r="M5659">
        <f>HYPERLINK("CSG8.html#group48F8", "48F⁸"), =HYPERLINK("CSG0.html#group12C0", "12C⁰"), =HYPERLINK("CSG0.html#group8D0", "8D⁰"), =HYPERLINK("CSG9.html#group48K9", "48K⁹"), =HYPERLINK("CSG0.html#group4C0", "4C⁰"), =HYPERLINK("CSG0.html#group8B0", "8B⁰"), =HYPERLINK("CSG2.html#group24Q2", "24Q²"), =HYPERLINK("CSG0.html#group2B0", "2B⁰"), =HYPERLINK("CSG2.html#group24L2", "24L²"), =HYPERLINK("CSG0.html#group1A0", "1A⁰"), =HYPERLINK("CSG8.html#group48AD8", "48AD⁸"), =HYPERLINK("CSG2.html#group16E2", "16E²"), =HYPERLINK("CSG4.html#group48C4", "48C⁴"), =HYPERLINK("CSG0.html#group8H0", "8H⁰"), =HYPERLINK("CSG6.html#group24G6", "24G⁶"), =HYPERLINK("CSG9.html#group48Y9", "48Y⁹"), =HYPERLINK("CSG0.html#group12A0", "12A⁰"), =HYPERLINK("CSG1.html#group16D1", "16D¹"), =HYPERLINK("CSG0.html#group24A0", "24A⁰"), =HYPERLINK("CSG3.html#group48E3", "48E³"), =HYPERLINK("CSG0.html#group4A0", "4A⁰"), =HYPERLINK("CSG1.html#group24C1", "24C¹"), =HYPERLINK("CSG1.html#group12J1", "12J¹"), =HYPERLINK("CSG0.html#group4F0", "4F⁰"), =HYPERLINK("CSG3.html#group48F3", "48F³"), =HYPERLINK("CSG0.html#group3A0", "3A⁰"), =HYPERLINK("CSG0.html#group6D0", "6D⁰")</f>
        <v/>
      </c>
      <c r="N5659" t="inlineStr"/>
    </row>
    <row r="5660">
      <c r="A5660" t="inlineStr">
        <is>
          <t>48AL¹⁹</t>
        </is>
      </c>
      <c r="B5660" t="inlineStr"/>
      <c r="C5660" t="inlineStr">
        <is>
          <t>288</t>
        </is>
      </c>
      <c r="D5660" t="inlineStr">
        <is>
          <t>1</t>
        </is>
      </c>
      <c r="E5660" t="inlineStr">
        <is>
          <t>36</t>
        </is>
      </c>
      <c r="F5660" t="inlineStr">
        <is>
          <t>8</t>
        </is>
      </c>
      <c r="G5660" t="inlineStr">
        <is>
          <t>0</t>
        </is>
      </c>
      <c r="H5660" t="inlineStr">
        <is>
          <t>24⁴, 48⁴</t>
        </is>
      </c>
      <c r="I5660" t="n">
        <v>8</v>
      </c>
      <c r="J5660" t="inlineStr">
        <is>
          <t>2⁶, 4⁶</t>
        </is>
      </c>
      <c r="K5660">
        <f>HYPERLINK("CSG7.html#group24R7", "24R⁷"), =HYPERLINK("CSG8.html#group48F8", "48F⁸"), =HYPERLINK("CSG8.html#group48R8", "48R⁸"), =HYPERLINK("CSG8.html#group48AB8", "48AB⁸"), =HYPERLINK("CSG9.html#group48Z9", "48Z⁹")</f>
        <v/>
      </c>
      <c r="L5660" t="inlineStr"/>
      <c r="M5660">
        <f>HYPERLINK("CSG8.html#group48AB8", "48AB⁸"), =HYPERLINK("CSG1.html#group24E1", "24E¹"), =HYPERLINK("CSG8.html#group48F8", "48F⁸"), =HYPERLINK("CSG0.html#group12C0", "12C⁰"), =HYPERLINK("CSG8.html#group48R8", "48R⁸"), =HYPERLINK("CSG9.html#group48Z9", "48Z⁹"), =HYPERLINK("CSG0.html#group4C0", "4C⁰"), =HYPERLINK("CSG3.html#group24I3", "24I³"), =HYPERLINK("CSG0.html#group6G0", "6G⁰"), =HYPERLINK("CSG2.html#group24P2", "24P²"), =HYPERLINK("CSG0.html#group2B0", "2B⁰"), =HYPERLINK("CSG1.html#group12M1", "12M¹"), =HYPERLINK("CSG2.html#group24C2", "24C²"), =HYPERLINK("CSG0.html#group1A0", "1A⁰"), =HYPERLINK("CSG3.html#group48H3", "48H³"), =HYPERLINK("CSG2.html#group16E2", "16E²"), =HYPERLINK("CSG3.html#group24O3", "24O³"), =HYPERLINK("CSG1.html#group16D1", "16D¹"), =HYPERLINK("CSG7.html#group24R7", "24R⁷"), =HYPERLINK("CSG0.html#group24A0", "24A⁰"), =HYPERLINK("CSG0.html#group3C0", "3C⁰"), =HYPERLINK("CSG0.html#group3A0", "3A⁰"), =HYPERLINK("CSG1.html#group12G1", "12G¹"), =HYPERLINK("CSG0.html#group8D0", "8D⁰"), =HYPERLINK("CSG0.html#group8B0", "8B⁰"), =HYPERLINK("CSG2.html#group24L2", "24L²"), =HYPERLINK("CSG1.html#group12L1", "12L¹"), =HYPERLINK("CSG3.html#group12J3", "12J³"), =HYPERLINK("CSG0.html#group8H0", "8H⁰"), =HYPERLINK("CSG0.html#group12A0", "12A⁰"), =HYPERLINK("CSG1.html#group12C1", "12C¹"), =HYPERLINK("CSG3.html#group48E3", "48E³"), =HYPERLINK("CSG0.html#group4A0", "4A⁰"), =HYPERLINK("CSG4.html#group24K4", "24K⁴"), =HYPERLINK("CSG1.html#group24C1", "24C¹"), =HYPERLINK("CSG1.html#group12J1", "12J¹"), =HYPERLINK("CSG0.html#group4F0", "4F⁰"), =HYPERLINK("CSG4.html#group24L4", "24L⁴"), =HYPERLINK("CSG0.html#group6D0", "6D⁰")</f>
        <v/>
      </c>
      <c r="N5660" t="inlineStr"/>
    </row>
    <row r="5661">
      <c r="A5661" t="inlineStr">
        <is>
          <t>48AM¹⁹</t>
        </is>
      </c>
      <c r="B5661" t="inlineStr"/>
      <c r="C5661" t="inlineStr">
        <is>
          <t>288</t>
        </is>
      </c>
      <c r="D5661" t="inlineStr">
        <is>
          <t>1</t>
        </is>
      </c>
      <c r="E5661" t="inlineStr">
        <is>
          <t>36</t>
        </is>
      </c>
      <c r="F5661" t="inlineStr">
        <is>
          <t>8</t>
        </is>
      </c>
      <c r="G5661" t="inlineStr">
        <is>
          <t>0</t>
        </is>
      </c>
      <c r="H5661" t="inlineStr">
        <is>
          <t>24⁴, 48⁴</t>
        </is>
      </c>
      <c r="I5661" t="n">
        <v>8</v>
      </c>
      <c r="J5661" t="inlineStr">
        <is>
          <t>2⁶, 4⁶</t>
        </is>
      </c>
      <c r="K5661">
        <f>HYPERLINK("CSG7.html#group24R7", "24R⁷"), =HYPERLINK("CSG8.html#group48R8", "48R⁸"), =HYPERLINK("CSG8.html#group48S8", "48S⁸"), =HYPERLINK("CSG8.html#group48T8", "48T⁸"), =HYPERLINK("CSG9.html#group48W9", "48W⁹")</f>
        <v/>
      </c>
      <c r="L5661" t="inlineStr"/>
      <c r="M5661">
        <f>HYPERLINK("CSG1.html#group24E1", "24E¹"), =HYPERLINK("CSG0.html#group12C0", "12C⁰"), =HYPERLINK("CSG8.html#group48R8", "48R⁸"), =HYPERLINK("CSG0.html#group4C0", "4C⁰"), =HYPERLINK("CSG3.html#group24I3", "24I³"), =HYPERLINK("CSG0.html#group6G0", "6G⁰"), =HYPERLINK("CSG2.html#group24P2", "24P²"), =HYPERLINK("CSG1.html#group12M1", "12M¹"), =HYPERLINK("CSG0.html#group2B0", "2B⁰"), =HYPERLINK("CSG2.html#group24C2", "24C²"), =HYPERLINK("CSG0.html#group1A0", "1A⁰"), =HYPERLINK("CSG3.html#group24O3", "24O³"), =HYPERLINK("CSG3.html#group48H3", "48H³"), =HYPERLINK("CSG8.html#group48S8", "48S⁸"), =HYPERLINK("CSG7.html#group24R7", "24R⁷"), =HYPERLINK("CSG0.html#group24A0", "24A⁰"), =HYPERLINK("CSG0.html#group3C0", "3C⁰"), =HYPERLINK("CSG9.html#group48W9", "48W⁹"), =HYPERLINK("CSG0.html#group3A0", "3A⁰"), =HYPERLINK("CSG1.html#group12G1", "12G¹"), =HYPERLINK("CSG0.html#group8D0", "8D⁰"), =HYPERLINK("CSG0.html#group8B0", "8B⁰"), =HYPERLINK("CSG8.html#group48T8", "48T⁸"), =HYPERLINK("CSG2.html#group24L2", "24L²"), =HYPERLINK("CSG1.html#group12L1", "12L¹"), =HYPERLINK("CSG3.html#group12J3", "12J³"), =HYPERLINK("CSG0.html#group8H0", "8H⁰"), =HYPERLINK("CSG0.html#group12A0", "12A⁰"), =HYPERLINK("CSG1.html#group12C1", "12C¹"), =HYPERLINK("CSG0.html#group4A0", "4A⁰"), =HYPERLINK("CSG4.html#group24K4", "24K⁴"), =HYPERLINK("CSG1.html#group24C1", "24C¹"), =HYPERLINK("CSG1.html#group12J1", "12J¹"), =HYPERLINK("CSG0.html#group4F0", "4F⁰"), =HYPERLINK("CSG4.html#group24L4", "24L⁴"), =HYPERLINK("CSG0.html#group6D0", "6D⁰")</f>
        <v/>
      </c>
      <c r="N5661" t="inlineStr"/>
    </row>
    <row r="5662">
      <c r="A5662" t="inlineStr">
        <is>
          <t>48AN¹⁹</t>
        </is>
      </c>
      <c r="B5662" t="inlineStr"/>
      <c r="C5662" t="inlineStr">
        <is>
          <t>288</t>
        </is>
      </c>
      <c r="D5662" t="inlineStr">
        <is>
          <t>1</t>
        </is>
      </c>
      <c r="E5662" t="inlineStr">
        <is>
          <t>36</t>
        </is>
      </c>
      <c r="F5662" t="inlineStr">
        <is>
          <t>8</t>
        </is>
      </c>
      <c r="G5662" t="inlineStr">
        <is>
          <t>0</t>
        </is>
      </c>
      <c r="H5662" t="inlineStr">
        <is>
          <t>24⁴, 48⁴</t>
        </is>
      </c>
      <c r="I5662" t="n">
        <v>8</v>
      </c>
      <c r="J5662" t="inlineStr">
        <is>
          <t>4¹⁴, 8²</t>
        </is>
      </c>
      <c r="K5662">
        <f>HYPERLINK("CSG6.html#group24H6", "24H⁶"), =HYPERLINK("CSG8.html#group48T8", "48T⁸"), =HYPERLINK("CSG8.html#group48AC8", "48AC⁸"), =HYPERLINK("CSG9.html#group48L9", "48L⁹"), =HYPERLINK("CSG9.html#group48AE9", "48AE⁹")</f>
        <v/>
      </c>
      <c r="L5662" t="inlineStr"/>
      <c r="M5662">
        <f>HYPERLINK("CSG1.html#group24E1", "24E¹"), =HYPERLINK("CSG0.html#group12C0", "12C⁰"), =HYPERLINK("CSG0.html#group4C0", "4C⁰"), =HYPERLINK("CSG0.html#group8B0", "8B⁰"), =HYPERLINK("CSG8.html#group48T8", "48T⁸"), =HYPERLINK("CSG2.html#group24P2", "24P²"), =HYPERLINK("CSG1.html#group16B1", "16B¹"), =HYPERLINK("CSG0.html#group2B0", "2B⁰"), =HYPERLINK("CSG1.html#group12M1", "12M¹"), =HYPERLINK("CSG2.html#group24Q2", "24Q²"), =HYPERLINK("CSG0.html#group1A0", "1A⁰"), =HYPERLINK("CSG3.html#group48H3", "48H³"), =HYPERLINK("CSG4.html#group48C4", "48C⁴"), =HYPERLINK("CSG3.html#group48C3", "48C³"), =HYPERLINK("CSG9.html#group48L9", "48L⁹"), =HYPERLINK("CSG0.html#group24A0", "24A⁰"), =HYPERLINK("CSG6.html#group24H6", "24H⁶"), =HYPERLINK("CSG9.html#group48AE9", "48AE⁹"), =HYPERLINK("CSG8.html#group48AC8", "48AC⁸"), =HYPERLINK("CSG0.html#group3A0", "3A⁰"), =HYPERLINK("CSG0.html#group6D0", "6D⁰")</f>
        <v/>
      </c>
      <c r="N5662" t="inlineStr"/>
    </row>
    <row r="5663">
      <c r="A5663" t="inlineStr">
        <is>
          <t>48AO¹⁹</t>
        </is>
      </c>
      <c r="B5663" t="inlineStr"/>
      <c r="C5663" t="inlineStr">
        <is>
          <t>288</t>
        </is>
      </c>
      <c r="D5663" t="inlineStr">
        <is>
          <t>1</t>
        </is>
      </c>
      <c r="E5663" t="inlineStr">
        <is>
          <t>36</t>
        </is>
      </c>
      <c r="F5663" t="inlineStr">
        <is>
          <t>8</t>
        </is>
      </c>
      <c r="G5663" t="inlineStr">
        <is>
          <t>0</t>
        </is>
      </c>
      <c r="H5663" t="inlineStr">
        <is>
          <t>24⁴, 48⁴</t>
        </is>
      </c>
      <c r="I5663" t="n">
        <v>8</v>
      </c>
      <c r="J5663" t="inlineStr">
        <is>
          <t>4¹⁴, 8²</t>
        </is>
      </c>
      <c r="K5663">
        <f>HYPERLINK("CSG6.html#group24I6", "24I⁶"), =HYPERLINK("CSG8.html#group48S8", "48S⁸"), =HYPERLINK("CSG8.html#group48AC8", "48AC⁸"), =HYPERLINK("CSG9.html#group48L9", "48L⁹"), =HYPERLINK("CSG9.html#group48AE9", "48AE⁹")</f>
        <v/>
      </c>
      <c r="L5663" t="inlineStr"/>
      <c r="M5663">
        <f>HYPERLINK("CSG1.html#group24E1", "24E¹"), =HYPERLINK("CSG6.html#group24I6", "24I⁶"), =HYPERLINK("CSG0.html#group12C0", "12C⁰"), =HYPERLINK("CSG0.html#group4C0", "4C⁰"), =HYPERLINK("CSG0.html#group8B0", "8B⁰"), =HYPERLINK("CSG2.html#group24P2", "24P²"), =HYPERLINK("CSG2.html#group24Q2", "24Q²"), =HYPERLINK("CSG1.html#group12M1", "12M¹"), =HYPERLINK("CSG0.html#group2B0", "2B⁰"), =HYPERLINK("CSG1.html#group16B1", "16B¹"), =HYPERLINK("CSG0.html#group1A0", "1A⁰"), =HYPERLINK("CSG3.html#group48H3", "48H³"), =HYPERLINK("CSG8.html#group48S8", "48S⁸"), =HYPERLINK("CSG4.html#group48C4", "48C⁴"), =HYPERLINK("CSG3.html#group48C3", "48C³"), =HYPERLINK("CSG9.html#group48L9", "48L⁹"), =HYPERLINK("CSG0.html#group24A0", "24A⁰"), =HYPERLINK("CSG9.html#group48AE9", "48AE⁹"), =HYPERLINK("CSG8.html#group48AC8", "48AC⁸"), =HYPERLINK("CSG0.html#group3A0", "3A⁰"), =HYPERLINK("CSG0.html#group6D0", "6D⁰")</f>
        <v/>
      </c>
      <c r="N5663" t="inlineStr"/>
    </row>
    <row r="5664">
      <c r="A5664" t="inlineStr">
        <is>
          <t>48AP¹⁹</t>
        </is>
      </c>
      <c r="B5664" t="inlineStr"/>
      <c r="C5664" t="inlineStr">
        <is>
          <t>288</t>
        </is>
      </c>
      <c r="D5664" t="inlineStr">
        <is>
          <t>1</t>
        </is>
      </c>
      <c r="E5664" t="inlineStr">
        <is>
          <t>72</t>
        </is>
      </c>
      <c r="F5664" t="inlineStr">
        <is>
          <t>0</t>
        </is>
      </c>
      <c r="G5664" t="inlineStr">
        <is>
          <t>0</t>
        </is>
      </c>
      <c r="H5664" t="inlineStr">
        <is>
          <t>6⁴, 12², 24², 48⁴</t>
        </is>
      </c>
      <c r="I5664" t="n">
        <v>12</v>
      </c>
      <c r="J5664" t="inlineStr">
        <is>
          <t>1⁴, 2⁶, 4⁴, 8³, 16¹</t>
        </is>
      </c>
      <c r="K5664">
        <f>HYPERLINK("CSG9.html#group48B9", "48B⁹")</f>
        <v/>
      </c>
      <c r="L5664" t="inlineStr"/>
      <c r="M5664">
        <f>HYPERLINK("CSG5.html#group48A5", "48A⁵"), =HYPERLINK("CSG4.html#group24F4", "24F⁴"), =HYPERLINK("CSG9.html#group48B9", "48B⁹"), =HYPERLINK("CSG1.html#group16A1", "16A¹"), =HYPERLINK("CSG0.html#group8C0", "8C⁰"), =HYPERLINK("CSG0.html#group2B0", "2B⁰"), =HYPERLINK("CSG0.html#group8I0", "8I⁰"), =HYPERLINK("CSG0.html#group4B0", "4B⁰"), =HYPERLINK("CSG0.html#group1A0", "1A⁰"), =HYPERLINK("CSG2.html#group24B2", "24B²"), =HYPERLINK("CSG1.html#group16G1", "16G¹"), =HYPERLINK("CSG0.html#group16D0", "16D⁰"), =HYPERLINK("CSG1.html#group12B1", "12B¹"), =HYPERLINK("CSG0.html#group3A0", "3A⁰"), =HYPERLINK("CSG0.html#group6D0", "6D⁰"), =HYPERLINK("CSG4.html#group48D4", "48D⁴")</f>
        <v/>
      </c>
      <c r="N5664" t="inlineStr"/>
    </row>
    <row r="5665">
      <c r="A5665" t="inlineStr">
        <is>
          <t>48AQ¹⁹</t>
        </is>
      </c>
      <c r="B5665" t="inlineStr"/>
      <c r="C5665" t="inlineStr">
        <is>
          <t>288</t>
        </is>
      </c>
      <c r="D5665" t="inlineStr">
        <is>
          <t>1</t>
        </is>
      </c>
      <c r="E5665" t="inlineStr">
        <is>
          <t>72</t>
        </is>
      </c>
      <c r="F5665" t="inlineStr">
        <is>
          <t>0</t>
        </is>
      </c>
      <c r="G5665" t="inlineStr">
        <is>
          <t>0</t>
        </is>
      </c>
      <c r="H5665" t="inlineStr">
        <is>
          <t>12⁸, 48⁴</t>
        </is>
      </c>
      <c r="I5665" t="n">
        <v>12</v>
      </c>
      <c r="J5665" t="inlineStr">
        <is>
          <t>4¹⁰, 8⁴</t>
        </is>
      </c>
      <c r="K5665">
        <f>HYPERLINK("CSG6.html#group48K6", "48K⁶"), =HYPERLINK("CSG8.html#group48W8", "48W⁸"), =HYPERLINK("CSG9.html#group24M9", "24M⁹")</f>
        <v/>
      </c>
      <c r="L5665" t="inlineStr"/>
      <c r="M5665">
        <f>HYPERLINK("CSG5.html#group24G5", "24G⁵"), =HYPERLINK("CSG1.html#group24E1", "24E¹"), =HYPERLINK("CSG3.html#group24A3", "24A³"), =HYPERLINK("CSG0.html#group6B0", "6B⁰"), =HYPERLINK("CSG0.html#group12C0", "12C⁰"), =HYPERLINK("CSG1.html#group8A1", "8A¹"), =HYPERLINK("CSG4.html#group24P4", "24P⁴"), =HYPERLINK("CSG2.html#group24N2", "24N²"), =HYPERLINK("CSG8.html#group48W8", "48W⁸"), =HYPERLINK("CSG0.html#group4C0", "4C⁰"), =HYPERLINK("CSG0.html#group2B0", "2B⁰"), =HYPERLINK("CSG9.html#group24M9", "24M⁹"), =HYPERLINK("CSG1.html#group12M1", "12M¹"), =HYPERLINK("CSG2.html#group24C2", "24C²"), =HYPERLINK("CSG0.html#group12H0", "12H⁰"), =HYPERLINK("CSG6.html#group48K6", "48K⁶"), =HYPERLINK("CSG0.html#group1A0", "1A⁰"), =HYPERLINK("CSG2.html#group12H2", "12H²"), =HYPERLINK("CSG5.html#group24D5", "24D⁵"), =HYPERLINK("CSG0.html#group12D0", "12D⁰"), =HYPERLINK("CSG0.html#group6H0", "6H⁰"), =HYPERLINK("CSG0.html#group3A0", "3A⁰"), =HYPERLINK("CSG0.html#group6D0", "6D⁰")</f>
        <v/>
      </c>
      <c r="N5665" t="inlineStr"/>
    </row>
    <row r="5666">
      <c r="A5666" t="inlineStr">
        <is>
          <t>48AR¹⁹</t>
        </is>
      </c>
      <c r="B5666" t="inlineStr"/>
      <c r="C5666" t="inlineStr">
        <is>
          <t>288</t>
        </is>
      </c>
      <c r="D5666" t="inlineStr">
        <is>
          <t>1</t>
        </is>
      </c>
      <c r="E5666" t="inlineStr">
        <is>
          <t>72</t>
        </is>
      </c>
      <c r="F5666" t="inlineStr">
        <is>
          <t>0</t>
        </is>
      </c>
      <c r="G5666" t="inlineStr">
        <is>
          <t>0</t>
        </is>
      </c>
      <c r="H5666" t="inlineStr">
        <is>
          <t>12⁴, 24⁶, 48²</t>
        </is>
      </c>
      <c r="I5666" t="n">
        <v>12</v>
      </c>
      <c r="J5666" t="inlineStr">
        <is>
          <t>1⁸, 2¹², 4⁶, 8²</t>
        </is>
      </c>
      <c r="K5666">
        <f>HYPERLINK("CSG9.html#group24D9", "24D⁹")</f>
        <v/>
      </c>
      <c r="L5666" t="inlineStr"/>
      <c r="M5666">
        <f>HYPERLINK("CSG0.html#group2A0", "2A⁰"), =HYPERLINK("CSG3.html#group24A3", "24A³"), =HYPERLINK("CSG1.html#group8A1", "8A¹"), =HYPERLINK("CSG0.html#group12C0", "12C⁰"), =HYPERLINK("CSG0.html#group4C0", "4C⁰"), =HYPERLINK("CSG5.html#group24A5", "24A⁵"), =HYPERLINK("CSG0.html#group8B0", "8B⁰"), =HYPERLINK("CSG1.html#group6C1", "6C¹"), =HYPERLINK("CSG2.html#group12B2", "12B²"), =HYPERLINK("CSG0.html#group8L0", "8L⁰"), =HYPERLINK("CSG0.html#group2B0", "2B⁰"), =HYPERLINK("CSG1.html#group8B1", "8B¹"), =HYPERLINK("CSG0.html#group4E0", "4E⁰"), =HYPERLINK("CSG0.html#group4B0", "4B⁰"), =HYPERLINK("CSG0.html#group1A0", "1A⁰"), =HYPERLINK("CSG9.html#group24D9", "24D⁹"), =HYPERLINK("CSG0.html#group6A0", "6A⁰"), =HYPERLINK("CSG0.html#group24A0", "24A⁰"), =HYPERLINK("CSG1.html#group8G1", "8G¹"), =HYPERLINK("CSG2.html#group24M2", "24M²"), =HYPERLINK("CSG1.html#group12B1", "12B¹"), =HYPERLINK("CSG1.html#group6A1", "6A¹"), =HYPERLINK("CSG0.html#group3A0", "3A⁰"), =HYPERLINK("CSG0.html#group8J0", "8J⁰"), =HYPERLINK("CSG0.html#group2C0", "2C⁰"), =HYPERLINK("CSG0.html#group6D0", "6D⁰"), =HYPERLINK("CSG4.html#group24G4", "24G⁴")</f>
        <v/>
      </c>
      <c r="N5666" t="inlineStr"/>
    </row>
    <row r="5667">
      <c r="A5667" t="inlineStr">
        <is>
          <t>48AS¹⁹</t>
        </is>
      </c>
      <c r="B5667" t="inlineStr"/>
      <c r="C5667" t="inlineStr">
        <is>
          <t>288</t>
        </is>
      </c>
      <c r="D5667" t="inlineStr">
        <is>
          <t>1</t>
        </is>
      </c>
      <c r="E5667" t="inlineStr">
        <is>
          <t>72</t>
        </is>
      </c>
      <c r="F5667" t="inlineStr">
        <is>
          <t>4</t>
        </is>
      </c>
      <c r="G5667" t="inlineStr">
        <is>
          <t>0</t>
        </is>
      </c>
      <c r="H5667" t="inlineStr">
        <is>
          <t>24⁸, 48²</t>
        </is>
      </c>
      <c r="I5667" t="n">
        <v>10</v>
      </c>
      <c r="J5667" t="inlineStr">
        <is>
          <t>4⁴, 8⁸, 16⁴</t>
        </is>
      </c>
      <c r="K5667">
        <f>HYPERLINK("CSG8.html#group48G8", "48G⁸"), =HYPERLINK("CSG8.html#group48V8", "48V⁸"), =HYPERLINK("CSG9.html#group24W9", "24W⁹")</f>
        <v/>
      </c>
      <c r="L5667" t="inlineStr"/>
      <c r="M5667">
        <f>HYPERLINK("CSG4.html#group24O4", "24O⁴"), =HYPERLINK("CSG1.html#group24E1", "24E¹"), =HYPERLINK("CSG0.html#group12C0", "12C⁰"), =HYPERLINK("CSG0.html#group4C0", "4C⁰"), =HYPERLINK("CSG0.html#group2B0", "2B⁰"), =HYPERLINK("CSG9.html#group24W9", "24W⁹"), =HYPERLINK("CSG1.html#group24B1", "24B¹"), =HYPERLINK("CSG2.html#group24C2", "24C²"), =HYPERLINK("CSG8.html#group48V8", "48V⁸"), =HYPERLINK("CSG0.html#group1A0", "1A⁰"), =HYPERLINK("CSG0.html#group8K0", "8K⁰"), =HYPERLINK("CSG3.html#group24J3", "24J³"), =HYPERLINK("CSG0.html#group12A0", "12A⁰"), =HYPERLINK("CSG0.html#group4A0", "4A⁰"), =HYPERLINK("CSG4.html#group24K4", "24K⁴"), =HYPERLINK("CSG8.html#group48G8", "48G⁸"), =HYPERLINK("CSG1.html#group12J1", "12J¹"), =HYPERLINK("CSG0.html#group4F0", "4F⁰"), =HYPERLINK("CSG0.html#group3A0", "3A⁰"), =HYPERLINK("CSG1.html#group16K1", "16K¹"), =HYPERLINK("CSG0.html#group6D0", "6D⁰")</f>
        <v/>
      </c>
      <c r="N5667" t="inlineStr"/>
    </row>
    <row r="5668">
      <c r="A5668" t="inlineStr">
        <is>
          <t>48AT¹⁹</t>
        </is>
      </c>
      <c r="B5668" t="inlineStr"/>
      <c r="C5668" t="inlineStr">
        <is>
          <t>288</t>
        </is>
      </c>
      <c r="D5668" t="inlineStr">
        <is>
          <t>1</t>
        </is>
      </c>
      <c r="E5668" t="inlineStr">
        <is>
          <t>72</t>
        </is>
      </c>
      <c r="F5668" t="inlineStr">
        <is>
          <t>4</t>
        </is>
      </c>
      <c r="G5668" t="inlineStr">
        <is>
          <t>0</t>
        </is>
      </c>
      <c r="H5668" t="inlineStr">
        <is>
          <t>24⁸, 48²</t>
        </is>
      </c>
      <c r="I5668" t="n">
        <v>10</v>
      </c>
      <c r="J5668" t="inlineStr">
        <is>
          <t>4⁴, 8⁸, 16⁴</t>
        </is>
      </c>
      <c r="K5668">
        <f>HYPERLINK("CSG8.html#group48H8", "48H⁸"), =HYPERLINK("CSG8.html#group48U8", "48U⁸"), =HYPERLINK("CSG9.html#group24W9", "24W⁹")</f>
        <v/>
      </c>
      <c r="L5668" t="inlineStr"/>
      <c r="M5668">
        <f>HYPERLINK("CSG4.html#group24O4", "24O⁴"), =HYPERLINK("CSG1.html#group24E1", "24E¹"), =HYPERLINK("CSG0.html#group12C0", "12C⁰"), =HYPERLINK("CSG0.html#group4C0", "4C⁰"), =HYPERLINK("CSG8.html#group48U8", "48U⁸"), =HYPERLINK("CSG0.html#group2B0", "2B⁰"), =HYPERLINK("CSG9.html#group24W9", "24W⁹"), =HYPERLINK("CSG8.html#group48H8", "48H⁸"), =HYPERLINK("CSG1.html#group24B1", "24B¹"), =HYPERLINK("CSG2.html#group24C2", "24C²"), =HYPERLINK("CSG0.html#group1A0", "1A⁰"), =HYPERLINK("CSG0.html#group8K0", "8K⁰"), =HYPERLINK("CSG3.html#group24J3", "24J³"), =HYPERLINK("CSG1.html#group16L1", "16L¹"), =HYPERLINK("CSG0.html#group12A0", "12A⁰"), =HYPERLINK("CSG0.html#group4A0", "4A⁰"), =HYPERLINK("CSG4.html#group24K4", "24K⁴"), =HYPERLINK("CSG1.html#group12J1", "12J¹"), =HYPERLINK("CSG0.html#group4F0", "4F⁰"), =HYPERLINK("CSG0.html#group3A0", "3A⁰"), =HYPERLINK("CSG0.html#group6D0", "6D⁰")</f>
        <v/>
      </c>
      <c r="N5668" t="inlineStr"/>
    </row>
    <row r="5669">
      <c r="A5669" t="inlineStr">
        <is>
          <t>48AU¹⁹</t>
        </is>
      </c>
      <c r="B5669" t="inlineStr"/>
      <c r="C5669" t="inlineStr">
        <is>
          <t>288</t>
        </is>
      </c>
      <c r="D5669" t="inlineStr">
        <is>
          <t>1</t>
        </is>
      </c>
      <c r="E5669" t="inlineStr">
        <is>
          <t>72</t>
        </is>
      </c>
      <c r="F5669" t="inlineStr">
        <is>
          <t>12</t>
        </is>
      </c>
      <c r="G5669" t="inlineStr">
        <is>
          <t>0</t>
        </is>
      </c>
      <c r="H5669" t="inlineStr">
        <is>
          <t>48⁶</t>
        </is>
      </c>
      <c r="I5669" t="n">
        <v>6</v>
      </c>
      <c r="J5669" t="inlineStr">
        <is>
          <t>4², 8⁴, 16²</t>
        </is>
      </c>
      <c r="K5669">
        <f>HYPERLINK("CSG7.html#group24K7", "24K⁷")</f>
        <v/>
      </c>
      <c r="L5669" t="inlineStr"/>
      <c r="M5669">
        <f>HYPERLINK("CSG7.html#group24K7", "24K⁷"), =HYPERLINK("CSG0.html#group12C0", "12C⁰"), =HYPERLINK("CSG0.html#group8D0", "8D⁰"), =HYPERLINK("CSG0.html#group4C0", "4C⁰"), =HYPERLINK("CSG0.html#group8B0", "8B⁰"), =HYPERLINK("CSG0.html#group8A0", "8A⁰"), =HYPERLINK("CSG0.html#group2B0", "2B⁰"), =HYPERLINK("CSG2.html#group24L2", "24L²"), =HYPERLINK("CSG0.html#group8K0", "8K⁰"), =HYPERLINK("CSG0.html#group1A0", "1A⁰"), =HYPERLINK("CSG1.html#group8D1", "8D¹"), =HYPERLINK("CSG1.html#group8H1", "8H¹"), =HYPERLINK("CSG3.html#group24J3", "24J³"), =HYPERLINK("CSG0.html#group8H0", "8H⁰"), =HYPERLINK("CSG4.html#group24H4", "24H⁴"), =HYPERLINK("CSG0.html#group12A0", "12A⁰"), =HYPERLINK("CSG1.html#group24A1", "24A¹"),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5669" t="inlineStr"/>
    </row>
    <row r="5670">
      <c r="A5670" t="inlineStr">
        <is>
          <t>48AV¹⁹</t>
        </is>
      </c>
      <c r="B5670" t="inlineStr"/>
      <c r="C5670" t="inlineStr">
        <is>
          <t>288</t>
        </is>
      </c>
      <c r="D5670" t="inlineStr">
        <is>
          <t>1</t>
        </is>
      </c>
      <c r="E5670" t="inlineStr">
        <is>
          <t>72</t>
        </is>
      </c>
      <c r="F5670" t="inlineStr">
        <is>
          <t>12</t>
        </is>
      </c>
      <c r="G5670" t="inlineStr">
        <is>
          <t>0</t>
        </is>
      </c>
      <c r="H5670" t="inlineStr">
        <is>
          <t>48⁶</t>
        </is>
      </c>
      <c r="I5670" t="n">
        <v>6</v>
      </c>
      <c r="J5670" t="inlineStr">
        <is>
          <t>4², 8⁴, 16²</t>
        </is>
      </c>
      <c r="K5670">
        <f>HYPERLINK("CSG7.html#group24K7", "24K⁷"), =HYPERLINK("CSG10.html#group48G10", "48G¹⁰")</f>
        <v/>
      </c>
      <c r="L5670" t="inlineStr"/>
      <c r="M5670">
        <f>HYPERLINK("CSG7.html#group24K7", "24K⁷"), =HYPERLINK("CSG0.html#group12C0", "12C⁰"), =HYPERLINK("CSG0.html#group8D0", "8D⁰"), =HYPERLINK("CSG0.html#group4C0", "4C⁰"), =HYPERLINK("CSG0.html#group8B0", "8B⁰"), =HYPERLINK("CSG0.html#group8A0", "8A⁰"), =HYPERLINK("CSG0.html#group2B0", "2B⁰"), =HYPERLINK("CSG2.html#group24L2", "24L²"), =HYPERLINK("CSG0.html#group8K0", "8K⁰"), =HYPERLINK("CSG0.html#group1A0", "1A⁰"), =HYPERLINK("CSG1.html#group8D1", "8D¹"), =HYPERLINK("CSG10.html#group48G10", "48G¹⁰"), =HYPERLINK("CSG1.html#group8H1", "8H¹"), =HYPERLINK("CSG3.html#group24J3", "24J³"), =HYPERLINK("CSG0.html#group8H0", "8H⁰"), =HYPERLINK("CSG4.html#group24H4", "24H⁴"), =HYPERLINK("CSG0.html#group12A0", "12A⁰"), =HYPERLINK("CSG1.html#group24A1", "24A¹"),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"6D⁰"), =HYPERLINK("CSG3.html#group48B3", "48B³")</f>
        <v/>
      </c>
      <c r="N5670" t="inlineStr"/>
    </row>
    <row r="5671">
      <c r="A5671" t="inlineStr">
        <is>
          <t>48AW¹⁹</t>
        </is>
      </c>
      <c r="B5671" t="inlineStr"/>
      <c r="C5671" t="inlineStr">
        <is>
          <t>288</t>
        </is>
      </c>
      <c r="D5671" t="inlineStr">
        <is>
          <t>2</t>
        </is>
      </c>
      <c r="E5671" t="inlineStr">
        <is>
          <t>9</t>
        </is>
      </c>
      <c r="F5671" t="inlineStr">
        <is>
          <t>0</t>
        </is>
      </c>
      <c r="G5671" t="inlineStr">
        <is>
          <t>0</t>
        </is>
      </c>
      <c r="H5671" t="inlineStr">
        <is>
          <t>12⁸, 48⁴</t>
        </is>
      </c>
      <c r="I5671" t="n">
        <v>12</v>
      </c>
      <c r="J5671" t="inlineStr">
        <is>
          <t>2⁹</t>
        </is>
      </c>
      <c r="K5671">
        <f>HYPERLINK("CSG8.html#group48D8", "48D⁸"), =HYPERLINK("CSG8.html#group48Z8", "48Z⁸"), =HYPERLINK("CSG9.html#group24I9", "24I⁹"), =HYPERLINK("CSG9.html#group48AD9", "48AD⁹"), =HYPERLINK("CSG10.html#group48B10", "48B¹⁰")</f>
        <v/>
      </c>
      <c r="L5671" t="inlineStr"/>
      <c r="M5671">
        <f>HYPERLINK("CSG3.html#group24Q3", "24Q³"), =HYPERLINK("CSG9.html#group48AD9", "48AD⁹"), =HYPERLINK("CSG0.html#group2A0", "2A⁰"), =HYPERLINK("CSG0.html#group12C0", "12C⁰"), =HYPERLINK("CSG3.html#group48G3", "48G³"), =HYPERLINK("CSG8.html#group48Z8", "48Z⁸"), =HYPERLINK("CSG0.html#group4C0", "4C⁰"), =HYPERLINK("CSG1.html#group6C1", "6C¹"), =HYPERLINK("CSG2.html#group12B2", "12B²"), =HYPERLINK("CSG2.html#group12E2", "12E²"), =HYPERLINK("CSG0.html#group2B0", "2B⁰"), =HYPERLINK("CSG1.html#group12M1", "12M¹"), =HYPERLINK("CSG2.html#group24C2", "24C²"), =HYPERLINK("CSG0.html#group4E0", "4E⁰"), =HYPERLINK("CSG0.html#group8C0", "8C⁰"), =HYPERLINK("CSG0.html#group4B0", "4B⁰"), =HYPERLINK("CSG0.html#group1A0", "1A⁰"), =HYPERLINK("CSG5.html#group24F5", "24F⁵"), =HYPERLINK("CSG2.html#group24B2", "24B²"), =HYPERLINK("CSG0.html#group8G0", "8G⁰"), =HYPERLINK("CSG1.html#group12B1", "12B¹"), =HYPERLINK("CSG1.html#group6A1", "6A¹"), =HYPERLINK("CSG0.html#group3A0", "3A⁰"), =HYPERLINK("CSG4.html#group48H4", "48H⁴"), =HYPERLINK("CSG0.html#group8D0", "8D⁰"), =HYPERLINK("CSG0.html#group2C0", "2C⁰"), =HYPERLINK("CSG1.html#group24D1", "24D¹"), =HYPERLINK("CSG10.html#group48B10", "48B¹⁰"), =HYPERLINK("CSG4.html#group24D4", "24D⁴"), =HYPERLINK("CSG4.html#group48G4", "48G⁴"), =HYPERLINK("CSG0.html#group6A0", "6A⁰"), =HYPERLINK("CSG1.html#group12C1", "12C¹"), =HYPERLINK("CSG9.html#group24I9", "24I⁹"), =HYPERLINK("CSG8.html#group48D8", "48D⁸"), =HYPERLINK("CSG1.html#group24C1", "24C¹"), =HYPERLINK("CSG0.html#group12D0", "12D⁰"), =HYPERLINK("CSG4.html#group12C4", "12C⁴"), =HYPERLINK("CSG4.html#group24L4", "24L⁴"), =HYPERLINK("CSG0.html#group6D0", "6D⁰")</f>
        <v/>
      </c>
      <c r="N5671" t="inlineStr"/>
    </row>
    <row r="5672">
      <c r="A5672" t="inlineStr">
        <is>
          <t>48AX¹⁹</t>
        </is>
      </c>
      <c r="B5672" t="inlineStr"/>
      <c r="C5672" t="inlineStr">
        <is>
          <t>288</t>
        </is>
      </c>
      <c r="D5672" t="inlineStr">
        <is>
          <t>2</t>
        </is>
      </c>
      <c r="E5672" t="inlineStr">
        <is>
          <t>18</t>
        </is>
      </c>
      <c r="F5672" t="inlineStr">
        <is>
          <t>0</t>
        </is>
      </c>
      <c r="G5672" t="inlineStr">
        <is>
          <t>0</t>
        </is>
      </c>
      <c r="H5672" t="inlineStr">
        <is>
          <t>12⁸, 48⁴</t>
        </is>
      </c>
      <c r="I5672" t="n">
        <v>12</v>
      </c>
      <c r="J5672" t="inlineStr">
        <is>
          <t>2¹², 4³</t>
        </is>
      </c>
      <c r="K5672">
        <f>HYPERLINK("CSG8.html#group24D8", "24D⁸"), =HYPERLINK("CSG9.html#group48E9", "48E⁹"), =HYPERLINK("CSG10.html#group48B10", "48B¹⁰")</f>
        <v/>
      </c>
      <c r="L5672" t="inlineStr"/>
      <c r="M5672">
        <f>HYPERLINK("CSG0.html#group2A0", "2A⁰"), =HYPERLINK("CSG9.html#group48E9", "48E⁹"), =HYPERLINK("CSG0.html#group12C0", "12C⁰"), =HYPERLINK("CSG8.html#group24D8", "24D⁸"), =HYPERLINK("CSG4.html#group48H4", "48H⁴"), =HYPERLINK("CSG0.html#group8D0", "8D⁰"), =HYPERLINK("CSG0.html#group4C0", "4C⁰"), =HYPERLINK("CSG1.html#group6C1", "6C¹"), =HYPERLINK("CSG2.html#group12B2", "12B²"), =HYPERLINK("CSG4.html#group48F4", "48F⁴"), =HYPERLINK("CSG0.html#group2B0", "2B⁰"), =HYPERLINK("CSG0.html#group4E0", "4E⁰"), =HYPERLINK("CSG0.html#group8C0", "8C⁰"), =HYPERLINK("CSG0.html#group4B0", "4B⁰"), =HYPERLINK("CSG10.html#group48B10", "48B¹⁰"), =HYPERLINK("CSG0.html#group1A0", "1A⁰"), =HYPERLINK("CSG4.html#group24D4", "24D⁴"), =HYPERLINK("CSG2.html#group24B2", "24B²"), =HYPERLINK("CSG0.html#group6A0", "6A⁰"), =HYPERLINK("CSG0.html#group8G0", "8G⁰"), =HYPERLINK("CSG4.html#group24N4", "24N⁴"), =HYPERLINK("CSG4.html#group24M4", "24M⁴"), =HYPERLINK("CSG1.html#group24C1", "24C¹"), =HYPERLINK("CSG1.html#group12B1", "12B¹"), =HYPERLINK("CSG1.html#group6A1", "6A¹"), =HYPERLINK("CSG0.html#group3A0", "3A⁰"), =HYPERLINK("CSG0.html#group2C0", "2C⁰"), =HYPERLINK("CSG0.html#group6D0", "6D⁰"), =HYPERLINK("CSG5.html#group48B5", "48B⁵")</f>
        <v/>
      </c>
      <c r="N5672" t="inlineStr"/>
    </row>
    <row r="5673">
      <c r="A5673" t="inlineStr">
        <is>
          <t>48AY¹⁹</t>
        </is>
      </c>
      <c r="B5673" t="inlineStr"/>
      <c r="C5673" t="inlineStr">
        <is>
          <t>288</t>
        </is>
      </c>
      <c r="D5673" t="inlineStr">
        <is>
          <t>2</t>
        </is>
      </c>
      <c r="E5673" t="inlineStr">
        <is>
          <t>36</t>
        </is>
      </c>
      <c r="F5673" t="inlineStr">
        <is>
          <t>8</t>
        </is>
      </c>
      <c r="G5673" t="inlineStr">
        <is>
          <t>0</t>
        </is>
      </c>
      <c r="H5673" t="inlineStr">
        <is>
          <t>24⁴, 48⁴</t>
        </is>
      </c>
      <c r="I5673" t="n">
        <v>8</v>
      </c>
      <c r="J5673" t="inlineStr">
        <is>
          <t>4⁶, 8⁶</t>
        </is>
      </c>
      <c r="K5673">
        <f>HYPERLINK("CSG7.html#group24AB7", "24AB⁷"), =HYPERLINK("CSG7.html#group48AB7", "48AB⁷"), =HYPERLINK("CSG9.html#group48K9", "48K⁹")</f>
        <v/>
      </c>
      <c r="L5673" t="inlineStr"/>
      <c r="M5673">
        <f>HYPERLINK("CSG4.html#group24O4", "24O⁴"), =HYPERLINK("CSG0.html#group12C0", "12C⁰"), =HYPERLINK("CSG0.html#group8D0", "8D⁰"), =HYPERLINK("CSG9.html#group48K9", "48K⁹"), =HYPERLINK("CSG0.html#group4C0", "4C⁰"), =HYPERLINK("CSG0.html#group8B0", "8B⁰"), =HYPERLINK("CSG0.html#group2B0", "2B⁰"), =HYPERLINK("CSG1.html#group24B1", "24B¹"), =HYPERLINK("CSG2.html#group24L2", "24L²"), =HYPERLINK("CSG0.html#group1A0", "1A⁰"), =HYPERLINK("CSG4.html#group48C4", "48C⁴"), =HYPERLINK("CSG0.html#group8H0", "8H⁰"), =HYPERLINK("CSG7.html#group48AB7", "48AB⁷"), =HYPERLINK("CSG0.html#group12A0", "12A⁰"), =HYPERLINK("CSG0.html#group24A0", "24A⁰"), =HYPERLINK("CSG0.html#group4A0", "4A⁰"), =HYPERLINK("CSG1.html#group24C1", "24C¹"), =HYPERLINK("CSG3.html#group48F3", "48F³"), =HYPERLINK("CSG7.html#group24AB7", "24AB⁷"), =HYPERLINK("CSG1.html#group12J1", "12J¹"), =HYPERLINK("CSG0.html#group4F0", "4F⁰"), =HYPERLINK("CSG3.html#group24R3", "24R³"), =HYPERLINK("CSG0.html#group3A0", "3A⁰"), =HYPERLINK("CSG0.html#group6D0", "6D⁰")</f>
        <v/>
      </c>
      <c r="N5673" t="inlineStr"/>
    </row>
    <row r="5674">
      <c r="A5674" t="inlineStr">
        <is>
          <t>48AZ¹⁹</t>
        </is>
      </c>
      <c r="B5674" t="inlineStr"/>
      <c r="C5674" t="inlineStr">
        <is>
          <t>288</t>
        </is>
      </c>
      <c r="D5674" t="inlineStr">
        <is>
          <t>2</t>
        </is>
      </c>
      <c r="E5674" t="inlineStr">
        <is>
          <t>36</t>
        </is>
      </c>
      <c r="F5674" t="inlineStr">
        <is>
          <t>8</t>
        </is>
      </c>
      <c r="G5674" t="inlineStr">
        <is>
          <t>0</t>
        </is>
      </c>
      <c r="H5674" t="inlineStr">
        <is>
          <t>24⁴, 48⁴</t>
        </is>
      </c>
      <c r="I5674" t="n">
        <v>8</v>
      </c>
      <c r="J5674" t="inlineStr">
        <is>
          <t>2⁶, 4³, 8⁶</t>
        </is>
      </c>
      <c r="K5674">
        <f>HYPERLINK("CSG7.html#group24AC7", "24AC⁷"), =HYPERLINK("CSG7.html#group48AC7", "48AC⁷"), =HYPERLINK("CSG9.html#group48K9", "48K⁹")</f>
        <v/>
      </c>
      <c r="L5674" t="inlineStr"/>
      <c r="M5674">
        <f>HYPERLINK("CSG0.html#group12C0", "12C⁰"), =HYPERLINK("CSG7.html#group24AC7", "24AC⁷"), =HYPERLINK("CSG3.html#group48G3", "48G³"), =HYPERLINK("CSG7.html#group48AC7", "48AC⁷"), =HYPERLINK("CSG4.html#group48H4", "48H⁴"), =HYPERLINK("CSG0.html#group8D0", "8D⁰"), =HYPERLINK("CSG9.html#group48K9", "48K⁹"), =HYPERLINK("CSG0.html#group4C0", "4C⁰"), =HYPERLINK("CSG0.html#group8B0", "8B⁰"), =HYPERLINK("CSG0.html#group2B0", "2B⁰"), =HYPERLINK("CSG2.html#group24L2", "24L²"), =HYPERLINK("CSG0.html#group1A0", "1A⁰"), =HYPERLINK("CSG4.html#group48C4", "48C⁴"), =HYPERLINK("CSG0.html#group8H0", "8H⁰"),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=HYPERLINK("CSG3.html#group48F3", "48F³"), =HYPERLINK("CSG0.html#group3A0", "3A⁰"), =HYPERLINK("CSG0.html#group6D0", "6D⁰")</f>
        <v/>
      </c>
      <c r="N5674" t="inlineStr"/>
    </row>
    <row r="5675">
      <c r="A5675" t="inlineStr">
        <is>
          <t>48BA¹⁹</t>
        </is>
      </c>
      <c r="B5675" t="inlineStr"/>
      <c r="C5675" t="inlineStr">
        <is>
          <t>288</t>
        </is>
      </c>
      <c r="D5675" t="inlineStr">
        <is>
          <t>2</t>
        </is>
      </c>
      <c r="E5675" t="inlineStr">
        <is>
          <t>36</t>
        </is>
      </c>
      <c r="F5675" t="inlineStr">
        <is>
          <t>8</t>
        </is>
      </c>
      <c r="G5675" t="inlineStr">
        <is>
          <t>0</t>
        </is>
      </c>
      <c r="H5675" t="inlineStr">
        <is>
          <t>24⁴, 48⁴</t>
        </is>
      </c>
      <c r="I5675" t="n">
        <v>8</v>
      </c>
      <c r="J5675" t="inlineStr">
        <is>
          <t>4¹⁸</t>
        </is>
      </c>
      <c r="K5675">
        <f>HYPERLINK("CSG6.html#group24G6", "24G⁶"), =HYPERLINK("CSG8.html#group48R8", "48R⁸"), =HYPERLINK("CSG8.html#group48AE8", "48AE⁸"), =HYPERLINK("CSG8.html#group48AF8", "48AF⁸"), =HYPERLINK("CSG9.html#group48K9", "48K⁹"), =HYPERLINK("CSG9.html#group48AE9", "48AE⁹")</f>
        <v/>
      </c>
      <c r="L5675" t="inlineStr"/>
      <c r="M5675">
        <f>HYPERLINK("CSG0.html#group12C0", "12C⁰"), =HYPERLINK("CSG8.html#group48AF8", "48AF⁸"), =HYPERLINK("CSG8.html#group48R8", "48R⁸"), =HYPERLINK("CSG0.html#group8D0", "8D⁰"), =HYPERLINK("CSG9.html#group48K9", "48K⁹"), =HYPERLINK("CSG0.html#group4C0", "4C⁰"), =HYPERLINK("CSG0.html#group8B0", "8B⁰"), =HYPERLINK("CSG2.html#group24Q2", "24Q²"), =HYPERLINK("CSG0.html#group2B0", "2B⁰"), =HYPERLINK("CSG2.html#group24L2", "24L²"), =HYPERLINK("CSG0.html#group1A0", "1A⁰"), =HYPERLINK("CSG8.html#group48AE8", "48AE⁸"), =HYPERLINK("CSG3.html#group48H3", "48H³"), =HYPERLINK("CSG4.html#group48C4", "48C⁴"), =HYPERLINK("CSG0.html#group8H0", "8H⁰"), =HYPERLINK("CSG6.html#group24G6", "24G⁶"), =HYPERLINK("CSG0.html#group12A0", "12A⁰"), =HYPERLINK("CSG0.html#group24A0", "24A⁰"), =HYPERLINK("CSG0.html#group4A0", "4A⁰"), =HYPERLINK("CSG1.html#group24C1", "24C¹"), =HYPERLINK("CSG9.html#group48AE9", "48AE⁹"), =HYPERLINK("CSG1.html#group12J1", "12J¹"), =HYPERLINK("CSG0.html#group4F0", "4F⁰"), =HYPERLINK("CSG3.html#group48F3", "48F³"), =HYPERLINK("CSG0.html#group3A0", "3A⁰"), =HYPERLINK("CSG0.html#group6D0", "6D⁰")</f>
        <v/>
      </c>
      <c r="N5675" t="inlineStr"/>
    </row>
    <row r="5676">
      <c r="A5676" t="inlineStr">
        <is>
          <t>48BB¹⁹</t>
        </is>
      </c>
      <c r="B5676" t="inlineStr"/>
      <c r="C5676" t="inlineStr">
        <is>
          <t>288</t>
        </is>
      </c>
      <c r="D5676" t="inlineStr">
        <is>
          <t>2</t>
        </is>
      </c>
      <c r="E5676" t="inlineStr">
        <is>
          <t>36</t>
        </is>
      </c>
      <c r="F5676" t="inlineStr">
        <is>
          <t>8</t>
        </is>
      </c>
      <c r="G5676" t="inlineStr">
        <is>
          <t>0</t>
        </is>
      </c>
      <c r="H5676" t="inlineStr">
        <is>
          <t>24⁴, 48⁴</t>
        </is>
      </c>
      <c r="I5676" t="n">
        <v>8</v>
      </c>
      <c r="J5676" t="inlineStr">
        <is>
          <t>2⁸, 4¹⁰, 8²</t>
        </is>
      </c>
      <c r="K5676">
        <f>HYPERLINK("CSG7.html#group24O7", "24O⁷"), =HYPERLINK("CSG8.html#group48S8", "48S⁸"), =HYPERLINK("CSG8.html#group48T8", "48T⁸"), =HYPERLINK("CSG8.html#group48AB8", "48AB⁸"), =HYPERLINK("CSG9.html#group48W9", "48W⁹"), =HYPERLINK("CSG9.html#group48Z9", "48Z⁹")</f>
        <v/>
      </c>
      <c r="L5676" t="inlineStr"/>
      <c r="M5676">
        <f>HYPERLINK("CSG8.html#group48AB8", "48AB⁸"), =HYPERLINK("CSG1.html#group24E1", "24E¹"), =HYPERLINK("CSG0.html#group12C0", "12C⁰"), =HYPERLINK("CSG4.html#group24P4", "24P⁴"), =HYPERLINK("CSG7.html#group24O7", "24O⁷"), =HYPERLINK("CSG9.html#group48Z9", "48Z⁹"), =HYPERLINK("CSG0.html#group4C0", "4C⁰"), =HYPERLINK("CSG0.html#group8B0", "8B⁰"), =HYPERLINK("CSG8.html#group48T8", "48T⁸"), =HYPERLINK("CSG2.html#group24P2", "24P²"), =HYPERLINK("CSG3.html#group24I3", "24I³"), =HYPERLINK("CSG0.html#group2B0", "2B⁰"), =HYPERLINK("CSG1.html#group12M1", "12M¹"), =HYPERLINK("CSG0.html#group6G0", "6G⁰"), =HYPERLINK("CSG2.html#group24C2", "24C²"), =HYPERLINK("CSG0.html#group1A0", "1A⁰"), =HYPERLINK("CSG3.html#group48H3", "48H³"), =HYPERLINK("CSG1.html#group12L1", "12L¹"), =HYPERLINK("CSG8.html#group48S8", "48S⁸"), =HYPERLINK("CSG1.html#group16D1", "16D¹"), =HYPERLINK("CSG1.html#group12C1", "12C¹"), =HYPERLINK("CSG3.html#group48E3", "48E³"), =HYPERLINK("CSG0.html#group24A0", "24A⁰"), =HYPERLINK("CSG3.html#group12I3", "12I³"), =HYPERLINK("CSG3.html#group24N3", "24N³"), =HYPERLINK("CSG0.html#group3C0", "3C⁰"), =HYPERLINK("CSG9.html#group48W9", "48W⁹"), =HYPERLINK("CSG0.html#group3A0", "3A⁰"), =HYPERLINK("CSG0.html#group6D0", "6D⁰")</f>
        <v/>
      </c>
      <c r="N5676" t="inlineStr"/>
    </row>
    <row r="5677">
      <c r="A5677" t="inlineStr">
        <is>
          <t>48BC¹⁹</t>
        </is>
      </c>
      <c r="B5677" t="inlineStr"/>
      <c r="C5677" t="inlineStr">
        <is>
          <t>288</t>
        </is>
      </c>
      <c r="D5677" t="inlineStr">
        <is>
          <t>2</t>
        </is>
      </c>
      <c r="E5677" t="inlineStr">
        <is>
          <t>36</t>
        </is>
      </c>
      <c r="F5677" t="inlineStr">
        <is>
          <t>8</t>
        </is>
      </c>
      <c r="G5677" t="inlineStr">
        <is>
          <t>0</t>
        </is>
      </c>
      <c r="H5677" t="inlineStr">
        <is>
          <t>24⁴, 48⁴</t>
        </is>
      </c>
      <c r="I5677" t="n">
        <v>8</v>
      </c>
      <c r="J5677" t="inlineStr">
        <is>
          <t>2⁸, 4¹⁰, 8²</t>
        </is>
      </c>
      <c r="K5677">
        <f>HYPERLINK("CSG7.html#group24Z7", "24Z⁷"), =HYPERLINK("CSG8.html#group48AC8", "48AC⁸"), =HYPERLINK("CSG8.html#group48AE8", "48AE⁸"), =HYPERLINK("CSG8.html#group48AF8", "48AF⁸"), =HYPERLINK("CSG9.html#group48M9", "48M⁹"), =HYPERLINK("CSG9.html#group48W9", "48W⁹")</f>
        <v/>
      </c>
      <c r="L5677" t="inlineStr"/>
      <c r="M5677">
        <f>HYPERLINK("CSG0.html#group12C0", "12C⁰"), =HYPERLINK("CSG8.html#group48AF8", "48AF⁸"), =HYPERLINK("CSG9.html#group48M9", "48M⁹"), =HYPERLINK("CSG7.html#group24Z7", "24Z⁷"), =HYPERLINK("CSG0.html#group4C0", "4C⁰"), =HYPERLINK("CSG0.html#group8B0", "8B⁰"), =HYPERLINK("CSG3.html#group24I3", "24I³"), =HYPERLINK("CSG2.html#group24Q2", "24Q²"), =HYPERLINK("CSG0.html#group6G0", "6G⁰"), =HYPERLINK("CSG0.html#group2B0", "2B⁰"), =HYPERLINK("CSG1.html#group16B1", "16B¹"), =HYPERLINK("CSG2.html#group24C2", "24C²"), =HYPERLINK("CSG0.html#group1A0", "1A⁰"), =HYPERLINK("CSG8.html#group48AE8", "48AE⁸"), =HYPERLINK("CSG3.html#group48H3", "48H³"), =HYPERLINK("CSG1.html#group12L1", "12L¹"), =HYPERLINK("CSG3.html#group48C3", "48C³"), =HYPERLINK("CSG1.html#group12C1", "12C¹"), =HYPERLINK("CSG9.html#group48W9", "48W⁹"), =HYPERLINK("CSG0.html#group24A0", "24A⁰"), =HYPERLINK("CSG0.html#group3C0", "3C⁰"), =HYPERLINK("CSG3.html#group48F3", "48F³"), =HYPERLINK("CSG8.html#group48AC8", "48AC⁸"), =HYPERLINK("CSG0.html#group3A0", "3A⁰"), =HYPERLINK("CSG0.html#group6D0", "6D⁰")</f>
        <v/>
      </c>
      <c r="N5677" t="inlineStr"/>
    </row>
    <row r="5678">
      <c r="A5678" t="inlineStr">
        <is>
          <t>48BD¹⁹</t>
        </is>
      </c>
      <c r="B5678" t="inlineStr"/>
      <c r="C5678" t="inlineStr">
        <is>
          <t>288</t>
        </is>
      </c>
      <c r="D5678" t="inlineStr">
        <is>
          <t>2</t>
        </is>
      </c>
      <c r="E5678" t="inlineStr">
        <is>
          <t>36</t>
        </is>
      </c>
      <c r="F5678" t="inlineStr">
        <is>
          <t>8</t>
        </is>
      </c>
      <c r="G5678" t="inlineStr">
        <is>
          <t>0</t>
        </is>
      </c>
      <c r="H5678" t="inlineStr">
        <is>
          <t>24⁴, 48⁴</t>
        </is>
      </c>
      <c r="I5678" t="n">
        <v>8</v>
      </c>
      <c r="J5678" t="inlineStr">
        <is>
          <t>2⁸, 4¹⁰, 8²</t>
        </is>
      </c>
      <c r="K5678">
        <f>HYPERLINK("CSG7.html#group24Z7", "24Z⁷"), =HYPERLINK("CSG8.html#group48AD8", "48AD⁸"), =HYPERLINK("CSG8.html#group48AE8", "48AE⁸"), =HYPERLINK("CSG8.html#group48AF8", "48AF⁸"), =HYPERLINK("CSG9.html#group48J9", "48J⁹"), =HYPERLINK("CSG9.html#group48Z9", "48Z⁹")</f>
        <v/>
      </c>
      <c r="L5678" t="inlineStr"/>
      <c r="M5678">
        <f>HYPERLINK("CSG0.html#group12C0", "12C⁰"), =HYPERLINK("CSG8.html#group48AF8", "48AF⁸"), =HYPERLINK("CSG9.html#group48Z9", "48Z⁹"), =HYPERLINK("CSG7.html#group24Z7", "24Z⁷"), =HYPERLINK("CSG9.html#group48J9", "48J⁹"), =HYPERLINK("CSG0.html#group4C0", "4C⁰"), =HYPERLINK("CSG0.html#group8B0", "8B⁰"), =HYPERLINK("CSG2.html#group24Q2", "24Q²"), =HYPERLINK("CSG3.html#group24I3", "24I³"), =HYPERLINK("CSG0.html#group2B0", "2B⁰"), =HYPERLINK("CSG0.html#group6G0", "6G⁰"), =HYPERLINK("CSG2.html#group24C2", "24C²"), =HYPERLINK("CSG0.html#group1A0", "1A⁰"), =HYPERLINK("CSG8.html#group48AE8", "48AE⁸"), =HYPERLINK("CSG8.html#group48AD8", "48AD⁸"), =HYPERLINK("CSG3.html#group48H3", "48H³"), =HYPERLINK("CSG1.html#group12L1", "12L¹"), =HYPERLINK("CSG1.html#group16D1", "16D¹"), =HYPERLINK("CSG1.html#group12C1", "12C¹"), =HYPERLINK("CSG0.html#group24A0", "24A⁰"), =HYPERLINK("CSG3.html#group48E3", "48E³"), =HYPERLINK("CSG0.html#group3C0", "3C⁰"), =HYPERLINK("CSG3.html#group48F3", "48F³"), =HYPERLINK("CSG0.html#group3A0", "3A⁰"), =HYPERLINK("CSG0.html#group6D0", "6D⁰")</f>
        <v/>
      </c>
      <c r="N5678" t="inlineStr"/>
    </row>
    <row r="5679">
      <c r="A5679" t="inlineStr">
        <is>
          <t>48BE¹⁹</t>
        </is>
      </c>
      <c r="B5679" t="inlineStr"/>
      <c r="C5679" t="inlineStr">
        <is>
          <t>288</t>
        </is>
      </c>
      <c r="D5679" t="inlineStr">
        <is>
          <t>2</t>
        </is>
      </c>
      <c r="E5679" t="inlineStr">
        <is>
          <t>36</t>
        </is>
      </c>
      <c r="F5679" t="inlineStr">
        <is>
          <t>8</t>
        </is>
      </c>
      <c r="G5679" t="inlineStr">
        <is>
          <t>0</t>
        </is>
      </c>
      <c r="H5679" t="inlineStr">
        <is>
          <t>24⁴, 48⁴</t>
        </is>
      </c>
      <c r="I5679" t="n">
        <v>8</v>
      </c>
      <c r="J5679" t="inlineStr">
        <is>
          <t>2⁸, 4¹⁰, 8²</t>
        </is>
      </c>
      <c r="K5679">
        <f>HYPERLINK("CSG7.html#group24AA7", "24AA⁷"), =HYPERLINK("CSG8.html#group48AA8", "48AA⁸"), =HYPERLINK("CSG8.html#group48AE8", "48AE⁸"), =HYPERLINK("CSG8.html#group48AF8", "48AF⁸"), =HYPERLINK("CSG9.html#group48J9", "48J⁹"), =HYPERLINK("CSG9.html#group48W9", "48W⁹")</f>
        <v/>
      </c>
      <c r="L5679" t="inlineStr"/>
      <c r="M5679">
        <f>HYPERLINK("CSG0.html#group12C0", "12C⁰"), =HYPERLINK("CSG7.html#group24AA7", "24AA⁷"), =HYPERLINK("CSG8.html#group48AF8", "48AF⁸"), =HYPERLINK("CSG9.html#group48J9", "48J⁹"), =HYPERLINK("CSG0.html#group4C0", "4C⁰"), =HYPERLINK("CSG3.html#group24I3", "24I³"), =HYPERLINK("CSG0.html#group8B0", "8B⁰"), =HYPERLINK("CSG2.html#group24Q2", "24Q²"), =HYPERLINK("CSG0.html#group6G0", "6G⁰"), =HYPERLINK("CSG0.html#group2B0", "2B⁰"), =HYPERLINK("CSG0.html#group8L0", "8L⁰"), =HYPERLINK("CSG2.html#group24C2", "24C²"), =HYPERLINK("CSG0.html#group1A0", "1A⁰"), =HYPERLINK("CSG8.html#group48AE8", "48AE⁸"), =HYPERLINK("CSG1.html#group12L1", "12L¹"), =HYPERLINK("CSG3.html#group48H3", "48H³"), =HYPERLINK("CSG1.html#group12C1", "12C¹"), =HYPERLINK("CSG0.html#group24A0", "24A⁰"), =HYPERLINK("CSG2.html#group24M2", "24M²"), =HYPERLINK("CSG0.html#group6D0", "6D⁰"), =HYPERLINK("CSG0.html#group3C0", "3C⁰"), =HYPERLINK("CSG3.html#group48F3", "48F³"), =HYPERLINK("CSG9.html#group48W9", "48W⁹"), =HYPERLINK("CSG0.html#group3A0", "3A⁰"), =HYPERLINK("CSG8.html#group48AA8", "48AA⁸")</f>
        <v/>
      </c>
      <c r="N5679" t="inlineStr"/>
    </row>
    <row r="5680">
      <c r="A5680" t="inlineStr">
        <is>
          <t>48BF¹⁹</t>
        </is>
      </c>
      <c r="B5680" t="inlineStr"/>
      <c r="C5680" t="inlineStr">
        <is>
          <t>288</t>
        </is>
      </c>
      <c r="D5680" t="inlineStr">
        <is>
          <t>2</t>
        </is>
      </c>
      <c r="E5680" t="inlineStr">
        <is>
          <t>36</t>
        </is>
      </c>
      <c r="F5680" t="inlineStr">
        <is>
          <t>8</t>
        </is>
      </c>
      <c r="G5680" t="inlineStr">
        <is>
          <t>0</t>
        </is>
      </c>
      <c r="H5680" t="inlineStr">
        <is>
          <t>24⁴, 48⁴</t>
        </is>
      </c>
      <c r="I5680" t="n">
        <v>8</v>
      </c>
      <c r="J5680" t="inlineStr">
        <is>
          <t>2⁸, 4¹⁰, 8²</t>
        </is>
      </c>
      <c r="K5680">
        <f>HYPERLINK("CSG6.html#group24K6", "24K⁶"), =HYPERLINK("CSG8.html#group48X8", "48X⁸"), =HYPERLINK("CSG8.html#group48AB8", "48AB⁸"), =HYPERLINK("CSG8.html#group48AC8", "48AC⁸"), =HYPERLINK("CSG9.html#group48L9", "48L⁹"), =HYPERLINK("CSG9.html#group48X9", "48X⁹"), =HYPERLINK("CSG9.html#group48Y9", "48Y⁹")</f>
        <v/>
      </c>
      <c r="L5680" t="inlineStr"/>
      <c r="M5680">
        <f>HYPERLINK("CSG8.html#group48AB8", "48AB⁸"), =HYPERLINK("CSG1.html#group24E1", "24E¹"), =HYPERLINK("CSG0.html#group12C0", "12C⁰"), =HYPERLINK("CSG8.html#group48X8", "48X⁸"), =HYPERLINK("CSG0.html#group4C0", "4C⁰"), =HYPERLINK("CSG0.html#group8B0", "8B⁰"), =HYPERLINK("CSG2.html#group24P2", "24P²"), =HYPERLINK("CSG2.html#group24Q2", "24Q²"), =HYPERLINK("CSG0.html#group2B0", "2B⁰"), =HYPERLINK("CSG1.html#group12M1", "12M¹"), =HYPERLINK("CSG1.html#group16B1", "16B¹"), =HYPERLINK("CSG0.html#group8L0", "8L⁰"), =HYPERLINK("CSG0.html#group1A0", "1A⁰"), =HYPERLINK("CSG3.html#group48H3", "48H³"), =HYPERLINK("CSG4.html#group48C4", "48C⁴"), =HYPERLINK("CSG3.html#group48C3", "48C³"), =HYPERLINK("CSG9.html#group48Y9", "48Y⁹"), =HYPERLINK("CSG9.html#group48L9", "48L⁹"), =HYPERLINK("CSG1.html#group16D1", "16D¹"), =HYPERLINK("CSG3.html#group48E3", "48E³"), =HYPERLINK("CSG0.html#group24A0", "24A⁰"), =HYPERLINK("CSG2.html#group16F2", "16F²"), =HYPERLINK("CSG2.html#group24M2", "24M²"), =HYPERLINK("CSG9.html#group48X9", "48X⁹"), =HYPERLINK("CSG6.html#group24K6", "24K⁶"), =HYPERLINK("CSG8.html#group48AC8", "48AC⁸"), =HYPERLINK("CSG0.html#group3A0", "3A⁰"), =HYPERLINK("CSG0.html#group6D0", "6D⁰")</f>
        <v/>
      </c>
      <c r="N5680" t="inlineStr"/>
    </row>
    <row r="5681">
      <c r="A5681" t="inlineStr">
        <is>
          <t>48BG¹⁹</t>
        </is>
      </c>
      <c r="B5681" t="inlineStr"/>
      <c r="C5681" t="inlineStr">
        <is>
          <t>288</t>
        </is>
      </c>
      <c r="D5681" t="inlineStr">
        <is>
          <t>2</t>
        </is>
      </c>
      <c r="E5681" t="inlineStr">
        <is>
          <t>36</t>
        </is>
      </c>
      <c r="F5681" t="inlineStr">
        <is>
          <t>8</t>
        </is>
      </c>
      <c r="G5681" t="inlineStr">
        <is>
          <t>0</t>
        </is>
      </c>
      <c r="H5681" t="inlineStr">
        <is>
          <t>24⁴, 48⁴</t>
        </is>
      </c>
      <c r="I5681" t="n">
        <v>8</v>
      </c>
      <c r="J5681" t="inlineStr">
        <is>
          <t>2⁸, 4¹⁰, 8²</t>
        </is>
      </c>
      <c r="K5681">
        <f>HYPERLINK("CSG7.html#group24AA7", "24AA⁷"), =HYPERLINK("CSG8.html#group48X8", "48X⁸"), =HYPERLINK("CSG8.html#group48AA8", "48AA⁸"), =HYPERLINK("CSG8.html#group48AC8", "48AC⁸"), =HYPERLINK("CSG8.html#group48AD8", "48AD⁸"), =HYPERLINK("CSG9.html#group48M9", "48M⁹"), =HYPERLINK("CSG9.html#group48Z9", "48Z⁹")</f>
        <v/>
      </c>
      <c r="L5681" t="inlineStr"/>
      <c r="M5681">
        <f>HYPERLINK("CSG0.html#group12C0", "12C⁰"), =HYPERLINK("CSG7.html#group24AA7", "24AA⁷"), =HYPERLINK("CSG8.html#group48X8", "48X⁸"), =HYPERLINK("CSG9.html#group48Z9", "48Z⁹"), =HYPERLINK("CSG9.html#group48M9", "48M⁹"), =HYPERLINK("CSG0.html#group4C0", "4C⁰"), =HYPERLINK("CSG3.html#group24I3", "24I³"), =HYPERLINK("CSG0.html#group8B0", "8B⁰"), =HYPERLINK("CSG2.html#group24Q2", "24Q²"), =HYPERLINK("CSG0.html#group6G0", "6G⁰"), =HYPERLINK("CSG0.html#group2B0", "2B⁰"), =HYPERLINK("CSG0.html#group8L0", "8L⁰"), =HYPERLINK("CSG2.html#group24C2", "24C²"), =HYPERLINK("CSG1.html#group16B1", "16B¹"), =HYPERLINK("CSG0.html#group1A0", "1A⁰"), =HYPERLINK("CSG8.html#group48AD8", "48AD⁸"), =HYPERLINK("CSG1.html#group12L1", "12L¹"), =HYPERLINK("CSG3.html#group48H3", "48H³"), =HYPERLINK("CSG3.html#group48C3", "48C³"), =HYPERLINK("CSG1.html#group16D1", "16D¹"), =HYPERLINK("CSG1.html#group12C1", "12C¹"), =HYPERLINK("CSG0.html#group24A0", "24A⁰"), =HYPERLINK("CSG3.html#group48E3", "48E³"), =HYPERLINK("CSG2.html#group16F2", "16F²"), =HYPERLINK("CSG2.html#group24M2", "24M²"), =HYPERLINK("CSG0.html#group6D0", "6D⁰"), =HYPERLINK("CSG0.html#group3C0", "3C⁰"), =HYPERLINK("CSG3.html#group48F3", "48F³"), =HYPERLINK("CSG8.html#group48AC8", "48AC⁸"), =HYPERLINK("CSG0.html#group3A0", "3A⁰"), =HYPERLINK("CSG8.html#group48AA8", "48AA⁸")</f>
        <v/>
      </c>
      <c r="N5681" t="inlineStr"/>
    </row>
    <row r="5682">
      <c r="A5682" t="inlineStr">
        <is>
          <t>48BH¹⁹</t>
        </is>
      </c>
      <c r="B5682" t="inlineStr"/>
      <c r="C5682" t="inlineStr">
        <is>
          <t>288</t>
        </is>
      </c>
      <c r="D5682" t="inlineStr">
        <is>
          <t>2</t>
        </is>
      </c>
      <c r="E5682" t="inlineStr">
        <is>
          <t>36</t>
        </is>
      </c>
      <c r="F5682" t="inlineStr">
        <is>
          <t>8</t>
        </is>
      </c>
      <c r="G5682" t="inlineStr">
        <is>
          <t>0</t>
        </is>
      </c>
      <c r="H5682" t="inlineStr">
        <is>
          <t>24⁴, 48⁴</t>
        </is>
      </c>
      <c r="I5682" t="n">
        <v>8</v>
      </c>
      <c r="J5682" t="inlineStr">
        <is>
          <t>4²⁴, 8⁶</t>
        </is>
      </c>
      <c r="K5682">
        <f>HYPERLINK("CSG6.html#group24H6", "24H⁶"), =HYPERLINK("CSG8.html#group48AB8", "48AB⁸"), =HYPERLINK("CSG8.html#group48AD8", "48AD⁸"), =HYPERLINK("CSG8.html#group48AF8", "48AF⁸"), =HYPERLINK("CSG9.html#group48Y9", "48Y⁹"), =HYPERLINK("CSG9.html#group48AB9", "48AB⁹"), =HYPERLINK("CSG9.html#group48AE9", "48AE⁹")</f>
        <v/>
      </c>
      <c r="L5682" t="inlineStr"/>
      <c r="M5682">
        <f>HYPERLINK("CSG8.html#group48AB8", "48AB⁸"), =HYPERLINK("CSG1.html#group24E1", "24E¹"), =HYPERLINK("CSG0.html#group12C0", "12C⁰"), =HYPERLINK("CSG8.html#group48AF8", "48AF⁸"), =HYPERLINK("CSG0.html#group4C0", "4C⁰"), =HYPERLINK("CSG0.html#group8B0", "8B⁰"), =HYPERLINK("CSG2.html#group24P2", "24P²"), =HYPERLINK("CSG2.html#group24Q2", "24Q²"), =HYPERLINK("CSG0.html#group2B0", "2B⁰"), =HYPERLINK("CSG1.html#group12M1", "12M¹"), =HYPERLINK("CSG0.html#group1A0", "1A⁰"), =HYPERLINK("CSG8.html#group48AD8", "48AD⁸"), =HYPERLINK("CSG3.html#group48H3", "48H³"), =HYPERLINK("CSG4.html#group48C4", "48C⁴"), =HYPERLINK("CSG9.html#group48Y9", "48Y⁹"), =HYPERLINK("CSG1.html#group16D1", "16D¹"), =HYPERLINK("CSG3.html#group48E3", "48E³"), =HYPERLINK("CSG0.html#group24A0", "24A⁰"), =HYPERLINK("CSG9.html#group48AB9", "48AB⁹"), =HYPERLINK("CSG6.html#group24H6", "24H⁶"), =HYPERLINK("CSG9.html#group48AE9", "48AE⁹"), =HYPERLINK("CSG3.html#group48F3", "48F³"), =HYPERLINK("CSG0.html#group3A0", "3A⁰"), =HYPERLINK("CSG0.html#group6D0", "6D⁰")</f>
        <v/>
      </c>
      <c r="N5682" t="inlineStr"/>
    </row>
    <row r="5683">
      <c r="A5683" t="inlineStr">
        <is>
          <t>48BI¹⁹</t>
        </is>
      </c>
      <c r="B5683" t="inlineStr"/>
      <c r="C5683" t="inlineStr">
        <is>
          <t>288</t>
        </is>
      </c>
      <c r="D5683" t="inlineStr">
        <is>
          <t>2</t>
        </is>
      </c>
      <c r="E5683" t="inlineStr">
        <is>
          <t>36</t>
        </is>
      </c>
      <c r="F5683" t="inlineStr">
        <is>
          <t>8</t>
        </is>
      </c>
      <c r="G5683" t="inlineStr">
        <is>
          <t>0</t>
        </is>
      </c>
      <c r="H5683" t="inlineStr">
        <is>
          <t>24⁴, 48⁴</t>
        </is>
      </c>
      <c r="I5683" t="n">
        <v>8</v>
      </c>
      <c r="J5683" t="inlineStr">
        <is>
          <t>4²⁴, 8⁶</t>
        </is>
      </c>
      <c r="K5683">
        <f>HYPERLINK("CSG6.html#group24I6", "24I⁶"), =HYPERLINK("CSG8.html#group48AB8", "48AB⁸"), =HYPERLINK("CSG8.html#group48AD8", "48AD⁸"), =HYPERLINK("CSG8.html#group48AE8", "48AE⁸"), =HYPERLINK("CSG9.html#group48Y9", "48Y⁹"), =HYPERLINK("CSG9.html#group48AB9", "48AB⁹"), =HYPERLINK("CSG9.html#group48AE9", "48AE⁹")</f>
        <v/>
      </c>
      <c r="L5683" t="inlineStr"/>
      <c r="M5683">
        <f>HYPERLINK("CSG8.html#group48AB8", "48AB⁸"), =HYPERLINK("CSG1.html#group24E1", "24E¹"), =HYPERLINK("CSG6.html#group24I6", "24I⁶"), =HYPERLINK("CSG0.html#group12C0", "12C⁰"), =HYPERLINK("CSG0.html#group4C0", "4C⁰"), =HYPERLINK("CSG0.html#group8B0", "8B⁰"), =HYPERLINK("CSG2.html#group24P2", "24P²"), =HYPERLINK("CSG2.html#group24Q2", "24Q²"), =HYPERLINK("CSG0.html#group2B0", "2B⁰"), =HYPERLINK("CSG1.html#group12M1", "12M¹"), =HYPERLINK("CSG0.html#group1A0", "1A⁰"), =HYPERLINK("CSG8.html#group48AD8", "48AD⁸"), =HYPERLINK("CSG8.html#group48AE8", "48AE⁸"), =HYPERLINK("CSG3.html#group48H3", "48H³"), =HYPERLINK("CSG4.html#group48C4", "48C⁴"), =HYPERLINK("CSG9.html#group48Y9", "48Y⁹"), =HYPERLINK("CSG1.html#group16D1", "16D¹"), =HYPERLINK("CSG3.html#group48E3", "48E³"), =HYPERLINK("CSG0.html#group24A0", "24A⁰"), =HYPERLINK("CSG9.html#group48AB9", "48AB⁹"), =HYPERLINK("CSG9.html#group48AE9", "48AE⁹"), =HYPERLINK("CSG3.html#group48F3", "48F³"), =HYPERLINK("CSG0.html#group3A0", "3A⁰"), =HYPERLINK("CSG0.html#group6D0", "6D⁰")</f>
        <v/>
      </c>
      <c r="N5683" t="inlineStr"/>
    </row>
    <row r="5684">
      <c r="A5684" t="inlineStr">
        <is>
          <t>48BJ¹⁹</t>
        </is>
      </c>
      <c r="B5684" t="inlineStr"/>
      <c r="C5684" t="inlineStr">
        <is>
          <t>288</t>
        </is>
      </c>
      <c r="D5684" t="inlineStr">
        <is>
          <t>2</t>
        </is>
      </c>
      <c r="E5684" t="inlineStr">
        <is>
          <t>36</t>
        </is>
      </c>
      <c r="F5684" t="inlineStr">
        <is>
          <t>8</t>
        </is>
      </c>
      <c r="G5684" t="inlineStr">
        <is>
          <t>0</t>
        </is>
      </c>
      <c r="H5684" t="inlineStr">
        <is>
          <t>24⁴, 48⁴</t>
        </is>
      </c>
      <c r="I5684" t="n">
        <v>8</v>
      </c>
      <c r="J5684" t="inlineStr">
        <is>
          <t>4²⁴, 8⁶</t>
        </is>
      </c>
      <c r="K5684">
        <f>HYPERLINK("CSG6.html#group24K6", "24K⁶"), =HYPERLINK("CSG8.html#group48S8", "48S⁸"), =HYPERLINK("CSG8.html#group48AA8", "48AA⁸"), =HYPERLINK("CSG8.html#group48AF8", "48AF⁸"), =HYPERLINK("CSG9.html#group48X9", "48X⁹"), =HYPERLINK("CSG9.html#group48AB9", "48AB⁹"), =HYPERLINK("CSG9.html#group48AE9", "48AE⁹")</f>
        <v/>
      </c>
      <c r="L5684" t="inlineStr"/>
      <c r="M5684">
        <f>HYPERLINK("CSG1.html#group24E1", "24E¹"), =HYPERLINK("CSG0.html#group12C0", "12C⁰"), =HYPERLINK("CSG8.html#group48AF8", "48AF⁸"), =HYPERLINK("CSG0.html#group4C0", "4C⁰"), =HYPERLINK("CSG0.html#group8B0", "8B⁰"), =HYPERLINK("CSG2.html#group24P2", "24P²"), =HYPERLINK("CSG2.html#group24Q2", "24Q²"), =HYPERLINK("CSG1.html#group12M1", "12M¹"), =HYPERLINK("CSG0.html#group2B0", "2B⁰"), =HYPERLINK("CSG0.html#group8L0", "8L⁰"), =HYPERLINK("CSG0.html#group1A0", "1A⁰"), =HYPERLINK("CSG3.html#group48H3", "48H³"), =HYPERLINK("CSG8.html#group48S8", "48S⁸"), =HYPERLINK("CSG4.html#group48C4", "48C⁴"), =HYPERLINK("CSG0.html#group24A0", "24A⁰"), =HYPERLINK("CSG9.html#group48AB9", "48AB⁹"), =HYPERLINK("CSG0.html#group6D0", "6D⁰"), =HYPERLINK("CSG9.html#group48X9", "48X⁹"), =HYPERLINK("CSG2.html#group24M2", "24M²"), =HYPERLINK("CSG9.html#group48AE9", "48AE⁹"), =HYPERLINK("CSG6.html#group24K6", "24K⁶"), =HYPERLINK("CSG3.html#group48F3", "48F³"), =HYPERLINK("CSG0.html#group3A0", "3A⁰"), =HYPERLINK("CSG8.html#group48AA8", "48AA⁸")</f>
        <v/>
      </c>
      <c r="N5684" t="inlineStr"/>
    </row>
    <row r="5685">
      <c r="A5685" t="inlineStr">
        <is>
          <t>48BK¹⁹</t>
        </is>
      </c>
      <c r="B5685" t="inlineStr"/>
      <c r="C5685" t="inlineStr">
        <is>
          <t>288</t>
        </is>
      </c>
      <c r="D5685" t="inlineStr">
        <is>
          <t>2</t>
        </is>
      </c>
      <c r="E5685" t="inlineStr">
        <is>
          <t>36</t>
        </is>
      </c>
      <c r="F5685" t="inlineStr">
        <is>
          <t>8</t>
        </is>
      </c>
      <c r="G5685" t="inlineStr">
        <is>
          <t>0</t>
        </is>
      </c>
      <c r="H5685" t="inlineStr">
        <is>
          <t>24⁴, 48⁴</t>
        </is>
      </c>
      <c r="I5685" t="n">
        <v>8</v>
      </c>
      <c r="J5685" t="inlineStr">
        <is>
          <t>4²⁴, 8⁶</t>
        </is>
      </c>
      <c r="K5685">
        <f>HYPERLINK("CSG6.html#group24K6", "24K⁶"), =HYPERLINK("CSG8.html#group48T8", "48T⁸"), =HYPERLINK("CSG8.html#group48AA8", "48AA⁸"), =HYPERLINK("CSG8.html#group48AE8", "48AE⁸"), =HYPERLINK("CSG9.html#group48X9", "48X⁹"), =HYPERLINK("CSG9.html#group48AB9", "48AB⁹"), =HYPERLINK("CSG9.html#group48AE9", "48AE⁹")</f>
        <v/>
      </c>
      <c r="L5685" t="inlineStr"/>
      <c r="M5685">
        <f>HYPERLINK("CSG1.html#group24E1", "24E¹"), =HYPERLINK("CSG0.html#group12C0", "12C⁰"), =HYPERLINK("CSG0.html#group4C0", "4C⁰"), =HYPERLINK("CSG0.html#group8B0", "8B⁰"), =HYPERLINK("CSG8.html#group48T8", "48T⁸"), =HYPERLINK("CSG2.html#group24P2", "24P²"), =HYPERLINK("CSG0.html#group8L0", "8L⁰"), =HYPERLINK("CSG1.html#group12M1", "12M¹"), =HYPERLINK("CSG0.html#group2B0", "2B⁰"), =HYPERLINK("CSG2.html#group24Q2", "24Q²"), =HYPERLINK("CSG0.html#group1A0", "1A⁰"), =HYPERLINK("CSG8.html#group48AE8", "48AE⁸"), =HYPERLINK("CSG3.html#group48H3", "48H³"), =HYPERLINK("CSG4.html#group48C4", "48C⁴"), =HYPERLINK("CSG0.html#group24A0", "24A⁰"), =HYPERLINK("CSG9.html#group48AB9", "48AB⁹"), =HYPERLINK("CSG0.html#group6D0", "6D⁰"), =HYPERLINK("CSG9.html#group48X9", "48X⁹"), =HYPERLINK("CSG2.html#group24M2", "24M²"), =HYPERLINK("CSG9.html#group48AE9", "48AE⁹"), =HYPERLINK("CSG6.html#group24K6", "24K⁶"), =HYPERLINK("CSG3.html#group48F3", "48F³"), =HYPERLINK("CSG0.html#group3A0", "3A⁰"), =HYPERLINK("CSG8.html#group48AA8", "48AA⁸")</f>
        <v/>
      </c>
      <c r="N5685" t="inlineStr"/>
    </row>
    <row r="5686">
      <c r="A5686" t="inlineStr">
        <is>
          <t>48BL¹⁹</t>
        </is>
      </c>
      <c r="B5686" t="inlineStr"/>
      <c r="C5686" t="inlineStr">
        <is>
          <t>288</t>
        </is>
      </c>
      <c r="D5686" t="inlineStr">
        <is>
          <t>2</t>
        </is>
      </c>
      <c r="E5686" t="inlineStr">
        <is>
          <t>72</t>
        </is>
      </c>
      <c r="F5686" t="inlineStr">
        <is>
          <t>4</t>
        </is>
      </c>
      <c r="G5686" t="inlineStr">
        <is>
          <t>0</t>
        </is>
      </c>
      <c r="H5686" t="inlineStr">
        <is>
          <t>24⁸, 48²</t>
        </is>
      </c>
      <c r="I5686" t="n">
        <v>10</v>
      </c>
      <c r="J5686" t="inlineStr">
        <is>
          <t>8⁶, 16⁶</t>
        </is>
      </c>
      <c r="K5686">
        <f>HYPERLINK("CSG8.html#group48U8", "48U⁸"), =HYPERLINK("CSG8.html#group48V8", "48V⁸"), =HYPERLINK("CSG9.html#group24W9", "24W⁹")</f>
        <v/>
      </c>
      <c r="L5686" t="inlineStr"/>
      <c r="M5686">
        <f>HYPERLINK("CSG4.html#group24O4", "24O⁴"), =HYPERLINK("CSG1.html#group24E1", "24E¹"), =HYPERLINK("CSG0.html#group12C0", "12C⁰"), =HYPERLINK("CSG0.html#group4C0", "4C⁰"), =HYPERLINK("CSG8.html#group48U8", "48U⁸"), =HYPERLINK("CSG0.html#group2B0", "2B⁰"), =HYPERLINK("CSG9.html#group24W9", "24W⁹"), =HYPERLINK("CSG1.html#group24B1", "24B¹"), =HYPERLINK("CSG2.html#group24C2", "24C²"), =HYPERLINK("CSG8.html#group48V8", "48V⁸"), =HYPERLINK("CSG0.html#group1A0", "1A⁰"), =HYPERLINK("CSG0.html#group8K0", "8K⁰"), =HYPERLINK("CSG3.html#group24J3", "24J³"), =HYPERLINK("CSG0.html#group12A0", "12A⁰"), =HYPERLINK("CSG0.html#group4A0", "4A⁰"), =HYPERLINK("CSG4.html#group24K4", "24K⁴"), =HYPERLINK("CSG1.html#group12J1", "12J¹"), =HYPERLINK("CSG0.html#group4F0", "4F⁰"), =HYPERLINK("CSG0.html#group3A0", "3A⁰"), =HYPERLINK("CSG0.html#group6D0", "6D⁰")</f>
        <v/>
      </c>
      <c r="N5686" t="inlineStr"/>
    </row>
    <row r="5687">
      <c r="A5687" t="inlineStr">
        <is>
          <t>48BM¹⁹</t>
        </is>
      </c>
      <c r="B5687" t="inlineStr"/>
      <c r="C5687" t="inlineStr">
        <is>
          <t>288</t>
        </is>
      </c>
      <c r="D5687" t="inlineStr">
        <is>
          <t>2</t>
        </is>
      </c>
      <c r="E5687" t="inlineStr">
        <is>
          <t>72</t>
        </is>
      </c>
      <c r="F5687" t="inlineStr">
        <is>
          <t>8</t>
        </is>
      </c>
      <c r="G5687" t="inlineStr">
        <is>
          <t>0</t>
        </is>
      </c>
      <c r="H5687" t="inlineStr">
        <is>
          <t>24⁴, 48⁴</t>
        </is>
      </c>
      <c r="I5687" t="n">
        <v>8</v>
      </c>
      <c r="J5687" t="inlineStr">
        <is>
          <t>4²⁴, 8⁶</t>
        </is>
      </c>
      <c r="K5687">
        <f>HYPERLINK("CSG7.html#group24AE7", "24AE⁷"), =HYPERLINK("CSG9.html#group48AF9", "48AF⁹")</f>
        <v/>
      </c>
      <c r="L5687" t="inlineStr"/>
      <c r="M5687">
        <f>HYPERLINK("CSG2.html#group12I2", "12I²"), =HYPERLINK("CSG1.html#group24E1", "24E¹"), =HYPERLINK("CSG0.html#group6B0", "6B⁰"), =HYPERLINK("CSG0.html#group12C0", "12C⁰"), =HYPERLINK("CSG4.html#group24P4", "24P⁴"), =HYPERLINK("CSG2.html#group24N2", "24N²"), =HYPERLINK("CSG9.html#group48AF9", "48AF⁹"), =HYPERLINK("CSG0.html#group4C0", "4C⁰"), =HYPERLINK("CSG1.html#group24D1", "24D¹"), =HYPERLINK("CSG0.html#group12F0", "12F⁰"), =HYPERLINK("CSG1.html#group12M1", "12M¹"), =HYPERLINK("CSG3.html#group24P3", "24P³"), =HYPERLINK("CSG0.html#group2B0", "2B⁰"), =HYPERLINK("CSG2.html#group24C2", "24C²"), =HYPERLINK("CSG0.html#group12H0", "12H⁰"), =HYPERLINK("CSG0.html#group1A0", "1A⁰"), =HYPERLINK("CSG0.html#group12A0", "12A⁰"), =HYPERLINK("CSG7.html#group24AE7", "24AE⁷"), =HYPERLINK("CSG3.html#group24S3", "24S³"), =HYPERLINK("CSG0.html#group4A0", "4A⁰"), =HYPERLINK("CSG4.html#group24K4", "24K⁴"), =HYPERLINK("CSG3.html#group24T3", "24T³"), =HYPERLINK("CSG1.html#group12J1", "12J¹"), =HYPERLINK("CSG0.html#group12D0", "12D⁰"), =HYPERLINK("CSG0.html#group4F0", "4F⁰"), =HYPERLINK("CSG0.html#group6H0", "6H⁰"), =HYPERLINK("CSG0.html#group3A0", "3A⁰"), =HYPERLINK("CSG0.html#group6D0", "6D⁰")</f>
        <v/>
      </c>
      <c r="N5687" t="inlineStr"/>
    </row>
    <row r="5688">
      <c r="A5688" t="inlineStr">
        <is>
          <t>48BN¹⁹</t>
        </is>
      </c>
      <c r="B5688" t="inlineStr"/>
      <c r="C5688" t="inlineStr">
        <is>
          <t>288</t>
        </is>
      </c>
      <c r="D5688" t="inlineStr">
        <is>
          <t>2</t>
        </is>
      </c>
      <c r="E5688" t="inlineStr">
        <is>
          <t>72</t>
        </is>
      </c>
      <c r="F5688" t="inlineStr">
        <is>
          <t>8</t>
        </is>
      </c>
      <c r="G5688" t="inlineStr">
        <is>
          <t>0</t>
        </is>
      </c>
      <c r="H5688" t="inlineStr">
        <is>
          <t>24⁴, 48⁴</t>
        </is>
      </c>
      <c r="I5688" t="n">
        <v>8</v>
      </c>
      <c r="J5688" t="inlineStr">
        <is>
          <t>4³⁶</t>
        </is>
      </c>
      <c r="K5688">
        <f>HYPERLINK("CSG7.html#group24AD7", "24AD⁷"), =HYPERLINK("CSG9.html#group48AF9", "48AF⁹")</f>
        <v/>
      </c>
      <c r="L5688" t="inlineStr"/>
      <c r="M5688">
        <f>HYPERLINK("CSG7.html#group24AD7", "24AD⁷"), =HYPERLINK("CSG2.html#group24O2", "24O²"), =HYPERLINK("CSG3.html#group24Q3", "24Q³"), =HYPERLINK("CSG1.html#group24E1", "24E¹"), =HYPERLINK("CSG0.html#group6B0", "6B⁰"), =HYPERLINK("CSG0.html#group12C0", "12C⁰"), =HYPERLINK("CSG0.html#group3A0", "3A⁰"), =HYPERLINK("CSG4.html#group24P4", "24P⁴"), =HYPERLINK("CSG0.html#group8D0", "8D⁰"), =HYPERLINK("CSG9.html#group48AF9", "48AF⁹"), =HYPERLINK("CSG0.html#group4C0", "4C⁰"), =HYPERLINK("CSG1.html#group24D1", "24D¹"), =HYPERLINK("CSG0.html#group2B0", "2B⁰"), =HYPERLINK("CSG1.html#group12M1", "12M¹"), =HYPERLINK("CSG2.html#group24C2", "24C²"), =HYPERLINK("CSG0.html#group1A0", "1A⁰"), =HYPERLINK("CSG2.html#group12H2", "12H²"), =HYPERLINK("CSG3.html#group24S3", "24S³"), =HYPERLINK("CSG3.html#group24T3", "24T³"), =HYPERLINK("CSG1.html#group24C1", "24C¹"), =HYPERLINK("CSG0.html#group12D0", "12D⁰"), =HYPERLINK("CSG0.html#group6H0", "6H⁰"), =HYPERLINK("CSG0.html#group12H0", "12H⁰"), =HYPERLINK("CSG4.html#group24L4", "24L⁴"), =HYPERLINK("CSG0.html#group6D0", "6D⁰")</f>
        <v/>
      </c>
      <c r="N5688" t="inlineStr"/>
    </row>
    <row r="5689">
      <c r="A5689" t="inlineStr">
        <is>
          <t>48BO¹⁹</t>
        </is>
      </c>
      <c r="B5689" t="inlineStr"/>
      <c r="C5689" t="inlineStr">
        <is>
          <t>384</t>
        </is>
      </c>
      <c r="D5689" t="inlineStr">
        <is>
          <t>1</t>
        </is>
      </c>
      <c r="E5689" t="inlineStr">
        <is>
          <t>48</t>
        </is>
      </c>
      <c r="F5689" t="inlineStr">
        <is>
          <t>0</t>
        </is>
      </c>
      <c r="G5689" t="inlineStr">
        <is>
          <t>0</t>
        </is>
      </c>
      <c r="H5689" t="inlineStr">
        <is>
          <t>4⁸, 8⁴, 12⁸, 16², 24⁴, 48²</t>
        </is>
      </c>
      <c r="I5689" t="n">
        <v>28</v>
      </c>
      <c r="J5689" t="inlineStr">
        <is>
          <t>1⁸, 2¹², 4⁴</t>
        </is>
      </c>
      <c r="K5689">
        <f>HYPERLINK("CSG7.html#group24AG7", "24AG⁷")</f>
        <v/>
      </c>
      <c r="L5689" t="inlineStr"/>
      <c r="M5689">
        <f>HYPERLINK("CSG0.html#group2A0", "2A⁰"), =HYPERLINK("CSG0.html#group3B0", "3B⁰"), =HYPERLINK("CSG0.html#group8N0", "8N⁰"), =HYPERLINK("CSG1.html#group12I1", "12I¹"), =HYPERLINK("CSG3.html#group24AA3", "24AA³"), =HYPERLINK("CSG0.html#group6I0", "6I⁰"), =HYPERLINK("CSG1.html#group12F1", "12F¹"), =HYPERLINK("CSG0.html#group4C0", "4C⁰"), =HYPERLINK("CSG0.html#group6C0", "6C⁰"), =HYPERLINK("CSG7.html#group24AG7", "24AG⁷"), =HYPERLINK("CSG0.html#group4G0", "4G⁰"), =HYPERLINK("CSG0.html#group2B0", "2B⁰"), =HYPERLINK("CSG0.html#group4E0", "4E⁰"), =HYPERLINK("CSG1.html#group12P1", "12P¹"), =HYPERLINK("CSG0.html#group4B0", "4B⁰"), =HYPERLINK("CSG0.html#group1A0", "1A⁰"), =HYPERLINK("CSG0.html#group8K0", "8K⁰"), =HYPERLINK("CSG0.html#group4A0", "4A⁰"), =HYPERLINK("CSG0.html#group4D0", "4D⁰"), =HYPERLINK("CSG1.html#group12A1", "12A¹"), =HYPERLINK("CSG4.html#group24R4", "24R⁴"), =HYPERLINK("CSG2.html#group12G2", "12G²"), =HYPERLINK("CSG3.html#group12K3", "12K³"), =HYPERLINK("CSG0.html#group4F0", "4F⁰"), =HYPERLINK("CSG0.html#group6F0", "6F⁰"), =HYPERLINK("CSG0.html#group2C0", "2C⁰"), =HYPERLINK("CSG0.html#group12E0", "12E⁰"), =HYPERLINK("CSG0.html#group8J0", "8J⁰")</f>
        <v/>
      </c>
      <c r="N5689" t="inlineStr"/>
    </row>
    <row r="5690">
      <c r="A5690" t="inlineStr">
        <is>
          <t>48BP¹⁹</t>
        </is>
      </c>
      <c r="B5690" t="inlineStr"/>
      <c r="C5690" t="inlineStr">
        <is>
          <t>384</t>
        </is>
      </c>
      <c r="D5690" t="inlineStr">
        <is>
          <t>1</t>
        </is>
      </c>
      <c r="E5690" t="inlineStr">
        <is>
          <t>48</t>
        </is>
      </c>
      <c r="F5690" t="inlineStr">
        <is>
          <t>0</t>
        </is>
      </c>
      <c r="G5690" t="inlineStr">
        <is>
          <t>0</t>
        </is>
      </c>
      <c r="H5690" t="inlineStr">
        <is>
          <t>4⁸, 8⁴, 12⁸, 16², 24⁴, 48²</t>
        </is>
      </c>
      <c r="I5690" t="n">
        <v>28</v>
      </c>
      <c r="J5690" t="inlineStr">
        <is>
          <t>1⁸, 2¹², 4⁴</t>
        </is>
      </c>
      <c r="K5690">
        <f>HYPERLINK("CSG2.html#group16I2", "16I²"), =HYPERLINK("CSG7.html#group24AG7", "24AG⁷"), =HYPERLINK("CSG10.html#group48H10", "48H¹⁰"), =HYPERLINK("CSG10.html#group48I10", "48I¹⁰")</f>
        <v/>
      </c>
      <c r="L5690" t="inlineStr"/>
      <c r="M5690">
        <f>HYPERLINK("CSG0.html#group2A0", "2A⁰"), =HYPERLINK("CSG0.html#group3B0", "3B⁰"), =HYPERLINK("CSG0.html#group8N0", "8N⁰"), =HYPERLINK("CSG1.html#group12I1", "12I¹"), =HYPERLINK("CSG3.html#group24AA3", "24AA³"), =HYPERLINK("CSG0.html#group6I0", "6I⁰"), =HYPERLINK("CSG1.html#group12F1", "12F¹"), =HYPERLINK("CSG2.html#group16I2", "16I²"), =HYPERLINK("CSG0.html#group4C0", "4C⁰"), =HYPERLINK("CSG0.html#group6C0", "6C⁰"), =HYPERLINK("CSG7.html#group24AG7", "24AG⁷"), =HYPERLINK("CSG0.html#group4G0", "4G⁰"), =HYPERLINK("CSG0.html#group2B0", "2B⁰"), =HYPERLINK("CSG0.html#group4E0", "4E⁰"), =HYPERLINK("CSG1.html#group12P1", "12P¹"), =HYPERLINK("CSG0.html#group4B0", "4B⁰"), =HYPERLINK("CSG0.html#group1A0", "1A⁰"), =HYPERLINK("CSG0.html#group8K0", "8K⁰"), =HYPERLINK("CSG1.html#group16L1", "16L¹"), =HYPERLINK("CSG10.html#group48I10", "48I¹⁰"), =HYPERLINK("CSG10.html#group48H10", "48H¹⁰"), =HYPERLINK("CSG0.html#group4A0", "4A⁰"), =HYPERLINK("CSG0.html#group4D0", "4D⁰"), =HYPERLINK("CSG1.html#group12A1", "12A¹"), =HYPERLINK("CSG4.html#group24R4", "24R⁴"), =HYPERLINK("CSG2.html#group12G2", "12G²"), =HYPERLINK("CSG3.html#group12K3", "12K³"), =HYPERLINK("CSG0.html#group4F0", "4F⁰"), =HYPERLINK("CSG0.html#group6F0", "6F⁰"), =HYPERLINK("CSG0.html#group2C0", "2C⁰"), =HYPERLINK("CSG1.html#group16K1", "16K¹"), =HYPERLINK("CSG0.html#group12E0", "12E⁰"), =HYPERLINK("CSG0.html#group8J0", "8J⁰")</f>
        <v/>
      </c>
      <c r="N5690" t="inlineStr"/>
    </row>
    <row r="5691">
      <c r="A5691" t="inlineStr">
        <is>
          <t>48BQ¹⁹</t>
        </is>
      </c>
      <c r="B5691" t="inlineStr"/>
      <c r="C5691" t="inlineStr">
        <is>
          <t>384</t>
        </is>
      </c>
      <c r="D5691" t="inlineStr">
        <is>
          <t>1</t>
        </is>
      </c>
      <c r="E5691" t="inlineStr">
        <is>
          <t>96</t>
        </is>
      </c>
      <c r="F5691" t="inlineStr">
        <is>
          <t>0</t>
        </is>
      </c>
      <c r="G5691" t="inlineStr">
        <is>
          <t>0</t>
        </is>
      </c>
      <c r="H5691" t="inlineStr">
        <is>
          <t>1⁴, 2², 3⁴, 4², 6², 8², 12², 16⁴, 24², 48⁴</t>
        </is>
      </c>
      <c r="I5691" t="n">
        <v>28</v>
      </c>
      <c r="J5691" t="inlineStr">
        <is>
          <t>1⁸, 2⁸, 4⁶, 8⁴, 16¹</t>
        </is>
      </c>
      <c r="K5691">
        <f>HYPERLINK("CSG7.html#group48AP7", "48AP⁷")</f>
        <v/>
      </c>
      <c r="L5691" t="inlineStr"/>
      <c r="M5691">
        <f>HYPERLINK("CSG0.html#group3B0", "3B⁰"), =HYPERLINK("CSG1.html#group24G1", "24G¹"), =HYPERLINK("CSG0.html#group8C0", "8C⁰"), =HYPERLINK("CSG0.html#group2B0", "2B⁰"), =HYPERLINK("CSG0.html#group8I0", "8I⁰"), =HYPERLINK("CSG0.html#group4B0", "4B⁰"), =HYPERLINK("CSG0.html#group1A0", "1A⁰"), =HYPERLINK("CSG0.html#group16H0", "16H⁰"), =HYPERLINK("CSG3.html#group48J3", "48J³"), =HYPERLINK("CSG0.html#group16C0", "16C⁰"), =HYPERLINK("CSG0.html#group16D0", "16D⁰"), =HYPERLINK("CSG3.html#group24Y3", "24Y³"), =HYPERLINK("CSG0.html#group6F0", "6F⁰"), =HYPERLINK("CSG7.html#group48AP7", "48AP⁷"), =HYPERLINK("CSG0.html#group12E0", "12E⁰"), =HYPERLINK("CSG3.html#group48L3", "48L³")</f>
        <v/>
      </c>
      <c r="N5691" t="inlineStr"/>
    </row>
    <row r="5692">
      <c r="A5692" t="inlineStr">
        <is>
          <t>48BR¹⁹</t>
        </is>
      </c>
      <c r="B5692" t="inlineStr"/>
      <c r="C5692" t="inlineStr">
        <is>
          <t>384</t>
        </is>
      </c>
      <c r="D5692" t="inlineStr">
        <is>
          <t>1</t>
        </is>
      </c>
      <c r="E5692" t="inlineStr">
        <is>
          <t>96</t>
        </is>
      </c>
      <c r="F5692" t="inlineStr">
        <is>
          <t>0</t>
        </is>
      </c>
      <c r="G5692" t="inlineStr">
        <is>
          <t>0</t>
        </is>
      </c>
      <c r="H5692" t="inlineStr">
        <is>
          <t>1⁴, 2², 3⁴, 4², 6², 8², 12², 16⁴, 24², 48⁴</t>
        </is>
      </c>
      <c r="I5692" t="n">
        <v>28</v>
      </c>
      <c r="J5692" t="inlineStr">
        <is>
          <t>1⁸, 2⁸, 4⁶, 8⁴, 16¹</t>
        </is>
      </c>
      <c r="K5692">
        <f>HYPERLINK("CSG2.html#group16J2", "16J²"), =HYPERLINK("CSG7.html#group48AP7", "48AP⁷")</f>
        <v/>
      </c>
      <c r="L5692" t="inlineStr"/>
      <c r="M5692">
        <f>HYPERLINK("CSG0.html#group3B0", "3B⁰"), =HYPERLINK("CSG1.html#group24G1", "24G¹"), =HYPERLINK("CSG0.html#group8C0", "8C⁰"), =HYPERLINK("CSG0.html#group2B0", "2B⁰"), =HYPERLINK("CSG0.html#group8I0", "8I⁰"), =HYPERLINK("CSG0.html#group4B0", "4B⁰"), =HYPERLINK("CSG0.html#group1A0", "1A⁰"), =HYPERLINK("CSG2.html#group16J2", "16J²"), =HYPERLINK("CSG0.html#group16H0", "16H⁰"), =HYPERLINK("CSG3.html#group48J3", "48J³"), =HYPERLINK("CSG0.html#group16C0", "16C⁰"), =HYPERLINK("CSG0.html#group16D0", "16D⁰"), =HYPERLINK("CSG3.html#group24Y3", "24Y³"), =HYPERLINK("CSG0.html#group6F0", "6F⁰"), =HYPERLINK("CSG7.html#group48AP7", "48AP⁷"), =HYPERLINK("CSG0.html#group12E0", "12E⁰"), =HYPERLINK("CSG3.html#group48L3", "48L³")</f>
        <v/>
      </c>
      <c r="N5692" t="inlineStr"/>
    </row>
    <row r="5693">
      <c r="A5693" t="inlineStr">
        <is>
          <t>48BS¹⁹</t>
        </is>
      </c>
      <c r="B5693" t="inlineStr"/>
      <c r="C5693" t="inlineStr">
        <is>
          <t>384</t>
        </is>
      </c>
      <c r="D5693" t="inlineStr">
        <is>
          <t>1</t>
        </is>
      </c>
      <c r="E5693" t="inlineStr">
        <is>
          <t>96</t>
        </is>
      </c>
      <c r="F5693" t="inlineStr">
        <is>
          <t>0</t>
        </is>
      </c>
      <c r="G5693" t="inlineStr">
        <is>
          <t>0</t>
        </is>
      </c>
      <c r="H5693" t="inlineStr">
        <is>
          <t>2⁴, 4², 6⁴, 8⁶, 12², 16², 24⁶, 48²</t>
        </is>
      </c>
      <c r="I5693" t="n">
        <v>28</v>
      </c>
      <c r="J5693" t="inlineStr">
        <is>
          <t>1¹⁶, 2¹⁶, 4⁸, 8²</t>
        </is>
      </c>
      <c r="K5693">
        <f>HYPERLINK("CSG7.html#group24AI7", "24AI⁷")</f>
        <v/>
      </c>
      <c r="L5693" t="inlineStr"/>
      <c r="M5693">
        <f>HYPERLINK("CSG0.html#group2A0", "2A⁰"), =HYPERLINK("CSG0.html#group3B0", "3B⁰"), =HYPERLINK("CSG3.html#group24V3", "24V³"), =HYPERLINK("CSG3.html#group24AA3", "24AA³"), =HYPERLINK("CSG0.html#group8D0", "8D⁰"), =HYPERLINK("CSG0.html#group6I0", "6I⁰"), =HYPERLINK("CSG1.html#group12F1", "12F¹"), =HYPERLINK("CSG1.html#group24G1", "24G¹"), =HYPERLINK("CSG0.html#group4C0", "4C⁰"), =HYPERLINK("CSG0.html#group6C0", "6C⁰"), =HYPERLINK("CSG0.html#group2B0", "2B⁰"), =HYPERLINK("CSG0.html#group4E0", "4E⁰"), =HYPERLINK("CSG0.html#group8C0", "8C⁰"), =HYPERLINK("CSG1.html#group12P1", "12P¹"), =HYPERLINK("CSG0.html#group4B0", "4B⁰"), =HYPERLINK("CSG0.html#group8I0", "8I⁰"), =HYPERLINK("CSG0.html#group1A0", "1A⁰"), =HYPERLINK("CSG2.html#group24I2", "24I²"), =HYPERLINK("CSG0.html#group8G0", "8G⁰"), =HYPERLINK("CSG0.html#group12E0", "12E⁰"), =HYPERLINK("CSG3.html#group24Y3", "24Y³"), =HYPERLINK("CSG0.html#group6F0", "6F⁰"), =HYPERLINK("CSG0.html#group2C0", "2C⁰"), =HYPERLINK("CSG7.html#group24AI7", "24AI⁷"), =HYPERLINK("CSG0.html#group8J0", "8J⁰"), =HYPERLINK("CSG0.html#group8O0", "8O⁰")</f>
        <v/>
      </c>
      <c r="N5693" t="inlineStr"/>
    </row>
    <row r="5694">
      <c r="A5694" t="inlineStr">
        <is>
          <t>48BT¹⁹</t>
        </is>
      </c>
      <c r="B5694" t="inlineStr"/>
      <c r="C5694" t="inlineStr">
        <is>
          <t>384</t>
        </is>
      </c>
      <c r="D5694" t="inlineStr">
        <is>
          <t>1</t>
        </is>
      </c>
      <c r="E5694" t="inlineStr">
        <is>
          <t>96</t>
        </is>
      </c>
      <c r="F5694" t="inlineStr">
        <is>
          <t>0</t>
        </is>
      </c>
      <c r="G5694" t="inlineStr">
        <is>
          <t>0</t>
        </is>
      </c>
      <c r="H5694" t="inlineStr">
        <is>
          <t>2⁴, 4², 6⁴, 8⁶, 12², 16², 24⁶, 48²</t>
        </is>
      </c>
      <c r="I5694" t="n">
        <v>28</v>
      </c>
      <c r="J5694" t="inlineStr">
        <is>
          <t>1¹⁶, 2¹⁶, 4⁸, 8²</t>
        </is>
      </c>
      <c r="K5694">
        <f>HYPERLINK("CSG2.html#group16K2", "16K²"), =HYPERLINK("CSG7.html#group24AI7", "24AI⁷")</f>
        <v/>
      </c>
      <c r="L5694" t="inlineStr"/>
      <c r="M5694">
        <f>HYPERLINK("CSG0.html#group2A0", "2A⁰"), =HYPERLINK("CSG3.html#group24V3", "24V³"), =HYPERLINK("CSG3.html#group24AA3", "24AA³"), =HYPERLINK("CSG1.html#group24G1", "24G¹"), =HYPERLINK("CSG0.html#group4C0", "4C⁰"), =HYPERLINK("CSG0.html#group2B0", "2B⁰"), =HYPERLINK("CSG0.html#group4E0", "4E⁰"), =HYPERLINK("CSG0.html#group8C0", "8C⁰"), =HYPERLINK("CSG0.html#group4B0", "4B⁰"), =HYPERLINK("CSG0.html#group1A0", "1A⁰"), =HYPERLINK("CSG0.html#group8G0", "8G⁰"), =HYPERLINK("CSG0.html#group12E0", "12E⁰"), =HYPERLINK("CSG0.html#group6F0", "6F⁰"), =HYPERLINK("CSG0.html#group3B0", "3B⁰"), =HYPERLINK("CSG0.html#group8D0", "8D⁰"), =HYPERLINK("CSG0.html#group6I0", "6I⁰"), =HYPERLINK("CSG1.html#group12F1", "12F¹"), =HYPERLINK("CSG0.html#group6C0", "6C⁰"), =HYPERLINK("CSG0.html#group8I0", "8I⁰"), =HYPERLINK("CSG1.html#group12P1", "12P¹"), =HYPERLINK("CSG2.html#group16K2", "16K²"), =HYPERLINK("CSG2.html#group24I2", "24I²"), =HYPERLINK("CSG3.html#group24Y3", "24Y³"), =HYPERLINK("CSG0.html#group8J0", "8J⁰"), =HYPERLINK("CSG0.html#group2C0", "2C⁰"), =HYPERLINK("CSG7.html#group24AI7", "24AI⁷"), =HYPERLINK("CSG0.html#group8O0", "8O⁰")</f>
        <v/>
      </c>
      <c r="N5694" t="inlineStr"/>
    </row>
    <row r="5695">
      <c r="A5695" t="inlineStr">
        <is>
          <t>49A¹⁹</t>
        </is>
      </c>
      <c r="B5695" t="inlineStr"/>
      <c r="C5695" t="inlineStr">
        <is>
          <t>294</t>
        </is>
      </c>
      <c r="D5695" t="inlineStr">
        <is>
          <t>1</t>
        </is>
      </c>
      <c r="E5695" t="inlineStr">
        <is>
          <t>21</t>
        </is>
      </c>
      <c r="F5695" t="inlineStr">
        <is>
          <t>14</t>
        </is>
      </c>
      <c r="G5695" t="inlineStr">
        <is>
          <t>0</t>
        </is>
      </c>
      <c r="H5695" t="inlineStr">
        <is>
          <t>49⁶</t>
        </is>
      </c>
      <c r="I5695" t="n">
        <v>6</v>
      </c>
      <c r="J5695" t="inlineStr">
        <is>
          <t>3¹, 6³</t>
        </is>
      </c>
      <c r="K5695">
        <f>HYPERLINK("CSG1.html#group7A1", "7A¹"), =HYPERLINK("CSG9.html#group49A9", "49A⁹")</f>
        <v/>
      </c>
      <c r="L5695" t="inlineStr"/>
      <c r="M5695">
        <f>HYPERLINK("CSG0.html#group7D0", "7D⁰"), =HYPERLINK("CSG0.html#group1A0", "1A⁰"), =HYPERLINK("CSG9.html#group49A9", "49A⁹"), =HYPERLINK("CSG0.html#group7A0", "7A⁰"), =HYPERLINK("CSG1.html#group7A1", "7A¹")</f>
        <v/>
      </c>
      <c r="N5695" t="inlineStr"/>
    </row>
    <row r="5696">
      <c r="A5696" t="inlineStr">
        <is>
          <t>49B¹⁹</t>
        </is>
      </c>
      <c r="B5696" t="inlineStr"/>
      <c r="C5696" t="inlineStr">
        <is>
          <t>392</t>
        </is>
      </c>
      <c r="D5696" t="inlineStr">
        <is>
          <t>1</t>
        </is>
      </c>
      <c r="E5696" t="inlineStr">
        <is>
          <t>28</t>
        </is>
      </c>
      <c r="F5696" t="inlineStr">
        <is>
          <t>0</t>
        </is>
      </c>
      <c r="G5696" t="inlineStr">
        <is>
          <t>14</t>
        </is>
      </c>
      <c r="H5696" t="inlineStr">
        <is>
          <t>7¹⁴, 49⁶</t>
        </is>
      </c>
      <c r="I5696" t="n">
        <v>20</v>
      </c>
      <c r="J5696" t="inlineStr">
        <is>
          <t>1¹, 3¹, 6⁴</t>
        </is>
      </c>
      <c r="K5696">
        <f>HYPERLINK("CSG1.html#group7B1", "7B¹"), =HYPERLINK("CSG9.html#group49B9", "49B⁹")</f>
        <v/>
      </c>
      <c r="L5696" t="inlineStr"/>
      <c r="M5696">
        <f>HYPERLINK("CSG0.html#group7F0", "7F⁰"), =HYPERLINK("CSG0.html#group7A0", "7A⁰"), =HYPERLINK("CSG0.html#group1A0", "1A⁰"), =HYPERLINK("CSG0.html#group7B0", "7B⁰"), =HYPERLINK("CSG1.html#group7B1", "7B¹"), =HYPERLINK("CSG0.html#group7C0", "7C⁰"), =HYPERLINK("CSG9.html#group49B9", "49B⁹")</f>
        <v/>
      </c>
      <c r="N5696" t="inlineStr"/>
    </row>
    <row r="5697">
      <c r="A5697" t="inlineStr">
        <is>
          <t>49C¹⁹</t>
        </is>
      </c>
      <c r="B5697" t="inlineStr"/>
      <c r="C5697" t="inlineStr">
        <is>
          <t>392</t>
        </is>
      </c>
      <c r="D5697" t="inlineStr">
        <is>
          <t>1</t>
        </is>
      </c>
      <c r="E5697" t="inlineStr">
        <is>
          <t>56</t>
        </is>
      </c>
      <c r="F5697" t="inlineStr">
        <is>
          <t>0</t>
        </is>
      </c>
      <c r="G5697" t="inlineStr">
        <is>
          <t>14</t>
        </is>
      </c>
      <c r="H5697" t="inlineStr">
        <is>
          <t>1⁷, 7⁶, 49⁷</t>
        </is>
      </c>
      <c r="I5697" t="n">
        <v>20</v>
      </c>
      <c r="J5697" t="inlineStr">
        <is>
          <t>1², 6², 42¹</t>
        </is>
      </c>
      <c r="K5697">
        <f>HYPERLINK("CSG1.html#group49A1", "49A¹")</f>
        <v/>
      </c>
      <c r="L5697" t="inlineStr"/>
      <c r="M5697">
        <f>HYPERLINK("CSG1.html#group49A1", "49A¹"), =HYPERLINK("CSG0.html#group1A0", "1A⁰"), =HYPERLINK("CSG0.html#group7B0", "7B⁰")</f>
        <v/>
      </c>
      <c r="N5697" t="inlineStr"/>
    </row>
    <row r="5698">
      <c r="A5698" t="inlineStr">
        <is>
          <t>50A¹⁹</t>
        </is>
      </c>
      <c r="B5698" t="inlineStr"/>
      <c r="C5698" t="inlineStr">
        <is>
          <t>300</t>
        </is>
      </c>
      <c r="D5698" t="inlineStr">
        <is>
          <t>1</t>
        </is>
      </c>
      <c r="E5698" t="inlineStr">
        <is>
          <t>15</t>
        </is>
      </c>
      <c r="F5698" t="inlineStr">
        <is>
          <t>0</t>
        </is>
      </c>
      <c r="G5698" t="inlineStr">
        <is>
          <t>0</t>
        </is>
      </c>
      <c r="H5698" t="inlineStr">
        <is>
          <t>10¹⁰, 50⁴</t>
        </is>
      </c>
      <c r="I5698" t="n">
        <v>14</v>
      </c>
      <c r="J5698" t="inlineStr">
        <is>
          <t>1¹, 2¹, 4³</t>
        </is>
      </c>
      <c r="K5698">
        <f>HYPERLINK("CSG3.html#group10B3", "10B³"), =HYPERLINK("CSG4.html#group25F4", "25F⁴"), =HYPERLINK("CSG9.html#group50E9", "50E⁹"), =HYPERLINK("CSG10.html#group50A10", "50A¹⁰")</f>
        <v/>
      </c>
      <c r="L5698" t="inlineStr"/>
      <c r="M5698">
        <f>HYPERLINK("CSG0.html#group2A0", "2A⁰"), =HYPERLINK("CSG4.html#group25F4", "25F⁴"), =HYPERLINK("CSG0.html#group5A0", "5A⁰"), =HYPERLINK("CSG2.html#group10A2", "10A²"), =HYPERLINK("CSG0.html#group5B0", "5B⁰"), =HYPERLINK("CSG1.html#group10A1", "10A¹"), =HYPERLINK("CSG1.html#group10E1", "10E¹"), =HYPERLINK("CSG0.html#group1A0", "1A⁰"), =HYPERLINK("CSG10.html#group50A10", "50A¹⁰"), =HYPERLINK("CSG2.html#group25F2", "25F²"), =HYPERLINK("CSG0.html#group10A0", "10A⁰"), =HYPERLINK("CSG3.html#group10B3", "10B³"), =HYPERLINK("CSG0.html#group5E0", "5E⁰"), =HYPERLINK("CSG1.html#group10C1", "10C¹"), =HYPERLINK("CSG9.html#group50E9", "50E⁹"), =HYPERLINK("CSG0.html#group5C0", "5C⁰"), =HYPERLINK("CSG0.html#group5G0", "5G⁰")</f>
        <v/>
      </c>
      <c r="N5698" t="inlineStr"/>
    </row>
    <row r="5699">
      <c r="A5699" t="inlineStr">
        <is>
          <t>50B¹⁹</t>
        </is>
      </c>
      <c r="B5699" t="inlineStr"/>
      <c r="C5699" t="inlineStr">
        <is>
          <t>300</t>
        </is>
      </c>
      <c r="D5699" t="inlineStr">
        <is>
          <t>1</t>
        </is>
      </c>
      <c r="E5699" t="inlineStr">
        <is>
          <t>30</t>
        </is>
      </c>
      <c r="F5699" t="inlineStr">
        <is>
          <t>0</t>
        </is>
      </c>
      <c r="G5699" t="inlineStr">
        <is>
          <t>0</t>
        </is>
      </c>
      <c r="H5699" t="inlineStr">
        <is>
          <t>2⁵, 10⁴, 50⁵</t>
        </is>
      </c>
      <c r="I5699" t="n">
        <v>14</v>
      </c>
      <c r="J5699" t="inlineStr">
        <is>
          <t>1², 4², 20¹</t>
        </is>
      </c>
      <c r="K5699">
        <f>HYPERLINK("CSG3.html#group50A3", "50A³"), =HYPERLINK("CSG4.html#group25G4", "25G⁴")</f>
        <v/>
      </c>
      <c r="L5699" t="inlineStr"/>
      <c r="M5699">
        <f>HYPERLINK("CSG3.html#group50A3", "50A³"), =HYPERLINK("CSG0.html#group25A0", "25A⁰"), =HYPERLINK("CSG0.html#group5B0", "5B⁰"), =HYPERLINK("CSG1.html#group10A1", "10A¹"), =HYPERLINK("CSG0.html#group2A0", "2A⁰"), =HYPERLINK("CSG0.html#group1A0", "1A⁰"), =HYPERLINK("CSG4.html#group25G4", "25G⁴")</f>
        <v/>
      </c>
      <c r="N5699" t="inlineStr"/>
    </row>
    <row r="5700">
      <c r="A5700" t="inlineStr">
        <is>
          <t>50C¹⁹</t>
        </is>
      </c>
      <c r="B5700" t="inlineStr"/>
      <c r="C5700" t="inlineStr">
        <is>
          <t>300</t>
        </is>
      </c>
      <c r="D5700" t="inlineStr">
        <is>
          <t>1</t>
        </is>
      </c>
      <c r="E5700" t="inlineStr">
        <is>
          <t>75</t>
        </is>
      </c>
      <c r="F5700" t="inlineStr">
        <is>
          <t>0</t>
        </is>
      </c>
      <c r="G5700" t="inlineStr">
        <is>
          <t>0</t>
        </is>
      </c>
      <c r="H5700" t="inlineStr">
        <is>
          <t>10¹⁰, 50⁴</t>
        </is>
      </c>
      <c r="I5700" t="n">
        <v>14</v>
      </c>
      <c r="J5700" t="inlineStr">
        <is>
          <t>2², 4⁴, 10¹, 20⁶</t>
        </is>
      </c>
      <c r="K5700">
        <f>HYPERLINK("CSG3.html#group10B3", "10B³"), =HYPERLINK("CSG6.html#group25E6", "25E⁶"), =HYPERLINK("CSG7.html#group50B7", "50B⁷"), =HYPERLINK("CSG10.html#group50A10", "50A¹⁰")</f>
        <v/>
      </c>
      <c r="L5700" t="inlineStr"/>
      <c r="M5700">
        <f>HYPERLINK("CSG0.html#group2A0", "2A⁰"), =HYPERLINK("CSG0.html#group5A0", "5A⁰"), =HYPERLINK("CSG2.html#group10A2", "10A²"), =HYPERLINK("CSG0.html#group5B0", "5B⁰"), =HYPERLINK("CSG1.html#group10A1", "10A¹"), =HYPERLINK("CSG6.html#group25E6", "25E⁶"), =HYPERLINK("CSG1.html#group10E1", "10E¹"), =HYPERLINK("CSG0.html#group1A0", "1A⁰"), =HYPERLINK("CSG10.html#group50A10", "50A¹⁰"), =HYPERLINK("CSG2.html#group25F2", "25F²"), =HYPERLINK("CSG7.html#group50B7", "50B⁷"), =HYPERLINK("CSG0.html#group10A0", "10A⁰"), =HYPERLINK("CSG3.html#group10B3", "10B³"), =HYPERLINK("CSG0.html#group5E0", "5E⁰"), =HYPERLINK("CSG1.html#group10C1", "10C¹"), =HYPERLINK("CSG0.html#group5C0", "5C⁰"), =HYPERLINK("CSG0.html#group5G0", "5G⁰")</f>
        <v/>
      </c>
      <c r="N5700" t="inlineStr"/>
    </row>
    <row r="5701">
      <c r="A5701" t="inlineStr">
        <is>
          <t>50D¹⁹</t>
        </is>
      </c>
      <c r="B5701" t="inlineStr"/>
      <c r="C5701" t="inlineStr">
        <is>
          <t>300</t>
        </is>
      </c>
      <c r="D5701" t="inlineStr">
        <is>
          <t>1</t>
        </is>
      </c>
      <c r="E5701" t="inlineStr">
        <is>
          <t>75</t>
        </is>
      </c>
      <c r="F5701" t="inlineStr">
        <is>
          <t>0</t>
        </is>
      </c>
      <c r="G5701" t="inlineStr">
        <is>
          <t>0</t>
        </is>
      </c>
      <c r="H5701" t="inlineStr">
        <is>
          <t>10¹⁰, 50⁴</t>
        </is>
      </c>
      <c r="I5701" t="n">
        <v>14</v>
      </c>
      <c r="J5701" t="inlineStr">
        <is>
          <t>2², 4⁴, 10¹, 20⁶</t>
        </is>
      </c>
      <c r="K5701">
        <f>HYPERLINK("CSG3.html#group10B3", "10B³"), =HYPERLINK("CSG6.html#group25F6", "25F⁶"), =HYPERLINK("CSG7.html#group50A7", "50A⁷"), =HYPERLINK("CSG10.html#group50A10", "50A¹⁰")</f>
        <v/>
      </c>
      <c r="L5701" t="inlineStr"/>
      <c r="M5701">
        <f>HYPERLINK("CSG0.html#group2A0", "2A⁰"), =HYPERLINK("CSG0.html#group5A0", "5A⁰"), =HYPERLINK("CSG2.html#group10A2", "10A²"), =HYPERLINK("CSG0.html#group5B0", "5B⁰"), =HYPERLINK("CSG1.html#group10A1", "10A¹"), =HYPERLINK("CSG1.html#group10E1", "10E¹"), =HYPERLINK("CSG0.html#group1A0", "1A⁰"), =HYPERLINK("CSG10.html#group50A10", "50A¹⁰"), =HYPERLINK("CSG2.html#group25F2", "25F²"), =HYPERLINK("CSG0.html#group10A0", "10A⁰"), =HYPERLINK("CSG3.html#group10B3", "10B³"), =HYPERLINK("CSG0.html#group5E0", "5E⁰"), =HYPERLINK("CSG6.html#group25F6", "25F⁶"), =HYPERLINK("CSG1.html#group10C1", "10C¹"), =HYPERLINK("CSG0.html#group5C0", "5C⁰"), =HYPERLINK("CSG7.html#group50A7", "50A⁷"), =HYPERLINK("CSG0.html#group5G0", "5G⁰")</f>
        <v/>
      </c>
      <c r="N5701" t="inlineStr"/>
    </row>
    <row r="5702">
      <c r="A5702" t="inlineStr">
        <is>
          <t>51A¹⁹</t>
        </is>
      </c>
      <c r="B5702" t="inlineStr"/>
      <c r="C5702" t="inlineStr">
        <is>
          <t>306</t>
        </is>
      </c>
      <c r="D5702" t="inlineStr">
        <is>
          <t>1</t>
        </is>
      </c>
      <c r="E5702" t="inlineStr">
        <is>
          <t>102</t>
        </is>
      </c>
      <c r="F5702" t="inlineStr">
        <is>
          <t>18</t>
        </is>
      </c>
      <c r="G5702" t="inlineStr">
        <is>
          <t>0</t>
        </is>
      </c>
      <c r="H5702" t="inlineStr">
        <is>
          <t>51⁶</t>
        </is>
      </c>
      <c r="I5702" t="n">
        <v>6</v>
      </c>
      <c r="J5702" t="inlineStr">
        <is>
          <t>4¹, 8¹, 16¹²</t>
        </is>
      </c>
      <c r="K5702">
        <f>HYPERLINK("CSG0.html#group3A0", "3A⁰"), =HYPERLINK("CSG4.html#group17A4", "17A⁴")</f>
        <v/>
      </c>
      <c r="L5702" t="inlineStr"/>
      <c r="M5702">
        <f>HYPERLINK("CSG0.html#group3A0", "3A⁰"), =HYPERLINK("CSG0.html#group1A0", "1A⁰"), =HYPERLINK("CSG4.html#group17A4", "17A⁴")</f>
        <v/>
      </c>
      <c r="N5702" t="inlineStr"/>
    </row>
    <row r="5703">
      <c r="A5703" t="inlineStr">
        <is>
          <t>51B¹⁹</t>
        </is>
      </c>
      <c r="B5703" t="inlineStr"/>
      <c r="C5703" t="inlineStr">
        <is>
          <t>306</t>
        </is>
      </c>
      <c r="D5703" t="inlineStr">
        <is>
          <t>1</t>
        </is>
      </c>
      <c r="E5703" t="inlineStr">
        <is>
          <t>102</t>
        </is>
      </c>
      <c r="F5703" t="inlineStr">
        <is>
          <t>18</t>
        </is>
      </c>
      <c r="G5703" t="inlineStr">
        <is>
          <t>0</t>
        </is>
      </c>
      <c r="H5703" t="inlineStr">
        <is>
          <t>51⁶</t>
        </is>
      </c>
      <c r="I5703" t="n">
        <v>6</v>
      </c>
      <c r="J5703" t="inlineStr">
        <is>
          <t>4¹, 8¹, 16¹²</t>
        </is>
      </c>
      <c r="K5703">
        <f>HYPERLINK("CSG0.html#group3A0", "3A⁰"), =HYPERLINK("CSG4.html#group17B4", "17B⁴")</f>
        <v/>
      </c>
      <c r="L5703" t="inlineStr"/>
      <c r="M5703">
        <f>HYPERLINK("CSG0.html#group3A0", "3A⁰"), =HYPERLINK("CSG0.html#group1A0", "1A⁰"), =HYPERLINK("CSG4.html#group17B4", "17B⁴")</f>
        <v/>
      </c>
      <c r="N5703" t="inlineStr"/>
    </row>
    <row r="5704">
      <c r="A5704" t="inlineStr">
        <is>
          <t>52A¹⁹</t>
        </is>
      </c>
      <c r="B5704" t="inlineStr"/>
      <c r="C5704" t="inlineStr">
        <is>
          <t>336</t>
        </is>
      </c>
      <c r="D5704" t="inlineStr">
        <is>
          <t>1</t>
        </is>
      </c>
      <c r="E5704" t="inlineStr">
        <is>
          <t>42</t>
        </is>
      </c>
      <c r="F5704" t="inlineStr">
        <is>
          <t>0</t>
        </is>
      </c>
      <c r="G5704" t="inlineStr">
        <is>
          <t>0</t>
        </is>
      </c>
      <c r="H5704" t="inlineStr">
        <is>
          <t>2⁸, 4², 26⁸, 52²</t>
        </is>
      </c>
      <c r="I5704" t="n">
        <v>20</v>
      </c>
      <c r="J5704" t="inlineStr">
        <is>
          <t>1⁶, 12³</t>
        </is>
      </c>
      <c r="K5704">
        <f>HYPERLINK("CSG9.html#group26B9", "26B⁹"), =HYPERLINK("CSG9.html#group52E9", "52E⁹")</f>
        <v/>
      </c>
      <c r="L5704" t="inlineStr"/>
      <c r="M5704">
        <f>HYPERLINK("CSG5.html#group26B5", "26B⁵"), =HYPERLINK("CSG0.html#group2A0", "2A⁰"), =HYPERLINK("CSG1.html#group26B1", "26B¹"), =HYPERLINK("CSG1.html#group26A1", "26A¹"), =HYPERLINK("CSG9.html#group26B9", "26B⁹"), =HYPERLINK("CSG0.html#group13A0", "13A⁰"), =HYPERLINK("CSG4.html#group26B4", "26B⁴"), =HYPERLINK("CSG0.html#group2B0", "2B⁰"), =HYPERLINK("CSG0.html#group26A0", "26A⁰"), =HYPERLINK("CSG0.html#group13B0", "13B⁰"), =HYPERLINK("CSG9.html#group52E9", "52E⁹"), =HYPERLINK("CSG0.html#group1A0", "1A⁰"), =HYPERLINK("CSG0.html#group2C0", "2C⁰"), =HYPERLINK("CSG2.html#group26A2", "26A²"), =HYPERLINK("CSG4.html#group26A4", "26A⁴")</f>
        <v/>
      </c>
      <c r="N5704" t="inlineStr"/>
    </row>
    <row r="5705">
      <c r="A5705" t="inlineStr">
        <is>
          <t>52B¹⁹</t>
        </is>
      </c>
      <c r="B5705" t="inlineStr"/>
      <c r="C5705" t="inlineStr">
        <is>
          <t>336</t>
        </is>
      </c>
      <c r="D5705" t="inlineStr">
        <is>
          <t>1</t>
        </is>
      </c>
      <c r="E5705" t="inlineStr">
        <is>
          <t>84</t>
        </is>
      </c>
      <c r="F5705" t="inlineStr">
        <is>
          <t>0</t>
        </is>
      </c>
      <c r="G5705" t="inlineStr">
        <is>
          <t>0</t>
        </is>
      </c>
      <c r="H5705" t="inlineStr">
        <is>
          <t>1⁴, 2², 4⁴, 13⁴, 26², 52⁴</t>
        </is>
      </c>
      <c r="I5705" t="n">
        <v>20</v>
      </c>
      <c r="J5705" t="inlineStr">
        <is>
          <t>1⁸, 2², 12⁴, 24¹</t>
        </is>
      </c>
      <c r="K5705">
        <f>HYPERLINK("CSG9.html#group52A9", "52A⁹")</f>
        <v/>
      </c>
      <c r="L5705" t="inlineStr"/>
      <c r="M5705">
        <f>HYPERLINK("CSG5.html#group52A5", "52A⁵"), =HYPERLINK("CSG9.html#group52A9", "52A⁹"), =HYPERLINK("CSG0.html#group13A0", "13A⁰"), =HYPERLINK("CSG0.html#group2B0", "2B⁰"), =HYPERLINK("CSG0.html#group13B0", "13B⁰"), =HYPERLINK("CSG4.html#group52A4", "52A⁴"), =HYPERLINK("CSG0.html#group4B0", "4B⁰"), =HYPERLINK("CSG0.html#group1A0", "1A⁰"), =HYPERLINK("CSG2.html#group26A2", "26A²"), =HYPERLINK("CSG4.html#group26A4", "26A⁴")</f>
        <v/>
      </c>
      <c r="N5705" t="inlineStr"/>
    </row>
    <row r="5706">
      <c r="A5706" t="inlineStr">
        <is>
          <t>52C¹⁹</t>
        </is>
      </c>
      <c r="B5706" t="inlineStr"/>
      <c r="C5706" t="inlineStr">
        <is>
          <t>336</t>
        </is>
      </c>
      <c r="D5706" t="inlineStr">
        <is>
          <t>1</t>
        </is>
      </c>
      <c r="E5706" t="inlineStr">
        <is>
          <t>84</t>
        </is>
      </c>
      <c r="F5706" t="inlineStr">
        <is>
          <t>8</t>
        </is>
      </c>
      <c r="G5706" t="inlineStr">
        <is>
          <t>0</t>
        </is>
      </c>
      <c r="H5706" t="inlineStr">
        <is>
          <t>2⁴, 4⁴, 26⁴, 52⁴</t>
        </is>
      </c>
      <c r="I5706" t="n">
        <v>16</v>
      </c>
      <c r="J5706" t="inlineStr">
        <is>
          <t>1⁸, 2², 12⁴, 24¹</t>
        </is>
      </c>
      <c r="K5706">
        <f>HYPERLINK("CSG9.html#group52B9", "52B⁹")</f>
        <v/>
      </c>
      <c r="L5706" t="inlineStr"/>
      <c r="M5706">
        <f>HYPERLINK("CSG9.html#group52B9", "52B⁹"), =HYPERLINK("CSG0.html#group4C0", "4C⁰"), =HYPERLINK("CSG0.html#group13A0", "13A⁰"), =HYPERLINK("CSG4.html#group26B4", "26B⁴"), =HYPERLINK("CSG5.html#group52B5", "52B⁵"), =HYPERLINK("CSG0.html#group2B0", "2B⁰"), =HYPERLINK("CSG0.html#group26A0", "26A⁰"), =HYPERLINK("CSG4.html#group52A4", "52A⁴"), =HYPERLINK("CSG0.html#group1A0", "1A⁰"), =HYPERLINK("CSG2.html#group26A2", "26A²")</f>
        <v/>
      </c>
      <c r="N5706" t="inlineStr"/>
    </row>
    <row r="5707">
      <c r="A5707" t="inlineStr">
        <is>
          <t>54A¹⁹</t>
        </is>
      </c>
      <c r="B5707" t="inlineStr"/>
      <c r="C5707" t="inlineStr">
        <is>
          <t>324</t>
        </is>
      </c>
      <c r="D5707" t="inlineStr">
        <is>
          <t>1</t>
        </is>
      </c>
      <c r="E5707" t="inlineStr">
        <is>
          <t>162</t>
        </is>
      </c>
      <c r="F5707" t="inlineStr">
        <is>
          <t>12</t>
        </is>
      </c>
      <c r="G5707" t="inlineStr">
        <is>
          <t>0</t>
        </is>
      </c>
      <c r="H5707" t="inlineStr">
        <is>
          <t>18⁹, 54³</t>
        </is>
      </c>
      <c r="I5707" t="n">
        <v>12</v>
      </c>
      <c r="J5707" t="inlineStr">
        <is>
          <t>1¹, 2⁴, 6³, 9¹, 18⁷</t>
        </is>
      </c>
      <c r="K5707">
        <f>HYPERLINK("CSG4.html#group18O4", "18O⁴"), =HYPERLINK("CSG7.html#group27G7", "27G⁷")</f>
        <v/>
      </c>
      <c r="L5707" t="inlineStr"/>
      <c r="M5707">
        <f>HYPERLINK("CSG7.html#group27G7", "27G⁷"), =HYPERLINK("CSG0.html#group6B0", "6B⁰"), =HYPERLINK("CSG0.html#group9D0", "9D⁰"), =HYPERLINK("CSG0.html#group18D0", "18D⁰"), =HYPERLINK("CSG0.html#group3A0", "3A⁰"), =HYPERLINK("CSG0.html#group6E0", "6E⁰"), =HYPERLINK("CSG0.html#group9A0", "9A⁰"), =HYPERLINK("CSG0.html#group3C0", "3C⁰"), =HYPERLINK("CSG1.html#group9E1", "9E¹"), =HYPERLINK("CSG1.html#group18F1", "18F¹"), =HYPERLINK("CSG0.html#group9E0", "9E⁰"), =HYPERLINK("CSG4.html#group18O4", "18O⁴"), =HYPERLINK("CSG0.html#group1A0", "1A⁰"), =HYPERLINK("CSG0.html#group18A0", "18A⁰")</f>
        <v/>
      </c>
      <c r="N5707" t="inlineStr"/>
    </row>
    <row r="5708">
      <c r="A5708" t="inlineStr">
        <is>
          <t>54B¹⁹</t>
        </is>
      </c>
      <c r="B5708" t="inlineStr"/>
      <c r="C5708" t="inlineStr">
        <is>
          <t>324</t>
        </is>
      </c>
      <c r="D5708" t="inlineStr">
        <is>
          <t>1</t>
        </is>
      </c>
      <c r="E5708" t="inlineStr">
        <is>
          <t>324</t>
        </is>
      </c>
      <c r="F5708" t="inlineStr">
        <is>
          <t>12</t>
        </is>
      </c>
      <c r="G5708" t="inlineStr">
        <is>
          <t>0</t>
        </is>
      </c>
      <c r="H5708" t="inlineStr">
        <is>
          <t>18⁹, 54³</t>
        </is>
      </c>
      <c r="I5708" t="n">
        <v>12</v>
      </c>
      <c r="J5708" t="inlineStr">
        <is>
          <t>2⁹, 6⁶, 9², 18¹⁴</t>
        </is>
      </c>
      <c r="K5708">
        <f>HYPERLINK("CSG4.html#group18O4", "18O⁴")</f>
        <v/>
      </c>
      <c r="L5708" t="inlineStr"/>
      <c r="M5708">
        <f>HYPERLINK("CSG0.html#group6B0", "6B⁰"), =HYPERLINK("CSG0.html#group9D0", "9D⁰"), =HYPERLINK("CSG0.html#group18D0", "18D⁰"), =HYPERLINK("CSG0.html#group3A0", "3A⁰"), =HYPERLINK("CSG0.html#group6E0", "6E⁰"), =HYPERLINK("CSG0.html#group9A0", "9A⁰"), =HYPERLINK("CSG0.html#group3C0", "3C⁰"), =HYPERLINK("CSG1.html#group9E1", "9E¹"), =HYPERLINK("CSG1.html#group18F1", "18F¹"), =HYPERLINK("CSG0.html#group9E0", "9E⁰"), =HYPERLINK("CSG4.html#group18O4", "18O⁴"), =HYPERLINK("CSG0.html#group1A0", "1A⁰"), =HYPERLINK("CSG0.html#group18A0", "18A⁰")</f>
        <v/>
      </c>
      <c r="N5708" t="inlineStr"/>
    </row>
    <row r="5709">
      <c r="A5709" t="inlineStr">
        <is>
          <t>55A¹⁹</t>
        </is>
      </c>
      <c r="B5709" t="inlineStr"/>
      <c r="C5709" t="inlineStr">
        <is>
          <t>275</t>
        </is>
      </c>
      <c r="D5709" t="inlineStr">
        <is>
          <t>1</t>
        </is>
      </c>
      <c r="E5709" t="inlineStr">
        <is>
          <t>275</t>
        </is>
      </c>
      <c r="F5709" t="inlineStr">
        <is>
          <t>7</t>
        </is>
      </c>
      <c r="G5709" t="inlineStr">
        <is>
          <t>2</t>
        </is>
      </c>
      <c r="H5709" t="inlineStr">
        <is>
          <t>55⁵</t>
        </is>
      </c>
      <c r="I5709" t="n">
        <v>5</v>
      </c>
      <c r="J5709" t="inlineStr">
        <is>
          <t>5¹, 10⁵, 20¹, 40⁵</t>
        </is>
      </c>
      <c r="K5709">
        <f>HYPERLINK("CSG0.html#group5A0", "5A⁰"), =HYPERLINK("CSG1.html#group11C1", "11C¹")</f>
        <v/>
      </c>
      <c r="L5709" t="inlineStr"/>
      <c r="M5709">
        <f>HYPERLINK("CSG1.html#group11C1", "11C¹"), =HYPERLINK("CSG0.html#group5A0", "5A⁰"), =HYPERLINK("CSG0.html#group1A0", "1A⁰")</f>
        <v/>
      </c>
      <c r="N5709" t="inlineStr"/>
    </row>
    <row r="5710">
      <c r="A5710" t="inlineStr">
        <is>
          <t>56A¹⁹</t>
        </is>
      </c>
      <c r="B5710" t="inlineStr"/>
      <c r="C5710" t="inlineStr">
        <is>
          <t>252</t>
        </is>
      </c>
      <c r="D5710" t="inlineStr">
        <is>
          <t>1</t>
        </is>
      </c>
      <c r="E5710" t="inlineStr">
        <is>
          <t>63</t>
        </is>
      </c>
      <c r="F5710" t="inlineStr">
        <is>
          <t>0</t>
        </is>
      </c>
      <c r="G5710" t="inlineStr">
        <is>
          <t>0</t>
        </is>
      </c>
      <c r="H5710" t="inlineStr">
        <is>
          <t>28³, 56³</t>
        </is>
      </c>
      <c r="I5710" t="n">
        <v>6</v>
      </c>
      <c r="J5710" t="inlineStr">
        <is>
          <t>3³, 6⁹</t>
        </is>
      </c>
      <c r="K5710">
        <f>HYPERLINK("CSG6.html#group28I6", "28I⁶"), =HYPERLINK("CSG7.html#group56A7", "56A⁷")</f>
        <v/>
      </c>
      <c r="L5710" t="inlineStr"/>
      <c r="M5710">
        <f>HYPERLINK("CSG2.html#group28C2", "28C²"), =HYPERLINK("CSG1.html#group8A1", "8A¹"), =HYPERLINK("CSG7.html#group56A7", "56A⁷"), =HYPERLINK("CSG0.html#group7D0", "7D⁰"), =HYPERLINK("CSG1.html#group14B1", "14B¹"), =HYPERLINK("CSG0.html#group4C0", "4C⁰"), =HYPERLINK("CSG2.html#group14F2", "14F²"), =HYPERLINK("CSG0.html#group2B0", "2B⁰"), =HYPERLINK("CSG6.html#group28I6", "28I⁶"), =HYPERLINK("CSG0.html#group1A0", "1A⁰"), =HYPERLINK("CSG0.html#group7A0", "7A⁰")</f>
        <v/>
      </c>
      <c r="N5710" t="inlineStr"/>
    </row>
    <row r="5711">
      <c r="A5711" t="inlineStr">
        <is>
          <t>56B¹⁹</t>
        </is>
      </c>
      <c r="B5711" t="inlineStr"/>
      <c r="C5711" t="inlineStr">
        <is>
          <t>288</t>
        </is>
      </c>
      <c r="D5711" t="inlineStr">
        <is>
          <t>1</t>
        </is>
      </c>
      <c r="E5711" t="inlineStr">
        <is>
          <t>24</t>
        </is>
      </c>
      <c r="F5711" t="inlineStr">
        <is>
          <t>0</t>
        </is>
      </c>
      <c r="G5711" t="inlineStr">
        <is>
          <t>0</t>
        </is>
      </c>
      <c r="H5711" t="inlineStr">
        <is>
          <t>4³, 8³, 28³, 56³</t>
        </is>
      </c>
      <c r="I5711" t="n">
        <v>12</v>
      </c>
      <c r="J5711" t="inlineStr">
        <is>
          <t>1⁶, 6³</t>
        </is>
      </c>
      <c r="K5711">
        <f>HYPERLINK("CSG7.html#group28D7", "28D⁷"), =HYPERLINK("CSG7.html#group56B7", "56B⁷")</f>
        <v/>
      </c>
      <c r="L5711" t="inlineStr"/>
      <c r="M5711">
        <f>HYPERLINK("CSG0.html#group7B0", "7B⁰"), =HYPERLINK("CSG0.html#group4C0", "4C⁰"), =HYPERLINK("CSG1.html#group14H1", "14H¹"), =HYPERLINK("CSG1.html#group14C1", "14C¹"), =HYPERLINK("CSG0.html#group8B0", "8B⁰"), =HYPERLINK("CSG0.html#group2B0", "2B⁰"), =HYPERLINK("CSG0.html#group7E0", "7E⁰"), =HYPERLINK("CSG3.html#group28C3", "28C³"), =HYPERLINK("CSG0.html#group1A0", "1A⁰"), =HYPERLINK("CSG7.html#group28D7", "28D⁷"), =HYPERLINK("CSG7.html#group56B7", "56B⁷")</f>
        <v/>
      </c>
      <c r="N5711" t="inlineStr"/>
    </row>
    <row r="5712">
      <c r="A5712" t="inlineStr">
        <is>
          <t>56C¹⁹</t>
        </is>
      </c>
      <c r="B5712" t="inlineStr"/>
      <c r="C5712" t="inlineStr">
        <is>
          <t>288</t>
        </is>
      </c>
      <c r="D5712" t="inlineStr">
        <is>
          <t>1</t>
        </is>
      </c>
      <c r="E5712" t="inlineStr">
        <is>
          <t>24</t>
        </is>
      </c>
      <c r="F5712" t="inlineStr">
        <is>
          <t>0</t>
        </is>
      </c>
      <c r="G5712" t="inlineStr">
        <is>
          <t>0</t>
        </is>
      </c>
      <c r="H5712" t="inlineStr">
        <is>
          <t>4³, 8³, 28³, 56³</t>
        </is>
      </c>
      <c r="I5712" t="n">
        <v>12</v>
      </c>
      <c r="J5712" t="inlineStr">
        <is>
          <t>1⁶, 6³</t>
        </is>
      </c>
      <c r="K5712">
        <f>HYPERLINK("CSG7.html#group28D7", "28D⁷"), =HYPERLINK("CSG7.html#group56C7", "56C⁷")</f>
        <v/>
      </c>
      <c r="L5712" t="inlineStr"/>
      <c r="M5712">
        <f>HYPERLINK("CSG1.html#group8A1", "8A¹"), =HYPERLINK("CSG0.html#group7B0", "7B⁰"), =HYPERLINK("CSG0.html#group4C0", "4C⁰"), =HYPERLINK("CSG1.html#group14H1", "14H¹"), =HYPERLINK("CSG1.html#group14C1", "14C¹"), =HYPERLINK("CSG0.html#group2B0", "2B⁰"), =HYPERLINK("CSG0.html#group7E0", "7E⁰"), =HYPERLINK("CSG7.html#group56C7", "56C⁷"), =HYPERLINK("CSG3.html#group28C3", "28C³"), =HYPERLINK("CSG0.html#group1A0", "1A⁰"), =HYPERLINK("CSG7.html#group28D7", "28D⁷")</f>
        <v/>
      </c>
      <c r="N5712" t="inlineStr"/>
    </row>
    <row r="5713">
      <c r="A5713" t="inlineStr">
        <is>
          <t>60A¹⁹</t>
        </is>
      </c>
      <c r="B5713" t="inlineStr"/>
      <c r="C5713" t="inlineStr">
        <is>
          <t>240</t>
        </is>
      </c>
      <c r="D5713" t="inlineStr">
        <is>
          <t>1</t>
        </is>
      </c>
      <c r="E5713" t="inlineStr">
        <is>
          <t>5</t>
        </is>
      </c>
      <c r="F5713" t="inlineStr">
        <is>
          <t>0</t>
        </is>
      </c>
      <c r="G5713" t="inlineStr">
        <is>
          <t>0</t>
        </is>
      </c>
      <c r="H5713" t="inlineStr">
        <is>
          <t>60⁴</t>
        </is>
      </c>
      <c r="I5713" t="n">
        <v>4</v>
      </c>
      <c r="J5713" t="inlineStr">
        <is>
          <t>1¹, 4¹</t>
        </is>
      </c>
      <c r="K5713">
        <f>HYPERLINK("CSG3.html#group12A3", "12A³"), =HYPERLINK("CSG4.html#group60B4", "60B⁴"), =HYPERLINK("CSG9.html#group30A9", "30A⁹"), =HYPERLINK("CSG9.html#group60A9", "60A⁹")</f>
        <v/>
      </c>
      <c r="L5713" t="inlineStr"/>
      <c r="M5713">
        <f>HYPERLINK("CSG0.html#group3B0", "3B⁰"), =HYPERLINK("CSG0.html#group2A0", "2A⁰"), =HYPERLINK("CSG0.html#group5A0", "5A⁰"), =HYPERLINK("CSG3.html#group30A3", "30A³"), =HYPERLINK("CSG0.html#group6B0", "6B⁰"), =HYPERLINK("CSG4.html#group15A4", "15A⁴"), =HYPERLINK("CSG0.html#group3A0", "3A⁰"), =HYPERLINK("CSG1.html#group12D1", "12D¹"), =HYPERLINK("CSG3.html#group12A3", "12A³"), =HYPERLINK("CSG2.html#group30D2", "30D²"), =HYPERLINK("CSG4.html#group60B4", "60B⁴"), =HYPERLINK("CSG0.html#group6C0", "6C⁰"), =HYPERLINK("CSG9.html#group60A9", "60A⁹"), =HYPERLINK("CSG4.html#group30A4", "30A⁴"), =HYPERLINK("CSG0.html#group1A0", "1A⁰"), =HYPERLINK("CSG5.html#group30B5", "30B⁵"), =HYPERLINK("CSG0.html#group10A0", "10A⁰"), =HYPERLINK("CSG2.html#group30A2", "30A²"), =HYPERLINK("CSG1.html#group6D1", "6D¹"), =HYPERLINK("CSG2.html#group15A2", "15A²"), =HYPERLINK("CSG0.html#group6E0", "6E⁰"), =HYPERLINK("CSG1.html#group6B1", "6B¹"), =HYPERLINK("CSG1.html#group15B1", "15B¹"), =HYPERLINK("CSG0.html#group3C0", "3C⁰"), =HYPERLINK("CSG1.html#group6A1", "6A¹"), =HYPERLINK("CSG9.html#group30A9", "30A⁹"), =HYPERLINK("CSG0.html#group3D0", "3D⁰"), =HYPERLINK("CSG1.html#group15A1", "15A¹"), =HYPERLINK("CSG0.html#group12B0", "12B⁰")</f>
        <v/>
      </c>
      <c r="N5713" t="inlineStr"/>
    </row>
    <row r="5714">
      <c r="A5714" t="inlineStr">
        <is>
          <t>60B¹⁹</t>
        </is>
      </c>
      <c r="B5714" t="inlineStr"/>
      <c r="C5714" t="inlineStr">
        <is>
          <t>240</t>
        </is>
      </c>
      <c r="D5714" t="inlineStr">
        <is>
          <t>1</t>
        </is>
      </c>
      <c r="E5714" t="inlineStr">
        <is>
          <t>10</t>
        </is>
      </c>
      <c r="F5714" t="inlineStr">
        <is>
          <t>0</t>
        </is>
      </c>
      <c r="G5714" t="inlineStr">
        <is>
          <t>0</t>
        </is>
      </c>
      <c r="H5714" t="inlineStr">
        <is>
          <t>60⁴</t>
        </is>
      </c>
      <c r="I5714" t="n">
        <v>4</v>
      </c>
      <c r="J5714" t="inlineStr">
        <is>
          <t>2¹, 4²</t>
        </is>
      </c>
      <c r="K5714">
        <f>HYPERLINK("CSG3.html#group20N3", "20N³"), =HYPERLINK("CSG7.html#group60K7", "60K⁷"), =HYPERLINK("CSG9.html#group30B9", "30B⁹")</f>
        <v/>
      </c>
      <c r="L5714" t="inlineStr"/>
      <c r="M5714">
        <f>HYPERLINK("CSG1.html#group10H1", "10H¹"), =HYPERLINK("CSG0.html#group2A0", "2A⁰"), =HYPERLINK("CSG0.html#group5A0", "5A⁰"), =HYPERLINK("CSG3.html#group30A3", "30A³"), =HYPERLINK("CSG9.html#group30B9", "30B⁹"), =HYPERLINK("CSG0.html#group10D0", "10D⁰"), =HYPERLINK("CSG4.html#group15B4", "15B⁴"), =HYPERLINK("CSG0.html#group5F0", "5F⁰"), =HYPERLINK("CSG3.html#group20N3", "20N³"), =HYPERLINK("CSG5.html#group30A5", "30A⁵"), =HYPERLINK("CSG2.html#group30F2", "30F²"), =HYPERLINK("CSG0.html#group1A0", "1A⁰"), =HYPERLINK("CSG1.html#group20F1", "20F¹"), =HYPERLINK("CSG1.html#group15D1", "15D¹"), =HYPERLINK("CSG0.html#group10A0", "10A⁰"), =HYPERLINK("CSG7.html#group60K7", "60K⁷"), =HYPERLINK("CSG1.html#group10C1", "10C¹"), =HYPERLINK("CSG1.html#group6A1", "6A¹"), =HYPERLINK("CSG0.html#group3A0", "3A⁰"), =HYPERLINK("CSG0.html#group5C0", "5C⁰"), =HYPERLINK("CSG1.html#group15A1", "15A¹")</f>
        <v/>
      </c>
      <c r="N5714" t="inlineStr"/>
    </row>
    <row r="5715">
      <c r="A5715" t="inlineStr">
        <is>
          <t>60C¹⁹</t>
        </is>
      </c>
      <c r="B5715" t="inlineStr"/>
      <c r="C5715" t="inlineStr">
        <is>
          <t>240</t>
        </is>
      </c>
      <c r="D5715" t="inlineStr">
        <is>
          <t>1</t>
        </is>
      </c>
      <c r="E5715" t="inlineStr">
        <is>
          <t>20</t>
        </is>
      </c>
      <c r="F5715" t="inlineStr">
        <is>
          <t>0</t>
        </is>
      </c>
      <c r="G5715" t="inlineStr">
        <is>
          <t>0</t>
        </is>
      </c>
      <c r="H5715" t="inlineStr">
        <is>
          <t>60⁴</t>
        </is>
      </c>
      <c r="I5715" t="n">
        <v>4</v>
      </c>
      <c r="J5715" t="inlineStr">
        <is>
          <t>2², 8²</t>
        </is>
      </c>
      <c r="K5715">
        <f>HYPERLINK("CSG3.html#group12B3", "12B³"), =HYPERLINK("CSG4.html#group15A4", "15A⁴"), =HYPERLINK("CSG6.html#group60A6", "60A⁶"), =HYPERLINK("CSG9.html#group60C9", "60C⁹")</f>
        <v/>
      </c>
      <c r="L5715" t="inlineStr"/>
      <c r="M5715">
        <f>HYPERLINK("CSG1.html#group12G1", "12G¹"), =HYPERLINK("CSG0.html#group3B0", "3B⁰"), =HYPERLINK("CSG0.html#group5A0", "5A⁰"), =HYPERLINK("CSG4.html#group15A4", "15A⁴"), =HYPERLINK("CSG3.html#group12B3", "12B³"), =HYPERLINK("CSG1.html#group20A1", "20A¹"), =HYPERLINK("CSG6.html#group60A6", "60A⁶"), =HYPERLINK("CSG0.html#group1A0", "1A⁰"), =HYPERLINK("CSG0.html#group12A0", "12A⁰"), =HYPERLINK("CSG2.html#group15A2", "15A²"), =HYPERLINK("CSG0.html#group4A0", "4A⁰"), =HYPERLINK("CSG1.html#group12A1", "12A¹"), =HYPERLINK("CSG4.html#group60A4", "60A⁴"), =HYPERLINK("CSG1.html#group15B1", "15B¹"), =HYPERLINK("CSG0.html#group3C0", "3C⁰"), =HYPERLINK("CSG0.html#group3A0", "3A⁰"), =HYPERLINK("CSG0.html#group3D0", "3D⁰"), =HYPERLINK("CSG9.html#group60C9", "60C⁹"), =HYPERLINK("CSG1.html#group15A1", "15A¹")</f>
        <v/>
      </c>
      <c r="N5715" t="inlineStr"/>
    </row>
    <row r="5716">
      <c r="A5716" t="inlineStr">
        <is>
          <t>60D¹⁹</t>
        </is>
      </c>
      <c r="B5716" t="inlineStr"/>
      <c r="C5716" t="inlineStr">
        <is>
          <t>240</t>
        </is>
      </c>
      <c r="D5716" t="inlineStr">
        <is>
          <t>1</t>
        </is>
      </c>
      <c r="E5716" t="inlineStr">
        <is>
          <t>30</t>
        </is>
      </c>
      <c r="F5716" t="inlineStr">
        <is>
          <t>0</t>
        </is>
      </c>
      <c r="G5716" t="inlineStr">
        <is>
          <t>0</t>
        </is>
      </c>
      <c r="H5716" t="inlineStr">
        <is>
          <t>60⁴</t>
        </is>
      </c>
      <c r="I5716" t="n">
        <v>4</v>
      </c>
      <c r="J5716" t="inlineStr">
        <is>
          <t>2¹, 4³, 8²</t>
        </is>
      </c>
      <c r="K5716">
        <f>HYPERLINK("CSG7.html#group60L7", "60L⁷"), =HYPERLINK("CSG9.html#group30B9", "30B⁹")</f>
        <v/>
      </c>
      <c r="L5716" t="inlineStr"/>
      <c r="M5716">
        <f>HYPERLINK("CSG1.html#group10H1", "10H¹"), =HYPERLINK("CSG3.html#group30A3", "30A³"), =HYPERLINK("CSG0.html#group2A0", "2A⁰"), =HYPERLINK("CSG0.html#group5A0", "5A⁰"), =HYPERLINK("CSG9.html#group30B9", "30B⁹"), =HYPERLINK("CSG0.html#group10D0", "10D⁰"), =HYPERLINK("CSG4.html#group15B4", "15B⁴"), =HYPERLINK("CSG0.html#group5F0", "5F⁰"), =HYPERLINK("CSG5.html#group30A5", "30A⁵"), =HYPERLINK("CSG2.html#group30F2", "30F²"), =HYPERLINK("CSG0.html#group1A0", "1A⁰"), =HYPERLINK("CSG7.html#group60L7", "60L⁷"), =HYPERLINK("CSG1.html#group15D1", "15D¹"), =HYPERLINK("CSG0.html#group10A0", "10A⁰"), =HYPERLINK("CSG1.html#group10C1", "10C¹"), =HYPERLINK("CSG1.html#group6A1", "6A¹"), =HYPERLINK("CSG0.html#group3A0", "3A⁰"), =HYPERLINK("CSG0.html#group5C0", "5C⁰"), =HYPERLINK("CSG1.html#group15A1", "15A¹")</f>
        <v/>
      </c>
      <c r="N5716" t="inlineStr"/>
    </row>
    <row r="5717">
      <c r="A5717" t="inlineStr">
        <is>
          <t>60E¹⁹</t>
        </is>
      </c>
      <c r="B5717" t="inlineStr"/>
      <c r="C5717" t="inlineStr">
        <is>
          <t>240</t>
        </is>
      </c>
      <c r="D5717" t="inlineStr">
        <is>
          <t>1</t>
        </is>
      </c>
      <c r="E5717" t="inlineStr">
        <is>
          <t>40</t>
        </is>
      </c>
      <c r="F5717" t="inlineStr">
        <is>
          <t>0</t>
        </is>
      </c>
      <c r="G5717" t="inlineStr">
        <is>
          <t>0</t>
        </is>
      </c>
      <c r="H5717" t="inlineStr">
        <is>
          <t>60⁴</t>
        </is>
      </c>
      <c r="I5717" t="n">
        <v>4</v>
      </c>
      <c r="J5717" t="inlineStr">
        <is>
          <t>4², 8⁴</t>
        </is>
      </c>
      <c r="K5717">
        <f>HYPERLINK("CSG2.html#group12A2", "12A²"), =HYPERLINK("CSG5.html#group20A5", "20A⁵"), =HYPERLINK("CSG5.html#group30A5", "30A⁵"), =HYPERLINK("CSG7.html#group60J7", "60J⁷")</f>
        <v/>
      </c>
      <c r="L5717" t="inlineStr"/>
      <c r="M5717">
        <f>HYPERLINK("CSG0.html#group2A0", "2A⁰"), =HYPERLINK("CSG7.html#group60J7", "60J⁷"), =HYPERLINK("CSG5.html#group30A5", "30A⁵"), =HYPERLINK("CSG5.html#group20A5", "20A⁵"), =HYPERLINK("CSG0.html#group1A0", "1A⁰"), =HYPERLINK("CSG1.html#group15D1", "15D¹"), =HYPERLINK("CSG0.html#group12A0", "12A⁰"), =HYPERLINK("CSG0.html#group4A0", "4A⁰"), =HYPERLINK("CSG0.html#group4D0", "4D⁰"), =HYPERLINK("CSG2.html#group12A2", "12A²"), =HYPERLINK("CSG1.html#group10C1", "10C¹"), =HYPERLINK("CSG1.html#group6A1", "6A¹"), =HYPERLINK("CSG0.html#group3A0", "3A⁰"), =HYPERLINK("CSG0.html#group5C0", "5C⁰"), =HYPERLINK("CSG2.html#group20E2", "20E²")</f>
        <v/>
      </c>
      <c r="N5717" t="inlineStr"/>
    </row>
    <row r="5718">
      <c r="A5718" t="inlineStr">
        <is>
          <t>60F¹⁹</t>
        </is>
      </c>
      <c r="B5718" t="inlineStr"/>
      <c r="C5718" t="inlineStr">
        <is>
          <t>240</t>
        </is>
      </c>
      <c r="D5718" t="inlineStr">
        <is>
          <t>1</t>
        </is>
      </c>
      <c r="E5718" t="inlineStr">
        <is>
          <t>40</t>
        </is>
      </c>
      <c r="F5718" t="inlineStr">
        <is>
          <t>0</t>
        </is>
      </c>
      <c r="G5718" t="inlineStr">
        <is>
          <t>0</t>
        </is>
      </c>
      <c r="H5718" t="inlineStr">
        <is>
          <t>60⁴</t>
        </is>
      </c>
      <c r="I5718" t="n">
        <v>4</v>
      </c>
      <c r="J5718" t="inlineStr">
        <is>
          <t>4², 8⁴</t>
        </is>
      </c>
      <c r="K5718">
        <f>HYPERLINK("CSG4.html#group15B4", "15B⁴"), =HYPERLINK("CSG4.html#group60A4", "60A⁴"), =HYPERLINK("CSG5.html#group20B5", "20B⁵"), =HYPERLINK("CSG7.html#group60J7", "60J⁷")</f>
        <v/>
      </c>
      <c r="L5718" t="inlineStr"/>
      <c r="M5718">
        <f>HYPERLINK("CSG7.html#group60J7", "60J⁷"), =HYPERLINK("CSG0.html#group5A0", "5A⁰"), =HYPERLINK("CSG4.html#group15B4", "15B⁴"), =HYPERLINK("CSG5.html#group20B5", "20B⁵"), =HYPERLINK("CSG0.html#group5F0", "5F⁰"), =HYPERLINK("CSG1.html#group20A1", "20A¹"), =HYPERLINK("CSG0.html#group1A0", "1A⁰"), =HYPERLINK("CSG1.html#group15D1", "15D¹"), =HYPERLINK("CSG0.html#group12A0", "12A⁰"), =HYPERLINK("CSG0.html#group4A0", "4A⁰"), =HYPERLINK("CSG4.html#group60A4", "60A⁴"), =HYPERLINK("CSG0.html#group3A0", "3A⁰"), =HYPERLINK("CSG0.html#group5C0", "5C⁰"), =HYPERLINK("CSG2.html#group20E2", "20E²"), =HYPERLINK("CSG1.html#group15A1", "15A¹")</f>
        <v/>
      </c>
      <c r="N5718" t="inlineStr"/>
    </row>
    <row r="5719">
      <c r="A5719" t="inlineStr">
        <is>
          <t>60G¹⁹</t>
        </is>
      </c>
      <c r="B5719" t="inlineStr"/>
      <c r="C5719" t="inlineStr">
        <is>
          <t>240</t>
        </is>
      </c>
      <c r="D5719" t="inlineStr">
        <is>
          <t>1</t>
        </is>
      </c>
      <c r="E5719" t="inlineStr">
        <is>
          <t>60</t>
        </is>
      </c>
      <c r="F5719" t="inlineStr">
        <is>
          <t>0</t>
        </is>
      </c>
      <c r="G5719" t="inlineStr">
        <is>
          <t>0</t>
        </is>
      </c>
      <c r="H5719" t="inlineStr">
        <is>
          <t>60⁴</t>
        </is>
      </c>
      <c r="I5719" t="n">
        <v>4</v>
      </c>
      <c r="J5719" t="inlineStr">
        <is>
          <t>2², 4², 8², 16²</t>
        </is>
      </c>
      <c r="K5719">
        <f>HYPERLINK("CSG3.html#group12C3", "12C³"), =HYPERLINK("CSG5.html#group30B5", "30B⁵"), =HYPERLINK("CSG8.html#group60D8", "60D⁸"), =HYPERLINK("CSG9.html#group60C9", "60C⁹"), =HYPERLINK("CSG10.html#group60A10", "60A¹⁰")</f>
        <v/>
      </c>
      <c r="L5719" t="inlineStr"/>
      <c r="M5719">
        <f>HYPERLINK("CSG1.html#group12G1", "12G¹"), =HYPERLINK("CSG0.html#group2A0", "2A⁰"), =HYPERLINK("CSG3.html#group30A3", "30A³"), =HYPERLINK("CSG0.html#group5A0", "5A⁰"), =HYPERLINK("CSG0.html#group6B0", "6B⁰"), =HYPERLINK("CSG8.html#group60D8", "60D⁸"), =HYPERLINK("CSG3.html#group12C3", "12C³"), =HYPERLINK("CSG0.html#group12F0", "12F⁰"), =HYPERLINK("CSG1.html#group20A1", "20A¹"), =HYPERLINK("CSG0.html#group1A0", "1A⁰"), =HYPERLINK("CSG5.html#group30B5", "30B⁵"), =HYPERLINK("CSG10.html#group60A10", "60A¹⁰"), =HYPERLINK("CSG0.html#group12A0", "12A⁰"), =HYPERLINK("CSG2.html#group20D2", "20D²"), =HYPERLINK("CSG0.html#group10A0", "10A⁰"), =HYPERLINK("CSG2.html#group30A2", "30A²"), =HYPERLINK("CSG1.html#group6B1", "6B¹"), =HYPERLINK("CSG2.html#group15A2", "15A²"), =HYPERLINK("CSG0.html#group4A0", "4A⁰"), =HYPERLINK("CSG0.html#group4D0", "4D⁰"), =HYPERLINK("CSG4.html#group60A4", "60A⁴"), =HYPERLINK("CSG2.html#group12A2", "12A²"), =HYPERLINK("CSG0.html#group3C0", "3C⁰"), =HYPERLINK("CSG1.html#group6A1", "6A¹"), =HYPERLINK("CSG0.html#group3A0", "3A⁰"), =HYPERLINK("CSG9.html#group60C9", "60C⁹"), =HYPERLINK("CSG1.html#group15A1", "15A¹")</f>
        <v/>
      </c>
      <c r="N5719" t="inlineStr"/>
    </row>
    <row r="5720">
      <c r="A5720" t="inlineStr">
        <is>
          <t>60H¹⁹</t>
        </is>
      </c>
      <c r="B5720" t="inlineStr"/>
      <c r="C5720" t="inlineStr">
        <is>
          <t>270</t>
        </is>
      </c>
      <c r="D5720" t="inlineStr">
        <is>
          <t>1</t>
        </is>
      </c>
      <c r="E5720" t="inlineStr">
        <is>
          <t>15</t>
        </is>
      </c>
      <c r="F5720" t="inlineStr">
        <is>
          <t>0</t>
        </is>
      </c>
      <c r="G5720" t="inlineStr">
        <is>
          <t>0</t>
        </is>
      </c>
      <c r="H5720" t="inlineStr">
        <is>
          <t>15⁶, 60³</t>
        </is>
      </c>
      <c r="I5720" t="n">
        <v>9</v>
      </c>
      <c r="J5720" t="inlineStr">
        <is>
          <t>1³, 4³</t>
        </is>
      </c>
      <c r="K5720">
        <f>HYPERLINK("CSG4.html#group20D4", "20D⁴"), =HYPERLINK("CSG7.html#group30P7", "30P⁷"), =HYPERLINK("CSG7.html#group60A7", "60A⁷"), =HYPERLINK("CSG7.html#group60C7", "60C⁷")</f>
        <v/>
      </c>
      <c r="L5720" t="inlineStr"/>
      <c r="M5720">
        <f>HYPERLINK("CSG2.html#group20A2", "20A²"), =HYPERLINK("CSG4.html#group20D4", "20D⁴"), =HYPERLINK("CSG0.html#group5A0", "5A⁰"), =HYPERLINK("CSG1.html#group15A1", "15A¹"), =HYPERLINK("CSG1.html#group10B1", "10B¹"), =HYPERLINK("CSG1.html#group15F1", "15F¹"), =HYPERLINK("CSG0.html#group2B0", "2B⁰"), =HYPERLINK("CSG0.html#group4B0", "4B⁰"), =HYPERLINK("CSG0.html#group1A0", "1A⁰"), =HYPERLINK("CSG7.html#group60A7", "60A⁷"), =HYPERLINK("CSG7.html#group30P7", "30P⁷"), =HYPERLINK("CSG3.html#group30D3", "30D³"), =HYPERLINK("CSG1.html#group10I1", "10I¹"), =HYPERLINK("CSG3.html#group30E3", "30E³"), =HYPERLINK("CSG0.html#group6D0", "6D⁰"), =HYPERLINK("CSG0.html#group5E0", "5E⁰"), =HYPERLINK("CSG1.html#group12B1", "12B¹"), =HYPERLINK("CSG0.html#group3A0", "3A⁰"), =HYPERLINK("CSG7.html#group60C7", "60C⁷"), =HYPERLINK("CSG0.html#group15A0", "15A⁰")</f>
        <v/>
      </c>
      <c r="N5720" t="inlineStr"/>
    </row>
    <row r="5721">
      <c r="A5721" t="inlineStr">
        <is>
          <t>60I¹⁹</t>
        </is>
      </c>
      <c r="B5721" t="inlineStr"/>
      <c r="C5721" t="inlineStr">
        <is>
          <t>270</t>
        </is>
      </c>
      <c r="D5721" t="inlineStr">
        <is>
          <t>1</t>
        </is>
      </c>
      <c r="E5721" t="inlineStr">
        <is>
          <t>45</t>
        </is>
      </c>
      <c r="F5721" t="inlineStr">
        <is>
          <t>6</t>
        </is>
      </c>
      <c r="G5721" t="inlineStr">
        <is>
          <t>0</t>
        </is>
      </c>
      <c r="H5721" t="inlineStr">
        <is>
          <t>30³, 60³</t>
        </is>
      </c>
      <c r="I5721" t="n">
        <v>6</v>
      </c>
      <c r="J5721" t="inlineStr">
        <is>
          <t>1³, 2³, 4³, 8³</t>
        </is>
      </c>
      <c r="K5721">
        <f>HYPERLINK("CSG7.html#group30P7", "30P⁷"), =HYPERLINK("CSG7.html#group60B7", "60B⁷")</f>
        <v/>
      </c>
      <c r="L5721" t="inlineStr"/>
      <c r="M5721">
        <f>HYPERLINK("CSG0.html#group5A0", "5A⁰"), =HYPERLINK("CSG1.html#group10B1", "10B¹"), =HYPERLINK("CSG7.html#group60B7", "60B⁷"), =HYPERLINK("CSG1.html#group15F1", "15F¹"), =HYPERLINK("CSG0.html#group2B0", "2B⁰"), =HYPERLINK("CSG0.html#group1A0", "1A⁰"), =HYPERLINK("CSG7.html#group30P7", "30P⁷"), =HYPERLINK("CSG3.html#group30D3", "30D³"), =HYPERLINK("CSG1.html#group10I1", "10I¹"), =HYPERLINK("CSG1.html#group12C1", "12C¹"), =HYPERLINK("CSG3.html#group30E3", "30E³"), =HYPERLINK("CSG0.html#group6D0", "6D⁰"), =HYPERLINK("CSG0.html#group5E0", "5E⁰"), =HYPERLINK("CSG0.html#group3A0", "3A⁰"), =HYPERLINK("CSG1.html#group15A1", "15A¹"), =HYPERLINK("CSG0.html#group15A0", "15A⁰")</f>
        <v/>
      </c>
      <c r="N5721" t="inlineStr"/>
    </row>
    <row r="5722">
      <c r="A5722" t="inlineStr">
        <is>
          <t>60J¹⁹</t>
        </is>
      </c>
      <c r="B5722" t="inlineStr"/>
      <c r="C5722" t="inlineStr">
        <is>
          <t>270</t>
        </is>
      </c>
      <c r="D5722" t="inlineStr">
        <is>
          <t>1</t>
        </is>
      </c>
      <c r="E5722" t="inlineStr">
        <is>
          <t>45</t>
        </is>
      </c>
      <c r="F5722" t="inlineStr">
        <is>
          <t>6</t>
        </is>
      </c>
      <c r="G5722" t="inlineStr">
        <is>
          <t>0</t>
        </is>
      </c>
      <c r="H5722" t="inlineStr">
        <is>
          <t>30³, 60³</t>
        </is>
      </c>
      <c r="I5722" t="n">
        <v>6</v>
      </c>
      <c r="J5722" t="inlineStr">
        <is>
          <t>1³, 2³, 4⁹</t>
        </is>
      </c>
      <c r="K5722">
        <f>HYPERLINK("CSG5.html#group20C5", "20C⁵"), =HYPERLINK("CSG7.html#group30P7", "30P⁷")</f>
        <v/>
      </c>
      <c r="L5722" t="inlineStr"/>
      <c r="M5722">
        <f>HYPERLINK("CSG7.html#group30P7", "30P⁷"), =HYPERLINK("CSG3.html#group30D3", "30D³"), =HYPERLINK("CSG0.html#group5A0", "5A⁰"), =HYPERLINK("CSG1.html#group10I1", "10I¹"), =HYPERLINK("CSG3.html#group30E3", "30E³"), =HYPERLINK("CSG1.html#group15A1", "15A¹"), =HYPERLINK("CSG1.html#group10B1", "10B¹"), =HYPERLINK("CSG5.html#group20C5", "20C⁵"), =HYPERLINK("CSG1.html#group15F1", "15F¹"), =HYPERLINK("CSG0.html#group5E0", "5E⁰"), =HYPERLINK("CSG0.html#group2B0", "2B⁰"), =HYPERLINK("CSG0.html#group3A0", "3A⁰"), =HYPERLINK("CSG0.html#group1A0", "1A⁰"), =HYPERLINK("CSG0.html#group6D0", "6D⁰"), =HYPERLINK("CSG0.html#group15A0", "15A⁰")</f>
        <v/>
      </c>
      <c r="N5722" t="inlineStr"/>
    </row>
    <row r="5723">
      <c r="A5723" t="inlineStr">
        <is>
          <t>60K¹⁹</t>
        </is>
      </c>
      <c r="B5723" t="inlineStr"/>
      <c r="C5723" t="inlineStr">
        <is>
          <t>288</t>
        </is>
      </c>
      <c r="D5723" t="inlineStr">
        <is>
          <t>1</t>
        </is>
      </c>
      <c r="E5723" t="inlineStr">
        <is>
          <t>24</t>
        </is>
      </c>
      <c r="F5723" t="inlineStr">
        <is>
          <t>0</t>
        </is>
      </c>
      <c r="G5723" t="inlineStr">
        <is>
          <t>0</t>
        </is>
      </c>
      <c r="H5723" t="inlineStr">
        <is>
          <t>4³, 12³, 20³, 60³</t>
        </is>
      </c>
      <c r="I5723" t="n">
        <v>12</v>
      </c>
      <c r="J5723" t="inlineStr">
        <is>
          <t>1⁴, 2², 4², 8¹</t>
        </is>
      </c>
      <c r="K5723">
        <f>HYPERLINK("CSG7.html#group30Q7", "30Q⁷"), =HYPERLINK("CSG7.html#group60D7", "60D⁷")</f>
        <v/>
      </c>
      <c r="L5723" t="inlineStr"/>
      <c r="M5723">
        <f>HYPERLINK("CSG7.html#group30Q7", "30Q⁷"), =HYPERLINK("CSG0.html#group3B0", "3B⁰"), =HYPERLINK("CSG0.html#group2A0", "2A⁰"), =HYPERLINK("CSG0.html#group6I0", "6I⁰"), =HYPERLINK("CSG0.html#group6C0", "6C⁰"), =HYPERLINK("CSG0.html#group5B0", "5B⁰"), =HYPERLINK("CSG1.html#group10A1", "10A¹"), =HYPERLINK("CSG0.html#group2B0", "2B⁰"), =HYPERLINK("CSG3.html#group30G3", "30G³"), =HYPERLINK("CSG7.html#group60D7", "60D⁷"), =HYPERLINK("CSG0.html#group1A0", "1A⁰"), =HYPERLINK("CSG1.html#group15C1", "15C¹"), =HYPERLINK("CSG0.html#group10C0", "10C⁰"), =HYPERLINK("CSG3.html#group30K3", "30K³"), =HYPERLINK("CSG0.html#group6F0", "6F⁰"), =HYPERLINK("CSG0.html#group2C0", "2C⁰"), =HYPERLINK("CSG1.html#group10G1", "10G¹")</f>
        <v/>
      </c>
      <c r="N5723" t="inlineStr"/>
    </row>
    <row r="5724">
      <c r="A5724" t="inlineStr">
        <is>
          <t>60L¹⁹</t>
        </is>
      </c>
      <c r="B5724" t="inlineStr"/>
      <c r="C5724" t="inlineStr">
        <is>
          <t>288</t>
        </is>
      </c>
      <c r="D5724" t="inlineStr">
        <is>
          <t>1</t>
        </is>
      </c>
      <c r="E5724" t="inlineStr">
        <is>
          <t>24</t>
        </is>
      </c>
      <c r="F5724" t="inlineStr">
        <is>
          <t>0</t>
        </is>
      </c>
      <c r="G5724" t="inlineStr">
        <is>
          <t>0</t>
        </is>
      </c>
      <c r="H5724" t="inlineStr">
        <is>
          <t>4³, 12³, 20³, 60³</t>
        </is>
      </c>
      <c r="I5724" t="n">
        <v>12</v>
      </c>
      <c r="J5724" t="inlineStr">
        <is>
          <t>1⁴, 2², 4², 8¹</t>
        </is>
      </c>
      <c r="K5724">
        <f>HYPERLINK("CSG2.html#group12F2", "12F²"), =HYPERLINK("CSG7.html#group30Q7", "30Q⁷"), =HYPERLINK("CSG7.html#group60E7", "60E⁷")</f>
        <v/>
      </c>
      <c r="L5724" t="inlineStr"/>
      <c r="M5724">
        <f>HYPERLINK("CSG7.html#group30Q7", "30Q⁷"), =HYPERLINK("CSG0.html#group3B0", "3B⁰"), =HYPERLINK("CSG0.html#group2A0", "2A⁰"), =HYPERLINK("CSG0.html#group6I0", "6I⁰"), =HYPERLINK("CSG0.html#group6C0", "6C⁰"), =HYPERLINK("CSG0.html#group5B0", "5B⁰"), =HYPERLINK("CSG1.html#group10A1", "10A¹"), =HYPERLINK("CSG0.html#group2B0", "2B⁰"), =HYPERLINK("CSG3.html#group30G3", "30G³"), =HYPERLINK("CSG0.html#group1A0", "1A⁰"), =HYPERLINK("CSG2.html#group12F2", "12F²"), =HYPERLINK("CSG1.html#group15C1", "15C¹"), =HYPERLINK("CSG7.html#group60E7", "60E⁷"), =HYPERLINK("CSG0.html#group10C0", "10C⁰"), =HYPERLINK("CSG3.html#group30K3", "30K³"), =HYPERLINK("CSG0.html#group6F0", "6F⁰"), =HYPERLINK("CSG0.html#group2C0", "2C⁰"), =HYPERLINK("CSG1.html#group10G1", "10G¹"), =HYPERLINK("CSG0.html#group12B0", "12B⁰")</f>
        <v/>
      </c>
      <c r="N5724" t="inlineStr"/>
    </row>
    <row r="5725">
      <c r="A5725" t="inlineStr">
        <is>
          <t>60M¹⁹</t>
        </is>
      </c>
      <c r="B5725" t="inlineStr"/>
      <c r="C5725" t="inlineStr">
        <is>
          <t>288</t>
        </is>
      </c>
      <c r="D5725" t="inlineStr">
        <is>
          <t>1</t>
        </is>
      </c>
      <c r="E5725" t="inlineStr">
        <is>
          <t>144</t>
        </is>
      </c>
      <c r="F5725" t="inlineStr">
        <is>
          <t>0</t>
        </is>
      </c>
      <c r="G5725" t="inlineStr">
        <is>
          <t>0</t>
        </is>
      </c>
      <c r="H5725" t="inlineStr">
        <is>
          <t>4³, 12³, 20³, 60³</t>
        </is>
      </c>
      <c r="I5725" t="n">
        <v>12</v>
      </c>
      <c r="J5725" t="inlineStr">
        <is>
          <t>1⁸, 2¹², 4⁸, 8⁶, 16²</t>
        </is>
      </c>
      <c r="K5725">
        <f>HYPERLINK("CSG3.html#group20K3", "20K³"), =HYPERLINK("CSG9.html#group60H9", "60H⁹")</f>
        <v/>
      </c>
      <c r="L5725" t="inlineStr"/>
      <c r="M5725">
        <f>HYPERLINK("CSG1.html#group20E1", "20E¹"), =HYPERLINK("CSG0.html#group3B0", "3B⁰"), =HYPERLINK("CSG1.html#group12F1", "12F¹"), =HYPERLINK("CSG0.html#group4C0", "4C⁰"), =HYPERLINK("CSG0.html#group5B0", "5B⁰"), =HYPERLINK("CSG0.html#group2B0", "2B⁰"), =HYPERLINK("CSG3.html#group20K3", "20K³"), =HYPERLINK("CSG0.html#group1A0", "1A⁰"), =HYPERLINK("CSG1.html#group15C1", "15C¹"), =HYPERLINK("CSG0.html#group6F0", "6F⁰"), =HYPERLINK("CSG0.html#group10C0", "10C⁰"), =HYPERLINK("CSG3.html#group30K3", "30K³"), =HYPERLINK("CSG9.html#group60H9", "60H⁹")</f>
        <v/>
      </c>
      <c r="N5725" t="inlineStr"/>
    </row>
    <row r="5726">
      <c r="A5726" t="inlineStr">
        <is>
          <t>60N¹⁹</t>
        </is>
      </c>
      <c r="B5726" t="inlineStr"/>
      <c r="C5726" t="inlineStr">
        <is>
          <t>288</t>
        </is>
      </c>
      <c r="D5726" t="inlineStr">
        <is>
          <t>1</t>
        </is>
      </c>
      <c r="E5726" t="inlineStr">
        <is>
          <t>144</t>
        </is>
      </c>
      <c r="F5726" t="inlineStr">
        <is>
          <t>0</t>
        </is>
      </c>
      <c r="G5726" t="inlineStr">
        <is>
          <t>0</t>
        </is>
      </c>
      <c r="H5726" t="inlineStr">
        <is>
          <t>4³, 12³, 20³, 60³</t>
        </is>
      </c>
      <c r="I5726" t="n">
        <v>12</v>
      </c>
      <c r="J5726" t="inlineStr">
        <is>
          <t>1⁸, 2¹², 4⁸, 8⁶, 16²</t>
        </is>
      </c>
      <c r="K5726">
        <f>HYPERLINK("CSG2.html#group12G2", "12G²"), =HYPERLINK("CSG3.html#group20L3", "20L³"), =HYPERLINK("CSG7.html#group60F7", "60F⁷"), =HYPERLINK("CSG9.html#group60H9", "60H⁹")</f>
        <v/>
      </c>
      <c r="L5726" t="inlineStr"/>
      <c r="M5726">
        <f>HYPERLINK("CSG1.html#group20E1", "20E¹"), =HYPERLINK("CSG0.html#group3B0", "3B⁰"), =HYPERLINK("CSG1.html#group12F1", "12F¹"), =HYPERLINK("CSG0.html#group4C0", "4C⁰"), =HYPERLINK("CSG0.html#group5B0", "5B⁰"), =HYPERLINK("CSG0.html#group2B0", "2B⁰"), =HYPERLINK("CSG0.html#group1A0", "1A⁰"), =HYPERLINK("CSG1.html#group20B1", "20B¹"), =HYPERLINK("CSG1.html#group15C1", "15C¹"), =HYPERLINK("CSG7.html#group60F7", "60F⁷"), =HYPERLINK("CSG0.html#group4A0", "4A⁰"), =HYPERLINK("CSG1.html#group12A1", "12A¹"), =HYPERLINK("CSG0.html#group6F0", "6F⁰"), =HYPERLINK("CSG0.html#group10C0", "10C⁰"), =HYPERLINK("CSG2.html#group12G2", "12G²"), =HYPERLINK("CSG3.html#group30K3", "30K³"), =HYPERLINK("CSG0.html#group4F0", "4F⁰"), =HYPERLINK("CSG9.html#group60H9", "60H⁹"), =HYPERLINK("CSG3.html#group20L3", "20L³")</f>
        <v/>
      </c>
      <c r="N5726" t="inlineStr"/>
    </row>
    <row r="5727">
      <c r="A5727" t="inlineStr">
        <is>
          <t>60O¹⁹</t>
        </is>
      </c>
      <c r="B5727" t="inlineStr"/>
      <c r="C5727" t="inlineStr">
        <is>
          <t>288</t>
        </is>
      </c>
      <c r="D5727" t="inlineStr">
        <is>
          <t>2</t>
        </is>
      </c>
      <c r="E5727" t="inlineStr">
        <is>
          <t>72</t>
        </is>
      </c>
      <c r="F5727" t="inlineStr">
        <is>
          <t>0</t>
        </is>
      </c>
      <c r="G5727" t="inlineStr">
        <is>
          <t>0</t>
        </is>
      </c>
      <c r="H5727" t="inlineStr">
        <is>
          <t>4³, 12³, 20³, 60³</t>
        </is>
      </c>
      <c r="I5727" t="n">
        <v>12</v>
      </c>
      <c r="J5727" t="inlineStr">
        <is>
          <t>2¹², 4⁶, 8⁶, 16³</t>
        </is>
      </c>
      <c r="K5727">
        <f>HYPERLINK("CSG3.html#group20M3", "20M³"), =HYPERLINK("CSG7.html#group30S7", "30S⁷"), =HYPERLINK("CSG7.html#group60G7", "60G⁷")</f>
        <v/>
      </c>
      <c r="L5727" t="inlineStr"/>
      <c r="M5727">
        <f>HYPERLINK("CSG0.html#group3B0", "3B⁰"), =HYPERLINK("CSG1.html#group20C1", "20C¹"), =HYPERLINK("CSG3.html#group20M3", "20M³"), =HYPERLINK("CSG0.html#group10G0", "10G⁰"), =HYPERLINK("CSG0.html#group5B0", "5B⁰"), =HYPERLINK("CSG0.html#group2B0", "2B⁰"), =HYPERLINK("CSG7.html#group30S7", "30S⁷"), =HYPERLINK("CSG0.html#group1A0", "1A⁰"), =HYPERLINK("CSG7.html#group60G7", "60G⁷"), =HYPERLINK("CSG0.html#group10B0", "10B⁰"), =HYPERLINK("CSG1.html#group15C1", "15C¹"), =HYPERLINK("CSG3.html#group30F3", "30F³"), =HYPERLINK("CSG0.html#group10C0", "10C⁰"), =HYPERLINK("CSG3.html#group30K3", "30K³"), =HYPERLINK("CSG0.html#group6F0", "6F⁰")</f>
        <v/>
      </c>
      <c r="N5727" t="inlineStr"/>
    </row>
    <row r="5728">
      <c r="A5728" t="inlineStr">
        <is>
          <t>62A¹⁹</t>
        </is>
      </c>
      <c r="B5728" t="inlineStr"/>
      <c r="C5728" t="inlineStr">
        <is>
          <t>288</t>
        </is>
      </c>
      <c r="D5728" t="inlineStr">
        <is>
          <t>1</t>
        </is>
      </c>
      <c r="E5728" t="inlineStr">
        <is>
          <t>96</t>
        </is>
      </c>
      <c r="F5728" t="inlineStr">
        <is>
          <t>0</t>
        </is>
      </c>
      <c r="G5728" t="inlineStr">
        <is>
          <t>0</t>
        </is>
      </c>
      <c r="H5728" t="inlineStr">
        <is>
          <t>1³, 2³, 31³, 62³</t>
        </is>
      </c>
      <c r="I5728" t="n">
        <v>12</v>
      </c>
      <c r="J5728" t="inlineStr">
        <is>
          <t>1⁶, 30³</t>
        </is>
      </c>
      <c r="K5728">
        <f>HYPERLINK("CSG6.html#group31A6", "31A⁶"), =HYPERLINK("CSG7.html#group62A7", "62A⁷")</f>
        <v/>
      </c>
      <c r="L5728" t="inlineStr"/>
      <c r="M5728">
        <f>HYPERLINK("CSG6.html#group31A6", "31A⁶"), =HYPERLINK("CSG2.html#group31A2", "31A²"), =HYPERLINK("CSG0.html#group2B0", "2B⁰"), =HYPERLINK("CSG0.html#group1A0", "1A⁰"), =HYPERLINK("CSG7.html#group62A7", "62A⁷")</f>
        <v/>
      </c>
      <c r="N5728" t="inlineStr"/>
    </row>
    <row r="5729">
      <c r="A5729" t="inlineStr">
        <is>
          <t>63A¹⁹</t>
        </is>
      </c>
      <c r="B5729" t="inlineStr"/>
      <c r="C5729" t="inlineStr">
        <is>
          <t>252</t>
        </is>
      </c>
      <c r="D5729" t="inlineStr">
        <is>
          <t>1</t>
        </is>
      </c>
      <c r="E5729" t="inlineStr">
        <is>
          <t>84</t>
        </is>
      </c>
      <c r="F5729" t="inlineStr">
        <is>
          <t>0</t>
        </is>
      </c>
      <c r="G5729" t="inlineStr">
        <is>
          <t>0</t>
        </is>
      </c>
      <c r="H5729" t="inlineStr">
        <is>
          <t>21³, 63³</t>
        </is>
      </c>
      <c r="I5729" t="n">
        <v>6</v>
      </c>
      <c r="J5729" t="inlineStr">
        <is>
          <t>3², 6⁷, 12³</t>
        </is>
      </c>
      <c r="K5729">
        <f>HYPERLINK("CSG5.html#group21A5", "21A⁵"), =HYPERLINK("CSG6.html#group63C6", "63C⁶")</f>
        <v/>
      </c>
      <c r="L5729" t="inlineStr"/>
      <c r="M5729">
        <f>HYPERLINK("CSG0.html#group3B0", "3B⁰"), =HYPERLINK("CSG2.html#group21B2", "21B²"), =HYPERLINK("CSG6.html#group63C6", "63C⁶"), =HYPERLINK("CSG0.html#group7D0", "7D⁰"), =HYPERLINK("CSG0.html#group9C0", "9C⁰"), =HYPERLINK("CSG5.html#group21A5", "21A⁵"), =HYPERLINK("CSG0.html#group1A0", "1A⁰"), =HYPERLINK("CSG0.html#group7A0", "7A⁰")</f>
        <v/>
      </c>
      <c r="N5729" t="inlineStr"/>
    </row>
    <row r="5730">
      <c r="A5730" t="inlineStr">
        <is>
          <t>63B¹⁹</t>
        </is>
      </c>
      <c r="B5730" t="inlineStr"/>
      <c r="C5730" t="inlineStr">
        <is>
          <t>252</t>
        </is>
      </c>
      <c r="D5730" t="inlineStr">
        <is>
          <t>1</t>
        </is>
      </c>
      <c r="E5730" t="inlineStr">
        <is>
          <t>84</t>
        </is>
      </c>
      <c r="F5730" t="inlineStr">
        <is>
          <t>0</t>
        </is>
      </c>
      <c r="G5730" t="inlineStr">
        <is>
          <t>0</t>
        </is>
      </c>
      <c r="H5730" t="inlineStr">
        <is>
          <t>21³, 63³</t>
        </is>
      </c>
      <c r="I5730" t="n">
        <v>6</v>
      </c>
      <c r="J5730" t="inlineStr">
        <is>
          <t>3², 6⁷, 12³</t>
        </is>
      </c>
      <c r="K5730">
        <f>HYPERLINK("CSG5.html#group21A5", "21A⁵"), =HYPERLINK("CSG7.html#group63A7", "63A⁷")</f>
        <v/>
      </c>
      <c r="L5730" t="inlineStr"/>
      <c r="M5730">
        <f>HYPERLINK("CSG0.html#group3B0", "3B⁰"), =HYPERLINK("CSG2.html#group21B2", "21B²"), =HYPERLINK("CSG0.html#group7D0", "7D⁰"), =HYPERLINK("CSG1.html#group9A1", "9A¹"), =HYPERLINK("CSG5.html#group21A5", "21A⁵"), =HYPERLINK("CSG0.html#group1A0", "1A⁰"), =HYPERLINK("CSG7.html#group63A7", "63A⁷"), =HYPERLINK("CSG0.html#group7A0", "7A⁰")</f>
        <v/>
      </c>
      <c r="N5730" t="inlineStr"/>
    </row>
    <row r="5731">
      <c r="A5731" t="inlineStr">
        <is>
          <t>63C¹⁹</t>
        </is>
      </c>
      <c r="B5731" t="inlineStr"/>
      <c r="C5731" t="inlineStr">
        <is>
          <t>252</t>
        </is>
      </c>
      <c r="D5731" t="inlineStr">
        <is>
          <t>2</t>
        </is>
      </c>
      <c r="E5731" t="inlineStr">
        <is>
          <t>28</t>
        </is>
      </c>
      <c r="F5731" t="inlineStr">
        <is>
          <t>0</t>
        </is>
      </c>
      <c r="G5731" t="inlineStr">
        <is>
          <t>0</t>
        </is>
      </c>
      <c r="H5731" t="inlineStr">
        <is>
          <t>21³, 63³</t>
        </is>
      </c>
      <c r="I5731" t="n">
        <v>6</v>
      </c>
      <c r="J5731" t="inlineStr">
        <is>
          <t>2², 4¹, 6⁴, 12²</t>
        </is>
      </c>
      <c r="K5731">
        <f>HYPERLINK("CSG1.html#group9C1", "9C¹"), =HYPERLINK("CSG6.html#group21A6", "21A⁶"), =HYPERLINK("CSG6.html#group63B6", "63B⁶"), =HYPERLINK("CSG6.html#group63C6", "63C⁶"), =HYPERLINK("CSG7.html#group63A7", "63A⁷")</f>
        <v/>
      </c>
      <c r="L5731" t="inlineStr"/>
      <c r="M5731">
        <f>HYPERLINK("CSG0.html#group3B0", "3B⁰"), =HYPERLINK("CSG2.html#group21D2", "21D²"), =HYPERLINK("CSG6.html#group63B6", "63B⁶"), =HYPERLINK("CSG0.html#group9B0", "9B⁰"), =HYPERLINK("CSG0.html#group21A0", "21A⁰"), =HYPERLINK("CSG0.html#group9C0", "9C⁰"), =HYPERLINK("CSG0.html#group1A0", "1A⁰"), =HYPERLINK("CSG6.html#group21A6", "21A⁶"), =HYPERLINK("CSG7.html#group63A7", "63A⁷"), =HYPERLINK("CSG2.html#group21B2", "21B²"), =HYPERLINK("CSG6.html#group63C6", "63C⁶"), =HYPERLINK("CSG1.html#group9A1", "9A¹"), =HYPERLINK("CSG0.html#group3C0", "3C⁰"), =HYPERLINK("CSG1.html#group9C1", "9C¹"), =HYPERLINK("CSG0.html#group3A0", "3A⁰"), =HYPERLINK("CSG0.html#group3D0", "3D⁰"), =HYPERLINK("CSG0.html#group7A0", "7A⁰")</f>
        <v/>
      </c>
      <c r="N5731" t="inlineStr"/>
    </row>
    <row r="5732">
      <c r="A5732" t="inlineStr">
        <is>
          <t>63D¹⁹</t>
        </is>
      </c>
      <c r="B5732" t="inlineStr"/>
      <c r="C5732" t="inlineStr">
        <is>
          <t>252</t>
        </is>
      </c>
      <c r="D5732" t="inlineStr">
        <is>
          <t>2</t>
        </is>
      </c>
      <c r="E5732" t="inlineStr">
        <is>
          <t>63</t>
        </is>
      </c>
      <c r="F5732" t="inlineStr">
        <is>
          <t>4</t>
        </is>
      </c>
      <c r="G5732" t="inlineStr">
        <is>
          <t>0</t>
        </is>
      </c>
      <c r="H5732" t="inlineStr">
        <is>
          <t>63⁴</t>
        </is>
      </c>
      <c r="I5732" t="n">
        <v>4</v>
      </c>
      <c r="J5732" t="inlineStr">
        <is>
          <t>4³, 12⁸, 36⁴</t>
        </is>
      </c>
      <c r="K5732">
        <f>HYPERLINK("CSG5.html#group21B5", "21B⁵"), =HYPERLINK("CSG6.html#group63F6", "63F⁶"), =HYPERLINK("CSG8.html#group63A8", "63A⁸"), =HYPERLINK("CSG9.html#group63B9", "63B⁹")</f>
        <v/>
      </c>
      <c r="L5732" t="inlineStr"/>
      <c r="M5732">
        <f>HYPERLINK("CSG2.html#group21D2", "21D²"), =HYPERLINK("CSG6.html#group63F6", "63F⁶"), =HYPERLINK("CSG5.html#group21B5", "21B⁵"), =HYPERLINK("CSG1.html#group21D1", "21D¹"), =HYPERLINK("CSG2.html#group21C2", "21C²"), =HYPERLINK("CSG0.html#group21A0", "21A⁰"), =HYPERLINK("CSG9.html#group63B9", "63B⁹"), =HYPERLINK("CSG0.html#group1A0", "1A⁰"), =HYPERLINK("CSG1.html#group9B1", "9B¹"), =HYPERLINK("CSG2.html#group63A2", "63A²"), =HYPERLINK("CSG8.html#group63A8", "63A⁸"), =HYPERLINK("CSG0.html#group9A0", "9A⁰"), =HYPERLINK("CSG0.html#group7C0", "7C⁰"), =HYPERLINK("CSG0.html#group3C0", "3C⁰"), =HYPERLINK("CSG0.html#group3A0", "3A⁰"), =HYPERLINK("CSG0.html#group7A0", "7A⁰")</f>
        <v/>
      </c>
      <c r="N5732" t="inlineStr"/>
    </row>
    <row r="5733">
      <c r="A5733" t="inlineStr">
        <is>
          <t>63E¹⁹</t>
        </is>
      </c>
      <c r="B5733" t="inlineStr"/>
      <c r="C5733" t="inlineStr">
        <is>
          <t>252</t>
        </is>
      </c>
      <c r="D5733" t="inlineStr">
        <is>
          <t>2</t>
        </is>
      </c>
      <c r="E5733" t="inlineStr">
        <is>
          <t>63</t>
        </is>
      </c>
      <c r="F5733" t="inlineStr">
        <is>
          <t>4</t>
        </is>
      </c>
      <c r="G5733" t="inlineStr">
        <is>
          <t>0</t>
        </is>
      </c>
      <c r="H5733" t="inlineStr">
        <is>
          <t>63⁴</t>
        </is>
      </c>
      <c r="I5733" t="n">
        <v>4</v>
      </c>
      <c r="J5733" t="inlineStr">
        <is>
          <t>4³, 12⁸, 36⁴</t>
        </is>
      </c>
      <c r="K5733">
        <f>HYPERLINK("CSG5.html#group21B5", "21B⁵"), =HYPERLINK("CSG6.html#group63G6", "63G⁶"), =HYPERLINK("CSG8.html#group63A8", "63A⁸"), =HYPERLINK("CSG9.html#group63A9", "63A⁹")</f>
        <v/>
      </c>
      <c r="L5733" t="inlineStr"/>
      <c r="M5733">
        <f>HYPERLINK("CSG9.html#group63A9", "63A⁹"), =HYPERLINK("CSG2.html#group21D2", "21D²"), =HYPERLINK("CSG5.html#group21B5", "21B⁵"), =HYPERLINK("CSG1.html#group21D1", "21D¹"), =HYPERLINK("CSG2.html#group21C2", "21C²"), =HYPERLINK("CSG0.html#group21A0", "21A⁰"), =HYPERLINK("CSG6.html#group63G6", "63G⁶"), =HYPERLINK("CSG0.html#group1A0", "1A⁰"), =HYPERLINK("CSG1.html#group9B1", "9B¹"), =HYPERLINK("CSG2.html#group63A2", "63A²"), =HYPERLINK("CSG8.html#group63A8", "63A⁸"), =HYPERLINK("CSG0.html#group9A0", "9A⁰"), =HYPERLINK("CSG0.html#group7C0", "7C⁰"), =HYPERLINK("CSG0.html#group3C0", "3C⁰"), =HYPERLINK("CSG0.html#group3A0", "3A⁰"), =HYPERLINK("CSG0.html#group7A0", "7A⁰")</f>
        <v/>
      </c>
      <c r="N5733" t="inlineStr"/>
    </row>
    <row r="5734">
      <c r="A5734" t="inlineStr">
        <is>
          <t>63F¹⁹</t>
        </is>
      </c>
      <c r="B5734" t="inlineStr"/>
      <c r="C5734" t="inlineStr">
        <is>
          <t>252</t>
        </is>
      </c>
      <c r="D5734" t="inlineStr">
        <is>
          <t>2</t>
        </is>
      </c>
      <c r="E5734" t="inlineStr">
        <is>
          <t>84</t>
        </is>
      </c>
      <c r="F5734" t="inlineStr">
        <is>
          <t>0</t>
        </is>
      </c>
      <c r="G5734" t="inlineStr">
        <is>
          <t>0</t>
        </is>
      </c>
      <c r="H5734" t="inlineStr">
        <is>
          <t>21³, 63³</t>
        </is>
      </c>
      <c r="I5734" t="n">
        <v>6</v>
      </c>
      <c r="J5734" t="inlineStr">
        <is>
          <t>2², 4², 6⁴, 12⁵, 36²</t>
        </is>
      </c>
      <c r="K5734">
        <f>HYPERLINK("CSG1.html#group9D1", "9D¹"), =HYPERLINK("CSG7.html#group63A7", "63A⁷")</f>
        <v/>
      </c>
      <c r="L5734" t="inlineStr"/>
      <c r="M5734">
        <f>HYPERLINK("CSG0.html#group3B0", "3B⁰"), =HYPERLINK("CSG2.html#group21B2", "21B²"), =HYPERLINK("CSG1.html#group9A1", "9A¹"), =HYPERLINK("CSG1.html#group9D1", "9D¹"), =HYPERLINK("CSG0.html#group1A0", "1A⁰"), =HYPERLINK("CSG7.html#group63A7", "63A⁷"), =HYPERLINK("CSG0.html#group7A0", "7A⁰")</f>
        <v/>
      </c>
      <c r="N5734" t="inlineStr"/>
    </row>
    <row r="5735">
      <c r="A5735" t="inlineStr">
        <is>
          <t>63G¹⁹</t>
        </is>
      </c>
      <c r="B5735" t="inlineStr"/>
      <c r="C5735" t="inlineStr">
        <is>
          <t>288</t>
        </is>
      </c>
      <c r="D5735" t="inlineStr">
        <is>
          <t>1</t>
        </is>
      </c>
      <c r="E5735" t="inlineStr">
        <is>
          <t>32</t>
        </is>
      </c>
      <c r="F5735" t="inlineStr">
        <is>
          <t>0</t>
        </is>
      </c>
      <c r="G5735" t="inlineStr">
        <is>
          <t>0</t>
        </is>
      </c>
      <c r="H5735" t="inlineStr">
        <is>
          <t>3³, 9³, 21³, 63³</t>
        </is>
      </c>
      <c r="I5735" t="n">
        <v>12</v>
      </c>
      <c r="J5735" t="inlineStr">
        <is>
          <t>1⁴, 2², 6², 12¹</t>
        </is>
      </c>
      <c r="K5735">
        <f>HYPERLINK("CSG3.html#group21D3", "21D³"), =HYPERLINK("CSG5.html#group63B5", "63B⁵"), =HYPERLINK("CSG7.html#group63C7", "63C⁷")</f>
        <v/>
      </c>
      <c r="L5735" t="inlineStr"/>
      <c r="M5735">
        <f>HYPERLINK("CSG0.html#group3B0", "3B⁰"), =HYPERLINK("CSG7.html#group63C7", "63C⁷"), =HYPERLINK("CSG1.html#group21B1", "21B¹"), =HYPERLINK("CSG3.html#group21D3", "21D³"), =HYPERLINK("CSG0.html#group7B0", "7B⁰"), =HYPERLINK("CSG5.html#group63B5", "63B⁵"), =HYPERLINK("CSG0.html#group7E0", "7E⁰"), =HYPERLINK("CSG0.html#group9C0", "9C⁰"), =HYPERLINK("CSG0.html#group1A0", "1A⁰")</f>
        <v/>
      </c>
      <c r="N5735" t="inlineStr"/>
    </row>
    <row r="5736">
      <c r="A5736" t="inlineStr">
        <is>
          <t>63H¹⁹</t>
        </is>
      </c>
      <c r="B5736" t="inlineStr"/>
      <c r="C5736" t="inlineStr">
        <is>
          <t>288</t>
        </is>
      </c>
      <c r="D5736" t="inlineStr">
        <is>
          <t>1</t>
        </is>
      </c>
      <c r="E5736" t="inlineStr">
        <is>
          <t>32</t>
        </is>
      </c>
      <c r="F5736" t="inlineStr">
        <is>
          <t>0</t>
        </is>
      </c>
      <c r="G5736" t="inlineStr">
        <is>
          <t>0</t>
        </is>
      </c>
      <c r="H5736" t="inlineStr">
        <is>
          <t>3³, 9³, 21³, 63³</t>
        </is>
      </c>
      <c r="I5736" t="n">
        <v>12</v>
      </c>
      <c r="J5736" t="inlineStr">
        <is>
          <t>1⁴, 2², 6², 12¹</t>
        </is>
      </c>
      <c r="K5736">
        <f>HYPERLINK("CSG3.html#group21D3", "21D³"), =HYPERLINK("CSG6.html#group63D6", "63D⁶"), =HYPERLINK("CSG7.html#group63B7", "63B⁷")</f>
        <v/>
      </c>
      <c r="L5736" t="inlineStr"/>
      <c r="M5736">
        <f>HYPERLINK("CSG0.html#group3B0", "3B⁰"), =HYPERLINK("CSG1.html#group21B1", "21B¹"), =HYPERLINK("CSG3.html#group21D3", "21D³"), =HYPERLINK("CSG0.html#group7B0", "7B⁰"), =HYPERLINK("CSG1.html#group9A1", "9A¹"), =HYPERLINK("CSG7.html#group63B7", "63B⁷"), =HYPERLINK("CSG0.html#group7E0", "7E⁰"), =HYPERLINK("CSG0.html#group1A0", "1A⁰"), =HYPERLINK("CSG6.html#group63D6", "63D⁶")</f>
        <v/>
      </c>
      <c r="N5736" t="inlineStr"/>
    </row>
    <row r="5737">
      <c r="A5737" t="inlineStr">
        <is>
          <t>63I¹⁹</t>
        </is>
      </c>
      <c r="B5737" t="inlineStr"/>
      <c r="C5737" t="inlineStr">
        <is>
          <t>288</t>
        </is>
      </c>
      <c r="D5737" t="inlineStr">
        <is>
          <t>1</t>
        </is>
      </c>
      <c r="E5737" t="inlineStr">
        <is>
          <t>32</t>
        </is>
      </c>
      <c r="F5737" t="inlineStr">
        <is>
          <t>0</t>
        </is>
      </c>
      <c r="G5737" t="inlineStr">
        <is>
          <t>0</t>
        </is>
      </c>
      <c r="H5737" t="inlineStr">
        <is>
          <t>3³, 9³, 21³, 63³</t>
        </is>
      </c>
      <c r="I5737" t="n">
        <v>12</v>
      </c>
      <c r="J5737" t="inlineStr">
        <is>
          <t>1⁴, 2², 6², 12¹</t>
        </is>
      </c>
      <c r="K5737">
        <f>HYPERLINK("CSG1.html#group9C1", "9C¹"), =HYPERLINK("CSG5.html#group21C5", "21C⁵"), =HYPERLINK("CSG5.html#group63A5", "63A⁵"), =HYPERLINK("CSG5.html#group63B5", "63B⁵"), =HYPERLINK("CSG7.html#group63B7", "63B⁷")</f>
        <v/>
      </c>
      <c r="L5737" t="inlineStr"/>
      <c r="M5737">
        <f>HYPERLINK("CSG0.html#group3B0", "3B⁰"), =HYPERLINK("CSG0.html#group9B0", "9B⁰"), =HYPERLINK("CSG5.html#group63B5", "63B⁵"), =HYPERLINK("CSG7.html#group63B7", "63B⁷"), =HYPERLINK("CSG0.html#group9C0", "9C⁰"), =HYPERLINK("CSG0.html#group1A0", "1A⁰"), =HYPERLINK("CSG3.html#group21A3", "21A³"), =HYPERLINK("CSG5.html#group63A5", "63A⁵"), =HYPERLINK("CSG1.html#group21B1", "21B¹"), =HYPERLINK("CSG5.html#group21C5", "21C⁵"), =HYPERLINK("CSG2.html#group21A2", "21A²"), =HYPERLINK("CSG0.html#group7B0", "7B⁰"), =HYPERLINK("CSG1.html#group9A1", "9A¹"), =HYPERLINK("CSG0.html#group3C0", "3C⁰"), =HYPERLINK("CSG1.html#group9C1", "9C¹"), =HYPERLINK("CSG0.html#group3A0", "3A⁰"), =HYPERLINK("CSG0.html#group3D0", "3D⁰")</f>
        <v/>
      </c>
      <c r="N5737" t="inlineStr"/>
    </row>
    <row r="5738">
      <c r="A5738" t="inlineStr">
        <is>
          <t>63J¹⁹</t>
        </is>
      </c>
      <c r="B5738" t="inlineStr"/>
      <c r="C5738" t="inlineStr">
        <is>
          <t>288</t>
        </is>
      </c>
      <c r="D5738" t="inlineStr">
        <is>
          <t>1</t>
        </is>
      </c>
      <c r="E5738" t="inlineStr">
        <is>
          <t>96</t>
        </is>
      </c>
      <c r="F5738" t="inlineStr">
        <is>
          <t>0</t>
        </is>
      </c>
      <c r="G5738" t="inlineStr">
        <is>
          <t>0</t>
        </is>
      </c>
      <c r="H5738" t="inlineStr">
        <is>
          <t>3³, 9³, 21³, 63³</t>
        </is>
      </c>
      <c r="I5738" t="n">
        <v>12</v>
      </c>
      <c r="J5738" t="inlineStr">
        <is>
          <t>1⁴, 2⁴, 6⁴, 12², 36¹</t>
        </is>
      </c>
      <c r="K5738">
        <f>HYPERLINK("CSG7.html#group63B7", "63B⁷")</f>
        <v/>
      </c>
      <c r="L5738" t="inlineStr"/>
      <c r="M5738">
        <f>HYPERLINK("CSG0.html#group3B0", "3B⁰"), =HYPERLINK("CSG7.html#group63B7", "63B⁷"), =HYPERLINK("CSG1.html#group21B1", "21B¹"), =HYPERLINK("CSG0.html#group1A0", "1A⁰"), =HYPERLINK("CSG0.html#group7B0", "7B⁰"), =HYPERLINK("CSG1.html#group9A1", "9A¹")</f>
        <v/>
      </c>
      <c r="N5738" t="inlineStr"/>
    </row>
    <row r="5739">
      <c r="A5739" t="inlineStr">
        <is>
          <t>63K¹⁹</t>
        </is>
      </c>
      <c r="B5739" t="inlineStr"/>
      <c r="C5739" t="inlineStr">
        <is>
          <t>288</t>
        </is>
      </c>
      <c r="D5739" t="inlineStr">
        <is>
          <t>1</t>
        </is>
      </c>
      <c r="E5739" t="inlineStr">
        <is>
          <t>96</t>
        </is>
      </c>
      <c r="F5739" t="inlineStr">
        <is>
          <t>0</t>
        </is>
      </c>
      <c r="G5739" t="inlineStr">
        <is>
          <t>0</t>
        </is>
      </c>
      <c r="H5739" t="inlineStr">
        <is>
          <t>3³, 9³, 21³, 63³</t>
        </is>
      </c>
      <c r="I5739" t="n">
        <v>12</v>
      </c>
      <c r="J5739" t="inlineStr">
        <is>
          <t>1⁴, 2⁴, 6⁴, 12², 36¹</t>
        </is>
      </c>
      <c r="K5739">
        <f>HYPERLINK("CSG7.html#group63B7", "63B⁷")</f>
        <v/>
      </c>
      <c r="L5739" t="inlineStr"/>
      <c r="M5739">
        <f>HYPERLINK("CSG0.html#group3B0", "3B⁰"), =HYPERLINK("CSG7.html#group63B7", "63B⁷"), =HYPERLINK("CSG1.html#group21B1", "21B¹"), =HYPERLINK("CSG0.html#group1A0", "1A⁰"), =HYPERLINK("CSG0.html#group7B0", "7B⁰"), =HYPERLINK("CSG1.html#group9A1", "9A¹")</f>
        <v/>
      </c>
      <c r="N5739" t="inlineStr"/>
    </row>
    <row r="5740">
      <c r="A5740" t="inlineStr">
        <is>
          <t>63L¹⁹</t>
        </is>
      </c>
      <c r="B5740" t="inlineStr"/>
      <c r="C5740" t="inlineStr">
        <is>
          <t>288</t>
        </is>
      </c>
      <c r="D5740" t="inlineStr">
        <is>
          <t>1</t>
        </is>
      </c>
      <c r="E5740" t="inlineStr">
        <is>
          <t>96</t>
        </is>
      </c>
      <c r="F5740" t="inlineStr">
        <is>
          <t>0</t>
        </is>
      </c>
      <c r="G5740" t="inlineStr">
        <is>
          <t>0</t>
        </is>
      </c>
      <c r="H5740" t="inlineStr">
        <is>
          <t>3³, 9³, 21³, 63³</t>
        </is>
      </c>
      <c r="I5740" t="n">
        <v>12</v>
      </c>
      <c r="J5740" t="inlineStr">
        <is>
          <t>1⁴, 2⁴, 6⁴, 12², 36¹</t>
        </is>
      </c>
      <c r="K5740">
        <f>HYPERLINK("CSG1.html#group9D1", "9D¹"), =HYPERLINK("CSG7.html#group63B7", "63B⁷")</f>
        <v/>
      </c>
      <c r="L5740" t="inlineStr"/>
      <c r="M5740">
        <f>HYPERLINK("CSG0.html#group3B0", "3B⁰"), =HYPERLINK("CSG1.html#group21B1", "21B¹"), =HYPERLINK("CSG0.html#group7B0", "7B⁰"), =HYPERLINK("CSG1.html#group9A1", "9A¹"), =HYPERLINK("CSG7.html#group63B7", "63B⁷"), =HYPERLINK("CSG1.html#group9D1", "9D¹"), =HYPERLINK("CSG0.html#group1A0", "1A⁰")</f>
        <v/>
      </c>
      <c r="N5740" t="inlineStr"/>
    </row>
    <row r="5741">
      <c r="A5741" t="inlineStr">
        <is>
          <t>63M¹⁹</t>
        </is>
      </c>
      <c r="B5741" t="inlineStr"/>
      <c r="C5741" t="inlineStr">
        <is>
          <t>288</t>
        </is>
      </c>
      <c r="D5741" t="inlineStr">
        <is>
          <t>2</t>
        </is>
      </c>
      <c r="E5741" t="inlineStr">
        <is>
          <t>32</t>
        </is>
      </c>
      <c r="F5741" t="inlineStr">
        <is>
          <t>0</t>
        </is>
      </c>
      <c r="G5741" t="inlineStr">
        <is>
          <t>0</t>
        </is>
      </c>
      <c r="H5741" t="inlineStr">
        <is>
          <t>3³, 9³, 21³, 63³</t>
        </is>
      </c>
      <c r="I5741" t="n">
        <v>12</v>
      </c>
      <c r="J5741" t="inlineStr">
        <is>
          <t>2⁸, 12⁴</t>
        </is>
      </c>
      <c r="K5741">
        <f>HYPERLINK("CSG4.html#group21C4", "21C⁴"), =HYPERLINK("CSG4.html#group63A4", "63A⁴"), =HYPERLINK("CSG7.html#group63B7", "63B⁷"), =HYPERLINK("CSG7.html#group63C7", "63C⁷")</f>
        <v/>
      </c>
      <c r="L5741" t="inlineStr"/>
      <c r="M5741">
        <f>HYPERLINK("CSG0.html#group3B0", "3B⁰"), =HYPERLINK("CSG7.html#group63C7", "63C⁷"), =HYPERLINK("CSG1.html#group21B1", "21B¹"), =HYPERLINK("CSG0.html#group7B0", "7B⁰"), =HYPERLINK("CSG1.html#group21A1", "21A¹"), =HYPERLINK("CSG1.html#group9A1", "9A¹"), =HYPERLINK("CSG7.html#group63B7", "63B⁷"), =HYPERLINK("CSG0.html#group1A0", "1A⁰"), =HYPERLINK("CSG4.html#group63A4", "63A⁴"), =HYPERLINK("CSG4.html#group21C4", "21C⁴")</f>
        <v/>
      </c>
      <c r="N5741" t="inlineStr"/>
    </row>
    <row r="5742">
      <c r="A5742" t="inlineStr">
        <is>
          <t>63N¹⁹</t>
        </is>
      </c>
      <c r="B5742" t="inlineStr"/>
      <c r="C5742" t="inlineStr">
        <is>
          <t>288</t>
        </is>
      </c>
      <c r="D5742" t="inlineStr">
        <is>
          <t>2</t>
        </is>
      </c>
      <c r="E5742" t="inlineStr">
        <is>
          <t>32</t>
        </is>
      </c>
      <c r="F5742" t="inlineStr">
        <is>
          <t>0</t>
        </is>
      </c>
      <c r="G5742" t="inlineStr">
        <is>
          <t>0</t>
        </is>
      </c>
      <c r="H5742" t="inlineStr">
        <is>
          <t>3³, 9³, 21³, 63³</t>
        </is>
      </c>
      <c r="I5742" t="n">
        <v>12</v>
      </c>
      <c r="J5742" t="inlineStr">
        <is>
          <t>2⁸, 12⁴</t>
        </is>
      </c>
      <c r="K5742">
        <f>HYPERLINK("CSG4.html#group21C4", "21C⁴"), =HYPERLINK("CSG5.html#group63A5", "63A⁵"), =HYPERLINK("CSG6.html#group63D6", "63D⁶"), =HYPERLINK("CSG7.html#group63C7", "63C⁷")</f>
        <v/>
      </c>
      <c r="L5742" t="inlineStr"/>
      <c r="M5742">
        <f>HYPERLINK("CSG5.html#group63A5", "63A⁵"), =HYPERLINK("CSG0.html#group3B0", "3B⁰"), =HYPERLINK("CSG7.html#group63C7", "63C⁷"), =HYPERLINK("CSG1.html#group21B1", "21B¹"), =HYPERLINK("CSG0.html#group7B0", "7B⁰"), =HYPERLINK("CSG1.html#group21A1", "21A¹"), =HYPERLINK("CSG0.html#group9B0", "9B⁰"), =HYPERLINK("CSG0.html#group1A0", "1A⁰"), =HYPERLINK("CSG6.html#group63D6", "63D⁶"), =HYPERLINK("CSG4.html#group21C4", "21C⁴")</f>
        <v/>
      </c>
      <c r="N5742" t="inlineStr"/>
    </row>
    <row r="5743">
      <c r="A5743" t="inlineStr">
        <is>
          <t>63O¹⁹</t>
        </is>
      </c>
      <c r="B5743" t="inlineStr"/>
      <c r="C5743" t="inlineStr">
        <is>
          <t>288</t>
        </is>
      </c>
      <c r="D5743" t="inlineStr">
        <is>
          <t>2</t>
        </is>
      </c>
      <c r="E5743" t="inlineStr">
        <is>
          <t>32</t>
        </is>
      </c>
      <c r="F5743" t="inlineStr">
        <is>
          <t>0</t>
        </is>
      </c>
      <c r="G5743" t="inlineStr">
        <is>
          <t>0</t>
        </is>
      </c>
      <c r="H5743" t="inlineStr">
        <is>
          <t>3³, 9³, 21³, 63³</t>
        </is>
      </c>
      <c r="I5743" t="n">
        <v>12</v>
      </c>
      <c r="J5743" t="inlineStr">
        <is>
          <t>2⁸, 12⁴</t>
        </is>
      </c>
      <c r="K5743">
        <f>HYPERLINK("CSG4.html#group63A4", "63A⁴"), =HYPERLINK("CSG5.html#group21C5", "21C⁵"), =HYPERLINK("CSG6.html#group63D6", "63D⁶"), =HYPERLINK("CSG7.html#group63C7", "63C⁷")</f>
        <v/>
      </c>
      <c r="L5743" t="inlineStr"/>
      <c r="M5743">
        <f>HYPERLINK("CSG0.html#group3B0", "3B⁰"), =HYPERLINK("CSG7.html#group63C7", "63C⁷"), =HYPERLINK("CSG1.html#group21B1", "21B¹"), =HYPERLINK("CSG5.html#group21C5", "21C⁵"), =HYPERLINK("CSG2.html#group21A2", "21A²"), =HYPERLINK("CSG0.html#group7B0", "7B⁰"), =HYPERLINK("CSG0.html#group3C0", "3C⁰"), =HYPERLINK("CSG0.html#group3A0", "3A⁰"), =HYPERLINK("CSG3.html#group21A3", "21A³"), =HYPERLINK("CSG0.html#group1A0", "1A⁰"), =HYPERLINK("CSG4.html#group63A4", "63A⁴"), =HYPERLINK("CSG6.html#group63D6", "63D⁶"), =HYPERLINK("CSG0.html#group3D0", "3D⁰")</f>
        <v/>
      </c>
      <c r="N5743" t="inlineStr"/>
    </row>
    <row r="5744">
      <c r="A5744" t="inlineStr">
        <is>
          <t>64A¹⁹</t>
        </is>
      </c>
      <c r="B5744" t="inlineStr"/>
      <c r="C5744" t="inlineStr">
        <is>
          <t>384</t>
        </is>
      </c>
      <c r="D5744" t="inlineStr">
        <is>
          <t>1</t>
        </is>
      </c>
      <c r="E5744" t="inlineStr">
        <is>
          <t>24</t>
        </is>
      </c>
      <c r="F5744" t="inlineStr">
        <is>
          <t>0</t>
        </is>
      </c>
      <c r="G5744" t="inlineStr">
        <is>
          <t>0</t>
        </is>
      </c>
      <c r="H5744" t="inlineStr">
        <is>
          <t>4¹⁶, 8⁸, 64⁴</t>
        </is>
      </c>
      <c r="I5744" t="n">
        <v>28</v>
      </c>
      <c r="J5744" t="inlineStr">
        <is>
          <t>2², 4⁵</t>
        </is>
      </c>
      <c r="K5744">
        <f>HYPERLINK("CSG7.html#group32L7", "32L⁷"), =HYPERLINK("CSG9.html#group64G9", "64G⁹"), =HYPERLINK("CSG9.html#group64H9", "64H⁹")</f>
        <v/>
      </c>
      <c r="L5744" t="inlineStr"/>
      <c r="M5744">
        <f>HYPERLINK("CSG9.html#group64G9", "64G⁹"), =HYPERLINK("CSG0.html#group16G0", "16G⁰"), =HYPERLINK("CSG0.html#group2A0", "2A⁰"), =HYPERLINK("CSG1.html#group16I1", "16I¹"), =HYPERLINK("CSG0.html#group4C0", "4C⁰"), =HYPERLINK("CSG1.html#group32D1", "32D¹"), =HYPERLINK("CSG0.html#group2B0", "2B⁰"), =HYPERLINK("CSG0.html#group8C0", "8C⁰"), =HYPERLINK("CSG0.html#group4E0", "4E⁰"), =HYPERLINK("CSG0.html#group4G0", "4G⁰"), =HYPERLINK("CSG0.html#group4B0", "4B⁰"), =HYPERLINK("CSG1.html#group8F1", "8F¹"), =HYPERLINK("CSG0.html#group1A0", "1A⁰"), =HYPERLINK("CSG3.html#group32Q3", "32Q³"), =HYPERLINK("CSG0.html#group16E0", "16E⁰"), =HYPERLINK("CSG0.html#group8G0", "8G⁰"), =HYPERLINK("CSG0.html#group4D0", "4D⁰"), =HYPERLINK("CSG9.html#group64H9", "64H⁹"), =HYPERLINK("CSG7.html#group32L7", "32L⁷"), =HYPERLINK("CSG2.html#group16D2", "16D²"), =HYPERLINK("CSG1.html#group8A1", "8A¹"), =HYPERLINK("CSG4.html#group32C4", "32C⁴"), =HYPERLINK("CSG2.html#group16C2", "16C²"), =HYPERLINK("CSG0.html#group8D0", "8D⁰"), =HYPERLINK("CSG0.html#group8B0", "8B⁰"), =HYPERLINK("CSG1.html#group8B1", "8B¹"), =HYPERLINK("CSG3.html#group16I3", "16I³"), =HYPERLINK("CSG0.html#group8H0", "8H⁰"), =HYPERLINK("CSG2.html#group32B2", "32B²"), =HYPERLINK("CSG1.html#group32C1", "32C¹"), =HYPERLINK("CSG1.html#group8C1", "8C¹"), =HYPERLINK("CSG0.html#group4A0", "4A⁰"), =HYPERLINK("CSG1.html#group16C1", "16C¹"), =HYPERLINK("CSG0.html#group16D0", "16D⁰"), =HYPERLINK("CSG0.html#group4F0", "4F⁰"), =HYPERLINK("CSG3.html#group32P3", "32P³"), =HYPERLINK("CSG0.html#group2C0", "2C⁰")</f>
        <v/>
      </c>
      <c r="N5744" t="inlineStr"/>
    </row>
    <row r="5745">
      <c r="A5745" t="inlineStr">
        <is>
          <t>64B¹⁹</t>
        </is>
      </c>
      <c r="B5745" t="inlineStr"/>
      <c r="C5745" t="inlineStr">
        <is>
          <t>384</t>
        </is>
      </c>
      <c r="D5745" t="inlineStr">
        <is>
          <t>1</t>
        </is>
      </c>
      <c r="E5745" t="inlineStr">
        <is>
          <t>48</t>
        </is>
      </c>
      <c r="F5745" t="inlineStr">
        <is>
          <t>0</t>
        </is>
      </c>
      <c r="G5745" t="inlineStr">
        <is>
          <t>0</t>
        </is>
      </c>
      <c r="H5745" t="inlineStr">
        <is>
          <t>2⁸, 4⁴, 8¹², 64⁴</t>
        </is>
      </c>
      <c r="I5745" t="n">
        <v>28</v>
      </c>
      <c r="J5745" t="inlineStr">
        <is>
          <t>1⁴, 2², 4², 8², 16¹</t>
        </is>
      </c>
      <c r="K5745">
        <f>HYPERLINK("CSG7.html#group32M7", "32M⁷")</f>
        <v/>
      </c>
      <c r="L5745" t="inlineStr"/>
      <c r="M5745">
        <f>HYPERLINK("CSG1.html#group32A1", "32A¹"), =HYPERLINK("CSG2.html#group32C2", "32C²"), =HYPERLINK("CSG0.html#group4B0", "4B⁰"), =HYPERLINK("CSG0.html#group16C0", "16C⁰"), =HYPERLINK("CSG0.html#group16D0", "16D⁰"), =HYPERLINK("CSG3.html#group32M3", "32M³"), =HYPERLINK("CSG0.html#group8C0", "8C⁰"), =HYPERLINK("CSG7.html#group32M7", "32M⁷"), =HYPERLINK("CSG0.html#group2B0", "2B⁰"), =HYPERLINK("CSG0.html#group8I0", "8I⁰"), =HYPERLINK("CSG2.html#group32A2", "32A²"), =HYPERLINK("CSG0.html#group1A0", "1A⁰"), =HYPERLINK("CSG2.html#group16J2", "16J²"), =HYPERLINK("CSG0.html#group16H0", "16H⁰")</f>
        <v/>
      </c>
      <c r="N5745" t="inlineStr"/>
    </row>
    <row r="5746">
      <c r="A5746" t="inlineStr">
        <is>
          <t>65A¹⁹</t>
        </is>
      </c>
      <c r="B5746" t="inlineStr"/>
      <c r="C5746" t="inlineStr">
        <is>
          <t>280</t>
        </is>
      </c>
      <c r="D5746" t="inlineStr">
        <is>
          <t>1</t>
        </is>
      </c>
      <c r="E5746" t="inlineStr">
        <is>
          <t>140</t>
        </is>
      </c>
      <c r="F5746" t="inlineStr">
        <is>
          <t>0</t>
        </is>
      </c>
      <c r="G5746" t="inlineStr">
        <is>
          <t>4</t>
        </is>
      </c>
      <c r="H5746" t="inlineStr">
        <is>
          <t>5⁴, 65⁴</t>
        </is>
      </c>
      <c r="I5746" t="n">
        <v>8</v>
      </c>
      <c r="J5746" t="inlineStr">
        <is>
          <t>2², 4⁴, 24¹, 48²</t>
        </is>
      </c>
      <c r="K5746">
        <f>HYPERLINK("CSG0.html#group13B0", "13B⁰"), =HYPERLINK("CSG9.html#group65A9", "65A⁹")</f>
        <v/>
      </c>
      <c r="L5746" t="inlineStr"/>
      <c r="M5746">
        <f>HYPERLINK("CSG0.html#group13A0", "13A⁰"), =HYPERLINK("CSG0.html#group1A0", "1A⁰"), =HYPERLINK("CSG9.html#group65A9", "65A⁹"), =HYPERLINK("CSG0.html#group13B0", "13B⁰"), =HYPERLINK("CSG0.html#group5C0", "5C⁰")</f>
        <v/>
      </c>
      <c r="N5746" t="inlineStr"/>
    </row>
    <row r="5747">
      <c r="A5747" t="inlineStr">
        <is>
          <t>65B¹⁹</t>
        </is>
      </c>
      <c r="B5747" t="inlineStr"/>
      <c r="C5747" t="inlineStr">
        <is>
          <t>280</t>
        </is>
      </c>
      <c r="D5747" t="inlineStr">
        <is>
          <t>1</t>
        </is>
      </c>
      <c r="E5747" t="inlineStr">
        <is>
          <t>140</t>
        </is>
      </c>
      <c r="F5747" t="inlineStr">
        <is>
          <t>0</t>
        </is>
      </c>
      <c r="G5747" t="inlineStr">
        <is>
          <t>4</t>
        </is>
      </c>
      <c r="H5747" t="inlineStr">
        <is>
          <t>5⁴, 65⁴</t>
        </is>
      </c>
      <c r="I5747" t="n">
        <v>8</v>
      </c>
      <c r="J5747" t="inlineStr">
        <is>
          <t>2², 4⁴, 24¹, 48²</t>
        </is>
      </c>
      <c r="K5747">
        <f>HYPERLINK("CSG0.html#group5F0", "5F⁰"), =HYPERLINK("CSG4.html#group65A4", "65A⁴"), =HYPERLINK("CSG9.html#group65A9", "65A⁹")</f>
        <v/>
      </c>
      <c r="L5747" t="inlineStr"/>
      <c r="M5747">
        <f>HYPERLINK("CSG0.html#group5A0", "5A⁰"), =HYPERLINK("CSG0.html#group5C0", "5C⁰"), =HYPERLINK("CSG0.html#group13A0", "13A⁰"), =HYPERLINK("CSG0.html#group5F0", "5F⁰"), =HYPERLINK("CSG9.html#group65A9", "65A⁹"), =HYPERLINK("CSG0.html#group1A0", "1A⁰"), =HYPERLINK("CSG4.html#group65A4", "65A⁴")</f>
        <v/>
      </c>
      <c r="N5747" t="inlineStr"/>
    </row>
    <row r="5748">
      <c r="A5748" t="inlineStr">
        <is>
          <t>65C¹⁹</t>
        </is>
      </c>
      <c r="B5748" t="inlineStr"/>
      <c r="C5748" t="inlineStr">
        <is>
          <t>336</t>
        </is>
      </c>
      <c r="D5748" t="inlineStr">
        <is>
          <t>1</t>
        </is>
      </c>
      <c r="E5748" t="inlineStr">
        <is>
          <t>84</t>
        </is>
      </c>
      <c r="F5748" t="inlineStr">
        <is>
          <t>8</t>
        </is>
      </c>
      <c r="G5748" t="inlineStr">
        <is>
          <t>0</t>
        </is>
      </c>
      <c r="H5748" t="inlineStr">
        <is>
          <t>1⁴, 5⁴, 13⁴, 65⁴</t>
        </is>
      </c>
      <c r="I5748" t="n">
        <v>16</v>
      </c>
      <c r="J5748" t="inlineStr">
        <is>
          <t>1⁴, 4², 12², 48¹</t>
        </is>
      </c>
      <c r="K5748">
        <f>HYPERLINK("CSG9.html#group65B9", "65B⁹")</f>
        <v/>
      </c>
      <c r="L5748" t="inlineStr"/>
      <c r="M5748">
        <f>HYPERLINK("CSG9.html#group65B9", "65B⁹"), =HYPERLINK("CSG0.html#group5B0", "5B⁰"), =HYPERLINK("CSG0.html#group13A0", "13A⁰"), =HYPERLINK("CSG5.html#group65A5", "65A⁵"), =HYPERLINK("CSG0.html#group1A0", "1A⁰")</f>
        <v/>
      </c>
      <c r="N5748" t="inlineStr"/>
    </row>
    <row r="5749">
      <c r="A5749" t="inlineStr">
        <is>
          <t>65D¹⁹</t>
        </is>
      </c>
      <c r="B5749" t="inlineStr"/>
      <c r="C5749" t="inlineStr">
        <is>
          <t>336</t>
        </is>
      </c>
      <c r="D5749" t="inlineStr">
        <is>
          <t>1</t>
        </is>
      </c>
      <c r="E5749" t="inlineStr">
        <is>
          <t>84</t>
        </is>
      </c>
      <c r="F5749" t="inlineStr">
        <is>
          <t>8</t>
        </is>
      </c>
      <c r="G5749" t="inlineStr">
        <is>
          <t>0</t>
        </is>
      </c>
      <c r="H5749" t="inlineStr">
        <is>
          <t>1⁴, 5⁴, 13⁴, 65⁴</t>
        </is>
      </c>
      <c r="I5749" t="n">
        <v>16</v>
      </c>
      <c r="J5749" t="inlineStr">
        <is>
          <t>1⁴, 4², 12², 48¹</t>
        </is>
      </c>
      <c r="K5749">
        <f>HYPERLINK("CSG9.html#group65B9", "65B⁹")</f>
        <v/>
      </c>
      <c r="L5749" t="inlineStr"/>
      <c r="M5749">
        <f>HYPERLINK("CSG9.html#group65B9", "65B⁹"), =HYPERLINK("CSG0.html#group5B0", "5B⁰"), =HYPERLINK("CSG0.html#group13A0", "13A⁰"), =HYPERLINK("CSG5.html#group65A5", "65A⁵"), =HYPERLINK("CSG0.html#group1A0", "1A⁰")</f>
        <v/>
      </c>
      <c r="N5749" t="inlineStr"/>
    </row>
    <row r="5750">
      <c r="A5750" t="inlineStr">
        <is>
          <t>66A¹⁹</t>
        </is>
      </c>
      <c r="B5750" t="inlineStr"/>
      <c r="C5750" t="inlineStr">
        <is>
          <t>264</t>
        </is>
      </c>
      <c r="D5750" t="inlineStr">
        <is>
          <t>2</t>
        </is>
      </c>
      <c r="E5750" t="inlineStr">
        <is>
          <t>88</t>
        </is>
      </c>
      <c r="F5750" t="inlineStr">
        <is>
          <t>0</t>
        </is>
      </c>
      <c r="G5750" t="inlineStr">
        <is>
          <t>6</t>
        </is>
      </c>
      <c r="H5750" t="inlineStr">
        <is>
          <t>66⁴</t>
        </is>
      </c>
      <c r="I5750" t="n">
        <v>4</v>
      </c>
      <c r="J5750" t="inlineStr">
        <is>
          <t>4⁴, 20⁸</t>
        </is>
      </c>
      <c r="K5750">
        <f>HYPERLINK("CSG0.html#group6J0", "6J⁰"), =HYPERLINK("CSG4.html#group66A4", "66A⁴"), =HYPERLINK("CSG6.html#group66E6", "66E⁶")</f>
        <v/>
      </c>
      <c r="L5750" t="inlineStr"/>
      <c r="M5750">
        <f>HYPERLINK("CSG0.html#group11A0", "11A⁰"), =HYPERLINK("CSG0.html#group3B0", "3B⁰"), =HYPERLINK("CSG0.html#group2A0", "2A⁰"), =HYPERLINK("CSG1.html#group22A1", "22A¹"), =HYPERLINK("CSG0.html#group6A0", "6A⁰"), =HYPERLINK("CSG3.html#group33B3", "33B³"), =HYPERLINK("CSG0.html#group6C0", "6C⁰"), =HYPERLINK("CSG0.html#group6J0", "6J⁰"), =HYPERLINK("CSG6.html#group66E6", "66E⁶"), =HYPERLINK("CSG0.html#group1A0", "1A⁰"), =HYPERLINK("CSG4.html#group66A4", "66A⁴")</f>
        <v/>
      </c>
      <c r="N5750" t="inlineStr"/>
    </row>
    <row r="5751">
      <c r="A5751" t="inlineStr">
        <is>
          <t>66B¹⁹</t>
        </is>
      </c>
      <c r="B5751" t="inlineStr"/>
      <c r="C5751" t="inlineStr">
        <is>
          <t>288</t>
        </is>
      </c>
      <c r="D5751" t="inlineStr">
        <is>
          <t>1</t>
        </is>
      </c>
      <c r="E5751" t="inlineStr">
        <is>
          <t>48</t>
        </is>
      </c>
      <c r="F5751" t="inlineStr">
        <is>
          <t>0</t>
        </is>
      </c>
      <c r="G5751" t="inlineStr">
        <is>
          <t>0</t>
        </is>
      </c>
      <c r="H5751" t="inlineStr">
        <is>
          <t>2³, 6³, 22³, 66³</t>
        </is>
      </c>
      <c r="I5751" t="n">
        <v>12</v>
      </c>
      <c r="J5751" t="inlineStr">
        <is>
          <t>1⁴, 2², 10², 20¹</t>
        </is>
      </c>
      <c r="K5751">
        <f>HYPERLINK("CSG0.html#group6I0", "6I⁰"), =HYPERLINK("CSG4.html#group22A4", "22A⁴"), =HYPERLINK("CSG7.html#group66B7", "66B⁷"), =HYPERLINK("CSG9.html#group66A9", "66A⁹")</f>
        <v/>
      </c>
      <c r="L5751" t="inlineStr"/>
      <c r="M5751">
        <f>HYPERLINK("CSG0.html#group3B0", "3B⁰"), =HYPERLINK("CSG0.html#group2A0", "2A⁰"), =HYPERLINK("CSG0.html#group6I0", "6I⁰"), =HYPERLINK("CSG0.html#group6C0", "6C⁰"), =HYPERLINK("CSG0.html#group2B0", "2B⁰"), =HYPERLINK("CSG2.html#group22C2", "22C²"), =HYPERLINK("CSG0.html#group1A0", "1A⁰"), =HYPERLINK("CSG4.html#group22A4", "22A⁴"), =HYPERLINK("CSG1.html#group11A1", "11A¹"), =HYPERLINK("CSG9.html#group66A9", "66A⁹"), =HYPERLINK("CSG2.html#group22A2", "22A²"), =HYPERLINK("CSG0.html#group6F0", "6F⁰"), =HYPERLINK("CSG0.html#group2C0", "2C⁰"), =HYPERLINK("CSG7.html#group66B7", "66B⁷"), =HYPERLINK("CSG3.html#group33C3", "33C³")</f>
        <v/>
      </c>
      <c r="N5751" t="inlineStr"/>
    </row>
    <row r="5752">
      <c r="A5752" t="inlineStr">
        <is>
          <t>66C¹⁹</t>
        </is>
      </c>
      <c r="B5752" t="inlineStr"/>
      <c r="C5752" t="inlineStr">
        <is>
          <t>288</t>
        </is>
      </c>
      <c r="D5752" t="inlineStr">
        <is>
          <t>1</t>
        </is>
      </c>
      <c r="E5752" t="inlineStr">
        <is>
          <t>144</t>
        </is>
      </c>
      <c r="F5752" t="inlineStr">
        <is>
          <t>0</t>
        </is>
      </c>
      <c r="G5752" t="inlineStr">
        <is>
          <t>0</t>
        </is>
      </c>
      <c r="H5752" t="inlineStr">
        <is>
          <t>2³, 6³, 22³, 66³</t>
        </is>
      </c>
      <c r="I5752" t="n">
        <v>12</v>
      </c>
      <c r="J5752" t="inlineStr">
        <is>
          <t>1¹², 2⁶, 10⁶, 20³</t>
        </is>
      </c>
      <c r="K5752">
        <f>HYPERLINK("CSG7.html#group66A7", "66A⁷"), =HYPERLINK("CSG9.html#group66A9", "66A⁹")</f>
        <v/>
      </c>
      <c r="L5752" t="inlineStr"/>
      <c r="M5752">
        <f>HYPERLINK("CSG0.html#group3B0", "3B⁰"), =HYPERLINK("CSG1.html#group11A1", "11A¹"), =HYPERLINK("CSG9.html#group66A9", "66A⁹"), =HYPERLINK("CSG0.html#group1A0", "1A⁰"), =HYPERLINK("CSG0.html#group2B0", "2B⁰"), =HYPERLINK("CSG2.html#group22C2", "22C²"), =HYPERLINK("CSG0.html#group6F0", "6F⁰"), =HYPERLINK("CSG7.html#group66A7", "66A⁷"), =HYPERLINK("CSG3.html#group33C3", "33C³")</f>
        <v/>
      </c>
      <c r="N5752" t="inlineStr"/>
    </row>
    <row r="5753">
      <c r="A5753" t="inlineStr">
        <is>
          <t>66D¹⁹</t>
        </is>
      </c>
      <c r="B5753" t="inlineStr"/>
      <c r="C5753" t="inlineStr">
        <is>
          <t>330</t>
        </is>
      </c>
      <c r="D5753" t="inlineStr">
        <is>
          <t>1</t>
        </is>
      </c>
      <c r="E5753" t="inlineStr">
        <is>
          <t>165</t>
        </is>
      </c>
      <c r="F5753" t="inlineStr">
        <is>
          <t>28</t>
        </is>
      </c>
      <c r="G5753" t="inlineStr">
        <is>
          <t>0</t>
        </is>
      </c>
      <c r="H5753" t="inlineStr">
        <is>
          <t>66⁵</t>
        </is>
      </c>
      <c r="I5753" t="n">
        <v>5</v>
      </c>
      <c r="J5753" t="inlineStr">
        <is>
          <t>5¹, 10⁶, 20⁵</t>
        </is>
      </c>
      <c r="K5753">
        <f>HYPERLINK("CSG0.html#group6B0", "6B⁰"), =HYPERLINK("CSG7.html#group33A7", "33A⁷")</f>
        <v/>
      </c>
      <c r="L5753" t="inlineStr"/>
      <c r="M5753">
        <f>HYPERLINK("CSG1.html#group11C1", "11C¹"), =HYPERLINK("CSG0.html#group6B0", "6B⁰"), =HYPERLINK("CSG0.html#group3A0", "3A⁰"), =HYPERLINK("CSG0.html#group1A0", "1A⁰"), =HYPERLINK("CSG7.html#group33A7", "33A⁷")</f>
        <v/>
      </c>
      <c r="N5753" t="inlineStr"/>
    </row>
    <row r="5754">
      <c r="A5754" t="inlineStr">
        <is>
          <t>70A¹⁹</t>
        </is>
      </c>
      <c r="B5754" t="inlineStr"/>
      <c r="C5754" t="inlineStr">
        <is>
          <t>252</t>
        </is>
      </c>
      <c r="D5754" t="inlineStr">
        <is>
          <t>1</t>
        </is>
      </c>
      <c r="E5754" t="inlineStr">
        <is>
          <t>126</t>
        </is>
      </c>
      <c r="F5754" t="inlineStr">
        <is>
          <t>0</t>
        </is>
      </c>
      <c r="G5754" t="inlineStr">
        <is>
          <t>0</t>
        </is>
      </c>
      <c r="H5754" t="inlineStr">
        <is>
          <t>14³, 70³</t>
        </is>
      </c>
      <c r="I5754" t="n">
        <v>6</v>
      </c>
      <c r="J5754" t="inlineStr">
        <is>
          <t>3², 6⁶, 12¹, 24³</t>
        </is>
      </c>
      <c r="K5754">
        <f>HYPERLINK("CSG3.html#group14A3", "14A³"), =HYPERLINK("CSG6.html#group35E6", "35E⁶"), =HYPERLINK("CSG7.html#group70A7", "70A⁷")</f>
        <v/>
      </c>
      <c r="L5754" t="inlineStr"/>
      <c r="M5754">
        <f>HYPERLINK("CSG2.html#group35C2", "35C²"), =HYPERLINK("CSG0.html#group2A0", "2A⁰"), =HYPERLINK("CSG0.html#group7D0", "7D⁰"), =HYPERLINK("CSG3.html#group14A3", "14A³"), =HYPERLINK("CSG6.html#group35E6", "35E⁶"), =HYPERLINK("CSG1.html#group14A1", "14A¹"), =HYPERLINK("CSG0.html#group5B0", "5B⁰"), =HYPERLINK("CSG1.html#group10A1", "10A¹"), =HYPERLINK("CSG7.html#group70A7", "70A⁷"), =HYPERLINK("CSG0.html#group1A0", "1A⁰"), =HYPERLINK("CSG0.html#group7A0", "7A⁰")</f>
        <v/>
      </c>
      <c r="N5754" t="inlineStr"/>
    </row>
    <row r="5755">
      <c r="A5755" t="inlineStr">
        <is>
          <t>70B¹⁹</t>
        </is>
      </c>
      <c r="B5755" t="inlineStr"/>
      <c r="C5755" t="inlineStr">
        <is>
          <t>252</t>
        </is>
      </c>
      <c r="D5755" t="inlineStr">
        <is>
          <t>2</t>
        </is>
      </c>
      <c r="E5755" t="inlineStr">
        <is>
          <t>42</t>
        </is>
      </c>
      <c r="F5755" t="inlineStr">
        <is>
          <t>0</t>
        </is>
      </c>
      <c r="G5755" t="inlineStr">
        <is>
          <t>0</t>
        </is>
      </c>
      <c r="H5755" t="inlineStr">
        <is>
          <t>14³, 70³</t>
        </is>
      </c>
      <c r="I5755" t="n">
        <v>6</v>
      </c>
      <c r="J5755" t="inlineStr">
        <is>
          <t>2², 6⁴, 8¹, 24²</t>
        </is>
      </c>
      <c r="K5755">
        <f>HYPERLINK("CSG1.html#group10G1", "10G¹"), =HYPERLINK("CSG3.html#group14B3", "14B³"), =HYPERLINK("CSG7.html#group70A7", "70A⁷"), =HYPERLINK("CSG8.html#group70B8", "70B⁸")</f>
        <v/>
      </c>
      <c r="L5755" t="inlineStr"/>
      <c r="M5755">
        <f>HYPERLINK("CSG2.html#group35C2", "35C²"), =HYPERLINK("CSG0.html#group2A0", "2A⁰"), =HYPERLINK("CSG3.html#group14B3", "14B³"), =HYPERLINK("CSG1.html#group14B1", "14B¹"), =HYPERLINK("CSG1.html#group14A1", "14A¹"), =HYPERLINK("CSG0.html#group5B0", "5B⁰"), =HYPERLINK("CSG8.html#group70B8", "70B⁸"), =HYPERLINK("CSG1.html#group10A1", "10A¹"), =HYPERLINK("CSG0.html#group2B0", "2B⁰"), =HYPERLINK("CSG0.html#group1A0", "1A⁰"), =HYPERLINK("CSG1.html#group10G1", "10G¹"), =HYPERLINK("CSG0.html#group10C0", "10C⁰"), =HYPERLINK("CSG7.html#group70A7", "70A⁷"), =HYPERLINK("CSG0.html#group2C0", "2C⁰"), =HYPERLINK("CSG0.html#group7A0", "7A⁰")</f>
        <v/>
      </c>
      <c r="N5755" t="inlineStr"/>
    </row>
    <row r="5756">
      <c r="A5756" t="inlineStr">
        <is>
          <t>70C¹⁹</t>
        </is>
      </c>
      <c r="B5756" t="inlineStr"/>
      <c r="C5756" t="inlineStr">
        <is>
          <t>280</t>
        </is>
      </c>
      <c r="D5756" t="inlineStr">
        <is>
          <t>1</t>
        </is>
      </c>
      <c r="E5756" t="inlineStr">
        <is>
          <t>140</t>
        </is>
      </c>
      <c r="F5756" t="inlineStr">
        <is>
          <t>8</t>
        </is>
      </c>
      <c r="G5756" t="inlineStr">
        <is>
          <t>4</t>
        </is>
      </c>
      <c r="H5756" t="inlineStr">
        <is>
          <t>70⁴</t>
        </is>
      </c>
      <c r="I5756" t="n">
        <v>4</v>
      </c>
      <c r="J5756" t="inlineStr">
        <is>
          <t>1¹, 3¹, 4¹, 6⁴, 12¹, 24⁴</t>
        </is>
      </c>
      <c r="K5756">
        <f>HYPERLINK("CSG1.html#group14G1", "14G¹"), =HYPERLINK("CSG4.html#group70A4", "70A⁴"), =HYPERLINK("CSG9.html#group35A9", "35A⁹")</f>
        <v/>
      </c>
      <c r="L5756" t="inlineStr"/>
      <c r="M5756">
        <f>HYPERLINK("CSG0.html#group14A0", "14A⁰"), =HYPERLINK("CSG0.html#group5A0", "5A⁰"), =HYPERLINK("CSG9.html#group35A9", "35A⁹"), =HYPERLINK("CSG4.html#group70A4", "70A⁴"), =HYPERLINK("CSG0.html#group7F0", "7F⁰"), =HYPERLINK("CSG1.html#group14G1", "14G¹"), =HYPERLINK("CSG0.html#group1A0", "1A⁰"), =HYPERLINK("CSG2.html#group35A2", "35A²"), =HYPERLINK("CSG0.html#group7A0", "7A⁰")</f>
        <v/>
      </c>
      <c r="N5756" t="inlineStr"/>
    </row>
    <row r="5757">
      <c r="A5757" t="inlineStr">
        <is>
          <t>70D¹⁹</t>
        </is>
      </c>
      <c r="B5757" t="inlineStr"/>
      <c r="C5757" t="inlineStr">
        <is>
          <t>280</t>
        </is>
      </c>
      <c r="D5757" t="inlineStr">
        <is>
          <t>2</t>
        </is>
      </c>
      <c r="E5757" t="inlineStr">
        <is>
          <t>70</t>
        </is>
      </c>
      <c r="F5757" t="inlineStr">
        <is>
          <t>8</t>
        </is>
      </c>
      <c r="G5757" t="inlineStr">
        <is>
          <t>4</t>
        </is>
      </c>
      <c r="H5757" t="inlineStr">
        <is>
          <t>70⁴</t>
        </is>
      </c>
      <c r="I5757" t="n">
        <v>4</v>
      </c>
      <c r="J5757" t="inlineStr">
        <is>
          <t>4¹, 8², 12², 24⁴</t>
        </is>
      </c>
      <c r="K5757">
        <f>HYPERLINK("CSG8.html#group70C8", "70C⁸"), =HYPERLINK("CSG9.html#group35B9", "35B⁹"), =HYPERLINK("CSG10.html#group70A10", "70A¹⁰")</f>
        <v/>
      </c>
      <c r="L5757" t="inlineStr"/>
      <c r="M5757">
        <f>HYPERLINK("CSG9.html#group35B9", "35B⁹"), =HYPERLINK("CSG10.html#group70A10", "70A¹⁰"), =HYPERLINK("CSG0.html#group10D0", "10D⁰"), =HYPERLINK("CSG4.html#group35B4", "35B⁴"), =HYPERLINK("CSG0.html#group5C0", "5C⁰"), =HYPERLINK("CSG0.html#group7C0", "7C⁰"), =HYPERLINK("CSG0.html#group1A0", "1A⁰"), =HYPERLINK("CSG8.html#group70C8", "70C⁸"), =HYPERLINK("CSG0.html#group7A0", "7A⁰")</f>
        <v/>
      </c>
      <c r="N5757" t="inlineStr"/>
    </row>
    <row r="5758">
      <c r="A5758" t="inlineStr">
        <is>
          <t>70E¹⁹</t>
        </is>
      </c>
      <c r="B5758" t="inlineStr"/>
      <c r="C5758" t="inlineStr">
        <is>
          <t>288</t>
        </is>
      </c>
      <c r="D5758" t="inlineStr">
        <is>
          <t>1</t>
        </is>
      </c>
      <c r="E5758" t="inlineStr">
        <is>
          <t>48</t>
        </is>
      </c>
      <c r="F5758" t="inlineStr">
        <is>
          <t>0</t>
        </is>
      </c>
      <c r="G5758" t="inlineStr">
        <is>
          <t>0</t>
        </is>
      </c>
      <c r="H5758" t="inlineStr">
        <is>
          <t>2³, 10³, 14³, 70³</t>
        </is>
      </c>
      <c r="I5758" t="n">
        <v>12</v>
      </c>
      <c r="J5758" t="inlineStr">
        <is>
          <t>1⁴, 4², 6², 24¹</t>
        </is>
      </c>
      <c r="K5758">
        <f>HYPERLINK("CSG7.html#group35B7", "35B⁷"), =HYPERLINK("CSG7.html#group70B7", "70B⁷")</f>
        <v/>
      </c>
      <c r="L5758" t="inlineStr"/>
      <c r="M5758">
        <f>HYPERLINK("CSG7.html#group35B7", "35B⁷"), =HYPERLINK("CSG0.html#group7B0", "7B⁰"), =HYPERLINK("CSG0.html#group5B0", "5B⁰"), =HYPERLINK("CSG0.html#group7E0", "7E⁰"), =HYPERLINK("CSG7.html#group70B7", "70B⁷"), =HYPERLINK("CSG0.html#group1A0", "1A⁰"), =HYPERLINK("CSG3.html#group35A3", "35A³"), =HYPERLINK("CSG0.html#group10B0", "10B⁰")</f>
        <v/>
      </c>
      <c r="N5758" t="inlineStr"/>
    </row>
    <row r="5759">
      <c r="A5759" t="inlineStr">
        <is>
          <t>70F¹⁹</t>
        </is>
      </c>
      <c r="B5759" t="inlineStr"/>
      <c r="C5759" t="inlineStr">
        <is>
          <t>288</t>
        </is>
      </c>
      <c r="D5759" t="inlineStr">
        <is>
          <t>1</t>
        </is>
      </c>
      <c r="E5759" t="inlineStr">
        <is>
          <t>48</t>
        </is>
      </c>
      <c r="F5759" t="inlineStr">
        <is>
          <t>0</t>
        </is>
      </c>
      <c r="G5759" t="inlineStr">
        <is>
          <t>0</t>
        </is>
      </c>
      <c r="H5759" t="inlineStr">
        <is>
          <t>2³, 10³, 14³, 70³</t>
        </is>
      </c>
      <c r="I5759" t="n">
        <v>12</v>
      </c>
      <c r="J5759" t="inlineStr">
        <is>
          <t>1⁴, 4², 6², 24¹</t>
        </is>
      </c>
      <c r="K5759">
        <f>HYPERLINK("CSG2.html#group14D2", "14D²"), =HYPERLINK("CSG7.html#group35B7", "35B⁷"), =HYPERLINK("CSG7.html#group70C7", "70C⁷")</f>
        <v/>
      </c>
      <c r="L5759" t="inlineStr"/>
      <c r="M5759">
        <f>HYPERLINK("CSG0.html#group2A0", "2A⁰"), =HYPERLINK("CSG7.html#group35B7", "35B⁷"), =HYPERLINK("CSG0.html#group7B0", "7B⁰"), =HYPERLINK("CSG2.html#group14D2", "14D²"), =HYPERLINK("CSG0.html#group5B0", "5B⁰"), =HYPERLINK("CSG0.html#group14B0", "14B⁰"), =HYPERLINK("CSG7.html#group70C7", "70C⁷"), =HYPERLINK("CSG1.html#group10A1", "10A¹"), =HYPERLINK("CSG0.html#group7E0", "7E⁰"), =HYPERLINK("CSG0.html#group1A0", "1A⁰"), =HYPERLINK("CSG3.html#group35A3", "35A³")</f>
        <v/>
      </c>
      <c r="N5759" t="inlineStr"/>
    </row>
    <row r="5760">
      <c r="A5760" t="inlineStr">
        <is>
          <t>70G¹⁹</t>
        </is>
      </c>
      <c r="B5760" t="inlineStr"/>
      <c r="C5760" t="inlineStr">
        <is>
          <t>288</t>
        </is>
      </c>
      <c r="D5760" t="inlineStr">
        <is>
          <t>1</t>
        </is>
      </c>
      <c r="E5760" t="inlineStr">
        <is>
          <t>48</t>
        </is>
      </c>
      <c r="F5760" t="inlineStr">
        <is>
          <t>0</t>
        </is>
      </c>
      <c r="G5760" t="inlineStr">
        <is>
          <t>0</t>
        </is>
      </c>
      <c r="H5760" t="inlineStr">
        <is>
          <t>2³, 10³, 14³, 70³</t>
        </is>
      </c>
      <c r="I5760" t="n">
        <v>12</v>
      </c>
      <c r="J5760" t="inlineStr">
        <is>
          <t>1⁴, 4², 6², 24¹</t>
        </is>
      </c>
      <c r="K5760">
        <f>HYPERLINK("CSG1.html#group10G1", "10G¹"), =HYPERLINK("CSG2.html#group14E2", "14E²"), =HYPERLINK("CSG7.html#group70C7", "70C⁷"), =HYPERLINK("CSG9.html#group70D9", "70D⁹")</f>
        <v/>
      </c>
      <c r="L5760" t="inlineStr"/>
      <c r="M5760">
        <f>HYPERLINK("CSG0.html#group2A0", "2A⁰"), =HYPERLINK("CSG3.html#group35A3", "35A³"), =HYPERLINK("CSG0.html#group5B0", "5B⁰"), =HYPERLINK("CSG1.html#group10A1", "10A¹"), =HYPERLINK("CSG0.html#group2B0", "2B⁰"), =HYPERLINK("CSG2.html#group14E2", "14E²"), =HYPERLINK("CSG0.html#group1A0", "1A⁰"), =HYPERLINK("CSG9.html#group70D9", "70D⁹"), =HYPERLINK("CSG0.html#group7B0", "7B⁰"), =HYPERLINK("CSG0.html#group14B0", "14B⁰"), =HYPERLINK("CSG1.html#group14C1", "14C¹"), =HYPERLINK("CSG0.html#group10C0", "10C⁰"), =HYPERLINK("CSG7.html#group70C7", "70C⁷"), =HYPERLINK("CSG0.html#group2C0", "2C⁰"), =HYPERLINK("CSG1.html#group10G1", "10G¹")</f>
        <v/>
      </c>
      <c r="N5760" t="inlineStr"/>
    </row>
    <row r="5761">
      <c r="A5761" t="inlineStr">
        <is>
          <t>70H¹⁹</t>
        </is>
      </c>
      <c r="B5761" t="inlineStr"/>
      <c r="C5761" t="inlineStr">
        <is>
          <t>288</t>
        </is>
      </c>
      <c r="D5761" t="inlineStr">
        <is>
          <t>1</t>
        </is>
      </c>
      <c r="E5761" t="inlineStr">
        <is>
          <t>96</t>
        </is>
      </c>
      <c r="F5761" t="inlineStr">
        <is>
          <t>0</t>
        </is>
      </c>
      <c r="G5761" t="inlineStr">
        <is>
          <t>0</t>
        </is>
      </c>
      <c r="H5761" t="inlineStr">
        <is>
          <t>2³, 10³, 14³, 70³</t>
        </is>
      </c>
      <c r="I5761" t="n">
        <v>12</v>
      </c>
      <c r="J5761" t="inlineStr">
        <is>
          <t>1⁸, 4⁴, 6⁴, 24²</t>
        </is>
      </c>
      <c r="K5761">
        <f>HYPERLINK("CSG0.html#group14C0", "14C⁰"), =HYPERLINK("CSG7.html#group70C7", "70C⁷")</f>
        <v/>
      </c>
      <c r="L5761" t="inlineStr"/>
      <c r="M5761">
        <f>HYPERLINK("CSG0.html#group2A0", "2A⁰"), =HYPERLINK("CSG0.html#group7B0", "7B⁰"), =HYPERLINK("CSG0.html#group14B0", "14B⁰"), =HYPERLINK("CSG0.html#group5B0", "5B⁰"), =HYPERLINK("CSG7.html#group70C7", "70C⁷"), =HYPERLINK("CSG1.html#group10A1", "10A¹"), =HYPERLINK("CSG0.html#group14C0", "14C⁰"), =HYPERLINK("CSG0.html#group1A0", "1A⁰"), =HYPERLINK("CSG3.html#group35A3", "35A³")</f>
        <v/>
      </c>
      <c r="N5761" t="inlineStr"/>
    </row>
    <row r="5762">
      <c r="A5762" t="inlineStr">
        <is>
          <t>70I¹⁹</t>
        </is>
      </c>
      <c r="B5762" t="inlineStr"/>
      <c r="C5762" t="inlineStr">
        <is>
          <t>288</t>
        </is>
      </c>
      <c r="D5762" t="inlineStr">
        <is>
          <t>1</t>
        </is>
      </c>
      <c r="E5762" t="inlineStr">
        <is>
          <t>144</t>
        </is>
      </c>
      <c r="F5762" t="inlineStr">
        <is>
          <t>0</t>
        </is>
      </c>
      <c r="G5762" t="inlineStr">
        <is>
          <t>0</t>
        </is>
      </c>
      <c r="H5762" t="inlineStr">
        <is>
          <t>2³, 10³, 14³, 70³</t>
        </is>
      </c>
      <c r="I5762" t="n">
        <v>12</v>
      </c>
      <c r="J5762" t="inlineStr">
        <is>
          <t>1¹², 4⁶, 6⁶, 24³</t>
        </is>
      </c>
      <c r="K5762">
        <f>HYPERLINK("CSG0.html#group10G0", "10G⁰"), =HYPERLINK("CSG7.html#group70B7", "70B⁷"), =HYPERLINK("CSG9.html#group70D9", "70D⁹")</f>
        <v/>
      </c>
      <c r="L5762" t="inlineStr"/>
      <c r="M5762">
        <f>HYPERLINK("CSG0.html#group10G0", "10G⁰"), =HYPERLINK("CSG0.html#group7B0", "7B⁰"), =HYPERLINK("CSG1.html#group14C1", "14C¹"), =HYPERLINK("CSG0.html#group5B0", "5B⁰"), =HYPERLINK("CSG0.html#group10C0", "10C⁰"), =HYPERLINK("CSG0.html#group2B0", "2B⁰"), =HYPERLINK("CSG7.html#group70B7", "70B⁷"), =HYPERLINK("CSG0.html#group10B0", "10B⁰"), =HYPERLINK("CSG0.html#group1A0", "1A⁰"), =HYPERLINK("CSG3.html#group35A3", "35A³"), =HYPERLINK("CSG9.html#group70D9", "70D⁹")</f>
        <v/>
      </c>
      <c r="N5762" t="inlineStr"/>
    </row>
    <row r="5763">
      <c r="A5763" t="inlineStr">
        <is>
          <t>72A¹⁹</t>
        </is>
      </c>
      <c r="B5763" t="inlineStr"/>
      <c r="C5763" t="inlineStr">
        <is>
          <t>288</t>
        </is>
      </c>
      <c r="D5763" t="inlineStr">
        <is>
          <t>1</t>
        </is>
      </c>
      <c r="E5763" t="inlineStr">
        <is>
          <t>12</t>
        </is>
      </c>
      <c r="F5763" t="inlineStr">
        <is>
          <t>0</t>
        </is>
      </c>
      <c r="G5763" t="inlineStr">
        <is>
          <t>0</t>
        </is>
      </c>
      <c r="H5763" t="inlineStr">
        <is>
          <t>6⁴, 18⁴, 24², 72²</t>
        </is>
      </c>
      <c r="I5763" t="n">
        <v>12</v>
      </c>
      <c r="J5763" t="inlineStr">
        <is>
          <t>1⁶, 2³</t>
        </is>
      </c>
      <c r="K5763">
        <f>HYPERLINK("CSG3.html#group24U3", "24U³"), =HYPERLINK("CSG8.html#group72F8", "72F⁸"), =HYPERLINK("CSG9.html#group36C9", "36C⁹"), =HYPERLINK("CSG10.html#group72A10", "72A¹⁰")</f>
        <v/>
      </c>
      <c r="L5763" t="inlineStr"/>
      <c r="M5763">
        <f>HYPERLINK("CSG0.html#group3B0", "3B⁰"), =HYPERLINK("CSG0.html#group2A0", "2A⁰"), =HYPERLINK("CSG4.html#group18C4", "18C⁴"), =HYPERLINK("CSG10.html#group72A10", "72A¹⁰"), =HYPERLINK("CSG1.html#group12F1", "12F¹"), =HYPERLINK("CSG0.html#group18B0", "18B⁰"), =HYPERLINK("CSG0.html#group6I0", "6I⁰"), =HYPERLINK("CSG0.html#group4C0", "4C⁰"), =HYPERLINK("CSG0.html#group6C0", "6C⁰"), =HYPERLINK("CSG2.html#group18D2", "18D²"), =HYPERLINK("CSG4.html#group36F4", "36F⁴"), =HYPERLINK("CSG0.html#group2B0", "2B⁰"), =HYPERLINK("CSG0.html#group4E0", "4E⁰"), =HYPERLINK("CSG0.html#group9C0", "9C⁰"), =HYPERLINK("CSG5.html#group36A5", "36A⁵"), =HYPERLINK("CSG1.html#group12P1", "12P¹"), =HYPERLINK("CSG0.html#group1A0", "1A⁰"), =HYPERLINK("CSG0.html#group4B0", "4B⁰"), =HYPERLINK("CSG9.html#group36C9", "36C⁹"), =HYPERLINK("CSG3.html#group24U3", "24U³"), =HYPERLINK("CSG0.html#group24B0", "24B⁰"), =HYPERLINK("CSG2.html#group24F2", "24F²"), =HYPERLINK("CSG0.html#group6F0", "6F⁰"), =HYPERLINK("CSG0.html#group2C0", "2C⁰"), =HYPERLINK("CSG8.html#group72F8", "72F⁸"), =HYPERLINK("CSG0.html#group12E0", "12E⁰"), =HYPERLINK("CSG2.html#group18C2", "18C²")</f>
        <v/>
      </c>
      <c r="N5763" t="inlineStr"/>
    </row>
    <row r="5764">
      <c r="A5764" t="inlineStr">
        <is>
          <t>72B¹⁹</t>
        </is>
      </c>
      <c r="B5764" t="inlineStr"/>
      <c r="C5764" t="inlineStr">
        <is>
          <t>288</t>
        </is>
      </c>
      <c r="D5764" t="inlineStr">
        <is>
          <t>1</t>
        </is>
      </c>
      <c r="E5764" t="inlineStr">
        <is>
          <t>12</t>
        </is>
      </c>
      <c r="F5764" t="inlineStr">
        <is>
          <t>0</t>
        </is>
      </c>
      <c r="G5764" t="inlineStr">
        <is>
          <t>0</t>
        </is>
      </c>
      <c r="H5764" t="inlineStr">
        <is>
          <t>6⁴, 18⁴, 24², 72²</t>
        </is>
      </c>
      <c r="I5764" t="n">
        <v>12</v>
      </c>
      <c r="J5764" t="inlineStr">
        <is>
          <t>1⁶, 2³</t>
        </is>
      </c>
      <c r="K5764">
        <f>HYPERLINK("CSG3.html#group24U3", "24U³"), =HYPERLINK("CSG8.html#group72G8", "72G⁸"), =HYPERLINK("CSG9.html#group36D9", "36D⁹"), =HYPERLINK("CSG10.html#group72B10", "72B¹⁰")</f>
        <v/>
      </c>
      <c r="L5764" t="inlineStr"/>
      <c r="M5764">
        <f>HYPERLINK("CSG8.html#group72G8", "72G⁸"), =HYPERLINK("CSG0.html#group3B0", "3B⁰"), =HYPERLINK("CSG0.html#group2A0", "2A⁰"), =HYPERLINK("CSG0.html#group6I0", "6I⁰"), =HYPERLINK("CSG1.html#group12F1", "12F¹"), =HYPERLINK("CSG1.html#group18D1", "18D¹"), =HYPERLINK("CSG0.html#group6C0", "6C⁰"), =HYPERLINK("CSG2.html#group18E2", "18E²"), =HYPERLINK("CSG0.html#group4C0", "4C⁰"), =HYPERLINK("CSG4.html#group36G4", "36G⁴"), =HYPERLINK("CSG0.html#group2B0", "2B⁰"), =HYPERLINK("CSG0.html#group4E0", "4E⁰"), =HYPERLINK("CSG5.html#group36B5", "36B⁵"), =HYPERLINK("CSG10.html#group72B10", "72B¹⁰"), =HYPERLINK("CSG0.html#group4B0", "4B⁰"), =HYPERLINK("CSG1.html#group12P1", "12P¹"), =HYPERLINK("CSG0.html#group1A0", "1A⁰"), =HYPERLINK("CSG2.html#group18B2", "18B²"), =HYPERLINK("CSG3.html#group24U3", "24U³"), =HYPERLINK("CSG0.html#group24B0", "24B⁰"), =HYPERLINK("CSG1.html#group9A1", "9A¹"), =HYPERLINK("CSG4.html#group18D4", "18D⁴"), =HYPERLINK("CSG2.html#group24F2", "24F²"), =HYPERLINK("CSG0.html#group6F0", "6F⁰"), =HYPERLINK("CSG0.html#group2C0", "2C⁰"), =HYPERLINK("CSG0.html#group12E0", "12E⁰"), =HYPERLINK("CSG9.html#group36D9", "36D⁹")</f>
        <v/>
      </c>
      <c r="N5764" t="inlineStr"/>
    </row>
    <row r="5765">
      <c r="A5765" t="inlineStr">
        <is>
          <t>72C¹⁹</t>
        </is>
      </c>
      <c r="B5765" t="inlineStr"/>
      <c r="C5765" t="inlineStr">
        <is>
          <t>288</t>
        </is>
      </c>
      <c r="D5765" t="inlineStr">
        <is>
          <t>1</t>
        </is>
      </c>
      <c r="E5765" t="inlineStr">
        <is>
          <t>12</t>
        </is>
      </c>
      <c r="F5765" t="inlineStr">
        <is>
          <t>0</t>
        </is>
      </c>
      <c r="G5765" t="inlineStr">
        <is>
          <t>0</t>
        </is>
      </c>
      <c r="H5765" t="inlineStr">
        <is>
          <t>6⁴, 18⁴, 24², 72²</t>
        </is>
      </c>
      <c r="I5765" t="n">
        <v>12</v>
      </c>
      <c r="J5765" t="inlineStr">
        <is>
          <t>1⁶, 2³</t>
        </is>
      </c>
      <c r="K5765">
        <f>HYPERLINK("CSG3.html#group24V3", "24V³"), =HYPERLINK("CSG9.html#group36C9", "36C⁹"), =HYPERLINK("CSG9.html#group72D9", "72D⁹"), =HYPERLINK("CSG10.html#group72C10", "72C¹⁰")</f>
        <v/>
      </c>
      <c r="L5765" t="inlineStr"/>
      <c r="M5765">
        <f>HYPERLINK("CSG0.html#group3B0", "3B⁰"), =HYPERLINK("CSG0.html#group2A0", "2A⁰"), =HYPERLINK("CSG4.html#group18C4", "18C⁴"), =HYPERLINK("CSG3.html#group24V3", "24V³"), =HYPERLINK("CSG0.html#group8D0", "8D⁰"), =HYPERLINK("CSG1.html#group12F1", "12F¹"), =HYPERLINK("CSG0.html#group18B0", "18B⁰"), =HYPERLINK("CSG0.html#group6I0", "6I⁰"), =HYPERLINK("CSG0.html#group4C0", "4C⁰"), =HYPERLINK("CSG0.html#group6C0", "6C⁰"), =HYPERLINK("CSG0.html#group2C0", "2C⁰"), =HYPERLINK("CSG1.html#group24G1", "24G¹"), =HYPERLINK("CSG2.html#group18D2", "18D²"), =HYPERLINK("CSG4.html#group36F4", "36F⁴"), =HYPERLINK("CSG0.html#group2B0", "2B⁰"), =HYPERLINK("CSG0.html#group4E0", "4E⁰"), =HYPERLINK("CSG0.html#group8C0", "8C⁰"), =HYPERLINK("CSG0.html#group9C0", "9C⁰"), =HYPERLINK("CSG5.html#group36A5", "36A⁵"), =HYPERLINK("CSG1.html#group12P1", "12P¹"), =HYPERLINK("CSG0.html#group1A0", "1A⁰"), =HYPERLINK("CSG0.html#group4B0", "4B⁰"), =HYPERLINK("CSG9.html#group36C9", "36C⁹"), =HYPERLINK("CSG2.html#group24I2", "24I²"), =HYPERLINK("CSG10.html#group72C10", "72C¹⁰"), =HYPERLINK("CSG0.html#group8G0", "8G⁰"), =HYPERLINK("CSG0.html#group6F0", "6F⁰"), =HYPERLINK("CSG9.html#group72D9", "72D⁹"), =HYPERLINK("CSG0.html#group12E0", "12E⁰"), =HYPERLINK("CSG2.html#group18C2", "18C²")</f>
        <v/>
      </c>
      <c r="N5765" t="inlineStr"/>
    </row>
    <row r="5766">
      <c r="A5766" t="inlineStr">
        <is>
          <t>72D¹⁹</t>
        </is>
      </c>
      <c r="B5766" t="inlineStr"/>
      <c r="C5766" t="inlineStr">
        <is>
          <t>288</t>
        </is>
      </c>
      <c r="D5766" t="inlineStr">
        <is>
          <t>1</t>
        </is>
      </c>
      <c r="E5766" t="inlineStr">
        <is>
          <t>12</t>
        </is>
      </c>
      <c r="F5766" t="inlineStr">
        <is>
          <t>0</t>
        </is>
      </c>
      <c r="G5766" t="inlineStr">
        <is>
          <t>0</t>
        </is>
      </c>
      <c r="H5766" t="inlineStr">
        <is>
          <t>6⁴, 18⁴, 24², 72²</t>
        </is>
      </c>
      <c r="I5766" t="n">
        <v>12</v>
      </c>
      <c r="J5766" t="inlineStr">
        <is>
          <t>1⁶, 2³</t>
        </is>
      </c>
      <c r="K5766">
        <f>HYPERLINK("CSG3.html#group24V3", "24V³"), =HYPERLINK("CSG9.html#group36D9", "36D⁹"), =HYPERLINK("CSG9.html#group72E9", "72E⁹"), =HYPERLINK("CSG10.html#group72D10", "72D¹⁰")</f>
        <v/>
      </c>
      <c r="L5766" t="inlineStr"/>
      <c r="M5766">
        <f>HYPERLINK("CSG9.html#group72E9", "72E⁹"), =HYPERLINK("CSG0.html#group2A0", "2A⁰"), =HYPERLINK("CSG3.html#group24V3", "24V³"), =HYPERLINK("CSG1.html#group18D1", "18D¹"), =HYPERLINK("CSG1.html#group24G1", "24G¹"), =HYPERLINK("CSG0.html#group4C0", "4C⁰"), =HYPERLINK("CSG2.html#group18E2", "18E²"), =HYPERLINK("CSG0.html#group2B0", "2B⁰"), =HYPERLINK("CSG0.html#group8C0", "8C⁰"), =HYPERLINK("CSG0.html#group4E0", "4E⁰"), =HYPERLINK("CSG0.html#group4B0", "4B⁰"), =HYPERLINK("CSG0.html#group1A0", "1A⁰"), =HYPERLINK("CSG0.html#group8G0", "8G⁰"), =HYPERLINK("CSG0.html#group6F0", "6F⁰"), =HYPERLINK("CSG0.html#group3B0", "3B⁰"), =HYPERLINK("CSG0.html#group8D0", "8D⁰"), =HYPERLINK("CSG1.html#group12F1", "12F¹"), =HYPERLINK("CSG0.html#group6I0", "6I⁰"), =HYPERLINK("CSG0.html#group6C0", "6C⁰"), =HYPERLINK("CSG4.html#group36G4", "36G⁴"), =HYPERLINK("CSG5.html#group36B5", "36B⁵"), =HYPERLINK("CSG1.html#group12P1", "12P¹"), =HYPERLINK("CSG2.html#group18B2", "18B²"), =HYPERLINK("CSG2.html#group24I2", "24I²"), =HYPERLINK("CSG1.html#group9A1", "9A¹"), =HYPERLINK("CSG10.html#group72D10", "72D¹⁰"), =HYPERLINK("CSG4.html#group18D4", "18D⁴"), =HYPERLINK("CSG0.html#group2C0", "2C⁰"), =HYPERLINK("CSG0.html#group12E0", "12E⁰"), =HYPERLINK("CSG9.html#group36D9", "36D⁹")</f>
        <v/>
      </c>
      <c r="N5766" t="inlineStr"/>
    </row>
    <row r="5767">
      <c r="A5767" t="inlineStr">
        <is>
          <t>72E¹⁹</t>
        </is>
      </c>
      <c r="B5767" t="inlineStr"/>
      <c r="C5767" t="inlineStr">
        <is>
          <t>288</t>
        </is>
      </c>
      <c r="D5767" t="inlineStr">
        <is>
          <t>1</t>
        </is>
      </c>
      <c r="E5767" t="inlineStr">
        <is>
          <t>24</t>
        </is>
      </c>
      <c r="F5767" t="inlineStr">
        <is>
          <t>0</t>
        </is>
      </c>
      <c r="G5767" t="inlineStr">
        <is>
          <t>0</t>
        </is>
      </c>
      <c r="H5767" t="inlineStr">
        <is>
          <t>6⁴, 18⁴, 24², 72²</t>
        </is>
      </c>
      <c r="I5767" t="n">
        <v>12</v>
      </c>
      <c r="J5767" t="inlineStr">
        <is>
          <t>1⁸, 2⁶, 4¹</t>
        </is>
      </c>
      <c r="K5767">
        <f>HYPERLINK("CSG3.html#group24W3", "24W³"), =HYPERLINK("CSG8.html#group36J8", "36J⁸"), =HYPERLINK("CSG9.html#group72D9", "72D⁹"), =HYPERLINK("CSG10.html#group72A10", "72A¹⁰")</f>
        <v/>
      </c>
      <c r="L5767" t="inlineStr"/>
      <c r="M5767">
        <f>HYPERLINK("CSG0.html#group3B0", "3B⁰"), =HYPERLINK("CSG10.html#group72A10", "72A¹⁰"), =HYPERLINK("CSG1.html#group24G1", "24G¹"), =HYPERLINK("CSG0.html#group12J0", "12J⁰"), =HYPERLINK("CSG2.html#group18D2", "18D²"), =HYPERLINK("CSG4.html#group36F4", "36F⁴"), =HYPERLINK("CSG0.html#group2B0", "2B⁰"), =HYPERLINK("CSG0.html#group8C0", "8C⁰"), =HYPERLINK("CSG0.html#group9C0", "9C⁰"), =HYPERLINK("CSG0.html#group4B0", "4B⁰"), =HYPERLINK("CSG0.html#group1A0", "1A⁰"), =HYPERLINK("CSG3.html#group24W3", "24W³"), =HYPERLINK("CSG2.html#group24F2", "24F²"), =HYPERLINK("CSG0.html#group6F0", "6F⁰"), =HYPERLINK("CSG9.html#group72D9", "72D⁹"), =HYPERLINK("CSG0.html#group12E0", "12E⁰"), =HYPERLINK("CSG8.html#group36J8", "36J⁸")</f>
        <v/>
      </c>
      <c r="N5767" t="inlineStr"/>
    </row>
    <row r="5768">
      <c r="A5768" t="inlineStr">
        <is>
          <t>72F¹⁹</t>
        </is>
      </c>
      <c r="B5768" t="inlineStr"/>
      <c r="C5768" t="inlineStr">
        <is>
          <t>288</t>
        </is>
      </c>
      <c r="D5768" t="inlineStr">
        <is>
          <t>1</t>
        </is>
      </c>
      <c r="E5768" t="inlineStr">
        <is>
          <t>24</t>
        </is>
      </c>
      <c r="F5768" t="inlineStr">
        <is>
          <t>0</t>
        </is>
      </c>
      <c r="G5768" t="inlineStr">
        <is>
          <t>0</t>
        </is>
      </c>
      <c r="H5768" t="inlineStr">
        <is>
          <t>6⁴, 18⁴, 24², 72²</t>
        </is>
      </c>
      <c r="I5768" t="n">
        <v>12</v>
      </c>
      <c r="J5768" t="inlineStr">
        <is>
          <t>1⁸, 2⁶, 4¹</t>
        </is>
      </c>
      <c r="K5768">
        <f>HYPERLINK("CSG3.html#group24W3", "24W³"), =HYPERLINK("CSG8.html#group36K8", "36K⁸"), =HYPERLINK("CSG9.html#group72E9", "72E⁹"), =HYPERLINK("CSG10.html#group72B10", "72B¹⁰")</f>
        <v/>
      </c>
      <c r="L5768" t="inlineStr"/>
      <c r="M5768">
        <f>HYPERLINK("CSG9.html#group72E9", "72E⁹"), =HYPERLINK("CSG0.html#group3B0", "3B⁰"), =HYPERLINK("CSG1.html#group24G1", "24G¹"), =HYPERLINK("CSG2.html#group18E2", "18E²"), =HYPERLINK("CSG4.html#group36G4", "36G⁴"), =HYPERLINK("CSG0.html#group12J0", "12J⁰"), =HYPERLINK("CSG0.html#group2B0", "2B⁰"), =HYPERLINK("CSG0.html#group8C0", "8C⁰"), =HYPERLINK("CSG10.html#group72B10", "72B¹⁰"), =HYPERLINK("CSG0.html#group4B0", "4B⁰"), =HYPERLINK("CSG0.html#group1A0", "1A⁰"), =HYPERLINK("CSG8.html#group36K8", "36K⁸"), =HYPERLINK("CSG1.html#group9A1", "9A¹"), =HYPERLINK("CSG3.html#group24W3", "24W³"), =HYPERLINK("CSG2.html#group24F2", "24F²"), =HYPERLINK("CSG0.html#group6F0", "6F⁰"), =HYPERLINK("CSG0.html#group12E0", "12E⁰")</f>
        <v/>
      </c>
      <c r="N5768" t="inlineStr"/>
    </row>
    <row r="5769">
      <c r="A5769" t="inlineStr">
        <is>
          <t>72G¹⁹</t>
        </is>
      </c>
      <c r="B5769" t="inlineStr"/>
      <c r="C5769" t="inlineStr">
        <is>
          <t>288</t>
        </is>
      </c>
      <c r="D5769" t="inlineStr">
        <is>
          <t>1</t>
        </is>
      </c>
      <c r="E5769" t="inlineStr">
        <is>
          <t>48</t>
        </is>
      </c>
      <c r="F5769" t="inlineStr">
        <is>
          <t>0</t>
        </is>
      </c>
      <c r="G5769" t="inlineStr">
        <is>
          <t>0</t>
        </is>
      </c>
      <c r="H5769" t="inlineStr">
        <is>
          <t>3², 6¹, 9², 12¹, 18¹, 24², 36¹, 72²</t>
        </is>
      </c>
      <c r="I5769" t="n">
        <v>12</v>
      </c>
      <c r="J5769" t="inlineStr">
        <is>
          <t>1⁸, 2⁸, 4⁴, 8¹</t>
        </is>
      </c>
      <c r="K5769">
        <f>HYPERLINK("CSG3.html#group24X3", "24X³"), =HYPERLINK("CSG9.html#group72D9", "72D⁹")</f>
        <v/>
      </c>
      <c r="L5769" t="inlineStr"/>
      <c r="M5769">
        <f>HYPERLINK("CSG0.html#group3B0", "3B⁰"), =HYPERLINK("CSG3.html#group24X3", "24X³"), =HYPERLINK("CSG1.html#group24G1", "24G¹"), =HYPERLINK("CSG2.html#group18D2", "18D²"), =HYPERLINK("CSG4.html#group36F4", "36F⁴"), =HYPERLINK("CSG0.html#group2B0", "2B⁰"), =HYPERLINK("CSG0.html#group8C0", "8C⁰"), =HYPERLINK("CSG0.html#group1A0", "1A⁰"), =HYPERLINK("CSG0.html#group9C0", "9C⁰"), =HYPERLINK("CSG0.html#group4B0", "4B⁰"), =HYPERLINK("CSG0.html#group6F0", "6F⁰"), =HYPERLINK("CSG9.html#group72D9", "72D⁹"), =HYPERLINK("CSG0.html#group12E0", "12E⁰")</f>
        <v/>
      </c>
      <c r="N5769" t="inlineStr"/>
    </row>
    <row r="5770">
      <c r="A5770" t="inlineStr">
        <is>
          <t>72H¹⁹</t>
        </is>
      </c>
      <c r="B5770" t="inlineStr"/>
      <c r="C5770" t="inlineStr">
        <is>
          <t>288</t>
        </is>
      </c>
      <c r="D5770" t="inlineStr">
        <is>
          <t>1</t>
        </is>
      </c>
      <c r="E5770" t="inlineStr">
        <is>
          <t>48</t>
        </is>
      </c>
      <c r="F5770" t="inlineStr">
        <is>
          <t>0</t>
        </is>
      </c>
      <c r="G5770" t="inlineStr">
        <is>
          <t>0</t>
        </is>
      </c>
      <c r="H5770" t="inlineStr">
        <is>
          <t>3², 6¹, 9², 12¹, 18¹, 24², 36¹, 72²</t>
        </is>
      </c>
      <c r="I5770" t="n">
        <v>12</v>
      </c>
      <c r="J5770" t="inlineStr">
        <is>
          <t>1⁸, 2⁸, 4⁴, 8¹</t>
        </is>
      </c>
      <c r="K5770">
        <f>HYPERLINK("CSG3.html#group24X3", "24X³"), =HYPERLINK("CSG9.html#group72E9", "72E⁹")</f>
        <v/>
      </c>
      <c r="L5770" t="inlineStr"/>
      <c r="M5770">
        <f>HYPERLINK("CSG9.html#group72E9", "72E⁹"), =HYPERLINK("CSG0.html#group3B0", "3B⁰"), =HYPERLINK("CSG3.html#group24X3", "24X³"), =HYPERLINK("CSG1.html#group24G1", "24G¹"), =HYPERLINK("CSG1.html#group9A1", "9A¹"), =HYPERLINK("CSG2.html#group18E2", "18E²"), =HYPERLINK("CSG4.html#group36G4", "36G⁴"), =HYPERLINK("CSG0.html#group1A0", "1A⁰"), =HYPERLINK("CSG0.html#group2B0", "2B⁰"), =HYPERLINK("CSG0.html#group8C0", "8C⁰"), =HYPERLINK("CSG0.html#group4B0", "4B⁰"), =HYPERLINK("CSG0.html#group6F0", "6F⁰"), =HYPERLINK("CSG0.html#group12E0", "12E⁰")</f>
        <v/>
      </c>
      <c r="N5770" t="inlineStr"/>
    </row>
    <row r="5771">
      <c r="A5771" t="inlineStr">
        <is>
          <t>72I¹⁹</t>
        </is>
      </c>
      <c r="B5771" t="inlineStr"/>
      <c r="C5771" t="inlineStr">
        <is>
          <t>288</t>
        </is>
      </c>
      <c r="D5771" t="inlineStr">
        <is>
          <t>1</t>
        </is>
      </c>
      <c r="E5771" t="inlineStr">
        <is>
          <t>48</t>
        </is>
      </c>
      <c r="F5771" t="inlineStr">
        <is>
          <t>0</t>
        </is>
      </c>
      <c r="G5771" t="inlineStr">
        <is>
          <t>0</t>
        </is>
      </c>
      <c r="H5771" t="inlineStr">
        <is>
          <t>3², 6¹, 9², 12¹, 18¹, 24², 36¹, 72²</t>
        </is>
      </c>
      <c r="I5771" t="n">
        <v>12</v>
      </c>
      <c r="J5771" t="inlineStr">
        <is>
          <t>1⁸, 2⁸, 4⁴, 8¹</t>
        </is>
      </c>
      <c r="K5771">
        <f>HYPERLINK("CSG3.html#group24Y3", "24Y³"), =HYPERLINK("CSG9.html#group72D9", "72D⁹")</f>
        <v/>
      </c>
      <c r="L5771" t="inlineStr"/>
      <c r="M5771">
        <f>HYPERLINK("CSG0.html#group3B0", "3B⁰"), =HYPERLINK("CSG1.html#group24G1", "24G¹"), =HYPERLINK("CSG2.html#group18D2", "18D²"), =HYPERLINK("CSG4.html#group36F4", "36F⁴"), =HYPERLINK("CSG0.html#group2B0", "2B⁰"), =HYPERLINK("CSG0.html#group8C0", "8C⁰"), =HYPERLINK("CSG3.html#group24Y3", "24Y³"), =HYPERLINK("CSG0.html#group9C0", "9C⁰"), =HYPERLINK("CSG0.html#group4B0", "4B⁰"), =HYPERLINK("CSG0.html#group1A0", "1A⁰"), =HYPERLINK("CSG0.html#group6F0", "6F⁰"), =HYPERLINK("CSG9.html#group72D9", "72D⁹"), =HYPERLINK("CSG0.html#group8I0", "8I⁰"), =HYPERLINK("CSG0.html#group12E0", "12E⁰")</f>
        <v/>
      </c>
      <c r="N5771" t="inlineStr"/>
    </row>
    <row r="5772">
      <c r="A5772" t="inlineStr">
        <is>
          <t>72J¹⁹</t>
        </is>
      </c>
      <c r="B5772" t="inlineStr"/>
      <c r="C5772" t="inlineStr">
        <is>
          <t>288</t>
        </is>
      </c>
      <c r="D5772" t="inlineStr">
        <is>
          <t>1</t>
        </is>
      </c>
      <c r="E5772" t="inlineStr">
        <is>
          <t>48</t>
        </is>
      </c>
      <c r="F5772" t="inlineStr">
        <is>
          <t>0</t>
        </is>
      </c>
      <c r="G5772" t="inlineStr">
        <is>
          <t>0</t>
        </is>
      </c>
      <c r="H5772" t="inlineStr">
        <is>
          <t>3², 6¹, 9², 12¹, 18¹, 24², 36¹, 72²</t>
        </is>
      </c>
      <c r="I5772" t="n">
        <v>12</v>
      </c>
      <c r="J5772" t="inlineStr">
        <is>
          <t>1⁸, 2⁸, 4⁴, 8¹</t>
        </is>
      </c>
      <c r="K5772">
        <f>HYPERLINK("CSG3.html#group24Y3", "24Y³"), =HYPERLINK("CSG9.html#group72E9", "72E⁹")</f>
        <v/>
      </c>
      <c r="L5772" t="inlineStr"/>
      <c r="M5772">
        <f>HYPERLINK("CSG9.html#group72E9", "72E⁹"), =HYPERLINK("CSG0.html#group3B0", "3B⁰"), =HYPERLINK("CSG1.html#group24G1", "24G¹"), =HYPERLINK("CSG1.html#group9A1", "9A¹"), =HYPERLINK("CSG2.html#group18E2", "18E²"), =HYPERLINK("CSG4.html#group36G4", "36G⁴"), =HYPERLINK("CSG0.html#group1A0", "1A⁰"), =HYPERLINK("CSG0.html#group2B0", "2B⁰"), =HYPERLINK("CSG0.html#group8C0", "8C⁰"), =HYPERLINK("CSG3.html#group24Y3", "24Y³"), =HYPERLINK("CSG0.html#group8I0", "8I⁰"), =HYPERLINK("CSG0.html#group4B0", "4B⁰"), =HYPERLINK("CSG0.html#group6F0", "6F⁰"), =HYPERLINK("CSG0.html#group12E0", "12E⁰")</f>
        <v/>
      </c>
      <c r="N5772" t="inlineStr"/>
    </row>
    <row r="5773">
      <c r="A5773" t="inlineStr">
        <is>
          <t>72K¹⁹</t>
        </is>
      </c>
      <c r="B5773" t="inlineStr"/>
      <c r="C5773" t="inlineStr">
        <is>
          <t>288</t>
        </is>
      </c>
      <c r="D5773" t="inlineStr">
        <is>
          <t>1</t>
        </is>
      </c>
      <c r="E5773" t="inlineStr">
        <is>
          <t>48</t>
        </is>
      </c>
      <c r="F5773" t="inlineStr">
        <is>
          <t>0</t>
        </is>
      </c>
      <c r="G5773" t="inlineStr">
        <is>
          <t>0</t>
        </is>
      </c>
      <c r="H5773" t="inlineStr">
        <is>
          <t>6², 12³, 18², 24¹, 36³, 72¹</t>
        </is>
      </c>
      <c r="I5773" t="n">
        <v>12</v>
      </c>
      <c r="J5773" t="inlineStr">
        <is>
          <t>1¹⁶, 2¹², 4²</t>
        </is>
      </c>
      <c r="K5773">
        <f>HYPERLINK("CSG3.html#group24Z3", "24Z³"), =HYPERLINK("CSG9.html#group36C9", "36C⁹")</f>
        <v/>
      </c>
      <c r="L5773" t="inlineStr"/>
      <c r="M5773">
        <f>HYPERLINK("CSG0.html#group3B0", "3B⁰"), =HYPERLINK("CSG0.html#group2A0", "2A⁰"), =HYPERLINK("CSG4.html#group18C4", "18C⁴"), =HYPERLINK("CSG3.html#group24Z3", "24Z³"), =HYPERLINK("CSG1.html#group12F1", "12F¹"), =HYPERLINK("CSG0.html#group18B0", "18B⁰"), =HYPERLINK("CSG0.html#group6I0", "6I⁰"), =HYPERLINK("CSG0.html#group4C0", "4C⁰"), =HYPERLINK("CSG0.html#group6C0", "6C⁰"), =HYPERLINK("CSG2.html#group18D2", "18D²"), =HYPERLINK("CSG4.html#group36F4", "36F⁴"), =HYPERLINK("CSG0.html#group2B0", "2B⁰"), =HYPERLINK("CSG0.html#group4E0", "4E⁰"), =HYPERLINK("CSG0.html#group9C0", "9C⁰"), =HYPERLINK("CSG5.html#group36A5", "36A⁵"), =HYPERLINK("CSG1.html#group12P1", "12P¹"), =HYPERLINK("CSG0.html#group1A0", "1A⁰"), =HYPERLINK("CSG0.html#group4B0", "4B⁰"), =HYPERLINK("CSG9.html#group36C9", "36C⁹"), =HYPERLINK("CSG0.html#group6F0", "6F⁰"), =HYPERLINK("CSG0.html#group2C0", "2C⁰"), =HYPERLINK("CSG0.html#group12E0", "12E⁰"), =HYPERLINK("CSG2.html#group18C2", "18C²")</f>
        <v/>
      </c>
      <c r="N5773" t="inlineStr"/>
    </row>
    <row r="5774">
      <c r="A5774" t="inlineStr">
        <is>
          <t>72L¹⁹</t>
        </is>
      </c>
      <c r="B5774" t="inlineStr"/>
      <c r="C5774" t="inlineStr">
        <is>
          <t>288</t>
        </is>
      </c>
      <c r="D5774" t="inlineStr">
        <is>
          <t>1</t>
        </is>
      </c>
      <c r="E5774" t="inlineStr">
        <is>
          <t>48</t>
        </is>
      </c>
      <c r="F5774" t="inlineStr">
        <is>
          <t>0</t>
        </is>
      </c>
      <c r="G5774" t="inlineStr">
        <is>
          <t>0</t>
        </is>
      </c>
      <c r="H5774" t="inlineStr">
        <is>
          <t>6², 12³, 18², 24¹, 36³, 72¹</t>
        </is>
      </c>
      <c r="I5774" t="n">
        <v>12</v>
      </c>
      <c r="J5774" t="inlineStr">
        <is>
          <t>1¹⁶, 2¹², 4²</t>
        </is>
      </c>
      <c r="K5774">
        <f>HYPERLINK("CSG3.html#group24Z3", "24Z³"), =HYPERLINK("CSG9.html#group36D9", "36D⁹")</f>
        <v/>
      </c>
      <c r="L5774" t="inlineStr"/>
      <c r="M5774">
        <f>HYPERLINK("CSG0.html#group3B0", "3B⁰"), =HYPERLINK("CSG0.html#group2A0", "2A⁰"), =HYPERLINK("CSG3.html#group24Z3", "24Z³"), =HYPERLINK("CSG1.html#group12F1", "12F¹"), =HYPERLINK("CSG0.html#group6I0", "6I⁰"), =HYPERLINK("CSG1.html#group18D1", "18D¹"), =HYPERLINK("CSG0.html#group4C0", "4C⁰"), =HYPERLINK("CSG2.html#group18E2", "18E²"), =HYPERLINK("CSG0.html#group6C0", "6C⁰"), =HYPERLINK("CSG4.html#group36G4", "36G⁴"), =HYPERLINK("CSG5.html#group36B5", "36B⁵"), =HYPERLINK("CSG0.html#group2B0", "2B⁰"), =HYPERLINK("CSG0.html#group4E0", "4E⁰"), =HYPERLINK("CSG1.html#group12P1", "12P¹"), =HYPERLINK("CSG0.html#group4B0", "4B⁰"), =HYPERLINK("CSG0.html#group1A0", "1A⁰"), =HYPERLINK("CSG2.html#group18B2", "18B²"), =HYPERLINK("CSG1.html#group9A1", "9A¹"), =HYPERLINK("CSG4.html#group18D4", "18D⁴"), =HYPERLINK("CSG0.html#group6F0", "6F⁰"), =HYPERLINK("CSG0.html#group2C0", "2C⁰"), =HYPERLINK("CSG0.html#group12E0", "12E⁰"), =HYPERLINK("CSG9.html#group36D9", "36D⁹")</f>
        <v/>
      </c>
      <c r="N5774" t="inlineStr"/>
    </row>
    <row r="5775">
      <c r="A5775" t="inlineStr">
        <is>
          <t>72M¹⁹</t>
        </is>
      </c>
      <c r="B5775" t="inlineStr"/>
      <c r="C5775" t="inlineStr">
        <is>
          <t>288</t>
        </is>
      </c>
      <c r="D5775" t="inlineStr">
        <is>
          <t>1</t>
        </is>
      </c>
      <c r="E5775" t="inlineStr">
        <is>
          <t>48</t>
        </is>
      </c>
      <c r="F5775" t="inlineStr">
        <is>
          <t>0</t>
        </is>
      </c>
      <c r="G5775" t="inlineStr">
        <is>
          <t>0</t>
        </is>
      </c>
      <c r="H5775" t="inlineStr">
        <is>
          <t>6², 12³, 18², 24¹, 36³, 72¹</t>
        </is>
      </c>
      <c r="I5775" t="n">
        <v>12</v>
      </c>
      <c r="J5775" t="inlineStr">
        <is>
          <t>1¹⁶, 2¹², 4²</t>
        </is>
      </c>
      <c r="K5775">
        <f>HYPERLINK("CSG3.html#group24AA3", "24AA³"), =HYPERLINK("CSG9.html#group36C9", "36C⁹")</f>
        <v/>
      </c>
      <c r="L5775" t="inlineStr"/>
      <c r="M5775">
        <f>HYPERLINK("CSG0.html#group2A0", "2A⁰"), =HYPERLINK("CSG0.html#group3B0", "3B⁰"), =HYPERLINK("CSG4.html#group18C4", "18C⁴"), =HYPERLINK("CSG3.html#group24AA3", "24AA³"), =HYPERLINK("CSG0.html#group6I0", "6I⁰"), =HYPERLINK("CSG1.html#group12F1", "12F¹"), =HYPERLINK("CSG0.html#group18B0", "18B⁰"), =HYPERLINK("CSG0.html#group4C0", "4C⁰"), =HYPERLINK("CSG0.html#group6C0", "6C⁰"), =HYPERLINK("CSG2.html#group18D2", "18D²"), =HYPERLINK("CSG4.html#group36F4", "36F⁴"), =HYPERLINK("CSG0.html#group2B0", "2B⁰"), =HYPERLINK("CSG0.html#group4E0", "4E⁰"), =HYPERLINK("CSG1.html#group12P1", "12P¹"), =HYPERLINK("CSG0.html#group4B0", "4B⁰"), =HYPERLINK("CSG0.html#group9C0", "9C⁰"), =HYPERLINK("CSG0.html#group1A0", "1A⁰"), =HYPERLINK("CSG5.html#group36A5", "36A⁵"), =HYPERLINK("CSG9.html#group36C9", "36C⁹"), =HYPERLINK("CSG0.html#group6F0", "6F⁰"), =HYPERLINK("CSG0.html#group2C0", "2C⁰"), =HYPERLINK("CSG0.html#group12E0", "12E⁰"), =HYPERLINK("CSG0.html#group8J0", "8J⁰"), =HYPERLINK("CSG2.html#group18C2", "18C²")</f>
        <v/>
      </c>
      <c r="N5775" t="inlineStr"/>
    </row>
    <row r="5776">
      <c r="A5776" t="inlineStr">
        <is>
          <t>72N¹⁹</t>
        </is>
      </c>
      <c r="B5776" t="inlineStr"/>
      <c r="C5776" t="inlineStr">
        <is>
          <t>288</t>
        </is>
      </c>
      <c r="D5776" t="inlineStr">
        <is>
          <t>1</t>
        </is>
      </c>
      <c r="E5776" t="inlineStr">
        <is>
          <t>48</t>
        </is>
      </c>
      <c r="F5776" t="inlineStr">
        <is>
          <t>0</t>
        </is>
      </c>
      <c r="G5776" t="inlineStr">
        <is>
          <t>0</t>
        </is>
      </c>
      <c r="H5776" t="inlineStr">
        <is>
          <t>6², 12³, 18², 24¹, 36³, 72¹</t>
        </is>
      </c>
      <c r="I5776" t="n">
        <v>12</v>
      </c>
      <c r="J5776" t="inlineStr">
        <is>
          <t>1¹⁶, 2¹², 4²</t>
        </is>
      </c>
      <c r="K5776">
        <f>HYPERLINK("CSG3.html#group24AA3", "24AA³"), =HYPERLINK("CSG9.html#group36D9", "36D⁹")</f>
        <v/>
      </c>
      <c r="L5776" t="inlineStr"/>
      <c r="M5776">
        <f>HYPERLINK("CSG0.html#group2A0", "2A⁰"), =HYPERLINK("CSG0.html#group3B0", "3B⁰"), =HYPERLINK("CSG3.html#group24AA3", "24AA³"), =HYPERLINK("CSG0.html#group6I0", "6I⁰"), =HYPERLINK("CSG1.html#group12F1", "12F¹"), =HYPERLINK("CSG1.html#group18D1", "18D¹"), =HYPERLINK("CSG0.html#group4C0", "4C⁰"), =HYPERLINK("CSG0.html#group6C0", "6C⁰"), =HYPERLINK("CSG2.html#group18E2", "18E²"), =HYPERLINK("CSG4.html#group36G4", "36G⁴"), =HYPERLINK("CSG0.html#group2B0", "2B⁰"), =HYPERLINK("CSG0.html#group4E0", "4E⁰"), =HYPERLINK("CSG5.html#group36B5", "36B⁵"), =HYPERLINK("CSG1.html#group12P1", "12P¹"), =HYPERLINK("CSG0.html#group4B0", "4B⁰"), =HYPERLINK("CSG0.html#group1A0", "1A⁰"), =HYPERLINK("CSG2.html#group18B2", "18B²"), =HYPERLINK("CSG1.html#group9A1", "9A¹"), =HYPERLINK("CSG4.html#group18D4", "18D⁴"), =HYPERLINK("CSG0.html#group6F0", "6F⁰"), =HYPERLINK("CSG0.html#group2C0", "2C⁰"), =HYPERLINK("CSG0.html#group12E0", "12E⁰"), =HYPERLINK("CSG0.html#group8J0", "8J⁰"), =HYPERLINK("CSG9.html#group36D9", "36D⁹")</f>
        <v/>
      </c>
      <c r="N5776" t="inlineStr"/>
    </row>
    <row r="5777">
      <c r="A5777" t="inlineStr">
        <is>
          <t>72O¹⁹</t>
        </is>
      </c>
      <c r="B5777" t="inlineStr"/>
      <c r="C5777" t="inlineStr">
        <is>
          <t>288</t>
        </is>
      </c>
      <c r="D5777" t="inlineStr">
        <is>
          <t>1</t>
        </is>
      </c>
      <c r="E5777" t="inlineStr">
        <is>
          <t>48</t>
        </is>
      </c>
      <c r="F5777" t="inlineStr">
        <is>
          <t>0</t>
        </is>
      </c>
      <c r="G5777" t="inlineStr">
        <is>
          <t>0</t>
        </is>
      </c>
      <c r="H5777" t="inlineStr">
        <is>
          <t>8⁹, 72³</t>
        </is>
      </c>
      <c r="I5777" t="n">
        <v>12</v>
      </c>
      <c r="J5777" t="inlineStr">
        <is>
          <t>2⁴, 4⁶, 8²</t>
        </is>
      </c>
      <c r="K5777">
        <f>HYPERLINK("CSG6.html#group24B6", "24B⁶"), =HYPERLINK("CSG7.html#group36I7", "36I⁷"), =HYPERLINK("CSG7.html#group72A7", "72A⁷")</f>
        <v/>
      </c>
      <c r="L5777" t="inlineStr"/>
      <c r="M5777">
        <f>HYPERLINK("CSG0.html#group3B0", "3B⁰"), =HYPERLINK("CSG2.html#group24A2", "24A²"), =HYPERLINK("CSG1.html#group12F1", "12F¹"), =HYPERLINK("CSG0.html#group4C0", "4C⁰"), =HYPERLINK("CSG0.html#group8A0", "8A⁰"), =HYPERLINK("CSG0.html#group9B0", "9B⁰"), =HYPERLINK("CSG0.html#group2B0", "2B⁰"), =HYPERLINK("CSG0.html#group1A0", "1A⁰"), =HYPERLINK("CSG1.html#group8D1", "8D¹"), =HYPERLINK("CSG7.html#group36I7", "36I⁷"), =HYPERLINK("CSG7.html#group72A7", "72A⁷"), =HYPERLINK("CSG0.html#group18E0", "18E⁰"), =HYPERLINK("CSG0.html#group4A0", "4A⁰"), =HYPERLINK("CSG1.html#group12A1", "12A¹"), =HYPERLINK("CSG2.html#group12G2", "12G²"), =HYPERLINK("CSG6.html#group24B6", "24B⁶"), =HYPERLINK("CSG0.html#group4F0", "4F⁰"), =HYPERLINK("CSG3.html#group36B3", "36B³"), =HYPERLINK("CSG0.html#group6F0", "6F⁰"), =HYPERLINK("CSG3.html#group36G3", "36G³")</f>
        <v/>
      </c>
      <c r="N5777" t="inlineStr"/>
    </row>
    <row r="5778">
      <c r="A5778" t="inlineStr">
        <is>
          <t>72P¹⁹</t>
        </is>
      </c>
      <c r="B5778" t="inlineStr"/>
      <c r="C5778" t="inlineStr">
        <is>
          <t>288</t>
        </is>
      </c>
      <c r="D5778" t="inlineStr">
        <is>
          <t>1</t>
        </is>
      </c>
      <c r="E5778" t="inlineStr">
        <is>
          <t>144</t>
        </is>
      </c>
      <c r="F5778" t="inlineStr">
        <is>
          <t>16</t>
        </is>
      </c>
      <c r="G5778" t="inlineStr">
        <is>
          <t>0</t>
        </is>
      </c>
      <c r="H5778" t="inlineStr">
        <is>
          <t>72⁴</t>
        </is>
      </c>
      <c r="I5778" t="n">
        <v>4</v>
      </c>
      <c r="J5778" t="inlineStr">
        <is>
          <t>4⁴, 8⁴, 24⁴</t>
        </is>
      </c>
      <c r="K5778">
        <f>HYPERLINK("CSG3.html#group24AB3", "24AB³"), =HYPERLINK("CSG4.html#group36L4", "36L⁴"), =HYPERLINK("CSG7.html#group72E7", "72E⁷")</f>
        <v/>
      </c>
      <c r="L5778" t="inlineStr"/>
      <c r="M5778">
        <f>HYPERLINK("CSG1.html#group24F1", "24F¹"), =HYPERLINK("CSG1.html#group36A1", "36A¹"), =HYPERLINK("CSG0.html#group12A0", "12A⁰"), =HYPERLINK("CSG0.html#group8F0", "8F⁰"), =HYPERLINK("CSG0.html#group6B0", "6B⁰"), =HYPERLINK("CSG0.html#group4A0", "4A⁰"), =HYPERLINK("CSG0.html#group9A0", "9A⁰"), =HYPERLINK("CSG0.html#group12F0", "12F⁰"), =HYPERLINK("CSG4.html#group36L4", "36L⁴"), =HYPERLINK("CSG3.html#group24AB3", "24AB³"), =HYPERLINK("CSG0.html#group3A0", "3A⁰"), =HYPERLINK("CSG0.html#group1A0", "1A⁰"), =HYPERLINK("CSG1.html#group18A1", "18A¹"), =HYPERLINK("CSG7.html#group72E7", "72E⁷")</f>
        <v/>
      </c>
      <c r="N5778" t="inlineStr"/>
    </row>
    <row r="5779">
      <c r="A5779" t="inlineStr">
        <is>
          <t>72Q¹⁹</t>
        </is>
      </c>
      <c r="B5779" t="inlineStr"/>
      <c r="C5779" t="inlineStr">
        <is>
          <t>288</t>
        </is>
      </c>
      <c r="D5779" t="inlineStr">
        <is>
          <t>1</t>
        </is>
      </c>
      <c r="E5779" t="inlineStr">
        <is>
          <t>288</t>
        </is>
      </c>
      <c r="F5779" t="inlineStr">
        <is>
          <t>8</t>
        </is>
      </c>
      <c r="G5779" t="inlineStr">
        <is>
          <t>0</t>
        </is>
      </c>
      <c r="H5779" t="inlineStr">
        <is>
          <t>24⁶, 72²</t>
        </is>
      </c>
      <c r="I5779" t="n">
        <v>8</v>
      </c>
      <c r="J5779" t="inlineStr">
        <is>
          <t>4⁴, 8⁴, 12⁴, 24⁸</t>
        </is>
      </c>
      <c r="K5779">
        <f>HYPERLINK("CSG4.html#group36M4", "36M⁴"), =HYPERLINK("CSG5.html#group24O5", "24O⁵")</f>
        <v/>
      </c>
      <c r="L5779" t="inlineStr"/>
      <c r="M5779">
        <f>HYPERLINK("CSG1.html#group12G1", "12G¹"), =HYPERLINK("CSG1.html#group24F1", "24F¹"), =HYPERLINK("CSG0.html#group12A0", "12A⁰"), =HYPERLINK("CSG0.html#group8F0", "8F⁰"), =HYPERLINK("CSG0.html#group4A0", "4A⁰"), =HYPERLINK("CSG5.html#group24O5", "24O⁵"), =HYPERLINK("CSG4.html#group36M4", "36M⁴"), =HYPERLINK("CSG0.html#group3C0", "3C⁰"), =HYPERLINK("CSG0.html#group9E0", "9E⁰"), =HYPERLINK("CSG0.html#group3A0", "3A⁰"), =HYPERLINK("CSG0.html#group1A0", "1A⁰")</f>
        <v/>
      </c>
      <c r="N5779" t="inlineStr"/>
    </row>
    <row r="5780">
      <c r="A5780" t="inlineStr">
        <is>
          <t>72R¹⁹</t>
        </is>
      </c>
      <c r="B5780" t="inlineStr"/>
      <c r="C5780" t="inlineStr">
        <is>
          <t>288</t>
        </is>
      </c>
      <c r="D5780" t="inlineStr">
        <is>
          <t>1</t>
        </is>
      </c>
      <c r="E5780" t="inlineStr">
        <is>
          <t>288</t>
        </is>
      </c>
      <c r="F5780" t="inlineStr">
        <is>
          <t>16</t>
        </is>
      </c>
      <c r="G5780" t="inlineStr">
        <is>
          <t>0</t>
        </is>
      </c>
      <c r="H5780" t="inlineStr">
        <is>
          <t>72⁴</t>
        </is>
      </c>
      <c r="I5780" t="n">
        <v>4</v>
      </c>
      <c r="J5780" t="inlineStr">
        <is>
          <t>8¹², 24⁸</t>
        </is>
      </c>
      <c r="K5780">
        <f>HYPERLINK("CSG3.html#group24AB3", "24AB³"), =HYPERLINK("CSG4.html#group36N4", "36N⁴")</f>
        <v/>
      </c>
      <c r="L5780" t="inlineStr"/>
      <c r="M5780">
        <f>HYPERLINK("CSG1.html#group24F1", "24F¹"), =HYPERLINK("CSG4.html#group36N4", "36N⁴"), =HYPERLINK("CSG0.html#group12A0", "12A⁰"), =HYPERLINK("CSG0.html#group6B0", "6B⁰"), =HYPERLINK("CSG0.html#group8F0", "8F⁰"), =HYPERLINK("CSG0.html#group4A0", "4A⁰"), =HYPERLINK("CSG0.html#group12F0", "12F⁰"), =HYPERLINK("CSG1.html#group18B1", "18B¹"), =HYPERLINK("CSG3.html#group24AB3", "24AB³"), =HYPERLINK("CSG0.html#group3A0", "3A⁰"), =HYPERLINK("CSG0.html#group1A0", "1A⁰")</f>
        <v/>
      </c>
      <c r="N5780" t="inlineStr"/>
    </row>
    <row r="5781">
      <c r="A5781" t="inlineStr">
        <is>
          <t>72S¹⁹</t>
        </is>
      </c>
      <c r="B5781" t="inlineStr"/>
      <c r="C5781" t="inlineStr">
        <is>
          <t>288</t>
        </is>
      </c>
      <c r="D5781" t="inlineStr">
        <is>
          <t>2</t>
        </is>
      </c>
      <c r="E5781" t="inlineStr">
        <is>
          <t>72</t>
        </is>
      </c>
      <c r="F5781" t="inlineStr">
        <is>
          <t>8</t>
        </is>
      </c>
      <c r="G5781" t="inlineStr">
        <is>
          <t>0</t>
        </is>
      </c>
      <c r="H5781" t="inlineStr">
        <is>
          <t>24⁶, 72²</t>
        </is>
      </c>
      <c r="I5781" t="n">
        <v>8</v>
      </c>
      <c r="J5781" t="inlineStr">
        <is>
          <t>4², 8², 12², 24⁴</t>
        </is>
      </c>
      <c r="K5781">
        <f>HYPERLINK("CSG5.html#group24L5", "24L⁵"), =HYPERLINK("CSG7.html#group36J7", "36J⁷")</f>
        <v/>
      </c>
      <c r="L5781" t="inlineStr"/>
      <c r="M5781">
        <f>HYPERLINK("CSG1.html#group12G1", "12G¹"), =HYPERLINK("CSG0.html#group12A0", "12A⁰"), =HYPERLINK("CSG7.html#group36J7", "36J⁷"), =HYPERLINK("CSG0.html#group6B0", "6B⁰"), =HYPERLINK("CSG0.html#group6E0", "6E⁰"), =HYPERLINK("CSG0.html#group4A0", "4A⁰"), =HYPERLINK("CSG0.html#group12F0", "12F⁰"), =HYPERLINK("CSG4.html#group36M4", "36M⁴"), =HYPERLINK("CSG1.html#group12Q1", "12Q¹"), =HYPERLINK("CSG0.html#group3C0", "3C⁰"), =HYPERLINK("CSG1.html#group18F1", "18F¹"), =HYPERLINK("CSG0.html#group9E0", "9E⁰"), =HYPERLINK("CSG0.html#group3A0", "3A⁰"), =HYPERLINK("CSG0.html#group1A0", "1A⁰"), =HYPERLINK("CSG5.html#group24L5", "24L⁵")</f>
        <v/>
      </c>
      <c r="N5781" t="inlineStr"/>
    </row>
    <row r="5782">
      <c r="A5782" t="inlineStr">
        <is>
          <t>72T¹⁹</t>
        </is>
      </c>
      <c r="B5782" t="inlineStr"/>
      <c r="C5782" t="inlineStr">
        <is>
          <t>288</t>
        </is>
      </c>
      <c r="D5782" t="inlineStr">
        <is>
          <t>2</t>
        </is>
      </c>
      <c r="E5782" t="inlineStr">
        <is>
          <t>72</t>
        </is>
      </c>
      <c r="F5782" t="inlineStr">
        <is>
          <t>8</t>
        </is>
      </c>
      <c r="G5782" t="inlineStr">
        <is>
          <t>0</t>
        </is>
      </c>
      <c r="H5782" t="inlineStr">
        <is>
          <t>24⁶, 72²</t>
        </is>
      </c>
      <c r="I5782" t="n">
        <v>8</v>
      </c>
      <c r="J5782" t="inlineStr">
        <is>
          <t>4², 8², 12², 24⁴</t>
        </is>
      </c>
      <c r="K5782">
        <f>HYPERLINK("CSG5.html#group24P5", "24P⁵"), =HYPERLINK("CSG7.html#group36J7", "36J⁷"), =HYPERLINK("CSG10.html#group72K10", "72K¹⁰"), =HYPERLINK("CSG10.html#group72J10", "72J¹⁰")</f>
        <v/>
      </c>
      <c r="L5782" t="inlineStr"/>
      <c r="M5782">
        <f>HYPERLINK("CSG1.html#group12G1", "12G¹"), =HYPERLINK("CSG0.html#group6B0", "6B⁰"), =HYPERLINK("CSG7.html#group36J7", "36J⁷"), =HYPERLINK("CSG3.html#group24D3", "24D³"), =HYPERLINK("CSG0.html#group8A0", "8A⁰"), =HYPERLINK("CSG0.html#group12F0", "12F⁰"), =HYPERLINK("CSG1.html#group24B1", "24B¹"), =HYPERLINK("CSG0.html#group9E0", "9E⁰"), =HYPERLINK("CSG0.html#group1A0", "1A⁰"), =HYPERLINK("CSG10.html#group72J10", "72J¹⁰"), =HYPERLINK("CSG3.html#group24E3", "24E³"), =HYPERLINK("CSG0.html#group12A0", "12A⁰"), =HYPERLINK("CSG10.html#group72K10", "72K¹⁰"), =HYPERLINK("CSG1.html#group24A1", "24A¹"), =HYPERLINK("CSG2.html#group24K2", "24K²"), =HYPERLINK("CSG0.html#group6E0", "6E⁰"), =HYPERLINK("CSG0.html#group4A0", "4A⁰"), =HYPERLINK("CSG4.html#group36M4", "36M⁴"), =HYPERLINK("CSG0.html#group3C0", "3C⁰"), =HYPERLINK("CSG1.html#group12Q1", "12Q¹"), =HYPERLINK("CSG1.html#group18F1", "18F¹"), =HYPERLINK("CSG0.html#group3A0", "3A⁰"), =HYPERLINK("CSG2.html#group24G2", "24G²"), =HYPERLINK("CSG2.html#group24H2", "24H²"), =HYPERLINK("CSG5.html#group24P5", "24P⁵")</f>
        <v/>
      </c>
      <c r="N5782" t="inlineStr"/>
    </row>
    <row r="5783">
      <c r="A5783" t="inlineStr">
        <is>
          <t>72U¹⁹</t>
        </is>
      </c>
      <c r="B5783" t="inlineStr"/>
      <c r="C5783" t="inlineStr">
        <is>
          <t>288</t>
        </is>
      </c>
      <c r="D5783" t="inlineStr">
        <is>
          <t>2</t>
        </is>
      </c>
      <c r="E5783" t="inlineStr">
        <is>
          <t>144</t>
        </is>
      </c>
      <c r="F5783" t="inlineStr">
        <is>
          <t>8</t>
        </is>
      </c>
      <c r="G5783" t="inlineStr">
        <is>
          <t>0</t>
        </is>
      </c>
      <c r="H5783" t="inlineStr">
        <is>
          <t>24⁶, 72²</t>
        </is>
      </c>
      <c r="I5783" t="n">
        <v>8</v>
      </c>
      <c r="J5783" t="inlineStr">
        <is>
          <t>8⁶, 12⁴, 24⁸</t>
        </is>
      </c>
      <c r="K5783">
        <f>HYPERLINK("CSG5.html#group24L5", "24L⁵"), =HYPERLINK("CSG7.html#group36K7", "36K⁷")</f>
        <v/>
      </c>
      <c r="L5783" t="inlineStr"/>
      <c r="M5783">
        <f>HYPERLINK("CSG1.html#group12G1", "12G¹"), =HYPERLINK("CSG0.html#group12A0", "12A⁰"), =HYPERLINK("CSG0.html#group6B0", "6B⁰"), =HYPERLINK("CSG0.html#group6E0", "6E⁰"), =HYPERLINK("CSG0.html#group4A0", "4A⁰"), =HYPERLINK("CSG0.html#group12F0", "12F⁰"), =HYPERLINK("CSG7.html#group36K7", "36K⁷"), =HYPERLINK("CSG1.html#group12Q1", "12Q¹"), =HYPERLINK("CSG0.html#group3C0", "3C⁰"), =HYPERLINK("CSG1.html#group18G1", "18G¹"), =HYPERLINK("CSG0.html#group3A0", "3A⁰"), =HYPERLINK("CSG0.html#group1A0", "1A⁰"), =HYPERLINK("CSG5.html#group24L5", "24L⁵")</f>
        <v/>
      </c>
      <c r="N5783" t="inlineStr"/>
    </row>
    <row r="5784">
      <c r="A5784" t="inlineStr">
        <is>
          <t>72V¹⁹</t>
        </is>
      </c>
      <c r="B5784" t="inlineStr"/>
      <c r="C5784" t="inlineStr">
        <is>
          <t>288</t>
        </is>
      </c>
      <c r="D5784" t="inlineStr">
        <is>
          <t>2</t>
        </is>
      </c>
      <c r="E5784" t="inlineStr">
        <is>
          <t>144</t>
        </is>
      </c>
      <c r="F5784" t="inlineStr">
        <is>
          <t>8</t>
        </is>
      </c>
      <c r="G5784" t="inlineStr">
        <is>
          <t>0</t>
        </is>
      </c>
      <c r="H5784" t="inlineStr">
        <is>
          <t>24⁶, 72²</t>
        </is>
      </c>
      <c r="I5784" t="n">
        <v>8</v>
      </c>
      <c r="J5784" t="inlineStr">
        <is>
          <t>8⁶, 12⁴, 24⁸</t>
        </is>
      </c>
      <c r="K5784">
        <f>HYPERLINK("CSG5.html#group24P5", "24P⁵"), =HYPERLINK("CSG7.html#group36K7", "36K⁷")</f>
        <v/>
      </c>
      <c r="L5784" t="inlineStr"/>
      <c r="M5784">
        <f>HYPERLINK("CSG1.html#group12G1", "12G¹"), =HYPERLINK("CSG0.html#group6B0", "6B⁰"), =HYPERLINK("CSG3.html#group24D3", "24D³"), =HYPERLINK("CSG0.html#group12F0", "12F⁰"), =HYPERLINK("CSG0.html#group8A0", "8A⁰"), =HYPERLINK("CSG1.html#group24B1", "24B¹"), =HYPERLINK("CSG0.html#group1A0", "1A⁰"), =HYPERLINK("CSG3.html#group24E3", "24E³"), =HYPERLINK("CSG0.html#group12A0", "12A⁰"), =HYPERLINK("CSG2.html#group24K2", "24K²"), =HYPERLINK("CSG1.html#group24A1", "24A¹"), =HYPERLINK("CSG0.html#group6E0", "6E⁰"), =HYPERLINK("CSG0.html#group4A0", "4A⁰"), =HYPERLINK("CSG7.html#group36K7", "36K⁷"), =HYPERLINK("CSG1.html#group12Q1", "12Q¹"), =HYPERLINK("CSG0.html#group3C0", "3C⁰"), =HYPERLINK("CSG1.html#group18G1", "18G¹"), =HYPERLINK("CSG0.html#group3A0", "3A⁰"), =HYPERLINK("CSG2.html#group24G2", "24G²"), =HYPERLINK("CSG2.html#group24H2", "24H²"), =HYPERLINK("CSG5.html#group24P5", "24P⁵")</f>
        <v/>
      </c>
      <c r="N5784" t="inlineStr"/>
    </row>
    <row r="5785">
      <c r="A5785" t="inlineStr">
        <is>
          <t>72W¹⁹</t>
        </is>
      </c>
      <c r="B5785" t="inlineStr"/>
      <c r="C5785" t="inlineStr">
        <is>
          <t>324</t>
        </is>
      </c>
      <c r="D5785" t="inlineStr">
        <is>
          <t>1</t>
        </is>
      </c>
      <c r="E5785" t="inlineStr">
        <is>
          <t>81</t>
        </is>
      </c>
      <c r="F5785" t="inlineStr">
        <is>
          <t>24</t>
        </is>
      </c>
      <c r="G5785" t="inlineStr">
        <is>
          <t>0</t>
        </is>
      </c>
      <c r="H5785" t="inlineStr">
        <is>
          <t>36³, 72³</t>
        </is>
      </c>
      <c r="I5785" t="n">
        <v>6</v>
      </c>
      <c r="J5785" t="inlineStr">
        <is>
          <t>3³, 6¹²</t>
        </is>
      </c>
      <c r="K5785">
        <f>HYPERLINK("CSG5.html#group72A5", "72A⁵"), =HYPERLINK("CSG8.html#group36L8", "36L⁸")</f>
        <v/>
      </c>
      <c r="L5785" t="inlineStr"/>
      <c r="M5785">
        <f>HYPERLINK("CSG0.html#group12C0", "12C⁰"), =HYPERLINK("CSG8.html#group36L8", "36L⁸"), =HYPERLINK("CSG0.html#group9A0", "9A⁰"), =HYPERLINK("CSG2.html#group36B2", "36B²"), =HYPERLINK("CSG1.html#group24D1", "24D¹"), =HYPERLINK("CSG0.html#group4C0", "4C⁰"), =HYPERLINK("CSG3.html#group18J3", "18J³"), =HYPERLINK("CSG0.html#group9G0", "9G⁰"), =HYPERLINK("CSG5.html#group72A5", "72A⁵"), =HYPERLINK("CSG0.html#group2B0", "2B⁰"), =HYPERLINK("CSG1.html#group18E1", "18E¹"), =HYPERLINK("CSG0.html#group3A0", "3A⁰"), =HYPERLINK("CSG0.html#group1A0", "1A⁰"), =HYPERLINK("CSG0.html#group6D0", "6D⁰")</f>
        <v/>
      </c>
      <c r="N5785" t="inlineStr"/>
    </row>
    <row r="5786">
      <c r="A5786" t="inlineStr">
        <is>
          <t>73A¹⁹</t>
        </is>
      </c>
      <c r="B5786" t="inlineStr"/>
      <c r="C5786" t="inlineStr">
        <is>
          <t>296</t>
        </is>
      </c>
      <c r="D5786" t="inlineStr">
        <is>
          <t>1</t>
        </is>
      </c>
      <c r="E5786" t="inlineStr">
        <is>
          <t>74</t>
        </is>
      </c>
      <c r="F5786" t="inlineStr">
        <is>
          <t>0</t>
        </is>
      </c>
      <c r="G5786" t="inlineStr">
        <is>
          <t>8</t>
        </is>
      </c>
      <c r="H5786" t="inlineStr">
        <is>
          <t>1⁴, 73⁴</t>
        </is>
      </c>
      <c r="I5786" t="n">
        <v>8</v>
      </c>
      <c r="J5786" t="inlineStr">
        <is>
          <t>1², 72¹</t>
        </is>
      </c>
      <c r="K5786">
        <f>HYPERLINK("CSG9.html#group73A9", "73A⁹")</f>
        <v/>
      </c>
      <c r="L5786" t="inlineStr"/>
      <c r="M5786">
        <f>HYPERLINK("CSG9.html#group73A9", "73A⁹"), =HYPERLINK("CSG0.html#group1A0", "1A⁰"), =HYPERLINK("CSG5.html#group73A5", "73A⁵")</f>
        <v/>
      </c>
      <c r="N5786" t="inlineStr"/>
    </row>
    <row r="5787">
      <c r="A5787" t="inlineStr">
        <is>
          <t>75A¹⁹</t>
        </is>
      </c>
      <c r="B5787" t="inlineStr"/>
      <c r="C5787" t="inlineStr">
        <is>
          <t>300</t>
        </is>
      </c>
      <c r="D5787" t="inlineStr">
        <is>
          <t>1</t>
        </is>
      </c>
      <c r="E5787" t="inlineStr">
        <is>
          <t>20</t>
        </is>
      </c>
      <c r="F5787" t="inlineStr">
        <is>
          <t>0</t>
        </is>
      </c>
      <c r="G5787" t="inlineStr">
        <is>
          <t>15</t>
        </is>
      </c>
      <c r="H5787" t="inlineStr">
        <is>
          <t>75⁴</t>
        </is>
      </c>
      <c r="I5787" t="n">
        <v>4</v>
      </c>
      <c r="J5787" t="inlineStr">
        <is>
          <t>4¹, 8²</t>
        </is>
      </c>
      <c r="K5787">
        <f>HYPERLINK("CSG3.html#group15B3", "15B³"), =HYPERLINK("CSG4.html#group25E4", "25E⁴")</f>
        <v/>
      </c>
      <c r="L5787" t="inlineStr"/>
      <c r="M5787">
        <f>HYPERLINK("CSG0.html#group5A0", "5A⁰"), =HYPERLINK("CSG4.html#group25E4", "25E⁴"), =HYPERLINK("CSG0.html#group5C0", "5C⁰"), =HYPERLINK("CSG2.html#group25E2", "25E²"), =HYPERLINK("CSG0.html#group5F0", "5F⁰"), =HYPERLINK("CSG3.html#group15B3", "15B³"), =HYPERLINK("CSG0.html#group1A0", "1A⁰"), =HYPERLINK("CSG0.html#group15A0", "15A⁰")</f>
        <v/>
      </c>
      <c r="N5787" t="inlineStr"/>
    </row>
    <row r="5788">
      <c r="A5788" t="inlineStr">
        <is>
          <t>75B¹⁹</t>
        </is>
      </c>
      <c r="B5788" t="inlineStr"/>
      <c r="C5788" t="inlineStr">
        <is>
          <t>300</t>
        </is>
      </c>
      <c r="D5788" t="inlineStr">
        <is>
          <t>1</t>
        </is>
      </c>
      <c r="E5788" t="inlineStr">
        <is>
          <t>300</t>
        </is>
      </c>
      <c r="F5788" t="inlineStr">
        <is>
          <t>0</t>
        </is>
      </c>
      <c r="G5788" t="inlineStr">
        <is>
          <t>0</t>
        </is>
      </c>
      <c r="H5788" t="inlineStr">
        <is>
          <t>5⁵, 15⁵, 25², 75²</t>
        </is>
      </c>
      <c r="I5788" t="n">
        <v>14</v>
      </c>
      <c r="J5788" t="inlineStr">
        <is>
          <t>2², 4⁵, 5², 8², 10¹, 20⁶, 40³</t>
        </is>
      </c>
      <c r="K5788">
        <f>HYPERLINK("CSG2.html#group25F2", "25F²"), =HYPERLINK("CSG3.html#group15A3", "15A³")</f>
        <v/>
      </c>
      <c r="L5788" t="inlineStr"/>
      <c r="M5788">
        <f>HYPERLINK("CSG2.html#group25F2", "25F²"), =HYPERLINK("CSG0.html#group3B0", "3B⁰"), =HYPERLINK("CSG3.html#group15A3", "15A³"), =HYPERLINK("CSG0.html#group5A0", "5A⁰"), =HYPERLINK("CSG0.html#group5E0", "5E⁰"), =HYPERLINK("CSG1.html#group15B1", "15B¹"), =HYPERLINK("CSG0.html#group1A0", "1A⁰")</f>
        <v/>
      </c>
      <c r="N5788" t="inlineStr"/>
    </row>
    <row r="5789">
      <c r="A5789" t="inlineStr">
        <is>
          <t>75C¹⁹</t>
        </is>
      </c>
      <c r="B5789" t="inlineStr"/>
      <c r="C5789" t="inlineStr">
        <is>
          <t>360</t>
        </is>
      </c>
      <c r="D5789" t="inlineStr">
        <is>
          <t>1</t>
        </is>
      </c>
      <c r="E5789" t="inlineStr">
        <is>
          <t>18</t>
        </is>
      </c>
      <c r="F5789" t="inlineStr">
        <is>
          <t>0</t>
        </is>
      </c>
      <c r="G5789" t="inlineStr">
        <is>
          <t>0</t>
        </is>
      </c>
      <c r="H5789" t="inlineStr">
        <is>
          <t>3²⁰, 75⁴</t>
        </is>
      </c>
      <c r="I5789" t="n">
        <v>24</v>
      </c>
      <c r="J5789" t="inlineStr">
        <is>
          <t>1², 2², 4¹, 8¹</t>
        </is>
      </c>
      <c r="K5789">
        <f>HYPERLINK("CSG3.html#group15F3", "15F³"), =HYPERLINK("CSG8.html#group75A8", "75A⁸"), =HYPERLINK("CSG9.html#group75E9", "75E⁹"), =HYPERLINK("CSG10.html#group75A10", "75A¹⁰")</f>
        <v/>
      </c>
      <c r="L5789" t="inlineStr"/>
      <c r="M5789">
        <f>HYPERLINK("CSG10.html#group75A10", "75A¹⁰"), =HYPERLINK("CSG0.html#group5B0", "5B⁰"), =HYPERLINK("CSG0.html#group5D0", "5D⁰"), =HYPERLINK("CSG3.html#group15F3", "15F³"), =HYPERLINK("CSG4.html#group75A4", "75A⁴"), =HYPERLINK("CSG0.html#group1A0", "1A⁰"), =HYPERLINK("CSG8.html#group75A8", "75A⁸"), =HYPERLINK("CSG0.html#group15B0", "15B⁰"), =HYPERLINK("CSG1.html#group15E1", "15E¹"), =HYPERLINK("CSG0.html#group25A0", "25A⁰"), =HYPERLINK("CSG2.html#group15B2", "15B²"), =HYPERLINK("CSG0.html#group3C0", "3C⁰"), =HYPERLINK("CSG9.html#group75E9", "75E⁹"), =HYPERLINK("CSG0.html#group3A0", "3A⁰"), =HYPERLINK("CSG0.html#group25B0", "25B⁰"), =HYPERLINK("CSG0.html#group15C0", "15C⁰")</f>
        <v/>
      </c>
      <c r="N5789" t="inlineStr"/>
    </row>
    <row r="5790">
      <c r="A5790" t="inlineStr">
        <is>
          <t>75D¹⁹</t>
        </is>
      </c>
      <c r="B5790" t="inlineStr"/>
      <c r="C5790" t="inlineStr">
        <is>
          <t>360</t>
        </is>
      </c>
      <c r="D5790" t="inlineStr">
        <is>
          <t>1</t>
        </is>
      </c>
      <c r="E5790" t="inlineStr">
        <is>
          <t>30</t>
        </is>
      </c>
      <c r="F5790" t="inlineStr">
        <is>
          <t>0</t>
        </is>
      </c>
      <c r="G5790" t="inlineStr">
        <is>
          <t>0</t>
        </is>
      </c>
      <c r="H5790" t="inlineStr">
        <is>
          <t>3²⁰, 75⁴</t>
        </is>
      </c>
      <c r="I5790" t="n">
        <v>24</v>
      </c>
      <c r="J5790" t="inlineStr">
        <is>
          <t>1², 4², 20¹</t>
        </is>
      </c>
      <c r="K5790">
        <f>HYPERLINK("CSG3.html#group15E3", "15E³"), =HYPERLINK("CSG5.html#group75A5", "75A⁵"), =HYPERLINK("CSG9.html#group75E9", "75E⁹")</f>
        <v/>
      </c>
      <c r="L5790" t="inlineStr"/>
      <c r="M5790">
        <f>HYPERLINK("CSG1.html#group15C1", "15C¹"), =HYPERLINK("CSG0.html#group3B0", "3B⁰"), =HYPERLINK("CSG4.html#group75A4", "75A⁴"), =HYPERLINK("CSG0.html#group15B0", "15B⁰"), =HYPERLINK("CSG5.html#group75A5", "75A⁵"), =HYPERLINK("CSG3.html#group15E3", "15E³"), =HYPERLINK("CSG0.html#group3D0", "3D⁰"), =HYPERLINK("CSG0.html#group5B0", "5B⁰"), =HYPERLINK("CSG0.html#group25A0", "25A⁰"), =HYPERLINK("CSG0.html#group3C0", "3C⁰"), =HYPERLINK("CSG9.html#group75E9", "75E⁹"), =HYPERLINK("CSG0.html#group3A0", "3A⁰"), =HYPERLINK("CSG0.html#group1A0", "1A⁰"), =HYPERLINK("CSG1.html#group15E1", "15E¹")</f>
        <v/>
      </c>
      <c r="N5790" t="inlineStr"/>
    </row>
    <row r="5791">
      <c r="A5791" t="inlineStr">
        <is>
          <t>77A¹⁹</t>
        </is>
      </c>
      <c r="B5791" t="inlineStr"/>
      <c r="C5791" t="inlineStr">
        <is>
          <t>252</t>
        </is>
      </c>
      <c r="D5791" t="inlineStr">
        <is>
          <t>1</t>
        </is>
      </c>
      <c r="E5791" t="inlineStr">
        <is>
          <t>252</t>
        </is>
      </c>
      <c r="F5791" t="inlineStr">
        <is>
          <t>0</t>
        </is>
      </c>
      <c r="G5791" t="inlineStr">
        <is>
          <t>0</t>
        </is>
      </c>
      <c r="H5791" t="inlineStr">
        <is>
          <t>7³, 77³</t>
        </is>
      </c>
      <c r="I5791" t="n">
        <v>6</v>
      </c>
      <c r="J5791" t="inlineStr">
        <is>
          <t>3², 6⁶, 30¹, 60³</t>
        </is>
      </c>
      <c r="K5791">
        <f>HYPERLINK("CSG0.html#group7D0", "7D⁰"), =HYPERLINK("CSG7.html#group77A7", "77A⁷")</f>
        <v/>
      </c>
      <c r="L5791" t="inlineStr"/>
      <c r="M5791">
        <f>HYPERLINK("CSG7.html#group77A7", "77A⁷"), =HYPERLINK("CSG0.html#group7D0", "7D⁰"), =HYPERLINK("CSG0.html#group1A0", "1A⁰"), =HYPERLINK("CSG1.html#group11A1", "11A¹"), =HYPERLINK("CSG0.html#group7A0", "7A⁰")</f>
        <v/>
      </c>
      <c r="N5791" t="inlineStr"/>
    </row>
    <row r="5792">
      <c r="A5792" t="inlineStr">
        <is>
          <t>77B¹⁹</t>
        </is>
      </c>
      <c r="B5792" t="inlineStr"/>
      <c r="C5792" t="inlineStr">
        <is>
          <t>288</t>
        </is>
      </c>
      <c r="D5792" t="inlineStr">
        <is>
          <t>1</t>
        </is>
      </c>
      <c r="E5792" t="inlineStr">
        <is>
          <t>96</t>
        </is>
      </c>
      <c r="F5792" t="inlineStr">
        <is>
          <t>0</t>
        </is>
      </c>
      <c r="G5792" t="inlineStr">
        <is>
          <t>0</t>
        </is>
      </c>
      <c r="H5792" t="inlineStr">
        <is>
          <t>1³, 7³, 11³, 77³</t>
        </is>
      </c>
      <c r="I5792" t="n">
        <v>12</v>
      </c>
      <c r="J5792" t="inlineStr">
        <is>
          <t>1⁴, 6², 10², 60¹</t>
        </is>
      </c>
      <c r="K5792">
        <f>HYPERLINK("CSG0.html#group7E0", "7E⁰"), =HYPERLINK("CSG7.html#group77B7", "77B⁷")</f>
        <v/>
      </c>
      <c r="L5792" t="inlineStr"/>
      <c r="M5792">
        <f>HYPERLINK("CSG0.html#group7E0", "7E⁰"), =HYPERLINK("CSG7.html#group77B7", "77B⁷"), =HYPERLINK("CSG0.html#group1A0", "1A⁰"), =HYPERLINK("CSG0.html#group7B0", "7B⁰"), =HYPERLINK("CSG1.html#group11A1", "11A¹")</f>
        <v/>
      </c>
      <c r="N5792" t="inlineStr"/>
    </row>
    <row r="5793">
      <c r="A5793" t="inlineStr">
        <is>
          <t>78A¹⁹</t>
        </is>
      </c>
      <c r="B5793" t="inlineStr"/>
      <c r="C5793" t="inlineStr">
        <is>
          <t>252</t>
        </is>
      </c>
      <c r="D5793" t="inlineStr">
        <is>
          <t>1</t>
        </is>
      </c>
      <c r="E5793" t="inlineStr">
        <is>
          <t>14</t>
        </is>
      </c>
      <c r="F5793" t="inlineStr">
        <is>
          <t>0</t>
        </is>
      </c>
      <c r="G5793" t="inlineStr">
        <is>
          <t>0</t>
        </is>
      </c>
      <c r="H5793" t="inlineStr">
        <is>
          <t>6³, 78³</t>
        </is>
      </c>
      <c r="I5793" t="n">
        <v>6</v>
      </c>
      <c r="J5793" t="inlineStr">
        <is>
          <t>1², 12¹</t>
        </is>
      </c>
      <c r="K5793">
        <f>HYPERLINK("CSG4.html#group39C4", "39C⁴"), =HYPERLINK("CSG5.html#group26A5", "26A⁵"), =HYPERLINK("CSG5.html#group78C5", "78C⁵"), =HYPERLINK("CSG7.html#group78A7", "78A⁷")</f>
        <v/>
      </c>
      <c r="L5793" t="inlineStr"/>
      <c r="M5793">
        <f>HYPERLINK("CSG2.html#group39A2", "39A²"), =HYPERLINK("CSG0.html#group2A0", "2A⁰"), =HYPERLINK("CSG5.html#group26A5", "26A⁵"), =HYPERLINK("CSG7.html#group78A7", "78A⁷"), =HYPERLINK("CSG1.html#group26A1", "26A¹"), =HYPERLINK("CSG0.html#group13A0", "13A⁰"), =HYPERLINK("CSG4.html#group39C4", "39C⁴"), =HYPERLINK("CSG1.html#group6A1", "6A¹"), =HYPERLINK("CSG0.html#group13C0", "13C⁰"), =HYPERLINK("CSG1.html#group39A1", "39A¹"), =HYPERLINK("CSG0.html#group3A0", "3A⁰"), =HYPERLINK("CSG0.html#group1A0", "1A⁰"), =HYPERLINK("CSG5.html#group78C5", "78C⁵")</f>
        <v/>
      </c>
      <c r="N5793" t="inlineStr"/>
    </row>
    <row r="5794">
      <c r="A5794" t="inlineStr">
        <is>
          <t>78B¹⁹</t>
        </is>
      </c>
      <c r="B5794" t="inlineStr"/>
      <c r="C5794" t="inlineStr">
        <is>
          <t>252</t>
        </is>
      </c>
      <c r="D5794" t="inlineStr">
        <is>
          <t>1</t>
        </is>
      </c>
      <c r="E5794" t="inlineStr">
        <is>
          <t>14</t>
        </is>
      </c>
      <c r="F5794" t="inlineStr">
        <is>
          <t>0</t>
        </is>
      </c>
      <c r="G5794" t="inlineStr">
        <is>
          <t>0</t>
        </is>
      </c>
      <c r="H5794" t="inlineStr">
        <is>
          <t>6³, 78³</t>
        </is>
      </c>
      <c r="I5794" t="n">
        <v>6</v>
      </c>
      <c r="J5794" t="inlineStr">
        <is>
          <t>1², 12¹</t>
        </is>
      </c>
      <c r="K5794">
        <f>HYPERLINK("CSG1.html#group6C1", "6C¹"), =HYPERLINK("CSG5.html#group26B5", "26B⁵"), =HYPERLINK("CSG5.html#group78A5", "78A⁵"), =HYPERLINK("CSG7.html#group78A7", "78A⁷"), =HYPERLINK("CSG8.html#group78A8", "78A⁸")</f>
        <v/>
      </c>
      <c r="L5794" t="inlineStr"/>
      <c r="M5794">
        <f>HYPERLINK("CSG2.html#group39A2", "39A²"), =HYPERLINK("CSG0.html#group2A0", "2A⁰"), =HYPERLINK("CSG1.html#group26A1", "26A¹"), =HYPERLINK("CSG1.html#group6C1", "6C¹"), =HYPERLINK("CSG0.html#group13A0", "13A⁰"), =HYPERLINK("CSG0.html#group2B0", "2B⁰"), =HYPERLINK("CSG0.html#group1A0", "1A⁰"), =HYPERLINK("CSG2.html#group26A2", "26A²"), =HYPERLINK("CSG8.html#group78A8", "78A⁸"), =HYPERLINK("CSG5.html#group26B5", "26B⁵"), =HYPERLINK("CSG7.html#group78A7", "78A⁷"), =HYPERLINK("CSG0.html#group6A0", "6A⁰"), =HYPERLINK("CSG5.html#group78A5", "78A⁵"), =HYPERLINK("CSG1.html#group6A1", "6A¹"), =HYPERLINK("CSG0.html#group3A0", "3A⁰"), =HYPERLINK("CSG0.html#group2C0", "2C⁰"), =HYPERLINK("CSG0.html#group6D0", "6D⁰")</f>
        <v/>
      </c>
      <c r="N5794" t="inlineStr"/>
    </row>
    <row r="5795">
      <c r="A5795" t="inlineStr">
        <is>
          <t>78C¹⁹</t>
        </is>
      </c>
      <c r="B5795" t="inlineStr"/>
      <c r="C5795" t="inlineStr">
        <is>
          <t>252</t>
        </is>
      </c>
      <c r="D5795" t="inlineStr">
        <is>
          <t>1</t>
        </is>
      </c>
      <c r="E5795" t="inlineStr">
        <is>
          <t>28</t>
        </is>
      </c>
      <c r="F5795" t="inlineStr">
        <is>
          <t>0</t>
        </is>
      </c>
      <c r="G5795" t="inlineStr">
        <is>
          <t>0</t>
        </is>
      </c>
      <c r="H5795" t="inlineStr">
        <is>
          <t>6³, 78³</t>
        </is>
      </c>
      <c r="I5795" t="n">
        <v>6</v>
      </c>
      <c r="J5795" t="inlineStr">
        <is>
          <t>2², 24¹</t>
        </is>
      </c>
      <c r="K5795">
        <f>HYPERLINK("CSG5.html#group26A5", "26A⁵"), =HYPERLINK("CSG5.html#group78A5", "78A⁵"), =HYPERLINK("CSG6.html#group78B6", "78B⁶")</f>
        <v/>
      </c>
      <c r="L5795" t="inlineStr"/>
      <c r="M5795">
        <f>HYPERLINK("CSG0.html#group2A0", "2A⁰"), =HYPERLINK("CSG5.html#group26A5", "26A⁵"), =HYPERLINK("CSG1.html#group26A1", "26A¹"), =HYPERLINK("CSG0.html#group6A0", "6A⁰"), =HYPERLINK("CSG0.html#group13A0", "13A⁰"), =HYPERLINK("CSG0.html#group13C0", "13C⁰"), =HYPERLINK("CSG6.html#group78B6", "78B⁶"), =HYPERLINK("CSG5.html#group78A5", "78A⁵"), =HYPERLINK("CSG0.html#group1A0", "1A⁰")</f>
        <v/>
      </c>
      <c r="N5795" t="inlineStr"/>
    </row>
    <row r="5796">
      <c r="A5796" t="inlineStr">
        <is>
          <t>78D¹⁹</t>
        </is>
      </c>
      <c r="B5796" t="inlineStr"/>
      <c r="C5796" t="inlineStr">
        <is>
          <t>252</t>
        </is>
      </c>
      <c r="D5796" t="inlineStr">
        <is>
          <t>1</t>
        </is>
      </c>
      <c r="E5796" t="inlineStr">
        <is>
          <t>28</t>
        </is>
      </c>
      <c r="F5796" t="inlineStr">
        <is>
          <t>0</t>
        </is>
      </c>
      <c r="G5796" t="inlineStr">
        <is>
          <t>0</t>
        </is>
      </c>
      <c r="H5796" t="inlineStr">
        <is>
          <t>6³, 78³</t>
        </is>
      </c>
      <c r="I5796" t="n">
        <v>6</v>
      </c>
      <c r="J5796" t="inlineStr">
        <is>
          <t>1⁴, 12²</t>
        </is>
      </c>
      <c r="K5796">
        <f>HYPERLINK("CSG3.html#group26A3", "26A³"), =HYPERLINK("CSG6.html#group78B6", "78B⁶"), =HYPERLINK("CSG7.html#group78A7", "78A⁷")</f>
        <v/>
      </c>
      <c r="L5796" t="inlineStr"/>
      <c r="M5796">
        <f>HYPERLINK("CSG0.html#group2A0", "2A⁰"), =HYPERLINK("CSG2.html#group39A2", "39A²"), =HYPERLINK("CSG1.html#group26A1", "26A¹"), =HYPERLINK("CSG7.html#group78A7", "78A⁷"), =HYPERLINK("CSG0.html#group13A0", "13A⁰"), =HYPERLINK("CSG3.html#group26A3", "26A³"), =HYPERLINK("CSG1.html#group6A1", "6A¹"), =HYPERLINK("CSG6.html#group78B6", "78B⁶"), =HYPERLINK("CSG0.html#group3A0", "3A⁰"), =HYPERLINK("CSG0.html#group1A0", "1A⁰")</f>
        <v/>
      </c>
      <c r="N5796" t="inlineStr"/>
    </row>
    <row r="5797">
      <c r="A5797" t="inlineStr">
        <is>
          <t>78E¹⁹</t>
        </is>
      </c>
      <c r="B5797" t="inlineStr"/>
      <c r="C5797" t="inlineStr">
        <is>
          <t>252</t>
        </is>
      </c>
      <c r="D5797" t="inlineStr">
        <is>
          <t>2</t>
        </is>
      </c>
      <c r="E5797" t="inlineStr">
        <is>
          <t>14</t>
        </is>
      </c>
      <c r="F5797" t="inlineStr">
        <is>
          <t>0</t>
        </is>
      </c>
      <c r="G5797" t="inlineStr">
        <is>
          <t>0</t>
        </is>
      </c>
      <c r="H5797" t="inlineStr">
        <is>
          <t>6³, 78³</t>
        </is>
      </c>
      <c r="I5797" t="n">
        <v>6</v>
      </c>
      <c r="J5797" t="inlineStr">
        <is>
          <t>2², 24¹</t>
        </is>
      </c>
      <c r="K5797">
        <f>HYPERLINK("CSG5.html#group26B5", "26B⁵"), =HYPERLINK("CSG5.html#group78C5", "78C⁵"), =HYPERLINK("CSG6.html#group78B6", "78B⁶"), =HYPERLINK("CSG8.html#group78B8", "78B⁸")</f>
        <v/>
      </c>
      <c r="L5797" t="inlineStr"/>
      <c r="M5797">
        <f>HYPERLINK("CSG5.html#group26B5", "26B⁵"), =HYPERLINK("CSG0.html#group2A0", "2A⁰"), =HYPERLINK("CSG1.html#group26A1", "26A¹"), =HYPERLINK("CSG2.html#group26A2", "26A²"), =HYPERLINK("CSG1.html#group39A1", "39A¹"), =HYPERLINK("CSG5.html#group78C5", "78C⁵"), =HYPERLINK("CSG0.html#group13A0", "13A⁰"), =HYPERLINK("CSG0.html#group2B0", "2B⁰"), =HYPERLINK("CSG6.html#group78B6", "78B⁶"), =HYPERLINK("CSG0.html#group1A0", "1A⁰"), =HYPERLINK("CSG0.html#group2C0", "2C⁰"), =HYPERLINK("CSG8.html#group78B8", "78B⁸")</f>
        <v/>
      </c>
      <c r="N5797" t="inlineStr"/>
    </row>
    <row r="5798">
      <c r="A5798" t="inlineStr">
        <is>
          <t>80A¹⁹</t>
        </is>
      </c>
      <c r="B5798" t="inlineStr"/>
      <c r="C5798" t="inlineStr">
        <is>
          <t>240</t>
        </is>
      </c>
      <c r="D5798" t="inlineStr">
        <is>
          <t>1</t>
        </is>
      </c>
      <c r="E5798" t="inlineStr">
        <is>
          <t>15</t>
        </is>
      </c>
      <c r="F5798" t="inlineStr">
        <is>
          <t>0</t>
        </is>
      </c>
      <c r="G5798" t="inlineStr">
        <is>
          <t>0</t>
        </is>
      </c>
      <c r="H5798" t="inlineStr">
        <is>
          <t>40², 80²</t>
        </is>
      </c>
      <c r="I5798" t="n">
        <v>4</v>
      </c>
      <c r="J5798" t="inlineStr">
        <is>
          <t>1³, 4³</t>
        </is>
      </c>
      <c r="K5798">
        <f>HYPERLINK("CSG3.html#group16A3", "16A³"), =HYPERLINK("CSG9.html#group40A9", "40A⁹"), =HYPERLINK("CSG9.html#group80B9", "80B⁹")</f>
        <v/>
      </c>
      <c r="L5798" t="inlineStr"/>
      <c r="M5798">
        <f>HYPERLINK("CSG0.html#group2A0", "2A⁰"), =HYPERLINK("CSG0.html#group5A0", "5A⁰"), =HYPERLINK("CSG4.html#group40A4", "40A⁴"), =HYPERLINK("CSG0.html#group4C0", "4C⁰"), =HYPERLINK("CSG3.html#group16A3", "16A³"), =HYPERLINK("CSG0.html#group2B0", "2B⁰"), =HYPERLINK("CSG0.html#group4E0", "4E⁰"), =HYPERLINK("CSG0.html#group4B0", "4B⁰"), =HYPERLINK("CSG0.html#group1A0", "1A⁰"), =HYPERLINK("CSG9.html#group40A9", "40A⁹"), =HYPERLINK("CSG0.html#group10A0", "10A⁰"), =HYPERLINK("CSG5.html#group40A5", "40A⁵"), =HYPERLINK("CSG2.html#group20A2", "20A²"), =HYPERLINK("CSG1.html#group8A1", "8A¹"), =HYPERLINK("CSG1.html#group10B1", "10B¹"), =HYPERLINK("CSG2.html#group20B2", "20B²"), =HYPERLINK("CSG0.html#group8B0", "8B⁰"), =HYPERLINK("CSG1.html#group16B1", "16B¹"), =HYPERLINK("CSG1.html#group8B1", "8B¹"), =HYPERLINK("CSG2.html#group10B2", "10B²"), =HYPERLINK("CSG4.html#group20A4", "20A⁴"), =HYPERLINK("CSG9.html#group80B9", "80B⁹"), =HYPERLINK("CSG0.html#group2C0", "2C⁰")</f>
        <v/>
      </c>
      <c r="N5798" t="inlineStr"/>
    </row>
    <row r="5799">
      <c r="A5799" t="inlineStr">
        <is>
          <t>80B¹⁹</t>
        </is>
      </c>
      <c r="B5799" t="inlineStr"/>
      <c r="C5799" t="inlineStr">
        <is>
          <t>240</t>
        </is>
      </c>
      <c r="D5799" t="inlineStr">
        <is>
          <t>1</t>
        </is>
      </c>
      <c r="E5799" t="inlineStr">
        <is>
          <t>15</t>
        </is>
      </c>
      <c r="F5799" t="inlineStr">
        <is>
          <t>0</t>
        </is>
      </c>
      <c r="G5799" t="inlineStr">
        <is>
          <t>0</t>
        </is>
      </c>
      <c r="H5799" t="inlineStr">
        <is>
          <t>40², 80²</t>
        </is>
      </c>
      <c r="I5799" t="n">
        <v>4</v>
      </c>
      <c r="J5799" t="inlineStr">
        <is>
          <t>1³, 4³</t>
        </is>
      </c>
      <c r="K5799">
        <f>HYPERLINK("CSG3.html#group16B3", "16B³"), =HYPERLINK("CSG8.html#group80A8", "80A⁸"), =HYPERLINK("CSG9.html#group40A9", "40A⁹"), =HYPERLINK("CSG10.html#group80A10", "80A¹⁰")</f>
        <v/>
      </c>
      <c r="L5799" t="inlineStr"/>
      <c r="M5799">
        <f>HYPERLINK("CSG2.html#group20A2", "20A²"), =HYPERLINK("CSG0.html#group2A0", "2A⁰"), =HYPERLINK("CSG0.html#group5A0", "5A⁰"), =HYPERLINK("CSG1.html#group8A1", "8A¹"), =HYPERLINK("CSG4.html#group40A4", "40A⁴"), =HYPERLINK("CSG1.html#group10B1", "10B¹"), =HYPERLINK("CSG2.html#group20B2", "20B²"), =HYPERLINK("CSG0.html#group4C0", "4C⁰"), =HYPERLINK("CSG3.html#group16B3", "16B³"), =HYPERLINK("CSG0.html#group8B0", "8B⁰"), =HYPERLINK("CSG0.html#group2B0", "2B⁰"), =HYPERLINK("CSG1.html#group8B1", "8B¹"), =HYPERLINK("CSG0.html#group4E0", "4E⁰"), =HYPERLINK("CSG2.html#group10B2", "10B²"), =HYPERLINK("CSG0.html#group4B0", "4B⁰"), =HYPERLINK("CSG0.html#group1A0", "1A⁰"), =HYPERLINK("CSG10.html#group80A10", "80A¹⁰"), =HYPERLINK("CSG2.html#group16A2", "16A²"), =HYPERLINK("CSG0.html#group16B0", "16B⁰"), =HYPERLINK("CSG9.html#group40A9", "40A⁹"), =HYPERLINK("CSG0.html#group10A0", "10A⁰"), =HYPERLINK("CSG4.html#group20A4", "20A⁴"), =HYPERLINK("CSG5.html#group40A5", "40A⁵"), =HYPERLINK("CSG0.html#group2C0", "2C⁰"), =HYPERLINK("CSG8.html#group80A8", "80A⁸")</f>
        <v/>
      </c>
      <c r="N5799" t="inlineStr"/>
    </row>
    <row r="5800">
      <c r="A5800" t="inlineStr">
        <is>
          <t>80C¹⁹</t>
        </is>
      </c>
      <c r="B5800" t="inlineStr"/>
      <c r="C5800" t="inlineStr">
        <is>
          <t>240</t>
        </is>
      </c>
      <c r="D5800" t="inlineStr">
        <is>
          <t>1</t>
        </is>
      </c>
      <c r="E5800" t="inlineStr">
        <is>
          <t>30</t>
        </is>
      </c>
      <c r="F5800" t="inlineStr">
        <is>
          <t>0</t>
        </is>
      </c>
      <c r="G5800" t="inlineStr">
        <is>
          <t>0</t>
        </is>
      </c>
      <c r="H5800" t="inlineStr">
        <is>
          <t>40², 80²</t>
        </is>
      </c>
      <c r="I5800" t="n">
        <v>4</v>
      </c>
      <c r="J5800" t="inlineStr">
        <is>
          <t>1², 2², 4², 8²</t>
        </is>
      </c>
      <c r="K5800">
        <f>HYPERLINK("CSG3.html#group16C3", "16C³"), =HYPERLINK("CSG8.html#group40B8", "40B⁸"), =HYPERLINK("CSG9.html#group80B9", "80B⁹"), =HYPERLINK("CSG10.html#group80A10", "80A¹⁰")</f>
        <v/>
      </c>
      <c r="L5800" t="inlineStr"/>
      <c r="M5800">
        <f>HYPERLINK("CSG8.html#group40B8", "40B⁸"), =HYPERLINK("CSG0.html#group5A0", "5A⁰"), =HYPERLINK("CSG4.html#group40A4", "40A⁴"), =HYPERLINK("CSG3.html#group16C3", "16C³"), =HYPERLINK("CSG0.html#group8D0", "8D⁰"), =HYPERLINK("CSG1.html#group10B1", "10B¹"), =HYPERLINK("CSG2.html#group20B2", "20B²"), =HYPERLINK("CSG0.html#group4C0", "4C⁰"), =HYPERLINK("CSG0.html#group8B0", "8B⁰"), =HYPERLINK("CSG1.html#group16B1", "16B¹"), =HYPERLINK("CSG1.html#group20A1", "20A¹"), =HYPERLINK("CSG0.html#group2B0", "2B⁰"), =HYPERLINK("CSG4.html#group20C4", "20C⁴"), =HYPERLINK("CSG0.html#group1A0", "1A⁰"), =HYPERLINK("CSG10.html#group80A10", "80A¹⁰"), =HYPERLINK("CSG2.html#group16A2", "16A²"), =HYPERLINK("CSG0.html#group8H0", "8H⁰"), =HYPERLINK("CSG4.html#group40C4", "40C⁴"), =HYPERLINK("CSG0.html#group4A0", "4A⁰"), =HYPERLINK("CSG0.html#group4F0", "4F⁰"), =HYPERLINK("CSG9.html#group80B9", "80B⁹")</f>
        <v/>
      </c>
      <c r="N5800" t="inlineStr"/>
    </row>
    <row r="5801">
      <c r="A5801" t="inlineStr">
        <is>
          <t>80D¹⁹</t>
        </is>
      </c>
      <c r="B5801" t="inlineStr"/>
      <c r="C5801" t="inlineStr">
        <is>
          <t>240</t>
        </is>
      </c>
      <c r="D5801" t="inlineStr">
        <is>
          <t>1</t>
        </is>
      </c>
      <c r="E5801" t="inlineStr">
        <is>
          <t>30</t>
        </is>
      </c>
      <c r="F5801" t="inlineStr">
        <is>
          <t>0</t>
        </is>
      </c>
      <c r="G5801" t="inlineStr">
        <is>
          <t>0</t>
        </is>
      </c>
      <c r="H5801" t="inlineStr">
        <is>
          <t>40², 80²</t>
        </is>
      </c>
      <c r="I5801" t="n">
        <v>4</v>
      </c>
      <c r="J5801" t="inlineStr">
        <is>
          <t>2³, 4⁶</t>
        </is>
      </c>
      <c r="K5801">
        <f>HYPERLINK("CSG7.html#group40E7", "40E⁷")</f>
        <v/>
      </c>
      <c r="L5801" t="inlineStr"/>
      <c r="M5801">
        <f>HYPERLINK("CSG7.html#group40E7", "40E⁷"), =HYPERLINK("CSG0.html#group4C0", "4C⁰"), =HYPERLINK("CSG0.html#group8B0", "8B⁰"), =HYPERLINK("CSG0.html#group1A0", "1A⁰"), =HYPERLINK("CSG0.html#group2B0", "2B⁰"), =HYPERLINK("CSG0.html#group5C0", "5C⁰"), =HYPERLINK("CSG3.html#group20F3", "20F³"), =HYPERLINK("CSG1.html#group10F1", "10F¹")</f>
        <v/>
      </c>
      <c r="N5801" t="inlineStr"/>
    </row>
    <row r="5802">
      <c r="A5802" t="inlineStr">
        <is>
          <t>80E¹⁹</t>
        </is>
      </c>
      <c r="B5802" t="inlineStr"/>
      <c r="C5802" t="inlineStr">
        <is>
          <t>240</t>
        </is>
      </c>
      <c r="D5802" t="inlineStr">
        <is>
          <t>1</t>
        </is>
      </c>
      <c r="E5802" t="inlineStr">
        <is>
          <t>30</t>
        </is>
      </c>
      <c r="F5802" t="inlineStr">
        <is>
          <t>0</t>
        </is>
      </c>
      <c r="G5802" t="inlineStr">
        <is>
          <t>0</t>
        </is>
      </c>
      <c r="H5802" t="inlineStr">
        <is>
          <t>40², 80²</t>
        </is>
      </c>
      <c r="I5802" t="n">
        <v>4</v>
      </c>
      <c r="J5802" t="inlineStr">
        <is>
          <t>2³, 4⁶</t>
        </is>
      </c>
      <c r="K5802">
        <f>HYPERLINK("CSG2.html#group16A2", "16A²"), =HYPERLINK("CSG7.html#group40E7", "40E⁷")</f>
        <v/>
      </c>
      <c r="L5802" t="inlineStr"/>
      <c r="M5802">
        <f>HYPERLINK("CSG7.html#group40E7", "40E⁷"), =HYPERLINK("CSG0.html#group4C0", "4C⁰"), =HYPERLINK("CSG0.html#group8B0", "8B⁰"), =HYPERLINK("CSG1.html#group10F1", "10F¹"), =HYPERLINK("CSG0.html#group1A0", "1A⁰"), =HYPERLINK("CSG0.html#group2B0", "2B⁰"), =HYPERLINK("CSG0.html#group5C0", "5C⁰"), =HYPERLINK("CSG3.html#group20F3", "20F³"), =HYPERLINK("CSG2.html#group16A2", "16A²")</f>
        <v/>
      </c>
      <c r="N5802" t="inlineStr"/>
    </row>
    <row r="5803">
      <c r="A5803" t="inlineStr">
        <is>
          <t>80F¹⁹</t>
        </is>
      </c>
      <c r="B5803" t="inlineStr"/>
      <c r="C5803" t="inlineStr">
        <is>
          <t>240</t>
        </is>
      </c>
      <c r="D5803" t="inlineStr">
        <is>
          <t>1</t>
        </is>
      </c>
      <c r="E5803" t="inlineStr">
        <is>
          <t>30</t>
        </is>
      </c>
      <c r="F5803" t="inlineStr">
        <is>
          <t>0</t>
        </is>
      </c>
      <c r="G5803" t="inlineStr">
        <is>
          <t>0</t>
        </is>
      </c>
      <c r="H5803" t="inlineStr">
        <is>
          <t>40², 80²</t>
        </is>
      </c>
      <c r="I5803" t="n">
        <v>4</v>
      </c>
      <c r="J5803" t="inlineStr">
        <is>
          <t>1⁴, 2¹, 4⁴, 8¹</t>
        </is>
      </c>
      <c r="K5803">
        <f>HYPERLINK("CSG3.html#group16D3", "16D³"), =HYPERLINK("CSG9.html#group40A9", "40A⁹"), =HYPERLINK("CSG9.html#group80D9", "80D⁹"), =HYPERLINK("CSG10.html#group80B10", "80B¹⁰")</f>
        <v/>
      </c>
      <c r="L5803" t="inlineStr"/>
      <c r="M5803">
        <f>HYPERLINK("CSG0.html#group2A0", "2A⁰"), =HYPERLINK("CSG0.html#group5A0", "5A⁰"), =HYPERLINK("CSG4.html#group40A4", "40A⁴"), =HYPERLINK("CSG9.html#group80D9", "80D⁹"), =HYPERLINK("CSG0.html#group4C0", "4C⁰"), =HYPERLINK("CSG0.html#group2B0", "2B⁰"), =HYPERLINK("CSG0.html#group4E0", "4E⁰"), =HYPERLINK("CSG0.html#group4B0", "4B⁰"), =HYPERLINK("CSG0.html#group1A0", "1A⁰"), =HYPERLINK("CSG9.html#group40A9", "40A⁹"), =HYPERLINK("CSG1.html#group16D1", "16D¹"), =HYPERLINK("CSG2.html#group16B2", "16B²"), =HYPERLINK("CSG0.html#group10A0", "10A⁰"), =HYPERLINK("CSG5.html#group40A5", "40A⁵"), =HYPERLINK("CSG2.html#group20A2", "20A²"), =HYPERLINK("CSG3.html#group16D3", "16D³"), =HYPERLINK("CSG1.html#group8A1", "8A¹"), =HYPERLINK("CSG1.html#group10B1", "10B¹"), =HYPERLINK("CSG2.html#group20B2", "20B²"), =HYPERLINK("CSG0.html#group8B0", "8B⁰"), =HYPERLINK("CSG1.html#group8B1", "8B¹"), =HYPERLINK("CSG2.html#group10B2", "10B²"), =HYPERLINK("CSG10.html#group80B10", "80B¹⁰"), =HYPERLINK("CSG4.html#group20A4", "20A⁴"), =HYPERLINK("CSG0.html#group2C0", "2C⁰")</f>
        <v/>
      </c>
      <c r="N5803" t="inlineStr"/>
    </row>
    <row r="5804">
      <c r="A5804" t="inlineStr">
        <is>
          <t>80G¹⁹</t>
        </is>
      </c>
      <c r="B5804" t="inlineStr"/>
      <c r="C5804" t="inlineStr">
        <is>
          <t>240</t>
        </is>
      </c>
      <c r="D5804" t="inlineStr">
        <is>
          <t>1</t>
        </is>
      </c>
      <c r="E5804" t="inlineStr">
        <is>
          <t>60</t>
        </is>
      </c>
      <c r="F5804" t="inlineStr">
        <is>
          <t>0</t>
        </is>
      </c>
      <c r="G5804" t="inlineStr">
        <is>
          <t>0</t>
        </is>
      </c>
      <c r="H5804" t="inlineStr">
        <is>
          <t>40², 80²</t>
        </is>
      </c>
      <c r="I5804" t="n">
        <v>4</v>
      </c>
      <c r="J5804" t="inlineStr">
        <is>
          <t>2⁶, 8⁶</t>
        </is>
      </c>
      <c r="K5804">
        <f>HYPERLINK("CSG3.html#group16E3", "16E³"), =HYPERLINK("CSG9.html#group40B9", "40B⁹"), =HYPERLINK("CSG10.html#group80B10", "80B¹⁰")</f>
        <v/>
      </c>
      <c r="L5804" t="inlineStr"/>
      <c r="M5804">
        <f>HYPERLINK("CSG0.html#group5A0", "5A⁰"), =HYPERLINK("CSG1.html#group8A1", "8A¹"), =HYPERLINK("CSG9.html#group40B9", "40B⁹"), =HYPERLINK("CSG0.html#group8D0", "8D⁰"), =HYPERLINK("CSG1.html#group10B1", "10B¹"), =HYPERLINK("CSG2.html#group20B2", "20B²"), =HYPERLINK("CSG0.html#group4C0", "4C⁰"), =HYPERLINK("CSG1.html#group20A1", "20A¹"), =HYPERLINK("CSG4.html#group20C4", "20C⁴"), =HYPERLINK("CSG0.html#group2B0", "2B⁰"), =HYPERLINK("CSG0.html#group1A0", "1A⁰"), =HYPERLINK("CSG4.html#group40C4", "40C⁴"), =HYPERLINK("CSG1.html#group8C1", "8C¹"), =HYPERLINK("CSG2.html#group16B2", "16B²"), =HYPERLINK("CSG0.html#group4A0", "4A⁰"), =HYPERLINK("CSG10.html#group80B10", "80B¹⁰"), =HYPERLINK("CSG0.html#group4F0", "4F⁰"), =HYPERLINK("CSG5.html#group40A5", "40A⁵"), =HYPERLINK("CSG3.html#group16E3", "16E³")</f>
        <v/>
      </c>
      <c r="N5804" t="inlineStr"/>
    </row>
    <row r="5805">
      <c r="A5805" t="inlineStr">
        <is>
          <t>80H¹⁹</t>
        </is>
      </c>
      <c r="B5805" t="inlineStr"/>
      <c r="C5805" t="inlineStr">
        <is>
          <t>240</t>
        </is>
      </c>
      <c r="D5805" t="inlineStr">
        <is>
          <t>1</t>
        </is>
      </c>
      <c r="E5805" t="inlineStr">
        <is>
          <t>60</t>
        </is>
      </c>
      <c r="F5805" t="inlineStr">
        <is>
          <t>0</t>
        </is>
      </c>
      <c r="G5805" t="inlineStr">
        <is>
          <t>0</t>
        </is>
      </c>
      <c r="H5805" t="inlineStr">
        <is>
          <t>40², 80²</t>
        </is>
      </c>
      <c r="I5805" t="n">
        <v>4</v>
      </c>
      <c r="J5805" t="inlineStr">
        <is>
          <t>1⁴, 2², 4⁵, 8², 16¹</t>
        </is>
      </c>
      <c r="K5805">
        <f>HYPERLINK("CSG3.html#group16F3", "16F³"), =HYPERLINK("CSG8.html#group40F8", "40F⁸"), =HYPERLINK("CSG9.html#group80D9", "80D⁹"), =HYPERLINK("CSG10.html#group80A10", "80A¹⁰")</f>
        <v/>
      </c>
      <c r="L5805" t="inlineStr"/>
      <c r="M5805">
        <f>HYPERLINK("CSG0.html#group5A0", "5A⁰"), =HYPERLINK("CSG1.html#group16D1", "16D¹"), =HYPERLINK("CSG4.html#group40A4", "40A⁴"), =HYPERLINK("CSG1.html#group10B1", "10B¹"), =HYPERLINK("CSG9.html#group80D9", "80D⁹"), =HYPERLINK("CSG3.html#group16F3", "16F³"), =HYPERLINK("CSG2.html#group20B2", "20B²"), =HYPERLINK("CSG0.html#group4C0", "4C⁰"), =HYPERLINK("CSG0.html#group8B0", "8B⁰"), =HYPERLINK("CSG0.html#group8L0", "8L⁰"), =HYPERLINK("CSG0.html#group2B0", "2B⁰"), =HYPERLINK("CSG0.html#group1A0", "1A⁰"), =HYPERLINK("CSG10.html#group80A10", "80A¹⁰"), =HYPERLINK("CSG8.html#group40F8", "40F⁸"), =HYPERLINK("CSG2.html#group16A2", "16A²")</f>
        <v/>
      </c>
      <c r="N5805" t="inlineStr"/>
    </row>
    <row r="5806">
      <c r="A5806" t="inlineStr">
        <is>
          <t>80I¹⁹</t>
        </is>
      </c>
      <c r="B5806" t="inlineStr"/>
      <c r="C5806" t="inlineStr">
        <is>
          <t>240</t>
        </is>
      </c>
      <c r="D5806" t="inlineStr">
        <is>
          <t>1</t>
        </is>
      </c>
      <c r="E5806" t="inlineStr">
        <is>
          <t>120</t>
        </is>
      </c>
      <c r="F5806" t="inlineStr">
        <is>
          <t>0</t>
        </is>
      </c>
      <c r="G5806" t="inlineStr">
        <is>
          <t>0</t>
        </is>
      </c>
      <c r="H5806" t="inlineStr">
        <is>
          <t>40², 80²</t>
        </is>
      </c>
      <c r="I5806" t="n">
        <v>4</v>
      </c>
      <c r="J5806" t="inlineStr">
        <is>
          <t>2⁴, 4¹⁰, 8⁵, 16²</t>
        </is>
      </c>
      <c r="K5806">
        <f>HYPERLINK("CSG9.html#group40D9", "40D⁹")</f>
        <v/>
      </c>
      <c r="L5806" t="inlineStr"/>
      <c r="M5806">
        <f>HYPERLINK("CSG1.html#group8A1", "8A¹"), =HYPERLINK("CSG0.html#group5C0", "5C⁰"), =HYPERLINK("CSG0.html#group4C0", "4C⁰"), =HYPERLINK("CSG9.html#group40D9", "40D⁹"), =HYPERLINK("CSG0.html#group2B0", "2B⁰"), =HYPERLINK("CSG0.html#group1A0", "1A⁰"), =HYPERLINK("CSG3.html#group20F3", "20F³"), =HYPERLINK("CSG1.html#group10F1", "10F¹")</f>
        <v/>
      </c>
      <c r="N5806" t="inlineStr"/>
    </row>
    <row r="5807">
      <c r="A5807" t="inlineStr">
        <is>
          <t>80J¹⁹</t>
        </is>
      </c>
      <c r="B5807" t="inlineStr"/>
      <c r="C5807" t="inlineStr">
        <is>
          <t>240</t>
        </is>
      </c>
      <c r="D5807" t="inlineStr">
        <is>
          <t>1</t>
        </is>
      </c>
      <c r="E5807" t="inlineStr">
        <is>
          <t>120</t>
        </is>
      </c>
      <c r="F5807" t="inlineStr">
        <is>
          <t>0</t>
        </is>
      </c>
      <c r="G5807" t="inlineStr">
        <is>
          <t>0</t>
        </is>
      </c>
      <c r="H5807" t="inlineStr">
        <is>
          <t>40², 80²</t>
        </is>
      </c>
      <c r="I5807" t="n">
        <v>4</v>
      </c>
      <c r="J5807" t="inlineStr">
        <is>
          <t>2⁴, 4¹⁰, 8⁵, 16²</t>
        </is>
      </c>
      <c r="K5807">
        <f>HYPERLINK("CSG2.html#group16B2", "16B²"), =HYPERLINK("CSG9.html#group40D9", "40D⁹")</f>
        <v/>
      </c>
      <c r="L5807" t="inlineStr"/>
      <c r="M5807">
        <f>HYPERLINK("CSG2.html#group16B2", "16B²"), =HYPERLINK("CSG1.html#group8A1", "8A¹"), =HYPERLINK("CSG0.html#group5C0", "5C⁰"), =HYPERLINK("CSG0.html#group4C0", "4C⁰"), =HYPERLINK("CSG9.html#group40D9", "40D⁹"), =HYPERLINK("CSG0.html#group2B0", "2B⁰"), =HYPERLINK("CSG0.html#group1A0", "1A⁰"), =HYPERLINK("CSG3.html#group20F3", "20F³"), =HYPERLINK("CSG1.html#group10F1", "10F¹")</f>
        <v/>
      </c>
      <c r="N5807" t="inlineStr"/>
    </row>
    <row r="5808">
      <c r="A5808" t="inlineStr">
        <is>
          <t>80K¹⁹</t>
        </is>
      </c>
      <c r="B5808" t="inlineStr"/>
      <c r="C5808" t="inlineStr">
        <is>
          <t>240</t>
        </is>
      </c>
      <c r="D5808" t="inlineStr">
        <is>
          <t>2</t>
        </is>
      </c>
      <c r="E5808" t="inlineStr">
        <is>
          <t>120</t>
        </is>
      </c>
      <c r="F5808" t="inlineStr">
        <is>
          <t>2</t>
        </is>
      </c>
      <c r="G5808" t="inlineStr">
        <is>
          <t>0</t>
        </is>
      </c>
      <c r="H5808" t="inlineStr">
        <is>
          <t>80³</t>
        </is>
      </c>
      <c r="I5808" t="n">
        <v>3</v>
      </c>
      <c r="J5808" t="inlineStr">
        <is>
          <t>8⁶, 32⁶</t>
        </is>
      </c>
      <c r="K5808">
        <f>HYPERLINK("CSG3.html#group16G3", "16G³"), =HYPERLINK("CSG4.html#group80A4", "80A⁴"), =HYPERLINK("CSG9.html#group40E9", "40E⁹")</f>
        <v/>
      </c>
      <c r="L5808" t="inlineStr"/>
      <c r="M5808">
        <f>HYPERLINK("CSG0.html#group5A0", "5A⁰"), =HYPERLINK("CSG4.html#group80A4", "80A⁴"), =HYPERLINK("CSG0.html#group16A0", "16A⁰"), =HYPERLINK("CSG1.html#group10B1", "10B¹"), =HYPERLINK("CSG2.html#group20B2", "20B²"), =HYPERLINK("CSG0.html#group4C0", "4C⁰"), =HYPERLINK("CSG0.html#group8A0", "8A⁰"), =HYPERLINK("CSG3.html#group16G3", "16G³"), =HYPERLINK("CSG1.html#group20A1", "20A¹"), =HYPERLINK("CSG4.html#group20C4", "20C⁴"), =HYPERLINK("CSG0.html#group2B0", "2B⁰"), =HYPERLINK("CSG0.html#group1A0", "1A⁰"), =HYPERLINK("CSG1.html#group8D1", "8D¹"), =HYPERLINK("CSG0.html#group4A0", "4A⁰"), =HYPERLINK("CSG0.html#group4F0", "4F⁰"), =HYPERLINK("CSG9.html#group40E9", "40E⁹"), =HYPERLINK("CSG2.html#group40A2", "40A²")</f>
        <v/>
      </c>
      <c r="N5808" t="inlineStr"/>
    </row>
    <row r="5809">
      <c r="A5809" t="inlineStr">
        <is>
          <t>80L¹⁹</t>
        </is>
      </c>
      <c r="B5809" t="inlineStr"/>
      <c r="C5809" t="inlineStr">
        <is>
          <t>288</t>
        </is>
      </c>
      <c r="D5809" t="inlineStr">
        <is>
          <t>1</t>
        </is>
      </c>
      <c r="E5809" t="inlineStr">
        <is>
          <t>18</t>
        </is>
      </c>
      <c r="F5809" t="inlineStr">
        <is>
          <t>0</t>
        </is>
      </c>
      <c r="G5809" t="inlineStr">
        <is>
          <t>0</t>
        </is>
      </c>
      <c r="H5809" t="inlineStr">
        <is>
          <t>4⁴, 16², 20⁴, 80²</t>
        </is>
      </c>
      <c r="I5809" t="n">
        <v>12</v>
      </c>
      <c r="J5809" t="inlineStr">
        <is>
          <t>1⁶, 4³</t>
        </is>
      </c>
      <c r="K5809">
        <f>HYPERLINK("CSG7.html#group40M7", "40M⁷"), =HYPERLINK("CSG9.html#group80I9", "80I⁹")</f>
        <v/>
      </c>
      <c r="L5809" t="inlineStr"/>
      <c r="M5809">
        <f>HYPERLINK("CSG9.html#group80I9", "80I⁹"), =HYPERLINK("CSG1.html#group20E1", "20E¹"), =HYPERLINK("CSG0.html#group2A0", "2A⁰"), =HYPERLINK("CSG3.html#group40H3", "40H³"), =HYPERLINK("CSG0.html#group8D0", "8D⁰"), =HYPERLINK("CSG0.html#group4C0", "4C⁰"), =HYPERLINK("CSG0.html#group5B0", "5B⁰"), =HYPERLINK("CSG1.html#group10A1", "10A¹"), =HYPERLINK("CSG1.html#group20D1", "20D¹"), =HYPERLINK("CSG0.html#group8C0", "8C⁰"), =HYPERLINK("CSG0.html#group2B0", "2B⁰"), =HYPERLINK("CSG0.html#group4E0", "4E⁰"), =HYPERLINK("CSG0.html#group4B0", "4B⁰"), =HYPERLINK("CSG0.html#group1A0", "1A⁰"), =HYPERLINK("CSG3.html#group40F3", "40F³"), =HYPERLINK("CSG7.html#group40M7", "40M⁷"), =HYPERLINK("CSG0.html#group8G0", "8G⁰"), =HYPERLINK("CSG0.html#group10C0", "10C⁰"), =HYPERLINK("CSG3.html#group20J3", "20J³"), =HYPERLINK("CSG0.html#group2C0", "2C⁰"), =HYPERLINK("CSG1.html#group10G1", "10G¹")</f>
        <v/>
      </c>
      <c r="N5809" t="inlineStr"/>
    </row>
    <row r="5810">
      <c r="A5810" t="inlineStr">
        <is>
          <t>80M¹⁹</t>
        </is>
      </c>
      <c r="B5810" t="inlineStr"/>
      <c r="C5810" t="inlineStr">
        <is>
          <t>288</t>
        </is>
      </c>
      <c r="D5810" t="inlineStr">
        <is>
          <t>1</t>
        </is>
      </c>
      <c r="E5810" t="inlineStr">
        <is>
          <t>18</t>
        </is>
      </c>
      <c r="F5810" t="inlineStr">
        <is>
          <t>0</t>
        </is>
      </c>
      <c r="G5810" t="inlineStr">
        <is>
          <t>0</t>
        </is>
      </c>
      <c r="H5810" t="inlineStr">
        <is>
          <t>4⁴, 16², 20⁴, 80²</t>
        </is>
      </c>
      <c r="I5810" t="n">
        <v>12</v>
      </c>
      <c r="J5810" t="inlineStr">
        <is>
          <t>1⁶, 4³</t>
        </is>
      </c>
      <c r="K5810">
        <f>HYPERLINK("CSG2.html#group16C2", "16C²"), =HYPERLINK("CSG7.html#group40M7", "40M⁷"), =HYPERLINK("CSG9.html#group80J9", "80J⁹")</f>
        <v/>
      </c>
      <c r="L5810" t="inlineStr"/>
      <c r="M5810">
        <f>HYPERLINK("CSG1.html#group20E1", "20E¹"), =HYPERLINK("CSG0.html#group2A0", "2A⁰"), =HYPERLINK("CSG2.html#group16C2", "16C²"), =HYPERLINK("CSG3.html#group40H3", "40H³"), =HYPERLINK("CSG0.html#group8D0", "8D⁰"), =HYPERLINK("CSG9.html#group80J9", "80J⁹"), =HYPERLINK("CSG0.html#group4C0", "4C⁰"), =HYPERLINK("CSG0.html#group5B0", "5B⁰"), =HYPERLINK("CSG1.html#group10A1", "10A¹"), =HYPERLINK("CSG1.html#group20D1", "20D¹"), =HYPERLINK("CSG0.html#group8C0", "8C⁰"), =HYPERLINK("CSG0.html#group2B0", "2B⁰"), =HYPERLINK("CSG0.html#group4E0", "4E⁰"), =HYPERLINK("CSG0.html#group4B0", "4B⁰"), =HYPERLINK("CSG0.html#group1A0", "1A⁰"), =HYPERLINK("CSG3.html#group40F3", "40F³"), =HYPERLINK("CSG7.html#group40M7", "40M⁷"), =HYPERLINK("CSG0.html#group8G0", "8G⁰"), =HYPERLINK("CSG1.html#group16C1", "16C¹"), =HYPERLINK("CSG0.html#group10C0", "10C⁰"), =HYPERLINK("CSG3.html#group20J3", "20J³"), =HYPERLINK("CSG0.html#group2C0", "2C⁰"), =HYPERLINK("CSG1.html#group10G1", "10G¹")</f>
        <v/>
      </c>
      <c r="N5810" t="inlineStr"/>
    </row>
    <row r="5811">
      <c r="A5811" t="inlineStr">
        <is>
          <t>80N¹⁹</t>
        </is>
      </c>
      <c r="B5811" t="inlineStr"/>
      <c r="C5811" t="inlineStr">
        <is>
          <t>288</t>
        </is>
      </c>
      <c r="D5811" t="inlineStr">
        <is>
          <t>1</t>
        </is>
      </c>
      <c r="E5811" t="inlineStr">
        <is>
          <t>36</t>
        </is>
      </c>
      <c r="F5811" t="inlineStr">
        <is>
          <t>0</t>
        </is>
      </c>
      <c r="G5811" t="inlineStr">
        <is>
          <t>0</t>
        </is>
      </c>
      <c r="H5811" t="inlineStr">
        <is>
          <t>4⁴, 16², 20⁴, 80²</t>
        </is>
      </c>
      <c r="I5811" t="n">
        <v>12</v>
      </c>
      <c r="J5811" t="inlineStr">
        <is>
          <t>2⁶, 8³</t>
        </is>
      </c>
      <c r="K5811">
        <f>HYPERLINK("CSG7.html#group40L7", "40L⁷")</f>
        <v/>
      </c>
      <c r="L5811" t="inlineStr"/>
      <c r="M5811">
        <f>HYPERLINK("CSG1.html#group20E1", "20E¹"), =HYPERLINK("CSG0.html#group2A0", "2A⁰"), =HYPERLINK("CSG7.html#group40L7", "40L⁷"), =HYPERLINK("CSG0.html#group4C0", "4C⁰"), =HYPERLINK("CSG0.html#group5B0", "5B⁰"), =HYPERLINK("CSG1.html#group10A1", "10A¹"), =HYPERLINK("CSG1.html#group20D1", "20D¹"), =HYPERLINK("CSG0.html#group4E0", "4E⁰"), =HYPERLINK("CSG0.html#group2B0", "2B⁰"), =HYPERLINK("CSG0.html#group4B0", "4B⁰"), =HYPERLINK("CSG0.html#group1A0", "1A⁰"), =HYPERLINK("CSG0.html#group10C0", "10C⁰"), =HYPERLINK("CSG3.html#group40E3", "40E³"), =HYPERLINK("CSG3.html#group20J3", "20J³"), =HYPERLINK("CSG0.html#group2C0", "2C⁰"), =HYPERLINK("CSG1.html#group10G1", "10G¹"), =HYPERLINK("CSG3.html#group40G3", "40G³")</f>
        <v/>
      </c>
      <c r="N5811" t="inlineStr"/>
    </row>
    <row r="5812">
      <c r="A5812" t="inlineStr">
        <is>
          <t>80O¹⁹</t>
        </is>
      </c>
      <c r="B5812" t="inlineStr"/>
      <c r="C5812" t="inlineStr">
        <is>
          <t>288</t>
        </is>
      </c>
      <c r="D5812" t="inlineStr">
        <is>
          <t>1</t>
        </is>
      </c>
      <c r="E5812" t="inlineStr">
        <is>
          <t>72</t>
        </is>
      </c>
      <c r="F5812" t="inlineStr">
        <is>
          <t>0</t>
        </is>
      </c>
      <c r="G5812" t="inlineStr">
        <is>
          <t>0</t>
        </is>
      </c>
      <c r="H5812" t="inlineStr">
        <is>
          <t>4⁴, 16², 20⁴, 80²</t>
        </is>
      </c>
      <c r="I5812" t="n">
        <v>12</v>
      </c>
      <c r="J5812" t="inlineStr">
        <is>
          <t>1⁴, 2², 4⁶, 8¹, 16²</t>
        </is>
      </c>
      <c r="K5812">
        <f>HYPERLINK("CSG7.html#group40N7", "40N⁷"), =HYPERLINK("CSG9.html#group80I9", "80I⁹"), =HYPERLINK("CSG9.html#group80J9", "80J⁹")</f>
        <v/>
      </c>
      <c r="L5812" t="inlineStr"/>
      <c r="M5812">
        <f>HYPERLINK("CSG9.html#group80I9", "80I⁹"), =HYPERLINK("CSG1.html#group20E1", "20E¹"), =HYPERLINK("CSG3.html#group40H3", "40H³"), =HYPERLINK("CSG0.html#group8D0", "8D⁰"), =HYPERLINK("CSG9.html#group80J9", "80J⁹"), =HYPERLINK("CSG3.html#group20G3", "20G³"), =HYPERLINK("CSG0.html#group4C0", "4C⁰"), =HYPERLINK("CSG0.html#group5B0", "5B⁰"), =HYPERLINK("CSG0.html#group5D0", "5D⁰"), =HYPERLINK("CSG0.html#group2B0", "2B⁰"), =HYPERLINK("CSG0.html#group1A0", "1A⁰"), =HYPERLINK("CSG0.html#group10F0", "10F⁰"), =HYPERLINK("CSG7.html#group40N7", "40N⁷"), =HYPERLINK("CSG1.html#group16C1", "16C¹"), =HYPERLINK("CSG0.html#group10C0", "10C⁰"), =HYPERLINK("CSG2.html#group20C2", "20C²"), =HYPERLINK("CSG3.html#group40G3", "40G³")</f>
        <v/>
      </c>
      <c r="N5812" t="inlineStr"/>
    </row>
    <row r="5813">
      <c r="A5813" t="inlineStr">
        <is>
          <t>80P¹⁹</t>
        </is>
      </c>
      <c r="B5813" t="inlineStr"/>
      <c r="C5813" t="inlineStr">
        <is>
          <t>288</t>
        </is>
      </c>
      <c r="D5813" t="inlineStr">
        <is>
          <t>1</t>
        </is>
      </c>
      <c r="E5813" t="inlineStr">
        <is>
          <t>72</t>
        </is>
      </c>
      <c r="F5813" t="inlineStr">
        <is>
          <t>0</t>
        </is>
      </c>
      <c r="G5813" t="inlineStr">
        <is>
          <t>0</t>
        </is>
      </c>
      <c r="H5813" t="inlineStr">
        <is>
          <t>4⁴, 16², 20⁴, 80²</t>
        </is>
      </c>
      <c r="I5813" t="n">
        <v>12</v>
      </c>
      <c r="J5813" t="inlineStr">
        <is>
          <t>1⁴, 2², 4⁶, 8¹, 16²</t>
        </is>
      </c>
      <c r="K5813">
        <f>HYPERLINK("CSG7.html#group80I7", "80I⁷"), =HYPERLINK("CSG9.html#group40N9", "40N⁹"), =HYPERLINK("CSG9.html#group80J9", "80J⁹")</f>
        <v/>
      </c>
      <c r="L5813" t="inlineStr"/>
      <c r="M5813">
        <f>HYPERLINK("CSG1.html#group20E1", "20E¹"), =HYPERLINK("CSG9.html#group40N9", "40N⁹"), =HYPERLINK("CSG7.html#group80I7", "80I⁷"), =HYPERLINK("CSG3.html#group40H3", "40H³"), =HYPERLINK("CSG9.html#group80J9", "80J⁹"), =HYPERLINK("CSG0.html#group8D0", "8D⁰"), =HYPERLINK("CSG1.html#group16C1", "16C¹"), =HYPERLINK("CSG0.html#group4C0", "4C⁰"), =HYPERLINK("CSG0.html#group5B0", "5B⁰"), =HYPERLINK("CSG0.html#group10C0", "10C⁰"), =HYPERLINK("CSG0.html#group2B0", "2B⁰"), =HYPERLINK("CSG5.html#group40B5", "40B⁵"), =HYPERLINK("CSG3.html#group20K3", "20K³"), =HYPERLINK("CSG0.html#group1A0", "1A⁰")</f>
        <v/>
      </c>
      <c r="N5813" t="inlineStr"/>
    </row>
    <row r="5814">
      <c r="A5814" t="inlineStr">
        <is>
          <t>80Q¹⁹</t>
        </is>
      </c>
      <c r="B5814" t="inlineStr"/>
      <c r="C5814" t="inlineStr">
        <is>
          <t>288</t>
        </is>
      </c>
      <c r="D5814" t="inlineStr">
        <is>
          <t>1</t>
        </is>
      </c>
      <c r="E5814" t="inlineStr">
        <is>
          <t>72</t>
        </is>
      </c>
      <c r="F5814" t="inlineStr">
        <is>
          <t>0</t>
        </is>
      </c>
      <c r="G5814" t="inlineStr">
        <is>
          <t>0</t>
        </is>
      </c>
      <c r="H5814" t="inlineStr">
        <is>
          <t>4⁴, 16², 20⁴, 80²</t>
        </is>
      </c>
      <c r="I5814" t="n">
        <v>12</v>
      </c>
      <c r="J5814" t="inlineStr">
        <is>
          <t>1⁴, 2², 4⁶, 8¹, 16²</t>
        </is>
      </c>
      <c r="K5814">
        <f>HYPERLINK("CSG7.html#group80I7", "80I⁷"), =HYPERLINK("CSG9.html#group40P9", "40P⁹"), =HYPERLINK("CSG9.html#group80I9", "80I⁹")</f>
        <v/>
      </c>
      <c r="L5814" t="inlineStr"/>
      <c r="M5814">
        <f>HYPERLINK("CSG9.html#group80I9", "80I⁹"), =HYPERLINK("CSG1.html#group20E1", "20E¹"), =HYPERLINK("CSG1.html#group8A1", "8A¹"), =HYPERLINK("CSG3.html#group40H3", "40H³"), =HYPERLINK("CSG0.html#group8D0", "8D⁰"), =HYPERLINK("CSG0.html#group4C0", "4C⁰"), =HYPERLINK("CSG0.html#group5B0", "5B⁰"), =HYPERLINK("CSG5.html#group40C5", "40C⁵"), =HYPERLINK("CSG0.html#group2B0", "2B⁰"), =HYPERLINK("CSG0.html#group1A0", "1A⁰"), =HYPERLINK("CSG1.html#group20B1", "20B¹"), =HYPERLINK("CSG9.html#group40P9", "40P⁹"), =HYPERLINK("CSG1.html#group8C1", "8C¹"), =HYPERLINK("CSG7.html#group80I7", "80I⁷"), =HYPERLINK("CSG0.html#group4A0", "4A⁰"), =HYPERLINK("CSG0.html#group10C0", "10C⁰"), =HYPERLINK("CSG0.html#group4F0", "4F⁰"), =HYPERLINK("CSG3.html#group20L3", "20L³")</f>
        <v/>
      </c>
      <c r="N5814" t="inlineStr"/>
    </row>
    <row r="5815">
      <c r="A5815" t="inlineStr">
        <is>
          <t>80R¹⁹</t>
        </is>
      </c>
      <c r="B5815" t="inlineStr"/>
      <c r="C5815" t="inlineStr">
        <is>
          <t>288</t>
        </is>
      </c>
      <c r="D5815" t="inlineStr">
        <is>
          <t>1</t>
        </is>
      </c>
      <c r="E5815" t="inlineStr">
        <is>
          <t>72</t>
        </is>
      </c>
      <c r="F5815" t="inlineStr">
        <is>
          <t>0</t>
        </is>
      </c>
      <c r="G5815" t="inlineStr">
        <is>
          <t>0</t>
        </is>
      </c>
      <c r="H5815" t="inlineStr">
        <is>
          <t>4⁴, 16², 20⁴, 80²</t>
        </is>
      </c>
      <c r="I5815" t="n">
        <v>12</v>
      </c>
      <c r="J5815" t="inlineStr">
        <is>
          <t>1⁴, 2², 4⁶, 8¹, 16²</t>
        </is>
      </c>
      <c r="K5815">
        <f>HYPERLINK("CSG7.html#group80J7", "80J⁷"), =HYPERLINK("CSG9.html#group40N9", "40N⁹"), =HYPERLINK("CSG9.html#group80I9", "80I⁹")</f>
        <v/>
      </c>
      <c r="L5815" t="inlineStr"/>
      <c r="M5815">
        <f>HYPERLINK("CSG9.html#group80I9", "80I⁹"), =HYPERLINK("CSG1.html#group20E1", "20E¹"), =HYPERLINK("CSG0.html#group16E0", "16E⁰"), =HYPERLINK("CSG9.html#group40N9", "40N⁹"), =HYPERLINK("CSG3.html#group40H3", "40H³"), =HYPERLINK("CSG0.html#group8D0", "8D⁰"), =HYPERLINK("CSG0.html#group4C0", "4C⁰"), =HYPERLINK("CSG0.html#group5B0", "5B⁰"), =HYPERLINK("CSG7.html#group80J7", "80J⁷"), =HYPERLINK("CSG0.html#group10C0", "10C⁰"), =HYPERLINK("CSG0.html#group2B0", "2B⁰"), =HYPERLINK("CSG5.html#group40B5", "40B⁵"), =HYPERLINK("CSG3.html#group20K3", "20K³"), =HYPERLINK("CSG0.html#group1A0", "1A⁰")</f>
        <v/>
      </c>
      <c r="N5815" t="inlineStr"/>
    </row>
    <row r="5816">
      <c r="A5816" t="inlineStr">
        <is>
          <t>80S¹⁹</t>
        </is>
      </c>
      <c r="B5816" t="inlineStr"/>
      <c r="C5816" t="inlineStr">
        <is>
          <t>288</t>
        </is>
      </c>
      <c r="D5816" t="inlineStr">
        <is>
          <t>1</t>
        </is>
      </c>
      <c r="E5816" t="inlineStr">
        <is>
          <t>72</t>
        </is>
      </c>
      <c r="F5816" t="inlineStr">
        <is>
          <t>0</t>
        </is>
      </c>
      <c r="G5816" t="inlineStr">
        <is>
          <t>0</t>
        </is>
      </c>
      <c r="H5816" t="inlineStr">
        <is>
          <t>4⁴, 16², 20⁴, 80²</t>
        </is>
      </c>
      <c r="I5816" t="n">
        <v>12</v>
      </c>
      <c r="J5816" t="inlineStr">
        <is>
          <t>1⁴, 2², 4⁶, 8¹, 16²</t>
        </is>
      </c>
      <c r="K5816">
        <f>HYPERLINK("CSG2.html#group16D2", "16D²"), =HYPERLINK("CSG7.html#group80J7", "80J⁷"), =HYPERLINK("CSG9.html#group40P9", "40P⁹"), =HYPERLINK("CSG9.html#group80J9", "80J⁹")</f>
        <v/>
      </c>
      <c r="L5816" t="inlineStr"/>
      <c r="M5816">
        <f>HYPERLINK("CSG2.html#group16D2", "16D²"), =HYPERLINK("CSG1.html#group20E1", "20E¹"), =HYPERLINK("CSG1.html#group8A1", "8A¹"), =HYPERLINK("CSG3.html#group40H3", "40H³"), =HYPERLINK("CSG0.html#group8D0", "8D⁰"), =HYPERLINK("CSG9.html#group80J9", "80J⁹"), =HYPERLINK("CSG0.html#group4C0", "4C⁰"), =HYPERLINK("CSG0.html#group5B0", "5B⁰"), =HYPERLINK("CSG7.html#group80J7", "80J⁷"), =HYPERLINK("CSG5.html#group40C5", "40C⁵"), =HYPERLINK("CSG0.html#group2B0", "2B⁰"), =HYPERLINK("CSG0.html#group1A0", "1A⁰"), =HYPERLINK("CSG1.html#group20B1", "20B¹"), =HYPERLINK("CSG9.html#group40P9", "40P⁹"), =HYPERLINK("CSG0.html#group16E0", "16E⁰"), =HYPERLINK("CSG1.html#group8C1", "8C¹"), =HYPERLINK("CSG0.html#group4A0", "4A⁰"), =HYPERLINK("CSG1.html#group16C1", "16C¹"), =HYPERLINK("CSG0.html#group10C0", "10C⁰"), =HYPERLINK("CSG0.html#group4F0", "4F⁰"), =HYPERLINK("CSG3.html#group20L3", "20L³")</f>
        <v/>
      </c>
      <c r="N5816" t="inlineStr"/>
    </row>
    <row r="5817">
      <c r="A5817" t="inlineStr">
        <is>
          <t>80T¹⁹</t>
        </is>
      </c>
      <c r="B5817" t="inlineStr"/>
      <c r="C5817" t="inlineStr">
        <is>
          <t>288</t>
        </is>
      </c>
      <c r="D5817" t="inlineStr">
        <is>
          <t>1</t>
        </is>
      </c>
      <c r="E5817" t="inlineStr">
        <is>
          <t>72</t>
        </is>
      </c>
      <c r="F5817" t="inlineStr">
        <is>
          <t>0</t>
        </is>
      </c>
      <c r="G5817" t="inlineStr">
        <is>
          <t>0</t>
        </is>
      </c>
      <c r="H5817" t="inlineStr">
        <is>
          <t>4⁴, 16², 20⁴, 80²</t>
        </is>
      </c>
      <c r="I5817" t="n">
        <v>12</v>
      </c>
      <c r="J5817" t="inlineStr">
        <is>
          <t>1⁸, 2⁴, 4⁶, 8², 16¹</t>
        </is>
      </c>
      <c r="K5817">
        <f>HYPERLINK("CSG7.html#group40O7", "40O⁷")</f>
        <v/>
      </c>
      <c r="L5817" t="inlineStr"/>
      <c r="M5817">
        <f>HYPERLINK("CSG3.html#group20H3", "20H³"), =HYPERLINK("CSG0.html#group10G0", "10G⁰"), =HYPERLINK("CSG3.html#group40F3", "40F³"), =HYPERLINK("CSG7.html#group40O7", "40O⁷"), =HYPERLINK("CSG0.html#group5B0", "5B⁰"), =HYPERLINK("CSG0.html#group10C0", "10C⁰"), =HYPERLINK("CSG3.html#group40E3", "40E³"), =HYPERLINK("CSG1.html#group20D1", "20D¹"), =HYPERLINK("CSG0.html#group8C0", "8C⁰"), =HYPERLINK("CSG0.html#group2B0", "2B⁰"), =HYPERLINK("CSG0.html#group4B0", "4B⁰"), =HYPERLINK("CSG0.html#group1A0", "1A⁰"), =HYPERLINK("CSG2.html#group20C2", "20C²"), =HYPERLINK("CSG0.html#group10B0", "10B⁰")</f>
        <v/>
      </c>
      <c r="N5817" t="inlineStr"/>
    </row>
    <row r="5818">
      <c r="A5818" t="inlineStr">
        <is>
          <t>80U¹⁹</t>
        </is>
      </c>
      <c r="B5818" t="inlineStr"/>
      <c r="C5818" t="inlineStr">
        <is>
          <t>288</t>
        </is>
      </c>
      <c r="D5818" t="inlineStr">
        <is>
          <t>1</t>
        </is>
      </c>
      <c r="E5818" t="inlineStr">
        <is>
          <t>72</t>
        </is>
      </c>
      <c r="F5818" t="inlineStr">
        <is>
          <t>8</t>
        </is>
      </c>
      <c r="G5818" t="inlineStr">
        <is>
          <t>0</t>
        </is>
      </c>
      <c r="H5818" t="inlineStr">
        <is>
          <t>8², 16², 40², 80²</t>
        </is>
      </c>
      <c r="I5818" t="n">
        <v>8</v>
      </c>
      <c r="J5818" t="inlineStr">
        <is>
          <t>2¹², 8⁶</t>
        </is>
      </c>
      <c r="K5818">
        <f>HYPERLINK("CSG7.html#group40S7", "40S⁷"), =HYPERLINK("CSG9.html#group80K9", "80K⁹")</f>
        <v/>
      </c>
      <c r="L5818" t="inlineStr"/>
      <c r="M5818">
        <f>HYPERLINK("CSG1.html#group20E1", "20E¹"), =HYPERLINK("CSG3.html#group40H3", "40H³"), =HYPERLINK("CSG0.html#group8D0", "8D⁰"), =HYPERLINK("CSG9.html#group80K9", "80K⁹"), =HYPERLINK("CSG0.html#group4C0", "4C⁰"), =HYPERLINK("CSG0.html#group8B0", "8B⁰"), =HYPERLINK("CSG0.html#group5B0", "5B⁰"), =HYPERLINK("CSG0.html#group2B0", "2B⁰"), =HYPERLINK("CSG0.html#group1A0", "1A⁰"), =HYPERLINK("CSG7.html#group40S7", "40S⁷"), =HYPERLINK("CSG1.html#group20B1", "20B¹"), =HYPERLINK("CSG0.html#group8H0", "8H⁰"), =HYPERLINK("CSG0.html#group4A0", "4A⁰"), =HYPERLINK("CSG0.html#group10C0", "10C⁰"), =HYPERLINK("CSG0.html#group4F0", "4F⁰"), =HYPERLINK("CSG3.html#group40D3", "40D³"), =HYPERLINK("CSG3.html#group20L3", "20L³")</f>
        <v/>
      </c>
      <c r="N5818" t="inlineStr"/>
    </row>
    <row r="5819">
      <c r="A5819" t="inlineStr">
        <is>
          <t>80V¹⁹</t>
        </is>
      </c>
      <c r="B5819" t="inlineStr"/>
      <c r="C5819" t="inlineStr">
        <is>
          <t>288</t>
        </is>
      </c>
      <c r="D5819" t="inlineStr">
        <is>
          <t>1</t>
        </is>
      </c>
      <c r="E5819" t="inlineStr">
        <is>
          <t>72</t>
        </is>
      </c>
      <c r="F5819" t="inlineStr">
        <is>
          <t>8</t>
        </is>
      </c>
      <c r="G5819" t="inlineStr">
        <is>
          <t>0</t>
        </is>
      </c>
      <c r="H5819" t="inlineStr">
        <is>
          <t>8², 16², 40², 80²</t>
        </is>
      </c>
      <c r="I5819" t="n">
        <v>8</v>
      </c>
      <c r="J5819" t="inlineStr">
        <is>
          <t>2¹², 8⁶</t>
        </is>
      </c>
      <c r="K5819">
        <f>HYPERLINK("CSG2.html#group16E2", "16E²"), =HYPERLINK("CSG7.html#group40S7", "40S⁷"), =HYPERLINK("CSG9.html#group80L9", "80L⁹")</f>
        <v/>
      </c>
      <c r="L5819" t="inlineStr"/>
      <c r="M5819">
        <f>HYPERLINK("CSG1.html#group20E1", "20E¹"), =HYPERLINK("CSG3.html#group40H3", "40H³"), =HYPERLINK("CSG0.html#group8D0", "8D⁰"), =HYPERLINK("CSG0.html#group4C0", "4C⁰"), =HYPERLINK("CSG0.html#group8B0", "8B⁰"), =HYPERLINK("CSG0.html#group5B0", "5B⁰"), =HYPERLINK("CSG0.html#group2B0", "2B⁰"), =HYPERLINK("CSG0.html#group1A0", "1A⁰"), =HYPERLINK("CSG2.html#group16E2", "16E²"), =HYPERLINK("CSG7.html#group40S7", "40S⁷"), =HYPERLINK("CSG1.html#group20B1", "20B¹"), =HYPERLINK("CSG0.html#group8H0", "8H⁰"), =HYPERLINK("CSG1.html#group16D1", "16D¹"), =HYPERLINK("CSG9.html#group80L9", "80L⁹"), =HYPERLINK("CSG0.html#group4A0", "4A⁰"), =HYPERLINK("CSG0.html#group10C0", "10C⁰"), =HYPERLINK("CSG0.html#group4F0", "4F⁰"), =HYPERLINK("CSG3.html#group40D3", "40D³"), =HYPERLINK("CSG3.html#group20L3", "20L³")</f>
        <v/>
      </c>
      <c r="N5819" t="inlineStr"/>
    </row>
    <row r="5820">
      <c r="A5820" t="inlineStr">
        <is>
          <t>80W¹⁹</t>
        </is>
      </c>
      <c r="B5820" t="inlineStr"/>
      <c r="C5820" t="inlineStr">
        <is>
          <t>288</t>
        </is>
      </c>
      <c r="D5820" t="inlineStr">
        <is>
          <t>2</t>
        </is>
      </c>
      <c r="E5820" t="inlineStr">
        <is>
          <t>36</t>
        </is>
      </c>
      <c r="F5820" t="inlineStr">
        <is>
          <t>8</t>
        </is>
      </c>
      <c r="G5820" t="inlineStr">
        <is>
          <t>0</t>
        </is>
      </c>
      <c r="H5820" t="inlineStr">
        <is>
          <t>8², 16², 40², 80²</t>
        </is>
      </c>
      <c r="I5820" t="n">
        <v>8</v>
      </c>
      <c r="J5820" t="inlineStr">
        <is>
          <t>2¹², 8⁶</t>
        </is>
      </c>
      <c r="K5820">
        <f>HYPERLINK("CSG7.html#group40P7", "40P⁷"), =HYPERLINK("CSG9.html#group80M9", "80M⁹"), =HYPERLINK("CSG9.html#group80P9", "80P⁹")</f>
        <v/>
      </c>
      <c r="L5820" t="inlineStr"/>
      <c r="M5820">
        <f>HYPERLINK("CSG3.html#group40C3", "40C³"), =HYPERLINK("CSG1.html#group20E1", "20E¹"), =HYPERLINK("CSG9.html#group80P9", "80P⁹"), =HYPERLINK("CSG9.html#group80M9", "80M⁹"), =HYPERLINK("CSG3.html#group40H3", "40H³"), =HYPERLINK("CSG0.html#group8D0", "8D⁰"), =HYPERLINK("CSG0.html#group4C0", "4C⁰"), =HYPERLINK("CSG0.html#group5B0", "5B⁰"), =HYPERLINK("CSG0.html#group10C0", "10C⁰"), =HYPERLINK("CSG0.html#group2B0", "2B⁰"), =HYPERLINK("CSG3.html#group20K3", "20K³"), =HYPERLINK("CSG0.html#group1A0", "1A⁰"), =HYPERLINK("CSG7.html#group40P7", "40P⁷")</f>
        <v/>
      </c>
      <c r="N5820" t="inlineStr"/>
    </row>
    <row r="5821">
      <c r="A5821" t="inlineStr">
        <is>
          <t>80X¹⁹</t>
        </is>
      </c>
      <c r="B5821" t="inlineStr"/>
      <c r="C5821" t="inlineStr">
        <is>
          <t>288</t>
        </is>
      </c>
      <c r="D5821" t="inlineStr">
        <is>
          <t>2</t>
        </is>
      </c>
      <c r="E5821" t="inlineStr">
        <is>
          <t>36</t>
        </is>
      </c>
      <c r="F5821" t="inlineStr">
        <is>
          <t>8</t>
        </is>
      </c>
      <c r="G5821" t="inlineStr">
        <is>
          <t>0</t>
        </is>
      </c>
      <c r="H5821" t="inlineStr">
        <is>
          <t>8², 16², 40², 80²</t>
        </is>
      </c>
      <c r="I5821" t="n">
        <v>8</v>
      </c>
      <c r="J5821" t="inlineStr">
        <is>
          <t>2¹², 8⁶</t>
        </is>
      </c>
      <c r="K5821">
        <f>HYPERLINK("CSG7.html#group40P7", "40P⁷"), =HYPERLINK("CSG9.html#group80N9", "80N⁹"), =HYPERLINK("CSG9.html#group80P9", "80P⁹")</f>
        <v/>
      </c>
      <c r="L5821" t="inlineStr"/>
      <c r="M5821">
        <f>HYPERLINK("CSG3.html#group40C3", "40C³"), =HYPERLINK("CSG1.html#group20E1", "20E¹"), =HYPERLINK("CSG9.html#group80P9", "80P⁹"), =HYPERLINK("CSG3.html#group40H3", "40H³"), =HYPERLINK("CSG0.html#group8D0", "8D⁰"), =HYPERLINK("CSG0.html#group4C0", "4C⁰"), =HYPERLINK("CSG0.html#group5B0", "5B⁰"), =HYPERLINK("CSG0.html#group10C0", "10C⁰"), =HYPERLINK("CSG0.html#group2B0", "2B⁰"), =HYPERLINK("CSG9.html#group80N9", "80N⁹"), =HYPERLINK("CSG3.html#group20K3", "20K³"), =HYPERLINK("CSG0.html#group1A0", "1A⁰"), =HYPERLINK("CSG7.html#group40P7", "40P⁷")</f>
        <v/>
      </c>
      <c r="N5821" t="inlineStr"/>
    </row>
    <row r="5822">
      <c r="A5822" t="inlineStr">
        <is>
          <t>80Y¹⁹</t>
        </is>
      </c>
      <c r="B5822" t="inlineStr"/>
      <c r="C5822" t="inlineStr">
        <is>
          <t>288</t>
        </is>
      </c>
      <c r="D5822" t="inlineStr">
        <is>
          <t>2</t>
        </is>
      </c>
      <c r="E5822" t="inlineStr">
        <is>
          <t>36</t>
        </is>
      </c>
      <c r="F5822" t="inlineStr">
        <is>
          <t>8</t>
        </is>
      </c>
      <c r="G5822" t="inlineStr">
        <is>
          <t>0</t>
        </is>
      </c>
      <c r="H5822" t="inlineStr">
        <is>
          <t>8², 16², 40², 80²</t>
        </is>
      </c>
      <c r="I5822" t="n">
        <v>8</v>
      </c>
      <c r="J5822" t="inlineStr">
        <is>
          <t>2¹², 8⁶</t>
        </is>
      </c>
      <c r="K5822">
        <f>HYPERLINK("CSG7.html#group40R7", "40R⁷"), =HYPERLINK("CSG9.html#group80M9", "80M⁹"), =HYPERLINK("CSG9.html#group80P9", "80P⁹")</f>
        <v/>
      </c>
      <c r="L5822" t="inlineStr"/>
      <c r="M5822">
        <f>HYPERLINK("CSG3.html#group40C3", "40C³"), =HYPERLINK("CSG1.html#group20E1", "20E¹"), =HYPERLINK("CSG9.html#group80P9", "80P⁹"), =HYPERLINK("CSG9.html#group80M9", "80M⁹"), =HYPERLINK("CSG0.html#group4A0", "4A⁰"), =HYPERLINK("CSG0.html#group4C0", "4C⁰"), =HYPERLINK("CSG0.html#group5B0", "5B⁰"), =HYPERLINK("CSG0.html#group10C0", "10C⁰"), =HYPERLINK("CSG7.html#group40R7", "40R⁷"), =HYPERLINK("CSG0.html#group2B0", "2B⁰"), =HYPERLINK("CSG0.html#group4F0", "4F⁰"), =HYPERLINK("CSG0.html#group1A0", "1A⁰"), =HYPERLINK("CSG1.html#group20B1", "20B¹"), =HYPERLINK("CSG3.html#group20L3", "20L³"), =HYPERLINK("CSG3.html#group40G3", "40G³")</f>
        <v/>
      </c>
      <c r="N5822" t="inlineStr"/>
    </row>
    <row r="5823">
      <c r="A5823" t="inlineStr">
        <is>
          <t>80Z¹⁹</t>
        </is>
      </c>
      <c r="B5823" t="inlineStr"/>
      <c r="C5823" t="inlineStr">
        <is>
          <t>288</t>
        </is>
      </c>
      <c r="D5823" t="inlineStr">
        <is>
          <t>2</t>
        </is>
      </c>
      <c r="E5823" t="inlineStr">
        <is>
          <t>36</t>
        </is>
      </c>
      <c r="F5823" t="inlineStr">
        <is>
          <t>8</t>
        </is>
      </c>
      <c r="G5823" t="inlineStr">
        <is>
          <t>0</t>
        </is>
      </c>
      <c r="H5823" t="inlineStr">
        <is>
          <t>8², 16², 40², 80²</t>
        </is>
      </c>
      <c r="I5823" t="n">
        <v>8</v>
      </c>
      <c r="J5823" t="inlineStr">
        <is>
          <t>2¹², 8⁶</t>
        </is>
      </c>
      <c r="K5823">
        <f>HYPERLINK("CSG7.html#group40R7", "40R⁷"), =HYPERLINK("CSG9.html#group80N9", "80N⁹"), =HYPERLINK("CSG9.html#group80P9", "80P⁹")</f>
        <v/>
      </c>
      <c r="L5823" t="inlineStr"/>
      <c r="M5823">
        <f>HYPERLINK("CSG1.html#group20E1", "20E¹"), =HYPERLINK("CSG9.html#group80P9", "80P⁹"), =HYPERLINK("CSG0.html#group4C0", "4C⁰"), =HYPERLINK("CSG0.html#group5B0", "5B⁰"), =HYPERLINK("CSG0.html#group2B0", "2B⁰"), =HYPERLINK("CSG9.html#group80N9", "80N⁹"), =HYPERLINK("CSG0.html#group1A0", "1A⁰"), =HYPERLINK("CSG1.html#group20B1", "20B¹"), =HYPERLINK("CSG3.html#group40C3", "40C³"), =HYPERLINK("CSG0.html#group4A0", "4A⁰"), =HYPERLINK("CSG0.html#group10C0", "10C⁰"), =HYPERLINK("CSG7.html#group40R7", "40R⁷"), =HYPERLINK("CSG0.html#group4F0", "4F⁰"), =HYPERLINK("CSG3.html#group20L3", "20L³"), =HYPERLINK("CSG3.html#group40G3", "40G³")</f>
        <v/>
      </c>
      <c r="N5823" t="inlineStr"/>
    </row>
    <row r="5824">
      <c r="A5824" t="inlineStr">
        <is>
          <t>80AA¹⁹</t>
        </is>
      </c>
      <c r="B5824" t="inlineStr"/>
      <c r="C5824" t="inlineStr">
        <is>
          <t>288</t>
        </is>
      </c>
      <c r="D5824" t="inlineStr">
        <is>
          <t>2</t>
        </is>
      </c>
      <c r="E5824" t="inlineStr">
        <is>
          <t>72</t>
        </is>
      </c>
      <c r="F5824" t="inlineStr">
        <is>
          <t>8</t>
        </is>
      </c>
      <c r="G5824" t="inlineStr">
        <is>
          <t>0</t>
        </is>
      </c>
      <c r="H5824" t="inlineStr">
        <is>
          <t>8², 16², 40², 80²</t>
        </is>
      </c>
      <c r="I5824" t="n">
        <v>8</v>
      </c>
      <c r="J5824" t="inlineStr">
        <is>
          <t>2¹⁶, 4⁴, 8⁸, 16²</t>
        </is>
      </c>
      <c r="K5824">
        <f>HYPERLINK("CSG7.html#group40Q7", "40Q⁷"), =HYPERLINK("CSG9.html#group80K9", "80K⁹"), =HYPERLINK("CSG9.html#group80L9", "80L⁹")</f>
        <v/>
      </c>
      <c r="L5824" t="inlineStr"/>
      <c r="M5824">
        <f>HYPERLINK("CSG1.html#group20E1", "20E¹"), =HYPERLINK("CSG3.html#group40D3", "40D³"), =HYPERLINK("CSG1.html#group16D1", "16D¹"), =HYPERLINK("CSG9.html#group80L9", "80L⁹"), =HYPERLINK("CSG7.html#group40Q7", "40Q⁷"), =HYPERLINK("CSG9.html#group80K9", "80K⁹"), =HYPERLINK("CSG0.html#group4C0", "4C⁰"), =HYPERLINK("CSG0.html#group8B0", "8B⁰"), =HYPERLINK("CSG0.html#group5B0", "5B⁰"), =HYPERLINK("CSG0.html#group10C0", "10C⁰"), =HYPERLINK("CSG0.html#group2B0", "2B⁰"), =HYPERLINK("CSG3.html#group20K3", "20K³"), =HYPERLINK("CSG0.html#group1A0", "1A⁰"), =HYPERLINK("CSG3.html#group40G3", "40G³")</f>
        <v/>
      </c>
      <c r="N5824" t="inlineStr"/>
    </row>
    <row r="5825">
      <c r="A5825" t="inlineStr">
        <is>
          <t>80AB¹⁹</t>
        </is>
      </c>
      <c r="B5825" t="inlineStr"/>
      <c r="C5825" t="inlineStr">
        <is>
          <t>288</t>
        </is>
      </c>
      <c r="D5825" t="inlineStr">
        <is>
          <t>2</t>
        </is>
      </c>
      <c r="E5825" t="inlineStr">
        <is>
          <t>72</t>
        </is>
      </c>
      <c r="F5825" t="inlineStr">
        <is>
          <t>8</t>
        </is>
      </c>
      <c r="G5825" t="inlineStr">
        <is>
          <t>0</t>
        </is>
      </c>
      <c r="H5825" t="inlineStr">
        <is>
          <t>8², 16², 40², 80²</t>
        </is>
      </c>
      <c r="I5825" t="n">
        <v>8</v>
      </c>
      <c r="J5825" t="inlineStr">
        <is>
          <t>2¹⁶, 4⁴, 8⁸, 16²</t>
        </is>
      </c>
      <c r="K5825">
        <f>HYPERLINK("CSG7.html#group40AA7", "40AA⁷"), =HYPERLINK("CSG9.html#group80G9", "80G⁹"), =HYPERLINK("CSG9.html#group80L9", "80L⁹")</f>
        <v/>
      </c>
      <c r="L5825" t="inlineStr"/>
      <c r="M5825">
        <f>HYPERLINK("CSG1.html#group20E1", "20E¹"), =HYPERLINK("CSG3.html#group40D3", "40D³"), =HYPERLINK("CSG7.html#group40AA7", "40AA⁷"), =HYPERLINK("CSG9.html#group80L9", "80L⁹"), =HYPERLINK("CSG1.html#group16D1", "16D¹"), =HYPERLINK("CSG0.html#group4C0", "4C⁰"), =HYPERLINK("CSG0.html#group8B0", "8B⁰"), =HYPERLINK("CSG0.html#group5B0", "5B⁰"), =HYPERLINK("CSG0.html#group10C0", "10C⁰"), =HYPERLINK("CSG0.html#group2B0", "2B⁰"), =HYPERLINK("CSG0.html#group1A0", "1A⁰"), =HYPERLINK("CSG9.html#group80G9", "80G⁹")</f>
        <v/>
      </c>
      <c r="N5825" t="inlineStr"/>
    </row>
    <row r="5826">
      <c r="A5826" t="inlineStr">
        <is>
          <t>80AC¹⁹</t>
        </is>
      </c>
      <c r="B5826" t="inlineStr"/>
      <c r="C5826" t="inlineStr">
        <is>
          <t>288</t>
        </is>
      </c>
      <c r="D5826" t="inlineStr">
        <is>
          <t>2</t>
        </is>
      </c>
      <c r="E5826" t="inlineStr">
        <is>
          <t>72</t>
        </is>
      </c>
      <c r="F5826" t="inlineStr">
        <is>
          <t>8</t>
        </is>
      </c>
      <c r="G5826" t="inlineStr">
        <is>
          <t>0</t>
        </is>
      </c>
      <c r="H5826" t="inlineStr">
        <is>
          <t>8², 16², 40², 80²</t>
        </is>
      </c>
      <c r="I5826" t="n">
        <v>8</v>
      </c>
      <c r="J5826" t="inlineStr">
        <is>
          <t>2¹⁶, 4⁴, 8⁸, 16²</t>
        </is>
      </c>
      <c r="K5826">
        <f>HYPERLINK("CSG7.html#group40AA7", "40AA⁷"), =HYPERLINK("CSG9.html#group80H9", "80H⁹"), =HYPERLINK("CSG9.html#group80K9", "80K⁹")</f>
        <v/>
      </c>
      <c r="L5826" t="inlineStr"/>
      <c r="M5826">
        <f>HYPERLINK("CSG1.html#group20E1", "20E¹"), =HYPERLINK("CSG3.html#group40D3", "40D³"), =HYPERLINK("CSG7.html#group40AA7", "40AA⁷"), =HYPERLINK("CSG9.html#group80H9", "80H⁹"), =HYPERLINK("CSG9.html#group80K9", "80K⁹"), =HYPERLINK("CSG0.html#group4C0", "4C⁰"), =HYPERLINK("CSG0.html#group8B0", "8B⁰"), =HYPERLINK("CSG0.html#group5B0", "5B⁰"), =HYPERLINK("CSG0.html#group10C0", "10C⁰"), =HYPERLINK("CSG1.html#group16B1", "16B¹"), =HYPERLINK("CSG0.html#group2B0", "2B⁰"), =HYPERLINK("CSG0.html#group1A0", "1A⁰")</f>
        <v/>
      </c>
      <c r="N5826" t="inlineStr"/>
    </row>
    <row r="5827">
      <c r="A5827" t="inlineStr">
        <is>
          <t>80AD¹⁹</t>
        </is>
      </c>
      <c r="B5827" t="inlineStr"/>
      <c r="C5827" t="inlineStr">
        <is>
          <t>288</t>
        </is>
      </c>
      <c r="D5827" t="inlineStr">
        <is>
          <t>2</t>
        </is>
      </c>
      <c r="E5827" t="inlineStr">
        <is>
          <t>72</t>
        </is>
      </c>
      <c r="F5827" t="inlineStr">
        <is>
          <t>8</t>
        </is>
      </c>
      <c r="G5827" t="inlineStr">
        <is>
          <t>0</t>
        </is>
      </c>
      <c r="H5827" t="inlineStr">
        <is>
          <t>8², 16², 40², 80²</t>
        </is>
      </c>
      <c r="I5827" t="n">
        <v>8</v>
      </c>
      <c r="J5827" t="inlineStr">
        <is>
          <t>2¹⁶, 4⁴, 8⁸, 16²</t>
        </is>
      </c>
      <c r="K5827">
        <f>HYPERLINK("CSG7.html#group40AB7", "40AB⁷"), =HYPERLINK("CSG9.html#group80G9", "80G⁹"), =HYPERLINK("CSG9.html#group80K9", "80K⁹")</f>
        <v/>
      </c>
      <c r="L5827" t="inlineStr"/>
      <c r="M5827">
        <f>HYPERLINK("CSG1.html#group20E1", "20E¹"), =HYPERLINK("CSG3.html#group40D3", "40D³"), =HYPERLINK("CSG9.html#group80K9", "80K⁹"), =HYPERLINK("CSG0.html#group4C0", "4C⁰"), =HYPERLINK("CSG0.html#group8B0", "8B⁰"), =HYPERLINK("CSG0.html#group5B0", "5B⁰"), =HYPERLINK("CSG0.html#group10C0", "10C⁰"), =HYPERLINK("CSG0.html#group8L0", "8L⁰"), =HYPERLINK("CSG0.html#group2B0", "2B⁰"), =HYPERLINK("CSG0.html#group1A0", "1A⁰"), =HYPERLINK("CSG7.html#group40AB7", "40AB⁷"), =HYPERLINK("CSG9.html#group80G9", "80G⁹")</f>
        <v/>
      </c>
      <c r="N5827" t="inlineStr"/>
    </row>
    <row r="5828">
      <c r="A5828" t="inlineStr">
        <is>
          <t>80AE¹⁹</t>
        </is>
      </c>
      <c r="B5828" t="inlineStr"/>
      <c r="C5828" t="inlineStr">
        <is>
          <t>288</t>
        </is>
      </c>
      <c r="D5828" t="inlineStr">
        <is>
          <t>2</t>
        </is>
      </c>
      <c r="E5828" t="inlineStr">
        <is>
          <t>72</t>
        </is>
      </c>
      <c r="F5828" t="inlineStr">
        <is>
          <t>8</t>
        </is>
      </c>
      <c r="G5828" t="inlineStr">
        <is>
          <t>0</t>
        </is>
      </c>
      <c r="H5828" t="inlineStr">
        <is>
          <t>8², 16², 40², 80²</t>
        </is>
      </c>
      <c r="I5828" t="n">
        <v>8</v>
      </c>
      <c r="J5828" t="inlineStr">
        <is>
          <t>2¹⁶, 4⁴, 8⁸, 16²</t>
        </is>
      </c>
      <c r="K5828">
        <f>HYPERLINK("CSG2.html#group16F2", "16F²"), =HYPERLINK("CSG7.html#group40AB7", "40AB⁷"), =HYPERLINK("CSG9.html#group80H9", "80H⁹"), =HYPERLINK("CSG9.html#group80L9", "80L⁹")</f>
        <v/>
      </c>
      <c r="L5828" t="inlineStr"/>
      <c r="M5828">
        <f>HYPERLINK("CSG1.html#group20E1", "20E¹"), =HYPERLINK("CSG0.html#group4C0", "4C⁰"), =HYPERLINK("CSG0.html#group8B0", "8B⁰"), =HYPERLINK("CSG0.html#group5B0", "5B⁰"), =HYPERLINK("CSG1.html#group16B1", "16B¹"), =HYPERLINK("CSG0.html#group8L0", "8L⁰"), =HYPERLINK("CSG0.html#group2B0", "2B⁰"), =HYPERLINK("CSG0.html#group1A0", "1A⁰"), =HYPERLINK("CSG1.html#group16D1", "16D¹"), =HYPERLINK("CSG9.html#group80L9", "80L⁹"), =HYPERLINK("CSG2.html#group16F2", "16F²"), =HYPERLINK("CSG9.html#group80H9", "80H⁹"), =HYPERLINK("CSG0.html#group10C0", "10C⁰"), =HYPERLINK("CSG3.html#group40D3", "40D³"), =HYPERLINK("CSG7.html#group40AB7", "40AB⁷")</f>
        <v/>
      </c>
      <c r="N5828" t="inlineStr"/>
    </row>
    <row r="5829">
      <c r="A5829" t="inlineStr">
        <is>
          <t>81A¹⁹</t>
        </is>
      </c>
      <c r="B5829" t="inlineStr"/>
      <c r="C5829" t="inlineStr">
        <is>
          <t>324</t>
        </is>
      </c>
      <c r="D5829" t="inlineStr">
        <is>
          <t>1</t>
        </is>
      </c>
      <c r="E5829" t="inlineStr">
        <is>
          <t>12</t>
        </is>
      </c>
      <c r="F5829" t="inlineStr">
        <is>
          <t>0</t>
        </is>
      </c>
      <c r="G5829" t="inlineStr">
        <is>
          <t>0</t>
        </is>
      </c>
      <c r="H5829" t="inlineStr">
        <is>
          <t>3⁹, 9⁶, 81³</t>
        </is>
      </c>
      <c r="I5829" t="n">
        <v>18</v>
      </c>
      <c r="J5829" t="inlineStr">
        <is>
          <t>1², 2², 6¹</t>
        </is>
      </c>
      <c r="K5829">
        <f>HYPERLINK("CSG1.html#group27C1", "27C¹"), =HYPERLINK("CSG7.html#group81A7", "81A⁷")</f>
        <v/>
      </c>
      <c r="L5829" t="inlineStr"/>
      <c r="M5829">
        <f>HYPERLINK("CSG0.html#group3B0", "3B⁰"), =HYPERLINK("CSG1.html#group27A1", "27A¹"), =HYPERLINK("CSG1.html#group27C1", "27C¹"), =HYPERLINK("CSG0.html#group9B0", "9B⁰"), =HYPERLINK("CSG0.html#group9I0", "9I⁰"), =HYPERLINK("CSG0.html#group27A0", "27A⁰"), =HYPERLINK("CSG7.html#group81A7", "81A⁷"), =HYPERLINK("CSG0.html#group1A0", "1A⁰")</f>
        <v/>
      </c>
      <c r="N5829" t="inlineStr"/>
    </row>
    <row r="5830">
      <c r="A5830" t="inlineStr">
        <is>
          <t>81B¹⁹</t>
        </is>
      </c>
      <c r="B5830" t="inlineStr"/>
      <c r="C5830" t="inlineStr">
        <is>
          <t>324</t>
        </is>
      </c>
      <c r="D5830" t="inlineStr">
        <is>
          <t>1</t>
        </is>
      </c>
      <c r="E5830" t="inlineStr">
        <is>
          <t>12</t>
        </is>
      </c>
      <c r="F5830" t="inlineStr">
        <is>
          <t>0</t>
        </is>
      </c>
      <c r="G5830" t="inlineStr">
        <is>
          <t>0</t>
        </is>
      </c>
      <c r="H5830" t="inlineStr">
        <is>
          <t>3⁹, 9⁶, 81³</t>
        </is>
      </c>
      <c r="I5830" t="n">
        <v>18</v>
      </c>
      <c r="J5830" t="inlineStr">
        <is>
          <t>1², 2², 6¹</t>
        </is>
      </c>
      <c r="K5830">
        <f>HYPERLINK("CSG1.html#group27C1", "27C¹"), =HYPERLINK("CSG7.html#group81B7", "81B⁷")</f>
        <v/>
      </c>
      <c r="L5830" t="inlineStr"/>
      <c r="M5830">
        <f>HYPERLINK("CSG0.html#group3B0", "3B⁰"), =HYPERLINK("CSG1.html#group27A1", "27A¹"), =HYPERLINK("CSG1.html#group27C1", "27C¹"), =HYPERLINK("CSG7.html#group81B7", "81B⁷"), =HYPERLINK("CSG0.html#group9B0", "9B⁰"), =HYPERLINK("CSG0.html#group9I0", "9I⁰"), =HYPERLINK("CSG0.html#group27A0", "27A⁰"), =HYPERLINK("CSG0.html#group1A0", "1A⁰")</f>
        <v/>
      </c>
      <c r="N5830" t="inlineStr"/>
    </row>
    <row r="5831">
      <c r="A5831" t="inlineStr">
        <is>
          <t>81C¹⁹</t>
        </is>
      </c>
      <c r="B5831" t="inlineStr"/>
      <c r="C5831" t="inlineStr">
        <is>
          <t>324</t>
        </is>
      </c>
      <c r="D5831" t="inlineStr">
        <is>
          <t>1</t>
        </is>
      </c>
      <c r="E5831" t="inlineStr">
        <is>
          <t>36</t>
        </is>
      </c>
      <c r="F5831" t="inlineStr">
        <is>
          <t>0</t>
        </is>
      </c>
      <c r="G5831" t="inlineStr">
        <is>
          <t>0</t>
        </is>
      </c>
      <c r="H5831" t="inlineStr">
        <is>
          <t>3⁹, 9⁶, 81³</t>
        </is>
      </c>
      <c r="I5831" t="n">
        <v>18</v>
      </c>
      <c r="J5831" t="inlineStr">
        <is>
          <t>1², 2², 6², 18¹</t>
        </is>
      </c>
      <c r="K5831">
        <f>HYPERLINK("CSG4.html#group27C4", "27C⁴"), =HYPERLINK("CSG4.html#group81A4", "81A⁴"), =HYPERLINK("CSG7.html#group81A7", "81A⁷"), =HYPERLINK("CSG7.html#group81B7", "81B⁷")</f>
        <v/>
      </c>
      <c r="L5831" t="inlineStr"/>
      <c r="M5831">
        <f>HYPERLINK("CSG0.html#group3B0", "3B⁰"), =HYPERLINK("CSG2.html#group27A2", "27A²"), =HYPERLINK("CSG4.html#group27C4", "27C⁴"), =HYPERLINK("CSG0.html#group9B0", "9B⁰"), =HYPERLINK("CSG4.html#group81A4", "81A⁴"), =HYPERLINK("CSG0.html#group9C0", "9C⁰"), =HYPERLINK("CSG0.html#group1A0", "1A⁰"), =HYPERLINK("CSG1.html#group27A1", "27A¹"), =HYPERLINK("CSG1.html#group9A1", "9A¹"), =HYPERLINK("CSG7.html#group81B7", "81B⁷"), =HYPERLINK("CSG0.html#group27A0", "27A⁰"), =HYPERLINK("CSG0.html#group3C0", "3C⁰"), =HYPERLINK("CSG1.html#group9C1", "9C¹"), =HYPERLINK("CSG7.html#group81A7", "81A⁷"), =HYPERLINK("CSG0.html#group3A0", "3A⁰"), =HYPERLINK("CSG0.html#group3D0", "3D⁰")</f>
        <v/>
      </c>
      <c r="N5831" t="inlineStr"/>
    </row>
    <row r="5832">
      <c r="A5832" t="inlineStr">
        <is>
          <t>81D¹⁹</t>
        </is>
      </c>
      <c r="B5832" t="inlineStr"/>
      <c r="C5832" t="inlineStr">
        <is>
          <t>324</t>
        </is>
      </c>
      <c r="D5832" t="inlineStr">
        <is>
          <t>1</t>
        </is>
      </c>
      <c r="E5832" t="inlineStr">
        <is>
          <t>36</t>
        </is>
      </c>
      <c r="F5832" t="inlineStr">
        <is>
          <t>0</t>
        </is>
      </c>
      <c r="G5832" t="inlineStr">
        <is>
          <t>18</t>
        </is>
      </c>
      <c r="H5832" t="inlineStr">
        <is>
          <t>27³, 81³</t>
        </is>
      </c>
      <c r="I5832" t="n">
        <v>6</v>
      </c>
      <c r="J5832" t="inlineStr">
        <is>
          <t>3², 6⁵</t>
        </is>
      </c>
      <c r="K5832">
        <f>HYPERLINK("CSG4.html#group27D4", "27D⁴")</f>
        <v/>
      </c>
      <c r="L5832" t="inlineStr"/>
      <c r="M5832">
        <f>HYPERLINK("CSG0.html#group9C0", "9C⁰"), =HYPERLINK("CSG0.html#group3B0", "3B⁰"), =HYPERLINK("CSG1.html#group27B1", "27B¹"), =HYPERLINK("CSG0.html#group9J0", "9J⁰"), =HYPERLINK("CSG4.html#group27D4", "27D⁴"), =HYPERLINK("CSG2.html#group27B2", "27B²"), =HYPERLINK("CSG0.html#group1A0", "1A⁰")</f>
        <v/>
      </c>
      <c r="N5832" t="inlineStr"/>
    </row>
    <row r="5833">
      <c r="A5833" t="inlineStr">
        <is>
          <t>81E¹⁹</t>
        </is>
      </c>
      <c r="B5833" t="inlineStr"/>
      <c r="C5833" t="inlineStr">
        <is>
          <t>324</t>
        </is>
      </c>
      <c r="D5833" t="inlineStr">
        <is>
          <t>2</t>
        </is>
      </c>
      <c r="E5833" t="inlineStr">
        <is>
          <t>36</t>
        </is>
      </c>
      <c r="F5833" t="inlineStr">
        <is>
          <t>0</t>
        </is>
      </c>
      <c r="G5833" t="inlineStr">
        <is>
          <t>0</t>
        </is>
      </c>
      <c r="H5833" t="inlineStr">
        <is>
          <t>3⁹, 9⁶, 81³</t>
        </is>
      </c>
      <c r="I5833" t="n">
        <v>18</v>
      </c>
      <c r="J5833" t="inlineStr">
        <is>
          <t>2⁶, 6⁴, 18²</t>
        </is>
      </c>
      <c r="K5833">
        <f>HYPERLINK("CSG4.html#group27B4", "27B⁴"), =HYPERLINK("CSG4.html#group81A4", "81A⁴"), =HYPERLINK("CSG7.html#group81A7", "81A⁷"), =HYPERLINK("CSG7.html#group81B7", "81B⁷")</f>
        <v/>
      </c>
      <c r="L5833" t="inlineStr"/>
      <c r="M5833">
        <f>HYPERLINK("CSG4.html#group27B4", "27B⁴"), =HYPERLINK("CSG0.html#group3B0", "3B⁰"), =HYPERLINK("CSG1.html#group27A1", "27A¹"), =HYPERLINK("CSG2.html#group27A2", "27A²"), =HYPERLINK("CSG7.html#group81B7", "81B⁷"), =HYPERLINK("CSG0.html#group9I0", "9I⁰"), =HYPERLINK("CSG4.html#group81A4", "81A⁴"), =HYPERLINK("CSG0.html#group9B0", "9B⁰"), =HYPERLINK("CSG7.html#group81A7", "81A⁷"), =HYPERLINK("CSG0.html#group1A0", "1A⁰")</f>
        <v/>
      </c>
      <c r="N5833" t="inlineStr"/>
    </row>
    <row r="5834">
      <c r="A5834" t="inlineStr">
        <is>
          <t>82A¹⁹</t>
        </is>
      </c>
      <c r="B5834" t="inlineStr"/>
      <c r="C5834" t="inlineStr">
        <is>
          <t>252</t>
        </is>
      </c>
      <c r="D5834" t="inlineStr">
        <is>
          <t>1</t>
        </is>
      </c>
      <c r="E5834" t="inlineStr">
        <is>
          <t>42</t>
        </is>
      </c>
      <c r="F5834" t="inlineStr">
        <is>
          <t>0</t>
        </is>
      </c>
      <c r="G5834" t="inlineStr">
        <is>
          <t>0</t>
        </is>
      </c>
      <c r="H5834" t="inlineStr">
        <is>
          <t>2³, 82³</t>
        </is>
      </c>
      <c r="I5834" t="n">
        <v>6</v>
      </c>
      <c r="J5834" t="inlineStr">
        <is>
          <t>1², 40¹</t>
        </is>
      </c>
      <c r="K5834">
        <f>HYPERLINK("CSG0.html#group2C0", "2C⁰"), =HYPERLINK("CSG7.html#group82B7", "82B⁷"), =HYPERLINK("CSG9.html#group82A9", "82A⁹")</f>
        <v/>
      </c>
      <c r="L5834" t="inlineStr"/>
      <c r="M5834">
        <f>HYPERLINK("CSG0.html#group2A0", "2A⁰"), =HYPERLINK("CSG9.html#group82A9", "82A⁹"), =HYPERLINK("CSG0.html#group2B0", "2B⁰"), =HYPERLINK("CSG3.html#group41A3", "41A³"), =HYPERLINK("CSG0.html#group1A0", "1A⁰"), =HYPERLINK("CSG0.html#group2C0", "2C⁰"), =HYPERLINK("CSG7.html#group82B7", "82B⁷")</f>
        <v/>
      </c>
      <c r="N5834" t="inlineStr"/>
    </row>
    <row r="5835">
      <c r="A5835" t="inlineStr">
        <is>
          <t>82B¹⁹</t>
        </is>
      </c>
      <c r="B5835" t="inlineStr"/>
      <c r="C5835" t="inlineStr">
        <is>
          <t>252</t>
        </is>
      </c>
      <c r="D5835" t="inlineStr">
        <is>
          <t>1</t>
        </is>
      </c>
      <c r="E5835" t="inlineStr">
        <is>
          <t>126</t>
        </is>
      </c>
      <c r="F5835" t="inlineStr">
        <is>
          <t>0</t>
        </is>
      </c>
      <c r="G5835" t="inlineStr">
        <is>
          <t>0</t>
        </is>
      </c>
      <c r="H5835" t="inlineStr">
        <is>
          <t>2³, 82³</t>
        </is>
      </c>
      <c r="I5835" t="n">
        <v>6</v>
      </c>
      <c r="J5835" t="inlineStr">
        <is>
          <t>1⁶, 40³</t>
        </is>
      </c>
      <c r="K5835">
        <f>HYPERLINK("CSG7.html#group82A7", "82A⁷"), =HYPERLINK("CSG9.html#group82A9", "82A⁹")</f>
        <v/>
      </c>
      <c r="L5835" t="inlineStr"/>
      <c r="M5835">
        <f>HYPERLINK("CSG9.html#group82A9", "82A⁹"), =HYPERLINK("CSG7.html#group82A7", "82A⁷"), =HYPERLINK("CSG0.html#group2B0", "2B⁰"), =HYPERLINK("CSG3.html#group41A3", "41A³"), =HYPERLINK("CSG0.html#group1A0", "1A⁰")</f>
        <v/>
      </c>
      <c r="N5835" t="inlineStr"/>
    </row>
    <row r="5836">
      <c r="A5836" t="inlineStr">
        <is>
          <t>84A¹⁹</t>
        </is>
      </c>
      <c r="B5836" t="inlineStr"/>
      <c r="C5836" t="inlineStr">
        <is>
          <t>252</t>
        </is>
      </c>
      <c r="D5836" t="inlineStr">
        <is>
          <t>2</t>
        </is>
      </c>
      <c r="E5836" t="inlineStr">
        <is>
          <t>21</t>
        </is>
      </c>
      <c r="F5836" t="inlineStr">
        <is>
          <t>0</t>
        </is>
      </c>
      <c r="G5836" t="inlineStr">
        <is>
          <t>0</t>
        </is>
      </c>
      <c r="H5836" t="inlineStr">
        <is>
          <t>21⁴, 84²</t>
        </is>
      </c>
      <c r="I5836" t="n">
        <v>6</v>
      </c>
      <c r="J5836" t="inlineStr">
        <is>
          <t>2³, 6⁶</t>
        </is>
      </c>
      <c r="K5836">
        <f>HYPERLINK("CSG5.html#group28A5", "28A⁵"), =HYPERLINK("CSG7.html#group84B7", "84B⁷"), =HYPERLINK("CSG8.html#group42A8", "42A⁸"), =HYPERLINK("CSG10.html#group84A10", "84A¹⁰")</f>
        <v/>
      </c>
      <c r="L5836" t="inlineStr"/>
      <c r="M5836">
        <f>HYPERLINK("CSG10.html#group84A10", "84A¹⁰"), =HYPERLINK("CSG1.html#group14B1", "14B¹"), =HYPERLINK("CSG2.html#group21C2", "21C²"), =HYPERLINK("CSG0.html#group21A0", "21A⁰"), =HYPERLINK("CSG3.html#group28A3", "28A³"), =HYPERLINK("CSG0.html#group2B0", "2B⁰"), =HYPERLINK("CSG8.html#group42A8", "42A⁸"), =HYPERLINK("CSG0.html#group4B0", "4B⁰"), =HYPERLINK("CSG5.html#group28A5", "28A⁵"), =HYPERLINK("CSG0.html#group1A0", "1A⁰"), =HYPERLINK("CSG7.html#group84B7", "84B⁷"), =HYPERLINK("CSG2.html#group14A2", "14A²"), =HYPERLINK("CSG0.html#group7C0", "7C⁰"), =HYPERLINK("CSG0.html#group6D0", "6D⁰"), =HYPERLINK("CSG1.html#group12B1", "12B¹"), =HYPERLINK("CSG0.html#group3A0", "3A⁰"), =HYPERLINK("CSG3.html#group42C3", "42C³"), =HYPERLINK("CSG2.html#group28B2", "28B²"), =HYPERLINK("CSG0.html#group7A0", "7A⁰")</f>
        <v/>
      </c>
      <c r="N5836" t="inlineStr"/>
    </row>
    <row r="5837">
      <c r="A5837" t="inlineStr">
        <is>
          <t>84B¹⁹</t>
        </is>
      </c>
      <c r="B5837" t="inlineStr"/>
      <c r="C5837" t="inlineStr">
        <is>
          <t>252</t>
        </is>
      </c>
      <c r="D5837" t="inlineStr">
        <is>
          <t>2</t>
        </is>
      </c>
      <c r="E5837" t="inlineStr">
        <is>
          <t>42</t>
        </is>
      </c>
      <c r="F5837" t="inlineStr">
        <is>
          <t>0</t>
        </is>
      </c>
      <c r="G5837" t="inlineStr">
        <is>
          <t>0</t>
        </is>
      </c>
      <c r="H5837" t="inlineStr">
        <is>
          <t>21⁴, 84²</t>
        </is>
      </c>
      <c r="I5837" t="n">
        <v>6</v>
      </c>
      <c r="J5837" t="inlineStr">
        <is>
          <t>4³, 12⁶</t>
        </is>
      </c>
      <c r="K5837">
        <f>HYPERLINK("CSG5.html#group28A5", "28A⁵"), =HYPERLINK("CSG8.html#group42B8", "42B⁸")</f>
        <v/>
      </c>
      <c r="L5837" t="inlineStr"/>
      <c r="M5837">
        <f>HYPERLINK("CSG2.html#group14A2", "14A²"), =HYPERLINK("CSG8.html#group42B8", "42B⁸"), =HYPERLINK("CSG1.html#group14B1", "14B¹"), =HYPERLINK("CSG0.html#group4B0", "4B⁰"), =HYPERLINK("CSG0.html#group7C0", "7C⁰"), =HYPERLINK("CSG1.html#group21C1", "21C¹"), =HYPERLINK("CSG3.html#group28A3", "28A³"), =HYPERLINK("CSG0.html#group2B0", "2B⁰"), =HYPERLINK("CSG5.html#group28A5", "28A⁵"), =HYPERLINK("CSG0.html#group1A0", "1A⁰"), =HYPERLINK("CSG2.html#group28B2", "28B²"), =HYPERLINK("CSG0.html#group7A0", "7A⁰")</f>
        <v/>
      </c>
      <c r="N5837" t="inlineStr"/>
    </row>
    <row r="5838">
      <c r="A5838" t="inlineStr">
        <is>
          <t>84C¹⁹</t>
        </is>
      </c>
      <c r="B5838" t="inlineStr"/>
      <c r="C5838" t="inlineStr">
        <is>
          <t>252</t>
        </is>
      </c>
      <c r="D5838" t="inlineStr">
        <is>
          <t>2</t>
        </is>
      </c>
      <c r="E5838" t="inlineStr">
        <is>
          <t>63</t>
        </is>
      </c>
      <c r="F5838" t="inlineStr">
        <is>
          <t>0</t>
        </is>
      </c>
      <c r="G5838" t="inlineStr">
        <is>
          <t>0</t>
        </is>
      </c>
      <c r="H5838" t="inlineStr">
        <is>
          <t>21⁴, 84²</t>
        </is>
      </c>
      <c r="I5838" t="n">
        <v>6</v>
      </c>
      <c r="J5838" t="inlineStr">
        <is>
          <t>2³, 4³, 6⁶, 12⁶</t>
        </is>
      </c>
      <c r="K5838">
        <f>HYPERLINK("CSG7.html#group42K7", "42K⁷"), =HYPERLINK("CSG8.html#group84F8", "84F⁸"), =HYPERLINK("CSG10.html#group84A10", "84A¹⁰")</f>
        <v/>
      </c>
      <c r="L5838" t="inlineStr"/>
      <c r="M5838">
        <f>HYPERLINK("CSG10.html#group84A10", "84A¹⁰"), =HYPERLINK("CSG1.html#group14B1", "14B¹"), =HYPERLINK("CSG1.html#group21D1", "21D¹"), =HYPERLINK("CSG0.html#group21A0", "21A⁰"), =HYPERLINK("CSG7.html#group42K7", "42K⁷"), =HYPERLINK("CSG3.html#group28A3", "28A³"), =HYPERLINK("CSG0.html#group2B0", "2B⁰"), =HYPERLINK("CSG8.html#group84F8", "84F⁸"), =HYPERLINK("CSG0.html#group4B0", "4B⁰"), =HYPERLINK("CSG0.html#group1A0", "1A⁰"), =HYPERLINK("CSG1.html#group12B1", "12B¹"), =HYPERLINK("CSG0.html#group3A0", "3A⁰"), =HYPERLINK("CSG3.html#group42C3", "42C³"), =HYPERLINK("CSG0.html#group6D0", "6D⁰"), =HYPERLINK("CSG0.html#group7A0", "7A⁰")</f>
        <v/>
      </c>
      <c r="N5838" t="inlineStr"/>
    </row>
    <row r="5839">
      <c r="A5839" t="inlineStr">
        <is>
          <t>84D¹⁹</t>
        </is>
      </c>
      <c r="B5839" t="inlineStr"/>
      <c r="C5839" t="inlineStr">
        <is>
          <t>252</t>
        </is>
      </c>
      <c r="D5839" t="inlineStr">
        <is>
          <t>2</t>
        </is>
      </c>
      <c r="E5839" t="inlineStr">
        <is>
          <t>63</t>
        </is>
      </c>
      <c r="F5839" t="inlineStr">
        <is>
          <t>0</t>
        </is>
      </c>
      <c r="G5839" t="inlineStr">
        <is>
          <t>0</t>
        </is>
      </c>
      <c r="H5839" t="inlineStr">
        <is>
          <t>21⁴, 84²</t>
        </is>
      </c>
      <c r="I5839" t="n">
        <v>6</v>
      </c>
      <c r="J5839" t="inlineStr">
        <is>
          <t>2³, 4³, 6⁶, 12⁶</t>
        </is>
      </c>
      <c r="K5839">
        <f>HYPERLINK("CSG1.html#group12K1", "12K¹"), =HYPERLINK("CSG7.html#group84C7", "84C⁷"), =HYPERLINK("CSG8.html#group42C8", "42C⁸"), =HYPERLINK("CSG10.html#group84A10", "84A¹⁰")</f>
        <v/>
      </c>
      <c r="L5839" t="inlineStr"/>
      <c r="M5839">
        <f>HYPERLINK("CSG2.html#group21D2", "21D²"), =HYPERLINK("CSG1.html#group12K1", "12K¹"), =HYPERLINK("CSG10.html#group84A10", "84A¹⁰"), =HYPERLINK("CSG1.html#group14B1", "14B¹"), =HYPERLINK("CSG0.html#group6G0", "6G⁰"), =HYPERLINK("CSG0.html#group21A0", "21A⁰"), =HYPERLINK("CSG3.html#group28A3", "28A³"), =HYPERLINK("CSG0.html#group2B0", "2B⁰"), =HYPERLINK("CSG0.html#group4B0", "4B⁰"), =HYPERLINK("CSG0.html#group1A0", "1A⁰"), =HYPERLINK("CSG7.html#group84C7", "84C⁷"), =HYPERLINK("CSG0.html#group3C0", "3C⁰"), =HYPERLINK("CSG8.html#group42C8", "42C⁸"), =HYPERLINK("CSG1.html#group12B1", "12B¹"), =HYPERLINK("CSG0.html#group12D0", "12D⁰"), =HYPERLINK("CSG0.html#group3A0", "3A⁰"), =HYPERLINK("CSG3.html#group42C3", "42C³"), =HYPERLINK("CSG0.html#group6D0", "6D⁰"), =HYPERLINK("CSG0.html#group7A0", "7A⁰")</f>
        <v/>
      </c>
      <c r="N5839" t="inlineStr"/>
    </row>
    <row r="5840">
      <c r="A5840" t="inlineStr">
        <is>
          <t>84E¹⁹</t>
        </is>
      </c>
      <c r="B5840" t="inlineStr"/>
      <c r="C5840" t="inlineStr">
        <is>
          <t>252</t>
        </is>
      </c>
      <c r="D5840" t="inlineStr">
        <is>
          <t>2</t>
        </is>
      </c>
      <c r="E5840" t="inlineStr">
        <is>
          <t>63</t>
        </is>
      </c>
      <c r="F5840" t="inlineStr">
        <is>
          <t>4</t>
        </is>
      </c>
      <c r="G5840" t="inlineStr">
        <is>
          <t>0</t>
        </is>
      </c>
      <c r="H5840" t="inlineStr">
        <is>
          <t>42², 84²</t>
        </is>
      </c>
      <c r="I5840" t="n">
        <v>4</v>
      </c>
      <c r="J5840" t="inlineStr">
        <is>
          <t>2³, 4³, 6⁶, 12⁶</t>
        </is>
      </c>
      <c r="K5840">
        <f>HYPERLINK("CSG7.html#group42K7", "42K⁷"), =HYPERLINK("CSG9.html#group84B9", "84B⁹"), =HYPERLINK("CSG9.html#group84C9", "84C⁹")</f>
        <v/>
      </c>
      <c r="L5840" t="inlineStr"/>
      <c r="M5840">
        <f>HYPERLINK("CSG1.html#group12C1", "12C¹"), =HYPERLINK("CSG1.html#group14B1", "14B¹"), =HYPERLINK("CSG1.html#group21D1", "21D¹"), =HYPERLINK("CSG0.html#group21A0", "21A⁰"), =HYPERLINK("CSG9.html#group84B9", "84B⁹"), =HYPERLINK("CSG7.html#group42K7", "42K⁷"), =HYPERLINK("CSG0.html#group2B0", "2B⁰"), =HYPERLINK("CSG3.html#group28B3", "28B³"), =HYPERLINK("CSG0.html#group3A0", "3A⁰"), =HYPERLINK("CSG0.html#group1A0", "1A⁰"), =HYPERLINK("CSG9.html#group84C9", "84C⁹"), =HYPERLINK("CSG0.html#group6D0", "6D⁰"), =HYPERLINK("CSG0.html#group7A0", "7A⁰"), =HYPERLINK("CSG3.html#group42C3", "42C³")</f>
        <v/>
      </c>
      <c r="N5840" t="inlineStr"/>
    </row>
    <row r="5841">
      <c r="A5841" t="inlineStr">
        <is>
          <t>84F¹⁹</t>
        </is>
      </c>
      <c r="B5841" t="inlineStr"/>
      <c r="C5841" t="inlineStr">
        <is>
          <t>252</t>
        </is>
      </c>
      <c r="D5841" t="inlineStr">
        <is>
          <t>2</t>
        </is>
      </c>
      <c r="E5841" t="inlineStr">
        <is>
          <t>63</t>
        </is>
      </c>
      <c r="F5841" t="inlineStr">
        <is>
          <t>4</t>
        </is>
      </c>
      <c r="G5841" t="inlineStr">
        <is>
          <t>0</t>
        </is>
      </c>
      <c r="H5841" t="inlineStr">
        <is>
          <t>42², 84²</t>
        </is>
      </c>
      <c r="I5841" t="n">
        <v>4</v>
      </c>
      <c r="J5841" t="inlineStr">
        <is>
          <t>2³, 4³, 6⁶, 12⁶</t>
        </is>
      </c>
      <c r="K5841">
        <f>HYPERLINK("CSG8.html#group42A8", "42A⁸"), =HYPERLINK("CSG8.html#group84G8", "84G⁸"), =HYPERLINK("CSG9.html#group84C9", "84C⁹")</f>
        <v/>
      </c>
      <c r="L5841" t="inlineStr"/>
      <c r="M5841">
        <f>HYPERLINK("CSG1.html#group14B1", "14B¹"), =HYPERLINK("CSG8.html#group84G8", "84G⁸"), =HYPERLINK("CSG2.html#group21C2", "21C²"), =HYPERLINK("CSG0.html#group21A0", "21A⁰"), =HYPERLINK("CSG0.html#group2B0", "2B⁰"), =HYPERLINK("CSG8.html#group42A8", "42A⁸"), =HYPERLINK("CSG0.html#group1A0", "1A⁰"), =HYPERLINK("CSG9.html#group84C9", "84C⁹"), =HYPERLINK("CSG2.html#group14A2", "14A²"), =HYPERLINK("CSG1.html#group12C1", "12C¹"), =HYPERLINK("CSG0.html#group7C0", "7C⁰"), =HYPERLINK("CSG0.html#group3A0", "3A⁰"), =HYPERLINK("CSG3.html#group42C3", "42C³"), =HYPERLINK("CSG0.html#group6D0", "6D⁰"), =HYPERLINK("CSG0.html#group7A0", "7A⁰")</f>
        <v/>
      </c>
      <c r="N5841" t="inlineStr"/>
    </row>
    <row r="5842">
      <c r="A5842" t="inlineStr">
        <is>
          <t>84G¹⁹</t>
        </is>
      </c>
      <c r="B5842" t="inlineStr"/>
      <c r="C5842" t="inlineStr">
        <is>
          <t>252</t>
        </is>
      </c>
      <c r="D5842" t="inlineStr">
        <is>
          <t>2</t>
        </is>
      </c>
      <c r="E5842" t="inlineStr">
        <is>
          <t>63</t>
        </is>
      </c>
      <c r="F5842" t="inlineStr">
        <is>
          <t>4</t>
        </is>
      </c>
      <c r="G5842" t="inlineStr">
        <is>
          <t>0</t>
        </is>
      </c>
      <c r="H5842" t="inlineStr">
        <is>
          <t>42², 84²</t>
        </is>
      </c>
      <c r="I5842" t="n">
        <v>4</v>
      </c>
      <c r="J5842" t="inlineStr">
        <is>
          <t>2³, 4³, 6⁶, 12⁶</t>
        </is>
      </c>
      <c r="K5842">
        <f>HYPERLINK("CSG8.html#group42C8", "42C⁸"), =HYPERLINK("CSG8.html#group84G8", "84G⁸"), =HYPERLINK("CSG9.html#group84B9", "84B⁹")</f>
        <v/>
      </c>
      <c r="L5842" t="inlineStr"/>
      <c r="M5842">
        <f>HYPERLINK("CSG2.html#group21D2", "21D²"), =HYPERLINK("CSG1.html#group14B1", "14B¹"), =HYPERLINK("CSG8.html#group84G8", "84G⁸"), =HYPERLINK("CSG0.html#group21A0", "21A⁰"), =HYPERLINK("CSG0.html#group6G0", "6G⁰"), =HYPERLINK("CSG0.html#group2B0", "2B⁰"), =HYPERLINK("CSG0.html#group1A0", "1A⁰"), =HYPERLINK("CSG9.html#group84B9", "84B⁹"), =HYPERLINK("CSG8.html#group42C8", "42C⁸"), =HYPERLINK("CSG0.html#group3C0", "3C⁰"), =HYPERLINK("CSG3.html#group28B3", "28B³"), =HYPERLINK("CSG0.html#group3A0", "3A⁰"), =HYPERLINK("CSG3.html#group42C3", "42C³"), =HYPERLINK("CSG0.html#group6D0", "6D⁰"), =HYPERLINK("CSG0.html#group7A0", "7A⁰")</f>
        <v/>
      </c>
      <c r="N5842" t="inlineStr"/>
    </row>
    <row r="5843">
      <c r="A5843" t="inlineStr">
        <is>
          <t>84H¹⁹</t>
        </is>
      </c>
      <c r="B5843" t="inlineStr"/>
      <c r="C5843" t="inlineStr">
        <is>
          <t>252</t>
        </is>
      </c>
      <c r="D5843" t="inlineStr">
        <is>
          <t>2</t>
        </is>
      </c>
      <c r="E5843" t="inlineStr">
        <is>
          <t>63</t>
        </is>
      </c>
      <c r="F5843" t="inlineStr">
        <is>
          <t>4</t>
        </is>
      </c>
      <c r="G5843" t="inlineStr">
        <is>
          <t>0</t>
        </is>
      </c>
      <c r="H5843" t="inlineStr">
        <is>
          <t>42², 84²</t>
        </is>
      </c>
      <c r="I5843" t="n">
        <v>4</v>
      </c>
      <c r="J5843" t="inlineStr">
        <is>
          <t>4⁹, 12¹⁸</t>
        </is>
      </c>
      <c r="K5843">
        <f>HYPERLINK("CSG8.html#group42D8", "42D⁸"), =HYPERLINK("CSG8.html#group84F8", "84F⁸"), =HYPERLINK("CSG9.html#group84C9", "84C⁹")</f>
        <v/>
      </c>
      <c r="L5843" t="inlineStr"/>
      <c r="M5843">
        <f>HYPERLINK("CSG2.html#group42A2", "42A²"), =HYPERLINK("CSG1.html#group12C1", "12C¹"), =HYPERLINK("CSG8.html#group42D8", "42D⁸"), =HYPERLINK("CSG1.html#group14B1", "14B¹"), =HYPERLINK("CSG0.html#group21A0", "21A⁰"), =HYPERLINK("CSG0.html#group2B0", "2B⁰"), =HYPERLINK("CSG8.html#group84F8", "84F⁸"), =HYPERLINK("CSG0.html#group3A0", "3A⁰"), =HYPERLINK("CSG0.html#group1A0", "1A⁰"), =HYPERLINK("CSG9.html#group84C9", "84C⁹"), =HYPERLINK("CSG0.html#group6D0", "6D⁰"), =HYPERLINK("CSG0.html#group7A0", "7A⁰"), =HYPERLINK("CSG3.html#group42C3", "42C³")</f>
        <v/>
      </c>
      <c r="N5843" t="inlineStr"/>
    </row>
    <row r="5844">
      <c r="A5844" t="inlineStr">
        <is>
          <t>84I¹⁹</t>
        </is>
      </c>
      <c r="B5844" t="inlineStr"/>
      <c r="C5844" t="inlineStr">
        <is>
          <t>252</t>
        </is>
      </c>
      <c r="D5844" t="inlineStr">
        <is>
          <t>2</t>
        </is>
      </c>
      <c r="E5844" t="inlineStr">
        <is>
          <t>63</t>
        </is>
      </c>
      <c r="F5844" t="inlineStr">
        <is>
          <t>4</t>
        </is>
      </c>
      <c r="G5844" t="inlineStr">
        <is>
          <t>0</t>
        </is>
      </c>
      <c r="H5844" t="inlineStr">
        <is>
          <t>42², 84²</t>
        </is>
      </c>
      <c r="I5844" t="n">
        <v>4</v>
      </c>
      <c r="J5844" t="inlineStr">
        <is>
          <t>4⁹, 12¹⁸</t>
        </is>
      </c>
      <c r="K5844">
        <f>HYPERLINK("CSG8.html#group42D8", "42D⁸"), =HYPERLINK("CSG8.html#group84F8", "84F⁸"), =HYPERLINK("CSG9.html#group84C9", "84C⁹")</f>
        <v/>
      </c>
      <c r="L5844" t="inlineStr"/>
      <c r="M5844">
        <f>HYPERLINK("CSG2.html#group42A2", "42A²"), =HYPERLINK("CSG1.html#group12C1", "12C¹"), =HYPERLINK("CSG8.html#group42D8", "42D⁸"), =HYPERLINK("CSG1.html#group14B1", "14B¹"), =HYPERLINK("CSG0.html#group21A0", "21A⁰"), =HYPERLINK("CSG0.html#group2B0", "2B⁰"), =HYPERLINK("CSG8.html#group84F8", "84F⁸"), =HYPERLINK("CSG0.html#group3A0", "3A⁰"), =HYPERLINK("CSG0.html#group1A0", "1A⁰"), =HYPERLINK("CSG9.html#group84C9", "84C⁹"), =HYPERLINK("CSG0.html#group6D0", "6D⁰"), =HYPERLINK("CSG0.html#group7A0", "7A⁰"), =HYPERLINK("CSG3.html#group42C3", "42C³")</f>
        <v/>
      </c>
      <c r="N5844" t="inlineStr"/>
    </row>
    <row r="5845">
      <c r="A5845" t="inlineStr">
        <is>
          <t>84J¹⁹</t>
        </is>
      </c>
      <c r="B5845" t="inlineStr"/>
      <c r="C5845" t="inlineStr">
        <is>
          <t>288</t>
        </is>
      </c>
      <c r="D5845" t="inlineStr">
        <is>
          <t>1</t>
        </is>
      </c>
      <c r="E5845" t="inlineStr">
        <is>
          <t>72</t>
        </is>
      </c>
      <c r="F5845" t="inlineStr">
        <is>
          <t>0</t>
        </is>
      </c>
      <c r="G5845" t="inlineStr">
        <is>
          <t>0</t>
        </is>
      </c>
      <c r="H5845" t="inlineStr">
        <is>
          <t>3⁴, 12², 21⁴, 84²</t>
        </is>
      </c>
      <c r="I5845" t="n">
        <v>12</v>
      </c>
      <c r="J5845" t="inlineStr">
        <is>
          <t>1⁶, 2⁶, 6³, 12³</t>
        </is>
      </c>
      <c r="K5845">
        <f>HYPERLINK("CSG0.html#group12G0", "12G⁰"), =HYPERLINK("CSG9.html#group42A9", "42A⁹"), =HYPERLINK("CSG10.html#group84C10", "84C¹⁰")</f>
        <v/>
      </c>
      <c r="L5845" t="inlineStr"/>
      <c r="M5845">
        <f>HYPERLINK("CSG0.html#group12G0", "12G⁰"), =HYPERLINK("CSG2.html#group21A2", "21A²"), =HYPERLINK("CSG5.html#group42A5", "42A⁵"), =HYPERLINK("CSG0.html#group7B0", "7B⁰"), =HYPERLINK("CSG10.html#group84C10", "84C¹⁰"), =HYPERLINK("CSG1.html#group14C1", "14C¹"), =HYPERLINK("CSG0.html#group6G0", "6G⁰"), =HYPERLINK("CSG0.html#group3C0", "3C⁰"), =HYPERLINK("CSG0.html#group2B0", "2B⁰"), =HYPERLINK("CSG0.html#group12D0", "12D⁰"), =HYPERLINK("CSG0.html#group3A0", "3A⁰"), =HYPERLINK("CSG3.html#group21A3", "21A³"), =HYPERLINK("CSG0.html#group1A0", "1A⁰"), =HYPERLINK("CSG9.html#group42A9", "42A⁹"), =HYPERLINK("CSG0.html#group6D0", "6D⁰")</f>
        <v/>
      </c>
      <c r="N5845" t="inlineStr"/>
    </row>
    <row r="5846">
      <c r="A5846" t="inlineStr">
        <is>
          <t>84K¹⁹</t>
        </is>
      </c>
      <c r="B5846" t="inlineStr"/>
      <c r="C5846" t="inlineStr">
        <is>
          <t>288</t>
        </is>
      </c>
      <c r="D5846" t="inlineStr">
        <is>
          <t>1</t>
        </is>
      </c>
      <c r="E5846" t="inlineStr">
        <is>
          <t>72</t>
        </is>
      </c>
      <c r="F5846" t="inlineStr">
        <is>
          <t>0</t>
        </is>
      </c>
      <c r="G5846" t="inlineStr">
        <is>
          <t>0</t>
        </is>
      </c>
      <c r="H5846" t="inlineStr">
        <is>
          <t>3⁴, 12², 21⁴, 84²</t>
        </is>
      </c>
      <c r="I5846" t="n">
        <v>12</v>
      </c>
      <c r="J5846" t="inlineStr">
        <is>
          <t>1⁶, 2⁶, 6³, 12³</t>
        </is>
      </c>
      <c r="K5846">
        <f>HYPERLINK("CSG1.html#group12K1", "12K¹"), =HYPERLINK("CSG9.html#group42A9", "42A⁹"), =HYPERLINK("CSG10.html#group84B10", "84B¹⁰"), =HYPERLINK("CSG10.html#group84C10", "84C¹⁰")</f>
        <v/>
      </c>
      <c r="L5846" t="inlineStr"/>
      <c r="M5846">
        <f>HYPERLINK("CSG1.html#group12K1", "12K¹"), =HYPERLINK("CSG10.html#group84C10", "84C¹⁰"), =HYPERLINK("CSG2.html#group28D2", "28D²"), =HYPERLINK("CSG0.html#group6G0", "6G⁰"), =HYPERLINK("CSG0.html#group2B0", "2B⁰"), =HYPERLINK("CSG0.html#group4B0", "4B⁰"), =HYPERLINK("CSG0.html#group1A0", "1A⁰"), =HYPERLINK("CSG9.html#group42A9", "42A⁹"), =HYPERLINK("CSG3.html#group21A3", "21A³"), =HYPERLINK("CSG2.html#group21A2", "21A²"), =HYPERLINK("CSG10.html#group84B10", "84B¹⁰"), =HYPERLINK("CSG5.html#group42A5", "42A⁵"), =HYPERLINK("CSG0.html#group7B0", "7B⁰"), =HYPERLINK("CSG1.html#group14C1", "14C¹"), =HYPERLINK("CSG0.html#group3C0", "3C⁰"), =HYPERLINK("CSG1.html#group12B1", "12B¹"), =HYPERLINK("CSG0.html#group12D0", "12D⁰"), =HYPERLINK("CSG0.html#group3A0", "3A⁰"), =HYPERLINK("CSG0.html#group6D0", "6D⁰")</f>
        <v/>
      </c>
      <c r="N5846" t="inlineStr"/>
    </row>
    <row r="5847">
      <c r="A5847" t="inlineStr">
        <is>
          <t>84L¹⁹</t>
        </is>
      </c>
      <c r="B5847" t="inlineStr"/>
      <c r="C5847" t="inlineStr">
        <is>
          <t>336</t>
        </is>
      </c>
      <c r="D5847" t="inlineStr">
        <is>
          <t>2</t>
        </is>
      </c>
      <c r="E5847" t="inlineStr">
        <is>
          <t>84</t>
        </is>
      </c>
      <c r="F5847" t="inlineStr">
        <is>
          <t>32</t>
        </is>
      </c>
      <c r="G5847" t="inlineStr">
        <is>
          <t>0</t>
        </is>
      </c>
      <c r="H5847" t="inlineStr">
        <is>
          <t>84⁴</t>
        </is>
      </c>
      <c r="I5847" t="n">
        <v>4</v>
      </c>
      <c r="J5847" t="inlineStr">
        <is>
          <t>4², 8², 12⁴, 24⁴</t>
        </is>
      </c>
      <c r="K5847">
        <f>HYPERLINK("CSG3.html#group42F3", "42F³"), =HYPERLINK("CSG8.html#group84H8", "84H⁸"), =HYPERLINK("CSG8.html#group84I8", "84I⁸"), =HYPERLINK("CSG9.html#group84E9", "84E⁹")</f>
        <v/>
      </c>
      <c r="L5847" t="inlineStr"/>
      <c r="M5847">
        <f>HYPERLINK("CSG0.html#group14A0", "14A⁰"), =HYPERLINK("CSG2.html#group28E2", "28E²"), =HYPERLINK("CSG0.html#group6B0", "6B⁰"), =HYPERLINK("CSG1.html#group42A1", "42A¹"), =HYPERLINK("CSG8.html#group84I8", "84I⁸"), =HYPERLINK("CSG1.html#group21D1", "21D¹"), =HYPERLINK("CSG0.html#group12F0", "12F⁰"), =HYPERLINK("CSG0.html#group21A0", "21A⁰"), =HYPERLINK("CSG0.html#group1A0", "1A⁰"), =HYPERLINK("CSG3.html#group84A3", "84A³"), =HYPERLINK("CSG0.html#group12A0", "12A⁰"), =HYPERLINK("CSG8.html#group84H8", "84H⁸"), =HYPERLINK("CSG0.html#group4A0", "4A⁰"), =HYPERLINK("CSG9.html#group84E9", "84E⁹"), =HYPERLINK("CSG1.html#group42B1", "42B¹"), =HYPERLINK("CSG0.html#group3A0", "3A⁰"), =HYPERLINK("CSG1.html#group28A1", "28A¹"), =HYPERLINK("CSG3.html#group42F3", "42F³"), =HYPERLINK("CSG0.html#group7A0", "7A⁰")</f>
        <v/>
      </c>
      <c r="N5847" t="inlineStr"/>
    </row>
    <row r="5848">
      <c r="A5848" t="inlineStr">
        <is>
          <t>85A¹⁹</t>
        </is>
      </c>
      <c r="B5848" t="inlineStr"/>
      <c r="C5848" t="inlineStr">
        <is>
          <t>270</t>
        </is>
      </c>
      <c r="D5848" t="inlineStr">
        <is>
          <t>1</t>
        </is>
      </c>
      <c r="E5848" t="inlineStr">
        <is>
          <t>90</t>
        </is>
      </c>
      <c r="F5848" t="inlineStr">
        <is>
          <t>6</t>
        </is>
      </c>
      <c r="G5848" t="inlineStr">
        <is>
          <t>0</t>
        </is>
      </c>
      <c r="H5848" t="inlineStr">
        <is>
          <t>5³, 85³</t>
        </is>
      </c>
      <c r="I5848" t="n">
        <v>6</v>
      </c>
      <c r="J5848" t="inlineStr">
        <is>
          <t>1², 4², 16¹, 64¹</t>
        </is>
      </c>
      <c r="K5848">
        <f>HYPERLINK("CSG0.html#group5E0", "5E⁰"), =HYPERLINK("CSG7.html#group85A7", "85A⁷")</f>
        <v/>
      </c>
      <c r="L5848" t="inlineStr"/>
      <c r="M5848">
        <f>HYPERLINK("CSG0.html#group5E0", "5E⁰"), =HYPERLINK("CSG7.html#group85A7", "85A⁷"), =HYPERLINK("CSG0.html#group5A0", "5A⁰"), =HYPERLINK("CSG1.html#group17A1", "17A¹"), =HYPERLINK("CSG0.html#group1A0", "1A⁰")</f>
        <v/>
      </c>
      <c r="N5848" t="inlineStr"/>
    </row>
    <row r="5849">
      <c r="A5849" t="inlineStr">
        <is>
          <t>88A¹⁹</t>
        </is>
      </c>
      <c r="B5849" t="inlineStr"/>
      <c r="C5849" t="inlineStr">
        <is>
          <t>264</t>
        </is>
      </c>
      <c r="D5849" t="inlineStr">
        <is>
          <t>2</t>
        </is>
      </c>
      <c r="E5849" t="inlineStr">
        <is>
          <t>132</t>
        </is>
      </c>
      <c r="F5849" t="inlineStr">
        <is>
          <t>6</t>
        </is>
      </c>
      <c r="G5849" t="inlineStr">
        <is>
          <t>0</t>
        </is>
      </c>
      <c r="H5849" t="inlineStr">
        <is>
          <t>44⁴, 88¹</t>
        </is>
      </c>
      <c r="I5849" t="n">
        <v>5</v>
      </c>
      <c r="J5849" t="inlineStr">
        <is>
          <t>4², 8², 20⁴, 40⁴</t>
        </is>
      </c>
      <c r="K5849">
        <f>HYPERLINK("CSG0.html#group8K0", "8K⁰"), =HYPERLINK("CSG9.html#group44A9", "44A⁹")</f>
        <v/>
      </c>
      <c r="L5849" t="inlineStr"/>
      <c r="M5849">
        <f>HYPERLINK("CSG0.html#group11A0", "11A⁰"), =HYPERLINK("CSG2.html#group44A2", "44A²"), =HYPERLINK("CSG4.html#group44C4", "44C⁴"), =HYPERLINK("CSG0.html#group8K0", "8K⁰"), =HYPERLINK("CSG0.html#group4A0", "4A⁰"), =HYPERLINK("CSG0.html#group4C0", "4C⁰"), =HYPERLINK("CSG0.html#group1A0", "1A⁰"), =HYPERLINK("CSG0.html#group2B0", "2B⁰"), =HYPERLINK("CSG0.html#group4F0", "4F⁰"), =HYPERLINK("CSG2.html#group22B2", "22B²"), =HYPERLINK("CSG9.html#group44A9", "44A⁹")</f>
        <v/>
      </c>
      <c r="N5849" t="inlineStr"/>
    </row>
    <row r="5850">
      <c r="A5850" t="inlineStr">
        <is>
          <t>88B¹⁹</t>
        </is>
      </c>
      <c r="B5850" t="inlineStr"/>
      <c r="C5850" t="inlineStr">
        <is>
          <t>288</t>
        </is>
      </c>
      <c r="D5850" t="inlineStr">
        <is>
          <t>1</t>
        </is>
      </c>
      <c r="E5850" t="inlineStr">
        <is>
          <t>36</t>
        </is>
      </c>
      <c r="F5850" t="inlineStr">
        <is>
          <t>0</t>
        </is>
      </c>
      <c r="G5850" t="inlineStr">
        <is>
          <t>0</t>
        </is>
      </c>
      <c r="H5850" t="inlineStr">
        <is>
          <t>2⁴, 8², 22⁴, 88²</t>
        </is>
      </c>
      <c r="I5850" t="n">
        <v>12</v>
      </c>
      <c r="J5850" t="inlineStr">
        <is>
          <t>1⁶, 10³</t>
        </is>
      </c>
      <c r="K5850">
        <f>HYPERLINK("CSG8.html#group88C8", "88C⁸"), =HYPERLINK("CSG9.html#group44B9", "44B⁹"), =HYPERLINK("CSG10.html#group88B10", "88B¹⁰")</f>
        <v/>
      </c>
      <c r="L5850" t="inlineStr"/>
      <c r="M5850">
        <f>HYPERLINK("CSG0.html#group2A0", "2A⁰"), =HYPERLINK("CSG0.html#group4C0", "4C⁰"), =HYPERLINK("CSG5.html#group44B5", "44B⁵"), =HYPERLINK("CSG0.html#group2B0", "2B⁰"), =HYPERLINK("CSG0.html#group4E0", "4E⁰"), =HYPERLINK("CSG0.html#group4B0", "4B⁰"), =HYPERLINK("CSG2.html#group22C2", "22C²"), =HYPERLINK("CSG9.html#group44B9", "44B⁹"), =HYPERLINK("CSG0.html#group1A0", "1A⁰"), =HYPERLINK("CSG4.html#group22A4", "22A⁴"), =HYPERLINK("CSG4.html#group44D4", "44D⁴"), =HYPERLINK("CSG8.html#group88C8", "88C⁸"), =HYPERLINK("CSG1.html#group11A1", "11A¹"), =HYPERLINK("CSG2.html#group22A2", "22A²"), =HYPERLINK("CSG0.html#group2C0", "2C⁰"), =HYPERLINK("CSG10.html#group88B10", "88B¹⁰")</f>
        <v/>
      </c>
      <c r="N5850" t="inlineStr"/>
    </row>
    <row r="5851">
      <c r="A5851" t="inlineStr">
        <is>
          <t>88C¹⁹</t>
        </is>
      </c>
      <c r="B5851" t="inlineStr"/>
      <c r="C5851" t="inlineStr">
        <is>
          <t>288</t>
        </is>
      </c>
      <c r="D5851" t="inlineStr">
        <is>
          <t>1</t>
        </is>
      </c>
      <c r="E5851" t="inlineStr">
        <is>
          <t>36</t>
        </is>
      </c>
      <c r="F5851" t="inlineStr">
        <is>
          <t>0</t>
        </is>
      </c>
      <c r="G5851" t="inlineStr">
        <is>
          <t>0</t>
        </is>
      </c>
      <c r="H5851" t="inlineStr">
        <is>
          <t>2⁴, 8², 22⁴, 88²</t>
        </is>
      </c>
      <c r="I5851" t="n">
        <v>12</v>
      </c>
      <c r="J5851" t="inlineStr">
        <is>
          <t>1⁶, 10³</t>
        </is>
      </c>
      <c r="K5851">
        <f>HYPERLINK("CSG0.html#group8G0", "8G⁰"), =HYPERLINK("CSG9.html#group44B9", "44B⁹"), =HYPERLINK("CSG9.html#group88B9", "88B⁹"), =HYPERLINK("CSG10.html#group88C10", "88C¹⁰")</f>
        <v/>
      </c>
      <c r="L5851" t="inlineStr"/>
      <c r="M5851">
        <f>HYPERLINK("CSG0.html#group2A0", "2A⁰"), =HYPERLINK("CSG0.html#group8D0", "8D⁰"), =HYPERLINK("CSG0.html#group4C0", "4C⁰"), =HYPERLINK("CSG5.html#group44B5", "44B⁵"), =HYPERLINK("CSG9.html#group88B9", "88B⁹"), =HYPERLINK("CSG0.html#group8C0", "8C⁰"), =HYPERLINK("CSG0.html#group4E0", "4E⁰"), =HYPERLINK("CSG0.html#group2B0", "2B⁰"), =HYPERLINK("CSG0.html#group4B0", "4B⁰"), =HYPERLINK("CSG2.html#group22C2", "22C²"), =HYPERLINK("CSG0.html#group1A0", "1A⁰"), =HYPERLINK("CSG9.html#group44B9", "44B⁹"), =HYPERLINK("CSG4.html#group44D4", "44D⁴"), =HYPERLINK("CSG4.html#group22A4", "22A⁴"), =HYPERLINK("CSG0.html#group8G0", "8G⁰"), =HYPERLINK("CSG1.html#group11A1", "11A¹"), =HYPERLINK("CSG2.html#group22A2", "22A²"), =HYPERLINK("CSG0.html#group2C0", "2C⁰"), =HYPERLINK("CSG10.html#group88C10", "88C¹⁰")</f>
        <v/>
      </c>
      <c r="N5851" t="inlineStr"/>
    </row>
    <row r="5852">
      <c r="A5852" t="inlineStr">
        <is>
          <t>88D¹⁹</t>
        </is>
      </c>
      <c r="B5852" t="inlineStr"/>
      <c r="C5852" t="inlineStr">
        <is>
          <t>288</t>
        </is>
      </c>
      <c r="D5852" t="inlineStr">
        <is>
          <t>1</t>
        </is>
      </c>
      <c r="E5852" t="inlineStr">
        <is>
          <t>72</t>
        </is>
      </c>
      <c r="F5852" t="inlineStr">
        <is>
          <t>0</t>
        </is>
      </c>
      <c r="G5852" t="inlineStr">
        <is>
          <t>0</t>
        </is>
      </c>
      <c r="H5852" t="inlineStr">
        <is>
          <t>2⁴, 8², 22⁴, 88²</t>
        </is>
      </c>
      <c r="I5852" t="n">
        <v>12</v>
      </c>
      <c r="J5852" t="inlineStr">
        <is>
          <t>1⁸, 2², 10⁴, 20¹</t>
        </is>
      </c>
      <c r="K5852">
        <f>HYPERLINK("CSG8.html#group44B8", "44B⁸"), =HYPERLINK("CSG9.html#group88B9", "88B⁹"), =HYPERLINK("CSG10.html#group88B10", "88B¹⁰")</f>
        <v/>
      </c>
      <c r="L5852" t="inlineStr"/>
      <c r="M5852">
        <f>HYPERLINK("CSG1.html#group11A1", "11A¹"), =HYPERLINK("CSG9.html#group88B9", "88B⁹"), =HYPERLINK("CSG0.html#group2B0", "2B⁰"), =HYPERLINK("CSG0.html#group8C0", "8C⁰"), =HYPERLINK("CSG0.html#group4B0", "4B⁰"), =HYPERLINK("CSG2.html#group22C2", "22C²"), =HYPERLINK("CSG0.html#group1A0", "1A⁰"), =HYPERLINK("CSG8.html#group44B8", "44B⁸"), =HYPERLINK("CSG4.html#group44D4", "44D⁴"), =HYPERLINK("CSG10.html#group88B10", "88B¹⁰")</f>
        <v/>
      </c>
      <c r="N5852" t="inlineStr"/>
    </row>
    <row r="5853">
      <c r="A5853" t="inlineStr">
        <is>
          <t>88E¹⁹</t>
        </is>
      </c>
      <c r="B5853" t="inlineStr"/>
      <c r="C5853" t="inlineStr">
        <is>
          <t>288</t>
        </is>
      </c>
      <c r="D5853" t="inlineStr">
        <is>
          <t>1</t>
        </is>
      </c>
      <c r="E5853" t="inlineStr">
        <is>
          <t>144</t>
        </is>
      </c>
      <c r="F5853" t="inlineStr">
        <is>
          <t>0</t>
        </is>
      </c>
      <c r="G5853" t="inlineStr">
        <is>
          <t>0</t>
        </is>
      </c>
      <c r="H5853" t="inlineStr">
        <is>
          <t>1², 2¹, 4¹, 8², 11², 22¹, 44¹, 88²</t>
        </is>
      </c>
      <c r="I5853" t="n">
        <v>12</v>
      </c>
      <c r="J5853" t="inlineStr">
        <is>
          <t>1⁸, 2⁴, 4², 10⁴, 20², 40¹</t>
        </is>
      </c>
      <c r="K5853">
        <f>HYPERLINK("CSG9.html#group88B9", "88B⁹")</f>
        <v/>
      </c>
      <c r="L5853" t="inlineStr"/>
      <c r="M5853">
        <f>HYPERLINK("CSG1.html#group11A1", "11A¹"), =HYPERLINK("CSG9.html#group88B9", "88B⁹"), =HYPERLINK("CSG0.html#group8C0", "8C⁰"), =HYPERLINK("CSG0.html#group2B0", "2B⁰"), =HYPERLINK("CSG0.html#group4B0", "4B⁰"), =HYPERLINK("CSG2.html#group22C2", "22C²"), =HYPERLINK("CSG0.html#group1A0", "1A⁰"), =HYPERLINK("CSG4.html#group44D4", "44D⁴")</f>
        <v/>
      </c>
      <c r="N5853" t="inlineStr"/>
    </row>
    <row r="5854">
      <c r="A5854" t="inlineStr">
        <is>
          <t>88F¹⁹</t>
        </is>
      </c>
      <c r="B5854" t="inlineStr"/>
      <c r="C5854" t="inlineStr">
        <is>
          <t>288</t>
        </is>
      </c>
      <c r="D5854" t="inlineStr">
        <is>
          <t>1</t>
        </is>
      </c>
      <c r="E5854" t="inlineStr">
        <is>
          <t>144</t>
        </is>
      </c>
      <c r="F5854" t="inlineStr">
        <is>
          <t>0</t>
        </is>
      </c>
      <c r="G5854" t="inlineStr">
        <is>
          <t>0</t>
        </is>
      </c>
      <c r="H5854" t="inlineStr">
        <is>
          <t>1², 2¹, 4¹, 8², 11², 22¹, 44¹, 88²</t>
        </is>
      </c>
      <c r="I5854" t="n">
        <v>12</v>
      </c>
      <c r="J5854" t="inlineStr">
        <is>
          <t>1⁸, 2⁴, 4², 10⁴, 20², 40¹</t>
        </is>
      </c>
      <c r="K5854">
        <f>HYPERLINK("CSG0.html#group8I0", "8I⁰"), =HYPERLINK("CSG9.html#group88B9", "88B⁹")</f>
        <v/>
      </c>
      <c r="L5854" t="inlineStr"/>
      <c r="M5854">
        <f>HYPERLINK("CSG1.html#group11A1", "11A¹"), =HYPERLINK("CSG9.html#group88B9", "88B⁹"), =HYPERLINK("CSG0.html#group8C0", "8C⁰"), =HYPERLINK("CSG0.html#group2B0", "2B⁰"), =HYPERLINK("CSG0.html#group8I0", "8I⁰"), =HYPERLINK("CSG0.html#group4B0", "4B⁰"), =HYPERLINK("CSG2.html#group22C2", "22C²"), =HYPERLINK("CSG0.html#group1A0", "1A⁰"), =HYPERLINK("CSG4.html#group44D4", "44D⁴")</f>
        <v/>
      </c>
      <c r="N5854" t="inlineStr"/>
    </row>
    <row r="5855">
      <c r="A5855" t="inlineStr">
        <is>
          <t>88G¹⁹</t>
        </is>
      </c>
      <c r="B5855" t="inlineStr"/>
      <c r="C5855" t="inlineStr">
        <is>
          <t>288</t>
        </is>
      </c>
      <c r="D5855" t="inlineStr">
        <is>
          <t>1</t>
        </is>
      </c>
      <c r="E5855" t="inlineStr">
        <is>
          <t>144</t>
        </is>
      </c>
      <c r="F5855" t="inlineStr">
        <is>
          <t>0</t>
        </is>
      </c>
      <c r="G5855" t="inlineStr">
        <is>
          <t>0</t>
        </is>
      </c>
      <c r="H5855" t="inlineStr">
        <is>
          <t>2², 4³, 8¹, 22², 44³, 88¹</t>
        </is>
      </c>
      <c r="I5855" t="n">
        <v>12</v>
      </c>
      <c r="J5855" t="inlineStr">
        <is>
          <t>1¹⁶, 2⁴, 10⁸, 20²</t>
        </is>
      </c>
      <c r="K5855">
        <f>HYPERLINK("CSG9.html#group44B9", "44B⁹")</f>
        <v/>
      </c>
      <c r="L5855" t="inlineStr"/>
      <c r="M5855">
        <f>HYPERLINK("CSG0.html#group2A0", "2A⁰"), =HYPERLINK("CSG1.html#group11A1", "11A¹"), =HYPERLINK("CSG2.html#group22A2", "22A²"), =HYPERLINK("CSG0.html#group4C0", "4C⁰"), =HYPERLINK("CSG5.html#group44B5", "44B⁵"), =HYPERLINK("CSG0.html#group1A0", "1A⁰"), =HYPERLINK("CSG0.html#group2B0", "2B⁰"), =HYPERLINK("CSG0.html#group4E0", "4E⁰"), =HYPERLINK("CSG0.html#group4B0", "4B⁰"), =HYPERLINK("CSG2.html#group22C2", "22C²"), =HYPERLINK("CSG9.html#group44B9", "44B⁹"), =HYPERLINK("CSG0.html#group2C0", "2C⁰"), =HYPERLINK("CSG4.html#group44D4", "44D⁴"), =HYPERLINK("CSG4.html#group22A4", "22A⁴")</f>
        <v/>
      </c>
      <c r="N5855" t="inlineStr"/>
    </row>
    <row r="5856">
      <c r="A5856" t="inlineStr">
        <is>
          <t>88H¹⁹</t>
        </is>
      </c>
      <c r="B5856" t="inlineStr"/>
      <c r="C5856" t="inlineStr">
        <is>
          <t>288</t>
        </is>
      </c>
      <c r="D5856" t="inlineStr">
        <is>
          <t>1</t>
        </is>
      </c>
      <c r="E5856" t="inlineStr">
        <is>
          <t>144</t>
        </is>
      </c>
      <c r="F5856" t="inlineStr">
        <is>
          <t>0</t>
        </is>
      </c>
      <c r="G5856" t="inlineStr">
        <is>
          <t>0</t>
        </is>
      </c>
      <c r="H5856" t="inlineStr">
        <is>
          <t>2², 4³, 8¹, 22², 44³, 88¹</t>
        </is>
      </c>
      <c r="I5856" t="n">
        <v>12</v>
      </c>
      <c r="J5856" t="inlineStr">
        <is>
          <t>1¹⁶, 2⁴, 10⁸, 20²</t>
        </is>
      </c>
      <c r="K5856">
        <f>HYPERLINK("CSG0.html#group8J0", "8J⁰"), =HYPERLINK("CSG9.html#group44B9", "44B⁹")</f>
        <v/>
      </c>
      <c r="L5856" t="inlineStr"/>
      <c r="M5856">
        <f>HYPERLINK("CSG0.html#group2A0", "2A⁰"), =HYPERLINK("CSG0.html#group4C0", "4C⁰"), =HYPERLINK("CSG5.html#group44B5", "44B⁵"), =HYPERLINK("CSG0.html#group2B0", "2B⁰"), =HYPERLINK("CSG0.html#group4E0", "4E⁰"), =HYPERLINK("CSG0.html#group4B0", "4B⁰"), =HYPERLINK("CSG2.html#group22C2", "22C²"), =HYPERLINK("CSG9.html#group44B9", "44B⁹"), =HYPERLINK("CSG0.html#group1A0", "1A⁰"), =HYPERLINK("CSG4.html#group22A4", "22A⁴"), =HYPERLINK("CSG4.html#group44D4", "44D⁴"), =HYPERLINK("CSG1.html#group11A1", "11A¹"), =HYPERLINK("CSG2.html#group22A2", "22A²"), =HYPERLINK("CSG0.html#group8J0", "8J⁰"), =HYPERLINK("CSG0.html#group2C0", "2C⁰")</f>
        <v/>
      </c>
      <c r="N5856" t="inlineStr"/>
    </row>
    <row r="5857">
      <c r="A5857" t="inlineStr">
        <is>
          <t>90A¹⁹</t>
        </is>
      </c>
      <c r="B5857" t="inlineStr"/>
      <c r="C5857" t="inlineStr">
        <is>
          <t>240</t>
        </is>
      </c>
      <c r="D5857" t="inlineStr">
        <is>
          <t>1</t>
        </is>
      </c>
      <c r="E5857" t="inlineStr">
        <is>
          <t>40</t>
        </is>
      </c>
      <c r="F5857" t="inlineStr">
        <is>
          <t>0</t>
        </is>
      </c>
      <c r="G5857" t="inlineStr">
        <is>
          <t>0</t>
        </is>
      </c>
      <c r="H5857" t="inlineStr">
        <is>
          <t>30², 90²</t>
        </is>
      </c>
      <c r="I5857" t="n">
        <v>4</v>
      </c>
      <c r="J5857" t="inlineStr">
        <is>
          <t>2², 4⁵, 8²</t>
        </is>
      </c>
      <c r="K5857">
        <f>HYPERLINK("CSG5.html#group30I5", "30I⁵"), =HYPERLINK("CSG9.html#group45A9", "45A⁹")</f>
        <v/>
      </c>
      <c r="L5857" t="inlineStr"/>
      <c r="M5857">
        <f>HYPERLINK("CSG0.html#group3B0", "3B⁰"), =HYPERLINK("CSG9.html#group45A9", "45A⁹"), =HYPERLINK("CSG5.html#group30I5", "30I⁵"), =HYPERLINK("CSG0.html#group10D0", "10D⁰"), =HYPERLINK("CSG0.html#group5C0", "5C⁰"), =HYPERLINK("CSG1.html#group9A1", "9A¹"), =HYPERLINK("CSG2.html#group15C2", "15C²"), =HYPERLINK("CSG0.html#group1A0", "1A⁰")</f>
        <v/>
      </c>
      <c r="N5857" t="inlineStr"/>
    </row>
    <row r="5858">
      <c r="A5858" t="inlineStr">
        <is>
          <t>90B¹⁹</t>
        </is>
      </c>
      <c r="B5858" t="inlineStr"/>
      <c r="C5858" t="inlineStr">
        <is>
          <t>240</t>
        </is>
      </c>
      <c r="D5858" t="inlineStr">
        <is>
          <t>1</t>
        </is>
      </c>
      <c r="E5858" t="inlineStr">
        <is>
          <t>40</t>
        </is>
      </c>
      <c r="F5858" t="inlineStr">
        <is>
          <t>0</t>
        </is>
      </c>
      <c r="G5858" t="inlineStr">
        <is>
          <t>0</t>
        </is>
      </c>
      <c r="H5858" t="inlineStr">
        <is>
          <t>30², 90²</t>
        </is>
      </c>
      <c r="I5858" t="n">
        <v>4</v>
      </c>
      <c r="J5858" t="inlineStr">
        <is>
          <t>2², 4⁵, 8²</t>
        </is>
      </c>
      <c r="K5858">
        <f>HYPERLINK("CSG2.html#group18B2", "18B²"), =HYPERLINK("CSG5.html#group30J5", "30J⁵"), =HYPERLINK("CSG9.html#group45A9", "45A⁹")</f>
        <v/>
      </c>
      <c r="L5858" t="inlineStr"/>
      <c r="M5858">
        <f>HYPERLINK("CSG5.html#group30J5", "30J⁵"), =HYPERLINK("CSG0.html#group2A0", "2A⁰"), =HYPERLINK("CSG9.html#group45A9", "45A⁹"), =HYPERLINK("CSG2.html#group18B2", "18B²"), =HYPERLINK("CSG0.html#group3B0", "3B⁰"), =HYPERLINK("CSG0.html#group6C0", "6C⁰"), =HYPERLINK("CSG1.html#group9A1", "9A¹"), =HYPERLINK("CSG1.html#group10C1", "10C¹"), =HYPERLINK("CSG0.html#group1A0", "1A⁰"), =HYPERLINK("CSG2.html#group15C2", "15C²"), =HYPERLINK("CSG0.html#group5C0", "5C⁰")</f>
        <v/>
      </c>
      <c r="N5858" t="inlineStr"/>
    </row>
    <row r="5859">
      <c r="A5859" t="inlineStr">
        <is>
          <t>90C¹⁹</t>
        </is>
      </c>
      <c r="B5859" t="inlineStr"/>
      <c r="C5859" t="inlineStr">
        <is>
          <t>240</t>
        </is>
      </c>
      <c r="D5859" t="inlineStr">
        <is>
          <t>1</t>
        </is>
      </c>
      <c r="E5859" t="inlineStr">
        <is>
          <t>80</t>
        </is>
      </c>
      <c r="F5859" t="inlineStr">
        <is>
          <t>0</t>
        </is>
      </c>
      <c r="G5859" t="inlineStr">
        <is>
          <t>0</t>
        </is>
      </c>
      <c r="H5859" t="inlineStr">
        <is>
          <t>30², 90²</t>
        </is>
      </c>
      <c r="I5859" t="n">
        <v>4</v>
      </c>
      <c r="J5859" t="inlineStr">
        <is>
          <t>4⁴, 8⁸</t>
        </is>
      </c>
      <c r="K5859">
        <f>HYPERLINK("CSG2.html#group18C2", "18C²"), =HYPERLINK("CSG5.html#group30J5", "30J⁵")</f>
        <v/>
      </c>
      <c r="L5859" t="inlineStr"/>
      <c r="M5859">
        <f>HYPERLINK("CSG5.html#group30J5", "30J⁵"), =HYPERLINK("CSG0.html#group2A0", "2A⁰"), =HYPERLINK("CSG0.html#group3B0", "3B⁰"), =HYPERLINK("CSG0.html#group6C0", "6C⁰"), =HYPERLINK("CSG1.html#group10C1", "10C¹"), =HYPERLINK("CSG0.html#group1A0", "1A⁰"), =HYPERLINK("CSG2.html#group15C2", "15C²"), =HYPERLINK("CSG0.html#group5C0", "5C⁰"), =HYPERLINK("CSG2.html#group18C2", "18C²")</f>
        <v/>
      </c>
      <c r="N5859" t="inlineStr"/>
    </row>
    <row r="5860">
      <c r="A5860" t="inlineStr">
        <is>
          <t>90D¹⁹</t>
        </is>
      </c>
      <c r="B5860" t="inlineStr"/>
      <c r="C5860" t="inlineStr">
        <is>
          <t>270</t>
        </is>
      </c>
      <c r="D5860" t="inlineStr">
        <is>
          <t>1</t>
        </is>
      </c>
      <c r="E5860" t="inlineStr">
        <is>
          <t>45</t>
        </is>
      </c>
      <c r="F5860" t="inlineStr">
        <is>
          <t>12</t>
        </is>
      </c>
      <c r="G5860" t="inlineStr">
        <is>
          <t>0</t>
        </is>
      </c>
      <c r="H5860" t="inlineStr">
        <is>
          <t>90³</t>
        </is>
      </c>
      <c r="I5860" t="n">
        <v>3</v>
      </c>
      <c r="J5860" t="inlineStr">
        <is>
          <t>1¹, 2¹, 4¹, 6¹, 8¹, 24¹</t>
        </is>
      </c>
      <c r="K5860">
        <f>HYPERLINK("CSG4.html#group30E4", "30E⁴"), =HYPERLINK("CSG7.html#group45D7", "45D⁷"), =HYPERLINK("CSG7.html#group90A7", "90A⁷")</f>
        <v/>
      </c>
      <c r="L5860" t="inlineStr"/>
      <c r="M5860">
        <f>HYPERLINK("CSG0.html#group5A0", "5A⁰"), =HYPERLINK("CSG2.html#group30A2", "30A²"), =HYPERLINK("CSG4.html#group30E4", "30E⁴"), =HYPERLINK("CSG0.html#group6B0", "6B⁰"), =HYPERLINK("CSG7.html#group90A7", "90A⁷"), =HYPERLINK("CSG1.html#group15A1", "15A¹"), =HYPERLINK("CSG0.html#group9A0", "9A⁰"), =HYPERLINK("CSG1.html#group15F1", "15F¹"), =HYPERLINK("CSG0.html#group5E0", "5E⁰"), =HYPERLINK("CSG0.html#group15A0", "15A⁰"), =HYPERLINK("CSG0.html#group3A0", "3A⁰"), =HYPERLINK("CSG0.html#group1A0", "1A⁰"), =HYPERLINK("CSG1.html#group18A1", "18A¹"), =HYPERLINK("CSG7.html#group45D7", "45D⁷"), =HYPERLINK("CSG3.html#group45A3", "45A³")</f>
        <v/>
      </c>
      <c r="N5860" t="inlineStr"/>
    </row>
    <row r="5861">
      <c r="A5861" t="inlineStr">
        <is>
          <t>90E¹⁹</t>
        </is>
      </c>
      <c r="B5861" t="inlineStr"/>
      <c r="C5861" t="inlineStr">
        <is>
          <t>270</t>
        </is>
      </c>
      <c r="D5861" t="inlineStr">
        <is>
          <t>1</t>
        </is>
      </c>
      <c r="E5861" t="inlineStr">
        <is>
          <t>90</t>
        </is>
      </c>
      <c r="F5861" t="inlineStr">
        <is>
          <t>12</t>
        </is>
      </c>
      <c r="G5861" t="inlineStr">
        <is>
          <t>0</t>
        </is>
      </c>
      <c r="H5861" t="inlineStr">
        <is>
          <t>90³</t>
        </is>
      </c>
      <c r="I5861" t="n">
        <v>3</v>
      </c>
      <c r="J5861" t="inlineStr">
        <is>
          <t>2³, 6², 8³, 24²</t>
        </is>
      </c>
      <c r="K5861">
        <f>HYPERLINK("CSG4.html#group30E4", "30E⁴"), =HYPERLINK("CSG7.html#group90B7", "90B⁷")</f>
        <v/>
      </c>
      <c r="L5861" t="inlineStr"/>
      <c r="M5861">
        <f>HYPERLINK("CSG0.html#group5A0", "5A⁰"), =HYPERLINK("CSG2.html#group30A2", "30A²"), =HYPERLINK("CSG4.html#group30E4", "30E⁴"), =HYPERLINK("CSG0.html#group6B0", "6B⁰"), =HYPERLINK("CSG7.html#group90B7", "90B⁷"), =HYPERLINK("CSG1.html#group15F1", "15F¹"), =HYPERLINK("CSG1.html#group18B1", "18B¹"), =HYPERLINK("CSG0.html#group5E0", "5E⁰"), =HYPERLINK("CSG0.html#group3A0", "3A⁰"), =HYPERLINK("CSG0.html#group1A0", "1A⁰"), =HYPERLINK("CSG1.html#group15A1", "15A¹"), =HYPERLINK("CSG0.html#group15A0", "15A⁰")</f>
        <v/>
      </c>
      <c r="N5861" t="inlineStr"/>
    </row>
    <row r="5862">
      <c r="A5862" t="inlineStr">
        <is>
          <t>90F¹⁹</t>
        </is>
      </c>
      <c r="B5862" t="inlineStr"/>
      <c r="C5862" t="inlineStr">
        <is>
          <t>270</t>
        </is>
      </c>
      <c r="D5862" t="inlineStr">
        <is>
          <t>1</t>
        </is>
      </c>
      <c r="E5862" t="inlineStr">
        <is>
          <t>135</t>
        </is>
      </c>
      <c r="F5862" t="inlineStr">
        <is>
          <t>12</t>
        </is>
      </c>
      <c r="G5862" t="inlineStr">
        <is>
          <t>0</t>
        </is>
      </c>
      <c r="H5862" t="inlineStr">
        <is>
          <t>90³</t>
        </is>
      </c>
      <c r="I5862" t="n">
        <v>3</v>
      </c>
      <c r="J5862" t="inlineStr">
        <is>
          <t>3¹, 6⁴, 12¹, 24⁴</t>
        </is>
      </c>
      <c r="K5862">
        <f>HYPERLINK("CSG1.html#group18H1", "18H¹"), =HYPERLINK("CSG6.html#group90A6", "90A⁶"), =HYPERLINK("CSG9.html#group45B9", "45B⁹")</f>
        <v/>
      </c>
      <c r="L5862" t="inlineStr"/>
      <c r="M5862">
        <f>HYPERLINK("CSG0.html#group5A0", "5A⁰"), =HYPERLINK("CSG6.html#group90A6", "90A⁶"), =HYPERLINK("CSG0.html#group6B0", "6B⁰"), =HYPERLINK("CSG0.html#group3A0", "3A⁰"), =HYPERLINK("CSG2.html#group30A2", "30A²"), =HYPERLINK("CSG1.html#group18H1", "18H¹"), =HYPERLINK("CSG0.html#group9A0", "9A⁰"), =HYPERLINK("CSG0.html#group9G0", "9G⁰"), =HYPERLINK("CSG9.html#group45B9", "45B⁹"), =HYPERLINK("CSG0.html#group1A0", "1A⁰"), =HYPERLINK("CSG0.html#group18A0", "18A⁰"), =HYPERLINK("CSG1.html#group15A1", "15A¹"), =HYPERLINK("CSG3.html#group45A3", "45A³")</f>
        <v/>
      </c>
      <c r="N5862" t="inlineStr"/>
    </row>
    <row r="5863">
      <c r="A5863" t="inlineStr">
        <is>
          <t>90G¹⁹</t>
        </is>
      </c>
      <c r="B5863" t="inlineStr"/>
      <c r="C5863" t="inlineStr">
        <is>
          <t>270</t>
        </is>
      </c>
      <c r="D5863" t="inlineStr">
        <is>
          <t>1</t>
        </is>
      </c>
      <c r="E5863" t="inlineStr">
        <is>
          <t>270</t>
        </is>
      </c>
      <c r="F5863" t="inlineStr">
        <is>
          <t>2</t>
        </is>
      </c>
      <c r="G5863" t="inlineStr">
        <is>
          <t>0</t>
        </is>
      </c>
      <c r="H5863" t="inlineStr">
        <is>
          <t>15³, 30³, 45¹, 90¹</t>
        </is>
      </c>
      <c r="I5863" t="n">
        <v>8</v>
      </c>
      <c r="J5863" t="inlineStr">
        <is>
          <t>1³, 2³, 3³, 4³, 6⁶, 8³, 12³, 24⁶</t>
        </is>
      </c>
      <c r="K5863">
        <f>HYPERLINK("CSG1.html#group18I1", "18I¹"), =HYPERLINK("CSG6.html#group30A6", "30A⁶"), =HYPERLINK("CSG6.html#group45C6", "45C⁶")</f>
        <v/>
      </c>
      <c r="L5863" t="inlineStr"/>
      <c r="M5863">
        <f>HYPERLINK("CSG6.html#group45C6", "45C⁶"), =HYPERLINK("CSG0.html#group5A0", "5A⁰"), =HYPERLINK("CSG1.html#group18I1", "18I¹"), =HYPERLINK("CSG1.html#group15A1", "15A¹"), =HYPERLINK("CSG1.html#group10B1", "10B¹"), =HYPERLINK("CSG0.html#group6G0", "6G⁰"), =HYPERLINK("CSG0.html#group2B0", "2B⁰"), =HYPERLINK("CSG0.html#group9E0", "9E⁰"), =HYPERLINK("CSG0.html#group1A0", "1A⁰"), =HYPERLINK("CSG3.html#group30D3", "30D³"), =HYPERLINK("CSG2.html#group15A2", "15A²"), =HYPERLINK("CSG0.html#group3C0", "3C⁰"), =HYPERLINK("CSG6.html#group30A6", "30A⁶"), =HYPERLINK("CSG0.html#group3A0", "3A⁰"), =HYPERLINK("CSG0.html#group6D0", "6D⁰")</f>
        <v/>
      </c>
      <c r="N5863" t="inlineStr"/>
    </row>
    <row r="5864">
      <c r="A5864" t="inlineStr">
        <is>
          <t>90H¹⁹</t>
        </is>
      </c>
      <c r="B5864" t="inlineStr"/>
      <c r="C5864" t="inlineStr">
        <is>
          <t>270</t>
        </is>
      </c>
      <c r="D5864" t="inlineStr">
        <is>
          <t>1</t>
        </is>
      </c>
      <c r="E5864" t="inlineStr">
        <is>
          <t>270</t>
        </is>
      </c>
      <c r="F5864" t="inlineStr">
        <is>
          <t>10</t>
        </is>
      </c>
      <c r="G5864" t="inlineStr">
        <is>
          <t>0</t>
        </is>
      </c>
      <c r="H5864" t="inlineStr">
        <is>
          <t>45², 90²</t>
        </is>
      </c>
      <c r="I5864" t="n">
        <v>4</v>
      </c>
      <c r="J5864" t="inlineStr">
        <is>
          <t>2³, 4⁹, 8⁶, 12³, 24⁶</t>
        </is>
      </c>
      <c r="K5864">
        <f>HYPERLINK("CSG1.html#group18E1", "18E¹"), =HYPERLINK("CSG5.html#group30K5", "30K⁵"), =HYPERLINK("CSG5.html#group45E5", "45E⁵")</f>
        <v/>
      </c>
      <c r="L5864" t="inlineStr"/>
      <c r="M5864">
        <f>HYPERLINK("CSG5.html#group30K5", "30K⁵"), =HYPERLINK("CSG1.html#group15D1", "15D¹"), =HYPERLINK("CSG5.html#group45E5", "45E⁵"), =HYPERLINK("CSG0.html#group9A0", "9A⁰"), =HYPERLINK("CSG0.html#group1A0", "1A⁰"), =HYPERLINK("CSG0.html#group2B0", "2B⁰"), =HYPERLINK("CSG1.html#group18E1", "18E¹"), =HYPERLINK("CSG0.html#group3A0", "3A⁰"), =HYPERLINK("CSG0.html#group5C0", "5C⁰"), =HYPERLINK("CSG0.html#group6D0", "6D⁰"), =HYPERLINK("CSG1.html#group10F1", "10F¹")</f>
        <v/>
      </c>
      <c r="N5864" t="inlineStr"/>
    </row>
    <row r="5865">
      <c r="A5865" t="inlineStr">
        <is>
          <t>90I¹⁹</t>
        </is>
      </c>
      <c r="B5865" t="inlineStr"/>
      <c r="C5865" t="inlineStr">
        <is>
          <t>270</t>
        </is>
      </c>
      <c r="D5865" t="inlineStr">
        <is>
          <t>2</t>
        </is>
      </c>
      <c r="E5865" t="inlineStr">
        <is>
          <t>135</t>
        </is>
      </c>
      <c r="F5865" t="inlineStr">
        <is>
          <t>12</t>
        </is>
      </c>
      <c r="G5865" t="inlineStr">
        <is>
          <t>0</t>
        </is>
      </c>
      <c r="H5865" t="inlineStr">
        <is>
          <t>90³</t>
        </is>
      </c>
      <c r="I5865" t="n">
        <v>3</v>
      </c>
      <c r="J5865" t="inlineStr">
        <is>
          <t>2³, 4³, 6², 8⁹, 12², 24⁶</t>
        </is>
      </c>
      <c r="K5865">
        <f>HYPERLINK("CSG5.html#group30L5", "30L⁵"), =HYPERLINK("CSG7.html#group45D7", "45D⁷")</f>
        <v/>
      </c>
      <c r="L5865" t="inlineStr"/>
      <c r="M5865">
        <f>HYPERLINK("CSG0.html#group5A0", "5A⁰"), =HYPERLINK("CSG5.html#group30L5", "30L⁵"), =HYPERLINK("CSG1.html#group15A1", "15A¹"), =HYPERLINK("CSG0.html#group9A0", "9A⁰"), =HYPERLINK("CSG1.html#group15F1", "15F¹"), =HYPERLINK("CSG0.html#group5E0", "5E⁰"), =HYPERLINK("CSG3.html#group45A3", "45A³"), =HYPERLINK("CSG0.html#group3A0", "3A⁰"), =HYPERLINK("CSG0.html#group1A0", "1A⁰"), =HYPERLINK("CSG7.html#group45D7", "45D⁷"), =HYPERLINK("CSG0.html#group15A0", "15A⁰")</f>
        <v/>
      </c>
      <c r="N5865" t="inlineStr"/>
    </row>
    <row r="5866">
      <c r="A5866" t="inlineStr">
        <is>
          <t>90J¹⁹</t>
        </is>
      </c>
      <c r="B5866" t="inlineStr"/>
      <c r="C5866" t="inlineStr">
        <is>
          <t>324</t>
        </is>
      </c>
      <c r="D5866" t="inlineStr">
        <is>
          <t>1</t>
        </is>
      </c>
      <c r="E5866" t="inlineStr">
        <is>
          <t>162</t>
        </is>
      </c>
      <c r="F5866" t="inlineStr">
        <is>
          <t>24</t>
        </is>
      </c>
      <c r="G5866" t="inlineStr">
        <is>
          <t>0</t>
        </is>
      </c>
      <c r="H5866" t="inlineStr">
        <is>
          <t>18³, 90³</t>
        </is>
      </c>
      <c r="I5866" t="n">
        <v>6</v>
      </c>
      <c r="J5866" t="inlineStr">
        <is>
          <t>3², 6⁸, 12¹, 24⁴</t>
        </is>
      </c>
      <c r="K5866">
        <f>HYPERLINK("CSG1.html#group18H1", "18H¹"), =HYPERLINK("CSG5.html#group90A5", "90A⁵"), =HYPERLINK("CSG8.html#group45D8", "45D⁸")</f>
        <v/>
      </c>
      <c r="L5866" t="inlineStr"/>
      <c r="M5866">
        <f>HYPERLINK("CSG2.html#group45A2", "45A²"), =HYPERLINK("CSG0.html#group15B0", "15B⁰"), =HYPERLINK("CSG0.html#group6B0", "6B⁰"), =HYPERLINK("CSG1.html#group18H1", "18H¹"), =HYPERLINK("CSG8.html#group45D8", "45D⁸"), =HYPERLINK("CSG0.html#group9A0", "9A⁰"), =HYPERLINK("CSG0.html#group9G0", "9G⁰"), =HYPERLINK("CSG0.html#group5B0", "5B⁰"), =HYPERLINK("CSG5.html#group90A5", "90A⁵"), =HYPERLINK("CSG0.html#group3A0", "3A⁰"), =HYPERLINK("CSG0.html#group1A0", "1A⁰"), =HYPERLINK("CSG0.html#group18A0", "18A⁰"), =HYPERLINK("CSG1.html#group30C1", "30C¹")</f>
        <v/>
      </c>
      <c r="N5866" t="inlineStr"/>
    </row>
    <row r="5867">
      <c r="A5867" t="inlineStr">
        <is>
          <t>90K¹⁹</t>
        </is>
      </c>
      <c r="B5867" t="inlineStr"/>
      <c r="C5867" t="inlineStr">
        <is>
          <t>324</t>
        </is>
      </c>
      <c r="D5867" t="inlineStr">
        <is>
          <t>1</t>
        </is>
      </c>
      <c r="E5867" t="inlineStr">
        <is>
          <t>324</t>
        </is>
      </c>
      <c r="F5867" t="inlineStr">
        <is>
          <t>4</t>
        </is>
      </c>
      <c r="G5867" t="inlineStr">
        <is>
          <t>0</t>
        </is>
      </c>
      <c r="H5867" t="inlineStr">
        <is>
          <t>3³, 6³, 9¹, 15³, 18¹, 30³, 45¹, 90¹</t>
        </is>
      </c>
      <c r="I5867" t="n">
        <v>16</v>
      </c>
      <c r="J5867" t="inlineStr">
        <is>
          <t>1⁶, 2⁶, 3⁶, 4³, 6¹², 8³, 12³, 24⁶</t>
        </is>
      </c>
      <c r="K5867">
        <f>HYPERLINK("CSG1.html#group18I1", "18I¹"), =HYPERLINK("CSG5.html#group30O5", "30O⁵"), =HYPERLINK("CSG5.html#group45G5", "45G⁵")</f>
        <v/>
      </c>
      <c r="L5867" t="inlineStr"/>
      <c r="M5867">
        <f>HYPERLINK("CSG1.html#group18I1", "18I¹"), =HYPERLINK("CSG5.html#group45G5", "45G⁵"), =HYPERLINK("CSG0.html#group5B0", "5B⁰"), =HYPERLINK("CSG0.html#group6G0", "6G⁰"), =HYPERLINK("CSG0.html#group2B0", "2B⁰"), =HYPERLINK("CSG5.html#group30O5", "30O⁵"), =HYPERLINK("CSG0.html#group9E0", "9E⁰"), =HYPERLINK("CSG0.html#group1A0", "1A⁰"), =HYPERLINK("CSG0.html#group15B0", "15B⁰"), =HYPERLINK("CSG2.html#group30E2", "30E²"), =HYPERLINK("CSG0.html#group10C0", "10C⁰"), =HYPERLINK("CSG0.html#group3C0", "3C⁰"), =HYPERLINK("CSG0.html#group3A0", "3A⁰"), =HYPERLINK("CSG0.html#group6D0", "6D⁰"), =HYPERLINK("CSG1.html#group15E1", "15E¹")</f>
        <v/>
      </c>
      <c r="N5867" t="inlineStr"/>
    </row>
    <row r="5868">
      <c r="A5868" t="inlineStr">
        <is>
          <t>95A¹⁹</t>
        </is>
      </c>
      <c r="B5868" t="inlineStr"/>
      <c r="C5868" t="inlineStr">
        <is>
          <t>300</t>
        </is>
      </c>
      <c r="D5868" t="inlineStr">
        <is>
          <t>1</t>
        </is>
      </c>
      <c r="E5868" t="inlineStr">
        <is>
          <t>100</t>
        </is>
      </c>
      <c r="F5868" t="inlineStr">
        <is>
          <t>0</t>
        </is>
      </c>
      <c r="G5868" t="inlineStr">
        <is>
          <t>12</t>
        </is>
      </c>
      <c r="H5868" t="inlineStr">
        <is>
          <t>5³, 95³</t>
        </is>
      </c>
      <c r="I5868" t="n">
        <v>6</v>
      </c>
      <c r="J5868" t="inlineStr">
        <is>
          <t>1², 4², 18¹, 72¹</t>
        </is>
      </c>
      <c r="K5868">
        <f>HYPERLINK("CSG1.html#group19B1", "19B¹"), =HYPERLINK("CSG7.html#group95A7", "95A⁷")</f>
        <v/>
      </c>
      <c r="L5868" t="inlineStr"/>
      <c r="M5868">
        <f>HYPERLINK("CSG1.html#group19A1", "19A¹"), =HYPERLINK("CSG0.html#group5A0", "5A⁰"), =HYPERLINK("CSG1.html#group19B1", "19B¹"), =HYPERLINK("CSG7.html#group95A7", "95A⁷"), =HYPERLINK("CSG0.html#group1A0", "1A⁰")</f>
        <v/>
      </c>
      <c r="N5868" t="inlineStr"/>
    </row>
    <row r="5869">
      <c r="A5869" t="inlineStr">
        <is>
          <t>96A¹⁹</t>
        </is>
      </c>
      <c r="B5869" t="inlineStr"/>
      <c r="C5869" t="inlineStr">
        <is>
          <t>288</t>
        </is>
      </c>
      <c r="D5869" t="inlineStr">
        <is>
          <t>1</t>
        </is>
      </c>
      <c r="E5869" t="inlineStr">
        <is>
          <t>6</t>
        </is>
      </c>
      <c r="F5869" t="inlineStr">
        <is>
          <t>0</t>
        </is>
      </c>
      <c r="G5869" t="inlineStr">
        <is>
          <t>0</t>
        </is>
      </c>
      <c r="H5869" t="inlineStr">
        <is>
          <t>6⁸, 24², 96²</t>
        </is>
      </c>
      <c r="I5869" t="n">
        <v>12</v>
      </c>
      <c r="J5869" t="inlineStr">
        <is>
          <t>1⁴, 2¹</t>
        </is>
      </c>
      <c r="K5869">
        <f>HYPERLINK("CSG3.html#group32J3", "32J³"), =HYPERLINK("CSG9.html#group48A9", "48A⁹"), =HYPERLINK("CSG9.html#group96A9", "96A⁹")</f>
        <v/>
      </c>
      <c r="L5869" t="inlineStr"/>
      <c r="M5869">
        <f>HYPERLINK("CSG0.html#group2A0", "2A⁰"), =HYPERLINK("CSG0.html#group12C0", "12C⁰"), =HYPERLINK("CSG0.html#group4C0", "4C⁰"), =HYPERLINK("CSG1.html#group6C1", "6C¹"), =HYPERLINK("CSG2.html#group12B2", "12B²"), =HYPERLINK("CSG1.html#group16A1", "16A¹"), =HYPERLINK("CSG0.html#group8C0", "8C⁰"), =HYPERLINK("CSG0.html#group2B0", "2B⁰"), =HYPERLINK("CSG0.html#group4E0", "4E⁰"), =HYPERLINK("CSG0.html#group4B0", "4B⁰"), =HYPERLINK("CSG0.html#group1A0", "1A⁰"), =HYPERLINK("CSG2.html#group24B2", "24B²"), =HYPERLINK("CSG1.html#group32A1", "32A¹"), =HYPERLINK("CSG0.html#group8G0", "8G⁰"), =HYPERLINK("CSG0.html#group16C0", "16C⁰"), =HYPERLINK("CSG1.html#group12B1", "12B¹"), =HYPERLINK("CSG1.html#group6A1", "6A¹"), =HYPERLINK("CSG0.html#group3A0", "3A⁰"), =HYPERLINK("CSG5.html#group48A5", "48A⁵"), =HYPERLINK("CSG9.html#group96A9", "96A⁹"), =HYPERLINK("CSG0.html#group8D0", "8D⁰"), =HYPERLINK("CSG1.html#group16E1", "16E¹"), =HYPERLINK("CSG3.html#group32J3", "32J³"), =HYPERLINK("CSG4.html#group24D4", "24D⁴"), =HYPERLINK("CSG4.html#group48B4", "48B⁴"), =HYPERLINK("CSG9.html#group48A9", "48A⁹"), =HYPERLINK("CSG0.html#group6A0", "6A⁰"), =HYPERLINK("CSG1.html#group24C1", "24C¹"), =HYPERLINK("CSG0.html#group2C0", "2C⁰"), =HYPERLINK("CSG0.html#group6D0", "6D⁰")</f>
        <v/>
      </c>
      <c r="N5869" t="inlineStr"/>
    </row>
    <row r="5870">
      <c r="A5870" t="inlineStr">
        <is>
          <t>96B¹⁹</t>
        </is>
      </c>
      <c r="B5870" t="inlineStr"/>
      <c r="C5870" t="inlineStr">
        <is>
          <t>288</t>
        </is>
      </c>
      <c r="D5870" t="inlineStr">
        <is>
          <t>1</t>
        </is>
      </c>
      <c r="E5870" t="inlineStr">
        <is>
          <t>6</t>
        </is>
      </c>
      <c r="F5870" t="inlineStr">
        <is>
          <t>0</t>
        </is>
      </c>
      <c r="G5870" t="inlineStr">
        <is>
          <t>0</t>
        </is>
      </c>
      <c r="H5870" t="inlineStr">
        <is>
          <t>6⁸, 24², 96²</t>
        </is>
      </c>
      <c r="I5870" t="n">
        <v>12</v>
      </c>
      <c r="J5870" t="inlineStr">
        <is>
          <t>1⁴, 2¹</t>
        </is>
      </c>
      <c r="K5870">
        <f>HYPERLINK("CSG3.html#group32K3", "32K³"), =HYPERLINK("CSG8.html#group96A8", "96A⁸"), =HYPERLINK("CSG9.html#group48A9", "48A⁹"), =HYPERLINK("CSG10.html#group96A10", "96A¹⁰")</f>
        <v/>
      </c>
      <c r="L5870" t="inlineStr"/>
      <c r="M5870">
        <f>HYPERLINK("CSG0.html#group2A0", "2A⁰"), =HYPERLINK("CSG5.html#group48A5", "48A⁵"), =HYPERLINK("CSG0.html#group12C0", "12C⁰"), =HYPERLINK("CSG0.html#group8D0", "8D⁰"), =HYPERLINK("CSG1.html#group16E1", "16E¹"), =HYPERLINK("CSG0.html#group4C0", "4C⁰"), =HYPERLINK("CSG1.html#group6C1", "6C¹"), =HYPERLINK("CSG2.html#group12B2", "12B²"), =HYPERLINK("CSG1.html#group16A1", "16A¹"), =HYPERLINK("CSG10.html#group96A10", "96A¹⁰"), =HYPERLINK("CSG0.html#group8C0", "8C⁰"), =HYPERLINK("CSG0.html#group2B0", "2B⁰"), =HYPERLINK("CSG3.html#group32K3", "32K³"), =HYPERLINK("CSG0.html#group4E0", "4E⁰"), =HYPERLINK("CSG0.html#group4B0", "4B⁰"), =HYPERLINK("CSG0.html#group1A0", "1A⁰"), =HYPERLINK("CSG4.html#group24D4", "24D⁴"), =HYPERLINK("CSG4.html#group48B4", "48B⁴"), =HYPERLINK("CSG2.html#group24B2", "24B²"), =HYPERLINK("CSG9.html#group48A9", "48A⁹"), =HYPERLINK("CSG0.html#group6A0", "6A⁰"), =HYPERLINK("CSG0.html#group8G0", "8G⁰"), =HYPERLINK("CSG0.html#group16C0", "16C⁰"), =HYPERLINK("CSG0.html#group32A0", "32A⁰"), =HYPERLINK("CSG1.html#group24C1", "24C¹"), =HYPERLINK("CSG1.html#group12B1", "12B¹"), =HYPERLINK("CSG1.html#group6A1", "6A¹"), =HYPERLINK("CSG8.html#group96A8", "96A⁸"), =HYPERLINK("CSG2.html#group32A2", "32A²"), =HYPERLINK("CSG0.html#group3A0", "3A⁰"), =HYPERLINK("CSG0.html#group2C0", "2C⁰"), =HYPERLINK("CSG0.html#group6D0", "6D⁰")</f>
        <v/>
      </c>
      <c r="N5870" t="inlineStr"/>
    </row>
    <row r="5871">
      <c r="A5871" t="inlineStr">
        <is>
          <t>96C¹⁹</t>
        </is>
      </c>
      <c r="B5871" t="inlineStr"/>
      <c r="C5871" t="inlineStr">
        <is>
          <t>288</t>
        </is>
      </c>
      <c r="D5871" t="inlineStr">
        <is>
          <t>1</t>
        </is>
      </c>
      <c r="E5871" t="inlineStr">
        <is>
          <t>12</t>
        </is>
      </c>
      <c r="F5871" t="inlineStr">
        <is>
          <t>0</t>
        </is>
      </c>
      <c r="G5871" t="inlineStr">
        <is>
          <t>0</t>
        </is>
      </c>
      <c r="H5871" t="inlineStr">
        <is>
          <t>6⁸, 24², 96²</t>
        </is>
      </c>
      <c r="I5871" t="n">
        <v>12</v>
      </c>
      <c r="J5871" t="inlineStr">
        <is>
          <t>1⁴, 2², 4¹</t>
        </is>
      </c>
      <c r="K5871">
        <f>HYPERLINK("CSG3.html#group32M3", "32M³"), =HYPERLINK("CSG8.html#group48E8", "48E⁸"), =HYPERLINK("CSG9.html#group96A9", "96A⁹"), =HYPERLINK("CSG10.html#group96A10", "96A¹⁰")</f>
        <v/>
      </c>
      <c r="L5871" t="inlineStr"/>
      <c r="M5871">
        <f>HYPERLINK("CSG4.html#group24F4", "24F⁴"), =HYPERLINK("CSG9.html#group96A9", "96A⁹"), =HYPERLINK("CSG3.html#group32M3", "32M³"), =HYPERLINK("CSG10.html#group96A10", "96A¹⁰"), =HYPERLINK("CSG0.html#group8C0", "8C⁰"), =HYPERLINK("CSG0.html#group2B0", "2B⁰"), =HYPERLINK("CSG0.html#group8I0", "8I⁰"), =HYPERLINK("CSG0.html#group4B0", "4B⁰"), =HYPERLINK("CSG0.html#group1A0", "1A⁰"), =HYPERLINK("CSG4.html#group48B4", "48B⁴"), =HYPERLINK("CSG0.html#group16H0", "16H⁰"), =HYPERLINK("CSG2.html#group24B2", "24B²"), =HYPERLINK("CSG1.html#group32A1", "32A¹"), =HYPERLINK("CSG8.html#group48E8", "48E⁸"), =HYPERLINK("CSG0.html#group16C0", "16C⁰"), =HYPERLINK("CSG0.html#group16D0", "16D⁰"), =HYPERLINK("CSG2.html#group32A2", "32A²"), =HYPERLINK("CSG1.html#group12B1", "12B¹"), =HYPERLINK("CSG0.html#group3A0", "3A⁰"), =HYPERLINK("CSG0.html#group6D0", "6D⁰"), =HYPERLINK("CSG4.html#group48D4", "48D⁴")</f>
        <v/>
      </c>
      <c r="N5871" t="inlineStr"/>
    </row>
    <row r="5872">
      <c r="A5872" t="inlineStr">
        <is>
          <t>96D¹⁹</t>
        </is>
      </c>
      <c r="B5872" t="inlineStr"/>
      <c r="C5872" t="inlineStr">
        <is>
          <t>288</t>
        </is>
      </c>
      <c r="D5872" t="inlineStr">
        <is>
          <t>1</t>
        </is>
      </c>
      <c r="E5872" t="inlineStr">
        <is>
          <t>18</t>
        </is>
      </c>
      <c r="F5872" t="inlineStr">
        <is>
          <t>0</t>
        </is>
      </c>
      <c r="G5872" t="inlineStr">
        <is>
          <t>0</t>
        </is>
      </c>
      <c r="H5872" t="inlineStr">
        <is>
          <t>6⁸, 24², 96²</t>
        </is>
      </c>
      <c r="I5872" t="n">
        <v>12</v>
      </c>
      <c r="J5872" t="inlineStr">
        <is>
          <t>1⁴, 2⁵, 4¹</t>
        </is>
      </c>
      <c r="K5872">
        <f>HYPERLINK("CSG7.html#group48R7", "48R⁷"), =HYPERLINK("CSG10.html#group96B10", "96B¹⁰")</f>
        <v/>
      </c>
      <c r="L5872" t="inlineStr"/>
      <c r="M5872">
        <f>HYPERLINK("CSG1.html#group12K1", "12K¹"), =HYPERLINK("CSG4.html#group48F4", "48F⁴"), =HYPERLINK("CSG0.html#group6G0", "6G⁰"), =HYPERLINK("CSG0.html#group8C0", "8C⁰"), =HYPERLINK("CSG0.html#group2B0", "2B⁰"), =HYPERLINK("CSG0.html#group4B0", "4B⁰"), =HYPERLINK("CSG0.html#group1A0", "1A⁰"), =HYPERLINK("CSG4.html#group48B4", "48B⁴"), =HYPERLINK("CSG2.html#group24B2", "24B²"), =HYPERLINK("CSG7.html#group48R7", "48R⁷"), =HYPERLINK("CSG3.html#group24L3", "24L³"), =HYPERLINK("CSG0.html#group16C0", "16C⁰"), =HYPERLINK("CSG2.html#group24D2", "24D²"), =HYPERLINK("CSG0.html#group3C0", "3C⁰"), =HYPERLINK("CSG1.html#group12B1", "12B¹"), =HYPERLINK("CSG0.html#group12D0", "12D⁰"), =HYPERLINK("CSG0.html#group3A0", "3A⁰"), =HYPERLINK("CSG10.html#group96B10", "96B¹⁰"), =HYPERLINK("CSG0.html#group6D0", "6D⁰")</f>
        <v/>
      </c>
      <c r="N5872" t="inlineStr"/>
    </row>
    <row r="5873">
      <c r="A5873" t="inlineStr">
        <is>
          <t>96E¹⁹</t>
        </is>
      </c>
      <c r="B5873" t="inlineStr"/>
      <c r="C5873" t="inlineStr">
        <is>
          <t>288</t>
        </is>
      </c>
      <c r="D5873" t="inlineStr">
        <is>
          <t>1</t>
        </is>
      </c>
      <c r="E5873" t="inlineStr">
        <is>
          <t>18</t>
        </is>
      </c>
      <c r="F5873" t="inlineStr">
        <is>
          <t>0</t>
        </is>
      </c>
      <c r="G5873" t="inlineStr">
        <is>
          <t>0</t>
        </is>
      </c>
      <c r="H5873" t="inlineStr">
        <is>
          <t>6⁸, 24², 96²</t>
        </is>
      </c>
      <c r="I5873" t="n">
        <v>12</v>
      </c>
      <c r="J5873" t="inlineStr">
        <is>
          <t>1⁴, 2⁵, 4¹</t>
        </is>
      </c>
      <c r="K5873">
        <f>HYPERLINK("CSG9.html#group48A9", "48A⁹"), =HYPERLINK("CSG9.html#group96G9", "96G⁹")</f>
        <v/>
      </c>
      <c r="L5873" t="inlineStr"/>
      <c r="M5873">
        <f>HYPERLINK("CSG0.html#group2A0", "2A⁰"), =HYPERLINK("CSG5.html#group48A5", "48A⁵"), =HYPERLINK("CSG0.html#group12C0", "12C⁰"), =HYPERLINK("CSG0.html#group8D0", "8D⁰"), =HYPERLINK("CSG1.html#group16E1", "16E¹"), =HYPERLINK("CSG0.html#group4C0", "4C⁰"), =HYPERLINK("CSG1.html#group6C1", "6C¹"), =HYPERLINK("CSG2.html#group12B2", "12B²"), =HYPERLINK("CSG1.html#group16A1", "16A¹"), =HYPERLINK("CSG0.html#group8C0", "8C⁰"), =HYPERLINK("CSG0.html#group2B0", "2B⁰"), =HYPERLINK("CSG0.html#group4E0", "4E⁰"), =HYPERLINK("CSG0.html#group4B0", "4B⁰"), =HYPERLINK("CSG0.html#group1A0", "1A⁰"), =HYPERLINK("CSG9.html#group96G9", "96G⁹"), =HYPERLINK("CSG4.html#group24D4", "24D⁴"), =HYPERLINK("CSG4.html#group48B4", "48B⁴"), =HYPERLINK("CSG2.html#group24B2", "24B²"), =HYPERLINK("CSG9.html#group48A9", "48A⁹"), =HYPERLINK("CSG0.html#group6A0", "6A⁰"), =HYPERLINK("CSG0.html#group8G0", "8G⁰"), =HYPERLINK("CSG0.html#group16C0", "16C⁰"), =HYPERLINK("CSG1.html#group24C1", "24C¹"), =HYPERLINK("CSG1.html#group12B1", "12B¹"), =HYPERLINK("CSG1.html#group6A1", "6A¹"), =HYPERLINK("CSG0.html#group3A0", "3A⁰"), =HYPERLINK("CSG0.html#group2C0", "2C⁰"), =HYPERLINK("CSG0.html#group6D0", "6D⁰")</f>
        <v/>
      </c>
      <c r="N5873" t="inlineStr"/>
    </row>
    <row r="5874">
      <c r="A5874" t="inlineStr">
        <is>
          <t>96F¹⁹</t>
        </is>
      </c>
      <c r="B5874" t="inlineStr"/>
      <c r="C5874" t="inlineStr">
        <is>
          <t>288</t>
        </is>
      </c>
      <c r="D5874" t="inlineStr">
        <is>
          <t>1</t>
        </is>
      </c>
      <c r="E5874" t="inlineStr">
        <is>
          <t>18</t>
        </is>
      </c>
      <c r="F5874" t="inlineStr">
        <is>
          <t>0</t>
        </is>
      </c>
      <c r="G5874" t="inlineStr">
        <is>
          <t>0</t>
        </is>
      </c>
      <c r="H5874" t="inlineStr">
        <is>
          <t>6⁸, 24², 96²</t>
        </is>
      </c>
      <c r="I5874" t="n">
        <v>12</v>
      </c>
      <c r="J5874" t="inlineStr">
        <is>
          <t>1⁴, 2⁵, 4¹</t>
        </is>
      </c>
      <c r="K5874">
        <f>HYPERLINK("CSG7.html#group48R7", "48R⁷"), =HYPERLINK("CSG10.html#group96A10", "96A¹⁰"), =HYPERLINK("CSG10.html#group96B10", "96B¹⁰")</f>
        <v/>
      </c>
      <c r="L5874" t="inlineStr"/>
      <c r="M5874">
        <f>HYPERLINK("CSG1.html#group12K1", "12K¹"), =HYPERLINK("CSG4.html#group48F4", "48F⁴"), =HYPERLINK("CSG0.html#group6G0", "6G⁰"), =HYPERLINK("CSG10.html#group96A10", "96A¹⁰"), =HYPERLINK("CSG0.html#group8C0", "8C⁰"), =HYPERLINK("CSG0.html#group2B0", "2B⁰"), =HYPERLINK("CSG0.html#group4B0", "4B⁰"), =HYPERLINK("CSG0.html#group1A0", "1A⁰"), =HYPERLINK("CSG4.html#group48B4", "48B⁴"), =HYPERLINK("CSG2.html#group24B2", "24B²"), =HYPERLINK("CSG7.html#group48R7", "48R⁷"), =HYPERLINK("CSG3.html#group24L3", "24L³"), =HYPERLINK("CSG0.html#group16C0", "16C⁰"), =HYPERLINK("CSG2.html#group24D2", "24D²"), =HYPERLINK("CSG0.html#group3C0", "3C⁰"), =HYPERLINK("CSG1.html#group12B1", "12B¹"), =HYPERLINK("CSG2.html#group32A2", "32A²"), =HYPERLINK("CSG0.html#group12D0", "12D⁰"), =HYPERLINK("CSG0.html#group3A0", "3A⁰"), =HYPERLINK("CSG10.html#group96B10", "96B¹⁰"), =HYPERLINK("CSG0.html#group6D0", "6D⁰")</f>
        <v/>
      </c>
      <c r="N5874" t="inlineStr"/>
    </row>
    <row r="5875">
      <c r="A5875" t="inlineStr">
        <is>
          <t>96G¹⁹</t>
        </is>
      </c>
      <c r="B5875" t="inlineStr"/>
      <c r="C5875" t="inlineStr">
        <is>
          <t>288</t>
        </is>
      </c>
      <c r="D5875" t="inlineStr">
        <is>
          <t>1</t>
        </is>
      </c>
      <c r="E5875" t="inlineStr">
        <is>
          <t>18</t>
        </is>
      </c>
      <c r="F5875" t="inlineStr">
        <is>
          <t>0</t>
        </is>
      </c>
      <c r="G5875" t="inlineStr">
        <is>
          <t>0</t>
        </is>
      </c>
      <c r="H5875" t="inlineStr">
        <is>
          <t>6⁸, 24², 96²</t>
        </is>
      </c>
      <c r="I5875" t="n">
        <v>12</v>
      </c>
      <c r="J5875" t="inlineStr">
        <is>
          <t>1⁴, 2⁵, 4¹</t>
        </is>
      </c>
      <c r="K5875">
        <f>HYPERLINK("CSG8.html#group96A8", "96A⁸"), =HYPERLINK("CSG9.html#group48F9", "48F⁹"), =HYPERLINK("CSG10.html#group96B10", "96B¹⁰")</f>
        <v/>
      </c>
      <c r="L5875" t="inlineStr"/>
      <c r="M5875">
        <f>HYPERLINK("CSG0.html#group6B0", "6B⁰"), =HYPERLINK("CSG2.html#group12D2", "12D²"), =HYPERLINK("CSG0.html#group6H0", "6H⁰"), =HYPERLINK("CSG4.html#group24J4", "24J⁴"), =HYPERLINK("CSG0.html#group8C0", "8C⁰"), =HYPERLINK("CSG0.html#group2B0", "2B⁰"), =HYPERLINK("CSG0.html#group4B0", "4B⁰"), =HYPERLINK("CSG0.html#group1A0", "1A⁰"), =HYPERLINK("CSG4.html#group48B4", "48B⁴"), =HYPERLINK("CSG2.html#group24B2", "24B²"), =HYPERLINK("CSG1.html#group12C1", "12C¹"), =HYPERLINK("CSG0.html#group16C0", "16C⁰"), =HYPERLINK("CSG0.html#group32A0", "32A⁰"), =HYPERLINK("CSG2.html#group24D2", "24D²"), =HYPERLINK("CSG1.html#group12B1", "12B¹"), =HYPERLINK("CSG9.html#group48F9", "48F⁹"), =HYPERLINK("CSG8.html#group96A8", "96A⁸"), =HYPERLINK("CSG0.html#group3A0", "3A⁰"), =HYPERLINK("CSG10.html#group96B10", "96B¹⁰"), =HYPERLINK("CSG0.html#group6D0", "6D⁰"), =HYPERLINK("CSG5.html#group48B5", "48B⁵")</f>
        <v/>
      </c>
      <c r="N5875" t="inlineStr"/>
    </row>
    <row r="5876">
      <c r="A5876" t="inlineStr">
        <is>
          <t>96H¹⁹</t>
        </is>
      </c>
      <c r="B5876" t="inlineStr"/>
      <c r="C5876" t="inlineStr">
        <is>
          <t>288</t>
        </is>
      </c>
      <c r="D5876" t="inlineStr">
        <is>
          <t>1</t>
        </is>
      </c>
      <c r="E5876" t="inlineStr">
        <is>
          <t>18</t>
        </is>
      </c>
      <c r="F5876" t="inlineStr">
        <is>
          <t>0</t>
        </is>
      </c>
      <c r="G5876" t="inlineStr">
        <is>
          <t>0</t>
        </is>
      </c>
      <c r="H5876" t="inlineStr">
        <is>
          <t>6⁸, 24², 96²</t>
        </is>
      </c>
      <c r="I5876" t="n">
        <v>12</v>
      </c>
      <c r="J5876" t="inlineStr">
        <is>
          <t>1⁴, 2⁵, 4¹</t>
        </is>
      </c>
      <c r="K5876">
        <f>HYPERLINK("CSG8.html#group96B8", "96B⁸"), =HYPERLINK("CSG9.html#group48A9", "48A⁹"), =HYPERLINK("CSG10.html#group96B10", "96B¹⁰")</f>
        <v/>
      </c>
      <c r="L5876" t="inlineStr"/>
      <c r="M5876">
        <f>HYPERLINK("CSG0.html#group2A0", "2A⁰"), =HYPERLINK("CSG0.html#group12C0", "12C⁰"), =HYPERLINK("CSG0.html#group4C0", "4C⁰"), =HYPERLINK("CSG1.html#group6C1", "6C¹"), =HYPERLINK("CSG2.html#group12B2", "12B²"), =HYPERLINK("CSG1.html#group16A1", "16A¹"), =HYPERLINK("CSG0.html#group8C0", "8C⁰"), =HYPERLINK("CSG0.html#group2B0", "2B⁰"), =HYPERLINK("CSG0.html#group4E0", "4E⁰"), =HYPERLINK("CSG0.html#group4B0", "4B⁰"), =HYPERLINK("CSG0.html#group1A0", "1A⁰"), =HYPERLINK("CSG2.html#group24B2", "24B²"), =HYPERLINK("CSG0.html#group8G0", "8G⁰"), =HYPERLINK("CSG0.html#group16C0", "16C⁰"), =HYPERLINK("CSG1.html#group12B1", "12B¹"), =HYPERLINK("CSG1.html#group6A1", "6A¹"), =HYPERLINK("CSG0.html#group3A0", "3A⁰"), =HYPERLINK("CSG5.html#group48A5", "48A⁵"), =HYPERLINK("CSG0.html#group8D0", "8D⁰"), =HYPERLINK("CSG1.html#group16E1", "16E¹"), =HYPERLINK("CSG4.html#group24D4", "24D⁴"), =HYPERLINK("CSG4.html#group48B4", "48B⁴"), =HYPERLINK("CSG9.html#group48A9", "48A⁹"), =HYPERLINK("CSG0.html#group6A0", "6A⁰"), =HYPERLINK("CSG8.html#group96B8", "96B⁸"), =HYPERLINK("CSG1.html#group24C1", "24C¹"), =HYPERLINK("CSG10.html#group96B10", "96B¹⁰"), =HYPERLINK("CSG0.html#group2C0", "2C⁰"), =HYPERLINK("CSG0.html#group6D0", "6D⁰")</f>
        <v/>
      </c>
      <c r="N5876" t="inlineStr"/>
    </row>
    <row r="5877">
      <c r="A5877" t="inlineStr">
        <is>
          <t>96I¹⁹</t>
        </is>
      </c>
      <c r="B5877" t="inlineStr"/>
      <c r="C5877" t="inlineStr">
        <is>
          <t>288</t>
        </is>
      </c>
      <c r="D5877" t="inlineStr">
        <is>
          <t>1</t>
        </is>
      </c>
      <c r="E5877" t="inlineStr">
        <is>
          <t>18</t>
        </is>
      </c>
      <c r="F5877" t="inlineStr">
        <is>
          <t>0</t>
        </is>
      </c>
      <c r="G5877" t="inlineStr">
        <is>
          <t>0</t>
        </is>
      </c>
      <c r="H5877" t="inlineStr">
        <is>
          <t>6⁸, 24², 96²</t>
        </is>
      </c>
      <c r="I5877" t="n">
        <v>12</v>
      </c>
      <c r="J5877" t="inlineStr">
        <is>
          <t>1⁴, 2⁵, 4¹</t>
        </is>
      </c>
      <c r="K5877">
        <f>HYPERLINK("CSG8.html#group96B8", "96B⁸"), =HYPERLINK("CSG9.html#group48F9", "48F⁹"), =HYPERLINK("CSG10.html#group96A10", "96A¹⁰")</f>
        <v/>
      </c>
      <c r="L5877" t="inlineStr"/>
      <c r="M5877">
        <f>HYPERLINK("CSG0.html#group6B0", "6B⁰"), =HYPERLINK("CSG2.html#group12D2", "12D²"), =HYPERLINK("CSG4.html#group24J4", "24J⁴"), =HYPERLINK("CSG10.html#group96A10", "96A¹⁰"), =HYPERLINK("CSG0.html#group8C0", "8C⁰"), =HYPERLINK("CSG0.html#group2B0", "2B⁰"), =HYPERLINK("CSG0.html#group4B0", "4B⁰"), =HYPERLINK("CSG0.html#group1A0", "1A⁰"), =HYPERLINK("CSG4.html#group48B4", "48B⁴"), =HYPERLINK("CSG2.html#group24B2", "24B²"), =HYPERLINK("CSG1.html#group12C1", "12C¹"), =HYPERLINK("CSG8.html#group96B8", "96B⁸"), =HYPERLINK("CSG0.html#group16C0", "16C⁰"), =HYPERLINK("CSG2.html#group24D2", "24D²"), =HYPERLINK("CSG2.html#group32A2", "32A²"), =HYPERLINK("CSG1.html#group12B1", "12B¹"), =HYPERLINK("CSG9.html#group48F9", "48F⁹"), =HYPERLINK("CSG0.html#group6H0", "6H⁰"), =HYPERLINK("CSG0.html#group3A0", "3A⁰"), =HYPERLINK("CSG0.html#group6D0", "6D⁰"), =HYPERLINK("CSG5.html#group48B5", "48B⁵")</f>
        <v/>
      </c>
      <c r="N5877" t="inlineStr"/>
    </row>
    <row r="5878">
      <c r="A5878" t="inlineStr">
        <is>
          <t>96J¹⁹</t>
        </is>
      </c>
      <c r="B5878" t="inlineStr"/>
      <c r="C5878" t="inlineStr">
        <is>
          <t>288</t>
        </is>
      </c>
      <c r="D5878" t="inlineStr">
        <is>
          <t>1</t>
        </is>
      </c>
      <c r="E5878" t="inlineStr">
        <is>
          <t>18</t>
        </is>
      </c>
      <c r="F5878" t="inlineStr">
        <is>
          <t>16</t>
        </is>
      </c>
      <c r="G5878" t="inlineStr">
        <is>
          <t>0</t>
        </is>
      </c>
      <c r="H5878" t="inlineStr">
        <is>
          <t>48², 96²</t>
        </is>
      </c>
      <c r="I5878" t="n">
        <v>4</v>
      </c>
      <c r="J5878" t="inlineStr">
        <is>
          <t>1², 2⁴, 4²</t>
        </is>
      </c>
      <c r="K5878">
        <f>HYPERLINK("CSG5.html#group48E5", "48E⁵"), =HYPERLINK("CSG7.html#group96A7", "96A⁷")</f>
        <v/>
      </c>
      <c r="L5878" t="inlineStr"/>
      <c r="M5878">
        <f>HYPERLINK("CSG5.html#group48E5", "48E⁵"), =HYPERLINK("CSG0.html#group12C0", "12C⁰"), =HYPERLINK("CSG0.html#group8D0", "8D⁰"), =HYPERLINK("CSG0.html#group4C0", "4C⁰"), =HYPERLINK("CSG0.html#group8B0", "8B⁰"), =HYPERLINK("CSG1.html#group16B1", "16B¹"), =HYPERLINK("CSG0.html#group48A0", "48A⁰"), =HYPERLINK("CSG0.html#group2B0", "2B⁰"), =HYPERLINK("CSG2.html#group24L2", "24L²"), =HYPERLINK("CSG0.html#group1A0", "1A⁰"), =HYPERLINK("CSG0.html#group8H0", "8H⁰"), =HYPERLINK("CSG3.html#group48C3", "48C³"), =HYPERLINK("CSG0.html#group16B0", "16B⁰"), =HYPERLINK("CSG0.html#group12A0", "12A⁰"), =HYPERLINK("CSG0.html#group24A0", "24A⁰"), =HYPERLINK("CSG0.html#group4A0", "4A⁰"), =HYPERLINK("CSG7.html#group96A7", "96A⁷"), =HYPERLINK("CSG1.html#group24C1", "24C¹"), =HYPERLINK("CSG1.html#group12J1", "12J¹"), =HYPERLINK("CSG0.html#group4F0", "4F⁰"), =HYPERLINK("CSG1.html#group16F1", "16F¹"), =HYPERLINK("CSG0.html#group3A0", "3A⁰"), =HYPERLINK("CSG0.html#group6D0", "6D⁰")</f>
        <v/>
      </c>
      <c r="N5878" t="inlineStr"/>
    </row>
    <row r="5879">
      <c r="A5879" t="inlineStr">
        <is>
          <t>96K¹⁹</t>
        </is>
      </c>
      <c r="B5879" t="inlineStr"/>
      <c r="C5879" t="inlineStr">
        <is>
          <t>288</t>
        </is>
      </c>
      <c r="D5879" t="inlineStr">
        <is>
          <t>1</t>
        </is>
      </c>
      <c r="E5879" t="inlineStr">
        <is>
          <t>24</t>
        </is>
      </c>
      <c r="F5879" t="inlineStr">
        <is>
          <t>0</t>
        </is>
      </c>
      <c r="G5879" t="inlineStr">
        <is>
          <t>0</t>
        </is>
      </c>
      <c r="H5879" t="inlineStr">
        <is>
          <t>6⁴, 12⁶, 96²</t>
        </is>
      </c>
      <c r="I5879" t="n">
        <v>12</v>
      </c>
      <c r="J5879" t="inlineStr">
        <is>
          <t>1⁴, 2², 4², 8¹</t>
        </is>
      </c>
      <c r="K5879">
        <f>HYPERLINK("CSG3.html#group32O3", "32O³"), =HYPERLINK("CSG9.html#group48B9", "48B⁹")</f>
        <v/>
      </c>
      <c r="L5879" t="inlineStr"/>
      <c r="M5879">
        <f>HYPERLINK("CSG5.html#group48A5", "48A⁵"), =HYPERLINK("CSG4.html#group24F4", "24F⁴"), =HYPERLINK("CSG9.html#group48B9", "48B⁹"), =HYPERLINK("CSG1.html#group16A1", "16A¹"), =HYPERLINK("CSG0.html#group8C0", "8C⁰"), =HYPERLINK("CSG0.html#group2B0", "2B⁰"), =HYPERLINK("CSG0.html#group8I0", "8I⁰"), =HYPERLINK("CSG0.html#group4B0", "4B⁰"), =HYPERLINK("CSG0.html#group1A0", "1A⁰"), =HYPERLINK("CSG2.html#group24B2", "24B²"), =HYPERLINK("CSG1.html#group16G1", "16G¹"), =HYPERLINK("CSG3.html#group32O3", "32O³"), =HYPERLINK("CSG0.html#group16D0", "16D⁰"), =HYPERLINK("CSG1.html#group12B1", "12B¹"), =HYPERLINK("CSG0.html#group3A0", "3A⁰"), =HYPERLINK("CSG0.html#group6D0", "6D⁰"), =HYPERLINK("CSG4.html#group48D4", "48D⁴")</f>
        <v/>
      </c>
      <c r="N5879" t="inlineStr"/>
    </row>
    <row r="5880">
      <c r="A5880" t="inlineStr">
        <is>
          <t>96L¹⁹</t>
        </is>
      </c>
      <c r="B5880" t="inlineStr"/>
      <c r="C5880" t="inlineStr">
        <is>
          <t>288</t>
        </is>
      </c>
      <c r="D5880" t="inlineStr">
        <is>
          <t>1</t>
        </is>
      </c>
      <c r="E5880" t="inlineStr">
        <is>
          <t>24</t>
        </is>
      </c>
      <c r="F5880" t="inlineStr">
        <is>
          <t>12</t>
        </is>
      </c>
      <c r="G5880" t="inlineStr">
        <is>
          <t>0</t>
        </is>
      </c>
      <c r="H5880" t="inlineStr">
        <is>
          <t>24⁴, 96²</t>
        </is>
      </c>
      <c r="I5880" t="n">
        <v>6</v>
      </c>
      <c r="J5880" t="inlineStr">
        <is>
          <t>1², 2¹, 4¹, 8²</t>
        </is>
      </c>
      <c r="K5880">
        <f>HYPERLINK("CSG5.html#group32H5", "32H⁵"), =HYPERLINK("CSG7.html#group48P7", "48P⁷"), =HYPERLINK("CSG10.html#group96C10", "96C¹⁰")</f>
        <v/>
      </c>
      <c r="L5880" t="inlineStr"/>
      <c r="M5880">
        <f>HYPERLINK("CSG0.html#group12C0", "12C⁰"), =HYPERLINK("CSG1.html#group16I1", "16I¹"), =HYPERLINK("CSG0.html#group8D0", "8D⁰"), =HYPERLINK("CSG0.html#group4C0", "4C⁰"), =HYPERLINK("CSG7.html#group48P7", "48P⁷"), =HYPERLINK("CSG5.html#group32H5", "32H⁵"), =HYPERLINK("CSG0.html#group8B0", "8B⁰"), =HYPERLINK("CSG3.html#group32I3", "32I³"), =HYPERLINK("CSG0.html#group2B0", "2B⁰"), =HYPERLINK("CSG2.html#group24L2", "24L²"), =HYPERLINK("CSG0.html#group1A0", "1A⁰"), =HYPERLINK("CSG0.html#group8H0", "8H⁰"), =HYPERLINK("CSG0.html#group16E0", "16E⁰"), =HYPERLINK("CSG0.html#group12A0", "12A⁰"), =HYPERLINK("CSG4.html#group48E4", "48E⁴"), =HYPERLINK("CSG0.html#group24A0", "24A⁰"), =HYPERLINK("CSG0.html#group4A0", "4A⁰"), =HYPERLINK("CSG1.html#group16C1", "16C¹"), =HYPERLINK("CSG1.html#group24C1", "24C¹"), =HYPERLINK("CSG1.html#group12J1", "12J¹"), =HYPERLINK("CSG0.html#group4F0", "4F⁰"), =HYPERLINK("CSG3.html#group48D3", "48D³"), =HYPERLINK("CSG0.html#group3A0", "3A⁰"), =HYPERLINK("CSG0.html#group6D0", "6D⁰"), =HYPERLINK("CSG10.html#group96C10", "96C¹⁰")</f>
        <v/>
      </c>
      <c r="N5880" t="inlineStr"/>
    </row>
    <row r="5881">
      <c r="A5881" t="inlineStr">
        <is>
          <t>96M¹⁹</t>
        </is>
      </c>
      <c r="B5881" t="inlineStr"/>
      <c r="C5881" t="inlineStr">
        <is>
          <t>288</t>
        </is>
      </c>
      <c r="D5881" t="inlineStr">
        <is>
          <t>1</t>
        </is>
      </c>
      <c r="E5881" t="inlineStr">
        <is>
          <t>24</t>
        </is>
      </c>
      <c r="F5881" t="inlineStr">
        <is>
          <t>12</t>
        </is>
      </c>
      <c r="G5881" t="inlineStr">
        <is>
          <t>0</t>
        </is>
      </c>
      <c r="H5881" t="inlineStr">
        <is>
          <t>24⁴, 96²</t>
        </is>
      </c>
      <c r="I5881" t="n">
        <v>6</v>
      </c>
      <c r="J5881" t="inlineStr">
        <is>
          <t>2⁴, 8²</t>
        </is>
      </c>
      <c r="K5881">
        <f>HYPERLINK("CSG5.html#group32I5", "32I⁵"), =HYPERLINK("CSG7.html#group48P7", "48P⁷")</f>
        <v/>
      </c>
      <c r="L5881" t="inlineStr"/>
      <c r="M5881">
        <f>HYPERLINK("CSG0.html#group12C0", "12C⁰"), =HYPERLINK("CSG1.html#group16I1", "16I¹"), =HYPERLINK("CSG0.html#group4C0", "4C⁰"), =HYPERLINK("CSG7.html#group48P7", "48P⁷"), =HYPERLINK("CSG0.html#group2B0", "2B⁰"), =HYPERLINK("CSG0.html#group1A0", "1A⁰"), =HYPERLINK("CSG0.html#group16E0", "16E⁰"), =HYPERLINK("CSG4.html#group48E4", "48E⁴"), =HYPERLINK("CSG0.html#group24A0", "24A⁰"), =HYPERLINK("CSG3.html#group48D3", "48D³"), =HYPERLINK("CSG0.html#group3A0", "3A⁰"), =HYPERLINK("CSG5.html#group32I5", "32I⁵"), =HYPERLINK("CSG0.html#group8D0", "8D⁰"), =HYPERLINK("CSG0.html#group8B0", "8B⁰"), =HYPERLINK("CSG2.html#group24L2", "24L²"), =HYPERLINK("CSG0.html#group8H0", "8H⁰"), =HYPERLINK("CSG0.html#group12A0", "12A⁰"), =HYPERLINK("CSG0.html#group4A0", "4A⁰"), =HYPERLINK("CSG1.html#group16C1", "16C¹"), =HYPERLINK("CSG1.html#group24C1", "24C¹"), =HYPERLINK("CSG1.html#group12J1", "12J¹"), =HYPERLINK("CSG0.html#group4F0", "4F⁰"), =HYPERLINK("CSG0.html#group6D0", "6D⁰")</f>
        <v/>
      </c>
      <c r="N5881" t="inlineStr"/>
    </row>
    <row r="5882">
      <c r="A5882" t="inlineStr">
        <is>
          <t>96N¹⁹</t>
        </is>
      </c>
      <c r="B5882" t="inlineStr"/>
      <c r="C5882" t="inlineStr">
        <is>
          <t>288</t>
        </is>
      </c>
      <c r="D5882" t="inlineStr">
        <is>
          <t>1</t>
        </is>
      </c>
      <c r="E5882" t="inlineStr">
        <is>
          <t>36</t>
        </is>
      </c>
      <c r="F5882" t="inlineStr">
        <is>
          <t>0</t>
        </is>
      </c>
      <c r="G5882" t="inlineStr">
        <is>
          <t>0</t>
        </is>
      </c>
      <c r="H5882" t="inlineStr">
        <is>
          <t>6⁸, 24², 96²</t>
        </is>
      </c>
      <c r="I5882" t="n">
        <v>12</v>
      </c>
      <c r="J5882" t="inlineStr">
        <is>
          <t>2⁴, 4⁷</t>
        </is>
      </c>
      <c r="K5882">
        <f>HYPERLINK("CSG7.html#group48Q7", "48Q⁷")</f>
        <v/>
      </c>
      <c r="L5882" t="inlineStr"/>
      <c r="M5882">
        <f>HYPERLINK("CSG1.html#group12K1", "12K¹"), =HYPERLINK("CSG4.html#group48F4", "48F⁴"), =HYPERLINK("CSG0.html#group6G0", "6G⁰"), =HYPERLINK("CSG0.html#group8C0", "8C⁰"), =HYPERLINK("CSG0.html#group2B0", "2B⁰"), =HYPERLINK("CSG0.html#group4B0", "4B⁰"), =HYPERLINK("CSG0.html#group1A0", "1A⁰"), =HYPERLINK("CSG7.html#group48Q7", "48Q⁷"), =HYPERLINK("CSG2.html#group24B2", "24B²"),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</f>
        <v/>
      </c>
      <c r="N5882" t="inlineStr"/>
    </row>
    <row r="5883">
      <c r="A5883" t="inlineStr">
        <is>
          <t>96O¹⁹</t>
        </is>
      </c>
      <c r="B5883" t="inlineStr"/>
      <c r="C5883" t="inlineStr">
        <is>
          <t>288</t>
        </is>
      </c>
      <c r="D5883" t="inlineStr">
        <is>
          <t>1</t>
        </is>
      </c>
      <c r="E5883" t="inlineStr">
        <is>
          <t>36</t>
        </is>
      </c>
      <c r="F5883" t="inlineStr">
        <is>
          <t>0</t>
        </is>
      </c>
      <c r="G5883" t="inlineStr">
        <is>
          <t>0</t>
        </is>
      </c>
      <c r="H5883" t="inlineStr">
        <is>
          <t>6⁸, 24², 96²</t>
        </is>
      </c>
      <c r="I5883" t="n">
        <v>12</v>
      </c>
      <c r="J5883" t="inlineStr">
        <is>
          <t>2⁸, 4³, 8¹</t>
        </is>
      </c>
      <c r="K5883">
        <f>HYPERLINK("CSG9.html#group48F9", "48F⁹"), =HYPERLINK("CSG9.html#group96G9", "96G⁹")</f>
        <v/>
      </c>
      <c r="L5883" t="inlineStr"/>
      <c r="M5883">
        <f>HYPERLINK("CSG0.html#group6B0", "6B⁰"), =HYPERLINK("CSG2.html#group12D2", "12D²"), =HYPERLINK("CSG4.html#group24J4", "24J⁴"), =HYPERLINK("CSG0.html#group8C0", "8C⁰"), =HYPERLINK("CSG0.html#group2B0", "2B⁰"), =HYPERLINK("CSG0.html#group4B0", "4B⁰"), =HYPERLINK("CSG0.html#group1A0", "1A⁰"), =HYPERLINK("CSG9.html#group96G9", "96G⁹"), =HYPERLINK("CSG4.html#group48B4", "48B⁴"), =HYPERLINK("CSG2.html#group24B2", "24B²"), =HYPERLINK("CSG1.html#group12C1", "12C¹"), =HYPERLINK("CSG0.html#group16C0", "16C⁰"), =HYPERLINK("CSG2.html#group24D2", "24D²"), =HYPERLINK("CSG1.html#group12B1", "12B¹"), =HYPERLINK("CSG9.html#group48F9", "48F⁹"), =HYPERLINK("CSG0.html#group6H0", "6H⁰"), =HYPERLINK("CSG0.html#group3A0", "3A⁰"), =HYPERLINK("CSG0.html#group6D0", "6D⁰"), =HYPERLINK("CSG5.html#group48B5", "48B⁵")</f>
        <v/>
      </c>
      <c r="N5883" t="inlineStr"/>
    </row>
    <row r="5884">
      <c r="A5884" t="inlineStr">
        <is>
          <t>96P¹⁹</t>
        </is>
      </c>
      <c r="B5884" t="inlineStr"/>
      <c r="C5884" t="inlineStr">
        <is>
          <t>288</t>
        </is>
      </c>
      <c r="D5884" t="inlineStr">
        <is>
          <t>1</t>
        </is>
      </c>
      <c r="E5884" t="inlineStr">
        <is>
          <t>36</t>
        </is>
      </c>
      <c r="F5884" t="inlineStr">
        <is>
          <t>0</t>
        </is>
      </c>
      <c r="G5884" t="inlineStr">
        <is>
          <t>0</t>
        </is>
      </c>
      <c r="H5884" t="inlineStr">
        <is>
          <t>6⁸, 24², 96²</t>
        </is>
      </c>
      <c r="I5884" t="n">
        <v>12</v>
      </c>
      <c r="J5884" t="inlineStr">
        <is>
          <t>1⁴, 2⁶, 4³, 8¹</t>
        </is>
      </c>
      <c r="K5884">
        <f>HYPERLINK("CSG8.html#group48E8", "48E⁸"), =HYPERLINK("CSG9.html#group96G9", "96G⁹"), =HYPERLINK("CSG10.html#group96B10", "96B¹⁰")</f>
        <v/>
      </c>
      <c r="L5884" t="inlineStr"/>
      <c r="M5884">
        <f>HYPERLINK("CSG4.html#group24F4", "24F⁴"), =HYPERLINK("CSG0.html#group8C0", "8C⁰"), =HYPERLINK("CSG0.html#group2B0", "2B⁰"), =HYPERLINK("CSG0.html#group8I0", "8I⁰"), =HYPERLINK("CSG0.html#group4B0", "4B⁰"), =HYPERLINK("CSG0.html#group1A0", "1A⁰"), =HYPERLINK("CSG9.html#group96G9", "96G⁹"), =HYPERLINK("CSG4.html#group48B4", "48B⁴"), =HYPERLINK("CSG0.html#group16H0", "16H⁰"), =HYPERLINK("CSG2.html#group24B2", "24B²"), =HYPERLINK("CSG8.html#group48E8", "48E⁸"), =HYPERLINK("CSG0.html#group16C0", "16C⁰"), =HYPERLINK("CSG0.html#group16D0", "16D⁰"), =HYPERLINK("CSG1.html#group12B1", "12B¹"), =HYPERLINK("CSG0.html#group3A0", "3A⁰"), =HYPERLINK("CSG10.html#group96B10", "96B¹⁰"), =HYPERLINK("CSG0.html#group6D0", "6D⁰"), =HYPERLINK("CSG4.html#group48D4", "48D⁴")</f>
        <v/>
      </c>
      <c r="N5884" t="inlineStr"/>
    </row>
    <row r="5885">
      <c r="A5885" t="inlineStr">
        <is>
          <t>96Q¹⁹</t>
        </is>
      </c>
      <c r="B5885" t="inlineStr"/>
      <c r="C5885" t="inlineStr">
        <is>
          <t>288</t>
        </is>
      </c>
      <c r="D5885" t="inlineStr">
        <is>
          <t>1</t>
        </is>
      </c>
      <c r="E5885" t="inlineStr">
        <is>
          <t>36</t>
        </is>
      </c>
      <c r="F5885" t="inlineStr">
        <is>
          <t>0</t>
        </is>
      </c>
      <c r="G5885" t="inlineStr">
        <is>
          <t>0</t>
        </is>
      </c>
      <c r="H5885" t="inlineStr">
        <is>
          <t>6⁸, 24², 96²</t>
        </is>
      </c>
      <c r="I5885" t="n">
        <v>12</v>
      </c>
      <c r="J5885" t="inlineStr">
        <is>
          <t>1⁴, 2⁶, 4³, 8¹</t>
        </is>
      </c>
      <c r="K5885">
        <f>HYPERLINK("CSG8.html#group48J8", "48J⁸"), =HYPERLINK("CSG9.html#group96A9", "96A⁹"), =HYPERLINK("CSG10.html#group96B10", "96B¹⁰")</f>
        <v/>
      </c>
      <c r="L5885" t="inlineStr"/>
      <c r="M5885">
        <f>HYPERLINK("CSG2.html#group24B2", "24B²"), =HYPERLINK("CSG1.html#group32A1", "32A¹"), =HYPERLINK("CSG0.html#group4B0", "4B⁰"), =HYPERLINK("CSG9.html#group96A9", "96A⁹"), =HYPERLINK("CSG0.html#group16C0", "16C⁰"), =HYPERLINK("CSG4.html#group24M4", "24M⁴"), =HYPERLINK("CSG0.html#group8C0", "8C⁰"), =HYPERLINK("CSG8.html#group48J8", "48J⁸"), =HYPERLINK("CSG1.html#group12B1", "12B¹"), =HYPERLINK("CSG0.html#group2B0", "2B⁰"), =HYPERLINK("CSG0.html#group3A0", "3A⁰"), =HYPERLINK("CSG10.html#group96B10", "96B¹⁰"), =HYPERLINK("CSG0.html#group1A0", "1A⁰"), =HYPERLINK("CSG4.html#group48G4", "48G⁴"), =HYPERLINK("CSG0.html#group6D0", "6D⁰"), =HYPERLINK("CSG4.html#group48B4", "48B⁴")</f>
        <v/>
      </c>
      <c r="N5885" t="inlineStr"/>
    </row>
    <row r="5886">
      <c r="A5886" t="inlineStr">
        <is>
          <t>96R¹⁹</t>
        </is>
      </c>
      <c r="B5886" t="inlineStr"/>
      <c r="C5886" t="inlineStr">
        <is>
          <t>288</t>
        </is>
      </c>
      <c r="D5886" t="inlineStr">
        <is>
          <t>1</t>
        </is>
      </c>
      <c r="E5886" t="inlineStr">
        <is>
          <t>36</t>
        </is>
      </c>
      <c r="F5886" t="inlineStr">
        <is>
          <t>0</t>
        </is>
      </c>
      <c r="G5886" t="inlineStr">
        <is>
          <t>0</t>
        </is>
      </c>
      <c r="H5886" t="inlineStr">
        <is>
          <t>6⁸, 24², 96²</t>
        </is>
      </c>
      <c r="I5886" t="n">
        <v>12</v>
      </c>
      <c r="J5886" t="inlineStr">
        <is>
          <t>1⁴, 2⁶, 4³, 8¹</t>
        </is>
      </c>
      <c r="K5886">
        <f>HYPERLINK("CSG8.html#group48J8", "48J⁸"), =HYPERLINK("CSG9.html#group96G9", "96G⁹"), =HYPERLINK("CSG10.html#group96A10", "96A¹⁰")</f>
        <v/>
      </c>
      <c r="L5886" t="inlineStr"/>
      <c r="M5886">
        <f>HYPERLINK("CSG2.html#group24B2", "24B²"), =HYPERLINK("CSG0.html#group4B0", "4B⁰"), =HYPERLINK("CSG4.html#group48G4", "48G⁴"), =HYPERLINK("CSG0.html#group16C0", "16C⁰"), =HYPERLINK("CSG4.html#group24M4", "24M⁴"), =HYPERLINK("CSG10.html#group96A10", "96A¹⁰"), =HYPERLINK("CSG8.html#group48J8", "48J⁸"), =HYPERLINK("CSG0.html#group8C0", "8C⁰"), =HYPERLINK("CSG1.html#group12B1", "12B¹"), =HYPERLINK("CSG0.html#group3A0", "3A⁰"), =HYPERLINK("CSG0.html#group2B0", "2B⁰"), =HYPERLINK("CSG0.html#group1A0", "1A⁰"), =HYPERLINK("CSG9.html#group96G9", "96G⁹"), =HYPERLINK("CSG2.html#group32A2", "32A²"), =HYPERLINK("CSG0.html#group6D0", "6D⁰"), =HYPERLINK("CSG4.html#group48B4", "48B⁴")</f>
        <v/>
      </c>
      <c r="N5886" t="inlineStr"/>
    </row>
    <row r="5887">
      <c r="A5887" t="inlineStr">
        <is>
          <t>96S¹⁹</t>
        </is>
      </c>
      <c r="B5887" t="inlineStr"/>
      <c r="C5887" t="inlineStr">
        <is>
          <t>288</t>
        </is>
      </c>
      <c r="D5887" t="inlineStr">
        <is>
          <t>1</t>
        </is>
      </c>
      <c r="E5887" t="inlineStr">
        <is>
          <t>36</t>
        </is>
      </c>
      <c r="F5887" t="inlineStr">
        <is>
          <t>0</t>
        </is>
      </c>
      <c r="G5887" t="inlineStr">
        <is>
          <t>0</t>
        </is>
      </c>
      <c r="H5887" t="inlineStr">
        <is>
          <t>6⁸, 24², 96²</t>
        </is>
      </c>
      <c r="I5887" t="n">
        <v>12</v>
      </c>
      <c r="J5887" t="inlineStr">
        <is>
          <t>1⁴, 2⁶, 4³, 8¹</t>
        </is>
      </c>
      <c r="K5887">
        <f>HYPERLINK("CSG9.html#group48F9", "48F⁹"), =HYPERLINK("CSG9.html#group96A9", "96A⁹"), =HYPERLINK("CSG9.html#group96G9", "96G⁹")</f>
        <v/>
      </c>
      <c r="L5887" t="inlineStr"/>
      <c r="M5887">
        <f>HYPERLINK("CSG0.html#group6B0", "6B⁰"), =HYPERLINK("CSG9.html#group96A9", "96A⁹"), =HYPERLINK("CSG2.html#group12D2", "12D²"), =HYPERLINK("CSG4.html#group24J4", "24J⁴"), =HYPERLINK("CSG0.html#group8C0", "8C⁰"), =HYPERLINK("CSG0.html#group2B0", "2B⁰"), =HYPERLINK("CSG0.html#group4B0", "4B⁰"), =HYPERLINK("CSG0.html#group1A0", "1A⁰"), =HYPERLINK("CSG9.html#group96G9", "96G⁹"), =HYPERLINK("CSG4.html#group48B4", "48B⁴"), =HYPERLINK("CSG2.html#group24B2", "24B²"), =HYPERLINK("CSG1.html#group32A1", "32A¹"), =HYPERLINK("CSG1.html#group12C1", "12C¹"), =HYPERLINK("CSG0.html#group16C0", "16C⁰"), =HYPERLINK("CSG2.html#group24D2", "24D²"), =HYPERLINK("CSG1.html#group12B1", "12B¹"), =HYPERLINK("CSG9.html#group48F9", "48F⁹"), =HYPERLINK("CSG0.html#group6H0", "6H⁰"), =HYPERLINK("CSG0.html#group3A0", "3A⁰"), =HYPERLINK("CSG0.html#group6D0", "6D⁰"), =HYPERLINK("CSG5.html#group48B5", "48B⁵")</f>
        <v/>
      </c>
      <c r="N5887" t="inlineStr"/>
    </row>
    <row r="5888">
      <c r="A5888" t="inlineStr">
        <is>
          <t>96T¹⁹</t>
        </is>
      </c>
      <c r="B5888" t="inlineStr"/>
      <c r="C5888" t="inlineStr">
        <is>
          <t>288</t>
        </is>
      </c>
      <c r="D5888" t="inlineStr">
        <is>
          <t>1</t>
        </is>
      </c>
      <c r="E5888" t="inlineStr">
        <is>
          <t>36</t>
        </is>
      </c>
      <c r="F5888" t="inlineStr">
        <is>
          <t>16</t>
        </is>
      </c>
      <c r="G5888" t="inlineStr">
        <is>
          <t>0</t>
        </is>
      </c>
      <c r="H5888" t="inlineStr">
        <is>
          <t>48², 96²</t>
        </is>
      </c>
      <c r="I5888" t="n">
        <v>4</v>
      </c>
      <c r="J5888" t="inlineStr">
        <is>
          <t>2², 4⁸</t>
        </is>
      </c>
      <c r="K5888">
        <f>HYPERLINK("CSG5.html#group48G5", "48G⁵"), =HYPERLINK("CSG7.html#group96A7", "96A⁷")</f>
        <v/>
      </c>
      <c r="L5888" t="inlineStr"/>
      <c r="M5888">
        <f>HYPERLINK("CSG1.html#group24E1", "24E¹"), =HYPERLINK("CSG0.html#group12C0", "12C⁰"), =HYPERLINK("CSG0.html#group4C0", "4C⁰"), =HYPERLINK("CSG0.html#group8B0", "8B⁰"), =HYPERLINK("CSG2.html#group24P2", "24P²"), =HYPERLINK("CSG0.html#group48A0", "48A⁰"), =HYPERLINK("CSG1.html#group12M1", "12M¹"), =HYPERLINK("CSG0.html#group2B0", "2B⁰"), =HYPERLINK("CSG5.html#group48G5", "48G⁵"), =HYPERLINK("CSG0.html#group1A0", "1A⁰"), =HYPERLINK("CSG0.html#group16B0", "16B⁰"), =HYPERLINK("CSG0.html#group24A0", "24A⁰"), =HYPERLINK("CSG7.html#group96A7", "96A⁷"), =HYPERLINK("CSG3.html#group48F3", "48F³"), =HYPERLINK("CSG0.html#group3A0", "3A⁰"), =HYPERLINK("CSG0.html#group6D0", "6D⁰")</f>
        <v/>
      </c>
      <c r="N5888" t="inlineStr"/>
    </row>
    <row r="5889">
      <c r="A5889" t="inlineStr">
        <is>
          <t>96U¹⁹</t>
        </is>
      </c>
      <c r="B5889" t="inlineStr"/>
      <c r="C5889" t="inlineStr">
        <is>
          <t>288</t>
        </is>
      </c>
      <c r="D5889" t="inlineStr">
        <is>
          <t>1</t>
        </is>
      </c>
      <c r="E5889" t="inlineStr">
        <is>
          <t>36</t>
        </is>
      </c>
      <c r="F5889" t="inlineStr">
        <is>
          <t>16</t>
        </is>
      </c>
      <c r="G5889" t="inlineStr">
        <is>
          <t>0</t>
        </is>
      </c>
      <c r="H5889" t="inlineStr">
        <is>
          <t>48², 96²</t>
        </is>
      </c>
      <c r="I5889" t="n">
        <v>4</v>
      </c>
      <c r="J5889" t="inlineStr">
        <is>
          <t>2⁶, 4⁶</t>
        </is>
      </c>
      <c r="K5889">
        <f>HYPERLINK("CSG3.html#group48M3", "48M³"), =HYPERLINK("CSG7.html#group96A7", "96A⁷"), =HYPERLINK("CSG9.html#group96B9", "96B⁹")</f>
        <v/>
      </c>
      <c r="L5889" t="inlineStr"/>
      <c r="M5889">
        <f>HYPERLINK("CSG0.html#group6B0", "6B⁰"), =HYPERLINK("CSG0.html#group12C0", "12C⁰"), =HYPERLINK("CSG0.html#group3A0", "3A⁰"), =HYPERLINK("CSG9.html#group96B9", "96B⁹"), =HYPERLINK("CSG0.html#group4C0", "4C⁰"), =HYPERLINK("CSG1.html#group24D1", "24D¹"), =HYPERLINK("CSG0.html#group8B0", "8B⁰"), =HYPERLINK("CSG0.html#group48A0", "48A⁰"), =HYPERLINK("CSG0.html#group2B0", "2B⁰"), =HYPERLINK("CSG0.html#group1A0", "1A⁰"), =HYPERLINK("CSG0.html#group16B0", "16B⁰"), =HYPERLINK("CSG3.html#group48M3", "48M³"), =HYPERLINK("CSG0.html#group24A0", "24A⁰"), =HYPERLINK("CSG7.html#group96A7", "96A⁷"), =HYPERLINK("CSG2.html#group48A2", "48A²"), =HYPERLINK("CSG3.html#group32D3", "32D³"), =HYPERLINK("CSG0.html#group12D0", "12D⁰"), =HYPERLINK("CSG0.html#group6H0", "6H⁰"), =HYPERLINK("CSG0.html#group12H0", "12H⁰"), =HYPERLINK("CSG1.html#group24H1", "24H¹"), =HYPERLINK("CSG0.html#group6D0", "6D⁰")</f>
        <v/>
      </c>
      <c r="N5889" t="inlineStr"/>
    </row>
    <row r="5890">
      <c r="A5890" t="inlineStr">
        <is>
          <t>96V¹⁹</t>
        </is>
      </c>
      <c r="B5890" t="inlineStr"/>
      <c r="C5890" t="inlineStr">
        <is>
          <t>288</t>
        </is>
      </c>
      <c r="D5890" t="inlineStr">
        <is>
          <t>1</t>
        </is>
      </c>
      <c r="E5890" t="inlineStr">
        <is>
          <t>36</t>
        </is>
      </c>
      <c r="F5890" t="inlineStr">
        <is>
          <t>16</t>
        </is>
      </c>
      <c r="G5890" t="inlineStr">
        <is>
          <t>0</t>
        </is>
      </c>
      <c r="H5890" t="inlineStr">
        <is>
          <t>48², 96²</t>
        </is>
      </c>
      <c r="I5890" t="n">
        <v>4</v>
      </c>
      <c r="J5890" t="inlineStr">
        <is>
          <t>2⁶, 4⁶</t>
        </is>
      </c>
      <c r="K5890">
        <f>HYPERLINK("CSG5.html#group48G5", "48G⁵"), =HYPERLINK("CSG5.html#group96A5", "96A⁵"), =HYPERLINK("CSG9.html#group96B9", "96B⁹")</f>
        <v/>
      </c>
      <c r="L5890" t="inlineStr"/>
      <c r="M5890">
        <f>HYPERLINK("CSG1.html#group24E1", "24E¹"), =HYPERLINK("CSG0.html#group12C0", "12C⁰"), =HYPERLINK("CSG9.html#group96B9", "96B⁹"), =HYPERLINK("CSG5.html#group96A5", "96A⁵"), =HYPERLINK("CSG0.html#group4C0", "4C⁰"), =HYPERLINK("CSG0.html#group8B0", "8B⁰"), =HYPERLINK("CSG2.html#group24P2", "24P²"), =HYPERLINK("CSG0.html#group48A0", "48A⁰"), =HYPERLINK("CSG1.html#group12M1", "12M¹"), =HYPERLINK("CSG0.html#group2B0", "2B⁰"), =HYPERLINK("CSG5.html#group48G5", "48G⁵"), =HYPERLINK("CSG0.html#group1A0", "1A⁰"), =HYPERLINK("CSG0.html#group16B0", "16B⁰"), =HYPERLINK("CSG0.html#group24A0", "24A⁰"), =HYPERLINK("CSG3.html#group32D3", "32D³"), =HYPERLINK("CSG3.html#group48F3", "48F³"), =HYPERLINK("CSG0.html#group3A0", "3A⁰"), =HYPERLINK("CSG0.html#group6D0", "6D⁰")</f>
        <v/>
      </c>
      <c r="N5890" t="inlineStr"/>
    </row>
    <row r="5891">
      <c r="A5891" t="inlineStr">
        <is>
          <t>96W¹⁹</t>
        </is>
      </c>
      <c r="B5891" t="inlineStr"/>
      <c r="C5891" t="inlineStr">
        <is>
          <t>288</t>
        </is>
      </c>
      <c r="D5891" t="inlineStr">
        <is>
          <t>1</t>
        </is>
      </c>
      <c r="E5891" t="inlineStr">
        <is>
          <t>36</t>
        </is>
      </c>
      <c r="F5891" t="inlineStr">
        <is>
          <t>16</t>
        </is>
      </c>
      <c r="G5891" t="inlineStr">
        <is>
          <t>0</t>
        </is>
      </c>
      <c r="H5891" t="inlineStr">
        <is>
          <t>48², 96²</t>
        </is>
      </c>
      <c r="I5891" t="n">
        <v>4</v>
      </c>
      <c r="J5891" t="inlineStr">
        <is>
          <t>1⁴, 2⁶, 4³, 8¹</t>
        </is>
      </c>
      <c r="K5891">
        <f>HYPERLINK("CSG5.html#group48F5", "48F⁵"), =HYPERLINK("CSG7.html#group96A7", "96A⁷")</f>
        <v/>
      </c>
      <c r="L5891" t="inlineStr"/>
      <c r="M5891">
        <f>HYPERLINK("CSG5.html#group48F5", "48F⁵"), =HYPERLINK("CSG0.html#group12C0", "12C⁰"), =HYPERLINK("CSG0.html#group4C0", "4C⁰"), =HYPERLINK("CSG0.html#group8B0", "8B⁰"), =HYPERLINK("CSG0.html#group48A0", "48A⁰"), =HYPERLINK("CSG0.html#group8L0", "8L⁰"), =HYPERLINK("CSG0.html#group2B0", "2B⁰"), =HYPERLINK("CSG1.html#group16J1", "16J¹"), =HYPERLINK("CSG0.html#group1A0", "1A⁰"), =HYPERLINK("CSG0.html#group16B0", "16B⁰"), =HYPERLINK("CSG1.html#group16D1", "16D¹"), =HYPERLINK("CSG3.html#group48E3", "48E³"), =HYPERLINK("CSG0.html#group24A0", "24A⁰"), =HYPERLINK("CSG7.html#group96A7", "96A⁷"), =HYPERLINK("CSG2.html#group24M2", "24M²"), =HYPERLINK("CSG0.html#group3A0", "3A⁰"), =HYPERLINK("CSG0.html#group6D0", "6D⁰")</f>
        <v/>
      </c>
      <c r="N5891" t="inlineStr"/>
    </row>
    <row r="5892">
      <c r="A5892" t="inlineStr">
        <is>
          <t>96X¹⁹</t>
        </is>
      </c>
      <c r="B5892" t="inlineStr"/>
      <c r="C5892" t="inlineStr">
        <is>
          <t>288</t>
        </is>
      </c>
      <c r="D5892" t="inlineStr">
        <is>
          <t>1</t>
        </is>
      </c>
      <c r="E5892" t="inlineStr">
        <is>
          <t>36</t>
        </is>
      </c>
      <c r="F5892" t="inlineStr">
        <is>
          <t>16</t>
        </is>
      </c>
      <c r="G5892" t="inlineStr">
        <is>
          <t>0</t>
        </is>
      </c>
      <c r="H5892" t="inlineStr">
        <is>
          <t>48², 96²</t>
        </is>
      </c>
      <c r="I5892" t="n">
        <v>4</v>
      </c>
      <c r="J5892" t="inlineStr">
        <is>
          <t>2⁴, 4¹⁰, 8³</t>
        </is>
      </c>
      <c r="K5892">
        <f>HYPERLINK("CSG5.html#group48H5", "48H⁵"), =HYPERLINK("CSG7.html#group96A7", "96A⁷")</f>
        <v/>
      </c>
      <c r="L5892" t="inlineStr"/>
      <c r="M5892">
        <f>HYPERLINK("CSG0.html#group16B0", "16B⁰"), =HYPERLINK("CSG0.html#group12C0", "12C⁰"), =HYPERLINK("CSG0.html#group24A0", "24A⁰"), =HYPERLINK("CSG7.html#group96A7", "96A⁷"), =HYPERLINK("CSG0.html#group4C0", "4C⁰"), =HYPERLINK("CSG0.html#group8B0", "8B⁰"), =HYPERLINK("CSG2.html#group24Q2", "24Q²"), =HYPERLINK("CSG5.html#group48H5", "48H⁵"), =HYPERLINK("CSG0.html#group48A0", "48A⁰"), =HYPERLINK("CSG0.html#group2B0", "2B⁰"), =HYPERLINK("CSG0.html#group3A0", "3A⁰"), =HYPERLINK("CSG0.html#group1A0", "1A⁰"), =HYPERLINK("CSG3.html#group48H3", "48H³"), =HYPERLINK("CSG0.html#group6D0", "6D⁰")</f>
        <v/>
      </c>
      <c r="N5892" t="inlineStr"/>
    </row>
    <row r="5893">
      <c r="A5893" t="inlineStr">
        <is>
          <t>96Y¹⁹</t>
        </is>
      </c>
      <c r="B5893" t="inlineStr"/>
      <c r="C5893" t="inlineStr">
        <is>
          <t>288</t>
        </is>
      </c>
      <c r="D5893" t="inlineStr">
        <is>
          <t>1</t>
        </is>
      </c>
      <c r="E5893" t="inlineStr">
        <is>
          <t>36</t>
        </is>
      </c>
      <c r="F5893" t="inlineStr">
        <is>
          <t>16</t>
        </is>
      </c>
      <c r="G5893" t="inlineStr">
        <is>
          <t>0</t>
        </is>
      </c>
      <c r="H5893" t="inlineStr">
        <is>
          <t>48², 96²</t>
        </is>
      </c>
      <c r="I5893" t="n">
        <v>4</v>
      </c>
      <c r="J5893" t="inlineStr">
        <is>
          <t>2⁴, 4¹⁰, 8³</t>
        </is>
      </c>
      <c r="K5893">
        <f>HYPERLINK("CSG5.html#group48H5", "48H⁵"), =HYPERLINK("CSG7.html#group96A7", "96A⁷")</f>
        <v/>
      </c>
      <c r="L5893" t="inlineStr"/>
      <c r="M5893">
        <f>HYPERLINK("CSG0.html#group16B0", "16B⁰"), =HYPERLINK("CSG0.html#group12C0", "12C⁰"), =HYPERLINK("CSG0.html#group24A0", "24A⁰"), =HYPERLINK("CSG7.html#group96A7", "96A⁷"), =HYPERLINK("CSG0.html#group4C0", "4C⁰"), =HYPERLINK("CSG0.html#group8B0", "8B⁰"), =HYPERLINK("CSG2.html#group24Q2", "24Q²"), =HYPERLINK("CSG5.html#group48H5", "48H⁵"), =HYPERLINK("CSG0.html#group48A0", "48A⁰"), =HYPERLINK("CSG0.html#group2B0", "2B⁰"), =HYPERLINK("CSG0.html#group3A0", "3A⁰"), =HYPERLINK("CSG0.html#group1A0", "1A⁰"), =HYPERLINK("CSG3.html#group48H3", "48H³"), =HYPERLINK("CSG0.html#group6D0", "6D⁰")</f>
        <v/>
      </c>
      <c r="N5893" t="inlineStr"/>
    </row>
    <row r="5894">
      <c r="A5894" t="inlineStr">
        <is>
          <t>96Z¹⁹</t>
        </is>
      </c>
      <c r="B5894" t="inlineStr"/>
      <c r="C5894" t="inlineStr">
        <is>
          <t>288</t>
        </is>
      </c>
      <c r="D5894" t="inlineStr">
        <is>
          <t>1</t>
        </is>
      </c>
      <c r="E5894" t="inlineStr">
        <is>
          <t>72</t>
        </is>
      </c>
      <c r="F5894" t="inlineStr">
        <is>
          <t>0</t>
        </is>
      </c>
      <c r="G5894" t="inlineStr">
        <is>
          <t>0</t>
        </is>
      </c>
      <c r="H5894" t="inlineStr">
        <is>
          <t>6⁴, 12⁶, 96²</t>
        </is>
      </c>
      <c r="I5894" t="n">
        <v>12</v>
      </c>
      <c r="J5894" t="inlineStr">
        <is>
          <t>1⁴, 2⁶, 4⁴, 8³, 16¹</t>
        </is>
      </c>
      <c r="K5894">
        <f>HYPERLINK("CSG9.html#group48B9", "48B⁹")</f>
        <v/>
      </c>
      <c r="L5894" t="inlineStr"/>
      <c r="M5894">
        <f>HYPERLINK("CSG5.html#group48A5", "48A⁵"), =HYPERLINK("CSG4.html#group24F4", "24F⁴"), =HYPERLINK("CSG9.html#group48B9", "48B⁹"), =HYPERLINK("CSG1.html#group16A1", "16A¹"), =HYPERLINK("CSG0.html#group8C0", "8C⁰"), =HYPERLINK("CSG0.html#group2B0", "2B⁰"), =HYPERLINK("CSG0.html#group8I0", "8I⁰"), =HYPERLINK("CSG0.html#group4B0", "4B⁰"), =HYPERLINK("CSG0.html#group1A0", "1A⁰"), =HYPERLINK("CSG2.html#group24B2", "24B²"), =HYPERLINK("CSG1.html#group16G1", "16G¹"), =HYPERLINK("CSG0.html#group16D0", "16D⁰"), =HYPERLINK("CSG1.html#group12B1", "12B¹"), =HYPERLINK("CSG0.html#group3A0", "3A⁰"), =HYPERLINK("CSG0.html#group6D0", "6D⁰"), =HYPERLINK("CSG4.html#group48D4", "48D⁴")</f>
        <v/>
      </c>
      <c r="N5894" t="inlineStr"/>
    </row>
    <row r="5895">
      <c r="A5895" t="inlineStr">
        <is>
          <t>96AA¹⁹</t>
        </is>
      </c>
      <c r="B5895" t="inlineStr"/>
      <c r="C5895" t="inlineStr">
        <is>
          <t>288</t>
        </is>
      </c>
      <c r="D5895" t="inlineStr">
        <is>
          <t>1</t>
        </is>
      </c>
      <c r="E5895" t="inlineStr">
        <is>
          <t>72</t>
        </is>
      </c>
      <c r="F5895" t="inlineStr">
        <is>
          <t>4</t>
        </is>
      </c>
      <c r="G5895" t="inlineStr">
        <is>
          <t>0</t>
        </is>
      </c>
      <c r="H5895" t="inlineStr">
        <is>
          <t>12⁸, 96²</t>
        </is>
      </c>
      <c r="I5895" t="n">
        <v>10</v>
      </c>
      <c r="J5895" t="inlineStr">
        <is>
          <t>2², 4⁵, 8⁷, 16⁴</t>
        </is>
      </c>
      <c r="K5895">
        <f>HYPERLINK("CSG8.html#group96C8", "96C⁸"), =HYPERLINK("CSG8.html#group96F8", "96F⁸"), =HYPERLINK("CSG9.html#group48T9", "48T⁹")</f>
        <v/>
      </c>
      <c r="L5895" t="inlineStr"/>
      <c r="M5895">
        <f>HYPERLINK("CSG9.html#group48T9", "48T⁹"), =HYPERLINK("CSG0.html#group12C0", "12C⁰"), =HYPERLINK("CSG4.html#group48H4", "48H⁴"), =HYPERLINK("CSG0.html#group8D0", "8D⁰"), =HYPERLINK("CSG0.html#group4C0", "4C⁰"), =HYPERLINK("CSG0.html#group2B0", "2B⁰"), =HYPERLINK("CSG1.html#group12M1", "12M¹"), =HYPERLINK("CSG2.html#group24C2", "24C²"), =HYPERLINK("CSG0.html#group1A0", "1A⁰"), =HYPERLINK("CSG0.html#group16E0", "16E⁰"), =HYPERLINK("CSG8.html#group96F8", "96F⁸"), =HYPERLINK("CSG1.html#group32C1", "32C¹"), =HYPERLINK("CSG8.html#group96C8", "96C⁸"), =HYPERLINK("CSG1.html#group24C1", "24C¹"), =HYPERLINK("CSG3.html#group48D3", "48D³"), =HYPERLINK("CSG0.html#group3A0", "3A⁰"), =HYPERLINK("CSG4.html#group24L4", "24L⁴"), =HYPERLINK("CSG0.html#group6D0", "6D⁰")</f>
        <v/>
      </c>
      <c r="N5895" t="inlineStr"/>
    </row>
    <row r="5896">
      <c r="A5896" t="inlineStr">
        <is>
          <t>96AB¹⁹</t>
        </is>
      </c>
      <c r="B5896" t="inlineStr"/>
      <c r="C5896" t="inlineStr">
        <is>
          <t>288</t>
        </is>
      </c>
      <c r="D5896" t="inlineStr">
        <is>
          <t>1</t>
        </is>
      </c>
      <c r="E5896" t="inlineStr">
        <is>
          <t>72</t>
        </is>
      </c>
      <c r="F5896" t="inlineStr">
        <is>
          <t>4</t>
        </is>
      </c>
      <c r="G5896" t="inlineStr">
        <is>
          <t>0</t>
        </is>
      </c>
      <c r="H5896" t="inlineStr">
        <is>
          <t>12⁸, 96²</t>
        </is>
      </c>
      <c r="I5896" t="n">
        <v>10</v>
      </c>
      <c r="J5896" t="inlineStr">
        <is>
          <t>2², 4⁵, 8⁷, 16⁴</t>
        </is>
      </c>
      <c r="K5896">
        <f>HYPERLINK("CSG8.html#group96D8", "96D⁸"), =HYPERLINK("CSG8.html#group96E8", "96E⁸"), =HYPERLINK("CSG9.html#group48T9", "48T⁹")</f>
        <v/>
      </c>
      <c r="L5896" t="inlineStr"/>
      <c r="M5896">
        <f>HYPERLINK("CSG9.html#group48T9", "48T⁹"), =HYPERLINK("CSG0.html#group12C0", "12C⁰"), =HYPERLINK("CSG0.html#group8D0", "8D⁰"), =HYPERLINK("CSG4.html#group48H4", "48H⁴"), =HYPERLINK("CSG0.html#group4C0", "4C⁰"), =HYPERLINK("CSG8.html#group96D8", "96D⁸"), =HYPERLINK("CSG1.html#group32D1", "32D¹"), =HYPERLINK("CSG0.html#group2B0", "2B⁰"), =HYPERLINK("CSG1.html#group12M1", "12M¹"), =HYPERLINK("CSG2.html#group24C2", "24C²"), =HYPERLINK("CSG8.html#group96E8", "96E⁸"), =HYPERLINK("CSG0.html#group1A0", "1A⁰"), =HYPERLINK("CSG0.html#group16E0", "16E⁰"), =HYPERLINK("CSG1.html#group24C1", "24C¹"), =HYPERLINK("CSG3.html#group48D3", "48D³"), =HYPERLINK("CSG0.html#group3A0", "3A⁰"), =HYPERLINK("CSG4.html#group24L4", "24L⁴"), =HYPERLINK("CSG0.html#group6D0", "6D⁰")</f>
        <v/>
      </c>
      <c r="N5896" t="inlineStr"/>
    </row>
    <row r="5897">
      <c r="A5897" t="inlineStr">
        <is>
          <t>96AC¹⁹</t>
        </is>
      </c>
      <c r="B5897" t="inlineStr"/>
      <c r="C5897" t="inlineStr">
        <is>
          <t>288</t>
        </is>
      </c>
      <c r="D5897" t="inlineStr">
        <is>
          <t>1</t>
        </is>
      </c>
      <c r="E5897" t="inlineStr">
        <is>
          <t>72</t>
        </is>
      </c>
      <c r="F5897" t="inlineStr">
        <is>
          <t>12</t>
        </is>
      </c>
      <c r="G5897" t="inlineStr">
        <is>
          <t>0</t>
        </is>
      </c>
      <c r="H5897" t="inlineStr">
        <is>
          <t>24⁴, 96²</t>
        </is>
      </c>
      <c r="I5897" t="n">
        <v>6</v>
      </c>
      <c r="J5897" t="inlineStr">
        <is>
          <t>1², 2³, 4², 8³, 16²</t>
        </is>
      </c>
      <c r="K5897">
        <f>HYPERLINK("CSG7.html#group48P7", "48P⁷"), =HYPERLINK("CSG10.html#group96D10", "96D¹⁰")</f>
        <v/>
      </c>
      <c r="L5897" t="inlineStr"/>
      <c r="M5897">
        <f>HYPERLINK("CSG0.html#group12C0", "12C⁰"), =HYPERLINK("CSG1.html#group16I1", "16I¹"), =HYPERLINK("CSG0.html#group8D0", "8D⁰"), =HYPERLINK("CSG0.html#group4C0", "4C⁰"), =HYPERLINK("CSG7.html#group48P7", "48P⁷"), =HYPERLINK("CSG0.html#group8B0", "8B⁰"), =HYPERLINK("CSG0.html#group2B0", "2B⁰"), =HYPERLINK("CSG2.html#group24L2", "24L²"), =HYPERLINK("CSG0.html#group1A0", "1A⁰"), =HYPERLINK("CSG0.html#group8H0", "8H⁰"), =HYPERLINK("CSG0.html#group16E0", "16E⁰"), =HYPERLINK("CSG0.html#group12A0", "12A⁰"), =HYPERLINK("CSG4.html#group48E4", "48E⁴"), =HYPERLINK("CSG0.html#group24A0", "24A⁰"), =HYPERLINK("CSG0.html#group4A0", "4A⁰"), =HYPERLINK("CSG1.html#group16C1", "16C¹"), =HYPERLINK("CSG1.html#group24C1", "24C¹"), =HYPERLINK("CSG1.html#group12J1", "12J¹"), =HYPERLINK("CSG3.html#group48D3", "48D³"), =HYPERLINK("CSG0.html#group4F0", "4F⁰"), =HYPERLINK("CSG0.html#group3A0", "3A⁰"), =HYPERLINK("CSG0.html#group6D0", "6D⁰"), =HYPERLINK("CSG10.html#group96D10", "96D¹⁰")</f>
        <v/>
      </c>
      <c r="N5897" t="inlineStr"/>
    </row>
    <row r="5898">
      <c r="A5898" t="inlineStr">
        <is>
          <t>96AD¹⁹</t>
        </is>
      </c>
      <c r="B5898" t="inlineStr"/>
      <c r="C5898" t="inlineStr">
        <is>
          <t>288</t>
        </is>
      </c>
      <c r="D5898" t="inlineStr">
        <is>
          <t>1</t>
        </is>
      </c>
      <c r="E5898" t="inlineStr">
        <is>
          <t>72</t>
        </is>
      </c>
      <c r="F5898" t="inlineStr">
        <is>
          <t>12</t>
        </is>
      </c>
      <c r="G5898" t="inlineStr">
        <is>
          <t>0</t>
        </is>
      </c>
      <c r="H5898" t="inlineStr">
        <is>
          <t>24⁴, 96²</t>
        </is>
      </c>
      <c r="I5898" t="n">
        <v>6</v>
      </c>
      <c r="J5898" t="inlineStr">
        <is>
          <t>2⁴, 4⁴, 8², 16²</t>
        </is>
      </c>
      <c r="K5898">
        <f>HYPERLINK("CSG7.html#group48P7", "48P⁷")</f>
        <v/>
      </c>
      <c r="L5898" t="inlineStr"/>
      <c r="M5898">
        <f>HYPERLINK("CSG0.html#group12C0", "12C⁰"), =HYPERLINK("CSG1.html#group16I1", "16I¹"), =HYPERLINK("CSG0.html#group8D0", "8D⁰"), =HYPERLINK("CSG0.html#group4C0", "4C⁰"), =HYPERLINK("CSG7.html#group48P7", "48P⁷"), =HYPERLINK("CSG0.html#group8B0", "8B⁰"), =HYPERLINK("CSG0.html#group2B0", "2B⁰"), =HYPERLINK("CSG2.html#group24L2", "24L²"), =HYPERLINK("CSG0.html#group1A0", "1A⁰"), =HYPERLINK("CSG0.html#group8H0", "8H⁰"), =HYPERLINK("CSG0.html#group16E0", "16E⁰"), =HYPERLINK("CSG0.html#group12A0", "12A⁰"), =HYPERLINK("CSG4.html#group48E4", "48E⁴"), =HYPERLINK("CSG0.html#group24A0", "24A⁰"), =HYPERLINK("CSG0.html#group4A0", "4A⁰"), =HYPERLINK("CSG1.html#group16C1", "16C¹"), =HYPERLINK("CSG1.html#group24C1", "24C¹"), =HYPERLINK("CSG1.html#group12J1", "12J¹"), =HYPERLINK("CSG3.html#group48D3", "48D³"), =HYPERLINK("CSG0.html#group4F0", "4F⁰"), =HYPERLINK("CSG0.html#group3A0", "3A⁰"), =HYPERLINK("CSG0.html#group6D0", "6D⁰")</f>
        <v/>
      </c>
      <c r="N5898" t="inlineStr"/>
    </row>
    <row r="5899">
      <c r="A5899" t="inlineStr">
        <is>
          <t>96AE¹⁹</t>
        </is>
      </c>
      <c r="B5899" t="inlineStr"/>
      <c r="C5899" t="inlineStr">
        <is>
          <t>288</t>
        </is>
      </c>
      <c r="D5899" t="inlineStr">
        <is>
          <t>1</t>
        </is>
      </c>
      <c r="E5899" t="inlineStr">
        <is>
          <t>72</t>
        </is>
      </c>
      <c r="F5899" t="inlineStr">
        <is>
          <t>16</t>
        </is>
      </c>
      <c r="G5899" t="inlineStr">
        <is>
          <t>0</t>
        </is>
      </c>
      <c r="H5899" t="inlineStr">
        <is>
          <t>48², 96²</t>
        </is>
      </c>
      <c r="I5899" t="n">
        <v>4</v>
      </c>
      <c r="J5899" t="inlineStr">
        <is>
          <t>2⁴, 4¹⁰, 8¹, 16¹</t>
        </is>
      </c>
      <c r="K5899">
        <f>HYPERLINK("CSG7.html#group48AE7", "48AE⁷"), =HYPERLINK("CSG9.html#group96H9", "96H⁹")</f>
        <v/>
      </c>
      <c r="L5899" t="inlineStr"/>
      <c r="M5899">
        <f>HYPERLINK("CSG0.html#group6B0", "6B⁰"), =HYPERLINK("CSG0.html#group12C0", "12C⁰"), =HYPERLINK("CSG0.html#group6H0", "6H⁰"), =HYPERLINK("CSG0.html#group4C0", "4C⁰"), =HYPERLINK("CSG1.html#group24D1", "24D¹"), =HYPERLINK("CSG0.html#group8B0", "8B⁰"), =HYPERLINK("CSG0.html#group2B0", "2B⁰"), =HYPERLINK("CSG0.html#group12H0", "12H⁰"), =HYPERLINK("CSG0.html#group1A0", "1A⁰"), =HYPERLINK("CSG3.html#group48H3", "48H³"), =HYPERLINK("CSG1.html#group16D1", "16D¹"), =HYPERLINK("CSG3.html#group48E3", "48E³"), =HYPERLINK("CSG0.html#group24A0", "24A⁰"), =HYPERLINK("CSG9.html#group96H9", "96H⁹"), =HYPERLINK("CSG0.html#group12D0", "12D⁰"), =HYPERLINK("CSG7.html#group48AE7", "48AE⁷"), =HYPERLINK("CSG0.html#group3A0", "3A⁰"), =HYPERLINK("CSG1.html#group24H1", "24H¹"), =HYPERLINK("CSG0.html#group6D0", "6D⁰")</f>
        <v/>
      </c>
      <c r="N5899" t="inlineStr"/>
    </row>
    <row r="5900">
      <c r="A5900" t="inlineStr">
        <is>
          <t>96AF¹⁹</t>
        </is>
      </c>
      <c r="B5900" t="inlineStr"/>
      <c r="C5900" t="inlineStr">
        <is>
          <t>288</t>
        </is>
      </c>
      <c r="D5900" t="inlineStr">
        <is>
          <t>1</t>
        </is>
      </c>
      <c r="E5900" t="inlineStr">
        <is>
          <t>72</t>
        </is>
      </c>
      <c r="F5900" t="inlineStr">
        <is>
          <t>16</t>
        </is>
      </c>
      <c r="G5900" t="inlineStr">
        <is>
          <t>0</t>
        </is>
      </c>
      <c r="H5900" t="inlineStr">
        <is>
          <t>48², 96²</t>
        </is>
      </c>
      <c r="I5900" t="n">
        <v>4</v>
      </c>
      <c r="J5900" t="inlineStr">
        <is>
          <t>2⁴, 4¹⁰, 8¹, 16¹</t>
        </is>
      </c>
      <c r="K5900">
        <f>HYPERLINK("CSG7.html#group48AE7", "48AE⁷"), =HYPERLINK("CSG9.html#group96I9", "96I⁹")</f>
        <v/>
      </c>
      <c r="L5900" t="inlineStr"/>
      <c r="M5900">
        <f>HYPERLINK("CSG0.html#group6B0", "6B⁰"), =HYPERLINK("CSG0.html#group12C0", "12C⁰"), =HYPERLINK("CSG0.html#group6H0", "6H⁰"), =HYPERLINK("CSG0.html#group4C0", "4C⁰"), =HYPERLINK("CSG1.html#group24D1", "24D¹"), =HYPERLINK("CSG0.html#group8B0", "8B⁰"), =HYPERLINK("CSG0.html#group2B0", "2B⁰"), =HYPERLINK("CSG0.html#group12H0", "12H⁰"), =HYPERLINK("CSG0.html#group1A0", "1A⁰"), =HYPERLINK("CSG3.html#group48H3", "48H³"), =HYPERLINK("CSG9.html#group96I9", "96I⁹"), =HYPERLINK("CSG1.html#group16D1", "16D¹"), =HYPERLINK("CSG3.html#group48E3", "48E³"), =HYPERLINK("CSG0.html#group24A0", "24A⁰"), =HYPERLINK("CSG0.html#group12D0", "12D⁰"), =HYPERLINK("CSG7.html#group48AE7", "48AE⁷"), =HYPERLINK("CSG0.html#group3A0", "3A⁰"), =HYPERLINK("CSG1.html#group24H1", "24H¹"), =HYPERLINK("CSG0.html#group6D0", "6D⁰")</f>
        <v/>
      </c>
      <c r="N5900" t="inlineStr"/>
    </row>
    <row r="5901">
      <c r="A5901" t="inlineStr">
        <is>
          <t>96AG¹⁹</t>
        </is>
      </c>
      <c r="B5901" t="inlineStr"/>
      <c r="C5901" t="inlineStr">
        <is>
          <t>288</t>
        </is>
      </c>
      <c r="D5901" t="inlineStr">
        <is>
          <t>1</t>
        </is>
      </c>
      <c r="E5901" t="inlineStr">
        <is>
          <t>72</t>
        </is>
      </c>
      <c r="F5901" t="inlineStr">
        <is>
          <t>16</t>
        </is>
      </c>
      <c r="G5901" t="inlineStr">
        <is>
          <t>0</t>
        </is>
      </c>
      <c r="H5901" t="inlineStr">
        <is>
          <t>48², 96²</t>
        </is>
      </c>
      <c r="I5901" t="n">
        <v>4</v>
      </c>
      <c r="J5901" t="inlineStr">
        <is>
          <t>2⁴, 4¹⁰, 8¹, 16¹</t>
        </is>
      </c>
      <c r="K5901">
        <f>HYPERLINK("CSG7.html#group48AE7", "48AE⁷"), =HYPERLINK("CSG9.html#group96J9", "96J⁹")</f>
        <v/>
      </c>
      <c r="L5901" t="inlineStr"/>
      <c r="M5901">
        <f>HYPERLINK("CSG0.html#group6B0", "6B⁰"), =HYPERLINK("CSG0.html#group12C0", "12C⁰"), =HYPERLINK("CSG0.html#group6H0", "6H⁰"), =HYPERLINK("CSG0.html#group4C0", "4C⁰"), =HYPERLINK("CSG1.html#group24D1", "24D¹"), =HYPERLINK("CSG0.html#group8B0", "8B⁰"), =HYPERLINK("CSG0.html#group2B0", "2B⁰"), =HYPERLINK("CSG9.html#group96J9", "96J⁹"), =HYPERLINK("CSG0.html#group12H0", "12H⁰"), =HYPERLINK("CSG0.html#group1A0", "1A⁰"), =HYPERLINK("CSG3.html#group48H3", "48H³"), =HYPERLINK("CSG1.html#group16D1", "16D¹"), =HYPERLINK("CSG3.html#group48E3", "48E³"), =HYPERLINK("CSG0.html#group24A0", "24A⁰"), =HYPERLINK("CSG0.html#group12D0", "12D⁰"), =HYPERLINK("CSG7.html#group48AE7", "48AE⁷"), =HYPERLINK("CSG0.html#group3A0", "3A⁰"), =HYPERLINK("CSG1.html#group24H1", "24H¹"), =HYPERLINK("CSG0.html#group6D0", "6D⁰")</f>
        <v/>
      </c>
      <c r="N5901" t="inlineStr"/>
    </row>
    <row r="5902">
      <c r="A5902" t="inlineStr">
        <is>
          <t>96AH¹⁹</t>
        </is>
      </c>
      <c r="B5902" t="inlineStr"/>
      <c r="C5902" t="inlineStr">
        <is>
          <t>288</t>
        </is>
      </c>
      <c r="D5902" t="inlineStr">
        <is>
          <t>1</t>
        </is>
      </c>
      <c r="E5902" t="inlineStr">
        <is>
          <t>72</t>
        </is>
      </c>
      <c r="F5902" t="inlineStr">
        <is>
          <t>16</t>
        </is>
      </c>
      <c r="G5902" t="inlineStr">
        <is>
          <t>0</t>
        </is>
      </c>
      <c r="H5902" t="inlineStr">
        <is>
          <t>48², 96²</t>
        </is>
      </c>
      <c r="I5902" t="n">
        <v>4</v>
      </c>
      <c r="J5902" t="inlineStr">
        <is>
          <t>2⁴, 4¹⁰, 8¹, 16¹</t>
        </is>
      </c>
      <c r="K5902">
        <f>HYPERLINK("CSG7.html#group48AE7", "48AE⁷"), =HYPERLINK("CSG9.html#group96K9", "96K⁹")</f>
        <v/>
      </c>
      <c r="L5902" t="inlineStr"/>
      <c r="M5902">
        <f>HYPERLINK("CSG0.html#group6B0", "6B⁰"), =HYPERLINK("CSG0.html#group12C0", "12C⁰"), =HYPERLINK("CSG0.html#group6H0", "6H⁰"), =HYPERLINK("CSG0.html#group4C0", "4C⁰"), =HYPERLINK("CSG1.html#group24D1", "24D¹"), =HYPERLINK("CSG0.html#group8B0", "8B⁰"), =HYPERLINK("CSG0.html#group2B0", "2B⁰"), =HYPERLINK("CSG0.html#group12H0", "12H⁰"), =HYPERLINK("CSG0.html#group1A0", "1A⁰"), =HYPERLINK("CSG3.html#group48H3", "48H³"), =HYPERLINK("CSG1.html#group16D1", "16D¹"), =HYPERLINK("CSG3.html#group48E3", "48E³"), =HYPERLINK("CSG0.html#group24A0", "24A⁰"), =HYPERLINK("CSG9.html#group96K9", "96K⁹"), =HYPERLINK("CSG0.html#group12D0", "12D⁰"), =HYPERLINK("CSG7.html#group48AE7", "48AE⁷"), =HYPERLINK("CSG0.html#group3A0", "3A⁰"), =HYPERLINK("CSG1.html#group24H1", "24H¹"), =HYPERLINK("CSG0.html#group6D0", "6D⁰")</f>
        <v/>
      </c>
      <c r="N5902" t="inlineStr"/>
    </row>
    <row r="5903">
      <c r="A5903" t="inlineStr">
        <is>
          <t>96AI¹⁹</t>
        </is>
      </c>
      <c r="B5903" t="inlineStr"/>
      <c r="C5903" t="inlineStr">
        <is>
          <t>288</t>
        </is>
      </c>
      <c r="D5903" t="inlineStr">
        <is>
          <t>1</t>
        </is>
      </c>
      <c r="E5903" t="inlineStr">
        <is>
          <t>72</t>
        </is>
      </c>
      <c r="F5903" t="inlineStr">
        <is>
          <t>16</t>
        </is>
      </c>
      <c r="G5903" t="inlineStr">
        <is>
          <t>0</t>
        </is>
      </c>
      <c r="H5903" t="inlineStr">
        <is>
          <t>48², 96²</t>
        </is>
      </c>
      <c r="I5903" t="n">
        <v>4</v>
      </c>
      <c r="J5903" t="inlineStr">
        <is>
          <t>4¹⁴, 8²</t>
        </is>
      </c>
      <c r="K5903">
        <f>HYPERLINK("CSG7.html#group48M7", "48M⁷")</f>
        <v/>
      </c>
      <c r="L5903" t="inlineStr"/>
      <c r="M5903">
        <f>HYPERLINK("CSG0.html#group12C0", "12C⁰"), =HYPERLINK("CSG0.html#group4C0", "4C⁰"), =HYPERLINK("CSG3.html#group24I3", "24I³"), =HYPERLINK("CSG0.html#group8B0", "8B⁰"), =HYPERLINK("CSG0.html#group6G0", "6G⁰"), =HYPERLINK("CSG0.html#group2B0", "2B⁰"), =HYPERLINK("CSG2.html#group24C2", "24C²"), =HYPERLINK("CSG1.html#group12L1", "12L¹"), =HYPERLINK("CSG0.html#group1A0", "1A⁰"), =HYPERLINK("CSG7.html#group48M7", "48M⁷"), =HYPERLINK("CSG1.html#group12C1", "12C¹"), =HYPERLINK("CSG0.html#group24A0", "24A⁰"), =HYPERLINK("CSG2.html#group48A2", "48A²"), =HYPERLINK("CSG0.html#group3C0", "3C⁰"), =HYPERLINK("CSG0.html#group3A0", "3A⁰"), =HYPERLINK("CSG0.html#group6D0", "6D⁰")</f>
        <v/>
      </c>
      <c r="N5903" t="inlineStr"/>
    </row>
    <row r="5904">
      <c r="A5904" t="inlineStr">
        <is>
          <t>96AJ¹⁹</t>
        </is>
      </c>
      <c r="B5904" t="inlineStr"/>
      <c r="C5904" t="inlineStr">
        <is>
          <t>288</t>
        </is>
      </c>
      <c r="D5904" t="inlineStr">
        <is>
          <t>1</t>
        </is>
      </c>
      <c r="E5904" t="inlineStr">
        <is>
          <t>72</t>
        </is>
      </c>
      <c r="F5904" t="inlineStr">
        <is>
          <t>16</t>
        </is>
      </c>
      <c r="G5904" t="inlineStr">
        <is>
          <t>0</t>
        </is>
      </c>
      <c r="H5904" t="inlineStr">
        <is>
          <t>48², 96²</t>
        </is>
      </c>
      <c r="I5904" t="n">
        <v>4</v>
      </c>
      <c r="J5904" t="inlineStr">
        <is>
          <t>4¹⁴, 8²</t>
        </is>
      </c>
      <c r="K5904">
        <f>HYPERLINK("CSG7.html#group48M7", "48M⁷")</f>
        <v/>
      </c>
      <c r="L5904" t="inlineStr"/>
      <c r="M5904">
        <f>HYPERLINK("CSG0.html#group12C0", "12C⁰"), =HYPERLINK("CSG0.html#group4C0", "4C⁰"), =HYPERLINK("CSG3.html#group24I3", "24I³"), =HYPERLINK("CSG0.html#group8B0", "8B⁰"), =HYPERLINK("CSG0.html#group6G0", "6G⁰"), =HYPERLINK("CSG0.html#group2B0", "2B⁰"), =HYPERLINK("CSG2.html#group24C2", "24C²"), =HYPERLINK("CSG1.html#group12L1", "12L¹"), =HYPERLINK("CSG0.html#group1A0", "1A⁰"), =HYPERLINK("CSG7.html#group48M7", "48M⁷"), =HYPERLINK("CSG1.html#group12C1", "12C¹"), =HYPERLINK("CSG0.html#group24A0", "24A⁰"), =HYPERLINK("CSG2.html#group48A2", "48A²"), =HYPERLINK("CSG0.html#group3C0", "3C⁰"), =HYPERLINK("CSG0.html#group3A0", "3A⁰"), =HYPERLINK("CSG0.html#group6D0", "6D⁰")</f>
        <v/>
      </c>
      <c r="N5904" t="inlineStr"/>
    </row>
    <row r="5905">
      <c r="A5905" t="inlineStr">
        <is>
          <t>96AK¹⁹</t>
        </is>
      </c>
      <c r="B5905" t="inlineStr"/>
      <c r="C5905" t="inlineStr">
        <is>
          <t>288</t>
        </is>
      </c>
      <c r="D5905" t="inlineStr">
        <is>
          <t>1</t>
        </is>
      </c>
      <c r="E5905" t="inlineStr">
        <is>
          <t>72</t>
        </is>
      </c>
      <c r="F5905" t="inlineStr">
        <is>
          <t>16</t>
        </is>
      </c>
      <c r="G5905" t="inlineStr">
        <is>
          <t>0</t>
        </is>
      </c>
      <c r="H5905" t="inlineStr">
        <is>
          <t>48², 96²</t>
        </is>
      </c>
      <c r="I5905" t="n">
        <v>4</v>
      </c>
      <c r="J5905" t="inlineStr">
        <is>
          <t>2⁸, 4⁸, 8¹, 16¹</t>
        </is>
      </c>
      <c r="K5905">
        <f>HYPERLINK("CSG7.html#group48AE7", "48AE⁷"), =HYPERLINK("CSG9.html#group96C9", "96C⁹"), =HYPERLINK("CSG9.html#group96I9", "96I⁹")</f>
        <v/>
      </c>
      <c r="L5905" t="inlineStr"/>
      <c r="M5905">
        <f>HYPERLINK("CSG0.html#group6B0", "6B⁰"), =HYPERLINK("CSG0.html#group12C0", "12C⁰"), =HYPERLINK("CSG0.html#group6H0", "6H⁰"), =HYPERLINK("CSG0.html#group4C0", "4C⁰"), =HYPERLINK("CSG1.html#group24D1", "24D¹"), =HYPERLINK("CSG0.html#group8B0", "8B⁰"), =HYPERLINK("CSG0.html#group2B0", "2B⁰"), =HYPERLINK("CSG0.html#group12H0", "12H⁰"), =HYPERLINK("CSG0.html#group1A0", "1A⁰"), =HYPERLINK("CSG3.html#group48H3", "48H³"), =HYPERLINK("CSG9.html#group96I9", "96I⁹"), =HYPERLINK("CSG1.html#group16D1", "16D¹"), =HYPERLINK("CSG3.html#group48E3", "48E³"), =HYPERLINK("CSG0.html#group24A0", "24A⁰"), =HYPERLINK("CSG3.html#group32E3", "32E³"), =HYPERLINK("CSG9.html#group96C9", "96C⁹"), =HYPERLINK("CSG0.html#group12D0", "12D⁰"), =HYPERLINK("CSG7.html#group48AE7", "48AE⁷"), =HYPERLINK("CSG0.html#group3A0", "3A⁰"), =HYPERLINK("CSG1.html#group24H1", "24H¹"), =HYPERLINK("CSG0.html#group6D0", "6D⁰")</f>
        <v/>
      </c>
      <c r="N5905" t="inlineStr"/>
    </row>
    <row r="5906">
      <c r="A5906" t="inlineStr">
        <is>
          <t>96AL¹⁹</t>
        </is>
      </c>
      <c r="B5906" t="inlineStr"/>
      <c r="C5906" t="inlineStr">
        <is>
          <t>288</t>
        </is>
      </c>
      <c r="D5906" t="inlineStr">
        <is>
          <t>1</t>
        </is>
      </c>
      <c r="E5906" t="inlineStr">
        <is>
          <t>72</t>
        </is>
      </c>
      <c r="F5906" t="inlineStr">
        <is>
          <t>16</t>
        </is>
      </c>
      <c r="G5906" t="inlineStr">
        <is>
          <t>0</t>
        </is>
      </c>
      <c r="H5906" t="inlineStr">
        <is>
          <t>48², 96²</t>
        </is>
      </c>
      <c r="I5906" t="n">
        <v>4</v>
      </c>
      <c r="J5906" t="inlineStr">
        <is>
          <t>2⁸, 4⁸, 8¹, 16¹</t>
        </is>
      </c>
      <c r="K5906">
        <f>HYPERLINK("CSG7.html#group48AE7", "48AE⁷"), =HYPERLINK("CSG9.html#group96D9", "96D⁹"), =HYPERLINK("CSG9.html#group96H9", "96H⁹")</f>
        <v/>
      </c>
      <c r="L5906" t="inlineStr"/>
      <c r="M5906">
        <f>HYPERLINK("CSG0.html#group6B0", "6B⁰"), =HYPERLINK("CSG0.html#group12C0", "12C⁰"), =HYPERLINK("CSG0.html#group6H0", "6H⁰"), =HYPERLINK("CSG0.html#group4C0", "4C⁰"), =HYPERLINK("CSG1.html#group24D1", "24D¹"), =HYPERLINK("CSG0.html#group8B0", "8B⁰"), =HYPERLINK("CSG0.html#group2B0", "2B⁰"), =HYPERLINK("CSG3.html#group32F3", "32F³"), =HYPERLINK("CSG0.html#group12H0", "12H⁰"), =HYPERLINK("CSG0.html#group1A0", "1A⁰"), =HYPERLINK("CSG3.html#group48H3", "48H³"), =HYPERLINK("CSG1.html#group16D1", "16D¹"), =HYPERLINK("CSG3.html#group48E3", "48E³"), =HYPERLINK("CSG0.html#group24A0", "24A⁰"), =HYPERLINK("CSG9.html#group96D9", "96D⁹"), =HYPERLINK("CSG9.html#group96H9", "96H⁹"), =HYPERLINK("CSG0.html#group12D0", "12D⁰"), =HYPERLINK("CSG7.html#group48AE7", "48AE⁷"), =HYPERLINK("CSG0.html#group3A0", "3A⁰"), =HYPERLINK("CSG1.html#group24H1", "24H¹"), =HYPERLINK("CSG0.html#group6D0", "6D⁰")</f>
        <v/>
      </c>
      <c r="N5906" t="inlineStr"/>
    </row>
    <row r="5907">
      <c r="A5907" t="inlineStr">
        <is>
          <t>96AM¹⁹</t>
        </is>
      </c>
      <c r="B5907" t="inlineStr"/>
      <c r="C5907" t="inlineStr">
        <is>
          <t>288</t>
        </is>
      </c>
      <c r="D5907" t="inlineStr">
        <is>
          <t>1</t>
        </is>
      </c>
      <c r="E5907" t="inlineStr">
        <is>
          <t>72</t>
        </is>
      </c>
      <c r="F5907" t="inlineStr">
        <is>
          <t>16</t>
        </is>
      </c>
      <c r="G5907" t="inlineStr">
        <is>
          <t>0</t>
        </is>
      </c>
      <c r="H5907" t="inlineStr">
        <is>
          <t>48², 96²</t>
        </is>
      </c>
      <c r="I5907" t="n">
        <v>4</v>
      </c>
      <c r="J5907" t="inlineStr">
        <is>
          <t>2⁸, 4⁸, 8¹, 16¹</t>
        </is>
      </c>
      <c r="K5907">
        <f>HYPERLINK("CSG7.html#group48AE7", "48AE⁷"), =HYPERLINK("CSG9.html#group96E9", "96E⁹"), =HYPERLINK("CSG9.html#group96J9", "96J⁹")</f>
        <v/>
      </c>
      <c r="L5907" t="inlineStr"/>
      <c r="M5907">
        <f>HYPERLINK("CSG0.html#group6B0", "6B⁰"), =HYPERLINK("CSG0.html#group12C0", "12C⁰"), =HYPERLINK("CSG0.html#group6H0", "6H⁰"), =HYPERLINK("CSG0.html#group4C0", "4C⁰"), =HYPERLINK("CSG1.html#group24D1", "24D¹"), =HYPERLINK("CSG0.html#group8B0", "8B⁰"), =HYPERLINK("CSG0.html#group2B0", "2B⁰"), =HYPERLINK("CSG3.html#group32G3", "32G³"), =HYPERLINK("CSG9.html#group96J9", "96J⁹"), =HYPERLINK("CSG0.html#group12H0", "12H⁰"), =HYPERLINK("CSG0.html#group1A0", "1A⁰"), =HYPERLINK("CSG9.html#group96E9", "96E⁹"), =HYPERLINK("CSG3.html#group48H3", "48H³"), =HYPERLINK("CSG1.html#group16D1", "16D¹"), =HYPERLINK("CSG3.html#group48E3", "48E³"), =HYPERLINK("CSG0.html#group24A0", "24A⁰"), =HYPERLINK("CSG0.html#group12D0", "12D⁰"), =HYPERLINK("CSG7.html#group48AE7", "48AE⁷"), =HYPERLINK("CSG0.html#group3A0", "3A⁰"), =HYPERLINK("CSG1.html#group24H1", "24H¹"), =HYPERLINK("CSG0.html#group6D0", "6D⁰")</f>
        <v/>
      </c>
      <c r="N5907" t="inlineStr"/>
    </row>
    <row r="5908">
      <c r="A5908" t="inlineStr">
        <is>
          <t>96AN¹⁹</t>
        </is>
      </c>
      <c r="B5908" t="inlineStr"/>
      <c r="C5908" t="inlineStr">
        <is>
          <t>288</t>
        </is>
      </c>
      <c r="D5908" t="inlineStr">
        <is>
          <t>1</t>
        </is>
      </c>
      <c r="E5908" t="inlineStr">
        <is>
          <t>72</t>
        </is>
      </c>
      <c r="F5908" t="inlineStr">
        <is>
          <t>16</t>
        </is>
      </c>
      <c r="G5908" t="inlineStr">
        <is>
          <t>0</t>
        </is>
      </c>
      <c r="H5908" t="inlineStr">
        <is>
          <t>48², 96²</t>
        </is>
      </c>
      <c r="I5908" t="n">
        <v>4</v>
      </c>
      <c r="J5908" t="inlineStr">
        <is>
          <t>2⁸, 4⁸, 8¹, 16¹</t>
        </is>
      </c>
      <c r="K5908">
        <f>HYPERLINK("CSG7.html#group48AE7", "48AE⁷"), =HYPERLINK("CSG9.html#group96F9", "96F⁹"), =HYPERLINK("CSG9.html#group96K9", "96K⁹")</f>
        <v/>
      </c>
      <c r="L5908" t="inlineStr"/>
      <c r="M5908">
        <f>HYPERLINK("CSG0.html#group6B0", "6B⁰"), =HYPERLINK("CSG0.html#group12C0", "12C⁰"), =HYPERLINK("CSG9.html#group96F9", "96F⁹"), =HYPERLINK("CSG0.html#group6H0", "6H⁰"), =HYPERLINK("CSG0.html#group4C0", "4C⁰"), =HYPERLINK("CSG1.html#group24D1", "24D¹"), =HYPERLINK("CSG0.html#group8B0", "8B⁰"), =HYPERLINK("CSG0.html#group2B0", "2B⁰"), =HYPERLINK("CSG0.html#group12H0", "12H⁰"), =HYPERLINK("CSG0.html#group1A0", "1A⁰"), =HYPERLINK("CSG3.html#group48H3", "48H³"), =HYPERLINK("CSG1.html#group16D1", "16D¹"), =HYPERLINK("CSG3.html#group48E3", "48E³"), =HYPERLINK("CSG0.html#group24A0", "24A⁰"), =HYPERLINK("CSG9.html#group96K9", "96K⁹"), =HYPERLINK("CSG0.html#group6D0", "6D⁰"), =HYPERLINK("CSG0.html#group12D0", "12D⁰"), =HYPERLINK("CSG7.html#group48AE7", "48AE⁷"), =HYPERLINK("CSG0.html#group3A0", "3A⁰"), =HYPERLINK("CSG1.html#group24H1", "24H¹"), =HYPERLINK("CSG3.html#group32H3", "32H³")</f>
        <v/>
      </c>
      <c r="N5908" t="inlineStr"/>
    </row>
    <row r="5909">
      <c r="A5909" t="inlineStr">
        <is>
          <t>96AO¹⁹</t>
        </is>
      </c>
      <c r="B5909" t="inlineStr"/>
      <c r="C5909" t="inlineStr">
        <is>
          <t>288</t>
        </is>
      </c>
      <c r="D5909" t="inlineStr">
        <is>
          <t>1</t>
        </is>
      </c>
      <c r="E5909" t="inlineStr">
        <is>
          <t>72</t>
        </is>
      </c>
      <c r="F5909" t="inlineStr">
        <is>
          <t>16</t>
        </is>
      </c>
      <c r="G5909" t="inlineStr">
        <is>
          <t>0</t>
        </is>
      </c>
      <c r="H5909" t="inlineStr">
        <is>
          <t>48², 96²</t>
        </is>
      </c>
      <c r="I5909" t="n">
        <v>4</v>
      </c>
      <c r="J5909" t="inlineStr">
        <is>
          <t>2⁸, 4⁸, 8¹, 16¹</t>
        </is>
      </c>
      <c r="K5909">
        <f>HYPERLINK("CSG7.html#group48AG7", "48AG⁷"), =HYPERLINK("CSG9.html#group96C9", "96C⁹"), =HYPERLINK("CSG9.html#group96H9", "96H⁹")</f>
        <v/>
      </c>
      <c r="L5909" t="inlineStr"/>
      <c r="M5909">
        <f>HYPERLINK("CSG7.html#group48AG7", "48AG⁷"), =HYPERLINK("CSG1.html#group16D1", "16D¹"), =HYPERLINK("CSG0.html#group12C0", "12C⁰"), =HYPERLINK("CSG3.html#group48E3", "48E³"), =HYPERLINK("CSG0.html#group24A0", "24A⁰"), =HYPERLINK("CSG0.html#group4C0", "4C⁰"), =HYPERLINK("CSG0.html#group8B0", "8B⁰"), =HYPERLINK("CSG9.html#group96H9", "96H⁹"), =HYPERLINK("CSG2.html#group24Q2", "24Q²"), =HYPERLINK("CSG2.html#group48A2", "48A²"), =HYPERLINK("CSG9.html#group96C9", "96C⁹"), =HYPERLINK("CSG0.html#group2B0", "2B⁰"), =HYPERLINK("CSG3.html#group32E3", "32E³"), =HYPERLINK("CSG0.html#group3A0", "3A⁰"), =HYPERLINK("CSG0.html#group1A0", "1A⁰"), =HYPERLINK("CSG0.html#group6D0", "6D⁰")</f>
        <v/>
      </c>
      <c r="N5909" t="inlineStr"/>
    </row>
    <row r="5910">
      <c r="A5910" t="inlineStr">
        <is>
          <t>96AP¹⁹</t>
        </is>
      </c>
      <c r="B5910" t="inlineStr"/>
      <c r="C5910" t="inlineStr">
        <is>
          <t>288</t>
        </is>
      </c>
      <c r="D5910" t="inlineStr">
        <is>
          <t>1</t>
        </is>
      </c>
      <c r="E5910" t="inlineStr">
        <is>
          <t>72</t>
        </is>
      </c>
      <c r="F5910" t="inlineStr">
        <is>
          <t>16</t>
        </is>
      </c>
      <c r="G5910" t="inlineStr">
        <is>
          <t>0</t>
        </is>
      </c>
      <c r="H5910" t="inlineStr">
        <is>
          <t>48², 96²</t>
        </is>
      </c>
      <c r="I5910" t="n">
        <v>4</v>
      </c>
      <c r="J5910" t="inlineStr">
        <is>
          <t>2⁸, 4⁸, 8¹, 16¹</t>
        </is>
      </c>
      <c r="K5910">
        <f>HYPERLINK("CSG7.html#group48AG7", "48AG⁷"), =HYPERLINK("CSG9.html#group96D9", "96D⁹"), =HYPERLINK("CSG9.html#group96I9", "96I⁹")</f>
        <v/>
      </c>
      <c r="L5910" t="inlineStr"/>
      <c r="M5910">
        <f>HYPERLINK("CSG7.html#group48AG7", "48AG⁷"), =HYPERLINK("CSG9.html#group96I9", "96I⁹"), =HYPERLINK("CSG1.html#group16D1", "16D¹"), =HYPERLINK("CSG0.html#group12C0", "12C⁰"), =HYPERLINK("CSG3.html#group48E3", "48E³"), =HYPERLINK("CSG0.html#group24A0", "24A⁰"), =HYPERLINK("CSG9.html#group96D9", "96D⁹"), =HYPERLINK("CSG0.html#group4C0", "4C⁰"), =HYPERLINK("CSG0.html#group8B0", "8B⁰"), =HYPERLINK("CSG2.html#group24Q2", "24Q²"), =HYPERLINK("CSG2.html#group48A2", "48A²"), =HYPERLINK("CSG0.html#group2B0", "2B⁰"), =HYPERLINK("CSG3.html#group32F3", "32F³"), =HYPERLINK("CSG0.html#group3A0", "3A⁰"), =HYPERLINK("CSG0.html#group1A0", "1A⁰"), =HYPERLINK("CSG0.html#group6D0", "6D⁰")</f>
        <v/>
      </c>
      <c r="N5910" t="inlineStr"/>
    </row>
    <row r="5911">
      <c r="A5911" t="inlineStr">
        <is>
          <t>96AQ¹⁹</t>
        </is>
      </c>
      <c r="B5911" t="inlineStr"/>
      <c r="C5911" t="inlineStr">
        <is>
          <t>288</t>
        </is>
      </c>
      <c r="D5911" t="inlineStr">
        <is>
          <t>1</t>
        </is>
      </c>
      <c r="E5911" t="inlineStr">
        <is>
          <t>72</t>
        </is>
      </c>
      <c r="F5911" t="inlineStr">
        <is>
          <t>16</t>
        </is>
      </c>
      <c r="G5911" t="inlineStr">
        <is>
          <t>0</t>
        </is>
      </c>
      <c r="H5911" t="inlineStr">
        <is>
          <t>48², 96²</t>
        </is>
      </c>
      <c r="I5911" t="n">
        <v>4</v>
      </c>
      <c r="J5911" t="inlineStr">
        <is>
          <t>2⁸, 4⁸, 8¹, 16¹</t>
        </is>
      </c>
      <c r="K5911">
        <f>HYPERLINK("CSG7.html#group48AG7", "48AG⁷"), =HYPERLINK("CSG9.html#group96E9", "96E⁹"), =HYPERLINK("CSG9.html#group96K9", "96K⁹")</f>
        <v/>
      </c>
      <c r="L5911" t="inlineStr"/>
      <c r="M5911">
        <f>HYPERLINK("CSG7.html#group48AG7", "48AG⁷"), =HYPERLINK("CSG1.html#group16D1", "16D¹"), =HYPERLINK("CSG0.html#group12C0", "12C⁰"), =HYPERLINK("CSG3.html#group48E3", "48E³"), =HYPERLINK("CSG0.html#group24A0", "24A⁰"), =HYPERLINK("CSG9.html#group96K9", "96K⁹"), =HYPERLINK("CSG0.html#group4C0", "4C⁰"), =HYPERLINK("CSG0.html#group8B0", "8B⁰"), =HYPERLINK("CSG2.html#group24Q2", "24Q²"), =HYPERLINK("CSG2.html#group48A2", "48A²"), =HYPERLINK("CSG0.html#group2B0", "2B⁰"), =HYPERLINK("CSG3.html#group32G3", "32G³"), =HYPERLINK("CSG0.html#group3A0", "3A⁰"), =HYPERLINK("CSG0.html#group1A0", "1A⁰"), =HYPERLINK("CSG9.html#group96E9", "96E⁹"), =HYPERLINK("CSG0.html#group6D0", "6D⁰")</f>
        <v/>
      </c>
      <c r="N5911" t="inlineStr"/>
    </row>
    <row r="5912">
      <c r="A5912" t="inlineStr">
        <is>
          <t>96AR¹⁹</t>
        </is>
      </c>
      <c r="B5912" t="inlineStr"/>
      <c r="C5912" t="inlineStr">
        <is>
          <t>288</t>
        </is>
      </c>
      <c r="D5912" t="inlineStr">
        <is>
          <t>1</t>
        </is>
      </c>
      <c r="E5912" t="inlineStr">
        <is>
          <t>72</t>
        </is>
      </c>
      <c r="F5912" t="inlineStr">
        <is>
          <t>16</t>
        </is>
      </c>
      <c r="G5912" t="inlineStr">
        <is>
          <t>0</t>
        </is>
      </c>
      <c r="H5912" t="inlineStr">
        <is>
          <t>48², 96²</t>
        </is>
      </c>
      <c r="I5912" t="n">
        <v>4</v>
      </c>
      <c r="J5912" t="inlineStr">
        <is>
          <t>2⁸, 4⁸, 8¹, 16¹</t>
        </is>
      </c>
      <c r="K5912">
        <f>HYPERLINK("CSG7.html#group48AG7", "48AG⁷"), =HYPERLINK("CSG9.html#group96F9", "96F⁹"), =HYPERLINK("CSG9.html#group96J9", "96J⁹")</f>
        <v/>
      </c>
      <c r="L5912" t="inlineStr"/>
      <c r="M5912">
        <f>HYPERLINK("CSG7.html#group48AG7", "48AG⁷"), =HYPERLINK("CSG1.html#group16D1", "16D¹"), =HYPERLINK("CSG0.html#group12C0", "12C⁰"), =HYPERLINK("CSG0.html#group3A0", "3A⁰"), =HYPERLINK("CSG3.html#group48E3", "48E³"), =HYPERLINK("CSG9.html#group96F9", "96F⁹"), =HYPERLINK("CSG0.html#group24A0", "24A⁰"), =HYPERLINK("CSG0.html#group4C0", "4C⁰"), =HYPERLINK("CSG0.html#group8B0", "8B⁰"), =HYPERLINK("CSG3.html#group32H3", "32H³"), =HYPERLINK("CSG2.html#group24Q2", "24Q²"), =HYPERLINK("CSG2.html#group48A2", "48A²"), =HYPERLINK("CSG0.html#group2B0", "2B⁰"), =HYPERLINK("CSG9.html#group96J9", "96J⁹"), =HYPERLINK("CSG0.html#group1A0", "1A⁰"), =HYPERLINK("CSG0.html#group6D0", "6D⁰")</f>
        <v/>
      </c>
      <c r="N5912" t="inlineStr"/>
    </row>
    <row r="5913">
      <c r="A5913" t="inlineStr">
        <is>
          <t>96AS¹⁹</t>
        </is>
      </c>
      <c r="B5913" t="inlineStr"/>
      <c r="C5913" t="inlineStr">
        <is>
          <t>288</t>
        </is>
      </c>
      <c r="D5913" t="inlineStr">
        <is>
          <t>1</t>
        </is>
      </c>
      <c r="E5913" t="inlineStr">
        <is>
          <t>144</t>
        </is>
      </c>
      <c r="F5913" t="inlineStr">
        <is>
          <t>16</t>
        </is>
      </c>
      <c r="G5913" t="inlineStr">
        <is>
          <t>0</t>
        </is>
      </c>
      <c r="H5913" t="inlineStr">
        <is>
          <t>48², 96²</t>
        </is>
      </c>
      <c r="I5913" t="n">
        <v>4</v>
      </c>
      <c r="J5913" t="inlineStr">
        <is>
          <t>2⁴, 4¹⁰, 8⁶, 16³</t>
        </is>
      </c>
      <c r="K5913">
        <f>HYPERLINK("CSG7.html#group48AD7", "48AD⁷")</f>
        <v/>
      </c>
      <c r="L5913" t="inlineStr"/>
      <c r="M5913">
        <f>HYPERLINK("CSG0.html#group6B0", "6B⁰"), =HYPERLINK("CSG0.html#group12C0", "12C⁰"), =HYPERLINK("CSG0.html#group3A0", "3A⁰"), =HYPERLINK("CSG0.html#group4C0", "4C⁰"), =HYPERLINK("CSG1.html#group24D1", "24D¹"), =HYPERLINK("CSG0.html#group8B0", "8B⁰"), =HYPERLINK("CSG0.html#group2B0", "2B⁰"), =HYPERLINK("CSG0.html#group1A0", "1A⁰"), =HYPERLINK("CSG3.html#group48H3", "48H³"), =HYPERLINK("CSG7.html#group48AD7", "48AD⁷"), =HYPERLINK("CSG0.html#group24A0", "24A⁰"), =HYPERLINK("CSG0.html#group12D0", "12D⁰"), =HYPERLINK("CSG0.html#group6H0", "6H⁰"), =HYPERLINK("CSG0.html#group12H0", "12H⁰"), =HYPERLINK("CSG1.html#group24H1", "24H¹"), =HYPERLINK("CSG0.html#group6D0", "6D⁰")</f>
        <v/>
      </c>
      <c r="N5913" t="inlineStr"/>
    </row>
    <row r="5914">
      <c r="A5914" t="inlineStr">
        <is>
          <t>96AT¹⁹</t>
        </is>
      </c>
      <c r="B5914" t="inlineStr"/>
      <c r="C5914" t="inlineStr">
        <is>
          <t>288</t>
        </is>
      </c>
      <c r="D5914" t="inlineStr">
        <is>
          <t>1</t>
        </is>
      </c>
      <c r="E5914" t="inlineStr">
        <is>
          <t>144</t>
        </is>
      </c>
      <c r="F5914" t="inlineStr">
        <is>
          <t>16</t>
        </is>
      </c>
      <c r="G5914" t="inlineStr">
        <is>
          <t>0</t>
        </is>
      </c>
      <c r="H5914" t="inlineStr">
        <is>
          <t>48², 96²</t>
        </is>
      </c>
      <c r="I5914" t="n">
        <v>4</v>
      </c>
      <c r="J5914" t="inlineStr">
        <is>
          <t>2⁴, 4¹⁰, 8⁶, 16³</t>
        </is>
      </c>
      <c r="K5914">
        <f>HYPERLINK("CSG7.html#group48AD7", "48AD⁷")</f>
        <v/>
      </c>
      <c r="L5914" t="inlineStr"/>
      <c r="M5914">
        <f>HYPERLINK("CSG0.html#group6B0", "6B⁰"), =HYPERLINK("CSG0.html#group12C0", "12C⁰"), =HYPERLINK("CSG0.html#group3A0", "3A⁰"), =HYPERLINK("CSG0.html#group4C0", "4C⁰"), =HYPERLINK("CSG1.html#group24D1", "24D¹"), =HYPERLINK("CSG0.html#group8B0", "8B⁰"), =HYPERLINK("CSG0.html#group2B0", "2B⁰"), =HYPERLINK("CSG0.html#group1A0", "1A⁰"), =HYPERLINK("CSG3.html#group48H3", "48H³"), =HYPERLINK("CSG7.html#group48AD7", "48AD⁷"), =HYPERLINK("CSG0.html#group24A0", "24A⁰"), =HYPERLINK("CSG0.html#group12D0", "12D⁰"), =HYPERLINK("CSG0.html#group6H0", "6H⁰"), =HYPERLINK("CSG0.html#group12H0", "12H⁰"), =HYPERLINK("CSG1.html#group24H1", "24H¹"), =HYPERLINK("CSG0.html#group6D0", "6D⁰")</f>
        <v/>
      </c>
      <c r="N5914" t="inlineStr"/>
    </row>
    <row r="5915">
      <c r="A5915" t="inlineStr">
        <is>
          <t>96AU¹⁹</t>
        </is>
      </c>
      <c r="B5915" t="inlineStr"/>
      <c r="C5915" t="inlineStr">
        <is>
          <t>288</t>
        </is>
      </c>
      <c r="D5915" t="inlineStr">
        <is>
          <t>1</t>
        </is>
      </c>
      <c r="E5915" t="inlineStr">
        <is>
          <t>144</t>
        </is>
      </c>
      <c r="F5915" t="inlineStr">
        <is>
          <t>16</t>
        </is>
      </c>
      <c r="G5915" t="inlineStr">
        <is>
          <t>0</t>
        </is>
      </c>
      <c r="H5915" t="inlineStr">
        <is>
          <t>48², 96²</t>
        </is>
      </c>
      <c r="I5915" t="n">
        <v>4</v>
      </c>
      <c r="J5915" t="inlineStr">
        <is>
          <t>2⁴, 4¹⁰, 8⁶, 16³</t>
        </is>
      </c>
      <c r="K5915">
        <f>HYPERLINK("CSG7.html#group48AD7", "48AD⁷")</f>
        <v/>
      </c>
      <c r="L5915" t="inlineStr"/>
      <c r="M5915">
        <f>HYPERLINK("CSG0.html#group6B0", "6B⁰"), =HYPERLINK("CSG0.html#group12C0", "12C⁰"), =HYPERLINK("CSG0.html#group3A0", "3A⁰"), =HYPERLINK("CSG0.html#group4C0", "4C⁰"), =HYPERLINK("CSG1.html#group24D1", "24D¹"), =HYPERLINK("CSG0.html#group8B0", "8B⁰"), =HYPERLINK("CSG0.html#group2B0", "2B⁰"), =HYPERLINK("CSG0.html#group1A0", "1A⁰"), =HYPERLINK("CSG3.html#group48H3", "48H³"), =HYPERLINK("CSG7.html#group48AD7", "48AD⁷"), =HYPERLINK("CSG0.html#group24A0", "24A⁰"), =HYPERLINK("CSG0.html#group12D0", "12D⁰"), =HYPERLINK("CSG0.html#group6H0", "6H⁰"), =HYPERLINK("CSG0.html#group12H0", "12H⁰"), =HYPERLINK("CSG1.html#group24H1", "24H¹"), =HYPERLINK("CSG0.html#group6D0", "6D⁰")</f>
        <v/>
      </c>
      <c r="N5915" t="inlineStr"/>
    </row>
    <row r="5916">
      <c r="A5916" t="inlineStr">
        <is>
          <t>96AV¹⁹</t>
        </is>
      </c>
      <c r="B5916" t="inlineStr"/>
      <c r="C5916" t="inlineStr">
        <is>
          <t>288</t>
        </is>
      </c>
      <c r="D5916" t="inlineStr">
        <is>
          <t>1</t>
        </is>
      </c>
      <c r="E5916" t="inlineStr">
        <is>
          <t>144</t>
        </is>
      </c>
      <c r="F5916" t="inlineStr">
        <is>
          <t>16</t>
        </is>
      </c>
      <c r="G5916" t="inlineStr">
        <is>
          <t>0</t>
        </is>
      </c>
      <c r="H5916" t="inlineStr">
        <is>
          <t>48², 96²</t>
        </is>
      </c>
      <c r="I5916" t="n">
        <v>4</v>
      </c>
      <c r="J5916" t="inlineStr">
        <is>
          <t>2⁴, 4¹⁰, 8⁶, 16³</t>
        </is>
      </c>
      <c r="K5916">
        <f>HYPERLINK("CSG7.html#group48AD7", "48AD⁷")</f>
        <v/>
      </c>
      <c r="L5916" t="inlineStr"/>
      <c r="M5916">
        <f>HYPERLINK("CSG0.html#group6B0", "6B⁰"), =HYPERLINK("CSG0.html#group12C0", "12C⁰"), =HYPERLINK("CSG0.html#group3A0", "3A⁰"), =HYPERLINK("CSG0.html#group4C0", "4C⁰"), =HYPERLINK("CSG1.html#group24D1", "24D¹"), =HYPERLINK("CSG0.html#group8B0", "8B⁰"), =HYPERLINK("CSG0.html#group2B0", "2B⁰"), =HYPERLINK("CSG0.html#group1A0", "1A⁰"), =HYPERLINK("CSG3.html#group48H3", "48H³"), =HYPERLINK("CSG7.html#group48AD7", "48AD⁷"), =HYPERLINK("CSG0.html#group24A0", "24A⁰"), =HYPERLINK("CSG0.html#group12D0", "12D⁰"), =HYPERLINK("CSG0.html#group6H0", "6H⁰"), =HYPERLINK("CSG0.html#group12H0", "12H⁰"), =HYPERLINK("CSG1.html#group24H1", "24H¹"), =HYPERLINK("CSG0.html#group6D0", "6D⁰")</f>
        <v/>
      </c>
      <c r="N5916" t="inlineStr"/>
    </row>
    <row r="5917">
      <c r="A5917" t="inlineStr">
        <is>
          <t>96AW¹⁹</t>
        </is>
      </c>
      <c r="B5917" t="inlineStr"/>
      <c r="C5917" t="inlineStr">
        <is>
          <t>288</t>
        </is>
      </c>
      <c r="D5917" t="inlineStr">
        <is>
          <t>2</t>
        </is>
      </c>
      <c r="E5917" t="inlineStr">
        <is>
          <t>18</t>
        </is>
      </c>
      <c r="F5917" t="inlineStr">
        <is>
          <t>0</t>
        </is>
      </c>
      <c r="G5917" t="inlineStr">
        <is>
          <t>0</t>
        </is>
      </c>
      <c r="H5917" t="inlineStr">
        <is>
          <t>6⁸, 24², 96²</t>
        </is>
      </c>
      <c r="I5917" t="n">
        <v>12</v>
      </c>
      <c r="J5917" t="inlineStr">
        <is>
          <t>2¹², 4³</t>
        </is>
      </c>
      <c r="K5917">
        <f>HYPERLINK("CSG8.html#group96B8", "96B⁸"), =HYPERLINK("CSG9.html#group48F9", "48F⁹"), =HYPERLINK("CSG10.html#group96B10", "96B¹⁰")</f>
        <v/>
      </c>
      <c r="L5917" t="inlineStr"/>
      <c r="M5917">
        <f>HYPERLINK("CSG0.html#group6B0", "6B⁰"), =HYPERLINK("CSG2.html#group12D2", "12D²"), =HYPERLINK("CSG4.html#group24J4", "24J⁴"), =HYPERLINK("CSG0.html#group8C0", "8C⁰"), =HYPERLINK("CSG0.html#group2B0", "2B⁰"), =HYPERLINK("CSG0.html#group4B0", "4B⁰"), =HYPERLINK("CSG0.html#group1A0", "1A⁰"), =HYPERLINK("CSG4.html#group48B4", "48B⁴"), =HYPERLINK("CSG2.html#group24B2", "24B²"), =HYPERLINK("CSG1.html#group12C1", "12C¹"), =HYPERLINK("CSG8.html#group96B8", "96B⁸"), =HYPERLINK("CSG0.html#group16C0", "16C⁰"), =HYPERLINK("CSG2.html#group24D2", "24D²"), =HYPERLINK("CSG1.html#group12B1", "12B¹"), =HYPERLINK("CSG9.html#group48F9", "48F⁹"), =HYPERLINK("CSG0.html#group6H0", "6H⁰"), =HYPERLINK("CSG0.html#group3A0", "3A⁰"), =HYPERLINK("CSG10.html#group96B10", "96B¹⁰"), =HYPERLINK("CSG0.html#group6D0", "6D⁰"), =HYPERLINK("CSG5.html#group48B5", "48B⁵")</f>
        <v/>
      </c>
      <c r="N5917" t="inlineStr"/>
    </row>
    <row r="5918">
      <c r="A5918" t="inlineStr">
        <is>
          <t>96AX¹⁹</t>
        </is>
      </c>
      <c r="B5918" t="inlineStr"/>
      <c r="C5918" t="inlineStr">
        <is>
          <t>288</t>
        </is>
      </c>
      <c r="D5918" t="inlineStr">
        <is>
          <t>2</t>
        </is>
      </c>
      <c r="E5918" t="inlineStr">
        <is>
          <t>36</t>
        </is>
      </c>
      <c r="F5918" t="inlineStr">
        <is>
          <t>0</t>
        </is>
      </c>
      <c r="G5918" t="inlineStr">
        <is>
          <t>0</t>
        </is>
      </c>
      <c r="H5918" t="inlineStr">
        <is>
          <t>6⁸, 24², 96²</t>
        </is>
      </c>
      <c r="I5918" t="n">
        <v>12</v>
      </c>
      <c r="J5918" t="inlineStr">
        <is>
          <t>2¹², 4⁶, 8³</t>
        </is>
      </c>
      <c r="K5918">
        <f>HYPERLINK("CSG8.html#group48J8", "48J⁸"), =HYPERLINK("CSG9.html#group96G9", "96G⁹"), =HYPERLINK("CSG10.html#group96B10", "96B¹⁰")</f>
        <v/>
      </c>
      <c r="L5918" t="inlineStr"/>
      <c r="M5918">
        <f>HYPERLINK("CSG2.html#group24B2", "24B²"), =HYPERLINK("CSG0.html#group4B0", "4B⁰"), =HYPERLINK("CSG0.html#group16C0", "16C⁰"), =HYPERLINK("CSG4.html#group24M4", "24M⁴"), =HYPERLINK("CSG0.html#group8C0", "8C⁰"), =HYPERLINK("CSG8.html#group48J8", "48J⁸"), =HYPERLINK("CSG1.html#group12B1", "12B¹"), =HYPERLINK("CSG0.html#group2B0", "2B⁰"), =HYPERLINK("CSG0.html#group3A0", "3A⁰"), =HYPERLINK("CSG10.html#group96B10", "96B¹⁰"), =HYPERLINK("CSG0.html#group1A0", "1A⁰"), =HYPERLINK("CSG9.html#group96G9", "96G⁹"), =HYPERLINK("CSG4.html#group48G4", "48G⁴"), =HYPERLINK("CSG0.html#group6D0", "6D⁰"), =HYPERLINK("CSG4.html#group48B4", "48B⁴")</f>
        <v/>
      </c>
      <c r="N5918" t="inlineStr"/>
    </row>
    <row r="5919">
      <c r="A5919" t="inlineStr">
        <is>
          <t>96AY¹⁹</t>
        </is>
      </c>
      <c r="B5919" t="inlineStr"/>
      <c r="C5919" t="inlineStr">
        <is>
          <t>288</t>
        </is>
      </c>
      <c r="D5919" t="inlineStr">
        <is>
          <t>2</t>
        </is>
      </c>
      <c r="E5919" t="inlineStr">
        <is>
          <t>36</t>
        </is>
      </c>
      <c r="F5919" t="inlineStr">
        <is>
          <t>16</t>
        </is>
      </c>
      <c r="G5919" t="inlineStr">
        <is>
          <t>0</t>
        </is>
      </c>
      <c r="H5919" t="inlineStr">
        <is>
          <t>48², 96²</t>
        </is>
      </c>
      <c r="I5919" t="n">
        <v>4</v>
      </c>
      <c r="J5919" t="inlineStr">
        <is>
          <t>2⁸, 4¹⁰, 8²</t>
        </is>
      </c>
      <c r="K5919">
        <f>HYPERLINK("CSG5.html#group48H5", "48H⁵"), =HYPERLINK("CSG5.html#group96A5", "96A⁵"), =HYPERLINK("CSG9.html#group96B9", "96B⁹")</f>
        <v/>
      </c>
      <c r="L5919" t="inlineStr"/>
      <c r="M5919">
        <f>HYPERLINK("CSG0.html#group16B0", "16B⁰"), =HYPERLINK("CSG0.html#group12C0", "12C⁰"), =HYPERLINK("CSG9.html#group96B9", "96B⁹"), =HYPERLINK("CSG0.html#group24A0", "24A⁰"), =HYPERLINK("CSG5.html#group96A5", "96A⁵"), =HYPERLINK("CSG0.html#group4C0", "4C⁰"), =HYPERLINK("CSG0.html#group8B0", "8B⁰"), =HYPERLINK("CSG2.html#group24Q2", "24Q²"), =HYPERLINK("CSG5.html#group48H5", "48H⁵"), =HYPERLINK("CSG0.html#group48A0", "48A⁰"), =HYPERLINK("CSG0.html#group2B0", "2B⁰"), =HYPERLINK("CSG3.html#group32D3", "32D³"), =HYPERLINK("CSG0.html#group3A0", "3A⁰"), =HYPERLINK("CSG0.html#group1A0", "1A⁰"), =HYPERLINK("CSG3.html#group48H3", "48H³"), =HYPERLINK("CSG0.html#group6D0", "6D⁰")</f>
        <v/>
      </c>
      <c r="N5919" t="inlineStr"/>
    </row>
    <row r="5920">
      <c r="A5920" t="inlineStr">
        <is>
          <t>96AZ¹⁹</t>
        </is>
      </c>
      <c r="B5920" t="inlineStr"/>
      <c r="C5920" t="inlineStr">
        <is>
          <t>288</t>
        </is>
      </c>
      <c r="D5920" t="inlineStr">
        <is>
          <t>2</t>
        </is>
      </c>
      <c r="E5920" t="inlineStr">
        <is>
          <t>72</t>
        </is>
      </c>
      <c r="F5920" t="inlineStr">
        <is>
          <t>4</t>
        </is>
      </c>
      <c r="G5920" t="inlineStr">
        <is>
          <t>0</t>
        </is>
      </c>
      <c r="H5920" t="inlineStr">
        <is>
          <t>12⁸, 96²</t>
        </is>
      </c>
      <c r="I5920" t="n">
        <v>10</v>
      </c>
      <c r="J5920" t="inlineStr">
        <is>
          <t>4⁶, 8³, 16⁶</t>
        </is>
      </c>
      <c r="K5920">
        <f>HYPERLINK("CSG8.html#group96E8", "96E⁸"), =HYPERLINK("CSG8.html#group96F8", "96F⁸"), =HYPERLINK("CSG9.html#group48T9", "48T⁹")</f>
        <v/>
      </c>
      <c r="L5920" t="inlineStr"/>
      <c r="M5920">
        <f>HYPERLINK("CSG9.html#group48T9", "48T⁹"), =HYPERLINK("CSG0.html#group12C0", "12C⁰"), =HYPERLINK("CSG0.html#group8D0", "8D⁰"), =HYPERLINK("CSG4.html#group48H4", "48H⁴"), =HYPERLINK("CSG0.html#group4C0", "4C⁰"), =HYPERLINK("CSG0.html#group2B0", "2B⁰"), =HYPERLINK("CSG1.html#group12M1", "12M¹"), =HYPERLINK("CSG2.html#group24C2", "24C²"), =HYPERLINK("CSG8.html#group96E8", "96E⁸"), =HYPERLINK("CSG0.html#group1A0", "1A⁰"), =HYPERLINK("CSG0.html#group16E0", "16E⁰"), =HYPERLINK("CSG8.html#group96F8", "96F⁸"), =HYPERLINK("CSG1.html#group24C1", "24C¹"), =HYPERLINK("CSG3.html#group48D3", "48D³"), =HYPERLINK("CSG0.html#group3A0", "3A⁰"), =HYPERLINK("CSG4.html#group24L4", "24L⁴"), =HYPERLINK("CSG0.html#group6D0", "6D⁰")</f>
        <v/>
      </c>
      <c r="N5920" t="inlineStr"/>
    </row>
    <row r="5921">
      <c r="A5921" t="inlineStr">
        <is>
          <t>96BA¹⁹</t>
        </is>
      </c>
      <c r="B5921" t="inlineStr"/>
      <c r="C5921" t="inlineStr">
        <is>
          <t>288</t>
        </is>
      </c>
      <c r="D5921" t="inlineStr">
        <is>
          <t>2</t>
        </is>
      </c>
      <c r="E5921" t="inlineStr">
        <is>
          <t>72</t>
        </is>
      </c>
      <c r="F5921" t="inlineStr">
        <is>
          <t>16</t>
        </is>
      </c>
      <c r="G5921" t="inlineStr">
        <is>
          <t>0</t>
        </is>
      </c>
      <c r="H5921" t="inlineStr">
        <is>
          <t>48², 96²</t>
        </is>
      </c>
      <c r="I5921" t="n">
        <v>4</v>
      </c>
      <c r="J5921" t="inlineStr">
        <is>
          <t>4²⁴, 16³</t>
        </is>
      </c>
      <c r="K5921">
        <f>HYPERLINK("CSG7.html#group48AG7", "48AG⁷"), =HYPERLINK("CSG9.html#group96H9", "96H⁹"), =HYPERLINK("CSG9.html#group96I9", "96I⁹")</f>
        <v/>
      </c>
      <c r="L5921" t="inlineStr"/>
      <c r="M5921">
        <f>HYPERLINK("CSG7.html#group48AG7", "48AG⁷"), =HYPERLINK("CSG9.html#group96I9", "96I⁹"), =HYPERLINK("CSG1.html#group16D1", "16D¹"), =HYPERLINK("CSG0.html#group12C0", "12C⁰"), =HYPERLINK("CSG3.html#group48E3", "48E³"), =HYPERLINK("CSG0.html#group24A0", "24A⁰"), =HYPERLINK("CSG0.html#group4C0", "4C⁰"), =HYPERLINK("CSG0.html#group8B0", "8B⁰"), =HYPERLINK("CSG9.html#group96H9", "96H⁹"), =HYPERLINK("CSG2.html#group24Q2", "24Q²"), =HYPERLINK("CSG2.html#group48A2", "48A²"), =HYPERLINK("CSG0.html#group2B0", "2B⁰"), =HYPERLINK("CSG0.html#group3A0", "3A⁰"), =HYPERLINK("CSG0.html#group1A0", "1A⁰"), =HYPERLINK("CSG0.html#group6D0", "6D⁰")</f>
        <v/>
      </c>
      <c r="N5921" t="inlineStr"/>
    </row>
    <row r="5922">
      <c r="A5922" t="inlineStr">
        <is>
          <t>96BB¹⁹</t>
        </is>
      </c>
      <c r="B5922" t="inlineStr"/>
      <c r="C5922" t="inlineStr">
        <is>
          <t>288</t>
        </is>
      </c>
      <c r="D5922" t="inlineStr">
        <is>
          <t>2</t>
        </is>
      </c>
      <c r="E5922" t="inlineStr">
        <is>
          <t>72</t>
        </is>
      </c>
      <c r="F5922" t="inlineStr">
        <is>
          <t>16</t>
        </is>
      </c>
      <c r="G5922" t="inlineStr">
        <is>
          <t>0</t>
        </is>
      </c>
      <c r="H5922" t="inlineStr">
        <is>
          <t>48², 96²</t>
        </is>
      </c>
      <c r="I5922" t="n">
        <v>4</v>
      </c>
      <c r="J5922" t="inlineStr">
        <is>
          <t>4²⁴, 16³</t>
        </is>
      </c>
      <c r="K5922">
        <f>HYPERLINK("CSG7.html#group48AG7", "48AG⁷"), =HYPERLINK("CSG9.html#group96J9", "96J⁹"), =HYPERLINK("CSG9.html#group96K9", "96K⁹")</f>
        <v/>
      </c>
      <c r="L5922" t="inlineStr"/>
      <c r="M5922">
        <f>HYPERLINK("CSG7.html#group48AG7", "48AG⁷"), =HYPERLINK("CSG1.html#group16D1", "16D¹"), =HYPERLINK("CSG0.html#group12C0", "12C⁰"), =HYPERLINK("CSG0.html#group3A0", "3A⁰"), =HYPERLINK("CSG3.html#group48E3", "48E³"), =HYPERLINK("CSG0.html#group24A0", "24A⁰"), =HYPERLINK("CSG9.html#group96K9", "96K⁹"), =HYPERLINK("CSG0.html#group4C0", "4C⁰"), =HYPERLINK("CSG0.html#group8B0", "8B⁰"), =HYPERLINK("CSG2.html#group24Q2", "24Q²"), =HYPERLINK("CSG2.html#group48A2", "48A²"), =HYPERLINK("CSG0.html#group2B0", "2B⁰"), =HYPERLINK("CSG9.html#group96J9", "96J⁹"), =HYPERLINK("CSG0.html#group1A0", "1A⁰"), =HYPERLINK("CSG0.html#group6D0", "6D⁰")</f>
        <v/>
      </c>
      <c r="N5922" t="inlineStr"/>
    </row>
    <row r="5923">
      <c r="A5923" t="inlineStr">
        <is>
          <t>96BC¹⁹</t>
        </is>
      </c>
      <c r="B5923" t="inlineStr"/>
      <c r="C5923" t="inlineStr">
        <is>
          <t>384</t>
        </is>
      </c>
      <c r="D5923" t="inlineStr">
        <is>
          <t>1</t>
        </is>
      </c>
      <c r="E5923" t="inlineStr">
        <is>
          <t>48</t>
        </is>
      </c>
      <c r="F5923" t="inlineStr">
        <is>
          <t>0</t>
        </is>
      </c>
      <c r="G5923" t="inlineStr">
        <is>
          <t>0</t>
        </is>
      </c>
      <c r="H5923" t="inlineStr">
        <is>
          <t>2⁸, 4⁴, 6⁸, 12⁴, 32², 96²</t>
        </is>
      </c>
      <c r="I5923" t="n">
        <v>28</v>
      </c>
      <c r="J5923" t="inlineStr">
        <is>
          <t>2¹², 4⁶</t>
        </is>
      </c>
      <c r="K5923">
        <f>HYPERLINK("CSG7.html#group48AL7", "48AL⁷")</f>
        <v/>
      </c>
      <c r="L5923" t="inlineStr"/>
      <c r="M5923">
        <f>HYPERLINK("CSG0.html#group16G0", "16G⁰"), =HYPERLINK("CSG0.html#group2A0", "2A⁰"), =HYPERLINK("CSG0.html#group3B0", "3B⁰"), =HYPERLINK("CSG3.html#group24V3", "24V³"), =HYPERLINK("CSG0.html#group8D0", "8D⁰"), =HYPERLINK("CSG1.html#group12F1", "12F¹"), =HYPERLINK("CSG0.html#group6I0", "6I⁰"), =HYPERLINK("CSG1.html#group24G1", "24G¹"), =HYPERLINK("CSG0.html#group4C0", "4C⁰"), =HYPERLINK("CSG0.html#group6C0", "6C⁰"), =HYPERLINK("CSG0.html#group8C0", "8C⁰"), =HYPERLINK("CSG0.html#group4E0", "4E⁰"), =HYPERLINK("CSG0.html#group2B0", "2B⁰"), =HYPERLINK("CSG1.html#group12P1", "12P¹"), =HYPERLINK("CSG0.html#group4B0", "4B⁰"), =HYPERLINK("CSG0.html#group1A0", "1A⁰"), =HYPERLINK("CSG0.html#group16E0", "16E⁰"), =HYPERLINK("CSG7.html#group48AL7", "48AL⁷"), =HYPERLINK("CSG2.html#group24I2", "24I²"), =HYPERLINK("CSG0.html#group8G0", "8G⁰"), =HYPERLINK("CSG4.html#group48J4", "48J⁴"), =HYPERLINK("CSG0.html#group16D0", "16D⁰"), =HYPERLINK("CSG0.html#group6F0", "6F⁰"), =HYPERLINK("CSG0.html#group2C0", "2C⁰"), =HYPERLINK("CSG0.html#group12E0", "12E⁰"), =HYPERLINK("CSG3.html#group48L3", "48L³")</f>
        <v/>
      </c>
      <c r="N5923" t="inlineStr"/>
    </row>
    <row r="5924">
      <c r="A5924" t="inlineStr">
        <is>
          <t>96BD¹⁹</t>
        </is>
      </c>
      <c r="B5924" t="inlineStr"/>
      <c r="C5924" t="inlineStr">
        <is>
          <t>384</t>
        </is>
      </c>
      <c r="D5924" t="inlineStr">
        <is>
          <t>1</t>
        </is>
      </c>
      <c r="E5924" t="inlineStr">
        <is>
          <t>48</t>
        </is>
      </c>
      <c r="F5924" t="inlineStr">
        <is>
          <t>0</t>
        </is>
      </c>
      <c r="G5924" t="inlineStr">
        <is>
          <t>0</t>
        </is>
      </c>
      <c r="H5924" t="inlineStr">
        <is>
          <t>2⁸, 4⁴, 6⁸, 12⁴, 32², 96²</t>
        </is>
      </c>
      <c r="I5924" t="n">
        <v>28</v>
      </c>
      <c r="J5924" t="inlineStr">
        <is>
          <t>2¹², 4⁶</t>
        </is>
      </c>
      <c r="K5924">
        <f>HYPERLINK("CSG2.html#group32B2", "32B²"), =HYPERLINK("CSG7.html#group48AL7", "48AL⁷"), =HYPERLINK("CSG10.html#group96E10", "96E¹⁰"), =HYPERLINK("CSG10.html#group96F10", "96F¹⁰")</f>
        <v/>
      </c>
      <c r="L5924" t="inlineStr"/>
      <c r="M5924">
        <f>HYPERLINK("CSG0.html#group16G0", "16G⁰"), =HYPERLINK("CSG0.html#group2A0", "2A⁰"), =HYPERLINK("CSG3.html#group24V3", "24V³"), =HYPERLINK("CSG1.html#group24G1", "24G¹"), =HYPERLINK("CSG0.html#group4C0", "4C⁰"), =HYPERLINK("CSG1.html#group32D1", "32D¹"), =HYPERLINK("CSG0.html#group2B0", "2B⁰"), =HYPERLINK("CSG0.html#group8C0", "8C⁰"), =HYPERLINK("CSG0.html#group4E0", "4E⁰"), =HYPERLINK("CSG0.html#group4B0", "4B⁰"), =HYPERLINK("CSG0.html#group1A0", "1A⁰"), =HYPERLINK("CSG10.html#group96F10", "96F¹⁰"), =HYPERLINK("CSG0.html#group16E0", "16E⁰"), =HYPERLINK("CSG7.html#group48AL7", "48AL⁷"), =HYPERLINK("CSG0.html#group8G0", "8G⁰"), =HYPERLINK("CSG10.html#group96E10", "96E¹⁰"), =HYPERLINK("CSG0.html#group6F0", "6F⁰"), =HYPERLINK("CSG3.html#group48L3", "48L³"), =HYPERLINK("CSG0.html#group3B0", "3B⁰"), =HYPERLINK("CSG0.html#group8D0", "8D⁰"), =HYPERLINK("CSG1.html#group12F1", "12F¹"), =HYPERLINK("CSG0.html#group6I0", "6I⁰"), =HYPERLINK("CSG0.html#group6C0", "6C⁰"), =HYPERLINK("CSG1.html#group12P1", "12P¹"), =HYPERLINK("CSG2.html#group32B2", "32B²"), =HYPERLINK("CSG2.html#group24I2", "24I²"), =HYPERLINK("CSG1.html#group32C1", "32C¹"), =HYPERLINK("CSG4.html#group48J4", "48J⁴"), =HYPERLINK("CSG0.html#group16D0", "16D⁰"), =HYPERLINK("CSG0.html#group2C0", "2C⁰"), =HYPERLINK("CSG0.html#group12E0", "12E⁰")</f>
        <v/>
      </c>
      <c r="N5924" t="inlineStr"/>
    </row>
    <row r="5925">
      <c r="A5925" t="inlineStr">
        <is>
          <t>96BE¹⁹</t>
        </is>
      </c>
      <c r="B5925" t="inlineStr"/>
      <c r="C5925" t="inlineStr">
        <is>
          <t>384</t>
        </is>
      </c>
      <c r="D5925" t="inlineStr">
        <is>
          <t>1</t>
        </is>
      </c>
      <c r="E5925" t="inlineStr">
        <is>
          <t>96</t>
        </is>
      </c>
      <c r="F5925" t="inlineStr">
        <is>
          <t>0</t>
        </is>
      </c>
      <c r="G5925" t="inlineStr">
        <is>
          <t>0</t>
        </is>
      </c>
      <c r="H5925" t="inlineStr">
        <is>
          <t>1⁴, 2², 3⁴, 4⁶, 6², 12⁶, 32², 96²</t>
        </is>
      </c>
      <c r="I5925" t="n">
        <v>28</v>
      </c>
      <c r="J5925" t="inlineStr">
        <is>
          <t>1⁸, 2⁸, 4⁶, 8⁴, 16¹</t>
        </is>
      </c>
      <c r="K5925">
        <f>HYPERLINK("CSG7.html#group48AP7", "48AP⁷")</f>
        <v/>
      </c>
      <c r="L5925" t="inlineStr"/>
      <c r="M5925">
        <f>HYPERLINK("CSG0.html#group3B0", "3B⁰"), =HYPERLINK("CSG1.html#group24G1", "24G¹"), =HYPERLINK("CSG0.html#group8C0", "8C⁰"), =HYPERLINK("CSG0.html#group2B0", "2B⁰"), =HYPERLINK("CSG0.html#group8I0", "8I⁰"), =HYPERLINK("CSG0.html#group4B0", "4B⁰"), =HYPERLINK("CSG0.html#group1A0", "1A⁰"), =HYPERLINK("CSG0.html#group16H0", "16H⁰"), =HYPERLINK("CSG3.html#group48J3", "48J³"), =HYPERLINK("CSG0.html#group16C0", "16C⁰"), =HYPERLINK("CSG0.html#group16D0", "16D⁰"), =HYPERLINK("CSG3.html#group24Y3", "24Y³"), =HYPERLINK("CSG0.html#group6F0", "6F⁰"), =HYPERLINK("CSG7.html#group48AP7", "48AP⁷"), =HYPERLINK("CSG0.html#group12E0", "12E⁰"), =HYPERLINK("CSG3.html#group48L3", "48L³")</f>
        <v/>
      </c>
      <c r="N5925" t="inlineStr"/>
    </row>
    <row r="5926">
      <c r="A5926" t="inlineStr">
        <is>
          <t>96BF¹⁹</t>
        </is>
      </c>
      <c r="B5926" t="inlineStr"/>
      <c r="C5926" t="inlineStr">
        <is>
          <t>384</t>
        </is>
      </c>
      <c r="D5926" t="inlineStr">
        <is>
          <t>1</t>
        </is>
      </c>
      <c r="E5926" t="inlineStr">
        <is>
          <t>96</t>
        </is>
      </c>
      <c r="F5926" t="inlineStr">
        <is>
          <t>0</t>
        </is>
      </c>
      <c r="G5926" t="inlineStr">
        <is>
          <t>0</t>
        </is>
      </c>
      <c r="H5926" t="inlineStr">
        <is>
          <t>1⁴, 2², 3⁴, 4⁶, 6², 12⁶, 32², 96²</t>
        </is>
      </c>
      <c r="I5926" t="n">
        <v>28</v>
      </c>
      <c r="J5926" t="inlineStr">
        <is>
          <t>1⁸, 2⁸, 4⁶, 8⁴, 16¹</t>
        </is>
      </c>
      <c r="K5926">
        <f>HYPERLINK("CSG2.html#group32C2", "32C²"), =HYPERLINK("CSG7.html#group48AP7", "48AP⁷")</f>
        <v/>
      </c>
      <c r="L5926" t="inlineStr"/>
      <c r="M5926">
        <f>HYPERLINK("CSG0.html#group3B0", "3B⁰"), =HYPERLINK("CSG2.html#group32C2", "32C²"), =HYPERLINK("CSG1.html#group24G1", "24G¹"), =HYPERLINK("CSG0.html#group8C0", "8C⁰"), =HYPERLINK("CSG0.html#group2B0", "2B⁰"), =HYPERLINK("CSG0.html#group8I0", "8I⁰"), =HYPERLINK("CSG0.html#group4B0", "4B⁰"), =HYPERLINK("CSG0.html#group1A0", "1A⁰"), =HYPERLINK("CSG0.html#group16H0", "16H⁰"), =HYPERLINK("CSG3.html#group48J3", "48J³"), =HYPERLINK("CSG0.html#group16C0", "16C⁰"), =HYPERLINK("CSG0.html#group16D0", "16D⁰"), =HYPERLINK("CSG3.html#group24Y3", "24Y³"), =HYPERLINK("CSG0.html#group6F0", "6F⁰"), =HYPERLINK("CSG7.html#group48AP7", "48AP⁷"), =HYPERLINK("CSG0.html#group12E0", "12E⁰"), =HYPERLINK("CSG3.html#group48L3", "48L³")</f>
        <v/>
      </c>
      <c r="N5926" t="inlineStr"/>
    </row>
    <row r="5927">
      <c r="A5927" t="inlineStr">
        <is>
          <t>98A¹⁹</t>
        </is>
      </c>
      <c r="B5927" t="inlineStr"/>
      <c r="C5927" t="inlineStr">
        <is>
          <t>504</t>
        </is>
      </c>
      <c r="D5927" t="inlineStr">
        <is>
          <t>1</t>
        </is>
      </c>
      <c r="E5927" t="inlineStr">
        <is>
          <t>24</t>
        </is>
      </c>
      <c r="F5927" t="inlineStr">
        <is>
          <t>0</t>
        </is>
      </c>
      <c r="G5927" t="inlineStr">
        <is>
          <t>0</t>
        </is>
      </c>
      <c r="H5927" t="inlineStr">
        <is>
          <t>1²¹, 2²¹, 49³, 98³</t>
        </is>
      </c>
      <c r="I5927" t="n">
        <v>48</v>
      </c>
      <c r="J5927" t="inlineStr">
        <is>
          <t>1⁶, 6³</t>
        </is>
      </c>
      <c r="K5927">
        <f>HYPERLINK("CSG1.html#group14H1", "14H¹"), =HYPERLINK("CSG3.html#group49A3", "49A³"), =HYPERLINK("CSG7.html#group98A7", "98A⁷")</f>
        <v/>
      </c>
      <c r="L5927" t="inlineStr"/>
      <c r="M5927">
        <f>HYPERLINK("CSG7.html#group98A7", "98A⁷"), =HYPERLINK("CSG0.html#group7B0", "7B⁰"), =HYPERLINK("CSG1.html#group14H1", "14H¹"), =HYPERLINK("CSG1.html#group14C1", "14C¹"), =HYPERLINK("CSG1.html#group49A1", "49A¹"), =HYPERLINK("CSG0.html#group2B0", "2B⁰"), =HYPERLINK("CSG0.html#group7E0", "7E⁰"), =HYPERLINK("CSG0.html#group1A0", "1A⁰"), =HYPERLINK("CSG3.html#group49A3", "49A³")</f>
        <v/>
      </c>
      <c r="N5927" t="inlineStr"/>
    </row>
    <row r="5928">
      <c r="A5928" t="inlineStr">
        <is>
          <t>99A¹⁹</t>
        </is>
      </c>
      <c r="B5928" t="inlineStr"/>
      <c r="C5928" t="inlineStr">
        <is>
          <t>297</t>
        </is>
      </c>
      <c r="D5928" t="inlineStr">
        <is>
          <t>2</t>
        </is>
      </c>
      <c r="E5928" t="inlineStr">
        <is>
          <t>297</t>
        </is>
      </c>
      <c r="F5928" t="inlineStr">
        <is>
          <t>21</t>
        </is>
      </c>
      <c r="G5928" t="inlineStr">
        <is>
          <t>0</t>
        </is>
      </c>
      <c r="H5928" t="inlineStr">
        <is>
          <t>99³</t>
        </is>
      </c>
      <c r="I5928" t="n">
        <v>3</v>
      </c>
      <c r="J5928" t="inlineStr">
        <is>
          <t>6¹, 12⁴, 30², 60⁸</t>
        </is>
      </c>
      <c r="K5928">
        <f>HYPERLINK("CSG0.html#group9G0", "9G⁰"), =HYPERLINK("CSG5.html#group99A5", "99A⁵")</f>
        <v/>
      </c>
      <c r="L5928" t="inlineStr"/>
      <c r="M5928">
        <f>HYPERLINK("CSG0.html#group11A0", "11A⁰"), =HYPERLINK("CSG0.html#group9A0", "9A⁰"), =HYPERLINK("CSG0.html#group9G0", "9G⁰"), =HYPERLINK("CSG5.html#group99A5", "99A⁵"), =HYPERLINK("CSG1.html#group33A1", "33A¹"), =HYPERLINK("CSG0.html#group3A0", "3A⁰"), =HYPERLINK("CSG0.html#group1A0", "1A⁰")</f>
        <v/>
      </c>
      <c r="N5928" t="inlineStr"/>
    </row>
    <row r="5929">
      <c r="A5929" t="inlineStr">
        <is>
          <t>100A¹⁹</t>
        </is>
      </c>
      <c r="B5929" t="inlineStr"/>
      <c r="C5929" t="inlineStr">
        <is>
          <t>240</t>
        </is>
      </c>
      <c r="D5929" t="inlineStr">
        <is>
          <t>1</t>
        </is>
      </c>
      <c r="E5929" t="inlineStr">
        <is>
          <t>6</t>
        </is>
      </c>
      <c r="F5929" t="inlineStr">
        <is>
          <t>0</t>
        </is>
      </c>
      <c r="G5929" t="inlineStr">
        <is>
          <t>0</t>
        </is>
      </c>
      <c r="H5929" t="inlineStr">
        <is>
          <t>20², 100²</t>
        </is>
      </c>
      <c r="I5929" t="n">
        <v>4</v>
      </c>
      <c r="J5929" t="inlineStr">
        <is>
          <t>2², 4²</t>
        </is>
      </c>
      <c r="K5929">
        <f>HYPERLINK("CSG3.html#group20A3", "20A³"), =HYPERLINK("CSG9.html#group50A9", "50A⁹"), =HYPERLINK("CSG9.html#group100E9", "100E⁹")</f>
        <v/>
      </c>
      <c r="L5929" t="inlineStr"/>
      <c r="M5929">
        <f>HYPERLINK("CSG9.html#group50A9", "50A⁹"), =HYPERLINK("CSG0.html#group2A0", "2A⁰"), =HYPERLINK("CSG1.html#group20C1", "20C¹"), =HYPERLINK("CSG2.html#group25A2", "25A²"), =HYPERLINK("CSG9.html#group100E9", "100E⁹"), =HYPERLINK("CSG5.html#group50A5", "50A⁵"), =HYPERLINK("CSG4.html#group25A4", "25A⁴"), =HYPERLINK("CSG0.html#group5B0", "5B⁰"), =HYPERLINK("CSG1.html#group10A1", "10A¹"), =HYPERLINK("CSG0.html#group5D0", "5D⁰"), =HYPERLINK("CSG1.html#group10D1", "10D¹"), =HYPERLINK("CSG0.html#group1A0", "1A⁰"), =HYPERLINK("CSG4.html#group50A4", "50A⁴"), =HYPERLINK("CSG3.html#group20A3", "20A³"), =HYPERLINK("CSG0.html#group10B0", "10B⁰")</f>
        <v/>
      </c>
      <c r="N5929" t="inlineStr"/>
    </row>
    <row r="5930">
      <c r="A5930" t="inlineStr">
        <is>
          <t>100B¹⁹</t>
        </is>
      </c>
      <c r="B5930" t="inlineStr"/>
      <c r="C5930" t="inlineStr">
        <is>
          <t>240</t>
        </is>
      </c>
      <c r="D5930" t="inlineStr">
        <is>
          <t>1</t>
        </is>
      </c>
      <c r="E5930" t="inlineStr">
        <is>
          <t>6</t>
        </is>
      </c>
      <c r="F5930" t="inlineStr">
        <is>
          <t>0</t>
        </is>
      </c>
      <c r="G5930" t="inlineStr">
        <is>
          <t>0</t>
        </is>
      </c>
      <c r="H5930" t="inlineStr">
        <is>
          <t>20², 100²</t>
        </is>
      </c>
      <c r="I5930" t="n">
        <v>4</v>
      </c>
      <c r="J5930" t="inlineStr">
        <is>
          <t>2², 4²</t>
        </is>
      </c>
      <c r="K5930">
        <f>HYPERLINK("CSG3.html#group20A3", "20A³"), =HYPERLINK("CSG9.html#group50B9", "50B⁹"), =HYPERLINK("CSG9.html#group100F9", "100F⁹")</f>
        <v/>
      </c>
      <c r="L5930" t="inlineStr"/>
      <c r="M5930">
        <f>HYPERLINK("CSG0.html#group2A0", "2A⁰"), =HYPERLINK("CSG1.html#group20C1", "20C¹"), =HYPERLINK("CSG4.html#group50B4", "50B⁴"), =HYPERLINK("CSG4.html#group25B4", "25B⁴"), =HYPERLINK("CSG0.html#group5B0", "5B⁰"), =HYPERLINK("CSG1.html#group10A1", "10A¹"), =HYPERLINK("CSG0.html#group5D0", "5D⁰"), =HYPERLINK("CSG1.html#group10D1", "10D¹"), =HYPERLINK("CSG0.html#group1A0", "1A⁰"), =HYPERLINK("CSG2.html#group25B2", "25B²"), =HYPERLINK("CSG3.html#group20A3", "20A³"), =HYPERLINK("CSG0.html#group10B0", "10B⁰"), =HYPERLINK("CSG9.html#group100F9", "100F⁹"), =HYPERLINK("CSG9.html#group50B9", "50B⁹"), =HYPERLINK("CSG5.html#group50B5", "50B⁵")</f>
        <v/>
      </c>
      <c r="N5930" t="inlineStr"/>
    </row>
    <row r="5931">
      <c r="A5931" t="inlineStr">
        <is>
          <t>100C¹⁹</t>
        </is>
      </c>
      <c r="B5931" t="inlineStr"/>
      <c r="C5931" t="inlineStr">
        <is>
          <t>240</t>
        </is>
      </c>
      <c r="D5931" t="inlineStr">
        <is>
          <t>1</t>
        </is>
      </c>
      <c r="E5931" t="inlineStr">
        <is>
          <t>6</t>
        </is>
      </c>
      <c r="F5931" t="inlineStr">
        <is>
          <t>0</t>
        </is>
      </c>
      <c r="G5931" t="inlineStr">
        <is>
          <t>0</t>
        </is>
      </c>
      <c r="H5931" t="inlineStr">
        <is>
          <t>20², 100²</t>
        </is>
      </c>
      <c r="I5931" t="n">
        <v>4</v>
      </c>
      <c r="J5931" t="inlineStr">
        <is>
          <t>2², 4²</t>
        </is>
      </c>
      <c r="K5931">
        <f>HYPERLINK("CSG3.html#group20A3", "20A³"), =HYPERLINK("CSG9.html#group50C9", "50C⁹"), =HYPERLINK("CSG9.html#group100G9", "100G⁹")</f>
        <v/>
      </c>
      <c r="L5931" t="inlineStr"/>
      <c r="M5931">
        <f>HYPERLINK("CSG0.html#group2A0", "2A⁰"), =HYPERLINK("CSG1.html#group20C1", "20C¹"), =HYPERLINK("CSG0.html#group5B0", "5B⁰"), =HYPERLINK("CSG0.html#group5D0", "5D⁰"), =HYPERLINK("CSG1.html#group10A1", "10A¹"), =HYPERLINK("CSG4.html#group50C4", "50C⁴"), =HYPERLINK("CSG1.html#group10D1", "10D¹"), =HYPERLINK("CSG0.html#group1A0", "1A⁰"), =HYPERLINK("CSG2.html#group25C2", "25C²"), =HYPERLINK("CSG3.html#group20A3", "20A³"), =HYPERLINK("CSG0.html#group10B0", "10B⁰"), =HYPERLINK("CSG9.html#group100G9", "100G⁹"), =HYPERLINK("CSG5.html#group50C5", "50C⁵"), =HYPERLINK("CSG9.html#group50C9", "50C⁹"), =HYPERLINK("CSG4.html#group25C4", "25C⁴")</f>
        <v/>
      </c>
      <c r="N5931" t="inlineStr"/>
    </row>
    <row r="5932">
      <c r="A5932" t="inlineStr">
        <is>
          <t>100D¹⁹</t>
        </is>
      </c>
      <c r="B5932" t="inlineStr"/>
      <c r="C5932" t="inlineStr">
        <is>
          <t>240</t>
        </is>
      </c>
      <c r="D5932" t="inlineStr">
        <is>
          <t>1</t>
        </is>
      </c>
      <c r="E5932" t="inlineStr">
        <is>
          <t>6</t>
        </is>
      </c>
      <c r="F5932" t="inlineStr">
        <is>
          <t>0</t>
        </is>
      </c>
      <c r="G5932" t="inlineStr">
        <is>
          <t>0</t>
        </is>
      </c>
      <c r="H5932" t="inlineStr">
        <is>
          <t>20², 100²</t>
        </is>
      </c>
      <c r="I5932" t="n">
        <v>4</v>
      </c>
      <c r="J5932" t="inlineStr">
        <is>
          <t>2², 4²</t>
        </is>
      </c>
      <c r="K5932">
        <f>HYPERLINK("CSG3.html#group20A3", "20A³"), =HYPERLINK("CSG9.html#group50D9", "50D⁹"), =HYPERLINK("CSG9.html#group100H9", "100H⁹")</f>
        <v/>
      </c>
      <c r="L5932" t="inlineStr"/>
      <c r="M5932">
        <f>HYPERLINK("CSG0.html#group2A0", "2A⁰"), =HYPERLINK("CSG1.html#group20C1", "20C¹"), =HYPERLINK("CSG9.html#group100H9", "100H⁹"), =HYPERLINK("CSG0.html#group5B0", "5B⁰"), =HYPERLINK("CSG5.html#group50D5", "50D⁵"), =HYPERLINK("CSG0.html#group5D0", "5D⁰"), =HYPERLINK("CSG1.html#group10A1", "10A¹"), =HYPERLINK("CSG9.html#group50D9", "50D⁹"), =HYPERLINK("CSG4.html#group25D4", "25D⁴"), =HYPERLINK("CSG1.html#group10D1", "10D¹"), =HYPERLINK("CSG0.html#group1A0", "1A⁰"), =HYPERLINK("CSG2.html#group25D2", "25D²"), =HYPERLINK("CSG3.html#group20A3", "20A³"), =HYPERLINK("CSG0.html#group10B0", "10B⁰"), =HYPERLINK("CSG4.html#group50D4", "50D⁴")</f>
        <v/>
      </c>
      <c r="N5932" t="inlineStr"/>
    </row>
    <row r="5933">
      <c r="A5933" t="inlineStr">
        <is>
          <t>100E¹⁹</t>
        </is>
      </c>
      <c r="B5933" t="inlineStr"/>
      <c r="C5933" t="inlineStr">
        <is>
          <t>240</t>
        </is>
      </c>
      <c r="D5933" t="inlineStr">
        <is>
          <t>1</t>
        </is>
      </c>
      <c r="E5933" t="inlineStr">
        <is>
          <t>24</t>
        </is>
      </c>
      <c r="F5933" t="inlineStr">
        <is>
          <t>0</t>
        </is>
      </c>
      <c r="G5933" t="inlineStr">
        <is>
          <t>0</t>
        </is>
      </c>
      <c r="H5933" t="inlineStr">
        <is>
          <t>20², 100²</t>
        </is>
      </c>
      <c r="I5933" t="n">
        <v>4</v>
      </c>
      <c r="J5933" t="inlineStr">
        <is>
          <t>4⁴, 8⁴</t>
        </is>
      </c>
      <c r="K5933">
        <f>HYPERLINK("CSG3.html#group20B3", "20B³"), =HYPERLINK("CSG4.html#group25A4", "25A⁴"), =HYPERLINK("CSG9.html#group100A9", "100A⁹")</f>
        <v/>
      </c>
      <c r="L5933" t="inlineStr"/>
      <c r="M5933">
        <f>HYPERLINK("CSG9.html#group100A9", "100A⁹"), =HYPERLINK("CSG2.html#group25A2", "25A²"), =HYPERLINK("CSG0.html#group4A0", "4A⁰"), =HYPERLINK("CSG0.html#group5B0", "5B⁰"), =HYPERLINK("CSG0.html#group5D0", "5D⁰"), =HYPERLINK("CSG0.html#group1A0", "1A⁰"), =HYPERLINK("CSG3.html#group20B3", "20B³"), =HYPERLINK("CSG1.html#group20B1", "20B¹"), =HYPERLINK("CSG4.html#group25A4", "25A⁴")</f>
        <v/>
      </c>
      <c r="N5933" t="inlineStr"/>
    </row>
    <row r="5934">
      <c r="A5934" t="inlineStr">
        <is>
          <t>100F¹⁹</t>
        </is>
      </c>
      <c r="B5934" t="inlineStr"/>
      <c r="C5934" t="inlineStr">
        <is>
          <t>240</t>
        </is>
      </c>
      <c r="D5934" t="inlineStr">
        <is>
          <t>1</t>
        </is>
      </c>
      <c r="E5934" t="inlineStr">
        <is>
          <t>24</t>
        </is>
      </c>
      <c r="F5934" t="inlineStr">
        <is>
          <t>0</t>
        </is>
      </c>
      <c r="G5934" t="inlineStr">
        <is>
          <t>0</t>
        </is>
      </c>
      <c r="H5934" t="inlineStr">
        <is>
          <t>20², 100²</t>
        </is>
      </c>
      <c r="I5934" t="n">
        <v>4</v>
      </c>
      <c r="J5934" t="inlineStr">
        <is>
          <t>4⁴, 8⁴</t>
        </is>
      </c>
      <c r="K5934">
        <f>HYPERLINK("CSG3.html#group20B3", "20B³"), =HYPERLINK("CSG4.html#group25B4", "25B⁴"), =HYPERLINK("CSG9.html#group100B9", "100B⁹")</f>
        <v/>
      </c>
      <c r="L5934" t="inlineStr"/>
      <c r="M5934">
        <f>HYPERLINK("CSG4.html#group25B4", "25B⁴"), =HYPERLINK("CSG0.html#group4A0", "4A⁰"), =HYPERLINK("CSG9.html#group100B9", "100B⁹"), =HYPERLINK("CSG0.html#group5B0", "5B⁰"), =HYPERLINK("CSG0.html#group5D0", "5D⁰"), =HYPERLINK("CSG0.html#group1A0", "1A⁰"), =HYPERLINK("CSG3.html#group20B3", "20B³"), =HYPERLINK("CSG1.html#group20B1", "20B¹"), =HYPERLINK("CSG2.html#group25B2", "25B²")</f>
        <v/>
      </c>
      <c r="N5934" t="inlineStr"/>
    </row>
    <row r="5935">
      <c r="A5935" t="inlineStr">
        <is>
          <t>100G¹⁹</t>
        </is>
      </c>
      <c r="B5935" t="inlineStr"/>
      <c r="C5935" t="inlineStr">
        <is>
          <t>240</t>
        </is>
      </c>
      <c r="D5935" t="inlineStr">
        <is>
          <t>1</t>
        </is>
      </c>
      <c r="E5935" t="inlineStr">
        <is>
          <t>24</t>
        </is>
      </c>
      <c r="F5935" t="inlineStr">
        <is>
          <t>0</t>
        </is>
      </c>
      <c r="G5935" t="inlineStr">
        <is>
          <t>0</t>
        </is>
      </c>
      <c r="H5935" t="inlineStr">
        <is>
          <t>20², 100²</t>
        </is>
      </c>
      <c r="I5935" t="n">
        <v>4</v>
      </c>
      <c r="J5935" t="inlineStr">
        <is>
          <t>4⁴, 8⁴</t>
        </is>
      </c>
      <c r="K5935">
        <f>HYPERLINK("CSG3.html#group20B3", "20B³"), =HYPERLINK("CSG4.html#group25C4", "25C⁴"), =HYPERLINK("CSG9.html#group100C9", "100C⁹")</f>
        <v/>
      </c>
      <c r="L5935" t="inlineStr"/>
      <c r="M5935">
        <f>HYPERLINK("CSG0.html#group4A0", "4A⁰"), =HYPERLINK("CSG0.html#group5B0", "5B⁰"), =HYPERLINK("CSG0.html#group5D0", "5D⁰"), =HYPERLINK("CSG1.html#group20B1", "20B¹"), =HYPERLINK("CSG2.html#group25C2", "25C²"), =HYPERLINK("CSG0.html#group1A0", "1A⁰"), =HYPERLINK("CSG3.html#group20B3", "20B³"), =HYPERLINK("CSG4.html#group25C4", "25C⁴"), =HYPERLINK("CSG9.html#group100C9", "100C⁹")</f>
        <v/>
      </c>
      <c r="N5935" t="inlineStr"/>
    </row>
    <row r="5936">
      <c r="A5936" t="inlineStr">
        <is>
          <t>100H¹⁹</t>
        </is>
      </c>
      <c r="B5936" t="inlineStr"/>
      <c r="C5936" t="inlineStr">
        <is>
          <t>240</t>
        </is>
      </c>
      <c r="D5936" t="inlineStr">
        <is>
          <t>1</t>
        </is>
      </c>
      <c r="E5936" t="inlineStr">
        <is>
          <t>24</t>
        </is>
      </c>
      <c r="F5936" t="inlineStr">
        <is>
          <t>0</t>
        </is>
      </c>
      <c r="G5936" t="inlineStr">
        <is>
          <t>0</t>
        </is>
      </c>
      <c r="H5936" t="inlineStr">
        <is>
          <t>20², 100²</t>
        </is>
      </c>
      <c r="I5936" t="n">
        <v>4</v>
      </c>
      <c r="J5936" t="inlineStr">
        <is>
          <t>4⁴, 8⁴</t>
        </is>
      </c>
      <c r="K5936">
        <f>HYPERLINK("CSG3.html#group20B3", "20B³"), =HYPERLINK("CSG4.html#group25D4", "25D⁴"), =HYPERLINK("CSG9.html#group100D9", "100D⁹")</f>
        <v/>
      </c>
      <c r="L5936" t="inlineStr"/>
      <c r="M5936">
        <f>HYPERLINK("CSG0.html#group4A0", "4A⁰"), =HYPERLINK("CSG0.html#group5B0", "5B⁰"), =HYPERLINK("CSG9.html#group100D9", "100D⁹"), =HYPERLINK("CSG0.html#group5D0", "5D⁰"), =HYPERLINK("CSG4.html#group25D4", "25D⁴"), =HYPERLINK("CSG0.html#group1A0", "1A⁰"), =HYPERLINK("CSG3.html#group20B3", "20B³"), =HYPERLINK("CSG1.html#group20B1", "20B¹"), =HYPERLINK("CSG2.html#group25D2", "25D²")</f>
        <v/>
      </c>
      <c r="N5936" t="inlineStr"/>
    </row>
    <row r="5937">
      <c r="A5937" t="inlineStr">
        <is>
          <t>100I¹⁹</t>
        </is>
      </c>
      <c r="B5937" t="inlineStr"/>
      <c r="C5937" t="inlineStr">
        <is>
          <t>240</t>
        </is>
      </c>
      <c r="D5937" t="inlineStr">
        <is>
          <t>1</t>
        </is>
      </c>
      <c r="E5937" t="inlineStr">
        <is>
          <t>120</t>
        </is>
      </c>
      <c r="F5937" t="inlineStr">
        <is>
          <t>0</t>
        </is>
      </c>
      <c r="G5937" t="inlineStr">
        <is>
          <t>0</t>
        </is>
      </c>
      <c r="H5937" t="inlineStr">
        <is>
          <t>20², 100²</t>
        </is>
      </c>
      <c r="I5937" t="n">
        <v>4</v>
      </c>
      <c r="J5937" t="inlineStr">
        <is>
          <t>4⁴, 8⁸, 40⁴</t>
        </is>
      </c>
      <c r="K5937">
        <f>HYPERLINK("CSG3.html#group20C3", "20C³"), =HYPERLINK("CSG5.html#group50A5", "50A⁵"), =HYPERLINK("CSG9.html#group100A9", "100A⁹")</f>
        <v/>
      </c>
      <c r="L5937" t="inlineStr"/>
      <c r="M5937">
        <f>HYPERLINK("CSG9.html#group100A9", "100A⁹"), =HYPERLINK("CSG0.html#group2A0", "2A⁰"), =HYPERLINK("CSG2.html#group25A2", "25A²"), =HYPERLINK("CSG5.html#group50A5", "50A⁵"), =HYPERLINK("CSG0.html#group4A0", "4A⁰"), =HYPERLINK("CSG0.html#group4D0", "4D⁰"), =HYPERLINK("CSG3.html#group20C3", "20C³"), =HYPERLINK("CSG0.html#group5B0", "5B⁰"), =HYPERLINK("CSG1.html#group10A1", "10A¹"), =HYPERLINK("CSG0.html#group1A0", "1A⁰"), =HYPERLINK("CSG1.html#group20B1", "20B¹")</f>
        <v/>
      </c>
      <c r="N5937" t="inlineStr"/>
    </row>
    <row r="5938">
      <c r="A5938" t="inlineStr">
        <is>
          <t>100J¹⁹</t>
        </is>
      </c>
      <c r="B5938" t="inlineStr"/>
      <c r="C5938" t="inlineStr">
        <is>
          <t>240</t>
        </is>
      </c>
      <c r="D5938" t="inlineStr">
        <is>
          <t>1</t>
        </is>
      </c>
      <c r="E5938" t="inlineStr">
        <is>
          <t>120</t>
        </is>
      </c>
      <c r="F5938" t="inlineStr">
        <is>
          <t>0</t>
        </is>
      </c>
      <c r="G5938" t="inlineStr">
        <is>
          <t>0</t>
        </is>
      </c>
      <c r="H5938" t="inlineStr">
        <is>
          <t>20², 100²</t>
        </is>
      </c>
      <c r="I5938" t="n">
        <v>4</v>
      </c>
      <c r="J5938" t="inlineStr">
        <is>
          <t>4⁴, 8⁸, 40⁴</t>
        </is>
      </c>
      <c r="K5938">
        <f>HYPERLINK("CSG3.html#group20C3", "20C³"), =HYPERLINK("CSG5.html#group50B5", "50B⁵"), =HYPERLINK("CSG9.html#group100B9", "100B⁹")</f>
        <v/>
      </c>
      <c r="L5938" t="inlineStr"/>
      <c r="M5938">
        <f>HYPERLINK("CSG0.html#group2A0", "2A⁰"), =HYPERLINK("CSG5.html#group50B5", "50B⁵"), =HYPERLINK("CSG0.html#group4A0", "4A⁰"), =HYPERLINK("CSG0.html#group4D0", "4D⁰"), =HYPERLINK("CSG9.html#group100B9", "100B⁹"), =HYPERLINK("CSG3.html#group20C3", "20C³"), =HYPERLINK("CSG0.html#group5B0", "5B⁰"), =HYPERLINK("CSG1.html#group10A1", "10A¹"), =HYPERLINK("CSG0.html#group1A0", "1A⁰"), =HYPERLINK("CSG1.html#group20B1", "20B¹"), =HYPERLINK("CSG2.html#group25B2", "25B²")</f>
        <v/>
      </c>
      <c r="N5938" t="inlineStr"/>
    </row>
    <row r="5939">
      <c r="A5939" t="inlineStr">
        <is>
          <t>100K¹⁹</t>
        </is>
      </c>
      <c r="B5939" t="inlineStr"/>
      <c r="C5939" t="inlineStr">
        <is>
          <t>240</t>
        </is>
      </c>
      <c r="D5939" t="inlineStr">
        <is>
          <t>1</t>
        </is>
      </c>
      <c r="E5939" t="inlineStr">
        <is>
          <t>120</t>
        </is>
      </c>
      <c r="F5939" t="inlineStr">
        <is>
          <t>0</t>
        </is>
      </c>
      <c r="G5939" t="inlineStr">
        <is>
          <t>0</t>
        </is>
      </c>
      <c r="H5939" t="inlineStr">
        <is>
          <t>20², 100²</t>
        </is>
      </c>
      <c r="I5939" t="n">
        <v>4</v>
      </c>
      <c r="J5939" t="inlineStr">
        <is>
          <t>4⁴, 8⁸, 40⁴</t>
        </is>
      </c>
      <c r="K5939">
        <f>HYPERLINK("CSG3.html#group20C3", "20C³"), =HYPERLINK("CSG5.html#group50C5", "50C⁵"), =HYPERLINK("CSG9.html#group100C9", "100C⁹")</f>
        <v/>
      </c>
      <c r="L5939" t="inlineStr"/>
      <c r="M5939">
        <f>HYPERLINK("CSG0.html#group2A0", "2A⁰"), =HYPERLINK("CSG0.html#group4A0", "4A⁰"), =HYPERLINK("CSG0.html#group4D0", "4D⁰"), =HYPERLINK("CSG3.html#group20C3", "20C³"), =HYPERLINK("CSG0.html#group5B0", "5B⁰"), =HYPERLINK("CSG5.html#group50C5", "50C⁵"), =HYPERLINK("CSG1.html#group10A1", "10A¹"), =HYPERLINK("CSG0.html#group1A0", "1A⁰"), =HYPERLINK("CSG2.html#group25C2", "25C²"), =HYPERLINK("CSG1.html#group20B1", "20B¹"), =HYPERLINK("CSG9.html#group100C9", "100C⁹")</f>
        <v/>
      </c>
      <c r="N5939" t="inlineStr"/>
    </row>
    <row r="5940">
      <c r="A5940" t="inlineStr">
        <is>
          <t>100L¹⁹</t>
        </is>
      </c>
      <c r="B5940" t="inlineStr"/>
      <c r="C5940" t="inlineStr">
        <is>
          <t>240</t>
        </is>
      </c>
      <c r="D5940" t="inlineStr">
        <is>
          <t>1</t>
        </is>
      </c>
      <c r="E5940" t="inlineStr">
        <is>
          <t>120</t>
        </is>
      </c>
      <c r="F5940" t="inlineStr">
        <is>
          <t>0</t>
        </is>
      </c>
      <c r="G5940" t="inlineStr">
        <is>
          <t>0</t>
        </is>
      </c>
      <c r="H5940" t="inlineStr">
        <is>
          <t>20², 100²</t>
        </is>
      </c>
      <c r="I5940" t="n">
        <v>4</v>
      </c>
      <c r="J5940" t="inlineStr">
        <is>
          <t>4⁴, 8⁸, 40⁴</t>
        </is>
      </c>
      <c r="K5940">
        <f>HYPERLINK("CSG3.html#group20C3", "20C³"), =HYPERLINK("CSG5.html#group50D5", "50D⁵"), =HYPERLINK("CSG9.html#group100D9", "100D⁹")</f>
        <v/>
      </c>
      <c r="L5940" t="inlineStr"/>
      <c r="M5940">
        <f>HYPERLINK("CSG0.html#group2A0", "2A⁰"), =HYPERLINK("CSG0.html#group4A0", "4A⁰"), =HYPERLINK("CSG0.html#group4D0", "4D⁰"), =HYPERLINK("CSG3.html#group20C3", "20C³"), =HYPERLINK("CSG0.html#group5B0", "5B⁰"), =HYPERLINK("CSG9.html#group100D9", "100D⁹"), =HYPERLINK("CSG5.html#group50D5", "50D⁵"), =HYPERLINK("CSG1.html#group10A1", "10A¹"), =HYPERLINK("CSG0.html#group1A0", "1A⁰"), =HYPERLINK("CSG1.html#group20B1", "20B¹"), =HYPERLINK("CSG2.html#group25D2", "25D²")</f>
        <v/>
      </c>
      <c r="N5940" t="inlineStr"/>
    </row>
    <row r="5941">
      <c r="A5941" t="inlineStr">
        <is>
          <t>100M¹⁹</t>
        </is>
      </c>
      <c r="B5941" t="inlineStr"/>
      <c r="C5941" t="inlineStr">
        <is>
          <t>300</t>
        </is>
      </c>
      <c r="D5941" t="inlineStr">
        <is>
          <t>1</t>
        </is>
      </c>
      <c r="E5941" t="inlineStr">
        <is>
          <t>300</t>
        </is>
      </c>
      <c r="F5941" t="inlineStr">
        <is>
          <t>14</t>
        </is>
      </c>
      <c r="G5941" t="inlineStr">
        <is>
          <t>0</t>
        </is>
      </c>
      <c r="H5941" t="inlineStr">
        <is>
          <t>20⁵, 100²</t>
        </is>
      </c>
      <c r="I5941" t="n">
        <v>7</v>
      </c>
      <c r="J5941" t="inlineStr">
        <is>
          <t>4², 8⁴, 10², 40⁶</t>
        </is>
      </c>
      <c r="K5941">
        <f>HYPERLINK("CSG2.html#group25F2", "25F²"), =HYPERLINK("CSG3.html#group20D3", "20D³")</f>
        <v/>
      </c>
      <c r="L5941" t="inlineStr"/>
      <c r="M5941">
        <f>HYPERLINK("CSG2.html#group25F2", "25F²"), =HYPERLINK("CSG0.html#group5A0", "5A⁰"), =HYPERLINK("CSG0.html#group4A0", "4A⁰"), =HYPERLINK("CSG0.html#group5E0", "5E⁰"), =HYPERLINK("CSG1.html#group20A1", "20A¹"), =HYPERLINK("CSG0.html#group1A0", "1A⁰"), =HYPERLINK("CSG3.html#group20D3", "20D³")</f>
        <v/>
      </c>
      <c r="N5941" t="inlineStr"/>
    </row>
    <row r="5942">
      <c r="A5942" t="inlineStr">
        <is>
          <t>100N¹⁹</t>
        </is>
      </c>
      <c r="B5942" t="inlineStr"/>
      <c r="C5942" t="inlineStr">
        <is>
          <t>360</t>
        </is>
      </c>
      <c r="D5942" t="inlineStr">
        <is>
          <t>1</t>
        </is>
      </c>
      <c r="E5942" t="inlineStr">
        <is>
          <t>18</t>
        </is>
      </c>
      <c r="F5942" t="inlineStr">
        <is>
          <t>0</t>
        </is>
      </c>
      <c r="G5942" t="inlineStr">
        <is>
          <t>0</t>
        </is>
      </c>
      <c r="H5942" t="inlineStr">
        <is>
          <t>2¹⁰, 4¹⁰, 50², 100²</t>
        </is>
      </c>
      <c r="I5942" t="n">
        <v>24</v>
      </c>
      <c r="J5942" t="inlineStr">
        <is>
          <t>1⁶, 4³</t>
        </is>
      </c>
      <c r="K5942">
        <f>HYPERLINK("CSG3.html#group20G3", "20G³"), =HYPERLINK("CSG4.html#group50F4", "50F⁴"), =HYPERLINK("CSG9.html#group100I9", "100I⁹"), =HYPERLINK("CSG10.html#group100A10", "100A¹⁰")</f>
        <v/>
      </c>
      <c r="L5942" t="inlineStr"/>
      <c r="M5942">
        <f>HYPERLINK("CSG1.html#group20E1", "20E¹"), =HYPERLINK("CSG4.html#group50F4", "50F⁴"), =HYPERLINK("CSG3.html#group20G3", "20G³"), =HYPERLINK("CSG0.html#group4C0", "4C⁰"), =HYPERLINK("CSG0.html#group5B0", "5B⁰"), =HYPERLINK("CSG0.html#group5D0", "5D⁰"), =HYPERLINK("CSG10.html#group100A10", "100A¹⁰"), =HYPERLINK("CSG0.html#group2B0", "2B⁰"), =HYPERLINK("CSG2.html#group50B2", "50B²"), =HYPERLINK("CSG0.html#group1A0", "1A⁰"), =HYPERLINK("CSG0.html#group10F0", "10F⁰"), =HYPERLINK("CSG9.html#group100I9", "100I⁹"), =HYPERLINK("CSG0.html#group25A0", "25A⁰"), =HYPERLINK("CSG0.html#group10C0", "10C⁰"), =HYPERLINK("CSG0.html#group25B0", "25B⁰"), =HYPERLINK("CSG2.html#group20C2", "20C²")</f>
        <v/>
      </c>
      <c r="N5942" t="inlineStr"/>
    </row>
    <row r="5943">
      <c r="A5943" t="inlineStr">
        <is>
          <t>100O¹⁹</t>
        </is>
      </c>
      <c r="B5943" t="inlineStr"/>
      <c r="C5943" t="inlineStr">
        <is>
          <t>360</t>
        </is>
      </c>
      <c r="D5943" t="inlineStr">
        <is>
          <t>1</t>
        </is>
      </c>
      <c r="E5943" t="inlineStr">
        <is>
          <t>90</t>
        </is>
      </c>
      <c r="F5943" t="inlineStr">
        <is>
          <t>0</t>
        </is>
      </c>
      <c r="G5943" t="inlineStr">
        <is>
          <t>0</t>
        </is>
      </c>
      <c r="H5943" t="inlineStr">
        <is>
          <t>2¹⁰, 4¹⁰, 50², 100²</t>
        </is>
      </c>
      <c r="I5943" t="n">
        <v>24</v>
      </c>
      <c r="J5943" t="inlineStr">
        <is>
          <t>1⁶, 4⁶, 20³</t>
        </is>
      </c>
      <c r="K5943">
        <f>HYPERLINK("CSG3.html#group20H3", "20H³"), =HYPERLINK("CSG6.html#group50E6", "50E⁶"), =HYPERLINK("CSG7.html#group100C7", "100C⁷"), =HYPERLINK("CSG10.html#group100A10", "100A¹⁰")</f>
        <v/>
      </c>
      <c r="L5943" t="inlineStr"/>
      <c r="M5943">
        <f>HYPERLINK("CSG0.html#group10G0", "10G⁰"), =HYPERLINK("CSG0.html#group5B0", "5B⁰"), =HYPERLINK("CSG10.html#group100A10", "100A¹⁰"), =HYPERLINK("CSG0.html#group2B0", "2B⁰"), =HYPERLINK("CSG1.html#group20D1", "20D¹"), =HYPERLINK("CSG0.html#group4B0", "4B⁰"), =HYPERLINK("CSG2.html#group50B2", "50B²"), =HYPERLINK("CSG0.html#group1A0", "1A⁰"), =HYPERLINK("CSG3.html#group20H3", "20H³"), =HYPERLINK("CSG7.html#group100C7", "100C⁷"), =HYPERLINK("CSG0.html#group10B0", "10B⁰"), =HYPERLINK("CSG6.html#group50E6", "50E⁶"), =HYPERLINK("CSG2.html#group50A2", "50A²"), =HYPERLINK("CSG0.html#group25A0", "25A⁰"), =HYPERLINK("CSG0.html#group10C0", "10C⁰"), =HYPERLINK("CSG2.html#group20C2", "20C²")</f>
        <v/>
      </c>
      <c r="N5943" t="inlineStr"/>
    </row>
    <row r="5944">
      <c r="A5944" t="inlineStr">
        <is>
          <t>100P¹⁹</t>
        </is>
      </c>
      <c r="B5944" t="inlineStr"/>
      <c r="C5944" t="inlineStr">
        <is>
          <t>360</t>
        </is>
      </c>
      <c r="D5944" t="inlineStr">
        <is>
          <t>1</t>
        </is>
      </c>
      <c r="E5944" t="inlineStr">
        <is>
          <t>90</t>
        </is>
      </c>
      <c r="F5944" t="inlineStr">
        <is>
          <t>0</t>
        </is>
      </c>
      <c r="G5944" t="inlineStr">
        <is>
          <t>0</t>
        </is>
      </c>
      <c r="H5944" t="inlineStr">
        <is>
          <t>2¹⁰, 4¹⁰, 50², 100²</t>
        </is>
      </c>
      <c r="I5944" t="n">
        <v>24</v>
      </c>
      <c r="J5944" t="inlineStr">
        <is>
          <t>1⁶, 4⁶, 20³</t>
        </is>
      </c>
      <c r="K5944">
        <f>HYPERLINK("CSG3.html#group20I3", "20I³"), =HYPERLINK("CSG6.html#group100A6", "100A⁶"), =HYPERLINK("CSG7.html#group50C7", "50C⁷"), =HYPERLINK("CSG10.html#group100A10", "100A¹⁰")</f>
        <v/>
      </c>
      <c r="L5944" t="inlineStr"/>
      <c r="M5944">
        <f>HYPERLINK("CSG0.html#group2A0", "2A⁰"), =HYPERLINK("CSG6.html#group100A6", "100A⁶"), =HYPERLINK("CSG7.html#group50C7", "50C⁷"), =HYPERLINK("CSG0.html#group5B0", "5B⁰"), =HYPERLINK("CSG1.html#group10A1", "10A¹"), =HYPERLINK("CSG3.html#group50A3", "50A³"), =HYPERLINK("CSG10.html#group100A10", "100A¹⁰"), =HYPERLINK("CSG0.html#group2B0", "2B⁰"), =HYPERLINK("CSG2.html#group50B2", "50B²"), =HYPERLINK("CSG0.html#group1A0", "1A⁰"), =HYPERLINK("CSG0.html#group20A0", "20A⁰"), =HYPERLINK("CSG0.html#group25A0", "25A⁰"), =HYPERLINK("CSG0.html#group10C0", "10C⁰"), =HYPERLINK("CSG3.html#group20I3", "20I³"), =HYPERLINK("CSG0.html#group2C0", "2C⁰"), =HYPERLINK("CSG2.html#group20C2", "20C²"), =HYPERLINK("CSG1.html#group10G1", "10G¹")</f>
        <v/>
      </c>
      <c r="N5944" t="inlineStr"/>
    </row>
    <row r="5945">
      <c r="A5945" t="inlineStr">
        <is>
          <t>100Q¹⁹</t>
        </is>
      </c>
      <c r="B5945" t="inlineStr"/>
      <c r="C5945" t="inlineStr">
        <is>
          <t>360</t>
        </is>
      </c>
      <c r="D5945" t="inlineStr">
        <is>
          <t>1</t>
        </is>
      </c>
      <c r="E5945" t="inlineStr">
        <is>
          <t>90</t>
        </is>
      </c>
      <c r="F5945" t="inlineStr">
        <is>
          <t>0</t>
        </is>
      </c>
      <c r="G5945" t="inlineStr">
        <is>
          <t>0</t>
        </is>
      </c>
      <c r="H5945" t="inlineStr">
        <is>
          <t>2¹⁰, 4¹⁰, 50², 100²</t>
        </is>
      </c>
      <c r="I5945" t="n">
        <v>24</v>
      </c>
      <c r="J5945" t="inlineStr">
        <is>
          <t>1⁶, 4⁶, 20³</t>
        </is>
      </c>
      <c r="K5945">
        <f>HYPERLINK("CSG3.html#group20J3", "20J³"), =HYPERLINK("CSG7.html#group50C7", "50C⁷"), =HYPERLINK("CSG7.html#group100C7", "100C⁷"), =HYPERLINK("CSG9.html#group100I9", "100I⁹")</f>
        <v/>
      </c>
      <c r="L5945" t="inlineStr"/>
      <c r="M5945">
        <f>HYPERLINK("CSG0.html#group2A0", "2A⁰"), =HYPERLINK("CSG1.html#group20E1", "20E¹"), =HYPERLINK("CSG0.html#group4C0", "4C⁰"), =HYPERLINK("CSG7.html#group50C7", "50C⁷"), =HYPERLINK("CSG3.html#group50A3", "50A³"), =HYPERLINK("CSG0.html#group5B0", "5B⁰"), =HYPERLINK("CSG1.html#group10A1", "10A¹"), =HYPERLINK("CSG0.html#group2B0", "2B⁰"), =HYPERLINK("CSG1.html#group20D1", "20D¹"), =HYPERLINK("CSG0.html#group4E0", "4E⁰"), =HYPERLINK("CSG0.html#group4B0", "4B⁰"), =HYPERLINK("CSG2.html#group50B2", "50B²"), =HYPERLINK("CSG0.html#group1A0", "1A⁰"), =HYPERLINK("CSG7.html#group100C7", "100C⁷"), =HYPERLINK("CSG9.html#group100I9", "100I⁹"), =HYPERLINK("CSG0.html#group25A0", "25A⁰"), =HYPERLINK("CSG0.html#group10C0", "10C⁰"), =HYPERLINK("CSG3.html#group20J3", "20J³"), =HYPERLINK("CSG0.html#group2C0", "2C⁰"), =HYPERLINK("CSG1.html#group10G1", "10G¹")</f>
        <v/>
      </c>
      <c r="N5945" t="inlineStr"/>
    </row>
    <row r="5946">
      <c r="A5946" t="inlineStr">
        <is>
          <t>100R¹⁹</t>
        </is>
      </c>
      <c r="B5946" t="inlineStr"/>
      <c r="C5946" t="inlineStr">
        <is>
          <t>400</t>
        </is>
      </c>
      <c r="D5946" t="inlineStr">
        <is>
          <t>1</t>
        </is>
      </c>
      <c r="E5946" t="inlineStr">
        <is>
          <t>10</t>
        </is>
      </c>
      <c r="F5946" t="inlineStr">
        <is>
          <t>0</t>
        </is>
      </c>
      <c r="G5946" t="inlineStr">
        <is>
          <t>40</t>
        </is>
      </c>
      <c r="H5946" t="inlineStr">
        <is>
          <t>100⁴</t>
        </is>
      </c>
      <c r="I5946" t="n">
        <v>4</v>
      </c>
      <c r="J5946" t="inlineStr">
        <is>
          <t>2¹, 4²</t>
        </is>
      </c>
      <c r="K5946">
        <f>HYPERLINK("CSG3.html#group20N3", "20N³"), =HYPERLINK("CSG9.html#group50F9", "50F⁹"), =HYPERLINK("CSG9.html#group100J9", "100J⁹")</f>
        <v/>
      </c>
      <c r="L5946" t="inlineStr"/>
      <c r="M5946">
        <f>HYPERLINK("CSG1.html#group10H1", "10H¹"), =HYPERLINK("CSG0.html#group2A0", "2A⁰"), =HYPERLINK("CSG0.html#group5A0", "5A⁰"), =HYPERLINK("CSG4.html#group25E4", "25E⁴"), =HYPERLINK("CSG0.html#group10D0", "10D⁰"), =HYPERLINK("CSG0.html#group5F0", "5F⁰"), =HYPERLINK("CSG3.html#group20N3", "20N³"), =HYPERLINK("CSG0.html#group1A0", "1A⁰"), =HYPERLINK("CSG1.html#group20F1", "20F¹"), =HYPERLINK("CSG0.html#group10A0", "10A⁰"), =HYPERLINK("CSG9.html#group100J9", "100J⁹"), =HYPERLINK("CSG5.html#group50E5", "50E⁵"), =HYPERLINK("CSG2.html#group25E2", "25E²"), =HYPERLINK("CSG9.html#group50F9", "50F⁹"), =HYPERLINK("CSG4.html#group50E4", "50E⁴"), =HYPERLINK("CSG1.html#group10C1", "10C¹"), =HYPERLINK("CSG0.html#group5C0", "5C⁰")</f>
        <v/>
      </c>
      <c r="N5946" t="inlineStr"/>
    </row>
    <row r="5947">
      <c r="A5947" t="inlineStr">
        <is>
          <t>104A¹⁹</t>
        </is>
      </c>
      <c r="B5947" t="inlineStr"/>
      <c r="C5947" t="inlineStr">
        <is>
          <t>336</t>
        </is>
      </c>
      <c r="D5947" t="inlineStr">
        <is>
          <t>1</t>
        </is>
      </c>
      <c r="E5947" t="inlineStr">
        <is>
          <t>42</t>
        </is>
      </c>
      <c r="F5947" t="inlineStr">
        <is>
          <t>0</t>
        </is>
      </c>
      <c r="G5947" t="inlineStr">
        <is>
          <t>0</t>
        </is>
      </c>
      <c r="H5947" t="inlineStr">
        <is>
          <t>1⁸, 8², 13⁸, 104²</t>
        </is>
      </c>
      <c r="I5947" t="n">
        <v>20</v>
      </c>
      <c r="J5947" t="inlineStr">
        <is>
          <t>1⁶, 12³</t>
        </is>
      </c>
      <c r="K5947">
        <f>HYPERLINK("CSG9.html#group52A9", "52A⁹"), =HYPERLINK("CSG9.html#group104A9", "104A⁹")</f>
        <v/>
      </c>
      <c r="L5947" t="inlineStr"/>
      <c r="M5947">
        <f>HYPERLINK("CSG9.html#group104A9", "104A⁹"), =HYPERLINK("CSG5.html#group52A5", "52A⁵"), =HYPERLINK("CSG9.html#group52A9", "52A⁹"), =HYPERLINK("CSG0.html#group13A0", "13A⁰"), =HYPERLINK("CSG0.html#group2B0", "2B⁰"), =HYPERLINK("CSG0.html#group13B0", "13B⁰"), =HYPERLINK("CSG4.html#group52A4", "52A⁴"), =HYPERLINK("CSG0.html#group4B0", "4B⁰"), =HYPERLINK("CSG0.html#group1A0", "1A⁰"), =HYPERLINK("CSG2.html#group26A2", "26A²"), =HYPERLINK("CSG4.html#group26A4", "26A⁴")</f>
        <v/>
      </c>
      <c r="N5947" t="inlineStr"/>
    </row>
    <row r="5948">
      <c r="A5948" t="inlineStr">
        <is>
          <t>105A¹⁹</t>
        </is>
      </c>
      <c r="B5948" t="inlineStr"/>
      <c r="C5948" t="inlineStr">
        <is>
          <t>240</t>
        </is>
      </c>
      <c r="D5948" t="inlineStr">
        <is>
          <t>1</t>
        </is>
      </c>
      <c r="E5948" t="inlineStr">
        <is>
          <t>80</t>
        </is>
      </c>
      <c r="F5948" t="inlineStr">
        <is>
          <t>0</t>
        </is>
      </c>
      <c r="G5948" t="inlineStr">
        <is>
          <t>0</t>
        </is>
      </c>
      <c r="H5948" t="inlineStr">
        <is>
          <t>15², 105²</t>
        </is>
      </c>
      <c r="I5948" t="n">
        <v>4</v>
      </c>
      <c r="J5948" t="inlineStr">
        <is>
          <t>2², 4⁴, 12¹, 24²</t>
        </is>
      </c>
      <c r="K5948">
        <f>HYPERLINK("CSG1.html#group15D1", "15D¹"), =HYPERLINK("CSG2.html#group21A2", "21A²"), =HYPERLINK("CSG5.html#group35A5", "35A⁵")</f>
        <v/>
      </c>
      <c r="L5948" t="inlineStr"/>
      <c r="M5948">
        <f>HYPERLINK("CSG1.html#group15D1", "15D¹"), =HYPERLINK("CSG5.html#group35A5", "35A⁵"), =HYPERLINK("CSG2.html#group21A2", "21A²"), =HYPERLINK("CSG0.html#group7B0", "7B⁰"), =HYPERLINK("CSG0.html#group5C0", "5C⁰"), =HYPERLINK("CSG0.html#group3A0", "3A⁰"), =HYPERLINK("CSG0.html#group1A0", "1A⁰")</f>
        <v/>
      </c>
      <c r="N5948" t="inlineStr"/>
    </row>
    <row r="5949">
      <c r="A5949" t="inlineStr">
        <is>
          <t>105B¹⁹</t>
        </is>
      </c>
      <c r="B5949" t="inlineStr"/>
      <c r="C5949" t="inlineStr">
        <is>
          <t>240</t>
        </is>
      </c>
      <c r="D5949" t="inlineStr">
        <is>
          <t>1</t>
        </is>
      </c>
      <c r="E5949" t="inlineStr">
        <is>
          <t>120</t>
        </is>
      </c>
      <c r="F5949" t="inlineStr">
        <is>
          <t>0</t>
        </is>
      </c>
      <c r="G5949" t="inlineStr">
        <is>
          <t>0</t>
        </is>
      </c>
      <c r="H5949" t="inlineStr">
        <is>
          <t>15², 105²</t>
        </is>
      </c>
      <c r="I5949" t="n">
        <v>4</v>
      </c>
      <c r="J5949" t="inlineStr">
        <is>
          <t>1², 2², 4², 6¹, 8², 12¹, 24¹, 48¹</t>
        </is>
      </c>
      <c r="K5949">
        <f>HYPERLINK("CSG2.html#group15A2", "15A²"), =HYPERLINK("CSG3.html#group21A3", "21A³"), =HYPERLINK("CSG10.html#group105A10", "105A¹⁰")</f>
        <v/>
      </c>
      <c r="L5949" t="inlineStr"/>
      <c r="M5949">
        <f>HYPERLINK("CSG0.html#group5A0", "5A⁰"), =HYPERLINK("CSG2.html#group21A2", "21A²"), =HYPERLINK("CSG2.html#group15A2", "15A²"), =HYPERLINK("CSG0.html#group7B0", "7B⁰"), =HYPERLINK("CSG0.html#group3C0", "3C⁰"), =HYPERLINK("CSG2.html#group35B2", "35B²"), =HYPERLINK("CSG0.html#group3A0", "3A⁰"), =HYPERLINK("CSG10.html#group105A10", "105A¹⁰"), =HYPERLINK("CSG0.html#group1A0", "1A⁰"), =HYPERLINK("CSG3.html#group21A3", "21A³"), =HYPERLINK("CSG1.html#group15A1", "15A¹")</f>
        <v/>
      </c>
      <c r="N5949" t="inlineStr"/>
    </row>
    <row r="5950">
      <c r="A5950" t="inlineStr">
        <is>
          <t>105C¹⁹</t>
        </is>
      </c>
      <c r="B5950" t="inlineStr"/>
      <c r="C5950" t="inlineStr">
        <is>
          <t>315</t>
        </is>
      </c>
      <c r="D5950" t="inlineStr">
        <is>
          <t>2</t>
        </is>
      </c>
      <c r="E5950" t="inlineStr">
        <is>
          <t>35</t>
        </is>
      </c>
      <c r="F5950" t="inlineStr">
        <is>
          <t>27</t>
        </is>
      </c>
      <c r="G5950" t="inlineStr">
        <is>
          <t>0</t>
        </is>
      </c>
      <c r="H5950" t="inlineStr">
        <is>
          <t>105³</t>
        </is>
      </c>
      <c r="I5950" t="n">
        <v>3</v>
      </c>
      <c r="J5950" t="inlineStr">
        <is>
          <t>2¹, 6², 8¹, 24²</t>
        </is>
      </c>
      <c r="K5950">
        <f>HYPERLINK("CSG1.html#group15F1", "15F¹"), =HYPERLINK("CSG6.html#group35B6", "35B⁶"), =HYPERLINK("CSG6.html#group105A6", "105A⁶"), =HYPERLINK("CSG6.html#group105B6", "105B⁶"), =HYPERLINK("CSG7.html#group105A7", "105A⁷")</f>
        <v/>
      </c>
      <c r="L5950" t="inlineStr"/>
      <c r="M5950">
        <f>HYPERLINK("CSG6.html#group105A6", "105A⁶"), =HYPERLINK("CSG0.html#group5A0", "5A⁰"), =HYPERLINK("CSG6.html#group105B6", "105B⁶"), =HYPERLINK("CSG1.html#group15F1", "15F¹"), =HYPERLINK("CSG0.html#group5E0", "5E⁰"), =HYPERLINK("CSG0.html#group21A0", "21A⁰"), =HYPERLINK("CSG2.html#group35A2", "35A²"), =HYPERLINK("CSG6.html#group35B6", "35B⁶"), =HYPERLINK("CSG0.html#group3A0", "3A⁰"), =HYPERLINK("CSG0.html#group1A0", "1A⁰"), =HYPERLINK("CSG7.html#group105A7", "105A⁷"), =HYPERLINK("CSG1.html#group15A1", "15A¹"), =HYPERLINK("CSG0.html#group7A0", "7A⁰"), =HYPERLINK("CSG0.html#group15A0", "15A⁰")</f>
        <v/>
      </c>
      <c r="N5950" t="inlineStr"/>
    </row>
    <row r="5951">
      <c r="A5951" t="inlineStr">
        <is>
          <t>108A¹⁹</t>
        </is>
      </c>
      <c r="B5951" t="inlineStr"/>
      <c r="C5951" t="inlineStr">
        <is>
          <t>288</t>
        </is>
      </c>
      <c r="D5951" t="inlineStr">
        <is>
          <t>1</t>
        </is>
      </c>
      <c r="E5951" t="inlineStr">
        <is>
          <t>48</t>
        </is>
      </c>
      <c r="F5951" t="inlineStr">
        <is>
          <t>0</t>
        </is>
      </c>
      <c r="G5951" t="inlineStr">
        <is>
          <t>0</t>
        </is>
      </c>
      <c r="H5951" t="inlineStr">
        <is>
          <t>4⁶, 12⁴, 108²</t>
        </is>
      </c>
      <c r="I5951" t="n">
        <v>12</v>
      </c>
      <c r="J5951" t="inlineStr">
        <is>
          <t>2⁴, 4⁴, 12²</t>
        </is>
      </c>
      <c r="K5951">
        <f>HYPERLINK("CSG4.html#group54A4", "54A⁴"), =HYPERLINK("CSG5.html#group36F5", "36F⁵"), =HYPERLINK("CSG10.html#group108D10", "108D¹⁰")</f>
        <v/>
      </c>
      <c r="L5951" t="inlineStr"/>
      <c r="M5951">
        <f>HYPERLINK("CSG0.html#group3B0", "3B⁰"), =HYPERLINK("CSG0.html#group2A0", "2A⁰"), =HYPERLINK("CSG1.html#group12I1", "12I¹"), =HYPERLINK("CSG10.html#group108D10", "108D¹⁰"), =HYPERLINK("CSG0.html#group6C0", "6C⁰"), =HYPERLINK("CSG0.html#group9B0", "9B⁰"), =HYPERLINK("CSG0.html#group1A0", "1A⁰"), =HYPERLINK("CSG1.html#group27A1", "27A¹"), =HYPERLINK("CSG0.html#group4A0", "4A⁰"), =HYPERLINK("CSG1.html#group18C1", "18C¹"), =HYPERLINK("CSG1.html#group12A1", "12A¹"), =HYPERLINK("CSG0.html#group4D0", "4D⁰"), =HYPERLINK("CSG4.html#group54A4", "54A⁴"), =HYPERLINK("CSG3.html#group36B3", "36B³"), =HYPERLINK("CSG5.html#group36F5", "36F⁵")</f>
        <v/>
      </c>
      <c r="N5951" t="inlineStr"/>
    </row>
    <row r="5952">
      <c r="A5952" t="inlineStr">
        <is>
          <t>108B¹⁹</t>
        </is>
      </c>
      <c r="B5952" t="inlineStr"/>
      <c r="C5952" t="inlineStr">
        <is>
          <t>288</t>
        </is>
      </c>
      <c r="D5952" t="inlineStr">
        <is>
          <t>1</t>
        </is>
      </c>
      <c r="E5952" t="inlineStr">
        <is>
          <t>48</t>
        </is>
      </c>
      <c r="F5952" t="inlineStr">
        <is>
          <t>0</t>
        </is>
      </c>
      <c r="G5952" t="inlineStr">
        <is>
          <t>12</t>
        </is>
      </c>
      <c r="H5952" t="inlineStr">
        <is>
          <t>36², 108²</t>
        </is>
      </c>
      <c r="I5952" t="n">
        <v>4</v>
      </c>
      <c r="J5952" t="inlineStr">
        <is>
          <t>2⁴, 4⁴, 12²</t>
        </is>
      </c>
      <c r="K5952">
        <f>HYPERLINK("CSG2.html#group54A2", "54A²"), =HYPERLINK("CSG5.html#group36G5", "36G⁵"), =HYPERLINK("CSG10.html#group108E10", "108E¹⁰")</f>
        <v/>
      </c>
      <c r="L5952" t="inlineStr"/>
      <c r="M5952">
        <f>HYPERLINK("CSG0.html#group3B0", "3B⁰"), =HYPERLINK("CSG0.html#group2A0", "2A⁰"), =HYPERLINK("CSG1.html#group12I1", "12I¹"), =HYPERLINK("CSG0.html#group18B0", "18B⁰"), =HYPERLINK("CSG0.html#group6C0", "6C⁰"), =HYPERLINK("CSG10.html#group108E10", "108E¹⁰"), =HYPERLINK("CSG1.html#group27B1", "27B¹"), =HYPERLINK("CSG2.html#group54A2", "54A²"), =HYPERLINK("CSG0.html#group9C0", "9C⁰"), =HYPERLINK("CSG0.html#group1A0", "1A⁰"), =HYPERLINK("CSG5.html#group36G5", "36G⁵"), =HYPERLINK("CSG3.html#group36C3", "36C³"), =HYPERLINK("CSG0.html#group4A0", "4A⁰"), =HYPERLINK("CSG0.html#group4D0", "4D⁰"), =HYPERLINK("CSG1.html#group12A1", "12A¹")</f>
        <v/>
      </c>
      <c r="N5952" t="inlineStr"/>
    </row>
    <row r="5953">
      <c r="A5953" t="inlineStr">
        <is>
          <t>108C¹⁹</t>
        </is>
      </c>
      <c r="B5953" t="inlineStr"/>
      <c r="C5953" t="inlineStr">
        <is>
          <t>288</t>
        </is>
      </c>
      <c r="D5953" t="inlineStr">
        <is>
          <t>1</t>
        </is>
      </c>
      <c r="E5953" t="inlineStr">
        <is>
          <t>96</t>
        </is>
      </c>
      <c r="F5953" t="inlineStr">
        <is>
          <t>0</t>
        </is>
      </c>
      <c r="G5953" t="inlineStr">
        <is>
          <t>0</t>
        </is>
      </c>
      <c r="H5953" t="inlineStr">
        <is>
          <t>4⁶, 12⁴, 108²</t>
        </is>
      </c>
      <c r="I5953" t="n">
        <v>12</v>
      </c>
      <c r="J5953" t="inlineStr">
        <is>
          <t>4¹², 12⁴</t>
        </is>
      </c>
      <c r="K5953">
        <f>HYPERLINK("CSG4.html#group54C4", "54C⁴"), =HYPERLINK("CSG5.html#group36F5", "36F⁵")</f>
        <v/>
      </c>
      <c r="L5953" t="inlineStr"/>
      <c r="M5953">
        <f>HYPERLINK("CSG0.html#group3B0", "3B⁰"), =HYPERLINK("CSG0.html#group2A0", "2A⁰"), =HYPERLINK("CSG1.html#group12I1", "12I¹"), =HYPERLINK("CSG0.html#group4A0", "4A⁰"), =HYPERLINK("CSG1.html#group18C1", "18C¹"), =HYPERLINK("CSG1.html#group12A1", "12A¹"), =HYPERLINK("CSG0.html#group6C0", "6C⁰"), =HYPERLINK("CSG0.html#group4D0", "4D⁰"), =HYPERLINK("CSG0.html#group9B0", "9B⁰"), =HYPERLINK("CSG0.html#group1A0", "1A⁰"), =HYPERLINK("CSG4.html#group54C4", "54C⁴"), =HYPERLINK("CSG3.html#group36B3", "36B³"), =HYPERLINK("CSG5.html#group36F5", "36F⁵")</f>
        <v/>
      </c>
      <c r="N5953" t="inlineStr"/>
    </row>
    <row r="5954">
      <c r="A5954" t="inlineStr">
        <is>
          <t>110A¹⁹</t>
        </is>
      </c>
      <c r="B5954" t="inlineStr"/>
      <c r="C5954" t="inlineStr">
        <is>
          <t>240</t>
        </is>
      </c>
      <c r="D5954" t="inlineStr">
        <is>
          <t>1</t>
        </is>
      </c>
      <c r="E5954" t="inlineStr">
        <is>
          <t>120</t>
        </is>
      </c>
      <c r="F5954" t="inlineStr">
        <is>
          <t>0</t>
        </is>
      </c>
      <c r="G5954" t="inlineStr">
        <is>
          <t>0</t>
        </is>
      </c>
      <c r="H5954" t="inlineStr">
        <is>
          <t>10², 110²</t>
        </is>
      </c>
      <c r="I5954" t="n">
        <v>4</v>
      </c>
      <c r="J5954" t="inlineStr">
        <is>
          <t>2², 4⁴, 20¹, 40²</t>
        </is>
      </c>
      <c r="K5954">
        <f>HYPERLINK("CSG0.html#group10D0", "10D⁰"), =HYPERLINK("CSG9.html#group55A9", "55A⁹")</f>
        <v/>
      </c>
      <c r="L5954" t="inlineStr"/>
      <c r="M5954">
        <f>HYPERLINK("CSG0.html#group1A0", "1A⁰"), =HYPERLINK("CSG9.html#group55A9", "55A⁹"), =HYPERLINK("CSG0.html#group5C0", "5C⁰"), =HYPERLINK("CSG1.html#group11A1", "11A¹"), =HYPERLINK("CSG0.html#group10D0", "10D⁰")</f>
        <v/>
      </c>
      <c r="N5954" t="inlineStr"/>
    </row>
    <row r="5955">
      <c r="A5955" t="inlineStr">
        <is>
          <t>110B¹⁹</t>
        </is>
      </c>
      <c r="B5955" t="inlineStr"/>
      <c r="C5955" t="inlineStr">
        <is>
          <t>240</t>
        </is>
      </c>
      <c r="D5955" t="inlineStr">
        <is>
          <t>1</t>
        </is>
      </c>
      <c r="E5955" t="inlineStr">
        <is>
          <t>120</t>
        </is>
      </c>
      <c r="F5955" t="inlineStr">
        <is>
          <t>0</t>
        </is>
      </c>
      <c r="G5955" t="inlineStr">
        <is>
          <t>0</t>
        </is>
      </c>
      <c r="H5955" t="inlineStr">
        <is>
          <t>10², 110²</t>
        </is>
      </c>
      <c r="I5955" t="n">
        <v>4</v>
      </c>
      <c r="J5955" t="inlineStr">
        <is>
          <t>2², 4⁴, 20¹, 40²</t>
        </is>
      </c>
      <c r="K5955">
        <f>HYPERLINK("CSG1.html#group10C1", "10C¹"), =HYPERLINK("CSG2.html#group22A2", "22A²"), =HYPERLINK("CSG9.html#group55A9", "55A⁹")</f>
        <v/>
      </c>
      <c r="L5955" t="inlineStr"/>
      <c r="M5955">
        <f>HYPERLINK("CSG0.html#group2A0", "2A⁰"), =HYPERLINK("CSG9.html#group55A9", "55A⁹"), =HYPERLINK("CSG1.html#group11A1", "11A¹"), =HYPERLINK("CSG2.html#group22A2", "22A²"), =HYPERLINK("CSG0.html#group5C0", "5C⁰"), =HYPERLINK("CSG1.html#group10C1", "10C¹"), =HYPERLINK("CSG0.html#group1A0", "1A⁰")</f>
        <v/>
      </c>
      <c r="N5955" t="inlineStr"/>
    </row>
    <row r="5956">
      <c r="A5956" t="inlineStr">
        <is>
          <t>111A¹⁹</t>
        </is>
      </c>
      <c r="B5956" t="inlineStr"/>
      <c r="C5956" t="inlineStr">
        <is>
          <t>342</t>
        </is>
      </c>
      <c r="D5956" t="inlineStr">
        <is>
          <t>2</t>
        </is>
      </c>
      <c r="E5956" t="inlineStr">
        <is>
          <t>38</t>
        </is>
      </c>
      <c r="F5956" t="inlineStr">
        <is>
          <t>18</t>
        </is>
      </c>
      <c r="G5956" t="inlineStr">
        <is>
          <t>9</t>
        </is>
      </c>
      <c r="H5956" t="inlineStr">
        <is>
          <t>3³, 111³</t>
        </is>
      </c>
      <c r="I5956" t="n">
        <v>6</v>
      </c>
      <c r="J5956" t="inlineStr">
        <is>
          <t>2², 72¹</t>
        </is>
      </c>
      <c r="K5956">
        <f>HYPERLINK("CSG4.html#group37B4", "37B⁴")</f>
        <v/>
      </c>
      <c r="L5956" t="inlineStr"/>
      <c r="M5956">
        <f>HYPERLINK("CSG2.html#group37A2", "37A²"), =HYPERLINK("CSG4.html#group37B4", "37B⁴"), =HYPERLINK("CSG0.html#group1A0", "1A⁰")</f>
        <v/>
      </c>
      <c r="N5956" t="inlineStr"/>
    </row>
    <row r="5957">
      <c r="A5957" t="inlineStr">
        <is>
          <t>112A¹⁹</t>
        </is>
      </c>
      <c r="B5957" t="inlineStr"/>
      <c r="C5957" t="inlineStr">
        <is>
          <t>336</t>
        </is>
      </c>
      <c r="D5957" t="inlineStr">
        <is>
          <t>2</t>
        </is>
      </c>
      <c r="E5957" t="inlineStr">
        <is>
          <t>21</t>
        </is>
      </c>
      <c r="F5957" t="inlineStr">
        <is>
          <t>32</t>
        </is>
      </c>
      <c r="G5957" t="inlineStr">
        <is>
          <t>0</t>
        </is>
      </c>
      <c r="H5957" t="inlineStr">
        <is>
          <t>56², 112²</t>
        </is>
      </c>
      <c r="I5957" t="n">
        <v>4</v>
      </c>
      <c r="J5957" t="inlineStr">
        <is>
          <t>2³, 6⁶</t>
        </is>
      </c>
      <c r="K5957">
        <f>HYPERLINK("CSG8.html#group112B8", "112B⁸"), =HYPERLINK("CSG9.html#group56B9", "56B⁹"), =HYPERLINK("CSG10.html#group112A10", "112A¹⁰")</f>
        <v/>
      </c>
      <c r="L5957" t="inlineStr"/>
      <c r="M5957">
        <f>HYPERLINK("CSG0.html#group14A0", "14A⁰"), =HYPERLINK("CSG4.html#group28C4", "28C⁴"), =HYPERLINK("CSG1.html#group14B1", "14B¹"), =HYPERLINK("CSG2.html#group14C2", "14C²"), =HYPERLINK("CSG0.html#group4C0", "4C⁰"), =HYPERLINK("CSG0.html#group8B0", "8B⁰"), =HYPERLINK("CSG0.html#group2B0", "2B⁰"), =HYPERLINK("CSG9.html#group56B9", "56B⁹"), =HYPERLINK("CSG0.html#group1A0", "1A⁰"), =HYPERLINK("CSG0.html#group16B0", "16B⁰"), =HYPERLINK("CSG2.html#group28C2", "28C²"), =HYPERLINK("CSG10.html#group112A10", "112A¹⁰"), =HYPERLINK("CSG5.html#group56A5", "56A⁵"), =HYPERLINK("CSG8.html#group112B8", "112B⁸"), =HYPERLINK("CSG2.html#group28B2", "28B²"), =HYPERLINK("CSG0.html#group7A0", "7A⁰"), =HYPERLINK("CSG4.html#group56B4", "56B⁴")</f>
        <v/>
      </c>
      <c r="N5957" t="inlineStr"/>
    </row>
    <row r="5958">
      <c r="A5958" t="inlineStr">
        <is>
          <t>114A¹⁹</t>
        </is>
      </c>
      <c r="B5958" t="inlineStr"/>
      <c r="C5958" t="inlineStr">
        <is>
          <t>240</t>
        </is>
      </c>
      <c r="D5958" t="inlineStr">
        <is>
          <t>1</t>
        </is>
      </c>
      <c r="E5958" t="inlineStr">
        <is>
          <t>60</t>
        </is>
      </c>
      <c r="F5958" t="inlineStr">
        <is>
          <t>0</t>
        </is>
      </c>
      <c r="G5958" t="inlineStr">
        <is>
          <t>0</t>
        </is>
      </c>
      <c r="H5958" t="inlineStr">
        <is>
          <t>6², 114²</t>
        </is>
      </c>
      <c r="I5958" t="n">
        <v>4</v>
      </c>
      <c r="J5958" t="inlineStr">
        <is>
          <t>1², 2², 18¹, 36¹</t>
        </is>
      </c>
      <c r="K5958">
        <f>HYPERLINK("CSG0.html#group6E0", "6E⁰"), =HYPERLINK("CSG9.html#group57A9", "57A⁹"), =HYPERLINK("CSG10.html#group114B10", "114B¹⁰")</f>
        <v/>
      </c>
      <c r="L5958" t="inlineStr"/>
      <c r="M5958">
        <f>HYPERLINK("CSG1.html#group19A1", "19A¹"), =HYPERLINK("CSG0.html#group6B0", "6B⁰"), =HYPERLINK("CSG9.html#group57A9", "57A⁹"), =HYPERLINK("CSG0.html#group6E0", "6E⁰"), =HYPERLINK("CSG0.html#group3C0", "3C⁰"), =HYPERLINK("CSG5.html#group57A5", "57A⁵"), =HYPERLINK("CSG0.html#group3A0", "3A⁰"), =HYPERLINK("CSG0.html#group1A0", "1A⁰"), =HYPERLINK("CSG10.html#group114B10", "114B¹⁰")</f>
        <v/>
      </c>
      <c r="N5958" t="inlineStr"/>
    </row>
    <row r="5959">
      <c r="A5959" t="inlineStr">
        <is>
          <t>114B¹⁹</t>
        </is>
      </c>
      <c r="B5959" t="inlineStr"/>
      <c r="C5959" t="inlineStr">
        <is>
          <t>240</t>
        </is>
      </c>
      <c r="D5959" t="inlineStr">
        <is>
          <t>1</t>
        </is>
      </c>
      <c r="E5959" t="inlineStr">
        <is>
          <t>60</t>
        </is>
      </c>
      <c r="F5959" t="inlineStr">
        <is>
          <t>0</t>
        </is>
      </c>
      <c r="G5959" t="inlineStr">
        <is>
          <t>0</t>
        </is>
      </c>
      <c r="H5959" t="inlineStr">
        <is>
          <t>6², 114²</t>
        </is>
      </c>
      <c r="I5959" t="n">
        <v>4</v>
      </c>
      <c r="J5959" t="inlineStr">
        <is>
          <t>1², 2², 18¹, 36¹</t>
        </is>
      </c>
      <c r="K5959">
        <f>HYPERLINK("CSG1.html#group6B1", "6B¹"), =HYPERLINK("CSG9.html#group57A9", "57A⁹"), =HYPERLINK("CSG10.html#group114A10", "114A¹⁰"), =HYPERLINK("CSG10.html#group114B10", "114B¹⁰")</f>
        <v/>
      </c>
      <c r="L5959" t="inlineStr"/>
      <c r="M5959">
        <f>HYPERLINK("CSG0.html#group2A0", "2A⁰"), =HYPERLINK("CSG1.html#group19A1", "19A¹"), =HYPERLINK("CSG0.html#group6B0", "6B⁰"), =HYPERLINK("CSG9.html#group57A9", "57A⁹"), =HYPERLINK("CSG2.html#group38A2", "38A²"), =HYPERLINK("CSG1.html#group6B1", "6B¹"), =HYPERLINK("CSG10.html#group114A10", "114A¹⁰"), =HYPERLINK("CSG0.html#group3C0", "3C⁰"), =HYPERLINK("CSG5.html#group57A5", "57A⁵"), =HYPERLINK("CSG1.html#group6A1", "6A¹"), =HYPERLINK("CSG0.html#group3A0", "3A⁰"), =HYPERLINK("CSG0.html#group1A0", "1A⁰"), =HYPERLINK("CSG10.html#group114B10", "114B¹⁰")</f>
        <v/>
      </c>
      <c r="N5959" t="inlineStr"/>
    </row>
    <row r="5960">
      <c r="A5960" t="inlineStr">
        <is>
          <t>115A¹⁹</t>
        </is>
      </c>
      <c r="B5960" t="inlineStr"/>
      <c r="C5960" t="inlineStr">
        <is>
          <t>240</t>
        </is>
      </c>
      <c r="D5960" t="inlineStr">
        <is>
          <t>1</t>
        </is>
      </c>
      <c r="E5960" t="inlineStr">
        <is>
          <t>240</t>
        </is>
      </c>
      <c r="F5960" t="inlineStr">
        <is>
          <t>0</t>
        </is>
      </c>
      <c r="G5960" t="inlineStr">
        <is>
          <t>0</t>
        </is>
      </c>
      <c r="H5960" t="inlineStr">
        <is>
          <t>5², 115²</t>
        </is>
      </c>
      <c r="I5960" t="n">
        <v>4</v>
      </c>
      <c r="J5960" t="inlineStr">
        <is>
          <t>2², 4⁴, 44¹, 88²</t>
        </is>
      </c>
      <c r="K5960">
        <f>HYPERLINK("CSG0.html#group5C0", "5C⁰"), =HYPERLINK("CSG2.html#group23A2", "23A²")</f>
        <v/>
      </c>
      <c r="L5960" t="inlineStr"/>
      <c r="M5960">
        <f>HYPERLINK("CSG0.html#group5C0", "5C⁰"), =HYPERLINK("CSG0.html#group1A0", "1A⁰"), =HYPERLINK("CSG2.html#group23A2", "23A²")</f>
        <v/>
      </c>
      <c r="N5960" t="inlineStr"/>
    </row>
    <row r="5961">
      <c r="A5961" t="inlineStr">
        <is>
          <t>116A¹⁹</t>
        </is>
      </c>
      <c r="B5961" t="inlineStr"/>
      <c r="C5961" t="inlineStr">
        <is>
          <t>240</t>
        </is>
      </c>
      <c r="D5961" t="inlineStr">
        <is>
          <t>1</t>
        </is>
      </c>
      <c r="E5961" t="inlineStr">
        <is>
          <t>30</t>
        </is>
      </c>
      <c r="F5961" t="inlineStr">
        <is>
          <t>0</t>
        </is>
      </c>
      <c r="G5961" t="inlineStr">
        <is>
          <t>0</t>
        </is>
      </c>
      <c r="H5961" t="inlineStr">
        <is>
          <t>4², 116²</t>
        </is>
      </c>
      <c r="I5961" t="n">
        <v>4</v>
      </c>
      <c r="J5961" t="inlineStr">
        <is>
          <t>1², 28¹</t>
        </is>
      </c>
      <c r="K5961">
        <f>HYPERLINK("CSG9.html#group58A9", "58A⁹"), =HYPERLINK("CSG9.html#group116B9", "116B⁹")</f>
        <v/>
      </c>
      <c r="L5961" t="inlineStr"/>
      <c r="M5961">
        <f>HYPERLINK("CSG0.html#group2A0", "2A⁰"), =HYPERLINK("CSG9.html#group116B9", "116B⁹"), =HYPERLINK("CSG4.html#group58A4", "58A⁴"), =HYPERLINK("CSG4.html#group29A4", "29A⁴"), =HYPERLINK("CSG2.html#group29A2", "29A²"), =HYPERLINK("CSG9.html#group58A9", "58A⁹"), =HYPERLINK("CSG5.html#group58A5", "58A⁵"), =HYPERLINK("CSG0.html#group1A0", "1A⁰")</f>
        <v/>
      </c>
      <c r="N5961" t="inlineStr"/>
    </row>
    <row r="5962">
      <c r="A5962" t="inlineStr">
        <is>
          <t>116B¹⁹</t>
        </is>
      </c>
      <c r="B5962" t="inlineStr"/>
      <c r="C5962" t="inlineStr">
        <is>
          <t>240</t>
        </is>
      </c>
      <c r="D5962" t="inlineStr">
        <is>
          <t>1</t>
        </is>
      </c>
      <c r="E5962" t="inlineStr">
        <is>
          <t>120</t>
        </is>
      </c>
      <c r="F5962" t="inlineStr">
        <is>
          <t>0</t>
        </is>
      </c>
      <c r="G5962" t="inlineStr">
        <is>
          <t>0</t>
        </is>
      </c>
      <c r="H5962" t="inlineStr">
        <is>
          <t>4², 116²</t>
        </is>
      </c>
      <c r="I5962" t="n">
        <v>4</v>
      </c>
      <c r="J5962" t="inlineStr">
        <is>
          <t>2⁴, 56²</t>
        </is>
      </c>
      <c r="K5962">
        <f>HYPERLINK("CSG4.html#group29A4", "29A⁴"), =HYPERLINK("CSG9.html#group116A9", "116A⁹")</f>
        <v/>
      </c>
      <c r="L5962" t="inlineStr"/>
      <c r="M5962">
        <f>HYPERLINK("CSG9.html#group116A9", "116A⁹"), =HYPERLINK("CSG4.html#group29A4", "29A⁴"), =HYPERLINK("CSG0.html#group1A0", "1A⁰"), =HYPERLINK("CSG0.html#group4A0", "4A⁰"), =HYPERLINK("CSG2.html#group29A2", "29A²")</f>
        <v/>
      </c>
      <c r="N5962" t="inlineStr"/>
    </row>
    <row r="5963">
      <c r="A5963" t="inlineStr">
        <is>
          <t>116C¹⁹</t>
        </is>
      </c>
      <c r="B5963" t="inlineStr"/>
      <c r="C5963" t="inlineStr">
        <is>
          <t>240</t>
        </is>
      </c>
      <c r="D5963" t="inlineStr">
        <is>
          <t>1</t>
        </is>
      </c>
      <c r="E5963" t="inlineStr">
        <is>
          <t>120</t>
        </is>
      </c>
      <c r="F5963" t="inlineStr">
        <is>
          <t>0</t>
        </is>
      </c>
      <c r="G5963" t="inlineStr">
        <is>
          <t>0</t>
        </is>
      </c>
      <c r="H5963" t="inlineStr">
        <is>
          <t>4², 116²</t>
        </is>
      </c>
      <c r="I5963" t="n">
        <v>4</v>
      </c>
      <c r="J5963" t="inlineStr">
        <is>
          <t>2⁴, 56²</t>
        </is>
      </c>
      <c r="K5963">
        <f>HYPERLINK("CSG0.html#group4D0", "4D⁰"), =HYPERLINK("CSG5.html#group58A5", "58A⁵"), =HYPERLINK("CSG9.html#group116A9", "116A⁹")</f>
        <v/>
      </c>
      <c r="L5963" t="inlineStr"/>
      <c r="M5963">
        <f>HYPERLINK("CSG0.html#group2A0", "2A⁰"), =HYPERLINK("CSG0.html#group4A0", "4A⁰"), =HYPERLINK("CSG2.html#group29A2", "29A²"), =HYPERLINK("CSG0.html#group4D0", "4D⁰"), =HYPERLINK("CSG9.html#group116A9", "116A⁹"), =HYPERLINK("CSG5.html#group58A5", "58A⁵"), =HYPERLINK("CSG0.html#group1A0", "1A⁰")</f>
        <v/>
      </c>
      <c r="N5963" t="inlineStr"/>
    </row>
    <row r="5964">
      <c r="A5964" t="inlineStr">
        <is>
          <t>117A¹⁹</t>
        </is>
      </c>
      <c r="B5964" t="inlineStr"/>
      <c r="C5964" t="inlineStr">
        <is>
          <t>252</t>
        </is>
      </c>
      <c r="D5964" t="inlineStr">
        <is>
          <t>2</t>
        </is>
      </c>
      <c r="E5964" t="inlineStr">
        <is>
          <t>126</t>
        </is>
      </c>
      <c r="F5964" t="inlineStr">
        <is>
          <t>4</t>
        </is>
      </c>
      <c r="G5964" t="inlineStr">
        <is>
          <t>0</t>
        </is>
      </c>
      <c r="H5964" t="inlineStr">
        <is>
          <t>9², 117²</t>
        </is>
      </c>
      <c r="I5964" t="n">
        <v>4</v>
      </c>
      <c r="J5964" t="inlineStr">
        <is>
          <t>2⁶, 6⁴, 24³, 72²</t>
        </is>
      </c>
      <c r="K5964">
        <f>HYPERLINK("CSG1.html#group9B1", "9B¹"), =HYPERLINK("CSG5.html#group39A5", "39A⁵"), =HYPERLINK("CSG8.html#group117A8", "117A⁸")</f>
        <v/>
      </c>
      <c r="L5964" t="inlineStr"/>
      <c r="M5964">
        <f>HYPERLINK("CSG8.html#group117A8", "117A⁸"), =HYPERLINK("CSG2.html#group39A2", "39A²"), =HYPERLINK("CSG5.html#group39A5", "39A⁵"), =HYPERLINK("CSG0.html#group9A0", "9A⁰"), =HYPERLINK("CSG0.html#group13A0", "13A⁰"), =HYPERLINK("CSG0.html#group3C0", "3C⁰"), =HYPERLINK("CSG0.html#group3A0", "3A⁰"), =HYPERLINK("CSG0.html#group1A0", "1A⁰"), =HYPERLINK("CSG1.html#group9B1", "9B¹")</f>
        <v/>
      </c>
      <c r="N5964" t="inlineStr"/>
    </row>
    <row r="5965">
      <c r="A5965" t="inlineStr">
        <is>
          <t>117B¹⁹</t>
        </is>
      </c>
      <c r="B5965" t="inlineStr"/>
      <c r="C5965" t="inlineStr">
        <is>
          <t>336</t>
        </is>
      </c>
      <c r="D5965" t="inlineStr">
        <is>
          <t>2</t>
        </is>
      </c>
      <c r="E5965" t="inlineStr">
        <is>
          <t>56</t>
        </is>
      </c>
      <c r="F5965" t="inlineStr">
        <is>
          <t>0</t>
        </is>
      </c>
      <c r="G5965" t="inlineStr">
        <is>
          <t>6</t>
        </is>
      </c>
      <c r="H5965" t="inlineStr">
        <is>
          <t>1⁶, 9², 13⁶, 117²</t>
        </is>
      </c>
      <c r="I5965" t="n">
        <v>16</v>
      </c>
      <c r="J5965" t="inlineStr">
        <is>
          <t>2⁸, 24⁴</t>
        </is>
      </c>
      <c r="K5965">
        <f>HYPERLINK("CSG5.html#group39B5", "39B⁵"), =HYPERLINK("CSG10.html#group117A10", "117A¹⁰")</f>
        <v/>
      </c>
      <c r="L5965" t="inlineStr"/>
      <c r="M5965">
        <f>HYPERLINK("CSG0.html#group13A0", "13A⁰"), =HYPERLINK("CSG0.html#group3B0", "3B⁰"), =HYPERLINK("CSG3.html#group39A3", "39A³"), =HYPERLINK("CSG0.html#group13B0", "13B⁰"), =HYPERLINK("CSG0.html#group1A0", "1A⁰"), =HYPERLINK("CSG5.html#group39B5", "39B⁵"), =HYPERLINK("CSG10.html#group117A10", "117A¹⁰")</f>
        <v/>
      </c>
      <c r="N5965" t="inlineStr"/>
    </row>
    <row r="5966">
      <c r="A5966" t="inlineStr">
        <is>
          <t>119A¹⁹</t>
        </is>
      </c>
      <c r="B5966" t="inlineStr"/>
      <c r="C5966" t="inlineStr">
        <is>
          <t>252</t>
        </is>
      </c>
      <c r="D5966" t="inlineStr">
        <is>
          <t>2</t>
        </is>
      </c>
      <c r="E5966" t="inlineStr">
        <is>
          <t>126</t>
        </is>
      </c>
      <c r="F5966" t="inlineStr">
        <is>
          <t>4</t>
        </is>
      </c>
      <c r="G5966" t="inlineStr">
        <is>
          <t>0</t>
        </is>
      </c>
      <c r="H5966" t="inlineStr">
        <is>
          <t>7², 119²</t>
        </is>
      </c>
      <c r="I5966" t="n">
        <v>4</v>
      </c>
      <c r="J5966" t="inlineStr">
        <is>
          <t>2², 6⁴, 32¹, 96²</t>
        </is>
      </c>
      <c r="K5966">
        <f>HYPERLINK("CSG9.html#group119A9", "119A⁹")</f>
        <v/>
      </c>
      <c r="L5966" t="inlineStr"/>
      <c r="M5966">
        <f>HYPERLINK("CSG9.html#group119A9", "119A⁹"), =HYPERLINK("CSG0.html#group1A0", "1A⁰"), =HYPERLINK("CSG1.html#group17A1", "17A¹"), =HYPERLINK("CSG0.html#group7A0", "7A⁰")</f>
        <v/>
      </c>
      <c r="N5966" t="inlineStr"/>
    </row>
    <row r="5967">
      <c r="A5967" t="inlineStr">
        <is>
          <t>119B¹⁹</t>
        </is>
      </c>
      <c r="B5967" t="inlineStr"/>
      <c r="C5967" t="inlineStr">
        <is>
          <t>252</t>
        </is>
      </c>
      <c r="D5967" t="inlineStr">
        <is>
          <t>2</t>
        </is>
      </c>
      <c r="E5967" t="inlineStr">
        <is>
          <t>126</t>
        </is>
      </c>
      <c r="F5967" t="inlineStr">
        <is>
          <t>4</t>
        </is>
      </c>
      <c r="G5967" t="inlineStr">
        <is>
          <t>0</t>
        </is>
      </c>
      <c r="H5967" t="inlineStr">
        <is>
          <t>7², 119²</t>
        </is>
      </c>
      <c r="I5967" t="n">
        <v>4</v>
      </c>
      <c r="J5967" t="inlineStr">
        <is>
          <t>2², 6⁴, 32¹, 96²</t>
        </is>
      </c>
      <c r="K5967">
        <f>HYPERLINK("CSG0.html#group7C0", "7C⁰"), =HYPERLINK("CSG9.html#group119A9", "119A⁹")</f>
        <v/>
      </c>
      <c r="L5967" t="inlineStr"/>
      <c r="M5967">
        <f>HYPERLINK("CSG9.html#group119A9", "119A⁹"), =HYPERLINK("CSG1.html#group17A1", "17A¹"), =HYPERLINK("CSG0.html#group1A0", "1A⁰"), =HYPERLINK("CSG0.html#group7C0", "7C⁰"), =HYPERLINK("CSG0.html#group7A0", "7A⁰")</f>
        <v/>
      </c>
      <c r="N5967" t="inlineStr"/>
    </row>
    <row r="5968">
      <c r="A5968" t="inlineStr">
        <is>
          <t>120A¹⁹</t>
        </is>
      </c>
      <c r="B5968" t="inlineStr"/>
      <c r="C5968" t="inlineStr">
        <is>
          <t>240</t>
        </is>
      </c>
      <c r="D5968" t="inlineStr">
        <is>
          <t>1</t>
        </is>
      </c>
      <c r="E5968" t="inlineStr">
        <is>
          <t>60</t>
        </is>
      </c>
      <c r="F5968" t="inlineStr">
        <is>
          <t>0</t>
        </is>
      </c>
      <c r="G5968" t="inlineStr">
        <is>
          <t>0</t>
        </is>
      </c>
      <c r="H5968" t="inlineStr">
        <is>
          <t>20¹, 40¹, 60¹, 120¹</t>
        </is>
      </c>
      <c r="I5968" t="n">
        <v>4</v>
      </c>
      <c r="J5968" t="inlineStr">
        <is>
          <t>1⁶, 2³, 4⁶, 8³</t>
        </is>
      </c>
      <c r="K5968">
        <f>HYPERLINK("CSG3.html#group24B3", "24B³"), =HYPERLINK("CSG4.html#group40A4", "40A⁴"), =HYPERLINK("CSG9.html#group60B9", "60B⁹")</f>
        <v/>
      </c>
      <c r="L5968" t="inlineStr"/>
      <c r="M5968">
        <f>HYPERLINK("CSG0.html#group3B0", "3B⁰"), =HYPERLINK("CSG0.html#group5A0", "5A⁰"), =HYPERLINK("CSG9.html#group60B9", "60B⁹"), =HYPERLINK("CSG4.html#group40A4", "40A⁴"), =HYPERLINK("CSG3.html#group24B3", "24B³"), =HYPERLINK("CSG1.html#group12F1", "12F¹"), =HYPERLINK("CSG1.html#group10B1", "10B¹"), =HYPERLINK("CSG2.html#group20B2", "20B²"), =HYPERLINK("CSG0.html#group4C0", "4C⁰"), =HYPERLINK("CSG0.html#group8B0", "8B⁰"), =HYPERLINK("CSG0.html#group2B0", "2B⁰"), =HYPERLINK("CSG0.html#group1A0", "1A⁰"), =HYPERLINK("CSG4.html#group30D4", "30D⁴"), =HYPERLINK("CSG1.html#group15B1", "15B¹"), =HYPERLINK("CSG0.html#group6F0", "6F⁰")</f>
        <v/>
      </c>
      <c r="N5968" t="inlineStr"/>
    </row>
    <row r="5969">
      <c r="A5969" t="inlineStr">
        <is>
          <t>120B¹⁹</t>
        </is>
      </c>
      <c r="B5969" t="inlineStr"/>
      <c r="C5969" t="inlineStr">
        <is>
          <t>240</t>
        </is>
      </c>
      <c r="D5969" t="inlineStr">
        <is>
          <t>1</t>
        </is>
      </c>
      <c r="E5969" t="inlineStr">
        <is>
          <t>60</t>
        </is>
      </c>
      <c r="F5969" t="inlineStr">
        <is>
          <t>0</t>
        </is>
      </c>
      <c r="G5969" t="inlineStr">
        <is>
          <t>0</t>
        </is>
      </c>
      <c r="H5969" t="inlineStr">
        <is>
          <t>20¹, 40¹, 60¹, 120¹</t>
        </is>
      </c>
      <c r="I5969" t="n">
        <v>4</v>
      </c>
      <c r="J5969" t="inlineStr">
        <is>
          <t>1⁶, 2³, 4⁶, 8³</t>
        </is>
      </c>
      <c r="K5969">
        <f>HYPERLINK("CSG3.html#group24C3", "24C³"), =HYPERLINK("CSG5.html#group40A5", "40A⁵"), =HYPERLINK("CSG9.html#group60B9", "60B⁹")</f>
        <v/>
      </c>
      <c r="L5969" t="inlineStr"/>
      <c r="M5969">
        <f>HYPERLINK("CSG0.html#group3B0", "3B⁰"), =HYPERLINK("CSG0.html#group5A0", "5A⁰"), =HYPERLINK("CSG9.html#group60B9", "60B⁹"), =HYPERLINK("CSG1.html#group8A1", "8A¹"), =HYPERLINK("CSG1.html#group12F1", "12F¹"), =HYPERLINK("CSG1.html#group10B1", "10B¹"), =HYPERLINK("CSG2.html#group20B2", "20B²"), =HYPERLINK("CSG0.html#group4C0", "4C⁰"), =HYPERLINK("CSG0.html#group2B0", "2B⁰"), =HYPERLINK("CSG0.html#group1A0", "1A⁰"), =HYPERLINK("CSG3.html#group24C3", "24C³"), =HYPERLINK("CSG4.html#group30D4", "30D⁴"), =HYPERLINK("CSG1.html#group15B1", "15B¹"), =HYPERLINK("CSG5.html#group40A5", "40A⁵"), =HYPERLINK("CSG0.html#group6F0", "6F⁰")</f>
        <v/>
      </c>
      <c r="N5969" t="inlineStr"/>
    </row>
    <row r="5970">
      <c r="A5970" t="inlineStr">
        <is>
          <t>120C¹⁹</t>
        </is>
      </c>
      <c r="B5970" t="inlineStr"/>
      <c r="C5970" t="inlineStr">
        <is>
          <t>240</t>
        </is>
      </c>
      <c r="D5970" t="inlineStr">
        <is>
          <t>2</t>
        </is>
      </c>
      <c r="E5970" t="inlineStr">
        <is>
          <t>60</t>
        </is>
      </c>
      <c r="F5970" t="inlineStr">
        <is>
          <t>4</t>
        </is>
      </c>
      <c r="G5970" t="inlineStr">
        <is>
          <t>0</t>
        </is>
      </c>
      <c r="H5970" t="inlineStr">
        <is>
          <t>120²</t>
        </is>
      </c>
      <c r="I5970" t="n">
        <v>2</v>
      </c>
      <c r="J5970" t="inlineStr">
        <is>
          <t>4², 8², 16², 32²</t>
        </is>
      </c>
      <c r="K5970">
        <f>HYPERLINK("CSG3.html#group24D3", "24D³"), =HYPERLINK("CSG9.html#group60C9", "60C⁹"), =HYPERLINK("CSG9.html#group120B9", "120B⁹")</f>
        <v/>
      </c>
      <c r="L5970" t="inlineStr"/>
      <c r="M5970">
        <f>HYPERLINK("CSG1.html#group12G1", "12G¹"), =HYPERLINK("CSG0.html#group5A0", "5A⁰"), =HYPERLINK("CSG3.html#group24D3", "24D³"), =HYPERLINK("CSG9.html#group120B9", "120B⁹"), =HYPERLINK("CSG1.html#group20A1", "20A¹"), =HYPERLINK("CSG1.html#group24B1", "24B¹"), =HYPERLINK("CSG0.html#group1A0", "1A⁰"), =HYPERLINK("CSG0.html#group12A0", "12A⁰"), =HYPERLINK("CSG2.html#group15A2", "15A²"), =HYPERLINK("CSG0.html#group4A0", "4A⁰"), =HYPERLINK("CSG4.html#group60A4", "60A⁴"), =HYPERLINK("CSG0.html#group3C0", "3C⁰"), =HYPERLINK("CSG0.html#group3A0", "3A⁰"), =HYPERLINK("CSG9.html#group60C9", "60C⁹"), =HYPERLINK("CSG1.html#group15A1", "15A¹")</f>
        <v/>
      </c>
      <c r="N5970" t="inlineStr"/>
    </row>
    <row r="5971">
      <c r="A5971" t="inlineStr">
        <is>
          <t>120D¹⁹</t>
        </is>
      </c>
      <c r="B5971" t="inlineStr"/>
      <c r="C5971" t="inlineStr">
        <is>
          <t>240</t>
        </is>
      </c>
      <c r="D5971" t="inlineStr">
        <is>
          <t>2</t>
        </is>
      </c>
      <c r="E5971" t="inlineStr">
        <is>
          <t>60</t>
        </is>
      </c>
      <c r="F5971" t="inlineStr">
        <is>
          <t>4</t>
        </is>
      </c>
      <c r="G5971" t="inlineStr">
        <is>
          <t>0</t>
        </is>
      </c>
      <c r="H5971" t="inlineStr">
        <is>
          <t>120²</t>
        </is>
      </c>
      <c r="I5971" t="n">
        <v>2</v>
      </c>
      <c r="J5971" t="inlineStr">
        <is>
          <t>4², 8², 16², 32²</t>
        </is>
      </c>
      <c r="K5971">
        <f>HYPERLINK("CSG3.html#group24E3", "24E³"), =HYPERLINK("CSG9.html#group60C9", "60C⁹"), =HYPERLINK("CSG9.html#group120A9", "120A⁹"), =HYPERLINK("CSG9.html#group120B9", "120B⁹")</f>
        <v/>
      </c>
      <c r="L5971" t="inlineStr"/>
      <c r="M5971">
        <f>HYPERLINK("CSG1.html#group12G1", "12G¹"), =HYPERLINK("CSG9.html#group120A9", "120A⁹"), =HYPERLINK("CSG0.html#group5A0", "5A⁰"), =HYPERLINK("CSG0.html#group8A0", "8A⁰"), =HYPERLINK("CSG9.html#group120B9", "120B⁹"), =HYPERLINK("CSG1.html#group20A1", "20A¹"), =HYPERLINK("CSG1.html#group24B1", "24B¹"), =HYPERLINK("CSG0.html#group1A0", "1A⁰"), =HYPERLINK("CSG3.html#group24E3", "24E³"), =HYPERLINK("CSG0.html#group12A0", "12A⁰"), =HYPERLINK("CSG1.html#group24A1", "24A¹"), =HYPERLINK("CSG2.html#group15A2", "15A²"), =HYPERLINK("CSG0.html#group4A0", "4A⁰"), =HYPERLINK("CSG4.html#group60A4", "60A⁴"), =HYPERLINK("CSG0.html#group3C0", "3C⁰"), =HYPERLINK("CSG0.html#group3A0", "3A⁰"), =HYPERLINK("CSG2.html#group40A2", "40A²"), =HYPERLINK("CSG9.html#group60C9", "60C⁹"), =HYPERLINK("CSG1.html#group15A1", "15A¹")</f>
        <v/>
      </c>
      <c r="N5971" t="inlineStr"/>
    </row>
    <row r="5972">
      <c r="A5972" t="inlineStr">
        <is>
          <t>120E¹⁹</t>
        </is>
      </c>
      <c r="B5972" t="inlineStr"/>
      <c r="C5972" t="inlineStr">
        <is>
          <t>288</t>
        </is>
      </c>
      <c r="D5972" t="inlineStr">
        <is>
          <t>1</t>
        </is>
      </c>
      <c r="E5972" t="inlineStr">
        <is>
          <t>72</t>
        </is>
      </c>
      <c r="F5972" t="inlineStr">
        <is>
          <t>0</t>
        </is>
      </c>
      <c r="G5972" t="inlineStr">
        <is>
          <t>0</t>
        </is>
      </c>
      <c r="H5972" t="inlineStr">
        <is>
          <t>2², 6², 8¹, 10², 24¹, 30², 40¹, 120¹</t>
        </is>
      </c>
      <c r="I5972" t="n">
        <v>12</v>
      </c>
      <c r="J5972" t="inlineStr">
        <is>
          <t>1¹², 2⁶, 4⁶, 8³</t>
        </is>
      </c>
      <c r="K5972">
        <f>HYPERLINK("CSG7.html#group60P7", "60P⁷")</f>
        <v/>
      </c>
      <c r="L5972" t="inlineStr"/>
      <c r="M5972">
        <f>HYPERLINK("CSG1.html#group15C1", "15C¹"), =HYPERLINK("CSG0.html#group3B0", "3B⁰"), =HYPERLINK("CSG0.html#group5B0", "5B⁰"), =HYPERLINK("CSG0.html#group10C0", "10C⁰"), =HYPERLINK("CSG0.html#group6F0", "6F⁰"), =HYPERLINK("CSG1.html#group20D1", "20D¹"), =HYPERLINK("CSG7.html#group60P7", "60P⁷"), =HYPERLINK("CSG3.html#group30K3", "30K³"), =HYPERLINK("CSG0.html#group2B0", "2B⁰"), =HYPERLINK("CSG0.html#group4B0", "4B⁰"), =HYPERLINK("CSG0.html#group1A0", "1A⁰"), =HYPERLINK("CSG0.html#group12E0", "12E⁰")</f>
        <v/>
      </c>
      <c r="N5972" t="inlineStr"/>
    </row>
    <row r="5973">
      <c r="A5973" t="inlineStr">
        <is>
          <t>120F¹⁹</t>
        </is>
      </c>
      <c r="B5973" t="inlineStr"/>
      <c r="C5973" t="inlineStr">
        <is>
          <t>288</t>
        </is>
      </c>
      <c r="D5973" t="inlineStr">
        <is>
          <t>1</t>
        </is>
      </c>
      <c r="E5973" t="inlineStr">
        <is>
          <t>72</t>
        </is>
      </c>
      <c r="F5973" t="inlineStr">
        <is>
          <t>0</t>
        </is>
      </c>
      <c r="G5973" t="inlineStr">
        <is>
          <t>0</t>
        </is>
      </c>
      <c r="H5973" t="inlineStr">
        <is>
          <t>2², 6², 8¹, 10², 24¹, 30², 40¹, 120¹</t>
        </is>
      </c>
      <c r="I5973" t="n">
        <v>12</v>
      </c>
      <c r="J5973" t="inlineStr">
        <is>
          <t>1¹², 2⁶, 4⁶, 8³</t>
        </is>
      </c>
      <c r="K5973">
        <f>HYPERLINK("CSG2.html#group24F2", "24F²"), =HYPERLINK("CSG7.html#group60P7", "60P⁷")</f>
        <v/>
      </c>
      <c r="L5973" t="inlineStr"/>
      <c r="M5973">
        <f>HYPERLINK("CSG0.html#group3B0", "3B⁰"), =HYPERLINK("CSG0.html#group5B0", "5B⁰"), =HYPERLINK("CSG0.html#group2B0", "2B⁰"), =HYPERLINK("CSG1.html#group20D1", "20D¹"), =HYPERLINK("CSG0.html#group4B0", "4B⁰"), =HYPERLINK("CSG0.html#group1A0", "1A⁰"), =HYPERLINK("CSG1.html#group15C1", "15C¹"), =HYPERLINK("CSG0.html#group10C0", "10C⁰"), =HYPERLINK("CSG7.html#group60P7", "60P⁷"), =HYPERLINK("CSG3.html#group30K3", "30K³"), =HYPERLINK("CSG2.html#group24F2", "24F²"), =HYPERLINK("CSG0.html#group6F0", "6F⁰"), =HYPERLINK("CSG0.html#group12E0", "12E⁰")</f>
        <v/>
      </c>
      <c r="N5973" t="inlineStr"/>
    </row>
    <row r="5974">
      <c r="A5974" t="inlineStr">
        <is>
          <t>120G¹⁹</t>
        </is>
      </c>
      <c r="B5974" t="inlineStr"/>
      <c r="C5974" t="inlineStr">
        <is>
          <t>288</t>
        </is>
      </c>
      <c r="D5974" t="inlineStr">
        <is>
          <t>1</t>
        </is>
      </c>
      <c r="E5974" t="inlineStr">
        <is>
          <t>72</t>
        </is>
      </c>
      <c r="F5974" t="inlineStr">
        <is>
          <t>16</t>
        </is>
      </c>
      <c r="G5974" t="inlineStr">
        <is>
          <t>0</t>
        </is>
      </c>
      <c r="H5974" t="inlineStr">
        <is>
          <t>24², 120²</t>
        </is>
      </c>
      <c r="I5974" t="n">
        <v>4</v>
      </c>
      <c r="J5974" t="inlineStr">
        <is>
          <t>4⁴, 8⁴, 16², 32²</t>
        </is>
      </c>
      <c r="K5974">
        <f>HYPERLINK("CSG7.html#group60R7", "60R⁷"), =HYPERLINK("CSG9.html#group120E9", "120E⁹")</f>
        <v/>
      </c>
      <c r="L5974" t="inlineStr"/>
      <c r="M5974">
        <f>HYPERLINK("CSG0.html#group15B0", "15B⁰"), =HYPERLINK("CSG0.html#group12A0", "12A⁰"), =HYPERLINK("CSG0.html#group6B0", "6B⁰"), =HYPERLINK("CSG0.html#group4A0", "4A⁰"), =HYPERLINK("CSG7.html#group60R7", "60R⁷"), =HYPERLINK("CSG0.html#group5B0", "5B⁰"), =HYPERLINK("CSG9.html#group120E9", "120E⁹"), =HYPERLINK("CSG0.html#group12F0", "12F⁰"), =HYPERLINK("CSG3.html#group60B3", "60B³"), =HYPERLINK("CSG0.html#group3A0", "3A⁰"), =HYPERLINK("CSG0.html#group1A0", "1A⁰"), =HYPERLINK("CSG1.html#group20B1", "20B¹"), =HYPERLINK("CSG1.html#group30C1", "30C¹")</f>
        <v/>
      </c>
      <c r="N5974" t="inlineStr"/>
    </row>
    <row r="5975">
      <c r="A5975" t="inlineStr">
        <is>
          <t>120H¹⁹</t>
        </is>
      </c>
      <c r="B5975" t="inlineStr"/>
      <c r="C5975" t="inlineStr">
        <is>
          <t>288</t>
        </is>
      </c>
      <c r="D5975" t="inlineStr">
        <is>
          <t>1</t>
        </is>
      </c>
      <c r="E5975" t="inlineStr">
        <is>
          <t>72</t>
        </is>
      </c>
      <c r="F5975" t="inlineStr">
        <is>
          <t>16</t>
        </is>
      </c>
      <c r="G5975" t="inlineStr">
        <is>
          <t>0</t>
        </is>
      </c>
      <c r="H5975" t="inlineStr">
        <is>
          <t>24², 120²</t>
        </is>
      </c>
      <c r="I5975" t="n">
        <v>4</v>
      </c>
      <c r="J5975" t="inlineStr">
        <is>
          <t>4⁴, 8⁴, 16², 32²</t>
        </is>
      </c>
      <c r="K5975">
        <f>HYPERLINK("CSG7.html#group60R7", "60R⁷"), =HYPERLINK("CSG9.html#group120E9", "120E⁹")</f>
        <v/>
      </c>
      <c r="L5975" t="inlineStr"/>
      <c r="M5975">
        <f>HYPERLINK("CSG0.html#group15B0", "15B⁰"), =HYPERLINK("CSG0.html#group12A0", "12A⁰"), =HYPERLINK("CSG0.html#group6B0", "6B⁰"), =HYPERLINK("CSG0.html#group4A0", "4A⁰"), =HYPERLINK("CSG7.html#group60R7", "60R⁷"), =HYPERLINK("CSG0.html#group5B0", "5B⁰"), =HYPERLINK("CSG9.html#group120E9", "120E⁹"), =HYPERLINK("CSG0.html#group12F0", "12F⁰"), =HYPERLINK("CSG3.html#group60B3", "60B³"), =HYPERLINK("CSG0.html#group3A0", "3A⁰"), =HYPERLINK("CSG0.html#group1A0", "1A⁰"), =HYPERLINK("CSG1.html#group20B1", "20B¹"), =HYPERLINK("CSG1.html#group30C1", "30C¹")</f>
        <v/>
      </c>
      <c r="N5975" t="inlineStr"/>
    </row>
    <row r="5976">
      <c r="A5976" t="inlineStr">
        <is>
          <t>120I¹⁹</t>
        </is>
      </c>
      <c r="B5976" t="inlineStr"/>
      <c r="C5976" t="inlineStr">
        <is>
          <t>288</t>
        </is>
      </c>
      <c r="D5976" t="inlineStr">
        <is>
          <t>1</t>
        </is>
      </c>
      <c r="E5976" t="inlineStr">
        <is>
          <t>72</t>
        </is>
      </c>
      <c r="F5976" t="inlineStr">
        <is>
          <t>16</t>
        </is>
      </c>
      <c r="G5976" t="inlineStr">
        <is>
          <t>0</t>
        </is>
      </c>
      <c r="H5976" t="inlineStr">
        <is>
          <t>24², 120²</t>
        </is>
      </c>
      <c r="I5976" t="n">
        <v>4</v>
      </c>
      <c r="J5976" t="inlineStr">
        <is>
          <t>4⁴, 8⁴, 16², 32²</t>
        </is>
      </c>
      <c r="K5976">
        <f>HYPERLINK("CSG2.html#group24G2", "24G²"), =HYPERLINK("CSG7.html#group60R7", "60R⁷"), =HYPERLINK("CSG9.html#group120F9", "120F⁹")</f>
        <v/>
      </c>
      <c r="L5976" t="inlineStr"/>
      <c r="M5976">
        <f>HYPERLINK("CSG0.html#group6B0", "6B⁰"), =HYPERLINK("CSG7.html#group60R7", "60R⁷"), =HYPERLINK("CSG0.html#group5B0", "5B⁰"), =HYPERLINK("CSG0.html#group12F0", "12F⁰"), =HYPERLINK("CSG1.html#group24B1", "24B¹"), =HYPERLINK("CSG0.html#group1A0", "1A⁰"), =HYPERLINK("CSG1.html#group20B1", "20B¹"), =HYPERLINK("CSG0.html#group15B0", "15B⁰"), =HYPERLINK("CSG0.html#group12A0", "12A⁰"), =HYPERLINK("CSG9.html#group120F9", "120F⁹"), =HYPERLINK("CSG0.html#group4A0", "4A⁰"), =HYPERLINK("CSG3.html#group60B3", "60B³"), =HYPERLINK("CSG0.html#group3A0", "3A⁰"), =HYPERLINK("CSG2.html#group24G2", "24G²"), =HYPERLINK("CSG1.html#group30C1", "30C¹")</f>
        <v/>
      </c>
      <c r="N5976" t="inlineStr"/>
    </row>
    <row r="5977">
      <c r="A5977" t="inlineStr">
        <is>
          <t>120J¹⁹</t>
        </is>
      </c>
      <c r="B5977" t="inlineStr"/>
      <c r="C5977" t="inlineStr">
        <is>
          <t>288</t>
        </is>
      </c>
      <c r="D5977" t="inlineStr">
        <is>
          <t>1</t>
        </is>
      </c>
      <c r="E5977" t="inlineStr">
        <is>
          <t>72</t>
        </is>
      </c>
      <c r="F5977" t="inlineStr">
        <is>
          <t>16</t>
        </is>
      </c>
      <c r="G5977" t="inlineStr">
        <is>
          <t>0</t>
        </is>
      </c>
      <c r="H5977" t="inlineStr">
        <is>
          <t>24², 120²</t>
        </is>
      </c>
      <c r="I5977" t="n">
        <v>4</v>
      </c>
      <c r="J5977" t="inlineStr">
        <is>
          <t>4⁴, 8⁴, 16², 32²</t>
        </is>
      </c>
      <c r="K5977">
        <f>HYPERLINK("CSG2.html#group24H2", "24H²"), =HYPERLINK("CSG7.html#group60R7", "60R⁷"), =HYPERLINK("CSG9.html#group120F9", "120F⁹")</f>
        <v/>
      </c>
      <c r="L5977" t="inlineStr"/>
      <c r="M5977">
        <f>HYPERLINK("CSG0.html#group6B0", "6B⁰"), =HYPERLINK("CSG7.html#group60R7", "60R⁷"), =HYPERLINK("CSG0.html#group5B0", "5B⁰"), =HYPERLINK("CSG0.html#group12F0", "12F⁰"), =HYPERLINK("CSG1.html#group24B1", "24B¹"), =HYPERLINK("CSG0.html#group1A0", "1A⁰"), =HYPERLINK("CSG1.html#group20B1", "20B¹"), =HYPERLINK("CSG0.html#group15B0", "15B⁰"), =HYPERLINK("CSG0.html#group12A0", "12A⁰"), =HYPERLINK("CSG9.html#group120F9", "120F⁹"), =HYPERLINK("CSG0.html#group4A0", "4A⁰"), =HYPERLINK("CSG3.html#group60B3", "60B³"), =HYPERLINK("CSG0.html#group3A0", "3A⁰"), =HYPERLINK("CSG2.html#group24H2", "24H²"), =HYPERLINK("CSG1.html#group30C1", "30C¹")</f>
        <v/>
      </c>
      <c r="N5977" t="inlineStr"/>
    </row>
    <row r="5978">
      <c r="A5978" t="inlineStr">
        <is>
          <t>120K¹⁹</t>
        </is>
      </c>
      <c r="B5978" t="inlineStr"/>
      <c r="C5978" t="inlineStr">
        <is>
          <t>288</t>
        </is>
      </c>
      <c r="D5978" t="inlineStr">
        <is>
          <t>1</t>
        </is>
      </c>
      <c r="E5978" t="inlineStr">
        <is>
          <t>144</t>
        </is>
      </c>
      <c r="F5978" t="inlineStr">
        <is>
          <t>0</t>
        </is>
      </c>
      <c r="G5978" t="inlineStr">
        <is>
          <t>0</t>
        </is>
      </c>
      <c r="H5978" t="inlineStr">
        <is>
          <t>2², 6², 8¹, 10², 24¹, 30², 40¹, 120¹</t>
        </is>
      </c>
      <c r="I5978" t="n">
        <v>12</v>
      </c>
      <c r="J5978" t="inlineStr">
        <is>
          <t>1⁸, 2¹², 4⁸, 8⁶, 16²</t>
        </is>
      </c>
      <c r="K5978">
        <f>HYPERLINK("CSG3.html#group40G3", "40G³"), =HYPERLINK("CSG9.html#group60H9", "60H⁹")</f>
        <v/>
      </c>
      <c r="L5978" t="inlineStr"/>
      <c r="M5978">
        <f>HYPERLINK("CSG1.html#group20E1", "20E¹"), =HYPERLINK("CSG0.html#group3B0", "3B⁰"), =HYPERLINK("CSG1.html#group15C1", "15C¹"), =HYPERLINK("CSG1.html#group12F1", "12F¹"), =HYPERLINK("CSG0.html#group4C0", "4C⁰"), =HYPERLINK("CSG0.html#group5B0", "5B⁰"), =HYPERLINK("CSG0.html#group10C0", "10C⁰"), =HYPERLINK("CSG0.html#group6F0", "6F⁰"), =HYPERLINK("CSG0.html#group1A0", "1A⁰"), =HYPERLINK("CSG0.html#group2B0", "2B⁰"), =HYPERLINK("CSG3.html#group30K3", "30K³"), =HYPERLINK("CSG9.html#group60H9", "60H⁹"), =HYPERLINK("CSG3.html#group40G3", "40G³")</f>
        <v/>
      </c>
      <c r="N5978" t="inlineStr"/>
    </row>
    <row r="5979">
      <c r="A5979" t="inlineStr">
        <is>
          <t>120L¹⁹</t>
        </is>
      </c>
      <c r="B5979" t="inlineStr"/>
      <c r="C5979" t="inlineStr">
        <is>
          <t>288</t>
        </is>
      </c>
      <c r="D5979" t="inlineStr">
        <is>
          <t>1</t>
        </is>
      </c>
      <c r="E5979" t="inlineStr">
        <is>
          <t>144</t>
        </is>
      </c>
      <c r="F5979" t="inlineStr">
        <is>
          <t>0</t>
        </is>
      </c>
      <c r="G5979" t="inlineStr">
        <is>
          <t>0</t>
        </is>
      </c>
      <c r="H5979" t="inlineStr">
        <is>
          <t>2², 6², 8¹, 10², 24¹, 30², 40¹, 120¹</t>
        </is>
      </c>
      <c r="I5979" t="n">
        <v>12</v>
      </c>
      <c r="J5979" t="inlineStr">
        <is>
          <t>1⁸, 2¹², 4⁸, 8⁶, 16²</t>
        </is>
      </c>
      <c r="K5979">
        <f>HYPERLINK("CSG2.html#group24I2", "24I²"), =HYPERLINK("CSG3.html#group40H3", "40H³"), =HYPERLINK("CSG9.html#group60H9", "60H⁹")</f>
        <v/>
      </c>
      <c r="L5979" t="inlineStr"/>
      <c r="M5979">
        <f>HYPERLINK("CSG1.html#group20E1", "20E¹"), =HYPERLINK("CSG0.html#group3B0", "3B⁰"), =HYPERLINK("CSG3.html#group40H3", "40H³"), =HYPERLINK("CSG0.html#group8D0", "8D⁰"), =HYPERLINK("CSG1.html#group12F1", "12F¹"), =HYPERLINK("CSG0.html#group4C0", "4C⁰"), =HYPERLINK("CSG0.html#group5B0", "5B⁰"), =HYPERLINK("CSG0.html#group2B0", "2B⁰"), =HYPERLINK("CSG0.html#group1A0", "1A⁰"), =HYPERLINK("CSG1.html#group15C1", "15C¹"), =HYPERLINK("CSG2.html#group24I2", "24I²"), =HYPERLINK("CSG0.html#group6F0", "6F⁰"), =HYPERLINK("CSG0.html#group10C0", "10C⁰"), =HYPERLINK("CSG3.html#group30K3", "30K³"), =HYPERLINK("CSG9.html#group60H9", "60H⁹")</f>
        <v/>
      </c>
      <c r="N5979" t="inlineStr"/>
    </row>
    <row r="5980">
      <c r="A5980" t="inlineStr">
        <is>
          <t>120M¹⁹</t>
        </is>
      </c>
      <c r="B5980" t="inlineStr"/>
      <c r="C5980" t="inlineStr">
        <is>
          <t>288</t>
        </is>
      </c>
      <c r="D5980" t="inlineStr">
        <is>
          <t>2</t>
        </is>
      </c>
      <c r="E5980" t="inlineStr">
        <is>
          <t>72</t>
        </is>
      </c>
      <c r="F5980" t="inlineStr">
        <is>
          <t>0</t>
        </is>
      </c>
      <c r="G5980" t="inlineStr">
        <is>
          <t>0</t>
        </is>
      </c>
      <c r="H5980" t="inlineStr">
        <is>
          <t>2², 6², 8¹, 10², 24¹, 30², 40¹, 120¹</t>
        </is>
      </c>
      <c r="I5980" t="n">
        <v>12</v>
      </c>
      <c r="J5980" t="inlineStr">
        <is>
          <t>2¹², 4⁶, 8⁶, 16³</t>
        </is>
      </c>
      <c r="K5980">
        <f>HYPERLINK("CSG3.html#group40I3", "40I³"), =HYPERLINK("CSG7.html#group60O7", "60O⁷")</f>
        <v/>
      </c>
      <c r="L5980" t="inlineStr"/>
      <c r="M5980">
        <f>HYPERLINK("CSG0.html#group3B0", "3B⁰"), =HYPERLINK("CSG0.html#group5B0", "5B⁰"), =HYPERLINK("CSG7.html#group60O7", "60O⁷"), =HYPERLINK("CSG0.html#group2B0", "2B⁰"), =HYPERLINK("CSG0.html#group1A0", "1A⁰"), =HYPERLINK("CSG1.html#group15C1", "15C¹"), =HYPERLINK("CSG0.html#group20A0", "20A⁰"), =HYPERLINK("CSG3.html#group40I3", "40I³"), =HYPERLINK("CSG0.html#group10C0", "10C⁰"), =HYPERLINK("CSG3.html#group30K3", "30K³"), =HYPERLINK("CSG0.html#group6F0", "6F⁰")</f>
        <v/>
      </c>
      <c r="N5980" t="inlineStr"/>
    </row>
    <row r="5981">
      <c r="A5981" t="inlineStr">
        <is>
          <t>120N¹⁹</t>
        </is>
      </c>
      <c r="B5981" t="inlineStr"/>
      <c r="C5981" t="inlineStr">
        <is>
          <t>288</t>
        </is>
      </c>
      <c r="D5981" t="inlineStr">
        <is>
          <t>2</t>
        </is>
      </c>
      <c r="E5981" t="inlineStr">
        <is>
          <t>72</t>
        </is>
      </c>
      <c r="F5981" t="inlineStr">
        <is>
          <t>16</t>
        </is>
      </c>
      <c r="G5981" t="inlineStr">
        <is>
          <t>0</t>
        </is>
      </c>
      <c r="H5981" t="inlineStr">
        <is>
          <t>24², 120²</t>
        </is>
      </c>
      <c r="I5981" t="n">
        <v>4</v>
      </c>
      <c r="J5981" t="inlineStr">
        <is>
          <t>4⁴, 8⁴, 16², 32²</t>
        </is>
      </c>
      <c r="K5981">
        <f>HYPERLINK("CSG7.html#group60Q7", "60Q⁷"), =HYPERLINK("CSG9.html#group120C9", "120C⁹"), =HYPERLINK("CSG9.html#group120F9", "120F⁹")</f>
        <v/>
      </c>
      <c r="L5981" t="inlineStr"/>
      <c r="M5981">
        <f>HYPERLINK("CSG0.html#group15B0", "15B⁰"), =HYPERLINK("CSG0.html#group12A0", "12A⁰"), =HYPERLINK("CSG3.html#group40A3", "40A³"), =HYPERLINK("CSG9.html#group120F9", "120F⁹"), =HYPERLINK("CSG0.html#group4A0", "4A⁰"), =HYPERLINK("CSG0.html#group5B0", "5B⁰"), =HYPERLINK("CSG7.html#group60Q7", "60Q⁷"), =HYPERLINK("CSG3.html#group60B3", "60B³"), =HYPERLINK("CSG1.html#group24B1", "24B¹"), =HYPERLINK("CSG0.html#group3A0", "3A⁰"), =HYPERLINK("CSG0.html#group1A0", "1A⁰"), =HYPERLINK("CSG9.html#group120C9", "120C⁹"), =HYPERLINK("CSG1.html#group20B1", "20B¹"), =HYPERLINK("CSG0.html#group15C0", "15C⁰")</f>
        <v/>
      </c>
      <c r="N5981" t="inlineStr"/>
    </row>
    <row r="5982">
      <c r="A5982" t="inlineStr">
        <is>
          <t>120O¹⁹</t>
        </is>
      </c>
      <c r="B5982" t="inlineStr"/>
      <c r="C5982" t="inlineStr">
        <is>
          <t>288</t>
        </is>
      </c>
      <c r="D5982" t="inlineStr">
        <is>
          <t>2</t>
        </is>
      </c>
      <c r="E5982" t="inlineStr">
        <is>
          <t>72</t>
        </is>
      </c>
      <c r="F5982" t="inlineStr">
        <is>
          <t>16</t>
        </is>
      </c>
      <c r="G5982" t="inlineStr">
        <is>
          <t>0</t>
        </is>
      </c>
      <c r="H5982" t="inlineStr">
        <is>
          <t>24², 120²</t>
        </is>
      </c>
      <c r="I5982" t="n">
        <v>4</v>
      </c>
      <c r="J5982" t="inlineStr">
        <is>
          <t>4⁴, 8⁴, 16², 32²</t>
        </is>
      </c>
      <c r="K5982">
        <f>HYPERLINK("CSG7.html#group60Q7", "60Q⁷"), =HYPERLINK("CSG9.html#group120D9", "120D⁹"), =HYPERLINK("CSG9.html#group120E9", "120E⁹")</f>
        <v/>
      </c>
      <c r="L5982" t="inlineStr"/>
      <c r="M5982">
        <f>HYPERLINK("CSG0.html#group15B0", "15B⁰"), =HYPERLINK("CSG0.html#group12A0", "12A⁰"), =HYPERLINK("CSG1.html#group24A1", "24A¹"), =HYPERLINK("CSG0.html#group4A0", "4A⁰"), =HYPERLINK("CSG3.html#group40B3", "40B³"), =HYPERLINK("CSG0.html#group8A0", "8A⁰"), =HYPERLINK("CSG9.html#group120E9", "120E⁹"), =HYPERLINK("CSG7.html#group60Q7", "60Q⁷"), =HYPERLINK("CSG0.html#group5B0", "5B⁰"), =HYPERLINK("CSG3.html#group60B3", "60B³"), =HYPERLINK("CSG0.html#group3A0", "3A⁰"), =HYPERLINK("CSG9.html#group120D9", "120D⁹"), =HYPERLINK("CSG0.html#group1A0", "1A⁰"), =HYPERLINK("CSG1.html#group20B1", "20B¹"), =HYPERLINK("CSG0.html#group15C0", "15C⁰")</f>
        <v/>
      </c>
      <c r="N5982" t="inlineStr"/>
    </row>
    <row r="5983">
      <c r="A5983" t="inlineStr">
        <is>
          <t>120P¹⁹</t>
        </is>
      </c>
      <c r="B5983" t="inlineStr"/>
      <c r="C5983" t="inlineStr">
        <is>
          <t>288</t>
        </is>
      </c>
      <c r="D5983" t="inlineStr">
        <is>
          <t>2</t>
        </is>
      </c>
      <c r="E5983" t="inlineStr">
        <is>
          <t>72</t>
        </is>
      </c>
      <c r="F5983" t="inlineStr">
        <is>
          <t>16</t>
        </is>
      </c>
      <c r="G5983" t="inlineStr">
        <is>
          <t>0</t>
        </is>
      </c>
      <c r="H5983" t="inlineStr">
        <is>
          <t>24², 120²</t>
        </is>
      </c>
      <c r="I5983" t="n">
        <v>4</v>
      </c>
      <c r="J5983" t="inlineStr">
        <is>
          <t>4⁴, 8⁴, 16², 32²</t>
        </is>
      </c>
      <c r="K5983">
        <f>HYPERLINK("CSG7.html#group60R7", "60R⁷"), =HYPERLINK("CSG9.html#group120C9", "120C⁹"), =HYPERLINK("CSG9.html#group120E9", "120E⁹")</f>
        <v/>
      </c>
      <c r="L5983" t="inlineStr"/>
      <c r="M5983">
        <f>HYPERLINK("CSG3.html#group40A3", "40A³"), =HYPERLINK("CSG0.html#group6B0", "6B⁰"), =HYPERLINK("CSG7.html#group60R7", "60R⁷"), =HYPERLINK("CSG0.html#group5B0", "5B⁰"), =HYPERLINK("CSG9.html#group120E9", "120E⁹"), =HYPERLINK("CSG0.html#group12F0", "12F⁰"), =HYPERLINK("CSG0.html#group1A0", "1A⁰"), =HYPERLINK("CSG9.html#group120C9", "120C⁹"), =HYPERLINK("CSG1.html#group20B1", "20B¹"), =HYPERLINK("CSG0.html#group15B0", "15B⁰"), =HYPERLINK("CSG0.html#group12A0", "12A⁰"), =HYPERLINK("CSG0.html#group4A0", "4A⁰"), =HYPERLINK("CSG3.html#group60B3", "60B³"), =HYPERLINK("CSG0.html#group3A0", "3A⁰"), =HYPERLINK("CSG1.html#group30C1", "30C¹")</f>
        <v/>
      </c>
      <c r="N5983" t="inlineStr"/>
    </row>
    <row r="5984">
      <c r="A5984" t="inlineStr">
        <is>
          <t>120Q¹⁹</t>
        </is>
      </c>
      <c r="B5984" t="inlineStr"/>
      <c r="C5984" t="inlineStr">
        <is>
          <t>288</t>
        </is>
      </c>
      <c r="D5984" t="inlineStr">
        <is>
          <t>2</t>
        </is>
      </c>
      <c r="E5984" t="inlineStr">
        <is>
          <t>72</t>
        </is>
      </c>
      <c r="F5984" t="inlineStr">
        <is>
          <t>16</t>
        </is>
      </c>
      <c r="G5984" t="inlineStr">
        <is>
          <t>0</t>
        </is>
      </c>
      <c r="H5984" t="inlineStr">
        <is>
          <t>24², 120²</t>
        </is>
      </c>
      <c r="I5984" t="n">
        <v>4</v>
      </c>
      <c r="J5984" t="inlineStr">
        <is>
          <t>4⁴, 8⁴, 16², 32²</t>
        </is>
      </c>
      <c r="K5984">
        <f>HYPERLINK("CSG2.html#group24K2", "24K²"), =HYPERLINK("CSG7.html#group60R7", "60R⁷"), =HYPERLINK("CSG9.html#group120D9", "120D⁹"), =HYPERLINK("CSG9.html#group120F9", "120F⁹")</f>
        <v/>
      </c>
      <c r="L5984" t="inlineStr"/>
      <c r="M5984">
        <f>HYPERLINK("CSG0.html#group6B0", "6B⁰"), =HYPERLINK("CSG7.html#group60R7", "60R⁷"), =HYPERLINK("CSG0.html#group8A0", "8A⁰"), =HYPERLINK("CSG0.html#group5B0", "5B⁰"), =HYPERLINK("CSG0.html#group12F0", "12F⁰"), =HYPERLINK("CSG1.html#group24B1", "24B¹"), =HYPERLINK("CSG9.html#group120D9", "120D⁹"), =HYPERLINK("CSG0.html#group1A0", "1A⁰"), =HYPERLINK("CSG1.html#group20B1", "20B¹"), =HYPERLINK("CSG0.html#group15B0", "15B⁰"), =HYPERLINK("CSG0.html#group12A0", "12A⁰"), =HYPERLINK("CSG2.html#group24K2", "24K²"), =HYPERLINK("CSG1.html#group24A1", "24A¹"), =HYPERLINK("CSG9.html#group120F9", "120F⁹"), =HYPERLINK("CSG0.html#group4A0", "4A⁰"), =HYPERLINK("CSG3.html#group40B3", "40B³"), =HYPERLINK("CSG3.html#group60B3", "60B³"), =HYPERLINK("CSG0.html#group3A0", "3A⁰"), =HYPERLINK("CSG1.html#group30C1", "30C¹")</f>
        <v/>
      </c>
      <c r="N5984" t="inlineStr"/>
    </row>
    <row r="5985">
      <c r="A5985" t="inlineStr">
        <is>
          <t>120R¹⁹</t>
        </is>
      </c>
      <c r="B5985" t="inlineStr"/>
      <c r="C5985" t="inlineStr">
        <is>
          <t>288</t>
        </is>
      </c>
      <c r="D5985" t="inlineStr">
        <is>
          <t>2</t>
        </is>
      </c>
      <c r="E5985" t="inlineStr">
        <is>
          <t>72</t>
        </is>
      </c>
      <c r="F5985" t="inlineStr">
        <is>
          <t>16</t>
        </is>
      </c>
      <c r="G5985" t="inlineStr">
        <is>
          <t>0</t>
        </is>
      </c>
      <c r="H5985" t="inlineStr">
        <is>
          <t>24², 120²</t>
        </is>
      </c>
      <c r="I5985" t="n">
        <v>4</v>
      </c>
      <c r="J5985" t="inlineStr">
        <is>
          <t>8¹², 32⁶</t>
        </is>
      </c>
      <c r="K5985">
        <f>HYPERLINK("CSG7.html#group60Q7", "60Q⁷"), =HYPERLINK("CSG9.html#group120E9", "120E⁹"), =HYPERLINK("CSG9.html#group120F9", "120F⁹")</f>
        <v/>
      </c>
      <c r="L5985" t="inlineStr"/>
      <c r="M5985">
        <f>HYPERLINK("CSG0.html#group15B0", "15B⁰"), =HYPERLINK("CSG0.html#group12A0", "12A⁰"), =HYPERLINK("CSG9.html#group120F9", "120F⁹"), =HYPERLINK("CSG0.html#group4A0", "4A⁰"), =HYPERLINK("CSG0.html#group5B0", "5B⁰"), =HYPERLINK("CSG9.html#group120E9", "120E⁹"), =HYPERLINK("CSG7.html#group60Q7", "60Q⁷"), =HYPERLINK("CSG3.html#group60B3", "60B³"), =HYPERLINK("CSG1.html#group24B1", "24B¹"), =HYPERLINK("CSG0.html#group3A0", "3A⁰"), =HYPERLINK("CSG0.html#group1A0", "1A⁰"), =HYPERLINK("CSG1.html#group20B1", "20B¹"), =HYPERLINK("CSG0.html#group15C0", "15C⁰")</f>
        <v/>
      </c>
      <c r="N5985" t="inlineStr"/>
    </row>
    <row r="5986">
      <c r="A5986" t="inlineStr">
        <is>
          <t>120S¹⁹</t>
        </is>
      </c>
      <c r="B5986" t="inlineStr"/>
      <c r="C5986" t="inlineStr">
        <is>
          <t>288</t>
        </is>
      </c>
      <c r="D5986" t="inlineStr">
        <is>
          <t>2</t>
        </is>
      </c>
      <c r="E5986" t="inlineStr">
        <is>
          <t>72</t>
        </is>
      </c>
      <c r="F5986" t="inlineStr">
        <is>
          <t>16</t>
        </is>
      </c>
      <c r="G5986" t="inlineStr">
        <is>
          <t>0</t>
        </is>
      </c>
      <c r="H5986" t="inlineStr">
        <is>
          <t>24², 120²</t>
        </is>
      </c>
      <c r="I5986" t="n">
        <v>4</v>
      </c>
      <c r="J5986" t="inlineStr">
        <is>
          <t>8¹², 32⁶</t>
        </is>
      </c>
      <c r="K5986">
        <f>HYPERLINK("CSG7.html#group60Q7", "60Q⁷"), =HYPERLINK("CSG9.html#group120E9", "120E⁹"), =HYPERLINK("CSG9.html#group120F9", "120F⁹")</f>
        <v/>
      </c>
      <c r="L5986" t="inlineStr"/>
      <c r="M5986">
        <f>HYPERLINK("CSG0.html#group15B0", "15B⁰"), =HYPERLINK("CSG0.html#group12A0", "12A⁰"), =HYPERLINK("CSG9.html#group120F9", "120F⁹"), =HYPERLINK("CSG0.html#group4A0", "4A⁰"), =HYPERLINK("CSG0.html#group5B0", "5B⁰"), =HYPERLINK("CSG9.html#group120E9", "120E⁹"), =HYPERLINK("CSG7.html#group60Q7", "60Q⁷"), =HYPERLINK("CSG3.html#group60B3", "60B³"), =HYPERLINK("CSG1.html#group24B1", "24B¹"), =HYPERLINK("CSG0.html#group3A0", "3A⁰"), =HYPERLINK("CSG0.html#group1A0", "1A⁰"), =HYPERLINK("CSG1.html#group20B1", "20B¹"), =HYPERLINK("CSG0.html#group15C0", "15C⁰")</f>
        <v/>
      </c>
      <c r="N5986" t="inlineStr"/>
    </row>
    <row r="5987">
      <c r="A5987" t="inlineStr">
        <is>
          <t>123A¹⁹</t>
        </is>
      </c>
      <c r="B5987" t="inlineStr"/>
      <c r="C5987" t="inlineStr">
        <is>
          <t>252</t>
        </is>
      </c>
      <c r="D5987" t="inlineStr">
        <is>
          <t>1</t>
        </is>
      </c>
      <c r="E5987" t="inlineStr">
        <is>
          <t>126</t>
        </is>
      </c>
      <c r="F5987" t="inlineStr">
        <is>
          <t>4</t>
        </is>
      </c>
      <c r="G5987" t="inlineStr">
        <is>
          <t>0</t>
        </is>
      </c>
      <c r="H5987" t="inlineStr">
        <is>
          <t>3², 123²</t>
        </is>
      </c>
      <c r="I5987" t="n">
        <v>4</v>
      </c>
      <c r="J5987" t="inlineStr">
        <is>
          <t>1², 2², 40¹, 80¹</t>
        </is>
      </c>
      <c r="K5987">
        <f>HYPERLINK("CSG9.html#group123A9", "123A⁹")</f>
        <v/>
      </c>
      <c r="L5987" t="inlineStr"/>
      <c r="M5987">
        <f>HYPERLINK("CSG0.html#group3A0", "3A⁰"), =HYPERLINK("CSG9.html#group123A9", "123A⁹"), =HYPERLINK("CSG0.html#group1A0", "1A⁰"), =HYPERLINK("CSG3.html#group41A3", "41A³")</f>
        <v/>
      </c>
      <c r="N5987" t="inlineStr"/>
    </row>
    <row r="5988">
      <c r="A5988" t="inlineStr">
        <is>
          <t>123B¹⁹</t>
        </is>
      </c>
      <c r="B5988" t="inlineStr"/>
      <c r="C5988" t="inlineStr">
        <is>
          <t>252</t>
        </is>
      </c>
      <c r="D5988" t="inlineStr">
        <is>
          <t>1</t>
        </is>
      </c>
      <c r="E5988" t="inlineStr">
        <is>
          <t>126</t>
        </is>
      </c>
      <c r="F5988" t="inlineStr">
        <is>
          <t>4</t>
        </is>
      </c>
      <c r="G5988" t="inlineStr">
        <is>
          <t>0</t>
        </is>
      </c>
      <c r="H5988" t="inlineStr">
        <is>
          <t>3², 123²</t>
        </is>
      </c>
      <c r="I5988" t="n">
        <v>4</v>
      </c>
      <c r="J5988" t="inlineStr">
        <is>
          <t>1², 2², 40¹, 80¹</t>
        </is>
      </c>
      <c r="K5988">
        <f>HYPERLINK("CSG0.html#group3C0", "3C⁰"), =HYPERLINK("CSG9.html#group123A9", "123A⁹")</f>
        <v/>
      </c>
      <c r="L5988" t="inlineStr"/>
      <c r="M5988">
        <f>HYPERLINK("CSG9.html#group123A9", "123A⁹"), =HYPERLINK("CSG0.html#group3C0", "3C⁰"), =HYPERLINK("CSG3.html#group41A3", "41A³"), =HYPERLINK("CSG0.html#group3A0", "3A⁰"), =HYPERLINK("CSG0.html#group1A0", "1A⁰")</f>
        <v/>
      </c>
      <c r="N5988" t="inlineStr"/>
    </row>
    <row r="5989">
      <c r="A5989" t="inlineStr">
        <is>
          <t>124A¹⁹</t>
        </is>
      </c>
      <c r="B5989" t="inlineStr"/>
      <c r="C5989" t="inlineStr">
        <is>
          <t>256</t>
        </is>
      </c>
      <c r="D5989" t="inlineStr">
        <is>
          <t>1</t>
        </is>
      </c>
      <c r="E5989" t="inlineStr">
        <is>
          <t>128</t>
        </is>
      </c>
      <c r="F5989" t="inlineStr">
        <is>
          <t>0</t>
        </is>
      </c>
      <c r="G5989" t="inlineStr">
        <is>
          <t>4</t>
        </is>
      </c>
      <c r="H5989" t="inlineStr">
        <is>
          <t>4², 124²</t>
        </is>
      </c>
      <c r="I5989" t="n">
        <v>4</v>
      </c>
      <c r="J5989" t="inlineStr">
        <is>
          <t>2⁴, 60²</t>
        </is>
      </c>
      <c r="K5989">
        <f>HYPERLINK("CSG0.html#group4D0", "4D⁰"), =HYPERLINK("CSG4.html#group62A4", "62A⁴"), =HYPERLINK("CSG10.html#group124A10", "124A¹⁰")</f>
        <v/>
      </c>
      <c r="L5989" t="inlineStr"/>
      <c r="M5989">
        <f>HYPERLINK("CSG10.html#group124A10", "124A¹⁰"), =HYPERLINK("CSG0.html#group2A0", "2A⁰"), =HYPERLINK("CSG0.html#group4A0", "4A⁰"), =HYPERLINK("CSG0.html#group4D0", "4D⁰"), =HYPERLINK("CSG2.html#group31A2", "31A²"), =HYPERLINK("CSG0.html#group1A0", "1A⁰"), =HYPERLINK("CSG4.html#group62A4", "62A⁴")</f>
        <v/>
      </c>
      <c r="N5989" t="inlineStr"/>
    </row>
    <row r="5990">
      <c r="A5990" t="inlineStr">
        <is>
          <t>126A¹⁹</t>
        </is>
      </c>
      <c r="B5990" t="inlineStr"/>
      <c r="C5990" t="inlineStr">
        <is>
          <t>252</t>
        </is>
      </c>
      <c r="D5990" t="inlineStr">
        <is>
          <t>2</t>
        </is>
      </c>
      <c r="E5990" t="inlineStr">
        <is>
          <t>63</t>
        </is>
      </c>
      <c r="F5990" t="inlineStr">
        <is>
          <t>8</t>
        </is>
      </c>
      <c r="G5990" t="inlineStr">
        <is>
          <t>0</t>
        </is>
      </c>
      <c r="H5990" t="inlineStr">
        <is>
          <t>126²</t>
        </is>
      </c>
      <c r="I5990" t="n">
        <v>2</v>
      </c>
      <c r="J5990" t="inlineStr">
        <is>
          <t>2¹, 4¹, 6², 12³, 36²</t>
        </is>
      </c>
      <c r="K5990">
        <f>HYPERLINK("CSG5.html#group42F5", "42F⁵"), =HYPERLINK("CSG7.html#group126A7", "126A⁷"), =HYPERLINK("CSG8.html#group63A8", "63A⁸"), =HYPERLINK("CSG8.html#group126A8", "126A⁸")</f>
        <v/>
      </c>
      <c r="L5990" t="inlineStr"/>
      <c r="M5990">
        <f>HYPERLINK("CSG5.html#group42F5", "42F⁵"), =HYPERLINK("CSG7.html#group126A7", "126A⁷"), =HYPERLINK("CSG0.html#group6B0", "6B⁰"), =HYPERLINK("CSG2.html#group21C2", "21C²"), =HYPERLINK("CSG0.html#group21A0", "21A⁰"), =HYPERLINK("CSG0.html#group1A0", "1A⁰"), =HYPERLINK("CSG2.html#group63A2", "63A²"), =HYPERLINK("CSG8.html#group126A8", "126A⁸"), =HYPERLINK("CSG8.html#group63A8", "63A⁸"), =HYPERLINK("CSG2.html#group42A2", "42A²"), =HYPERLINK("CSG0.html#group9A0", "9A⁰"), =HYPERLINK("CSG0.html#group7C0", "7C⁰"), =HYPERLINK("CSG1.html#group42B1", "42B¹"), =HYPERLINK("CSG0.html#group3A0", "3A⁰"), =HYPERLINK("CSG1.html#group18A1", "18A¹"), =HYPERLINK("CSG0.html#group7A0", "7A⁰")</f>
        <v/>
      </c>
      <c r="N5990" t="inlineStr"/>
    </row>
    <row r="5991">
      <c r="A5991" t="inlineStr">
        <is>
          <t>126B¹⁹</t>
        </is>
      </c>
      <c r="B5991" t="inlineStr"/>
      <c r="C5991" t="inlineStr">
        <is>
          <t>252</t>
        </is>
      </c>
      <c r="D5991" t="inlineStr">
        <is>
          <t>2</t>
        </is>
      </c>
      <c r="E5991" t="inlineStr">
        <is>
          <t>63</t>
        </is>
      </c>
      <c r="F5991" t="inlineStr">
        <is>
          <t>8</t>
        </is>
      </c>
      <c r="G5991" t="inlineStr">
        <is>
          <t>0</t>
        </is>
      </c>
      <c r="H5991" t="inlineStr">
        <is>
          <t>126²</t>
        </is>
      </c>
      <c r="I5991" t="n">
        <v>2</v>
      </c>
      <c r="J5991" t="inlineStr">
        <is>
          <t>4³, 12⁸, 36⁴</t>
        </is>
      </c>
      <c r="K5991">
        <f>HYPERLINK("CSG5.html#group42E5", "42E⁵"), =HYPERLINK("CSG6.html#group126A6", "126A⁶"), =HYPERLINK("CSG8.html#group126B8", "126B⁸"), =HYPERLINK("CSG9.html#group63A9", "63A⁹")</f>
        <v/>
      </c>
      <c r="L5991" t="inlineStr"/>
      <c r="M5991">
        <f>HYPERLINK("CSG9.html#group63A9", "63A⁹"), =HYPERLINK("CSG0.html#group14A0", "14A⁰"), =HYPERLINK("CSG2.html#group21D2", "21D²"), =HYPERLINK("CSG1.html#group42A1", "42A¹"), =HYPERLINK("CSG0.html#group21A0", "21A⁰"), =HYPERLINK("CSG0.html#group1A0", "1A⁰"), =HYPERLINK("CSG1.html#group9B1", "9B¹"), =HYPERLINK("CSG2.html#group63A2", "63A²"), =HYPERLINK("CSG2.html#group42A2", "42A²"), =HYPERLINK("CSG6.html#group126A6", "126A⁶"), =HYPERLINK("CSG5.html#group42E5", "42E⁵"), =HYPERLINK("CSG0.html#group9A0", "9A⁰"), =HYPERLINK("CSG0.html#group3C0", "3C⁰"), =HYPERLINK("CSG0.html#group3A0", "3A⁰"), =HYPERLINK("CSG8.html#group126B8", "126B⁸"), =HYPERLINK("CSG0.html#group7A0", "7A⁰")</f>
        <v/>
      </c>
      <c r="N5991" t="inlineStr"/>
    </row>
    <row r="5992">
      <c r="A5992" t="inlineStr">
        <is>
          <t>126C¹⁹</t>
        </is>
      </c>
      <c r="B5992" t="inlineStr"/>
      <c r="C5992" t="inlineStr">
        <is>
          <t>252</t>
        </is>
      </c>
      <c r="D5992" t="inlineStr">
        <is>
          <t>2</t>
        </is>
      </c>
      <c r="E5992" t="inlineStr">
        <is>
          <t>63</t>
        </is>
      </c>
      <c r="F5992" t="inlineStr">
        <is>
          <t>8</t>
        </is>
      </c>
      <c r="G5992" t="inlineStr">
        <is>
          <t>0</t>
        </is>
      </c>
      <c r="H5992" t="inlineStr">
        <is>
          <t>126²</t>
        </is>
      </c>
      <c r="I5992" t="n">
        <v>2</v>
      </c>
      <c r="J5992" t="inlineStr">
        <is>
          <t>4³, 12⁸, 36⁴</t>
        </is>
      </c>
      <c r="K5992">
        <f>HYPERLINK("CSG5.html#group42E5", "42E⁵"), =HYPERLINK("CSG6.html#group126A6", "126A⁶"), =HYPERLINK("CSG8.html#group126C8", "126C⁸"), =HYPERLINK("CSG9.html#group63B9", "63B⁹")</f>
        <v/>
      </c>
      <c r="L5992" t="inlineStr"/>
      <c r="M5992">
        <f>HYPERLINK("CSG0.html#group14A0", "14A⁰"), =HYPERLINK("CSG2.html#group21D2", "21D²"), =HYPERLINK("CSG1.html#group42A1", "42A¹"), =HYPERLINK("CSG0.html#group21A0", "21A⁰"), =HYPERLINK("CSG9.html#group63B9", "63B⁹"), =HYPERLINK("CSG0.html#group1A0", "1A⁰"), =HYPERLINK("CSG1.html#group9B1", "9B¹"), =HYPERLINK("CSG2.html#group63A2", "63A²"), =HYPERLINK("CSG8.html#group126C8", "126C⁸"), =HYPERLINK("CSG2.html#group42A2", "42A²"), =HYPERLINK("CSG6.html#group126A6", "126A⁶"), =HYPERLINK("CSG5.html#group42E5", "42E⁵"), =HYPERLINK("CSG0.html#group9A0", "9A⁰"), =HYPERLINK("CSG0.html#group3C0", "3C⁰"), =HYPERLINK("CSG0.html#group3A0", "3A⁰"), =HYPERLINK("CSG0.html#group7A0", "7A⁰")</f>
        <v/>
      </c>
      <c r="N5992" t="inlineStr"/>
    </row>
    <row r="5993">
      <c r="A5993" t="inlineStr">
        <is>
          <t>126D¹⁹</t>
        </is>
      </c>
      <c r="B5993" t="inlineStr"/>
      <c r="C5993" t="inlineStr">
        <is>
          <t>252</t>
        </is>
      </c>
      <c r="D5993" t="inlineStr">
        <is>
          <t>2</t>
        </is>
      </c>
      <c r="E5993" t="inlineStr">
        <is>
          <t>126</t>
        </is>
      </c>
      <c r="F5993" t="inlineStr">
        <is>
          <t>4</t>
        </is>
      </c>
      <c r="G5993" t="inlineStr">
        <is>
          <t>0</t>
        </is>
      </c>
      <c r="H5993" t="inlineStr">
        <is>
          <t>42³, 126¹</t>
        </is>
      </c>
      <c r="I5993" t="n">
        <v>4</v>
      </c>
      <c r="J5993" t="inlineStr">
        <is>
          <t>2¹, 4¹, 6³, 12⁴, 18², 36⁴</t>
        </is>
      </c>
      <c r="K5993">
        <f>HYPERLINK("CSG6.html#group42A6", "42A⁶"), =HYPERLINK("CSG8.html#group63B8", "63B⁸")</f>
        <v/>
      </c>
      <c r="L5993" t="inlineStr"/>
      <c r="M5993">
        <f>HYPERLINK("CSG2.html#group21D2", "21D²"), =HYPERLINK("CSG2.html#group42A2", "42A²"), =HYPERLINK("CSG6.html#group42A6", "42A⁶"), =HYPERLINK("CSG0.html#group21A0", "21A⁰"), =HYPERLINK("CSG0.html#group3C0", "3C⁰"), =HYPERLINK("CSG0.html#group9E0", "9E⁰"), =HYPERLINK("CSG0.html#group3A0", "3A⁰"), =HYPERLINK("CSG0.html#group1A0", "1A⁰"), =HYPERLINK("CSG0.html#group7A0", "7A⁰"), =HYPERLINK("CSG8.html#group63B8", "63B⁸")</f>
        <v/>
      </c>
      <c r="N5993" t="inlineStr"/>
    </row>
    <row r="5994">
      <c r="A5994" t="inlineStr">
        <is>
          <t>126E¹⁹</t>
        </is>
      </c>
      <c r="B5994" t="inlineStr"/>
      <c r="C5994" t="inlineStr">
        <is>
          <t>252</t>
        </is>
      </c>
      <c r="D5994" t="inlineStr">
        <is>
          <t>2</t>
        </is>
      </c>
      <c r="E5994" t="inlineStr">
        <is>
          <t>126</t>
        </is>
      </c>
      <c r="F5994" t="inlineStr">
        <is>
          <t>8</t>
        </is>
      </c>
      <c r="G5994" t="inlineStr">
        <is>
          <t>0</t>
        </is>
      </c>
      <c r="H5994" t="inlineStr">
        <is>
          <t>126²</t>
        </is>
      </c>
      <c r="I5994" t="n">
        <v>2</v>
      </c>
      <c r="J5994" t="inlineStr">
        <is>
          <t>4³, 12⁸, 36⁴</t>
        </is>
      </c>
      <c r="K5994">
        <f>HYPERLINK("CSG5.html#group42F5", "42F⁵"), =HYPERLINK("CSG8.html#group126D8", "126D⁸")</f>
        <v/>
      </c>
      <c r="L5994" t="inlineStr"/>
      <c r="M5994">
        <f>HYPERLINK("CSG5.html#group42F5", "42F⁵"), =HYPERLINK("CSG0.html#group6B0", "6B⁰"), =HYPERLINK("CSG2.html#group42A2", "42A²"), =HYPERLINK("CSG0.html#group7C0", "7C⁰"), =HYPERLINK("CSG2.html#group21C2", "21C²"), =HYPERLINK("CSG1.html#group18B1", "18B¹"), =HYPERLINK("CSG0.html#group21A0", "21A⁰"), =HYPERLINK("CSG1.html#group42B1", "42B¹"), =HYPERLINK("CSG0.html#group3A0", "3A⁰"), =HYPERLINK("CSG0.html#group1A0", "1A⁰"), =HYPERLINK("CSG8.html#group126D8", "126D⁸"), =HYPERLINK("CSG0.html#group7A0", "7A⁰")</f>
        <v/>
      </c>
      <c r="N5994" t="inlineStr"/>
    </row>
    <row r="5995">
      <c r="A5995" t="inlineStr">
        <is>
          <t>128A¹⁹</t>
        </is>
      </c>
      <c r="B5995" t="inlineStr"/>
      <c r="C5995" t="inlineStr">
        <is>
          <t>384</t>
        </is>
      </c>
      <c r="D5995" t="inlineStr">
        <is>
          <t>1</t>
        </is>
      </c>
      <c r="E5995" t="inlineStr">
        <is>
          <t>48</t>
        </is>
      </c>
      <c r="F5995" t="inlineStr">
        <is>
          <t>0</t>
        </is>
      </c>
      <c r="G5995" t="inlineStr">
        <is>
          <t>0</t>
        </is>
      </c>
      <c r="H5995" t="inlineStr">
        <is>
          <t>2¹⁶, 4⁸, 32², 128²</t>
        </is>
      </c>
      <c r="I5995" t="n">
        <v>28</v>
      </c>
      <c r="J5995" t="inlineStr">
        <is>
          <t>2⁴, 4⁶, 8²</t>
        </is>
      </c>
      <c r="K5995">
        <f>HYPERLINK("CSG7.html#group64K7", "64K⁷")</f>
        <v/>
      </c>
      <c r="L5995" t="inlineStr"/>
      <c r="M5995">
        <f>HYPERLINK("CSG0.html#group2A0", "2A⁰"), =HYPERLINK("CSG0.html#group8D0", "8D⁰"), =HYPERLINK("CSG1.html#group16E1", "16E¹"), =HYPERLINK("CSG0.html#group4C0", "4C⁰"), =HYPERLINK("CSG1.html#group16A1", "16A¹"), =HYPERLINK("CSG0.html#group8C0", "8C⁰"), =HYPERLINK("CSG0.html#group2B0", "2B⁰"), =HYPERLINK("CSG0.html#group4E0", "4E⁰"), =HYPERLINK("CSG3.html#group32K3", "32K³"), =HYPERLINK("CSG0.html#group4B0", "4B⁰"), =HYPERLINK("CSG0.html#group1A0", "1A⁰"), =HYPERLINK("CSG0.html#group8G0", "8G⁰"), =HYPERLINK("CSG0.html#group16C0", "16C⁰"), =HYPERLINK("CSG0.html#group32A0", "32A⁰"), =HYPERLINK("CSG7.html#group64K7", "64K⁷"), =HYPERLINK("CSG2.html#group32A2", "32A²"), =HYPERLINK("CSG2.html#group64A2", "64A²"), =HYPERLINK("CSG0.html#group2C0", "2C⁰")</f>
        <v/>
      </c>
      <c r="N5995" t="inlineStr"/>
    </row>
    <row r="5996">
      <c r="A5996" t="inlineStr">
        <is>
          <t>130A¹⁹</t>
        </is>
      </c>
      <c r="B5996" t="inlineStr"/>
      <c r="C5996" t="inlineStr">
        <is>
          <t>280</t>
        </is>
      </c>
      <c r="D5996" t="inlineStr">
        <is>
          <t>1</t>
        </is>
      </c>
      <c r="E5996" t="inlineStr">
        <is>
          <t>140</t>
        </is>
      </c>
      <c r="F5996" t="inlineStr">
        <is>
          <t>8</t>
        </is>
      </c>
      <c r="G5996" t="inlineStr">
        <is>
          <t>4</t>
        </is>
      </c>
      <c r="H5996" t="inlineStr">
        <is>
          <t>10², 130²</t>
        </is>
      </c>
      <c r="I5996" t="n">
        <v>4</v>
      </c>
      <c r="J5996" t="inlineStr">
        <is>
          <t>2², 4⁴, 24¹, 48²</t>
        </is>
      </c>
      <c r="K5996">
        <f>HYPERLINK("CSG0.html#group10D0", "10D⁰"), =HYPERLINK("CSG9.html#group65A9", "65A⁹")</f>
        <v/>
      </c>
      <c r="L5996" t="inlineStr"/>
      <c r="M5996">
        <f>HYPERLINK("CSG0.html#group13A0", "13A⁰"), =HYPERLINK("CSG0.html#group1A0", "1A⁰"), =HYPERLINK("CSG9.html#group65A9", "65A⁹"), =HYPERLINK("CSG0.html#group5C0", "5C⁰"), =HYPERLINK("CSG0.html#group10D0", "10D⁰")</f>
        <v/>
      </c>
      <c r="N5996" t="inlineStr"/>
    </row>
    <row r="5997">
      <c r="A5997" t="inlineStr">
        <is>
          <t>130B¹⁹</t>
        </is>
      </c>
      <c r="B5997" t="inlineStr"/>
      <c r="C5997" t="inlineStr">
        <is>
          <t>280</t>
        </is>
      </c>
      <c r="D5997" t="inlineStr">
        <is>
          <t>1</t>
        </is>
      </c>
      <c r="E5997" t="inlineStr">
        <is>
          <t>140</t>
        </is>
      </c>
      <c r="F5997" t="inlineStr">
        <is>
          <t>8</t>
        </is>
      </c>
      <c r="G5997" t="inlineStr">
        <is>
          <t>4</t>
        </is>
      </c>
      <c r="H5997" t="inlineStr">
        <is>
          <t>10², 130²</t>
        </is>
      </c>
      <c r="I5997" t="n">
        <v>4</v>
      </c>
      <c r="J5997" t="inlineStr">
        <is>
          <t>2², 4⁴, 24¹, 48²</t>
        </is>
      </c>
      <c r="K5997">
        <f>HYPERLINK("CSG0.html#group26A0", "26A⁰"), =HYPERLINK("CSG9.html#group65A9", "65A⁹")</f>
        <v/>
      </c>
      <c r="L5997" t="inlineStr"/>
      <c r="M5997">
        <f>HYPERLINK("CSG0.html#group13A0", "13A⁰"), =HYPERLINK("CSG0.html#group1A0", "1A⁰"), =HYPERLINK("CSG9.html#group65A9", "65A⁹"), =HYPERLINK("CSG0.html#group26A0", "26A⁰"), =HYPERLINK("CSG0.html#group5C0", "5C⁰")</f>
        <v/>
      </c>
      <c r="N5997" t="inlineStr"/>
    </row>
    <row r="5998">
      <c r="A5998" t="inlineStr">
        <is>
          <t>132A¹⁹</t>
        </is>
      </c>
      <c r="B5998" t="inlineStr"/>
      <c r="C5998" t="inlineStr">
        <is>
          <t>264</t>
        </is>
      </c>
      <c r="D5998" t="inlineStr">
        <is>
          <t>2</t>
        </is>
      </c>
      <c r="E5998" t="inlineStr">
        <is>
          <t>66</t>
        </is>
      </c>
      <c r="F5998" t="inlineStr">
        <is>
          <t>12</t>
        </is>
      </c>
      <c r="G5998" t="inlineStr">
        <is>
          <t>0</t>
        </is>
      </c>
      <c r="H5998" t="inlineStr">
        <is>
          <t>132²</t>
        </is>
      </c>
      <c r="I5998" t="n">
        <v>2</v>
      </c>
      <c r="J5998" t="inlineStr">
        <is>
          <t>4¹, 8¹, 20², 40²</t>
        </is>
      </c>
      <c r="K5998">
        <f>HYPERLINK("CSG1.html#group12D1", "12D¹"), =HYPERLINK("CSG8.html#group66B8", "66B⁸")</f>
        <v/>
      </c>
      <c r="L5998" t="inlineStr"/>
      <c r="M5998">
        <f>HYPERLINK("CSG1.html#group12D1", "12D¹"), =HYPERLINK("CSG0.html#group6B0", "6B⁰"), =HYPERLINK("CSG1.html#group33A1", "33A¹"), =HYPERLINK("CSG8.html#group66B8", "66B⁸"), =HYPERLINK("CSG0.html#group1A0", "1A⁰"), =HYPERLINK("CSG4.html#group33A4", "33A⁴"), =HYPERLINK("CSG0.html#group11A0", "11A⁰"), =HYPERLINK("CSG0.html#group6E0", "6E⁰"), =HYPERLINK("CSG3.html#group66A3", "66A³"), =HYPERLINK("CSG0.html#group3C0", "3C⁰"), =HYPERLINK("CSG0.html#group3A0", "3A⁰")</f>
        <v/>
      </c>
      <c r="N5998" t="inlineStr"/>
    </row>
    <row r="5999">
      <c r="A5999" t="inlineStr">
        <is>
          <t>132B¹⁹</t>
        </is>
      </c>
      <c r="B5999" t="inlineStr"/>
      <c r="C5999" t="inlineStr">
        <is>
          <t>264</t>
        </is>
      </c>
      <c r="D5999" t="inlineStr">
        <is>
          <t>2</t>
        </is>
      </c>
      <c r="E5999" t="inlineStr">
        <is>
          <t>132</t>
        </is>
      </c>
      <c r="F5999" t="inlineStr">
        <is>
          <t>12</t>
        </is>
      </c>
      <c r="G5999" t="inlineStr">
        <is>
          <t>0</t>
        </is>
      </c>
      <c r="H5999" t="inlineStr">
        <is>
          <t>132²</t>
        </is>
      </c>
      <c r="I5999" t="n">
        <v>2</v>
      </c>
      <c r="J5999" t="inlineStr">
        <is>
          <t>4², 8², 20⁴, 40⁴</t>
        </is>
      </c>
      <c r="K5999">
        <f>HYPERLINK("CSG1.html#group12G1", "12G¹"), =HYPERLINK("CSG4.html#group33A4", "33A⁴"), =HYPERLINK("CSG7.html#group132A7", "132A⁷")</f>
        <v/>
      </c>
      <c r="L5999" t="inlineStr"/>
      <c r="M5999">
        <f>HYPERLINK("CSG1.html#group12G1", "12G¹"), =HYPERLINK("CSG0.html#group11A0", "11A⁰"), =HYPERLINK("CSG7.html#group132A7", "132A⁷"), =HYPERLINK("CSG0.html#group12A0", "12A⁰"), =HYPERLINK("CSG2.html#group44A2", "44A²"), =HYPERLINK("CSG0.html#group4A0", "4A⁰"), =HYPERLINK("CSG1.html#group33A1", "33A¹"), =HYPERLINK("CSG0.html#group3C0", "3C⁰"), =HYPERLINK("CSG0.html#group3A0", "3A⁰"), =HYPERLINK("CSG0.html#group1A0", "1A⁰"), =HYPERLINK("CSG4.html#group33A4", "33A⁴")</f>
        <v/>
      </c>
      <c r="N5999" t="inlineStr"/>
    </row>
    <row r="6000">
      <c r="A6000" t="inlineStr">
        <is>
          <t>132C¹⁹</t>
        </is>
      </c>
      <c r="B6000" t="inlineStr"/>
      <c r="C6000" t="inlineStr">
        <is>
          <t>288</t>
        </is>
      </c>
      <c r="D6000" t="inlineStr">
        <is>
          <t>1</t>
        </is>
      </c>
      <c r="E6000" t="inlineStr">
        <is>
          <t>144</t>
        </is>
      </c>
      <c r="F6000" t="inlineStr">
        <is>
          <t>0</t>
        </is>
      </c>
      <c r="G6000" t="inlineStr">
        <is>
          <t>0</t>
        </is>
      </c>
      <c r="H6000" t="inlineStr">
        <is>
          <t>1², 3², 4¹, 11², 12¹, 33², 44¹, 132¹</t>
        </is>
      </c>
      <c r="I6000" t="n">
        <v>12</v>
      </c>
      <c r="J6000" t="inlineStr">
        <is>
          <t>1¹², 2⁶, 10⁶, 20³</t>
        </is>
      </c>
      <c r="K6000">
        <f>HYPERLINK("CSG9.html#group66A9", "66A⁹")</f>
        <v/>
      </c>
      <c r="L6000" t="inlineStr"/>
      <c r="M6000">
        <f>HYPERLINK("CSG0.html#group3B0", "3B⁰"), =HYPERLINK("CSG1.html#group11A1", "11A¹"), =HYPERLINK("CSG9.html#group66A9", "66A⁹"), =HYPERLINK("CSG0.html#group1A0", "1A⁰"), =HYPERLINK("CSG0.html#group2B0", "2B⁰"), =HYPERLINK("CSG2.html#group22C2", "22C²"), =HYPERLINK("CSG0.html#group6F0", "6F⁰"), =HYPERLINK("CSG3.html#group33C3", "33C³")</f>
        <v/>
      </c>
      <c r="N6000" t="inlineStr"/>
    </row>
    <row r="6001">
      <c r="A6001" t="inlineStr">
        <is>
          <t>132D¹⁹</t>
        </is>
      </c>
      <c r="B6001" t="inlineStr">
        <is>
          <t>Γ₀(132)</t>
        </is>
      </c>
      <c r="C6001" t="inlineStr">
        <is>
          <t>288</t>
        </is>
      </c>
      <c r="D6001" t="inlineStr">
        <is>
          <t>1</t>
        </is>
      </c>
      <c r="E6001" t="inlineStr">
        <is>
          <t>144</t>
        </is>
      </c>
      <c r="F6001" t="inlineStr">
        <is>
          <t>0</t>
        </is>
      </c>
      <c r="G6001" t="inlineStr">
        <is>
          <t>0</t>
        </is>
      </c>
      <c r="H6001" t="inlineStr">
        <is>
          <t>1², 3², 4¹, 11², 12¹, 33², 44¹, 132¹</t>
        </is>
      </c>
      <c r="I6001" t="n">
        <v>12</v>
      </c>
      <c r="J6001" t="inlineStr">
        <is>
          <t>1¹², 2⁶, 10⁶, 20³</t>
        </is>
      </c>
      <c r="K6001">
        <f>HYPERLINK("CSG0.html#group12E0", "12E⁰"), =HYPERLINK("CSG4.html#group44D4", "44D⁴"), =HYPERLINK("CSG9.html#group66A9", "66A⁹")</f>
        <v/>
      </c>
      <c r="L6001" t="inlineStr"/>
      <c r="M6001">
        <f>HYPERLINK("CSG0.html#group3B0", "3B⁰"), =HYPERLINK("CSG1.html#group11A1", "11A¹"), =HYPERLINK("CSG9.html#group66A9", "66A⁹"), =HYPERLINK("CSG0.html#group6F0", "6F⁰"), =HYPERLINK("CSG0.html#group2B0", "2B⁰"), =HYPERLINK("CSG0.html#group4B0", "4B⁰"), =HYPERLINK("CSG2.html#group22C2", "22C²"), =HYPERLINK("CSG0.html#group1A0", "1A⁰"), =HYPERLINK("CSG4.html#group44D4", "44D⁴"), =HYPERLINK("CSG0.html#group12E0", "12E⁰"), =HYPERLINK("CSG3.html#group33C3", "33C³")</f>
        <v/>
      </c>
      <c r="N6001" t="inlineStr"/>
    </row>
    <row r="6002">
      <c r="A6002" t="inlineStr">
        <is>
          <t>140A¹⁹</t>
        </is>
      </c>
      <c r="B6002" t="inlineStr"/>
      <c r="C6002" t="inlineStr">
        <is>
          <t>240</t>
        </is>
      </c>
      <c r="D6002" t="inlineStr">
        <is>
          <t>1</t>
        </is>
      </c>
      <c r="E6002" t="inlineStr">
        <is>
          <t>120</t>
        </is>
      </c>
      <c r="F6002" t="inlineStr">
        <is>
          <t>0</t>
        </is>
      </c>
      <c r="G6002" t="inlineStr">
        <is>
          <t>0</t>
        </is>
      </c>
      <c r="H6002" t="inlineStr">
        <is>
          <t>10¹, 20¹, 70¹, 140¹</t>
        </is>
      </c>
      <c r="I6002" t="n">
        <v>4</v>
      </c>
      <c r="J6002" t="inlineStr">
        <is>
          <t>1⁶, 4⁶, 6³, 24³</t>
        </is>
      </c>
      <c r="K6002">
        <f>HYPERLINK("CSG2.html#group20B2", "20B²"), =HYPERLINK("CSG3.html#group28C3", "28C³"), =HYPERLINK("CSG9.html#group70A9", "70A⁹")</f>
        <v/>
      </c>
      <c r="L6002" t="inlineStr"/>
      <c r="M6002">
        <f>HYPERLINK("CSG0.html#group5A0", "5A⁰"), =HYPERLINK("CSG9.html#group70A9", "70A⁹"), =HYPERLINK("CSG0.html#group7B0", "7B⁰"), =HYPERLINK("CSG2.html#group20B2", "20B²"), =HYPERLINK("CSG0.html#group4C0", "4C⁰"), =HYPERLINK("CSG1.html#group14C1", "14C¹"), =HYPERLINK("CSG1.html#group10B1", "10B¹"), =HYPERLINK("CSG0.html#group2B0", "2B⁰"), =HYPERLINK("CSG2.html#group35B2", "35B²"), =HYPERLINK("CSG3.html#group28C3", "28C³"), =HYPERLINK("CSG0.html#group1A0", "1A⁰")</f>
        <v/>
      </c>
      <c r="N6002" t="inlineStr"/>
    </row>
    <row r="6003">
      <c r="A6003" t="inlineStr">
        <is>
          <t>140B¹⁹</t>
        </is>
      </c>
      <c r="B6003" t="inlineStr"/>
      <c r="C6003" t="inlineStr">
        <is>
          <t>252</t>
        </is>
      </c>
      <c r="D6003" t="inlineStr">
        <is>
          <t>2</t>
        </is>
      </c>
      <c r="E6003" t="inlineStr">
        <is>
          <t>126</t>
        </is>
      </c>
      <c r="F6003" t="inlineStr">
        <is>
          <t>0</t>
        </is>
      </c>
      <c r="G6003" t="inlineStr">
        <is>
          <t>0</t>
        </is>
      </c>
      <c r="H6003" t="inlineStr">
        <is>
          <t>7², 28¹, 35², 140¹</t>
        </is>
      </c>
      <c r="I6003" t="n">
        <v>6</v>
      </c>
      <c r="J6003" t="inlineStr">
        <is>
          <t>2⁶, 6¹², 8³, 24⁶</t>
        </is>
      </c>
      <c r="K6003">
        <f>HYPERLINK("CSG1.html#group20D1", "20D¹"), =HYPERLINK("CSG3.html#group28A3", "28A³"), =HYPERLINK("CSG8.html#group70B8", "70B⁸")</f>
        <v/>
      </c>
      <c r="L6003" t="inlineStr"/>
      <c r="M6003">
        <f>HYPERLINK("CSG2.html#group35C2", "35C²"), =HYPERLINK("CSG1.html#group14B1", "14B¹"), =HYPERLINK("CSG0.html#group5B0", "5B⁰"), =HYPERLINK("CSG8.html#group70B8", "70B⁸"), =HYPERLINK("CSG3.html#group28A3", "28A³"), =HYPERLINK("CSG0.html#group10C0", "10C⁰"), =HYPERLINK("CSG1.html#group20D1", "20D¹"), =HYPERLINK("CSG0.html#group2B0", "2B⁰"), =HYPERLINK("CSG0.html#group4B0", "4B⁰"), =HYPERLINK("CSG0.html#group1A0", "1A⁰"), =HYPERLINK("CSG0.html#group7A0", "7A⁰")</f>
        <v/>
      </c>
      <c r="N6003" t="inlineStr"/>
    </row>
    <row r="6004">
      <c r="A6004" t="inlineStr">
        <is>
          <t>140C¹⁹</t>
        </is>
      </c>
      <c r="B6004" t="inlineStr"/>
      <c r="C6004" t="inlineStr">
        <is>
          <t>252</t>
        </is>
      </c>
      <c r="D6004" t="inlineStr">
        <is>
          <t>2</t>
        </is>
      </c>
      <c r="E6004" t="inlineStr">
        <is>
          <t>126</t>
        </is>
      </c>
      <c r="F6004" t="inlineStr">
        <is>
          <t>4</t>
        </is>
      </c>
      <c r="G6004" t="inlineStr">
        <is>
          <t>0</t>
        </is>
      </c>
      <c r="H6004" t="inlineStr">
        <is>
          <t>14¹, 28¹, 70¹, 140¹</t>
        </is>
      </c>
      <c r="I6004" t="n">
        <v>4</v>
      </c>
      <c r="J6004" t="inlineStr">
        <is>
          <t>2⁶, 6¹², 8³, 24⁶</t>
        </is>
      </c>
      <c r="K6004">
        <f>HYPERLINK("CSG3.html#group28B3", "28B³"), =HYPERLINK("CSG8.html#group70B8", "70B⁸")</f>
        <v/>
      </c>
      <c r="L6004" t="inlineStr"/>
      <c r="M6004">
        <f>HYPERLINK("CSG2.html#group35C2", "35C²"), =HYPERLINK("CSG1.html#group14B1", "14B¹"), =HYPERLINK("CSG0.html#group5B0", "5B⁰"), =HYPERLINK("CSG8.html#group70B8", "70B⁸"), =HYPERLINK("CSG0.html#group10C0", "10C⁰"), =HYPERLINK("CSG0.html#group2B0", "2B⁰"), =HYPERLINK("CSG3.html#group28B3", "28B³"), =HYPERLINK("CSG0.html#group1A0", "1A⁰"), =HYPERLINK("CSG0.html#group7A0", "7A⁰")</f>
        <v/>
      </c>
      <c r="N6004" t="inlineStr"/>
    </row>
    <row r="6005">
      <c r="A6005" t="inlineStr">
        <is>
          <t>140D¹⁹</t>
        </is>
      </c>
      <c r="B6005" t="inlineStr"/>
      <c r="C6005" t="inlineStr">
        <is>
          <t>280</t>
        </is>
      </c>
      <c r="D6005" t="inlineStr">
        <is>
          <t>2</t>
        </is>
      </c>
      <c r="E6005" t="inlineStr">
        <is>
          <t>70</t>
        </is>
      </c>
      <c r="F6005" t="inlineStr">
        <is>
          <t>12</t>
        </is>
      </c>
      <c r="G6005" t="inlineStr">
        <is>
          <t>4</t>
        </is>
      </c>
      <c r="H6005" t="inlineStr">
        <is>
          <t>140²</t>
        </is>
      </c>
      <c r="I6005" t="n">
        <v>2</v>
      </c>
      <c r="J6005" t="inlineStr">
        <is>
          <t>8¹, 16², 24², 48⁴</t>
        </is>
      </c>
      <c r="K6005">
        <f>HYPERLINK("CSG8.html#group70C8", "70C⁸")</f>
        <v/>
      </c>
      <c r="L6005" t="inlineStr"/>
      <c r="M6005">
        <f>HYPERLINK("CSG0.html#group1A0", "1A⁰"), =HYPERLINK("CSG0.html#group7A0", "7A⁰"), =HYPERLINK("CSG8.html#group70C8", "70C⁸"), =HYPERLINK("CSG0.html#group10D0", "10D⁰"), =HYPERLINK("CSG4.html#group35B4", "35B⁴"), =HYPERLINK("CSG0.html#group5C0", "5C⁰")</f>
        <v/>
      </c>
      <c r="N6005" t="inlineStr"/>
    </row>
    <row r="6006">
      <c r="A6006" t="inlineStr">
        <is>
          <t>140E¹⁹</t>
        </is>
      </c>
      <c r="B6006" t="inlineStr"/>
      <c r="C6006" t="inlineStr">
        <is>
          <t>280</t>
        </is>
      </c>
      <c r="D6006" t="inlineStr">
        <is>
          <t>2</t>
        </is>
      </c>
      <c r="E6006" t="inlineStr">
        <is>
          <t>70</t>
        </is>
      </c>
      <c r="F6006" t="inlineStr">
        <is>
          <t>12</t>
        </is>
      </c>
      <c r="G6006" t="inlineStr">
        <is>
          <t>4</t>
        </is>
      </c>
      <c r="H6006" t="inlineStr">
        <is>
          <t>140²</t>
        </is>
      </c>
      <c r="I6006" t="n">
        <v>2</v>
      </c>
      <c r="J6006" t="inlineStr">
        <is>
          <t>8¹, 16², 24², 48⁴</t>
        </is>
      </c>
      <c r="K6006">
        <f>HYPERLINK("CSG8.html#group70C8", "70C⁸")</f>
        <v/>
      </c>
      <c r="L6006" t="inlineStr"/>
      <c r="M6006">
        <f>HYPERLINK("CSG0.html#group1A0", "1A⁰"), =HYPERLINK("CSG0.html#group7A0", "7A⁰"), =HYPERLINK("CSG8.html#group70C8", "70C⁸"), =HYPERLINK("CSG0.html#group10D0", "10D⁰"), =HYPERLINK("CSG4.html#group35B4", "35B⁴"), =HYPERLINK("CSG0.html#group5C0", "5C⁰")</f>
        <v/>
      </c>
      <c r="N6006" t="inlineStr"/>
    </row>
    <row r="6007">
      <c r="A6007" t="inlineStr">
        <is>
          <t>140F¹⁹</t>
        </is>
      </c>
      <c r="B6007" t="inlineStr"/>
      <c r="C6007" t="inlineStr">
        <is>
          <t>280</t>
        </is>
      </c>
      <c r="D6007" t="inlineStr">
        <is>
          <t>2</t>
        </is>
      </c>
      <c r="E6007" t="inlineStr">
        <is>
          <t>70</t>
        </is>
      </c>
      <c r="F6007" t="inlineStr">
        <is>
          <t>12</t>
        </is>
      </c>
      <c r="G6007" t="inlineStr">
        <is>
          <t>4</t>
        </is>
      </c>
      <c r="H6007" t="inlineStr">
        <is>
          <t>140²</t>
        </is>
      </c>
      <c r="I6007" t="n">
        <v>2</v>
      </c>
      <c r="J6007" t="inlineStr">
        <is>
          <t>8¹, 16², 24², 48⁴</t>
        </is>
      </c>
      <c r="K6007">
        <f>HYPERLINK("CSG1.html#group20F1", "20F¹"), =HYPERLINK("CSG8.html#group70C8", "70C⁸")</f>
        <v/>
      </c>
      <c r="L6007" t="inlineStr"/>
      <c r="M6007">
        <f>HYPERLINK("CSG0.html#group1A0", "1A⁰"), =HYPERLINK("CSG0.html#group7A0", "7A⁰"), =HYPERLINK("CSG8.html#group70C8", "70C⁸"), =HYPERLINK("CSG0.html#group10D0", "10D⁰"), =HYPERLINK("CSG4.html#group35B4", "35B⁴"), =HYPERLINK("CSG0.html#group5C0", "5C⁰"), =HYPERLINK("CSG1.html#group20F1", "20F¹")</f>
        <v/>
      </c>
      <c r="N6007" t="inlineStr"/>
    </row>
    <row r="6008">
      <c r="A6008" t="inlineStr">
        <is>
          <t>140G¹⁹</t>
        </is>
      </c>
      <c r="B6008" t="inlineStr"/>
      <c r="C6008" t="inlineStr">
        <is>
          <t>280</t>
        </is>
      </c>
      <c r="D6008" t="inlineStr">
        <is>
          <t>2</t>
        </is>
      </c>
      <c r="E6008" t="inlineStr">
        <is>
          <t>70</t>
        </is>
      </c>
      <c r="F6008" t="inlineStr">
        <is>
          <t>12</t>
        </is>
      </c>
      <c r="G6008" t="inlineStr">
        <is>
          <t>4</t>
        </is>
      </c>
      <c r="H6008" t="inlineStr">
        <is>
          <t>140²</t>
        </is>
      </c>
      <c r="I6008" t="n">
        <v>2</v>
      </c>
      <c r="J6008" t="inlineStr">
        <is>
          <t>8¹, 16², 24², 48⁴</t>
        </is>
      </c>
      <c r="K6008">
        <f>HYPERLINK("CSG1.html#group20F1", "20F¹"), =HYPERLINK("CSG8.html#group70C8", "70C⁸")</f>
        <v/>
      </c>
      <c r="L6008" t="inlineStr"/>
      <c r="M6008">
        <f>HYPERLINK("CSG0.html#group1A0", "1A⁰"), =HYPERLINK("CSG0.html#group7A0", "7A⁰"), =HYPERLINK("CSG8.html#group70C8", "70C⁸"), =HYPERLINK("CSG0.html#group10D0", "10D⁰"), =HYPERLINK("CSG4.html#group35B4", "35B⁴"), =HYPERLINK("CSG0.html#group5C0", "5C⁰"), =HYPERLINK("CSG1.html#group20F1", "20F¹")</f>
        <v/>
      </c>
      <c r="N6008" t="inlineStr"/>
    </row>
    <row r="6009">
      <c r="A6009" t="inlineStr">
        <is>
          <t>140H¹⁹</t>
        </is>
      </c>
      <c r="B6009" t="inlineStr"/>
      <c r="C6009" t="inlineStr">
        <is>
          <t>288</t>
        </is>
      </c>
      <c r="D6009" t="inlineStr">
        <is>
          <t>1</t>
        </is>
      </c>
      <c r="E6009" t="inlineStr">
        <is>
          <t>144</t>
        </is>
      </c>
      <c r="F6009" t="inlineStr">
        <is>
          <t>0</t>
        </is>
      </c>
      <c r="G6009" t="inlineStr">
        <is>
          <t>0</t>
        </is>
      </c>
      <c r="H6009" t="inlineStr">
        <is>
          <t>1², 4¹, 5², 7², 20¹, 28¹, 35², 140¹</t>
        </is>
      </c>
      <c r="I6009" t="n">
        <v>12</v>
      </c>
      <c r="J6009" t="inlineStr">
        <is>
          <t>1¹², 4⁶, 6⁶, 24³</t>
        </is>
      </c>
      <c r="K6009">
        <f>HYPERLINK("CSG0.html#group20A0", "20A⁰"), =HYPERLINK("CSG9.html#group70D9", "70D⁹")</f>
        <v/>
      </c>
      <c r="L6009" t="inlineStr"/>
      <c r="M6009">
        <f>HYPERLINK("CSG0.html#group20A0", "20A⁰"), =HYPERLINK("CSG0.html#group7B0", "7B⁰"), =HYPERLINK("CSG1.html#group14C1", "14C¹"), =HYPERLINK("CSG0.html#group5B0", "5B⁰"), =HYPERLINK("CSG0.html#group10C0", "10C⁰"), =HYPERLINK("CSG0.html#group2B0", "2B⁰"), =HYPERLINK("CSG0.html#group1A0", "1A⁰"), =HYPERLINK("CSG3.html#group35A3", "35A³"), =HYPERLINK("CSG9.html#group70D9", "70D⁹")</f>
        <v/>
      </c>
      <c r="N6009" t="inlineStr"/>
    </row>
    <row r="6010">
      <c r="A6010" t="inlineStr">
        <is>
          <t>140I¹⁹</t>
        </is>
      </c>
      <c r="B6010" t="inlineStr">
        <is>
          <t>Γ₀(140)</t>
        </is>
      </c>
      <c r="C6010" t="inlineStr">
        <is>
          <t>288</t>
        </is>
      </c>
      <c r="D6010" t="inlineStr">
        <is>
          <t>1</t>
        </is>
      </c>
      <c r="E6010" t="inlineStr">
        <is>
          <t>144</t>
        </is>
      </c>
      <c r="F6010" t="inlineStr">
        <is>
          <t>0</t>
        </is>
      </c>
      <c r="G6010" t="inlineStr">
        <is>
          <t>0</t>
        </is>
      </c>
      <c r="H6010" t="inlineStr">
        <is>
          <t>1², 4¹, 5², 7², 20¹, 28¹, 35², 140¹</t>
        </is>
      </c>
      <c r="I6010" t="n">
        <v>12</v>
      </c>
      <c r="J6010" t="inlineStr">
        <is>
          <t>1¹², 4⁶, 6⁶, 24³</t>
        </is>
      </c>
      <c r="K6010">
        <f>HYPERLINK("CSG1.html#group20D1", "20D¹"), =HYPERLINK("CSG2.html#group28D2", "28D²"), =HYPERLINK("CSG9.html#group70D9", "70D⁹")</f>
        <v/>
      </c>
      <c r="L6010" t="inlineStr"/>
      <c r="M6010">
        <f>HYPERLINK("CSG0.html#group7B0", "7B⁰"), =HYPERLINK("CSG2.html#group28D2", "28D²"), =HYPERLINK("CSG1.html#group14C1", "14C¹"), =HYPERLINK("CSG0.html#group5B0", "5B⁰"), =HYPERLINK("CSG0.html#group10C0", "10C⁰"), =HYPERLINK("CSG1.html#group20D1", "20D¹"), =HYPERLINK("CSG0.html#group2B0", "2B⁰"), =HYPERLINK("CSG0.html#group4B0", "4B⁰"), =HYPERLINK("CSG0.html#group1A0", "1A⁰"), =HYPERLINK("CSG3.html#group35A3", "35A³"), =HYPERLINK("CSG9.html#group70D9", "70D⁹")</f>
        <v/>
      </c>
      <c r="N6010" t="inlineStr"/>
    </row>
    <row r="6011">
      <c r="A6011" t="inlineStr">
        <is>
          <t>144A¹⁹</t>
        </is>
      </c>
      <c r="B6011" t="inlineStr"/>
      <c r="C6011" t="inlineStr">
        <is>
          <t>288</t>
        </is>
      </c>
      <c r="D6011" t="inlineStr">
        <is>
          <t>1</t>
        </is>
      </c>
      <c r="E6011" t="inlineStr">
        <is>
          <t>24</t>
        </is>
      </c>
      <c r="F6011" t="inlineStr">
        <is>
          <t>0</t>
        </is>
      </c>
      <c r="G6011" t="inlineStr">
        <is>
          <t>0</t>
        </is>
      </c>
      <c r="H6011" t="inlineStr">
        <is>
          <t>3⁴, 9⁴, 12¹, 36¹, 48¹, 144¹</t>
        </is>
      </c>
      <c r="I6011" t="n">
        <v>12</v>
      </c>
      <c r="J6011" t="inlineStr">
        <is>
          <t>1⁸, 2⁶, 4¹</t>
        </is>
      </c>
      <c r="K6011">
        <f>HYPERLINK("CSG3.html#group48I3", "48I³"), =HYPERLINK("CSG9.html#group72D9", "72D⁹")</f>
        <v/>
      </c>
      <c r="L6011" t="inlineStr"/>
      <c r="M6011">
        <f>HYPERLINK("CSG0.html#group3B0", "3B⁰"), =HYPERLINK("CSG1.html#group24G1", "24G¹"), =HYPERLINK("CSG2.html#group18D2", "18D²"), =HYPERLINK("CSG4.html#group36F4", "36F⁴"), =HYPERLINK("CSG0.html#group2B0", "2B⁰"), =HYPERLINK("CSG3.html#group48I3", "48I³"), =HYPERLINK("CSG0.html#group8C0", "8C⁰"), =HYPERLINK("CSG0.html#group9C0", "9C⁰"), =HYPERLINK("CSG0.html#group4B0", "4B⁰"), =HYPERLINK("CSG0.html#group1A0", "1A⁰"), =HYPERLINK("CSG0.html#group6F0", "6F⁰"), =HYPERLINK("CSG9.html#group72D9", "72D⁹"), =HYPERLINK("CSG0.html#group12E0", "12E⁰")</f>
        <v/>
      </c>
      <c r="N6011" t="inlineStr"/>
    </row>
    <row r="6012">
      <c r="A6012" t="inlineStr">
        <is>
          <t>144B¹⁹</t>
        </is>
      </c>
      <c r="B6012" t="inlineStr"/>
      <c r="C6012" t="inlineStr">
        <is>
          <t>288</t>
        </is>
      </c>
      <c r="D6012" t="inlineStr">
        <is>
          <t>1</t>
        </is>
      </c>
      <c r="E6012" t="inlineStr">
        <is>
          <t>24</t>
        </is>
      </c>
      <c r="F6012" t="inlineStr">
        <is>
          <t>0</t>
        </is>
      </c>
      <c r="G6012" t="inlineStr">
        <is>
          <t>0</t>
        </is>
      </c>
      <c r="H6012" t="inlineStr">
        <is>
          <t>3⁴, 9⁴, 12¹, 36¹, 48¹, 144¹</t>
        </is>
      </c>
      <c r="I6012" t="n">
        <v>12</v>
      </c>
      <c r="J6012" t="inlineStr">
        <is>
          <t>1⁸, 2⁶, 4¹</t>
        </is>
      </c>
      <c r="K6012">
        <f>HYPERLINK("CSG3.html#group48I3", "48I³"), =HYPERLINK("CSG9.html#group72E9", "72E⁹")</f>
        <v/>
      </c>
      <c r="L6012" t="inlineStr"/>
      <c r="M6012">
        <f>HYPERLINK("CSG9.html#group72E9", "72E⁹"), =HYPERLINK("CSG0.html#group3B0", "3B⁰"), =HYPERLINK("CSG1.html#group24G1", "24G¹"), =HYPERLINK("CSG1.html#group9A1", "9A¹"), =HYPERLINK("CSG2.html#group18E2", "18E²"), =HYPERLINK("CSG4.html#group36G4", "36G⁴"), =HYPERLINK("CSG0.html#group1A0", "1A⁰"), =HYPERLINK("CSG0.html#group2B0", "2B⁰"), =HYPERLINK("CSG3.html#group48I3", "48I³"), =HYPERLINK("CSG0.html#group8C0", "8C⁰"), =HYPERLINK("CSG0.html#group4B0", "4B⁰"), =HYPERLINK("CSG0.html#group6F0", "6F⁰"), =HYPERLINK("CSG0.html#group12E0", "12E⁰")</f>
        <v/>
      </c>
      <c r="N6012" t="inlineStr"/>
    </row>
    <row r="6013">
      <c r="A6013" t="inlineStr">
        <is>
          <t>144C¹⁹</t>
        </is>
      </c>
      <c r="B6013" t="inlineStr"/>
      <c r="C6013" t="inlineStr">
        <is>
          <t>288</t>
        </is>
      </c>
      <c r="D6013" t="inlineStr">
        <is>
          <t>1</t>
        </is>
      </c>
      <c r="E6013" t="inlineStr">
        <is>
          <t>24</t>
        </is>
      </c>
      <c r="F6013" t="inlineStr">
        <is>
          <t>0</t>
        </is>
      </c>
      <c r="G6013" t="inlineStr">
        <is>
          <t>0</t>
        </is>
      </c>
      <c r="H6013" t="inlineStr">
        <is>
          <t>3⁴, 9⁴, 12¹, 36¹, 48¹, 144¹</t>
        </is>
      </c>
      <c r="I6013" t="n">
        <v>12</v>
      </c>
      <c r="J6013" t="inlineStr">
        <is>
          <t>1⁸, 2⁶, 4¹</t>
        </is>
      </c>
      <c r="K6013">
        <f>HYPERLINK("CSG3.html#group48J3", "48J³"), =HYPERLINK("CSG9.html#group72D9", "72D⁹")</f>
        <v/>
      </c>
      <c r="L6013" t="inlineStr"/>
      <c r="M6013">
        <f>HYPERLINK("CSG0.html#group3B0", "3B⁰"), =HYPERLINK("CSG3.html#group48J3", "48J³"), =HYPERLINK("CSG0.html#group16C0", "16C⁰"), =HYPERLINK("CSG1.html#group24G1", "24G¹"), =HYPERLINK("CSG2.html#group18D2", "18D²"), =HYPERLINK("CSG4.html#group36F4", "36F⁴"), =HYPERLINK("CSG0.html#group2B0", "2B⁰"), =HYPERLINK("CSG0.html#group8C0", "8C⁰"), =HYPERLINK("CSG0.html#group1A0", "1A⁰"), =HYPERLINK("CSG0.html#group9C0", "9C⁰"), =HYPERLINK("CSG0.html#group4B0", "4B⁰"), =HYPERLINK("CSG0.html#group6F0", "6F⁰"), =HYPERLINK("CSG9.html#group72D9", "72D⁹"), =HYPERLINK("CSG0.html#group12E0", "12E⁰")</f>
        <v/>
      </c>
      <c r="N6013" t="inlineStr"/>
    </row>
    <row r="6014">
      <c r="A6014" t="inlineStr">
        <is>
          <t>144D¹⁹</t>
        </is>
      </c>
      <c r="B6014" t="inlineStr"/>
      <c r="C6014" t="inlineStr">
        <is>
          <t>288</t>
        </is>
      </c>
      <c r="D6014" t="inlineStr">
        <is>
          <t>1</t>
        </is>
      </c>
      <c r="E6014" t="inlineStr">
        <is>
          <t>24</t>
        </is>
      </c>
      <c r="F6014" t="inlineStr">
        <is>
          <t>0</t>
        </is>
      </c>
      <c r="G6014" t="inlineStr">
        <is>
          <t>0</t>
        </is>
      </c>
      <c r="H6014" t="inlineStr">
        <is>
          <t>3⁴, 9⁴, 12¹, 36¹, 48¹, 144¹</t>
        </is>
      </c>
      <c r="I6014" t="n">
        <v>12</v>
      </c>
      <c r="J6014" t="inlineStr">
        <is>
          <t>1⁸, 2⁶, 4¹</t>
        </is>
      </c>
      <c r="K6014">
        <f>HYPERLINK("CSG3.html#group48J3", "48J³"), =HYPERLINK("CSG9.html#group72E9", "72E⁹")</f>
        <v/>
      </c>
      <c r="L6014" t="inlineStr"/>
      <c r="M6014">
        <f>HYPERLINK("CSG9.html#group72E9", "72E⁹"), =HYPERLINK("CSG0.html#group3B0", "3B⁰"), =HYPERLINK("CSG3.html#group48J3", "48J³"), =HYPERLINK("CSG0.html#group16C0", "16C⁰"), =HYPERLINK("CSG1.html#group24G1", "24G¹"), =HYPERLINK("CSG1.html#group9A1", "9A¹"), =HYPERLINK("CSG2.html#group18E2", "18E²"), =HYPERLINK("CSG4.html#group36G4", "36G⁴"), =HYPERLINK("CSG0.html#group1A0", "1A⁰"), =HYPERLINK("CSG0.html#group2B0", "2B⁰"), =HYPERLINK("CSG0.html#group8C0", "8C⁰"), =HYPERLINK("CSG0.html#group4B0", "4B⁰"), =HYPERLINK("CSG0.html#group6F0", "6F⁰"), =HYPERLINK("CSG0.html#group12E0", "12E⁰")</f>
        <v/>
      </c>
      <c r="N6014" t="inlineStr"/>
    </row>
    <row r="6015">
      <c r="A6015" t="inlineStr">
        <is>
          <t>144E¹⁹</t>
        </is>
      </c>
      <c r="B6015" t="inlineStr"/>
      <c r="C6015" t="inlineStr">
        <is>
          <t>288</t>
        </is>
      </c>
      <c r="D6015" t="inlineStr">
        <is>
          <t>1</t>
        </is>
      </c>
      <c r="E6015" t="inlineStr">
        <is>
          <t>48</t>
        </is>
      </c>
      <c r="F6015" t="inlineStr">
        <is>
          <t>0</t>
        </is>
      </c>
      <c r="G6015" t="inlineStr">
        <is>
          <t>0</t>
        </is>
      </c>
      <c r="H6015" t="inlineStr">
        <is>
          <t>3², 6³, 9², 18³, 48¹, 144¹</t>
        </is>
      </c>
      <c r="I6015" t="n">
        <v>12</v>
      </c>
      <c r="J6015" t="inlineStr">
        <is>
          <t>1⁸, 2⁸, 4⁴, 8¹</t>
        </is>
      </c>
      <c r="K6015">
        <f>HYPERLINK("CSG3.html#group48K3", "48K³"), =HYPERLINK("CSG9.html#group72D9", "72D⁹")</f>
        <v/>
      </c>
      <c r="L6015" t="inlineStr"/>
      <c r="M6015">
        <f>HYPERLINK("CSG0.html#group3B0", "3B⁰"), =HYPERLINK("CSG3.html#group48K3", "48K³"), =HYPERLINK("CSG1.html#group24G1", "24G¹"), =HYPERLINK("CSG2.html#group18D2", "18D²"), =HYPERLINK("CSG4.html#group36F4", "36F⁴"), =HYPERLINK("CSG0.html#group2B0", "2B⁰"), =HYPERLINK("CSG0.html#group8C0", "8C⁰"), =HYPERLINK("CSG0.html#group1A0", "1A⁰"), =HYPERLINK("CSG0.html#group9C0", "9C⁰"), =HYPERLINK("CSG0.html#group4B0", "4B⁰"), =HYPERLINK("CSG0.html#group6F0", "6F⁰"), =HYPERLINK("CSG9.html#group72D9", "72D⁹"), =HYPERLINK("CSG0.html#group12E0", "12E⁰")</f>
        <v/>
      </c>
      <c r="N6015" t="inlineStr"/>
    </row>
    <row r="6016">
      <c r="A6016" t="inlineStr">
        <is>
          <t>144F¹⁹</t>
        </is>
      </c>
      <c r="B6016" t="inlineStr"/>
      <c r="C6016" t="inlineStr">
        <is>
          <t>288</t>
        </is>
      </c>
      <c r="D6016" t="inlineStr">
        <is>
          <t>1</t>
        </is>
      </c>
      <c r="E6016" t="inlineStr">
        <is>
          <t>48</t>
        </is>
      </c>
      <c r="F6016" t="inlineStr">
        <is>
          <t>0</t>
        </is>
      </c>
      <c r="G6016" t="inlineStr">
        <is>
          <t>0</t>
        </is>
      </c>
      <c r="H6016" t="inlineStr">
        <is>
          <t>3², 6³, 9², 18³, 48¹, 144¹</t>
        </is>
      </c>
      <c r="I6016" t="n">
        <v>12</v>
      </c>
      <c r="J6016" t="inlineStr">
        <is>
          <t>1⁸, 2⁸, 4⁴, 8¹</t>
        </is>
      </c>
      <c r="K6016">
        <f>HYPERLINK("CSG3.html#group48K3", "48K³"), =HYPERLINK("CSG9.html#group72E9", "72E⁹")</f>
        <v/>
      </c>
      <c r="L6016" t="inlineStr"/>
      <c r="M6016">
        <f>HYPERLINK("CSG9.html#group72E9", "72E⁹"), =HYPERLINK("CSG0.html#group3B0", "3B⁰"), =HYPERLINK("CSG3.html#group48K3", "48K³"), =HYPERLINK("CSG1.html#group24G1", "24G¹"), =HYPERLINK("CSG1.html#group9A1", "9A¹"), =HYPERLINK("CSG2.html#group18E2", "18E²"), =HYPERLINK("CSG4.html#group36G4", "36G⁴"), =HYPERLINK("CSG0.html#group1A0", "1A⁰"), =HYPERLINK("CSG0.html#group2B0", "2B⁰"), =HYPERLINK("CSG0.html#group8C0", "8C⁰"), =HYPERLINK("CSG0.html#group4B0", "4B⁰"), =HYPERLINK("CSG0.html#group6F0", "6F⁰"), =HYPERLINK("CSG0.html#group12E0", "12E⁰")</f>
        <v/>
      </c>
      <c r="N6016" t="inlineStr"/>
    </row>
    <row r="6017">
      <c r="A6017" t="inlineStr">
        <is>
          <t>144G¹⁹</t>
        </is>
      </c>
      <c r="B6017" t="inlineStr"/>
      <c r="C6017" t="inlineStr">
        <is>
          <t>288</t>
        </is>
      </c>
      <c r="D6017" t="inlineStr">
        <is>
          <t>1</t>
        </is>
      </c>
      <c r="E6017" t="inlineStr">
        <is>
          <t>48</t>
        </is>
      </c>
      <c r="F6017" t="inlineStr">
        <is>
          <t>0</t>
        </is>
      </c>
      <c r="G6017" t="inlineStr">
        <is>
          <t>0</t>
        </is>
      </c>
      <c r="H6017" t="inlineStr">
        <is>
          <t>3², 6³, 9², 18³, 48¹, 144¹</t>
        </is>
      </c>
      <c r="I6017" t="n">
        <v>12</v>
      </c>
      <c r="J6017" t="inlineStr">
        <is>
          <t>1⁸, 2⁸, 4⁴, 8¹</t>
        </is>
      </c>
      <c r="K6017">
        <f>HYPERLINK("CSG3.html#group48L3", "48L³"), =HYPERLINK("CSG9.html#group72D9", "72D⁹")</f>
        <v/>
      </c>
      <c r="L6017" t="inlineStr"/>
      <c r="M6017">
        <f>HYPERLINK("CSG0.html#group3B0", "3B⁰"), =HYPERLINK("CSG1.html#group24G1", "24G¹"), =HYPERLINK("CSG0.html#group16D0", "16D⁰"), =HYPERLINK("CSG2.html#group18D2", "18D²"), =HYPERLINK("CSG4.html#group36F4", "36F⁴"), =HYPERLINK("CSG0.html#group2B0", "2B⁰"), =HYPERLINK("CSG0.html#group8C0", "8C⁰"), =HYPERLINK("CSG0.html#group1A0", "1A⁰"), =HYPERLINK("CSG0.html#group9C0", "9C⁰"), =HYPERLINK("CSG0.html#group4B0", "4B⁰"), =HYPERLINK("CSG0.html#group6F0", "6F⁰"), =HYPERLINK("CSG9.html#group72D9", "72D⁹"), =HYPERLINK("CSG0.html#group12E0", "12E⁰"), =HYPERLINK("CSG3.html#group48L3", "48L³")</f>
        <v/>
      </c>
      <c r="N6017" t="inlineStr"/>
    </row>
    <row r="6018">
      <c r="A6018" t="inlineStr">
        <is>
          <t>144H¹⁹</t>
        </is>
      </c>
      <c r="B6018" t="inlineStr"/>
      <c r="C6018" t="inlineStr">
        <is>
          <t>288</t>
        </is>
      </c>
      <c r="D6018" t="inlineStr">
        <is>
          <t>1</t>
        </is>
      </c>
      <c r="E6018" t="inlineStr">
        <is>
          <t>48</t>
        </is>
      </c>
      <c r="F6018" t="inlineStr">
        <is>
          <t>0</t>
        </is>
      </c>
      <c r="G6018" t="inlineStr">
        <is>
          <t>0</t>
        </is>
      </c>
      <c r="H6018" t="inlineStr">
        <is>
          <t>3², 6³, 9², 18³, 48¹, 144¹</t>
        </is>
      </c>
      <c r="I6018" t="n">
        <v>12</v>
      </c>
      <c r="J6018" t="inlineStr">
        <is>
          <t>1⁸, 2⁸, 4⁴, 8¹</t>
        </is>
      </c>
      <c r="K6018">
        <f>HYPERLINK("CSG3.html#group48L3", "48L³"), =HYPERLINK("CSG9.html#group72E9", "72E⁹")</f>
        <v/>
      </c>
      <c r="L6018" t="inlineStr"/>
      <c r="M6018">
        <f>HYPERLINK("CSG9.html#group72E9", "72E⁹"), =HYPERLINK("CSG0.html#group3B0", "3B⁰"), =HYPERLINK("CSG1.html#group24G1", "24G¹"), =HYPERLINK("CSG1.html#group9A1", "9A¹"), =HYPERLINK("CSG2.html#group18E2", "18E²"), =HYPERLINK("CSG0.html#group16D0", "16D⁰"), =HYPERLINK("CSG4.html#group36G4", "36G⁴"), =HYPERLINK("CSG0.html#group1A0", "1A⁰"), =HYPERLINK("CSG0.html#group2B0", "2B⁰"), =HYPERLINK("CSG0.html#group8C0", "8C⁰"), =HYPERLINK("CSG0.html#group4B0", "4B⁰"), =HYPERLINK("CSG0.html#group6F0", "6F⁰"), =HYPERLINK("CSG0.html#group12E0", "12E⁰"), =HYPERLINK("CSG3.html#group48L3", "48L³")</f>
        <v/>
      </c>
      <c r="N6018" t="inlineStr"/>
    </row>
    <row r="6019">
      <c r="A6019" t="inlineStr">
        <is>
          <t>144I¹⁹</t>
        </is>
      </c>
      <c r="B6019" t="inlineStr"/>
      <c r="C6019" t="inlineStr">
        <is>
          <t>288</t>
        </is>
      </c>
      <c r="D6019" t="inlineStr">
        <is>
          <t>1</t>
        </is>
      </c>
      <c r="E6019" t="inlineStr">
        <is>
          <t>48</t>
        </is>
      </c>
      <c r="F6019" t="inlineStr">
        <is>
          <t>0</t>
        </is>
      </c>
      <c r="G6019" t="inlineStr">
        <is>
          <t>0</t>
        </is>
      </c>
      <c r="H6019" t="inlineStr">
        <is>
          <t>4⁶, 16³, 36², 144¹</t>
        </is>
      </c>
      <c r="I6019" t="n">
        <v>12</v>
      </c>
      <c r="J6019" t="inlineStr">
        <is>
          <t>1⁴, 2⁴, 4⁵, 8²</t>
        </is>
      </c>
      <c r="K6019">
        <f>HYPERLINK("CSG6.html#group48D6", "48D⁶"), =HYPERLINK("CSG7.html#group72D7", "72D⁷")</f>
        <v/>
      </c>
      <c r="L6019" t="inlineStr"/>
      <c r="M6019">
        <f>HYPERLINK("CSG0.html#group3B0", "3B⁰"), =HYPERLINK("CSG0.html#group18E0", "18E⁰"), =HYPERLINK("CSG2.html#group24I2", "24I²"), =HYPERLINK("CSG0.html#group8D0", "8D⁰"), =HYPERLINK("CSG1.html#group12F1", "12F¹"), =HYPERLINK("CSG6.html#group48D6", "48D⁶"), =HYPERLINK("CSG1.html#group16C1", "16C¹"), =HYPERLINK("CSG0.html#group4C0", "4C⁰"), =HYPERLINK("CSG0.html#group9B0", "9B⁰"), =HYPERLINK("CSG7.html#group72D7", "72D⁷"), =HYPERLINK("CSG0.html#group1A0", "1A⁰"), =HYPERLINK("CSG0.html#group2B0", "2B⁰"), =HYPERLINK("CSG0.html#group6F0", "6F⁰"), =HYPERLINK("CSG3.html#group36G3", "36G³")</f>
        <v/>
      </c>
      <c r="N6019" t="inlineStr"/>
    </row>
    <row r="6020">
      <c r="A6020" t="inlineStr">
        <is>
          <t>144J¹⁹</t>
        </is>
      </c>
      <c r="B6020" t="inlineStr"/>
      <c r="C6020" t="inlineStr">
        <is>
          <t>432</t>
        </is>
      </c>
      <c r="D6020" t="inlineStr">
        <is>
          <t>2</t>
        </is>
      </c>
      <c r="E6020" t="inlineStr">
        <is>
          <t>27</t>
        </is>
      </c>
      <c r="F6020" t="inlineStr">
        <is>
          <t>64</t>
        </is>
      </c>
      <c r="G6020" t="inlineStr">
        <is>
          <t>0</t>
        </is>
      </c>
      <c r="H6020" t="inlineStr">
        <is>
          <t>72², 144²</t>
        </is>
      </c>
      <c r="I6020" t="n">
        <v>4</v>
      </c>
      <c r="J6020" t="inlineStr">
        <is>
          <t>2⁹, 6⁶</t>
        </is>
      </c>
      <c r="K6020">
        <f>HYPERLINK("CSG3.html#group48M3", "48M³"), =HYPERLINK("CSG8.html#group144A8", "144A⁸"), =HYPERLINK("CSG9.html#group72H9", "72H⁹"), =HYPERLINK("CSG10.html#group144E10", "144E¹⁰")</f>
        <v/>
      </c>
      <c r="L6020" t="inlineStr"/>
      <c r="M6020">
        <f>HYPERLINK("CSG0.html#group12C0", "12C⁰"), =HYPERLINK("CSG0.html#group4C0", "4C⁰"), =HYPERLINK("CSG2.html#group36B2", "36B²"), =HYPERLINK("CSG4.html#group36R4", "36R⁴"), =HYPERLINK("CSG0.html#group2B0", "2B⁰"), =HYPERLINK("CSG0.html#group1A0", "1A⁰"), =HYPERLINK("CSG0.html#group18A0", "18A⁰"), =HYPERLINK("CSG2.html#group18L2", "18L²"), =HYPERLINK("CSG0.html#group16B0", "16B⁰"), =HYPERLINK("CSG9.html#group72H9", "72H⁹"), =HYPERLINK("CSG0.html#group24A0", "24A⁰"), =HYPERLINK("CSG8.html#group144A8", "144A⁸"), =HYPERLINK("CSG0.html#group6H0", "6H⁰"), =HYPERLINK("CSG0.html#group3A0", "3A⁰"), =HYPERLINK("CSG1.html#group24H1", "24H¹"), =HYPERLINK("CSG1.html#group18E1", "18E¹"), =HYPERLINK("CSG0.html#group6B0", "6B⁰"), =HYPERLINK("CSG4.html#group72E4", "72E⁴"), =HYPERLINK("CSG1.html#group24D1", "24D¹"), =HYPERLINK("CSG0.html#group8B0", "8B⁰"), =HYPERLINK("CSG0.html#group48A0", "48A⁰"), =HYPERLINK("CSG5.html#group72A5", "72A⁵"), =HYPERLINK("CSG3.html#group48M3", "48M³"), =HYPERLINK("CSG0.html#group9A0", "9A⁰"), =HYPERLINK("CSG10.html#group144E10", "144E¹⁰"), =HYPERLINK("CSG2.html#group48A2", "48A²"), =HYPERLINK("CSG0.html#group12D0", "12D⁰"), =HYPERLINK("CSG0.html#group12H0", "12H⁰"), =HYPERLINK("CSG0.html#group6D0", "6D⁰"), =HYPERLINK("CSG2.html#group36C2", "36C²")</f>
        <v/>
      </c>
      <c r="N6020" t="inlineStr"/>
    </row>
    <row r="6021">
      <c r="A6021" t="inlineStr">
        <is>
          <t>146A¹⁹</t>
        </is>
      </c>
      <c r="B6021" t="inlineStr"/>
      <c r="C6021" t="inlineStr">
        <is>
          <t>296</t>
        </is>
      </c>
      <c r="D6021" t="inlineStr">
        <is>
          <t>1</t>
        </is>
      </c>
      <c r="E6021" t="inlineStr">
        <is>
          <t>74</t>
        </is>
      </c>
      <c r="F6021" t="inlineStr">
        <is>
          <t>8</t>
        </is>
      </c>
      <c r="G6021" t="inlineStr">
        <is>
          <t>8</t>
        </is>
      </c>
      <c r="H6021" t="inlineStr">
        <is>
          <t>2², 146²</t>
        </is>
      </c>
      <c r="I6021" t="n">
        <v>4</v>
      </c>
      <c r="J6021" t="inlineStr">
        <is>
          <t>1², 72¹</t>
        </is>
      </c>
      <c r="K6021">
        <f>HYPERLINK("CSG9.html#group73A9", "73A⁹")</f>
        <v/>
      </c>
      <c r="L6021" t="inlineStr"/>
      <c r="M6021">
        <f>HYPERLINK("CSG9.html#group73A9", "73A⁹"), =HYPERLINK("CSG0.html#group1A0", "1A⁰"), =HYPERLINK("CSG5.html#group73A5", "73A⁵")</f>
        <v/>
      </c>
      <c r="N6021" t="inlineStr"/>
    </row>
    <row r="6022">
      <c r="A6022" t="inlineStr">
        <is>
          <t>148A¹⁹</t>
        </is>
      </c>
      <c r="B6022" t="inlineStr"/>
      <c r="C6022" t="inlineStr">
        <is>
          <t>304</t>
        </is>
      </c>
      <c r="D6022" t="inlineStr">
        <is>
          <t>1</t>
        </is>
      </c>
      <c r="E6022" t="inlineStr">
        <is>
          <t>38</t>
        </is>
      </c>
      <c r="F6022" t="inlineStr">
        <is>
          <t>0</t>
        </is>
      </c>
      <c r="G6022" t="inlineStr">
        <is>
          <t>16</t>
        </is>
      </c>
      <c r="H6022" t="inlineStr">
        <is>
          <t>4², 148²</t>
        </is>
      </c>
      <c r="I6022" t="n">
        <v>4</v>
      </c>
      <c r="J6022" t="inlineStr">
        <is>
          <t>1², 36¹</t>
        </is>
      </c>
      <c r="K6022">
        <f>HYPERLINK("CSG9.html#group74A9", "74A⁹"), =HYPERLINK("CSG9.html#group148A9", "148A⁹")</f>
        <v/>
      </c>
      <c r="L6022" t="inlineStr"/>
      <c r="M6022">
        <f>HYPERLINK("CSG2.html#group37A2", "37A²"), =HYPERLINK("CSG0.html#group2A0", "2A⁰"), =HYPERLINK("CSG4.html#group37A4", "37A⁴"), =HYPERLINK("CSG4.html#group74A4", "74A⁴"), =HYPERLINK("CSG9.html#group74A9", "74A⁹"), =HYPERLINK("CSG9.html#group148A9", "148A⁹"), =HYPERLINK("CSG5.html#group74A5", "74A⁵"), =HYPERLINK("CSG0.html#group1A0", "1A⁰")</f>
        <v/>
      </c>
      <c r="N6022" t="inlineStr"/>
    </row>
    <row r="6023">
      <c r="A6023" t="inlineStr">
        <is>
          <t>150A¹⁹</t>
        </is>
      </c>
      <c r="B6023" t="inlineStr"/>
      <c r="C6023" t="inlineStr">
        <is>
          <t>240</t>
        </is>
      </c>
      <c r="D6023" t="inlineStr">
        <is>
          <t>1</t>
        </is>
      </c>
      <c r="E6023" t="inlineStr">
        <is>
          <t>120</t>
        </is>
      </c>
      <c r="F6023" t="inlineStr">
        <is>
          <t>0</t>
        </is>
      </c>
      <c r="G6023" t="inlineStr">
        <is>
          <t>0</t>
        </is>
      </c>
      <c r="H6023" t="inlineStr">
        <is>
          <t>10¹, 30¹, 50¹, 150¹</t>
        </is>
      </c>
      <c r="I6023" t="n">
        <v>4</v>
      </c>
      <c r="J6023" t="inlineStr">
        <is>
          <t>2⁴, 4¹⁰, 8⁴, 20⁴, 40²</t>
        </is>
      </c>
      <c r="K6023">
        <f>HYPERLINK("CSG3.html#group30F3", "30F³"), =HYPERLINK("CSG4.html#group50A4", "50A⁴"), =HYPERLINK("CSG9.html#group75A9", "75A⁹")</f>
        <v/>
      </c>
      <c r="L6023" t="inlineStr"/>
      <c r="M6023">
        <f>HYPERLINK("CSG1.html#group15C1", "15C¹"), =HYPERLINK("CSG0.html#group3B0", "3B⁰"), =HYPERLINK("CSG3.html#group30F3", "30F³"), =HYPERLINK("CSG2.html#group25A2", "25A²"), =HYPERLINK("CSG9.html#group75A9", "75A⁹"), =HYPERLINK("CSG0.html#group5B0", "5B⁰"), =HYPERLINK("CSG0.html#group1A0", "1A⁰"), =HYPERLINK("CSG4.html#group50A4", "50A⁴"), =HYPERLINK("CSG0.html#group10B0", "10B⁰")</f>
        <v/>
      </c>
      <c r="N6023" t="inlineStr"/>
    </row>
    <row r="6024">
      <c r="A6024" t="inlineStr">
        <is>
          <t>150B¹⁹</t>
        </is>
      </c>
      <c r="B6024" t="inlineStr"/>
      <c r="C6024" t="inlineStr">
        <is>
          <t>240</t>
        </is>
      </c>
      <c r="D6024" t="inlineStr">
        <is>
          <t>1</t>
        </is>
      </c>
      <c r="E6024" t="inlineStr">
        <is>
          <t>120</t>
        </is>
      </c>
      <c r="F6024" t="inlineStr">
        <is>
          <t>0</t>
        </is>
      </c>
      <c r="G6024" t="inlineStr">
        <is>
          <t>0</t>
        </is>
      </c>
      <c r="H6024" t="inlineStr">
        <is>
          <t>10¹, 30¹, 50¹, 150¹</t>
        </is>
      </c>
      <c r="I6024" t="n">
        <v>4</v>
      </c>
      <c r="J6024" t="inlineStr">
        <is>
          <t>2⁴, 4¹⁰, 8⁴, 20⁴, 40²</t>
        </is>
      </c>
      <c r="K6024">
        <f>HYPERLINK("CSG3.html#group30F3", "30F³"), =HYPERLINK("CSG4.html#group50B4", "50B⁴"), =HYPERLINK("CSG9.html#group75B9", "75B⁹")</f>
        <v/>
      </c>
      <c r="L6024" t="inlineStr"/>
      <c r="M6024">
        <f>HYPERLINK("CSG9.html#group75B9", "75B⁹"), =HYPERLINK("CSG1.html#group15C1", "15C¹"), =HYPERLINK("CSG0.html#group3B0", "3B⁰"), =HYPERLINK("CSG3.html#group30F3", "30F³"), =HYPERLINK("CSG4.html#group50B4", "50B⁴"), =HYPERLINK("CSG0.html#group5B0", "5B⁰"), =HYPERLINK("CSG0.html#group1A0", "1A⁰"), =HYPERLINK("CSG2.html#group25B2", "25B²"), =HYPERLINK("CSG0.html#group10B0", "10B⁰")</f>
        <v/>
      </c>
      <c r="N6024" t="inlineStr"/>
    </row>
    <row r="6025">
      <c r="A6025" t="inlineStr">
        <is>
          <t>150C¹⁹</t>
        </is>
      </c>
      <c r="B6025" t="inlineStr"/>
      <c r="C6025" t="inlineStr">
        <is>
          <t>240</t>
        </is>
      </c>
      <c r="D6025" t="inlineStr">
        <is>
          <t>1</t>
        </is>
      </c>
      <c r="E6025" t="inlineStr">
        <is>
          <t>120</t>
        </is>
      </c>
      <c r="F6025" t="inlineStr">
        <is>
          <t>0</t>
        </is>
      </c>
      <c r="G6025" t="inlineStr">
        <is>
          <t>0</t>
        </is>
      </c>
      <c r="H6025" t="inlineStr">
        <is>
          <t>10¹, 30¹, 50¹, 150¹</t>
        </is>
      </c>
      <c r="I6025" t="n">
        <v>4</v>
      </c>
      <c r="J6025" t="inlineStr">
        <is>
          <t>2⁴, 4¹⁰, 8⁴, 20⁴, 40²</t>
        </is>
      </c>
      <c r="K6025">
        <f>HYPERLINK("CSG3.html#group30F3", "30F³"), =HYPERLINK("CSG4.html#group50C4", "50C⁴"), =HYPERLINK("CSG9.html#group75C9", "75C⁹")</f>
        <v/>
      </c>
      <c r="L6025" t="inlineStr"/>
      <c r="M6025">
        <f>HYPERLINK("CSG1.html#group15C1", "15C¹"), =HYPERLINK("CSG0.html#group3B0", "3B⁰"), =HYPERLINK("CSG3.html#group30F3", "30F³"), =HYPERLINK("CSG9.html#group75C9", "75C⁹"), =HYPERLINK("CSG0.html#group5B0", "5B⁰"), =HYPERLINK("CSG4.html#group50C4", "50C⁴"), =HYPERLINK("CSG0.html#group1A0", "1A⁰"), =HYPERLINK("CSG2.html#group25C2", "25C²"), =HYPERLINK("CSG0.html#group10B0", "10B⁰")</f>
        <v/>
      </c>
      <c r="N6025" t="inlineStr"/>
    </row>
    <row r="6026">
      <c r="A6026" t="inlineStr">
        <is>
          <t>150D¹⁹</t>
        </is>
      </c>
      <c r="B6026" t="inlineStr"/>
      <c r="C6026" t="inlineStr">
        <is>
          <t>240</t>
        </is>
      </c>
      <c r="D6026" t="inlineStr">
        <is>
          <t>1</t>
        </is>
      </c>
      <c r="E6026" t="inlineStr">
        <is>
          <t>120</t>
        </is>
      </c>
      <c r="F6026" t="inlineStr">
        <is>
          <t>0</t>
        </is>
      </c>
      <c r="G6026" t="inlineStr">
        <is>
          <t>0</t>
        </is>
      </c>
      <c r="H6026" t="inlineStr">
        <is>
          <t>10¹, 30¹, 50¹, 150¹</t>
        </is>
      </c>
      <c r="I6026" t="n">
        <v>4</v>
      </c>
      <c r="J6026" t="inlineStr">
        <is>
          <t>2⁴, 4¹⁰, 8⁴, 20⁴, 40²</t>
        </is>
      </c>
      <c r="K6026">
        <f>HYPERLINK("CSG3.html#group30F3", "30F³"), =HYPERLINK("CSG4.html#group50D4", "50D⁴"), =HYPERLINK("CSG9.html#group75D9", "75D⁹")</f>
        <v/>
      </c>
      <c r="L6026" t="inlineStr"/>
      <c r="M6026">
        <f>HYPERLINK("CSG1.html#group15C1", "15C¹"), =HYPERLINK("CSG0.html#group3B0", "3B⁰"), =HYPERLINK("CSG3.html#group30F3", "30F³"), =HYPERLINK("CSG0.html#group5B0", "5B⁰"), =HYPERLINK("CSG9.html#group75D9", "75D⁹"), =HYPERLINK("CSG4.html#group50D4", "50D⁴"), =HYPERLINK("CSG0.html#group1A0", "1A⁰"), =HYPERLINK("CSG2.html#group25D2", "25D²"), =HYPERLINK("CSG0.html#group10B0", "10B⁰")</f>
        <v/>
      </c>
      <c r="N6026" t="inlineStr"/>
    </row>
    <row r="6027">
      <c r="A6027" t="inlineStr">
        <is>
          <t>150E¹⁹</t>
        </is>
      </c>
      <c r="B6027" t="inlineStr"/>
      <c r="C6027" t="inlineStr">
        <is>
          <t>240</t>
        </is>
      </c>
      <c r="D6027" t="inlineStr">
        <is>
          <t>1</t>
        </is>
      </c>
      <c r="E6027" t="inlineStr">
        <is>
          <t>120</t>
        </is>
      </c>
      <c r="F6027" t="inlineStr">
        <is>
          <t>0</t>
        </is>
      </c>
      <c r="G6027" t="inlineStr">
        <is>
          <t>0</t>
        </is>
      </c>
      <c r="H6027" t="inlineStr">
        <is>
          <t>10¹, 30¹, 50¹, 150¹</t>
        </is>
      </c>
      <c r="I6027" t="n">
        <v>4</v>
      </c>
      <c r="J6027" t="inlineStr">
        <is>
          <t>2⁴, 4¹⁰, 8⁴, 20⁴, 40²</t>
        </is>
      </c>
      <c r="K6027">
        <f>HYPERLINK("CSG3.html#group30G3", "30G³"), =HYPERLINK("CSG5.html#group50A5", "50A⁵"), =HYPERLINK("CSG9.html#group75A9", "75A⁹")</f>
        <v/>
      </c>
      <c r="L6027" t="inlineStr"/>
      <c r="M6027">
        <f>HYPERLINK("CSG0.html#group2A0", "2A⁰"), =HYPERLINK("CSG1.html#group15C1", "15C¹"), =HYPERLINK("CSG0.html#group3B0", "3B⁰"), =HYPERLINK("CSG2.html#group25A2", "25A²"), =HYPERLINK("CSG5.html#group50A5", "50A⁵"), =HYPERLINK("CSG9.html#group75A9", "75A⁹"), =HYPERLINK("CSG0.html#group6C0", "6C⁰"), =HYPERLINK("CSG0.html#group5B0", "5B⁰"), =HYPERLINK("CSG1.html#group10A1", "10A¹"), =HYPERLINK("CSG3.html#group30G3", "30G³"), =HYPERLINK("CSG0.html#group1A0", "1A⁰")</f>
        <v/>
      </c>
      <c r="N6027" t="inlineStr"/>
    </row>
    <row r="6028">
      <c r="A6028" t="inlineStr">
        <is>
          <t>150F¹⁹</t>
        </is>
      </c>
      <c r="B6028" t="inlineStr"/>
      <c r="C6028" t="inlineStr">
        <is>
          <t>240</t>
        </is>
      </c>
      <c r="D6028" t="inlineStr">
        <is>
          <t>1</t>
        </is>
      </c>
      <c r="E6028" t="inlineStr">
        <is>
          <t>120</t>
        </is>
      </c>
      <c r="F6028" t="inlineStr">
        <is>
          <t>0</t>
        </is>
      </c>
      <c r="G6028" t="inlineStr">
        <is>
          <t>0</t>
        </is>
      </c>
      <c r="H6028" t="inlineStr">
        <is>
          <t>10¹, 30¹, 50¹, 150¹</t>
        </is>
      </c>
      <c r="I6028" t="n">
        <v>4</v>
      </c>
      <c r="J6028" t="inlineStr">
        <is>
          <t>2⁴, 4¹⁰, 8⁴, 20⁴, 40²</t>
        </is>
      </c>
      <c r="K6028">
        <f>HYPERLINK("CSG3.html#group30G3", "30G³"), =HYPERLINK("CSG5.html#group50B5", "50B⁵"), =HYPERLINK("CSG9.html#group75B9", "75B⁹")</f>
        <v/>
      </c>
      <c r="L6028" t="inlineStr"/>
      <c r="M6028">
        <f>HYPERLINK("CSG9.html#group75B9", "75B⁹"), =HYPERLINK("CSG0.html#group2A0", "2A⁰"), =HYPERLINK("CSG1.html#group15C1", "15C¹"), =HYPERLINK("CSG0.html#group3B0", "3B⁰"), =HYPERLINK("CSG5.html#group50B5", "50B⁵"), =HYPERLINK("CSG0.html#group6C0", "6C⁰"), =HYPERLINK("CSG0.html#group5B0", "5B⁰"), =HYPERLINK("CSG1.html#group10A1", "10A¹"), =HYPERLINK("CSG3.html#group30G3", "30G³"), =HYPERLINK("CSG0.html#group1A0", "1A⁰"), =HYPERLINK("CSG2.html#group25B2", "25B²")</f>
        <v/>
      </c>
      <c r="N6028" t="inlineStr"/>
    </row>
    <row r="6029">
      <c r="A6029" t="inlineStr">
        <is>
          <t>150G¹⁹</t>
        </is>
      </c>
      <c r="B6029" t="inlineStr"/>
      <c r="C6029" t="inlineStr">
        <is>
          <t>240</t>
        </is>
      </c>
      <c r="D6029" t="inlineStr">
        <is>
          <t>1</t>
        </is>
      </c>
      <c r="E6029" t="inlineStr">
        <is>
          <t>120</t>
        </is>
      </c>
      <c r="F6029" t="inlineStr">
        <is>
          <t>0</t>
        </is>
      </c>
      <c r="G6029" t="inlineStr">
        <is>
          <t>0</t>
        </is>
      </c>
      <c r="H6029" t="inlineStr">
        <is>
          <t>10¹, 30¹, 50¹, 150¹</t>
        </is>
      </c>
      <c r="I6029" t="n">
        <v>4</v>
      </c>
      <c r="J6029" t="inlineStr">
        <is>
          <t>2⁴, 4¹⁰, 8⁴, 20⁴, 40²</t>
        </is>
      </c>
      <c r="K6029">
        <f>HYPERLINK("CSG3.html#group30G3", "30G³"), =HYPERLINK("CSG5.html#group50C5", "50C⁵"), =HYPERLINK("CSG9.html#group75C9", "75C⁹")</f>
        <v/>
      </c>
      <c r="L6029" t="inlineStr"/>
      <c r="M6029">
        <f>HYPERLINK("CSG0.html#group2A0", "2A⁰"), =HYPERLINK("CSG1.html#group15C1", "15C¹"), =HYPERLINK("CSG0.html#group3B0", "3B⁰"), =HYPERLINK("CSG9.html#group75C9", "75C⁹"), =HYPERLINK("CSG0.html#group6C0", "6C⁰"), =HYPERLINK("CSG0.html#group5B0", "5B⁰"), =HYPERLINK("CSG5.html#group50C5", "50C⁵"), =HYPERLINK("CSG1.html#group10A1", "10A¹"), =HYPERLINK("CSG3.html#group30G3", "30G³"), =HYPERLINK("CSG0.html#group1A0", "1A⁰"), =HYPERLINK("CSG2.html#group25C2", "25C²")</f>
        <v/>
      </c>
      <c r="N6029" t="inlineStr"/>
    </row>
    <row r="6030">
      <c r="A6030" t="inlineStr">
        <is>
          <t>150H¹⁹</t>
        </is>
      </c>
      <c r="B6030" t="inlineStr"/>
      <c r="C6030" t="inlineStr">
        <is>
          <t>240</t>
        </is>
      </c>
      <c r="D6030" t="inlineStr">
        <is>
          <t>1</t>
        </is>
      </c>
      <c r="E6030" t="inlineStr">
        <is>
          <t>120</t>
        </is>
      </c>
      <c r="F6030" t="inlineStr">
        <is>
          <t>0</t>
        </is>
      </c>
      <c r="G6030" t="inlineStr">
        <is>
          <t>0</t>
        </is>
      </c>
      <c r="H6030" t="inlineStr">
        <is>
          <t>10¹, 30¹, 50¹, 150¹</t>
        </is>
      </c>
      <c r="I6030" t="n">
        <v>4</v>
      </c>
      <c r="J6030" t="inlineStr">
        <is>
          <t>2⁴, 4¹⁰, 8⁴, 20⁴, 40²</t>
        </is>
      </c>
      <c r="K6030">
        <f>HYPERLINK("CSG3.html#group30G3", "30G³"), =HYPERLINK("CSG5.html#group50D5", "50D⁵"), =HYPERLINK("CSG9.html#group75D9", "75D⁹")</f>
        <v/>
      </c>
      <c r="L6030" t="inlineStr"/>
      <c r="M6030">
        <f>HYPERLINK("CSG1.html#group15C1", "15C¹"), =HYPERLINK("CSG0.html#group3B0", "3B⁰"), =HYPERLINK("CSG0.html#group2A0", "2A⁰"), =HYPERLINK("CSG0.html#group6C0", "6C⁰"), =HYPERLINK("CSG0.html#group5B0", "5B⁰"), =HYPERLINK("CSG9.html#group75D9", "75D⁹"), =HYPERLINK("CSG5.html#group50D5", "50D⁵"), =HYPERLINK("CSG1.html#group10A1", "10A¹"), =HYPERLINK("CSG3.html#group30G3", "30G³"), =HYPERLINK("CSG0.html#group1A0", "1A⁰"), =HYPERLINK("CSG2.html#group25D2", "25D²")</f>
        <v/>
      </c>
      <c r="N6030" t="inlineStr"/>
    </row>
    <row r="6031">
      <c r="A6031" t="inlineStr">
        <is>
          <t>150I¹⁹</t>
        </is>
      </c>
      <c r="B6031" t="inlineStr">
        <is>
          <t>Γ₀(150)</t>
        </is>
      </c>
      <c r="C6031" t="inlineStr">
        <is>
          <t>360</t>
        </is>
      </c>
      <c r="D6031" t="inlineStr">
        <is>
          <t>1</t>
        </is>
      </c>
      <c r="E6031" t="inlineStr">
        <is>
          <t>360</t>
        </is>
      </c>
      <c r="F6031" t="inlineStr">
        <is>
          <t>0</t>
        </is>
      </c>
      <c r="G6031" t="inlineStr">
        <is>
          <t>0</t>
        </is>
      </c>
      <c r="H6031" t="inlineStr">
        <is>
          <t>1⁵, 2⁵, 3⁵, 6⁵, 25¹, 50¹, 75¹, 150¹</t>
        </is>
      </c>
      <c r="I6031" t="n">
        <v>24</v>
      </c>
      <c r="J6031" t="inlineStr">
        <is>
          <t>1¹², 2⁶, 4¹², 8⁶, 20⁶, 40³</t>
        </is>
      </c>
      <c r="K6031">
        <f>HYPERLINK("CSG2.html#group50B2", "50B²"), =HYPERLINK("CSG3.html#group30K3", "30K³"), =HYPERLINK("CSG5.html#group75A5", "75A⁵")</f>
        <v/>
      </c>
      <c r="L6031" t="inlineStr"/>
      <c r="M6031">
        <f>HYPERLINK("CSG1.html#group15C1", "15C¹"), =HYPERLINK("CSG0.html#group3B0", "3B⁰"), =HYPERLINK("CSG5.html#group75A5", "75A⁵"), =HYPERLINK("CSG0.html#group25A0", "25A⁰"), =HYPERLINK("CSG0.html#group10C0", "10C⁰"), =HYPERLINK("CSG0.html#group5B0", "5B⁰"), =HYPERLINK("CSG0.html#group6F0", "6F⁰"), =HYPERLINK("CSG0.html#group2B0", "2B⁰"), =HYPERLINK("CSG3.html#group30K3", "30K³"), =HYPERLINK("CSG2.html#group50B2", "50B²"), =HYPERLINK("CSG0.html#group1A0", "1A⁰")</f>
        <v/>
      </c>
      <c r="N6031" t="inlineStr"/>
    </row>
    <row r="6032">
      <c r="A6032" t="inlineStr">
        <is>
          <t>152A¹⁹</t>
        </is>
      </c>
      <c r="B6032" t="inlineStr"/>
      <c r="C6032" t="inlineStr">
        <is>
          <t>240</t>
        </is>
      </c>
      <c r="D6032" t="inlineStr">
        <is>
          <t>1</t>
        </is>
      </c>
      <c r="E6032" t="inlineStr">
        <is>
          <t>60</t>
        </is>
      </c>
      <c r="F6032" t="inlineStr">
        <is>
          <t>0</t>
        </is>
      </c>
      <c r="G6032" t="inlineStr">
        <is>
          <t>0</t>
        </is>
      </c>
      <c r="H6032" t="inlineStr">
        <is>
          <t>4¹, 8¹, 76¹, 152¹</t>
        </is>
      </c>
      <c r="I6032" t="n">
        <v>4</v>
      </c>
      <c r="J6032" t="inlineStr">
        <is>
          <t>1⁶, 18³</t>
        </is>
      </c>
      <c r="K6032">
        <f>HYPERLINK("CSG0.html#group8B0", "8B⁰"), =HYPERLINK("CSG9.html#group76A9", "76A⁹")</f>
        <v/>
      </c>
      <c r="L6032" t="inlineStr"/>
      <c r="M6032">
        <f>HYPERLINK("CSG1.html#group19A1", "19A¹"), =HYPERLINK("CSG0.html#group4C0", "4C⁰"), =HYPERLINK("CSG4.html#group38A4", "38A⁴"), =HYPERLINK("CSG0.html#group8B0", "8B⁰"), =HYPERLINK("CSG0.html#group2B0", "2B⁰"), =HYPERLINK("CSG9.html#group76A9", "76A⁹"), =HYPERLINK("CSG0.html#group1A0", "1A⁰")</f>
        <v/>
      </c>
      <c r="N6032" t="inlineStr"/>
    </row>
    <row r="6033">
      <c r="A6033" t="inlineStr">
        <is>
          <t>152B¹⁹</t>
        </is>
      </c>
      <c r="B6033" t="inlineStr"/>
      <c r="C6033" t="inlineStr">
        <is>
          <t>240</t>
        </is>
      </c>
      <c r="D6033" t="inlineStr">
        <is>
          <t>1</t>
        </is>
      </c>
      <c r="E6033" t="inlineStr">
        <is>
          <t>60</t>
        </is>
      </c>
      <c r="F6033" t="inlineStr">
        <is>
          <t>0</t>
        </is>
      </c>
      <c r="G6033" t="inlineStr">
        <is>
          <t>0</t>
        </is>
      </c>
      <c r="H6033" t="inlineStr">
        <is>
          <t>4¹, 8¹, 76¹, 152¹</t>
        </is>
      </c>
      <c r="I6033" t="n">
        <v>4</v>
      </c>
      <c r="J6033" t="inlineStr">
        <is>
          <t>1⁶, 18³</t>
        </is>
      </c>
      <c r="K6033">
        <f>HYPERLINK("CSG1.html#group8A1", "8A¹"), =HYPERLINK("CSG9.html#group76A9", "76A⁹")</f>
        <v/>
      </c>
      <c r="L6033" t="inlineStr"/>
      <c r="M6033">
        <f>HYPERLINK("CSG1.html#group19A1", "19A¹"), =HYPERLINK("CSG0.html#group2B0", "2B⁰"), =HYPERLINK("CSG1.html#group8A1", "8A¹"), =HYPERLINK("CSG9.html#group76A9", "76A⁹"), =HYPERLINK("CSG0.html#group1A0", "1A⁰"), =HYPERLINK("CSG0.html#group4C0", "4C⁰"), =HYPERLINK("CSG4.html#group38A4", "38A⁴")</f>
        <v/>
      </c>
      <c r="N6033" t="inlineStr"/>
    </row>
    <row r="6034">
      <c r="A6034" t="inlineStr">
        <is>
          <t>156A¹⁹</t>
        </is>
      </c>
      <c r="B6034" t="inlineStr"/>
      <c r="C6034" t="inlineStr">
        <is>
          <t>252</t>
        </is>
      </c>
      <c r="D6034" t="inlineStr">
        <is>
          <t>1</t>
        </is>
      </c>
      <c r="E6034" t="inlineStr">
        <is>
          <t>42</t>
        </is>
      </c>
      <c r="F6034" t="inlineStr">
        <is>
          <t>0</t>
        </is>
      </c>
      <c r="G6034" t="inlineStr">
        <is>
          <t>0</t>
        </is>
      </c>
      <c r="H6034" t="inlineStr">
        <is>
          <t>3², 12¹, 39², 156¹</t>
        </is>
      </c>
      <c r="I6034" t="n">
        <v>6</v>
      </c>
      <c r="J6034" t="inlineStr">
        <is>
          <t>1⁶, 12³</t>
        </is>
      </c>
      <c r="K6034">
        <f>HYPERLINK("CSG1.html#group12B1", "12B¹"), =HYPERLINK("CSG5.html#group52A5", "52A⁵"), =HYPERLINK("CSG8.html#group78A8", "78A⁸")</f>
        <v/>
      </c>
      <c r="L6034" t="inlineStr"/>
      <c r="M6034">
        <f>HYPERLINK("CSG8.html#group78A8", "78A⁸"), =HYPERLINK("CSG2.html#group39A2", "39A²"), =HYPERLINK("CSG0.html#group3A0", "3A⁰"), =HYPERLINK("CSG5.html#group52A5", "52A⁵"), =HYPERLINK("CSG0.html#group13A0", "13A⁰"), =HYPERLINK("CSG1.html#group12B1", "12B¹"), =HYPERLINK("CSG0.html#group2B0", "2B⁰"), =HYPERLINK("CSG0.html#group4B0", "4B⁰"), =HYPERLINK("CSG0.html#group1A0", "1A⁰"), =HYPERLINK("CSG2.html#group26A2", "26A²"), =HYPERLINK("CSG0.html#group6D0", "6D⁰")</f>
        <v/>
      </c>
      <c r="N6034" t="inlineStr"/>
    </row>
    <row r="6035">
      <c r="A6035" t="inlineStr">
        <is>
          <t>156B¹⁹</t>
        </is>
      </c>
      <c r="B6035" t="inlineStr"/>
      <c r="C6035" t="inlineStr">
        <is>
          <t>252</t>
        </is>
      </c>
      <c r="D6035" t="inlineStr">
        <is>
          <t>1</t>
        </is>
      </c>
      <c r="E6035" t="inlineStr">
        <is>
          <t>126</t>
        </is>
      </c>
      <c r="F6035" t="inlineStr">
        <is>
          <t>4</t>
        </is>
      </c>
      <c r="G6035" t="inlineStr">
        <is>
          <t>0</t>
        </is>
      </c>
      <c r="H6035" t="inlineStr">
        <is>
          <t>6¹, 12¹, 78¹, 156¹</t>
        </is>
      </c>
      <c r="I6035" t="n">
        <v>4</v>
      </c>
      <c r="J6035" t="inlineStr">
        <is>
          <t>1⁶, 2⁶, 12³, 24³</t>
        </is>
      </c>
      <c r="K6035">
        <f>HYPERLINK("CSG1.html#group12C1", "12C¹"), =HYPERLINK("CSG8.html#group78A8", "78A⁸")</f>
        <v/>
      </c>
      <c r="L6035" t="inlineStr"/>
      <c r="M6035">
        <f>HYPERLINK("CSG8.html#group78A8", "78A⁸"), =HYPERLINK("CSG2.html#group39A2", "39A²"), =HYPERLINK("CSG1.html#group12C1", "12C¹"), =HYPERLINK("CSG0.html#group13A0", "13A⁰"), =HYPERLINK("CSG0.html#group2B0", "2B⁰"), =HYPERLINK("CSG0.html#group3A0", "3A⁰"), =HYPERLINK("CSG0.html#group1A0", "1A⁰"), =HYPERLINK("CSG2.html#group26A2", "26A²"), =HYPERLINK("CSG0.html#group6D0", "6D⁰")</f>
        <v/>
      </c>
      <c r="N6035" t="inlineStr"/>
    </row>
    <row r="6036">
      <c r="A6036" t="inlineStr">
        <is>
          <t>156C¹⁹</t>
        </is>
      </c>
      <c r="B6036" t="inlineStr"/>
      <c r="C6036" t="inlineStr">
        <is>
          <t>252</t>
        </is>
      </c>
      <c r="D6036" t="inlineStr">
        <is>
          <t>2</t>
        </is>
      </c>
      <c r="E6036" t="inlineStr">
        <is>
          <t>42</t>
        </is>
      </c>
      <c r="F6036" t="inlineStr">
        <is>
          <t>0</t>
        </is>
      </c>
      <c r="G6036" t="inlineStr">
        <is>
          <t>0</t>
        </is>
      </c>
      <c r="H6036" t="inlineStr">
        <is>
          <t>3², 12¹, 39², 156¹</t>
        </is>
      </c>
      <c r="I6036" t="n">
        <v>6</v>
      </c>
      <c r="J6036" t="inlineStr">
        <is>
          <t>2⁶, 24³</t>
        </is>
      </c>
      <c r="K6036">
        <f>HYPERLINK("CSG5.html#group52A5", "52A⁵"), =HYPERLINK("CSG8.html#group78B8", "78B⁸")</f>
        <v/>
      </c>
      <c r="L6036" t="inlineStr"/>
      <c r="M6036">
        <f>HYPERLINK("CSG8.html#group78B8", "78B⁸"), =HYPERLINK("CSG5.html#group52A5", "52A⁵"), =HYPERLINK("CSG0.html#group13A0", "13A⁰"), =HYPERLINK("CSG0.html#group2B0", "2B⁰"), =HYPERLINK("CSG1.html#group39A1", "39A¹"), =HYPERLINK("CSG0.html#group4B0", "4B⁰"), =HYPERLINK("CSG0.html#group1A0", "1A⁰"), =HYPERLINK("CSG2.html#group26A2", "26A²")</f>
        <v/>
      </c>
      <c r="N6036" t="inlineStr"/>
    </row>
    <row r="6037">
      <c r="A6037" t="inlineStr">
        <is>
          <t>156D¹⁹</t>
        </is>
      </c>
      <c r="B6037" t="inlineStr"/>
      <c r="C6037" t="inlineStr">
        <is>
          <t>336</t>
        </is>
      </c>
      <c r="D6037" t="inlineStr">
        <is>
          <t>1</t>
        </is>
      </c>
      <c r="E6037" t="inlineStr">
        <is>
          <t>28</t>
        </is>
      </c>
      <c r="F6037" t="inlineStr">
        <is>
          <t>0</t>
        </is>
      </c>
      <c r="G6037" t="inlineStr">
        <is>
          <t>24</t>
        </is>
      </c>
      <c r="H6037" t="inlineStr">
        <is>
          <t>12², 156²</t>
        </is>
      </c>
      <c r="I6037" t="n">
        <v>4</v>
      </c>
      <c r="J6037" t="inlineStr">
        <is>
          <t>2², 24¹</t>
        </is>
      </c>
      <c r="K6037">
        <f>HYPERLINK("CSG3.html#group52B3", "52B³"), =HYPERLINK("CSG9.html#group78A9", "78A⁹")</f>
        <v/>
      </c>
      <c r="L6037" t="inlineStr"/>
      <c r="M6037">
        <f>HYPERLINK("CSG3.html#group52B3", "52B³"), =HYPERLINK("CSG0.html#group2A0", "2A⁰"), =HYPERLINK("CSG1.html#group26B1", "26B¹"), =HYPERLINK("CSG1.html#group26A1", "26A¹"), =HYPERLINK("CSG0.html#group6A0", "6A⁰"), =HYPERLINK("CSG0.html#group13A0", "13A⁰"), =HYPERLINK("CSG5.html#group78A5", "78A⁵"), =HYPERLINK("CSG0.html#group26A0", "26A⁰"), =HYPERLINK("CSG0.html#group13B0", "13B⁰"), =HYPERLINK("CSG1.html#group52A1", "52A¹"), =HYPERLINK("CSG0.html#group1A0", "1A⁰"), =HYPERLINK("CSG9.html#group78A9", "78A⁹")</f>
        <v/>
      </c>
      <c r="N6037" t="inlineStr"/>
    </row>
    <row r="6038">
      <c r="A6038" t="inlineStr">
        <is>
          <t>156E¹⁹</t>
        </is>
      </c>
      <c r="B6038" t="inlineStr"/>
      <c r="C6038" t="inlineStr">
        <is>
          <t>336</t>
        </is>
      </c>
      <c r="D6038" t="inlineStr">
        <is>
          <t>2</t>
        </is>
      </c>
      <c r="E6038" t="inlineStr">
        <is>
          <t>14</t>
        </is>
      </c>
      <c r="F6038" t="inlineStr">
        <is>
          <t>0</t>
        </is>
      </c>
      <c r="G6038" t="inlineStr">
        <is>
          <t>24</t>
        </is>
      </c>
      <c r="H6038" t="inlineStr">
        <is>
          <t>12², 156²</t>
        </is>
      </c>
      <c r="I6038" t="n">
        <v>4</v>
      </c>
      <c r="J6038" t="inlineStr">
        <is>
          <t>2², 24¹</t>
        </is>
      </c>
      <c r="K6038">
        <f>HYPERLINK("CSG3.html#group52B3", "52B³"), =HYPERLINK("CSG7.html#group156A7", "156A⁷"), =HYPERLINK("CSG7.html#group156B7", "156B⁷"), =HYPERLINK("CSG9.html#group78C9", "78C⁹")</f>
        <v/>
      </c>
      <c r="L6038" t="inlineStr"/>
      <c r="M6038">
        <f>HYPERLINK("CSG3.html#group52B3", "52B³"), =HYPERLINK("CSG0.html#group2A0", "2A⁰"), =HYPERLINK("CSG1.html#group26A1", "26A¹"), =HYPERLINK("CSG2.html#group78A2", "78A²"), =HYPERLINK("CSG0.html#group13A0", "13A⁰"), =HYPERLINK("CSG0.html#group26A0", "26A⁰"), =HYPERLINK("CSG7.html#group156B7", "156B⁷"), =HYPERLINK("CSG0.html#group1A0", "1A⁰"), =HYPERLINK("CSG5.html#group78C5", "78C⁵"), =HYPERLINK("CSG9.html#group78C9", "78C⁹"), =HYPERLINK("CSG4.html#group39B4", "39B⁴"), =HYPERLINK("CSG1.html#group26B1", "26B¹"), =HYPERLINK("CSG0.html#group13B0", "13B⁰"), =HYPERLINK("CSG7.html#group156A7", "156A⁷"), =HYPERLINK("CSG1.html#group39A1", "39A¹"), =HYPERLINK("CSG1.html#group52A1", "52A¹")</f>
        <v/>
      </c>
      <c r="N6038" t="inlineStr"/>
    </row>
    <row r="6039">
      <c r="A6039" t="inlineStr">
        <is>
          <t>156F¹⁹</t>
        </is>
      </c>
      <c r="B6039" t="inlineStr"/>
      <c r="C6039" t="inlineStr">
        <is>
          <t>336</t>
        </is>
      </c>
      <c r="D6039" t="inlineStr">
        <is>
          <t>2</t>
        </is>
      </c>
      <c r="E6039" t="inlineStr">
        <is>
          <t>56</t>
        </is>
      </c>
      <c r="F6039" t="inlineStr">
        <is>
          <t>24</t>
        </is>
      </c>
      <c r="G6039" t="inlineStr">
        <is>
          <t>6</t>
        </is>
      </c>
      <c r="H6039" t="inlineStr">
        <is>
          <t>12², 156²</t>
        </is>
      </c>
      <c r="I6039" t="n">
        <v>4</v>
      </c>
      <c r="J6039" t="inlineStr">
        <is>
          <t>4⁴, 48²</t>
        </is>
      </c>
      <c r="K6039">
        <f>HYPERLINK("CSG2.html#group78A2", "78A²"), =HYPERLINK("CSG5.html#group52C5", "52C⁵"), =HYPERLINK("CSG10.html#group156A10", "156A¹⁰")</f>
        <v/>
      </c>
      <c r="L6039" t="inlineStr"/>
      <c r="M6039">
        <f>HYPERLINK("CSG3.html#group52A3", "52A³"), =HYPERLINK("CSG0.html#group4A0", "4A⁰"), =HYPERLINK("CSG2.html#group78A2", "78A²"), =HYPERLINK("CSG0.html#group13A0", "13A⁰"), =HYPERLINK("CSG0.html#group26A0", "26A⁰"), =HYPERLINK("CSG1.html#group39A1", "39A¹"), =HYPERLINK("CSG10.html#group156A10", "156A¹⁰"), =HYPERLINK("CSG0.html#group1A0", "1A⁰"), =HYPERLINK("CSG5.html#group52C5", "52C⁵")</f>
        <v/>
      </c>
      <c r="N6039" t="inlineStr"/>
    </row>
    <row r="6040">
      <c r="A6040" t="inlineStr">
        <is>
          <t>158A¹⁹</t>
        </is>
      </c>
      <c r="B6040" t="inlineStr">
        <is>
          <t>Γ₀(158)</t>
        </is>
      </c>
      <c r="C6040" t="inlineStr">
        <is>
          <t>240</t>
        </is>
      </c>
      <c r="D6040" t="inlineStr">
        <is>
          <t>1</t>
        </is>
      </c>
      <c r="E6040" t="inlineStr">
        <is>
          <t>240</t>
        </is>
      </c>
      <c r="F6040" t="inlineStr">
        <is>
          <t>0</t>
        </is>
      </c>
      <c r="G6040" t="inlineStr">
        <is>
          <t>0</t>
        </is>
      </c>
      <c r="H6040" t="inlineStr">
        <is>
          <t>1¹, 2¹, 79¹, 158¹</t>
        </is>
      </c>
      <c r="I6040" t="n">
        <v>4</v>
      </c>
      <c r="J6040" t="inlineStr">
        <is>
          <t>1⁶, 78³</t>
        </is>
      </c>
      <c r="K6040">
        <f>HYPERLINK("CSG0.html#group2B0", "2B⁰"), =HYPERLINK("CSG6.html#group79A6", "79A⁶")</f>
        <v/>
      </c>
      <c r="L6040" t="inlineStr"/>
      <c r="M6040">
        <f>HYPERLINK("CSG6.html#group79A6", "79A⁶"), =HYPERLINK("CSG0.html#group1A0", "1A⁰"), =HYPERLINK("CSG0.html#group2B0", "2B⁰")</f>
        <v/>
      </c>
      <c r="N6040" t="inlineStr"/>
    </row>
    <row r="6041">
      <c r="A6041" t="inlineStr">
        <is>
          <t>160A¹⁹</t>
        </is>
      </c>
      <c r="B6041" t="inlineStr"/>
      <c r="C6041" t="inlineStr">
        <is>
          <t>240</t>
        </is>
      </c>
      <c r="D6041" t="inlineStr">
        <is>
          <t>1</t>
        </is>
      </c>
      <c r="E6041" t="inlineStr">
        <is>
          <t>30</t>
        </is>
      </c>
      <c r="F6041" t="inlineStr">
        <is>
          <t>0</t>
        </is>
      </c>
      <c r="G6041" t="inlineStr">
        <is>
          <t>0</t>
        </is>
      </c>
      <c r="H6041" t="inlineStr">
        <is>
          <t>20², 40¹, 160¹</t>
        </is>
      </c>
      <c r="I6041" t="n">
        <v>4</v>
      </c>
      <c r="J6041" t="inlineStr">
        <is>
          <t>1⁴, 2¹, 4⁴, 8¹</t>
        </is>
      </c>
      <c r="K6041">
        <f>HYPERLINK("CSG3.html#group32A3", "32A³"), =HYPERLINK("CSG9.html#group80A9", "80A⁹")</f>
        <v/>
      </c>
      <c r="L6041" t="inlineStr"/>
      <c r="M6041">
        <f>HYPERLINK("CSG2.html#group20A2", "20A²"), =HYPERLINK("CSG0.html#group5A0", "5A⁰"), =HYPERLINK("CSG9.html#group80A9", "80A⁹"), =HYPERLINK("CSG1.html#group10B1", "10B¹"), =HYPERLINK("CSG3.html#group32A3", "32A³"), =HYPERLINK("CSG1.html#group16A1", "16A¹"), =HYPERLINK("CSG0.html#group8C0", "8C⁰"), =HYPERLINK("CSG0.html#group2B0", "2B⁰"), =HYPERLINK("CSG0.html#group4B0", "4B⁰"), =HYPERLINK("CSG4.html#group40B4", "40B⁴"), =HYPERLINK("CSG0.html#group1A0", "1A⁰")</f>
        <v/>
      </c>
      <c r="N6041" t="inlineStr"/>
    </row>
    <row r="6042">
      <c r="A6042" t="inlineStr">
        <is>
          <t>160B¹⁹</t>
        </is>
      </c>
      <c r="B6042" t="inlineStr"/>
      <c r="C6042" t="inlineStr">
        <is>
          <t>240</t>
        </is>
      </c>
      <c r="D6042" t="inlineStr">
        <is>
          <t>1</t>
        </is>
      </c>
      <c r="E6042" t="inlineStr">
        <is>
          <t>30</t>
        </is>
      </c>
      <c r="F6042" t="inlineStr">
        <is>
          <t>0</t>
        </is>
      </c>
      <c r="G6042" t="inlineStr">
        <is>
          <t>0</t>
        </is>
      </c>
      <c r="H6042" t="inlineStr">
        <is>
          <t>20², 40¹, 160¹</t>
        </is>
      </c>
      <c r="I6042" t="n">
        <v>4</v>
      </c>
      <c r="J6042" t="inlineStr">
        <is>
          <t>1⁴, 2¹, 4⁴, 8¹</t>
        </is>
      </c>
      <c r="K6042">
        <f>HYPERLINK("CSG3.html#group32B3", "32B³"), =HYPERLINK("CSG9.html#group80A9", "80A⁹")</f>
        <v/>
      </c>
      <c r="L6042" t="inlineStr"/>
      <c r="M6042">
        <f>HYPERLINK("CSG2.html#group20A2", "20A²"), =HYPERLINK("CSG0.html#group5A0", "5A⁰"), =HYPERLINK("CSG9.html#group80A9", "80A⁹"), =HYPERLINK("CSG1.html#group10B1", "10B¹"), =HYPERLINK("CSG1.html#group16A1", "16A¹"), =HYPERLINK("CSG0.html#group8C0", "8C⁰"), =HYPERLINK("CSG0.html#group2B0", "2B⁰"), =HYPERLINK("CSG0.html#group4B0", "4B⁰"), =HYPERLINK("CSG4.html#group40B4", "40B⁴"), =HYPERLINK("CSG0.html#group1A0", "1A⁰"), =HYPERLINK("CSG3.html#group32B3", "32B³")</f>
        <v/>
      </c>
      <c r="N6042" t="inlineStr"/>
    </row>
    <row r="6043">
      <c r="A6043" t="inlineStr">
        <is>
          <t>160C¹⁹</t>
        </is>
      </c>
      <c r="B6043" t="inlineStr"/>
      <c r="C6043" t="inlineStr">
        <is>
          <t>240</t>
        </is>
      </c>
      <c r="D6043" t="inlineStr">
        <is>
          <t>1</t>
        </is>
      </c>
      <c r="E6043" t="inlineStr">
        <is>
          <t>60</t>
        </is>
      </c>
      <c r="F6043" t="inlineStr">
        <is>
          <t>0</t>
        </is>
      </c>
      <c r="G6043" t="inlineStr">
        <is>
          <t>0</t>
        </is>
      </c>
      <c r="H6043" t="inlineStr">
        <is>
          <t>20², 40¹, 160¹</t>
        </is>
      </c>
      <c r="I6043" t="n">
        <v>4</v>
      </c>
      <c r="J6043" t="inlineStr">
        <is>
          <t>1⁴, 2², 4⁵, 8², 16¹</t>
        </is>
      </c>
      <c r="K6043">
        <f>HYPERLINK("CSG3.html#group32C3", "32C³"), =HYPERLINK("CSG9.html#group80A9", "80A⁹")</f>
        <v/>
      </c>
      <c r="L6043" t="inlineStr"/>
      <c r="M6043">
        <f>HYPERLINK("CSG2.html#group20A2", "20A²"), =HYPERLINK("CSG0.html#group5A0", "5A⁰"), =HYPERLINK("CSG9.html#group80A9", "80A⁹"), =HYPERLINK("CSG1.html#group10B1", "10B¹"), =HYPERLINK("CSG1.html#group16A1", "16A¹"), =HYPERLINK("CSG0.html#group8C0", "8C⁰"), =HYPERLINK("CSG0.html#group2B0", "2B⁰"), =HYPERLINK("CSG0.html#group4B0", "4B⁰"), =HYPERLINK("CSG4.html#group40B4", "40B⁴"), =HYPERLINK("CSG0.html#group1A0", "1A⁰"), =HYPERLINK("CSG3.html#group32C3", "32C³")</f>
        <v/>
      </c>
      <c r="N6043" t="inlineStr"/>
    </row>
    <row r="6044">
      <c r="A6044" t="inlineStr">
        <is>
          <t>160D¹⁹</t>
        </is>
      </c>
      <c r="B6044" t="inlineStr"/>
      <c r="C6044" t="inlineStr">
        <is>
          <t>240</t>
        </is>
      </c>
      <c r="D6044" t="inlineStr">
        <is>
          <t>1</t>
        </is>
      </c>
      <c r="E6044" t="inlineStr">
        <is>
          <t>60</t>
        </is>
      </c>
      <c r="F6044" t="inlineStr">
        <is>
          <t>4</t>
        </is>
      </c>
      <c r="G6044" t="inlineStr">
        <is>
          <t>0</t>
        </is>
      </c>
      <c r="H6044" t="inlineStr">
        <is>
          <t>80¹, 160¹</t>
        </is>
      </c>
      <c r="I6044" t="n">
        <v>2</v>
      </c>
      <c r="J6044" t="inlineStr">
        <is>
          <t>2⁶, 8⁶</t>
        </is>
      </c>
      <c r="K6044">
        <f>HYPERLINK("CSG3.html#group32D3", "32D³"), =HYPERLINK("CSG8.html#group80A8", "80A⁸")</f>
        <v/>
      </c>
      <c r="L6044" t="inlineStr"/>
      <c r="M6044">
        <f>HYPERLINK("CSG0.html#group5A0", "5A⁰"), =HYPERLINK("CSG4.html#group40A4", "40A⁴"), =HYPERLINK("CSG1.html#group10B1", "10B¹"), =HYPERLINK("CSG2.html#group20B2", "20B²"), =HYPERLINK("CSG0.html#group4C0", "4C⁰"), =HYPERLINK("CSG0.html#group8B0", "8B⁰"), =HYPERLINK("CSG0.html#group2B0", "2B⁰"), =HYPERLINK("CSG0.html#group1A0", "1A⁰"), =HYPERLINK("CSG0.html#group16B0", "16B⁰"), =HYPERLINK("CSG3.html#group32D3", "32D³"), =HYPERLINK("CSG8.html#group80A8", "80A⁸")</f>
        <v/>
      </c>
      <c r="N6044" t="inlineStr"/>
    </row>
    <row r="6045">
      <c r="A6045" t="inlineStr">
        <is>
          <t>160E¹⁹</t>
        </is>
      </c>
      <c r="B6045" t="inlineStr"/>
      <c r="C6045" t="inlineStr">
        <is>
          <t>240</t>
        </is>
      </c>
      <c r="D6045" t="inlineStr">
        <is>
          <t>1</t>
        </is>
      </c>
      <c r="E6045" t="inlineStr">
        <is>
          <t>120</t>
        </is>
      </c>
      <c r="F6045" t="inlineStr">
        <is>
          <t>4</t>
        </is>
      </c>
      <c r="G6045" t="inlineStr">
        <is>
          <t>0</t>
        </is>
      </c>
      <c r="H6045" t="inlineStr">
        <is>
          <t>80¹, 160¹</t>
        </is>
      </c>
      <c r="I6045" t="n">
        <v>2</v>
      </c>
      <c r="J6045" t="inlineStr">
        <is>
          <t>2⁸, 8⁹, 32¹</t>
        </is>
      </c>
      <c r="K6045">
        <f>HYPERLINK("CSG3.html#group32E3", "32E³"), =HYPERLINK("CSG9.html#group80D9", "80D⁹")</f>
        <v/>
      </c>
      <c r="L6045" t="inlineStr"/>
      <c r="M6045">
        <f>HYPERLINK("CSG0.html#group5A0", "5A⁰"), =HYPERLINK("CSG4.html#group40A4", "40A⁴"), =HYPERLINK("CSG1.html#group10B1", "10B¹"), =HYPERLINK("CSG9.html#group80D9", "80D⁹"), =HYPERLINK("CSG0.html#group4C0", "4C⁰"), =HYPERLINK("CSG2.html#group20B2", "20B²"), =HYPERLINK("CSG0.html#group8B0", "8B⁰"), =HYPERLINK("CSG0.html#group2B0", "2B⁰"), =HYPERLINK("CSG0.html#group1A0", "1A⁰"), =HYPERLINK("CSG1.html#group16D1", "16D¹"), =HYPERLINK("CSG3.html#group32E3", "32E³")</f>
        <v/>
      </c>
      <c r="N6045" t="inlineStr"/>
    </row>
    <row r="6046">
      <c r="A6046" t="inlineStr">
        <is>
          <t>160F¹⁹</t>
        </is>
      </c>
      <c r="B6046" t="inlineStr"/>
      <c r="C6046" t="inlineStr">
        <is>
          <t>240</t>
        </is>
      </c>
      <c r="D6046" t="inlineStr">
        <is>
          <t>1</t>
        </is>
      </c>
      <c r="E6046" t="inlineStr">
        <is>
          <t>120</t>
        </is>
      </c>
      <c r="F6046" t="inlineStr">
        <is>
          <t>4</t>
        </is>
      </c>
      <c r="G6046" t="inlineStr">
        <is>
          <t>0</t>
        </is>
      </c>
      <c r="H6046" t="inlineStr">
        <is>
          <t>80¹, 160¹</t>
        </is>
      </c>
      <c r="I6046" t="n">
        <v>2</v>
      </c>
      <c r="J6046" t="inlineStr">
        <is>
          <t>2⁸, 8⁹, 32¹</t>
        </is>
      </c>
      <c r="K6046">
        <f>HYPERLINK("CSG3.html#group32F3", "32F³"), =HYPERLINK("CSG9.html#group80D9", "80D⁹")</f>
        <v/>
      </c>
      <c r="L6046" t="inlineStr"/>
      <c r="M6046">
        <f>HYPERLINK("CSG0.html#group5A0", "5A⁰"), =HYPERLINK("CSG1.html#group16D1", "16D¹"), =HYPERLINK("CSG4.html#group40A4", "40A⁴"), =HYPERLINK("CSG1.html#group10B1", "10B¹"), =HYPERLINK("CSG9.html#group80D9", "80D⁹"), =HYPERLINK("CSG2.html#group20B2", "20B²"), =HYPERLINK("CSG0.html#group4C0", "4C⁰"), =HYPERLINK("CSG0.html#group8B0", "8B⁰"), =HYPERLINK("CSG0.html#group2B0", "2B⁰"), =HYPERLINK("CSG3.html#group32F3", "32F³"), =HYPERLINK("CSG0.html#group1A0", "1A⁰")</f>
        <v/>
      </c>
      <c r="N6046" t="inlineStr"/>
    </row>
    <row r="6047">
      <c r="A6047" t="inlineStr">
        <is>
          <t>160G¹⁹</t>
        </is>
      </c>
      <c r="B6047" t="inlineStr"/>
      <c r="C6047" t="inlineStr">
        <is>
          <t>240</t>
        </is>
      </c>
      <c r="D6047" t="inlineStr">
        <is>
          <t>1</t>
        </is>
      </c>
      <c r="E6047" t="inlineStr">
        <is>
          <t>120</t>
        </is>
      </c>
      <c r="F6047" t="inlineStr">
        <is>
          <t>4</t>
        </is>
      </c>
      <c r="G6047" t="inlineStr">
        <is>
          <t>0</t>
        </is>
      </c>
      <c r="H6047" t="inlineStr">
        <is>
          <t>80¹, 160¹</t>
        </is>
      </c>
      <c r="I6047" t="n">
        <v>2</v>
      </c>
      <c r="J6047" t="inlineStr">
        <is>
          <t>2⁸, 8⁹, 32¹</t>
        </is>
      </c>
      <c r="K6047">
        <f>HYPERLINK("CSG3.html#group32G3", "32G³"), =HYPERLINK("CSG9.html#group80D9", "80D⁹")</f>
        <v/>
      </c>
      <c r="L6047" t="inlineStr"/>
      <c r="M6047">
        <f>HYPERLINK("CSG0.html#group5A0", "5A⁰"), =HYPERLINK("CSG1.html#group16D1", "16D¹"), =HYPERLINK("CSG4.html#group40A4", "40A⁴"), =HYPERLINK("CSG1.html#group10B1", "10B¹"), =HYPERLINK("CSG9.html#group80D9", "80D⁹"), =HYPERLINK("CSG2.html#group20B2", "20B²"), =HYPERLINK("CSG0.html#group4C0", "4C⁰"), =HYPERLINK("CSG0.html#group8B0", "8B⁰"), =HYPERLINK("CSG0.html#group2B0", "2B⁰"), =HYPERLINK("CSG3.html#group32G3", "32G³"), =HYPERLINK("CSG0.html#group1A0", "1A⁰")</f>
        <v/>
      </c>
      <c r="N6047" t="inlineStr"/>
    </row>
    <row r="6048">
      <c r="A6048" t="inlineStr">
        <is>
          <t>160H¹⁹</t>
        </is>
      </c>
      <c r="B6048" t="inlineStr"/>
      <c r="C6048" t="inlineStr">
        <is>
          <t>240</t>
        </is>
      </c>
      <c r="D6048" t="inlineStr">
        <is>
          <t>1</t>
        </is>
      </c>
      <c r="E6048" t="inlineStr">
        <is>
          <t>120</t>
        </is>
      </c>
      <c r="F6048" t="inlineStr">
        <is>
          <t>4</t>
        </is>
      </c>
      <c r="G6048" t="inlineStr">
        <is>
          <t>0</t>
        </is>
      </c>
      <c r="H6048" t="inlineStr">
        <is>
          <t>80¹, 160¹</t>
        </is>
      </c>
      <c r="I6048" t="n">
        <v>2</v>
      </c>
      <c r="J6048" t="inlineStr">
        <is>
          <t>2⁸, 8⁹, 32¹</t>
        </is>
      </c>
      <c r="K6048">
        <f>HYPERLINK("CSG3.html#group32H3", "32H³"), =HYPERLINK("CSG9.html#group80D9", "80D⁹")</f>
        <v/>
      </c>
      <c r="L6048" t="inlineStr"/>
      <c r="M6048">
        <f>HYPERLINK("CSG0.html#group5A0", "5A⁰"), =HYPERLINK("CSG1.html#group16D1", "16D¹"), =HYPERLINK("CSG4.html#group40A4", "40A⁴"), =HYPERLINK("CSG1.html#group10B1", "10B¹"), =HYPERLINK("CSG9.html#group80D9", "80D⁹"), =HYPERLINK("CSG2.html#group20B2", "20B²"), =HYPERLINK("CSG0.html#group4C0", "4C⁰"), =HYPERLINK("CSG0.html#group8B0", "8B⁰"), =HYPERLINK("CSG0.html#group2B0", "2B⁰"), =HYPERLINK("CSG0.html#group1A0", "1A⁰"), =HYPERLINK("CSG3.html#group32H3", "32H³")</f>
        <v/>
      </c>
      <c r="N6048" t="inlineStr"/>
    </row>
    <row r="6049">
      <c r="A6049" t="inlineStr">
        <is>
          <t>160I¹⁹</t>
        </is>
      </c>
      <c r="B6049" t="inlineStr"/>
      <c r="C6049" t="inlineStr">
        <is>
          <t>240</t>
        </is>
      </c>
      <c r="D6049" t="inlineStr">
        <is>
          <t>2</t>
        </is>
      </c>
      <c r="E6049" t="inlineStr">
        <is>
          <t>120</t>
        </is>
      </c>
      <c r="F6049" t="inlineStr">
        <is>
          <t>2</t>
        </is>
      </c>
      <c r="G6049" t="inlineStr">
        <is>
          <t>0</t>
        </is>
      </c>
      <c r="H6049" t="inlineStr">
        <is>
          <t>40², 160¹</t>
        </is>
      </c>
      <c r="I6049" t="n">
        <v>3</v>
      </c>
      <c r="J6049" t="inlineStr">
        <is>
          <t>2², 4³, 8⁶, 16³, 32⁴</t>
        </is>
      </c>
      <c r="K6049">
        <f>HYPERLINK("CSG3.html#group32I3", "32I³"), =HYPERLINK("CSG9.html#group80C9", "80C⁹")</f>
        <v/>
      </c>
      <c r="L6049" t="inlineStr"/>
      <c r="M6049">
        <f>HYPERLINK("CSG0.html#group5A0", "5A⁰"), =HYPERLINK("CSG0.html#group8D0", "8D⁰"), =HYPERLINK("CSG1.html#group10B1", "10B¹"), =HYPERLINK("CSG2.html#group20B2", "20B²"), =HYPERLINK("CSG0.html#group4C0", "4C⁰"), =HYPERLINK("CSG3.html#group32I3", "32I³"), =HYPERLINK("CSG0.html#group2B0", "2B⁰"), =HYPERLINK("CSG0.html#group1A0", "1A⁰"), =HYPERLINK("CSG4.html#group40C4", "40C⁴"), =HYPERLINK("CSG1.html#group16C1", "16C¹"), =HYPERLINK("CSG9.html#group80C9", "80C⁹")</f>
        <v/>
      </c>
      <c r="N6049" t="inlineStr"/>
    </row>
    <row r="6050">
      <c r="A6050" t="inlineStr">
        <is>
          <t>160J¹⁹</t>
        </is>
      </c>
      <c r="B6050" t="inlineStr"/>
      <c r="C6050" t="inlineStr">
        <is>
          <t>288</t>
        </is>
      </c>
      <c r="D6050" t="inlineStr">
        <is>
          <t>1</t>
        </is>
      </c>
      <c r="E6050" t="inlineStr">
        <is>
          <t>36</t>
        </is>
      </c>
      <c r="F6050" t="inlineStr">
        <is>
          <t>0</t>
        </is>
      </c>
      <c r="G6050" t="inlineStr">
        <is>
          <t>0</t>
        </is>
      </c>
      <c r="H6050" t="inlineStr">
        <is>
          <t>2⁴, 8¹, 10⁴, 32¹, 40¹, 160¹</t>
        </is>
      </c>
      <c r="I6050" t="n">
        <v>12</v>
      </c>
      <c r="J6050" t="inlineStr">
        <is>
          <t>1⁸, 2², 4⁴, 8¹</t>
        </is>
      </c>
      <c r="K6050">
        <f>HYPERLINK("CSG7.html#group80F7", "80F⁷")</f>
        <v/>
      </c>
      <c r="L6050" t="inlineStr"/>
      <c r="M6050">
        <f>HYPERLINK("CSG7.html#group80F7", "80F⁷"), =HYPERLINK("CSG3.html#group40F3", "40F³"), =HYPERLINK("CSG0.html#group16C0", "16C⁰"), =HYPERLINK("CSG0.html#group5B0", "5B⁰"),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6050" t="inlineStr"/>
    </row>
    <row r="6051">
      <c r="A6051" t="inlineStr">
        <is>
          <t>160K¹⁹</t>
        </is>
      </c>
      <c r="B6051" t="inlineStr"/>
      <c r="C6051" t="inlineStr">
        <is>
          <t>288</t>
        </is>
      </c>
      <c r="D6051" t="inlineStr">
        <is>
          <t>1</t>
        </is>
      </c>
      <c r="E6051" t="inlineStr">
        <is>
          <t>36</t>
        </is>
      </c>
      <c r="F6051" t="inlineStr">
        <is>
          <t>0</t>
        </is>
      </c>
      <c r="G6051" t="inlineStr">
        <is>
          <t>0</t>
        </is>
      </c>
      <c r="H6051" t="inlineStr">
        <is>
          <t>2⁴, 8¹, 10⁴, 32¹, 40¹, 160¹</t>
        </is>
      </c>
      <c r="I6051" t="n">
        <v>12</v>
      </c>
      <c r="J6051" t="inlineStr">
        <is>
          <t>1⁸, 2², 4⁴, 8¹</t>
        </is>
      </c>
      <c r="K6051">
        <f>HYPERLINK("CSG2.html#group32A2", "32A²"), =HYPERLINK("CSG7.html#group80F7", "80F⁷")</f>
        <v/>
      </c>
      <c r="L6051" t="inlineStr"/>
      <c r="M6051">
        <f>HYPERLINK("CSG7.html#group80F7", "80F⁷"), =HYPERLINK("CSG3.html#group40F3", "40F³"), =HYPERLINK("CSG0.html#group16C0", "16C⁰"), =HYPERLINK("CSG0.html#group5B0", "5B⁰"), =HYPERLINK("CSG0.html#group10C0", "10C⁰"), =HYPERLINK("CSG2.html#group32A2", "32A²"), =HYPERLINK("CSG1.html#group20D1", "20D¹"), =HYPERLINK("CSG0.html#group8C0", "8C⁰"), =HYPERLINK("CSG0.html#group2B0", "2B⁰"), =HYPERLINK("CSG0.html#group4B0", "4B⁰"), =HYPERLINK("CSG0.html#group1A0", "1A⁰")</f>
        <v/>
      </c>
      <c r="N6051" t="inlineStr"/>
    </row>
    <row r="6052">
      <c r="A6052" t="inlineStr">
        <is>
          <t>160L¹⁹</t>
        </is>
      </c>
      <c r="B6052" t="inlineStr"/>
      <c r="C6052" t="inlineStr">
        <is>
          <t>288</t>
        </is>
      </c>
      <c r="D6052" t="inlineStr">
        <is>
          <t>2</t>
        </is>
      </c>
      <c r="E6052" t="inlineStr">
        <is>
          <t>36</t>
        </is>
      </c>
      <c r="F6052" t="inlineStr">
        <is>
          <t>0</t>
        </is>
      </c>
      <c r="G6052" t="inlineStr">
        <is>
          <t>0</t>
        </is>
      </c>
      <c r="H6052" t="inlineStr">
        <is>
          <t>2⁴, 8¹, 10⁴, 32¹, 40¹, 160¹</t>
        </is>
      </c>
      <c r="I6052" t="n">
        <v>12</v>
      </c>
      <c r="J6052" t="inlineStr">
        <is>
          <t>2¹², 8⁶</t>
        </is>
      </c>
      <c r="K6052">
        <f>HYPERLINK("CSG7.html#group80E7", "80E⁷")</f>
        <v/>
      </c>
      <c r="L6052" t="inlineStr"/>
      <c r="M6052">
        <f>HYPERLINK("CSG3.html#group40F3", "40F³"), =HYPERLINK("CSG0.html#group5B0", "5B⁰"), =HYPERLINK("CSG7.html#group80E7", "80E⁷"),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6052" t="inlineStr"/>
    </row>
    <row r="6053">
      <c r="A6053" t="inlineStr">
        <is>
          <t>160M¹⁹</t>
        </is>
      </c>
      <c r="B6053" t="inlineStr"/>
      <c r="C6053" t="inlineStr">
        <is>
          <t>288</t>
        </is>
      </c>
      <c r="D6053" t="inlineStr">
        <is>
          <t>2</t>
        </is>
      </c>
      <c r="E6053" t="inlineStr">
        <is>
          <t>72</t>
        </is>
      </c>
      <c r="F6053" t="inlineStr">
        <is>
          <t>16</t>
        </is>
      </c>
      <c r="G6053" t="inlineStr">
        <is>
          <t>0</t>
        </is>
      </c>
      <c r="H6053" t="inlineStr">
        <is>
          <t>16¹, 32¹, 80¹, 160¹</t>
        </is>
      </c>
      <c r="I6053" t="n">
        <v>4</v>
      </c>
      <c r="J6053" t="inlineStr">
        <is>
          <t>2¹⁶, 4⁴, 8⁸, 16²</t>
        </is>
      </c>
      <c r="K6053">
        <f>HYPERLINK("CSG7.html#group80C7", "80C⁷")</f>
        <v/>
      </c>
      <c r="L6053" t="inlineStr"/>
      <c r="M6053">
        <f>HYPERLINK("CSG1.html#group20E1", "20E¹"), =HYPERLINK("CSG3.html#group40D3", "40D³"), =HYPERLINK("CSG0.html#group4C0", "4C⁰"), =HYPERLINK("CSG7.html#group80C7", "80C⁷"), =HYPERLINK("CSG0.html#group8B0", "8B⁰"), =HYPERLINK("CSG0.html#group5B0", "5B⁰"), =HYPERLINK("CSG0.html#group10C0", "10C⁰"), =HYPERLINK("CSG0.html#group2B0", "2B⁰"), =HYPERLINK("CSG0.html#group1A0", "1A⁰")</f>
        <v/>
      </c>
      <c r="N6053" t="inlineStr"/>
    </row>
    <row r="6054">
      <c r="A6054" t="inlineStr">
        <is>
          <t>160N¹⁹</t>
        </is>
      </c>
      <c r="B6054" t="inlineStr"/>
      <c r="C6054" t="inlineStr">
        <is>
          <t>288</t>
        </is>
      </c>
      <c r="D6054" t="inlineStr">
        <is>
          <t>2</t>
        </is>
      </c>
      <c r="E6054" t="inlineStr">
        <is>
          <t>72</t>
        </is>
      </c>
      <c r="F6054" t="inlineStr">
        <is>
          <t>16</t>
        </is>
      </c>
      <c r="G6054" t="inlineStr">
        <is>
          <t>0</t>
        </is>
      </c>
      <c r="H6054" t="inlineStr">
        <is>
          <t>16¹, 32¹, 80¹, 160¹</t>
        </is>
      </c>
      <c r="I6054" t="n">
        <v>4</v>
      </c>
      <c r="J6054" t="inlineStr">
        <is>
          <t>2¹⁶, 4⁴, 8⁸, 16²</t>
        </is>
      </c>
      <c r="K6054">
        <f>HYPERLINK("CSG7.html#group80C7", "80C⁷")</f>
        <v/>
      </c>
      <c r="L6054" t="inlineStr"/>
      <c r="M6054">
        <f>HYPERLINK("CSG1.html#group20E1", "20E¹"), =HYPERLINK("CSG3.html#group40D3", "40D³"), =HYPERLINK("CSG0.html#group4C0", "4C⁰"), =HYPERLINK("CSG7.html#group80C7", "80C⁷"), =HYPERLINK("CSG0.html#group8B0", "8B⁰"), =HYPERLINK("CSG0.html#group5B0", "5B⁰"), =HYPERLINK("CSG0.html#group10C0", "10C⁰"), =HYPERLINK("CSG0.html#group2B0", "2B⁰"), =HYPERLINK("CSG0.html#group1A0", "1A⁰")</f>
        <v/>
      </c>
      <c r="N6054" t="inlineStr"/>
    </row>
    <row r="6055">
      <c r="A6055" t="inlineStr">
        <is>
          <t>164A¹⁹</t>
        </is>
      </c>
      <c r="B6055" t="inlineStr"/>
      <c r="C6055" t="inlineStr">
        <is>
          <t>252</t>
        </is>
      </c>
      <c r="D6055" t="inlineStr">
        <is>
          <t>1</t>
        </is>
      </c>
      <c r="E6055" t="inlineStr">
        <is>
          <t>126</t>
        </is>
      </c>
      <c r="F6055" t="inlineStr">
        <is>
          <t>0</t>
        </is>
      </c>
      <c r="G6055" t="inlineStr">
        <is>
          <t>0</t>
        </is>
      </c>
      <c r="H6055" t="inlineStr">
        <is>
          <t>1², 4¹, 41², 164¹</t>
        </is>
      </c>
      <c r="I6055" t="n">
        <v>6</v>
      </c>
      <c r="J6055" t="inlineStr">
        <is>
          <t>1⁶, 40³</t>
        </is>
      </c>
      <c r="K6055">
        <f>HYPERLINK("CSG9.html#group82A9", "82A⁹")</f>
        <v/>
      </c>
      <c r="L6055" t="inlineStr"/>
      <c r="M6055">
        <f>HYPERLINK("CSG0.html#group1A0", "1A⁰"), =HYPERLINK("CSG9.html#group82A9", "82A⁹"), =HYPERLINK("CSG0.html#group2B0", "2B⁰"), =HYPERLINK("CSG3.html#group41A3", "41A³")</f>
        <v/>
      </c>
      <c r="N6055" t="inlineStr"/>
    </row>
    <row r="6056">
      <c r="A6056" t="inlineStr">
        <is>
          <t>164B¹⁹</t>
        </is>
      </c>
      <c r="B6056" t="inlineStr">
        <is>
          <t>Γ₀(164)</t>
        </is>
      </c>
      <c r="C6056" t="inlineStr">
        <is>
          <t>252</t>
        </is>
      </c>
      <c r="D6056" t="inlineStr">
        <is>
          <t>1</t>
        </is>
      </c>
      <c r="E6056" t="inlineStr">
        <is>
          <t>126</t>
        </is>
      </c>
      <c r="F6056" t="inlineStr">
        <is>
          <t>0</t>
        </is>
      </c>
      <c r="G6056" t="inlineStr">
        <is>
          <t>0</t>
        </is>
      </c>
      <c r="H6056" t="inlineStr">
        <is>
          <t>1², 4¹, 41², 164¹</t>
        </is>
      </c>
      <c r="I6056" t="n">
        <v>6</v>
      </c>
      <c r="J6056" t="inlineStr">
        <is>
          <t>1⁶, 40³</t>
        </is>
      </c>
      <c r="K6056">
        <f>HYPERLINK("CSG0.html#group4B0", "4B⁰"), =HYPERLINK("CSG9.html#group82A9", "82A⁹")</f>
        <v/>
      </c>
      <c r="L6056" t="inlineStr"/>
      <c r="M6056">
        <f>HYPERLINK("CSG9.html#group82A9", "82A⁹"), =HYPERLINK("CSG0.html#group2B0", "2B⁰"), =HYPERLINK("CSG3.html#group41A3", "41A³"), =HYPERLINK("CSG0.html#group4B0", "4B⁰"), =HYPERLINK("CSG0.html#group1A0", "1A⁰")</f>
        <v/>
      </c>
      <c r="N6056" t="inlineStr"/>
    </row>
    <row r="6057">
      <c r="A6057" t="inlineStr">
        <is>
          <t>164C¹⁹</t>
        </is>
      </c>
      <c r="B6057" t="inlineStr"/>
      <c r="C6057" t="inlineStr">
        <is>
          <t>252</t>
        </is>
      </c>
      <c r="D6057" t="inlineStr">
        <is>
          <t>1</t>
        </is>
      </c>
      <c r="E6057" t="inlineStr">
        <is>
          <t>126</t>
        </is>
      </c>
      <c r="F6057" t="inlineStr">
        <is>
          <t>4</t>
        </is>
      </c>
      <c r="G6057" t="inlineStr">
        <is>
          <t>0</t>
        </is>
      </c>
      <c r="H6057" t="inlineStr">
        <is>
          <t>2¹, 4¹, 82¹, 164¹</t>
        </is>
      </c>
      <c r="I6057" t="n">
        <v>4</v>
      </c>
      <c r="J6057" t="inlineStr">
        <is>
          <t>1⁶, 40³</t>
        </is>
      </c>
      <c r="K6057">
        <f>HYPERLINK("CSG9.html#group82A9", "82A⁹")</f>
        <v/>
      </c>
      <c r="L6057" t="inlineStr"/>
      <c r="M6057">
        <f>HYPERLINK("CSG0.html#group1A0", "1A⁰"), =HYPERLINK("CSG9.html#group82A9", "82A⁹"), =HYPERLINK("CSG0.html#group2B0", "2B⁰"), =HYPERLINK("CSG3.html#group41A3", "41A³")</f>
        <v/>
      </c>
      <c r="N6057" t="inlineStr"/>
    </row>
    <row r="6058">
      <c r="A6058" t="inlineStr">
        <is>
          <t>164D¹⁹</t>
        </is>
      </c>
      <c r="B6058" t="inlineStr"/>
      <c r="C6058" t="inlineStr">
        <is>
          <t>252</t>
        </is>
      </c>
      <c r="D6058" t="inlineStr">
        <is>
          <t>1</t>
        </is>
      </c>
      <c r="E6058" t="inlineStr">
        <is>
          <t>126</t>
        </is>
      </c>
      <c r="F6058" t="inlineStr">
        <is>
          <t>4</t>
        </is>
      </c>
      <c r="G6058" t="inlineStr">
        <is>
          <t>0</t>
        </is>
      </c>
      <c r="H6058" t="inlineStr">
        <is>
          <t>2¹, 4¹, 82¹, 164¹</t>
        </is>
      </c>
      <c r="I6058" t="n">
        <v>4</v>
      </c>
      <c r="J6058" t="inlineStr">
        <is>
          <t>1⁶, 40³</t>
        </is>
      </c>
      <c r="K6058">
        <f>HYPERLINK("CSG0.html#group4C0", "4C⁰"), =HYPERLINK("CSG9.html#group82A9", "82A⁹")</f>
        <v/>
      </c>
      <c r="L6058" t="inlineStr"/>
      <c r="M6058">
        <f>HYPERLINK("CSG9.html#group82A9", "82A⁹"), =HYPERLINK("CSG0.html#group2B0", "2B⁰"), =HYPERLINK("CSG3.html#group41A3", "41A³"), =HYPERLINK("CSG0.html#group1A0", "1A⁰"), =HYPERLINK("CSG0.html#group4C0", "4C⁰")</f>
        <v/>
      </c>
      <c r="N6058" t="inlineStr"/>
    </row>
    <row r="6059">
      <c r="A6059" t="inlineStr">
        <is>
          <t>165A¹⁹</t>
        </is>
      </c>
      <c r="B6059" t="inlineStr"/>
      <c r="C6059" t="inlineStr">
        <is>
          <t>240</t>
        </is>
      </c>
      <c r="D6059" t="inlineStr">
        <is>
          <t>1</t>
        </is>
      </c>
      <c r="E6059" t="inlineStr">
        <is>
          <t>240</t>
        </is>
      </c>
      <c r="F6059" t="inlineStr">
        <is>
          <t>0</t>
        </is>
      </c>
      <c r="G6059" t="inlineStr">
        <is>
          <t>0</t>
        </is>
      </c>
      <c r="H6059" t="inlineStr">
        <is>
          <t>5¹, 15¹, 55¹, 165¹</t>
        </is>
      </c>
      <c r="I6059" t="n">
        <v>4</v>
      </c>
      <c r="J6059" t="inlineStr">
        <is>
          <t>1⁴, 2², 4⁴, 8², 10², 20¹, 40², 80¹</t>
        </is>
      </c>
      <c r="K6059">
        <f>HYPERLINK("CSG1.html#group15B1", "15B¹"), =HYPERLINK("CSG3.html#group33C3", "33C³"), =HYPERLINK("CSG5.html#group55A5", "55A⁵")</f>
        <v/>
      </c>
      <c r="L6059" t="inlineStr"/>
      <c r="M6059">
        <f>HYPERLINK("CSG0.html#group3B0", "3B⁰"), =HYPERLINK("CSG0.html#group5A0", "5A⁰"), =HYPERLINK("CSG1.html#group11A1", "11A¹"), =HYPERLINK("CSG1.html#group15B1", "15B¹"), =HYPERLINK("CSG5.html#group55A5", "55A⁵"), =HYPERLINK("CSG0.html#group1A0", "1A⁰"), =HYPERLINK("CSG3.html#group33C3", "33C³")</f>
        <v/>
      </c>
      <c r="N6059" t="inlineStr"/>
    </row>
    <row r="6060">
      <c r="A6060" t="inlineStr">
        <is>
          <t>168A¹⁹</t>
        </is>
      </c>
      <c r="B6060" t="inlineStr"/>
      <c r="C6060" t="inlineStr">
        <is>
          <t>256</t>
        </is>
      </c>
      <c r="D6060" t="inlineStr">
        <is>
          <t>2</t>
        </is>
      </c>
      <c r="E6060" t="inlineStr">
        <is>
          <t>128</t>
        </is>
      </c>
      <c r="F6060" t="inlineStr">
        <is>
          <t>0</t>
        </is>
      </c>
      <c r="G6060" t="inlineStr">
        <is>
          <t>4</t>
        </is>
      </c>
      <c r="H6060" t="inlineStr">
        <is>
          <t>8¹, 24¹, 56¹, 168¹</t>
        </is>
      </c>
      <c r="I6060" t="n">
        <v>4</v>
      </c>
      <c r="J6060" t="inlineStr">
        <is>
          <t>4⁸, 8⁴, 24⁴, 48²</t>
        </is>
      </c>
      <c r="K6060">
        <f>HYPERLINK("CSG9.html#group84D9", "84D⁹")</f>
        <v/>
      </c>
      <c r="L6060" t="inlineStr"/>
      <c r="M6060">
        <f>HYPERLINK("CSG0.html#group3B0", "3B⁰"), =HYPERLINK("CSG9.html#group84D9", "84D⁹"), =HYPERLINK("CSG1.html#group21B1", "21B¹"), =HYPERLINK("CSG0.html#group4A0", "4A⁰"), =HYPERLINK("CSG0.html#group7B0", "7B⁰"), =HYPERLINK("CSG1.html#group12A1", "12A¹"), =HYPERLINK("CSG0.html#group1A0", "1A⁰"), =HYPERLINK("CSG2.html#group28A2", "28A²")</f>
        <v/>
      </c>
      <c r="N6060" t="inlineStr"/>
    </row>
    <row r="6061">
      <c r="A6061" t="inlineStr">
        <is>
          <t>168B¹⁹</t>
        </is>
      </c>
      <c r="B6061" t="inlineStr"/>
      <c r="C6061" t="inlineStr">
        <is>
          <t>256</t>
        </is>
      </c>
      <c r="D6061" t="inlineStr">
        <is>
          <t>2</t>
        </is>
      </c>
      <c r="E6061" t="inlineStr">
        <is>
          <t>128</t>
        </is>
      </c>
      <c r="F6061" t="inlineStr">
        <is>
          <t>0</t>
        </is>
      </c>
      <c r="G6061" t="inlineStr">
        <is>
          <t>4</t>
        </is>
      </c>
      <c r="H6061" t="inlineStr">
        <is>
          <t>8¹, 24¹, 56¹, 168¹</t>
        </is>
      </c>
      <c r="I6061" t="n">
        <v>4</v>
      </c>
      <c r="J6061" t="inlineStr">
        <is>
          <t>4⁸, 8⁴, 24⁴, 48²</t>
        </is>
      </c>
      <c r="K6061">
        <f>HYPERLINK("CSG2.html#group24A2", "24A²"), =HYPERLINK("CSG4.html#group56A4", "56A⁴"), =HYPERLINK("CSG9.html#group84D9", "84D⁹")</f>
        <v/>
      </c>
      <c r="L6061" t="inlineStr"/>
      <c r="M6061">
        <f>HYPERLINK("CSG4.html#group56A4", "56A⁴"), =HYPERLINK("CSG0.html#group3B0", "3B⁰"), =HYPERLINK("CSG9.html#group84D9", "84D⁹"), =HYPERLINK("CSG1.html#group21B1", "21B¹"), =HYPERLINK("CSG2.html#group24A2", "24A²"), =HYPERLINK("CSG0.html#group7B0", "7B⁰"), =HYPERLINK("CSG0.html#group4A0", "4A⁰"), =HYPERLINK("CSG1.html#group12A1", "12A¹"), =HYPERLINK("CSG0.html#group8A0", "8A⁰"), =HYPERLINK("CSG0.html#group1A0", "1A⁰"), =HYPERLINK("CSG2.html#group28A2", "28A²")</f>
        <v/>
      </c>
      <c r="N6061" t="inlineStr"/>
    </row>
    <row r="6062">
      <c r="A6062" t="inlineStr">
        <is>
          <t>168C¹⁹</t>
        </is>
      </c>
      <c r="B6062" t="inlineStr"/>
      <c r="C6062" t="inlineStr">
        <is>
          <t>336</t>
        </is>
      </c>
      <c r="D6062" t="inlineStr">
        <is>
          <t>2</t>
        </is>
      </c>
      <c r="E6062" t="inlineStr">
        <is>
          <t>112</t>
        </is>
      </c>
      <c r="F6062" t="inlineStr">
        <is>
          <t>36</t>
        </is>
      </c>
      <c r="G6062" t="inlineStr">
        <is>
          <t>0</t>
        </is>
      </c>
      <c r="H6062" t="inlineStr">
        <is>
          <t>168²</t>
        </is>
      </c>
      <c r="I6062" t="n">
        <v>2</v>
      </c>
      <c r="J6062" t="inlineStr">
        <is>
          <t>8⁴, 24⁸</t>
        </is>
      </c>
      <c r="K6062">
        <f>HYPERLINK("CSG1.html#group24F1", "24F¹"), =HYPERLINK("CSG3.html#group84A3", "84A³"), =HYPERLINK("CSG6.html#group56H6", "56H⁶")</f>
        <v/>
      </c>
      <c r="L6062" t="inlineStr"/>
      <c r="M6062">
        <f>HYPERLINK("CSG1.html#group24F1", "24F¹"), =HYPERLINK("CSG3.html#group84A3", "84A³"), =HYPERLINK("CSG0.html#group12A0", "12A⁰"), =HYPERLINK("CSG0.html#group8F0", "8F⁰"), =HYPERLINK("CSG0.html#group4A0", "4A⁰"), =HYPERLINK("CSG6.html#group56H6", "56H⁶"), =HYPERLINK("CSG0.html#group21A0", "21A⁰"), =HYPERLINK("CSG0.html#group3A0", "3A⁰"), =HYPERLINK("CSG1.html#group28A1", "28A¹"), =HYPERLINK("CSG0.html#group1A0", "1A⁰"), =HYPERLINK("CSG0.html#group7A0", "7A⁰")</f>
        <v/>
      </c>
      <c r="N6062" t="inlineStr"/>
    </row>
    <row r="6063">
      <c r="A6063" t="inlineStr">
        <is>
          <t>171A¹⁹</t>
        </is>
      </c>
      <c r="B6063" t="inlineStr"/>
      <c r="C6063" t="inlineStr">
        <is>
          <t>240</t>
        </is>
      </c>
      <c r="D6063" t="inlineStr">
        <is>
          <t>1</t>
        </is>
      </c>
      <c r="E6063" t="inlineStr">
        <is>
          <t>80</t>
        </is>
      </c>
      <c r="F6063" t="inlineStr">
        <is>
          <t>0</t>
        </is>
      </c>
      <c r="G6063" t="inlineStr">
        <is>
          <t>0</t>
        </is>
      </c>
      <c r="H6063" t="inlineStr">
        <is>
          <t>3¹, 9¹, 57¹, 171¹</t>
        </is>
      </c>
      <c r="I6063" t="n">
        <v>4</v>
      </c>
      <c r="J6063" t="inlineStr">
        <is>
          <t>1⁴, 2², 18², 36¹</t>
        </is>
      </c>
      <c r="K6063">
        <f>HYPERLINK("CSG1.html#group9A1", "9A¹"), =HYPERLINK("CSG5.html#group57C5", "57C⁵")</f>
        <v/>
      </c>
      <c r="L6063" t="inlineStr"/>
      <c r="M6063">
        <f>HYPERLINK("CSG0.html#group3B0", "3B⁰"), =HYPERLINK("CSG1.html#group19A1", "19A¹"), =HYPERLINK("CSG0.html#group1A0", "1A⁰"), =HYPERLINK("CSG1.html#group9A1", "9A¹"), =HYPERLINK("CSG5.html#group57C5", "57C⁵")</f>
        <v/>
      </c>
      <c r="N6063" t="inlineStr"/>
    </row>
    <row r="6064">
      <c r="A6064" t="inlineStr">
        <is>
          <t>171B¹⁹</t>
        </is>
      </c>
      <c r="B6064" t="inlineStr"/>
      <c r="C6064" t="inlineStr">
        <is>
          <t>240</t>
        </is>
      </c>
      <c r="D6064" t="inlineStr">
        <is>
          <t>2</t>
        </is>
      </c>
      <c r="E6064" t="inlineStr">
        <is>
          <t>80</t>
        </is>
      </c>
      <c r="F6064" t="inlineStr">
        <is>
          <t>0</t>
        </is>
      </c>
      <c r="G6064" t="inlineStr">
        <is>
          <t>0</t>
        </is>
      </c>
      <c r="H6064" t="inlineStr">
        <is>
          <t>3¹, 9¹, 57¹, 171¹</t>
        </is>
      </c>
      <c r="I6064" t="n">
        <v>4</v>
      </c>
      <c r="J6064" t="inlineStr">
        <is>
          <t>2⁸, 36⁴</t>
        </is>
      </c>
      <c r="K6064">
        <f>HYPERLINK("CSG5.html#group57C5", "57C⁵")</f>
        <v/>
      </c>
      <c r="L6064" t="inlineStr"/>
      <c r="M6064">
        <f>HYPERLINK("CSG0.html#group3B0", "3B⁰"), =HYPERLINK("CSG0.html#group1A0", "1A⁰"), =HYPERLINK("CSG1.html#group19A1", "19A¹"), =HYPERLINK("CSG5.html#group57C5", "57C⁵")</f>
        <v/>
      </c>
      <c r="N6064" t="inlineStr"/>
    </row>
    <row r="6065">
      <c r="A6065" t="inlineStr">
        <is>
          <t>174A¹⁹</t>
        </is>
      </c>
      <c r="B6065" t="inlineStr"/>
      <c r="C6065" t="inlineStr">
        <is>
          <t>240</t>
        </is>
      </c>
      <c r="D6065" t="inlineStr">
        <is>
          <t>1</t>
        </is>
      </c>
      <c r="E6065" t="inlineStr">
        <is>
          <t>120</t>
        </is>
      </c>
      <c r="F6065" t="inlineStr">
        <is>
          <t>0</t>
        </is>
      </c>
      <c r="G6065" t="inlineStr">
        <is>
          <t>0</t>
        </is>
      </c>
      <c r="H6065" t="inlineStr">
        <is>
          <t>2¹, 6¹, 58¹, 174¹</t>
        </is>
      </c>
      <c r="I6065" t="n">
        <v>4</v>
      </c>
      <c r="J6065" t="inlineStr">
        <is>
          <t>1⁴, 2², 28², 56¹</t>
        </is>
      </c>
      <c r="K6065">
        <f>HYPERLINK("CSG4.html#group58A4", "58A⁴"), =HYPERLINK("CSG9.html#group87A9", "87A⁹")</f>
        <v/>
      </c>
      <c r="L6065" t="inlineStr"/>
      <c r="M6065">
        <f>HYPERLINK("CSG0.html#group3B0", "3B⁰"), =HYPERLINK("CSG9.html#group87A9", "87A⁹"), =HYPERLINK("CSG4.html#group58A4", "58A⁴"), =HYPERLINK("CSG0.html#group1A0", "1A⁰"), =HYPERLINK("CSG2.html#group29A2", "29A²")</f>
        <v/>
      </c>
      <c r="N6065" t="inlineStr"/>
    </row>
    <row r="6066">
      <c r="A6066" t="inlineStr">
        <is>
          <t>174B¹⁹</t>
        </is>
      </c>
      <c r="B6066" t="inlineStr"/>
      <c r="C6066" t="inlineStr">
        <is>
          <t>240</t>
        </is>
      </c>
      <c r="D6066" t="inlineStr">
        <is>
          <t>1</t>
        </is>
      </c>
      <c r="E6066" t="inlineStr">
        <is>
          <t>120</t>
        </is>
      </c>
      <c r="F6066" t="inlineStr">
        <is>
          <t>0</t>
        </is>
      </c>
      <c r="G6066" t="inlineStr">
        <is>
          <t>0</t>
        </is>
      </c>
      <c r="H6066" t="inlineStr">
        <is>
          <t>2¹, 6¹, 58¹, 174¹</t>
        </is>
      </c>
      <c r="I6066" t="n">
        <v>4</v>
      </c>
      <c r="J6066" t="inlineStr">
        <is>
          <t>1⁴, 2², 28², 56¹</t>
        </is>
      </c>
      <c r="K6066">
        <f>HYPERLINK("CSG0.html#group6C0", "6C⁰"), =HYPERLINK("CSG5.html#group58A5", "58A⁵"), =HYPERLINK("CSG9.html#group87A9", "87A⁹")</f>
        <v/>
      </c>
      <c r="L6066" t="inlineStr"/>
      <c r="M6066">
        <f>HYPERLINK("CSG0.html#group3B0", "3B⁰"), =HYPERLINK("CSG0.html#group2A0", "2A⁰"), =HYPERLINK("CSG9.html#group87A9", "87A⁹"), =HYPERLINK("CSG2.html#group29A2", "29A²"), =HYPERLINK("CSG0.html#group6C0", "6C⁰"), =HYPERLINK("CSG5.html#group58A5", "58A⁵"), =HYPERLINK("CSG0.html#group1A0", "1A⁰")</f>
        <v/>
      </c>
      <c r="N6066" t="inlineStr"/>
    </row>
    <row r="6067">
      <c r="A6067" t="inlineStr">
        <is>
          <t>175A¹⁹</t>
        </is>
      </c>
      <c r="B6067" t="inlineStr"/>
      <c r="C6067" t="inlineStr">
        <is>
          <t>240</t>
        </is>
      </c>
      <c r="D6067" t="inlineStr">
        <is>
          <t>1</t>
        </is>
      </c>
      <c r="E6067" t="inlineStr">
        <is>
          <t>240</t>
        </is>
      </c>
      <c r="F6067" t="inlineStr">
        <is>
          <t>0</t>
        </is>
      </c>
      <c r="G6067" t="inlineStr">
        <is>
          <t>0</t>
        </is>
      </c>
      <c r="H6067" t="inlineStr">
        <is>
          <t>5¹, 25¹, 35¹, 175¹</t>
        </is>
      </c>
      <c r="I6067" t="n">
        <v>4</v>
      </c>
      <c r="J6067" t="inlineStr">
        <is>
          <t>2⁴, 4⁸, 12², 20⁴, 24⁴, 120²</t>
        </is>
      </c>
      <c r="K6067">
        <f>HYPERLINK("CSG2.html#group25A2", "25A²"), =HYPERLINK("CSG3.html#group35A3", "35A³")</f>
        <v/>
      </c>
      <c r="L6067" t="inlineStr"/>
      <c r="M6067">
        <f>HYPERLINK("CSG0.html#group5B0", "5B⁰"), =HYPERLINK("CSG0.html#group7B0", "7B⁰"), =HYPERLINK("CSG2.html#group25A2", "25A²"), =HYPERLINK("CSG0.html#group1A0", "1A⁰"), =HYPERLINK("CSG3.html#group35A3", "35A³")</f>
        <v/>
      </c>
      <c r="N6067" t="inlineStr"/>
    </row>
    <row r="6068">
      <c r="A6068" t="inlineStr">
        <is>
          <t>175B¹⁹</t>
        </is>
      </c>
      <c r="B6068" t="inlineStr"/>
      <c r="C6068" t="inlineStr">
        <is>
          <t>240</t>
        </is>
      </c>
      <c r="D6068" t="inlineStr">
        <is>
          <t>1</t>
        </is>
      </c>
      <c r="E6068" t="inlineStr">
        <is>
          <t>240</t>
        </is>
      </c>
      <c r="F6068" t="inlineStr">
        <is>
          <t>0</t>
        </is>
      </c>
      <c r="G6068" t="inlineStr">
        <is>
          <t>0</t>
        </is>
      </c>
      <c r="H6068" t="inlineStr">
        <is>
          <t>5¹, 25¹, 35¹, 175¹</t>
        </is>
      </c>
      <c r="I6068" t="n">
        <v>4</v>
      </c>
      <c r="J6068" t="inlineStr">
        <is>
          <t>2⁴, 4⁸, 12², 20⁴, 24⁴, 120²</t>
        </is>
      </c>
      <c r="K6068">
        <f>HYPERLINK("CSG2.html#group25B2", "25B²"), =HYPERLINK("CSG3.html#group35A3", "35A³")</f>
        <v/>
      </c>
      <c r="L6068" t="inlineStr"/>
      <c r="M6068">
        <f>HYPERLINK("CSG0.html#group5B0", "5B⁰"), =HYPERLINK("CSG0.html#group7B0", "7B⁰"), =HYPERLINK("CSG0.html#group1A0", "1A⁰"), =HYPERLINK("CSG3.html#group35A3", "35A³"), =HYPERLINK("CSG2.html#group25B2", "25B²")</f>
        <v/>
      </c>
      <c r="N6068" t="inlineStr"/>
    </row>
    <row r="6069">
      <c r="A6069" t="inlineStr">
        <is>
          <t>175C¹⁹</t>
        </is>
      </c>
      <c r="B6069" t="inlineStr"/>
      <c r="C6069" t="inlineStr">
        <is>
          <t>240</t>
        </is>
      </c>
      <c r="D6069" t="inlineStr">
        <is>
          <t>1</t>
        </is>
      </c>
      <c r="E6069" t="inlineStr">
        <is>
          <t>240</t>
        </is>
      </c>
      <c r="F6069" t="inlineStr">
        <is>
          <t>0</t>
        </is>
      </c>
      <c r="G6069" t="inlineStr">
        <is>
          <t>0</t>
        </is>
      </c>
      <c r="H6069" t="inlineStr">
        <is>
          <t>5¹, 25¹, 35¹, 175¹</t>
        </is>
      </c>
      <c r="I6069" t="n">
        <v>4</v>
      </c>
      <c r="J6069" t="inlineStr">
        <is>
          <t>2⁴, 4⁸, 12², 20⁴, 24⁴, 120²</t>
        </is>
      </c>
      <c r="K6069">
        <f>HYPERLINK("CSG2.html#group25C2", "25C²"), =HYPERLINK("CSG3.html#group35A3", "35A³")</f>
        <v/>
      </c>
      <c r="L6069" t="inlineStr"/>
      <c r="M6069">
        <f>HYPERLINK("CSG0.html#group5B0", "5B⁰"), =HYPERLINK("CSG0.html#group7B0", "7B⁰"), =HYPERLINK("CSG0.html#group1A0", "1A⁰"), =HYPERLINK("CSG2.html#group25C2", "25C²"), =HYPERLINK("CSG3.html#group35A3", "35A³")</f>
        <v/>
      </c>
      <c r="N6069" t="inlineStr"/>
    </row>
    <row r="6070">
      <c r="A6070" t="inlineStr">
        <is>
          <t>175D¹⁹</t>
        </is>
      </c>
      <c r="B6070" t="inlineStr"/>
      <c r="C6070" t="inlineStr">
        <is>
          <t>240</t>
        </is>
      </c>
      <c r="D6070" t="inlineStr">
        <is>
          <t>1</t>
        </is>
      </c>
      <c r="E6070" t="inlineStr">
        <is>
          <t>240</t>
        </is>
      </c>
      <c r="F6070" t="inlineStr">
        <is>
          <t>0</t>
        </is>
      </c>
      <c r="G6070" t="inlineStr">
        <is>
          <t>0</t>
        </is>
      </c>
      <c r="H6070" t="inlineStr">
        <is>
          <t>5¹, 25¹, 35¹, 175¹</t>
        </is>
      </c>
      <c r="I6070" t="n">
        <v>4</v>
      </c>
      <c r="J6070" t="inlineStr">
        <is>
          <t>2⁴, 4⁸, 12², 20⁴, 24⁴, 120²</t>
        </is>
      </c>
      <c r="K6070">
        <f>HYPERLINK("CSG2.html#group25D2", "25D²"), =HYPERLINK("CSG3.html#group35A3", "35A³")</f>
        <v/>
      </c>
      <c r="L6070" t="inlineStr"/>
      <c r="M6070">
        <f>HYPERLINK("CSG0.html#group5B0", "5B⁰"), =HYPERLINK("CSG0.html#group7B0", "7B⁰"), =HYPERLINK("CSG0.html#group1A0", "1A⁰"), =HYPERLINK("CSG3.html#group35A3", "35A³"), =HYPERLINK("CSG2.html#group25D2", "25D²")</f>
        <v/>
      </c>
      <c r="N6070" t="inlineStr"/>
    </row>
    <row r="6071">
      <c r="A6071" t="inlineStr">
        <is>
          <t>176A¹⁹</t>
        </is>
      </c>
      <c r="B6071" t="inlineStr"/>
      <c r="C6071" t="inlineStr">
        <is>
          <t>264</t>
        </is>
      </c>
      <c r="D6071" t="inlineStr">
        <is>
          <t>2</t>
        </is>
      </c>
      <c r="E6071" t="inlineStr">
        <is>
          <t>66</t>
        </is>
      </c>
      <c r="F6071" t="inlineStr">
        <is>
          <t>12</t>
        </is>
      </c>
      <c r="G6071" t="inlineStr">
        <is>
          <t>0</t>
        </is>
      </c>
      <c r="H6071" t="inlineStr">
        <is>
          <t>88¹, 176¹</t>
        </is>
      </c>
      <c r="I6071" t="n">
        <v>2</v>
      </c>
      <c r="J6071" t="inlineStr">
        <is>
          <t>2², 4², 10⁴, 20⁴</t>
        </is>
      </c>
      <c r="K6071">
        <f>HYPERLINK("CSG1.html#group16B1", "16B¹"), =HYPERLINK("CSG8.html#group88B8", "88B⁸")</f>
        <v/>
      </c>
      <c r="L6071" t="inlineStr"/>
      <c r="M6071">
        <f>HYPERLINK("CSG0.html#group11A0", "11A⁰"), =HYPERLINK("CSG4.html#group44C4", "44C⁴"), =HYPERLINK("CSG0.html#group4C0", "4C⁰"), =HYPERLINK("CSG0.html#group8B0", "8B⁰"), =HYPERLINK("CSG1.html#group16B1", "16B¹"), =HYPERLINK("CSG0.html#group2B0", "2B⁰"), =HYPERLINK("CSG2.html#group22B2", "22B²"), =HYPERLINK("CSG0.html#group1A0", "1A⁰"), =HYPERLINK("CSG8.html#group88B8", "88B⁸")</f>
        <v/>
      </c>
      <c r="N6071" t="inlineStr"/>
    </row>
    <row r="6072">
      <c r="A6072" t="inlineStr">
        <is>
          <t>176B¹⁹</t>
        </is>
      </c>
      <c r="B6072" t="inlineStr"/>
      <c r="C6072" t="inlineStr">
        <is>
          <t>264</t>
        </is>
      </c>
      <c r="D6072" t="inlineStr">
        <is>
          <t>2</t>
        </is>
      </c>
      <c r="E6072" t="inlineStr">
        <is>
          <t>132</t>
        </is>
      </c>
      <c r="F6072" t="inlineStr">
        <is>
          <t>6</t>
        </is>
      </c>
      <c r="G6072" t="inlineStr">
        <is>
          <t>0</t>
        </is>
      </c>
      <c r="H6072" t="inlineStr">
        <is>
          <t>22⁴, 176¹</t>
        </is>
      </c>
      <c r="I6072" t="n">
        <v>5</v>
      </c>
      <c r="J6072" t="inlineStr">
        <is>
          <t>2², 4¹, 8², 10⁴, 20², 40⁴</t>
        </is>
      </c>
      <c r="K6072">
        <f>HYPERLINK("CSG0.html#group16E0", "16E⁰"), =HYPERLINK("CSG9.html#group88A9", "88A⁹")</f>
        <v/>
      </c>
      <c r="L6072" t="inlineStr"/>
      <c r="M6072">
        <f>HYPERLINK("CSG0.html#group11A0", "11A⁰"), =HYPERLINK("CSG0.html#group16E0", "16E⁰"), =HYPERLINK("CSG0.html#group8D0", "8D⁰"), =HYPERLINK("CSG4.html#group44C4", "44C⁴"), =HYPERLINK("CSG0.html#group4C0", "4C⁰"), =HYPERLINK("CSG0.html#group2B0", "2B⁰"), =HYPERLINK("CSG2.html#group22B2", "22B²"), =HYPERLINK("CSG0.html#group1A0", "1A⁰"), =HYPERLINK("CSG9.html#group88A9", "88A⁹")</f>
        <v/>
      </c>
      <c r="N6072" t="inlineStr"/>
    </row>
    <row r="6073">
      <c r="A6073" t="inlineStr">
        <is>
          <t>176C¹⁹</t>
        </is>
      </c>
      <c r="B6073" t="inlineStr"/>
      <c r="C6073" t="inlineStr">
        <is>
          <t>264</t>
        </is>
      </c>
      <c r="D6073" t="inlineStr">
        <is>
          <t>2</t>
        </is>
      </c>
      <c r="E6073" t="inlineStr">
        <is>
          <t>132</t>
        </is>
      </c>
      <c r="F6073" t="inlineStr">
        <is>
          <t>12</t>
        </is>
      </c>
      <c r="G6073" t="inlineStr">
        <is>
          <t>0</t>
        </is>
      </c>
      <c r="H6073" t="inlineStr">
        <is>
          <t>88¹, 176¹</t>
        </is>
      </c>
      <c r="I6073" t="n">
        <v>2</v>
      </c>
      <c r="J6073" t="inlineStr">
        <is>
          <t>2⁴, 4², 8¹, 10⁸, 20⁴, 40²</t>
        </is>
      </c>
      <c r="K6073">
        <f>HYPERLINK("CSG1.html#group16D1", "16D¹"), =HYPERLINK("CSG8.html#group88B8", "88B⁸")</f>
        <v/>
      </c>
      <c r="L6073" t="inlineStr"/>
      <c r="M6073">
        <f>HYPERLINK("CSG0.html#group11A0", "11A⁰"), =HYPERLINK("CSG1.html#group16D1", "16D¹"), =HYPERLINK("CSG4.html#group44C4", "44C⁴"), =HYPERLINK("CSG0.html#group4C0", "4C⁰"), =HYPERLINK("CSG0.html#group8B0", "8B⁰"), =HYPERLINK("CSG0.html#group2B0", "2B⁰"), =HYPERLINK("CSG2.html#group22B2", "22B²"), =HYPERLINK("CSG0.html#group1A0", "1A⁰"), =HYPERLINK("CSG8.html#group88B8", "88B⁸")</f>
        <v/>
      </c>
      <c r="N6073" t="inlineStr"/>
    </row>
    <row r="6074">
      <c r="A6074" t="inlineStr">
        <is>
          <t>176D¹⁹</t>
        </is>
      </c>
      <c r="B6074" t="inlineStr"/>
      <c r="C6074" t="inlineStr">
        <is>
          <t>288</t>
        </is>
      </c>
      <c r="D6074" t="inlineStr">
        <is>
          <t>1</t>
        </is>
      </c>
      <c r="E6074" t="inlineStr">
        <is>
          <t>72</t>
        </is>
      </c>
      <c r="F6074" t="inlineStr">
        <is>
          <t>0</t>
        </is>
      </c>
      <c r="G6074" t="inlineStr">
        <is>
          <t>0</t>
        </is>
      </c>
      <c r="H6074" t="inlineStr">
        <is>
          <t>1⁴, 4¹, 11⁴, 16¹, 44¹, 176¹</t>
        </is>
      </c>
      <c r="I6074" t="n">
        <v>12</v>
      </c>
      <c r="J6074" t="inlineStr">
        <is>
          <t>1⁸, 2², 10⁴, 20¹</t>
        </is>
      </c>
      <c r="K6074">
        <f>HYPERLINK("CSG9.html#group88B9", "88B⁹")</f>
        <v/>
      </c>
      <c r="L6074" t="inlineStr"/>
      <c r="M6074">
        <f>HYPERLINK("CSG1.html#group11A1", "11A¹"), =HYPERLINK("CSG9.html#group88B9", "88B⁹"), =HYPERLINK("CSG0.html#group8C0", "8C⁰"), =HYPERLINK("CSG0.html#group2B0", "2B⁰"), =HYPERLINK("CSG0.html#group4B0", "4B⁰"), =HYPERLINK("CSG2.html#group22C2", "22C²"), =HYPERLINK("CSG0.html#group1A0", "1A⁰"), =HYPERLINK("CSG4.html#group44D4", "44D⁴")</f>
        <v/>
      </c>
      <c r="N6074" t="inlineStr"/>
    </row>
    <row r="6075">
      <c r="A6075" t="inlineStr">
        <is>
          <t>176E¹⁹</t>
        </is>
      </c>
      <c r="B6075" t="inlineStr">
        <is>
          <t>Γ₀(176)</t>
        </is>
      </c>
      <c r="C6075" t="inlineStr">
        <is>
          <t>288</t>
        </is>
      </c>
      <c r="D6075" t="inlineStr">
        <is>
          <t>1</t>
        </is>
      </c>
      <c r="E6075" t="inlineStr">
        <is>
          <t>72</t>
        </is>
      </c>
      <c r="F6075" t="inlineStr">
        <is>
          <t>0</t>
        </is>
      </c>
      <c r="G6075" t="inlineStr">
        <is>
          <t>0</t>
        </is>
      </c>
      <c r="H6075" t="inlineStr">
        <is>
          <t>1⁴, 4¹, 11⁴, 16¹, 44¹, 176¹</t>
        </is>
      </c>
      <c r="I6075" t="n">
        <v>12</v>
      </c>
      <c r="J6075" t="inlineStr">
        <is>
          <t>1⁸, 2², 10⁴, 20¹</t>
        </is>
      </c>
      <c r="K6075">
        <f>HYPERLINK("CSG0.html#group16C0", "16C⁰"), =HYPERLINK("CSG9.html#group88B9", "88B⁹")</f>
        <v/>
      </c>
      <c r="L6075" t="inlineStr"/>
      <c r="M6075">
        <f>HYPERLINK("CSG1.html#group11A1", "11A¹"), =HYPERLINK("CSG0.html#group16C0", "16C⁰"), =HYPERLINK("CSG9.html#group88B9", "88B⁹"), =HYPERLINK("CSG0.html#group8C0", "8C⁰"), =HYPERLINK("CSG0.html#group2B0", "2B⁰"), =HYPERLINK("CSG0.html#group4B0", "4B⁰"), =HYPERLINK("CSG2.html#group22C2", "22C²"), =HYPERLINK("CSG0.html#group1A0", "1A⁰"), =HYPERLINK("CSG4.html#group44D4", "44D⁴")</f>
        <v/>
      </c>
      <c r="N6075" t="inlineStr"/>
    </row>
    <row r="6076">
      <c r="A6076" t="inlineStr">
        <is>
          <t>176F¹⁹</t>
        </is>
      </c>
      <c r="B6076" t="inlineStr"/>
      <c r="C6076" t="inlineStr">
        <is>
          <t>288</t>
        </is>
      </c>
      <c r="D6076" t="inlineStr">
        <is>
          <t>1</t>
        </is>
      </c>
      <c r="E6076" t="inlineStr">
        <is>
          <t>144</t>
        </is>
      </c>
      <c r="F6076" t="inlineStr">
        <is>
          <t>0</t>
        </is>
      </c>
      <c r="G6076" t="inlineStr">
        <is>
          <t>0</t>
        </is>
      </c>
      <c r="H6076" t="inlineStr">
        <is>
          <t>1², 2³, 11², 16¹, 22³, 176¹</t>
        </is>
      </c>
      <c r="I6076" t="n">
        <v>12</v>
      </c>
      <c r="J6076" t="inlineStr">
        <is>
          <t>1⁸, 2⁴, 4², 10⁴, 20², 40¹</t>
        </is>
      </c>
      <c r="K6076">
        <f>HYPERLINK("CSG9.html#group88B9", "88B⁹")</f>
        <v/>
      </c>
      <c r="L6076" t="inlineStr"/>
      <c r="M6076">
        <f>HYPERLINK("CSG1.html#group11A1", "11A¹"), =HYPERLINK("CSG9.html#group88B9", "88B⁹"), =HYPERLINK("CSG0.html#group8C0", "8C⁰"), =HYPERLINK("CSG0.html#group2B0", "2B⁰"), =HYPERLINK("CSG0.html#group4B0", "4B⁰"), =HYPERLINK("CSG2.html#group22C2", "22C²"), =HYPERLINK("CSG0.html#group1A0", "1A⁰"), =HYPERLINK("CSG4.html#group44D4", "44D⁴")</f>
        <v/>
      </c>
      <c r="N6076" t="inlineStr"/>
    </row>
    <row r="6077">
      <c r="A6077" t="inlineStr">
        <is>
          <t>176G¹⁹</t>
        </is>
      </c>
      <c r="B6077" t="inlineStr"/>
      <c r="C6077" t="inlineStr">
        <is>
          <t>288</t>
        </is>
      </c>
      <c r="D6077" t="inlineStr">
        <is>
          <t>1</t>
        </is>
      </c>
      <c r="E6077" t="inlineStr">
        <is>
          <t>144</t>
        </is>
      </c>
      <c r="F6077" t="inlineStr">
        <is>
          <t>0</t>
        </is>
      </c>
      <c r="G6077" t="inlineStr">
        <is>
          <t>0</t>
        </is>
      </c>
      <c r="H6077" t="inlineStr">
        <is>
          <t>1², 2³, 11², 16¹, 22³, 176¹</t>
        </is>
      </c>
      <c r="I6077" t="n">
        <v>12</v>
      </c>
      <c r="J6077" t="inlineStr">
        <is>
          <t>1⁸, 2⁴, 4², 10⁴, 20², 40¹</t>
        </is>
      </c>
      <c r="K6077">
        <f>HYPERLINK("CSG0.html#group16D0", "16D⁰"), =HYPERLINK("CSG9.html#group88B9", "88B⁹")</f>
        <v/>
      </c>
      <c r="L6077" t="inlineStr"/>
      <c r="M6077">
        <f>HYPERLINK("CSG1.html#group11A1", "11A¹"), =HYPERLINK("CSG0.html#group16D0", "16D⁰"), =HYPERLINK("CSG9.html#group88B9", "88B⁹"), =HYPERLINK("CSG0.html#group8C0", "8C⁰"), =HYPERLINK("CSG0.html#group2B0", "2B⁰"), =HYPERLINK("CSG0.html#group4B0", "4B⁰"), =HYPERLINK("CSG2.html#group22C2", "22C²"), =HYPERLINK("CSG0.html#group1A0", "1A⁰"), =HYPERLINK("CSG4.html#group44D4", "44D⁴")</f>
        <v/>
      </c>
      <c r="N6077" t="inlineStr"/>
    </row>
    <row r="6078">
      <c r="A6078" t="inlineStr">
        <is>
          <t>177A¹⁹</t>
        </is>
      </c>
      <c r="B6078" t="inlineStr">
        <is>
          <t>Γ₀(177)</t>
        </is>
      </c>
      <c r="C6078" t="inlineStr">
        <is>
          <t>240</t>
        </is>
      </c>
      <c r="D6078" t="inlineStr">
        <is>
          <t>1</t>
        </is>
      </c>
      <c r="E6078" t="inlineStr">
        <is>
          <t>240</t>
        </is>
      </c>
      <c r="F6078" t="inlineStr">
        <is>
          <t>0</t>
        </is>
      </c>
      <c r="G6078" t="inlineStr">
        <is>
          <t>0</t>
        </is>
      </c>
      <c r="H6078" t="inlineStr">
        <is>
          <t>1¹, 3¹, 59¹, 177¹</t>
        </is>
      </c>
      <c r="I6078" t="n">
        <v>4</v>
      </c>
      <c r="J6078" t="inlineStr">
        <is>
          <t>1⁴, 2², 58², 116¹</t>
        </is>
      </c>
      <c r="K6078">
        <f>HYPERLINK("CSG0.html#group3B0", "3B⁰"), =HYPERLINK("CSG5.html#group59A5", "59A⁵")</f>
        <v/>
      </c>
      <c r="L6078" t="inlineStr"/>
      <c r="M6078">
        <f>HYPERLINK("CSG0.html#group3B0", "3B⁰"), =HYPERLINK("CSG0.html#group1A0", "1A⁰"), =HYPERLINK("CSG5.html#group59A5", "59A⁵")</f>
        <v/>
      </c>
      <c r="N6078" t="inlineStr"/>
    </row>
    <row r="6079">
      <c r="A6079" t="inlineStr">
        <is>
          <t>180A¹⁹</t>
        </is>
      </c>
      <c r="B6079" t="inlineStr"/>
      <c r="C6079" t="inlineStr">
        <is>
          <t>240</t>
        </is>
      </c>
      <c r="D6079" t="inlineStr">
        <is>
          <t>1</t>
        </is>
      </c>
      <c r="E6079" t="inlineStr">
        <is>
          <t>20</t>
        </is>
      </c>
      <c r="F6079" t="inlineStr">
        <is>
          <t>0</t>
        </is>
      </c>
      <c r="G6079" t="inlineStr">
        <is>
          <t>0</t>
        </is>
      </c>
      <c r="H6079" t="inlineStr">
        <is>
          <t>20³, 180¹</t>
        </is>
      </c>
      <c r="I6079" t="n">
        <v>4</v>
      </c>
      <c r="J6079" t="inlineStr">
        <is>
          <t>1², 2¹, 4², 8¹</t>
        </is>
      </c>
      <c r="K6079">
        <f>HYPERLINK("CSG3.html#group36A3", "36A³"), =HYPERLINK("CSG4.html#group60B4", "60B⁴"), =HYPERLINK("CSG9.html#group90B9", "90B⁹")</f>
        <v/>
      </c>
      <c r="L6079" t="inlineStr"/>
      <c r="M6079">
        <f>HYPERLINK("CSG0.html#group3B0", "3B⁰"), =HYPERLINK("CSG0.html#group2A0", "2A⁰"), =HYPERLINK("CSG0.html#group5A0", "5A⁰"), =HYPERLINK("CSG0.html#group10A0", "10A⁰"), =HYPERLINK("CSG1.html#group18C1", "18C¹"), =HYPERLINK("CSG2.html#group30D2", "30D²"), =HYPERLINK("CSG4.html#group60B4", "60B⁴"), =HYPERLINK("CSG0.html#group6C0", "6C⁰"), =HYPERLINK("CSG0.html#group9B0", "9B⁰"), =HYPERLINK("CSG1.html#group15B1", "15B¹"), =HYPERLINK("CSG0.html#group12B0", "12B⁰"), =HYPERLINK("CSG4.html#group45A4", "45A⁴"), =HYPERLINK("CSG0.html#group1A0", "1A⁰"), =HYPERLINK("CSG3.html#group36A3", "36A³"), =HYPERLINK("CSG9.html#group90B9", "90B⁹")</f>
        <v/>
      </c>
      <c r="N6079" t="inlineStr"/>
    </row>
    <row r="6080">
      <c r="A6080" t="inlineStr">
        <is>
          <t>180B¹⁹</t>
        </is>
      </c>
      <c r="B6080" t="inlineStr"/>
      <c r="C6080" t="inlineStr">
        <is>
          <t>240</t>
        </is>
      </c>
      <c r="D6080" t="inlineStr">
        <is>
          <t>1</t>
        </is>
      </c>
      <c r="E6080" t="inlineStr">
        <is>
          <t>80</t>
        </is>
      </c>
      <c r="F6080" t="inlineStr">
        <is>
          <t>0</t>
        </is>
      </c>
      <c r="G6080" t="inlineStr">
        <is>
          <t>0</t>
        </is>
      </c>
      <c r="H6080" t="inlineStr">
        <is>
          <t>20³, 180¹</t>
        </is>
      </c>
      <c r="I6080" t="n">
        <v>4</v>
      </c>
      <c r="J6080" t="inlineStr">
        <is>
          <t>2⁴, 4², 8⁴, 16²</t>
        </is>
      </c>
      <c r="K6080">
        <f>HYPERLINK("CSG3.html#group36B3", "36B³"), =HYPERLINK("CSG4.html#group45A4", "45A⁴"), =HYPERLINK("CSG6.html#group60A6", "60A⁶")</f>
        <v/>
      </c>
      <c r="L6080" t="inlineStr"/>
      <c r="M6080">
        <f>HYPERLINK("CSG0.html#group3B0", "3B⁰"), =HYPERLINK("CSG0.html#group5A0", "5A⁰"), =HYPERLINK("CSG6.html#group60A6", "60A⁶"), =HYPERLINK("CSG0.html#group4A0", "4A⁰"), =HYPERLINK("CSG1.html#group12A1", "12A¹"), =HYPERLINK("CSG0.html#group9B0", "9B⁰"), =HYPERLINK("CSG1.html#group15B1", "15B¹"), =HYPERLINK("CSG1.html#group20A1", "20A¹"), =HYPERLINK("CSG4.html#group45A4", "45A⁴"), =HYPERLINK("CSG3.html#group36B3", "36B³"), =HYPERLINK("CSG0.html#group1A0", "1A⁰")</f>
        <v/>
      </c>
      <c r="N6080" t="inlineStr"/>
    </row>
    <row r="6081">
      <c r="A6081" t="inlineStr">
        <is>
          <t>180C¹⁹</t>
        </is>
      </c>
      <c r="B6081" t="inlineStr"/>
      <c r="C6081" t="inlineStr">
        <is>
          <t>240</t>
        </is>
      </c>
      <c r="D6081" t="inlineStr">
        <is>
          <t>2</t>
        </is>
      </c>
      <c r="E6081" t="inlineStr">
        <is>
          <t>80</t>
        </is>
      </c>
      <c r="F6081" t="inlineStr">
        <is>
          <t>0</t>
        </is>
      </c>
      <c r="G6081" t="inlineStr">
        <is>
          <t>3</t>
        </is>
      </c>
      <c r="H6081" t="inlineStr">
        <is>
          <t>60¹, 180¹</t>
        </is>
      </c>
      <c r="I6081" t="n">
        <v>2</v>
      </c>
      <c r="J6081" t="inlineStr">
        <is>
          <t>4⁴, 8², 16⁸</t>
        </is>
      </c>
      <c r="K6081">
        <f>HYPERLINK("CSG4.html#group45B4", "45B⁴"), =HYPERLINK("CSG6.html#group60A6", "60A⁶")</f>
        <v/>
      </c>
      <c r="L6081" t="inlineStr"/>
      <c r="M6081">
        <f>HYPERLINK("CSG0.html#group3B0", "3B⁰"), =HYPERLINK("CSG0.html#group5A0", "5A⁰"), =HYPERLINK("CSG0.html#group4A0", "4A⁰"), =HYPERLINK("CSG1.html#group12A1", "12A¹"), =HYPERLINK("CSG4.html#group45B4", "45B⁴"), =HYPERLINK("CSG1.html#group15B1", "15B¹"), =HYPERLINK("CSG1.html#group20A1", "20A¹"), =HYPERLINK("CSG6.html#group60A6", "60A⁶"), =HYPERLINK("CSG0.html#group1A0", "1A⁰")</f>
        <v/>
      </c>
      <c r="N6081" t="inlineStr"/>
    </row>
    <row r="6082">
      <c r="A6082" t="inlineStr">
        <is>
          <t>183A¹⁹</t>
        </is>
      </c>
      <c r="B6082" t="inlineStr">
        <is>
          <t>Γ₀(183)</t>
        </is>
      </c>
      <c r="C6082" t="inlineStr">
        <is>
          <t>248</t>
        </is>
      </c>
      <c r="D6082" t="inlineStr">
        <is>
          <t>1</t>
        </is>
      </c>
      <c r="E6082" t="inlineStr">
        <is>
          <t>248</t>
        </is>
      </c>
      <c r="F6082" t="inlineStr">
        <is>
          <t>0</t>
        </is>
      </c>
      <c r="G6082" t="inlineStr">
        <is>
          <t>2</t>
        </is>
      </c>
      <c r="H6082" t="inlineStr">
        <is>
          <t>1¹, 3¹, 61¹, 183¹</t>
        </is>
      </c>
      <c r="I6082" t="n">
        <v>4</v>
      </c>
      <c r="J6082" t="inlineStr">
        <is>
          <t>1⁴, 2², 60², 120¹</t>
        </is>
      </c>
      <c r="K6082">
        <f>HYPERLINK("CSG0.html#group3B0", "3B⁰"), =HYPERLINK("CSG4.html#group61A4", "61A⁴")</f>
        <v/>
      </c>
      <c r="L6082" t="inlineStr"/>
      <c r="M6082">
        <f>HYPERLINK("CSG0.html#group3B0", "3B⁰"), =HYPERLINK("CSG0.html#group1A0", "1A⁰"), =HYPERLINK("CSG4.html#group61A4", "61A⁴")</f>
        <v/>
      </c>
      <c r="N6082" t="inlineStr"/>
    </row>
    <row r="6083">
      <c r="A6083" t="inlineStr">
        <is>
          <t>186A¹⁹</t>
        </is>
      </c>
      <c r="B6083" t="inlineStr"/>
      <c r="C6083" t="inlineStr">
        <is>
          <t>256</t>
        </is>
      </c>
      <c r="D6083" t="inlineStr">
        <is>
          <t>1</t>
        </is>
      </c>
      <c r="E6083" t="inlineStr">
        <is>
          <t>128</t>
        </is>
      </c>
      <c r="F6083" t="inlineStr">
        <is>
          <t>0</t>
        </is>
      </c>
      <c r="G6083" t="inlineStr">
        <is>
          <t>4</t>
        </is>
      </c>
      <c r="H6083" t="inlineStr">
        <is>
          <t>2¹, 6¹, 62¹, 186¹</t>
        </is>
      </c>
      <c r="I6083" t="n">
        <v>4</v>
      </c>
      <c r="J6083" t="inlineStr">
        <is>
          <t>1⁴, 2², 30², 60¹</t>
        </is>
      </c>
      <c r="K6083">
        <f>HYPERLINK("CSG9.html#group93A9", "93A⁹")</f>
        <v/>
      </c>
      <c r="L6083" t="inlineStr"/>
      <c r="M6083">
        <f>HYPERLINK("CSG0.html#group3B0", "3B⁰"), =HYPERLINK("CSG2.html#group31A2", "31A²"), =HYPERLINK("CSG0.html#group1A0", "1A⁰"), =HYPERLINK("CSG9.html#group93A9", "93A⁹")</f>
        <v/>
      </c>
      <c r="N6083" t="inlineStr"/>
    </row>
    <row r="6084">
      <c r="A6084" t="inlineStr">
        <is>
          <t>186B¹⁹</t>
        </is>
      </c>
      <c r="B6084" t="inlineStr"/>
      <c r="C6084" t="inlineStr">
        <is>
          <t>256</t>
        </is>
      </c>
      <c r="D6084" t="inlineStr">
        <is>
          <t>1</t>
        </is>
      </c>
      <c r="E6084" t="inlineStr">
        <is>
          <t>128</t>
        </is>
      </c>
      <c r="F6084" t="inlineStr">
        <is>
          <t>0</t>
        </is>
      </c>
      <c r="G6084" t="inlineStr">
        <is>
          <t>4</t>
        </is>
      </c>
      <c r="H6084" t="inlineStr">
        <is>
          <t>2¹, 6¹, 62¹, 186¹</t>
        </is>
      </c>
      <c r="I6084" t="n">
        <v>4</v>
      </c>
      <c r="J6084" t="inlineStr">
        <is>
          <t>1⁴, 2², 30², 60¹</t>
        </is>
      </c>
      <c r="K6084">
        <f>HYPERLINK("CSG0.html#group6C0", "6C⁰"), =HYPERLINK("CSG4.html#group62A4", "62A⁴"), =HYPERLINK("CSG9.html#group93A9", "93A⁹")</f>
        <v/>
      </c>
      <c r="L6084" t="inlineStr"/>
      <c r="M6084">
        <f>HYPERLINK("CSG0.html#group3B0", "3B⁰"), =HYPERLINK("CSG0.html#group2A0", "2A⁰"), =HYPERLINK("CSG9.html#group93A9", "93A⁹"), =HYPERLINK("CSG0.html#group6C0", "6C⁰"), =HYPERLINK("CSG2.html#group31A2", "31A²"), =HYPERLINK("CSG0.html#group1A0", "1A⁰"), =HYPERLINK("CSG4.html#group62A4", "62A⁴")</f>
        <v/>
      </c>
      <c r="N6084" t="inlineStr"/>
    </row>
    <row r="6085">
      <c r="A6085" t="inlineStr">
        <is>
          <t>189A¹⁹</t>
        </is>
      </c>
      <c r="B6085" t="inlineStr"/>
      <c r="C6085" t="inlineStr">
        <is>
          <t>252</t>
        </is>
      </c>
      <c r="D6085" t="inlineStr">
        <is>
          <t>2</t>
        </is>
      </c>
      <c r="E6085" t="inlineStr">
        <is>
          <t>84</t>
        </is>
      </c>
      <c r="F6085" t="inlineStr">
        <is>
          <t>0</t>
        </is>
      </c>
      <c r="G6085" t="inlineStr">
        <is>
          <t>0</t>
        </is>
      </c>
      <c r="H6085" t="inlineStr">
        <is>
          <t>7³, 21², 189¹</t>
        </is>
      </c>
      <c r="I6085" t="n">
        <v>6</v>
      </c>
      <c r="J6085" t="inlineStr">
        <is>
          <t>2², 4², 6⁴, 12⁵, 36²</t>
        </is>
      </c>
      <c r="K6085">
        <f>HYPERLINK("CSG1.html#group27A1", "27A¹"), =HYPERLINK("CSG6.html#group63B6", "63B⁶")</f>
        <v/>
      </c>
      <c r="L6085" t="inlineStr"/>
      <c r="M6085">
        <f>HYPERLINK("CSG6.html#group63B6", "63B⁶"), =HYPERLINK("CSG0.html#group3B0", "3B⁰"), =HYPERLINK("CSG0.html#group9B0", "9B⁰"), =HYPERLINK("CSG1.html#group27A1", "27A¹"), =HYPERLINK("CSG2.html#group21B2", "21B²"), =HYPERLINK("CSG0.html#group1A0", "1A⁰"), =HYPERLINK("CSG0.html#group7A0", "7A⁰")</f>
        <v/>
      </c>
      <c r="N6085" t="inlineStr"/>
    </row>
    <row r="6086">
      <c r="A6086" t="inlineStr">
        <is>
          <t>189B¹⁹</t>
        </is>
      </c>
      <c r="B6086" t="inlineStr"/>
      <c r="C6086" t="inlineStr">
        <is>
          <t>252</t>
        </is>
      </c>
      <c r="D6086" t="inlineStr">
        <is>
          <t>2</t>
        </is>
      </c>
      <c r="E6086" t="inlineStr">
        <is>
          <t>84</t>
        </is>
      </c>
      <c r="F6086" t="inlineStr">
        <is>
          <t>0</t>
        </is>
      </c>
      <c r="G6086" t="inlineStr">
        <is>
          <t>6</t>
        </is>
      </c>
      <c r="H6086" t="inlineStr">
        <is>
          <t>63¹, 189¹</t>
        </is>
      </c>
      <c r="I6086" t="n">
        <v>2</v>
      </c>
      <c r="J6086" t="inlineStr">
        <is>
          <t>2², 4², 6⁴, 12⁵, 36²</t>
        </is>
      </c>
      <c r="K6086">
        <f>HYPERLINK("CSG1.html#group27B1", "27B¹"), =HYPERLINK("CSG6.html#group63C6", "63C⁶")</f>
        <v/>
      </c>
      <c r="L6086" t="inlineStr"/>
      <c r="M6086">
        <f>HYPERLINK("CSG0.html#group3B0", "3B⁰"), =HYPERLINK("CSG1.html#group27B1", "27B¹"), =HYPERLINK("CSG2.html#group21B2", "21B²"), =HYPERLINK("CSG0.html#group9C0", "9C⁰"), =HYPERLINK("CSG6.html#group63C6", "63C⁶"), =HYPERLINK("CSG0.html#group1A0", "1A⁰"), =HYPERLINK("CSG0.html#group7A0", "7A⁰")</f>
        <v/>
      </c>
      <c r="N6086" t="inlineStr"/>
    </row>
    <row r="6087">
      <c r="A6087" t="inlineStr">
        <is>
          <t>189C¹⁹</t>
        </is>
      </c>
      <c r="B6087" t="inlineStr">
        <is>
          <t>Γ₀(189)</t>
        </is>
      </c>
      <c r="C6087" t="inlineStr">
        <is>
          <t>288</t>
        </is>
      </c>
      <c r="D6087" t="inlineStr">
        <is>
          <t>1</t>
        </is>
      </c>
      <c r="E6087" t="inlineStr">
        <is>
          <t>96</t>
        </is>
      </c>
      <c r="F6087" t="inlineStr">
        <is>
          <t>0</t>
        </is>
      </c>
      <c r="G6087" t="inlineStr">
        <is>
          <t>0</t>
        </is>
      </c>
      <c r="H6087" t="inlineStr">
        <is>
          <t>1³, 3², 7³, 21², 27¹, 189¹</t>
        </is>
      </c>
      <c r="I6087" t="n">
        <v>12</v>
      </c>
      <c r="J6087" t="inlineStr">
        <is>
          <t>1⁴, 2⁴, 6⁴, 12², 36¹</t>
        </is>
      </c>
      <c r="K6087">
        <f>HYPERLINK("CSG1.html#group27A1", "27A¹"), =HYPERLINK("CSG5.html#group63A5", "63A⁵")</f>
        <v/>
      </c>
      <c r="L6087" t="inlineStr"/>
      <c r="M6087">
        <f>HYPERLINK("CSG5.html#group63A5", "63A⁵"), =HYPERLINK("CSG0.html#group3B0", "3B⁰"), =HYPERLINK("CSG0.html#group9B0", "9B⁰"), =HYPERLINK("CSG1.html#group27A1", "27A¹"), =HYPERLINK("CSG1.html#group21B1", "21B¹"), =HYPERLINK("CSG0.html#group1A0", "1A⁰"), =HYPERLINK("CSG0.html#group7B0", "7B⁰")</f>
        <v/>
      </c>
      <c r="N6087" t="inlineStr"/>
    </row>
    <row r="6088">
      <c r="A6088" t="inlineStr">
        <is>
          <t>189D¹⁹</t>
        </is>
      </c>
      <c r="B6088" t="inlineStr"/>
      <c r="C6088" t="inlineStr">
        <is>
          <t>288</t>
        </is>
      </c>
      <c r="D6088" t="inlineStr">
        <is>
          <t>1</t>
        </is>
      </c>
      <c r="E6088" t="inlineStr">
        <is>
          <t>96</t>
        </is>
      </c>
      <c r="F6088" t="inlineStr">
        <is>
          <t>0</t>
        </is>
      </c>
      <c r="G6088" t="inlineStr">
        <is>
          <t>12</t>
        </is>
      </c>
      <c r="H6088" t="inlineStr">
        <is>
          <t>9¹, 27¹, 63¹, 189¹</t>
        </is>
      </c>
      <c r="I6088" t="n">
        <v>4</v>
      </c>
      <c r="J6088" t="inlineStr">
        <is>
          <t>1⁴, 2⁴, 6⁴, 12², 36¹</t>
        </is>
      </c>
      <c r="K6088">
        <f>HYPERLINK("CSG1.html#group27B1", "27B¹"), =HYPERLINK("CSG5.html#group63B5", "63B⁵")</f>
        <v/>
      </c>
      <c r="L6088" t="inlineStr"/>
      <c r="M6088">
        <f>HYPERLINK("CSG0.html#group3B0", "3B⁰"), =HYPERLINK("CSG1.html#group21B1", "21B¹"), =HYPERLINK("CSG0.html#group7B0", "7B⁰"), =HYPERLINK("CSG1.html#group27B1", "27B¹"), =HYPERLINK("CSG5.html#group63B5", "63B⁵"), =HYPERLINK("CSG0.html#group9C0", "9C⁰"), =HYPERLINK("CSG0.html#group1A0", "1A⁰")</f>
        <v/>
      </c>
      <c r="N6088" t="inlineStr"/>
    </row>
    <row r="6089">
      <c r="A6089" t="inlineStr">
        <is>
          <t>189E¹⁹</t>
        </is>
      </c>
      <c r="B6089" t="inlineStr"/>
      <c r="C6089" t="inlineStr">
        <is>
          <t>288</t>
        </is>
      </c>
      <c r="D6089" t="inlineStr">
        <is>
          <t>2</t>
        </is>
      </c>
      <c r="E6089" t="inlineStr">
        <is>
          <t>96</t>
        </is>
      </c>
      <c r="F6089" t="inlineStr">
        <is>
          <t>0</t>
        </is>
      </c>
      <c r="G6089" t="inlineStr">
        <is>
          <t>0</t>
        </is>
      </c>
      <c r="H6089" t="inlineStr">
        <is>
          <t>1³, 3², 7³, 21², 27¹, 189¹</t>
        </is>
      </c>
      <c r="I6089" t="n">
        <v>12</v>
      </c>
      <c r="J6089" t="inlineStr">
        <is>
          <t>2¹², 6⁴, 12⁶, 36²</t>
        </is>
      </c>
      <c r="K6089">
        <f>HYPERLINK("CSG5.html#group63A5", "63A⁵")</f>
        <v/>
      </c>
      <c r="L6089" t="inlineStr"/>
      <c r="M6089">
        <f>HYPERLINK("CSG5.html#group63A5", "63A⁵"), =HYPERLINK("CSG0.html#group3B0", "3B⁰"), =HYPERLINK("CSG0.html#group9B0", "9B⁰"), =HYPERLINK("CSG1.html#group21B1", "21B¹"), =HYPERLINK("CSG0.html#group1A0", "1A⁰"), =HYPERLINK("CSG0.html#group7B0", "7B⁰")</f>
        <v/>
      </c>
      <c r="N6089" t="inlineStr"/>
    </row>
    <row r="6090">
      <c r="A6090" t="inlineStr">
        <is>
          <t>190A¹⁹</t>
        </is>
      </c>
      <c r="B6090" t="inlineStr"/>
      <c r="C6090" t="inlineStr">
        <is>
          <t>240</t>
        </is>
      </c>
      <c r="D6090" t="inlineStr">
        <is>
          <t>1</t>
        </is>
      </c>
      <c r="E6090" t="inlineStr">
        <is>
          <t>120</t>
        </is>
      </c>
      <c r="F6090" t="inlineStr">
        <is>
          <t>0</t>
        </is>
      </c>
      <c r="G6090" t="inlineStr">
        <is>
          <t>0</t>
        </is>
      </c>
      <c r="H6090" t="inlineStr">
        <is>
          <t>2¹, 10¹, 38¹, 190¹</t>
        </is>
      </c>
      <c r="I6090" t="n">
        <v>4</v>
      </c>
      <c r="J6090" t="inlineStr">
        <is>
          <t>1⁴, 4², 18², 72¹</t>
        </is>
      </c>
      <c r="K6090">
        <f>HYPERLINK("CSG0.html#group10B0", "10B⁰"), =HYPERLINK("CSG9.html#group95A9", "95A⁹")</f>
        <v/>
      </c>
      <c r="L6090" t="inlineStr"/>
      <c r="M6090">
        <f>HYPERLINK("CSG0.html#group5B0", "5B⁰"), =HYPERLINK("CSG1.html#group19A1", "19A¹"), =HYPERLINK("CSG9.html#group95A9", "95A⁹"), =HYPERLINK("CSG0.html#group1A0", "1A⁰"), =HYPERLINK("CSG0.html#group10B0", "10B⁰")</f>
        <v/>
      </c>
      <c r="N6090" t="inlineStr"/>
    </row>
    <row r="6091">
      <c r="A6091" t="inlineStr">
        <is>
          <t>190B¹⁹</t>
        </is>
      </c>
      <c r="B6091" t="inlineStr"/>
      <c r="C6091" t="inlineStr">
        <is>
          <t>240</t>
        </is>
      </c>
      <c r="D6091" t="inlineStr">
        <is>
          <t>1</t>
        </is>
      </c>
      <c r="E6091" t="inlineStr">
        <is>
          <t>120</t>
        </is>
      </c>
      <c r="F6091" t="inlineStr">
        <is>
          <t>0</t>
        </is>
      </c>
      <c r="G6091" t="inlineStr">
        <is>
          <t>0</t>
        </is>
      </c>
      <c r="H6091" t="inlineStr">
        <is>
          <t>2¹, 10¹, 38¹, 190¹</t>
        </is>
      </c>
      <c r="I6091" t="n">
        <v>4</v>
      </c>
      <c r="J6091" t="inlineStr">
        <is>
          <t>1⁴, 4², 18², 72¹</t>
        </is>
      </c>
      <c r="K6091">
        <f>HYPERLINK("CSG1.html#group10A1", "10A¹"), =HYPERLINK("CSG2.html#group38A2", "38A²"), =HYPERLINK("CSG9.html#group95A9", "95A⁹")</f>
        <v/>
      </c>
      <c r="L6091" t="inlineStr"/>
      <c r="M6091">
        <f>HYPERLINK("CSG1.html#group19A1", "19A¹"), =HYPERLINK("CSG0.html#group2A0", "2A⁰"), =HYPERLINK("CSG2.html#group38A2", "38A²"), =HYPERLINK("CSG9.html#group95A9", "95A⁹"), =HYPERLINK("CSG0.html#group5B0", "5B⁰"), =HYPERLINK("CSG1.html#group10A1", "10A¹"), =HYPERLINK("CSG0.html#group1A0", "1A⁰")</f>
        <v/>
      </c>
      <c r="N6091" t="inlineStr"/>
    </row>
    <row r="6092">
      <c r="A6092" t="inlineStr">
        <is>
          <t>192A¹⁹</t>
        </is>
      </c>
      <c r="B6092" t="inlineStr"/>
      <c r="C6092" t="inlineStr">
        <is>
          <t>288</t>
        </is>
      </c>
      <c r="D6092" t="inlineStr">
        <is>
          <t>1</t>
        </is>
      </c>
      <c r="E6092" t="inlineStr">
        <is>
          <t>12</t>
        </is>
      </c>
      <c r="F6092" t="inlineStr">
        <is>
          <t>0</t>
        </is>
      </c>
      <c r="G6092" t="inlineStr">
        <is>
          <t>0</t>
        </is>
      </c>
      <c r="H6092" t="inlineStr">
        <is>
          <t>3⁸, 12², 48¹, 192¹</t>
        </is>
      </c>
      <c r="I6092" t="n">
        <v>12</v>
      </c>
      <c r="J6092" t="inlineStr">
        <is>
          <t>1⁴, 2², 4¹</t>
        </is>
      </c>
      <c r="K6092">
        <f>HYPERLINK("CSG3.html#group64A3", "64A³"), =HYPERLINK("CSG9.html#group96A9", "96A⁹")</f>
        <v/>
      </c>
      <c r="L6092" t="inlineStr"/>
      <c r="M6092">
        <f>HYPERLINK("CSG0.html#group3A0", "3A⁰"), =HYPERLINK("CSG9.html#group96A9", "96A⁹"), =HYPERLINK("CSG0.html#group8C0", "8C⁰"), =HYPERLINK("CSG0.html#group2B0", "2B⁰"), =HYPERLINK("CSG0.html#group4B0", "4B⁰"), =HYPERLINK("CSG0.html#group1A0", "1A⁰"), =HYPERLINK("CSG4.html#group48B4", "48B⁴"), =HYPERLINK("CSG2.html#group24B2", "24B²"), =HYPERLINK("CSG1.html#group32A1", "32A¹"), =HYPERLINK("CSG0.html#group16C0", "16C⁰"), =HYPERLINK("CSG1.html#group12B1", "12B¹"), =HYPERLINK("CSG3.html#group64A3", "64A³"), =HYPERLINK("CSG0.html#group6D0", "6D⁰")</f>
        <v/>
      </c>
      <c r="N6092" t="inlineStr"/>
    </row>
    <row r="6093">
      <c r="A6093" t="inlineStr">
        <is>
          <t>192B¹⁹</t>
        </is>
      </c>
      <c r="B6093" t="inlineStr"/>
      <c r="C6093" t="inlineStr">
        <is>
          <t>288</t>
        </is>
      </c>
      <c r="D6093" t="inlineStr">
        <is>
          <t>1</t>
        </is>
      </c>
      <c r="E6093" t="inlineStr">
        <is>
          <t>12</t>
        </is>
      </c>
      <c r="F6093" t="inlineStr">
        <is>
          <t>0</t>
        </is>
      </c>
      <c r="G6093" t="inlineStr">
        <is>
          <t>0</t>
        </is>
      </c>
      <c r="H6093" t="inlineStr">
        <is>
          <t>3⁸, 12², 48¹, 192¹</t>
        </is>
      </c>
      <c r="I6093" t="n">
        <v>12</v>
      </c>
      <c r="J6093" t="inlineStr">
        <is>
          <t>1⁴, 2², 4¹</t>
        </is>
      </c>
      <c r="K6093">
        <f>HYPERLINK("CSG3.html#group64B3", "64B³"), =HYPERLINK("CSG9.html#group96A9", "96A⁹")</f>
        <v/>
      </c>
      <c r="L6093" t="inlineStr"/>
      <c r="M6093">
        <f>HYPERLINK("CSG2.html#group24B2", "24B²"), =HYPERLINK("CSG1.html#group32A1", "32A¹"), =HYPERLINK("CSG0.html#group4B0", "4B⁰"), =HYPERLINK("CSG9.html#group96A9", "96A⁹"), =HYPERLINK("CSG0.html#group16C0", "16C⁰"), =HYPERLINK("CSG3.html#group64B3", "64B³"), =HYPERLINK("CSG0.html#group8C0", "8C⁰"), =HYPERLINK("CSG1.html#group12B1", "12B¹"), =HYPERLINK("CSG0.html#group2B0", "2B⁰"), =HYPERLINK("CSG0.html#group3A0", "3A⁰"), =HYPERLINK("CSG0.html#group1A0", "1A⁰"), =HYPERLINK("CSG0.html#group6D0", "6D⁰"), =HYPERLINK("CSG4.html#group48B4", "48B⁴")</f>
        <v/>
      </c>
      <c r="N6093" t="inlineStr"/>
    </row>
    <row r="6094">
      <c r="A6094" t="inlineStr">
        <is>
          <t>192C¹⁹</t>
        </is>
      </c>
      <c r="B6094" t="inlineStr"/>
      <c r="C6094" t="inlineStr">
        <is>
          <t>288</t>
        </is>
      </c>
      <c r="D6094" t="inlineStr">
        <is>
          <t>1</t>
        </is>
      </c>
      <c r="E6094" t="inlineStr">
        <is>
          <t>36</t>
        </is>
      </c>
      <c r="F6094" t="inlineStr">
        <is>
          <t>0</t>
        </is>
      </c>
      <c r="G6094" t="inlineStr">
        <is>
          <t>0</t>
        </is>
      </c>
      <c r="H6094" t="inlineStr">
        <is>
          <t>3⁸, 12², 48¹, 192¹</t>
        </is>
      </c>
      <c r="I6094" t="n">
        <v>12</v>
      </c>
      <c r="J6094" t="inlineStr">
        <is>
          <t>1⁴, 2⁶, 4³, 8¹</t>
        </is>
      </c>
      <c r="K6094">
        <f>HYPERLINK("CSG9.html#group96A9", "96A⁹")</f>
        <v/>
      </c>
      <c r="L6094" t="inlineStr"/>
      <c r="M6094">
        <f>HYPERLINK("CSG2.html#group24B2", "24B²"), =HYPERLINK("CSG1.html#group32A1", "32A¹"), =HYPERLINK("CSG0.html#group4B0", "4B⁰"), =HYPERLINK("CSG9.html#group96A9", "96A⁹"), =HYPERLINK("CSG0.html#group16C0", "16C⁰"), =HYPERLINK("CSG0.html#group8C0", "8C⁰"), =HYPERLINK("CSG1.html#group12B1", "12B¹"), =HYPERLINK("CSG0.html#group2B0", "2B⁰"), =HYPERLINK("CSG0.html#group3A0", "3A⁰"), =HYPERLINK("CSG0.html#group1A0", "1A⁰"), =HYPERLINK("CSG0.html#group6D0", "6D⁰"), =HYPERLINK("CSG4.html#group48B4", "48B⁴")</f>
        <v/>
      </c>
      <c r="N6094" t="inlineStr"/>
    </row>
    <row r="6095">
      <c r="A6095" t="inlineStr">
        <is>
          <t>192D¹⁹</t>
        </is>
      </c>
      <c r="B6095" t="inlineStr"/>
      <c r="C6095" t="inlineStr">
        <is>
          <t>288</t>
        </is>
      </c>
      <c r="D6095" t="inlineStr">
        <is>
          <t>1</t>
        </is>
      </c>
      <c r="E6095" t="inlineStr">
        <is>
          <t>36</t>
        </is>
      </c>
      <c r="F6095" t="inlineStr">
        <is>
          <t>0</t>
        </is>
      </c>
      <c r="G6095" t="inlineStr">
        <is>
          <t>0</t>
        </is>
      </c>
      <c r="H6095" t="inlineStr">
        <is>
          <t>3⁸, 12², 48¹, 192¹</t>
        </is>
      </c>
      <c r="I6095" t="n">
        <v>12</v>
      </c>
      <c r="J6095" t="inlineStr">
        <is>
          <t>1⁴, 2⁶, 4³, 8¹</t>
        </is>
      </c>
      <c r="K6095">
        <f>HYPERLINK("CSG9.html#group96A9", "96A⁹")</f>
        <v/>
      </c>
      <c r="L6095" t="inlineStr"/>
      <c r="M6095">
        <f>HYPERLINK("CSG2.html#group24B2", "24B²"), =HYPERLINK("CSG1.html#group32A1", "32A¹"), =HYPERLINK("CSG0.html#group4B0", "4B⁰"), =HYPERLINK("CSG9.html#group96A9", "96A⁹"), =HYPERLINK("CSG0.html#group16C0", "16C⁰"), =HYPERLINK("CSG0.html#group8C0", "8C⁰"), =HYPERLINK("CSG1.html#group12B1", "12B¹"), =HYPERLINK("CSG0.html#group2B0", "2B⁰"), =HYPERLINK("CSG0.html#group3A0", "3A⁰"), =HYPERLINK("CSG0.html#group1A0", "1A⁰"), =HYPERLINK("CSG0.html#group6D0", "6D⁰"), =HYPERLINK("CSG4.html#group48B4", "48B⁴")</f>
        <v/>
      </c>
      <c r="N6095" t="inlineStr"/>
    </row>
    <row r="6096">
      <c r="A6096" t="inlineStr">
        <is>
          <t>192E¹⁹</t>
        </is>
      </c>
      <c r="B6096" t="inlineStr"/>
      <c r="C6096" t="inlineStr">
        <is>
          <t>384</t>
        </is>
      </c>
      <c r="D6096" t="inlineStr">
        <is>
          <t>1</t>
        </is>
      </c>
      <c r="E6096" t="inlineStr">
        <is>
          <t>96</t>
        </is>
      </c>
      <c r="F6096" t="inlineStr">
        <is>
          <t>0</t>
        </is>
      </c>
      <c r="G6096" t="inlineStr">
        <is>
          <t>0</t>
        </is>
      </c>
      <c r="H6096" t="inlineStr">
        <is>
          <t>1⁸, 2⁴, 3⁸, 6⁴, 16¹, 48¹, 64¹, 192¹</t>
        </is>
      </c>
      <c r="I6096" t="n">
        <v>28</v>
      </c>
      <c r="J6096" t="inlineStr">
        <is>
          <t>2¹⁶, 4⁸, 8², 16¹</t>
        </is>
      </c>
      <c r="K6096">
        <f>HYPERLINK("CSG7.html#group96C7", "96C⁷")</f>
        <v/>
      </c>
      <c r="L6096" t="inlineStr"/>
      <c r="M6096">
        <f>HYPERLINK("CSG7.html#group96C7", "96C⁷"), =HYPERLINK("CSG0.html#group3B0", "3B⁰"), =HYPERLINK("CSG3.html#group48J3", "48J³"), =HYPERLINK("CSG0.html#group16C0", "16C⁰"), =HYPERLINK("CSG1.html#group24G1", "24G¹"), =HYPERLINK("CSG0.html#group32A0", "32A⁰"), =HYPERLINK("CSG0.html#group6F0", "6F⁰"), =HYPERLINK("CSG0.html#group8C0", "8C⁰"), =HYPERLINK("CSG0.html#group2B0", "2B⁰"), =HYPERLINK("CSG0.html#group4B0", "4B⁰"), =HYPERLINK("CSG0.html#group1A0", "1A⁰"), =HYPERLINK("CSG0.html#group12E0", "12E⁰")</f>
        <v/>
      </c>
      <c r="N6096" t="inlineStr"/>
    </row>
    <row r="6097">
      <c r="A6097" t="inlineStr">
        <is>
          <t>192F¹⁹</t>
        </is>
      </c>
      <c r="B6097" t="inlineStr"/>
      <c r="C6097" t="inlineStr">
        <is>
          <t>384</t>
        </is>
      </c>
      <c r="D6097" t="inlineStr">
        <is>
          <t>1</t>
        </is>
      </c>
      <c r="E6097" t="inlineStr">
        <is>
          <t>96</t>
        </is>
      </c>
      <c r="F6097" t="inlineStr">
        <is>
          <t>0</t>
        </is>
      </c>
      <c r="G6097" t="inlineStr">
        <is>
          <t>0</t>
        </is>
      </c>
      <c r="H6097" t="inlineStr">
        <is>
          <t>1⁸, 2⁴, 3⁸, 6⁴, 16¹, 48¹, 64¹, 192¹</t>
        </is>
      </c>
      <c r="I6097" t="n">
        <v>28</v>
      </c>
      <c r="J6097" t="inlineStr">
        <is>
          <t>2¹⁶, 4⁸, 8², 16¹</t>
        </is>
      </c>
      <c r="K6097">
        <f>HYPERLINK("CSG2.html#group64A2", "64A²"), =HYPERLINK("CSG7.html#group96C7", "96C⁷")</f>
        <v/>
      </c>
      <c r="L6097" t="inlineStr"/>
      <c r="M6097">
        <f>HYPERLINK("CSG7.html#group96C7", "96C⁷"), =HYPERLINK("CSG0.html#group3B0", "3B⁰"), =HYPERLINK("CSG3.html#group48J3", "48J³"), =HYPERLINK("CSG0.html#group16C0", "16C⁰"), =HYPERLINK("CSG1.html#group24G1", "24G¹"), =HYPERLINK("CSG0.html#group32A0", "32A⁰"), =HYPERLINK("CSG0.html#group6F0", "6F⁰"), =HYPERLINK("CSG0.html#group8C0", "8C⁰"), =HYPERLINK("CSG0.html#group2B0", "2B⁰"), =HYPERLINK("CSG2.html#group64A2", "64A²"), =HYPERLINK("CSG0.html#group4B0", "4B⁰"), =HYPERLINK("CSG0.html#group1A0", "1A⁰"), =HYPERLINK("CSG0.html#group12E0", "12E⁰")</f>
        <v/>
      </c>
      <c r="N6097" t="inlineStr"/>
    </row>
    <row r="6098">
      <c r="A6098" t="inlineStr">
        <is>
          <t>198A¹⁹</t>
        </is>
      </c>
      <c r="B6098" t="inlineStr"/>
      <c r="C6098" t="inlineStr">
        <is>
          <t>264</t>
        </is>
      </c>
      <c r="D6098" t="inlineStr">
        <is>
          <t>2</t>
        </is>
      </c>
      <c r="E6098" t="inlineStr">
        <is>
          <t>88</t>
        </is>
      </c>
      <c r="F6098" t="inlineStr">
        <is>
          <t>0</t>
        </is>
      </c>
      <c r="G6098" t="inlineStr">
        <is>
          <t>6</t>
        </is>
      </c>
      <c r="H6098" t="inlineStr">
        <is>
          <t>22³, 198¹</t>
        </is>
      </c>
      <c r="I6098" t="n">
        <v>4</v>
      </c>
      <c r="J6098" t="inlineStr">
        <is>
          <t>4⁴, 20⁸</t>
        </is>
      </c>
      <c r="K6098">
        <f>HYPERLINK("CSG0.html#group18C0", "18C⁰"), =HYPERLINK("CSG6.html#group66E6", "66E⁶")</f>
        <v/>
      </c>
      <c r="L6098" t="inlineStr"/>
      <c r="M6098">
        <f>HYPERLINK("CSG0.html#group11A0", "11A⁰"), =HYPERLINK("CSG0.html#group18C0", "18C⁰"), =HYPERLINK("CSG0.html#group3B0", "3B⁰"), =HYPERLINK("CSG0.html#group2A0", "2A⁰"), =HYPERLINK("CSG1.html#group22A1", "22A¹"), =HYPERLINK("CSG3.html#group33B3", "33B³"), =HYPERLINK("CSG0.html#group6C0", "6C⁰"), =HYPERLINK("CSG6.html#group66E6", "66E⁶"), =HYPERLINK("CSG0.html#group1A0", "1A⁰")</f>
        <v/>
      </c>
      <c r="N6098" t="inlineStr"/>
    </row>
    <row r="6099">
      <c r="A6099" t="inlineStr">
        <is>
          <t>200A¹⁹</t>
        </is>
      </c>
      <c r="B6099" t="inlineStr"/>
      <c r="C6099" t="inlineStr">
        <is>
          <t>240</t>
        </is>
      </c>
      <c r="D6099" t="inlineStr">
        <is>
          <t>2</t>
        </is>
      </c>
      <c r="E6099" t="inlineStr">
        <is>
          <t>120</t>
        </is>
      </c>
      <c r="F6099" t="inlineStr">
        <is>
          <t>4</t>
        </is>
      </c>
      <c r="G6099" t="inlineStr">
        <is>
          <t>0</t>
        </is>
      </c>
      <c r="H6099" t="inlineStr">
        <is>
          <t>40¹, 200¹</t>
        </is>
      </c>
      <c r="I6099" t="n">
        <v>2</v>
      </c>
      <c r="J6099" t="inlineStr">
        <is>
          <t>8⁴, 16⁸, 80⁴</t>
        </is>
      </c>
      <c r="K6099">
        <f>HYPERLINK("CSG3.html#group40A3", "40A³"), =HYPERLINK("CSG9.html#group100A9", "100A⁹")</f>
        <v/>
      </c>
      <c r="L6099" t="inlineStr"/>
      <c r="M6099">
        <f>HYPERLINK("CSG0.html#group5B0", "5B⁰"), =HYPERLINK("CSG9.html#group100A9", "100A⁹"), =HYPERLINK("CSG3.html#group40A3", "40A³"), =HYPERLINK("CSG2.html#group25A2", "25A²"), =HYPERLINK("CSG0.html#group1A0", "1A⁰"), =HYPERLINK("CSG0.html#group4A0", "4A⁰"), =HYPERLINK("CSG1.html#group20B1", "20B¹")</f>
        <v/>
      </c>
      <c r="N6099" t="inlineStr"/>
    </row>
    <row r="6100">
      <c r="A6100" t="inlineStr">
        <is>
          <t>200B¹⁹</t>
        </is>
      </c>
      <c r="B6100" t="inlineStr"/>
      <c r="C6100" t="inlineStr">
        <is>
          <t>240</t>
        </is>
      </c>
      <c r="D6100" t="inlineStr">
        <is>
          <t>2</t>
        </is>
      </c>
      <c r="E6100" t="inlineStr">
        <is>
          <t>120</t>
        </is>
      </c>
      <c r="F6100" t="inlineStr">
        <is>
          <t>4</t>
        </is>
      </c>
      <c r="G6100" t="inlineStr">
        <is>
          <t>0</t>
        </is>
      </c>
      <c r="H6100" t="inlineStr">
        <is>
          <t>40¹, 200¹</t>
        </is>
      </c>
      <c r="I6100" t="n">
        <v>2</v>
      </c>
      <c r="J6100" t="inlineStr">
        <is>
          <t>8⁴, 16⁸, 80⁴</t>
        </is>
      </c>
      <c r="K6100">
        <f>HYPERLINK("CSG3.html#group40A3", "40A³"), =HYPERLINK("CSG9.html#group100B9", "100B⁹")</f>
        <v/>
      </c>
      <c r="L6100" t="inlineStr"/>
      <c r="M6100">
        <f>HYPERLINK("CSG3.html#group40A3", "40A³"), =HYPERLINK("CSG0.html#group4A0", "4A⁰"), =HYPERLINK("CSG9.html#group100B9", "100B⁹"), =HYPERLINK("CSG0.html#group5B0", "5B⁰"), =HYPERLINK("CSG0.html#group1A0", "1A⁰"), =HYPERLINK("CSG1.html#group20B1", "20B¹"), =HYPERLINK("CSG2.html#group25B2", "25B²")</f>
        <v/>
      </c>
      <c r="N6100" t="inlineStr"/>
    </row>
    <row r="6101">
      <c r="A6101" t="inlineStr">
        <is>
          <t>200C¹⁹</t>
        </is>
      </c>
      <c r="B6101" t="inlineStr"/>
      <c r="C6101" t="inlineStr">
        <is>
          <t>240</t>
        </is>
      </c>
      <c r="D6101" t="inlineStr">
        <is>
          <t>2</t>
        </is>
      </c>
      <c r="E6101" t="inlineStr">
        <is>
          <t>120</t>
        </is>
      </c>
      <c r="F6101" t="inlineStr">
        <is>
          <t>4</t>
        </is>
      </c>
      <c r="G6101" t="inlineStr">
        <is>
          <t>0</t>
        </is>
      </c>
      <c r="H6101" t="inlineStr">
        <is>
          <t>40¹, 200¹</t>
        </is>
      </c>
      <c r="I6101" t="n">
        <v>2</v>
      </c>
      <c r="J6101" t="inlineStr">
        <is>
          <t>8⁴, 16⁸, 80⁴</t>
        </is>
      </c>
      <c r="K6101">
        <f>HYPERLINK("CSG3.html#group40A3", "40A³"), =HYPERLINK("CSG9.html#group100C9", "100C⁹")</f>
        <v/>
      </c>
      <c r="L6101" t="inlineStr"/>
      <c r="M6101">
        <f>HYPERLINK("CSG3.html#group40A3", "40A³"), =HYPERLINK("CSG0.html#group4A0", "4A⁰"), =HYPERLINK("CSG0.html#group5B0", "5B⁰"), =HYPERLINK("CSG0.html#group1A0", "1A⁰"), =HYPERLINK("CSG2.html#group25C2", "25C²"), =HYPERLINK("CSG1.html#group20B1", "20B¹"), =HYPERLINK("CSG9.html#group100C9", "100C⁹")</f>
        <v/>
      </c>
      <c r="N6101" t="inlineStr"/>
    </row>
    <row r="6102">
      <c r="A6102" t="inlineStr">
        <is>
          <t>200D¹⁹</t>
        </is>
      </c>
      <c r="B6102" t="inlineStr"/>
      <c r="C6102" t="inlineStr">
        <is>
          <t>240</t>
        </is>
      </c>
      <c r="D6102" t="inlineStr">
        <is>
          <t>2</t>
        </is>
      </c>
      <c r="E6102" t="inlineStr">
        <is>
          <t>120</t>
        </is>
      </c>
      <c r="F6102" t="inlineStr">
        <is>
          <t>4</t>
        </is>
      </c>
      <c r="G6102" t="inlineStr">
        <is>
          <t>0</t>
        </is>
      </c>
      <c r="H6102" t="inlineStr">
        <is>
          <t>40¹, 200¹</t>
        </is>
      </c>
      <c r="I6102" t="n">
        <v>2</v>
      </c>
      <c r="J6102" t="inlineStr">
        <is>
          <t>8⁴, 16⁸, 80⁴</t>
        </is>
      </c>
      <c r="K6102">
        <f>HYPERLINK("CSG3.html#group40A3", "40A³"), =HYPERLINK("CSG9.html#group100D9", "100D⁹")</f>
        <v/>
      </c>
      <c r="L6102" t="inlineStr"/>
      <c r="M6102">
        <f>HYPERLINK("CSG0.html#group5B0", "5B⁰"), =HYPERLINK("CSG9.html#group100D9", "100D⁹"), =HYPERLINK("CSG3.html#group40A3", "40A³"), =HYPERLINK("CSG0.html#group1A0", "1A⁰"), =HYPERLINK("CSG0.html#group4A0", "4A⁰"), =HYPERLINK("CSG1.html#group20B1", "20B¹"), =HYPERLINK("CSG2.html#group25D2", "25D²")</f>
        <v/>
      </c>
      <c r="N6102" t="inlineStr"/>
    </row>
    <row r="6103">
      <c r="A6103" t="inlineStr">
        <is>
          <t>200E¹⁹</t>
        </is>
      </c>
      <c r="B6103" t="inlineStr"/>
      <c r="C6103" t="inlineStr">
        <is>
          <t>240</t>
        </is>
      </c>
      <c r="D6103" t="inlineStr">
        <is>
          <t>2</t>
        </is>
      </c>
      <c r="E6103" t="inlineStr">
        <is>
          <t>120</t>
        </is>
      </c>
      <c r="F6103" t="inlineStr">
        <is>
          <t>4</t>
        </is>
      </c>
      <c r="G6103" t="inlineStr">
        <is>
          <t>0</t>
        </is>
      </c>
      <c r="H6103" t="inlineStr">
        <is>
          <t>40¹, 200¹</t>
        </is>
      </c>
      <c r="I6103" t="n">
        <v>2</v>
      </c>
      <c r="J6103" t="inlineStr">
        <is>
          <t>8⁴, 16⁸, 80⁴</t>
        </is>
      </c>
      <c r="K6103">
        <f>HYPERLINK("CSG3.html#group40B3", "40B³"), =HYPERLINK("CSG9.html#group100A9", "100A⁹")</f>
        <v/>
      </c>
      <c r="L6103" t="inlineStr"/>
      <c r="M6103">
        <f>HYPERLINK("CSG9.html#group100A9", "100A⁹"), =HYPERLINK("CSG2.html#group25A2", "25A²"), =HYPERLINK("CSG0.html#group4A0", "4A⁰"), =HYPERLINK("CSG3.html#group40B3", "40B³"), =HYPERLINK("CSG0.html#group5B0", "5B⁰"), =HYPERLINK("CSG0.html#group8A0", "8A⁰"), =HYPERLINK("CSG0.html#group1A0", "1A⁰"), =HYPERLINK("CSG1.html#group20B1", "20B¹")</f>
        <v/>
      </c>
      <c r="N6103" t="inlineStr"/>
    </row>
    <row r="6104">
      <c r="A6104" t="inlineStr">
        <is>
          <t>200F¹⁹</t>
        </is>
      </c>
      <c r="B6104" t="inlineStr"/>
      <c r="C6104" t="inlineStr">
        <is>
          <t>240</t>
        </is>
      </c>
      <c r="D6104" t="inlineStr">
        <is>
          <t>2</t>
        </is>
      </c>
      <c r="E6104" t="inlineStr">
        <is>
          <t>120</t>
        </is>
      </c>
      <c r="F6104" t="inlineStr">
        <is>
          <t>4</t>
        </is>
      </c>
      <c r="G6104" t="inlineStr">
        <is>
          <t>0</t>
        </is>
      </c>
      <c r="H6104" t="inlineStr">
        <is>
          <t>40¹, 200¹</t>
        </is>
      </c>
      <c r="I6104" t="n">
        <v>2</v>
      </c>
      <c r="J6104" t="inlineStr">
        <is>
          <t>8⁴, 16⁸, 80⁴</t>
        </is>
      </c>
      <c r="K6104">
        <f>HYPERLINK("CSG3.html#group40B3", "40B³"), =HYPERLINK("CSG9.html#group100B9", "100B⁹")</f>
        <v/>
      </c>
      <c r="L6104" t="inlineStr"/>
      <c r="M6104">
        <f>HYPERLINK("CSG0.html#group4A0", "4A⁰"), =HYPERLINK("CSG3.html#group40B3", "40B³"), =HYPERLINK("CSG9.html#group100B9", "100B⁹"), =HYPERLINK("CSG0.html#group8A0", "8A⁰"), =HYPERLINK("CSG0.html#group5B0", "5B⁰"), =HYPERLINK("CSG0.html#group1A0", "1A⁰"), =HYPERLINK("CSG1.html#group20B1", "20B¹"), =HYPERLINK("CSG2.html#group25B2", "25B²")</f>
        <v/>
      </c>
      <c r="N6104" t="inlineStr"/>
    </row>
    <row r="6105">
      <c r="A6105" t="inlineStr">
        <is>
          <t>200G¹⁹</t>
        </is>
      </c>
      <c r="B6105" t="inlineStr"/>
      <c r="C6105" t="inlineStr">
        <is>
          <t>240</t>
        </is>
      </c>
      <c r="D6105" t="inlineStr">
        <is>
          <t>2</t>
        </is>
      </c>
      <c r="E6105" t="inlineStr">
        <is>
          <t>120</t>
        </is>
      </c>
      <c r="F6105" t="inlineStr">
        <is>
          <t>4</t>
        </is>
      </c>
      <c r="G6105" t="inlineStr">
        <is>
          <t>0</t>
        </is>
      </c>
      <c r="H6105" t="inlineStr">
        <is>
          <t>40¹, 200¹</t>
        </is>
      </c>
      <c r="I6105" t="n">
        <v>2</v>
      </c>
      <c r="J6105" t="inlineStr">
        <is>
          <t>8⁴, 16⁸, 80⁴</t>
        </is>
      </c>
      <c r="K6105">
        <f>HYPERLINK("CSG3.html#group40B3", "40B³"), =HYPERLINK("CSG9.html#group100C9", "100C⁹")</f>
        <v/>
      </c>
      <c r="L6105" t="inlineStr"/>
      <c r="M6105">
        <f>HYPERLINK("CSG0.html#group4A0", "4A⁰"), =HYPERLINK("CSG3.html#group40B3", "40B³"), =HYPERLINK("CSG0.html#group5B0", "5B⁰"), =HYPERLINK("CSG0.html#group8A0", "8A⁰"), =HYPERLINK("CSG0.html#group1A0", "1A⁰"), =HYPERLINK("CSG2.html#group25C2", "25C²"), =HYPERLINK("CSG1.html#group20B1", "20B¹"), =HYPERLINK("CSG9.html#group100C9", "100C⁹")</f>
        <v/>
      </c>
      <c r="N6105" t="inlineStr"/>
    </row>
    <row r="6106">
      <c r="A6106" t="inlineStr">
        <is>
          <t>200H¹⁹</t>
        </is>
      </c>
      <c r="B6106" t="inlineStr"/>
      <c r="C6106" t="inlineStr">
        <is>
          <t>240</t>
        </is>
      </c>
      <c r="D6106" t="inlineStr">
        <is>
          <t>2</t>
        </is>
      </c>
      <c r="E6106" t="inlineStr">
        <is>
          <t>120</t>
        </is>
      </c>
      <c r="F6106" t="inlineStr">
        <is>
          <t>4</t>
        </is>
      </c>
      <c r="G6106" t="inlineStr">
        <is>
          <t>0</t>
        </is>
      </c>
      <c r="H6106" t="inlineStr">
        <is>
          <t>40¹, 200¹</t>
        </is>
      </c>
      <c r="I6106" t="n">
        <v>2</v>
      </c>
      <c r="J6106" t="inlineStr">
        <is>
          <t>8⁴, 16⁸, 80⁴</t>
        </is>
      </c>
      <c r="K6106">
        <f>HYPERLINK("CSG3.html#group40B3", "40B³"), =HYPERLINK("CSG9.html#group100D9", "100D⁹")</f>
        <v/>
      </c>
      <c r="L6106" t="inlineStr"/>
      <c r="M6106">
        <f>HYPERLINK("CSG0.html#group4A0", "4A⁰"), =HYPERLINK("CSG3.html#group40B3", "40B³"), =HYPERLINK("CSG0.html#group5B0", "5B⁰"), =HYPERLINK("CSG9.html#group100D9", "100D⁹"), =HYPERLINK("CSG0.html#group8A0", "8A⁰"), =HYPERLINK("CSG0.html#group1A0", "1A⁰"), =HYPERLINK("CSG1.html#group20B1", "20B¹"), =HYPERLINK("CSG2.html#group25D2", "25D²")</f>
        <v/>
      </c>
      <c r="N6106" t="inlineStr"/>
    </row>
    <row r="6107">
      <c r="A6107" t="inlineStr">
        <is>
          <t>200I¹⁹</t>
        </is>
      </c>
      <c r="B6107" t="inlineStr"/>
      <c r="C6107" t="inlineStr">
        <is>
          <t>360</t>
        </is>
      </c>
      <c r="D6107" t="inlineStr">
        <is>
          <t>1</t>
        </is>
      </c>
      <c r="E6107" t="inlineStr">
        <is>
          <t>180</t>
        </is>
      </c>
      <c r="F6107" t="inlineStr">
        <is>
          <t>0</t>
        </is>
      </c>
      <c r="G6107" t="inlineStr">
        <is>
          <t>0</t>
        </is>
      </c>
      <c r="H6107" t="inlineStr">
        <is>
          <t>1¹⁰, 2⁵, 8⁵, 25², 50¹, 200¹</t>
        </is>
      </c>
      <c r="I6107" t="n">
        <v>24</v>
      </c>
      <c r="J6107" t="inlineStr">
        <is>
          <t>1⁸, 2², 4⁸, 8², 20⁴, 40¹</t>
        </is>
      </c>
      <c r="K6107">
        <f>HYPERLINK("CSG3.html#group40E3", "40E³"), =HYPERLINK("CSG7.html#group100C7", "100C⁷")</f>
        <v/>
      </c>
      <c r="L6107" t="inlineStr"/>
      <c r="M6107">
        <f>HYPERLINK("CSG0.html#group5B0", "5B⁰"), =HYPERLINK("CSG0.html#group10C0", "10C⁰"), =HYPERLINK("CSG0.html#group25A0", "25A⁰"), =HYPERLINK("CSG3.html#group40E3", "40E³"), =HYPERLINK("CSG1.html#group20D1", "20D¹"), =HYPERLINK("CSG0.html#group2B0", "2B⁰"), =HYPERLINK("CSG0.html#group4B0", "4B⁰"), =HYPERLINK("CSG2.html#group50B2", "50B²"), =HYPERLINK("CSG0.html#group1A0", "1A⁰"), =HYPERLINK("CSG7.html#group100C7", "100C⁷")</f>
        <v/>
      </c>
      <c r="N6107" t="inlineStr"/>
    </row>
    <row r="6108">
      <c r="A6108" t="inlineStr">
        <is>
          <t>200J¹⁹</t>
        </is>
      </c>
      <c r="B6108" t="inlineStr">
        <is>
          <t>Γ₀(200)</t>
        </is>
      </c>
      <c r="C6108" t="inlineStr">
        <is>
          <t>360</t>
        </is>
      </c>
      <c r="D6108" t="inlineStr">
        <is>
          <t>1</t>
        </is>
      </c>
      <c r="E6108" t="inlineStr">
        <is>
          <t>180</t>
        </is>
      </c>
      <c r="F6108" t="inlineStr">
        <is>
          <t>0</t>
        </is>
      </c>
      <c r="G6108" t="inlineStr">
        <is>
          <t>0</t>
        </is>
      </c>
      <c r="H6108" t="inlineStr">
        <is>
          <t>1¹⁰, 2⁵, 8⁵, 25², 50¹, 200¹</t>
        </is>
      </c>
      <c r="I6108" t="n">
        <v>24</v>
      </c>
      <c r="J6108" t="inlineStr">
        <is>
          <t>1⁸, 2², 4⁸, 8², 20⁴, 40¹</t>
        </is>
      </c>
      <c r="K6108">
        <f>HYPERLINK("CSG3.html#group40F3", "40F³"), =HYPERLINK("CSG7.html#group100C7", "100C⁷")</f>
        <v/>
      </c>
      <c r="L6108" t="inlineStr"/>
      <c r="M6108">
        <f>HYPERLINK("CSG3.html#group40F3", "40F³"), =HYPERLINK("CSG0.html#group5B0", "5B⁰"), =HYPERLINK("CSG0.html#group10C0", "10C⁰"), =HYPERLINK("CSG0.html#group25A0", "25A⁰"), =HYPERLINK("CSG1.html#group20D1", "20D¹"), =HYPERLINK("CSG0.html#group8C0", "8C⁰"), =HYPERLINK("CSG0.html#group2B0", "2B⁰"), =HYPERLINK("CSG0.html#group4B0", "4B⁰"), =HYPERLINK("CSG2.html#group50B2", "50B²"), =HYPERLINK("CSG0.html#group1A0", "1A⁰"), =HYPERLINK("CSG7.html#group100C7", "100C⁷")</f>
        <v/>
      </c>
      <c r="N6108" t="inlineStr"/>
    </row>
    <row r="6109">
      <c r="A6109" t="inlineStr">
        <is>
          <t>203A¹⁹</t>
        </is>
      </c>
      <c r="B6109" t="inlineStr">
        <is>
          <t>Γ₀(203)</t>
        </is>
      </c>
      <c r="C6109" t="inlineStr">
        <is>
          <t>240</t>
        </is>
      </c>
      <c r="D6109" t="inlineStr">
        <is>
          <t>1</t>
        </is>
      </c>
      <c r="E6109" t="inlineStr">
        <is>
          <t>240</t>
        </is>
      </c>
      <c r="F6109" t="inlineStr">
        <is>
          <t>0</t>
        </is>
      </c>
      <c r="G6109" t="inlineStr">
        <is>
          <t>0</t>
        </is>
      </c>
      <c r="H6109" t="inlineStr">
        <is>
          <t>1¹, 7¹, 29¹, 203¹</t>
        </is>
      </c>
      <c r="I6109" t="n">
        <v>4</v>
      </c>
      <c r="J6109" t="inlineStr">
        <is>
          <t>1⁴, 6², 28², 168¹</t>
        </is>
      </c>
      <c r="K6109">
        <f>HYPERLINK("CSG0.html#group7B0", "7B⁰"), =HYPERLINK("CSG2.html#group29A2", "29A²")</f>
        <v/>
      </c>
      <c r="L6109" t="inlineStr"/>
      <c r="M6109">
        <f>HYPERLINK("CSG0.html#group1A0", "1A⁰"), =HYPERLINK("CSG0.html#group7B0", "7B⁰"), =HYPERLINK("CSG2.html#group29A2", "29A²")</f>
        <v/>
      </c>
      <c r="N6109" t="inlineStr"/>
    </row>
    <row r="6110">
      <c r="A6110" t="inlineStr">
        <is>
          <t>205A¹⁹</t>
        </is>
      </c>
      <c r="B6110" t="inlineStr">
        <is>
          <t>Γ₀(205)</t>
        </is>
      </c>
      <c r="C6110" t="inlineStr">
        <is>
          <t>252</t>
        </is>
      </c>
      <c r="D6110" t="inlineStr">
        <is>
          <t>1</t>
        </is>
      </c>
      <c r="E6110" t="inlineStr">
        <is>
          <t>252</t>
        </is>
      </c>
      <c r="F6110" t="inlineStr">
        <is>
          <t>4</t>
        </is>
      </c>
      <c r="G6110" t="inlineStr">
        <is>
          <t>0</t>
        </is>
      </c>
      <c r="H6110" t="inlineStr">
        <is>
          <t>1¹, 5¹, 41¹, 205¹</t>
        </is>
      </c>
      <c r="I6110" t="n">
        <v>4</v>
      </c>
      <c r="J6110" t="inlineStr">
        <is>
          <t>1⁴, 4², 40², 160¹</t>
        </is>
      </c>
      <c r="K6110">
        <f>HYPERLINK("CSG0.html#group5B0", "5B⁰"), =HYPERLINK("CSG3.html#group41A3", "41A³")</f>
        <v/>
      </c>
      <c r="L6110" t="inlineStr"/>
      <c r="M6110">
        <f>HYPERLINK("CSG0.html#group5B0", "5B⁰"), =HYPERLINK("CSG0.html#group1A0", "1A⁰"), =HYPERLINK("CSG3.html#group41A3", "41A³")</f>
        <v/>
      </c>
      <c r="N6110" t="inlineStr"/>
    </row>
    <row r="6111">
      <c r="A6111" t="inlineStr">
        <is>
          <t>209A¹⁹</t>
        </is>
      </c>
      <c r="B6111" t="inlineStr">
        <is>
          <t>Γ₀(209)</t>
        </is>
      </c>
      <c r="C6111" t="inlineStr">
        <is>
          <t>240</t>
        </is>
      </c>
      <c r="D6111" t="inlineStr">
        <is>
          <t>1</t>
        </is>
      </c>
      <c r="E6111" t="inlineStr">
        <is>
          <t>240</t>
        </is>
      </c>
      <c r="F6111" t="inlineStr">
        <is>
          <t>0</t>
        </is>
      </c>
      <c r="G6111" t="inlineStr">
        <is>
          <t>0</t>
        </is>
      </c>
      <c r="H6111" t="inlineStr">
        <is>
          <t>1¹, 11¹, 19¹, 209¹</t>
        </is>
      </c>
      <c r="I6111" t="n">
        <v>4</v>
      </c>
      <c r="J6111" t="inlineStr">
        <is>
          <t>1⁴, 10², 18², 180¹</t>
        </is>
      </c>
      <c r="K6111">
        <f>HYPERLINK("CSG1.html#group11A1", "11A¹"), =HYPERLINK("CSG1.html#group19A1", "19A¹")</f>
        <v/>
      </c>
      <c r="L6111" t="inlineStr"/>
      <c r="M6111">
        <f>HYPERLINK("CSG1.html#group19A1", "19A¹"), =HYPERLINK("CSG0.html#group1A0", "1A⁰"), =HYPERLINK("CSG1.html#group11A1", "11A¹")</f>
        <v/>
      </c>
      <c r="N6111" t="inlineStr"/>
    </row>
    <row r="6112">
      <c r="A6112" t="inlineStr">
        <is>
          <t>217A¹⁹</t>
        </is>
      </c>
      <c r="B6112" t="inlineStr">
        <is>
          <t>Γ₀(217)</t>
        </is>
      </c>
      <c r="C6112" t="inlineStr">
        <is>
          <t>256</t>
        </is>
      </c>
      <c r="D6112" t="inlineStr">
        <is>
          <t>1</t>
        </is>
      </c>
      <c r="E6112" t="inlineStr">
        <is>
          <t>256</t>
        </is>
      </c>
      <c r="F6112" t="inlineStr">
        <is>
          <t>0</t>
        </is>
      </c>
      <c r="G6112" t="inlineStr">
        <is>
          <t>4</t>
        </is>
      </c>
      <c r="H6112" t="inlineStr">
        <is>
          <t>1¹, 7¹, 31¹, 217¹</t>
        </is>
      </c>
      <c r="I6112" t="n">
        <v>4</v>
      </c>
      <c r="J6112" t="inlineStr">
        <is>
          <t>1⁴, 6², 30², 180¹</t>
        </is>
      </c>
      <c r="K6112">
        <f>HYPERLINK("CSG0.html#group7B0", "7B⁰"), =HYPERLINK("CSG2.html#group31A2", "31A²")</f>
        <v/>
      </c>
      <c r="L6112" t="inlineStr"/>
      <c r="M6112">
        <f>HYPERLINK("CSG2.html#group31A2", "31A²"), =HYPERLINK("CSG0.html#group7B0", "7B⁰"), =HYPERLINK("CSG0.html#group1A0", "1A⁰")</f>
        <v/>
      </c>
      <c r="N6112" t="inlineStr"/>
    </row>
    <row r="6113">
      <c r="A6113" t="inlineStr">
        <is>
          <t>220A¹⁹</t>
        </is>
      </c>
      <c r="B6113" t="inlineStr"/>
      <c r="C6113" t="inlineStr">
        <is>
          <t>264</t>
        </is>
      </c>
      <c r="D6113" t="inlineStr">
        <is>
          <t>2</t>
        </is>
      </c>
      <c r="E6113" t="inlineStr">
        <is>
          <t>66</t>
        </is>
      </c>
      <c r="F6113" t="inlineStr">
        <is>
          <t>12</t>
        </is>
      </c>
      <c r="G6113" t="inlineStr">
        <is>
          <t>0</t>
        </is>
      </c>
      <c r="H6113" t="inlineStr">
        <is>
          <t>44¹, 220¹</t>
        </is>
      </c>
      <c r="I6113" t="n">
        <v>2</v>
      </c>
      <c r="J6113" t="inlineStr">
        <is>
          <t>4², 16¹, 20⁴, 80²</t>
        </is>
      </c>
      <c r="K6113">
        <f>HYPERLINK("CSG1.html#group20C1", "20C¹"), =HYPERLINK("CSG8.html#group110A8", "110A⁸")</f>
        <v/>
      </c>
      <c r="L6113" t="inlineStr"/>
      <c r="M6113">
        <f>HYPERLINK("CSG0.html#group11A0", "11A⁰"), =HYPERLINK("CSG1.html#group20C1", "20C¹"), =HYPERLINK("CSG4.html#group55A4", "55A⁴"), =HYPERLINK("CSG8.html#group110A8", "110A⁸"), =HYPERLINK("CSG0.html#group5B0", "5B⁰"), =HYPERLINK("CSG0.html#group1A0", "1A⁰"), =HYPERLINK("CSG0.html#group10B0", "10B⁰")</f>
        <v/>
      </c>
      <c r="N6113" t="inlineStr"/>
    </row>
    <row r="6114">
      <c r="A6114" t="inlineStr">
        <is>
          <t>220B¹⁹</t>
        </is>
      </c>
      <c r="B6114" t="inlineStr"/>
      <c r="C6114" t="inlineStr">
        <is>
          <t>264</t>
        </is>
      </c>
      <c r="D6114" t="inlineStr">
        <is>
          <t>2</t>
        </is>
      </c>
      <c r="E6114" t="inlineStr">
        <is>
          <t>66</t>
        </is>
      </c>
      <c r="F6114" t="inlineStr">
        <is>
          <t>12</t>
        </is>
      </c>
      <c r="G6114" t="inlineStr">
        <is>
          <t>0</t>
        </is>
      </c>
      <c r="H6114" t="inlineStr">
        <is>
          <t>44¹, 220¹</t>
        </is>
      </c>
      <c r="I6114" t="n">
        <v>2</v>
      </c>
      <c r="J6114" t="inlineStr">
        <is>
          <t>4², 16¹, 20⁴, 80²</t>
        </is>
      </c>
      <c r="K6114">
        <f>HYPERLINK("CSG1.html#group20C1", "20C¹"), =HYPERLINK("CSG8.html#group110A8", "110A⁸")</f>
        <v/>
      </c>
      <c r="L6114" t="inlineStr"/>
      <c r="M6114">
        <f>HYPERLINK("CSG0.html#group11A0", "11A⁰"), =HYPERLINK("CSG1.html#group20C1", "20C¹"), =HYPERLINK("CSG4.html#group55A4", "55A⁴"), =HYPERLINK("CSG8.html#group110A8", "110A⁸"), =HYPERLINK("CSG0.html#group5B0", "5B⁰"), =HYPERLINK("CSG0.html#group1A0", "1A⁰"), =HYPERLINK("CSG0.html#group10B0", "10B⁰")</f>
        <v/>
      </c>
      <c r="N6114" t="inlineStr"/>
    </row>
    <row r="6115">
      <c r="A6115" t="inlineStr">
        <is>
          <t>220C¹⁹</t>
        </is>
      </c>
      <c r="B6115" t="inlineStr"/>
      <c r="C6115" t="inlineStr">
        <is>
          <t>264</t>
        </is>
      </c>
      <c r="D6115" t="inlineStr">
        <is>
          <t>2</t>
        </is>
      </c>
      <c r="E6115" t="inlineStr">
        <is>
          <t>264</t>
        </is>
      </c>
      <c r="F6115" t="inlineStr">
        <is>
          <t>12</t>
        </is>
      </c>
      <c r="G6115" t="inlineStr">
        <is>
          <t>0</t>
        </is>
      </c>
      <c r="H6115" t="inlineStr">
        <is>
          <t>44¹, 220¹</t>
        </is>
      </c>
      <c r="I6115" t="n">
        <v>2</v>
      </c>
      <c r="J6115" t="inlineStr">
        <is>
          <t>4⁴, 16², 20⁸, 80⁴</t>
        </is>
      </c>
      <c r="K6115">
        <f>HYPERLINK("CSG1.html#group20B1", "20B¹"), =HYPERLINK("CSG2.html#group44A2", "44A²"), =HYPERLINK("CSG4.html#group55A4", "55A⁴")</f>
        <v/>
      </c>
      <c r="L6115" t="inlineStr"/>
      <c r="M6115">
        <f>HYPERLINK("CSG0.html#group11A0", "11A⁰"), =HYPERLINK("CSG4.html#group55A4", "55A⁴"), =HYPERLINK("CSG2.html#group44A2", "44A²"), =HYPERLINK("CSG0.html#group4A0", "4A⁰"), =HYPERLINK("CSG0.html#group5B0", "5B⁰"), =HYPERLINK("CSG0.html#group1A0", "1A⁰"), =HYPERLINK("CSG1.html#group20B1", "20B¹")</f>
        <v/>
      </c>
      <c r="N6115" t="inlineStr"/>
    </row>
    <row r="6116">
      <c r="A6116" t="inlineStr">
        <is>
          <t>221A¹⁹</t>
        </is>
      </c>
      <c r="B6116" t="inlineStr">
        <is>
          <t>Γ₀(221)</t>
        </is>
      </c>
      <c r="C6116" t="inlineStr">
        <is>
          <t>252</t>
        </is>
      </c>
      <c r="D6116" t="inlineStr">
        <is>
          <t>1</t>
        </is>
      </c>
      <c r="E6116" t="inlineStr">
        <is>
          <t>252</t>
        </is>
      </c>
      <c r="F6116" t="inlineStr">
        <is>
          <t>4</t>
        </is>
      </c>
      <c r="G6116" t="inlineStr">
        <is>
          <t>0</t>
        </is>
      </c>
      <c r="H6116" t="inlineStr">
        <is>
          <t>1¹, 13¹, 17¹, 221¹</t>
        </is>
      </c>
      <c r="I6116" t="n">
        <v>4</v>
      </c>
      <c r="J6116" t="inlineStr">
        <is>
          <t>1⁴, 12², 16², 192¹</t>
        </is>
      </c>
      <c r="K6116">
        <f>HYPERLINK("CSG0.html#group13A0", "13A⁰"), =HYPERLINK("CSG1.html#group17A1", "17A¹")</f>
        <v/>
      </c>
      <c r="L6116" t="inlineStr"/>
      <c r="M6116">
        <f>HYPERLINK("CSG0.html#group13A0", "13A⁰"), =HYPERLINK("CSG0.html#group1A0", "1A⁰"), =HYPERLINK("CSG1.html#group17A1", "17A¹")</f>
        <v/>
      </c>
      <c r="N6116" t="inlineStr"/>
    </row>
    <row r="6117">
      <c r="A6117" t="inlineStr">
        <is>
          <t>222A¹⁹</t>
        </is>
      </c>
      <c r="B6117" t="inlineStr"/>
      <c r="C6117" t="inlineStr">
        <is>
          <t>228</t>
        </is>
      </c>
      <c r="D6117" t="inlineStr">
        <is>
          <t>1</t>
        </is>
      </c>
      <c r="E6117" t="inlineStr">
        <is>
          <t>38</t>
        </is>
      </c>
      <c r="F6117" t="inlineStr">
        <is>
          <t>0</t>
        </is>
      </c>
      <c r="G6117" t="inlineStr">
        <is>
          <t>0</t>
        </is>
      </c>
      <c r="H6117" t="inlineStr">
        <is>
          <t>6¹, 222¹</t>
        </is>
      </c>
      <c r="I6117" t="n">
        <v>2</v>
      </c>
      <c r="J6117" t="inlineStr">
        <is>
          <t>1², 36¹</t>
        </is>
      </c>
      <c r="K6117">
        <f>HYPERLINK("CSG1.html#group6A1", "6A¹"), =HYPERLINK("CSG5.html#group74A5", "74A⁵"), =HYPERLINK("CSG8.html#group111A8", "111A⁸")</f>
        <v/>
      </c>
      <c r="L6117" t="inlineStr"/>
      <c r="M6117">
        <f>HYPERLINK("CSG2.html#group37A2", "37A²"), =HYPERLINK("CSG0.html#group2A0", "2A⁰"), =HYPERLINK("CSG5.html#group74A5", "74A⁵"), =HYPERLINK("CSG8.html#group111A8", "111A⁸"), =HYPERLINK("CSG1.html#group6A1", "6A¹"), =HYPERLINK("CSG0.html#group3A0", "3A⁰"), =HYPERLINK("CSG0.html#group1A0", "1A⁰")</f>
        <v/>
      </c>
      <c r="N6117" t="inlineStr"/>
    </row>
    <row r="6118">
      <c r="A6118" t="inlineStr">
        <is>
          <t>222B¹⁹</t>
        </is>
      </c>
      <c r="B6118" t="inlineStr"/>
      <c r="C6118" t="inlineStr">
        <is>
          <t>228</t>
        </is>
      </c>
      <c r="D6118" t="inlineStr">
        <is>
          <t>2</t>
        </is>
      </c>
      <c r="E6118" t="inlineStr">
        <is>
          <t>38</t>
        </is>
      </c>
      <c r="F6118" t="inlineStr">
        <is>
          <t>0</t>
        </is>
      </c>
      <c r="G6118" t="inlineStr">
        <is>
          <t>0</t>
        </is>
      </c>
      <c r="H6118" t="inlineStr">
        <is>
          <t>6¹, 222¹</t>
        </is>
      </c>
      <c r="I6118" t="n">
        <v>2</v>
      </c>
      <c r="J6118" t="inlineStr">
        <is>
          <t>2², 72¹</t>
        </is>
      </c>
      <c r="K6118">
        <f>HYPERLINK("CSG5.html#group74A5", "74A⁵"), =HYPERLINK("CSG8.html#group111B8", "111B⁸")</f>
        <v/>
      </c>
      <c r="L6118" t="inlineStr"/>
      <c r="M6118">
        <f>HYPERLINK("CSG2.html#group37A2", "37A²"), =HYPERLINK("CSG5.html#group74A5", "74A⁵"), =HYPERLINK("CSG0.html#group2A0", "2A⁰"), =HYPERLINK("CSG8.html#group111B8", "111B⁸"), =HYPERLINK("CSG0.html#group1A0", "1A⁰")</f>
        <v/>
      </c>
      <c r="N6118" t="inlineStr"/>
    </row>
    <row r="6119">
      <c r="A6119" t="inlineStr">
        <is>
          <t>224A¹⁹</t>
        </is>
      </c>
      <c r="B6119" t="inlineStr"/>
      <c r="C6119" t="inlineStr">
        <is>
          <t>336</t>
        </is>
      </c>
      <c r="D6119" t="inlineStr">
        <is>
          <t>2</t>
        </is>
      </c>
      <c r="E6119" t="inlineStr">
        <is>
          <t>84</t>
        </is>
      </c>
      <c r="F6119" t="inlineStr">
        <is>
          <t>36</t>
        </is>
      </c>
      <c r="G6119" t="inlineStr">
        <is>
          <t>0</t>
        </is>
      </c>
      <c r="H6119" t="inlineStr">
        <is>
          <t>112¹, 224¹</t>
        </is>
      </c>
      <c r="I6119" t="n">
        <v>2</v>
      </c>
      <c r="J6119" t="inlineStr">
        <is>
          <t>4⁶, 12¹²</t>
        </is>
      </c>
      <c r="K6119">
        <f>HYPERLINK("CSG1.html#group32B1", "32B¹"), =HYPERLINK("CSG8.html#group112B8", "112B⁸")</f>
        <v/>
      </c>
      <c r="L6119" t="inlineStr"/>
      <c r="M6119">
        <f>HYPERLINK("CSG1.html#group14B1", "14B¹"), =HYPERLINK("CSG0.html#group4C0", "4C⁰"), =HYPERLINK("CSG0.html#group8B0", "8B⁰"), =HYPERLINK("CSG0.html#group2B0", "2B⁰"), =HYPERLINK("CSG0.html#group1A0", "1A⁰"), =HYPERLINK("CSG0.html#group16B0", "16B⁰"), =HYPERLINK("CSG2.html#group28C2", "28C²"), =HYPERLINK("CSG1.html#group32B1", "32B¹"), =HYPERLINK("CSG8.html#group112B8", "112B⁸"), =HYPERLINK("CSG0.html#group7A0", "7A⁰"), =HYPERLINK("CSG4.html#group56B4", "56B⁴")</f>
        <v/>
      </c>
      <c r="N6119" t="inlineStr"/>
    </row>
    <row r="6120">
      <c r="A6120" t="inlineStr">
        <is>
          <t>225A¹⁹</t>
        </is>
      </c>
      <c r="B6120" t="inlineStr">
        <is>
          <t>Γ₀(225)</t>
        </is>
      </c>
      <c r="C6120" t="inlineStr">
        <is>
          <t>360</t>
        </is>
      </c>
      <c r="D6120" t="inlineStr">
        <is>
          <t>1</t>
        </is>
      </c>
      <c r="E6120" t="inlineStr">
        <is>
          <t>120</t>
        </is>
      </c>
      <c r="F6120" t="inlineStr">
        <is>
          <t>0</t>
        </is>
      </c>
      <c r="G6120" t="inlineStr">
        <is>
          <t>0</t>
        </is>
      </c>
      <c r="H6120" t="inlineStr">
        <is>
          <t>1¹⁵, 9⁵, 25³, 225¹</t>
        </is>
      </c>
      <c r="I6120" t="n">
        <v>24</v>
      </c>
      <c r="J6120" t="inlineStr">
        <is>
          <t>1⁴, 2², 4⁴, 8², 20², 40¹</t>
        </is>
      </c>
      <c r="K6120">
        <f>HYPERLINK("CSG3.html#group45D3", "45D³"), =HYPERLINK("CSG5.html#group75A5", "75A⁵")</f>
        <v/>
      </c>
      <c r="L6120" t="inlineStr"/>
      <c r="M6120">
        <f>HYPERLINK("CSG0.html#group3B0", "3B⁰"), =HYPERLINK("CSG1.html#group15C1", "15C¹"), =HYPERLINK("CSG5.html#group75A5", "75A⁵"), =HYPERLINK("CSG0.html#group5B0", "5B⁰"), =HYPERLINK("CSG0.html#group9B0", "9B⁰"), =HYPERLINK("CSG3.html#group45D3", "45D³"), =HYPERLINK("CSG0.html#group25A0", "25A⁰"), =HYPERLINK("CSG0.html#group1A0", "1A⁰")</f>
        <v/>
      </c>
      <c r="N6120" t="inlineStr"/>
    </row>
    <row r="6121">
      <c r="A6121" t="inlineStr">
        <is>
          <t>226A¹⁹</t>
        </is>
      </c>
      <c r="B6121" t="inlineStr"/>
      <c r="C6121" t="inlineStr">
        <is>
          <t>228</t>
        </is>
      </c>
      <c r="D6121" t="inlineStr">
        <is>
          <t>1</t>
        </is>
      </c>
      <c r="E6121" t="inlineStr">
        <is>
          <t>114</t>
        </is>
      </c>
      <c r="F6121" t="inlineStr">
        <is>
          <t>0</t>
        </is>
      </c>
      <c r="G6121" t="inlineStr">
        <is>
          <t>0</t>
        </is>
      </c>
      <c r="H6121" t="inlineStr">
        <is>
          <t>2¹, 226¹</t>
        </is>
      </c>
      <c r="I6121" t="n">
        <v>2</v>
      </c>
      <c r="J6121" t="inlineStr">
        <is>
          <t>1², 112¹</t>
        </is>
      </c>
      <c r="K6121">
        <f>HYPERLINK("CSG9.html#group113A9", "113A⁹")</f>
        <v/>
      </c>
      <c r="L6121" t="inlineStr"/>
      <c r="M6121">
        <f>HYPERLINK("CSG0.html#group1A0", "1A⁰"), =HYPERLINK("CSG9.html#group113A9", "113A⁹")</f>
        <v/>
      </c>
      <c r="N6121" t="inlineStr"/>
    </row>
    <row r="6122">
      <c r="A6122" t="inlineStr">
        <is>
          <t>226B¹⁹</t>
        </is>
      </c>
      <c r="B6122" t="inlineStr"/>
      <c r="C6122" t="inlineStr">
        <is>
          <t>228</t>
        </is>
      </c>
      <c r="D6122" t="inlineStr">
        <is>
          <t>1</t>
        </is>
      </c>
      <c r="E6122" t="inlineStr">
        <is>
          <t>114</t>
        </is>
      </c>
      <c r="F6122" t="inlineStr">
        <is>
          <t>0</t>
        </is>
      </c>
      <c r="G6122" t="inlineStr">
        <is>
          <t>0</t>
        </is>
      </c>
      <c r="H6122" t="inlineStr">
        <is>
          <t>2¹, 226¹</t>
        </is>
      </c>
      <c r="I6122" t="n">
        <v>2</v>
      </c>
      <c r="J6122" t="inlineStr">
        <is>
          <t>1², 112¹</t>
        </is>
      </c>
      <c r="K6122">
        <f>HYPERLINK("CSG0.html#group2A0", "2A⁰"), =HYPERLINK("CSG9.html#group113A9", "113A⁹")</f>
        <v/>
      </c>
      <c r="L6122" t="inlineStr"/>
      <c r="M6122">
        <f>HYPERLINK("CSG0.html#group2A0", "2A⁰"), =HYPERLINK("CSG0.html#group1A0", "1A⁰"), =HYPERLINK("CSG9.html#group113A9", "113A⁹")</f>
        <v/>
      </c>
      <c r="N6122" t="inlineStr"/>
    </row>
    <row r="6123">
      <c r="A6123" t="inlineStr">
        <is>
          <t>227A¹⁹</t>
        </is>
      </c>
      <c r="B6123" t="inlineStr">
        <is>
          <t>Γ₀(227)</t>
        </is>
      </c>
      <c r="C6123" t="inlineStr">
        <is>
          <t>228</t>
        </is>
      </c>
      <c r="D6123" t="inlineStr">
        <is>
          <t>1</t>
        </is>
      </c>
      <c r="E6123" t="inlineStr">
        <is>
          <t>228</t>
        </is>
      </c>
      <c r="F6123" t="inlineStr">
        <is>
          <t>0</t>
        </is>
      </c>
      <c r="G6123" t="inlineStr">
        <is>
          <t>0</t>
        </is>
      </c>
      <c r="H6123" t="inlineStr">
        <is>
          <t>1¹, 227¹</t>
        </is>
      </c>
      <c r="I6123" t="n">
        <v>2</v>
      </c>
      <c r="J6123" t="inlineStr">
        <is>
          <t>1², 226¹</t>
        </is>
      </c>
      <c r="K6123">
        <f>HYPERLINK("CSG0.html#group1A0", "1A⁰")</f>
        <v/>
      </c>
      <c r="L6123" t="inlineStr"/>
      <c r="M6123">
        <f>HYPERLINK("CSG0.html#group1A0", "1A⁰")</f>
        <v/>
      </c>
      <c r="N6123" t="inlineStr"/>
    </row>
    <row r="6124">
      <c r="A6124" t="inlineStr">
        <is>
          <t>232A¹⁹</t>
        </is>
      </c>
      <c r="B6124" t="inlineStr"/>
      <c r="C6124" t="inlineStr">
        <is>
          <t>240</t>
        </is>
      </c>
      <c r="D6124" t="inlineStr">
        <is>
          <t>2</t>
        </is>
      </c>
      <c r="E6124" t="inlineStr">
        <is>
          <t>120</t>
        </is>
      </c>
      <c r="F6124" t="inlineStr">
        <is>
          <t>4</t>
        </is>
      </c>
      <c r="G6124" t="inlineStr">
        <is>
          <t>0</t>
        </is>
      </c>
      <c r="H6124" t="inlineStr">
        <is>
          <t>8¹, 232¹</t>
        </is>
      </c>
      <c r="I6124" t="n">
        <v>2</v>
      </c>
      <c r="J6124" t="inlineStr">
        <is>
          <t>4⁴, 112²</t>
        </is>
      </c>
      <c r="K6124">
        <f>HYPERLINK("CSG9.html#group116A9", "116A⁹")</f>
        <v/>
      </c>
      <c r="L6124" t="inlineStr"/>
      <c r="M6124">
        <f>HYPERLINK("CSG0.html#group1A0", "1A⁰"), =HYPERLINK("CSG9.html#group116A9", "116A⁹"), =HYPERLINK("CSG2.html#group29A2", "29A²"), =HYPERLINK("CSG0.html#group4A0", "4A⁰")</f>
        <v/>
      </c>
      <c r="N6124" t="inlineStr"/>
    </row>
    <row r="6125">
      <c r="A6125" t="inlineStr">
        <is>
          <t>232B¹⁹</t>
        </is>
      </c>
      <c r="B6125" t="inlineStr"/>
      <c r="C6125" t="inlineStr">
        <is>
          <t>240</t>
        </is>
      </c>
      <c r="D6125" t="inlineStr">
        <is>
          <t>2</t>
        </is>
      </c>
      <c r="E6125" t="inlineStr">
        <is>
          <t>120</t>
        </is>
      </c>
      <c r="F6125" t="inlineStr">
        <is>
          <t>4</t>
        </is>
      </c>
      <c r="G6125" t="inlineStr">
        <is>
          <t>0</t>
        </is>
      </c>
      <c r="H6125" t="inlineStr">
        <is>
          <t>8¹, 232¹</t>
        </is>
      </c>
      <c r="I6125" t="n">
        <v>2</v>
      </c>
      <c r="J6125" t="inlineStr">
        <is>
          <t>4⁴, 112²</t>
        </is>
      </c>
      <c r="K6125">
        <f>HYPERLINK("CSG0.html#group8A0", "8A⁰"), =HYPERLINK("CSG9.html#group116A9", "116A⁹")</f>
        <v/>
      </c>
      <c r="L6125" t="inlineStr"/>
      <c r="M6125">
        <f>HYPERLINK("CSG0.html#group8A0", "8A⁰"), =HYPERLINK("CSG9.html#group116A9", "116A⁹"), =HYPERLINK("CSG0.html#group1A0", "1A⁰"), =HYPERLINK("CSG0.html#group4A0", "4A⁰"), =HYPERLINK("CSG2.html#group29A2", "29A²")</f>
        <v/>
      </c>
      <c r="N6125" t="inlineStr"/>
    </row>
    <row r="6126">
      <c r="A6126" t="inlineStr">
        <is>
          <t>233A¹⁹</t>
        </is>
      </c>
      <c r="B6126" t="inlineStr">
        <is>
          <t>Γ₀(233)</t>
        </is>
      </c>
      <c r="C6126" t="inlineStr">
        <is>
          <t>234</t>
        </is>
      </c>
      <c r="D6126" t="inlineStr">
        <is>
          <t>1</t>
        </is>
      </c>
      <c r="E6126" t="inlineStr">
        <is>
          <t>234</t>
        </is>
      </c>
      <c r="F6126" t="inlineStr">
        <is>
          <t>2</t>
        </is>
      </c>
      <c r="G6126" t="inlineStr">
        <is>
          <t>0</t>
        </is>
      </c>
      <c r="H6126" t="inlineStr">
        <is>
          <t>1¹, 233¹</t>
        </is>
      </c>
      <c r="I6126" t="n">
        <v>2</v>
      </c>
      <c r="J6126" t="inlineStr">
        <is>
          <t>1², 232¹</t>
        </is>
      </c>
      <c r="K6126">
        <f>HYPERLINK("CSG0.html#group1A0", "1A⁰")</f>
        <v/>
      </c>
      <c r="L6126" t="inlineStr"/>
      <c r="M6126">
        <f>HYPERLINK("CSG0.html#group1A0", "1A⁰")</f>
        <v/>
      </c>
      <c r="N6126" t="inlineStr"/>
    </row>
    <row r="6127">
      <c r="A6127" t="inlineStr">
        <is>
          <t>234A¹⁹</t>
        </is>
      </c>
      <c r="B6127" t="inlineStr"/>
      <c r="C6127" t="inlineStr">
        <is>
          <t>252</t>
        </is>
      </c>
      <c r="D6127" t="inlineStr">
        <is>
          <t>1</t>
        </is>
      </c>
      <c r="E6127" t="inlineStr">
        <is>
          <t>126</t>
        </is>
      </c>
      <c r="F6127" t="inlineStr">
        <is>
          <t>8</t>
        </is>
      </c>
      <c r="G6127" t="inlineStr">
        <is>
          <t>0</t>
        </is>
      </c>
      <c r="H6127" t="inlineStr">
        <is>
          <t>18¹, 234¹</t>
        </is>
      </c>
      <c r="I6127" t="n">
        <v>2</v>
      </c>
      <c r="J6127" t="inlineStr">
        <is>
          <t>1², 2², 6², 12¹, 24¹, 72¹</t>
        </is>
      </c>
      <c r="K6127">
        <f>HYPERLINK("CSG1.html#group18A1", "18A¹"), =HYPERLINK("CSG5.html#group78B5", "78B⁵"), =HYPERLINK("CSG8.html#group117A8", "117A⁸")</f>
        <v/>
      </c>
      <c r="L6127" t="inlineStr"/>
      <c r="M6127">
        <f>HYPERLINK("CSG8.html#group117A8", "117A⁸"), =HYPERLINK("CSG2.html#group39A2", "39A²"), =HYPERLINK("CSG0.html#group6B0", "6B⁰"), =HYPERLINK("CSG5.html#group78B5", "78B⁵"), =HYPERLINK("CSG0.html#group9A0", "9A⁰"), =HYPERLINK("CSG0.html#group13A0", "13A⁰"), =HYPERLINK("CSG0.html#group3A0", "3A⁰"), =HYPERLINK("CSG0.html#group1A0", "1A⁰"), =HYPERLINK("CSG1.html#group18A1", "18A¹")</f>
        <v/>
      </c>
      <c r="N6127" t="inlineStr"/>
    </row>
    <row r="6128">
      <c r="A6128" t="inlineStr">
        <is>
          <t>234B¹⁹</t>
        </is>
      </c>
      <c r="B6128" t="inlineStr"/>
      <c r="C6128" t="inlineStr">
        <is>
          <t>252</t>
        </is>
      </c>
      <c r="D6128" t="inlineStr">
        <is>
          <t>1</t>
        </is>
      </c>
      <c r="E6128" t="inlineStr">
        <is>
          <t>252</t>
        </is>
      </c>
      <c r="F6128" t="inlineStr">
        <is>
          <t>8</t>
        </is>
      </c>
      <c r="G6128" t="inlineStr">
        <is>
          <t>0</t>
        </is>
      </c>
      <c r="H6128" t="inlineStr">
        <is>
          <t>18¹, 234¹</t>
        </is>
      </c>
      <c r="I6128" t="n">
        <v>2</v>
      </c>
      <c r="J6128" t="inlineStr">
        <is>
          <t>2⁶, 6⁴, 24³, 72²</t>
        </is>
      </c>
      <c r="K6128">
        <f>HYPERLINK("CSG1.html#group18B1", "18B¹"), =HYPERLINK("CSG5.html#group78B5", "78B⁵")</f>
        <v/>
      </c>
      <c r="L6128" t="inlineStr"/>
      <c r="M6128">
        <f>HYPERLINK("CSG2.html#group39A2", "39A²"), =HYPERLINK("CSG0.html#group6B0", "6B⁰"), =HYPERLINK("CSG5.html#group78B5", "78B⁵"), =HYPERLINK("CSG0.html#group13A0", "13A⁰"), =HYPERLINK("CSG1.html#group18B1", "18B¹"), =HYPERLINK("CSG0.html#group3A0", "3A⁰"), =HYPERLINK("CSG0.html#group1A0", "1A⁰")</f>
        <v/>
      </c>
      <c r="N6128" t="inlineStr"/>
    </row>
    <row r="6129">
      <c r="A6129" t="inlineStr">
        <is>
          <t>237A¹⁹</t>
        </is>
      </c>
      <c r="B6129" t="inlineStr"/>
      <c r="C6129" t="inlineStr">
        <is>
          <t>240</t>
        </is>
      </c>
      <c r="D6129" t="inlineStr">
        <is>
          <t>2</t>
        </is>
      </c>
      <c r="E6129" t="inlineStr">
        <is>
          <t>80</t>
        </is>
      </c>
      <c r="F6129" t="inlineStr">
        <is>
          <t>0</t>
        </is>
      </c>
      <c r="G6129" t="inlineStr">
        <is>
          <t>3</t>
        </is>
      </c>
      <c r="H6129" t="inlineStr">
        <is>
          <t>3¹, 237¹</t>
        </is>
      </c>
      <c r="I6129" t="n">
        <v>2</v>
      </c>
      <c r="J6129" t="inlineStr">
        <is>
          <t>2², 156¹</t>
        </is>
      </c>
      <c r="K6129">
        <f>HYPERLINK("CSG6.html#group79A6", "79A⁶")</f>
        <v/>
      </c>
      <c r="L6129" t="inlineStr"/>
      <c r="M6129">
        <f>HYPERLINK("CSG6.html#group79A6", "79A⁶"), =HYPERLINK("CSG0.html#group1A0", "1A⁰")</f>
        <v/>
      </c>
      <c r="N6129" t="inlineStr"/>
    </row>
    <row r="6130">
      <c r="A6130" t="inlineStr">
        <is>
          <t>238A¹⁹</t>
        </is>
      </c>
      <c r="B6130" t="inlineStr"/>
      <c r="C6130" t="inlineStr">
        <is>
          <t>252</t>
        </is>
      </c>
      <c r="D6130" t="inlineStr">
        <is>
          <t>2</t>
        </is>
      </c>
      <c r="E6130" t="inlineStr">
        <is>
          <t>126</t>
        </is>
      </c>
      <c r="F6130" t="inlineStr">
        <is>
          <t>8</t>
        </is>
      </c>
      <c r="G6130" t="inlineStr">
        <is>
          <t>0</t>
        </is>
      </c>
      <c r="H6130" t="inlineStr">
        <is>
          <t>14¹, 238¹</t>
        </is>
      </c>
      <c r="I6130" t="n">
        <v>2</v>
      </c>
      <c r="J6130" t="inlineStr">
        <is>
          <t>2², 6⁴, 32¹, 96²</t>
        </is>
      </c>
      <c r="K6130">
        <f>HYPERLINK("CSG9.html#group119A9", "119A⁹")</f>
        <v/>
      </c>
      <c r="L6130" t="inlineStr"/>
      <c r="M6130">
        <f>HYPERLINK("CSG9.html#group119A9", "119A⁹"), =HYPERLINK("CSG0.html#group1A0", "1A⁰"), =HYPERLINK("CSG1.html#group17A1", "17A¹"), =HYPERLINK("CSG0.html#group7A0", "7A⁰")</f>
        <v/>
      </c>
      <c r="N6130" t="inlineStr"/>
    </row>
    <row r="6131">
      <c r="A6131" t="inlineStr">
        <is>
          <t>238B¹⁹</t>
        </is>
      </c>
      <c r="B6131" t="inlineStr"/>
      <c r="C6131" t="inlineStr">
        <is>
          <t>252</t>
        </is>
      </c>
      <c r="D6131" t="inlineStr">
        <is>
          <t>2</t>
        </is>
      </c>
      <c r="E6131" t="inlineStr">
        <is>
          <t>126</t>
        </is>
      </c>
      <c r="F6131" t="inlineStr">
        <is>
          <t>8</t>
        </is>
      </c>
      <c r="G6131" t="inlineStr">
        <is>
          <t>0</t>
        </is>
      </c>
      <c r="H6131" t="inlineStr">
        <is>
          <t>14¹, 238¹</t>
        </is>
      </c>
      <c r="I6131" t="n">
        <v>2</v>
      </c>
      <c r="J6131" t="inlineStr">
        <is>
          <t>2², 6⁴, 32¹, 96²</t>
        </is>
      </c>
      <c r="K6131">
        <f>HYPERLINK("CSG0.html#group14A0", "14A⁰"), =HYPERLINK("CSG9.html#group119A9", "119A⁹")</f>
        <v/>
      </c>
      <c r="L6131" t="inlineStr"/>
      <c r="M6131">
        <f>HYPERLINK("CSG9.html#group119A9", "119A⁹"), =HYPERLINK("CSG0.html#group14A0", "14A⁰"), =HYPERLINK("CSG1.html#group17A1", "17A¹"), =HYPERLINK("CSG0.html#group1A0", "1A⁰"), =HYPERLINK("CSG0.html#group7A0", "7A⁰")</f>
        <v/>
      </c>
      <c r="N6131" t="inlineStr"/>
    </row>
    <row r="6132">
      <c r="A6132" t="inlineStr">
        <is>
          <t>240A¹⁹</t>
        </is>
      </c>
      <c r="B6132" t="inlineStr"/>
      <c r="C6132" t="inlineStr">
        <is>
          <t>240</t>
        </is>
      </c>
      <c r="D6132" t="inlineStr">
        <is>
          <t>2</t>
        </is>
      </c>
      <c r="E6132" t="inlineStr">
        <is>
          <t>40</t>
        </is>
      </c>
      <c r="F6132" t="inlineStr">
        <is>
          <t>6</t>
        </is>
      </c>
      <c r="G6132" t="inlineStr">
        <is>
          <t>0</t>
        </is>
      </c>
      <c r="H6132" t="inlineStr">
        <is>
          <t>240¹</t>
        </is>
      </c>
      <c r="I6132" t="n">
        <v>1</v>
      </c>
      <c r="J6132" t="inlineStr">
        <is>
          <t>8², 32²</t>
        </is>
      </c>
      <c r="K6132">
        <f>HYPERLINK("CSG3.html#group48A3", "48A³"), =HYPERLINK("CSG4.html#group80A4", "80A⁴"), =HYPERLINK("CSG9.html#group120A9", "120A⁹")</f>
        <v/>
      </c>
      <c r="L6132" t="inlineStr"/>
      <c r="M6132">
        <f>HYPERLINK("CSG9.html#group120A9", "120A⁹"), =HYPERLINK("CSG0.html#group5A0", "5A⁰"), =HYPERLINK("CSG4.html#group80A4", "80A⁴"), =HYPERLINK("CSG3.html#group48A3", "48A³"), =HYPERLINK("CSG0.html#group12A0", "12A⁰"), =HYPERLINK("CSG1.html#group24A1", "24A¹"), =HYPERLINK("CSG0.html#group16A0", "16A⁰"), =HYPERLINK("CSG0.html#group4A0", "4A⁰"), =HYPERLINK("CSG4.html#group60A4", "60A⁴"), =HYPERLINK("CSG0.html#group8A0", "8A⁰"), =HYPERLINK("CSG1.html#group20A1", "20A¹"), =HYPERLINK("CSG0.html#group3A0", "3A⁰"), =HYPERLINK("CSG0.html#group1A0", "1A⁰"), =HYPERLINK("CSG2.html#group40A2", "40A²"), =HYPERLINK("CSG1.html#group15A1", "15A¹")</f>
        <v/>
      </c>
      <c r="N6132" t="inlineStr"/>
    </row>
    <row r="6133">
      <c r="A6133" t="inlineStr">
        <is>
          <t>240B¹⁹</t>
        </is>
      </c>
      <c r="B6133" t="inlineStr"/>
      <c r="C6133" t="inlineStr">
        <is>
          <t>240</t>
        </is>
      </c>
      <c r="D6133" t="inlineStr">
        <is>
          <t>2</t>
        </is>
      </c>
      <c r="E6133" t="inlineStr">
        <is>
          <t>120</t>
        </is>
      </c>
      <c r="F6133" t="inlineStr">
        <is>
          <t>6</t>
        </is>
      </c>
      <c r="G6133" t="inlineStr">
        <is>
          <t>0</t>
        </is>
      </c>
      <c r="H6133" t="inlineStr">
        <is>
          <t>240¹</t>
        </is>
      </c>
      <c r="I6133" t="n">
        <v>1</v>
      </c>
      <c r="J6133" t="inlineStr">
        <is>
          <t>8², 16², 32², 64²</t>
        </is>
      </c>
      <c r="K6133">
        <f>HYPERLINK("CSG3.html#group48B3", "48B³"), =HYPERLINK("CSG9.html#group120A9", "120A⁹")</f>
        <v/>
      </c>
      <c r="L6133" t="inlineStr"/>
      <c r="M6133">
        <f>HYPERLINK("CSG9.html#group120A9", "120A⁹"), =HYPERLINK("CSG0.html#group5A0", "5A⁰"), =HYPERLINK("CSG0.html#group12A0", "12A⁰"), =HYPERLINK("CSG1.html#group24A1", "24A¹"), =HYPERLINK("CSG0.html#group4A0", "4A⁰"), =HYPERLINK("CSG4.html#group60A4", "60A⁴"), =HYPERLINK("CSG0.html#group8A0", "8A⁰"), =HYPERLINK("CSG1.html#group20A1", "20A¹"), =HYPERLINK("CSG0.html#group3A0", "3A⁰"), =HYPERLINK("CSG0.html#group1A0", "1A⁰"), =HYPERLINK("CSG2.html#group40A2", "40A²"), =HYPERLINK("CSG1.html#group15A1", "15A¹"), =HYPERLINK("CSG3.html#group48B3", "48B³")</f>
        <v/>
      </c>
      <c r="N6133" t="inlineStr"/>
    </row>
    <row r="6134">
      <c r="A6134" t="inlineStr">
        <is>
          <t>241A¹⁹</t>
        </is>
      </c>
      <c r="B6134" t="inlineStr">
        <is>
          <t>Γ₀(241)</t>
        </is>
      </c>
      <c r="C6134" t="inlineStr">
        <is>
          <t>242</t>
        </is>
      </c>
      <c r="D6134" t="inlineStr">
        <is>
          <t>1</t>
        </is>
      </c>
      <c r="E6134" t="inlineStr">
        <is>
          <t>242</t>
        </is>
      </c>
      <c r="F6134" t="inlineStr">
        <is>
          <t>2</t>
        </is>
      </c>
      <c r="G6134" t="inlineStr">
        <is>
          <t>2</t>
        </is>
      </c>
      <c r="H6134" t="inlineStr">
        <is>
          <t>1¹, 241¹</t>
        </is>
      </c>
      <c r="I6134" t="n">
        <v>2</v>
      </c>
      <c r="J6134" t="inlineStr">
        <is>
          <t>1², 240¹</t>
        </is>
      </c>
      <c r="K6134">
        <f>HYPERLINK("CSG0.html#group1A0", "1A⁰")</f>
        <v/>
      </c>
      <c r="L6134" t="inlineStr"/>
      <c r="M6134">
        <f>HYPERLINK("CSG0.html#group1A0", "1A⁰")</f>
        <v/>
      </c>
      <c r="N6134" t="inlineStr"/>
    </row>
    <row r="6135">
      <c r="A6135" t="inlineStr">
        <is>
          <t>243A¹⁹</t>
        </is>
      </c>
      <c r="B6135" t="inlineStr">
        <is>
          <t>Γ₀(243)</t>
        </is>
      </c>
      <c r="C6135" t="inlineStr">
        <is>
          <t>324</t>
        </is>
      </c>
      <c r="D6135" t="inlineStr">
        <is>
          <t>1</t>
        </is>
      </c>
      <c r="E6135" t="inlineStr">
        <is>
          <t>108</t>
        </is>
      </c>
      <c r="F6135" t="inlineStr">
        <is>
          <t>0</t>
        </is>
      </c>
      <c r="G6135" t="inlineStr">
        <is>
          <t>0</t>
        </is>
      </c>
      <c r="H6135" t="inlineStr">
        <is>
          <t>1⁹, 3⁶, 27², 243¹</t>
        </is>
      </c>
      <c r="I6135" t="n">
        <v>18</v>
      </c>
      <c r="J6135" t="inlineStr">
        <is>
          <t>1², 2², 6², 18², 54¹</t>
        </is>
      </c>
      <c r="K6135">
        <f>HYPERLINK("CSG4.html#group81A4", "81A⁴")</f>
        <v/>
      </c>
      <c r="L6135" t="inlineStr"/>
      <c r="M6135">
        <f>HYPERLINK("CSG0.html#group3B0", "3B⁰"), =HYPERLINK("CSG4.html#group81A4", "81A⁴"), =HYPERLINK("CSG0.html#group9B0", "9B⁰"), =HYPERLINK("CSG1.html#group27A1", "27A¹"), =HYPERLINK("CSG0.html#group1A0", "1A⁰")</f>
        <v/>
      </c>
      <c r="N6135" t="inlineStr"/>
    </row>
    <row r="6136">
      <c r="A6136" t="inlineStr">
        <is>
          <t>244A¹⁹</t>
        </is>
      </c>
      <c r="B6136" t="inlineStr"/>
      <c r="C6136" t="inlineStr">
        <is>
          <t>248</t>
        </is>
      </c>
      <c r="D6136" t="inlineStr">
        <is>
          <t>1</t>
        </is>
      </c>
      <c r="E6136" t="inlineStr">
        <is>
          <t>248</t>
        </is>
      </c>
      <c r="F6136" t="inlineStr">
        <is>
          <t>4</t>
        </is>
      </c>
      <c r="G6136" t="inlineStr">
        <is>
          <t>2</t>
        </is>
      </c>
      <c r="H6136" t="inlineStr">
        <is>
          <t>4¹, 244¹</t>
        </is>
      </c>
      <c r="I6136" t="n">
        <v>2</v>
      </c>
      <c r="J6136" t="inlineStr">
        <is>
          <t>2⁴, 120²</t>
        </is>
      </c>
      <c r="K6136">
        <f>HYPERLINK("CSG0.html#group4A0", "4A⁰"), =HYPERLINK("CSG4.html#group61A4", "61A⁴")</f>
        <v/>
      </c>
      <c r="L6136" t="inlineStr"/>
      <c r="M6136">
        <f>HYPERLINK("CSG0.html#group1A0", "1A⁰"), =HYPERLINK("CSG0.html#group4A0", "4A⁰"), =HYPERLINK("CSG4.html#group61A4", "61A⁴")</f>
        <v/>
      </c>
      <c r="N6136" t="inlineStr"/>
    </row>
    <row r="6137">
      <c r="A6137" t="inlineStr">
        <is>
          <t>245A¹⁹</t>
        </is>
      </c>
      <c r="B6137" t="inlineStr"/>
      <c r="C6137" t="inlineStr">
        <is>
          <t>280</t>
        </is>
      </c>
      <c r="D6137" t="inlineStr">
        <is>
          <t>1</t>
        </is>
      </c>
      <c r="E6137" t="inlineStr">
        <is>
          <t>280</t>
        </is>
      </c>
      <c r="F6137" t="inlineStr">
        <is>
          <t>0</t>
        </is>
      </c>
      <c r="G6137" t="inlineStr">
        <is>
          <t>4</t>
        </is>
      </c>
      <c r="H6137" t="inlineStr">
        <is>
          <t>5⁷, 245¹</t>
        </is>
      </c>
      <c r="I6137" t="n">
        <v>8</v>
      </c>
      <c r="J6137" t="inlineStr">
        <is>
          <t>1², 4², 6², 24², 42¹, 168¹</t>
        </is>
      </c>
      <c r="K6137">
        <f>HYPERLINK("CSG1.html#group49A1", "49A¹"), =HYPERLINK("CSG2.html#group35B2", "35B²")</f>
        <v/>
      </c>
      <c r="L6137" t="inlineStr"/>
      <c r="M6137">
        <f>HYPERLINK("CSG1.html#group49A1", "49A¹"), =HYPERLINK("CSG0.html#group5A0", "5A⁰"), =HYPERLINK("CSG2.html#group35B2", "35B²"), =HYPERLINK("CSG0.html#group1A0", "1A⁰"), =HYPERLINK("CSG0.html#group7B0", "7B⁰")</f>
        <v/>
      </c>
      <c r="N6137" t="inlineStr"/>
    </row>
    <row r="6138">
      <c r="A6138" t="inlineStr">
        <is>
          <t>246A¹⁹</t>
        </is>
      </c>
      <c r="B6138" t="inlineStr"/>
      <c r="C6138" t="inlineStr">
        <is>
          <t>252</t>
        </is>
      </c>
      <c r="D6138" t="inlineStr">
        <is>
          <t>1</t>
        </is>
      </c>
      <c r="E6138" t="inlineStr">
        <is>
          <t>126</t>
        </is>
      </c>
      <c r="F6138" t="inlineStr">
        <is>
          <t>8</t>
        </is>
      </c>
      <c r="G6138" t="inlineStr">
        <is>
          <t>0</t>
        </is>
      </c>
      <c r="H6138" t="inlineStr">
        <is>
          <t>6¹, 246¹</t>
        </is>
      </c>
      <c r="I6138" t="n">
        <v>2</v>
      </c>
      <c r="J6138" t="inlineStr">
        <is>
          <t>1², 2², 40¹, 80¹</t>
        </is>
      </c>
      <c r="K6138">
        <f>HYPERLINK("CSG9.html#group123A9", "123A⁹")</f>
        <v/>
      </c>
      <c r="L6138" t="inlineStr"/>
      <c r="M6138">
        <f>HYPERLINK("CSG0.html#group3A0", "3A⁰"), =HYPERLINK("CSG9.html#group123A9", "123A⁹"), =HYPERLINK("CSG0.html#group1A0", "1A⁰"), =HYPERLINK("CSG3.html#group41A3", "41A³")</f>
        <v/>
      </c>
      <c r="N6138" t="inlineStr"/>
    </row>
    <row r="6139">
      <c r="A6139" t="inlineStr">
        <is>
          <t>246B¹⁹</t>
        </is>
      </c>
      <c r="B6139" t="inlineStr"/>
      <c r="C6139" t="inlineStr">
        <is>
          <t>252</t>
        </is>
      </c>
      <c r="D6139" t="inlineStr">
        <is>
          <t>1</t>
        </is>
      </c>
      <c r="E6139" t="inlineStr">
        <is>
          <t>126</t>
        </is>
      </c>
      <c r="F6139" t="inlineStr">
        <is>
          <t>8</t>
        </is>
      </c>
      <c r="G6139" t="inlineStr">
        <is>
          <t>0</t>
        </is>
      </c>
      <c r="H6139" t="inlineStr">
        <is>
          <t>6¹, 246¹</t>
        </is>
      </c>
      <c r="I6139" t="n">
        <v>2</v>
      </c>
      <c r="J6139" t="inlineStr">
        <is>
          <t>1², 2², 40¹, 80¹</t>
        </is>
      </c>
      <c r="K6139">
        <f>HYPERLINK("CSG0.html#group6B0", "6B⁰"), =HYPERLINK("CSG9.html#group123A9", "123A⁹")</f>
        <v/>
      </c>
      <c r="L6139" t="inlineStr"/>
      <c r="M6139">
        <f>HYPERLINK("CSG9.html#group123A9", "123A⁹"), =HYPERLINK("CSG0.html#group6B0", "6B⁰"), =HYPERLINK("CSG3.html#group41A3", "41A³"), =HYPERLINK("CSG0.html#group3A0", "3A⁰"), =HYPERLINK("CSG0.html#group1A0", "1A⁰")</f>
        <v/>
      </c>
      <c r="N6139" t="inlineStr"/>
    </row>
    <row r="6140">
      <c r="A6140" t="inlineStr">
        <is>
          <t>250A¹⁹</t>
        </is>
      </c>
      <c r="B6140" t="inlineStr"/>
      <c r="C6140" t="inlineStr">
        <is>
          <t>300</t>
        </is>
      </c>
      <c r="D6140" t="inlineStr">
        <is>
          <t>1</t>
        </is>
      </c>
      <c r="E6140" t="inlineStr">
        <is>
          <t>150</t>
        </is>
      </c>
      <c r="F6140" t="inlineStr">
        <is>
          <t>0</t>
        </is>
      </c>
      <c r="G6140" t="inlineStr">
        <is>
          <t>0</t>
        </is>
      </c>
      <c r="H6140" t="inlineStr">
        <is>
          <t>2¹⁰, 10³, 250¹</t>
        </is>
      </c>
      <c r="I6140" t="n">
        <v>14</v>
      </c>
      <c r="J6140" t="inlineStr">
        <is>
          <t>2², 4⁴, 20⁴, 100²</t>
        </is>
      </c>
      <c r="K6140">
        <f>HYPERLINK("CSG3.html#group50A3", "50A³"), =HYPERLINK("CSG6.html#group125A6", "125A⁶")</f>
        <v/>
      </c>
      <c r="L6140" t="inlineStr"/>
      <c r="M6140">
        <f>HYPERLINK("CSG3.html#group50A3", "50A³"), =HYPERLINK("CSG0.html#group25A0", "25A⁰"), =HYPERLINK("CSG0.html#group5B0", "5B⁰"), =HYPERLINK("CSG1.html#group10A1", "10A¹"), =HYPERLINK("CSG0.html#group2A0", "2A⁰"), =HYPERLINK("CSG0.html#group1A0", "1A⁰"), =HYPERLINK("CSG6.html#group125A6", "125A⁶")</f>
        <v/>
      </c>
      <c r="N6140" t="inlineStr"/>
    </row>
    <row r="6141">
      <c r="A6141" t="inlineStr">
        <is>
          <t>250B¹⁹</t>
        </is>
      </c>
      <c r="B6141" t="inlineStr"/>
      <c r="C6141" t="inlineStr">
        <is>
          <t>300</t>
        </is>
      </c>
      <c r="D6141" t="inlineStr">
        <is>
          <t>1</t>
        </is>
      </c>
      <c r="E6141" t="inlineStr">
        <is>
          <t>150</t>
        </is>
      </c>
      <c r="F6141" t="inlineStr">
        <is>
          <t>0</t>
        </is>
      </c>
      <c r="G6141" t="inlineStr">
        <is>
          <t>0</t>
        </is>
      </c>
      <c r="H6141" t="inlineStr">
        <is>
          <t>2¹⁰, 10³, 250¹</t>
        </is>
      </c>
      <c r="I6141" t="n">
        <v>14</v>
      </c>
      <c r="J6141" t="inlineStr">
        <is>
          <t>2², 4⁴, 20⁴, 100²</t>
        </is>
      </c>
      <c r="K6141">
        <f>HYPERLINK("CSG3.html#group50A3", "50A³"), =HYPERLINK("CSG6.html#group125B6", "125B⁶")</f>
        <v/>
      </c>
      <c r="L6141" t="inlineStr"/>
      <c r="M6141">
        <f>HYPERLINK("CSG3.html#group50A3", "50A³"), =HYPERLINK("CSG0.html#group25A0", "25A⁰"), =HYPERLINK("CSG0.html#group5B0", "5B⁰"), =HYPERLINK("CSG1.html#group10A1", "10A¹"), =HYPERLINK("CSG0.html#group2A0", "2A⁰"), =HYPERLINK("CSG6.html#group125B6", "125B⁶"), =HYPERLINK("CSG0.html#group1A0", "1A⁰")</f>
        <v/>
      </c>
      <c r="N6141" t="inlineStr"/>
    </row>
    <row r="6142">
      <c r="A6142" t="inlineStr">
        <is>
          <t>256A¹⁹</t>
        </is>
      </c>
      <c r="B6142" t="inlineStr"/>
      <c r="C6142" t="inlineStr">
        <is>
          <t>384</t>
        </is>
      </c>
      <c r="D6142" t="inlineStr">
        <is>
          <t>1</t>
        </is>
      </c>
      <c r="E6142" t="inlineStr">
        <is>
          <t>48</t>
        </is>
      </c>
      <c r="F6142" t="inlineStr">
        <is>
          <t>0</t>
        </is>
      </c>
      <c r="G6142" t="inlineStr">
        <is>
          <t>0</t>
        </is>
      </c>
      <c r="H6142" t="inlineStr">
        <is>
          <t>1¹⁶, 2⁸, 16², 64¹, 256¹</t>
        </is>
      </c>
      <c r="I6142" t="n">
        <v>28</v>
      </c>
      <c r="J6142" t="inlineStr">
        <is>
          <t>2⁴, 4⁶, 8⁴, 16²</t>
        </is>
      </c>
      <c r="K6142">
        <f>HYPERLINK("CSG7.html#group128A7", "128A⁷")</f>
        <v/>
      </c>
      <c r="L6142" t="inlineStr"/>
      <c r="M6142">
        <f>HYPERLINK("CSG1.html#group32A1", "32A¹"), =HYPERLINK("CSG0.html#group4B0", "4B⁰"), =HYPERLINK("CSG0.html#group16C0", "16C⁰"), =HYPERLINK("CSG7.html#group128A7", "128A⁷"), =HYPERLINK("CSG0.html#group8C0", "8C⁰"), =HYPERLINK("CSG0.html#group2B0", "2B⁰"), =HYPERLINK("CSG3.html#group64A3", "64A³"), =HYPERLINK("CSG0.html#group1A0", "1A⁰")</f>
        <v/>
      </c>
      <c r="N6142" t="inlineStr"/>
    </row>
    <row r="6143">
      <c r="A6143" t="inlineStr">
        <is>
          <t>256B¹⁹</t>
        </is>
      </c>
      <c r="B6143" t="inlineStr"/>
      <c r="C6143" t="inlineStr">
        <is>
          <t>384</t>
        </is>
      </c>
      <c r="D6143" t="inlineStr">
        <is>
          <t>1</t>
        </is>
      </c>
      <c r="E6143" t="inlineStr">
        <is>
          <t>48</t>
        </is>
      </c>
      <c r="F6143" t="inlineStr">
        <is>
          <t>0</t>
        </is>
      </c>
      <c r="G6143" t="inlineStr">
        <is>
          <t>0</t>
        </is>
      </c>
      <c r="H6143" t="inlineStr">
        <is>
          <t>1¹⁶, 2⁸, 16², 64¹, 256¹</t>
        </is>
      </c>
      <c r="I6143" t="n">
        <v>28</v>
      </c>
      <c r="J6143" t="inlineStr">
        <is>
          <t>2⁴, 4⁶, 8⁴, 16²</t>
        </is>
      </c>
      <c r="K6143">
        <f>HYPERLINK("CSG7.html#group128A7", "128A⁷")</f>
        <v/>
      </c>
      <c r="L6143" t="inlineStr"/>
      <c r="M6143">
        <f>HYPERLINK("CSG1.html#group32A1", "32A¹"), =HYPERLINK("CSG0.html#group4B0", "4B⁰"), =HYPERLINK("CSG0.html#group16C0", "16C⁰"), =HYPERLINK("CSG7.html#group128A7", "128A⁷"), =HYPERLINK("CSG0.html#group8C0", "8C⁰"), =HYPERLINK("CSG0.html#group2B0", "2B⁰"), =HYPERLINK("CSG3.html#group64A3", "64A³"), =HYPERLINK("CSG0.html#group1A0", "1A⁰")</f>
        <v/>
      </c>
      <c r="N6143" t="inlineStr"/>
    </row>
    <row r="6144">
      <c r="A6144" t="inlineStr">
        <is>
          <t>273A¹⁹</t>
        </is>
      </c>
      <c r="B6144" t="inlineStr"/>
      <c r="C6144" t="inlineStr">
        <is>
          <t>294</t>
        </is>
      </c>
      <c r="D6144" t="inlineStr">
        <is>
          <t>2</t>
        </is>
      </c>
      <c r="E6144" t="inlineStr">
        <is>
          <t>98</t>
        </is>
      </c>
      <c r="F6144" t="inlineStr">
        <is>
          <t>18</t>
        </is>
      </c>
      <c r="G6144" t="inlineStr">
        <is>
          <t>3</t>
        </is>
      </c>
      <c r="H6144" t="inlineStr">
        <is>
          <t>21¹, 273¹</t>
        </is>
      </c>
      <c r="I6144" t="n">
        <v>2</v>
      </c>
      <c r="J6144" t="inlineStr">
        <is>
          <t>4², 12⁴, 48¹, 144²</t>
        </is>
      </c>
      <c r="K6144">
        <f>HYPERLINK("CSG1.html#group39A1", "39A¹"), =HYPERLINK("CSG6.html#group91A6", "91A⁶")</f>
        <v/>
      </c>
      <c r="L6144" t="inlineStr"/>
      <c r="M6144">
        <f>HYPERLINK("CSG0.html#group13A0", "13A⁰"), =HYPERLINK("CSG6.html#group91A6", "91A⁶"), =HYPERLINK("CSG1.html#group39A1", "39A¹"), =HYPERLINK("CSG0.html#group1A0", "1A⁰"), =HYPERLINK("CSG0.html#group7A0", "7A⁰")</f>
        <v/>
      </c>
      <c r="N6144" t="inlineStr"/>
    </row>
    <row r="6145">
      <c r="A6145" t="inlineStr">
        <is>
          <t>273B¹⁹</t>
        </is>
      </c>
      <c r="B6145" t="inlineStr"/>
      <c r="C6145" t="inlineStr">
        <is>
          <t>294</t>
        </is>
      </c>
      <c r="D6145" t="inlineStr">
        <is>
          <t>2</t>
        </is>
      </c>
      <c r="E6145" t="inlineStr">
        <is>
          <t>98</t>
        </is>
      </c>
      <c r="F6145" t="inlineStr">
        <is>
          <t>18</t>
        </is>
      </c>
      <c r="G6145" t="inlineStr">
        <is>
          <t>3</t>
        </is>
      </c>
      <c r="H6145" t="inlineStr">
        <is>
          <t>21¹, 273¹</t>
        </is>
      </c>
      <c r="I6145" t="n">
        <v>2</v>
      </c>
      <c r="J6145" t="inlineStr">
        <is>
          <t>4², 12⁴, 48¹, 144²</t>
        </is>
      </c>
      <c r="K6145">
        <f>HYPERLINK("CSG1.html#group39A1", "39A¹"), =HYPERLINK("CSG6.html#group91A6", "91A⁶")</f>
        <v/>
      </c>
      <c r="L6145" t="inlineStr"/>
      <c r="M6145">
        <f>HYPERLINK("CSG0.html#group13A0", "13A⁰"), =HYPERLINK("CSG6.html#group91A6", "91A⁶"), =HYPERLINK("CSG1.html#group39A1", "39A¹"), =HYPERLINK("CSG0.html#group1A0", "1A⁰"), =HYPERLINK("CSG0.html#group7A0", "7A⁰")</f>
        <v/>
      </c>
      <c r="N6145" t="inlineStr"/>
    </row>
    <row r="6146">
      <c r="A6146" t="inlineStr">
        <is>
          <t>17A²⁰</t>
        </is>
      </c>
      <c r="B6146" t="inlineStr"/>
      <c r="C6146" t="inlineStr">
        <is>
          <t>408</t>
        </is>
      </c>
      <c r="D6146" t="inlineStr">
        <is>
          <t>1</t>
        </is>
      </c>
      <c r="E6146" t="inlineStr">
        <is>
          <t>408</t>
        </is>
      </c>
      <c r="F6146" t="inlineStr">
        <is>
          <t>8</t>
        </is>
      </c>
      <c r="G6146" t="inlineStr">
        <is>
          <t>3</t>
        </is>
      </c>
      <c r="H6146" t="inlineStr">
        <is>
          <t>17²⁴</t>
        </is>
      </c>
      <c r="I6146" t="n">
        <v>24</v>
      </c>
      <c r="J6146" t="inlineStr">
        <is>
          <t>8¹, 16²⁵</t>
        </is>
      </c>
      <c r="K6146">
        <f>HYPERLINK("CSG4.html#group17A4", "17A⁴"), =HYPERLINK("CSG4.html#group17B4", "17B⁴"), =HYPERLINK("CSG6.html#group17A6", "17A⁶")</f>
        <v/>
      </c>
      <c r="L6146" t="inlineStr"/>
      <c r="M6146">
        <f>HYPERLINK("CSG4.html#group17B4", "17B⁴"), =HYPERLINK("CSG0.html#group1A0", "1A⁰"), =HYPERLINK("CSG4.html#group17A4", "17A⁴"), =HYPERLINK("CSG6.html#group17A6", "17A⁶")</f>
        <v/>
      </c>
      <c r="N6146" t="inlineStr"/>
    </row>
    <row r="6147">
      <c r="A6147" t="inlineStr">
        <is>
          <t>19A²⁰</t>
        </is>
      </c>
      <c r="B6147" t="inlineStr"/>
      <c r="C6147" t="inlineStr">
        <is>
          <t>342</t>
        </is>
      </c>
      <c r="D6147" t="inlineStr">
        <is>
          <t>1</t>
        </is>
      </c>
      <c r="E6147" t="inlineStr">
        <is>
          <t>171</t>
        </is>
      </c>
      <c r="F6147" t="inlineStr">
        <is>
          <t>2</t>
        </is>
      </c>
      <c r="G6147" t="inlineStr">
        <is>
          <t>0</t>
        </is>
      </c>
      <c r="H6147" t="inlineStr">
        <is>
          <t>19¹⁸</t>
        </is>
      </c>
      <c r="I6147" t="n">
        <v>18</v>
      </c>
      <c r="J6147" t="inlineStr">
        <is>
          <t>9¹, 18⁹</t>
        </is>
      </c>
      <c r="K6147">
        <f>HYPERLINK("CSG8.html#group19A8", "19A⁸")</f>
        <v/>
      </c>
      <c r="L6147" t="inlineStr"/>
      <c r="M6147">
        <f>HYPERLINK("CSG0.html#group1A0", "1A⁰"), =HYPERLINK("CSG8.html#group19A8", "19A⁸")</f>
        <v/>
      </c>
      <c r="N6147" t="inlineStr"/>
    </row>
    <row r="6148">
      <c r="A6148" t="inlineStr">
        <is>
          <t>20A²⁰</t>
        </is>
      </c>
      <c r="B6148" t="inlineStr"/>
      <c r="C6148" t="inlineStr">
        <is>
          <t>360</t>
        </is>
      </c>
      <c r="D6148" t="inlineStr">
        <is>
          <t>1</t>
        </is>
      </c>
      <c r="E6148" t="inlineStr">
        <is>
          <t>90</t>
        </is>
      </c>
      <c r="F6148" t="inlineStr">
        <is>
          <t>8</t>
        </is>
      </c>
      <c r="G6148" t="inlineStr">
        <is>
          <t>0</t>
        </is>
      </c>
      <c r="H6148" t="inlineStr">
        <is>
          <t>20¹⁸</t>
        </is>
      </c>
      <c r="I6148" t="n">
        <v>18</v>
      </c>
      <c r="J6148" t="inlineStr">
        <is>
          <t>2⁵, 4⁸, 8⁶</t>
        </is>
      </c>
      <c r="K6148">
        <f>HYPERLINK("CSG8.html#group20C8", "20C⁸"), =HYPERLINK("CSG10.html#group20F10", "20F¹⁰")</f>
        <v/>
      </c>
      <c r="L6148" t="inlineStr"/>
      <c r="M6148">
        <f>HYPERLINK("CSG10.html#group20F10", "20F¹⁰"), =HYPERLINK("CSG3.html#group10C3", "10C³"), =HYPERLINK("CSG0.html#group5A0", "5A⁰"), =HYPERLINK("CSG1.html#group10I1", "10I¹"), =HYPERLINK("CSG4.html#group20E4", "20E⁴"), =HYPERLINK("CSG1.html#group10B1", "10B¹"), =HYPERLINK("CSG2.html#group20B2", "20B²"), =HYPERLINK("CSG0.html#group4C0", "4C⁰"), =HYPERLINK("CSG0.html#group5E0", "5E⁰"), =HYPERLINK("CSG3.html#group20P3", "20P³"), =HYPERLINK("CSG0.html#group2B0", "2B⁰"), =HYPERLINK("CSG1.html#group10E1", "10E¹"), =HYPERLINK("CSG0.html#group1A0", "1A⁰"), =HYPERLINK("CSG8.html#group20C8", "20C⁸")</f>
        <v/>
      </c>
      <c r="N6148" t="inlineStr"/>
    </row>
    <row r="6149">
      <c r="A6149" t="inlineStr">
        <is>
          <t>20B²⁰</t>
        </is>
      </c>
      <c r="B6149" t="inlineStr"/>
      <c r="C6149" t="inlineStr">
        <is>
          <t>360</t>
        </is>
      </c>
      <c r="D6149" t="inlineStr">
        <is>
          <t>1</t>
        </is>
      </c>
      <c r="E6149" t="inlineStr">
        <is>
          <t>90</t>
        </is>
      </c>
      <c r="F6149" t="inlineStr">
        <is>
          <t>8</t>
        </is>
      </c>
      <c r="G6149" t="inlineStr">
        <is>
          <t>0</t>
        </is>
      </c>
      <c r="H6149" t="inlineStr">
        <is>
          <t>20¹⁸</t>
        </is>
      </c>
      <c r="I6149" t="n">
        <v>18</v>
      </c>
      <c r="J6149" t="inlineStr">
        <is>
          <t>1², 2⁴, 4⁸, 8⁶</t>
        </is>
      </c>
      <c r="K6149">
        <f>HYPERLINK("CSG6.html#group20B6", "20B⁶"), =HYPERLINK("CSG8.html#group20C8", "20C⁸"), =HYPERLINK("CSG10.html#group20B10", "20B¹⁰"), =HYPERLINK("CSG10.html#group20F10", "20F¹⁰")</f>
        <v/>
      </c>
      <c r="L6149" t="inlineStr"/>
      <c r="M6149">
        <f>HYPERLINK("CSG0.html#group5A0", "5A⁰"), =HYPERLINK("CSG4.html#group20E4", "20E⁴"), =HYPERLINK("CSG6.html#group20B6", "20B⁶"), =HYPERLINK("CSG1.html#group10B1", "10B¹"), =HYPERLINK("CSG2.html#group20B2", "20B²"), =HYPERLINK("CSG0.html#group4C0", "4C⁰"), =HYPERLINK("CSG1.html#group20A1", "20A¹"), =HYPERLINK("CSG4.html#group20C4", "20C⁴"), =HYPERLINK("CSG0.html#group2B0", "2B⁰"), =HYPERLINK("CSG1.html#group10E1", "10E¹"), =HYPERLINK("CSG0.html#group1A0", "1A⁰"), =HYPERLINK("CSG8.html#group20C8", "20C⁸"), =HYPERLINK("CSG10.html#group20F10", "20F¹⁰"), =HYPERLINK("CSG3.html#group10C3", "10C³"), =HYPERLINK("CSG1.html#group10I1", "10I¹"), =HYPERLINK("CSG0.html#group4A0", "4A⁰"), =HYPERLINK("CSG0.html#group5E0", "5E⁰"), =HYPERLINK("CSG3.html#group20P3", "20P³"), =HYPERLINK("CSG0.html#group4F0", "4F⁰"), =HYPERLINK("CSG10.html#group20B10", "20B¹⁰"), =HYPERLINK("CSG3.html#group20D3", "20D³")</f>
        <v/>
      </c>
      <c r="N6149" t="inlineStr"/>
    </row>
    <row r="6150">
      <c r="A6150" t="inlineStr">
        <is>
          <t>25A²⁰</t>
        </is>
      </c>
      <c r="B6150" t="inlineStr"/>
      <c r="C6150" t="inlineStr">
        <is>
          <t>300</t>
        </is>
      </c>
      <c r="D6150" t="inlineStr">
        <is>
          <t>1</t>
        </is>
      </c>
      <c r="E6150" t="inlineStr">
        <is>
          <t>10</t>
        </is>
      </c>
      <c r="F6150" t="inlineStr">
        <is>
          <t>0</t>
        </is>
      </c>
      <c r="G6150" t="inlineStr">
        <is>
          <t>0</t>
        </is>
      </c>
      <c r="H6150" t="inlineStr">
        <is>
          <t>25¹²</t>
        </is>
      </c>
      <c r="I6150" t="n">
        <v>12</v>
      </c>
      <c r="J6150" t="inlineStr">
        <is>
          <t>2¹, 4²</t>
        </is>
      </c>
      <c r="K6150">
        <f>HYPERLINK("CSG0.html#group5H0", "5H⁰"), =HYPERLINK("CSG4.html#group25E4", "25E⁴"), =HYPERLINK("CSG10.html#group25A10", "25A¹⁰")</f>
        <v/>
      </c>
      <c r="L6150" t="inlineStr"/>
      <c r="M6150">
        <f>HYPERLINK("CSG0.html#group5A0", "5A⁰"), =HYPERLINK("CSG4.html#group25E4", "25E⁴"), =HYPERLINK("CSG10.html#group25A10", "25A¹⁰"), =HYPERLINK("CSG0.html#group5C0", "5C⁰"), =HYPERLINK("CSG2.html#group25E2", "25E²"), =HYPERLINK("CSG0.html#group5B0", "5B⁰"), =HYPERLINK("CSG0.html#group5E0", "5E⁰"), =HYPERLINK("CSG0.html#group5F0", "5F⁰"), =HYPERLINK("CSG0.html#group5D0", "5D⁰"), =HYPERLINK("CSG0.html#group1A0", "1A⁰"), =HYPERLINK("CSG0.html#group5H0", "5H⁰"), =HYPERLINK("CSG0.html#group5G0", "5G⁰")</f>
        <v/>
      </c>
      <c r="N6150" t="inlineStr"/>
    </row>
    <row r="6151">
      <c r="A6151" t="inlineStr">
        <is>
          <t>26A²⁰</t>
        </is>
      </c>
      <c r="B6151" t="inlineStr"/>
      <c r="C6151" t="inlineStr">
        <is>
          <t>364</t>
        </is>
      </c>
      <c r="D6151" t="inlineStr">
        <is>
          <t>1</t>
        </is>
      </c>
      <c r="E6151" t="inlineStr">
        <is>
          <t>91</t>
        </is>
      </c>
      <c r="F6151" t="inlineStr">
        <is>
          <t>12</t>
        </is>
      </c>
      <c r="G6151" t="inlineStr">
        <is>
          <t>4</t>
        </is>
      </c>
      <c r="H6151" t="inlineStr">
        <is>
          <t>26¹⁴</t>
        </is>
      </c>
      <c r="I6151" t="n">
        <v>14</v>
      </c>
      <c r="J6151" t="inlineStr">
        <is>
          <t>2¹, 6², 12¹⁴</t>
        </is>
      </c>
      <c r="K6151">
        <f>HYPERLINK("CSG7.html#group13A7", "13A⁷"), =HYPERLINK("CSG9.html#group26C9", "26C⁹"), =HYPERLINK("CSG10.html#group26B10", "26B¹⁰")</f>
        <v/>
      </c>
      <c r="L6151" t="inlineStr"/>
      <c r="M6151">
        <f>HYPERLINK("CSG3.html#group13C3", "13C³"), =HYPERLINK("CSG0.html#group1A0", "1A⁰"), =HYPERLINK("CSG7.html#group13A7", "13A⁷"), =HYPERLINK("CSG9.html#group26C9", "26C⁹"), =HYPERLINK("CSG10.html#group26B10", "26B¹⁰")</f>
        <v/>
      </c>
      <c r="N6151" t="inlineStr"/>
    </row>
    <row r="6152">
      <c r="A6152" t="inlineStr">
        <is>
          <t>26B²⁰</t>
        </is>
      </c>
      <c r="B6152" t="inlineStr"/>
      <c r="C6152" t="inlineStr">
        <is>
          <t>364</t>
        </is>
      </c>
      <c r="D6152" t="inlineStr">
        <is>
          <t>1</t>
        </is>
      </c>
      <c r="E6152" t="inlineStr">
        <is>
          <t>91</t>
        </is>
      </c>
      <c r="F6152" t="inlineStr">
        <is>
          <t>12</t>
        </is>
      </c>
      <c r="G6152" t="inlineStr">
        <is>
          <t>4</t>
        </is>
      </c>
      <c r="H6152" t="inlineStr">
        <is>
          <t>26¹⁴</t>
        </is>
      </c>
      <c r="I6152" t="n">
        <v>14</v>
      </c>
      <c r="J6152" t="inlineStr">
        <is>
          <t>2¹, 6², 12¹⁴</t>
        </is>
      </c>
      <c r="K6152">
        <f>HYPERLINK("CSG7.html#group13B7", "13B⁷"), =HYPERLINK("CSG9.html#group26C9", "26C⁹"), =HYPERLINK("CSG10.html#group26C10", "26C¹⁰")</f>
        <v/>
      </c>
      <c r="L6152" t="inlineStr"/>
      <c r="M6152">
        <f>HYPERLINK("CSG3.html#group13C3", "13C³"), =HYPERLINK("CSG10.html#group26C10", "26C¹⁰"), =HYPERLINK("CSG7.html#group13B7", "13B⁷"), =HYPERLINK("CSG0.html#group1A0", "1A⁰"), =HYPERLINK("CSG9.html#group26C9", "26C⁹")</f>
        <v/>
      </c>
      <c r="N6152" t="inlineStr"/>
    </row>
    <row r="6153">
      <c r="A6153" t="inlineStr">
        <is>
          <t>33A²⁰</t>
        </is>
      </c>
      <c r="B6153" t="inlineStr"/>
      <c r="C6153" t="inlineStr">
        <is>
          <t>330</t>
        </is>
      </c>
      <c r="D6153" t="inlineStr">
        <is>
          <t>1</t>
        </is>
      </c>
      <c r="E6153" t="inlineStr">
        <is>
          <t>165</t>
        </is>
      </c>
      <c r="F6153" t="inlineStr">
        <is>
          <t>14</t>
        </is>
      </c>
      <c r="G6153" t="inlineStr">
        <is>
          <t>0</t>
        </is>
      </c>
      <c r="H6153" t="inlineStr">
        <is>
          <t>33¹⁰</t>
        </is>
      </c>
      <c r="I6153" t="n">
        <v>10</v>
      </c>
      <c r="J6153" t="inlineStr">
        <is>
          <t>5¹, 10⁶, 20⁵</t>
        </is>
      </c>
      <c r="K6153">
        <f>HYPERLINK("CSG0.html#group3C0", "3C⁰"), =HYPERLINK("CSG7.html#group33A7", "33A⁷")</f>
        <v/>
      </c>
      <c r="L6153" t="inlineStr"/>
      <c r="M6153">
        <f>HYPERLINK("CSG0.html#group3C0", "3C⁰"), =HYPERLINK("CSG1.html#group11C1", "11C¹"), =HYPERLINK("CSG0.html#group3A0", "3A⁰"), =HYPERLINK("CSG0.html#group1A0", "1A⁰"), =HYPERLINK("CSG7.html#group33A7", "33A⁷")</f>
        <v/>
      </c>
      <c r="N6153" t="inlineStr"/>
    </row>
    <row r="6154">
      <c r="A6154" t="inlineStr">
        <is>
          <t>34A²⁰</t>
        </is>
      </c>
      <c r="B6154" t="inlineStr"/>
      <c r="C6154" t="inlineStr">
        <is>
          <t>306</t>
        </is>
      </c>
      <c r="D6154" t="inlineStr">
        <is>
          <t>1</t>
        </is>
      </c>
      <c r="E6154" t="inlineStr">
        <is>
          <t>153</t>
        </is>
      </c>
      <c r="F6154" t="inlineStr">
        <is>
          <t>8</t>
        </is>
      </c>
      <c r="G6154" t="inlineStr">
        <is>
          <t>0</t>
        </is>
      </c>
      <c r="H6154" t="inlineStr">
        <is>
          <t>34⁹</t>
        </is>
      </c>
      <c r="I6154" t="n">
        <v>9</v>
      </c>
      <c r="J6154" t="inlineStr">
        <is>
          <t>2¹, 8², 16¹⁸</t>
        </is>
      </c>
      <c r="K6154">
        <f>HYPERLINK("CSG7.html#group17A7", "17A⁷")</f>
        <v/>
      </c>
      <c r="L6154" t="inlineStr"/>
      <c r="M6154">
        <f>HYPERLINK("CSG0.html#group1A0", "1A⁰"), =HYPERLINK("CSG7.html#group17A7", "17A⁷")</f>
        <v/>
      </c>
      <c r="N6154" t="inlineStr"/>
    </row>
    <row r="6155">
      <c r="A6155" t="inlineStr">
        <is>
          <t>34B²⁰</t>
        </is>
      </c>
      <c r="B6155" t="inlineStr"/>
      <c r="C6155" t="inlineStr">
        <is>
          <t>306</t>
        </is>
      </c>
      <c r="D6155" t="inlineStr">
        <is>
          <t>1</t>
        </is>
      </c>
      <c r="E6155" t="inlineStr">
        <is>
          <t>153</t>
        </is>
      </c>
      <c r="F6155" t="inlineStr">
        <is>
          <t>8</t>
        </is>
      </c>
      <c r="G6155" t="inlineStr">
        <is>
          <t>0</t>
        </is>
      </c>
      <c r="H6155" t="inlineStr">
        <is>
          <t>34⁹</t>
        </is>
      </c>
      <c r="I6155" t="n">
        <v>9</v>
      </c>
      <c r="J6155" t="inlineStr">
        <is>
          <t>2¹, 8², 16¹⁸</t>
        </is>
      </c>
      <c r="K6155">
        <f>HYPERLINK("CSG7.html#group17A7", "17A⁷")</f>
        <v/>
      </c>
      <c r="L6155" t="inlineStr"/>
      <c r="M6155">
        <f>HYPERLINK("CSG0.html#group1A0", "1A⁰"), =HYPERLINK("CSG7.html#group17A7", "17A⁷")</f>
        <v/>
      </c>
      <c r="N6155" t="inlineStr"/>
    </row>
    <row r="6156">
      <c r="A6156" t="inlineStr">
        <is>
          <t>36A²⁰</t>
        </is>
      </c>
      <c r="B6156" t="inlineStr"/>
      <c r="C6156" t="inlineStr">
        <is>
          <t>324</t>
        </is>
      </c>
      <c r="D6156" t="inlineStr">
        <is>
          <t>1</t>
        </is>
      </c>
      <c r="E6156" t="inlineStr">
        <is>
          <t>162</t>
        </is>
      </c>
      <c r="F6156" t="inlineStr">
        <is>
          <t>14</t>
        </is>
      </c>
      <c r="G6156" t="inlineStr">
        <is>
          <t>0</t>
        </is>
      </c>
      <c r="H6156" t="inlineStr">
        <is>
          <t>36⁹</t>
        </is>
      </c>
      <c r="I6156" t="n">
        <v>9</v>
      </c>
      <c r="J6156" t="inlineStr">
        <is>
          <t>3², 6¹⁰, 12⁸</t>
        </is>
      </c>
      <c r="K6156">
        <f>HYPERLINK("CSG6.html#group36I6", "36I⁶"), =HYPERLINK("CSG8.html#group36L8", "36L⁸")</f>
        <v/>
      </c>
      <c r="L6156" t="inlineStr"/>
      <c r="M6156">
        <f>HYPERLINK("CSG0.html#group12C0", "12C⁰"), =HYPERLINK("CSG6.html#group36I6", "36I⁶"), =HYPERLINK("CSG8.html#group36L8", "36L⁸"), =HYPERLINK("CSG3.html#group18J3", "18J³"), =HYPERLINK("CSG0.html#group9A0", "9A⁰"), =HYPERLINK("CSG2.html#group36B2", "36B²"), =HYPERLINK("CSG0.html#group9G0", "9G⁰"), =HYPERLINK("CSG0.html#group4C0", "4C⁰"), =HYPERLINK("CSG0.html#group2B0", "2B⁰"), =HYPERLINK("CSG1.html#group12M1", "12M¹"), =HYPERLINK("CSG1.html#group18E1", "18E¹"), =HYPERLINK("CSG0.html#group3A0", "3A⁰"), =HYPERLINK("CSG0.html#group1A0", "1A⁰"), =HYPERLINK("CSG0.html#group6D0", "6D⁰")</f>
        <v/>
      </c>
      <c r="N6156" t="inlineStr"/>
    </row>
    <row r="6157">
      <c r="A6157" t="inlineStr">
        <is>
          <t>36B²⁰</t>
        </is>
      </c>
      <c r="B6157" t="inlineStr"/>
      <c r="C6157" t="inlineStr">
        <is>
          <t>324</t>
        </is>
      </c>
      <c r="D6157" t="inlineStr">
        <is>
          <t>1</t>
        </is>
      </c>
      <c r="E6157" t="inlineStr">
        <is>
          <t>162</t>
        </is>
      </c>
      <c r="F6157" t="inlineStr">
        <is>
          <t>14</t>
        </is>
      </c>
      <c r="G6157" t="inlineStr">
        <is>
          <t>0</t>
        </is>
      </c>
      <c r="H6157" t="inlineStr">
        <is>
          <t>36⁹</t>
        </is>
      </c>
      <c r="I6157" t="n">
        <v>9</v>
      </c>
      <c r="J6157" t="inlineStr">
        <is>
          <t>3², 6¹⁰, 12⁸</t>
        </is>
      </c>
      <c r="K6157">
        <f>HYPERLINK("CSG5.html#group36J5", "36J⁵"), =HYPERLINK("CSG6.html#group36F6", "36F⁶"), =HYPERLINK("CSG8.html#group36L8", "36L⁸")</f>
        <v/>
      </c>
      <c r="L6157" t="inlineStr"/>
      <c r="M6157">
        <f>HYPERLINK("CSG5.html#group36J5", "36J⁵"), =HYPERLINK("CSG0.html#group12C0", "12C⁰"), =HYPERLINK("CSG8.html#group36L8", "36L⁸"), =HYPERLINK("CSG0.html#group9G0", "9G⁰"), =HYPERLINK("CSG2.html#group36B2", "36B²"), =HYPERLINK("CSG0.html#group4C0", "4C⁰"), =HYPERLINK("CSG0.html#group2B0", "2B⁰"), =HYPERLINK("CSG0.html#group1A0", "1A⁰"), =HYPERLINK("CSG1.html#group36A1", "36A¹"), =HYPERLINK("CSG6.html#group36F6", "36F⁶"), =HYPERLINK("CSG0.html#group12A0", "12A⁰"), =HYPERLINK("CSG0.html#group4A0", "4A⁰"), =HYPERLINK("CSG3.html#group18J3", "18J³"), =HYPERLINK("CSG0.html#group9A0", "9A⁰"), =HYPERLINK("CSG1.html#group12J1", "12J¹"), =HYPERLINK("CSG0.html#group4F0", "4F⁰"), =HYPERLINK("CSG1.html#group18E1", "18E¹"), =HYPERLINK("CSG0.html#group3A0", "3A⁰"), =HYPERLINK("CSG0.html#group6D0", "6D⁰")</f>
        <v/>
      </c>
      <c r="N6157" t="inlineStr"/>
    </row>
    <row r="6158">
      <c r="A6158" t="inlineStr">
        <is>
          <t>36C²⁰</t>
        </is>
      </c>
      <c r="B6158" t="inlineStr"/>
      <c r="C6158" t="inlineStr">
        <is>
          <t>324</t>
        </is>
      </c>
      <c r="D6158" t="inlineStr">
        <is>
          <t>2</t>
        </is>
      </c>
      <c r="E6158" t="inlineStr">
        <is>
          <t>162</t>
        </is>
      </c>
      <c r="F6158" t="inlineStr">
        <is>
          <t>14</t>
        </is>
      </c>
      <c r="G6158" t="inlineStr">
        <is>
          <t>0</t>
        </is>
      </c>
      <c r="H6158" t="inlineStr">
        <is>
          <t>36⁹</t>
        </is>
      </c>
      <c r="I6158" t="n">
        <v>9</v>
      </c>
      <c r="J6158" t="inlineStr">
        <is>
          <t>6¹⁸, 12¹⁸</t>
        </is>
      </c>
      <c r="K6158">
        <f>HYPERLINK("CSG6.html#group36E6", "36E⁶"), =HYPERLINK("CSG6.html#group36I6", "36I⁶"), =HYPERLINK("CSG8.html#group36L8", "36L⁸")</f>
        <v/>
      </c>
      <c r="L6158" t="inlineStr"/>
      <c r="M6158">
        <f>HYPERLINK("CSG0.html#group12C0", "12C⁰"), =HYPERLINK("CSG6.html#group36I6", "36I⁶"), =HYPERLINK("CSG6.html#group36E6", "36E⁶"), =HYPERLINK("CSG8.html#group36L8", "36L⁸"), =HYPERLINK("CSG3.html#group18J3", "18J³"), =HYPERLINK("CSG0.html#group9A0", "9A⁰"), =HYPERLINK("CSG2.html#group36B2", "36B²"), =HYPERLINK("CSG0.html#group9G0", "9G⁰"), =HYPERLINK("CSG0.html#group4C0", "4C⁰"), =HYPERLINK("CSG0.html#group2B0", "2B⁰"), =HYPERLINK("CSG1.html#group12M1", "12M¹"), =HYPERLINK("CSG1.html#group18E1", "18E¹"), =HYPERLINK("CSG0.html#group3A0", "3A⁰"), =HYPERLINK("CSG0.html#group1A0", "1A⁰"), =HYPERLINK("CSG0.html#group6D0", "6D⁰")</f>
        <v/>
      </c>
      <c r="N6158" t="inlineStr"/>
    </row>
    <row r="6159">
      <c r="A6159" t="inlineStr">
        <is>
          <t>38A²⁰</t>
        </is>
      </c>
      <c r="B6159" t="inlineStr"/>
      <c r="C6159" t="inlineStr">
        <is>
          <t>342</t>
        </is>
      </c>
      <c r="D6159" t="inlineStr">
        <is>
          <t>1</t>
        </is>
      </c>
      <c r="E6159" t="inlineStr">
        <is>
          <t>171</t>
        </is>
      </c>
      <c r="F6159" t="inlineStr">
        <is>
          <t>20</t>
        </is>
      </c>
      <c r="G6159" t="inlineStr">
        <is>
          <t>0</t>
        </is>
      </c>
      <c r="H6159" t="inlineStr">
        <is>
          <t>38⁹</t>
        </is>
      </c>
      <c r="I6159" t="n">
        <v>9</v>
      </c>
      <c r="J6159" t="inlineStr">
        <is>
          <t>9¹, 18⁹</t>
        </is>
      </c>
      <c r="K6159">
        <f>HYPERLINK("CSG8.html#group19A8", "19A⁸")</f>
        <v/>
      </c>
      <c r="L6159" t="inlineStr"/>
      <c r="M6159">
        <f>HYPERLINK("CSG0.html#group1A0", "1A⁰"), =HYPERLINK("CSG8.html#group19A8", "19A⁸")</f>
        <v/>
      </c>
      <c r="N6159" t="inlineStr"/>
    </row>
    <row r="6160">
      <c r="A6160" t="inlineStr">
        <is>
          <t>40A²⁰</t>
        </is>
      </c>
      <c r="B6160" t="inlineStr"/>
      <c r="C6160" t="inlineStr">
        <is>
          <t>360</t>
        </is>
      </c>
      <c r="D6160" t="inlineStr">
        <is>
          <t>1</t>
        </is>
      </c>
      <c r="E6160" t="inlineStr">
        <is>
          <t>90</t>
        </is>
      </c>
      <c r="F6160" t="inlineStr">
        <is>
          <t>8</t>
        </is>
      </c>
      <c r="G6160" t="inlineStr">
        <is>
          <t>0</t>
        </is>
      </c>
      <c r="H6160" t="inlineStr">
        <is>
          <t>10¹², 40⁶</t>
        </is>
      </c>
      <c r="I6160" t="n">
        <v>18</v>
      </c>
      <c r="J6160" t="inlineStr">
        <is>
          <t>2⁵, 4⁸, 8⁶</t>
        </is>
      </c>
      <c r="K6160">
        <f>HYPERLINK("CSG8.html#group20C8", "20C⁸"), =HYPERLINK("CSG10.html#group40G10", "40G¹⁰")</f>
        <v/>
      </c>
      <c r="L6160" t="inlineStr"/>
      <c r="M6160">
        <f>HYPERLINK("CSG3.html#group10C3", "10C³"), =HYPERLINK("CSG0.html#group5A0", "5A⁰"), =HYPERLINK("CSG1.html#group10I1", "10I¹"), =HYPERLINK("CSG4.html#group20E4", "20E⁴"), =HYPERLINK("CSG1.html#group10B1", "10B¹"), =HYPERLINK("CSG2.html#group20B2", "20B²"), =HYPERLINK("CSG0.html#group4C0", "4C⁰"), =HYPERLINK("CSG0.html#group5E0", "5E⁰"), =HYPERLINK("CSG3.html#group20P3", "20P³"), =HYPERLINK("CSG0.html#group1A0", "1A⁰"), =HYPERLINK("CSG0.html#group2B0", "2B⁰"), =HYPERLINK("CSG1.html#group10E1", "10E¹"), =HYPERLINK("CSG10.html#group40G10", "40G¹⁰"), =HYPERLINK("CSG8.html#group20C8", "20C⁸")</f>
        <v/>
      </c>
      <c r="N6160" t="inlineStr"/>
    </row>
    <row r="6161">
      <c r="A6161" t="inlineStr">
        <is>
          <t>40B²⁰</t>
        </is>
      </c>
      <c r="B6161" t="inlineStr"/>
      <c r="C6161" t="inlineStr">
        <is>
          <t>360</t>
        </is>
      </c>
      <c r="D6161" t="inlineStr">
        <is>
          <t>1</t>
        </is>
      </c>
      <c r="E6161" t="inlineStr">
        <is>
          <t>90</t>
        </is>
      </c>
      <c r="F6161" t="inlineStr">
        <is>
          <t>8</t>
        </is>
      </c>
      <c r="G6161" t="inlineStr">
        <is>
          <t>0</t>
        </is>
      </c>
      <c r="H6161" t="inlineStr">
        <is>
          <t>10¹², 40⁶</t>
        </is>
      </c>
      <c r="I6161" t="n">
        <v>18</v>
      </c>
      <c r="J6161" t="inlineStr">
        <is>
          <t>1², 2⁴, 4⁸, 8⁶</t>
        </is>
      </c>
      <c r="K6161">
        <f>HYPERLINK("CSG8.html#group20C8", "20C⁸"), =HYPERLINK("CSG10.html#group40E10", "40E¹⁰"), =HYPERLINK("CSG10.html#group40G10", "40G¹⁰")</f>
        <v/>
      </c>
      <c r="L6161" t="inlineStr"/>
      <c r="M6161">
        <f>HYPERLINK("CSG0.html#group5A0", "5A⁰"), =HYPERLINK("CSG4.html#group20E4", "20E⁴"), =HYPERLINK("CSG0.html#group8D0", "8D⁰"), =HYPERLINK("CSG1.html#group10B1", "10B¹"), =HYPERLINK("CSG2.html#group20B2", "20B²"), =HYPERLINK("CSG0.html#group4C0", "4C⁰"), =HYPERLINK("CSG0.html#group2B0", "2B⁰"), =HYPERLINK("CSG1.html#group10E1", "10E¹"), =HYPERLINK("CSG0.html#group1A0", "1A⁰"), =HYPERLINK("CSG8.html#group20C8", "20C⁸"), =HYPERLINK("CSG3.html#group10C3", "10C³"), =HYPERLINK("CSG4.html#group40C4", "40C⁴"), =HYPERLINK("CSG10.html#group40E10", "40E¹⁰"), =HYPERLINK("CSG1.html#group10I1", "10I¹"), =HYPERLINK("CSG0.html#group5E0", "5E⁰"), =HYPERLINK("CSG3.html#group20P3", "20P³"), =HYPERLINK("CSG10.html#group40G10", "40G¹⁰")</f>
        <v/>
      </c>
      <c r="N6161" t="inlineStr"/>
    </row>
    <row r="6162">
      <c r="A6162" t="inlineStr">
        <is>
          <t>44A²⁰</t>
        </is>
      </c>
      <c r="B6162" t="inlineStr"/>
      <c r="C6162" t="inlineStr">
        <is>
          <t>264</t>
        </is>
      </c>
      <c r="D6162" t="inlineStr">
        <is>
          <t>2</t>
        </is>
      </c>
      <c r="E6162" t="inlineStr">
        <is>
          <t>11</t>
        </is>
      </c>
      <c r="F6162" t="inlineStr">
        <is>
          <t>0</t>
        </is>
      </c>
      <c r="G6162" t="inlineStr">
        <is>
          <t>0</t>
        </is>
      </c>
      <c r="H6162" t="inlineStr">
        <is>
          <t>44⁶</t>
        </is>
      </c>
      <c r="I6162" t="n">
        <v>6</v>
      </c>
      <c r="J6162" t="inlineStr">
        <is>
          <t>2¹, 10²</t>
        </is>
      </c>
      <c r="K6162">
        <f>HYPERLINK("CSG0.html#group4G0", "4G⁰"), =HYPERLINK("CSG6.html#group44A6", "44A⁶"), =HYPERLINK("CSG9.html#group44A9", "44A⁹"), =HYPERLINK("CSG10.html#group44A10", "44A¹⁰")</f>
        <v/>
      </c>
      <c r="L6162" t="inlineStr"/>
      <c r="M6162">
        <f>HYPERLINK("CSG0.html#group2A0", "2A⁰"), =HYPERLINK("CSG10.html#group44A10", "44A¹⁰"), =HYPERLINK("CSG1.html#group22A1", "22A¹"), =HYPERLINK("CSG2.html#group44A2", "44A²"), =HYPERLINK("CSG4.html#group44C4", "44C⁴"), =HYPERLINK("CSG0.html#group4C0", "4C⁰"), =HYPERLINK("CSG0.html#group4G0", "4G⁰"), =HYPERLINK("CSG0.html#group2B0", "2B⁰"), =HYPERLINK("CSG0.html#group4E0", "4E⁰"), =HYPERLINK("CSG2.html#group22B2", "22B²"), =HYPERLINK("CSG0.html#group4B0", "4B⁰"), =HYPERLINK("CSG5.html#group44A5", "44A⁵"), =HYPERLINK("CSG0.html#group1A0", "1A⁰"), =HYPERLINK("CSG6.html#group44A6", "44A⁶"), =HYPERLINK("CSG0.html#group11A0", "11A⁰"), =HYPERLINK("CSG0.html#group4A0", "4A⁰"), =HYPERLINK("CSG0.html#group4D0", "4D⁰"), =HYPERLINK("CSG5.html#group22A5", "22A⁵"), =HYPERLINK("CSG0.html#group4F0", "4F⁰"), =HYPERLINK("CSG9.html#group44A9", "44A⁹"), =HYPERLINK("CSG0.html#group2C0", "2C⁰")</f>
        <v/>
      </c>
      <c r="N6162" t="inlineStr"/>
    </row>
    <row r="6163">
      <c r="A6163" t="inlineStr">
        <is>
          <t>44B²⁰</t>
        </is>
      </c>
      <c r="B6163" t="inlineStr"/>
      <c r="C6163" t="inlineStr">
        <is>
          <t>330</t>
        </is>
      </c>
      <c r="D6163" t="inlineStr">
        <is>
          <t>1</t>
        </is>
      </c>
      <c r="E6163" t="inlineStr">
        <is>
          <t>165</t>
        </is>
      </c>
      <c r="F6163" t="inlineStr">
        <is>
          <t>14</t>
        </is>
      </c>
      <c r="G6163" t="inlineStr">
        <is>
          <t>0</t>
        </is>
      </c>
      <c r="H6163" t="inlineStr">
        <is>
          <t>22⁵, 44⁵</t>
        </is>
      </c>
      <c r="I6163" t="n">
        <v>10</v>
      </c>
      <c r="J6163" t="inlineStr">
        <is>
          <t>5³, 10¹⁵</t>
        </is>
      </c>
      <c r="K6163">
        <f>HYPERLINK("CSG0.html#group4C0", "4C⁰"), =HYPERLINK("CSG8.html#group22A8", "22A⁸")</f>
        <v/>
      </c>
      <c r="L6163" t="inlineStr"/>
      <c r="M6163">
        <f>HYPERLINK("CSG1.html#group11C1", "11C¹"), =HYPERLINK("CSG0.html#group2B0", "2B⁰"), =HYPERLINK("CSG0.html#group1A0", "1A⁰"), =HYPERLINK("CSG8.html#group22A8", "22A⁸"), =HYPERLINK("CSG0.html#group4C0", "4C⁰")</f>
        <v/>
      </c>
      <c r="N6163" t="inlineStr"/>
    </row>
    <row r="6164">
      <c r="A6164" t="inlineStr">
        <is>
          <t>45A²⁰</t>
        </is>
      </c>
      <c r="B6164" t="inlineStr"/>
      <c r="C6164" t="inlineStr">
        <is>
          <t>270</t>
        </is>
      </c>
      <c r="D6164" t="inlineStr">
        <is>
          <t>1</t>
        </is>
      </c>
      <c r="E6164" t="inlineStr">
        <is>
          <t>135</t>
        </is>
      </c>
      <c r="F6164" t="inlineStr">
        <is>
          <t>2</t>
        </is>
      </c>
      <c r="G6164" t="inlineStr">
        <is>
          <t>0</t>
        </is>
      </c>
      <c r="H6164" t="inlineStr">
        <is>
          <t>45⁶</t>
        </is>
      </c>
      <c r="I6164" t="n">
        <v>6</v>
      </c>
      <c r="J6164" t="inlineStr">
        <is>
          <t>3¹, 6⁴, 12¹, 24⁴</t>
        </is>
      </c>
      <c r="K6164">
        <f>HYPERLINK("CSG2.html#group9B2", "9B²"), =HYPERLINK("CSG6.html#group45C6", "45C⁶"), =HYPERLINK("CSG7.html#group45A7", "45A⁷"), =HYPERLINK("CSG9.html#group45B9", "45B⁹")</f>
        <v/>
      </c>
      <c r="L6164" t="inlineStr"/>
      <c r="M6164">
        <f>HYPERLINK("CSG6.html#group45C6", "45C⁶"), =HYPERLINK("CSG0.html#group5A0", "5A⁰"), =HYPERLINK("CSG7.html#group45A7", "45A⁷"), =HYPERLINK("CSG0.html#group9G0", "9G⁰"), =HYPERLINK("CSG2.html#group9B2", "9B²"), =HYPERLINK("CSG0.html#group9E0", "9E⁰"), =HYPERLINK("CSG0.html#group1A0", "1A⁰"), =HYPERLINK("CSG1.html#group9B1", "9B¹"), =HYPERLINK("CSG9.html#group45B9", "45B⁹"), =HYPERLINK("CSG2.html#group15A2", "15A²"), =HYPERLINK("CSG0.html#group9A0", "9A⁰"), =HYPERLINK("CSG0.html#group3C0", "3C⁰"), =HYPERLINK("CSG0.html#group3A0", "3A⁰"), =HYPERLINK("CSG1.html#group15A1", "15A¹"), =HYPERLINK("CSG3.html#group45A3", "45A³")</f>
        <v/>
      </c>
      <c r="N6164" t="inlineStr"/>
    </row>
    <row r="6165">
      <c r="A6165" t="inlineStr">
        <is>
          <t>48A²⁰</t>
        </is>
      </c>
      <c r="B6165" t="inlineStr"/>
      <c r="C6165" t="inlineStr">
        <is>
          <t>288</t>
        </is>
      </c>
      <c r="D6165" t="inlineStr">
        <is>
          <t>1</t>
        </is>
      </c>
      <c r="E6165" t="inlineStr">
        <is>
          <t>24</t>
        </is>
      </c>
      <c r="F6165" t="inlineStr">
        <is>
          <t>0</t>
        </is>
      </c>
      <c r="G6165" t="inlineStr">
        <is>
          <t>0</t>
        </is>
      </c>
      <c r="H6165" t="inlineStr">
        <is>
          <t>24⁸, 48²</t>
        </is>
      </c>
      <c r="I6165" t="n">
        <v>10</v>
      </c>
      <c r="J6165" t="inlineStr">
        <is>
          <t>4², 8²</t>
        </is>
      </c>
      <c r="K6165">
        <f>HYPERLINK("CSG4.html#group16A4", "16A⁴"), =HYPERLINK("CSG8.html#group48G8", "48G⁸"), =HYPERLINK("CSG8.html#group48H8", "48H⁸"), =HYPERLINK("CSG10.html#group24C10", "24C¹⁰")</f>
        <v/>
      </c>
      <c r="L6165" t="inlineStr"/>
      <c r="M6165">
        <f>HYPERLINK("CSG10.html#group24C10", "24C¹⁰"), =HYPERLINK("CSG3.html#group24A3", "24A³"), =HYPERLINK("CSG4.html#group16A4", "16A⁴"), =HYPERLINK("CSG0.html#group12C0", "12C⁰"), =HYPERLINK("CSG1.html#group8A1", "8A¹"), =HYPERLINK("CSG0.html#group8D0", "8D⁰"), =HYPERLINK("CSG0.html#group4C0", "4C⁰"), =HYPERLINK("CSG2.html#group8B2", "8B²"), =HYPERLINK("CSG0.html#group8A0", "8A⁰"), =HYPERLINK("CSG0.html#group2B0", "2B⁰"), =HYPERLINK("CSG8.html#group48H8", "48H⁸"), =HYPERLINK("CSG0.html#group1A0", "1A⁰"), =HYPERLINK("CSG1.html#group8D1", "8D¹"), =HYPERLINK("CSG0.html#group8K0", "8K⁰"), =HYPERLINK("CSG3.html#group24J3", "24J³"), =HYPERLINK("CSG1.html#group16L1", "16L¹"), =HYPERLINK("CSG4.html#group24H4", "24H⁴"), =HYPERLINK("CSG0.html#group12A0", "12A⁰"), =HYPERLINK("CSG1.html#group8C1", "8C¹"), =HYPERLINK("CSG1.html#group24A1", "24A¹"), =HYPERLINK("CSG0.html#group4A0", "4A⁰"), =HYPERLINK("CSG1.html#group24C1", "24C¹"), =HYPERLINK("CSG8.html#group48G8", "48G⁸"), =HYPERLINK("CSG1.html#group12J1", "12J¹"), =HYPERLINK("CSG0.html#group4F0", "4F⁰"), =HYPERLINK("CSG0.html#group3A0", "3A⁰"), =HYPERLINK("CSG1.html#group16K1", "16K¹"), =HYPERLINK("CSG0.html#group6D0", "6D⁰"), =HYPERLINK("CSG5.html#group24B5", "24B⁵")</f>
        <v/>
      </c>
      <c r="N6165" t="inlineStr"/>
    </row>
    <row r="6166">
      <c r="A6166" t="inlineStr">
        <is>
          <t>48B²⁰</t>
        </is>
      </c>
      <c r="B6166" t="inlineStr"/>
      <c r="C6166" t="inlineStr">
        <is>
          <t>288</t>
        </is>
      </c>
      <c r="D6166" t="inlineStr">
        <is>
          <t>1</t>
        </is>
      </c>
      <c r="E6166" t="inlineStr">
        <is>
          <t>72</t>
        </is>
      </c>
      <c r="F6166" t="inlineStr">
        <is>
          <t>0</t>
        </is>
      </c>
      <c r="G6166" t="inlineStr">
        <is>
          <t>0</t>
        </is>
      </c>
      <c r="H6166" t="inlineStr">
        <is>
          <t>24⁸, 48²</t>
        </is>
      </c>
      <c r="I6166" t="n">
        <v>10</v>
      </c>
      <c r="J6166" t="inlineStr">
        <is>
          <t>4², 8⁴, 16²</t>
        </is>
      </c>
      <c r="K6166">
        <f>HYPERLINK("CSG8.html#group48U8", "48U⁸"), =HYPERLINK("CSG8.html#group48V8", "48V⁸"), =HYPERLINK("CSG10.html#group24C10", "24C¹⁰")</f>
        <v/>
      </c>
      <c r="L6166" t="inlineStr"/>
      <c r="M6166">
        <f>HYPERLINK("CSG10.html#group24C10", "24C¹⁰"), =HYPERLINK("CSG3.html#group24A3", "24A³"), =HYPERLINK("CSG0.html#group12C0", "12C⁰"), =HYPERLINK("CSG1.html#group8A1", "8A¹"), =HYPERLINK("CSG0.html#group8D0", "8D⁰"), =HYPERLINK("CSG0.html#group4C0", "4C⁰"), =HYPERLINK("CSG2.html#group8B2", "8B²"), =HYPERLINK("CSG0.html#group8A0", "8A⁰"), =HYPERLINK("CSG8.html#group48U8", "48U⁸"), =HYPERLINK("CSG0.html#group2B0", "2B⁰"), =HYPERLINK("CSG8.html#group48V8", "48V⁸"), =HYPERLINK("CSG0.html#group1A0", "1A⁰"), =HYPERLINK("CSG1.html#group8D1", "8D¹"), =HYPERLINK("CSG0.html#group8K0", "8K⁰"), =HYPERLINK("CSG3.html#group24J3", "24J³"), =HYPERLINK("CSG4.html#group24H4", "24H⁴"), =HYPERLINK("CSG0.html#group12A0", "12A⁰"), =HYPERLINK("CSG1.html#group8C1", "8C¹"), =HYPERLINK("CSG1.html#group24A1", "24A¹"), =HYPERLINK("CSG0.html#group4A0", "4A⁰"), =HYPERLINK("CSG1.html#group24C1", "24C¹"), =HYPERLINK("CSG1.html#group12J1", "12J¹"), =HYPERLINK("CSG0.html#group4F0", "4F⁰"), =HYPERLINK("CSG0.html#group3A0", "3A⁰"), =HYPERLINK("CSG0.html#group6D0", "6D⁰"), =HYPERLINK("CSG5.html#group24B5", "24B⁵")</f>
        <v/>
      </c>
      <c r="N6166" t="inlineStr"/>
    </row>
    <row r="6167">
      <c r="A6167" t="inlineStr">
        <is>
          <t>48C²⁰</t>
        </is>
      </c>
      <c r="B6167" t="inlineStr"/>
      <c r="C6167" t="inlineStr">
        <is>
          <t>288</t>
        </is>
      </c>
      <c r="D6167" t="inlineStr">
        <is>
          <t>1</t>
        </is>
      </c>
      <c r="E6167" t="inlineStr">
        <is>
          <t>72</t>
        </is>
      </c>
      <c r="F6167" t="inlineStr">
        <is>
          <t>8</t>
        </is>
      </c>
      <c r="G6167" t="inlineStr">
        <is>
          <t>0</t>
        </is>
      </c>
      <c r="H6167" t="inlineStr">
        <is>
          <t>48⁶</t>
        </is>
      </c>
      <c r="I6167" t="n">
        <v>6</v>
      </c>
      <c r="J6167" t="inlineStr">
        <is>
          <t>8², 16⁸</t>
        </is>
      </c>
      <c r="K6167">
        <f>HYPERLINK("CSG8.html#group24L8", "24L⁸"), =HYPERLINK("CSG10.html#group48G10", "48G¹⁰")</f>
        <v/>
      </c>
      <c r="L6167" t="inlineStr"/>
      <c r="M6167">
        <f>HYPERLINK("CSG1.html#group24E1", "24E¹"), =HYPERLINK("CSG0.html#group12C0", "12C⁰"), =HYPERLINK("CSG0.html#group4C0", "4C⁰"), =HYPERLINK("CSG1.html#group24D1", "24D¹"), =HYPERLINK("CSG0.html#group8A0", "8A⁰"), =HYPERLINK("CSG0.html#group2B0", "2B⁰"), =HYPERLINK("CSG3.html#group24P3", "24P³"), =HYPERLINK("CSG0.html#group1A0", "1A⁰"), =HYPERLINK("CSG1.html#group8D1", "8D¹"), =HYPERLINK("CSG10.html#group48G10", "48G¹⁰"), =HYPERLINK("CSG4.html#group24H4", "24H⁴"), =HYPERLINK("CSG0.html#group12A0", "12A⁰"), =HYPERLINK("CSG1.html#group24A1", "24A¹"), =HYPERLINK("CSG0.html#group4A0", "4A⁰"), =HYPERLINK("CSG8.html#group24L8", "24L⁸"), =HYPERLINK("CSG1.html#group12J1", "12J¹"), =HYPERLINK("CSG3.html#group24R3", "24R³"), =HYPERLINK("CSG0.html#group4F0", "4F⁰"), =HYPERLINK("CSG0.html#group3A0", "3A⁰"), =HYPERLINK("CSG0.html#group6D0", "6D⁰"), =HYPERLINK("CSG3.html#group48B3", "48B³")</f>
        <v/>
      </c>
      <c r="N6167" t="inlineStr"/>
    </row>
    <row r="6168">
      <c r="A6168" t="inlineStr">
        <is>
          <t>48D²⁰</t>
        </is>
      </c>
      <c r="B6168" t="inlineStr"/>
      <c r="C6168" t="inlineStr">
        <is>
          <t>288</t>
        </is>
      </c>
      <c r="D6168" t="inlineStr">
        <is>
          <t>1</t>
        </is>
      </c>
      <c r="E6168" t="inlineStr">
        <is>
          <t>72</t>
        </is>
      </c>
      <c r="F6168" t="inlineStr">
        <is>
          <t>8</t>
        </is>
      </c>
      <c r="G6168" t="inlineStr">
        <is>
          <t>0</t>
        </is>
      </c>
      <c r="H6168" t="inlineStr">
        <is>
          <t>48⁶</t>
        </is>
      </c>
      <c r="I6168" t="n">
        <v>6</v>
      </c>
      <c r="J6168" t="inlineStr">
        <is>
          <t>8², 16⁸</t>
        </is>
      </c>
      <c r="K6168">
        <f>HYPERLINK("CSG8.html#group24L8", "24L⁸"), =HYPERLINK("CSG10.html#group48G10", "48G¹⁰")</f>
        <v/>
      </c>
      <c r="L6168" t="inlineStr"/>
      <c r="M6168">
        <f>HYPERLINK("CSG1.html#group24E1", "24E¹"), =HYPERLINK("CSG0.html#group12C0", "12C⁰"), =HYPERLINK("CSG0.html#group4C0", "4C⁰"), =HYPERLINK("CSG1.html#group24D1", "24D¹"), =HYPERLINK("CSG0.html#group8A0", "8A⁰"), =HYPERLINK("CSG0.html#group2B0", "2B⁰"), =HYPERLINK("CSG3.html#group24P3", "24P³"), =HYPERLINK("CSG0.html#group1A0", "1A⁰"), =HYPERLINK("CSG1.html#group8D1", "8D¹"), =HYPERLINK("CSG10.html#group48G10", "48G¹⁰"), =HYPERLINK("CSG4.html#group24H4", "24H⁴"), =HYPERLINK("CSG0.html#group12A0", "12A⁰"), =HYPERLINK("CSG1.html#group24A1", "24A¹"), =HYPERLINK("CSG0.html#group4A0", "4A⁰"), =HYPERLINK("CSG8.html#group24L8", "24L⁸"), =HYPERLINK("CSG1.html#group12J1", "12J¹"), =HYPERLINK("CSG3.html#group24R3", "24R³"), =HYPERLINK("CSG0.html#group4F0", "4F⁰"), =HYPERLINK("CSG0.html#group3A0", "3A⁰"), =HYPERLINK("CSG0.html#group6D0", "6D⁰"), =HYPERLINK("CSG3.html#group48B3", "48B³")</f>
        <v/>
      </c>
      <c r="N6168" t="inlineStr"/>
    </row>
    <row r="6169">
      <c r="A6169" t="inlineStr">
        <is>
          <t>48E²⁰</t>
        </is>
      </c>
      <c r="B6169" t="inlineStr"/>
      <c r="C6169" t="inlineStr">
        <is>
          <t>288</t>
        </is>
      </c>
      <c r="D6169" t="inlineStr">
        <is>
          <t>1</t>
        </is>
      </c>
      <c r="E6169" t="inlineStr">
        <is>
          <t>144</t>
        </is>
      </c>
      <c r="F6169" t="inlineStr">
        <is>
          <t>8</t>
        </is>
      </c>
      <c r="G6169" t="inlineStr">
        <is>
          <t>0</t>
        </is>
      </c>
      <c r="H6169" t="inlineStr">
        <is>
          <t>48⁶</t>
        </is>
      </c>
      <c r="I6169" t="n">
        <v>6</v>
      </c>
      <c r="J6169" t="inlineStr">
        <is>
          <t>16¹⁸</t>
        </is>
      </c>
      <c r="K6169">
        <f>HYPERLINK("CSG6.html#group48E6", "48E⁶"), =HYPERLINK("CSG8.html#group24M8", "24M⁸")</f>
        <v/>
      </c>
      <c r="L6169" t="inlineStr"/>
      <c r="M6169">
        <f>HYPERLINK("CSG4.html#group24O4", "24O⁴"), =HYPERLINK("CSG2.html#group12I2", "12I²"), =HYPERLINK("CSG0.html#group6B0", "6B⁰"), =HYPERLINK("CSG0.html#group12C0", "12C⁰"), =HYPERLINK("CSG0.html#group3A0", "3A⁰"), =HYPERLINK("CSG0.html#group4C0", "4C⁰"), =HYPERLINK("CSG0.html#group12F0", "12F⁰"), =HYPERLINK("CSG0.html#group2B0", "2B⁰"), =HYPERLINK("CSG6.html#group48E6", "48E⁶"), =HYPERLINK("CSG1.html#group24B1", "24B¹"), =HYPERLINK("CSG1.html#group12M1", "12M¹"), =HYPERLINK("CSG8.html#group24M8", "24M⁸"), =HYPERLINK("CSG0.html#group1A0", "1A⁰"), =HYPERLINK("CSG0.html#group12A0", "12A⁰"), =HYPERLINK("CSG0.html#group4A0", "4A⁰"), =HYPERLINK("CSG0.html#group6D0", "6D⁰"), =HYPERLINK("CSG1.html#group12J1", "12J¹"), =HYPERLINK("CSG0.html#group12D0", "12D⁰"), =HYPERLINK("CSG0.html#group4F0", "4F⁰"), =HYPERLINK("CSG0.html#group6H0", "6H⁰"), =HYPERLINK("CSG0.html#group12H0", "12H⁰"), =HYPERLINK("CSG2.html#group24G2", "24G²"), =HYPERLINK("CSG2.html#group24H2", "24H²")</f>
        <v/>
      </c>
      <c r="N6169" t="inlineStr"/>
    </row>
    <row r="6170">
      <c r="A6170" t="inlineStr">
        <is>
          <t>48F²⁰</t>
        </is>
      </c>
      <c r="B6170" t="inlineStr"/>
      <c r="C6170" t="inlineStr">
        <is>
          <t>288</t>
        </is>
      </c>
      <c r="D6170" t="inlineStr">
        <is>
          <t>1</t>
        </is>
      </c>
      <c r="E6170" t="inlineStr">
        <is>
          <t>144</t>
        </is>
      </c>
      <c r="F6170" t="inlineStr">
        <is>
          <t>8</t>
        </is>
      </c>
      <c r="G6170" t="inlineStr">
        <is>
          <t>0</t>
        </is>
      </c>
      <c r="H6170" t="inlineStr">
        <is>
          <t>48⁶</t>
        </is>
      </c>
      <c r="I6170" t="n">
        <v>6</v>
      </c>
      <c r="J6170" t="inlineStr">
        <is>
          <t>16¹⁸</t>
        </is>
      </c>
      <c r="K6170">
        <f>HYPERLINK("CSG6.html#group48F6", "48F⁶"), =HYPERLINK("CSG8.html#group24M8", "24M⁸")</f>
        <v/>
      </c>
      <c r="L6170" t="inlineStr"/>
      <c r="M6170">
        <f>HYPERLINK("CSG4.html#group24O4", "24O⁴"), =HYPERLINK("CSG2.html#group12I2", "12I²"), =HYPERLINK("CSG0.html#group6B0", "6B⁰"), =HYPERLINK("CSG0.html#group12C0", "12C⁰"), =HYPERLINK("CSG0.html#group4C0", "4C⁰"), =HYPERLINK("CSG0.html#group12F0", "12F⁰"), =HYPERLINK("CSG0.html#group2B0", "2B⁰"), =HYPERLINK("CSG1.html#group24B1", "24B¹"), =HYPERLINK("CSG1.html#group12M1", "12M¹"), =HYPERLINK("CSG0.html#group12H0", "12H⁰"), =HYPERLINK("CSG0.html#group1A0", "1A⁰"), =HYPERLINK("CSG8.html#group24M8", "24M⁸"), =HYPERLINK("CSG6.html#group48F6", "48F⁶"), =HYPERLINK("CSG0.html#group12A0", "12A⁰"), =HYPERLINK("CSG0.html#group4A0", "4A⁰"), =HYPERLINK("CSG0.html#group6D0", "6D⁰"), =HYPERLINK("CSG1.html#group12J1", "12J¹"), =HYPERLINK("CSG0.html#group12D0", "12D⁰"), =HYPERLINK("CSG0.html#group4F0", "4F⁰"), =HYPERLINK("CSG0.html#group6H0", "6H⁰"), =HYPERLINK("CSG0.html#group3A0", "3A⁰"), =HYPERLINK("CSG2.html#group24G2", "24G²"), =HYPERLINK("CSG2.html#group24H2", "24H²")</f>
        <v/>
      </c>
      <c r="N6170" t="inlineStr"/>
    </row>
    <row r="6171">
      <c r="A6171" t="inlineStr">
        <is>
          <t>48G²⁰</t>
        </is>
      </c>
      <c r="B6171" t="inlineStr"/>
      <c r="C6171" t="inlineStr">
        <is>
          <t>288</t>
        </is>
      </c>
      <c r="D6171" t="inlineStr">
        <is>
          <t>2</t>
        </is>
      </c>
      <c r="E6171" t="inlineStr">
        <is>
          <t>72</t>
        </is>
      </c>
      <c r="F6171" t="inlineStr">
        <is>
          <t>8</t>
        </is>
      </c>
      <c r="G6171" t="inlineStr">
        <is>
          <t>0</t>
        </is>
      </c>
      <c r="H6171" t="inlineStr">
        <is>
          <t>48⁶</t>
        </is>
      </c>
      <c r="I6171" t="n">
        <v>6</v>
      </c>
      <c r="J6171" t="inlineStr">
        <is>
          <t>8⁶, 16⁶</t>
        </is>
      </c>
      <c r="K6171">
        <f>HYPERLINK("CSG6.html#group48G6", "48G⁶"), =HYPERLINK("CSG8.html#group24N8", "24N⁸"), =HYPERLINK("CSG10.html#group48G10", "48G¹⁰")</f>
        <v/>
      </c>
      <c r="L6171" t="inlineStr"/>
      <c r="M6171">
        <f>HYPERLINK("CSG4.html#group24O4", "24O⁴"), =HYPERLINK("CSG2.html#group12I2", "12I²"), =HYPERLINK("CSG0.html#group6B0", "6B⁰"), =HYPERLINK("CSG0.html#group12C0", "12C⁰"), =HYPERLINK("CSG0.html#group4C0", "4C⁰"), =HYPERLINK("CSG0.html#group12F0", "12F⁰"), =HYPERLINK("CSG0.html#group8A0", "8A⁰"), =HYPERLINK("CSG0.html#group2B0", "2B⁰"), =HYPERLINK("CSG1.html#group24B1", "24B¹"), =HYPERLINK("CSG1.html#group12M1", "12M¹"), =HYPERLINK("CSG0.html#group12H0", "12H⁰"), =HYPERLINK("CSG0.html#group1A0", "1A⁰"), =HYPERLINK("CSG6.html#group48G6", "48G⁶"), =HYPERLINK("CSG1.html#group8D1", "8D¹"), =HYPERLINK("CSG10.html#group48G10", "48G¹⁰"), =HYPERLINK("CSG0.html#group12A0", "12A⁰"), =HYPERLINK("CSG2.html#group24K2", "24K²"), =HYPERLINK("CSG1.html#group24A1", "24A¹"), =HYPERLINK("CSG4.html#group24H4", "24H⁴"), =HYPERLINK("CSG0.html#group4A0", "4A⁰"), =HYPERLINK("CSG8.html#group24N8", "24N⁸"), =HYPERLINK("CSG1.html#group12J1", "12J¹"), =HYPERLINK("CSG0.html#group12D0", "12D⁰"), =HYPERLINK("CSG0.html#group4F0", "4F⁰"), =HYPERLINK("CSG0.html#group6H0", "6H⁰"), =HYPERLINK("CSG0.html#group3A0", "3A⁰"), =HYPERLINK("CSG0.html#group6D0", "6D⁰"), =HYPERLINK("CSG3.html#group48B3", "48B³")</f>
        <v/>
      </c>
      <c r="N6171" t="inlineStr"/>
    </row>
    <row r="6172">
      <c r="A6172" t="inlineStr">
        <is>
          <t>48H²⁰</t>
        </is>
      </c>
      <c r="B6172" t="inlineStr"/>
      <c r="C6172" t="inlineStr">
        <is>
          <t>288</t>
        </is>
      </c>
      <c r="D6172" t="inlineStr">
        <is>
          <t>2</t>
        </is>
      </c>
      <c r="E6172" t="inlineStr">
        <is>
          <t>72</t>
        </is>
      </c>
      <c r="F6172" t="inlineStr">
        <is>
          <t>8</t>
        </is>
      </c>
      <c r="G6172" t="inlineStr">
        <is>
          <t>0</t>
        </is>
      </c>
      <c r="H6172" t="inlineStr">
        <is>
          <t>48⁶</t>
        </is>
      </c>
      <c r="I6172" t="n">
        <v>6</v>
      </c>
      <c r="J6172" t="inlineStr">
        <is>
          <t>8⁶, 16⁶</t>
        </is>
      </c>
      <c r="K6172">
        <f>HYPERLINK("CSG8.html#group24L8", "24L⁸"), =HYPERLINK("CSG10.html#group48F10", "48F¹⁰"), =HYPERLINK("CSG10.html#group48G10", "48G¹⁰")</f>
        <v/>
      </c>
      <c r="L6172" t="inlineStr"/>
      <c r="M6172">
        <f>HYPERLINK("CSG1.html#group24E1", "24E¹"), =HYPERLINK("CSG0.html#group12C0", "12C⁰"), =HYPERLINK("CSG0.html#group16A0", "16A⁰"), =HYPERLINK("CSG0.html#group4C0", "4C⁰"), =HYPERLINK("CSG1.html#group24D1", "24D¹"), =HYPERLINK("CSG0.html#group8A0", "8A⁰"), =HYPERLINK("CSG3.html#group16G3", "16G³"), =HYPERLINK("CSG0.html#group2B0", "2B⁰"), =HYPERLINK("CSG10.html#group48F10", "48F¹⁰"), =HYPERLINK("CSG3.html#group24P3", "24P³"), =HYPERLINK("CSG0.html#group1A0", "1A⁰"), =HYPERLINK("CSG1.html#group8D1", "8D¹"), =HYPERLINK("CSG10.html#group48G10", "48G¹⁰"), =HYPERLINK("CSG4.html#group24H4", "24H⁴"), =HYPERLINK("CSG0.html#group12A0", "12A⁰"), =HYPERLINK("CSG1.html#group24A1", "24A¹"), =HYPERLINK("CSG3.html#group48A3", "48A³"), =HYPERLINK("CSG0.html#group4A0", "4A⁰"), =HYPERLINK("CSG8.html#group24L8", "24L⁸"), =HYPERLINK("CSG1.html#group12J1", "12J¹"), =HYPERLINK("CSG3.html#group24R3", "24R³"), =HYPERLINK("CSG0.html#group4F0", "4F⁰"), =HYPERLINK("CSG0.html#group3A0", "3A⁰"), =HYPERLINK("CSG0.html#group6D0", "6D⁰"), =HYPERLINK("CSG3.html#group48B3", "48B³")</f>
        <v/>
      </c>
      <c r="N6172" t="inlineStr"/>
    </row>
    <row r="6173">
      <c r="A6173" t="inlineStr">
        <is>
          <t>48I²⁰</t>
        </is>
      </c>
      <c r="B6173" t="inlineStr"/>
      <c r="C6173" t="inlineStr">
        <is>
          <t>288</t>
        </is>
      </c>
      <c r="D6173" t="inlineStr">
        <is>
          <t>2</t>
        </is>
      </c>
      <c r="E6173" t="inlineStr">
        <is>
          <t>72</t>
        </is>
      </c>
      <c r="F6173" t="inlineStr">
        <is>
          <t>8</t>
        </is>
      </c>
      <c r="G6173" t="inlineStr">
        <is>
          <t>0</t>
        </is>
      </c>
      <c r="H6173" t="inlineStr">
        <is>
          <t>48⁶</t>
        </is>
      </c>
      <c r="I6173" t="n">
        <v>6</v>
      </c>
      <c r="J6173" t="inlineStr">
        <is>
          <t>8⁶, 16⁶</t>
        </is>
      </c>
      <c r="K6173">
        <f>HYPERLINK("CSG6.html#group48H6", "48H⁶"), =HYPERLINK("CSG8.html#group24N8", "24N⁸"), =HYPERLINK("CSG10.html#group48F10", "48F¹⁰"), =HYPERLINK("CSG10.html#group48G10", "48G¹⁰")</f>
        <v/>
      </c>
      <c r="L6173" t="inlineStr"/>
      <c r="M6173">
        <f>HYPERLINK("CSG4.html#group24O4", "24O⁴"), =HYPERLINK("CSG2.html#group12I2", "12I²"), =HYPERLINK("CSG0.html#group6B0", "6B⁰"), =HYPERLINK("CSG0.html#group12C0", "12C⁰"), =HYPERLINK("CSG0.html#group16A0", "16A⁰"), =HYPERLINK("CSG0.html#group4C0", "4C⁰"), =HYPERLINK("CSG6.html#group48H6", "48H⁶"), =HYPERLINK("CSG0.html#group8A0", "8A⁰"), =HYPERLINK("CSG0.html#group12F0", "12F⁰"), =HYPERLINK("CSG3.html#group16G3", "16G³"), =HYPERLINK("CSG0.html#group2B0", "2B⁰"), =HYPERLINK("CSG10.html#group48F10", "48F¹⁰"), =HYPERLINK("CSG1.html#group12M1", "12M¹"), =HYPERLINK("CSG1.html#group24B1", "24B¹"), =HYPERLINK("CSG0.html#group12H0", "12H⁰"), =HYPERLINK("CSG0.html#group1A0", "1A⁰"), =HYPERLINK("CSG1.html#group8D1", "8D¹"), =HYPERLINK("CSG10.html#group48G10", "48G¹⁰"), =HYPERLINK("CSG4.html#group24H4", "24H⁴"), =HYPERLINK("CSG0.html#group12A0", "12A⁰"), =HYPERLINK("CSG1.html#group24A1", "24A¹"), =HYPERLINK("CSG2.html#group24K2", "24K²"), =HYPERLINK("CSG3.html#group48A3", "48A³"), =HYPERLINK("CSG0.html#group4A0", "4A⁰"), =HYPERLINK("CSG8.html#group24N8", "24N⁸"), =HYPERLINK("CSG1.html#group12J1", "12J¹"), =HYPERLINK("CSG0.html#group12D0", "12D⁰"), =HYPERLINK("CSG0.html#group4F0", "4F⁰"), =HYPERLINK("CSG0.html#group6H0", "6H⁰"), =HYPERLINK("CSG0.html#group3A0", "3A⁰"), =HYPERLINK("CSG0.html#group6D0", "6D⁰"), =HYPERLINK("CSG3.html#group48B3", "48B³")</f>
        <v/>
      </c>
      <c r="N6173" t="inlineStr"/>
    </row>
    <row r="6174">
      <c r="A6174" t="inlineStr">
        <is>
          <t>50A²⁰</t>
        </is>
      </c>
      <c r="B6174" t="inlineStr"/>
      <c r="C6174" t="inlineStr">
        <is>
          <t>300</t>
        </is>
      </c>
      <c r="D6174" t="inlineStr">
        <is>
          <t>1</t>
        </is>
      </c>
      <c r="E6174" t="inlineStr">
        <is>
          <t>150</t>
        </is>
      </c>
      <c r="F6174" t="inlineStr">
        <is>
          <t>4</t>
        </is>
      </c>
      <c r="G6174" t="inlineStr">
        <is>
          <t>0</t>
        </is>
      </c>
      <c r="H6174" t="inlineStr">
        <is>
          <t>10⁵, 50⁵</t>
        </is>
      </c>
      <c r="I6174" t="n">
        <v>10</v>
      </c>
      <c r="J6174" t="inlineStr">
        <is>
          <t>1², 4¹², 20⁵</t>
        </is>
      </c>
      <c r="K6174">
        <f>HYPERLINK("CSG2.html#group10C2", "10C²"), =HYPERLINK("CSG2.html#group50A2", "50A²"), =HYPERLINK("CSG4.html#group50C4", "50C⁴"), =HYPERLINK("CSG4.html#group50B4", "50B⁴"), =HYPERLINK("CSG4.html#group50D4", "50D⁴"), =HYPERLINK("CSG4.html#group50A4", "50A⁴"), =HYPERLINK("CSG8.html#group25A8", "25A⁸")</f>
        <v/>
      </c>
      <c r="L6174" t="inlineStr"/>
      <c r="M6174">
        <f>HYPERLINK("CSG0.html#group5A0", "5A⁰"), =HYPERLINK("CSG4.html#group50B4", "50B⁴"), =HYPERLINK("CSG0.html#group10D0", "10D⁰"), =HYPERLINK("CSG0.html#group5B0", "5B⁰"), =HYPERLINK("CSG0.html#group5G0", "5G⁰"), =HYPERLINK("CSG4.html#group50C4", "50C⁴"), =HYPERLINK("CSG1.html#group10E1", "10E¹"), =HYPERLINK("CSG0.html#group1A0", "1A⁰"), =HYPERLINK("CSG2.html#group25C2", "25C²"), =HYPERLINK("CSG2.html#group25B2", "25B²"), =HYPERLINK("CSG0.html#group10B0", "10B⁰"), =HYPERLINK("CSG2.html#group25D2", "25D²"), =HYPERLINK("CSG8.html#group25A8", "25A⁸"), =HYPERLINK("CSG2.html#group25A2", "25A²"), =HYPERLINK("CSG2.html#group50A2", "50A²"), =HYPERLINK("CSG2.html#group10C2", "10C²"), =HYPERLINK("CSG0.html#group25A0", "25A⁰"), =HYPERLINK("CSG0.html#group5E0", "5E⁰"), =HYPERLINK("CSG4.html#group50D4", "50D⁴"), =HYPERLINK("CSG0.html#group5C0", "5C⁰"), =HYPERLINK("CSG4.html#group50A4", "50A⁴")</f>
        <v/>
      </c>
      <c r="N6174" t="inlineStr"/>
    </row>
    <row r="6175">
      <c r="A6175" t="inlineStr">
        <is>
          <t>55A²⁰</t>
        </is>
      </c>
      <c r="B6175" t="inlineStr"/>
      <c r="C6175" t="inlineStr">
        <is>
          <t>330</t>
        </is>
      </c>
      <c r="D6175" t="inlineStr">
        <is>
          <t>1</t>
        </is>
      </c>
      <c r="E6175" t="inlineStr">
        <is>
          <t>330</t>
        </is>
      </c>
      <c r="F6175" t="inlineStr">
        <is>
          <t>14</t>
        </is>
      </c>
      <c r="G6175" t="inlineStr">
        <is>
          <t>0</t>
        </is>
      </c>
      <c r="H6175" t="inlineStr">
        <is>
          <t>11⁵, 55⁵</t>
        </is>
      </c>
      <c r="I6175" t="n">
        <v>10</v>
      </c>
      <c r="J6175" t="inlineStr">
        <is>
          <t>5², 10¹⁰, 20¹, 40⁵</t>
        </is>
      </c>
      <c r="K6175">
        <f>HYPERLINK("CSG0.html#group5B0", "5B⁰"), =HYPERLINK("CSG1.html#group11C1", "11C¹")</f>
        <v/>
      </c>
      <c r="L6175" t="inlineStr"/>
      <c r="M6175">
        <f>HYPERLINK("CSG0.html#group5B0", "5B⁰"), =HYPERLINK("CSG1.html#group11C1", "11C¹"), =HYPERLINK("CSG0.html#group1A0", "1A⁰")</f>
        <v/>
      </c>
      <c r="N6175" t="inlineStr"/>
    </row>
    <row r="6176">
      <c r="A6176" t="inlineStr">
        <is>
          <t>63A²⁰</t>
        </is>
      </c>
      <c r="B6176" t="inlineStr"/>
      <c r="C6176" t="inlineStr">
        <is>
          <t>252</t>
        </is>
      </c>
      <c r="D6176" t="inlineStr">
        <is>
          <t>2</t>
        </is>
      </c>
      <c r="E6176" t="inlineStr">
        <is>
          <t>21</t>
        </is>
      </c>
      <c r="F6176" t="inlineStr">
        <is>
          <t>0</t>
        </is>
      </c>
      <c r="G6176" t="inlineStr">
        <is>
          <t>0</t>
        </is>
      </c>
      <c r="H6176" t="inlineStr">
        <is>
          <t>63⁴</t>
        </is>
      </c>
      <c r="I6176" t="n">
        <v>4</v>
      </c>
      <c r="J6176" t="inlineStr">
        <is>
          <t>2¹, 4¹, 6², 12²</t>
        </is>
      </c>
      <c r="K6176">
        <f>HYPERLINK("CSG2.html#group9A2", "9A²"), =HYPERLINK("CSG6.html#group21A6", "21A⁶"), =HYPERLINK("CSG6.html#group63E6", "63E⁶"), =HYPERLINK("CSG9.html#group63B9", "63B⁹"), =HYPERLINK("CSG9.html#group63A9", "63A⁹")</f>
        <v/>
      </c>
      <c r="L6176" t="inlineStr"/>
      <c r="M6176">
        <f>HYPERLINK("CSG0.html#group3B0", "3B⁰"), =HYPERLINK("CSG9.html#group63A9", "63A⁹"), =HYPERLINK("CSG2.html#group21D2", "21D²"), =HYPERLINK("CSG6.html#group63E6", "63E⁶"), =HYPERLINK("CSG0.html#group21A0", "21A⁰"), =HYPERLINK("CSG9.html#group63B9", "63B⁹"), =HYPERLINK("CSG0.html#group1A0", "1A⁰"), =HYPERLINK("CSG6.html#group21A6", "21A⁶"), =HYPERLINK("CSG1.html#group9B1", "9B¹"), =HYPERLINK("CSG2.html#group63A2", "63A²"), =HYPERLINK("CSG0.html#group9D0", "9D⁰"), =HYPERLINK("CSG2.html#group21B2", "21B²"), =HYPERLINK("CSG2.html#group9A2", "9A²"), =HYPERLINK("CSG0.html#group9A0", "9A⁰"), =HYPERLINK("CSG0.html#group3C0", "3C⁰"), =HYPERLINK("CSG0.html#group3A0", "3A⁰"), =HYPERLINK("CSG0.html#group3D0", "3D⁰"), =HYPERLINK("CSG0.html#group7A0", "7A⁰")</f>
        <v/>
      </c>
      <c r="N6176" t="inlineStr"/>
    </row>
    <row r="6177">
      <c r="A6177" t="inlineStr">
        <is>
          <t>66A²⁰</t>
        </is>
      </c>
      <c r="B6177" t="inlineStr"/>
      <c r="C6177" t="inlineStr">
        <is>
          <t>264</t>
        </is>
      </c>
      <c r="D6177" t="inlineStr">
        <is>
          <t>2</t>
        </is>
      </c>
      <c r="E6177" t="inlineStr">
        <is>
          <t>44</t>
        </is>
      </c>
      <c r="F6177" t="inlineStr">
        <is>
          <t>0</t>
        </is>
      </c>
      <c r="G6177" t="inlineStr">
        <is>
          <t>0</t>
        </is>
      </c>
      <c r="H6177" t="inlineStr">
        <is>
          <t>22³, 66³</t>
        </is>
      </c>
      <c r="I6177" t="n">
        <v>6</v>
      </c>
      <c r="J6177" t="inlineStr">
        <is>
          <t>2², 4¹, 10⁴, 20²</t>
        </is>
      </c>
      <c r="K6177">
        <f>HYPERLINK("CSG0.html#group6I0", "6I⁰"), =HYPERLINK("CSG5.html#group22A5", "22A⁵"), =HYPERLINK("CSG6.html#group66E6", "66E⁶"), =HYPERLINK("CSG10.html#group66A10", "66A¹⁰")</f>
        <v/>
      </c>
      <c r="L6177" t="inlineStr"/>
      <c r="M6177">
        <f>HYPERLINK("CSG0.html#group3B0", "3B⁰"), =HYPERLINK("CSG0.html#group2A0", "2A⁰"), =HYPERLINK("CSG1.html#group22A1", "22A¹"), =HYPERLINK("CSG3.html#group33B3", "33B³"), =HYPERLINK("CSG0.html#group6I0", "6I⁰"), =HYPERLINK("CSG0.html#group6C0", "6C⁰"), =HYPERLINK("CSG6.html#group66E6", "66E⁶"), =HYPERLINK("CSG0.html#group2B0", "2B⁰"), =HYPERLINK("CSG2.html#group22B2", "22B²"), =HYPERLINK("CSG0.html#group1A0", "1A⁰"), =HYPERLINK("CSG10.html#group66A10", "66A¹⁰"), =HYPERLINK("CSG0.html#group11A0", "11A⁰"), =HYPERLINK("CSG5.html#group22A5", "22A⁵"), =HYPERLINK("CSG0.html#group6F0", "6F⁰"), =HYPERLINK("CSG0.html#group2C0", "2C⁰")</f>
        <v/>
      </c>
      <c r="N6177" t="inlineStr"/>
    </row>
    <row r="6178">
      <c r="A6178" t="inlineStr">
        <is>
          <t>66B²⁰</t>
        </is>
      </c>
      <c r="B6178" t="inlineStr"/>
      <c r="C6178" t="inlineStr">
        <is>
          <t>330</t>
        </is>
      </c>
      <c r="D6178" t="inlineStr">
        <is>
          <t>2</t>
        </is>
      </c>
      <c r="E6178" t="inlineStr">
        <is>
          <t>55</t>
        </is>
      </c>
      <c r="F6178" t="inlineStr">
        <is>
          <t>24</t>
        </is>
      </c>
      <c r="G6178" t="inlineStr">
        <is>
          <t>0</t>
        </is>
      </c>
      <c r="H6178" t="inlineStr">
        <is>
          <t>66⁵</t>
        </is>
      </c>
      <c r="I6178" t="n">
        <v>5</v>
      </c>
      <c r="J6178" t="inlineStr">
        <is>
          <t>10¹¹</t>
        </is>
      </c>
      <c r="K6178">
        <f>HYPERLINK("CSG5.html#group22C5", "22C⁵"), =HYPERLINK("CSG7.html#group33A7", "33A⁷")</f>
        <v/>
      </c>
      <c r="L6178" t="inlineStr"/>
      <c r="M6178">
        <f>HYPERLINK("CSG1.html#group11C1", "11C¹"), =HYPERLINK("CSG5.html#group22C5", "22C⁵"), =HYPERLINK("CSG0.html#group3A0", "3A⁰"), =HYPERLINK("CSG0.html#group1A0", "1A⁰"), =HYPERLINK("CSG7.html#group33A7", "33A⁷")</f>
        <v/>
      </c>
      <c r="N6178" t="inlineStr"/>
    </row>
    <row r="6179">
      <c r="A6179" t="inlineStr">
        <is>
          <t>72A²⁰</t>
        </is>
      </c>
      <c r="B6179" t="inlineStr"/>
      <c r="C6179" t="inlineStr">
        <is>
          <t>288</t>
        </is>
      </c>
      <c r="D6179" t="inlineStr">
        <is>
          <t>1</t>
        </is>
      </c>
      <c r="E6179" t="inlineStr">
        <is>
          <t>48</t>
        </is>
      </c>
      <c r="F6179" t="inlineStr">
        <is>
          <t>0</t>
        </is>
      </c>
      <c r="G6179" t="inlineStr">
        <is>
          <t>0</t>
        </is>
      </c>
      <c r="H6179" t="inlineStr">
        <is>
          <t>12⁴, 24¹, 36⁴, 72¹</t>
        </is>
      </c>
      <c r="I6179" t="n">
        <v>10</v>
      </c>
      <c r="J6179" t="inlineStr">
        <is>
          <t>2⁴, 4⁶, 8²</t>
        </is>
      </c>
      <c r="K6179">
        <f>HYPERLINK("CSG4.html#group24R4", "24R⁴"), =HYPERLINK("CSG10.html#group36J10", "36J¹⁰")</f>
        <v/>
      </c>
      <c r="L6179" t="inlineStr"/>
      <c r="M6179">
        <f>HYPERLINK("CSG0.html#group3B0", "3B⁰"), =HYPERLINK("CSG10.html#group36J10", "36J¹⁰"), =HYPERLINK("CSG1.html#group12F1", "12F¹"), =HYPERLINK("CSG0.html#group4C0", "4C⁰"), =HYPERLINK("CSG2.html#group18D2", "18D²"), =HYPERLINK("CSG0.html#group2B0", "2B⁰"), =HYPERLINK("CSG0.html#group9C0", "9C⁰"), =HYPERLINK("CSG5.html#group36A5", "36A⁵"), =HYPERLINK("CSG0.html#group8K0", "8K⁰"), =HYPERLINK("CSG0.html#group1A0", "1A⁰"), =HYPERLINK("CSG3.html#group36C3", "36C³"), =HYPERLINK("CSG0.html#group4A0", "4A⁰"), =HYPERLINK("CSG1.html#group12A1", "12A¹"), =HYPERLINK("CSG4.html#group24R4", "24R⁴"), =HYPERLINK("CSG2.html#group12G2", "12G²"), =HYPERLINK("CSG0.html#group4F0", "4F⁰"), =HYPERLINK("CSG0.html#group6F0", "6F⁰")</f>
        <v/>
      </c>
      <c r="N6179" t="inlineStr"/>
    </row>
    <row r="6180">
      <c r="A6180" t="inlineStr">
        <is>
          <t>72B²⁰</t>
        </is>
      </c>
      <c r="B6180" t="inlineStr"/>
      <c r="C6180" t="inlineStr">
        <is>
          <t>288</t>
        </is>
      </c>
      <c r="D6180" t="inlineStr">
        <is>
          <t>1</t>
        </is>
      </c>
      <c r="E6180" t="inlineStr">
        <is>
          <t>48</t>
        </is>
      </c>
      <c r="F6180" t="inlineStr">
        <is>
          <t>0</t>
        </is>
      </c>
      <c r="G6180" t="inlineStr">
        <is>
          <t>0</t>
        </is>
      </c>
      <c r="H6180" t="inlineStr">
        <is>
          <t>12⁴, 24¹, 36⁴, 72¹</t>
        </is>
      </c>
      <c r="I6180" t="n">
        <v>10</v>
      </c>
      <c r="J6180" t="inlineStr">
        <is>
          <t>2⁴, 4⁶, 8²</t>
        </is>
      </c>
      <c r="K6180">
        <f>HYPERLINK("CSG4.html#group24R4", "24R⁴"), =HYPERLINK("CSG10.html#group36K10", "36K¹⁰")</f>
        <v/>
      </c>
      <c r="L6180" t="inlineStr"/>
      <c r="M6180">
        <f>HYPERLINK("CSG0.html#group3B0", "3B⁰"), =HYPERLINK("CSG1.html#group12F1", "12F¹"), =HYPERLINK("CSG0.html#group4C0", "4C⁰"), =HYPERLINK("CSG2.html#group18E2", "18E²"), =HYPERLINK("CSG5.html#group36B5", "36B⁵"), =HYPERLINK("CSG0.html#group2B0", "2B⁰"), =HYPERLINK("CSG10.html#group36K10", "36K¹⁰"), =HYPERLINK("CSG0.html#group1A0", "1A⁰"), =HYPERLINK("CSG0.html#group8K0", "8K⁰"), =HYPERLINK("CSG0.html#group4A0", "4A⁰"), =HYPERLINK("CSG1.html#group12A1", "12A¹"), =HYPERLINK("CSG4.html#group24R4", "24R⁴"), =HYPERLINK("CSG1.html#group9A1", "9A¹"), =HYPERLINK("CSG4.html#group36C4", "36C⁴"), =HYPERLINK("CSG2.html#group12G2", "12G²"), =HYPERLINK("CSG0.html#group4F0", "4F⁰"), =HYPERLINK("CSG0.html#group6F0", "6F⁰")</f>
        <v/>
      </c>
      <c r="N6180" t="inlineStr"/>
    </row>
    <row r="6181">
      <c r="A6181" t="inlineStr">
        <is>
          <t>72C²⁰</t>
        </is>
      </c>
      <c r="B6181" t="inlineStr"/>
      <c r="C6181" t="inlineStr">
        <is>
          <t>288</t>
        </is>
      </c>
      <c r="D6181" t="inlineStr">
        <is>
          <t>2</t>
        </is>
      </c>
      <c r="E6181" t="inlineStr">
        <is>
          <t>48</t>
        </is>
      </c>
      <c r="F6181" t="inlineStr">
        <is>
          <t>0</t>
        </is>
      </c>
      <c r="G6181" t="inlineStr">
        <is>
          <t>6</t>
        </is>
      </c>
      <c r="H6181" t="inlineStr">
        <is>
          <t>24³, 72³</t>
        </is>
      </c>
      <c r="I6181" t="n">
        <v>6</v>
      </c>
      <c r="J6181" t="inlineStr">
        <is>
          <t>4⁴, 8⁴, 24²</t>
        </is>
      </c>
      <c r="K6181">
        <f>HYPERLINK("CSG6.html#group72A6", "72A⁶"), =HYPERLINK("CSG9.html#group36I9", "36I⁹")</f>
        <v/>
      </c>
      <c r="L6181" t="inlineStr"/>
      <c r="M6181">
        <f>HYPERLINK("CSG0.html#group3B0", "3B⁰"), =HYPERLINK("CSG0.html#group9J0", "9J⁰"), =HYPERLINK("CSG6.html#group72A6", "72A⁶"), =HYPERLINK("CSG2.html#group24A2", "24A²"), =HYPERLINK("CSG0.html#group4A0", "4A⁰"), =HYPERLINK("CSG1.html#group12A1", "12A¹"), =HYPERLINK("CSG0.html#group8A0", "8A⁰"), =HYPERLINK("CSG9.html#group36I9", "36I⁹"), =HYPERLINK("CSG0.html#group9C0", "9C⁰"), =HYPERLINK("CSG0.html#group1A0", "1A⁰"), =HYPERLINK("CSG3.html#group36C3", "36C³")</f>
        <v/>
      </c>
      <c r="N6181" t="inlineStr"/>
    </row>
    <row r="6182">
      <c r="A6182" t="inlineStr">
        <is>
          <t>72D²⁰</t>
        </is>
      </c>
      <c r="B6182" t="inlineStr"/>
      <c r="C6182" t="inlineStr">
        <is>
          <t>324</t>
        </is>
      </c>
      <c r="D6182" t="inlineStr">
        <is>
          <t>1</t>
        </is>
      </c>
      <c r="E6182" t="inlineStr">
        <is>
          <t>162</t>
        </is>
      </c>
      <c r="F6182" t="inlineStr">
        <is>
          <t>14</t>
        </is>
      </c>
      <c r="G6182" t="inlineStr">
        <is>
          <t>0</t>
        </is>
      </c>
      <c r="H6182" t="inlineStr">
        <is>
          <t>18⁶, 72³</t>
        </is>
      </c>
      <c r="I6182" t="n">
        <v>9</v>
      </c>
      <c r="J6182" t="inlineStr">
        <is>
          <t>3², 6¹⁰, 12⁸</t>
        </is>
      </c>
      <c r="K6182">
        <f>HYPERLINK("CSG6.html#group72C6", "72C⁶"), =HYPERLINK("CSG8.html#group36L8", "36L⁸")</f>
        <v/>
      </c>
      <c r="L6182" t="inlineStr"/>
      <c r="M6182">
        <f>HYPERLINK("CSG6.html#group72C6", "72C⁶"), =HYPERLINK("CSG0.html#group12C0", "12C⁰"), =HYPERLINK("CSG0.html#group8D0", "8D⁰"), =HYPERLINK("CSG8.html#group36L8", "36L⁸"), =HYPERLINK("CSG0.html#group9A0", "9A⁰"), =HYPERLINK("CSG2.html#group36B2", "36B²"), =HYPERLINK("CSG0.html#group4C0", "4C⁰"), =HYPERLINK("CSG3.html#group18J3", "18J³"), =HYPERLINK("CSG1.html#group24C1", "24C¹"), =HYPERLINK("CSG0.html#group9G0", "9G⁰"), =HYPERLINK("CSG0.html#group2B0", "2B⁰"), =HYPERLINK("CSG1.html#group18E1", "18E¹"), =HYPERLINK("CSG0.html#group3A0", "3A⁰"), =HYPERLINK("CSG0.html#group1A0", "1A⁰"), =HYPERLINK("CSG0.html#group6D0", "6D⁰")</f>
        <v/>
      </c>
      <c r="N6182" t="inlineStr"/>
    </row>
    <row r="6183">
      <c r="A6183" t="inlineStr">
        <is>
          <t>72E²⁰</t>
        </is>
      </c>
      <c r="B6183" t="inlineStr"/>
      <c r="C6183" t="inlineStr">
        <is>
          <t>324</t>
        </is>
      </c>
      <c r="D6183" t="inlineStr">
        <is>
          <t>1</t>
        </is>
      </c>
      <c r="E6183" t="inlineStr">
        <is>
          <t>162</t>
        </is>
      </c>
      <c r="F6183" t="inlineStr">
        <is>
          <t>14</t>
        </is>
      </c>
      <c r="G6183" t="inlineStr">
        <is>
          <t>0</t>
        </is>
      </c>
      <c r="H6183" t="inlineStr">
        <is>
          <t>18⁶, 72³</t>
        </is>
      </c>
      <c r="I6183" t="n">
        <v>9</v>
      </c>
      <c r="J6183" t="inlineStr">
        <is>
          <t>3², 6¹⁰, 12⁸</t>
        </is>
      </c>
      <c r="K6183">
        <f>HYPERLINK("CSG6.html#group72E6", "72E⁶"), =HYPERLINK("CSG8.html#group36L8", "36L⁸")</f>
        <v/>
      </c>
      <c r="L6183" t="inlineStr"/>
      <c r="M6183">
        <f>HYPERLINK("CSG1.html#group24E1", "24E¹"), =HYPERLINK("CSG0.html#group12C0", "12C⁰"), =HYPERLINK("CSG6.html#group72E6", "72E⁶"), =HYPERLINK("CSG8.html#group36L8", "36L⁸"), =HYPERLINK("CSG3.html#group18J3", "18J³"), =HYPERLINK("CSG0.html#group9A0", "9A⁰"), =HYPERLINK("CSG2.html#group36B2", "36B²"), =HYPERLINK("CSG0.html#group9G0", "9G⁰"), =HYPERLINK("CSG0.html#group4C0", "4C⁰"), =HYPERLINK("CSG0.html#group2B0", "2B⁰"), =HYPERLINK("CSG1.html#group18E1", "18E¹"), =HYPERLINK("CSG0.html#group3A0", "3A⁰"), =HYPERLINK("CSG0.html#group1A0", "1A⁰"), =HYPERLINK("CSG0.html#group6D0", "6D⁰")</f>
        <v/>
      </c>
      <c r="N6183" t="inlineStr"/>
    </row>
    <row r="6184">
      <c r="A6184" t="inlineStr">
        <is>
          <t>72F²⁰</t>
        </is>
      </c>
      <c r="B6184" t="inlineStr"/>
      <c r="C6184" t="inlineStr">
        <is>
          <t>324</t>
        </is>
      </c>
      <c r="D6184" t="inlineStr">
        <is>
          <t>2</t>
        </is>
      </c>
      <c r="E6184" t="inlineStr">
        <is>
          <t>162</t>
        </is>
      </c>
      <c r="F6184" t="inlineStr">
        <is>
          <t>14</t>
        </is>
      </c>
      <c r="G6184" t="inlineStr">
        <is>
          <t>0</t>
        </is>
      </c>
      <c r="H6184" t="inlineStr">
        <is>
          <t>18⁶, 72³</t>
        </is>
      </c>
      <c r="I6184" t="n">
        <v>9</v>
      </c>
      <c r="J6184" t="inlineStr">
        <is>
          <t>6¹⁸, 12¹⁸</t>
        </is>
      </c>
      <c r="K6184">
        <f>HYPERLINK("CSG6.html#group72D6", "72D⁶"), =HYPERLINK("CSG6.html#group72E6", "72E⁶"), =HYPERLINK("CSG8.html#group36L8", "36L⁸")</f>
        <v/>
      </c>
      <c r="L6184" t="inlineStr"/>
      <c r="M6184">
        <f>HYPERLINK("CSG1.html#group24E1", "24E¹"), =HYPERLINK("CSG0.html#group12C0", "12C⁰"), =HYPERLINK("CSG6.html#group72E6", "72E⁶"), =HYPERLINK("CSG6.html#group72D6", "72D⁶"), =HYPERLINK("CSG8.html#group36L8", "36L⁸"), =HYPERLINK("CSG0.html#group9A0", "9A⁰"), =HYPERLINK("CSG2.html#group36B2", "36B²"), =HYPERLINK("CSG0.html#group4C0", "4C⁰"), =HYPERLINK("CSG3.html#group18J3", "18J³"), =HYPERLINK("CSG0.html#group9G0", "9G⁰"), =HYPERLINK("CSG0.html#group2B0", "2B⁰"), =HYPERLINK("CSG1.html#group18E1", "18E¹"), =HYPERLINK("CSG0.html#group3A0", "3A⁰"), =HYPERLINK("CSG0.html#group1A0", "1A⁰"), =HYPERLINK("CSG0.html#group6D0", "6D⁰")</f>
        <v/>
      </c>
      <c r="N6184" t="inlineStr"/>
    </row>
    <row r="6185">
      <c r="A6185" t="inlineStr">
        <is>
          <t>77A²⁰</t>
        </is>
      </c>
      <c r="B6185" t="inlineStr"/>
      <c r="C6185" t="inlineStr">
        <is>
          <t>264</t>
        </is>
      </c>
      <c r="D6185" t="inlineStr">
        <is>
          <t>2</t>
        </is>
      </c>
      <c r="E6185" t="inlineStr">
        <is>
          <t>88</t>
        </is>
      </c>
      <c r="F6185" t="inlineStr">
        <is>
          <t>0</t>
        </is>
      </c>
      <c r="G6185" t="inlineStr">
        <is>
          <t>0</t>
        </is>
      </c>
      <c r="H6185" t="inlineStr">
        <is>
          <t>11³, 77³</t>
        </is>
      </c>
      <c r="I6185" t="n">
        <v>6</v>
      </c>
      <c r="J6185" t="inlineStr">
        <is>
          <t>2², 10⁴, 12¹, 60²</t>
        </is>
      </c>
      <c r="K6185">
        <f>HYPERLINK("CSG0.html#group7E0", "7E⁰"), =HYPERLINK("CSG6.html#group77A6", "77A⁶")</f>
        <v/>
      </c>
      <c r="L6185" t="inlineStr"/>
      <c r="M6185">
        <f>HYPERLINK("CSG0.html#group11A0", "11A⁰"), =HYPERLINK("CSG0.html#group7E0", "7E⁰"), =HYPERLINK("CSG0.html#group1A0", "1A⁰"), =HYPERLINK("CSG0.html#group7B0", "7B⁰"), =HYPERLINK("CSG6.html#group77A6", "77A⁶")</f>
        <v/>
      </c>
      <c r="N6185" t="inlineStr"/>
    </row>
    <row r="6186">
      <c r="A6186" t="inlineStr">
        <is>
          <t>84A²⁰</t>
        </is>
      </c>
      <c r="B6186" t="inlineStr"/>
      <c r="C6186" t="inlineStr">
        <is>
          <t>252</t>
        </is>
      </c>
      <c r="D6186" t="inlineStr">
        <is>
          <t>2</t>
        </is>
      </c>
      <c r="E6186" t="inlineStr">
        <is>
          <t>21</t>
        </is>
      </c>
      <c r="F6186" t="inlineStr">
        <is>
          <t>0</t>
        </is>
      </c>
      <c r="G6186" t="inlineStr">
        <is>
          <t>0</t>
        </is>
      </c>
      <c r="H6186" t="inlineStr">
        <is>
          <t>42², 84²</t>
        </is>
      </c>
      <c r="I6186" t="n">
        <v>4</v>
      </c>
      <c r="J6186" t="inlineStr">
        <is>
          <t>2³, 6⁶</t>
        </is>
      </c>
      <c r="K6186">
        <f>HYPERLINK("CSG6.html#group28A6", "28A⁶"), =HYPERLINK("CSG7.html#group42I7", "42I⁷"), =HYPERLINK("CSG9.html#group84B9", "84B⁹"), =HYPERLINK("CSG10.html#group84A10", "84A¹⁰")</f>
        <v/>
      </c>
      <c r="L6186" t="inlineStr"/>
      <c r="M6186">
        <f>HYPERLINK("CSG0.html#group14A0", "14A⁰"), =HYPERLINK("CSG10.html#group84A10", "84A¹⁰"), =HYPERLINK("CSG1.html#group42A1", "42A¹"), =HYPERLINK("CSG1.html#group14B1", "14B¹"), =HYPERLINK("CSG2.html#group14C2", "14C²"), =HYPERLINK("CSG0.html#group21A0", "21A⁰"), =HYPERLINK("CSG3.html#group28A3", "28A³"), =HYPERLINK("CSG0.html#group2B0", "2B⁰"), =HYPERLINK("CSG0.html#group4B0", "4B⁰"), =HYPERLINK("CSG0.html#group1A0", "1A⁰"), =HYPERLINK("CSG7.html#group42I7", "42I⁷"), =HYPERLINK("CSG6.html#group28A6", "28A⁶"), =HYPERLINK("CSG9.html#group84B9", "84B⁹"), =HYPERLINK("CSG1.html#group12B1", "12B¹"), =HYPERLINK("CSG3.html#group28B3", "28B³"), =HYPERLINK("CSG0.html#group3A0", "3A⁰"), =HYPERLINK("CSG3.html#group42C3", "42C³"), =HYPERLINK("CSG0.html#group6D0", "6D⁰"), =HYPERLINK("CSG0.html#group7A0", "7A⁰")</f>
        <v/>
      </c>
      <c r="N6186" t="inlineStr"/>
    </row>
    <row r="6187">
      <c r="A6187" t="inlineStr">
        <is>
          <t>84B²⁰</t>
        </is>
      </c>
      <c r="B6187" t="inlineStr"/>
      <c r="C6187" t="inlineStr">
        <is>
          <t>252</t>
        </is>
      </c>
      <c r="D6187" t="inlineStr">
        <is>
          <t>2</t>
        </is>
      </c>
      <c r="E6187" t="inlineStr">
        <is>
          <t>21</t>
        </is>
      </c>
      <c r="F6187" t="inlineStr">
        <is>
          <t>0</t>
        </is>
      </c>
      <c r="G6187" t="inlineStr">
        <is>
          <t>0</t>
        </is>
      </c>
      <c r="H6187" t="inlineStr">
        <is>
          <t>42², 84²</t>
        </is>
      </c>
      <c r="I6187" t="n">
        <v>4</v>
      </c>
      <c r="J6187" t="inlineStr">
        <is>
          <t>2³, 6⁶</t>
        </is>
      </c>
      <c r="K6187">
        <f>HYPERLINK("CSG6.html#group28B6", "28B⁶"), =HYPERLINK("CSG7.html#group84B7", "84B⁷"), =HYPERLINK("CSG9.html#group84B9", "84B⁹"), =HYPERLINK("CSG10.html#group42C10", "42C¹⁰")</f>
        <v/>
      </c>
      <c r="L6187" t="inlineStr"/>
      <c r="M6187">
        <f>HYPERLINK("CSG0.html#group2A0", "2A⁰"), =HYPERLINK("CSG6.html#group28B6", "28B⁶"), =HYPERLINK("CSG1.html#group14B1", "14B¹"), =HYPERLINK("CSG3.html#group14B3", "14B³"), =HYPERLINK("CSG0.html#group2C0", "2C⁰"), =HYPERLINK("CSG1.html#group6C1", "6C¹"), =HYPERLINK("CSG1.html#group14A1", "14A¹"), =HYPERLINK("CSG0.html#group21A0", "21A⁰"), =HYPERLINK("CSG0.html#group2B0", "2B⁰"), =HYPERLINK("CSG4.html#group42A4", "42A⁴"), =HYPERLINK("CSG0.html#group1A0", "1A⁰"), =HYPERLINK("CSG10.html#group42C10", "42C¹⁰"), =HYPERLINK("CSG7.html#group84B7", "84B⁷"), =HYPERLINK("CSG0.html#group6A0", "6A⁰"), =HYPERLINK("CSG3.html#group42A3", "42A³"), =HYPERLINK("CSG0.html#group6D0", "6D⁰"), =HYPERLINK("CSG9.html#group84B9", "84B⁹"), =HYPERLINK("CSG1.html#group6A1", "6A¹"), =HYPERLINK("CSG3.html#group28B3", "28B³"), =HYPERLINK("CSG0.html#group3A0", "3A⁰"), =HYPERLINK("CSG3.html#group42C3", "42C³"), =HYPERLINK("CSG2.html#group28B2", "28B²"), =HYPERLINK("CSG0.html#group7A0", "7A⁰")</f>
        <v/>
      </c>
      <c r="N6187" t="inlineStr"/>
    </row>
    <row r="6188">
      <c r="A6188" t="inlineStr">
        <is>
          <t>84C²⁰</t>
        </is>
      </c>
      <c r="B6188" t="inlineStr"/>
      <c r="C6188" t="inlineStr">
        <is>
          <t>252</t>
        </is>
      </c>
      <c r="D6188" t="inlineStr">
        <is>
          <t>2</t>
        </is>
      </c>
      <c r="E6188" t="inlineStr">
        <is>
          <t>21</t>
        </is>
      </c>
      <c r="F6188" t="inlineStr">
        <is>
          <t>0</t>
        </is>
      </c>
      <c r="G6188" t="inlineStr">
        <is>
          <t>0</t>
        </is>
      </c>
      <c r="H6188" t="inlineStr">
        <is>
          <t>42², 84²</t>
        </is>
      </c>
      <c r="I6188" t="n">
        <v>4</v>
      </c>
      <c r="J6188" t="inlineStr">
        <is>
          <t>2³, 6⁶</t>
        </is>
      </c>
      <c r="K6188">
        <f>HYPERLINK("CSG2.html#group12B2", "12B²"), =HYPERLINK("CSG6.html#group28C6", "28C⁶"), =HYPERLINK("CSG6.html#group84B6", "84B⁶"), =HYPERLINK("CSG10.html#group42C10", "42C¹⁰"), =HYPERLINK("CSG10.html#group84A10", "84A¹⁰")</f>
        <v/>
      </c>
      <c r="L6188" t="inlineStr"/>
      <c r="M6188">
        <f>HYPERLINK("CSG0.html#group2A0", "2A⁰"), =HYPERLINK("CSG0.html#group12C0", "12C⁰"), =HYPERLINK("CSG10.html#group84A10", "84A¹⁰"), =HYPERLINK("CSG1.html#group14B1", "14B¹"), =HYPERLINK("CSG3.html#group14B3", "14B³"), =HYPERLINK("CSG0.html#group2C0", "2C⁰"), =HYPERLINK("CSG1.html#group6C1", "6C¹"), =HYPERLINK("CSG0.html#group4C0", "4C⁰"), =HYPERLINK("CSG2.html#group12B2", "12B²"), =HYPERLINK("CSG0.html#group21A0", "21A⁰"), =HYPERLINK("CSG3.html#group28A3", "28A³"), =HYPERLINK("CSG1.html#group14A1", "14A¹"), =HYPERLINK("CSG0.html#group2B0", "2B⁰"), =HYPERLINK("CSG0.html#group4E0", "4E⁰"), =HYPERLINK("CSG4.html#group42A4", "42A⁴"), =HYPERLINK("CSG0.html#group4B0", "4B⁰"), =HYPERLINK("CSG0.html#group1A0", "1A⁰"), =HYPERLINK("CSG10.html#group42C10", "42C¹⁰"), =HYPERLINK("CSG2.html#group28C2", "28C²"), =HYPERLINK("CSG0.html#group6A0", "6A⁰"), =HYPERLINK("CSG3.html#group42A3", "42A³"), =HYPERLINK("CSG1.html#group12B1", "12B¹"), =HYPERLINK("CSG6.html#group28C6", "28C⁶"), =HYPERLINK("CSG1.html#group6A1", "6A¹"), =HYPERLINK("CSG0.html#group3A0", "3A⁰"), =HYPERLINK("CSG3.html#group42C3", "42C³"), =HYPERLINK("CSG6.html#group84B6", "84B⁶"), =HYPERLINK("CSG0.html#group6D0", "6D⁰"), =HYPERLINK("CSG0.html#group7A0", "7A⁰")</f>
        <v/>
      </c>
      <c r="N6188" t="inlineStr"/>
    </row>
    <row r="6189">
      <c r="A6189" t="inlineStr">
        <is>
          <t>84D²⁰</t>
        </is>
      </c>
      <c r="B6189" t="inlineStr"/>
      <c r="C6189" t="inlineStr">
        <is>
          <t>252</t>
        </is>
      </c>
      <c r="D6189" t="inlineStr">
        <is>
          <t>2</t>
        </is>
      </c>
      <c r="E6189" t="inlineStr">
        <is>
          <t>63</t>
        </is>
      </c>
      <c r="F6189" t="inlineStr">
        <is>
          <t>0</t>
        </is>
      </c>
      <c r="G6189" t="inlineStr">
        <is>
          <t>0</t>
        </is>
      </c>
      <c r="H6189" t="inlineStr">
        <is>
          <t>42², 84²</t>
        </is>
      </c>
      <c r="I6189" t="n">
        <v>4</v>
      </c>
      <c r="J6189" t="inlineStr">
        <is>
          <t>2³, 4³, 6⁶, 12⁶</t>
        </is>
      </c>
      <c r="K6189">
        <f>HYPERLINK("CSG2.html#group12C2", "12C²"), =HYPERLINK("CSG8.html#group42C8", "42C⁸"), =HYPERLINK("CSG9.html#group84C9", "84C⁹")</f>
        <v/>
      </c>
      <c r="L6189" t="inlineStr"/>
      <c r="M6189">
        <f>HYPERLINK("CSG2.html#group21D2", "21D²"), =HYPERLINK("CSG1.html#group14B1", "14B¹"), =HYPERLINK("CSG0.html#group6G0", "6G⁰"), =HYPERLINK("CSG0.html#group21A0", "21A⁰"), =HYPERLINK("CSG0.html#group2B0", "2B⁰"), =HYPERLINK("CSG0.html#group1A0", "1A⁰"), =HYPERLINK("CSG9.html#group84C9", "84C⁹"), =HYPERLINK("CSG1.html#group12C1", "12C¹"), =HYPERLINK("CSG0.html#group3C0", "3C⁰"), =HYPERLINK("CSG8.html#group42C8", "42C⁸"), =HYPERLINK("CSG0.html#group3A0", "3A⁰"), =HYPERLINK("CSG2.html#group12C2", "12C²"), =HYPERLINK("CSG3.html#group42C3", "42C³"), =HYPERLINK("CSG0.html#group6D0", "6D⁰"), =HYPERLINK("CSG0.html#group7A0", "7A⁰")</f>
        <v/>
      </c>
      <c r="N6189" t="inlineStr"/>
    </row>
    <row r="6190">
      <c r="A6190" t="inlineStr">
        <is>
          <t>84E²⁰</t>
        </is>
      </c>
      <c r="B6190" t="inlineStr"/>
      <c r="C6190" t="inlineStr">
        <is>
          <t>252</t>
        </is>
      </c>
      <c r="D6190" t="inlineStr">
        <is>
          <t>2</t>
        </is>
      </c>
      <c r="E6190" t="inlineStr">
        <is>
          <t>63</t>
        </is>
      </c>
      <c r="F6190" t="inlineStr">
        <is>
          <t>0</t>
        </is>
      </c>
      <c r="G6190" t="inlineStr">
        <is>
          <t>0</t>
        </is>
      </c>
      <c r="H6190" t="inlineStr">
        <is>
          <t>42², 84²</t>
        </is>
      </c>
      <c r="I6190" t="n">
        <v>4</v>
      </c>
      <c r="J6190" t="inlineStr">
        <is>
          <t>2³, 4³, 6⁶, 12⁶</t>
        </is>
      </c>
      <c r="K6190">
        <f>HYPERLINK("CSG8.html#group42D8", "42D⁸"), =HYPERLINK("CSG8.html#group84G8", "84G⁸"), =HYPERLINK("CSG10.html#group84A10", "84A¹⁰")</f>
        <v/>
      </c>
      <c r="L6190" t="inlineStr"/>
      <c r="M6190">
        <f>HYPERLINK("CSG10.html#group84A10", "84A¹⁰"), =HYPERLINK("CSG8.html#group42D8", "42D⁸"), =HYPERLINK("CSG1.html#group14B1", "14B¹"), =HYPERLINK("CSG8.html#group84G8", "84G⁸"), =HYPERLINK("CSG0.html#group21A0", "21A⁰"), =HYPERLINK("CSG3.html#group28A3", "28A³"), =HYPERLINK("CSG0.html#group2B0", "2B⁰"), =HYPERLINK("CSG0.html#group4B0", "4B⁰"), =HYPERLINK("CSG0.html#group1A0", "1A⁰"), =HYPERLINK("CSG2.html#group42A2", "42A²"), =HYPERLINK("CSG1.html#group12B1", "12B¹"), =HYPERLINK("CSG0.html#group3A0", "3A⁰"), =HYPERLINK("CSG3.html#group42C3", "42C³"), =HYPERLINK("CSG0.html#group6D0", "6D⁰"), =HYPERLINK("CSG0.html#group7A0", "7A⁰")</f>
        <v/>
      </c>
      <c r="N6190" t="inlineStr"/>
    </row>
    <row r="6191">
      <c r="A6191" t="inlineStr">
        <is>
          <t>84F²⁰</t>
        </is>
      </c>
      <c r="B6191" t="inlineStr"/>
      <c r="C6191" t="inlineStr">
        <is>
          <t>252</t>
        </is>
      </c>
      <c r="D6191" t="inlineStr">
        <is>
          <t>2</t>
        </is>
      </c>
      <c r="E6191" t="inlineStr">
        <is>
          <t>63</t>
        </is>
      </c>
      <c r="F6191" t="inlineStr">
        <is>
          <t>0</t>
        </is>
      </c>
      <c r="G6191" t="inlineStr">
        <is>
          <t>0</t>
        </is>
      </c>
      <c r="H6191" t="inlineStr">
        <is>
          <t>42², 84²</t>
        </is>
      </c>
      <c r="I6191" t="n">
        <v>4</v>
      </c>
      <c r="J6191" t="inlineStr">
        <is>
          <t>2³, 4³, 6⁶, 12⁶</t>
        </is>
      </c>
      <c r="K6191">
        <f>HYPERLINK("CSG8.html#group84F8", "84F⁸"), =HYPERLINK("CSG8.html#group84G8", "84G⁸"), =HYPERLINK("CSG10.html#group42C10", "42C¹⁰")</f>
        <v/>
      </c>
      <c r="L6191" t="inlineStr"/>
      <c r="M6191">
        <f>HYPERLINK("CSG0.html#group2A0", "2A⁰"), =HYPERLINK("CSG3.html#group14B3", "14B³"), =HYPERLINK("CSG1.html#group14B1", "14B¹"), =HYPERLINK("CSG8.html#group84G8", "84G⁸"), =HYPERLINK("CSG1.html#group6C1", "6C¹"), =HYPERLINK("CSG1.html#group14A1", "14A¹"), =HYPERLINK("CSG0.html#group21A0", "21A⁰"), =HYPERLINK("CSG0.html#group2B0", "2B⁰"), =HYPERLINK("CSG4.html#group42A4", "42A⁴"), =HYPERLINK("CSG8.html#group84F8", "84F⁸"), =HYPERLINK("CSG0.html#group1A0", "1A⁰"), =HYPERLINK("CSG10.html#group42C10", "42C¹⁰"), =HYPERLINK("CSG0.html#group6A0", "6A⁰"), =HYPERLINK("CSG3.html#group42A3", "42A³"), =HYPERLINK("CSG1.html#group6A1", "6A¹"), =HYPERLINK("CSG0.html#group3A0", "3A⁰"), =HYPERLINK("CSG0.html#group2C0", "2C⁰"), =HYPERLINK("CSG0.html#group6D0", "6D⁰"), =HYPERLINK("CSG0.html#group7A0", "7A⁰"), =HYPERLINK("CSG3.html#group42C3", "42C³")</f>
        <v/>
      </c>
      <c r="N6191" t="inlineStr"/>
    </row>
    <row r="6192">
      <c r="A6192" t="inlineStr">
        <is>
          <t>84G²⁰</t>
        </is>
      </c>
      <c r="B6192" t="inlineStr"/>
      <c r="C6192" t="inlineStr">
        <is>
          <t>252</t>
        </is>
      </c>
      <c r="D6192" t="inlineStr">
        <is>
          <t>2</t>
        </is>
      </c>
      <c r="E6192" t="inlineStr">
        <is>
          <t>63</t>
        </is>
      </c>
      <c r="F6192" t="inlineStr">
        <is>
          <t>0</t>
        </is>
      </c>
      <c r="G6192" t="inlineStr">
        <is>
          <t>0</t>
        </is>
      </c>
      <c r="H6192" t="inlineStr">
        <is>
          <t>42², 84²</t>
        </is>
      </c>
      <c r="I6192" t="n">
        <v>4</v>
      </c>
      <c r="J6192" t="inlineStr">
        <is>
          <t>2³, 4³, 6⁶, 12⁶</t>
        </is>
      </c>
      <c r="K6192">
        <f>HYPERLINK("CSG2.html#group12D2", "12D²"), =HYPERLINK("CSG7.html#group42L7", "42L⁷"), =HYPERLINK("CSG9.html#group84C9", "84C⁹"), =HYPERLINK("CSG10.html#group84A10", "84A¹⁰")</f>
        <v/>
      </c>
      <c r="L6192" t="inlineStr"/>
      <c r="M6192">
        <f>HYPERLINK("CSG0.html#group6B0", "6B⁰"), =HYPERLINK("CSG1.html#group42B1", "42B¹"), =HYPERLINK("CSG10.html#group84A10", "84A¹⁰"), =HYPERLINK("CSG1.html#group14B1", "14B¹"), =HYPERLINK("CSG2.html#group12D2", "12D²"), =HYPERLINK("CSG0.html#group21A0", "21A⁰"), =HYPERLINK("CSG3.html#group28A3", "28A³"), =HYPERLINK("CSG0.html#group2B0", "2B⁰"), =HYPERLINK("CSG0.html#group4B0", "4B⁰"), =HYPERLINK("CSG0.html#group1A0", "1A⁰"), =HYPERLINK("CSG9.html#group84C9", "84C⁹"), =HYPERLINK("CSG1.html#group12C1", "12C¹"), =HYPERLINK("CSG7.html#group42L7", "42L⁷"), =HYPERLINK("CSG1.html#group12B1", "12B¹"), =HYPERLINK("CSG0.html#group6H0", "6H⁰"), =HYPERLINK("CSG0.html#group3A0", "3A⁰"), =HYPERLINK("CSG3.html#group42C3", "42C³"), =HYPERLINK("CSG0.html#group6D0", "6D⁰"), =HYPERLINK("CSG0.html#group7A0", "7A⁰")</f>
        <v/>
      </c>
      <c r="N6192" t="inlineStr"/>
    </row>
    <row r="6193">
      <c r="A6193" t="inlineStr">
        <is>
          <t>84H²⁰</t>
        </is>
      </c>
      <c r="B6193" t="inlineStr"/>
      <c r="C6193" t="inlineStr">
        <is>
          <t>252</t>
        </is>
      </c>
      <c r="D6193" t="inlineStr">
        <is>
          <t>2</t>
        </is>
      </c>
      <c r="E6193" t="inlineStr">
        <is>
          <t>63</t>
        </is>
      </c>
      <c r="F6193" t="inlineStr">
        <is>
          <t>0</t>
        </is>
      </c>
      <c r="G6193" t="inlineStr">
        <is>
          <t>0</t>
        </is>
      </c>
      <c r="H6193" t="inlineStr">
        <is>
          <t>42², 84²</t>
        </is>
      </c>
      <c r="I6193" t="n">
        <v>4</v>
      </c>
      <c r="J6193" t="inlineStr">
        <is>
          <t>2³, 4³, 6⁶, 12⁶</t>
        </is>
      </c>
      <c r="K6193">
        <f>HYPERLINK("CSG2.html#group12E2", "12E²"), =HYPERLINK("CSG7.html#group84C7", "84C⁷"), =HYPERLINK("CSG9.html#group84C9", "84C⁹"), =HYPERLINK("CSG10.html#group42C10", "42C¹⁰")</f>
        <v/>
      </c>
      <c r="L6193" t="inlineStr"/>
      <c r="M6193">
        <f>HYPERLINK("CSG0.html#group2A0", "2A⁰"), =HYPERLINK("CSG1.html#group14B1", "14B¹"), =HYPERLINK("CSG3.html#group14B3", "14B³"), =HYPERLINK("CSG1.html#group6C1", "6C¹"), =HYPERLINK("CSG1.html#group14A1", "14A¹"), =HYPERLINK("CSG2.html#group12E2", "12E²"), =HYPERLINK("CSG0.html#group21A0", "21A⁰"), =HYPERLINK("CSG0.html#group2B0", "2B⁰"), =HYPERLINK("CSG4.html#group42A4", "42A⁴"), =HYPERLINK("CSG0.html#group1A0", "1A⁰"), =HYPERLINK("CSG9.html#group84C9", "84C⁹"), =HYPERLINK("CSG10.html#group42C10", "42C¹⁰"), =HYPERLINK("CSG1.html#group12C1", "12C¹"), =HYPERLINK("CSG0.html#group6A0", "6A⁰"), =HYPERLINK("CSG7.html#group84C7", "84C⁷"), =HYPERLINK("CSG3.html#group42A3", "42A³"), =HYPERLINK("CSG1.html#group6A1", "6A¹"), =HYPERLINK("CSG0.html#group12D0", "12D⁰"), =HYPERLINK("CSG0.html#group3A0", "3A⁰"), =HYPERLINK("CSG0.html#group2C0", "2C⁰"), =HYPERLINK("CSG0.html#group6D0", "6D⁰"), =HYPERLINK("CSG0.html#group7A0", "7A⁰"), =HYPERLINK("CSG3.html#group42C3", "42C³")</f>
        <v/>
      </c>
      <c r="N6193" t="inlineStr"/>
    </row>
    <row r="6194">
      <c r="A6194" t="inlineStr">
        <is>
          <t>84I²⁰</t>
        </is>
      </c>
      <c r="B6194" t="inlineStr"/>
      <c r="C6194" t="inlineStr">
        <is>
          <t>288</t>
        </is>
      </c>
      <c r="D6194" t="inlineStr">
        <is>
          <t>1</t>
        </is>
      </c>
      <c r="E6194" t="inlineStr">
        <is>
          <t>24</t>
        </is>
      </c>
      <c r="F6194" t="inlineStr">
        <is>
          <t>0</t>
        </is>
      </c>
      <c r="G6194" t="inlineStr">
        <is>
          <t>0</t>
        </is>
      </c>
      <c r="H6194" t="inlineStr">
        <is>
          <t>6⁴, 12¹, 42⁴, 84¹</t>
        </is>
      </c>
      <c r="I6194" t="n">
        <v>10</v>
      </c>
      <c r="J6194" t="inlineStr">
        <is>
          <t>1⁶, 6³</t>
        </is>
      </c>
      <c r="K6194">
        <f>HYPERLINK("CSG4.html#group28D4", "28D⁴"), =HYPERLINK("CSG10.html#group42E10", "42E¹⁰")</f>
        <v/>
      </c>
      <c r="L6194" t="inlineStr"/>
      <c r="M6194">
        <f>HYPERLINK("CSG0.html#group2A0", "2A⁰"), =HYPERLINK("CSG1.html#group6C1", "6C¹"), =HYPERLINK("CSG10.html#group42E10", "42E¹⁰"), =HYPERLINK("CSG0.html#group2B0", "2B⁰"), =HYPERLINK("CSG2.html#group14E2", "14E²"), =HYPERLINK("CSG0.html#group1A0", "1A⁰"), =HYPERLINK("CSG4.html#group28D4", "28D⁴"), =HYPERLINK("CSG2.html#group42B2", "42B²"), =HYPERLINK("CSG0.html#group6A0", "6A⁰"), =HYPERLINK("CSG4.html#group42B4", "42B⁴"), =HYPERLINK("CSG2.html#group21A2", "21A²"), =HYPERLINK("CSG5.html#group42A5", "42A⁵"), =HYPERLINK("CSG0.html#group7B0", "7B⁰"), =HYPERLINK("CSG0.html#group14B0", "14B⁰"), =HYPERLINK("CSG1.html#group14C1", "14C¹"), =HYPERLINK("CSG1.html#group6A1", "6A¹"), =HYPERLINK("CSG0.html#group3A0", "3A⁰"), =HYPERLINK("CSG0.html#group2C0", "2C⁰"), =HYPERLINK("CSG0.html#group6D0", "6D⁰")</f>
        <v/>
      </c>
      <c r="N6194" t="inlineStr"/>
    </row>
    <row r="6195">
      <c r="A6195" t="inlineStr">
        <is>
          <t>84J²⁰</t>
        </is>
      </c>
      <c r="B6195" t="inlineStr"/>
      <c r="C6195" t="inlineStr">
        <is>
          <t>288</t>
        </is>
      </c>
      <c r="D6195" t="inlineStr">
        <is>
          <t>1</t>
        </is>
      </c>
      <c r="E6195" t="inlineStr">
        <is>
          <t>48</t>
        </is>
      </c>
      <c r="F6195" t="inlineStr">
        <is>
          <t>0</t>
        </is>
      </c>
      <c r="G6195" t="inlineStr">
        <is>
          <t>0</t>
        </is>
      </c>
      <c r="H6195" t="inlineStr">
        <is>
          <t>3², 6¹, 12², 21², 42¹, 84²</t>
        </is>
      </c>
      <c r="I6195" t="n">
        <v>10</v>
      </c>
      <c r="J6195" t="inlineStr">
        <is>
          <t>1⁸, 2², 6⁴, 12¹</t>
        </is>
      </c>
      <c r="K6195">
        <f>HYPERLINK("CSG4.html#group28E4", "28E⁴"), =HYPERLINK("CSG10.html#group84B10", "84B¹⁰")</f>
        <v/>
      </c>
      <c r="L6195" t="inlineStr"/>
      <c r="M6195">
        <f>HYPERLINK("CSG4.html#group28E4", "28E⁴"), =HYPERLINK("CSG0.html#group3A0", "3A⁰"), =HYPERLINK("CSG2.html#group21A2", "21A²"), =HYPERLINK("CSG10.html#group84B10", "84B¹⁰"), =HYPERLINK("CSG5.html#group42A5", "42A⁵"), =HYPERLINK("CSG0.html#group7B0", "7B⁰"), =HYPERLINK("CSG2.html#group28D2", "28D²"), =HYPERLINK("CSG1.html#group14C1", "14C¹"), =HYPERLINK("CSG1.html#group12B1", "12B¹"), =HYPERLINK("CSG0.html#group2B0", "2B⁰"), =HYPERLINK("CSG0.html#group4B0", "4B⁰"), =HYPERLINK("CSG0.html#group1A0", "1A⁰"), =HYPERLINK("CSG0.html#group6D0", "6D⁰")</f>
        <v/>
      </c>
      <c r="N6195" t="inlineStr"/>
    </row>
    <row r="6196">
      <c r="A6196" t="inlineStr">
        <is>
          <t>84K²⁰</t>
        </is>
      </c>
      <c r="B6196" t="inlineStr"/>
      <c r="C6196" t="inlineStr">
        <is>
          <t>288</t>
        </is>
      </c>
      <c r="D6196" t="inlineStr">
        <is>
          <t>1</t>
        </is>
      </c>
      <c r="E6196" t="inlineStr">
        <is>
          <t>72</t>
        </is>
      </c>
      <c r="F6196" t="inlineStr">
        <is>
          <t>0</t>
        </is>
      </c>
      <c r="G6196" t="inlineStr">
        <is>
          <t>0</t>
        </is>
      </c>
      <c r="H6196" t="inlineStr">
        <is>
          <t>6⁴, 12¹, 42⁴, 84¹</t>
        </is>
      </c>
      <c r="I6196" t="n">
        <v>10</v>
      </c>
      <c r="J6196" t="inlineStr">
        <is>
          <t>1⁶, 2⁶, 6³, 12³</t>
        </is>
      </c>
      <c r="K6196">
        <f>HYPERLINK("CSG10.html#group42E10", "42E¹⁰")</f>
        <v/>
      </c>
      <c r="L6196" t="inlineStr"/>
      <c r="M6196">
        <f>HYPERLINK("CSG0.html#group2A0", "2A⁰"), =HYPERLINK("CSG1.html#group6C1", "6C¹"), =HYPERLINK("CSG10.html#group42E10", "42E¹⁰"), =HYPERLINK("CSG0.html#group2B0", "2B⁰"), =HYPERLINK("CSG2.html#group14E2", "14E²"), =HYPERLINK("CSG0.html#group1A0", "1A⁰"), =HYPERLINK("CSG2.html#group42B2", "42B²"), =HYPERLINK("CSG0.html#group6A0", "6A⁰"), =HYPERLINK("CSG4.html#group42B4", "42B⁴"), =HYPERLINK("CSG2.html#group21A2", "21A²"), =HYPERLINK("CSG5.html#group42A5", "42A⁵"), =HYPERLINK("CSG0.html#group7B0", "7B⁰"), =HYPERLINK("CSG0.html#group14B0", "14B⁰"), =HYPERLINK("CSG1.html#group14C1", "14C¹"), =HYPERLINK("CSG1.html#group6A1", "6A¹"), =HYPERLINK("CSG0.html#group3A0", "3A⁰"), =HYPERLINK("CSG0.html#group2C0", "2C⁰"), =HYPERLINK("CSG0.html#group6D0", "6D⁰")</f>
        <v/>
      </c>
      <c r="N6196" t="inlineStr"/>
    </row>
    <row r="6197">
      <c r="A6197" t="inlineStr">
        <is>
          <t>84L²⁰</t>
        </is>
      </c>
      <c r="B6197" t="inlineStr"/>
      <c r="C6197" t="inlineStr">
        <is>
          <t>288</t>
        </is>
      </c>
      <c r="D6197" t="inlineStr">
        <is>
          <t>1</t>
        </is>
      </c>
      <c r="E6197" t="inlineStr">
        <is>
          <t>144</t>
        </is>
      </c>
      <c r="F6197" t="inlineStr">
        <is>
          <t>0</t>
        </is>
      </c>
      <c r="G6197" t="inlineStr">
        <is>
          <t>0</t>
        </is>
      </c>
      <c r="H6197" t="inlineStr">
        <is>
          <t>3², 6¹, 12², 21², 42¹, 84²</t>
        </is>
      </c>
      <c r="I6197" t="n">
        <v>10</v>
      </c>
      <c r="J6197" t="inlineStr">
        <is>
          <t>1⁸, 2¹⁰, 4², 6⁴, 12⁵, 24¹</t>
        </is>
      </c>
      <c r="K6197">
        <f>HYPERLINK("CSG10.html#group84B10", "84B¹⁰")</f>
        <v/>
      </c>
      <c r="L6197" t="inlineStr"/>
      <c r="M6197">
        <f>HYPERLINK("CSG0.html#group3A0", "3A⁰"), =HYPERLINK("CSG2.html#group21A2", "21A²"), =HYPERLINK("CSG10.html#group84B10", "84B¹⁰"), =HYPERLINK("CSG5.html#group42A5", "42A⁵"), =HYPERLINK("CSG0.html#group7B0", "7B⁰"), =HYPERLINK("CSG2.html#group28D2", "28D²"), =HYPERLINK("CSG1.html#group14C1", "14C¹"), =HYPERLINK("CSG1.html#group12B1", "12B¹"), =HYPERLINK("CSG0.html#group2B0", "2B⁰"), =HYPERLINK("CSG0.html#group4B0", "4B⁰"), =HYPERLINK("CSG0.html#group1A0", "1A⁰"), =HYPERLINK("CSG0.html#group6D0", "6D⁰")</f>
        <v/>
      </c>
      <c r="N6197" t="inlineStr"/>
    </row>
    <row r="6198">
      <c r="A6198" t="inlineStr">
        <is>
          <t>84M²⁰</t>
        </is>
      </c>
      <c r="B6198" t="inlineStr"/>
      <c r="C6198" t="inlineStr">
        <is>
          <t>288</t>
        </is>
      </c>
      <c r="D6198" t="inlineStr">
        <is>
          <t>2</t>
        </is>
      </c>
      <c r="E6198" t="inlineStr">
        <is>
          <t>24</t>
        </is>
      </c>
      <c r="F6198" t="inlineStr">
        <is>
          <t>0</t>
        </is>
      </c>
      <c r="G6198" t="inlineStr">
        <is>
          <t>0</t>
        </is>
      </c>
      <c r="H6198" t="inlineStr">
        <is>
          <t>6⁴, 12¹, 42⁴, 84¹</t>
        </is>
      </c>
      <c r="I6198" t="n">
        <v>10</v>
      </c>
      <c r="J6198" t="inlineStr">
        <is>
          <t>2⁶, 12³</t>
        </is>
      </c>
      <c r="K6198">
        <f>HYPERLINK("CSG4.html#group28D4", "28D⁴"), =HYPERLINK("CSG10.html#group42J10", "42J¹⁰")</f>
        <v/>
      </c>
      <c r="L6198" t="inlineStr"/>
      <c r="M6198">
        <f>HYPERLINK("CSG0.html#group2A0", "2A⁰"), =HYPERLINK("CSG10.html#group42J10", "42J¹⁰"), =HYPERLINK("CSG5.html#group42B5", "42B⁵"), =HYPERLINK("CSG0.html#group7B0", "7B⁰"), =HYPERLINK("CSG0.html#group14B0", "14B⁰"), =HYPERLINK("CSG2.html#group42C2", "42C²"), =HYPERLINK("CSG1.html#group14C1", "14C¹"), =HYPERLINK("CSG0.html#group2B0", "2B⁰"), =HYPERLINK("CSG2.html#group14E2", "14E²"), =HYPERLINK("CSG0.html#group1A0", "1A⁰"), =HYPERLINK("CSG0.html#group2C0", "2C⁰"), =HYPERLINK("CSG4.html#group28D4", "28D⁴"), =HYPERLINK("CSG3.html#group42B3", "42B³"), =HYPERLINK("CSG1.html#group21A1", "21A¹")</f>
        <v/>
      </c>
      <c r="N6198" t="inlineStr"/>
    </row>
    <row r="6199">
      <c r="A6199" t="inlineStr">
        <is>
          <t>84N²⁰</t>
        </is>
      </c>
      <c r="B6199" t="inlineStr"/>
      <c r="C6199" t="inlineStr">
        <is>
          <t>288</t>
        </is>
      </c>
      <c r="D6199" t="inlineStr">
        <is>
          <t>2</t>
        </is>
      </c>
      <c r="E6199" t="inlineStr">
        <is>
          <t>48</t>
        </is>
      </c>
      <c r="F6199" t="inlineStr">
        <is>
          <t>0</t>
        </is>
      </c>
      <c r="G6199" t="inlineStr">
        <is>
          <t>0</t>
        </is>
      </c>
      <c r="H6199" t="inlineStr">
        <is>
          <t>3², 6¹, 12², 21², 42¹, 84²</t>
        </is>
      </c>
      <c r="I6199" t="n">
        <v>10</v>
      </c>
      <c r="J6199" t="inlineStr">
        <is>
          <t>2⁸, 4², 12⁴, 24¹</t>
        </is>
      </c>
      <c r="K6199">
        <f>HYPERLINK("CSG4.html#group28E4", "28E⁴"), =HYPERLINK("CSG10.html#group84D10", "84D¹⁰")</f>
        <v/>
      </c>
      <c r="L6199" t="inlineStr"/>
      <c r="M6199">
        <f>HYPERLINK("CSG4.html#group28E4", "28E⁴"), =HYPERLINK("CSG5.html#group42B5", "42B⁵"), =HYPERLINK("CSG0.html#group7B0", "7B⁰"), =HYPERLINK("CSG2.html#group28D2", "28D²"), =HYPERLINK("CSG1.html#group14C1", "14C¹"), =HYPERLINK("CSG0.html#group2B0", "2B⁰"), =HYPERLINK("CSG0.html#group4B0", "4B⁰"), =HYPERLINK("CSG10.html#group84D10", "84D¹⁰"), =HYPERLINK("CSG0.html#group1A0", "1A⁰"), =HYPERLINK("CSG1.html#group21A1", "21A¹")</f>
        <v/>
      </c>
      <c r="N6199" t="inlineStr"/>
    </row>
    <row r="6200">
      <c r="A6200" t="inlineStr">
        <is>
          <t>86A²⁰</t>
        </is>
      </c>
      <c r="B6200" t="inlineStr"/>
      <c r="C6200" t="inlineStr">
        <is>
          <t>264</t>
        </is>
      </c>
      <c r="D6200" t="inlineStr">
        <is>
          <t>1</t>
        </is>
      </c>
      <c r="E6200" t="inlineStr">
        <is>
          <t>44</t>
        </is>
      </c>
      <c r="F6200" t="inlineStr">
        <is>
          <t>0</t>
        </is>
      </c>
      <c r="G6200" t="inlineStr">
        <is>
          <t>0</t>
        </is>
      </c>
      <c r="H6200" t="inlineStr">
        <is>
          <t>2³, 86³</t>
        </is>
      </c>
      <c r="I6200" t="n">
        <v>6</v>
      </c>
      <c r="J6200" t="inlineStr">
        <is>
          <t>1², 42¹</t>
        </is>
      </c>
      <c r="K6200">
        <f>HYPERLINK("CSG6.html#group86A6", "86A⁶"), =HYPERLINK("CSG9.html#group43A9", "43A⁹")</f>
        <v/>
      </c>
      <c r="L6200" t="inlineStr"/>
      <c r="M6200">
        <f>HYPERLINK("CSG0.html#group2A0", "2A⁰"), =HYPERLINK("CSG6.html#group86A6", "86A⁶"), =HYPERLINK("CSG9.html#group43A9", "43A⁹"), =HYPERLINK("CSG0.html#group1A0", "1A⁰"), =HYPERLINK("CSG3.html#group43A3", "43A³")</f>
        <v/>
      </c>
      <c r="N6200" t="inlineStr"/>
    </row>
    <row r="6201">
      <c r="A6201" t="inlineStr">
        <is>
          <t>86B²⁰</t>
        </is>
      </c>
      <c r="B6201" t="inlineStr"/>
      <c r="C6201" t="inlineStr">
        <is>
          <t>264</t>
        </is>
      </c>
      <c r="D6201" t="inlineStr">
        <is>
          <t>1</t>
        </is>
      </c>
      <c r="E6201" t="inlineStr">
        <is>
          <t>44</t>
        </is>
      </c>
      <c r="F6201" t="inlineStr">
        <is>
          <t>0</t>
        </is>
      </c>
      <c r="G6201" t="inlineStr">
        <is>
          <t>0</t>
        </is>
      </c>
      <c r="H6201" t="inlineStr">
        <is>
          <t>2³, 86³</t>
        </is>
      </c>
      <c r="I6201" t="n">
        <v>6</v>
      </c>
      <c r="J6201" t="inlineStr">
        <is>
          <t>1², 42¹</t>
        </is>
      </c>
      <c r="K6201">
        <f>HYPERLINK("CSG0.html#group2C0", "2C⁰"), =HYPERLINK("CSG6.html#group86A6", "86A⁶"), =HYPERLINK("CSG10.html#group86A10", "86A¹⁰")</f>
        <v/>
      </c>
      <c r="L6201" t="inlineStr"/>
      <c r="M6201">
        <f>HYPERLINK("CSG0.html#group2A0", "2A⁰"), =HYPERLINK("CSG3.html#group43A3", "43A³"), =HYPERLINK("CSG6.html#group86A6", "86A⁶"), =HYPERLINK("CSG0.html#group2B0", "2B⁰"), =HYPERLINK("CSG0.html#group1A0", "1A⁰"), =HYPERLINK("CSG0.html#group2C0", "2C⁰"), =HYPERLINK("CSG10.html#group86A10", "86A¹⁰")</f>
        <v/>
      </c>
      <c r="N6201" t="inlineStr"/>
    </row>
    <row r="6202">
      <c r="A6202" t="inlineStr">
        <is>
          <t>88A²⁰</t>
        </is>
      </c>
      <c r="B6202" t="inlineStr"/>
      <c r="C6202" t="inlineStr">
        <is>
          <t>264</t>
        </is>
      </c>
      <c r="D6202" t="inlineStr">
        <is>
          <t>2</t>
        </is>
      </c>
      <c r="E6202" t="inlineStr">
        <is>
          <t>33</t>
        </is>
      </c>
      <c r="F6202" t="inlineStr">
        <is>
          <t>0</t>
        </is>
      </c>
      <c r="G6202" t="inlineStr">
        <is>
          <t>0</t>
        </is>
      </c>
      <c r="H6202" t="inlineStr">
        <is>
          <t>22⁴, 88²</t>
        </is>
      </c>
      <c r="I6202" t="n">
        <v>6</v>
      </c>
      <c r="J6202" t="inlineStr">
        <is>
          <t>2³, 10⁶</t>
        </is>
      </c>
      <c r="K6202">
        <f>HYPERLINK("CSG0.html#group8G0", "8G⁰"), =HYPERLINK("CSG9.html#group88A9", "88A⁹"), =HYPERLINK("CSG10.html#group44A10", "44A¹⁰"), =HYPERLINK("CSG10.html#group88A10", "88A¹⁰")</f>
        <v/>
      </c>
      <c r="L6202" t="inlineStr"/>
      <c r="M6202">
        <f>HYPERLINK("CSG0.html#group2A0", "2A⁰"), =HYPERLINK("CSG10.html#group44A10", "44A¹⁰"), =HYPERLINK("CSG1.html#group22A1", "22A¹"), =HYPERLINK("CSG0.html#group8D0", "8D⁰"), =HYPERLINK("CSG4.html#group44C4", "44C⁴"), =HYPERLINK("CSG0.html#group4C0", "4C⁰"), =HYPERLINK("CSG0.html#group8C0", "8C⁰"), =HYPERLINK("CSG10.html#group88A10", "88A¹⁰"), =HYPERLINK("CSG0.html#group2B0", "2B⁰"), =HYPERLINK("CSG2.html#group22B2", "22B²"), =HYPERLINK("CSG0.html#group4B0", "4B⁰"), =HYPERLINK("CSG5.html#group44A5", "44A⁵"), =HYPERLINK("CSG0.html#group1A0", "1A⁰"), =HYPERLINK("CSG0.html#group4E0", "4E⁰"), =HYPERLINK("CSG9.html#group88A9", "88A⁹"), =HYPERLINK("CSG0.html#group11A0", "11A⁰"), =HYPERLINK("CSG0.html#group8G0", "8G⁰"), =HYPERLINK("CSG5.html#group22A5", "22A⁵"), =HYPERLINK("CSG0.html#group2C0", "2C⁰")</f>
        <v/>
      </c>
      <c r="N6202" t="inlineStr"/>
    </row>
    <row r="6203">
      <c r="A6203" t="inlineStr">
        <is>
          <t>88B²⁰</t>
        </is>
      </c>
      <c r="B6203" t="inlineStr"/>
      <c r="C6203" t="inlineStr">
        <is>
          <t>264</t>
        </is>
      </c>
      <c r="D6203" t="inlineStr">
        <is>
          <t>2</t>
        </is>
      </c>
      <c r="E6203" t="inlineStr">
        <is>
          <t>132</t>
        </is>
      </c>
      <c r="F6203" t="inlineStr">
        <is>
          <t>0</t>
        </is>
      </c>
      <c r="G6203" t="inlineStr">
        <is>
          <t>0</t>
        </is>
      </c>
      <c r="H6203" t="inlineStr">
        <is>
          <t>11², 22¹, 44¹, 88²</t>
        </is>
      </c>
      <c r="I6203" t="n">
        <v>6</v>
      </c>
      <c r="J6203" t="inlineStr">
        <is>
          <t>2⁴, 4², 8¹, 10⁸, 20⁴, 40²</t>
        </is>
      </c>
      <c r="K6203">
        <f>HYPERLINK("CSG0.html#group8I0", "8I⁰"), =HYPERLINK("CSG10.html#group88A10", "88A¹⁰")</f>
        <v/>
      </c>
      <c r="L6203" t="inlineStr"/>
      <c r="M6203">
        <f>HYPERLINK("CSG0.html#group11A0", "11A⁰"), =HYPERLINK("CSG0.html#group4B0", "4B⁰"), =HYPERLINK("CSG2.html#group22B2", "22B²"), =HYPERLINK("CSG0.html#group8C0", "8C⁰"), =HYPERLINK("CSG10.html#group88A10", "88A¹⁰"), =HYPERLINK("CSG0.html#group8I0", "8I⁰"), =HYPERLINK("CSG0.html#group2B0", "2B⁰"), =HYPERLINK("CSG5.html#group44A5", "44A⁵"), =HYPERLINK("CSG0.html#group1A0", "1A⁰")</f>
        <v/>
      </c>
      <c r="N6203" t="inlineStr"/>
    </row>
    <row r="6204">
      <c r="A6204" t="inlineStr">
        <is>
          <t>88C²⁰</t>
        </is>
      </c>
      <c r="B6204" t="inlineStr"/>
      <c r="C6204" t="inlineStr">
        <is>
          <t>264</t>
        </is>
      </c>
      <c r="D6204" t="inlineStr">
        <is>
          <t>2</t>
        </is>
      </c>
      <c r="E6204" t="inlineStr">
        <is>
          <t>132</t>
        </is>
      </c>
      <c r="F6204" t="inlineStr">
        <is>
          <t>0</t>
        </is>
      </c>
      <c r="G6204" t="inlineStr">
        <is>
          <t>0</t>
        </is>
      </c>
      <c r="H6204" t="inlineStr">
        <is>
          <t>22², 44³, 88¹</t>
        </is>
      </c>
      <c r="I6204" t="n">
        <v>6</v>
      </c>
      <c r="J6204" t="inlineStr">
        <is>
          <t>2⁸, 4², 10¹⁶, 20⁴</t>
        </is>
      </c>
      <c r="K6204">
        <f>HYPERLINK("CSG0.html#group8J0", "8J⁰"), =HYPERLINK("CSG10.html#group44A10", "44A¹⁰")</f>
        <v/>
      </c>
      <c r="L6204" t="inlineStr"/>
      <c r="M6204">
        <f>HYPERLINK("CSG0.html#group2A0", "2A⁰"), =HYPERLINK("CSG10.html#group44A10", "44A¹⁰"), =HYPERLINK("CSG1.html#group22A1", "22A¹"), =HYPERLINK("CSG4.html#group44C4", "44C⁴"), =HYPERLINK("CSG0.html#group4C0", "4C⁰"), =HYPERLINK("CSG0.html#group2B0", "2B⁰"), =HYPERLINK("CSG0.html#group4E0", "4E⁰"), =HYPERLINK("CSG2.html#group22B2", "22B²"), =HYPERLINK("CSG0.html#group4B0", "4B⁰"), =HYPERLINK("CSG5.html#group44A5", "44A⁵"), =HYPERLINK("CSG0.html#group1A0", "1A⁰"), =HYPERLINK("CSG0.html#group11A0", "11A⁰"), =HYPERLINK("CSG5.html#group22A5", "22A⁵"), =HYPERLINK("CSG0.html#group8J0", "8J⁰"), =HYPERLINK("CSG0.html#group2C0", "2C⁰")</f>
        <v/>
      </c>
      <c r="N6204" t="inlineStr"/>
    </row>
    <row r="6205">
      <c r="A6205" t="inlineStr">
        <is>
          <t>88D²⁰</t>
        </is>
      </c>
      <c r="B6205" t="inlineStr"/>
      <c r="C6205" t="inlineStr">
        <is>
          <t>264</t>
        </is>
      </c>
      <c r="D6205" t="inlineStr">
        <is>
          <t>2</t>
        </is>
      </c>
      <c r="E6205" t="inlineStr">
        <is>
          <t>132</t>
        </is>
      </c>
      <c r="F6205" t="inlineStr">
        <is>
          <t>6</t>
        </is>
      </c>
      <c r="G6205" t="inlineStr">
        <is>
          <t>0</t>
        </is>
      </c>
      <c r="H6205" t="inlineStr">
        <is>
          <t>88³</t>
        </is>
      </c>
      <c r="I6205" t="n">
        <v>3</v>
      </c>
      <c r="J6205" t="inlineStr">
        <is>
          <t>4², 8², 20⁴, 40⁴</t>
        </is>
      </c>
      <c r="K6205">
        <f>HYPERLINK("CSG1.html#group8D1", "8D¹"), =HYPERLINK("CSG5.html#group88A5", "88A⁵"), =HYPERLINK("CSG5.html#group88B5", "88B⁵"), =HYPERLINK("CSG9.html#group44A9", "44A⁹")</f>
        <v/>
      </c>
      <c r="L6205" t="inlineStr"/>
      <c r="M6205">
        <f>HYPERLINK("CSG0.html#group11A0", "11A⁰"), =HYPERLINK("CSG2.html#group44A2", "44A²"), =HYPERLINK("CSG4.html#group44C4", "44C⁴"), =HYPERLINK("CSG0.html#group4A0", "4A⁰"), =HYPERLINK("CSG0.html#group4C0", "4C⁰"), =HYPERLINK("CSG2.html#group22B2", "22B²"), =HYPERLINK("CSG0.html#group8A0", "8A⁰"), =HYPERLINK("CSG5.html#group88B5", "88B⁵"), =HYPERLINK("CSG0.html#group2B0", "2B⁰"), =HYPERLINK("CSG0.html#group1A0", "1A⁰"), =HYPERLINK("CSG0.html#group4F0", "4F⁰"), =HYPERLINK("CSG5.html#group88A5", "88A⁵"), =HYPERLINK("CSG9.html#group44A9", "44A⁹"), =HYPERLINK("CSG1.html#group8D1", "8D¹")</f>
        <v/>
      </c>
      <c r="N6205" t="inlineStr"/>
    </row>
    <row r="6206">
      <c r="A6206" t="inlineStr">
        <is>
          <t>88E²⁰</t>
        </is>
      </c>
      <c r="B6206" t="inlineStr"/>
      <c r="C6206" t="inlineStr">
        <is>
          <t>288</t>
        </is>
      </c>
      <c r="D6206" t="inlineStr">
        <is>
          <t>1</t>
        </is>
      </c>
      <c r="E6206" t="inlineStr">
        <is>
          <t>144</t>
        </is>
      </c>
      <c r="F6206" t="inlineStr">
        <is>
          <t>0</t>
        </is>
      </c>
      <c r="G6206" t="inlineStr">
        <is>
          <t>0</t>
        </is>
      </c>
      <c r="H6206" t="inlineStr">
        <is>
          <t>4⁴, 8¹, 44⁴, 88¹</t>
        </is>
      </c>
      <c r="I6206" t="n">
        <v>10</v>
      </c>
      <c r="J6206" t="inlineStr">
        <is>
          <t>2⁴, 4⁴, 20², 40²</t>
        </is>
      </c>
      <c r="K6206">
        <f>HYPERLINK("CSG0.html#group8K0", "8K⁰"), =HYPERLINK("CSG10.html#group44C10", "44C¹⁰")</f>
        <v/>
      </c>
      <c r="L6206" t="inlineStr"/>
      <c r="M6206">
        <f>HYPERLINK("CSG10.html#group44C10", "44C¹⁰"), =HYPERLINK("CSG4.html#group44B4", "44B⁴"), =HYPERLINK("CSG0.html#group4C0", "4C⁰"), =HYPERLINK("CSG5.html#group44B5", "44B⁵"), =HYPERLINK("CSG0.html#group2B0", "2B⁰"), =HYPERLINK("CSG2.html#group22C2", "22C²"), =HYPERLINK("CSG0.html#group1A0", "1A⁰"), =HYPERLINK("CSG0.html#group8K0", "8K⁰"), =HYPERLINK("CSG0.html#group4A0", "4A⁰"), =HYPERLINK("CSG1.html#group11A1", "11A¹"), =HYPERLINK("CSG0.html#group4F0", "4F⁰")</f>
        <v/>
      </c>
      <c r="N6206" t="inlineStr"/>
    </row>
    <row r="6207">
      <c r="A6207" t="inlineStr">
        <is>
          <t>90A²⁰</t>
        </is>
      </c>
      <c r="B6207" t="inlineStr"/>
      <c r="C6207" t="inlineStr">
        <is>
          <t>270</t>
        </is>
      </c>
      <c r="D6207" t="inlineStr">
        <is>
          <t>1</t>
        </is>
      </c>
      <c r="E6207" t="inlineStr">
        <is>
          <t>45</t>
        </is>
      </c>
      <c r="F6207" t="inlineStr">
        <is>
          <t>6</t>
        </is>
      </c>
      <c r="G6207" t="inlineStr">
        <is>
          <t>0</t>
        </is>
      </c>
      <c r="H6207" t="inlineStr">
        <is>
          <t>45², 90²</t>
        </is>
      </c>
      <c r="I6207" t="n">
        <v>4</v>
      </c>
      <c r="J6207" t="inlineStr">
        <is>
          <t>1³, 2³, 4³, 8³</t>
        </is>
      </c>
      <c r="K6207">
        <f>HYPERLINK("CSG2.html#group18I2", "18I²"), =HYPERLINK("CSG6.html#group30A6", "30A⁶"), =HYPERLINK("CSG6.html#group45A6", "45A⁶"), =HYPERLINK("CSG10.html#group90D10", "90D¹⁰")</f>
        <v/>
      </c>
      <c r="L6207" t="inlineStr"/>
      <c r="M6207">
        <f>HYPERLINK("CSG0.html#group5A0", "5A⁰"), =HYPERLINK("CSG6.html#group45A6", "45A⁶"), =HYPERLINK("CSG10.html#group90D10", "90D¹⁰"), =HYPERLINK("CSG1.html#group10B1", "10B¹"), =HYPERLINK("CSG0.html#group6G0", "6G⁰"), =HYPERLINK("CSG0.html#group2B0", "2B⁰"), =HYPERLINK("CSG0.html#group1A0", "1A⁰"), =HYPERLINK("CSG3.html#group30D3", "30D³"), =HYPERLINK("CSG0.html#group9D0", "9D⁰"), =HYPERLINK("CSG2.html#group15A2", "15A²"), =HYPERLINK("CSG0.html#group9A0", "9A⁰"), =HYPERLINK("CSG0.html#group6D0", "6D⁰"), =HYPERLINK("CSG0.html#group3C0", "3C⁰"), =HYPERLINK("CSG6.html#group30A6", "30A⁶"), =HYPERLINK("CSG1.html#group18E1", "18E¹"), =HYPERLINK("CSG0.html#group3A0", "3A⁰"), =HYPERLINK("CSG2.html#group18I2", "18I²"), =HYPERLINK("CSG1.html#group15A1", "15A¹"), =HYPERLINK("CSG3.html#group45A3", "45A³")</f>
        <v/>
      </c>
      <c r="N6207" t="inlineStr"/>
    </row>
    <row r="6208">
      <c r="A6208" t="inlineStr">
        <is>
          <t>90B²⁰</t>
        </is>
      </c>
      <c r="B6208" t="inlineStr"/>
      <c r="C6208" t="inlineStr">
        <is>
          <t>270</t>
        </is>
      </c>
      <c r="D6208" t="inlineStr">
        <is>
          <t>1</t>
        </is>
      </c>
      <c r="E6208" t="inlineStr">
        <is>
          <t>90</t>
        </is>
      </c>
      <c r="F6208" t="inlineStr">
        <is>
          <t>6</t>
        </is>
      </c>
      <c r="G6208" t="inlineStr">
        <is>
          <t>0</t>
        </is>
      </c>
      <c r="H6208" t="inlineStr">
        <is>
          <t>45², 90²</t>
        </is>
      </c>
      <c r="I6208" t="n">
        <v>4</v>
      </c>
      <c r="J6208" t="inlineStr">
        <is>
          <t>2³, 4³, 8⁹</t>
        </is>
      </c>
      <c r="K6208">
        <f>HYPERLINK("CSG6.html#group30A6", "30A⁶"), =HYPERLINK("CSG6.html#group45B6", "45B⁶")</f>
        <v/>
      </c>
      <c r="L6208" t="inlineStr"/>
      <c r="M6208">
        <f>HYPERLINK("CSG0.html#group5A0", "5A⁰"), =HYPERLINK("CSG1.html#group10B1", "10B¹"), =HYPERLINK("CSG0.html#group6G0", "6G⁰"), =HYPERLINK("CSG0.html#group2B0", "2B⁰"), =HYPERLINK("CSG0.html#group1A0", "1A⁰"), =HYPERLINK("CSG6.html#group45B6", "45B⁶"), =HYPERLINK("CSG3.html#group30D3", "30D³"), =HYPERLINK("CSG2.html#group15A2", "15A²"), =HYPERLINK("CSG0.html#group6D0", "6D⁰"), =HYPERLINK("CSG0.html#group3C0", "3C⁰"), =HYPERLINK("CSG6.html#group30A6", "30A⁶"), =HYPERLINK("CSG0.html#group3A0", "3A⁰"), =HYPERLINK("CSG1.html#group15A1", "15A¹")</f>
        <v/>
      </c>
      <c r="N6208" t="inlineStr"/>
    </row>
    <row r="6209">
      <c r="A6209" t="inlineStr">
        <is>
          <t>90C²⁰</t>
        </is>
      </c>
      <c r="B6209" t="inlineStr"/>
      <c r="C6209" t="inlineStr">
        <is>
          <t>270</t>
        </is>
      </c>
      <c r="D6209" t="inlineStr">
        <is>
          <t>2</t>
        </is>
      </c>
      <c r="E6209" t="inlineStr">
        <is>
          <t>135</t>
        </is>
      </c>
      <c r="F6209" t="inlineStr">
        <is>
          <t>8</t>
        </is>
      </c>
      <c r="G6209" t="inlineStr">
        <is>
          <t>0</t>
        </is>
      </c>
      <c r="H6209" t="inlineStr">
        <is>
          <t>90³</t>
        </is>
      </c>
      <c r="I6209" t="n">
        <v>3</v>
      </c>
      <c r="J6209" t="inlineStr">
        <is>
          <t>6⁹, 24⁹</t>
        </is>
      </c>
      <c r="K6209">
        <f>HYPERLINK("CSG2.html#group18K2", "18K²"), =HYPERLINK("CSG6.html#group90A6", "90A⁶"), =HYPERLINK("CSG7.html#group90A7", "90A⁷"), =HYPERLINK("CSG9.html#group45B9", "45B⁹")</f>
        <v/>
      </c>
      <c r="L6209" t="inlineStr"/>
      <c r="M6209">
        <f>HYPERLINK("CSG0.html#group5A0", "5A⁰"), =HYPERLINK("CSG6.html#group90A6", "90A⁶"), =HYPERLINK("CSG0.html#group6B0", "6B⁰"), =HYPERLINK("CSG0.html#group9G0", "9G⁰"), =HYPERLINK("CSG2.html#group18K2", "18K²"), =HYPERLINK("CSG0.html#group1A0", "1A⁰"), =HYPERLINK("CSG0.html#group18A0", "18A⁰"), =HYPERLINK("CSG9.html#group45B9", "45B⁹"), =HYPERLINK("CSG2.html#group30A2", "30A²"), =HYPERLINK("CSG7.html#group90A7", "90A⁷"), =HYPERLINK("CSG0.html#group9A0", "9A⁰"), =HYPERLINK("CSG0.html#group3A0", "3A⁰"), =HYPERLINK("CSG1.html#group18A1", "18A¹"), =HYPERLINK("CSG1.html#group15A1", "15A¹"), =HYPERLINK("CSG3.html#group45A3", "45A³")</f>
        <v/>
      </c>
      <c r="N6209" t="inlineStr"/>
    </row>
    <row r="6210">
      <c r="A6210" t="inlineStr">
        <is>
          <t>90D²⁰</t>
        </is>
      </c>
      <c r="B6210" t="inlineStr"/>
      <c r="C6210" t="inlineStr">
        <is>
          <t>270</t>
        </is>
      </c>
      <c r="D6210" t="inlineStr">
        <is>
          <t>2</t>
        </is>
      </c>
      <c r="E6210" t="inlineStr">
        <is>
          <t>135</t>
        </is>
      </c>
      <c r="F6210" t="inlineStr">
        <is>
          <t>8</t>
        </is>
      </c>
      <c r="G6210" t="inlineStr">
        <is>
          <t>0</t>
        </is>
      </c>
      <c r="H6210" t="inlineStr">
        <is>
          <t>90³</t>
        </is>
      </c>
      <c r="I6210" t="n">
        <v>3</v>
      </c>
      <c r="J6210" t="inlineStr">
        <is>
          <t>2⁹, 6⁶, 8⁹, 24⁶</t>
        </is>
      </c>
      <c r="K6210">
        <f>HYPERLINK("CSG2.html#group18L2", "18L²"), =HYPERLINK("CSG6.html#group30B6", "30B⁶"), =HYPERLINK("CSG6.html#group90A6", "90A⁶"), =HYPERLINK("CSG10.html#group90D10", "90D¹⁰")</f>
        <v/>
      </c>
      <c r="L6210" t="inlineStr"/>
      <c r="M6210">
        <f>HYPERLINK("CSG0.html#group5A0", "5A⁰"), =HYPERLINK("CSG6.html#group90A6", "90A⁶"), =HYPERLINK("CSG0.html#group6B0", "6B⁰"), =HYPERLINK("CSG10.html#group90D10", "90D¹⁰"), =HYPERLINK("CSG1.html#group10B1", "10B¹"), =HYPERLINK("CSG0.html#group6H0", "6H⁰"), =HYPERLINK("CSG0.html#group2B0", "2B⁰"), =HYPERLINK("CSG6.html#group30B6", "30B⁶"), =HYPERLINK("CSG0.html#group1A0", "1A⁰"), =HYPERLINK("CSG0.html#group18A0", "18A⁰"), =HYPERLINK("CSG2.html#group18L2", "18L²"), =HYPERLINK("CSG3.html#group30D3", "30D³"), =HYPERLINK("CSG2.html#group30A2", "30A²"), =HYPERLINK("CSG0.html#group6D0", "6D⁰"), =HYPERLINK("CSG0.html#group9A0", "9A⁰"), =HYPERLINK("CSG1.html#group18E1", "18E¹"), =HYPERLINK("CSG0.html#group3A0", "3A⁰"), =HYPERLINK("CSG1.html#group15A1", "15A¹"), =HYPERLINK("CSG3.html#group45A3", "45A³")</f>
        <v/>
      </c>
      <c r="N6210" t="inlineStr"/>
    </row>
    <row r="6211">
      <c r="A6211" t="inlineStr">
        <is>
          <t>90E²⁰</t>
        </is>
      </c>
      <c r="B6211" t="inlineStr"/>
      <c r="C6211" t="inlineStr">
        <is>
          <t>270</t>
        </is>
      </c>
      <c r="D6211" t="inlineStr">
        <is>
          <t>2</t>
        </is>
      </c>
      <c r="E6211" t="inlineStr">
        <is>
          <t>270</t>
        </is>
      </c>
      <c r="F6211" t="inlineStr">
        <is>
          <t>8</t>
        </is>
      </c>
      <c r="G6211" t="inlineStr">
        <is>
          <t>0</t>
        </is>
      </c>
      <c r="H6211" t="inlineStr">
        <is>
          <t>90³</t>
        </is>
      </c>
      <c r="I6211" t="n">
        <v>3</v>
      </c>
      <c r="J6211" t="inlineStr">
        <is>
          <t>6¹⁸, 24¹⁸</t>
        </is>
      </c>
      <c r="K6211">
        <f>HYPERLINK("CSG2.html#group18M2", "18M²"), =HYPERLINK("CSG6.html#group90A6", "90A⁶"), =HYPERLINK("CSG7.html#group90B7", "90B⁷")</f>
        <v/>
      </c>
      <c r="L6211" t="inlineStr"/>
      <c r="M6211">
        <f>HYPERLINK("CSG0.html#group5A0", "5A⁰"), =HYPERLINK("CSG6.html#group90A6", "90A⁶"), =HYPERLINK("CSG0.html#group6B0", "6B⁰"), =HYPERLINK("CSG0.html#group3A0", "3A⁰"), =HYPERLINK("CSG2.html#group30A2", "30A²"), =HYPERLINK("CSG7.html#group90B7", "90B⁷"), =HYPERLINK("CSG0.html#group9A0", "9A⁰"), =HYPERLINK("CSG1.html#group18B1", "18B¹"), =HYPERLINK("CSG2.html#group18M2", "18M²"), =HYPERLINK("CSG0.html#group1A0", "1A⁰"), =HYPERLINK("CSG0.html#group18A0", "18A⁰"), =HYPERLINK("CSG1.html#group15A1", "15A¹"), =HYPERLINK("CSG3.html#group45A3", "45A³")</f>
        <v/>
      </c>
      <c r="N6211" t="inlineStr"/>
    </row>
    <row r="6212">
      <c r="A6212" t="inlineStr">
        <is>
          <t>90F²⁰</t>
        </is>
      </c>
      <c r="B6212" t="inlineStr"/>
      <c r="C6212" t="inlineStr">
        <is>
          <t>324</t>
        </is>
      </c>
      <c r="D6212" t="inlineStr">
        <is>
          <t>1</t>
        </is>
      </c>
      <c r="E6212" t="inlineStr">
        <is>
          <t>162</t>
        </is>
      </c>
      <c r="F6212" t="inlineStr">
        <is>
          <t>20</t>
        </is>
      </c>
      <c r="G6212" t="inlineStr">
        <is>
          <t>0</t>
        </is>
      </c>
      <c r="H6212" t="inlineStr">
        <is>
          <t>18³, 90³</t>
        </is>
      </c>
      <c r="I6212" t="n">
        <v>6</v>
      </c>
      <c r="J6212" t="inlineStr">
        <is>
          <t>1⁶, 2⁶, 4³, 6⁶, 8³, 24³</t>
        </is>
      </c>
      <c r="K6212">
        <f>HYPERLINK("CSG4.html#group30H4", "30H⁴"), =HYPERLINK("CSG4.html#group90A4", "90A⁴"), =HYPERLINK("CSG10.html#group90E10", "90E¹⁰")</f>
        <v/>
      </c>
      <c r="L6212" t="inlineStr"/>
      <c r="M6212">
        <f>HYPERLINK("CSG0.html#group30A0", "30A⁰"), =HYPERLINK("CSG2.html#group45A2", "45A²"), =HYPERLINK("CSG4.html#group90A4", "90A⁴"), =HYPERLINK("CSG0.html#group10G0", "10G⁰"), =HYPERLINK("CSG10.html#group90E10", "90E¹⁰"), =HYPERLINK("CSG0.html#group5B0", "5B⁰"), =HYPERLINK("CSG0.html#group2B0", "2B⁰"), =HYPERLINK("CSG0.html#group1A0", "1A⁰"), =HYPERLINK("CSG0.html#group10B0", "10B⁰"), =HYPERLINK("CSG0.html#group15B0", "15B⁰"), =HYPERLINK("CSG2.html#group30E2", "30E²"), =HYPERLINK("CSG0.html#group9A0", "9A⁰"), =HYPERLINK("CSG0.html#group10C0", "10C⁰"), =HYPERLINK("CSG4.html#group30H4", "30H⁴"), =HYPERLINK("CSG1.html#group18E1", "18E¹"), =HYPERLINK("CSG0.html#group3A0", "3A⁰"), =HYPERLINK("CSG0.html#group6D0", "6D⁰")</f>
        <v/>
      </c>
      <c r="N6212" t="inlineStr"/>
    </row>
    <row r="6213">
      <c r="A6213" t="inlineStr">
        <is>
          <t>90G²⁰</t>
        </is>
      </c>
      <c r="B6213" t="inlineStr"/>
      <c r="C6213" t="inlineStr">
        <is>
          <t>324</t>
        </is>
      </c>
      <c r="D6213" t="inlineStr">
        <is>
          <t>2</t>
        </is>
      </c>
      <c r="E6213" t="inlineStr">
        <is>
          <t>162</t>
        </is>
      </c>
      <c r="F6213" t="inlineStr">
        <is>
          <t>16</t>
        </is>
      </c>
      <c r="G6213" t="inlineStr">
        <is>
          <t>0</t>
        </is>
      </c>
      <c r="H6213" t="inlineStr">
        <is>
          <t>9², 18², 45², 90²</t>
        </is>
      </c>
      <c r="I6213" t="n">
        <v>8</v>
      </c>
      <c r="J6213" t="inlineStr">
        <is>
          <t>2¹⁸, 6¹², 8⁹, 24⁶</t>
        </is>
      </c>
      <c r="K6213">
        <f>HYPERLINK("CSG4.html#group30I4", "30I⁴"), =HYPERLINK("CSG4.html#group45C4", "45C⁴"), =HYPERLINK("CSG10.html#group90E10", "90E¹⁰")</f>
        <v/>
      </c>
      <c r="L6213" t="inlineStr"/>
      <c r="M6213">
        <f>HYPERLINK("CSG2.html#group45A2", "45A²"), =HYPERLINK("CSG10.html#group90E10", "90E¹⁰"), =HYPERLINK("CSG0.html#group5B0", "5B⁰"), =HYPERLINK("CSG0.html#group2B0", "2B⁰"), =HYPERLINK("CSG0.html#group1A0", "1A⁰"), =HYPERLINK("CSG0.html#group15B0", "15B⁰"), =HYPERLINK("CSG2.html#group30E2", "30E²"), =HYPERLINK("CSG0.html#group9A0", "9A⁰"), =HYPERLINK("CSG4.html#group30I4", "30I⁴"), =HYPERLINK("CSG4.html#group45C4", "45C⁴"), =HYPERLINK("CSG0.html#group10C0", "10C⁰"), =HYPERLINK("CSG1.html#group18E1", "18E¹"), =HYPERLINK("CSG0.html#group3A0", "3A⁰"), =HYPERLINK("CSG0.html#group6D0", "6D⁰"), =HYPERLINK("CSG0.html#group15C0", "15C⁰")</f>
        <v/>
      </c>
      <c r="N6213" t="inlineStr"/>
    </row>
    <row r="6214">
      <c r="A6214" t="inlineStr">
        <is>
          <t>91A²⁰</t>
        </is>
      </c>
      <c r="B6214" t="inlineStr"/>
      <c r="C6214" t="inlineStr">
        <is>
          <t>294</t>
        </is>
      </c>
      <c r="D6214" t="inlineStr">
        <is>
          <t>1</t>
        </is>
      </c>
      <c r="E6214" t="inlineStr">
        <is>
          <t>294</t>
        </is>
      </c>
      <c r="F6214" t="inlineStr">
        <is>
          <t>10</t>
        </is>
      </c>
      <c r="G6214" t="inlineStr">
        <is>
          <t>0</t>
        </is>
      </c>
      <c r="H6214" t="inlineStr">
        <is>
          <t>7³, 91³</t>
        </is>
      </c>
      <c r="I6214" t="n">
        <v>6</v>
      </c>
      <c r="J6214" t="inlineStr">
        <is>
          <t>3², 6⁶, 36¹, 72³</t>
        </is>
      </c>
      <c r="K6214">
        <f>HYPERLINK("CSG0.html#group7D0", "7D⁰"), =HYPERLINK("CSG6.html#group91A6", "91A⁶")</f>
        <v/>
      </c>
      <c r="L6214" t="inlineStr"/>
      <c r="M6214">
        <f>HYPERLINK("CSG0.html#group13A0", "13A⁰"), =HYPERLINK("CSG6.html#group91A6", "91A⁶"), =HYPERLINK("CSG0.html#group7D0", "7D⁰"), =HYPERLINK("CSG0.html#group1A0", "1A⁰"), =HYPERLINK("CSG0.html#group7A0", "7A⁰")</f>
        <v/>
      </c>
      <c r="N6214" t="inlineStr"/>
    </row>
    <row r="6215">
      <c r="A6215" t="inlineStr">
        <is>
          <t>92A²⁰</t>
        </is>
      </c>
      <c r="B6215" t="inlineStr"/>
      <c r="C6215" t="inlineStr">
        <is>
          <t>288</t>
        </is>
      </c>
      <c r="D6215" t="inlineStr">
        <is>
          <t>1</t>
        </is>
      </c>
      <c r="E6215" t="inlineStr">
        <is>
          <t>72</t>
        </is>
      </c>
      <c r="F6215" t="inlineStr">
        <is>
          <t>0</t>
        </is>
      </c>
      <c r="G6215" t="inlineStr">
        <is>
          <t>0</t>
        </is>
      </c>
      <c r="H6215" t="inlineStr">
        <is>
          <t>2⁴, 4¹, 46⁴, 92¹</t>
        </is>
      </c>
      <c r="I6215" t="n">
        <v>10</v>
      </c>
      <c r="J6215" t="inlineStr">
        <is>
          <t>1⁶, 22³</t>
        </is>
      </c>
      <c r="K6215">
        <f>HYPERLINK("CSG10.html#group46A10", "46A¹⁰")</f>
        <v/>
      </c>
      <c r="L6215" t="inlineStr"/>
      <c r="M6215">
        <f>HYPERLINK("CSG0.html#group2A0", "2A⁰"), =HYPERLINK("CSG5.html#group46A5", "46A⁵"), =HYPERLINK("CSG2.html#group23A2", "23A²"), =HYPERLINK("CSG0.html#group2B0", "2B⁰"), =HYPERLINK("CSG10.html#group46A10", "46A¹⁰"), =HYPERLINK("CSG0.html#group1A0", "1A⁰"), =HYPERLINK("CSG0.html#group2C0", "2C⁰"), =HYPERLINK("CSG4.html#group46A4", "46A⁴")</f>
        <v/>
      </c>
      <c r="N6215" t="inlineStr"/>
    </row>
    <row r="6216">
      <c r="A6216" t="inlineStr">
        <is>
          <t>92B²⁰</t>
        </is>
      </c>
      <c r="B6216" t="inlineStr"/>
      <c r="C6216" t="inlineStr">
        <is>
          <t>288</t>
        </is>
      </c>
      <c r="D6216" t="inlineStr">
        <is>
          <t>1</t>
        </is>
      </c>
      <c r="E6216" t="inlineStr">
        <is>
          <t>144</t>
        </is>
      </c>
      <c r="F6216" t="inlineStr">
        <is>
          <t>0</t>
        </is>
      </c>
      <c r="G6216" t="inlineStr">
        <is>
          <t>0</t>
        </is>
      </c>
      <c r="H6216" t="inlineStr">
        <is>
          <t>1², 2¹, 4², 23², 46¹, 92²</t>
        </is>
      </c>
      <c r="I6216" t="n">
        <v>10</v>
      </c>
      <c r="J6216" t="inlineStr">
        <is>
          <t>1⁸, 2², 22⁴, 44¹</t>
        </is>
      </c>
      <c r="K6216">
        <f>HYPERLINK("CSG10.html#group92A10", "92A¹⁰")</f>
        <v/>
      </c>
      <c r="L6216" t="inlineStr"/>
      <c r="M6216">
        <f>HYPERLINK("CSG10.html#group92A10", "92A¹⁰"), =HYPERLINK("CSG0.html#group2B0", "2B⁰"), =HYPERLINK("CSG2.html#group23A2", "23A²"), =HYPERLINK("CSG0.html#group4B0", "4B⁰"), =HYPERLINK("CSG0.html#group1A0", "1A⁰"), =HYPERLINK("CSG5.html#group46A5", "46A⁵")</f>
        <v/>
      </c>
      <c r="N6216" t="inlineStr"/>
    </row>
    <row r="6217">
      <c r="A6217" t="inlineStr">
        <is>
          <t>95A²⁰</t>
        </is>
      </c>
      <c r="B6217" t="inlineStr"/>
      <c r="C6217" t="inlineStr">
        <is>
          <t>285</t>
        </is>
      </c>
      <c r="D6217" t="inlineStr">
        <is>
          <t>2</t>
        </is>
      </c>
      <c r="E6217" t="inlineStr">
        <is>
          <t>285</t>
        </is>
      </c>
      <c r="F6217" t="inlineStr">
        <is>
          <t>5</t>
        </is>
      </c>
      <c r="G6217" t="inlineStr">
        <is>
          <t>6</t>
        </is>
      </c>
      <c r="H6217" t="inlineStr">
        <is>
          <t>95³</t>
        </is>
      </c>
      <c r="I6217" t="n">
        <v>3</v>
      </c>
      <c r="J6217" t="inlineStr">
        <is>
          <t>6¹, 18⁶, 24¹, 72⁶</t>
        </is>
      </c>
      <c r="K6217">
        <f>HYPERLINK("CSG0.html#group5A0", "5A⁰"), =HYPERLINK("CSG2.html#group19A2", "19A²")</f>
        <v/>
      </c>
      <c r="L6217" t="inlineStr"/>
      <c r="M6217">
        <f>HYPERLINK("CSG2.html#group19A2", "19A²"), =HYPERLINK("CSG0.html#group1A0", "1A⁰"), =HYPERLINK("CSG0.html#group5A0", "5A⁰")</f>
        <v/>
      </c>
      <c r="N6217" t="inlineStr"/>
    </row>
    <row r="6218">
      <c r="A6218" t="inlineStr">
        <is>
          <t>96A²⁰</t>
        </is>
      </c>
      <c r="B6218" t="inlineStr"/>
      <c r="C6218" t="inlineStr">
        <is>
          <t>288</t>
        </is>
      </c>
      <c r="D6218" t="inlineStr">
        <is>
          <t>1</t>
        </is>
      </c>
      <c r="E6218" t="inlineStr">
        <is>
          <t>24</t>
        </is>
      </c>
      <c r="F6218" t="inlineStr">
        <is>
          <t>0</t>
        </is>
      </c>
      <c r="G6218" t="inlineStr">
        <is>
          <t>0</t>
        </is>
      </c>
      <c r="H6218" t="inlineStr">
        <is>
          <t>12⁸, 96²</t>
        </is>
      </c>
      <c r="I6218" t="n">
        <v>10</v>
      </c>
      <c r="J6218" t="inlineStr">
        <is>
          <t>1², 2¹, 4¹, 8²</t>
        </is>
      </c>
      <c r="K6218">
        <f>HYPERLINK("CSG4.html#group32C4", "32C⁴"), =HYPERLINK("CSG8.html#group96C8", "96C⁸"), =HYPERLINK("CSG8.html#group96D8", "96D⁸"), =HYPERLINK("CSG10.html#group48C10", "48C¹⁰")</f>
        <v/>
      </c>
      <c r="L6218" t="inlineStr"/>
      <c r="M6218">
        <f>HYPERLINK("CSG3.html#group24A3", "24A³"), =HYPERLINK("CSG0.html#group12C0", "12C⁰"), =HYPERLINK("CSG0.html#group4C0", "4C⁰"), =HYPERLINK("CSG8.html#group96D8", "96D⁸"), =HYPERLINK("CSG1.html#group32D1", "32D¹"), =HYPERLINK("CSG0.html#group2B0", "2B⁰"), =HYPERLINK("CSG0.html#group1A0", "1A⁰"), =HYPERLINK("CSG0.html#group16E0", "16E⁰"), =HYPERLINK("CSG4.html#group48E4", "48E⁴"), =HYPERLINK("CSG3.html#group48D3", "48D³"), =HYPERLINK("CSG0.html#group3A0", "3A⁰"), =HYPERLINK("CSG2.html#group16D2", "16D²"), =HYPERLINK("CSG1.html#group8A1", "8A¹"), =HYPERLINK("CSG4.html#group32C4", "32C⁴"), =HYPERLINK("CSG0.html#group8D0", "8D⁰"), =HYPERLINK("CSG0.html#group12A0", "12A⁰"), =HYPERLINK("CSG1.html#group8C1", "8C¹"), =HYPERLINK("CSG1.html#group32C1", "32C¹"), =HYPERLINK("CSG0.html#group4A0", "4A⁰"), =HYPERLINK("CSG8.html#group96C8", "96C⁸"), =HYPERLINK("CSG1.html#group16C1", "16C¹"), =HYPERLINK("CSG1.html#group24C1", "24C¹"), =HYPERLINK("CSG1.html#group12J1", "12J¹"), =HYPERLINK("CSG0.html#group4F0", "4F⁰"), =HYPERLINK("CSG10.html#group48C10", "48C¹⁰"), =HYPERLINK("CSG0.html#group6D0", "6D⁰"), =HYPERLINK("CSG5.html#group24B5", "24B⁵")</f>
        <v/>
      </c>
      <c r="N6218" t="inlineStr"/>
    </row>
    <row r="6219">
      <c r="A6219" t="inlineStr">
        <is>
          <t>96B²⁰</t>
        </is>
      </c>
      <c r="B6219" t="inlineStr"/>
      <c r="C6219" t="inlineStr">
        <is>
          <t>288</t>
        </is>
      </c>
      <c r="D6219" t="inlineStr">
        <is>
          <t>1</t>
        </is>
      </c>
      <c r="E6219" t="inlineStr">
        <is>
          <t>72</t>
        </is>
      </c>
      <c r="F6219" t="inlineStr">
        <is>
          <t>0</t>
        </is>
      </c>
      <c r="G6219" t="inlineStr">
        <is>
          <t>0</t>
        </is>
      </c>
      <c r="H6219" t="inlineStr">
        <is>
          <t>12⁸, 96²</t>
        </is>
      </c>
      <c r="I6219" t="n">
        <v>10</v>
      </c>
      <c r="J6219" t="inlineStr">
        <is>
          <t>1², 2³, 4², 8³, 16²</t>
        </is>
      </c>
      <c r="K6219">
        <f>HYPERLINK("CSG8.html#group96E8", "96E⁸"), =HYPERLINK("CSG8.html#group96F8", "96F⁸"), =HYPERLINK("CSG10.html#group48C10", "48C¹⁰")</f>
        <v/>
      </c>
      <c r="L6219" t="inlineStr"/>
      <c r="M6219">
        <f>HYPERLINK("CSG3.html#group24A3", "24A³"), =HYPERLINK("CSG0.html#group12C0", "12C⁰"), =HYPERLINK("CSG0.html#group4C0", "4C⁰"), =HYPERLINK("CSG0.html#group2B0", "2B⁰"), =HYPERLINK("CSG0.html#group1A0", "1A⁰"), =HYPERLINK("CSG0.html#group16E0", "16E⁰"), =HYPERLINK("CSG4.html#group48E4", "48E⁴"), =HYPERLINK("CSG3.html#group48D3", "48D³"), =HYPERLINK("CSG0.html#group3A0", "3A⁰"), =HYPERLINK("CSG2.html#group16D2", "16D²"), =HYPERLINK("CSG1.html#group8A1", "8A¹"), =HYPERLINK("CSG0.html#group8D0", "8D⁰"), =HYPERLINK("CSG8.html#group96E8", "96E⁸"), =HYPERLINK("CSG0.html#group12A0", "12A⁰"), =HYPERLINK("CSG8.html#group96F8", "96F⁸"), =HYPERLINK("CSG1.html#group8C1", "8C¹"), =HYPERLINK("CSG0.html#group4A0", "4A⁰"), =HYPERLINK("CSG1.html#group16C1", "16C¹"), =HYPERLINK("CSG1.html#group24C1", "24C¹"), =HYPERLINK("CSG1.html#group12J1", "12J¹"), =HYPERLINK("CSG0.html#group4F0", "4F⁰"), =HYPERLINK("CSG10.html#group48C10", "48C¹⁰"), =HYPERLINK("CSG0.html#group6D0", "6D⁰"), =HYPERLINK("CSG5.html#group24B5", "24B⁵")</f>
        <v/>
      </c>
      <c r="N6219" t="inlineStr"/>
    </row>
    <row r="6220">
      <c r="A6220" t="inlineStr">
        <is>
          <t>96C²⁰</t>
        </is>
      </c>
      <c r="B6220" t="inlineStr"/>
      <c r="C6220" t="inlineStr">
        <is>
          <t>288</t>
        </is>
      </c>
      <c r="D6220" t="inlineStr">
        <is>
          <t>1</t>
        </is>
      </c>
      <c r="E6220" t="inlineStr">
        <is>
          <t>72</t>
        </is>
      </c>
      <c r="F6220" t="inlineStr">
        <is>
          <t>8</t>
        </is>
      </c>
      <c r="G6220" t="inlineStr">
        <is>
          <t>0</t>
        </is>
      </c>
      <c r="H6220" t="inlineStr">
        <is>
          <t>24⁴, 96²</t>
        </is>
      </c>
      <c r="I6220" t="n">
        <v>6</v>
      </c>
      <c r="J6220" t="inlineStr">
        <is>
          <t>4⁶, 8³, 16⁶</t>
        </is>
      </c>
      <c r="K6220">
        <f>HYPERLINK("CSG8.html#group48Q8", "48Q⁸"), =HYPERLINK("CSG10.html#group96D10", "96D¹⁰")</f>
        <v/>
      </c>
      <c r="L6220" t="inlineStr"/>
      <c r="M6220">
        <f>HYPERLINK("CSG3.html#group24Q3", "24Q³"), =HYPERLINK("CSG0.html#group12C0", "12C⁰"), =HYPERLINK("CSG3.html#group48G3", "48G³"), =HYPERLINK("CSG0.html#group8D0", "8D⁰"), =HYPERLINK("CSG0.html#group4C0", "4C⁰"), =HYPERLINK("CSG1.html#group24D1", "24D¹"), =HYPERLINK("CSG1.html#group12M1", "12M¹"), =HYPERLINK("CSG0.html#group2B0", "2B⁰"), =HYPERLINK("CSG8.html#group48Q8", "48Q⁸"), =HYPERLINK("CSG0.html#group1A0", "1A⁰"), =HYPERLINK("CSG4.html#group48E4", "48E⁴"), =HYPERLINK("CSG1.html#group16C1", "16C¹"), =HYPERLINK("CSG1.html#group24C1", "24C¹"), =HYPERLINK("CSG0.html#group3A0", "3A⁰"), =HYPERLINK("CSG0.html#group6D0", "6D⁰"), =HYPERLINK("CSG10.html#group96D10", "96D¹⁰")</f>
        <v/>
      </c>
      <c r="N6220" t="inlineStr"/>
    </row>
    <row r="6221">
      <c r="A6221" t="inlineStr">
        <is>
          <t>96D²⁰</t>
        </is>
      </c>
      <c r="B6221" t="inlineStr"/>
      <c r="C6221" t="inlineStr">
        <is>
          <t>288</t>
        </is>
      </c>
      <c r="D6221" t="inlineStr">
        <is>
          <t>1</t>
        </is>
      </c>
      <c r="E6221" t="inlineStr">
        <is>
          <t>72</t>
        </is>
      </c>
      <c r="F6221" t="inlineStr">
        <is>
          <t>8</t>
        </is>
      </c>
      <c r="G6221" t="inlineStr">
        <is>
          <t>0</t>
        </is>
      </c>
      <c r="H6221" t="inlineStr">
        <is>
          <t>24⁴, 96²</t>
        </is>
      </c>
      <c r="I6221" t="n">
        <v>6</v>
      </c>
      <c r="J6221" t="inlineStr">
        <is>
          <t>4⁶, 8³, 16⁶</t>
        </is>
      </c>
      <c r="K6221">
        <f>HYPERLINK("CSG8.html#group48Q8", "48Q⁸"), =HYPERLINK("CSG10.html#group96D10", "96D¹⁰")</f>
        <v/>
      </c>
      <c r="L6221" t="inlineStr"/>
      <c r="M6221">
        <f>HYPERLINK("CSG3.html#group24Q3", "24Q³"), =HYPERLINK("CSG0.html#group12C0", "12C⁰"), =HYPERLINK("CSG3.html#group48G3", "48G³"), =HYPERLINK("CSG0.html#group8D0", "8D⁰"), =HYPERLINK("CSG0.html#group4C0", "4C⁰"), =HYPERLINK("CSG1.html#group24D1", "24D¹"), =HYPERLINK("CSG1.html#group12M1", "12M¹"), =HYPERLINK("CSG0.html#group2B0", "2B⁰"), =HYPERLINK("CSG8.html#group48Q8", "48Q⁸"), =HYPERLINK("CSG0.html#group1A0", "1A⁰"), =HYPERLINK("CSG4.html#group48E4", "48E⁴"), =HYPERLINK("CSG1.html#group16C1", "16C¹"), =HYPERLINK("CSG1.html#group24C1", "24C¹"), =HYPERLINK("CSG0.html#group3A0", "3A⁰"), =HYPERLINK("CSG0.html#group6D0", "6D⁰"), =HYPERLINK("CSG10.html#group96D10", "96D¹⁰")</f>
        <v/>
      </c>
      <c r="N6221" t="inlineStr"/>
    </row>
    <row r="6222">
      <c r="A6222" t="inlineStr">
        <is>
          <t>96E²⁰</t>
        </is>
      </c>
      <c r="B6222" t="inlineStr"/>
      <c r="C6222" t="inlineStr">
        <is>
          <t>288</t>
        </is>
      </c>
      <c r="D6222" t="inlineStr">
        <is>
          <t>1</t>
        </is>
      </c>
      <c r="E6222" t="inlineStr">
        <is>
          <t>144</t>
        </is>
      </c>
      <c r="F6222" t="inlineStr">
        <is>
          <t>8</t>
        </is>
      </c>
      <c r="G6222" t="inlineStr">
        <is>
          <t>0</t>
        </is>
      </c>
      <c r="H6222" t="inlineStr">
        <is>
          <t>24⁴, 96²</t>
        </is>
      </c>
      <c r="I6222" t="n">
        <v>6</v>
      </c>
      <c r="J6222" t="inlineStr">
        <is>
          <t>4², 8¹¹, 16¹²</t>
        </is>
      </c>
      <c r="K6222">
        <f>HYPERLINK("CSG8.html#group48N8", "48N⁸")</f>
        <v/>
      </c>
      <c r="L6222" t="inlineStr"/>
      <c r="M6222">
        <f>HYPERLINK("CSG2.html#group24O2", "24O²"), =HYPERLINK("CSG1.html#group24E1", "24E¹"), =HYPERLINK("CSG0.html#group6B0", "6B⁰"), =HYPERLINK("CSG0.html#group12C0", "12C⁰"), =HYPERLINK("CSG0.html#group3A0", "3A⁰"), =HYPERLINK("CSG4.html#group48H4", "48H⁴"), =HYPERLINK("CSG0.html#group8D0", "8D⁰"), =HYPERLINK("CSG0.html#group4C0", "4C⁰"), =HYPERLINK("CSG0.html#group2B0", "2B⁰"), =HYPERLINK("CSG0.html#group1A0", "1A⁰"), =HYPERLINK("CSG1.html#group24C1", "24C¹"), =HYPERLINK("CSG8.html#group48N8", "48N⁸"), =HYPERLINK("CSG0.html#group12D0", "12D⁰"), =HYPERLINK("CSG0.html#group6H0", "6H⁰"), =HYPERLINK("CSG0.html#group12H0", "12H⁰"), =HYPERLINK("CSG0.html#group6D0", "6D⁰")</f>
        <v/>
      </c>
      <c r="N6222" t="inlineStr"/>
    </row>
    <row r="6223">
      <c r="A6223" t="inlineStr">
        <is>
          <t>96F²⁰</t>
        </is>
      </c>
      <c r="B6223" t="inlineStr"/>
      <c r="C6223" t="inlineStr">
        <is>
          <t>288</t>
        </is>
      </c>
      <c r="D6223" t="inlineStr">
        <is>
          <t>1</t>
        </is>
      </c>
      <c r="E6223" t="inlineStr">
        <is>
          <t>144</t>
        </is>
      </c>
      <c r="F6223" t="inlineStr">
        <is>
          <t>8</t>
        </is>
      </c>
      <c r="G6223" t="inlineStr">
        <is>
          <t>0</t>
        </is>
      </c>
      <c r="H6223" t="inlineStr">
        <is>
          <t>24⁴, 96²</t>
        </is>
      </c>
      <c r="I6223" t="n">
        <v>6</v>
      </c>
      <c r="J6223" t="inlineStr">
        <is>
          <t>4², 8¹¹, 16¹²</t>
        </is>
      </c>
      <c r="K6223">
        <f>HYPERLINK("CSG8.html#group48N8", "48N⁸")</f>
        <v/>
      </c>
      <c r="L6223" t="inlineStr"/>
      <c r="M6223">
        <f>HYPERLINK("CSG2.html#group24O2", "24O²"), =HYPERLINK("CSG1.html#group24E1", "24E¹"), =HYPERLINK("CSG0.html#group6B0", "6B⁰"), =HYPERLINK("CSG0.html#group12C0", "12C⁰"), =HYPERLINK("CSG0.html#group3A0", "3A⁰"), =HYPERLINK("CSG4.html#group48H4", "48H⁴"), =HYPERLINK("CSG0.html#group8D0", "8D⁰"), =HYPERLINK("CSG0.html#group4C0", "4C⁰"), =HYPERLINK("CSG0.html#group2B0", "2B⁰"), =HYPERLINK("CSG0.html#group1A0", "1A⁰"), =HYPERLINK("CSG1.html#group24C1", "24C¹"), =HYPERLINK("CSG8.html#group48N8", "48N⁸"), =HYPERLINK("CSG0.html#group12D0", "12D⁰"), =HYPERLINK("CSG0.html#group6H0", "6H⁰"), =HYPERLINK("CSG0.html#group12H0", "12H⁰"), =HYPERLINK("CSG0.html#group6D0", "6D⁰")</f>
        <v/>
      </c>
      <c r="N6223" t="inlineStr"/>
    </row>
    <row r="6224">
      <c r="A6224" t="inlineStr">
        <is>
          <t>96G²⁰</t>
        </is>
      </c>
      <c r="B6224" t="inlineStr"/>
      <c r="C6224" t="inlineStr">
        <is>
          <t>288</t>
        </is>
      </c>
      <c r="D6224" t="inlineStr">
        <is>
          <t>2</t>
        </is>
      </c>
      <c r="E6224" t="inlineStr">
        <is>
          <t>24</t>
        </is>
      </c>
      <c r="F6224" t="inlineStr">
        <is>
          <t>12</t>
        </is>
      </c>
      <c r="G6224" t="inlineStr">
        <is>
          <t>0</t>
        </is>
      </c>
      <c r="H6224" t="inlineStr">
        <is>
          <t>48², 96²</t>
        </is>
      </c>
      <c r="I6224" t="n">
        <v>4</v>
      </c>
      <c r="J6224" t="inlineStr">
        <is>
          <t>2⁸, 4⁴, 8²</t>
        </is>
      </c>
      <c r="K6224">
        <f>HYPERLINK("CSG6.html#group32C6", "32C⁶"), =HYPERLINK("CSG8.html#group48F8", "48F⁸"), =HYPERLINK("CSG9.html#group96C9", "96C⁹"), =HYPERLINK("CSG9.html#group96E9", "96E⁹")</f>
        <v/>
      </c>
      <c r="L6224" t="inlineStr"/>
      <c r="M6224">
        <f>HYPERLINK("CSG8.html#group48F8", "48F⁸"), =HYPERLINK("CSG0.html#group12C0", "12C⁰"), =HYPERLINK("CSG0.html#group4C0", "4C⁰"), =HYPERLINK("CSG0.html#group2B0", "2B⁰"), =HYPERLINK("CSG3.html#group32G3", "32G³"), =HYPERLINK("CSG0.html#group1A0", "1A⁰"), =HYPERLINK("CSG2.html#group16E2", "16E²"), =HYPERLINK("CSG1.html#group16D1", "16D¹"), =HYPERLINK("CSG0.html#group24A0", "24A⁰"), =HYPERLINK("CSG0.html#group3A0", "3A⁰"), =HYPERLINK("CSG0.html#group8D0", "8D⁰"), =HYPERLINK("CSG0.html#group8B0", "8B⁰"), =HYPERLINK("CSG2.html#group24L2", "24L²"), =HYPERLINK("CSG9.html#group96E9", "96E⁹"), =HYPERLINK("CSG0.html#group8H0", "8H⁰"), =HYPERLINK("CSG0.html#group12A0", "12A⁰"), =HYPERLINK("CSG6.html#group32C6", "32C⁶"), =HYPERLINK("CSG3.html#group48E3", "48E³"), =HYPERLINK("CSG0.html#group4A0", "4A⁰"), =HYPERLINK("CSG1.html#group24C1", "24C¹"), =HYPERLINK("CSG3.html#group32E3", "32E³"), =HYPERLINK("CSG1.html#group12J1", "12J¹"), =HYPERLINK("CSG9.html#group96C9", "96C⁹"), =HYPERLINK("CSG0.html#group4F0", "4F⁰"), =HYPERLINK("CSG0.html#group6D0", "6D⁰")</f>
        <v/>
      </c>
      <c r="N6224" t="inlineStr"/>
    </row>
    <row r="6225">
      <c r="A6225" t="inlineStr">
        <is>
          <t>96H²⁰</t>
        </is>
      </c>
      <c r="B6225" t="inlineStr"/>
      <c r="C6225" t="inlineStr">
        <is>
          <t>288</t>
        </is>
      </c>
      <c r="D6225" t="inlineStr">
        <is>
          <t>2</t>
        </is>
      </c>
      <c r="E6225" t="inlineStr">
        <is>
          <t>24</t>
        </is>
      </c>
      <c r="F6225" t="inlineStr">
        <is>
          <t>12</t>
        </is>
      </c>
      <c r="G6225" t="inlineStr">
        <is>
          <t>0</t>
        </is>
      </c>
      <c r="H6225" t="inlineStr">
        <is>
          <t>48², 96²</t>
        </is>
      </c>
      <c r="I6225" t="n">
        <v>4</v>
      </c>
      <c r="J6225" t="inlineStr">
        <is>
          <t>2⁸, 4⁴, 8²</t>
        </is>
      </c>
      <c r="K6225">
        <f>HYPERLINK("CSG6.html#group32D6", "32D⁶"), =HYPERLINK("CSG8.html#group48F8", "48F⁸"), =HYPERLINK("CSG9.html#group96F9", "96F⁹"), =HYPERLINK("CSG9.html#group96D9", "96D⁹")</f>
        <v/>
      </c>
      <c r="L6225" t="inlineStr"/>
      <c r="M6225">
        <f>HYPERLINK("CSG8.html#group48F8", "48F⁸"), =HYPERLINK("CSG0.html#group12C0", "12C⁰"), =HYPERLINK("CSG9.html#group96F9", "96F⁹"), =HYPERLINK("CSG0.html#group4C0", "4C⁰"), =HYPERLINK("CSG0.html#group2B0", "2B⁰"), =HYPERLINK("CSG3.html#group32F3", "32F³"), =HYPERLINK("CSG0.html#group1A0", "1A⁰"), =HYPERLINK("CSG2.html#group16E2", "16E²"), =HYPERLINK("CSG1.html#group16D1", "16D¹"), =HYPERLINK("CSG0.html#group24A0", "24A⁰"), =HYPERLINK("CSG0.html#group6D0", "6D⁰"), =HYPERLINK("CSG0.html#group3A0", "3A⁰"), =HYPERLINK("CSG0.html#group8D0", "8D⁰"), =HYPERLINK("CSG6.html#group32D6", "32D⁶"), =HYPERLINK("CSG0.html#group8B0", "8B⁰"), =HYPERLINK("CSG2.html#group24L2", "24L²"), =HYPERLINK("CSG0.html#group8H0", "8H⁰"), =HYPERLINK("CSG0.html#group12A0", "12A⁰"), =HYPERLINK("CSG3.html#group48E3", "48E³"), =HYPERLINK("CSG9.html#group96D9", "96D⁹"), =HYPERLINK("CSG0.html#group4A0", "4A⁰"), =HYPERLINK("CSG1.html#group24C1", "24C¹"), =HYPERLINK("CSG1.html#group12J1", "12J¹"), =HYPERLINK("CSG0.html#group4F0", "4F⁰"), =HYPERLINK("CSG3.html#group32H3", "32H³")</f>
        <v/>
      </c>
      <c r="N6225" t="inlineStr"/>
    </row>
    <row r="6226">
      <c r="A6226" t="inlineStr">
        <is>
          <t>96I²⁰</t>
        </is>
      </c>
      <c r="B6226" t="inlineStr"/>
      <c r="C6226" t="inlineStr">
        <is>
          <t>288</t>
        </is>
      </c>
      <c r="D6226" t="inlineStr">
        <is>
          <t>2</t>
        </is>
      </c>
      <c r="E6226" t="inlineStr">
        <is>
          <t>24</t>
        </is>
      </c>
      <c r="F6226" t="inlineStr">
        <is>
          <t>12</t>
        </is>
      </c>
      <c r="G6226" t="inlineStr">
        <is>
          <t>0</t>
        </is>
      </c>
      <c r="H6226" t="inlineStr">
        <is>
          <t>48², 96²</t>
        </is>
      </c>
      <c r="I6226" t="n">
        <v>4</v>
      </c>
      <c r="J6226" t="inlineStr">
        <is>
          <t>2⁸, 4⁴, 8²</t>
        </is>
      </c>
      <c r="K6226">
        <f>HYPERLINK("CSG6.html#group32E6", "32E⁶"), =HYPERLINK("CSG8.html#group48X8", "48X⁸"), =HYPERLINK("CSG9.html#group96C9", "96C⁹"), =HYPERLINK("CSG9.html#group96F9", "96F⁹")</f>
        <v/>
      </c>
      <c r="L6226" t="inlineStr"/>
      <c r="M6226">
        <f>HYPERLINK("CSG0.html#group12C0", "12C⁰"), =HYPERLINK("CSG8.html#group48X8", "48X⁸"), =HYPERLINK("CSG9.html#group96F9", "96F⁹"), =HYPERLINK("CSG0.html#group4C0", "4C⁰"), =HYPERLINK("CSG0.html#group8B0", "8B⁰"), =HYPERLINK("CSG3.html#group32H3", "32H³"), =HYPERLINK("CSG1.html#group16B1", "16B¹"), =HYPERLINK("CSG0.html#group8L0", "8L⁰"), =HYPERLINK("CSG0.html#group2B0", "2B⁰"), =HYPERLINK("CSG0.html#group1A0", "1A⁰"), =HYPERLINK("CSG3.html#group48C3", "48C³"), =HYPERLINK("CSG1.html#group16D1", "16D¹"), =HYPERLINK("CSG6.html#group32E6", "32E⁶"), =HYPERLINK("CSG3.html#group48E3", "48E³"), =HYPERLINK("CSG2.html#group16F2", "16F²"), =HYPERLINK("CSG0.html#group24A0", "24A⁰"), =HYPERLINK("CSG2.html#group24M2", "24M²"), =HYPERLINK("CSG3.html#group32E3", "32E³"), =HYPERLINK("CSG9.html#group96C9", "96C⁹"), =HYPERLINK("CSG0.html#group3A0", "3A⁰"), =HYPERLINK("CSG0.html#group6D0", "6D⁰")</f>
        <v/>
      </c>
      <c r="N6226" t="inlineStr"/>
    </row>
    <row r="6227">
      <c r="A6227" t="inlineStr">
        <is>
          <t>96J²⁰</t>
        </is>
      </c>
      <c r="B6227" t="inlineStr"/>
      <c r="C6227" t="inlineStr">
        <is>
          <t>288</t>
        </is>
      </c>
      <c r="D6227" t="inlineStr">
        <is>
          <t>2</t>
        </is>
      </c>
      <c r="E6227" t="inlineStr">
        <is>
          <t>24</t>
        </is>
      </c>
      <c r="F6227" t="inlineStr">
        <is>
          <t>12</t>
        </is>
      </c>
      <c r="G6227" t="inlineStr">
        <is>
          <t>0</t>
        </is>
      </c>
      <c r="H6227" t="inlineStr">
        <is>
          <t>48², 96²</t>
        </is>
      </c>
      <c r="I6227" t="n">
        <v>4</v>
      </c>
      <c r="J6227" t="inlineStr">
        <is>
          <t>2⁸, 4⁴, 8²</t>
        </is>
      </c>
      <c r="K6227">
        <f>HYPERLINK("CSG6.html#group32F6", "32F⁶"), =HYPERLINK("CSG8.html#group48X8", "48X⁸"), =HYPERLINK("CSG9.html#group96E9", "96E⁹"), =HYPERLINK("CSG9.html#group96D9", "96D⁹")</f>
        <v/>
      </c>
      <c r="L6227" t="inlineStr"/>
      <c r="M6227">
        <f>HYPERLINK("CSG6.html#group32F6", "32F⁶"), =HYPERLINK("CSG0.html#group12C0", "12C⁰"), =HYPERLINK("CSG8.html#group48X8", "48X⁸"), =HYPERLINK("CSG0.html#group4C0", "4C⁰"), =HYPERLINK("CSG0.html#group8B0", "8B⁰"), =HYPERLINK("CSG1.html#group16B1", "16B¹"), =HYPERLINK("CSG0.html#group8L0", "8L⁰"), =HYPERLINK("CSG0.html#group2B0", "2B⁰"), =HYPERLINK("CSG3.html#group32G3", "32G³"), =HYPERLINK("CSG3.html#group32F3", "32F³"), =HYPERLINK("CSG0.html#group1A0", "1A⁰"), =HYPERLINK("CSG9.html#group96E9", "96E⁹"), =HYPERLINK("CSG3.html#group48C3", "48C³"), =HYPERLINK("CSG1.html#group16D1", "16D¹"), =HYPERLINK("CSG3.html#group48E3", "48E³"), =HYPERLINK("CSG2.html#group16F2", "16F²"), =HYPERLINK("CSG9.html#group96D9", "96D⁹"), =HYPERLINK("CSG0.html#group24A0", "24A⁰"), =HYPERLINK("CSG2.html#group24M2", "24M²"), =HYPERLINK("CSG0.html#group3A0", "3A⁰"), =HYPERLINK("CSG0.html#group6D0", "6D⁰")</f>
        <v/>
      </c>
      <c r="N6227" t="inlineStr"/>
    </row>
    <row r="6228">
      <c r="A6228" t="inlineStr">
        <is>
          <t>96K²⁰</t>
        </is>
      </c>
      <c r="B6228" t="inlineStr"/>
      <c r="C6228" t="inlineStr">
        <is>
          <t>288</t>
        </is>
      </c>
      <c r="D6228" t="inlineStr">
        <is>
          <t>2</t>
        </is>
      </c>
      <c r="E6228" t="inlineStr">
        <is>
          <t>72</t>
        </is>
      </c>
      <c r="F6228" t="inlineStr">
        <is>
          <t>8</t>
        </is>
      </c>
      <c r="G6228" t="inlineStr">
        <is>
          <t>0</t>
        </is>
      </c>
      <c r="H6228" t="inlineStr">
        <is>
          <t>24⁴, 96²</t>
        </is>
      </c>
      <c r="I6228" t="n">
        <v>6</v>
      </c>
      <c r="J6228" t="inlineStr">
        <is>
          <t>4⁴, 8⁸, 16⁴</t>
        </is>
      </c>
      <c r="K6228">
        <f>HYPERLINK("CSG8.html#group48O8", "48O⁸"), =HYPERLINK("CSG10.html#group96D10", "96D¹⁰")</f>
        <v/>
      </c>
      <c r="L6228" t="inlineStr"/>
      <c r="M6228">
        <f>HYPERLINK("CSG2.html#group24O2", "24O²"), =HYPERLINK("CSG1.html#group24E1", "24E¹"), =HYPERLINK("CSG0.html#group6B0", "6B⁰"), =HYPERLINK("CSG0.html#group12C0", "12C⁰"), =HYPERLINK("CSG0.html#group8D0", "8D⁰"), =HYPERLINK("CSG4.html#group48H4", "48H⁴"), =HYPERLINK("CSG8.html#group48O8", "48O⁸"), =HYPERLINK("CSG0.html#group4C0", "4C⁰"), =HYPERLINK("CSG0.html#group2B0", "2B⁰"), =HYPERLINK("CSG0.html#group12H0", "12H⁰"), =HYPERLINK("CSG0.html#group1A0", "1A⁰"), =HYPERLINK("CSG4.html#group48E4", "48E⁴"), =HYPERLINK("CSG1.html#group16C1", "16C¹"), =HYPERLINK("CSG1.html#group24C1", "24C¹"), =HYPERLINK("CSG0.html#group12D0", "12D⁰"), =HYPERLINK("CSG0.html#group6H0", "6H⁰"), =HYPERLINK("CSG0.html#group3A0", "3A⁰"), =HYPERLINK("CSG0.html#group6D0", "6D⁰"), =HYPERLINK("CSG10.html#group96D10", "96D¹⁰")</f>
        <v/>
      </c>
      <c r="N6228" t="inlineStr"/>
    </row>
    <row r="6229">
      <c r="A6229" t="inlineStr">
        <is>
          <t>96L²⁰</t>
        </is>
      </c>
      <c r="B6229" t="inlineStr"/>
      <c r="C6229" t="inlineStr">
        <is>
          <t>288</t>
        </is>
      </c>
      <c r="D6229" t="inlineStr">
        <is>
          <t>2</t>
        </is>
      </c>
      <c r="E6229" t="inlineStr">
        <is>
          <t>72</t>
        </is>
      </c>
      <c r="F6229" t="inlineStr">
        <is>
          <t>8</t>
        </is>
      </c>
      <c r="G6229" t="inlineStr">
        <is>
          <t>0</t>
        </is>
      </c>
      <c r="H6229" t="inlineStr">
        <is>
          <t>24⁴, 96²</t>
        </is>
      </c>
      <c r="I6229" t="n">
        <v>6</v>
      </c>
      <c r="J6229" t="inlineStr">
        <is>
          <t>2², 4⁵, 8⁷, 16⁴</t>
        </is>
      </c>
      <c r="K6229">
        <f>HYPERLINK("CSG8.html#group48O8", "48O⁸"), =HYPERLINK("CSG10.html#group96C10", "96C¹⁰"), =HYPERLINK("CSG10.html#group96D10", "96D¹⁰")</f>
        <v/>
      </c>
      <c r="L6229" t="inlineStr"/>
      <c r="M6229">
        <f>HYPERLINK("CSG2.html#group24O2", "24O²"), =HYPERLINK("CSG1.html#group24E1", "24E¹"), =HYPERLINK("CSG0.html#group6B0", "6B⁰"), =HYPERLINK("CSG0.html#group12C0", "12C⁰"), =HYPERLINK("CSG0.html#group8D0", "8D⁰"), =HYPERLINK("CSG4.html#group48H4", "48H⁴"), =HYPERLINK("CSG8.html#group48O8", "48O⁸"), =HYPERLINK("CSG0.html#group4C0", "4C⁰"), =HYPERLINK("CSG0.html#group2B0", "2B⁰"), =HYPERLINK("CSG3.html#group32I3", "32I³"), =HYPERLINK("CSG0.html#group12H0", "12H⁰"), =HYPERLINK("CSG0.html#group1A0", "1A⁰"), =HYPERLINK("CSG4.html#group48E4", "48E⁴"), =HYPERLINK("CSG1.html#group16C1", "16C¹"), =HYPERLINK("CSG1.html#group24C1", "24C¹"), =HYPERLINK("CSG0.html#group12D0", "12D⁰"), =HYPERLINK("CSG0.html#group6H0", "6H⁰"), =HYPERLINK("CSG0.html#group3A0", "3A⁰"), =HYPERLINK("CSG0.html#group6D0", "6D⁰"), =HYPERLINK("CSG10.html#group96D10", "96D¹⁰"), =HYPERLINK("CSG10.html#group96C10", "96C¹⁰")</f>
        <v/>
      </c>
      <c r="N6229" t="inlineStr"/>
    </row>
    <row r="6230">
      <c r="A6230" t="inlineStr">
        <is>
          <t>96M²⁰</t>
        </is>
      </c>
      <c r="B6230" t="inlineStr"/>
      <c r="C6230" t="inlineStr">
        <is>
          <t>288</t>
        </is>
      </c>
      <c r="D6230" t="inlineStr">
        <is>
          <t>2</t>
        </is>
      </c>
      <c r="E6230" t="inlineStr">
        <is>
          <t>72</t>
        </is>
      </c>
      <c r="F6230" t="inlineStr">
        <is>
          <t>8</t>
        </is>
      </c>
      <c r="G6230" t="inlineStr">
        <is>
          <t>0</t>
        </is>
      </c>
      <c r="H6230" t="inlineStr">
        <is>
          <t>24⁴, 96²</t>
        </is>
      </c>
      <c r="I6230" t="n">
        <v>6</v>
      </c>
      <c r="J6230" t="inlineStr">
        <is>
          <t>2², 4⁵, 8⁷, 16⁴</t>
        </is>
      </c>
      <c r="K6230">
        <f>HYPERLINK("CSG8.html#group48Q8", "48Q⁸"), =HYPERLINK("CSG10.html#group96C10", "96C¹⁰"), =HYPERLINK("CSG10.html#group96D10", "96D¹⁰")</f>
        <v/>
      </c>
      <c r="L6230" t="inlineStr"/>
      <c r="M6230">
        <f>HYPERLINK("CSG3.html#group24Q3", "24Q³"), =HYPERLINK("CSG0.html#group12C0", "12C⁰"), =HYPERLINK("CSG3.html#group48G3", "48G³"), =HYPERLINK("CSG0.html#group8D0", "8D⁰"), =HYPERLINK("CSG0.html#group4C0", "4C⁰"), =HYPERLINK("CSG1.html#group24D1", "24D¹"), =HYPERLINK("CSG1.html#group12M1", "12M¹"), =HYPERLINK("CSG0.html#group2B0", "2B⁰"), =HYPERLINK("CSG3.html#group32I3", "32I³"), =HYPERLINK("CSG8.html#group48Q8", "48Q⁸"), =HYPERLINK("CSG0.html#group1A0", "1A⁰"), =HYPERLINK("CSG4.html#group48E4", "48E⁴"), =HYPERLINK("CSG1.html#group16C1", "16C¹"), =HYPERLINK("CSG1.html#group24C1", "24C¹"), =HYPERLINK("CSG0.html#group3A0", "3A⁰"), =HYPERLINK("CSG0.html#group6D0", "6D⁰"), =HYPERLINK("CSG10.html#group96D10", "96D¹⁰"), =HYPERLINK("CSG10.html#group96C10", "96C¹⁰")</f>
        <v/>
      </c>
      <c r="N6230" t="inlineStr"/>
    </row>
    <row r="6231">
      <c r="A6231" t="inlineStr">
        <is>
          <t>96N²⁰</t>
        </is>
      </c>
      <c r="B6231" t="inlineStr"/>
      <c r="C6231" t="inlineStr">
        <is>
          <t>288</t>
        </is>
      </c>
      <c r="D6231" t="inlineStr">
        <is>
          <t>2</t>
        </is>
      </c>
      <c r="E6231" t="inlineStr">
        <is>
          <t>72</t>
        </is>
      </c>
      <c r="F6231" t="inlineStr">
        <is>
          <t>12</t>
        </is>
      </c>
      <c r="G6231" t="inlineStr">
        <is>
          <t>0</t>
        </is>
      </c>
      <c r="H6231" t="inlineStr">
        <is>
          <t>48², 96²</t>
        </is>
      </c>
      <c r="I6231" t="n">
        <v>4</v>
      </c>
      <c r="J6231" t="inlineStr">
        <is>
          <t>2⁸, 4¹², 8⁶, 16²</t>
        </is>
      </c>
      <c r="K6231">
        <f>HYPERLINK("CSG8.html#group48F8", "48F⁸"), =HYPERLINK("CSG9.html#group96H9", "96H⁹"), =HYPERLINK("CSG9.html#group96K9", "96K⁹")</f>
        <v/>
      </c>
      <c r="L6231" t="inlineStr"/>
      <c r="M6231">
        <f>HYPERLINK("CSG8.html#group48F8", "48F⁸"), =HYPERLINK("CSG0.html#group12C0", "12C⁰"), =HYPERLINK("CSG0.html#group8D0", "8D⁰"), =HYPERLINK("CSG0.html#group4C0", "4C⁰"), =HYPERLINK("CSG0.html#group8B0", "8B⁰"), =HYPERLINK("CSG0.html#group2B0", "2B⁰"), =HYPERLINK("CSG2.html#group24L2", "24L²"), =HYPERLINK("CSG0.html#group1A0", "1A⁰"), =HYPERLINK("CSG2.html#group16E2", "16E²"), =HYPERLINK("CSG0.html#group8H0", "8H⁰"), =HYPERLINK("CSG1.html#group16D1", "16D¹"), =HYPERLINK("CSG0.html#group12A0", "12A⁰"), =HYPERLINK("CSG3.html#group48E3", "48E³"), =HYPERLINK("CSG0.html#group24A0", "24A⁰"), =HYPERLINK("CSG0.html#group4A0", "4A⁰"), =HYPERLINK("CSG9.html#group96K9", "96K⁹"), =HYPERLINK("CSG1.html#group24C1", "24C¹"), =HYPERLINK("CSG9.html#group96H9", "96H⁹"), =HYPERLINK("CSG1.html#group12J1", "12J¹"), =HYPERLINK("CSG0.html#group4F0", "4F⁰"), =HYPERLINK("CSG0.html#group3A0", "3A⁰"), =HYPERLINK("CSG0.html#group6D0", "6D⁰")</f>
        <v/>
      </c>
      <c r="N6231" t="inlineStr"/>
    </row>
    <row r="6232">
      <c r="A6232" t="inlineStr">
        <is>
          <t>96O²⁰</t>
        </is>
      </c>
      <c r="B6232" t="inlineStr"/>
      <c r="C6232" t="inlineStr">
        <is>
          <t>288</t>
        </is>
      </c>
      <c r="D6232" t="inlineStr">
        <is>
          <t>2</t>
        </is>
      </c>
      <c r="E6232" t="inlineStr">
        <is>
          <t>72</t>
        </is>
      </c>
      <c r="F6232" t="inlineStr">
        <is>
          <t>12</t>
        </is>
      </c>
      <c r="G6232" t="inlineStr">
        <is>
          <t>0</t>
        </is>
      </c>
      <c r="H6232" t="inlineStr">
        <is>
          <t>48², 96²</t>
        </is>
      </c>
      <c r="I6232" t="n">
        <v>4</v>
      </c>
      <c r="J6232" t="inlineStr">
        <is>
          <t>2⁸, 4¹², 8⁶, 16²</t>
        </is>
      </c>
      <c r="K6232">
        <f>HYPERLINK("CSG8.html#group48F8", "48F⁸"), =HYPERLINK("CSG9.html#group96I9", "96I⁹"), =HYPERLINK("CSG9.html#group96J9", "96J⁹")</f>
        <v/>
      </c>
      <c r="L6232" t="inlineStr"/>
      <c r="M6232">
        <f>HYPERLINK("CSG8.html#group48F8", "48F⁸"), =HYPERLINK("CSG0.html#group12C0", "12C⁰"), =HYPERLINK("CSG0.html#group8D0", "8D⁰"), =HYPERLINK("CSG0.html#group4C0", "4C⁰"), =HYPERLINK("CSG0.html#group8B0", "8B⁰"), =HYPERLINK("CSG0.html#group2B0", "2B⁰"), =HYPERLINK("CSG2.html#group24L2", "24L²"), =HYPERLINK("CSG9.html#group96J9", "96J⁹"), =HYPERLINK("CSG0.html#group1A0", "1A⁰"), =HYPERLINK("CSG2.html#group16E2", "16E²"), =HYPERLINK("CSG0.html#group8H0", "8H⁰"), =HYPERLINK("CSG9.html#group96I9", "96I⁹"), =HYPERLINK("CSG1.html#group16D1", "16D¹"), =HYPERLINK("CSG0.html#group12A0", "12A⁰"), =HYPERLINK("CSG3.html#group48E3", "48E³"), =HYPERLINK("CSG0.html#group24A0", "24A⁰"), =HYPERLINK("CSG0.html#group4A0", "4A⁰"), =HYPERLINK("CSG1.html#group24C1", "24C¹"), =HYPERLINK("CSG1.html#group12J1", "12J¹"), =HYPERLINK("CSG0.html#group4F0", "4F⁰"), =HYPERLINK("CSG0.html#group3A0", "3A⁰"), =HYPERLINK("CSG0.html#group6D0", "6D⁰")</f>
        <v/>
      </c>
      <c r="N6232" t="inlineStr"/>
    </row>
    <row r="6233">
      <c r="A6233" t="inlineStr">
        <is>
          <t>96P²⁰</t>
        </is>
      </c>
      <c r="B6233" t="inlineStr"/>
      <c r="C6233" t="inlineStr">
        <is>
          <t>288</t>
        </is>
      </c>
      <c r="D6233" t="inlineStr">
        <is>
          <t>2</t>
        </is>
      </c>
      <c r="E6233" t="inlineStr">
        <is>
          <t>72</t>
        </is>
      </c>
      <c r="F6233" t="inlineStr">
        <is>
          <t>12</t>
        </is>
      </c>
      <c r="G6233" t="inlineStr">
        <is>
          <t>0</t>
        </is>
      </c>
      <c r="H6233" t="inlineStr">
        <is>
          <t>48², 96²</t>
        </is>
      </c>
      <c r="I6233" t="n">
        <v>4</v>
      </c>
      <c r="J6233" t="inlineStr">
        <is>
          <t>2⁸, 4¹², 8⁶, 16²</t>
        </is>
      </c>
      <c r="K6233">
        <f>HYPERLINK("CSG8.html#group48X8", "48X⁸"), =HYPERLINK("CSG9.html#group96H9", "96H⁹"), =HYPERLINK("CSG9.html#group96J9", "96J⁹")</f>
        <v/>
      </c>
      <c r="L6233" t="inlineStr"/>
      <c r="M6233">
        <f>HYPERLINK("CSG0.html#group12C0", "12C⁰"), =HYPERLINK("CSG8.html#group48X8", "48X⁸"), =HYPERLINK("CSG0.html#group4C0", "4C⁰"), =HYPERLINK("CSG0.html#group8B0", "8B⁰"), =HYPERLINK("CSG1.html#group16B1", "16B¹"), =HYPERLINK("CSG0.html#group8L0", "8L⁰"), =HYPERLINK("CSG0.html#group2B0", "2B⁰"), =HYPERLINK("CSG9.html#group96J9", "96J⁹"), =HYPERLINK("CSG0.html#group1A0", "1A⁰"), =HYPERLINK("CSG3.html#group48C3", "48C³"), =HYPERLINK("CSG1.html#group16D1", "16D¹"), =HYPERLINK("CSG3.html#group48E3", "48E³"), =HYPERLINK("CSG0.html#group24A0", "24A⁰"), =HYPERLINK("CSG2.html#group16F2", "16F²"), =HYPERLINK("CSG2.html#group24M2", "24M²"), =HYPERLINK("CSG9.html#group96H9", "96H⁹"), =HYPERLINK("CSG0.html#group3A0", "3A⁰"), =HYPERLINK("CSG0.html#group6D0", "6D⁰")</f>
        <v/>
      </c>
      <c r="N6233" t="inlineStr"/>
    </row>
    <row r="6234">
      <c r="A6234" t="inlineStr">
        <is>
          <t>96Q²⁰</t>
        </is>
      </c>
      <c r="B6234" t="inlineStr"/>
      <c r="C6234" t="inlineStr">
        <is>
          <t>288</t>
        </is>
      </c>
      <c r="D6234" t="inlineStr">
        <is>
          <t>2</t>
        </is>
      </c>
      <c r="E6234" t="inlineStr">
        <is>
          <t>72</t>
        </is>
      </c>
      <c r="F6234" t="inlineStr">
        <is>
          <t>12</t>
        </is>
      </c>
      <c r="G6234" t="inlineStr">
        <is>
          <t>0</t>
        </is>
      </c>
      <c r="H6234" t="inlineStr">
        <is>
          <t>48², 96²</t>
        </is>
      </c>
      <c r="I6234" t="n">
        <v>4</v>
      </c>
      <c r="J6234" t="inlineStr">
        <is>
          <t>2⁸, 4¹², 8⁶, 16²</t>
        </is>
      </c>
      <c r="K6234">
        <f>HYPERLINK("CSG8.html#group48X8", "48X⁸"), =HYPERLINK("CSG9.html#group96I9", "96I⁹"), =HYPERLINK("CSG9.html#group96K9", "96K⁹")</f>
        <v/>
      </c>
      <c r="L6234" t="inlineStr"/>
      <c r="M6234">
        <f>HYPERLINK("CSG0.html#group12C0", "12C⁰"), =HYPERLINK("CSG8.html#group48X8", "48X⁸"), =HYPERLINK("CSG0.html#group4C0", "4C⁰"), =HYPERLINK("CSG0.html#group8B0", "8B⁰"), =HYPERLINK("CSG1.html#group16B1", "16B¹"), =HYPERLINK("CSG0.html#group8L0", "8L⁰"), =HYPERLINK("CSG0.html#group2B0", "2B⁰"), =HYPERLINK("CSG0.html#group1A0", "1A⁰"), =HYPERLINK("CSG3.html#group48C3", "48C³"), =HYPERLINK("CSG9.html#group96I9", "96I⁹"), =HYPERLINK("CSG1.html#group16D1", "16D¹"), =HYPERLINK("CSG3.html#group48E3", "48E³"), =HYPERLINK("CSG2.html#group16F2", "16F²"), =HYPERLINK("CSG0.html#group24A0", "24A⁰"), =HYPERLINK("CSG9.html#group96K9", "96K⁹"), =HYPERLINK("CSG2.html#group24M2", "24M²"), =HYPERLINK("CSG0.html#group3A0", "3A⁰"), =HYPERLINK("CSG0.html#group6D0", "6D⁰")</f>
        <v/>
      </c>
      <c r="N6234" t="inlineStr"/>
    </row>
    <row r="6235">
      <c r="A6235" t="inlineStr">
        <is>
          <t>96R²⁰</t>
        </is>
      </c>
      <c r="B6235" t="inlineStr"/>
      <c r="C6235" t="inlineStr">
        <is>
          <t>288</t>
        </is>
      </c>
      <c r="D6235" t="inlineStr">
        <is>
          <t>2</t>
        </is>
      </c>
      <c r="E6235" t="inlineStr">
        <is>
          <t>72</t>
        </is>
      </c>
      <c r="F6235" t="inlineStr">
        <is>
          <t>12</t>
        </is>
      </c>
      <c r="G6235" t="inlineStr">
        <is>
          <t>0</t>
        </is>
      </c>
      <c r="H6235" t="inlineStr">
        <is>
          <t>48², 96²</t>
        </is>
      </c>
      <c r="I6235" t="n">
        <v>4</v>
      </c>
      <c r="J6235" t="inlineStr">
        <is>
          <t>2⁸, 4¹², 8⁶, 16²</t>
        </is>
      </c>
      <c r="K6235">
        <f>HYPERLINK("CSG8.html#group48AB8", "48AB⁸"), =HYPERLINK("CSG9.html#group96C9", "96C⁹"), =HYPERLINK("CSG9.html#group96J9", "96J⁹")</f>
        <v/>
      </c>
      <c r="L6235" t="inlineStr"/>
      <c r="M6235">
        <f>HYPERLINK("CSG8.html#group48AB8", "48AB⁸"), =HYPERLINK("CSG1.html#group24E1", "24E¹"), =HYPERLINK("CSG0.html#group12C0", "12C⁰"), =HYPERLINK("CSG0.html#group4C0", "4C⁰"), =HYPERLINK("CSG0.html#group8B0", "8B⁰"), =HYPERLINK("CSG2.html#group24P2", "24P²"), =HYPERLINK("CSG0.html#group2B0", "2B⁰"), =HYPERLINK("CSG1.html#group12M1", "12M¹"), =HYPERLINK("CSG9.html#group96J9", "96J⁹"), =HYPERLINK("CSG0.html#group1A0", "1A⁰"), =HYPERLINK("CSG3.html#group48H3", "48H³"), =HYPERLINK("CSG1.html#group16D1", "16D¹"), =HYPERLINK("CSG3.html#group48E3", "48E³"), =HYPERLINK("CSG0.html#group24A0", "24A⁰"), =HYPERLINK("CSG3.html#group32E3", "32E³"), =HYPERLINK("CSG9.html#group96C9", "96C⁹"), =HYPERLINK("CSG0.html#group3A0", "3A⁰"), =HYPERLINK("CSG0.html#group6D0", "6D⁰")</f>
        <v/>
      </c>
      <c r="N6235" t="inlineStr"/>
    </row>
    <row r="6236">
      <c r="A6236" t="inlineStr">
        <is>
          <t>96S²⁰</t>
        </is>
      </c>
      <c r="B6236" t="inlineStr"/>
      <c r="C6236" t="inlineStr">
        <is>
          <t>288</t>
        </is>
      </c>
      <c r="D6236" t="inlineStr">
        <is>
          <t>2</t>
        </is>
      </c>
      <c r="E6236" t="inlineStr">
        <is>
          <t>72</t>
        </is>
      </c>
      <c r="F6236" t="inlineStr">
        <is>
          <t>12</t>
        </is>
      </c>
      <c r="G6236" t="inlineStr">
        <is>
          <t>0</t>
        </is>
      </c>
      <c r="H6236" t="inlineStr">
        <is>
          <t>48², 96²</t>
        </is>
      </c>
      <c r="I6236" t="n">
        <v>4</v>
      </c>
      <c r="J6236" t="inlineStr">
        <is>
          <t>2⁸, 4¹², 8⁶, 16²</t>
        </is>
      </c>
      <c r="K6236">
        <f>HYPERLINK("CSG8.html#group48AB8", "48AB⁸"), =HYPERLINK("CSG9.html#group96D9", "96D⁹"), =HYPERLINK("CSG9.html#group96K9", "96K⁹")</f>
        <v/>
      </c>
      <c r="L6236" t="inlineStr"/>
      <c r="M6236">
        <f>HYPERLINK("CSG8.html#group48AB8", "48AB⁸"), =HYPERLINK("CSG1.html#group24E1", "24E¹"), =HYPERLINK("CSG0.html#group12C0", "12C⁰"), =HYPERLINK("CSG0.html#group4C0", "4C⁰"), =HYPERLINK("CSG0.html#group8B0", "8B⁰"), =HYPERLINK("CSG2.html#group24P2", "24P²"), =HYPERLINK("CSG0.html#group2B0", "2B⁰"), =HYPERLINK("CSG1.html#group12M1", "12M¹"), =HYPERLINK("CSG3.html#group32F3", "32F³"), =HYPERLINK("CSG0.html#group1A0", "1A⁰"), =HYPERLINK("CSG3.html#group48H3", "48H³"), =HYPERLINK("CSG1.html#group16D1", "16D¹"), =HYPERLINK("CSG3.html#group48E3", "48E³"), =HYPERLINK("CSG0.html#group24A0", "24A⁰"), =HYPERLINK("CSG9.html#group96D9", "96D⁹"), =HYPERLINK("CSG9.html#group96K9", "96K⁹"), =HYPERLINK("CSG0.html#group3A0", "3A⁰"), =HYPERLINK("CSG0.html#group6D0", "6D⁰")</f>
        <v/>
      </c>
      <c r="N6236" t="inlineStr"/>
    </row>
    <row r="6237">
      <c r="A6237" t="inlineStr">
        <is>
          <t>96T²⁰</t>
        </is>
      </c>
      <c r="B6237" t="inlineStr"/>
      <c r="C6237" t="inlineStr">
        <is>
          <t>288</t>
        </is>
      </c>
      <c r="D6237" t="inlineStr">
        <is>
          <t>2</t>
        </is>
      </c>
      <c r="E6237" t="inlineStr">
        <is>
          <t>72</t>
        </is>
      </c>
      <c r="F6237" t="inlineStr">
        <is>
          <t>12</t>
        </is>
      </c>
      <c r="G6237" t="inlineStr">
        <is>
          <t>0</t>
        </is>
      </c>
      <c r="H6237" t="inlineStr">
        <is>
          <t>48², 96²</t>
        </is>
      </c>
      <c r="I6237" t="n">
        <v>4</v>
      </c>
      <c r="J6237" t="inlineStr">
        <is>
          <t>2⁸, 4¹², 8⁶, 16²</t>
        </is>
      </c>
      <c r="K6237">
        <f>HYPERLINK("CSG8.html#group48AB8", "48AB⁸"), =HYPERLINK("CSG9.html#group96E9", "96E⁹"), =HYPERLINK("CSG9.html#group96I9", "96I⁹")</f>
        <v/>
      </c>
      <c r="L6237" t="inlineStr"/>
      <c r="M6237">
        <f>HYPERLINK("CSG8.html#group48AB8", "48AB⁸"), =HYPERLINK("CSG1.html#group24E1", "24E¹"), =HYPERLINK("CSG0.html#group12C0", "12C⁰"), =HYPERLINK("CSG0.html#group4C0", "4C⁰"), =HYPERLINK("CSG0.html#group8B0", "8B⁰"), =HYPERLINK("CSG2.html#group24P2", "24P²"), =HYPERLINK("CSG0.html#group2B0", "2B⁰"), =HYPERLINK("CSG1.html#group12M1", "12M¹"), =HYPERLINK("CSG3.html#group32G3", "32G³"), =HYPERLINK("CSG0.html#group1A0", "1A⁰"), =HYPERLINK("CSG9.html#group96E9", "96E⁹"), =HYPERLINK("CSG3.html#group48H3", "48H³"), =HYPERLINK("CSG9.html#group96I9", "96I⁹"), =HYPERLINK("CSG1.html#group16D1", "16D¹"), =HYPERLINK("CSG3.html#group48E3", "48E³"), =HYPERLINK("CSG0.html#group24A0", "24A⁰"), =HYPERLINK("CSG0.html#group3A0", "3A⁰"), =HYPERLINK("CSG0.html#group6D0", "6D⁰")</f>
        <v/>
      </c>
      <c r="N6237" t="inlineStr"/>
    </row>
    <row r="6238">
      <c r="A6238" t="inlineStr">
        <is>
          <t>96U²⁰</t>
        </is>
      </c>
      <c r="B6238" t="inlineStr"/>
      <c r="C6238" t="inlineStr">
        <is>
          <t>288</t>
        </is>
      </c>
      <c r="D6238" t="inlineStr">
        <is>
          <t>2</t>
        </is>
      </c>
      <c r="E6238" t="inlineStr">
        <is>
          <t>72</t>
        </is>
      </c>
      <c r="F6238" t="inlineStr">
        <is>
          <t>12</t>
        </is>
      </c>
      <c r="G6238" t="inlineStr">
        <is>
          <t>0</t>
        </is>
      </c>
      <c r="H6238" t="inlineStr">
        <is>
          <t>48², 96²</t>
        </is>
      </c>
      <c r="I6238" t="n">
        <v>4</v>
      </c>
      <c r="J6238" t="inlineStr">
        <is>
          <t>2⁸, 4¹², 8⁶, 16²</t>
        </is>
      </c>
      <c r="K6238">
        <f>HYPERLINK("CSG8.html#group48AB8", "48AB⁸"), =HYPERLINK("CSG9.html#group96F9", "96F⁹"), =HYPERLINK("CSG9.html#group96H9", "96H⁹")</f>
        <v/>
      </c>
      <c r="L6238" t="inlineStr"/>
      <c r="M6238">
        <f>HYPERLINK("CSG8.html#group48AB8", "48AB⁸"), =HYPERLINK("CSG1.html#group24E1", "24E¹"), =HYPERLINK("CSG0.html#group12C0", "12C⁰"), =HYPERLINK("CSG9.html#group96F9", "96F⁹"), =HYPERLINK("CSG0.html#group4C0", "4C⁰"), =HYPERLINK("CSG0.html#group8B0", "8B⁰"), =HYPERLINK("CSG3.html#group32H3", "32H³"), =HYPERLINK("CSG2.html#group24P2", "24P²"), =HYPERLINK("CSG0.html#group2B0", "2B⁰"), =HYPERLINK("CSG1.html#group12M1", "12M¹"), =HYPERLINK("CSG0.html#group1A0", "1A⁰"), =HYPERLINK("CSG3.html#group48H3", "48H³"), =HYPERLINK("CSG1.html#group16D1", "16D¹"), =HYPERLINK("CSG3.html#group48E3", "48E³"), =HYPERLINK("CSG0.html#group24A0", "24A⁰"), =HYPERLINK("CSG9.html#group96H9", "96H⁹"), =HYPERLINK("CSG0.html#group3A0", "3A⁰"), =HYPERLINK("CSG0.html#group6D0", "6D⁰")</f>
        <v/>
      </c>
      <c r="N6238" t="inlineStr"/>
    </row>
    <row r="6239">
      <c r="A6239" t="inlineStr">
        <is>
          <t>96V²⁰</t>
        </is>
      </c>
      <c r="B6239" t="inlineStr"/>
      <c r="C6239" t="inlineStr">
        <is>
          <t>288</t>
        </is>
      </c>
      <c r="D6239" t="inlineStr">
        <is>
          <t>2</t>
        </is>
      </c>
      <c r="E6239" t="inlineStr">
        <is>
          <t>72</t>
        </is>
      </c>
      <c r="F6239" t="inlineStr">
        <is>
          <t>12</t>
        </is>
      </c>
      <c r="G6239" t="inlineStr">
        <is>
          <t>0</t>
        </is>
      </c>
      <c r="H6239" t="inlineStr">
        <is>
          <t>48², 96²</t>
        </is>
      </c>
      <c r="I6239" t="n">
        <v>4</v>
      </c>
      <c r="J6239" t="inlineStr">
        <is>
          <t>2⁸, 4¹², 8⁶, 16²</t>
        </is>
      </c>
      <c r="K6239">
        <f>HYPERLINK("CSG8.html#group48AD8", "48AD⁸"), =HYPERLINK("CSG9.html#group96C9", "96C⁹"), =HYPERLINK("CSG9.html#group96K9", "96K⁹")</f>
        <v/>
      </c>
      <c r="L6239" t="inlineStr"/>
      <c r="M6239">
        <f>HYPERLINK("CSG1.html#group16D1", "16D¹"), =HYPERLINK("CSG0.html#group12C0", "12C⁰"), =HYPERLINK("CSG3.html#group48E3", "48E³"), =HYPERLINK("CSG0.html#group24A0", "24A⁰"), =HYPERLINK("CSG9.html#group96K9", "96K⁹"), =HYPERLINK("CSG0.html#group4C0", "4C⁰"), =HYPERLINK("CSG0.html#group8B0", "8B⁰"), =HYPERLINK("CSG2.html#group24Q2", "24Q²"), =HYPERLINK("CSG3.html#group32E3", "32E³"), =HYPERLINK("CSG0.html#group2B0", "2B⁰"), =HYPERLINK("CSG9.html#group96C9", "96C⁹"), =HYPERLINK("CSG3.html#group48F3", "48F³"), =HYPERLINK("CSG0.html#group3A0", "3A⁰"), =HYPERLINK("CSG0.html#group1A0", "1A⁰"), =HYPERLINK("CSG8.html#group48AD8", "48AD⁸"), =HYPERLINK("CSG0.html#group6D0", "6D⁰")</f>
        <v/>
      </c>
      <c r="N6239" t="inlineStr"/>
    </row>
    <row r="6240">
      <c r="A6240" t="inlineStr">
        <is>
          <t>96W²⁰</t>
        </is>
      </c>
      <c r="B6240" t="inlineStr"/>
      <c r="C6240" t="inlineStr">
        <is>
          <t>288</t>
        </is>
      </c>
      <c r="D6240" t="inlineStr">
        <is>
          <t>2</t>
        </is>
      </c>
      <c r="E6240" t="inlineStr">
        <is>
          <t>72</t>
        </is>
      </c>
      <c r="F6240" t="inlineStr">
        <is>
          <t>12</t>
        </is>
      </c>
      <c r="G6240" t="inlineStr">
        <is>
          <t>0</t>
        </is>
      </c>
      <c r="H6240" t="inlineStr">
        <is>
          <t>48², 96²</t>
        </is>
      </c>
      <c r="I6240" t="n">
        <v>4</v>
      </c>
      <c r="J6240" t="inlineStr">
        <is>
          <t>2⁸, 4¹², 8⁶, 16²</t>
        </is>
      </c>
      <c r="K6240">
        <f>HYPERLINK("CSG8.html#group48AD8", "48AD⁸"), =HYPERLINK("CSG9.html#group96D9", "96D⁹"), =HYPERLINK("CSG9.html#group96J9", "96J⁹")</f>
        <v/>
      </c>
      <c r="L6240" t="inlineStr"/>
      <c r="M6240">
        <f>HYPERLINK("CSG3.html#group32F3", "32F³"), =HYPERLINK("CSG1.html#group16D1", "16D¹"), =HYPERLINK("CSG0.html#group12C0", "12C⁰"), =HYPERLINK("CSG0.html#group3A0", "3A⁰"), =HYPERLINK("CSG3.html#group48E3", "48E³"), =HYPERLINK("CSG0.html#group24A0", "24A⁰"), =HYPERLINK("CSG9.html#group96D9", "96D⁹"), =HYPERLINK("CSG0.html#group4C0", "4C⁰"), =HYPERLINK("CSG0.html#group8B0", "8B⁰"), =HYPERLINK("CSG2.html#group24Q2", "24Q²"), =HYPERLINK("CSG0.html#group2B0", "2B⁰"), =HYPERLINK("CSG3.html#group48F3", "48F³"), =HYPERLINK("CSG9.html#group96J9", "96J⁹"), =HYPERLINK("CSG0.html#group1A0", "1A⁰"), =HYPERLINK("CSG8.html#group48AD8", "48AD⁸"), =HYPERLINK("CSG0.html#group6D0", "6D⁰")</f>
        <v/>
      </c>
      <c r="N6240" t="inlineStr"/>
    </row>
    <row r="6241">
      <c r="A6241" t="inlineStr">
        <is>
          <t>96X²⁰</t>
        </is>
      </c>
      <c r="B6241" t="inlineStr"/>
      <c r="C6241" t="inlineStr">
        <is>
          <t>288</t>
        </is>
      </c>
      <c r="D6241" t="inlineStr">
        <is>
          <t>2</t>
        </is>
      </c>
      <c r="E6241" t="inlineStr">
        <is>
          <t>72</t>
        </is>
      </c>
      <c r="F6241" t="inlineStr">
        <is>
          <t>12</t>
        </is>
      </c>
      <c r="G6241" t="inlineStr">
        <is>
          <t>0</t>
        </is>
      </c>
      <c r="H6241" t="inlineStr">
        <is>
          <t>48², 96²</t>
        </is>
      </c>
      <c r="I6241" t="n">
        <v>4</v>
      </c>
      <c r="J6241" t="inlineStr">
        <is>
          <t>2⁸, 4¹², 8⁶, 16²</t>
        </is>
      </c>
      <c r="K6241">
        <f>HYPERLINK("CSG8.html#group48AD8", "48AD⁸"), =HYPERLINK("CSG9.html#group96E9", "96E⁹"), =HYPERLINK("CSG9.html#group96H9", "96H⁹")</f>
        <v/>
      </c>
      <c r="L6241" t="inlineStr"/>
      <c r="M6241">
        <f>HYPERLINK("CSG1.html#group16D1", "16D¹"), =HYPERLINK("CSG0.html#group12C0", "12C⁰"), =HYPERLINK("CSG3.html#group48E3", "48E³"), =HYPERLINK("CSG0.html#group24A0", "24A⁰"), =HYPERLINK("CSG8.html#group48AD8", "48AD⁸"), =HYPERLINK("CSG0.html#group4C0", "4C⁰"), =HYPERLINK("CSG0.html#group8B0", "8B⁰"), =HYPERLINK("CSG9.html#group96H9", "96H⁹"), =HYPERLINK("CSG2.html#group24Q2", "24Q²"), =HYPERLINK("CSG0.html#group2B0", "2B⁰"), =HYPERLINK("CSG3.html#group32G3", "32G³"), =HYPERLINK("CSG3.html#group48F3", "48F³"), =HYPERLINK("CSG0.html#group3A0", "3A⁰"), =HYPERLINK("CSG0.html#group1A0", "1A⁰"), =HYPERLINK("CSG9.html#group96E9", "96E⁹"), =HYPERLINK("CSG0.html#group6D0", "6D⁰")</f>
        <v/>
      </c>
      <c r="N6241" t="inlineStr"/>
    </row>
    <row r="6242">
      <c r="A6242" t="inlineStr">
        <is>
          <t>96Y²⁰</t>
        </is>
      </c>
      <c r="B6242" t="inlineStr"/>
      <c r="C6242" t="inlineStr">
        <is>
          <t>288</t>
        </is>
      </c>
      <c r="D6242" t="inlineStr">
        <is>
          <t>2</t>
        </is>
      </c>
      <c r="E6242" t="inlineStr">
        <is>
          <t>72</t>
        </is>
      </c>
      <c r="F6242" t="inlineStr">
        <is>
          <t>12</t>
        </is>
      </c>
      <c r="G6242" t="inlineStr">
        <is>
          <t>0</t>
        </is>
      </c>
      <c r="H6242" t="inlineStr">
        <is>
          <t>48², 96²</t>
        </is>
      </c>
      <c r="I6242" t="n">
        <v>4</v>
      </c>
      <c r="J6242" t="inlineStr">
        <is>
          <t>2⁸, 4¹², 8⁶, 16²</t>
        </is>
      </c>
      <c r="K6242">
        <f>HYPERLINK("CSG8.html#group48AD8", "48AD⁸"), =HYPERLINK("CSG9.html#group96F9", "96F⁹"), =HYPERLINK("CSG9.html#group96I9", "96I⁹")</f>
        <v/>
      </c>
      <c r="L6242" t="inlineStr"/>
      <c r="M6242">
        <f>HYPERLINK("CSG9.html#group96I9", "96I⁹"), =HYPERLINK("CSG1.html#group16D1", "16D¹"), =HYPERLINK("CSG0.html#group12C0", "12C⁰"), =HYPERLINK("CSG3.html#group48E3", "48E³"), =HYPERLINK("CSG9.html#group96F9", "96F⁹"), =HYPERLINK("CSG0.html#group24A0", "24A⁰"), =HYPERLINK("CSG0.html#group4C0", "4C⁰"), =HYPERLINK("CSG0.html#group8B0", "8B⁰"), =HYPERLINK("CSG3.html#group32H3", "32H³"), =HYPERLINK("CSG2.html#group24Q2", "24Q²"), =HYPERLINK("CSG0.html#group2B0", "2B⁰"), =HYPERLINK("CSG3.html#group48F3", "48F³"), =HYPERLINK("CSG0.html#group3A0", "3A⁰"), =HYPERLINK("CSG0.html#group1A0", "1A⁰"), =HYPERLINK("CSG8.html#group48AD8", "48AD⁸"), =HYPERLINK("CSG0.html#group6D0", "6D⁰")</f>
        <v/>
      </c>
      <c r="N6242" t="inlineStr"/>
    </row>
    <row r="6243">
      <c r="A6243" t="inlineStr">
        <is>
          <t>96Z²⁰</t>
        </is>
      </c>
      <c r="B6243" t="inlineStr"/>
      <c r="C6243" t="inlineStr">
        <is>
          <t>288</t>
        </is>
      </c>
      <c r="D6243" t="inlineStr">
        <is>
          <t>2</t>
        </is>
      </c>
      <c r="E6243" t="inlineStr">
        <is>
          <t>72</t>
        </is>
      </c>
      <c r="F6243" t="inlineStr">
        <is>
          <t>12</t>
        </is>
      </c>
      <c r="G6243" t="inlineStr">
        <is>
          <t>0</t>
        </is>
      </c>
      <c r="H6243" t="inlineStr">
        <is>
          <t>48², 96²</t>
        </is>
      </c>
      <c r="I6243" t="n">
        <v>4</v>
      </c>
      <c r="J6243" t="inlineStr">
        <is>
          <t>4²⁴, 8¹², 16⁶</t>
        </is>
      </c>
      <c r="K6243">
        <f>HYPERLINK("CSG8.html#group48AB8", "48AB⁸"), =HYPERLINK("CSG9.html#group96H9", "96H⁹"), =HYPERLINK("CSG9.html#group96K9", "96K⁹")</f>
        <v/>
      </c>
      <c r="L6243" t="inlineStr"/>
      <c r="M6243">
        <f>HYPERLINK("CSG8.html#group48AB8", "48AB⁸"), =HYPERLINK("CSG1.html#group24E1", "24E¹"), =HYPERLINK("CSG0.html#group12C0", "12C⁰"), =HYPERLINK("CSG0.html#group4C0", "4C⁰"), =HYPERLINK("CSG0.html#group8B0", "8B⁰"), =HYPERLINK("CSG2.html#group24P2", "24P²"), =HYPERLINK("CSG0.html#group2B0", "2B⁰"), =HYPERLINK("CSG1.html#group12M1", "12M¹"), =HYPERLINK("CSG0.html#group1A0", "1A⁰"), =HYPERLINK("CSG3.html#group48H3", "48H³"), =HYPERLINK("CSG1.html#group16D1", "16D¹"), =HYPERLINK("CSG3.html#group48E3", "48E³"), =HYPERLINK("CSG0.html#group24A0", "24A⁰"), =HYPERLINK("CSG9.html#group96K9", "96K⁹"), =HYPERLINK("CSG9.html#group96H9", "96H⁹"), =HYPERLINK("CSG0.html#group3A0", "3A⁰"), =HYPERLINK("CSG0.html#group6D0", "6D⁰")</f>
        <v/>
      </c>
      <c r="N6243" t="inlineStr"/>
    </row>
    <row r="6244">
      <c r="A6244" t="inlineStr">
        <is>
          <t>96AA²⁰</t>
        </is>
      </c>
      <c r="B6244" t="inlineStr"/>
      <c r="C6244" t="inlineStr">
        <is>
          <t>288</t>
        </is>
      </c>
      <c r="D6244" t="inlineStr">
        <is>
          <t>2</t>
        </is>
      </c>
      <c r="E6244" t="inlineStr">
        <is>
          <t>72</t>
        </is>
      </c>
      <c r="F6244" t="inlineStr">
        <is>
          <t>12</t>
        </is>
      </c>
      <c r="G6244" t="inlineStr">
        <is>
          <t>0</t>
        </is>
      </c>
      <c r="H6244" t="inlineStr">
        <is>
          <t>48², 96²</t>
        </is>
      </c>
      <c r="I6244" t="n">
        <v>4</v>
      </c>
      <c r="J6244" t="inlineStr">
        <is>
          <t>4²⁴, 8¹², 16⁶</t>
        </is>
      </c>
      <c r="K6244">
        <f>HYPERLINK("CSG8.html#group48AB8", "48AB⁸"), =HYPERLINK("CSG9.html#group96H9", "96H⁹"), =HYPERLINK("CSG9.html#group96K9", "96K⁹")</f>
        <v/>
      </c>
      <c r="L6244" t="inlineStr"/>
      <c r="M6244">
        <f>HYPERLINK("CSG8.html#group48AB8", "48AB⁸"), =HYPERLINK("CSG1.html#group24E1", "24E¹"), =HYPERLINK("CSG0.html#group12C0", "12C⁰"), =HYPERLINK("CSG0.html#group4C0", "4C⁰"), =HYPERLINK("CSG0.html#group8B0", "8B⁰"), =HYPERLINK("CSG2.html#group24P2", "24P²"), =HYPERLINK("CSG0.html#group2B0", "2B⁰"), =HYPERLINK("CSG1.html#group12M1", "12M¹"), =HYPERLINK("CSG0.html#group1A0", "1A⁰"), =HYPERLINK("CSG3.html#group48H3", "48H³"), =HYPERLINK("CSG1.html#group16D1", "16D¹"), =HYPERLINK("CSG3.html#group48E3", "48E³"), =HYPERLINK("CSG0.html#group24A0", "24A⁰"), =HYPERLINK("CSG9.html#group96K9", "96K⁹"), =HYPERLINK("CSG9.html#group96H9", "96H⁹"), =HYPERLINK("CSG0.html#group3A0", "3A⁰"), =HYPERLINK("CSG0.html#group6D0", "6D⁰")</f>
        <v/>
      </c>
      <c r="N6244" t="inlineStr"/>
    </row>
    <row r="6245">
      <c r="A6245" t="inlineStr">
        <is>
          <t>96AB²⁰</t>
        </is>
      </c>
      <c r="B6245" t="inlineStr"/>
      <c r="C6245" t="inlineStr">
        <is>
          <t>288</t>
        </is>
      </c>
      <c r="D6245" t="inlineStr">
        <is>
          <t>2</t>
        </is>
      </c>
      <c r="E6245" t="inlineStr">
        <is>
          <t>72</t>
        </is>
      </c>
      <c r="F6245" t="inlineStr">
        <is>
          <t>12</t>
        </is>
      </c>
      <c r="G6245" t="inlineStr">
        <is>
          <t>0</t>
        </is>
      </c>
      <c r="H6245" t="inlineStr">
        <is>
          <t>48², 96²</t>
        </is>
      </c>
      <c r="I6245" t="n">
        <v>4</v>
      </c>
      <c r="J6245" t="inlineStr">
        <is>
          <t>4²⁴, 8¹², 16⁶</t>
        </is>
      </c>
      <c r="K6245">
        <f>HYPERLINK("CSG8.html#group48AB8", "48AB⁸"), =HYPERLINK("CSG9.html#group96I9", "96I⁹"), =HYPERLINK("CSG9.html#group96J9", "96J⁹")</f>
        <v/>
      </c>
      <c r="L6245" t="inlineStr"/>
      <c r="M6245">
        <f>HYPERLINK("CSG8.html#group48AB8", "48AB⁸"), =HYPERLINK("CSG1.html#group24E1", "24E¹"), =HYPERLINK("CSG0.html#group12C0", "12C⁰"), =HYPERLINK("CSG0.html#group4C0", "4C⁰"), =HYPERLINK("CSG0.html#group8B0", "8B⁰"), =HYPERLINK("CSG2.html#group24P2", "24P²"), =HYPERLINK("CSG0.html#group2B0", "2B⁰"), =HYPERLINK("CSG1.html#group12M1", "12M¹"), =HYPERLINK("CSG9.html#group96J9", "96J⁹"), =HYPERLINK("CSG0.html#group1A0", "1A⁰"), =HYPERLINK("CSG3.html#group48H3", "48H³"), =HYPERLINK("CSG9.html#group96I9", "96I⁹"), =HYPERLINK("CSG1.html#group16D1", "16D¹"), =HYPERLINK("CSG3.html#group48E3", "48E³"), =HYPERLINK("CSG0.html#group24A0", "24A⁰"), =HYPERLINK("CSG0.html#group3A0", "3A⁰"), =HYPERLINK("CSG0.html#group6D0", "6D⁰")</f>
        <v/>
      </c>
      <c r="N6245" t="inlineStr"/>
    </row>
    <row r="6246">
      <c r="A6246" t="inlineStr">
        <is>
          <t>96AC²⁰</t>
        </is>
      </c>
      <c r="B6246" t="inlineStr"/>
      <c r="C6246" t="inlineStr">
        <is>
          <t>288</t>
        </is>
      </c>
      <c r="D6246" t="inlineStr">
        <is>
          <t>2</t>
        </is>
      </c>
      <c r="E6246" t="inlineStr">
        <is>
          <t>72</t>
        </is>
      </c>
      <c r="F6246" t="inlineStr">
        <is>
          <t>12</t>
        </is>
      </c>
      <c r="G6246" t="inlineStr">
        <is>
          <t>0</t>
        </is>
      </c>
      <c r="H6246" t="inlineStr">
        <is>
          <t>48², 96²</t>
        </is>
      </c>
      <c r="I6246" t="n">
        <v>4</v>
      </c>
      <c r="J6246" t="inlineStr">
        <is>
          <t>4²⁴, 8¹², 16⁶</t>
        </is>
      </c>
      <c r="K6246">
        <f>HYPERLINK("CSG8.html#group48AB8", "48AB⁸"), =HYPERLINK("CSG9.html#group96I9", "96I⁹"), =HYPERLINK("CSG9.html#group96J9", "96J⁹")</f>
        <v/>
      </c>
      <c r="L6246" t="inlineStr"/>
      <c r="M6246">
        <f>HYPERLINK("CSG8.html#group48AB8", "48AB⁸"), =HYPERLINK("CSG1.html#group24E1", "24E¹"), =HYPERLINK("CSG0.html#group12C0", "12C⁰"), =HYPERLINK("CSG0.html#group4C0", "4C⁰"), =HYPERLINK("CSG0.html#group8B0", "8B⁰"), =HYPERLINK("CSG2.html#group24P2", "24P²"), =HYPERLINK("CSG0.html#group2B0", "2B⁰"), =HYPERLINK("CSG1.html#group12M1", "12M¹"), =HYPERLINK("CSG9.html#group96J9", "96J⁹"), =HYPERLINK("CSG0.html#group1A0", "1A⁰"), =HYPERLINK("CSG3.html#group48H3", "48H³"), =HYPERLINK("CSG9.html#group96I9", "96I⁹"), =HYPERLINK("CSG1.html#group16D1", "16D¹"), =HYPERLINK("CSG3.html#group48E3", "48E³"), =HYPERLINK("CSG0.html#group24A0", "24A⁰"), =HYPERLINK("CSG0.html#group3A0", "3A⁰"), =HYPERLINK("CSG0.html#group6D0", "6D⁰")</f>
        <v/>
      </c>
      <c r="N6246" t="inlineStr"/>
    </row>
    <row r="6247">
      <c r="A6247" t="inlineStr">
        <is>
          <t>96AD²⁰</t>
        </is>
      </c>
      <c r="B6247" t="inlineStr"/>
      <c r="C6247" t="inlineStr">
        <is>
          <t>288</t>
        </is>
      </c>
      <c r="D6247" t="inlineStr">
        <is>
          <t>2</t>
        </is>
      </c>
      <c r="E6247" t="inlineStr">
        <is>
          <t>72</t>
        </is>
      </c>
      <c r="F6247" t="inlineStr">
        <is>
          <t>12</t>
        </is>
      </c>
      <c r="G6247" t="inlineStr">
        <is>
          <t>0</t>
        </is>
      </c>
      <c r="H6247" t="inlineStr">
        <is>
          <t>48², 96²</t>
        </is>
      </c>
      <c r="I6247" t="n">
        <v>4</v>
      </c>
      <c r="J6247" t="inlineStr">
        <is>
          <t>4²⁴, 8¹², 16⁶</t>
        </is>
      </c>
      <c r="K6247">
        <f>HYPERLINK("CSG8.html#group48AD8", "48AD⁸"), =HYPERLINK("CSG9.html#group96H9", "96H⁹"), =HYPERLINK("CSG9.html#group96J9", "96J⁹")</f>
        <v/>
      </c>
      <c r="L6247" t="inlineStr"/>
      <c r="M6247">
        <f>HYPERLINK("CSG1.html#group16D1", "16D¹"), =HYPERLINK("CSG0.html#group12C0", "12C⁰"), =HYPERLINK("CSG0.html#group3A0", "3A⁰"), =HYPERLINK("CSG3.html#group48E3", "48E³"), =HYPERLINK("CSG0.html#group24A0", "24A⁰"), =HYPERLINK("CSG0.html#group4C0", "4C⁰"), =HYPERLINK("CSG0.html#group8B0", "8B⁰"), =HYPERLINK("CSG9.html#group96H9", "96H⁹"), =HYPERLINK("CSG2.html#group24Q2", "24Q²"), =HYPERLINK("CSG0.html#group2B0", "2B⁰"), =HYPERLINK("CSG3.html#group48F3", "48F³"), =HYPERLINK("CSG9.html#group96J9", "96J⁹"), =HYPERLINK("CSG0.html#group1A0", "1A⁰"), =HYPERLINK("CSG8.html#group48AD8", "48AD⁸"), =HYPERLINK("CSG0.html#group6D0", "6D⁰")</f>
        <v/>
      </c>
      <c r="N6247" t="inlineStr"/>
    </row>
    <row r="6248">
      <c r="A6248" t="inlineStr">
        <is>
          <t>96AE²⁰</t>
        </is>
      </c>
      <c r="B6248" t="inlineStr"/>
      <c r="C6248" t="inlineStr">
        <is>
          <t>288</t>
        </is>
      </c>
      <c r="D6248" t="inlineStr">
        <is>
          <t>2</t>
        </is>
      </c>
      <c r="E6248" t="inlineStr">
        <is>
          <t>72</t>
        </is>
      </c>
      <c r="F6248" t="inlineStr">
        <is>
          <t>12</t>
        </is>
      </c>
      <c r="G6248" t="inlineStr">
        <is>
          <t>0</t>
        </is>
      </c>
      <c r="H6248" t="inlineStr">
        <is>
          <t>48², 96²</t>
        </is>
      </c>
      <c r="I6248" t="n">
        <v>4</v>
      </c>
      <c r="J6248" t="inlineStr">
        <is>
          <t>4²⁴, 8¹², 16⁶</t>
        </is>
      </c>
      <c r="K6248">
        <f>HYPERLINK("CSG8.html#group48AD8", "48AD⁸"), =HYPERLINK("CSG9.html#group96H9", "96H⁹"), =HYPERLINK("CSG9.html#group96J9", "96J⁹")</f>
        <v/>
      </c>
      <c r="L6248" t="inlineStr"/>
      <c r="M6248">
        <f>HYPERLINK("CSG1.html#group16D1", "16D¹"), =HYPERLINK("CSG0.html#group12C0", "12C⁰"), =HYPERLINK("CSG0.html#group3A0", "3A⁰"), =HYPERLINK("CSG3.html#group48E3", "48E³"), =HYPERLINK("CSG0.html#group24A0", "24A⁰"), =HYPERLINK("CSG0.html#group4C0", "4C⁰"), =HYPERLINK("CSG0.html#group8B0", "8B⁰"), =HYPERLINK("CSG9.html#group96H9", "96H⁹"), =HYPERLINK("CSG2.html#group24Q2", "24Q²"), =HYPERLINK("CSG0.html#group2B0", "2B⁰"), =HYPERLINK("CSG3.html#group48F3", "48F³"), =HYPERLINK("CSG9.html#group96J9", "96J⁹"), =HYPERLINK("CSG0.html#group1A0", "1A⁰"), =HYPERLINK("CSG8.html#group48AD8", "48AD⁸"), =HYPERLINK("CSG0.html#group6D0", "6D⁰")</f>
        <v/>
      </c>
      <c r="N6248" t="inlineStr"/>
    </row>
    <row r="6249">
      <c r="A6249" t="inlineStr">
        <is>
          <t>96AF²⁰</t>
        </is>
      </c>
      <c r="B6249" t="inlineStr"/>
      <c r="C6249" t="inlineStr">
        <is>
          <t>288</t>
        </is>
      </c>
      <c r="D6249" t="inlineStr">
        <is>
          <t>2</t>
        </is>
      </c>
      <c r="E6249" t="inlineStr">
        <is>
          <t>72</t>
        </is>
      </c>
      <c r="F6249" t="inlineStr">
        <is>
          <t>12</t>
        </is>
      </c>
      <c r="G6249" t="inlineStr">
        <is>
          <t>0</t>
        </is>
      </c>
      <c r="H6249" t="inlineStr">
        <is>
          <t>48², 96²</t>
        </is>
      </c>
      <c r="I6249" t="n">
        <v>4</v>
      </c>
      <c r="J6249" t="inlineStr">
        <is>
          <t>4²⁴, 8¹², 16⁶</t>
        </is>
      </c>
      <c r="K6249">
        <f>HYPERLINK("CSG8.html#group48AD8", "48AD⁸"), =HYPERLINK("CSG9.html#group96I9", "96I⁹"), =HYPERLINK("CSG9.html#group96K9", "96K⁹")</f>
        <v/>
      </c>
      <c r="L6249" t="inlineStr"/>
      <c r="M6249">
        <f>HYPERLINK("CSG9.html#group96I9", "96I⁹"), =HYPERLINK("CSG1.html#group16D1", "16D¹"), =HYPERLINK("CSG0.html#group12C0", "12C⁰"), =HYPERLINK("CSG3.html#group48E3", "48E³"), =HYPERLINK("CSG0.html#group24A0", "24A⁰"), =HYPERLINK("CSG9.html#group96K9", "96K⁹"), =HYPERLINK("CSG0.html#group4C0", "4C⁰"), =HYPERLINK("CSG0.html#group8B0", "8B⁰"), =HYPERLINK("CSG2.html#group24Q2", "24Q²"), =HYPERLINK("CSG0.html#group2B0", "2B⁰"), =HYPERLINK("CSG3.html#group48F3", "48F³"), =HYPERLINK("CSG0.html#group3A0", "3A⁰"), =HYPERLINK("CSG0.html#group1A0", "1A⁰"), =HYPERLINK("CSG8.html#group48AD8", "48AD⁸"), =HYPERLINK("CSG0.html#group6D0", "6D⁰")</f>
        <v/>
      </c>
      <c r="N6249" t="inlineStr"/>
    </row>
    <row r="6250">
      <c r="A6250" t="inlineStr">
        <is>
          <t>96AG²⁰</t>
        </is>
      </c>
      <c r="B6250" t="inlineStr"/>
      <c r="C6250" t="inlineStr">
        <is>
          <t>288</t>
        </is>
      </c>
      <c r="D6250" t="inlineStr">
        <is>
          <t>2</t>
        </is>
      </c>
      <c r="E6250" t="inlineStr">
        <is>
          <t>72</t>
        </is>
      </c>
      <c r="F6250" t="inlineStr">
        <is>
          <t>12</t>
        </is>
      </c>
      <c r="G6250" t="inlineStr">
        <is>
          <t>0</t>
        </is>
      </c>
      <c r="H6250" t="inlineStr">
        <is>
          <t>48², 96²</t>
        </is>
      </c>
      <c r="I6250" t="n">
        <v>4</v>
      </c>
      <c r="J6250" t="inlineStr">
        <is>
          <t>4²⁴, 8¹², 16⁶</t>
        </is>
      </c>
      <c r="K6250">
        <f>HYPERLINK("CSG8.html#group48AD8", "48AD⁸"), =HYPERLINK("CSG9.html#group96I9", "96I⁹"), =HYPERLINK("CSG9.html#group96K9", "96K⁹")</f>
        <v/>
      </c>
      <c r="L6250" t="inlineStr"/>
      <c r="M6250">
        <f>HYPERLINK("CSG9.html#group96I9", "96I⁹"), =HYPERLINK("CSG1.html#group16D1", "16D¹"), =HYPERLINK("CSG0.html#group12C0", "12C⁰"), =HYPERLINK("CSG3.html#group48E3", "48E³"), =HYPERLINK("CSG0.html#group24A0", "24A⁰"), =HYPERLINK("CSG9.html#group96K9", "96K⁹"), =HYPERLINK("CSG0.html#group4C0", "4C⁰"), =HYPERLINK("CSG0.html#group8B0", "8B⁰"), =HYPERLINK("CSG2.html#group24Q2", "24Q²"), =HYPERLINK("CSG0.html#group2B0", "2B⁰"), =HYPERLINK("CSG3.html#group48F3", "48F³"), =HYPERLINK("CSG0.html#group3A0", "3A⁰"), =HYPERLINK("CSG0.html#group1A0", "1A⁰"), =HYPERLINK("CSG8.html#group48AD8", "48AD⁸"), =HYPERLINK("CSG0.html#group6D0", "6D⁰")</f>
        <v/>
      </c>
      <c r="N6250" t="inlineStr"/>
    </row>
    <row r="6251">
      <c r="A6251" t="inlineStr">
        <is>
          <t>99A²⁰</t>
        </is>
      </c>
      <c r="B6251" t="inlineStr"/>
      <c r="C6251" t="inlineStr">
        <is>
          <t>297</t>
        </is>
      </c>
      <c r="D6251" t="inlineStr">
        <is>
          <t>2</t>
        </is>
      </c>
      <c r="E6251" t="inlineStr">
        <is>
          <t>297</t>
        </is>
      </c>
      <c r="F6251" t="inlineStr">
        <is>
          <t>9</t>
        </is>
      </c>
      <c r="G6251" t="inlineStr">
        <is>
          <t>6</t>
        </is>
      </c>
      <c r="H6251" t="inlineStr">
        <is>
          <t>99³</t>
        </is>
      </c>
      <c r="I6251" t="n">
        <v>3</v>
      </c>
      <c r="J6251" t="inlineStr">
        <is>
          <t>6¹, 12⁴, 30², 60⁸</t>
        </is>
      </c>
      <c r="K6251">
        <f>HYPERLINK("CSG0.html#group9F0", "9F⁰"), =HYPERLINK("CSG0.html#group11A0", "11A⁰")</f>
        <v/>
      </c>
      <c r="L6251" t="inlineStr"/>
      <c r="M6251">
        <f>HYPERLINK("CSG0.html#group11A0", "11A⁰"), =HYPERLINK("CSG0.html#group9F0", "9F⁰"), =HYPERLINK("CSG0.html#group1A0", "1A⁰")</f>
        <v/>
      </c>
      <c r="N6251" t="inlineStr"/>
    </row>
    <row r="6252">
      <c r="A6252" t="inlineStr">
        <is>
          <t>105A²⁰</t>
        </is>
      </c>
      <c r="B6252" t="inlineStr"/>
      <c r="C6252" t="inlineStr">
        <is>
          <t>252</t>
        </is>
      </c>
      <c r="D6252" t="inlineStr">
        <is>
          <t>2</t>
        </is>
      </c>
      <c r="E6252" t="inlineStr">
        <is>
          <t>42</t>
        </is>
      </c>
      <c r="F6252" t="inlineStr">
        <is>
          <t>0</t>
        </is>
      </c>
      <c r="G6252" t="inlineStr">
        <is>
          <t>0</t>
        </is>
      </c>
      <c r="H6252" t="inlineStr">
        <is>
          <t>21², 105²</t>
        </is>
      </c>
      <c r="I6252" t="n">
        <v>4</v>
      </c>
      <c r="J6252" t="inlineStr">
        <is>
          <t>2², 6⁴, 8¹, 24²</t>
        </is>
      </c>
      <c r="K6252">
        <f>HYPERLINK("CSG2.html#group15B2", "15B²"), =HYPERLINK("CSG6.html#group35A6", "35A⁶"), =HYPERLINK("CSG6.html#group105C6", "105C⁶")</f>
        <v/>
      </c>
      <c r="L6252" t="inlineStr"/>
      <c r="M6252">
        <f>HYPERLINK("CSG2.html#group35C2", "35C²"), =HYPERLINK("CSG0.html#group15B0", "15B⁰"), =HYPERLINK("CSG6.html#group105C6", "105C⁶"), =HYPERLINK("CSG2.html#group15B2", "15B²"), =HYPERLINK("CSG0.html#group5B0", "5B⁰"), =HYPERLINK("CSG0.html#group5D0", "5D⁰"), =HYPERLINK("CSG0.html#group21A0", "21A⁰"), =HYPERLINK("CSG0.html#group3A0", "3A⁰"), =HYPERLINK("CSG0.html#group1A0", "1A⁰"), =HYPERLINK("CSG6.html#group35A6", "35A⁶"), =HYPERLINK("CSG0.html#group7A0", "7A⁰")</f>
        <v/>
      </c>
      <c r="N6252" t="inlineStr"/>
    </row>
    <row r="6253">
      <c r="A6253" t="inlineStr">
        <is>
          <t>108A²⁰</t>
        </is>
      </c>
      <c r="B6253" t="inlineStr"/>
      <c r="C6253" t="inlineStr">
        <is>
          <t>288</t>
        </is>
      </c>
      <c r="D6253" t="inlineStr">
        <is>
          <t>1</t>
        </is>
      </c>
      <c r="E6253" t="inlineStr">
        <is>
          <t>96</t>
        </is>
      </c>
      <c r="F6253" t="inlineStr">
        <is>
          <t>0</t>
        </is>
      </c>
      <c r="G6253" t="inlineStr">
        <is>
          <t>9</t>
        </is>
      </c>
      <c r="H6253" t="inlineStr">
        <is>
          <t>36², 108²</t>
        </is>
      </c>
      <c r="I6253" t="n">
        <v>4</v>
      </c>
      <c r="J6253" t="inlineStr">
        <is>
          <t>4¹², 12⁴</t>
        </is>
      </c>
      <c r="K6253">
        <f>HYPERLINK("CSG3.html#group54C3", "54C³"), =HYPERLINK("CSG5.html#group36G5", "36G⁵")</f>
        <v/>
      </c>
      <c r="L6253" t="inlineStr"/>
      <c r="M6253">
        <f>HYPERLINK("CSG0.html#group3B0", "3B⁰"), =HYPERLINK("CSG0.html#group2A0", "2A⁰"), =HYPERLINK("CSG1.html#group12I1", "12I¹"), =HYPERLINK("CSG0.html#group18B0", "18B⁰"), =HYPERLINK("CSG0.html#group6C0", "6C⁰"), =HYPERLINK("CSG0.html#group9C0", "9C⁰"), =HYPERLINK("CSG0.html#group1A0", "1A⁰"), =HYPERLINK("CSG5.html#group36G5", "36G⁵"), =HYPERLINK("CSG3.html#group54C3", "54C³"), =HYPERLINK("CSG3.html#group36C3", "36C³"), =HYPERLINK("CSG0.html#group4A0", "4A⁰"), =HYPERLINK("CSG0.html#group4D0", "4D⁰"), =HYPERLINK("CSG1.html#group12A1", "12A¹")</f>
        <v/>
      </c>
      <c r="N6253" t="inlineStr"/>
    </row>
    <row r="6254">
      <c r="A6254" t="inlineStr">
        <is>
          <t>108B²⁰</t>
        </is>
      </c>
      <c r="B6254" t="inlineStr"/>
      <c r="C6254" t="inlineStr">
        <is>
          <t>324</t>
        </is>
      </c>
      <c r="D6254" t="inlineStr">
        <is>
          <t>2</t>
        </is>
      </c>
      <c r="E6254" t="inlineStr">
        <is>
          <t>324</t>
        </is>
      </c>
      <c r="F6254" t="inlineStr">
        <is>
          <t>26</t>
        </is>
      </c>
      <c r="G6254" t="inlineStr">
        <is>
          <t>0</t>
        </is>
      </c>
      <c r="H6254" t="inlineStr">
        <is>
          <t>108³</t>
        </is>
      </c>
      <c r="I6254" t="n">
        <v>3</v>
      </c>
      <c r="J6254" t="inlineStr">
        <is>
          <t>12¹⁸, 36¹²</t>
        </is>
      </c>
      <c r="K6254">
        <f>HYPERLINK("CSG3.html#group27B3", "27B³"), =HYPERLINK("CSG5.html#group36J5", "36J⁵")</f>
        <v/>
      </c>
      <c r="L6254" t="inlineStr"/>
      <c r="M6254">
        <f>HYPERLINK("CSG1.html#group36A1", "36A¹"), =HYPERLINK("CSG5.html#group36J5", "36J⁵"), =HYPERLINK("CSG0.html#group12A0", "12A⁰"), =HYPERLINK("CSG0.html#group4A0", "4A⁰"), =HYPERLINK("CSG0.html#group9G0", "9G⁰"), =HYPERLINK("CSG0.html#group9A0", "9A⁰"), =HYPERLINK("CSG3.html#group27B3", "27B³"), =HYPERLINK("CSG0.html#group3A0", "3A⁰"), =HYPERLINK("CSG0.html#group1A0", "1A⁰")</f>
        <v/>
      </c>
      <c r="N6254" t="inlineStr"/>
    </row>
    <row r="6255">
      <c r="A6255" t="inlineStr">
        <is>
          <t>117A²⁰</t>
        </is>
      </c>
      <c r="B6255" t="inlineStr"/>
      <c r="C6255" t="inlineStr">
        <is>
          <t>252</t>
        </is>
      </c>
      <c r="D6255" t="inlineStr">
        <is>
          <t>1</t>
        </is>
      </c>
      <c r="E6255" t="inlineStr">
        <is>
          <t>126</t>
        </is>
      </c>
      <c r="F6255" t="inlineStr">
        <is>
          <t>0</t>
        </is>
      </c>
      <c r="G6255" t="inlineStr">
        <is>
          <t>0</t>
        </is>
      </c>
      <c r="H6255" t="inlineStr">
        <is>
          <t>9², 117²</t>
        </is>
      </c>
      <c r="I6255" t="n">
        <v>4</v>
      </c>
      <c r="J6255" t="inlineStr">
        <is>
          <t>1², 2², 6², 12¹, 24¹, 72¹</t>
        </is>
      </c>
      <c r="K6255">
        <f>HYPERLINK("CSG6.html#group39A6", "39A⁶"), =HYPERLINK("CSG8.html#group117A8", "117A⁸")</f>
        <v/>
      </c>
      <c r="L6255" t="inlineStr"/>
      <c r="M6255">
        <f>HYPERLINK("CSG8.html#group117A8", "117A⁸"), =HYPERLINK("CSG2.html#group39A2", "39A²"), =HYPERLINK("CSG0.html#group9A0", "9A⁰"), =HYPERLINK("CSG0.html#group13A0", "13A⁰"), =HYPERLINK("CSG0.html#group13B0", "13B⁰"), =HYPERLINK("CSG6.html#group39A6", "39A⁶"), =HYPERLINK("CSG0.html#group3A0", "3A⁰"), =HYPERLINK("CSG0.html#group1A0", "1A⁰")</f>
        <v/>
      </c>
      <c r="N6255" t="inlineStr"/>
    </row>
    <row r="6256">
      <c r="A6256" t="inlineStr">
        <is>
          <t>120A²⁰</t>
        </is>
      </c>
      <c r="B6256" t="inlineStr"/>
      <c r="C6256" t="inlineStr">
        <is>
          <t>240</t>
        </is>
      </c>
      <c r="D6256" t="inlineStr">
        <is>
          <t>1</t>
        </is>
      </c>
      <c r="E6256" t="inlineStr">
        <is>
          <t>20</t>
        </is>
      </c>
      <c r="F6256" t="inlineStr">
        <is>
          <t>0</t>
        </is>
      </c>
      <c r="G6256" t="inlineStr">
        <is>
          <t>0</t>
        </is>
      </c>
      <c r="H6256" t="inlineStr">
        <is>
          <t>120²</t>
        </is>
      </c>
      <c r="I6256" t="n">
        <v>2</v>
      </c>
      <c r="J6256" t="inlineStr">
        <is>
          <t>2², 8²</t>
        </is>
      </c>
      <c r="K6256">
        <f>HYPERLINK("CSG4.html#group24A4", "24A⁴"), =HYPERLINK("CSG4.html#group40D4", "40D⁴"), =HYPERLINK("CSG9.html#group120A9", "120A⁹"), =HYPERLINK("CSG10.html#group60A10", "60A¹⁰")</f>
        <v/>
      </c>
      <c r="L6256" t="inlineStr"/>
      <c r="M6256">
        <f>HYPERLINK("CSG0.html#group2A0", "2A⁰"), =HYPERLINK("CSG9.html#group120A9", "120A⁹"), =HYPERLINK("CSG4.html#group40D4", "40D⁴"), =HYPERLINK("CSG0.html#group5A0", "5A⁰"), =HYPERLINK("CSG3.html#group30A3", "30A³"), =HYPERLINK("CSG0.html#group8A0", "8A⁰"), =HYPERLINK("CSG4.html#group24A4", "24A⁴"), =HYPERLINK("CSG0.html#group8E0", "8E⁰"), =HYPERLINK("CSG1.html#group20A1", "20A¹"), =HYPERLINK("CSG0.html#group1A0", "1A⁰"), =HYPERLINK("CSG10.html#group60A10", "60A¹⁰"), =HYPERLINK("CSG0.html#group12A0", "12A⁰"), =HYPERLINK("CSG1.html#group24A1", "24A¹"), =HYPERLINK("CSG0.html#group10A0", "10A⁰"), =HYPERLINK("CSG2.html#group20D2", "20D²"), =HYPERLINK("CSG0.html#group4A0", "4A⁰"), =HYPERLINK("CSG0.html#group4D0", "4D⁰"), =HYPERLINK("CSG4.html#group60A4", "60A⁴"), =HYPERLINK("CSG2.html#group12A2", "12A²"), =HYPERLINK("CSG1.html#group6A1", "6A¹"), =HYPERLINK("CSG0.html#group3A0", "3A⁰"), =HYPERLINK("CSG2.html#group40A2", "40A²"), =HYPERLINK("CSG1.html#group15A1", "15A¹")</f>
        <v/>
      </c>
      <c r="N6256" t="inlineStr"/>
    </row>
    <row r="6257">
      <c r="A6257" t="inlineStr">
        <is>
          <t>120B²⁰</t>
        </is>
      </c>
      <c r="B6257" t="inlineStr"/>
      <c r="C6257" t="inlineStr">
        <is>
          <t>240</t>
        </is>
      </c>
      <c r="D6257" t="inlineStr">
        <is>
          <t>1</t>
        </is>
      </c>
      <c r="E6257" t="inlineStr">
        <is>
          <t>60</t>
        </is>
      </c>
      <c r="F6257" t="inlineStr">
        <is>
          <t>0</t>
        </is>
      </c>
      <c r="G6257" t="inlineStr">
        <is>
          <t>0</t>
        </is>
      </c>
      <c r="H6257" t="inlineStr">
        <is>
          <t>120²</t>
        </is>
      </c>
      <c r="I6257" t="n">
        <v>2</v>
      </c>
      <c r="J6257" t="inlineStr">
        <is>
          <t>2², 4², 8², 16²</t>
        </is>
      </c>
      <c r="K6257">
        <f>HYPERLINK("CSG4.html#group24B4", "24B⁴"), =HYPERLINK("CSG9.html#group120B9", "120B⁹"), =HYPERLINK("CSG10.html#group60A10", "60A¹⁰")</f>
        <v/>
      </c>
      <c r="L6257" t="inlineStr"/>
      <c r="M6257">
        <f>HYPERLINK("CSG0.html#group2A0", "2A⁰"), =HYPERLINK("CSG3.html#group30A3", "30A³"), =HYPERLINK("CSG0.html#group5A0", "5A⁰"), =HYPERLINK("CSG9.html#group120B9", "120B⁹"), =HYPERLINK("CSG1.html#group20A1", "20A¹"), =HYPERLINK("CSG1.html#group24B1", "24B¹"), =HYPERLINK("CSG0.html#group1A0", "1A⁰"), =HYPERLINK("CSG10.html#group60A10", "60A¹⁰"), =HYPERLINK("CSG0.html#group12A0", "12A⁰"), =HYPERLINK("CSG2.html#group20D2", "20D²"), =HYPERLINK("CSG0.html#group10A0", "10A⁰"), =HYPERLINK("CSG0.html#group4A0", "4A⁰"), =HYPERLINK("CSG0.html#group4D0", "4D⁰"), =HYPERLINK("CSG4.html#group24B4", "24B⁴"), =HYPERLINK("CSG4.html#group60A4", "60A⁴"), =HYPERLINK("CSG2.html#group12A2", "12A²"), =HYPERLINK("CSG1.html#group6A1", "6A¹"), =HYPERLINK("CSG0.html#group3A0", "3A⁰"), =HYPERLINK("CSG1.html#group15A1", "15A¹")</f>
        <v/>
      </c>
      <c r="N6257" t="inlineStr"/>
    </row>
    <row r="6258">
      <c r="A6258" t="inlineStr">
        <is>
          <t>125A²⁰</t>
        </is>
      </c>
      <c r="B6258" t="inlineStr"/>
      <c r="C6258" t="inlineStr">
        <is>
          <t>300</t>
        </is>
      </c>
      <c r="D6258" t="inlineStr">
        <is>
          <t>1</t>
        </is>
      </c>
      <c r="E6258" t="inlineStr">
        <is>
          <t>30</t>
        </is>
      </c>
      <c r="F6258" t="inlineStr">
        <is>
          <t>0</t>
        </is>
      </c>
      <c r="G6258" t="inlineStr">
        <is>
          <t>0</t>
        </is>
      </c>
      <c r="H6258" t="inlineStr">
        <is>
          <t>5¹⁰, 125²</t>
        </is>
      </c>
      <c r="I6258" t="n">
        <v>12</v>
      </c>
      <c r="J6258" t="inlineStr">
        <is>
          <t>2², 4⁴, 20²</t>
        </is>
      </c>
      <c r="K6258">
        <f>HYPERLINK("CSG0.html#group25B0", "25B⁰"), =HYPERLINK("CSG10.html#group125A10", "125A¹⁰")</f>
        <v/>
      </c>
      <c r="L6258" t="inlineStr"/>
      <c r="M6258">
        <f>HYPERLINK("CSG0.html#group25A0", "25A⁰"), =HYPERLINK("CSG0.html#group5B0", "5B⁰"), =HYPERLINK("CSG0.html#group5D0", "5D⁰"), =HYPERLINK("CSG0.html#group1A0", "1A⁰"), =HYPERLINK("CSG10.html#group125A10", "125A¹⁰"), =HYPERLINK("CSG0.html#group25B0", "25B⁰")</f>
        <v/>
      </c>
      <c r="N6258" t="inlineStr"/>
    </row>
    <row r="6259">
      <c r="A6259" t="inlineStr">
        <is>
          <t>125B²⁰</t>
        </is>
      </c>
      <c r="B6259" t="inlineStr"/>
      <c r="C6259" t="inlineStr">
        <is>
          <t>300</t>
        </is>
      </c>
      <c r="D6259" t="inlineStr">
        <is>
          <t>1</t>
        </is>
      </c>
      <c r="E6259" t="inlineStr">
        <is>
          <t>30</t>
        </is>
      </c>
      <c r="F6259" t="inlineStr">
        <is>
          <t>0</t>
        </is>
      </c>
      <c r="G6259" t="inlineStr">
        <is>
          <t>0</t>
        </is>
      </c>
      <c r="H6259" t="inlineStr">
        <is>
          <t>5¹⁰, 125²</t>
        </is>
      </c>
      <c r="I6259" t="n">
        <v>12</v>
      </c>
      <c r="J6259" t="inlineStr">
        <is>
          <t>2², 4⁴, 20²</t>
        </is>
      </c>
      <c r="K6259">
        <f>HYPERLINK("CSG0.html#group25B0", "25B⁰"), =HYPERLINK("CSG10.html#group125B10", "125B¹⁰")</f>
        <v/>
      </c>
      <c r="L6259" t="inlineStr"/>
      <c r="M6259">
        <f>HYPERLINK("CSG0.html#group25A0", "25A⁰"), =HYPERLINK("CSG0.html#group5B0", "5B⁰"), =HYPERLINK("CSG0.html#group5D0", "5D⁰"), =HYPERLINK("CSG10.html#group125B10", "125B¹⁰"), =HYPERLINK("CSG0.html#group1A0", "1A⁰"), =HYPERLINK("CSG0.html#group25B0", "25B⁰")</f>
        <v/>
      </c>
      <c r="N6259" t="inlineStr"/>
    </row>
    <row r="6260">
      <c r="A6260" t="inlineStr">
        <is>
          <t>126A²⁰</t>
        </is>
      </c>
      <c r="B6260" t="inlineStr"/>
      <c r="C6260" t="inlineStr">
        <is>
          <t>252</t>
        </is>
      </c>
      <c r="D6260" t="inlineStr">
        <is>
          <t>2</t>
        </is>
      </c>
      <c r="E6260" t="inlineStr">
        <is>
          <t>63</t>
        </is>
      </c>
      <c r="F6260" t="inlineStr">
        <is>
          <t>4</t>
        </is>
      </c>
      <c r="G6260" t="inlineStr">
        <is>
          <t>0</t>
        </is>
      </c>
      <c r="H6260" t="inlineStr">
        <is>
          <t>126²</t>
        </is>
      </c>
      <c r="I6260" t="n">
        <v>2</v>
      </c>
      <c r="J6260" t="inlineStr">
        <is>
          <t>4³, 12⁸, 36⁴</t>
        </is>
      </c>
      <c r="K6260">
        <f>HYPERLINK("CSG6.html#group42A6", "42A⁶"), =HYPERLINK("CSG7.html#group126A7", "126A⁷"), =HYPERLINK("CSG8.html#group126B8", "126B⁸"), =HYPERLINK("CSG9.html#group63B9", "63B⁹")</f>
        <v/>
      </c>
      <c r="L6260" t="inlineStr"/>
      <c r="M6260">
        <f>HYPERLINK("CSG2.html#group21D2", "21D²"), =HYPERLINK("CSG7.html#group126A7", "126A⁷"), =HYPERLINK("CSG2.html#group42A2", "42A²"), =HYPERLINK("CSG6.html#group42A6", "42A⁶"), =HYPERLINK("CSG0.html#group9A0", "9A⁰"), =HYPERLINK("CSG2.html#group63A2", "63A²"), =HYPERLINK("CSG0.html#group21A0", "21A⁰"), =HYPERLINK("CSG0.html#group3C0", "3C⁰"), =HYPERLINK("CSG0.html#group1A0", "1A⁰"), =HYPERLINK("CSG0.html#group3A0", "3A⁰"), =HYPERLINK("CSG9.html#group63B9", "63B⁹"), =HYPERLINK("CSG8.html#group126B8", "126B⁸"), =HYPERLINK("CSG1.html#group9B1", "9B¹"), =HYPERLINK("CSG0.html#group7A0", "7A⁰")</f>
        <v/>
      </c>
      <c r="N6260" t="inlineStr"/>
    </row>
    <row r="6261">
      <c r="A6261" t="inlineStr">
        <is>
          <t>126B²⁰</t>
        </is>
      </c>
      <c r="B6261" t="inlineStr"/>
      <c r="C6261" t="inlineStr">
        <is>
          <t>252</t>
        </is>
      </c>
      <c r="D6261" t="inlineStr">
        <is>
          <t>2</t>
        </is>
      </c>
      <c r="E6261" t="inlineStr">
        <is>
          <t>63</t>
        </is>
      </c>
      <c r="F6261" t="inlineStr">
        <is>
          <t>4</t>
        </is>
      </c>
      <c r="G6261" t="inlineStr">
        <is>
          <t>0</t>
        </is>
      </c>
      <c r="H6261" t="inlineStr">
        <is>
          <t>126²</t>
        </is>
      </c>
      <c r="I6261" t="n">
        <v>2</v>
      </c>
      <c r="J6261" t="inlineStr">
        <is>
          <t>4³, 12⁸, 36⁴</t>
        </is>
      </c>
      <c r="K6261">
        <f>HYPERLINK("CSG6.html#group42A6", "42A⁶"), =HYPERLINK("CSG7.html#group126A7", "126A⁷"), =HYPERLINK("CSG8.html#group126C8", "126C⁸"), =HYPERLINK("CSG9.html#group63A9", "63A⁹")</f>
        <v/>
      </c>
      <c r="L6261" t="inlineStr"/>
      <c r="M6261">
        <f>HYPERLINK("CSG8.html#group126C8", "126C⁸"), =HYPERLINK("CSG9.html#group63A9", "63A⁹"), =HYPERLINK("CSG2.html#group21D2", "21D²"), =HYPERLINK("CSG7.html#group126A7", "126A⁷"), =HYPERLINK("CSG2.html#group42A2", "42A²"), =HYPERLINK("CSG6.html#group42A6", "42A⁶"), =HYPERLINK("CSG0.html#group9A0", "9A⁰"), =HYPERLINK("CSG0.html#group21A0", "21A⁰"), =HYPERLINK("CSG0.html#group3C0", "3C⁰"), =HYPERLINK("CSG0.html#group7A0", "7A⁰"), =HYPERLINK("CSG0.html#group3A0", "3A⁰"), =HYPERLINK("CSG0.html#group1A0", "1A⁰"), =HYPERLINK("CSG1.html#group9B1", "9B¹"), =HYPERLINK("CSG2.html#group63A2", "63A²")</f>
        <v/>
      </c>
      <c r="N6261" t="inlineStr"/>
    </row>
    <row r="6262">
      <c r="A6262" t="inlineStr">
        <is>
          <t>126C²⁰</t>
        </is>
      </c>
      <c r="B6262" t="inlineStr"/>
      <c r="C6262" t="inlineStr">
        <is>
          <t>252</t>
        </is>
      </c>
      <c r="D6262" t="inlineStr">
        <is>
          <t>2</t>
        </is>
      </c>
      <c r="E6262" t="inlineStr">
        <is>
          <t>84</t>
        </is>
      </c>
      <c r="F6262" t="inlineStr">
        <is>
          <t>0</t>
        </is>
      </c>
      <c r="G6262" t="inlineStr">
        <is>
          <t>0</t>
        </is>
      </c>
      <c r="H6262" t="inlineStr">
        <is>
          <t>21¹, 42¹, 63¹, 126¹</t>
        </is>
      </c>
      <c r="I6262" t="n">
        <v>4</v>
      </c>
      <c r="J6262" t="inlineStr">
        <is>
          <t>2⁶, 4³, 6¹², 12⁶</t>
        </is>
      </c>
      <c r="K6262">
        <f>HYPERLINK("CSG2.html#group18D2", "18D²"), =HYPERLINK("CSG6.html#group42C6", "42C⁶"), =HYPERLINK("CSG6.html#group63C6", "63C⁶")</f>
        <v/>
      </c>
      <c r="L6262" t="inlineStr"/>
      <c r="M6262">
        <f>HYPERLINK("CSG0.html#group3B0", "3B⁰"), =HYPERLINK("CSG2.html#group21B2", "21B²"), =HYPERLINK("CSG6.html#group63C6", "63C⁶"), =HYPERLINK("CSG1.html#group14B1", "14B¹"), =HYPERLINK("CSG6.html#group42C6", "42C⁶"), =HYPERLINK("CSG0.html#group6F0", "6F⁰"), =HYPERLINK("CSG2.html#group18D2", "18D²"), =HYPERLINK("CSG0.html#group2B0", "2B⁰"), =HYPERLINK("CSG0.html#group9C0", "9C⁰"), =HYPERLINK("CSG0.html#group1A0", "1A⁰"), =HYPERLINK("CSG0.html#group7A0", "7A⁰")</f>
        <v/>
      </c>
      <c r="N6262" t="inlineStr"/>
    </row>
    <row r="6263">
      <c r="A6263" t="inlineStr">
        <is>
          <t>126D²⁰</t>
        </is>
      </c>
      <c r="B6263" t="inlineStr"/>
      <c r="C6263" t="inlineStr">
        <is>
          <t>252</t>
        </is>
      </c>
      <c r="D6263" t="inlineStr">
        <is>
          <t>2</t>
        </is>
      </c>
      <c r="E6263" t="inlineStr">
        <is>
          <t>84</t>
        </is>
      </c>
      <c r="F6263" t="inlineStr">
        <is>
          <t>0</t>
        </is>
      </c>
      <c r="G6263" t="inlineStr">
        <is>
          <t>0</t>
        </is>
      </c>
      <c r="H6263" t="inlineStr">
        <is>
          <t>21¹, 42¹, 63¹, 126¹</t>
        </is>
      </c>
      <c r="I6263" t="n">
        <v>4</v>
      </c>
      <c r="J6263" t="inlineStr">
        <is>
          <t>2⁶, 4³, 6¹², 12⁶</t>
        </is>
      </c>
      <c r="K6263">
        <f>HYPERLINK("CSG2.html#group18E2", "18E²"), =HYPERLINK("CSG6.html#group42C6", "42C⁶"), =HYPERLINK("CSG7.html#group63A7", "63A⁷")</f>
        <v/>
      </c>
      <c r="L6263" t="inlineStr"/>
      <c r="M6263">
        <f>HYPERLINK("CSG0.html#group3B0", "3B⁰"), =HYPERLINK("CSG2.html#group21B2", "21B²"), =HYPERLINK("CSG1.html#group14B1", "14B¹"), =HYPERLINK("CSG6.html#group42C6", "42C⁶"), =HYPERLINK("CSG1.html#group9A1", "9A¹"), =HYPERLINK("CSG2.html#group18E2", "18E²"), =HYPERLINK("CSG0.html#group1A0", "1A⁰"), =HYPERLINK("CSG0.html#group2B0", "2B⁰"), =HYPERLINK("CSG0.html#group6F0", "6F⁰"), =HYPERLINK("CSG7.html#group63A7", "63A⁷"), =HYPERLINK("CSG0.html#group7A0", "7A⁰")</f>
        <v/>
      </c>
      <c r="N6263" t="inlineStr"/>
    </row>
    <row r="6264">
      <c r="A6264" t="inlineStr">
        <is>
          <t>126E²⁰</t>
        </is>
      </c>
      <c r="B6264" t="inlineStr"/>
      <c r="C6264" t="inlineStr">
        <is>
          <t>252</t>
        </is>
      </c>
      <c r="D6264" t="inlineStr">
        <is>
          <t>2</t>
        </is>
      </c>
      <c r="E6264" t="inlineStr">
        <is>
          <t>126</t>
        </is>
      </c>
      <c r="F6264" t="inlineStr">
        <is>
          <t>0</t>
        </is>
      </c>
      <c r="G6264" t="inlineStr">
        <is>
          <t>0</t>
        </is>
      </c>
      <c r="H6264" t="inlineStr">
        <is>
          <t>42³, 126¹</t>
        </is>
      </c>
      <c r="I6264" t="n">
        <v>4</v>
      </c>
      <c r="J6264" t="inlineStr">
        <is>
          <t>2¹, 4¹, 6³, 12⁴, 18², 36⁴</t>
        </is>
      </c>
      <c r="K6264">
        <f>HYPERLINK("CSG2.html#group18F2", "18F²"), =HYPERLINK("CSG7.html#group42C7", "42C⁷"), =HYPERLINK("CSG8.html#group63B8", "63B⁸")</f>
        <v/>
      </c>
      <c r="L6264" t="inlineStr"/>
      <c r="M6264">
        <f>HYPERLINK("CSG2.html#group18F2", "18F²"), =HYPERLINK("CSG0.html#group2A0", "2A⁰"), =HYPERLINK("CSG2.html#group21D2", "21D²"), =HYPERLINK("CSG0.html#group6B0", "6B⁰"), =HYPERLINK("CSG0.html#group3A0", "3A⁰"), =HYPERLINK("CSG1.html#group14A1", "14A¹"), =HYPERLINK("CSG0.html#group21A0", "21A⁰"), =HYPERLINK("CSG4.html#group42A4", "42A⁴"), =HYPERLINK("CSG0.html#group9E0", "9E⁰"), =HYPERLINK("CSG0.html#group1A0", "1A⁰"), =HYPERLINK("CSG1.html#group6B1", "6B¹"), =HYPERLINK("CSG0.html#group3C0", "3C⁰"), =HYPERLINK("CSG1.html#group6A1", "6A¹"), =HYPERLINK("CSG1.html#group42B1", "42B¹"), =HYPERLINK("CSG7.html#group42C7", "42C⁷"), =HYPERLINK("CSG0.html#group7A0", "7A⁰"), =HYPERLINK("CSG8.html#group63B8", "63B⁸")</f>
        <v/>
      </c>
      <c r="N6264" t="inlineStr"/>
    </row>
    <row r="6265">
      <c r="A6265" t="inlineStr">
        <is>
          <t>132A²⁰</t>
        </is>
      </c>
      <c r="B6265" t="inlineStr"/>
      <c r="C6265" t="inlineStr">
        <is>
          <t>264</t>
        </is>
      </c>
      <c r="D6265" t="inlineStr">
        <is>
          <t>2</t>
        </is>
      </c>
      <c r="E6265" t="inlineStr">
        <is>
          <t>88</t>
        </is>
      </c>
      <c r="F6265" t="inlineStr">
        <is>
          <t>0</t>
        </is>
      </c>
      <c r="G6265" t="inlineStr">
        <is>
          <t>6</t>
        </is>
      </c>
      <c r="H6265" t="inlineStr">
        <is>
          <t>132²</t>
        </is>
      </c>
      <c r="I6265" t="n">
        <v>2</v>
      </c>
      <c r="J6265" t="inlineStr">
        <is>
          <t>8², 40⁴</t>
        </is>
      </c>
      <c r="K6265">
        <f>HYPERLINK("CSG1.html#group12E1", "12E¹"), =HYPERLINK("CSG4.html#group66A4", "66A⁴"), =HYPERLINK("CSG6.html#group44A6", "44A⁶")</f>
        <v/>
      </c>
      <c r="L6265" t="inlineStr"/>
      <c r="M6265">
        <f>HYPERLINK("CSG6.html#group44A6", "44A⁶"), =HYPERLINK("CSG0.html#group11A0", "11A⁰"), =HYPERLINK("CSG0.html#group2A0", "2A⁰"), =HYPERLINK("CSG1.html#group22A1", "22A¹"), =HYPERLINK("CSG2.html#group44A2", "44A²"), =HYPERLINK("CSG0.html#group6A0", "6A⁰"), =HYPERLINK("CSG0.html#group4A0", "4A⁰"), =HYPERLINK("CSG0.html#group4D0", "4D⁰"), =HYPERLINK("CSG1.html#group12E1", "12E¹"), =HYPERLINK("CSG0.html#group1A0", "1A⁰"), =HYPERLINK("CSG4.html#group66A4", "66A⁴")</f>
        <v/>
      </c>
      <c r="N6265" t="inlineStr"/>
    </row>
    <row r="6266">
      <c r="A6266" t="inlineStr">
        <is>
          <t>132B²⁰</t>
        </is>
      </c>
      <c r="B6266" t="inlineStr"/>
      <c r="C6266" t="inlineStr">
        <is>
          <t>264</t>
        </is>
      </c>
      <c r="D6266" t="inlineStr">
        <is>
          <t>2</t>
        </is>
      </c>
      <c r="E6266" t="inlineStr">
        <is>
          <t>132</t>
        </is>
      </c>
      <c r="F6266" t="inlineStr">
        <is>
          <t>0</t>
        </is>
      </c>
      <c r="G6266" t="inlineStr">
        <is>
          <t>0</t>
        </is>
      </c>
      <c r="H6266" t="inlineStr">
        <is>
          <t>11², 33², 44¹, 132¹</t>
        </is>
      </c>
      <c r="I6266" t="n">
        <v>6</v>
      </c>
      <c r="J6266" t="inlineStr">
        <is>
          <t>2⁶, 4³, 10¹², 20⁶</t>
        </is>
      </c>
      <c r="K6266">
        <f>HYPERLINK("CSG0.html#group12E0", "12E⁰"), =HYPERLINK("CSG5.html#group44A5", "44A⁵"), =HYPERLINK("CSG10.html#group66A10", "66A¹⁰")</f>
        <v/>
      </c>
      <c r="L6266" t="inlineStr"/>
      <c r="M6266">
        <f>HYPERLINK("CSG0.html#group11A0", "11A⁰"), =HYPERLINK("CSG0.html#group3B0", "3B⁰"), =HYPERLINK("CSG0.html#group4B0", "4B⁰"), =HYPERLINK("CSG3.html#group33B3", "33B³"), =HYPERLINK("CSG0.html#group6F0", "6F⁰"), =HYPERLINK("CSG0.html#group2B0", "2B⁰"), =HYPERLINK("CSG2.html#group22B2", "22B²"), =HYPERLINK("CSG5.html#group44A5", "44A⁵"), =HYPERLINK("CSG0.html#group1A0", "1A⁰"), =HYPERLINK("CSG10.html#group66A10", "66A¹⁰"), =HYPERLINK("CSG0.html#group12E0", "12E⁰")</f>
        <v/>
      </c>
      <c r="N6266" t="inlineStr"/>
    </row>
    <row r="6267">
      <c r="A6267" t="inlineStr">
        <is>
          <t>132C²⁰</t>
        </is>
      </c>
      <c r="B6267" t="inlineStr"/>
      <c r="C6267" t="inlineStr">
        <is>
          <t>264</t>
        </is>
      </c>
      <c r="D6267" t="inlineStr">
        <is>
          <t>2</t>
        </is>
      </c>
      <c r="E6267" t="inlineStr">
        <is>
          <t>264</t>
        </is>
      </c>
      <c r="F6267" t="inlineStr">
        <is>
          <t>0</t>
        </is>
      </c>
      <c r="G6267" t="inlineStr">
        <is>
          <t>6</t>
        </is>
      </c>
      <c r="H6267" t="inlineStr">
        <is>
          <t>132²</t>
        </is>
      </c>
      <c r="I6267" t="n">
        <v>2</v>
      </c>
      <c r="J6267" t="inlineStr">
        <is>
          <t>8⁶, 40¹²</t>
        </is>
      </c>
      <c r="K6267">
        <f>HYPERLINK("CSG1.html#group12H1", "12H¹"), =HYPERLINK("CSG4.html#group66A4", "66A⁴")</f>
        <v/>
      </c>
      <c r="L6267" t="inlineStr"/>
      <c r="M6267">
        <f>HYPERLINK("CSG0.html#group11A0", "11A⁰"), =HYPERLINK("CSG0.html#group2A0", "2A⁰"), =HYPERLINK("CSG0.html#group1A0", "1A⁰"), =HYPERLINK("CSG1.html#group12H1", "12H¹"), =HYPERLINK("CSG1.html#group22A1", "22A¹"), =HYPERLINK("CSG4.html#group66A4", "66A⁴"), =HYPERLINK("CSG0.html#group6A0", "6A⁰")</f>
        <v/>
      </c>
      <c r="N6267" t="inlineStr"/>
    </row>
    <row r="6268">
      <c r="A6268" t="inlineStr">
        <is>
          <t>140A²⁰</t>
        </is>
      </c>
      <c r="B6268" t="inlineStr"/>
      <c r="C6268" t="inlineStr">
        <is>
          <t>252</t>
        </is>
      </c>
      <c r="D6268" t="inlineStr">
        <is>
          <t>2</t>
        </is>
      </c>
      <c r="E6268" t="inlineStr">
        <is>
          <t>126</t>
        </is>
      </c>
      <c r="F6268" t="inlineStr">
        <is>
          <t>0</t>
        </is>
      </c>
      <c r="G6268" t="inlineStr">
        <is>
          <t>0</t>
        </is>
      </c>
      <c r="H6268" t="inlineStr">
        <is>
          <t>14¹, 28¹, 70¹, 140¹</t>
        </is>
      </c>
      <c r="I6268" t="n">
        <v>4</v>
      </c>
      <c r="J6268" t="inlineStr">
        <is>
          <t>2⁶, 6¹², 8³, 24⁶</t>
        </is>
      </c>
      <c r="K6268">
        <f>HYPERLINK("CSG2.html#group20C2", "20C²"), =HYPERLINK("CSG8.html#group70B8", "70B⁸")</f>
        <v/>
      </c>
      <c r="L6268" t="inlineStr"/>
      <c r="M6268">
        <f>HYPERLINK("CSG2.html#group35C2", "35C²"), =HYPERLINK("CSG1.html#group14B1", "14B¹"), =HYPERLINK("CSG0.html#group5B0", "5B⁰"), =HYPERLINK("CSG8.html#group70B8", "70B⁸"), =HYPERLINK("CSG0.html#group10C0", "10C⁰"), =HYPERLINK("CSG0.html#group2B0", "2B⁰"), =HYPERLINK("CSG0.html#group1A0", "1A⁰"), =HYPERLINK("CSG2.html#group20C2", "20C²"), =HYPERLINK("CSG0.html#group7A0", "7A⁰")</f>
        <v/>
      </c>
      <c r="N6268" t="inlineStr"/>
    </row>
    <row r="6269">
      <c r="A6269" t="inlineStr">
        <is>
          <t>140B²⁰</t>
        </is>
      </c>
      <c r="B6269" t="inlineStr"/>
      <c r="C6269" t="inlineStr">
        <is>
          <t>280</t>
        </is>
      </c>
      <c r="D6269" t="inlineStr">
        <is>
          <t>2</t>
        </is>
      </c>
      <c r="E6269" t="inlineStr">
        <is>
          <t>140</t>
        </is>
      </c>
      <c r="F6269" t="inlineStr">
        <is>
          <t>8</t>
        </is>
      </c>
      <c r="G6269" t="inlineStr">
        <is>
          <t>4</t>
        </is>
      </c>
      <c r="H6269" t="inlineStr">
        <is>
          <t>140²</t>
        </is>
      </c>
      <c r="I6269" t="n">
        <v>2</v>
      </c>
      <c r="J6269" t="inlineStr">
        <is>
          <t>4², 12⁴, 16², 48⁴</t>
        </is>
      </c>
      <c r="K6269">
        <f>HYPERLINK("CSG2.html#group28E2", "28E²"), =HYPERLINK("CSG4.html#group70A4", "70A⁴"), =HYPERLINK("CSG10.html#group140A10", "140A¹⁰")</f>
        <v/>
      </c>
      <c r="L6269" t="inlineStr"/>
      <c r="M6269">
        <f>HYPERLINK("CSG10.html#group140A10", "140A¹⁰"), =HYPERLINK("CSG2.html#group28E2", "28E²"), =HYPERLINK("CSG0.html#group5A0", "5A⁰"), =HYPERLINK("CSG0.html#group14A0", "14A⁰"), =HYPERLINK("CSG4.html#group70A4", "70A⁴"), =HYPERLINK("CSG0.html#group4A0", "4A⁰"), =HYPERLINK("CSG1.html#group20A1", "20A¹"), =HYPERLINK("CSG1.html#group28A1", "28A¹"), =HYPERLINK("CSG0.html#group1A0", "1A⁰"), =HYPERLINK("CSG2.html#group35A2", "35A²"), =HYPERLINK("CSG0.html#group7A0", "7A⁰")</f>
        <v/>
      </c>
      <c r="N6269" t="inlineStr"/>
    </row>
    <row r="6270">
      <c r="A6270" t="inlineStr">
        <is>
          <t>140C²⁰</t>
        </is>
      </c>
      <c r="B6270" t="inlineStr"/>
      <c r="C6270" t="inlineStr">
        <is>
          <t>280</t>
        </is>
      </c>
      <c r="D6270" t="inlineStr">
        <is>
          <t>2</t>
        </is>
      </c>
      <c r="E6270" t="inlineStr">
        <is>
          <t>280</t>
        </is>
      </c>
      <c r="F6270" t="inlineStr">
        <is>
          <t>12</t>
        </is>
      </c>
      <c r="G6270" t="inlineStr">
        <is>
          <t>1</t>
        </is>
      </c>
      <c r="H6270" t="inlineStr">
        <is>
          <t>140²</t>
        </is>
      </c>
      <c r="I6270" t="n">
        <v>2</v>
      </c>
      <c r="J6270" t="inlineStr">
        <is>
          <t>8², 16⁴, 24⁴, 48⁸</t>
        </is>
      </c>
      <c r="K6270">
        <f>HYPERLINK("CSG1.html#group28A1", "28A¹"), =HYPERLINK("CSG2.html#group20E2", "20E²"), =HYPERLINK("CSG4.html#group35B4", "35B⁴")</f>
        <v/>
      </c>
      <c r="L6270" t="inlineStr"/>
      <c r="M6270">
        <f>HYPERLINK("CSG0.html#group4A0", "4A⁰"), =HYPERLINK("CSG4.html#group35B4", "35B⁴"), =HYPERLINK("CSG0.html#group5C0", "5C⁰"), =HYPERLINK("CSG1.html#group28A1", "28A¹"), =HYPERLINK("CSG0.html#group1A0", "1A⁰"), =HYPERLINK("CSG2.html#group20E2", "20E²"), =HYPERLINK("CSG0.html#group7A0", "7A⁰")</f>
        <v/>
      </c>
      <c r="N6270" t="inlineStr"/>
    </row>
    <row r="6271">
      <c r="A6271" t="inlineStr">
        <is>
          <t>144A²⁰</t>
        </is>
      </c>
      <c r="B6271" t="inlineStr"/>
      <c r="C6271" t="inlineStr">
        <is>
          <t>288</t>
        </is>
      </c>
      <c r="D6271" t="inlineStr">
        <is>
          <t>1</t>
        </is>
      </c>
      <c r="E6271" t="inlineStr">
        <is>
          <t>48</t>
        </is>
      </c>
      <c r="F6271" t="inlineStr">
        <is>
          <t>0</t>
        </is>
      </c>
      <c r="G6271" t="inlineStr">
        <is>
          <t>0</t>
        </is>
      </c>
      <c r="H6271" t="inlineStr">
        <is>
          <t>6⁴, 18⁴, 48¹, 144¹</t>
        </is>
      </c>
      <c r="I6271" t="n">
        <v>10</v>
      </c>
      <c r="J6271" t="inlineStr">
        <is>
          <t>1⁴, 2⁴, 4⁵, 8²</t>
        </is>
      </c>
      <c r="K6271">
        <f>HYPERLINK("CSG4.html#group48J4", "48J⁴"), =HYPERLINK("CSG10.html#group72C10", "72C¹⁰")</f>
        <v/>
      </c>
      <c r="L6271" t="inlineStr"/>
      <c r="M6271">
        <f>HYPERLINK("CSG0.html#group3B0", "3B⁰"), =HYPERLINK("CSG0.html#group16E0", "16E⁰"), =HYPERLINK("CSG2.html#group24I2", "24I²"), =HYPERLINK("CSG10.html#group72C10", "72C¹⁰"), =HYPERLINK("CSG0.html#group8D0", "8D⁰"), =HYPERLINK("CSG1.html#group12F1", "12F¹"), =HYPERLINK("CSG4.html#group48J4", "48J⁴"), =HYPERLINK("CSG0.html#group4C0", "4C⁰"), =HYPERLINK("CSG2.html#group18D2", "18D²"), =HYPERLINK("CSG0.html#group1A0", "1A⁰"), =HYPERLINK("CSG0.html#group2B0", "2B⁰"), =HYPERLINK("CSG0.html#group9C0", "9C⁰"), =HYPERLINK("CSG5.html#group36A5", "36A⁵"), =HYPERLINK("CSG0.html#group6F0", "6F⁰")</f>
        <v/>
      </c>
      <c r="N6271" t="inlineStr"/>
    </row>
    <row r="6272">
      <c r="A6272" t="inlineStr">
        <is>
          <t>144B²⁰</t>
        </is>
      </c>
      <c r="B6272" t="inlineStr"/>
      <c r="C6272" t="inlineStr">
        <is>
          <t>288</t>
        </is>
      </c>
      <c r="D6272" t="inlineStr">
        <is>
          <t>1</t>
        </is>
      </c>
      <c r="E6272" t="inlineStr">
        <is>
          <t>48</t>
        </is>
      </c>
      <c r="F6272" t="inlineStr">
        <is>
          <t>0</t>
        </is>
      </c>
      <c r="G6272" t="inlineStr">
        <is>
          <t>0</t>
        </is>
      </c>
      <c r="H6272" t="inlineStr">
        <is>
          <t>6⁴, 18⁴, 48¹, 144¹</t>
        </is>
      </c>
      <c r="I6272" t="n">
        <v>10</v>
      </c>
      <c r="J6272" t="inlineStr">
        <is>
          <t>1⁴, 2⁴, 4⁵, 8²</t>
        </is>
      </c>
      <c r="K6272">
        <f>HYPERLINK("CSG4.html#group48J4", "48J⁴"), =HYPERLINK("CSG10.html#group72D10", "72D¹⁰")</f>
        <v/>
      </c>
      <c r="L6272" t="inlineStr"/>
      <c r="M6272">
        <f>HYPERLINK("CSG0.html#group3B0", "3B⁰"), =HYPERLINK("CSG0.html#group16E0", "16E⁰"), =HYPERLINK("CSG2.html#group24I2", "24I²"), =HYPERLINK("CSG0.html#group8D0", "8D⁰"), =HYPERLINK("CSG1.html#group12F1", "12F¹"), =HYPERLINK("CSG4.html#group48J4", "48J⁴"), =HYPERLINK("CSG0.html#group4C0", "4C⁰"), =HYPERLINK("CSG2.html#group18E2", "18E²"), =HYPERLINK("CSG10.html#group72D10", "72D¹⁰"), =HYPERLINK("CSG1.html#group9A1", "9A¹"), =HYPERLINK("CSG0.html#group1A0", "1A⁰"), =HYPERLINK("CSG5.html#group36B5", "36B⁵"), =HYPERLINK("CSG0.html#group2B0", "2B⁰"), =HYPERLINK("CSG0.html#group6F0", "6F⁰")</f>
        <v/>
      </c>
      <c r="N6272" t="inlineStr"/>
    </row>
    <row r="6273">
      <c r="A6273" t="inlineStr">
        <is>
          <t>144C²⁰</t>
        </is>
      </c>
      <c r="B6273" t="inlineStr"/>
      <c r="C6273" t="inlineStr">
        <is>
          <t>288</t>
        </is>
      </c>
      <c r="D6273" t="inlineStr">
        <is>
          <t>2</t>
        </is>
      </c>
      <c r="E6273" t="inlineStr">
        <is>
          <t>72</t>
        </is>
      </c>
      <c r="F6273" t="inlineStr">
        <is>
          <t>16</t>
        </is>
      </c>
      <c r="G6273" t="inlineStr">
        <is>
          <t>0</t>
        </is>
      </c>
      <c r="H6273" t="inlineStr">
        <is>
          <t>144²</t>
        </is>
      </c>
      <c r="I6273" t="n">
        <v>2</v>
      </c>
      <c r="J6273" t="inlineStr">
        <is>
          <t>16⁶, 48⁴</t>
        </is>
      </c>
      <c r="K6273">
        <f>HYPERLINK("CSG6.html#group48G6", "48G⁶"), =HYPERLINK("CSG8.html#group72J8", "72J⁸"), =HYPERLINK("CSG10.html#group144B10", "144B¹⁰"), =HYPERLINK("CSG10.html#group144D10", "144D¹⁰")</f>
        <v/>
      </c>
      <c r="L6273" t="inlineStr"/>
      <c r="M6273">
        <f>HYPERLINK("CSG8.html#group72J8", "72J⁸"), =HYPERLINK("CSG2.html#group36D2", "36D²"), =HYPERLINK("CSG0.html#group6B0", "6B⁰"), =HYPERLINK("CSG10.html#group144D10", "144D¹⁰"), =HYPERLINK("CSG0.html#group8A0", "8A⁰"), =HYPERLINK("CSG10.html#group144B10", "144B¹⁰"), =HYPERLINK("CSG0.html#group12F0", "12F⁰"), =HYPERLINK("CSG4.html#group72C4", "72C⁴"), =HYPERLINK("CSG1.html#group24B1", "24B¹"), =HYPERLINK("CSG0.html#group1A0", "1A⁰"), =HYPERLINK("CSG6.html#group48G6", "48G⁶"), =HYPERLINK("CSG0.html#group18A0", "18A⁰"), =HYPERLINK("CSG4.html#group72A4", "72A⁴"), =HYPERLINK("CSG1.html#group36A1", "36A¹"), =HYPERLINK("CSG0.html#group12A0", "12A⁰"), =HYPERLINK("CSG1.html#group24A1", "24A¹"), =HYPERLINK("CSG2.html#group24K2", "24K²"), =HYPERLINK("CSG0.html#group4A0", "4A⁰"), =HYPERLINK("CSG0.html#group9A0", "9A⁰"), =HYPERLINK("CSG0.html#group3A0", "3A⁰"), =HYPERLINK("CSG3.html#group48B3", "48B³")</f>
        <v/>
      </c>
      <c r="N6273" t="inlineStr"/>
    </row>
    <row r="6274">
      <c r="A6274" t="inlineStr">
        <is>
          <t>144D²⁰</t>
        </is>
      </c>
      <c r="B6274" t="inlineStr"/>
      <c r="C6274" t="inlineStr">
        <is>
          <t>288</t>
        </is>
      </c>
      <c r="D6274" t="inlineStr">
        <is>
          <t>2</t>
        </is>
      </c>
      <c r="E6274" t="inlineStr">
        <is>
          <t>72</t>
        </is>
      </c>
      <c r="F6274" t="inlineStr">
        <is>
          <t>16</t>
        </is>
      </c>
      <c r="G6274" t="inlineStr">
        <is>
          <t>0</t>
        </is>
      </c>
      <c r="H6274" t="inlineStr">
        <is>
          <t>144²</t>
        </is>
      </c>
      <c r="I6274" t="n">
        <v>2</v>
      </c>
      <c r="J6274" t="inlineStr">
        <is>
          <t>16⁶, 48⁴</t>
        </is>
      </c>
      <c r="K6274">
        <f>HYPERLINK("CSG6.html#group48G6", "48G⁶"), =HYPERLINK("CSG8.html#group72K8", "72K⁸"), =HYPERLINK("CSG10.html#group144B10", "144B¹⁰"), =HYPERLINK("CSG10.html#group144C10", "144C¹⁰")</f>
        <v/>
      </c>
      <c r="L6274" t="inlineStr"/>
      <c r="M6274">
        <f>HYPERLINK("CSG2.html#group36D2", "36D²"), =HYPERLINK("CSG0.html#group6B0", "6B⁰"), =HYPERLINK("CSG10.html#group144C10", "144C¹⁰"), =HYPERLINK("CSG0.html#group12F0", "12F⁰"), =HYPERLINK("CSG10.html#group144B10", "144B¹⁰"), =HYPERLINK("CSG0.html#group8A0", "8A⁰"), =HYPERLINK("CSG1.html#group24B1", "24B¹"), =HYPERLINK("CSG4.html#group72D4", "72D⁴"), =HYPERLINK("CSG0.html#group1A0", "1A⁰"), =HYPERLINK("CSG6.html#group48G6", "48G⁶"), =HYPERLINK("CSG0.html#group18A0", "18A⁰"), =HYPERLINK("CSG4.html#group72A4", "72A⁴"), =HYPERLINK("CSG8.html#group72K8", "72K⁸"), =HYPERLINK("CSG1.html#group36A1", "36A¹"), =HYPERLINK("CSG0.html#group12A0", "12A⁰"), =HYPERLINK("CSG2.html#group24K2", "24K²"), =HYPERLINK("CSG1.html#group24A1", "24A¹"), =HYPERLINK("CSG0.html#group4A0", "4A⁰"), =HYPERLINK("CSG0.html#group9A0", "9A⁰"), =HYPERLINK("CSG0.html#group3A0", "3A⁰"), =HYPERLINK("CSG3.html#group48B3", "48B³")</f>
        <v/>
      </c>
      <c r="N6274" t="inlineStr"/>
    </row>
    <row r="6275">
      <c r="A6275" t="inlineStr">
        <is>
          <t>144E²⁰</t>
        </is>
      </c>
      <c r="B6275" t="inlineStr"/>
      <c r="C6275" t="inlineStr">
        <is>
          <t>288</t>
        </is>
      </c>
      <c r="D6275" t="inlineStr">
        <is>
          <t>2</t>
        </is>
      </c>
      <c r="E6275" t="inlineStr">
        <is>
          <t>72</t>
        </is>
      </c>
      <c r="F6275" t="inlineStr">
        <is>
          <t>16</t>
        </is>
      </c>
      <c r="G6275" t="inlineStr">
        <is>
          <t>0</t>
        </is>
      </c>
      <c r="H6275" t="inlineStr">
        <is>
          <t>144²</t>
        </is>
      </c>
      <c r="I6275" t="n">
        <v>2</v>
      </c>
      <c r="J6275" t="inlineStr">
        <is>
          <t>16⁶, 48⁴</t>
        </is>
      </c>
      <c r="K6275">
        <f>HYPERLINK("CSG6.html#group48H6", "48H⁶"), =HYPERLINK("CSG8.html#group72J8", "72J⁸"), =HYPERLINK("CSG10.html#group144A10", "144A¹⁰"), =HYPERLINK("CSG10.html#group144C10", "144C¹⁰")</f>
        <v/>
      </c>
      <c r="L6275" t="inlineStr"/>
      <c r="M6275">
        <f>HYPERLINK("CSG8.html#group72J8", "72J⁸"), =HYPERLINK("CSG2.html#group36D2", "36D²"), =HYPERLINK("CSG0.html#group6B0", "6B⁰"), =HYPERLINK("CSG0.html#group16A0", "16A⁰"), =HYPERLINK("CSG10.html#group144C10", "144C¹⁰"), =HYPERLINK("CSG6.html#group48H6", "48H⁶"), =HYPERLINK("CSG0.html#group12F0", "12F⁰"), =HYPERLINK("CSG4.html#group72C4", "72C⁴"), =HYPERLINK("CSG0.html#group8A0", "8A⁰"), =HYPERLINK("CSG1.html#group24B1", "24B¹"), =HYPERLINK("CSG0.html#group1A0", "1A⁰"), =HYPERLINK("CSG0.html#group18A0", "18A⁰"), =HYPERLINK("CSG4.html#group72A4", "72A⁴"), =HYPERLINK("CSG1.html#group36A1", "36A¹"), =HYPERLINK("CSG10.html#group144A10", "144A¹⁰"), =HYPERLINK("CSG0.html#group12A0", "12A⁰"), =HYPERLINK("CSG2.html#group24K2", "24K²"), =HYPERLINK("CSG1.html#group24A1", "24A¹"), =HYPERLINK("CSG3.html#group48A3", "48A³"), =HYPERLINK("CSG0.html#group4A0", "4A⁰"), =HYPERLINK("CSG0.html#group9A0", "9A⁰"), =HYPERLINK("CSG0.html#group3A0", "3A⁰"), =HYPERLINK("CSG3.html#group48B3", "48B³")</f>
        <v/>
      </c>
      <c r="N6275" t="inlineStr"/>
    </row>
    <row r="6276">
      <c r="A6276" t="inlineStr">
        <is>
          <t>144F²⁰</t>
        </is>
      </c>
      <c r="B6276" t="inlineStr"/>
      <c r="C6276" t="inlineStr">
        <is>
          <t>288</t>
        </is>
      </c>
      <c r="D6276" t="inlineStr">
        <is>
          <t>2</t>
        </is>
      </c>
      <c r="E6276" t="inlineStr">
        <is>
          <t>72</t>
        </is>
      </c>
      <c r="F6276" t="inlineStr">
        <is>
          <t>16</t>
        </is>
      </c>
      <c r="G6276" t="inlineStr">
        <is>
          <t>0</t>
        </is>
      </c>
      <c r="H6276" t="inlineStr">
        <is>
          <t>144²</t>
        </is>
      </c>
      <c r="I6276" t="n">
        <v>2</v>
      </c>
      <c r="J6276" t="inlineStr">
        <is>
          <t>16⁶, 48⁴</t>
        </is>
      </c>
      <c r="K6276">
        <f>HYPERLINK("CSG6.html#group48H6", "48H⁶"), =HYPERLINK("CSG8.html#group72K8", "72K⁸"), =HYPERLINK("CSG10.html#group144A10", "144A¹⁰"), =HYPERLINK("CSG10.html#group144D10", "144D¹⁰")</f>
        <v/>
      </c>
      <c r="L6276" t="inlineStr"/>
      <c r="M6276">
        <f>HYPERLINK("CSG2.html#group36D2", "36D²"), =HYPERLINK("CSG0.html#group6B0", "6B⁰"), =HYPERLINK("CSG0.html#group16A0", "16A⁰"), =HYPERLINK("CSG10.html#group144D10", "144D¹⁰"), =HYPERLINK("CSG6.html#group48H6", "48H⁶"), =HYPERLINK("CSG0.html#group12F0", "12F⁰"), =HYPERLINK("CSG0.html#group8A0", "8A⁰"), =HYPERLINK("CSG1.html#group24B1", "24B¹"), =HYPERLINK("CSG4.html#group72D4", "72D⁴"), =HYPERLINK("CSG0.html#group1A0", "1A⁰"), =HYPERLINK("CSG0.html#group18A0", "18A⁰"), =HYPERLINK("CSG4.html#group72A4", "72A⁴"), =HYPERLINK("CSG8.html#group72K8", "72K⁸"), =HYPERLINK("CSG1.html#group36A1", "36A¹"), =HYPERLINK("CSG10.html#group144A10", "144A¹⁰"), =HYPERLINK("CSG0.html#group12A0", "12A⁰"), =HYPERLINK("CSG2.html#group24K2", "24K²"), =HYPERLINK("CSG1.html#group24A1", "24A¹"), =HYPERLINK("CSG3.html#group48A3", "48A³"), =HYPERLINK("CSG0.html#group4A0", "4A⁰"), =HYPERLINK("CSG0.html#group9A0", "9A⁰"), =HYPERLINK("CSG0.html#group3A0", "3A⁰"), =HYPERLINK("CSG3.html#group48B3", "48B³")</f>
        <v/>
      </c>
      <c r="N6276" t="inlineStr"/>
    </row>
    <row r="6277">
      <c r="A6277" t="inlineStr">
        <is>
          <t>144G²⁰</t>
        </is>
      </c>
      <c r="B6277" t="inlineStr"/>
      <c r="C6277" t="inlineStr">
        <is>
          <t>288</t>
        </is>
      </c>
      <c r="D6277" t="inlineStr">
        <is>
          <t>2</t>
        </is>
      </c>
      <c r="E6277" t="inlineStr">
        <is>
          <t>144</t>
        </is>
      </c>
      <c r="F6277" t="inlineStr">
        <is>
          <t>16</t>
        </is>
      </c>
      <c r="G6277" t="inlineStr">
        <is>
          <t>0</t>
        </is>
      </c>
      <c r="H6277" t="inlineStr">
        <is>
          <t>144²</t>
        </is>
      </c>
      <c r="I6277" t="n">
        <v>2</v>
      </c>
      <c r="J6277" t="inlineStr">
        <is>
          <t>16¹², 48⁸</t>
        </is>
      </c>
      <c r="K6277">
        <f>HYPERLINK("CSG6.html#group48E6", "48E⁶"), =HYPERLINK("CSG8.html#group72H8", "72H⁸")</f>
        <v/>
      </c>
      <c r="L6277" t="inlineStr"/>
      <c r="M6277">
        <f>HYPERLINK("CSG2.html#group36D2", "36D²"), =HYPERLINK("CSG0.html#group6B0", "6B⁰"), =HYPERLINK("CSG4.html#group72B4", "72B⁴"), =HYPERLINK("CSG8.html#group72H8", "72H⁸"), =HYPERLINK("CSG0.html#group12F0", "12F⁰"), =HYPERLINK("CSG4.html#group72C4", "72C⁴"), =HYPERLINK("CSG6.html#group48E6", "48E⁶"), =HYPERLINK("CSG1.html#group24B1", "24B¹"), =HYPERLINK("CSG0.html#group1A0", "1A⁰"), =HYPERLINK("CSG0.html#group18A0", "18A⁰"), =HYPERLINK("CSG1.html#group36A1", "36A¹"), =HYPERLINK("CSG0.html#group12A0", "12A⁰"), =HYPERLINK("CSG0.html#group4A0", "4A⁰"), =HYPERLINK("CSG0.html#group9A0", "9A⁰"), =HYPERLINK("CSG0.html#group3A0", "3A⁰"), =HYPERLINK("CSG2.html#group24G2", "24G²")</f>
        <v/>
      </c>
      <c r="N6277" t="inlineStr"/>
    </row>
    <row r="6278">
      <c r="A6278" t="inlineStr">
        <is>
          <t>144H²⁰</t>
        </is>
      </c>
      <c r="B6278" t="inlineStr"/>
      <c r="C6278" t="inlineStr">
        <is>
          <t>288</t>
        </is>
      </c>
      <c r="D6278" t="inlineStr">
        <is>
          <t>2</t>
        </is>
      </c>
      <c r="E6278" t="inlineStr">
        <is>
          <t>144</t>
        </is>
      </c>
      <c r="F6278" t="inlineStr">
        <is>
          <t>16</t>
        </is>
      </c>
      <c r="G6278" t="inlineStr">
        <is>
          <t>0</t>
        </is>
      </c>
      <c r="H6278" t="inlineStr">
        <is>
          <t>144²</t>
        </is>
      </c>
      <c r="I6278" t="n">
        <v>2</v>
      </c>
      <c r="J6278" t="inlineStr">
        <is>
          <t>16¹², 48⁸</t>
        </is>
      </c>
      <c r="K6278">
        <f>HYPERLINK("CSG6.html#group48F6", "48F⁶"), =HYPERLINK("CSG8.html#group72I8", "72I⁸")</f>
        <v/>
      </c>
      <c r="L6278" t="inlineStr"/>
      <c r="M6278">
        <f>HYPERLINK("CSG2.html#group36D2", "36D²"), =HYPERLINK("CSG0.html#group6B0", "6B⁰"), =HYPERLINK("CSG4.html#group72B4", "72B⁴"), =HYPERLINK("CSG0.html#group12F0", "12F⁰"), =HYPERLINK("CSG1.html#group24B1", "24B¹"), =HYPERLINK("CSG4.html#group72D4", "72D⁴"), =HYPERLINK("CSG0.html#group1A0", "1A⁰"), =HYPERLINK("CSG0.html#group18A0", "18A⁰"), =HYPERLINK("CSG6.html#group48F6", "48F⁶"), =HYPERLINK("CSG8.html#group72I8", "72I⁸"), =HYPERLINK("CSG1.html#group36A1", "36A¹"), =HYPERLINK("CSG0.html#group12A0", "12A⁰"), =HYPERLINK("CSG0.html#group4A0", "4A⁰"), =HYPERLINK("CSG0.html#group9A0", "9A⁰"), =HYPERLINK("CSG0.html#group3A0", "3A⁰"), =HYPERLINK("CSG2.html#group24H2", "24H²")</f>
        <v/>
      </c>
      <c r="N6278" t="inlineStr"/>
    </row>
    <row r="6279">
      <c r="A6279" t="inlineStr">
        <is>
          <t>150A²⁰</t>
        </is>
      </c>
      <c r="B6279" t="inlineStr"/>
      <c r="C6279" t="inlineStr">
        <is>
          <t>270</t>
        </is>
      </c>
      <c r="D6279" t="inlineStr">
        <is>
          <t>1</t>
        </is>
      </c>
      <c r="E6279" t="inlineStr">
        <is>
          <t>90</t>
        </is>
      </c>
      <c r="F6279" t="inlineStr">
        <is>
          <t>6</t>
        </is>
      </c>
      <c r="G6279" t="inlineStr">
        <is>
          <t>0</t>
        </is>
      </c>
      <c r="H6279" t="inlineStr">
        <is>
          <t>15¹, 30¹, 75¹, 150¹</t>
        </is>
      </c>
      <c r="I6279" t="n">
        <v>4</v>
      </c>
      <c r="J6279" t="inlineStr">
        <is>
          <t>2⁶, 4¹², 20⁶</t>
        </is>
      </c>
      <c r="K6279">
        <f>HYPERLINK("CSG2.html#group30E2", "30E²"), =HYPERLINK("CSG6.html#group50A6", "50A⁶"), =HYPERLINK("CSG6.html#group75A6", "75A⁶")</f>
        <v/>
      </c>
      <c r="L6279" t="inlineStr"/>
      <c r="M6279">
        <f>HYPERLINK("CSG6.html#group50A6", "50A⁶"), =HYPERLINK("CSG0.html#group15B0", "15B⁰"), =HYPERLINK("CSG2.html#group25A2", "25A²"), =HYPERLINK("CSG0.html#group3A0", "3A⁰"), =HYPERLINK("CSG2.html#group30E2", "30E²"), =HYPERLINK("CSG0.html#group5B0", "5B⁰"), =HYPERLINK("CSG0.html#group10C0", "10C⁰"), =HYPERLINK("CSG0.html#group2B0", "2B⁰"), =HYPERLINK("CSG6.html#group75A6", "75A⁶"), =HYPERLINK("CSG0.html#group1A0", "1A⁰"), =HYPERLINK("CSG0.html#group6D0", "6D⁰")</f>
        <v/>
      </c>
      <c r="N6279" t="inlineStr"/>
    </row>
    <row r="6280">
      <c r="A6280" t="inlineStr">
        <is>
          <t>150B²⁰</t>
        </is>
      </c>
      <c r="B6280" t="inlineStr"/>
      <c r="C6280" t="inlineStr">
        <is>
          <t>270</t>
        </is>
      </c>
      <c r="D6280" t="inlineStr">
        <is>
          <t>1</t>
        </is>
      </c>
      <c r="E6280" t="inlineStr">
        <is>
          <t>90</t>
        </is>
      </c>
      <c r="F6280" t="inlineStr">
        <is>
          <t>6</t>
        </is>
      </c>
      <c r="G6280" t="inlineStr">
        <is>
          <t>0</t>
        </is>
      </c>
      <c r="H6280" t="inlineStr">
        <is>
          <t>15¹, 30¹, 75¹, 150¹</t>
        </is>
      </c>
      <c r="I6280" t="n">
        <v>4</v>
      </c>
      <c r="J6280" t="inlineStr">
        <is>
          <t>2⁶, 4¹², 20⁶</t>
        </is>
      </c>
      <c r="K6280">
        <f>HYPERLINK("CSG2.html#group30E2", "30E²"), =HYPERLINK("CSG6.html#group50B6", "50B⁶"), =HYPERLINK("CSG6.html#group75B6", "75B⁶")</f>
        <v/>
      </c>
      <c r="L6280" t="inlineStr"/>
      <c r="M6280">
        <f>HYPERLINK("CSG0.html#group15B0", "15B⁰"), =HYPERLINK("CSG2.html#group30E2", "30E²"), =HYPERLINK("CSG0.html#group5B0", "5B⁰"), =HYPERLINK("CSG0.html#group10C0", "10C⁰"), =HYPERLINK("CSG0.html#group1A0", "1A⁰"), =HYPERLINK("CSG0.html#group2B0", "2B⁰"), =HYPERLINK("CSG6.html#group50B6", "50B⁶"), =HYPERLINK("CSG0.html#group3A0", "3A⁰"), =HYPERLINK("CSG6.html#group75B6", "75B⁶"), =HYPERLINK("CSG0.html#group6D0", "6D⁰"), =HYPERLINK("CSG2.html#group25B2", "25B²")</f>
        <v/>
      </c>
      <c r="N6280" t="inlineStr"/>
    </row>
    <row r="6281">
      <c r="A6281" t="inlineStr">
        <is>
          <t>150C²⁰</t>
        </is>
      </c>
      <c r="B6281" t="inlineStr"/>
      <c r="C6281" t="inlineStr">
        <is>
          <t>270</t>
        </is>
      </c>
      <c r="D6281" t="inlineStr">
        <is>
          <t>1</t>
        </is>
      </c>
      <c r="E6281" t="inlineStr">
        <is>
          <t>90</t>
        </is>
      </c>
      <c r="F6281" t="inlineStr">
        <is>
          <t>6</t>
        </is>
      </c>
      <c r="G6281" t="inlineStr">
        <is>
          <t>0</t>
        </is>
      </c>
      <c r="H6281" t="inlineStr">
        <is>
          <t>15¹, 30¹, 75¹, 150¹</t>
        </is>
      </c>
      <c r="I6281" t="n">
        <v>4</v>
      </c>
      <c r="J6281" t="inlineStr">
        <is>
          <t>2⁶, 4¹², 20⁶</t>
        </is>
      </c>
      <c r="K6281">
        <f>HYPERLINK("CSG2.html#group30E2", "30E²"), =HYPERLINK("CSG6.html#group50C6", "50C⁶"), =HYPERLINK("CSG6.html#group75C6", "75C⁶")</f>
        <v/>
      </c>
      <c r="L6281" t="inlineStr"/>
      <c r="M6281">
        <f>HYPERLINK("CSG0.html#group15B0", "15B⁰"), =HYPERLINK("CSG2.html#group30E2", "30E²"), =HYPERLINK("CSG6.html#group50C6", "50C⁶"), =HYPERLINK("CSG6.html#group75C6", "75C⁶"), =HYPERLINK("CSG0.html#group5B0", "5B⁰"), =HYPERLINK("CSG0.html#group10C0", "10C⁰"), =HYPERLINK("CSG0.html#group2B0", "2B⁰"), =HYPERLINK("CSG0.html#group3A0", "3A⁰"), =HYPERLINK("CSG0.html#group1A0", "1A⁰"), =HYPERLINK("CSG2.html#group25C2", "25C²"), =HYPERLINK("CSG0.html#group6D0", "6D⁰")</f>
        <v/>
      </c>
      <c r="N6281" t="inlineStr"/>
    </row>
    <row r="6282">
      <c r="A6282" t="inlineStr">
        <is>
          <t>150D²⁰</t>
        </is>
      </c>
      <c r="B6282" t="inlineStr"/>
      <c r="C6282" t="inlineStr">
        <is>
          <t>270</t>
        </is>
      </c>
      <c r="D6282" t="inlineStr">
        <is>
          <t>1</t>
        </is>
      </c>
      <c r="E6282" t="inlineStr">
        <is>
          <t>90</t>
        </is>
      </c>
      <c r="F6282" t="inlineStr">
        <is>
          <t>6</t>
        </is>
      </c>
      <c r="G6282" t="inlineStr">
        <is>
          <t>0</t>
        </is>
      </c>
      <c r="H6282" t="inlineStr">
        <is>
          <t>15¹, 30¹, 75¹, 150¹</t>
        </is>
      </c>
      <c r="I6282" t="n">
        <v>4</v>
      </c>
      <c r="J6282" t="inlineStr">
        <is>
          <t>2⁶, 4¹², 20⁶</t>
        </is>
      </c>
      <c r="K6282">
        <f>HYPERLINK("CSG2.html#group30E2", "30E²"), =HYPERLINK("CSG6.html#group50D6", "50D⁶"), =HYPERLINK("CSG6.html#group75D6", "75D⁶")</f>
        <v/>
      </c>
      <c r="L6282" t="inlineStr"/>
      <c r="M6282">
        <f>HYPERLINK("CSG0.html#group15B0", "15B⁰"), =HYPERLINK("CSG2.html#group30E2", "30E²"), =HYPERLINK("CSG6.html#group50D6", "50D⁶"), =HYPERLINK("CSG0.html#group5B0", "5B⁰"), =HYPERLINK("CSG0.html#group10C0", "10C⁰"), =HYPERLINK("CSG0.html#group2B0", "2B⁰"), =HYPERLINK("CSG6.html#group75D6", "75D⁶"), =HYPERLINK("CSG0.html#group3A0", "3A⁰"), =HYPERLINK("CSG0.html#group1A0", "1A⁰"), =HYPERLINK("CSG0.html#group6D0", "6D⁰"), =HYPERLINK("CSG2.html#group25D2", "25D²")</f>
        <v/>
      </c>
      <c r="N6282" t="inlineStr"/>
    </row>
    <row r="6283">
      <c r="A6283" t="inlineStr">
        <is>
          <t>150E²⁰</t>
        </is>
      </c>
      <c r="B6283" t="inlineStr"/>
      <c r="C6283" t="inlineStr">
        <is>
          <t>300</t>
        </is>
      </c>
      <c r="D6283" t="inlineStr">
        <is>
          <t>1</t>
        </is>
      </c>
      <c r="E6283" t="inlineStr">
        <is>
          <t>100</t>
        </is>
      </c>
      <c r="F6283" t="inlineStr">
        <is>
          <t>0</t>
        </is>
      </c>
      <c r="G6283" t="inlineStr">
        <is>
          <t>15</t>
        </is>
      </c>
      <c r="H6283" t="inlineStr">
        <is>
          <t>150²</t>
        </is>
      </c>
      <c r="I6283" t="n">
        <v>2</v>
      </c>
      <c r="J6283" t="inlineStr">
        <is>
          <t>4¹, 8², 40²</t>
        </is>
      </c>
      <c r="K6283">
        <f>HYPERLINK("CSG4.html#group30B4", "30B⁴"), =HYPERLINK("CSG5.html#group50E5", "50E⁵")</f>
        <v/>
      </c>
      <c r="L6283" t="inlineStr"/>
      <c r="M6283">
        <f>HYPERLINK("CSG0.html#group2A0", "2A⁰"), =HYPERLINK("CSG4.html#group30B4", "30B⁴"), =HYPERLINK("CSG0.html#group6A0", "6A⁰"), =HYPERLINK("CSG5.html#group50E5", "50E⁵"), =HYPERLINK("CSG0.html#group5C0", "5C⁰"), =HYPERLINK("CSG2.html#group25E2", "25E²"), =HYPERLINK("CSG1.html#group10C1", "10C¹"), =HYPERLINK("CSG0.html#group1A0", "1A⁰")</f>
        <v/>
      </c>
      <c r="N6283" t="inlineStr"/>
    </row>
    <row r="6284">
      <c r="A6284" t="inlineStr">
        <is>
          <t>154A²⁰</t>
        </is>
      </c>
      <c r="B6284" t="inlineStr"/>
      <c r="C6284" t="inlineStr">
        <is>
          <t>252</t>
        </is>
      </c>
      <c r="D6284" t="inlineStr">
        <is>
          <t>2</t>
        </is>
      </c>
      <c r="E6284" t="inlineStr">
        <is>
          <t>252</t>
        </is>
      </c>
      <c r="F6284" t="inlineStr">
        <is>
          <t>0</t>
        </is>
      </c>
      <c r="G6284" t="inlineStr">
        <is>
          <t>0</t>
        </is>
      </c>
      <c r="H6284" t="inlineStr">
        <is>
          <t>7¹, 14¹, 77¹, 154¹</t>
        </is>
      </c>
      <c r="I6284" t="n">
        <v>4</v>
      </c>
      <c r="J6284" t="inlineStr">
        <is>
          <t>2⁶, 6¹², 20³, 60⁶</t>
        </is>
      </c>
      <c r="K6284">
        <f>HYPERLINK("CSG2.html#group22C2", "22C²"), =HYPERLINK("CSG7.html#group77A7", "77A⁷")</f>
        <v/>
      </c>
      <c r="L6284" t="inlineStr"/>
      <c r="M6284">
        <f>HYPERLINK("CSG7.html#group77A7", "77A⁷"), =HYPERLINK("CSG0.html#group2B0", "2B⁰"), =HYPERLINK("CSG2.html#group22C2", "22C²"), =HYPERLINK("CSG0.html#group1A0", "1A⁰"), =HYPERLINK("CSG1.html#group11A1", "11A¹"), =HYPERLINK("CSG0.html#group7A0", "7A⁰")</f>
        <v/>
      </c>
      <c r="N6284" t="inlineStr"/>
    </row>
    <row r="6285">
      <c r="A6285" t="inlineStr">
        <is>
          <t>156A²⁰</t>
        </is>
      </c>
      <c r="B6285" t="inlineStr"/>
      <c r="C6285" t="inlineStr">
        <is>
          <t>252</t>
        </is>
      </c>
      <c r="D6285" t="inlineStr">
        <is>
          <t>1</t>
        </is>
      </c>
      <c r="E6285" t="inlineStr">
        <is>
          <t>42</t>
        </is>
      </c>
      <c r="F6285" t="inlineStr">
        <is>
          <t>0</t>
        </is>
      </c>
      <c r="G6285" t="inlineStr">
        <is>
          <t>0</t>
        </is>
      </c>
      <c r="H6285" t="inlineStr">
        <is>
          <t>6¹, 12¹, 78¹, 156¹</t>
        </is>
      </c>
      <c r="I6285" t="n">
        <v>4</v>
      </c>
      <c r="J6285" t="inlineStr">
        <is>
          <t>1⁶, 12³</t>
        </is>
      </c>
      <c r="K6285">
        <f>HYPERLINK("CSG6.html#group52A6", "52A⁶"), =HYPERLINK("CSG8.html#group78A8", "78A⁸")</f>
        <v/>
      </c>
      <c r="L6285" t="inlineStr"/>
      <c r="M6285">
        <f>HYPERLINK("CSG8.html#group78A8", "78A⁸"), =HYPERLINK("CSG2.html#group39A2", "39A²"), =HYPERLINK("CSG6.html#group52A6", "52A⁶"), =HYPERLINK("CSG0.html#group13A0", "13A⁰"), =HYPERLINK("CSG0.html#group2B0", "2B⁰"), =HYPERLINK("CSG0.html#group3A0", "3A⁰"), =HYPERLINK("CSG0.html#group1A0", "1A⁰"), =HYPERLINK("CSG2.html#group26A2", "26A²"), =HYPERLINK("CSG0.html#group6D0", "6D⁰")</f>
        <v/>
      </c>
      <c r="N6285" t="inlineStr"/>
    </row>
    <row r="6286">
      <c r="A6286" t="inlineStr">
        <is>
          <t>156B²⁰</t>
        </is>
      </c>
      <c r="B6286" t="inlineStr"/>
      <c r="C6286" t="inlineStr">
        <is>
          <t>252</t>
        </is>
      </c>
      <c r="D6286" t="inlineStr">
        <is>
          <t>2</t>
        </is>
      </c>
      <c r="E6286" t="inlineStr">
        <is>
          <t>42</t>
        </is>
      </c>
      <c r="F6286" t="inlineStr">
        <is>
          <t>0</t>
        </is>
      </c>
      <c r="G6286" t="inlineStr">
        <is>
          <t>0</t>
        </is>
      </c>
      <c r="H6286" t="inlineStr">
        <is>
          <t>6¹, 12¹, 78¹, 156¹</t>
        </is>
      </c>
      <c r="I6286" t="n">
        <v>4</v>
      </c>
      <c r="J6286" t="inlineStr">
        <is>
          <t>2⁶, 24³</t>
        </is>
      </c>
      <c r="K6286">
        <f>HYPERLINK("CSG6.html#group52A6", "52A⁶"), =HYPERLINK("CSG8.html#group78B8", "78B⁸")</f>
        <v/>
      </c>
      <c r="L6286" t="inlineStr"/>
      <c r="M6286">
        <f>HYPERLINK("CSG0.html#group13A0", "13A⁰"), =HYPERLINK("CSG2.html#group26A2", "26A²"), =HYPERLINK("CSG0.html#group2B0", "2B⁰"), =HYPERLINK("CSG6.html#group52A6", "52A⁶"), =HYPERLINK("CSG1.html#group39A1", "39A¹"), =HYPERLINK("CSG0.html#group1A0", "1A⁰"), =HYPERLINK("CSG8.html#group78B8", "78B⁸")</f>
        <v/>
      </c>
      <c r="N6286" t="inlineStr"/>
    </row>
    <row r="6287">
      <c r="A6287" t="inlineStr">
        <is>
          <t>160A²⁰</t>
        </is>
      </c>
      <c r="B6287" t="inlineStr"/>
      <c r="C6287" t="inlineStr">
        <is>
          <t>240</t>
        </is>
      </c>
      <c r="D6287" t="inlineStr">
        <is>
          <t>1</t>
        </is>
      </c>
      <c r="E6287" t="inlineStr">
        <is>
          <t>120</t>
        </is>
      </c>
      <c r="F6287" t="inlineStr">
        <is>
          <t>0</t>
        </is>
      </c>
      <c r="G6287" t="inlineStr">
        <is>
          <t>0</t>
        </is>
      </c>
      <c r="H6287" t="inlineStr">
        <is>
          <t>80¹, 160¹</t>
        </is>
      </c>
      <c r="I6287" t="n">
        <v>2</v>
      </c>
      <c r="J6287" t="inlineStr">
        <is>
          <t>2⁸, 8⁹, 32¹</t>
        </is>
      </c>
      <c r="K6287">
        <f>HYPERLINK("CSG4.html#group32A4", "32A⁴"), =HYPERLINK("CSG10.html#group80B10", "80B¹⁰")</f>
        <v/>
      </c>
      <c r="L6287" t="inlineStr"/>
      <c r="M6287">
        <f>HYPERLINK("CSG0.html#group5A0", "5A⁰"), =HYPERLINK("CSG1.html#group8A1", "8A¹"), =HYPERLINK("CSG1.html#group10B1", "10B¹"), =HYPERLINK("CSG2.html#group20B2", "20B²"), =HYPERLINK("CSG0.html#group4C0", "4C⁰"), =HYPERLINK("CSG0.html#group2B0", "2B⁰"), =HYPERLINK("CSG4.html#group32A4", "32A⁴"), =HYPERLINK("CSG0.html#group1A0", "1A⁰"), =HYPERLINK("CSG2.html#group16B2", "16B²"), =HYPERLINK("CSG10.html#group80B10", "80B¹⁰"), =HYPERLINK("CSG5.html#group40A5", "40A⁵")</f>
        <v/>
      </c>
      <c r="N6287" t="inlineStr"/>
    </row>
    <row r="6288">
      <c r="A6288" t="inlineStr">
        <is>
          <t>160B²⁰</t>
        </is>
      </c>
      <c r="B6288" t="inlineStr"/>
      <c r="C6288" t="inlineStr">
        <is>
          <t>240</t>
        </is>
      </c>
      <c r="D6288" t="inlineStr">
        <is>
          <t>1</t>
        </is>
      </c>
      <c r="E6288" t="inlineStr">
        <is>
          <t>120</t>
        </is>
      </c>
      <c r="F6288" t="inlineStr">
        <is>
          <t>0</t>
        </is>
      </c>
      <c r="G6288" t="inlineStr">
        <is>
          <t>0</t>
        </is>
      </c>
      <c r="H6288" t="inlineStr">
        <is>
          <t>80¹, 160¹</t>
        </is>
      </c>
      <c r="I6288" t="n">
        <v>2</v>
      </c>
      <c r="J6288" t="inlineStr">
        <is>
          <t>2⁸, 8⁹, 32¹</t>
        </is>
      </c>
      <c r="K6288">
        <f>HYPERLINK("CSG4.html#group32B4", "32B⁴"), =HYPERLINK("CSG10.html#group80B10", "80B¹⁰")</f>
        <v/>
      </c>
      <c r="L6288" t="inlineStr"/>
      <c r="M6288">
        <f>HYPERLINK("CSG0.html#group5A0", "5A⁰"), =HYPERLINK("CSG2.html#group16B2", "16B²"), =HYPERLINK("CSG1.html#group8A1", "8A¹"), =HYPERLINK("CSG10.html#group80B10", "80B¹⁰"), =HYPERLINK("CSG1.html#group10B1", "10B¹"), =HYPERLINK("CSG2.html#group20B2", "20B²"), =HYPERLINK("CSG0.html#group4C0", "4C⁰"), =HYPERLINK("CSG0.html#group2B0", "2B⁰"), =HYPERLINK("CSG5.html#group40A5", "40A⁵"), =HYPERLINK("CSG0.html#group1A0", "1A⁰"), =HYPERLINK("CSG4.html#group32B4", "32B⁴")</f>
        <v/>
      </c>
      <c r="N6288" t="inlineStr"/>
    </row>
    <row r="6289">
      <c r="A6289" t="inlineStr">
        <is>
          <t>166A²⁰</t>
        </is>
      </c>
      <c r="B6289" t="inlineStr">
        <is>
          <t>Γ₀(166)</t>
        </is>
      </c>
      <c r="C6289" t="inlineStr">
        <is>
          <t>252</t>
        </is>
      </c>
      <c r="D6289" t="inlineStr">
        <is>
          <t>1</t>
        </is>
      </c>
      <c r="E6289" t="inlineStr">
        <is>
          <t>252</t>
        </is>
      </c>
      <c r="F6289" t="inlineStr">
        <is>
          <t>0</t>
        </is>
      </c>
      <c r="G6289" t="inlineStr">
        <is>
          <t>0</t>
        </is>
      </c>
      <c r="H6289" t="inlineStr">
        <is>
          <t>1¹, 2¹, 83¹, 166¹</t>
        </is>
      </c>
      <c r="I6289" t="n">
        <v>4</v>
      </c>
      <c r="J6289" t="inlineStr">
        <is>
          <t>1⁶, 82³</t>
        </is>
      </c>
      <c r="K6289">
        <f>HYPERLINK("CSG0.html#group2B0", "2B⁰"), =HYPERLINK("CSG7.html#group83A7", "83A⁷")</f>
        <v/>
      </c>
      <c r="L6289" t="inlineStr"/>
      <c r="M6289">
        <f>HYPERLINK("CSG0.html#group1A0", "1A⁰"), =HYPERLINK("CSG0.html#group2B0", "2B⁰"), =HYPERLINK("CSG7.html#group83A7", "83A⁷")</f>
        <v/>
      </c>
      <c r="N6289" t="inlineStr"/>
    </row>
    <row r="6290">
      <c r="A6290" t="inlineStr">
        <is>
          <t>168A²⁰</t>
        </is>
      </c>
      <c r="B6290" t="inlineStr"/>
      <c r="C6290" t="inlineStr">
        <is>
          <t>252</t>
        </is>
      </c>
      <c r="D6290" t="inlineStr">
        <is>
          <t>2</t>
        </is>
      </c>
      <c r="E6290" t="inlineStr">
        <is>
          <t>42</t>
        </is>
      </c>
      <c r="F6290" t="inlineStr">
        <is>
          <t>0</t>
        </is>
      </c>
      <c r="G6290" t="inlineStr">
        <is>
          <t>0</t>
        </is>
      </c>
      <c r="H6290" t="inlineStr">
        <is>
          <t>21², 42¹, 168¹</t>
        </is>
      </c>
      <c r="I6290" t="n">
        <v>4</v>
      </c>
      <c r="J6290" t="inlineStr">
        <is>
          <t>2⁴, 4¹, 6⁸, 12²</t>
        </is>
      </c>
      <c r="K6290">
        <f>HYPERLINK("CSG6.html#group56B6", "56B⁶"), =HYPERLINK("CSG10.html#group84A10", "84A¹⁰")</f>
        <v/>
      </c>
      <c r="L6290" t="inlineStr"/>
      <c r="M6290">
        <f>HYPERLINK("CSG10.html#group84A10", "84A¹⁰"), =HYPERLINK("CSG1.html#group14B1", "14B¹"), =HYPERLINK("CSG0.html#group21A0", "21A⁰"), =HYPERLINK("CSG3.html#group28A3", "28A³"), =HYPERLINK("CSG0.html#group2B0", "2B⁰"), =HYPERLINK("CSG0.html#group4B0", "4B⁰"), =HYPERLINK("CSG0.html#group1A0", "1A⁰"), =HYPERLINK("CSG6.html#group56B6", "56B⁶"), =HYPERLINK("CSG1.html#group12B1", "12B¹"), =HYPERLINK("CSG0.html#group3A0", "3A⁰"), =HYPERLINK("CSG3.html#group42C3", "42C³"), =HYPERLINK("CSG0.html#group6D0", "6D⁰"), =HYPERLINK("CSG0.html#group7A0", "7A⁰")</f>
        <v/>
      </c>
      <c r="N6290" t="inlineStr"/>
    </row>
    <row r="6291">
      <c r="A6291" t="inlineStr">
        <is>
          <t>168B²⁰</t>
        </is>
      </c>
      <c r="B6291" t="inlineStr"/>
      <c r="C6291" t="inlineStr">
        <is>
          <t>252</t>
        </is>
      </c>
      <c r="D6291" t="inlineStr">
        <is>
          <t>2</t>
        </is>
      </c>
      <c r="E6291" t="inlineStr">
        <is>
          <t>42</t>
        </is>
      </c>
      <c r="F6291" t="inlineStr">
        <is>
          <t>0</t>
        </is>
      </c>
      <c r="G6291" t="inlineStr">
        <is>
          <t>0</t>
        </is>
      </c>
      <c r="H6291" t="inlineStr">
        <is>
          <t>21², 42¹, 168¹</t>
        </is>
      </c>
      <c r="I6291" t="n">
        <v>4</v>
      </c>
      <c r="J6291" t="inlineStr">
        <is>
          <t>2⁴, 4¹, 6⁸, 12²</t>
        </is>
      </c>
      <c r="K6291">
        <f>HYPERLINK("CSG2.html#group24B2", "24B²"), =HYPERLINK("CSG6.html#group56C6", "56C⁶"), =HYPERLINK("CSG10.html#group84A10", "84A¹⁰")</f>
        <v/>
      </c>
      <c r="L6291" t="inlineStr"/>
      <c r="M6291">
        <f>HYPERLINK("CSG6.html#group56C6", "56C⁶"), =HYPERLINK("CSG10.html#group84A10", "84A¹⁰"), =HYPERLINK("CSG1.html#group14B1", "14B¹"), =HYPERLINK("CSG0.html#group21A0", "21A⁰"), =HYPERLINK("CSG3.html#group28A3", "28A³"), =HYPERLINK("CSG0.html#group8C0", "8C⁰"), =HYPERLINK("CSG0.html#group2B0", "2B⁰"), =HYPERLINK("CSG0.html#group4B0", "4B⁰"), =HYPERLINK("CSG0.html#group1A0", "1A⁰"), =HYPERLINK("CSG2.html#group24B2", "24B²"), =HYPERLINK("CSG1.html#group12B1", "12B¹"), =HYPERLINK("CSG0.html#group3A0", "3A⁰"), =HYPERLINK("CSG3.html#group42C3", "42C³"), =HYPERLINK("CSG0.html#group6D0", "6D⁰"), =HYPERLINK("CSG0.html#group7A0", "7A⁰")</f>
        <v/>
      </c>
      <c r="N6291" t="inlineStr"/>
    </row>
    <row r="6292">
      <c r="A6292" t="inlineStr">
        <is>
          <t>168C²⁰</t>
        </is>
      </c>
      <c r="B6292" t="inlineStr"/>
      <c r="C6292" t="inlineStr">
        <is>
          <t>252</t>
        </is>
      </c>
      <c r="D6292" t="inlineStr">
        <is>
          <t>2</t>
        </is>
      </c>
      <c r="E6292" t="inlineStr">
        <is>
          <t>126</t>
        </is>
      </c>
      <c r="F6292" t="inlineStr">
        <is>
          <t>0</t>
        </is>
      </c>
      <c r="G6292" t="inlineStr">
        <is>
          <t>0</t>
        </is>
      </c>
      <c r="H6292" t="inlineStr">
        <is>
          <t>21², 42¹, 168¹</t>
        </is>
      </c>
      <c r="I6292" t="n">
        <v>4</v>
      </c>
      <c r="J6292" t="inlineStr">
        <is>
          <t>2⁴, 4⁵, 6⁸, 8¹, 12¹⁰, 24²</t>
        </is>
      </c>
      <c r="K6292">
        <f>HYPERLINK("CSG10.html#group84A10", "84A¹⁰")</f>
        <v/>
      </c>
      <c r="L6292" t="inlineStr"/>
      <c r="M6292">
        <f>HYPERLINK("CSG10.html#group84A10", "84A¹⁰"), =HYPERLINK("CSG1.html#group14B1", "14B¹"), =HYPERLINK("CSG0.html#group4B0", "4B⁰"), =HYPERLINK("CSG0.html#group21A0", "21A⁰"), =HYPERLINK("CSG3.html#group28A3", "28A³"), =HYPERLINK("CSG1.html#group12B1", "12B¹"), =HYPERLINK("CSG0.html#group2B0", "2B⁰"), =HYPERLINK("CSG0.html#group3A0", "3A⁰"), =HYPERLINK("CSG0.html#group1A0", "1A⁰"), =HYPERLINK("CSG3.html#group42C3", "42C³"), =HYPERLINK("CSG0.html#group6D0", "6D⁰"), =HYPERLINK("CSG0.html#group7A0", "7A⁰")</f>
        <v/>
      </c>
      <c r="N6292" t="inlineStr"/>
    </row>
    <row r="6293">
      <c r="A6293" t="inlineStr">
        <is>
          <t>168D²⁰</t>
        </is>
      </c>
      <c r="B6293" t="inlineStr"/>
      <c r="C6293" t="inlineStr">
        <is>
          <t>252</t>
        </is>
      </c>
      <c r="D6293" t="inlineStr">
        <is>
          <t>2</t>
        </is>
      </c>
      <c r="E6293" t="inlineStr">
        <is>
          <t>126</t>
        </is>
      </c>
      <c r="F6293" t="inlineStr">
        <is>
          <t>0</t>
        </is>
      </c>
      <c r="G6293" t="inlineStr">
        <is>
          <t>0</t>
        </is>
      </c>
      <c r="H6293" t="inlineStr">
        <is>
          <t>21², 42¹, 168¹</t>
        </is>
      </c>
      <c r="I6293" t="n">
        <v>4</v>
      </c>
      <c r="J6293" t="inlineStr">
        <is>
          <t>2⁴, 4⁵, 6⁸, 8¹, 12¹⁰, 24²</t>
        </is>
      </c>
      <c r="K6293">
        <f>HYPERLINK("CSG2.html#group24D2", "24D²"), =HYPERLINK("CSG10.html#group84A10", "84A¹⁰")</f>
        <v/>
      </c>
      <c r="L6293" t="inlineStr"/>
      <c r="M6293">
        <f>HYPERLINK("CSG10.html#group84A10", "84A¹⁰"), =HYPERLINK("CSG1.html#group14B1", "14B¹"), =HYPERLINK("CSG0.html#group21A0", "21A⁰"), =HYPERLINK("CSG3.html#group28A3", "28A³"), =HYPERLINK("CSG0.html#group2B0", "2B⁰"), =HYPERLINK("CSG0.html#group4B0", "4B⁰"), =HYPERLINK("CSG0.html#group1A0", "1A⁰"), =HYPERLINK("CSG2.html#group24D2", "24D²"), =HYPERLINK("CSG1.html#group12B1", "12B¹"), =HYPERLINK("CSG0.html#group3A0", "3A⁰"), =HYPERLINK("CSG3.html#group42C3", "42C³"), =HYPERLINK("CSG0.html#group6D0", "6D⁰"), =HYPERLINK("CSG0.html#group7A0", "7A⁰")</f>
        <v/>
      </c>
      <c r="N6293" t="inlineStr"/>
    </row>
    <row r="6294">
      <c r="A6294" t="inlineStr">
        <is>
          <t>168E²⁰</t>
        </is>
      </c>
      <c r="B6294" t="inlineStr"/>
      <c r="C6294" t="inlineStr">
        <is>
          <t>288</t>
        </is>
      </c>
      <c r="D6294" t="inlineStr">
        <is>
          <t>1</t>
        </is>
      </c>
      <c r="E6294" t="inlineStr">
        <is>
          <t>24</t>
        </is>
      </c>
      <c r="F6294" t="inlineStr">
        <is>
          <t>0</t>
        </is>
      </c>
      <c r="G6294" t="inlineStr">
        <is>
          <t>0</t>
        </is>
      </c>
      <c r="H6294" t="inlineStr">
        <is>
          <t>3⁴, 21⁴, 24¹, 168¹</t>
        </is>
      </c>
      <c r="I6294" t="n">
        <v>10</v>
      </c>
      <c r="J6294" t="inlineStr">
        <is>
          <t>1⁶, 6³</t>
        </is>
      </c>
      <c r="K6294">
        <f>HYPERLINK("CSG4.html#group56C4", "56C⁴"), =HYPERLINK("CSG10.html#group84B10", "84B¹⁰")</f>
        <v/>
      </c>
      <c r="L6294" t="inlineStr"/>
      <c r="M6294">
        <f>HYPERLINK("CSG4.html#group56C4", "56C⁴"), =HYPERLINK("CSG2.html#group21A2", "21A²"), =HYPERLINK("CSG10.html#group84B10", "84B¹⁰"), =HYPERLINK("CSG0.html#group3A0", "3A⁰"), =HYPERLINK("CSG5.html#group42A5", "42A⁵"), =HYPERLINK("CSG0.html#group7B0", "7B⁰"), =HYPERLINK("CSG2.html#group28D2", "28D²"), =HYPERLINK("CSG1.html#group14C1", "14C¹"), =HYPERLINK("CSG1.html#group12B1", "12B¹"), =HYPERLINK("CSG0.html#group2B0", "2B⁰"), =HYPERLINK("CSG0.html#group4B0", "4B⁰"), =HYPERLINK("CSG0.html#group1A0", "1A⁰"), =HYPERLINK("CSG0.html#group6D0", "6D⁰")</f>
        <v/>
      </c>
      <c r="N6294" t="inlineStr"/>
    </row>
    <row r="6295">
      <c r="A6295" t="inlineStr">
        <is>
          <t>168F²⁰</t>
        </is>
      </c>
      <c r="B6295" t="inlineStr"/>
      <c r="C6295" t="inlineStr">
        <is>
          <t>288</t>
        </is>
      </c>
      <c r="D6295" t="inlineStr">
        <is>
          <t>1</t>
        </is>
      </c>
      <c r="E6295" t="inlineStr">
        <is>
          <t>72</t>
        </is>
      </c>
      <c r="F6295" t="inlineStr">
        <is>
          <t>0</t>
        </is>
      </c>
      <c r="G6295" t="inlineStr">
        <is>
          <t>0</t>
        </is>
      </c>
      <c r="H6295" t="inlineStr">
        <is>
          <t>3⁴, 21⁴, 24¹, 168¹</t>
        </is>
      </c>
      <c r="I6295" t="n">
        <v>10</v>
      </c>
      <c r="J6295" t="inlineStr">
        <is>
          <t>1⁶, 2⁶, 6³, 12³</t>
        </is>
      </c>
      <c r="K6295">
        <f>HYPERLINK("CSG10.html#group84B10", "84B¹⁰")</f>
        <v/>
      </c>
      <c r="L6295" t="inlineStr"/>
      <c r="M6295">
        <f>HYPERLINK("CSG0.html#group3A0", "3A⁰"), =HYPERLINK("CSG2.html#group21A2", "21A²"), =HYPERLINK("CSG10.html#group84B10", "84B¹⁰"), =HYPERLINK("CSG5.html#group42A5", "42A⁵"), =HYPERLINK("CSG0.html#group7B0", "7B⁰"), =HYPERLINK("CSG2.html#group28D2", "28D²"), =HYPERLINK("CSG1.html#group14C1", "14C¹"), =HYPERLINK("CSG1.html#group12B1", "12B¹"), =HYPERLINK("CSG0.html#group2B0", "2B⁰"), =HYPERLINK("CSG0.html#group4B0", "4B⁰"), =HYPERLINK("CSG0.html#group1A0", "1A⁰"), =HYPERLINK("CSG0.html#group6D0", "6D⁰")</f>
        <v/>
      </c>
      <c r="N6295" t="inlineStr"/>
    </row>
    <row r="6296">
      <c r="A6296" t="inlineStr">
        <is>
          <t>168G²⁰</t>
        </is>
      </c>
      <c r="B6296" t="inlineStr"/>
      <c r="C6296" t="inlineStr">
        <is>
          <t>288</t>
        </is>
      </c>
      <c r="D6296" t="inlineStr">
        <is>
          <t>2</t>
        </is>
      </c>
      <c r="E6296" t="inlineStr">
        <is>
          <t>24</t>
        </is>
      </c>
      <c r="F6296" t="inlineStr">
        <is>
          <t>0</t>
        </is>
      </c>
      <c r="G6296" t="inlineStr">
        <is>
          <t>0</t>
        </is>
      </c>
      <c r="H6296" t="inlineStr">
        <is>
          <t>3⁴, 21⁴, 24¹, 168¹</t>
        </is>
      </c>
      <c r="I6296" t="n">
        <v>10</v>
      </c>
      <c r="J6296" t="inlineStr">
        <is>
          <t>2⁶, 12³</t>
        </is>
      </c>
      <c r="K6296">
        <f>HYPERLINK("CSG4.html#group56C4", "56C⁴"), =HYPERLINK("CSG10.html#group84D10", "84D¹⁰")</f>
        <v/>
      </c>
      <c r="L6296" t="inlineStr"/>
      <c r="M6296">
        <f>HYPERLINK("CSG4.html#group56C4", "56C⁴"), =HYPERLINK("CSG5.html#group42B5", "42B⁵"), =HYPERLINK("CSG0.html#group7B0", "7B⁰"), =HYPERLINK("CSG2.html#group28D2", "28D²"), =HYPERLINK("CSG1.html#group14C1", "14C¹"), =HYPERLINK("CSG0.html#group2B0", "2B⁰"), =HYPERLINK("CSG0.html#group4B0", "4B⁰"), =HYPERLINK("CSG10.html#group84D10", "84D¹⁰"), =HYPERLINK("CSG0.html#group1A0", "1A⁰"), =HYPERLINK("CSG1.html#group21A1", "21A¹")</f>
        <v/>
      </c>
      <c r="N6296" t="inlineStr"/>
    </row>
    <row r="6297">
      <c r="A6297" t="inlineStr">
        <is>
          <t>172A²⁰</t>
        </is>
      </c>
      <c r="B6297" t="inlineStr">
        <is>
          <t>Γ₀(172)</t>
        </is>
      </c>
      <c r="C6297" t="inlineStr">
        <is>
          <t>264</t>
        </is>
      </c>
      <c r="D6297" t="inlineStr">
        <is>
          <t>1</t>
        </is>
      </c>
      <c r="E6297" t="inlineStr">
        <is>
          <t>132</t>
        </is>
      </c>
      <c r="F6297" t="inlineStr">
        <is>
          <t>0</t>
        </is>
      </c>
      <c r="G6297" t="inlineStr">
        <is>
          <t>0</t>
        </is>
      </c>
      <c r="H6297" t="inlineStr">
        <is>
          <t>1², 4¹, 43², 172¹</t>
        </is>
      </c>
      <c r="I6297" t="n">
        <v>6</v>
      </c>
      <c r="J6297" t="inlineStr">
        <is>
          <t>1⁶, 42³</t>
        </is>
      </c>
      <c r="K6297">
        <f>HYPERLINK("CSG0.html#group4B0", "4B⁰"), =HYPERLINK("CSG10.html#group86A10", "86A¹⁰")</f>
        <v/>
      </c>
      <c r="L6297" t="inlineStr"/>
      <c r="M6297">
        <f>HYPERLINK("CSG0.html#group2B0", "2B⁰"), =HYPERLINK("CSG0.html#group4B0", "4B⁰"), =HYPERLINK("CSG0.html#group1A0", "1A⁰"), =HYPERLINK("CSG3.html#group43A3", "43A³"), =HYPERLINK("CSG10.html#group86A10", "86A¹⁰")</f>
        <v/>
      </c>
      <c r="N6297" t="inlineStr"/>
    </row>
    <row r="6298">
      <c r="A6298" t="inlineStr">
        <is>
          <t>174A²⁰</t>
        </is>
      </c>
      <c r="B6298" t="inlineStr"/>
      <c r="C6298" t="inlineStr">
        <is>
          <t>270</t>
        </is>
      </c>
      <c r="D6298" t="inlineStr">
        <is>
          <t>1</t>
        </is>
      </c>
      <c r="E6298" t="inlineStr">
        <is>
          <t>90</t>
        </is>
      </c>
      <c r="F6298" t="inlineStr">
        <is>
          <t>6</t>
        </is>
      </c>
      <c r="G6298" t="inlineStr">
        <is>
          <t>0</t>
        </is>
      </c>
      <c r="H6298" t="inlineStr">
        <is>
          <t>3¹, 6¹, 87¹, 174¹</t>
        </is>
      </c>
      <c r="I6298" t="n">
        <v>4</v>
      </c>
      <c r="J6298" t="inlineStr">
        <is>
          <t>1⁶, 28³</t>
        </is>
      </c>
      <c r="K6298">
        <f>HYPERLINK("CSG0.html#group6D0", "6D⁰"), =HYPERLINK("CSG6.html#group58A6", "58A⁶"), =HYPERLINK("CSG6.html#group87A6", "87A⁶")</f>
        <v/>
      </c>
      <c r="L6298" t="inlineStr"/>
      <c r="M6298">
        <f>HYPERLINK("CSG2.html#group29A2", "29A²"), =HYPERLINK("CSG6.html#group58A6", "58A⁶"), =HYPERLINK("CSG6.html#group87A6", "87A⁶"), =HYPERLINK("CSG0.html#group2B0", "2B⁰"), =HYPERLINK("CSG0.html#group3A0", "3A⁰"), =HYPERLINK("CSG0.html#group1A0", "1A⁰"), =HYPERLINK("CSG0.html#group6D0", "6D⁰")</f>
        <v/>
      </c>
      <c r="N6298" t="inlineStr"/>
    </row>
    <row r="6299">
      <c r="A6299" t="inlineStr">
        <is>
          <t>176A²⁰</t>
        </is>
      </c>
      <c r="B6299" t="inlineStr"/>
      <c r="C6299" t="inlineStr">
        <is>
          <t>264</t>
        </is>
      </c>
      <c r="D6299" t="inlineStr">
        <is>
          <t>2</t>
        </is>
      </c>
      <c r="E6299" t="inlineStr">
        <is>
          <t>66</t>
        </is>
      </c>
      <c r="F6299" t="inlineStr">
        <is>
          <t>0</t>
        </is>
      </c>
      <c r="G6299" t="inlineStr">
        <is>
          <t>0</t>
        </is>
      </c>
      <c r="H6299" t="inlineStr">
        <is>
          <t>11⁴, 44¹, 176¹</t>
        </is>
      </c>
      <c r="I6299" t="n">
        <v>6</v>
      </c>
      <c r="J6299" t="inlineStr">
        <is>
          <t>2⁴, 4¹, 10⁸, 20²</t>
        </is>
      </c>
      <c r="K6299">
        <f>HYPERLINK("CSG0.html#group16C0", "16C⁰"), =HYPERLINK("CSG10.html#group88A10", "88A¹⁰")</f>
        <v/>
      </c>
      <c r="L6299" t="inlineStr"/>
      <c r="M6299">
        <f>HYPERLINK("CSG0.html#group11A0", "11A⁰"), =HYPERLINK("CSG5.html#group44A5", "44A⁵"), =HYPERLINK("CSG0.html#group16C0", "16C⁰"), =HYPERLINK("CSG0.html#group8C0", "8C⁰"), =HYPERLINK("CSG10.html#group88A10", "88A¹⁰"), =HYPERLINK("CSG0.html#group2B0", "2B⁰"), =HYPERLINK("CSG2.html#group22B2", "22B²"), =HYPERLINK("CSG0.html#group4B0", "4B⁰"), =HYPERLINK("CSG0.html#group1A0", "1A⁰")</f>
        <v/>
      </c>
      <c r="N6299" t="inlineStr"/>
    </row>
    <row r="6300">
      <c r="A6300" t="inlineStr">
        <is>
          <t>176B²⁰</t>
        </is>
      </c>
      <c r="B6300" t="inlineStr"/>
      <c r="C6300" t="inlineStr">
        <is>
          <t>264</t>
        </is>
      </c>
      <c r="D6300" t="inlineStr">
        <is>
          <t>2</t>
        </is>
      </c>
      <c r="E6300" t="inlineStr">
        <is>
          <t>132</t>
        </is>
      </c>
      <c r="F6300" t="inlineStr">
        <is>
          <t>0</t>
        </is>
      </c>
      <c r="G6300" t="inlineStr">
        <is>
          <t>0</t>
        </is>
      </c>
      <c r="H6300" t="inlineStr">
        <is>
          <t>11², 22³, 176¹</t>
        </is>
      </c>
      <c r="I6300" t="n">
        <v>6</v>
      </c>
      <c r="J6300" t="inlineStr">
        <is>
          <t>2⁴, 4², 8¹, 10⁸, 20⁴, 40²</t>
        </is>
      </c>
      <c r="K6300">
        <f>HYPERLINK("CSG0.html#group16D0", "16D⁰"), =HYPERLINK("CSG10.html#group88A10", "88A¹⁰")</f>
        <v/>
      </c>
      <c r="L6300" t="inlineStr"/>
      <c r="M6300">
        <f>HYPERLINK("CSG0.html#group11A0", "11A⁰"), =HYPERLINK("CSG0.html#group4B0", "4B⁰"), =HYPERLINK("CSG0.html#group16D0", "16D⁰"), =HYPERLINK("CSG0.html#group8C0", "8C⁰"), =HYPERLINK("CSG10.html#group88A10", "88A¹⁰"), =HYPERLINK("CSG0.html#group2B0", "2B⁰"), =HYPERLINK("CSG2.html#group22B2", "22B²"), =HYPERLINK("CSG5.html#group44A5", "44A⁵"), =HYPERLINK("CSG0.html#group1A0", "1A⁰")</f>
        <v/>
      </c>
      <c r="N6300" t="inlineStr"/>
    </row>
    <row r="6301">
      <c r="A6301" t="inlineStr">
        <is>
          <t>176C²⁰</t>
        </is>
      </c>
      <c r="B6301" t="inlineStr"/>
      <c r="C6301" t="inlineStr">
        <is>
          <t>264</t>
        </is>
      </c>
      <c r="D6301" t="inlineStr">
        <is>
          <t>2</t>
        </is>
      </c>
      <c r="E6301" t="inlineStr">
        <is>
          <t>132</t>
        </is>
      </c>
      <c r="F6301" t="inlineStr">
        <is>
          <t>6</t>
        </is>
      </c>
      <c r="G6301" t="inlineStr">
        <is>
          <t>0</t>
        </is>
      </c>
      <c r="H6301" t="inlineStr">
        <is>
          <t>44², 176¹</t>
        </is>
      </c>
      <c r="I6301" t="n">
        <v>3</v>
      </c>
      <c r="J6301" t="inlineStr">
        <is>
          <t>2², 4¹, 8², 10⁴, 20², 40⁴</t>
        </is>
      </c>
      <c r="K6301">
        <f>HYPERLINK("CSG1.html#group16C1", "16C¹"), =HYPERLINK("CSG9.html#group88A9", "88A⁹")</f>
        <v/>
      </c>
      <c r="L6301" t="inlineStr"/>
      <c r="M6301">
        <f>HYPERLINK("CSG0.html#group11A0", "11A⁰"), =HYPERLINK("CSG0.html#group8D0", "8D⁰"), =HYPERLINK("CSG4.html#group44C4", "44C⁴"), =HYPERLINK("CSG1.html#group16C1", "16C¹"), =HYPERLINK("CSG0.html#group4C0", "4C⁰"), =HYPERLINK("CSG0.html#group2B0", "2B⁰"), =HYPERLINK("CSG2.html#group22B2", "22B²"), =HYPERLINK("CSG0.html#group1A0", "1A⁰"), =HYPERLINK("CSG9.html#group88A9", "88A⁹")</f>
        <v/>
      </c>
      <c r="N6301" t="inlineStr"/>
    </row>
    <row r="6302">
      <c r="A6302" t="inlineStr">
        <is>
          <t>176D²⁰</t>
        </is>
      </c>
      <c r="B6302" t="inlineStr"/>
      <c r="C6302" t="inlineStr">
        <is>
          <t>288</t>
        </is>
      </c>
      <c r="D6302" t="inlineStr">
        <is>
          <t>1</t>
        </is>
      </c>
      <c r="E6302" t="inlineStr">
        <is>
          <t>144</t>
        </is>
      </c>
      <c r="F6302" t="inlineStr">
        <is>
          <t>0</t>
        </is>
      </c>
      <c r="G6302" t="inlineStr">
        <is>
          <t>0</t>
        </is>
      </c>
      <c r="H6302" t="inlineStr">
        <is>
          <t>2⁴, 16¹, 22⁴, 176¹</t>
        </is>
      </c>
      <c r="I6302" t="n">
        <v>10</v>
      </c>
      <c r="J6302" t="inlineStr">
        <is>
          <t>1⁴, 2², 4⁴, 10², 20¹, 40²</t>
        </is>
      </c>
      <c r="K6302">
        <f>HYPERLINK("CSG0.html#group16E0", "16E⁰"), =HYPERLINK("CSG10.html#group88C10", "88C¹⁰")</f>
        <v/>
      </c>
      <c r="L6302" t="inlineStr"/>
      <c r="M6302">
        <f>HYPERLINK("CSG0.html#group16E0", "16E⁰"), =HYPERLINK("CSG0.html#group8D0", "8D⁰"), =HYPERLINK("CSG1.html#group11A1", "11A¹"), =HYPERLINK("CSG0.html#group4C0", "4C⁰"), =HYPERLINK("CSG5.html#group44B5", "44B⁵"), =HYPERLINK("CSG0.html#group2B0", "2B⁰"), =HYPERLINK("CSG2.html#group22C2", "22C²"), =HYPERLINK("CSG0.html#group1A0", "1A⁰"), =HYPERLINK("CSG10.html#group88C10", "88C¹⁰")</f>
        <v/>
      </c>
      <c r="N6302" t="inlineStr"/>
    </row>
    <row r="6303">
      <c r="A6303" t="inlineStr">
        <is>
          <t>180A²⁰</t>
        </is>
      </c>
      <c r="B6303" t="inlineStr"/>
      <c r="C6303" t="inlineStr">
        <is>
          <t>240</t>
        </is>
      </c>
      <c r="D6303" t="inlineStr">
        <is>
          <t>1</t>
        </is>
      </c>
      <c r="E6303" t="inlineStr">
        <is>
          <t>20</t>
        </is>
      </c>
      <c r="F6303" t="inlineStr">
        <is>
          <t>0</t>
        </is>
      </c>
      <c r="G6303" t="inlineStr">
        <is>
          <t>0</t>
        </is>
      </c>
      <c r="H6303" t="inlineStr">
        <is>
          <t>60¹, 180¹</t>
        </is>
      </c>
      <c r="I6303" t="n">
        <v>2</v>
      </c>
      <c r="J6303" t="inlineStr">
        <is>
          <t>1², 2¹, 4², 8¹</t>
        </is>
      </c>
      <c r="K6303">
        <f>HYPERLINK("CSG4.html#group36A4", "36A⁴"), =HYPERLINK("CSG4.html#group60B4", "60B⁴"), =HYPERLINK("CSG10.html#group90A10", "90A¹⁰")</f>
        <v/>
      </c>
      <c r="L6303" t="inlineStr"/>
      <c r="M6303">
        <f>HYPERLINK("CSG0.html#group3B0", "3B⁰"), =HYPERLINK("CSG0.html#group2A0", "2A⁰"), =HYPERLINK("CSG2.html#group18B2", "18B²"), =HYPERLINK("CSG0.html#group5A0", "5A⁰"), =HYPERLINK("CSG0.html#group10A0", "10A⁰"), =HYPERLINK("CSG10.html#group90A10", "90A¹⁰"), =HYPERLINK("CSG5.html#group45A5", "45A⁵"), =HYPERLINK("CSG2.html#group30D2", "30D²"), =HYPERLINK("CSG4.html#group60B4", "60B⁴"), =HYPERLINK("CSG1.html#group9A1", "9A¹"), =HYPERLINK("CSG4.html#group36A4", "36A⁴"), =HYPERLINK("CSG0.html#group6C0", "6C⁰"), =HYPERLINK("CSG1.html#group15B1", "15B¹"), =HYPERLINK("CSG0.html#group1A0", "1A⁰"), =HYPERLINK("CSG0.html#group12B0", "12B⁰")</f>
        <v/>
      </c>
      <c r="N6303" t="inlineStr"/>
    </row>
    <row r="6304">
      <c r="A6304" t="inlineStr">
        <is>
          <t>180B²⁰</t>
        </is>
      </c>
      <c r="B6304" t="inlineStr"/>
      <c r="C6304" t="inlineStr">
        <is>
          <t>240</t>
        </is>
      </c>
      <c r="D6304" t="inlineStr">
        <is>
          <t>1</t>
        </is>
      </c>
      <c r="E6304" t="inlineStr">
        <is>
          <t>40</t>
        </is>
      </c>
      <c r="F6304" t="inlineStr">
        <is>
          <t>0</t>
        </is>
      </c>
      <c r="G6304" t="inlineStr">
        <is>
          <t>0</t>
        </is>
      </c>
      <c r="H6304" t="inlineStr">
        <is>
          <t>60¹, 180¹</t>
        </is>
      </c>
      <c r="I6304" t="n">
        <v>2</v>
      </c>
      <c r="J6304" t="inlineStr">
        <is>
          <t>2⁴, 8⁴</t>
        </is>
      </c>
      <c r="K6304">
        <f>HYPERLINK("CSG4.html#group36B4", "36B⁴"), =HYPERLINK("CSG4.html#group60B4", "60B⁴"), =HYPERLINK("CSG10.html#group90B10", "90B¹⁰")</f>
        <v/>
      </c>
      <c r="L6304" t="inlineStr"/>
      <c r="M6304">
        <f>HYPERLINK("CSG0.html#group3B0", "3B⁰"), =HYPERLINK("CSG0.html#group2A0", "2A⁰"), =HYPERLINK("CSG0.html#group5A0", "5A⁰"), =HYPERLINK("CSG0.html#group10A0", "10A⁰"), =HYPERLINK("CSG2.html#group30D2", "30D²"), =HYPERLINK("CSG4.html#group60B4", "60B⁴"), =HYPERLINK("CSG0.html#group6C0", "6C⁰"), =HYPERLINK("CSG1.html#group15B1", "15B¹"), =HYPERLINK("CSG10.html#group90B10", "90B¹⁰"), =HYPERLINK("CSG4.html#group36B4", "36B⁴"), =HYPERLINK("CSG0.html#group12B0", "12B⁰"), =HYPERLINK("CSG0.html#group1A0", "1A⁰"), =HYPERLINK("CSG2.html#group18C2", "18C²")</f>
        <v/>
      </c>
      <c r="N6304" t="inlineStr"/>
    </row>
    <row r="6305">
      <c r="A6305" t="inlineStr">
        <is>
          <t>180C²⁰</t>
        </is>
      </c>
      <c r="B6305" t="inlineStr"/>
      <c r="C6305" t="inlineStr">
        <is>
          <t>240</t>
        </is>
      </c>
      <c r="D6305" t="inlineStr">
        <is>
          <t>1</t>
        </is>
      </c>
      <c r="E6305" t="inlineStr">
        <is>
          <t>80</t>
        </is>
      </c>
      <c r="F6305" t="inlineStr">
        <is>
          <t>0</t>
        </is>
      </c>
      <c r="G6305" t="inlineStr">
        <is>
          <t>0</t>
        </is>
      </c>
      <c r="H6305" t="inlineStr">
        <is>
          <t>60¹, 180¹</t>
        </is>
      </c>
      <c r="I6305" t="n">
        <v>2</v>
      </c>
      <c r="J6305" t="inlineStr">
        <is>
          <t>2⁴, 4², 8⁴, 16²</t>
        </is>
      </c>
      <c r="K6305">
        <f>HYPERLINK("CSG4.html#group36C4", "36C⁴"), =HYPERLINK("CSG5.html#group45A5", "45A⁵"), =HYPERLINK("CSG6.html#group60A6", "60A⁶")</f>
        <v/>
      </c>
      <c r="L6305" t="inlineStr"/>
      <c r="M6305">
        <f>HYPERLINK("CSG0.html#group3B0", "3B⁰"), =HYPERLINK("CSG0.html#group5A0", "5A⁰"), =HYPERLINK("CSG5.html#group45A5", "45A⁵"), =HYPERLINK("CSG0.html#group4A0", "4A⁰"), =HYPERLINK("CSG1.html#group12A1", "12A¹"), =HYPERLINK("CSG1.html#group9A1", "9A¹"), =HYPERLINK("CSG1.html#group15B1", "15B¹"), =HYPERLINK("CSG4.html#group36C4", "36C⁴"), =HYPERLINK("CSG1.html#group20A1", "20A¹"), =HYPERLINK("CSG6.html#group60A6", "60A⁶"), =HYPERLINK("CSG0.html#group1A0", "1A⁰")</f>
        <v/>
      </c>
      <c r="N6305" t="inlineStr"/>
    </row>
    <row r="6306">
      <c r="A6306" t="inlineStr">
        <is>
          <t>180D²⁰</t>
        </is>
      </c>
      <c r="B6306" t="inlineStr"/>
      <c r="C6306" t="inlineStr">
        <is>
          <t>240</t>
        </is>
      </c>
      <c r="D6306" t="inlineStr">
        <is>
          <t>2</t>
        </is>
      </c>
      <c r="E6306" t="inlineStr">
        <is>
          <t>20</t>
        </is>
      </c>
      <c r="F6306" t="inlineStr">
        <is>
          <t>0</t>
        </is>
      </c>
      <c r="G6306" t="inlineStr">
        <is>
          <t>0</t>
        </is>
      </c>
      <c r="H6306" t="inlineStr">
        <is>
          <t>60¹, 180¹</t>
        </is>
      </c>
      <c r="I6306" t="n">
        <v>2</v>
      </c>
      <c r="J6306" t="inlineStr">
        <is>
          <t>2², 4¹, 8⁴</t>
        </is>
      </c>
      <c r="K6306">
        <f>HYPERLINK("CSG4.html#group60B4", "60B⁴"), =HYPERLINK("CSG10.html#group90C10", "90C¹⁰")</f>
        <v/>
      </c>
      <c r="L6306" t="inlineStr"/>
      <c r="M6306">
        <f>HYPERLINK("CSG0.html#group3B0", "3B⁰"), =HYPERLINK("CSG10.html#group90C10", "90C¹⁰"), =HYPERLINK("CSG0.html#group2A0", "2A⁰"), =HYPERLINK("CSG0.html#group5A0", "5A⁰"), =HYPERLINK("CSG0.html#group10A0", "10A⁰"), =HYPERLINK("CSG2.html#group30D2", "30D²"), =HYPERLINK("CSG4.html#group60B4", "60B⁴"), =HYPERLINK("CSG0.html#group6C0", "6C⁰"), =HYPERLINK("CSG1.html#group15B1", "15B¹"), =HYPERLINK("CSG5.html#group45B5", "45B⁵"), =HYPERLINK("CSG0.html#group1A0", "1A⁰"), =HYPERLINK("CSG0.html#group12B0", "12B⁰")</f>
        <v/>
      </c>
      <c r="N6306" t="inlineStr"/>
    </row>
    <row r="6307">
      <c r="A6307" t="inlineStr">
        <is>
          <t>180E²⁰</t>
        </is>
      </c>
      <c r="B6307" t="inlineStr"/>
      <c r="C6307" t="inlineStr">
        <is>
          <t>240</t>
        </is>
      </c>
      <c r="D6307" t="inlineStr">
        <is>
          <t>2</t>
        </is>
      </c>
      <c r="E6307" t="inlineStr">
        <is>
          <t>80</t>
        </is>
      </c>
      <c r="F6307" t="inlineStr">
        <is>
          <t>0</t>
        </is>
      </c>
      <c r="G6307" t="inlineStr">
        <is>
          <t>0</t>
        </is>
      </c>
      <c r="H6307" t="inlineStr">
        <is>
          <t>60¹, 180¹</t>
        </is>
      </c>
      <c r="I6307" t="n">
        <v>2</v>
      </c>
      <c r="J6307" t="inlineStr">
        <is>
          <t>4⁴, 8², 16⁸</t>
        </is>
      </c>
      <c r="K6307">
        <f>HYPERLINK("CSG5.html#group45B5", "45B⁵"), =HYPERLINK("CSG6.html#group60A6", "60A⁶")</f>
        <v/>
      </c>
      <c r="L6307" t="inlineStr"/>
      <c r="M6307">
        <f>HYPERLINK("CSG0.html#group3B0", "3B⁰"), =HYPERLINK("CSG0.html#group5A0", "5A⁰"), =HYPERLINK("CSG0.html#group4A0", "4A⁰"), =HYPERLINK("CSG1.html#group12A1", "12A¹"), =HYPERLINK("CSG1.html#group15B1", "15B¹"), =HYPERLINK("CSG1.html#group20A1", "20A¹"), =HYPERLINK("CSG5.html#group45B5", "45B⁵"), =HYPERLINK("CSG6.html#group60A6", "60A⁶"), =HYPERLINK("CSG0.html#group1A0", "1A⁰")</f>
        <v/>
      </c>
      <c r="N6307" t="inlineStr"/>
    </row>
    <row r="6308">
      <c r="A6308" t="inlineStr">
        <is>
          <t>180F²⁰</t>
        </is>
      </c>
      <c r="B6308" t="inlineStr"/>
      <c r="C6308" t="inlineStr">
        <is>
          <t>270</t>
        </is>
      </c>
      <c r="D6308" t="inlineStr">
        <is>
          <t>1</t>
        </is>
      </c>
      <c r="E6308" t="inlineStr">
        <is>
          <t>135</t>
        </is>
      </c>
      <c r="F6308" t="inlineStr">
        <is>
          <t>10</t>
        </is>
      </c>
      <c r="G6308" t="inlineStr">
        <is>
          <t>0</t>
        </is>
      </c>
      <c r="H6308" t="inlineStr">
        <is>
          <t>90¹, 180¹</t>
        </is>
      </c>
      <c r="I6308" t="n">
        <v>2</v>
      </c>
      <c r="J6308" t="inlineStr">
        <is>
          <t>1³, 2³, 4³, 6³, 8³, 24³</t>
        </is>
      </c>
      <c r="K6308">
        <f>HYPERLINK("CSG2.html#group36B2", "36B²"), =HYPERLINK("CSG6.html#group60B6", "60B⁶"), =HYPERLINK("CSG10.html#group90D10", "90D¹⁰")</f>
        <v/>
      </c>
      <c r="L6308" t="inlineStr"/>
      <c r="M6308">
        <f>HYPERLINK("CSG0.html#group5A0", "5A⁰"), =HYPERLINK("CSG0.html#group12C0", "12C⁰"), =HYPERLINK("CSG10.html#group90D10", "90D¹⁰"), =HYPERLINK("CSG1.html#group10B1", "10B¹"), =HYPERLINK("CSG2.html#group36B2", "36B²"), =HYPERLINK("CSG2.html#group20B2", "20B²"), =HYPERLINK("CSG6.html#group60B6", "60B⁶"), =HYPERLINK("CSG0.html#group4C0", "4C⁰"), =HYPERLINK("CSG0.html#group2B0", "2B⁰"), =HYPERLINK("CSG0.html#group1A0", "1A⁰"), =HYPERLINK("CSG3.html#group30D3", "30D³"), =HYPERLINK("CSG0.html#group6D0", "6D⁰"), =HYPERLINK("CSG0.html#group9A0", "9A⁰"), =HYPERLINK("CSG1.html#group18E1", "18E¹"), =HYPERLINK("CSG0.html#group3A0", "3A⁰"), =HYPERLINK("CSG1.html#group15A1", "15A¹"), =HYPERLINK("CSG3.html#group45A3", "45A³")</f>
        <v/>
      </c>
      <c r="N6308" t="inlineStr"/>
    </row>
    <row r="6309">
      <c r="A6309" t="inlineStr">
        <is>
          <t>180G²⁰</t>
        </is>
      </c>
      <c r="B6309" t="inlineStr"/>
      <c r="C6309" t="inlineStr">
        <is>
          <t>270</t>
        </is>
      </c>
      <c r="D6309" t="inlineStr">
        <is>
          <t>2</t>
        </is>
      </c>
      <c r="E6309" t="inlineStr">
        <is>
          <t>135</t>
        </is>
      </c>
      <c r="F6309" t="inlineStr">
        <is>
          <t>8</t>
        </is>
      </c>
      <c r="G6309" t="inlineStr">
        <is>
          <t>0</t>
        </is>
      </c>
      <c r="H6309" t="inlineStr">
        <is>
          <t>45², 180¹</t>
        </is>
      </c>
      <c r="I6309" t="n">
        <v>3</v>
      </c>
      <c r="J6309" t="inlineStr">
        <is>
          <t>2⁹, 6⁶, 8⁹, 24⁶</t>
        </is>
      </c>
      <c r="K6309">
        <f>HYPERLINK("CSG2.html#group36C2", "36C²"), =HYPERLINK("CSG6.html#group60C6", "60C⁶"), =HYPERLINK("CSG10.html#group90D10", "90D¹⁰")</f>
        <v/>
      </c>
      <c r="L6309" t="inlineStr"/>
      <c r="M6309">
        <f>HYPERLINK("CSG3.html#group30D3", "30D³"), =HYPERLINK("CSG0.html#group5A0", "5A⁰"), =HYPERLINK("CSG6.html#group60C6", "60C⁶"), =HYPERLINK("CSG1.html#group15A1", "15A¹"), =HYPERLINK("CSG10.html#group90D10", "90D¹⁰"), =HYPERLINK("CSG1.html#group10B1", "10B¹"), =HYPERLINK("CSG0.html#group9A0", "9A⁰"), =HYPERLINK("CSG0.html#group2B0", "2B⁰"), =HYPERLINK("CSG0.html#group12D0", "12D⁰"), =HYPERLINK("CSG1.html#group18E1", "18E¹"), =HYPERLINK("CSG0.html#group3A0", "3A⁰"), =HYPERLINK("CSG0.html#group1A0", "1A⁰"), =HYPERLINK("CSG0.html#group6D0", "6D⁰"), =HYPERLINK("CSG2.html#group36C2", "36C²"), =HYPERLINK("CSG3.html#group45A3", "45A³")</f>
        <v/>
      </c>
      <c r="N6309" t="inlineStr"/>
    </row>
    <row r="6310">
      <c r="A6310" t="inlineStr">
        <is>
          <t>180H²⁰</t>
        </is>
      </c>
      <c r="B6310" t="inlineStr"/>
      <c r="C6310" t="inlineStr">
        <is>
          <t>324</t>
        </is>
      </c>
      <c r="D6310" t="inlineStr">
        <is>
          <t>1</t>
        </is>
      </c>
      <c r="E6310" t="inlineStr">
        <is>
          <t>162</t>
        </is>
      </c>
      <c r="F6310" t="inlineStr">
        <is>
          <t>20</t>
        </is>
      </c>
      <c r="G6310" t="inlineStr">
        <is>
          <t>0</t>
        </is>
      </c>
      <c r="H6310" t="inlineStr">
        <is>
          <t>9², 36¹, 45², 180¹</t>
        </is>
      </c>
      <c r="I6310" t="n">
        <v>6</v>
      </c>
      <c r="J6310" t="inlineStr">
        <is>
          <t>1⁶, 2⁶, 4³, 6⁶, 8³, 24³</t>
        </is>
      </c>
      <c r="K6310">
        <f>HYPERLINK("CSG4.html#group60C4", "60C⁴"), =HYPERLINK("CSG10.html#group90E10", "90E¹⁰")</f>
        <v/>
      </c>
      <c r="L6310" t="inlineStr"/>
      <c r="M6310">
        <f>HYPERLINK("CSG0.html#group20A0", "20A⁰"), =HYPERLINK("CSG2.html#group45A2", "45A²"), =HYPERLINK("CSG0.html#group15B0", "15B⁰"), =HYPERLINK("CSG2.html#group30E2", "30E²"), =HYPERLINK("CSG0.html#group9A0", "9A⁰"), =HYPERLINK("CSG10.html#group90E10", "90E¹⁰"), =HYPERLINK("CSG0.html#group5B0", "5B⁰"), =HYPERLINK("CSG4.html#group60C4", "60C⁴"), =HYPERLINK("CSG0.html#group10C0", "10C⁰"), =HYPERLINK("CSG0.html#group2B0", "2B⁰"), =HYPERLINK("CSG1.html#group18E1", "18E¹"), =HYPERLINK("CSG0.html#group3A0", "3A⁰"), =HYPERLINK("CSG0.html#group1A0", "1A⁰"), =HYPERLINK("CSG0.html#group6D0", "6D⁰")</f>
        <v/>
      </c>
      <c r="N6310" t="inlineStr"/>
    </row>
    <row r="6311">
      <c r="A6311" t="inlineStr">
        <is>
          <t>184A²⁰</t>
        </is>
      </c>
      <c r="B6311" t="inlineStr"/>
      <c r="C6311" t="inlineStr">
        <is>
          <t>288</t>
        </is>
      </c>
      <c r="D6311" t="inlineStr">
        <is>
          <t>1</t>
        </is>
      </c>
      <c r="E6311" t="inlineStr">
        <is>
          <t>72</t>
        </is>
      </c>
      <c r="F6311" t="inlineStr">
        <is>
          <t>0</t>
        </is>
      </c>
      <c r="G6311" t="inlineStr">
        <is>
          <t>0</t>
        </is>
      </c>
      <c r="H6311" t="inlineStr">
        <is>
          <t>1⁴, 8¹, 23⁴, 184¹</t>
        </is>
      </c>
      <c r="I6311" t="n">
        <v>10</v>
      </c>
      <c r="J6311" t="inlineStr">
        <is>
          <t>1⁶, 22³</t>
        </is>
      </c>
      <c r="K6311">
        <f>HYPERLINK("CSG10.html#group92A10", "92A¹⁰")</f>
        <v/>
      </c>
      <c r="L6311" t="inlineStr"/>
      <c r="M6311">
        <f>HYPERLINK("CSG10.html#group92A10", "92A¹⁰"), =HYPERLINK("CSG0.html#group2B0", "2B⁰"), =HYPERLINK("CSG2.html#group23A2", "23A²"), =HYPERLINK("CSG0.html#group4B0", "4B⁰"), =HYPERLINK("CSG0.html#group1A0", "1A⁰"), =HYPERLINK("CSG5.html#group46A5", "46A⁵")</f>
        <v/>
      </c>
      <c r="N6311" t="inlineStr"/>
    </row>
    <row r="6312">
      <c r="A6312" t="inlineStr">
        <is>
          <t>189A²⁰</t>
        </is>
      </c>
      <c r="B6312" t="inlineStr"/>
      <c r="C6312" t="inlineStr">
        <is>
          <t>252</t>
        </is>
      </c>
      <c r="D6312" t="inlineStr">
        <is>
          <t>2</t>
        </is>
      </c>
      <c r="E6312" t="inlineStr">
        <is>
          <t>84</t>
        </is>
      </c>
      <c r="F6312" t="inlineStr">
        <is>
          <t>0</t>
        </is>
      </c>
      <c r="G6312" t="inlineStr">
        <is>
          <t>0</t>
        </is>
      </c>
      <c r="H6312" t="inlineStr">
        <is>
          <t>21³, 189¹</t>
        </is>
      </c>
      <c r="I6312" t="n">
        <v>4</v>
      </c>
      <c r="J6312" t="inlineStr">
        <is>
          <t>2², 4², 6⁴, 12⁵, 36²</t>
        </is>
      </c>
      <c r="K6312">
        <f>HYPERLINK("CSG2.html#group27A2", "27A²"), =HYPERLINK("CSG6.html#group63B6", "63B⁶")</f>
        <v/>
      </c>
      <c r="L6312" t="inlineStr"/>
      <c r="M6312">
        <f>HYPERLINK("CSG6.html#group63B6", "63B⁶"), =HYPERLINK("CSG0.html#group3B0", "3B⁰"), =HYPERLINK("CSG0.html#group9B0", "9B⁰"), =HYPERLINK("CSG2.html#group27A2", "27A²"), =HYPERLINK("CSG2.html#group21B2", "21B²"), =HYPERLINK("CSG0.html#group1A0", "1A⁰"), =HYPERLINK("CSG0.html#group7A0", "7A⁰")</f>
        <v/>
      </c>
      <c r="N6312" t="inlineStr"/>
    </row>
    <row r="6313">
      <c r="A6313" t="inlineStr">
        <is>
          <t>189B²⁰</t>
        </is>
      </c>
      <c r="B6313" t="inlineStr"/>
      <c r="C6313" t="inlineStr">
        <is>
          <t>252</t>
        </is>
      </c>
      <c r="D6313" t="inlineStr">
        <is>
          <t>2</t>
        </is>
      </c>
      <c r="E6313" t="inlineStr">
        <is>
          <t>84</t>
        </is>
      </c>
      <c r="F6313" t="inlineStr">
        <is>
          <t>0</t>
        </is>
      </c>
      <c r="G6313" t="inlineStr">
        <is>
          <t>3</t>
        </is>
      </c>
      <c r="H6313" t="inlineStr">
        <is>
          <t>63¹, 189¹</t>
        </is>
      </c>
      <c r="I6313" t="n">
        <v>2</v>
      </c>
      <c r="J6313" t="inlineStr">
        <is>
          <t>2², 4², 6⁴, 12⁵, 36²</t>
        </is>
      </c>
      <c r="K6313">
        <f>HYPERLINK("CSG2.html#group27B2", "27B²"), =HYPERLINK("CSG6.html#group63C6", "63C⁶")</f>
        <v/>
      </c>
      <c r="L6313" t="inlineStr"/>
      <c r="M6313">
        <f>HYPERLINK("CSG0.html#group3B0", "3B⁰"), =HYPERLINK("CSG2.html#group21B2", "21B²"), =HYPERLINK("CSG0.html#group9C0", "9C⁰"), =HYPERLINK("CSG6.html#group63C6", "63C⁶"), =HYPERLINK("CSG2.html#group27B2", "27B²"), =HYPERLINK("CSG0.html#group1A0", "1A⁰"), =HYPERLINK("CSG0.html#group7A0", "7A⁰")</f>
        <v/>
      </c>
      <c r="N6313" t="inlineStr"/>
    </row>
    <row r="6314">
      <c r="A6314" t="inlineStr">
        <is>
          <t>189C²⁰</t>
        </is>
      </c>
      <c r="B6314" t="inlineStr"/>
      <c r="C6314" t="inlineStr">
        <is>
          <t>288</t>
        </is>
      </c>
      <c r="D6314" t="inlineStr">
        <is>
          <t>2</t>
        </is>
      </c>
      <c r="E6314" t="inlineStr">
        <is>
          <t>96</t>
        </is>
      </c>
      <c r="F6314" t="inlineStr">
        <is>
          <t>0</t>
        </is>
      </c>
      <c r="G6314" t="inlineStr">
        <is>
          <t>9</t>
        </is>
      </c>
      <c r="H6314" t="inlineStr">
        <is>
          <t>9¹, 27¹, 63¹, 189¹</t>
        </is>
      </c>
      <c r="I6314" t="n">
        <v>4</v>
      </c>
      <c r="J6314" t="inlineStr">
        <is>
          <t>2¹², 6⁴, 12⁶, 36²</t>
        </is>
      </c>
      <c r="K6314">
        <f>HYPERLINK("CSG5.html#group63B5", "63B⁵")</f>
        <v/>
      </c>
      <c r="L6314" t="inlineStr"/>
      <c r="M6314">
        <f>HYPERLINK("CSG0.html#group3B0", "3B⁰"), =HYPERLINK("CSG5.html#group63B5", "63B⁵"), =HYPERLINK("CSG1.html#group21B1", "21B¹"), =HYPERLINK("CSG0.html#group9C0", "9C⁰"), =HYPERLINK("CSG0.html#group1A0", "1A⁰"), =HYPERLINK("CSG0.html#group7B0", "7B⁰")</f>
        <v/>
      </c>
      <c r="N6314" t="inlineStr"/>
    </row>
    <row r="6315">
      <c r="A6315" t="inlineStr">
        <is>
          <t>198A²⁰</t>
        </is>
      </c>
      <c r="B6315" t="inlineStr"/>
      <c r="C6315" t="inlineStr">
        <is>
          <t>264</t>
        </is>
      </c>
      <c r="D6315" t="inlineStr">
        <is>
          <t>2</t>
        </is>
      </c>
      <c r="E6315" t="inlineStr">
        <is>
          <t>88</t>
        </is>
      </c>
      <c r="F6315" t="inlineStr">
        <is>
          <t>0</t>
        </is>
      </c>
      <c r="G6315" t="inlineStr">
        <is>
          <t>6</t>
        </is>
      </c>
      <c r="H6315" t="inlineStr">
        <is>
          <t>66¹, 198¹</t>
        </is>
      </c>
      <c r="I6315" t="n">
        <v>2</v>
      </c>
      <c r="J6315" t="inlineStr">
        <is>
          <t>4⁴, 20⁸</t>
        </is>
      </c>
      <c r="K6315">
        <f>HYPERLINK("CSG1.html#group18D1", "18D¹"), =HYPERLINK("CSG6.html#group66E6", "66E⁶")</f>
        <v/>
      </c>
      <c r="L6315" t="inlineStr"/>
      <c r="M6315">
        <f>HYPERLINK("CSG0.html#group11A0", "11A⁰"), =HYPERLINK("CSG0.html#group3B0", "3B⁰"), =HYPERLINK("CSG0.html#group2A0", "2A⁰"), =HYPERLINK("CSG1.html#group22A1", "22A¹"), =HYPERLINK("CSG3.html#group33B3", "33B³"), =HYPERLINK("CSG0.html#group6C0", "6C⁰"), =HYPERLINK("CSG6.html#group66E6", "66E⁶"), =HYPERLINK("CSG0.html#group1A0", "1A⁰"), =HYPERLINK("CSG1.html#group18D1", "18D¹")</f>
        <v/>
      </c>
      <c r="N6315" t="inlineStr"/>
    </row>
    <row r="6316">
      <c r="A6316" t="inlineStr">
        <is>
          <t>210A²⁰</t>
        </is>
      </c>
      <c r="B6316" t="inlineStr"/>
      <c r="C6316" t="inlineStr">
        <is>
          <t>240</t>
        </is>
      </c>
      <c r="D6316" t="inlineStr">
        <is>
          <t>1</t>
        </is>
      </c>
      <c r="E6316" t="inlineStr">
        <is>
          <t>40</t>
        </is>
      </c>
      <c r="F6316" t="inlineStr">
        <is>
          <t>0</t>
        </is>
      </c>
      <c r="G6316" t="inlineStr">
        <is>
          <t>0</t>
        </is>
      </c>
      <c r="H6316" t="inlineStr">
        <is>
          <t>30¹, 210¹</t>
        </is>
      </c>
      <c r="I6316" t="n">
        <v>2</v>
      </c>
      <c r="J6316" t="inlineStr">
        <is>
          <t>1², 4², 6¹, 24¹</t>
        </is>
      </c>
      <c r="K6316">
        <f>HYPERLINK("CSG3.html#group30A3", "30A³"), =HYPERLINK("CSG4.html#group42B4", "42B⁴"), =HYPERLINK("CSG4.html#group70B4", "70B⁴"), =HYPERLINK("CSG10.html#group105A10", "105A¹⁰")</f>
        <v/>
      </c>
      <c r="L6316" t="inlineStr"/>
      <c r="M6316">
        <f>HYPERLINK("CSG0.html#group2A0", "2A⁰"), =HYPERLINK("CSG3.html#group30A3", "30A³"), =HYPERLINK("CSG0.html#group5A0", "5A⁰"), =HYPERLINK("CSG10.html#group105A10", "105A¹⁰"), =HYPERLINK("CSG0.html#group1A0", "1A⁰"), =HYPERLINK("CSG0.html#group10A0", "10A⁰"), =HYPERLINK("CSG2.html#group21A2", "21A²"), =HYPERLINK("CSG4.html#group42B4", "42B⁴"), =HYPERLINK("CSG4.html#group70B4", "70B⁴"), =HYPERLINK("CSG0.html#group7B0", "7B⁰"), =HYPERLINK("CSG0.html#group14B0", "14B⁰"), =HYPERLINK("CSG1.html#group6A1", "6A¹"), =HYPERLINK("CSG2.html#group35B2", "35B²"), =HYPERLINK("CSG0.html#group3A0", "3A⁰"), =HYPERLINK("CSG1.html#group15A1", "15A¹")</f>
        <v/>
      </c>
      <c r="N6316" t="inlineStr"/>
    </row>
    <row r="6317">
      <c r="A6317" t="inlineStr">
        <is>
          <t>210B²⁰</t>
        </is>
      </c>
      <c r="B6317" t="inlineStr"/>
      <c r="C6317" t="inlineStr">
        <is>
          <t>240</t>
        </is>
      </c>
      <c r="D6317" t="inlineStr">
        <is>
          <t>1</t>
        </is>
      </c>
      <c r="E6317" t="inlineStr">
        <is>
          <t>120</t>
        </is>
      </c>
      <c r="F6317" t="inlineStr">
        <is>
          <t>0</t>
        </is>
      </c>
      <c r="G6317" t="inlineStr">
        <is>
          <t>0</t>
        </is>
      </c>
      <c r="H6317" t="inlineStr">
        <is>
          <t>30¹, 210¹</t>
        </is>
      </c>
      <c r="I6317" t="n">
        <v>2</v>
      </c>
      <c r="J6317" t="inlineStr">
        <is>
          <t>1², 2², 4², 6¹, 8², 12¹, 24¹, 48¹</t>
        </is>
      </c>
      <c r="K6317">
        <f>HYPERLINK("CSG2.html#group30A2", "30A²"), =HYPERLINK("CSG4.html#group42C4", "42C⁴"), =HYPERLINK("CSG10.html#group105A10", "105A¹⁰")</f>
        <v/>
      </c>
      <c r="L6317" t="inlineStr"/>
      <c r="M6317">
        <f>HYPERLINK("CSG0.html#group5A0", "5A⁰"), =HYPERLINK("CSG2.html#group30A2", "30A²"), =HYPERLINK("CSG0.html#group6B0", "6B⁰"), =HYPERLINK("CSG2.html#group21A2", "21A²"), =HYPERLINK("CSG0.html#group7B0", "7B⁰"), =HYPERLINK("CSG2.html#group35B2", "35B²"), =HYPERLINK("CSG4.html#group42C4", "42C⁴"), =HYPERLINK("CSG0.html#group3A0", "3A⁰"), =HYPERLINK("CSG10.html#group105A10", "105A¹⁰"), =HYPERLINK("CSG0.html#group1A0", "1A⁰"), =HYPERLINK("CSG1.html#group15A1", "15A¹")</f>
        <v/>
      </c>
      <c r="N6317" t="inlineStr"/>
    </row>
    <row r="6318">
      <c r="A6318" t="inlineStr">
        <is>
          <t>216A²⁰</t>
        </is>
      </c>
      <c r="B6318" t="inlineStr"/>
      <c r="C6318" t="inlineStr">
        <is>
          <t>288</t>
        </is>
      </c>
      <c r="D6318" t="inlineStr">
        <is>
          <t>2</t>
        </is>
      </c>
      <c r="E6318" t="inlineStr">
        <is>
          <t>48</t>
        </is>
      </c>
      <c r="F6318" t="inlineStr">
        <is>
          <t>0</t>
        </is>
      </c>
      <c r="G6318" t="inlineStr">
        <is>
          <t>12</t>
        </is>
      </c>
      <c r="H6318" t="inlineStr">
        <is>
          <t>72¹, 216¹</t>
        </is>
      </c>
      <c r="I6318" t="n">
        <v>2</v>
      </c>
      <c r="J6318" t="inlineStr">
        <is>
          <t>4⁴, 8⁴, 24²</t>
        </is>
      </c>
      <c r="K6318">
        <f>HYPERLINK("CSG6.html#group72A6", "72A⁶"), =HYPERLINK("CSG10.html#group108E10", "108E¹⁰")</f>
        <v/>
      </c>
      <c r="L6318" t="inlineStr"/>
      <c r="M6318">
        <f>HYPERLINK("CSG0.html#group3B0", "3B⁰"), =HYPERLINK("CSG6.html#group72A6", "72A⁶"), =HYPERLINK("CSG2.html#group24A2", "24A²"), =HYPERLINK("CSG0.html#group4A0", "4A⁰"), =HYPERLINK("CSG1.html#group12A1", "12A¹"), =HYPERLINK("CSG10.html#group108E10", "108E¹⁰"), =HYPERLINK("CSG0.html#group8A0", "8A⁰"), =HYPERLINK("CSG1.html#group27B1", "27B¹"), =HYPERLINK("CSG0.html#group9C0", "9C⁰"), =HYPERLINK("CSG0.html#group1A0", "1A⁰"), =HYPERLINK("CSG3.html#group36C3", "36C³")</f>
        <v/>
      </c>
      <c r="N6318" t="inlineStr"/>
    </row>
    <row r="6319">
      <c r="A6319" t="inlineStr">
        <is>
          <t>220A²⁰</t>
        </is>
      </c>
      <c r="B6319" t="inlineStr"/>
      <c r="C6319" t="inlineStr">
        <is>
          <t>240</t>
        </is>
      </c>
      <c r="D6319" t="inlineStr">
        <is>
          <t>1</t>
        </is>
      </c>
      <c r="E6319" t="inlineStr">
        <is>
          <t>60</t>
        </is>
      </c>
      <c r="F6319" t="inlineStr">
        <is>
          <t>0</t>
        </is>
      </c>
      <c r="G6319" t="inlineStr">
        <is>
          <t>0</t>
        </is>
      </c>
      <c r="H6319" t="inlineStr">
        <is>
          <t>20¹, 220¹</t>
        </is>
      </c>
      <c r="I6319" t="n">
        <v>2</v>
      </c>
      <c r="J6319" t="inlineStr">
        <is>
          <t>1², 4², 10¹, 40¹</t>
        </is>
      </c>
      <c r="K6319">
        <f>HYPERLINK("CSG4.html#group44A4", "44A⁴"), =HYPERLINK("CSG10.html#group110A10", "110A¹⁰")</f>
        <v/>
      </c>
      <c r="L6319" t="inlineStr"/>
      <c r="M6319">
        <f>HYPERLINK("CSG0.html#group2A0", "2A⁰"), =HYPERLINK("CSG4.html#group44A4", "44A⁴"), =HYPERLINK("CSG0.html#group5A0", "5A⁰"), =HYPERLINK("CSG0.html#group10A0", "10A⁰"), =HYPERLINK("CSG10.html#group110A10", "110A¹⁰"), =HYPERLINK("CSG1.html#group11A1", "11A¹"), =HYPERLINK("CSG2.html#group22A2", "22A²"), =HYPERLINK("CSG5.html#group55A5", "55A⁵"), =HYPERLINK("CSG0.html#group1A0", "1A⁰")</f>
        <v/>
      </c>
      <c r="N6319" t="inlineStr"/>
    </row>
    <row r="6320">
      <c r="A6320" t="inlineStr">
        <is>
          <t>220B²⁰</t>
        </is>
      </c>
      <c r="B6320" t="inlineStr"/>
      <c r="C6320" t="inlineStr">
        <is>
          <t>240</t>
        </is>
      </c>
      <c r="D6320" t="inlineStr">
        <is>
          <t>1</t>
        </is>
      </c>
      <c r="E6320" t="inlineStr">
        <is>
          <t>240</t>
        </is>
      </c>
      <c r="F6320" t="inlineStr">
        <is>
          <t>0</t>
        </is>
      </c>
      <c r="G6320" t="inlineStr">
        <is>
          <t>0</t>
        </is>
      </c>
      <c r="H6320" t="inlineStr">
        <is>
          <t>20¹, 220¹</t>
        </is>
      </c>
      <c r="I6320" t="n">
        <v>2</v>
      </c>
      <c r="J6320" t="inlineStr">
        <is>
          <t>2⁴, 8⁴, 20², 80²</t>
        </is>
      </c>
      <c r="K6320">
        <f>HYPERLINK("CSG1.html#group20A1", "20A¹"), =HYPERLINK("CSG4.html#group44B4", "44B⁴"), =HYPERLINK("CSG5.html#group55A5", "55A⁵")</f>
        <v/>
      </c>
      <c r="L6320" t="inlineStr"/>
      <c r="M6320">
        <f>HYPERLINK("CSG0.html#group5A0", "5A⁰"), =HYPERLINK("CSG1.html#group11A1", "11A¹"), =HYPERLINK("CSG0.html#group4A0", "4A⁰"), =HYPERLINK("CSG4.html#group44B4", "44B⁴"), =HYPERLINK("CSG1.html#group20A1", "20A¹"), =HYPERLINK("CSG5.html#group55A5", "55A⁵"), =HYPERLINK("CSG0.html#group1A0", "1A⁰")</f>
        <v/>
      </c>
      <c r="N6320" t="inlineStr"/>
    </row>
    <row r="6321">
      <c r="A6321" t="inlineStr">
        <is>
          <t>225A²⁰</t>
        </is>
      </c>
      <c r="B6321" t="inlineStr"/>
      <c r="C6321" t="inlineStr">
        <is>
          <t>270</t>
        </is>
      </c>
      <c r="D6321" t="inlineStr">
        <is>
          <t>1</t>
        </is>
      </c>
      <c r="E6321" t="inlineStr">
        <is>
          <t>270</t>
        </is>
      </c>
      <c r="F6321" t="inlineStr">
        <is>
          <t>10</t>
        </is>
      </c>
      <c r="G6321" t="inlineStr">
        <is>
          <t>0</t>
        </is>
      </c>
      <c r="H6321" t="inlineStr">
        <is>
          <t>45¹, 225¹</t>
        </is>
      </c>
      <c r="I6321" t="n">
        <v>2</v>
      </c>
      <c r="J6321" t="inlineStr">
        <is>
          <t>2², 4⁶, 8⁴, 12², 20², 24⁴, 40², 120²</t>
        </is>
      </c>
      <c r="K6321">
        <f>HYPERLINK("CSG2.html#group45A2", "45A²"), =HYPERLINK("CSG6.html#group75A6", "75A⁶")</f>
        <v/>
      </c>
      <c r="L6321" t="inlineStr"/>
      <c r="M6321">
        <f>HYPERLINK("CSG6.html#group75A6", "75A⁶"), =HYPERLINK("CSG2.html#group45A2", "45A²"), =HYPERLINK("CSG0.html#group15B0", "15B⁰"), =HYPERLINK("CSG2.html#group25A2", "25A²"), =HYPERLINK("CSG0.html#group9A0", "9A⁰"), =HYPERLINK("CSG0.html#group5B0", "5B⁰"), =HYPERLINK("CSG0.html#group3A0", "3A⁰"), =HYPERLINK("CSG0.html#group1A0", "1A⁰")</f>
        <v/>
      </c>
      <c r="N6321" t="inlineStr"/>
    </row>
    <row r="6322">
      <c r="A6322" t="inlineStr">
        <is>
          <t>225B²⁰</t>
        </is>
      </c>
      <c r="B6322" t="inlineStr"/>
      <c r="C6322" t="inlineStr">
        <is>
          <t>270</t>
        </is>
      </c>
      <c r="D6322" t="inlineStr">
        <is>
          <t>1</t>
        </is>
      </c>
      <c r="E6322" t="inlineStr">
        <is>
          <t>270</t>
        </is>
      </c>
      <c r="F6322" t="inlineStr">
        <is>
          <t>10</t>
        </is>
      </c>
      <c r="G6322" t="inlineStr">
        <is>
          <t>0</t>
        </is>
      </c>
      <c r="H6322" t="inlineStr">
        <is>
          <t>45¹, 225¹</t>
        </is>
      </c>
      <c r="I6322" t="n">
        <v>2</v>
      </c>
      <c r="J6322" t="inlineStr">
        <is>
          <t>2², 4⁶, 8⁴, 12², 20², 24⁴, 40², 120²</t>
        </is>
      </c>
      <c r="K6322">
        <f>HYPERLINK("CSG2.html#group45A2", "45A²"), =HYPERLINK("CSG6.html#group75B6", "75B⁶")</f>
        <v/>
      </c>
      <c r="L6322" t="inlineStr"/>
      <c r="M6322">
        <f>HYPERLINK("CSG2.html#group45A2", "45A²"), =HYPERLINK("CSG0.html#group15B0", "15B⁰"), =HYPERLINK("CSG6.html#group75B6", "75B⁶"), =HYPERLINK("CSG0.html#group9A0", "9A⁰"), =HYPERLINK("CSG0.html#group5B0", "5B⁰"), =HYPERLINK("CSG0.html#group3A0", "3A⁰"), =HYPERLINK("CSG0.html#group1A0", "1A⁰"), =HYPERLINK("CSG2.html#group25B2", "25B²")</f>
        <v/>
      </c>
      <c r="N6322" t="inlineStr"/>
    </row>
    <row r="6323">
      <c r="A6323" t="inlineStr">
        <is>
          <t>225C²⁰</t>
        </is>
      </c>
      <c r="B6323" t="inlineStr"/>
      <c r="C6323" t="inlineStr">
        <is>
          <t>270</t>
        </is>
      </c>
      <c r="D6323" t="inlineStr">
        <is>
          <t>1</t>
        </is>
      </c>
      <c r="E6323" t="inlineStr">
        <is>
          <t>270</t>
        </is>
      </c>
      <c r="F6323" t="inlineStr">
        <is>
          <t>10</t>
        </is>
      </c>
      <c r="G6323" t="inlineStr">
        <is>
          <t>0</t>
        </is>
      </c>
      <c r="H6323" t="inlineStr">
        <is>
          <t>45¹, 225¹</t>
        </is>
      </c>
      <c r="I6323" t="n">
        <v>2</v>
      </c>
      <c r="J6323" t="inlineStr">
        <is>
          <t>2², 4⁶, 8⁴, 12², 20², 24⁴, 40², 120²</t>
        </is>
      </c>
      <c r="K6323">
        <f>HYPERLINK("CSG2.html#group45A2", "45A²"), =HYPERLINK("CSG6.html#group75C6", "75C⁶")</f>
        <v/>
      </c>
      <c r="L6323" t="inlineStr"/>
      <c r="M6323">
        <f>HYPERLINK("CSG2.html#group45A2", "45A²"), =HYPERLINK("CSG0.html#group15B0", "15B⁰"), =HYPERLINK("CSG0.html#group9A0", "9A⁰"), =HYPERLINK("CSG6.html#group75C6", "75C⁶"), =HYPERLINK("CSG0.html#group5B0", "5B⁰"), =HYPERLINK("CSG0.html#group3A0", "3A⁰"), =HYPERLINK("CSG0.html#group1A0", "1A⁰"), =HYPERLINK("CSG2.html#group25C2", "25C²")</f>
        <v/>
      </c>
      <c r="N6323" t="inlineStr"/>
    </row>
    <row r="6324">
      <c r="A6324" t="inlineStr">
        <is>
          <t>225D²⁰</t>
        </is>
      </c>
      <c r="B6324" t="inlineStr"/>
      <c r="C6324" t="inlineStr">
        <is>
          <t>270</t>
        </is>
      </c>
      <c r="D6324" t="inlineStr">
        <is>
          <t>1</t>
        </is>
      </c>
      <c r="E6324" t="inlineStr">
        <is>
          <t>270</t>
        </is>
      </c>
      <c r="F6324" t="inlineStr">
        <is>
          <t>10</t>
        </is>
      </c>
      <c r="G6324" t="inlineStr">
        <is>
          <t>0</t>
        </is>
      </c>
      <c r="H6324" t="inlineStr">
        <is>
          <t>45¹, 225¹</t>
        </is>
      </c>
      <c r="I6324" t="n">
        <v>2</v>
      </c>
      <c r="J6324" t="inlineStr">
        <is>
          <t>2², 4⁶, 8⁴, 12², 20², 24⁴, 40², 120²</t>
        </is>
      </c>
      <c r="K6324">
        <f>HYPERLINK("CSG2.html#group45A2", "45A²"), =HYPERLINK("CSG6.html#group75D6", "75D⁶")</f>
        <v/>
      </c>
      <c r="L6324" t="inlineStr"/>
      <c r="M6324">
        <f>HYPERLINK("CSG2.html#group45A2", "45A²"), =HYPERLINK("CSG0.html#group15B0", "15B⁰"), =HYPERLINK("CSG0.html#group9A0", "9A⁰"), =HYPERLINK("CSG0.html#group5B0", "5B⁰"), =HYPERLINK("CSG6.html#group75D6", "75D⁶"), =HYPERLINK("CSG0.html#group3A0", "3A⁰"), =HYPERLINK("CSG0.html#group1A0", "1A⁰"), =HYPERLINK("CSG2.html#group25D2", "25D²")</f>
        <v/>
      </c>
      <c r="N6324" t="inlineStr"/>
    </row>
    <row r="6325">
      <c r="A6325" t="inlineStr">
        <is>
          <t>228A²⁰</t>
        </is>
      </c>
      <c r="B6325" t="inlineStr"/>
      <c r="C6325" t="inlineStr">
        <is>
          <t>240</t>
        </is>
      </c>
      <c r="D6325" t="inlineStr">
        <is>
          <t>1</t>
        </is>
      </c>
      <c r="E6325" t="inlineStr">
        <is>
          <t>20</t>
        </is>
      </c>
      <c r="F6325" t="inlineStr">
        <is>
          <t>0</t>
        </is>
      </c>
      <c r="G6325" t="inlineStr">
        <is>
          <t>0</t>
        </is>
      </c>
      <c r="H6325" t="inlineStr">
        <is>
          <t>12¹, 228¹</t>
        </is>
      </c>
      <c r="I6325" t="n">
        <v>2</v>
      </c>
      <c r="J6325" t="inlineStr">
        <is>
          <t>1², 18¹</t>
        </is>
      </c>
      <c r="K6325">
        <f>HYPERLINK("CSG4.html#group76A4", "76A⁴"), =HYPERLINK("CSG10.html#group114A10", "114A¹⁰")</f>
        <v/>
      </c>
      <c r="L6325" t="inlineStr"/>
      <c r="M6325">
        <f>HYPERLINK("CSG1.html#group19A1", "19A¹"), =HYPERLINK("CSG0.html#group2A0", "2A⁰"), =HYPERLINK("CSG2.html#group38A2", "38A²"), =HYPERLINK("CSG10.html#group114A10", "114A¹⁰"), =HYPERLINK("CSG5.html#group57A5", "57A⁵"), =HYPERLINK("CSG4.html#group76A4", "76A⁴"), =HYPERLINK("CSG1.html#group6A1", "6A¹"), =HYPERLINK("CSG0.html#group3A0", "3A⁰"), =HYPERLINK("CSG0.html#group1A0", "1A⁰")</f>
        <v/>
      </c>
      <c r="N6325" t="inlineStr"/>
    </row>
    <row r="6326">
      <c r="A6326" t="inlineStr">
        <is>
          <t>228B²⁰</t>
        </is>
      </c>
      <c r="B6326" t="inlineStr"/>
      <c r="C6326" t="inlineStr">
        <is>
          <t>240</t>
        </is>
      </c>
      <c r="D6326" t="inlineStr">
        <is>
          <t>1</t>
        </is>
      </c>
      <c r="E6326" t="inlineStr">
        <is>
          <t>60</t>
        </is>
      </c>
      <c r="F6326" t="inlineStr">
        <is>
          <t>0</t>
        </is>
      </c>
      <c r="G6326" t="inlineStr">
        <is>
          <t>0</t>
        </is>
      </c>
      <c r="H6326" t="inlineStr">
        <is>
          <t>12¹, 228¹</t>
        </is>
      </c>
      <c r="I6326" t="n">
        <v>2</v>
      </c>
      <c r="J6326" t="inlineStr">
        <is>
          <t>1², 2², 18¹, 36¹</t>
        </is>
      </c>
      <c r="K6326">
        <f>HYPERLINK("CSG10.html#group114A10", "114A¹⁰")</f>
        <v/>
      </c>
      <c r="L6326" t="inlineStr"/>
      <c r="M6326">
        <f>HYPERLINK("CSG1.html#group19A1", "19A¹"), =HYPERLINK("CSG0.html#group2A0", "2A⁰"), =HYPERLINK("CSG2.html#group38A2", "38A²"), =HYPERLINK("CSG10.html#group114A10", "114A¹⁰"), =HYPERLINK("CSG5.html#group57A5", "57A⁵"), =HYPERLINK("CSG1.html#group6A1", "6A¹"), =HYPERLINK("CSG0.html#group3A0", "3A⁰"), =HYPERLINK("CSG0.html#group1A0", "1A⁰")</f>
        <v/>
      </c>
      <c r="N6326" t="inlineStr"/>
    </row>
    <row r="6327">
      <c r="A6327" t="inlineStr">
        <is>
          <t>228C²⁰</t>
        </is>
      </c>
      <c r="B6327" t="inlineStr"/>
      <c r="C6327" t="inlineStr">
        <is>
          <t>240</t>
        </is>
      </c>
      <c r="D6327" t="inlineStr">
        <is>
          <t>1</t>
        </is>
      </c>
      <c r="E6327" t="inlineStr">
        <is>
          <t>80</t>
        </is>
      </c>
      <c r="F6327" t="inlineStr">
        <is>
          <t>0</t>
        </is>
      </c>
      <c r="G6327" t="inlineStr">
        <is>
          <t>0</t>
        </is>
      </c>
      <c r="H6327" t="inlineStr">
        <is>
          <t>12¹, 228¹</t>
        </is>
      </c>
      <c r="I6327" t="n">
        <v>2</v>
      </c>
      <c r="J6327" t="inlineStr">
        <is>
          <t>2⁴, 36²</t>
        </is>
      </c>
      <c r="K6327">
        <f>HYPERLINK("CSG0.html#group12A0", "12A⁰"), =HYPERLINK("CSG5.html#group57A5", "57A⁵"), =HYPERLINK("CSG6.html#group76A6", "76A⁶")</f>
        <v/>
      </c>
      <c r="L6327" t="inlineStr"/>
      <c r="M6327">
        <f>HYPERLINK("CSG1.html#group19A1", "19A¹"), =HYPERLINK("CSG0.html#group12A0", "12A⁰"), =HYPERLINK("CSG0.html#group4A0", "4A⁰"), =HYPERLINK("CSG6.html#group76A6", "76A⁶"), =HYPERLINK("CSG5.html#group57A5", "57A⁵"), =HYPERLINK("CSG0.html#group3A0", "3A⁰"), =HYPERLINK("CSG0.html#group1A0", "1A⁰")</f>
        <v/>
      </c>
      <c r="N6327" t="inlineStr"/>
    </row>
    <row r="6328">
      <c r="A6328" t="inlineStr">
        <is>
          <t>228D²⁰</t>
        </is>
      </c>
      <c r="B6328" t="inlineStr"/>
      <c r="C6328" t="inlineStr">
        <is>
          <t>240</t>
        </is>
      </c>
      <c r="D6328" t="inlineStr">
        <is>
          <t>2</t>
        </is>
      </c>
      <c r="E6328" t="inlineStr">
        <is>
          <t>20</t>
        </is>
      </c>
      <c r="F6328" t="inlineStr">
        <is>
          <t>0</t>
        </is>
      </c>
      <c r="G6328" t="inlineStr">
        <is>
          <t>0</t>
        </is>
      </c>
      <c r="H6328" t="inlineStr">
        <is>
          <t>12¹, 228¹</t>
        </is>
      </c>
      <c r="I6328" t="n">
        <v>2</v>
      </c>
      <c r="J6328" t="inlineStr">
        <is>
          <t>2², 36¹</t>
        </is>
      </c>
      <c r="K6328">
        <f>HYPERLINK("CSG4.html#group76A4", "76A⁴"), =HYPERLINK("CSG10.html#group114C10", "114C¹⁰")</f>
        <v/>
      </c>
      <c r="L6328" t="inlineStr"/>
      <c r="M6328">
        <f>HYPERLINK("CSG0.html#group2A0", "2A⁰"), =HYPERLINK("CSG1.html#group19A1", "19A¹"), =HYPERLINK("CSG2.html#group38A2", "38A²"), =HYPERLINK("CSG10.html#group114C10", "114C¹⁰"), =HYPERLINK("CSG5.html#group57B5", "57B⁵"), =HYPERLINK("CSG4.html#group76A4", "76A⁴"), =HYPERLINK("CSG0.html#group1A0", "1A⁰")</f>
        <v/>
      </c>
      <c r="N6328" t="inlineStr"/>
    </row>
    <row r="6329">
      <c r="A6329" t="inlineStr">
        <is>
          <t>228E²⁰</t>
        </is>
      </c>
      <c r="B6329" t="inlineStr"/>
      <c r="C6329" t="inlineStr">
        <is>
          <t>240</t>
        </is>
      </c>
      <c r="D6329" t="inlineStr">
        <is>
          <t>2</t>
        </is>
      </c>
      <c r="E6329" t="inlineStr">
        <is>
          <t>80</t>
        </is>
      </c>
      <c r="F6329" t="inlineStr">
        <is>
          <t>0</t>
        </is>
      </c>
      <c r="G6329" t="inlineStr">
        <is>
          <t>0</t>
        </is>
      </c>
      <c r="H6329" t="inlineStr">
        <is>
          <t>12¹, 228¹</t>
        </is>
      </c>
      <c r="I6329" t="n">
        <v>2</v>
      </c>
      <c r="J6329" t="inlineStr">
        <is>
          <t>4⁴, 72²</t>
        </is>
      </c>
      <c r="K6329">
        <f>HYPERLINK("CSG5.html#group57B5", "57B⁵"), =HYPERLINK("CSG6.html#group76A6", "76A⁶")</f>
        <v/>
      </c>
      <c r="L6329" t="inlineStr"/>
      <c r="M6329">
        <f>HYPERLINK("CSG1.html#group19A1", "19A¹"), =HYPERLINK("CSG6.html#group76A6", "76A⁶"), =HYPERLINK("CSG5.html#group57B5", "57B⁵"), =HYPERLINK("CSG0.html#group1A0", "1A⁰"), =HYPERLINK("CSG0.html#group4A0", "4A⁰")</f>
        <v/>
      </c>
      <c r="N6329" t="inlineStr"/>
    </row>
    <row r="6330">
      <c r="A6330" t="inlineStr">
        <is>
          <t>230A²⁰</t>
        </is>
      </c>
      <c r="B6330" t="inlineStr"/>
      <c r="C6330" t="inlineStr">
        <is>
          <t>240</t>
        </is>
      </c>
      <c r="D6330" t="inlineStr">
        <is>
          <t>1</t>
        </is>
      </c>
      <c r="E6330" t="inlineStr">
        <is>
          <t>120</t>
        </is>
      </c>
      <c r="F6330" t="inlineStr">
        <is>
          <t>0</t>
        </is>
      </c>
      <c r="G6330" t="inlineStr">
        <is>
          <t>0</t>
        </is>
      </c>
      <c r="H6330" t="inlineStr">
        <is>
          <t>10¹, 230¹</t>
        </is>
      </c>
      <c r="I6330" t="n">
        <v>2</v>
      </c>
      <c r="J6330" t="inlineStr">
        <is>
          <t>1², 4², 22¹, 88¹</t>
        </is>
      </c>
      <c r="K6330">
        <f>HYPERLINK("CSG0.html#group10A0", "10A⁰"), =HYPERLINK("CSG4.html#group46A4", "46A⁴"), =HYPERLINK("CSG10.html#group115A10", "115A¹⁰")</f>
        <v/>
      </c>
      <c r="L6330" t="inlineStr"/>
      <c r="M6330">
        <f>HYPERLINK("CSG0.html#group2A0", "2A⁰"), =HYPERLINK("CSG0.html#group5A0", "5A⁰"), =HYPERLINK("CSG0.html#group10A0", "10A⁰"), =HYPERLINK("CSG2.html#group23A2", "23A²"), =HYPERLINK("CSG10.html#group115A10", "115A¹⁰"), =HYPERLINK("CSG0.html#group1A0", "1A⁰"), =HYPERLINK("CSG4.html#group46A4", "46A⁴")</f>
        <v/>
      </c>
      <c r="N6330" t="inlineStr"/>
    </row>
    <row r="6331">
      <c r="A6331" t="inlineStr">
        <is>
          <t>231A²⁰</t>
        </is>
      </c>
      <c r="B6331" t="inlineStr"/>
      <c r="C6331" t="inlineStr">
        <is>
          <t>264</t>
        </is>
      </c>
      <c r="D6331" t="inlineStr">
        <is>
          <t>2</t>
        </is>
      </c>
      <c r="E6331" t="inlineStr">
        <is>
          <t>88</t>
        </is>
      </c>
      <c r="F6331" t="inlineStr">
        <is>
          <t>0</t>
        </is>
      </c>
      <c r="G6331" t="inlineStr">
        <is>
          <t>6</t>
        </is>
      </c>
      <c r="H6331" t="inlineStr">
        <is>
          <t>33¹, 231¹</t>
        </is>
      </c>
      <c r="I6331" t="n">
        <v>2</v>
      </c>
      <c r="J6331" t="inlineStr">
        <is>
          <t>4², 20⁴, 24¹, 120²</t>
        </is>
      </c>
      <c r="K6331">
        <f>HYPERLINK("CSG1.html#group21A1", "21A¹"), =HYPERLINK("CSG6.html#group77A6", "77A⁶")</f>
        <v/>
      </c>
      <c r="L6331" t="inlineStr"/>
      <c r="M6331">
        <f>HYPERLINK("CSG0.html#group11A0", "11A⁰"), =HYPERLINK("CSG0.html#group1A0", "1A⁰"), =HYPERLINK("CSG0.html#group7B0", "7B⁰"), =HYPERLINK("CSG6.html#group77A6", "77A⁶"), =HYPERLINK("CSG1.html#group21A1", "21A¹")</f>
        <v/>
      </c>
      <c r="N6331" t="inlineStr"/>
    </row>
    <row r="6332">
      <c r="A6332" t="inlineStr">
        <is>
          <t>231B²⁰</t>
        </is>
      </c>
      <c r="B6332" t="inlineStr"/>
      <c r="C6332" t="inlineStr">
        <is>
          <t>264</t>
        </is>
      </c>
      <c r="D6332" t="inlineStr">
        <is>
          <t>2</t>
        </is>
      </c>
      <c r="E6332" t="inlineStr">
        <is>
          <t>88</t>
        </is>
      </c>
      <c r="F6332" t="inlineStr">
        <is>
          <t>0</t>
        </is>
      </c>
      <c r="G6332" t="inlineStr">
        <is>
          <t>6</t>
        </is>
      </c>
      <c r="H6332" t="inlineStr">
        <is>
          <t>33¹, 231¹</t>
        </is>
      </c>
      <c r="I6332" t="n">
        <v>2</v>
      </c>
      <c r="J6332" t="inlineStr">
        <is>
          <t>4², 20⁴, 24¹, 120²</t>
        </is>
      </c>
      <c r="K6332">
        <f>HYPERLINK("CSG1.html#group21A1", "21A¹"), =HYPERLINK("CSG6.html#group77A6", "77A⁶")</f>
        <v/>
      </c>
      <c r="L6332" t="inlineStr"/>
      <c r="M6332">
        <f>HYPERLINK("CSG0.html#group11A0", "11A⁰"), =HYPERLINK("CSG0.html#group1A0", "1A⁰"), =HYPERLINK("CSG0.html#group7B0", "7B⁰"), =HYPERLINK("CSG6.html#group77A6", "77A⁶"), =HYPERLINK("CSG1.html#group21A1", "21A¹")</f>
        <v/>
      </c>
      <c r="N6332" t="inlineStr"/>
    </row>
    <row r="6333">
      <c r="A6333" t="inlineStr">
        <is>
          <t>234A²⁰</t>
        </is>
      </c>
      <c r="B6333" t="inlineStr"/>
      <c r="C6333" t="inlineStr">
        <is>
          <t>252</t>
        </is>
      </c>
      <c r="D6333" t="inlineStr">
        <is>
          <t>2</t>
        </is>
      </c>
      <c r="E6333" t="inlineStr">
        <is>
          <t>126</t>
        </is>
      </c>
      <c r="F6333" t="inlineStr">
        <is>
          <t>4</t>
        </is>
      </c>
      <c r="G6333" t="inlineStr">
        <is>
          <t>0</t>
        </is>
      </c>
      <c r="H6333" t="inlineStr">
        <is>
          <t>18¹, 234¹</t>
        </is>
      </c>
      <c r="I6333" t="n">
        <v>2</v>
      </c>
      <c r="J6333" t="inlineStr">
        <is>
          <t>2⁶, 6⁴, 24³, 72²</t>
        </is>
      </c>
      <c r="K6333">
        <f>HYPERLINK("CSG6.html#group78A6", "78A⁶"), =HYPERLINK("CSG8.html#group117A8", "117A⁸")</f>
        <v/>
      </c>
      <c r="L6333" t="inlineStr"/>
      <c r="M6333">
        <f>HYPERLINK("CSG8.html#group117A8", "117A⁸"), =HYPERLINK("CSG0.html#group13A0", "13A⁰"), =HYPERLINK("CSG2.html#group39A2", "39A²"), =HYPERLINK("CSG6.html#group78A6", "78A⁶"), =HYPERLINK("CSG0.html#group3A0", "3A⁰"), =HYPERLINK("CSG0.html#group1A0", "1A⁰"), =HYPERLINK("CSG0.html#group9A0", "9A⁰")</f>
        <v/>
      </c>
      <c r="N6333" t="inlineStr"/>
    </row>
    <row r="6334">
      <c r="A6334" t="inlineStr">
        <is>
          <t>235A²⁰</t>
        </is>
      </c>
      <c r="B6334" t="inlineStr"/>
      <c r="C6334" t="inlineStr">
        <is>
          <t>240</t>
        </is>
      </c>
      <c r="D6334" t="inlineStr">
        <is>
          <t>1</t>
        </is>
      </c>
      <c r="E6334" t="inlineStr">
        <is>
          <t>240</t>
        </is>
      </c>
      <c r="F6334" t="inlineStr">
        <is>
          <t>0</t>
        </is>
      </c>
      <c r="G6334" t="inlineStr">
        <is>
          <t>0</t>
        </is>
      </c>
      <c r="H6334" t="inlineStr">
        <is>
          <t>5¹, 235¹</t>
        </is>
      </c>
      <c r="I6334" t="n">
        <v>2</v>
      </c>
      <c r="J6334" t="inlineStr">
        <is>
          <t>1², 4², 46¹, 184¹</t>
        </is>
      </c>
      <c r="K6334">
        <f>HYPERLINK("CSG0.html#group5A0", "5A⁰"), =HYPERLINK("CSG4.html#group47A4", "47A⁴")</f>
        <v/>
      </c>
      <c r="L6334" t="inlineStr"/>
      <c r="M6334">
        <f>HYPERLINK("CSG4.html#group47A4", "47A⁴"), =HYPERLINK("CSG0.html#group1A0", "1A⁰"), =HYPERLINK("CSG0.html#group5A0", "5A⁰")</f>
        <v/>
      </c>
      <c r="N6334" t="inlineStr"/>
    </row>
    <row r="6335">
      <c r="A6335" t="inlineStr">
        <is>
          <t>236A²⁰</t>
        </is>
      </c>
      <c r="B6335" t="inlineStr"/>
      <c r="C6335" t="inlineStr">
        <is>
          <t>240</t>
        </is>
      </c>
      <c r="D6335" t="inlineStr">
        <is>
          <t>1</t>
        </is>
      </c>
      <c r="E6335" t="inlineStr">
        <is>
          <t>60</t>
        </is>
      </c>
      <c r="F6335" t="inlineStr">
        <is>
          <t>0</t>
        </is>
      </c>
      <c r="G6335" t="inlineStr">
        <is>
          <t>0</t>
        </is>
      </c>
      <c r="H6335" t="inlineStr">
        <is>
          <t>4¹, 236¹</t>
        </is>
      </c>
      <c r="I6335" t="n">
        <v>2</v>
      </c>
      <c r="J6335" t="inlineStr">
        <is>
          <t>1², 58¹</t>
        </is>
      </c>
      <c r="K6335">
        <f>HYPERLINK("CSG10.html#group118A10", "118A¹⁰")</f>
        <v/>
      </c>
      <c r="L6335" t="inlineStr"/>
      <c r="M6335">
        <f>HYPERLINK("CSG0.html#group2A0", "2A⁰"), =HYPERLINK("CSG0.html#group1A0", "1A⁰"), =HYPERLINK("CSG5.html#group59A5", "59A⁵"), =HYPERLINK("CSG10.html#group118A10", "118A¹⁰")</f>
        <v/>
      </c>
      <c r="N6335" t="inlineStr"/>
    </row>
    <row r="6336">
      <c r="A6336" t="inlineStr">
        <is>
          <t>236B²⁰</t>
        </is>
      </c>
      <c r="B6336" t="inlineStr"/>
      <c r="C6336" t="inlineStr">
        <is>
          <t>240</t>
        </is>
      </c>
      <c r="D6336" t="inlineStr">
        <is>
          <t>1</t>
        </is>
      </c>
      <c r="E6336" t="inlineStr">
        <is>
          <t>240</t>
        </is>
      </c>
      <c r="F6336" t="inlineStr">
        <is>
          <t>0</t>
        </is>
      </c>
      <c r="G6336" t="inlineStr">
        <is>
          <t>0</t>
        </is>
      </c>
      <c r="H6336" t="inlineStr">
        <is>
          <t>4¹, 236¹</t>
        </is>
      </c>
      <c r="I6336" t="n">
        <v>2</v>
      </c>
      <c r="J6336" t="inlineStr">
        <is>
          <t>2⁴, 116²</t>
        </is>
      </c>
      <c r="K6336">
        <f>HYPERLINK("CSG0.html#group4A0", "4A⁰"), =HYPERLINK("CSG5.html#group59A5", "59A⁵")</f>
        <v/>
      </c>
      <c r="L6336" t="inlineStr"/>
      <c r="M6336">
        <f>HYPERLINK("CSG0.html#group1A0", "1A⁰"), =HYPERLINK("CSG0.html#group4A0", "4A⁰"), =HYPERLINK("CSG5.html#group59A5", "59A⁵")</f>
        <v/>
      </c>
      <c r="N6336" t="inlineStr"/>
    </row>
    <row r="6337">
      <c r="A6337" t="inlineStr">
        <is>
          <t>237A²⁰</t>
        </is>
      </c>
      <c r="B6337" t="inlineStr"/>
      <c r="C6337" t="inlineStr">
        <is>
          <t>240</t>
        </is>
      </c>
      <c r="D6337" t="inlineStr">
        <is>
          <t>1</t>
        </is>
      </c>
      <c r="E6337" t="inlineStr">
        <is>
          <t>80</t>
        </is>
      </c>
      <c r="F6337" t="inlineStr">
        <is>
          <t>0</t>
        </is>
      </c>
      <c r="G6337" t="inlineStr">
        <is>
          <t>0</t>
        </is>
      </c>
      <c r="H6337" t="inlineStr">
        <is>
          <t>3¹, 237¹</t>
        </is>
      </c>
      <c r="I6337" t="n">
        <v>2</v>
      </c>
      <c r="J6337" t="inlineStr">
        <is>
          <t>1², 78¹</t>
        </is>
      </c>
      <c r="K6337">
        <f>HYPERLINK("CSG0.html#group3A0", "3A⁰"), =HYPERLINK("CSG6.html#group79A6", "79A⁶")</f>
        <v/>
      </c>
      <c r="L6337" t="inlineStr"/>
      <c r="M6337">
        <f>HYPERLINK("CSG0.html#group3A0", "3A⁰"), =HYPERLINK("CSG6.html#group79A6", "79A⁶"), =HYPERLINK("CSG0.html#group1A0", "1A⁰")</f>
        <v/>
      </c>
      <c r="N6337" t="inlineStr"/>
    </row>
    <row r="6338">
      <c r="A6338" t="inlineStr">
        <is>
          <t>239A²⁰</t>
        </is>
      </c>
      <c r="B6338" t="inlineStr">
        <is>
          <t>Γ₀(239)</t>
        </is>
      </c>
      <c r="C6338" t="inlineStr">
        <is>
          <t>240</t>
        </is>
      </c>
      <c r="D6338" t="inlineStr">
        <is>
          <t>1</t>
        </is>
      </c>
      <c r="E6338" t="inlineStr">
        <is>
          <t>240</t>
        </is>
      </c>
      <c r="F6338" t="inlineStr">
        <is>
          <t>0</t>
        </is>
      </c>
      <c r="G6338" t="inlineStr">
        <is>
          <t>0</t>
        </is>
      </c>
      <c r="H6338" t="inlineStr">
        <is>
          <t>1¹, 239¹</t>
        </is>
      </c>
      <c r="I6338" t="n">
        <v>2</v>
      </c>
      <c r="J6338" t="inlineStr">
        <is>
          <t>1², 238¹</t>
        </is>
      </c>
      <c r="K6338">
        <f>HYPERLINK("CSG0.html#group1A0", "1A⁰")</f>
        <v/>
      </c>
      <c r="L6338" t="inlineStr"/>
      <c r="M6338">
        <f>HYPERLINK("CSG0.html#group1A0", "1A⁰")</f>
        <v/>
      </c>
      <c r="N6338" t="inlineStr"/>
    </row>
    <row r="6339">
      <c r="A6339" t="inlineStr">
        <is>
          <t>248A²⁰</t>
        </is>
      </c>
      <c r="B6339" t="inlineStr"/>
      <c r="C6339" t="inlineStr">
        <is>
          <t>256</t>
        </is>
      </c>
      <c r="D6339" t="inlineStr">
        <is>
          <t>2</t>
        </is>
      </c>
      <c r="E6339" t="inlineStr">
        <is>
          <t>128</t>
        </is>
      </c>
      <c r="F6339" t="inlineStr">
        <is>
          <t>0</t>
        </is>
      </c>
      <c r="G6339" t="inlineStr">
        <is>
          <t>4</t>
        </is>
      </c>
      <c r="H6339" t="inlineStr">
        <is>
          <t>8¹, 248¹</t>
        </is>
      </c>
      <c r="I6339" t="n">
        <v>2</v>
      </c>
      <c r="J6339" t="inlineStr">
        <is>
          <t>4⁴, 120²</t>
        </is>
      </c>
      <c r="K6339">
        <f>HYPERLINK("CSG0.html#group8A0", "8A⁰"), =HYPERLINK("CSG10.html#group124A10", "124A¹⁰")</f>
        <v/>
      </c>
      <c r="L6339" t="inlineStr"/>
      <c r="M6339">
        <f>HYPERLINK("CSG0.html#group8A0", "8A⁰"), =HYPERLINK("CSG10.html#group124A10", "124A¹⁰"), =HYPERLINK("CSG2.html#group31A2", "31A²"), =HYPERLINK("CSG0.html#group1A0", "1A⁰"), =HYPERLINK("CSG0.html#group4A0", "4A⁰")</f>
        <v/>
      </c>
      <c r="N6339" t="inlineStr"/>
    </row>
    <row r="6340">
      <c r="A6340" t="inlineStr">
        <is>
          <t>250A²⁰</t>
        </is>
      </c>
      <c r="B6340" t="inlineStr"/>
      <c r="C6340" t="inlineStr">
        <is>
          <t>300</t>
        </is>
      </c>
      <c r="D6340" t="inlineStr">
        <is>
          <t>1</t>
        </is>
      </c>
      <c r="E6340" t="inlineStr">
        <is>
          <t>150</t>
        </is>
      </c>
      <c r="F6340" t="inlineStr">
        <is>
          <t>4</t>
        </is>
      </c>
      <c r="G6340" t="inlineStr">
        <is>
          <t>0</t>
        </is>
      </c>
      <c r="H6340" t="inlineStr">
        <is>
          <t>2⁵, 10⁴, 250¹</t>
        </is>
      </c>
      <c r="I6340" t="n">
        <v>10</v>
      </c>
      <c r="J6340" t="inlineStr">
        <is>
          <t>1², 4², 20², 100¹</t>
        </is>
      </c>
      <c r="K6340">
        <f>HYPERLINK("CSG2.html#group50A2", "50A²"), =HYPERLINK("CSG8.html#group125A8", "125A⁸")</f>
        <v/>
      </c>
      <c r="L6340" t="inlineStr"/>
      <c r="M6340">
        <f>HYPERLINK("CSG0.html#group25A0", "25A⁰"), =HYPERLINK("CSG0.html#group5B0", "5B⁰"), =HYPERLINK("CSG2.html#group50A2", "50A²"), =HYPERLINK("CSG0.html#group1A0", "1A⁰"), =HYPERLINK("CSG8.html#group125A8", "125A⁸"), =HYPERLINK("CSG0.html#group10B0", "10B⁰")</f>
        <v/>
      </c>
      <c r="N6340" t="inlineStr"/>
    </row>
    <row r="6341">
      <c r="A6341" t="inlineStr">
        <is>
          <t>254A²⁰</t>
        </is>
      </c>
      <c r="B6341" t="inlineStr"/>
      <c r="C6341" t="inlineStr">
        <is>
          <t>256</t>
        </is>
      </c>
      <c r="D6341" t="inlineStr">
        <is>
          <t>1</t>
        </is>
      </c>
      <c r="E6341" t="inlineStr">
        <is>
          <t>128</t>
        </is>
      </c>
      <c r="F6341" t="inlineStr">
        <is>
          <t>0</t>
        </is>
      </c>
      <c r="G6341" t="inlineStr">
        <is>
          <t>4</t>
        </is>
      </c>
      <c r="H6341" t="inlineStr">
        <is>
          <t>2¹, 254¹</t>
        </is>
      </c>
      <c r="I6341" t="n">
        <v>2</v>
      </c>
      <c r="J6341" t="inlineStr">
        <is>
          <t>1², 126¹</t>
        </is>
      </c>
      <c r="K6341">
        <f>HYPERLINK("CSG0.html#group2A0", "2A⁰"), =HYPERLINK("CSG10.html#group127A10", "127A¹⁰")</f>
        <v/>
      </c>
      <c r="L6341" t="inlineStr"/>
      <c r="M6341">
        <f>HYPERLINK("CSG0.html#group2A0", "2A⁰"), =HYPERLINK("CSG0.html#group1A0", "1A⁰"), =HYPERLINK("CSG10.html#group127A10", "127A¹⁰")</f>
        <v/>
      </c>
      <c r="N6341" t="inlineStr"/>
    </row>
    <row r="6342">
      <c r="A6342" t="inlineStr">
        <is>
          <t>258A²⁰</t>
        </is>
      </c>
      <c r="B6342" t="inlineStr"/>
      <c r="C6342" t="inlineStr">
        <is>
          <t>264</t>
        </is>
      </c>
      <c r="D6342" t="inlineStr">
        <is>
          <t>1</t>
        </is>
      </c>
      <c r="E6342" t="inlineStr">
        <is>
          <t>88</t>
        </is>
      </c>
      <c r="F6342" t="inlineStr">
        <is>
          <t>0</t>
        </is>
      </c>
      <c r="G6342" t="inlineStr">
        <is>
          <t>6</t>
        </is>
      </c>
      <c r="H6342" t="inlineStr">
        <is>
          <t>6¹, 258¹</t>
        </is>
      </c>
      <c r="I6342" t="n">
        <v>2</v>
      </c>
      <c r="J6342" t="inlineStr">
        <is>
          <t>2², 84¹</t>
        </is>
      </c>
      <c r="K6342">
        <f>HYPERLINK("CSG0.html#group6A0", "6A⁰"), =HYPERLINK("CSG6.html#group86A6", "86A⁶")</f>
        <v/>
      </c>
      <c r="L6342" t="inlineStr"/>
      <c r="M6342">
        <f>HYPERLINK("CSG0.html#group2A0", "2A⁰"), =HYPERLINK("CSG6.html#group86A6", "86A⁶"), =HYPERLINK("CSG0.html#group6A0", "6A⁰"), =HYPERLINK("CSG0.html#group1A0", "1A⁰"), =HYPERLINK("CSG3.html#group43A3", "43A³")</f>
        <v/>
      </c>
      <c r="N6342" t="inlineStr"/>
    </row>
    <row r="6343">
      <c r="A6343" t="inlineStr">
        <is>
          <t>258B²⁰</t>
        </is>
      </c>
      <c r="B6343" t="inlineStr"/>
      <c r="C6343" t="inlineStr">
        <is>
          <t>264</t>
        </is>
      </c>
      <c r="D6343" t="inlineStr">
        <is>
          <t>2</t>
        </is>
      </c>
      <c r="E6343" t="inlineStr">
        <is>
          <t>44</t>
        </is>
      </c>
      <c r="F6343" t="inlineStr">
        <is>
          <t>0</t>
        </is>
      </c>
      <c r="G6343" t="inlineStr">
        <is>
          <t>6</t>
        </is>
      </c>
      <c r="H6343" t="inlineStr">
        <is>
          <t>6¹, 258¹</t>
        </is>
      </c>
      <c r="I6343" t="n">
        <v>2</v>
      </c>
      <c r="J6343" t="inlineStr">
        <is>
          <t>2², 84¹</t>
        </is>
      </c>
      <c r="K6343">
        <f>HYPERLINK("CSG6.html#group86A6", "86A⁶"), =HYPERLINK("CSG10.html#group129A10", "129A¹⁰")</f>
        <v/>
      </c>
      <c r="L6343" t="inlineStr"/>
      <c r="M6343">
        <f>HYPERLINK("CSG0.html#group2A0", "2A⁰"), =HYPERLINK("CSG6.html#group86A6", "86A⁶"), =HYPERLINK("CSG10.html#group129A10", "129A¹⁰"), =HYPERLINK("CSG0.html#group1A0", "1A⁰"), =HYPERLINK("CSG3.html#group43A3", "43A³")</f>
        <v/>
      </c>
      <c r="N6343" t="inlineStr"/>
    </row>
    <row r="6344">
      <c r="A6344" t="inlineStr">
        <is>
          <t>259A²⁰</t>
        </is>
      </c>
      <c r="B6344" t="inlineStr"/>
      <c r="C6344" t="inlineStr">
        <is>
          <t>266</t>
        </is>
      </c>
      <c r="D6344" t="inlineStr">
        <is>
          <t>2</t>
        </is>
      </c>
      <c r="E6344" t="inlineStr">
        <is>
          <t>266</t>
        </is>
      </c>
      <c r="F6344" t="inlineStr">
        <is>
          <t>6</t>
        </is>
      </c>
      <c r="G6344" t="inlineStr">
        <is>
          <t>2</t>
        </is>
      </c>
      <c r="H6344" t="inlineStr">
        <is>
          <t>7¹, 259¹</t>
        </is>
      </c>
      <c r="I6344" t="n">
        <v>2</v>
      </c>
      <c r="J6344" t="inlineStr">
        <is>
          <t>2², 6⁴, 72¹, 216²</t>
        </is>
      </c>
      <c r="K6344">
        <f>HYPERLINK("CSG0.html#group7A0", "7A⁰"), =HYPERLINK("CSG2.html#group37A2", "37A²")</f>
        <v/>
      </c>
      <c r="L6344" t="inlineStr"/>
      <c r="M6344">
        <f>HYPERLINK("CSG2.html#group37A2", "37A²"), =HYPERLINK("CSG0.html#group1A0", "1A⁰"), =HYPERLINK("CSG0.html#group7A0", "7A⁰")</f>
        <v/>
      </c>
      <c r="N6344" t="inlineStr"/>
    </row>
    <row r="6345">
      <c r="A6345" t="inlineStr">
        <is>
          <t>261A²⁰</t>
        </is>
      </c>
      <c r="B6345" t="inlineStr"/>
      <c r="C6345" t="inlineStr">
        <is>
          <t>270</t>
        </is>
      </c>
      <c r="D6345" t="inlineStr">
        <is>
          <t>1</t>
        </is>
      </c>
      <c r="E6345" t="inlineStr">
        <is>
          <t>270</t>
        </is>
      </c>
      <c r="F6345" t="inlineStr">
        <is>
          <t>10</t>
        </is>
      </c>
      <c r="G6345" t="inlineStr">
        <is>
          <t>0</t>
        </is>
      </c>
      <c r="H6345" t="inlineStr">
        <is>
          <t>9¹, 261¹</t>
        </is>
      </c>
      <c r="I6345" t="n">
        <v>2</v>
      </c>
      <c r="J6345" t="inlineStr">
        <is>
          <t>1², 2², 6², 28¹, 56¹, 168¹</t>
        </is>
      </c>
      <c r="K6345">
        <f>HYPERLINK("CSG0.html#group9A0", "9A⁰"), =HYPERLINK("CSG6.html#group87A6", "87A⁶")</f>
        <v/>
      </c>
      <c r="L6345" t="inlineStr"/>
      <c r="M6345">
        <f>HYPERLINK("CSG6.html#group87A6", "87A⁶"), =HYPERLINK("CSG0.html#group3A0", "3A⁰"), =HYPERLINK("CSG0.html#group1A0", "1A⁰"), =HYPERLINK("CSG2.html#group29A2", "29A²"), =HYPERLINK("CSG0.html#group9A0", "9A⁰")</f>
        <v/>
      </c>
      <c r="N6345" t="inlineStr"/>
    </row>
    <row r="6346">
      <c r="A6346" t="inlineStr">
        <is>
          <t>268A²⁰</t>
        </is>
      </c>
      <c r="B6346" t="inlineStr"/>
      <c r="C6346" t="inlineStr">
        <is>
          <t>272</t>
        </is>
      </c>
      <c r="D6346" t="inlineStr">
        <is>
          <t>1</t>
        </is>
      </c>
      <c r="E6346" t="inlineStr">
        <is>
          <t>68</t>
        </is>
      </c>
      <c r="F6346" t="inlineStr">
        <is>
          <t>0</t>
        </is>
      </c>
      <c r="G6346" t="inlineStr">
        <is>
          <t>8</t>
        </is>
      </c>
      <c r="H6346" t="inlineStr">
        <is>
          <t>4¹, 268¹</t>
        </is>
      </c>
      <c r="I6346" t="n">
        <v>2</v>
      </c>
      <c r="J6346" t="inlineStr">
        <is>
          <t>1², 66¹</t>
        </is>
      </c>
      <c r="K6346">
        <f>HYPERLINK("CSG10.html#group134A10", "134A¹⁰")</f>
        <v/>
      </c>
      <c r="L6346" t="inlineStr"/>
      <c r="M6346">
        <f>HYPERLINK("CSG0.html#group2A0", "2A⁰"), =HYPERLINK("CSG0.html#group1A0", "1A⁰"), =HYPERLINK("CSG10.html#group134A10", "134A¹⁰"), =HYPERLINK("CSG5.html#group67A5", "67A⁵")</f>
        <v/>
      </c>
      <c r="N6346" t="inlineStr"/>
    </row>
    <row r="6347">
      <c r="A6347" t="inlineStr">
        <is>
          <t>273A²⁰</t>
        </is>
      </c>
      <c r="B6347" t="inlineStr"/>
      <c r="C6347" t="inlineStr">
        <is>
          <t>294</t>
        </is>
      </c>
      <c r="D6347" t="inlineStr">
        <is>
          <t>2</t>
        </is>
      </c>
      <c r="E6347" t="inlineStr">
        <is>
          <t>98</t>
        </is>
      </c>
      <c r="F6347" t="inlineStr">
        <is>
          <t>18</t>
        </is>
      </c>
      <c r="G6347" t="inlineStr">
        <is>
          <t>0</t>
        </is>
      </c>
      <c r="H6347" t="inlineStr">
        <is>
          <t>21¹, 273¹</t>
        </is>
      </c>
      <c r="I6347" t="n">
        <v>2</v>
      </c>
      <c r="J6347" t="inlineStr">
        <is>
          <t>2², 6⁴, 24¹, 72²</t>
        </is>
      </c>
      <c r="K6347">
        <f>HYPERLINK("CSG0.html#group21A0", "21A⁰"), =HYPERLINK("CSG2.html#group39A2", "39A²"), =HYPERLINK("CSG6.html#group91A6", "91A⁶")</f>
        <v/>
      </c>
      <c r="L6347" t="inlineStr"/>
      <c r="M6347">
        <f>HYPERLINK("CSG2.html#group39A2", "39A²"), =HYPERLINK("CSG0.html#group13A0", "13A⁰"), =HYPERLINK("CSG0.html#group21A0", "21A⁰"), =HYPERLINK("CSG6.html#group91A6", "91A⁶"), =HYPERLINK("CSG0.html#group3A0", "3A⁰"), =HYPERLINK("CSG0.html#group1A0", "1A⁰"), =HYPERLINK("CSG0.html#group7A0", "7A⁰")</f>
        <v/>
      </c>
      <c r="N6347" t="inlineStr"/>
    </row>
    <row r="6348">
      <c r="A6348" t="inlineStr">
        <is>
          <t>286A²⁰</t>
        </is>
      </c>
      <c r="B6348" t="inlineStr"/>
      <c r="C6348" t="inlineStr">
        <is>
          <t>308</t>
        </is>
      </c>
      <c r="D6348" t="inlineStr">
        <is>
          <t>2</t>
        </is>
      </c>
      <c r="E6348" t="inlineStr">
        <is>
          <t>154</t>
        </is>
      </c>
      <c r="F6348" t="inlineStr">
        <is>
          <t>12</t>
        </is>
      </c>
      <c r="G6348" t="inlineStr">
        <is>
          <t>8</t>
        </is>
      </c>
      <c r="H6348" t="inlineStr">
        <is>
          <t>22¹, 286¹</t>
        </is>
      </c>
      <c r="I6348" t="n">
        <v>2</v>
      </c>
      <c r="J6348" t="inlineStr">
        <is>
          <t>2², 10⁴, 24¹, 120²</t>
        </is>
      </c>
      <c r="K6348">
        <f>HYPERLINK("CSG0.html#group26A0", "26A⁰"), =HYPERLINK("CSG10.html#group143A10", "143A¹⁰")</f>
        <v/>
      </c>
      <c r="L6348" t="inlineStr"/>
      <c r="M6348">
        <f>HYPERLINK("CSG10.html#group143A10", "143A¹⁰"), =HYPERLINK("CSG0.html#group11A0", "11A⁰"), =HYPERLINK("CSG0.html#group13A0", "13A⁰"), =HYPERLINK("CSG0.html#group26A0", "26A⁰"), =HYPERLINK("CSG0.html#group1A0", "1A⁰")</f>
        <v/>
      </c>
      <c r="N6348" t="inlineStr"/>
    </row>
    <row r="6349">
      <c r="A6349" t="inlineStr">
        <is>
          <t>16A²¹</t>
        </is>
      </c>
      <c r="B6349" t="inlineStr"/>
      <c r="C6349" t="inlineStr">
        <is>
          <t>384</t>
        </is>
      </c>
      <c r="D6349" t="inlineStr">
        <is>
          <t>1</t>
        </is>
      </c>
      <c r="E6349" t="inlineStr">
        <is>
          <t>1</t>
        </is>
      </c>
      <c r="F6349" t="inlineStr">
        <is>
          <t>0</t>
        </is>
      </c>
      <c r="G6349" t="inlineStr">
        <is>
          <t>0</t>
        </is>
      </c>
      <c r="H6349" t="inlineStr">
        <is>
          <t>16²⁴</t>
        </is>
      </c>
      <c r="I6349" t="n">
        <v>24</v>
      </c>
      <c r="J6349" t="inlineStr">
        <is>
          <t>1¹</t>
        </is>
      </c>
      <c r="K6349">
        <f>HYPERLINK("CSG7.html#group16A7", "16A⁷"), =HYPERLINK("CSG9.html#group16B9", "16B⁹"), =HYPERLINK("CSG9.html#group16L9", "16L⁹")</f>
        <v/>
      </c>
      <c r="L6349" t="inlineStr"/>
      <c r="M6349">
        <f>HYPERLINK("CSG0.html#group2A0", "2A⁰"), =HYPERLINK("CSG0.html#group16G0", "16G⁰"), =HYPERLINK("CSG5.html#group16F5", "16F⁵"), =HYPERLINK("CSG1.html#group16I1", "16I¹"), =HYPERLINK("CSG0.html#group4C0", "4C⁰"), =HYPERLINK("CSG3.html#group16A3", "16A³"), =HYPERLINK("CSG0.html#group4G0", "4G⁰"), =HYPERLINK("CSG0.html#group2B0", "2B⁰"), =HYPERLINK("CSG0.html#group4E0", "4E⁰"), =HYPERLINK("CSG0.html#group8C0", "8C⁰"), =HYPERLINK("CSG1.html#group8E1", "8E¹"), =HYPERLINK("CSG0.html#group4B0", "4B⁰"), =HYPERLINK("CSG1.html#group8F1", "8F¹"), =HYPERLINK("CSG0.html#group1A0", "1A⁰"), =HYPERLINK("CSG9.html#group16L9", "16L⁹"), =HYPERLINK("CSG2.html#group16A2", "16A²"), =HYPERLINK("CSG0.html#group16B0", "16B⁰"), =HYPERLINK("CSG0.html#group16E0", "16E⁰"), =HYPERLINK("CSG0.html#group8G0", "8G⁰"), =HYPERLINK("CSG0.html#group4D0", "4D⁰"), =HYPERLINK("CSG1.html#group16F1", "16F¹"), =HYPERLINK("CSG2.html#group16D2", "16D²"), =HYPERLINK("CSG1.html#group8A1", "8A¹"), =HYPERLINK("CSG2.html#group16C2", "16C²"), =HYPERLINK("CSG3.html#group8A3", "8A³"), =HYPERLINK("CSG3.html#group16C3", "16C³"), =HYPERLINK("CSG7.html#group16A7", "16A⁷"), =HYPERLINK("CSG0.html#group8D0", "8D⁰"), =HYPERLINK("CSG3.html#group16B3", "16B³"), =HYPERLINK("CSG0.html#group8B0", "8B⁰"), =HYPERLINK("CSG1.html#group16B1", "16B¹"), =HYPERLINK("CSG1.html#group8B1", "8B¹"), =HYPERLINK("CSG3.html#group16I3", "16I³"), =HYPERLINK("CSG0.html#group8H0", "8H⁰"), =HYPERLINK("CSG5.html#group16B5", "16B⁵"), =HYPERLINK("CSG0.html#group8F0", "8F⁰"), =HYPERLINK("CSG1.html#group8C1", "8C¹"), =HYPERLINK("CSG3.html#group16L3", "16L³"), =HYPERLINK("CSG9.html#group16B9", "16B⁹"), =HYPERLINK("CSG0.html#group4A0", "4A⁰"), =HYPERLINK("CSG1.html#group8I1", "8I¹"), =HYPERLINK("CSG1.html#group16C1", "16C¹"), =HYPERLINK("CSG0.html#group16D0", "16D⁰"), =HYPERLINK("CSG2.html#group16G2", "16G²"), =HYPERLINK("CSG0.html#group4F0", "4F⁰"), =HYPERLINK("CSG0.html#group2C0", "2C⁰")</f>
        <v/>
      </c>
      <c r="N6349" t="inlineStr"/>
    </row>
    <row r="6350">
      <c r="A6350" t="inlineStr">
        <is>
          <t>16B²¹</t>
        </is>
      </c>
      <c r="B6350" t="inlineStr"/>
      <c r="C6350" t="inlineStr">
        <is>
          <t>384</t>
        </is>
      </c>
      <c r="D6350" t="inlineStr">
        <is>
          <t>1</t>
        </is>
      </c>
      <c r="E6350" t="inlineStr">
        <is>
          <t>1</t>
        </is>
      </c>
      <c r="F6350" t="inlineStr">
        <is>
          <t>0</t>
        </is>
      </c>
      <c r="G6350" t="inlineStr">
        <is>
          <t>0</t>
        </is>
      </c>
      <c r="H6350" t="inlineStr">
        <is>
          <t>16²⁴</t>
        </is>
      </c>
      <c r="I6350" t="n">
        <v>24</v>
      </c>
      <c r="J6350" t="inlineStr">
        <is>
          <t>1¹</t>
        </is>
      </c>
      <c r="K6350">
        <f>HYPERLINK("CSG5.html#group8A5", "8A⁵"), =HYPERLINK("CSG5.html#group16K5", "16K⁵"), =HYPERLINK("CSG10.html#group16C10", "16C¹⁰"), =HYPERLINK("CSG11.html#group16A11", "16A¹¹")</f>
        <v/>
      </c>
      <c r="L6350" t="inlineStr"/>
      <c r="M6350">
        <f>HYPERLINK("CSG0.html#group2A0", "2A⁰"), =HYPERLINK("CSG3.html#group8B3", "8B³"), =HYPERLINK("CSG6.html#group16B6", "16B⁶"), =HYPERLINK("CSG11.html#group16A11", "16A¹¹"), =HYPERLINK("CSG0.html#group4C0", "4C⁰"), =HYPERLINK("CSG2.html#group8C2", "8C²"), =HYPERLINK("CSG0.html#group8A0", "8A⁰"), =HYPERLINK("CSG5.html#group16J5", "16J⁵"), =HYPERLINK("CSG0.html#group4G0", "4G⁰"), =HYPERLINK("CSG0.html#group2B0", "2B⁰"), =HYPERLINK("CSG0.html#group4E0", "4E⁰"), =HYPERLINK("CSG0.html#group8C0", "8C⁰"), =HYPERLINK("CSG1.html#group8E1", "8E¹"), =HYPERLINK("CSG0.html#group4B0", "4B⁰"), =HYPERLINK("CSG1.html#group8J1", "8J¹"), =HYPERLINK("CSG0.html#group1A0", "1A⁰"), =HYPERLINK("CSG1.html#group8F1", "8F¹"), =HYPERLINK("CSG1.html#group8H1", "8H¹"), =HYPERLINK("CSG0.html#group8K0", "8K⁰"), =HYPERLINK("CSG0.html#group8G0", "8G⁰"), =HYPERLINK("CSG2.html#group16H2", "16H²"), =HYPERLINK("CSG0.html#group4D0", "4D⁰"), =HYPERLINK("CSG1.html#group8G1", "8G¹"), =HYPERLINK("CSG0.html#group8M0", "8M⁰"), =HYPERLINK("CSG0.html#group8P0", "8P⁰"), =HYPERLINK("CSG5.html#group16K5", "16K⁵"), =HYPERLINK("CSG0.html#group8N0", "8N⁰"), =HYPERLINK("CSG0.html#group16A0", "16A⁰"), =HYPERLINK("CSG1.html#group8A1", "8A¹"), =HYPERLINK("CSG3.html#group8A3", "8A³"), =HYPERLINK("CSG1.html#group8K1", "8K¹"), =HYPERLINK("CSG0.html#group8D0", "8D⁰"), =HYPERLINK("CSG2.html#group8B2", "8B²"), =HYPERLINK("CSG0.html#group8B0", "8B⁰"), =HYPERLINK("CSG0.html#group8E0", "8E⁰"), =HYPERLINK("CSG3.html#group16G3", "16G³"), =HYPERLINK("CSG1.html#group8B1", "8B¹"), =HYPERLINK("CSG10.html#group16C10", "16C¹⁰"), =HYPERLINK("CSG0.html#group8I0", "8I⁰"), =HYPERLINK("CSG5.html#group8A5", "8A⁵"), =HYPERLINK("CSG1.html#group8D1", "8D¹"), =HYPERLINK("CSG6.html#group16A6", "16A⁶"), =HYPERLINK("CSG0.html#group8H0", "8H⁰"), =HYPERLINK("CSG2.html#group8A2", "8A²"), =HYPERLINK("CSG0.html#group8F0", "8F⁰"), =HYPERLINK("CSG1.html#group8C1", "8C¹"), =HYPERLINK("CSG0.html#group4A0", "4A⁰"), =HYPERLINK("CSG1.html#group8I1", "8I¹"), =HYPERLINK("CSG0.html#group16F0", "16F⁰"), =HYPERLINK("CSG0.html#group8L0", "8L⁰"), =HYPERLINK("CSG5.html#group16I5", "16I⁵"), =HYPERLINK("CSG0.html#group4F0", "4F⁰"), =HYPERLINK("CSG0.html#group8J0", "8J⁰"), =HYPERLINK("CSG0.html#group2C0", "2C⁰"), =HYPERLINK("CSG0.html#group8O0", "8O⁰")</f>
        <v/>
      </c>
      <c r="N6350" t="inlineStr"/>
    </row>
    <row r="6351">
      <c r="A6351" t="inlineStr">
        <is>
          <t>16C²¹</t>
        </is>
      </c>
      <c r="B6351" t="inlineStr"/>
      <c r="C6351" t="inlineStr">
        <is>
          <t>384</t>
        </is>
      </c>
      <c r="D6351" t="inlineStr">
        <is>
          <t>1</t>
        </is>
      </c>
      <c r="E6351" t="inlineStr">
        <is>
          <t>3</t>
        </is>
      </c>
      <c r="F6351" t="inlineStr">
        <is>
          <t>0</t>
        </is>
      </c>
      <c r="G6351" t="inlineStr">
        <is>
          <t>0</t>
        </is>
      </c>
      <c r="H6351" t="inlineStr">
        <is>
          <t>16²⁴</t>
        </is>
      </c>
      <c r="I6351" t="n">
        <v>24</v>
      </c>
      <c r="J6351" t="inlineStr">
        <is>
          <t>1³</t>
        </is>
      </c>
      <c r="K6351">
        <f>HYPERLINK("CSG9.html#group16A9", "16A⁹"), =HYPERLINK("CSG9.html#group16B9", "16B⁹"), =HYPERLINK("CSG9.html#group16K9", "16K⁹")</f>
        <v/>
      </c>
      <c r="L6351" t="inlineStr"/>
      <c r="M6351">
        <f>HYPERLINK("CSG0.html#group2A0", "2A⁰"), =HYPERLINK("CSG0.html#group16G0", "16G⁰"), =HYPERLINK("CSG5.html#group16F5", "16F⁵"), =HYPERLINK("CSG1.html#group16I1", "16I¹"), =HYPERLINK("CSG0.html#group4C0", "4C⁰"), =HYPERLINK("CSG3.html#group16A3", "16A³"), =HYPERLINK("CSG0.html#group4G0", "4G⁰"), =HYPERLINK("CSG0.html#group2B0", "2B⁰"), =HYPERLINK("CSG9.html#group16K9", "16K⁹"), =HYPERLINK("CSG0.html#group4E0", "4E⁰"), =HYPERLINK("CSG0.html#group8C0", "8C⁰"), =HYPERLINK("CSG1.html#group8E1", "8E¹"), =HYPERLINK("CSG0.html#group4B0", "4B⁰"), =HYPERLINK("CSG1.html#group8F1", "8F¹"), =HYPERLINK("CSG0.html#group1A0", "1A⁰"), =HYPERLINK("CSG1.html#group16A1", "16A¹"), =HYPERLINK("CSG2.html#group16E2", "16E²"), =HYPERLINK("CSG2.html#group16A2", "16A²"), =HYPERLINK("CSG0.html#group16B0", "16B⁰"), =HYPERLINK("CSG0.html#group16E0", "16E⁰"), =HYPERLINK("CSG1.html#group16D1", "16D¹"), =HYPERLINK("CSG2.html#group16B2", "16B²"), =HYPERLINK("CSG0.html#group8G0", "8G⁰"), =HYPERLINK("CSG0.html#group4D0", "4D⁰"), =HYPERLINK("CSG0.html#group16C0", "16C⁰"), =HYPERLINK("CSG1.html#group16F1", "16F¹"), =HYPERLINK("CSG1.html#group16H1", "16H¹"), =HYPERLINK("CSG3.html#group16E3", "16E³"), =HYPERLINK("CSG2.html#group16D2", "16D²"), =HYPERLINK("CSG3.html#group16D3", "16D³"), =HYPERLINK("CSG1.html#group8A1", "8A¹"), =HYPERLINK("CSG2.html#group16C2", "16C²"), =HYPERLINK("CSG3.html#group8A3", "8A³"), =HYPERLINK("CSG3.html#group16C3", "16C³"), =HYPERLINK("CSG0.html#group8D0", "8D⁰"), =HYPERLINK("CSG1.html#group16E1", "16E¹"), =HYPERLINK("CSG3.html#group16B3", "16B³"), =HYPERLINK("CSG0.html#group8B0", "8B⁰"), =HYPERLINK("CSG1.html#group16B1", "16B¹"), =HYPERLINK("CSG1.html#group8B1", "8B¹"), =HYPERLINK("CSG3.html#group16I3", "16I³"), =HYPERLINK("CSG3.html#group16H3", "16H³"), =HYPERLINK("CSG0.html#group8H0", "8H⁰"), =HYPERLINK("CSG5.html#group16B5", "16B⁵"), =HYPERLINK("CSG0.html#group8F0", "8F⁰"), =HYPERLINK("CSG1.html#group8C1", "8C¹"), =HYPERLINK("CSG3.html#group16L3", "16L³"), =HYPERLINK("CSG9.html#group16B9", "16B⁹"), =HYPERLINK("CSG9.html#group16A9", "16A⁹"), =HYPERLINK("CSG0.html#group4A0", "4A⁰"), =HYPERLINK("CSG1.html#group8I1", "8I¹"), =HYPERLINK("CSG1.html#group16C1", "16C¹"), =HYPERLINK("CSG0.html#group16D0", "16D⁰"), =HYPERLINK("CSG5.html#group16A5", "16A⁵"), =HYPERLINK("CSG4.html#group16C4", "16C⁴"), =HYPERLINK("CSG0.html#group4F0", "4F⁰"), =HYPERLINK("CSG0.html#group2C0", "2C⁰")</f>
        <v/>
      </c>
      <c r="N6351" t="inlineStr"/>
    </row>
    <row r="6352">
      <c r="A6352" t="inlineStr">
        <is>
          <t>16D²¹</t>
        </is>
      </c>
      <c r="B6352" t="inlineStr"/>
      <c r="C6352" t="inlineStr">
        <is>
          <t>384</t>
        </is>
      </c>
      <c r="D6352" t="inlineStr">
        <is>
          <t>1</t>
        </is>
      </c>
      <c r="E6352" t="inlineStr">
        <is>
          <t>6</t>
        </is>
      </c>
      <c r="F6352" t="inlineStr">
        <is>
          <t>0</t>
        </is>
      </c>
      <c r="G6352" t="inlineStr">
        <is>
          <t>0</t>
        </is>
      </c>
      <c r="H6352" t="inlineStr">
        <is>
          <t>16²⁴</t>
        </is>
      </c>
      <c r="I6352" t="n">
        <v>24</v>
      </c>
      <c r="J6352" t="inlineStr">
        <is>
          <t>1², 2²</t>
        </is>
      </c>
      <c r="K6352">
        <f>HYPERLINK("CSG7.html#group16B7", "16B⁷"), =HYPERLINK("CSG9.html#group16D9", "16D⁹"), =HYPERLINK("CSG10.html#group16A10", "16A¹⁰"), =HYPERLINK("CSG10.html#group16B10", "16B¹⁰"), =HYPERLINK("CSG11.html#group16A11", "16A¹¹"), =HYPERLINK("CSG11.html#group16D11", "16D¹¹")</f>
        <v/>
      </c>
      <c r="L6352" t="inlineStr"/>
      <c r="M6352">
        <f>HYPERLINK("CSG9.html#group16D9", "16D⁹"), =HYPERLINK("CSG0.html#group2A0", "2A⁰"), =HYPERLINK("CSG0.html#group16G0", "16G⁰"), =HYPERLINK("CSG3.html#group8B3", "8B³"), =HYPERLINK("CSG6.html#group16B6", "16B⁶"), =HYPERLINK("CSG11.html#group16A11", "16A¹¹"), =HYPERLINK("CSG4.html#group16A4", "16A⁴"), =HYPERLINK("CSG1.html#group16I1", "16I¹"), =HYPERLINK("CSG0.html#group4C0", "4C⁰"), =HYPERLINK("CSG5.html#group16J5", "16J⁵"), =HYPERLINK("CSG0.html#group8A0", "8A⁰"), =HYPERLINK("CSG7.html#group16B7", "16B⁷"), =HYPERLINK("CSG3.html#group16P3", "16P³"),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=HYPERLINK("CSG0.html#group8K0", "8K⁰"), =HYPERLINK("CSG1.html#group8H1", "8H¹"), =HYPERLINK("CSG2.html#group16E2", "16E²"), =HYPERLINK("CSG10.html#group16A10", "16A¹⁰"), =HYPERLINK("CSG0.html#group16E0", "16E⁰"), =HYPERLINK("CSG4.html#group16B4", "16B⁴"), =HYPERLINK("CSG1.html#group16D1", "16D¹"), =HYPERLINK("CSG2.html#group16B2", "16B²"), =HYPERLINK("CSG10.html#group16B10", "16B¹⁰"), =HYPERLINK("CSG0.html#group8G0", "8G⁰"), =HYPERLINK("CSG0.html#group4D0", "4D⁰"), =HYPERLINK("CSG3.html#group16Q3", "16Q³"), =HYPERLINK("CSG1.html#group16K1", "16K¹"), =HYPERLINK("CSG11.html#group16D11", "16D¹¹"), =HYPERLINK("CSG3.html#group16E3", "16E³"), =HYPERLINK("CSG2.html#group16D2", "16D²"), =HYPERLINK("CSG0.html#group8N0", "8N⁰"), =HYPERLINK("CSG3.html#group16D3", "16D³"), =HYPERLINK("CSG1.html#group8A1", "8A¹"), =HYPERLINK("CSG2.html#group16C2", "16C²"), =HYPERLINK("CSG5.html#group16H5", "16H⁵"), =HYPERLINK("CSG0.html#group16A0", "16A⁰"), =HYPERLINK("CSG0.html#group8D0", "8D⁰"), =HYPERLINK("CSG2.html#group16I2", "16I²"), =HYPERLINK("CSG2.html#group8B2", "8B²"), =HYPERLINK("CSG0.html#group8B0", "8B⁰"), =HYPERLINK("CSG0.html#group8E0", "8E⁰"), =HYPERLINK("CSG3.html#group16G3", "16G³"), =HYPERLINK("CSG1.html#group8B1", "8B¹"), =HYPERLINK("CSG3.html#group16I3", "16I³"), =HYPERLINK("CSG1.html#group8D1", "8D¹"), =HYPERLINK("CSG6.html#group16A6", "16A⁶"), =HYPERLINK("CSG0.html#group8H0", "8H⁰"), =HYPERLINK("CSG2.html#group8A2", "8A²"), =HYPERLINK("CSG1.html#group16L1", "16L¹"), =HYPERLINK("CSG1.html#group8C1", "8C¹"), =HYPERLINK("CSG0.html#group4A0", "4A⁰"), =HYPERLINK("CSG5.html#group16I5", "16I⁵"), =HYPERLINK("CSG1.html#group16C1", "16C¹"), =HYPERLINK("CSG0.html#group16D0", "16D⁰"), =HYPERLINK("CSG5.html#group16A5", "16A⁵"), =HYPERLINK("CSG0.html#group16F0", "16F⁰"), =HYPERLINK("CSG0.html#group4F0", "4F⁰"), =HYPERLINK("CSG0.html#group8J0", "8J⁰"), =HYPERLINK("CSG0.html#group2C0", "2C⁰")</f>
        <v/>
      </c>
      <c r="N6352" t="inlineStr"/>
    </row>
    <row r="6353">
      <c r="A6353" t="inlineStr">
        <is>
          <t>16E²¹</t>
        </is>
      </c>
      <c r="B6353" t="inlineStr"/>
      <c r="C6353" t="inlineStr">
        <is>
          <t>384</t>
        </is>
      </c>
      <c r="D6353" t="inlineStr">
        <is>
          <t>1</t>
        </is>
      </c>
      <c r="E6353" t="inlineStr">
        <is>
          <t>6</t>
        </is>
      </c>
      <c r="F6353" t="inlineStr">
        <is>
          <t>0</t>
        </is>
      </c>
      <c r="G6353" t="inlineStr">
        <is>
          <t>0</t>
        </is>
      </c>
      <c r="H6353" t="inlineStr">
        <is>
          <t>16²⁴</t>
        </is>
      </c>
      <c r="I6353" t="n">
        <v>24</v>
      </c>
      <c r="J6353" t="inlineStr">
        <is>
          <t>1², 2²</t>
        </is>
      </c>
      <c r="K6353">
        <f>HYPERLINK("CSG7.html#group16B7", "16B⁷"), =HYPERLINK("CSG9.html#group16C9", "16C⁹"), =HYPERLINK("CSG9.html#group16I9", "16I⁹"), =HYPERLINK("CSG9.html#group16J9", "16J⁹"), =HYPERLINK("CSG11.html#group16A11", "16A¹¹"), =HYPERLINK("CSG11.html#group16B11", "16B¹¹"), =HYPERLINK("CSG11.html#group16C11", "16C¹¹")</f>
        <v/>
      </c>
      <c r="L6353" t="inlineStr"/>
      <c r="M6353">
        <f>HYPERLINK("CSG0.html#group2A0", "2A⁰"), =HYPERLINK("CSG3.html#group8B3", "8B³"), =HYPERLINK("CSG6.html#group16B6", "16B⁶"), =HYPERLINK("CSG4.html#group16A4", "16A⁴"), =HYPERLINK("CSG11.html#group16A11", "16A¹¹"), =HYPERLINK("CSG0.html#group4C0", "4C⁰"), =HYPERLINK("CSG5.html#group16J5", "16J⁵"), =HYPERLINK("CSG0.html#group8A0", "8A⁰"), =HYPERLINK("CSG7.html#group16B7", "16B⁷"), =HYPERLINK("CSG3.html#group16A3", "16A³"), =HYPERLINK("CSG0.html#group4G0", "4G⁰"), =HYPERLINK("CSG0.html#group2B0", "2B⁰"), =HYPERLINK("CSG0.html#group4E0", "4E⁰"), =HYPERLINK("CSG0.html#group8C0", "8C⁰"), =HYPERLINK("CSG1.html#group16A1", "16A¹"), =HYPERLINK("CSG0.html#group4B0", "4B⁰"), =HYPERLINK("CSG1.html#group8F1", "8F¹"), =HYPERLINK("CSG0.html#group8K0", "8K⁰"), =HYPERLINK("CSG0.html#group1A0", "1A⁰"), =HYPERLINK("CSG1.html#group8H1", "8H¹"), =HYPERLINK("CSG2.html#group16A2", "16A²"), =HYPERLINK("CSG0.html#group16B0", "16B⁰"), =HYPERLINK("CSG5.html#group16E5", "16E⁵"), =HYPERLINK("CSG0.html#group8G0", "8G⁰"), =HYPERLINK("CSG0.html#group4D0", "4D⁰"), =HYPERLINK("CSG0.html#group16C0", "16C⁰"), =HYPERLINK("CSG1.html#group16F1", "16F¹"), =HYPERLINK("CSG3.html#group16Q3", "16Q³"), =HYPERLINK("CSG1.html#group16H1", "16H¹"), =HYPERLINK("CSG1.html#group16K1", "16K¹"), =HYPERLINK("CSG9.html#group16I9", "16I⁹"), =HYPERLINK("CSG11.html#group16B11", "16B¹¹"), =HYPERLINK("CSG9.html#group16C9", "16C⁹"), =HYPERLINK("CSG0.html#group8N0", "8N⁰"), =HYPERLINK("CSG1.html#group8A1", "8A¹"), =HYPERLINK("CSG0.html#group16A0", "16A⁰"), =HYPERLINK("CSG3.html#group16C3", "16C³"), =HYPERLINK("CSG0.html#group8D0", "8D⁰"), =HYPERLINK("CSG1.html#group16E1", "16E¹"), =HYPERLINK("CSG2.html#group16I2", "16I²"), =HYPERLINK("CSG2.html#group8B2", "8B²"), =HYPERLINK("CSG0.html#group8B0", "8B⁰"), =HYPERLINK("CSG3.html#group16B3", "16B³"), =HYPERLINK("CSG1.html#group16B1", "16B¹"), =HYPERLINK("CSG0.html#group8E0", "8E⁰"), =HYPERLINK("CSG3.html#group16G3", "16G³"), =HYPERLINK("CSG1.html#group8B1", "8B¹"), =HYPERLINK("CSG3.html#group16P3", "16P³"), =HYPERLINK("CSG9.html#group16J9", "16J⁹"), =HYPERLINK("CSG1.html#group8D1", "8D¹"), =HYPERLINK("CSG6.html#group16A6", "16A⁶"), =HYPERLINK("CSG3.html#group16H3", "16H³"), =HYPERLINK("CSG0.html#group8H0", "8H⁰"), =HYPERLINK("CSG2.html#group8A2", "8A²"), =HYPERLINK("CSG3.html#group16K3", "16K³"), =HYPERLINK("CSG5.html#group16B5", "16B⁵"), =HYPERLINK("CSG1.html#group16L1", "16L¹"), =HYPERLINK("CSG1.html#group8C1", "8C¹"), =HYPERLINK("CSG0.html#group4A0", "4A⁰"), =HYPERLINK("CSG5.html#group16I5", "16I⁵"), =HYPERLINK("CSG0.html#group16F0", "16F⁰"), =HYPERLINK("CSG11.html#group16C11", "16C¹¹"), =HYPERLINK("CSG0.html#group4F0", "4F⁰"), =HYPERLINK("CSG0.html#group8J0", "8J⁰"), =HYPERLINK("CSG0.html#group2C0", "2C⁰")</f>
        <v/>
      </c>
      <c r="N6353" t="inlineStr"/>
    </row>
    <row r="6354">
      <c r="A6354" t="inlineStr">
        <is>
          <t>16F²¹</t>
        </is>
      </c>
      <c r="B6354" t="inlineStr"/>
      <c r="C6354" t="inlineStr">
        <is>
          <t>384</t>
        </is>
      </c>
      <c r="D6354" t="inlineStr">
        <is>
          <t>1</t>
        </is>
      </c>
      <c r="E6354" t="inlineStr">
        <is>
          <t>48</t>
        </is>
      </c>
      <c r="F6354" t="inlineStr">
        <is>
          <t>0</t>
        </is>
      </c>
      <c r="G6354" t="inlineStr">
        <is>
          <t>0</t>
        </is>
      </c>
      <c r="H6354" t="inlineStr">
        <is>
          <t>16²⁴</t>
        </is>
      </c>
      <c r="I6354" t="n">
        <v>24</v>
      </c>
      <c r="J6354" t="inlineStr">
        <is>
          <t>4², 8⁵</t>
        </is>
      </c>
      <c r="K6354">
        <f>HYPERLINK("CSG6.html#group16C6", "16C⁶"), =HYPERLINK("CSG9.html#group16H9", "16H⁹"), =HYPERLINK("CSG10.html#group16A10", "16A¹⁰"), =HYPERLINK("CSG10.html#group16B10", "16B¹⁰"), =HYPERLINK("CSG10.html#group16C10", "16C¹⁰"), =HYPERLINK("CSG11.html#group16B11", "16B¹¹"), =HYPERLINK("CSG11.html#group16C11", "16C¹¹")</f>
        <v/>
      </c>
      <c r="L6354" t="inlineStr"/>
      <c r="M6354">
        <f>HYPERLINK("CSG5.html#group16F5", "16F⁵"), =HYPERLINK("CSG1.html#group16I1", "16I¹"), =HYPERLINK("CSG0.html#group4C0", "4C⁰"), =HYPERLINK("CSG2.html#group8C2", "8C²"), =HYPERLINK("CSG0.html#group8A0", "8A⁰"), =HYPERLINK("CSG3.html#group16P3", "16P³"), =HYPERLINK("CSG0.html#group8L0", "8L⁰"), =HYPERLINK("CSG0.html#group2B0", "2B⁰"), =HYPERLINK("CSG0.html#group8K0", "8K⁰"), =HYPERLINK("CSG0.html#group1A0", "1A⁰"), =HYPERLINK("CSG1.html#group8H1", "8H¹"), =HYPERLINK("CSG2.html#group16E2", "16E²"), =HYPERLINK("CSG10.html#group16A10", "16A¹⁰"), =HYPERLINK("CSG2.html#group16A2", "16A²"), =HYPERLINK("CSG0.html#group16E0", "16E⁰"), =HYPERLINK("CSG4.html#group16B4", "16B⁴"), =HYPERLINK("CSG1.html#group16D1", "16D¹"), =HYPERLINK("CSG5.html#group16E5", "16E⁵"), =HYPERLINK("CSG10.html#group16B10", "16B¹⁰"), =HYPERLINK("CSG2.html#group16H2", "16H²"), =HYPERLINK("CSG0.html#group8M0", "8M⁰"), =HYPERLINK("CSG3.html#group16Q3", "16Q³"), =HYPERLINK("CSG6.html#group16C6", "16C⁶"), =HYPERLINK("CSG1.html#group16H1", "16H¹"), =HYPERLINK("CSG1.html#group16K1", "16K¹"), =HYPERLINK("CSG0.html#group8P0", "8P⁰"), =HYPERLINK("CSG11.html#group16B11", "16B¹¹"), =HYPERLINK("CSG0.html#group16A0", "16A⁰"), =HYPERLINK("CSG3.html#group16C3", "16C³"), =HYPERLINK("CSG0.html#group8D0", "8D⁰"), =HYPERLINK("CSG0.html#group8B0", "8B⁰"), =HYPERLINK("CSG5.html#group16G5", "16G⁵"), =HYPERLINK("CSG3.html#group16G3", "16G³"), =HYPERLINK("CSG1.html#group16B1", "16B¹"), =HYPERLINK("CSG10.html#group16C10", "16C¹⁰"), =HYPERLINK("CSG2.html#group16L2", "16L²"), =HYPERLINK("CSG1.html#group8D1", "8D¹"), =HYPERLINK("CSG0.html#group8H0", "8H⁰"), =HYPERLINK("CSG1.html#group16L1", "16L¹"), =HYPERLINK("CSG0.html#group8F0", "8F⁰"), =HYPERLINK("CSG2.html#group16F2", "16F²"), =HYPERLINK("CSG0.html#group4A0", "4A⁰"), =HYPERLINK("CSG1.html#group8I1", "8I¹"), =HYPERLINK("CSG1.html#group16C1", "16C¹"), =HYPERLINK("CSG3.html#group16F3", "16F³"), =HYPERLINK("CSG5.html#group16I5", "16I⁵"), =HYPERLINK("CSG9.html#group16H9", "16H⁹"), =HYPERLINK("CSG4.html#group16C4", "16C⁴"), =HYPERLINK("CSG11.html#group16C11", "16C¹¹"), =HYPERLINK("CSG0.html#group4F0", "4F⁰"), =HYPERLINK("CSG5.html#group16J5", "16J⁵")</f>
        <v/>
      </c>
      <c r="N6354" t="inlineStr"/>
    </row>
    <row r="6355">
      <c r="A6355" t="inlineStr">
        <is>
          <t>20A²¹</t>
        </is>
      </c>
      <c r="B6355" t="inlineStr"/>
      <c r="C6355" t="inlineStr">
        <is>
          <t>360</t>
        </is>
      </c>
      <c r="D6355" t="inlineStr">
        <is>
          <t>1</t>
        </is>
      </c>
      <c r="E6355" t="inlineStr">
        <is>
          <t>90</t>
        </is>
      </c>
      <c r="F6355" t="inlineStr">
        <is>
          <t>4</t>
        </is>
      </c>
      <c r="G6355" t="inlineStr">
        <is>
          <t>0</t>
        </is>
      </c>
      <c r="H6355" t="inlineStr">
        <is>
          <t>20¹⁸</t>
        </is>
      </c>
      <c r="I6355" t="n">
        <v>18</v>
      </c>
      <c r="J6355" t="inlineStr">
        <is>
          <t>2³, 4³, 8⁹</t>
        </is>
      </c>
      <c r="K6355">
        <f>HYPERLINK("CSG3.html#group20M3", "20M³"), =HYPERLINK("CSG5.html#group20H5", "20H⁵"), =HYPERLINK("CSG6.html#group10A6", "10A⁶"), =HYPERLINK("CSG7.html#group20E7", "20E⁷"), =HYPERLINK("CSG7.html#group20I7", "20I⁷")</f>
        <v/>
      </c>
      <c r="L6355" t="inlineStr"/>
      <c r="M6355">
        <f>HYPERLINK("CSG1.html#group20C1", "20C¹"), =HYPERLINK("CSG0.html#group5A0", "5A⁰"), =HYPERLINK("CSG0.html#group10G0", "10G⁰"), =HYPERLINK("CSG0.html#group10D0", "10D⁰"), =HYPERLINK("CSG0.html#group5B0", "5B⁰"), =HYPERLINK("CSG0.html#group2B0", "2B⁰"), =HYPERLINK("CSG0.html#group1A0", "1A⁰"), =HYPERLINK("CSG1.html#group10J1", "10J¹"), =HYPERLINK("CSG7.html#group20E7", "20E⁷"), =HYPERLINK("CSG1.html#group10I1", "10I¹"), =HYPERLINK("CSG2.html#group10F2", "10F²"), =HYPERLINK("CSG2.html#group10C2", "10C²"), =HYPERLINK("CSG0.html#group10C0", "10C⁰"), =HYPERLINK("CSG0.html#group5G0", "5G⁰"), =HYPERLINK("CSG6.html#group10A6", "10A⁶"), =HYPERLINK("CSG5.html#group20H5", "20H⁵"), =HYPERLINK("CSG3.html#group20M3", "20M³"), =HYPERLINK("CSG1.html#group10B1", "10B¹"), =HYPERLINK("CSG7.html#group20I7", "20I⁷"), =HYPERLINK("CSG1.html#group10E1", "10E¹"), =HYPERLINK("CSG1.html#group20F1", "20F¹"), =HYPERLINK("CSG0.html#group10B0", "10B⁰"), =HYPERLINK("CSG1.html#group10F1", "10F¹"), =HYPERLINK("CSG3.html#group10C3", "10C³"), =HYPERLINK("CSG2.html#group10E2", "10E²"), =HYPERLINK("CSG0.html#group5E0", "5E⁰"), =HYPERLINK("CSG0.html#group5C0", "5C⁰")</f>
        <v/>
      </c>
      <c r="N6355" t="inlineStr"/>
    </row>
    <row r="6356">
      <c r="A6356" t="inlineStr">
        <is>
          <t>20B²¹</t>
        </is>
      </c>
      <c r="B6356" t="inlineStr"/>
      <c r="C6356" t="inlineStr">
        <is>
          <t>360</t>
        </is>
      </c>
      <c r="D6356" t="inlineStr">
        <is>
          <t>1</t>
        </is>
      </c>
      <c r="E6356" t="inlineStr">
        <is>
          <t>90</t>
        </is>
      </c>
      <c r="F6356" t="inlineStr">
        <is>
          <t>4</t>
        </is>
      </c>
      <c r="G6356" t="inlineStr">
        <is>
          <t>0</t>
        </is>
      </c>
      <c r="H6356" t="inlineStr">
        <is>
          <t>20¹⁸</t>
        </is>
      </c>
      <c r="I6356" t="n">
        <v>18</v>
      </c>
      <c r="J6356" t="inlineStr">
        <is>
          <t>1², 2⁴, 4⁸, 8⁶</t>
        </is>
      </c>
      <c r="K6356">
        <f>HYPERLINK("CSG3.html#group20K3", "20K³"), =HYPERLINK("CSG7.html#group20G7", "20G⁷"), =HYPERLINK("CSG9.html#group20B9", "20B⁹"), =HYPERLINK("CSG10.html#group20F10", "20F¹⁰")</f>
        <v/>
      </c>
      <c r="L6356" t="inlineStr"/>
      <c r="M6356">
        <f>HYPERLINK("CSG1.html#group20E1", "20E¹"), =HYPERLINK("CSG0.html#group5A0", "5A⁰"), =HYPERLINK("CSG4.html#group20E4", "20E⁴"), =HYPERLINK("CSG1.html#group10B1", "10B¹"), =HYPERLINK("CSG2.html#group20B2", "20B²"), =HYPERLINK("CSG0.html#group4C0", "4C⁰"), =HYPERLINK("CSG9.html#group20B9", "20B⁹"), =HYPERLINK("CSG0.html#group5B0", "5B⁰"), =HYPERLINK("CSG0.html#group2B0", "2B⁰"), =HYPERLINK("CSG3.html#group20K3", "20K³"), =HYPERLINK("CSG0.html#group1A0", "1A⁰"), =HYPERLINK("CSG3.html#group20F3", "20F³"), =HYPERLINK("CSG1.html#group10F1", "10F¹"), =HYPERLINK("CSG10.html#group20F10", "20F¹⁰"), =HYPERLINK("CSG1.html#group10I1", "10I¹"), =HYPERLINK("CSG2.html#group10F2", "10F²"), =HYPERLINK("CSG7.html#group20G7", "20G⁷"), =HYPERLINK("CSG5.html#group20C5", "20C⁵"), =HYPERLINK("CSG0.html#group10C0", "10C⁰"), =HYPERLINK("CSG0.html#group5E0", "5E⁰"), =HYPERLINK("CSG0.html#group5C0", "5C⁰"), =HYPERLINK("CSG0.html#group5G0", "5G⁰")</f>
        <v/>
      </c>
      <c r="N6356" t="inlineStr"/>
    </row>
    <row r="6357">
      <c r="A6357" t="inlineStr">
        <is>
          <t>20C²¹</t>
        </is>
      </c>
      <c r="B6357" t="inlineStr"/>
      <c r="C6357" t="inlineStr">
        <is>
          <t>360</t>
        </is>
      </c>
      <c r="D6357" t="inlineStr">
        <is>
          <t>1</t>
        </is>
      </c>
      <c r="E6357" t="inlineStr">
        <is>
          <t>90</t>
        </is>
      </c>
      <c r="F6357" t="inlineStr">
        <is>
          <t>4</t>
        </is>
      </c>
      <c r="G6357" t="inlineStr">
        <is>
          <t>0</t>
        </is>
      </c>
      <c r="H6357" t="inlineStr">
        <is>
          <t>20¹⁸</t>
        </is>
      </c>
      <c r="I6357" t="n">
        <v>18</v>
      </c>
      <c r="J6357" t="inlineStr">
        <is>
          <t>1², 2⁴, 4⁸, 8⁶</t>
        </is>
      </c>
      <c r="K6357">
        <f>HYPERLINK("CSG3.html#group20L3", "20L³"), =HYPERLINK("CSG7.html#group20F7", "20F⁷"), =HYPERLINK("CSG7.html#group20H7", "20H⁷"), =HYPERLINK("CSG9.html#group20B9", "20B⁹"), =HYPERLINK("CSG10.html#group20B10", "20B¹⁰"), =HYPERLINK("CSG10.html#group20F10", "20F¹⁰")</f>
        <v/>
      </c>
      <c r="L6357" t="inlineStr"/>
      <c r="M6357">
        <f>HYPERLINK("CSG1.html#group20E1", "20E¹"), =HYPERLINK("CSG0.html#group5A0", "5A⁰"), =HYPERLINK("CSG4.html#group20E4", "20E⁴"), =HYPERLINK("CSG1.html#group10B1", "10B¹"), =HYPERLINK("CSG2.html#group20B2", "20B²"), =HYPERLINK("CSG0.html#group4C0", "4C⁰"), =HYPERLINK("CSG0.html#group5C0", "5C⁰"), =HYPERLINK("CSG9.html#group20B9", "20B⁹"), =HYPERLINK("CSG0.html#group5B0", "5B⁰"), =HYPERLINK("CSG1.html#group20A1", "20A¹"), =HYPERLINK("CSG0.html#group2B0", "2B⁰"), =HYPERLINK("CSG4.html#group20C4", "20C⁴"), =HYPERLINK("CSG7.html#group20F7", "20F⁷"), =HYPERLINK("CSG0.html#group1A0", "1A⁰"), =HYPERLINK("CSG3.html#group20F3", "20F³"), =HYPERLINK("CSG1.html#group20B1", "20B¹"), =HYPERLINK("CSG1.html#group10F1", "10F¹"), =HYPERLINK("CSG10.html#group20F10", "20F¹⁰"), =HYPERLINK("CSG1.html#group10I1", "10I¹"), =HYPERLINK("CSG7.html#group20H7", "20H⁷"), =HYPERLINK("CSG2.html#group10F2", "10F²"), =HYPERLINK("CSG0.html#group4A0", "4A⁰"), =HYPERLINK("CSG5.html#group20C5", "20C⁵"), =HYPERLINK("CSG0.html#group5E0", "5E⁰"), =HYPERLINK("CSG0.html#group10C0", "10C⁰"), =HYPERLINK("CSG0.html#group4F0", "4F⁰"), =HYPERLINK("CSG10.html#group20B10", "20B¹⁰"), =HYPERLINK("CSG2.html#group20E2", "20E²"), =HYPERLINK("CSG0.html#group5G0", "5G⁰"), =HYPERLINK("CSG3.html#group20L3", "20L³"), =HYPERLINK("CSG3.html#group20D3", "20D³")</f>
        <v/>
      </c>
      <c r="N6357" t="inlineStr"/>
    </row>
    <row r="6358">
      <c r="A6358" t="inlineStr">
        <is>
          <t>21A²¹</t>
        </is>
      </c>
      <c r="B6358" t="inlineStr"/>
      <c r="C6358" t="inlineStr">
        <is>
          <t>336</t>
        </is>
      </c>
      <c r="D6358" t="inlineStr">
        <is>
          <t>1</t>
        </is>
      </c>
      <c r="E6358" t="inlineStr">
        <is>
          <t>28</t>
        </is>
      </c>
      <c r="F6358" t="inlineStr">
        <is>
          <t>0</t>
        </is>
      </c>
      <c r="G6358" t="inlineStr">
        <is>
          <t>0</t>
        </is>
      </c>
      <c r="H6358" t="inlineStr">
        <is>
          <t>21¹⁶</t>
        </is>
      </c>
      <c r="I6358" t="n">
        <v>16</v>
      </c>
      <c r="J6358" t="inlineStr">
        <is>
          <t>1¹, 3¹, 6⁴</t>
        </is>
      </c>
      <c r="K6358">
        <f>HYPERLINK("CSG6.html#group21A6", "21A⁶"), =HYPERLINK("CSG6.html#group21B6", "21B⁶"), =HYPERLINK("CSG9.html#group21B9", "21B⁹")</f>
        <v/>
      </c>
      <c r="L6358" t="inlineStr"/>
      <c r="M6358">
        <f>HYPERLINK("CSG0.html#group3B0", "3B⁰"), =HYPERLINK("CSG2.html#group21D2", "21D²"), =HYPERLINK("CSG2.html#group21B2", "21B²"), =HYPERLINK("CSG6.html#group21B6", "21B⁶"), =HYPERLINK("CSG0.html#group3D0", "3D⁰"), =HYPERLINK("CSG0.html#group7F0", "7F⁰"), =HYPERLINK("CSG0.html#group21A0", "21A⁰"), =HYPERLINK("CSG0.html#group3C0", "3C⁰"), =HYPERLINK("CSG0.html#group1A0", "1A⁰"), =HYPERLINK("CSG9.html#group21B9", "21B⁹"), =HYPERLINK("CSG0.html#group3A0", "3A⁰"), =HYPERLINK("CSG6.html#group21A6", "21A⁶"), =HYPERLINK("CSG3.html#group21C3", "21C³"), =HYPERLINK("CSG0.html#group7A0", "7A⁰")</f>
        <v/>
      </c>
      <c r="N6358" t="inlineStr"/>
    </row>
    <row r="6359">
      <c r="A6359" t="inlineStr">
        <is>
          <t>21B²¹</t>
        </is>
      </c>
      <c r="B6359" t="inlineStr"/>
      <c r="C6359" t="inlineStr">
        <is>
          <t>336</t>
        </is>
      </c>
      <c r="D6359" t="inlineStr">
        <is>
          <t>1</t>
        </is>
      </c>
      <c r="E6359" t="inlineStr">
        <is>
          <t>84</t>
        </is>
      </c>
      <c r="F6359" t="inlineStr">
        <is>
          <t>0</t>
        </is>
      </c>
      <c r="G6359" t="inlineStr">
        <is>
          <t>0</t>
        </is>
      </c>
      <c r="H6359" t="inlineStr">
        <is>
          <t>21¹⁶</t>
        </is>
      </c>
      <c r="I6359" t="n">
        <v>16</v>
      </c>
      <c r="J6359" t="inlineStr">
        <is>
          <t>1¹, 2¹, 3¹, 6⁵, 12⁴</t>
        </is>
      </c>
      <c r="K6359">
        <f>HYPERLINK("CSG3.html#group21A3", "21A³"), =HYPERLINK("CSG5.html#group21B5", "21B⁵"), =HYPERLINK("CSG7.html#group21C7", "21C⁷"), =HYPERLINK("CSG9.html#group21B9", "21B⁹"), =HYPERLINK("CSG11.html#group21A11", "21A¹¹")</f>
        <v/>
      </c>
      <c r="L6359" t="inlineStr"/>
      <c r="M6359">
        <f>HYPERLINK("CSG2.html#group21D2", "21D²"), =HYPERLINK("CSG5.html#group21B5", "21B⁵"), =HYPERLINK("CSG1.html#group21D1", "21D¹"), =HYPERLINK("CSG2.html#group21C2", "21C²"), =HYPERLINK("CSG0.html#group21A0", "21A⁰"), =HYPERLINK("CSG7.html#group21C7", "21C⁷"), =HYPERLINK("CSG0.html#group1A0", "1A⁰"), =HYPERLINK("CSG3.html#group21C3", "21C³"), =HYPERLINK("CSG3.html#group21A3", "21A³"), =HYPERLINK("CSG2.html#group21A2", "21A²"), =HYPERLINK("CSG0.html#group7B0", "7B⁰"), =HYPERLINK("CSG0.html#group7C0", "7C⁰"), =HYPERLINK("CSG11.html#group21A11", "21A¹¹"), =HYPERLINK("CSG0.html#group7F0", "7F⁰"), =HYPERLINK("CSG0.html#group3C0", "3C⁰"), =HYPERLINK("CSG9.html#group21B9", "21B⁹"), =HYPERLINK("CSG0.html#group3A0", "3A⁰"), =HYPERLINK("CSG1.html#group7B1", "7B¹"), =HYPERLINK("CSG0.html#group7A0", "7A⁰")</f>
        <v/>
      </c>
      <c r="N6359" t="inlineStr"/>
    </row>
    <row r="6360">
      <c r="A6360" t="inlineStr">
        <is>
          <t>21C²¹</t>
        </is>
      </c>
      <c r="B6360" t="inlineStr"/>
      <c r="C6360" t="inlineStr">
        <is>
          <t>448</t>
        </is>
      </c>
      <c r="D6360" t="inlineStr">
        <is>
          <t>1</t>
        </is>
      </c>
      <c r="E6360" t="inlineStr">
        <is>
          <t>112</t>
        </is>
      </c>
      <c r="F6360" t="inlineStr">
        <is>
          <t>0</t>
        </is>
      </c>
      <c r="G6360" t="inlineStr">
        <is>
          <t>4</t>
        </is>
      </c>
      <c r="H6360" t="inlineStr">
        <is>
          <t>7¹⁶, 21¹⁶</t>
        </is>
      </c>
      <c r="I6360" t="n">
        <v>32</v>
      </c>
      <c r="J6360" t="inlineStr">
        <is>
          <t>1², 2¹, 3², 6⁹, 12⁴</t>
        </is>
      </c>
      <c r="K6360">
        <f>HYPERLINK("CSG1.html#group21F1", "21F¹"), =HYPERLINK("CSG11.html#group21C11", "21C¹¹")</f>
        <v/>
      </c>
      <c r="L6360" t="inlineStr"/>
      <c r="M6360">
        <f>HYPERLINK("CSG3.html#group21B3", "21B³"), =HYPERLINK("CSG0.html#group3B0", "3B⁰"), =HYPERLINK("CSG2.html#group21B2", "21B²"), =HYPERLINK("CSG1.html#group21B1", "21B¹"), =HYPERLINK("CSG6.html#group21B6", "21B⁶"), =HYPERLINK("CSG0.html#group7B0", "7B⁰"), =HYPERLINK("CSG0.html#group7C0", "7C⁰"), =HYPERLINK("CSG0.html#group7F0", "7F⁰"), =HYPERLINK("CSG0.html#group1A0", "1A⁰"), =HYPERLINK("CSG11.html#group21C11", "21C¹¹"), =HYPERLINK("CSG1.html#group7B1", "7B¹"), =HYPERLINK("CSG1.html#group21F1", "21F¹"), =HYPERLINK("CSG0.html#group7A0", "7A⁰")</f>
        <v/>
      </c>
      <c r="N6360" t="inlineStr"/>
    </row>
    <row r="6361">
      <c r="A6361" t="inlineStr">
        <is>
          <t>22A²¹</t>
        </is>
      </c>
      <c r="B6361" t="inlineStr"/>
      <c r="C6361" t="inlineStr">
        <is>
          <t>330</t>
        </is>
      </c>
      <c r="D6361" t="inlineStr">
        <is>
          <t>1</t>
        </is>
      </c>
      <c r="E6361" t="inlineStr">
        <is>
          <t>55</t>
        </is>
      </c>
      <c r="F6361" t="inlineStr">
        <is>
          <t>0</t>
        </is>
      </c>
      <c r="G6361" t="inlineStr">
        <is>
          <t>0</t>
        </is>
      </c>
      <c r="H6361" t="inlineStr">
        <is>
          <t>22¹⁵</t>
        </is>
      </c>
      <c r="I6361" t="n">
        <v>15</v>
      </c>
      <c r="J6361" t="inlineStr">
        <is>
          <t>5¹, 10⁵</t>
        </is>
      </c>
      <c r="K6361">
        <f>HYPERLINK("CSG0.html#group2C0", "2C⁰"), =HYPERLINK("CSG7.html#group22A7", "22A⁷"), =HYPERLINK("CSG8.html#group22A8", "22A⁸")</f>
        <v/>
      </c>
      <c r="L6361" t="inlineStr"/>
      <c r="M6361">
        <f>HYPERLINK("CSG0.html#group2A0", "2A⁰"), =HYPERLINK("CSG1.html#group11C1", "11C¹"), =HYPERLINK("CSG7.html#group22A7", "22A⁷"), =HYPERLINK("CSG0.html#group2B0", "2B⁰"), =HYPERLINK("CSG0.html#group1A0", "1A⁰"), =HYPERLINK("CSG0.html#group2C0", "2C⁰"), =HYPERLINK("CSG8.html#group22A8", "22A⁸")</f>
        <v/>
      </c>
      <c r="N6361" t="inlineStr"/>
    </row>
    <row r="6362">
      <c r="A6362" t="inlineStr">
        <is>
          <t>22B²¹</t>
        </is>
      </c>
      <c r="B6362" t="inlineStr"/>
      <c r="C6362" t="inlineStr">
        <is>
          <t>330</t>
        </is>
      </c>
      <c r="D6362" t="inlineStr">
        <is>
          <t>1</t>
        </is>
      </c>
      <c r="E6362" t="inlineStr">
        <is>
          <t>55</t>
        </is>
      </c>
      <c r="F6362" t="inlineStr">
        <is>
          <t>0</t>
        </is>
      </c>
      <c r="G6362" t="inlineStr">
        <is>
          <t>0</t>
        </is>
      </c>
      <c r="H6362" t="inlineStr">
        <is>
          <t>22¹⁵</t>
        </is>
      </c>
      <c r="I6362" t="n">
        <v>15</v>
      </c>
      <c r="J6362" t="inlineStr">
        <is>
          <t>5¹, 10⁵</t>
        </is>
      </c>
      <c r="K6362">
        <f>HYPERLINK("CSG5.html#group11A5", "11A⁵"), =HYPERLINK("CSG5.html#group22B5", "22B⁵"), =HYPERLINK("CSG7.html#group22A7", "22A⁷")</f>
        <v/>
      </c>
      <c r="L6362" t="inlineStr"/>
      <c r="M6362">
        <f>HYPERLINK("CSG0.html#group11A0", "11A⁰"), =HYPERLINK("CSG0.html#group2A0", "2A⁰"), =HYPERLINK("CSG1.html#group11C1", "11C¹"), =HYPERLINK("CSG1.html#group22A1", "22A¹"), =HYPERLINK("CSG7.html#group22A7", "22A⁷"), =HYPERLINK("CSG5.html#group22B5", "22B⁵"), =HYPERLINK("CSG5.html#group11A5", "11A⁵"), =HYPERLINK("CSG1.html#group11B1", "11B¹"), =HYPERLINK("CSG0.html#group1A0", "1A⁰")</f>
        <v/>
      </c>
      <c r="N6362" t="inlineStr"/>
    </row>
    <row r="6363">
      <c r="A6363" t="inlineStr">
        <is>
          <t>22C²¹</t>
        </is>
      </c>
      <c r="B6363" t="inlineStr"/>
      <c r="C6363" t="inlineStr">
        <is>
          <t>330</t>
        </is>
      </c>
      <c r="D6363" t="inlineStr">
        <is>
          <t>1</t>
        </is>
      </c>
      <c r="E6363" t="inlineStr">
        <is>
          <t>55</t>
        </is>
      </c>
      <c r="F6363" t="inlineStr">
        <is>
          <t>0</t>
        </is>
      </c>
      <c r="G6363" t="inlineStr">
        <is>
          <t>0</t>
        </is>
      </c>
      <c r="H6363" t="inlineStr">
        <is>
          <t>22¹⁵</t>
        </is>
      </c>
      <c r="I6363" t="n">
        <v>15</v>
      </c>
      <c r="J6363" t="inlineStr">
        <is>
          <t>5¹, 10⁵</t>
        </is>
      </c>
      <c r="K6363">
        <f>HYPERLINK("CSG5.html#group22A5", "22A⁵"), =HYPERLINK("CSG5.html#group22B5", "22B⁵"), =HYPERLINK("CSG9.html#group22B9", "22B⁹")</f>
        <v/>
      </c>
      <c r="L6363" t="inlineStr"/>
      <c r="M6363">
        <f>HYPERLINK("CSG0.html#group11A0", "11A⁰"), =HYPERLINK("CSG0.html#group2A0", "2A⁰"), =HYPERLINK("CSG1.html#group22A1", "22A¹"), =HYPERLINK("CSG5.html#group22B5", "22B⁵"), =HYPERLINK("CSG5.html#group22A5", "22A⁵"), =HYPERLINK("CSG0.html#group2B0", "2B⁰"), =HYPERLINK("CSG1.html#group11B1", "11B¹"), =HYPERLINK("CSG2.html#group22B2", "22B²"), =HYPERLINK("CSG0.html#group1A0", "1A⁰"), =HYPERLINK("CSG0.html#group2C0", "2C⁰"), =HYPERLINK("CSG9.html#group22B9", "22B⁹")</f>
        <v/>
      </c>
      <c r="N6363" t="inlineStr"/>
    </row>
    <row r="6364">
      <c r="A6364" t="inlineStr">
        <is>
          <t>24A²¹</t>
        </is>
      </c>
      <c r="B6364" t="inlineStr"/>
      <c r="C6364" t="inlineStr">
        <is>
          <t>384</t>
        </is>
      </c>
      <c r="D6364" t="inlineStr">
        <is>
          <t>1</t>
        </is>
      </c>
      <c r="E6364" t="inlineStr">
        <is>
          <t>4</t>
        </is>
      </c>
      <c r="F6364" t="inlineStr">
        <is>
          <t>0</t>
        </is>
      </c>
      <c r="G6364" t="inlineStr">
        <is>
          <t>0</t>
        </is>
      </c>
      <c r="H6364" t="inlineStr">
        <is>
          <t>8¹², 24¹²</t>
        </is>
      </c>
      <c r="I6364" t="n">
        <v>24</v>
      </c>
      <c r="J6364" t="inlineStr">
        <is>
          <t>1², 2¹</t>
        </is>
      </c>
      <c r="K6364">
        <f>HYPERLINK("CSG3.html#group8A3", "8A³"), =HYPERLINK("CSG7.html#group24E7", "24E⁷"), =HYPERLINK("CSG9.html#group24AF9", "24AF⁹"), =HYPERLINK("CSG11.html#group24I11", "24I¹¹")</f>
        <v/>
      </c>
      <c r="L6364" t="inlineStr"/>
      <c r="M6364">
        <f>HYPERLINK("CSG0.html#group2A0", "2A⁰"), =HYPERLINK("CSG11.html#group24I11", "24I¹¹"), =HYPERLINK("CSG3.html#group24V3", "24V³"), =HYPERLINK("CSG1.html#group24G1", "24G¹"), =HYPERLINK("CSG0.html#group4C0", "4C⁰"), =HYPERLINK("CSG0.html#group4G0", "4G⁰"), =HYPERLINK("CSG0.html#group2B0", "2B⁰"), =HYPERLINK("CSG0.html#group8C0", "8C⁰"), =HYPERLINK("CSG0.html#group4E0", "4E⁰"), =HYPERLINK("CSG1.html#group8E1", "8E¹"), =HYPERLINK("CSG0.html#group4B0", "4B⁰"), =HYPERLINK("CSG1.html#group8F1", "8F¹"), =HYPERLINK("CSG0.html#group1A0", "1A⁰"), =HYPERLINK("CSG0.html#group8G0", "8G⁰"), =HYPERLINK("CSG0.html#group4D0", "4D⁰"), =HYPERLINK("CSG1.html#group12A1", "12A¹"), =HYPERLINK("CSG0.html#group6F0", "6F⁰"), =HYPERLINK("CSG4.html#group24C4", "24C⁴"), =HYPERLINK("CSG0.html#group3B0", "3B⁰"), =HYPERLINK("CSG5.html#group24K5", "24K⁵"), =HYPERLINK("CSG1.html#group8A1", "8A¹"), =HYPERLINK("CSG1.html#group12I1", "12I¹"), =HYPERLINK("CSG3.html#group8A3", "8A³"), =HYPERLINK("CSG0.html#group8D0", "8D⁰"), =HYPERLINK("CSG3.html#group24B3", "24B³"), =HYPERLINK("CSG1.html#group12F1", "12F¹"), =HYPERLINK("CSG0.html#group6I0", "6I⁰"), =HYPERLINK("CSG0.html#group6C0", "6C⁰"), =HYPERLINK("CSG0.html#group8B0", "8B⁰"), =HYPERLINK("CSG1.html#group8B1", "8B¹"), =HYPERLINK("CSG1.html#group12P1", "12P¹"), =HYPERLINK("CSG7.html#group24E7", "24E⁷"), =HYPERLINK("CSG0.html#group8H0", "8H⁰"), =HYPERLINK("CSG3.html#group24C3", "24C³"), =HYPERLINK("CSG5.html#group24I5", "24I⁵"), =HYPERLINK("CSG0.html#group8F0", "8F⁰"), =HYPERLINK("CSG1.html#group8C1", "8C¹"), =HYPERLINK("CSG2.html#group24I2", "24I²"), =HYPERLINK("CSG0.html#group4A0", "4A⁰"), =HYPERLINK("CSG1.html#group8I1", "8I¹"), =HYPERLINK("CSG2.html#group12G2", "12G²"), =HYPERLINK("CSG3.html#group12K3", "12K³"), =HYPERLINK("CSG0.html#group4F0", "4F⁰"), =HYPERLINK("CSG5.html#group24J5", "24J⁵"), =HYPERLINK("CSG0.html#group2C0", "2C⁰"), =HYPERLINK("CSG0.html#group12E0", "12E⁰"), =HYPERLINK("CSG9.html#group24AF9", "24AF⁹")</f>
        <v/>
      </c>
      <c r="N6364" t="inlineStr"/>
    </row>
    <row r="6365">
      <c r="A6365" t="inlineStr">
        <is>
          <t>24B²¹</t>
        </is>
      </c>
      <c r="B6365" t="inlineStr"/>
      <c r="C6365" t="inlineStr">
        <is>
          <t>384</t>
        </is>
      </c>
      <c r="D6365" t="inlineStr">
        <is>
          <t>1</t>
        </is>
      </c>
      <c r="E6365" t="inlineStr">
        <is>
          <t>4</t>
        </is>
      </c>
      <c r="F6365" t="inlineStr">
        <is>
          <t>0</t>
        </is>
      </c>
      <c r="G6365" t="inlineStr">
        <is>
          <t>0</t>
        </is>
      </c>
      <c r="H6365" t="inlineStr">
        <is>
          <t>8¹², 24¹²</t>
        </is>
      </c>
      <c r="I6365" t="n">
        <v>24</v>
      </c>
      <c r="J6365" t="inlineStr">
        <is>
          <t>1², 2¹</t>
        </is>
      </c>
      <c r="K6365">
        <f>HYPERLINK("CSG5.html#group12E5", "12E⁵"), =HYPERLINK("CSG5.html#group24Q5", "24Q⁵"), =HYPERLINK("CSG11.html#group24A11", "24A¹¹"), =HYPERLINK("CSG11.html#group24B11", "24B¹¹")</f>
        <v/>
      </c>
      <c r="L6365" t="inlineStr"/>
      <c r="M6365">
        <f>HYPERLINK("CSG0.html#group2A0", "2A⁰"), =HYPERLINK("CSG2.html#group24A2", "24A²"), =HYPERLINK("CSG0.html#group4C0", "4C⁰"), =HYPERLINK("CSG0.html#group12I0", "12I⁰"), =HYPERLINK("CSG0.html#group8A0", "8A⁰"), =HYPERLINK("CSG0.html#group12J0", "12J⁰"), =HYPERLINK("CSG0.html#group4G0", "4G⁰"), =HYPERLINK("CSG0.html#group2B0", "2B⁰"), =HYPERLINK("CSG0.html#group4E0", "4E⁰"), =HYPERLINK("CSG0.html#group4B0", "4B⁰"), =HYPERLINK("CSG0.html#group1A0", "1A⁰"), =HYPERLINK("CSG5.html#group12E5", "12E⁵"), =HYPERLINK("CSG2.html#group12F2", "12F²"), =HYPERLINK("CSG11.html#group24B11", "24B¹¹"), =HYPERLINK("CSG0.html#group4D0", "4D⁰"), =HYPERLINK("CSG3.html#group12L3", "12L³"), =HYPERLINK("CSG1.html#group12A1", "12A¹"), =HYPERLINK("CSG1.html#group12R1", "12R¹"), =HYPERLINK("CSG6.html#group24B6", "24B⁶"), =HYPERLINK("CSG0.html#group6F0", "6F⁰"), =HYPERLINK("CSG0.html#group3B0", "3B⁰"), =HYPERLINK("CSG1.html#group12I1", "12I¹"), =HYPERLINK("CSG1.html#group12V1", "12V¹"), =HYPERLINK("CSG0.html#group6I0", "6I⁰"), =HYPERLINK("CSG1.html#group12F1", "12F¹"), =HYPERLINK("CSG0.html#group6C0", "6C⁰"), =HYPERLINK("CSG0.html#group8E0", "8E⁰"), =HYPERLINK("CSG11.html#group24A11", "24A¹¹"), =HYPERLINK("CSG1.html#group12P1", "12P¹"), =HYPERLINK("CSG3.html#group24G3", "24G³"), =HYPERLINK("CSG1.html#group8D1", "8D¹"), =HYPERLINK("CSG3.html#group24F3", "24F³"), =HYPERLINK("CSG2.html#group8A2", "8A²"), =HYPERLINK("CSG0.html#group4A0", "4A⁰"), =HYPERLINK("CSG2.html#group12G2", "12G²"), =HYPERLINK("CSG3.html#group12K3", "12K³"), =HYPERLINK("CSG5.html#group24Q5", "24Q⁵"), =HYPERLINK("CSG0.html#group4F0", "4F⁰"), =HYPERLINK("CSG0.html#group2C0", "2C⁰"), =HYPERLINK("CSG0.html#group12E0", "12E⁰"), =HYPERLINK("CSG0.html#group12B0", "12B⁰")</f>
        <v/>
      </c>
      <c r="N6365" t="inlineStr"/>
    </row>
    <row r="6366">
      <c r="A6366" t="inlineStr">
        <is>
          <t>24C²¹</t>
        </is>
      </c>
      <c r="B6366" t="inlineStr"/>
      <c r="C6366" t="inlineStr">
        <is>
          <t>384</t>
        </is>
      </c>
      <c r="D6366" t="inlineStr">
        <is>
          <t>1</t>
        </is>
      </c>
      <c r="E6366" t="inlineStr">
        <is>
          <t>12</t>
        </is>
      </c>
      <c r="F6366" t="inlineStr">
        <is>
          <t>0</t>
        </is>
      </c>
      <c r="G6366" t="inlineStr">
        <is>
          <t>0</t>
        </is>
      </c>
      <c r="H6366" t="inlineStr">
        <is>
          <t>8¹², 24¹²</t>
        </is>
      </c>
      <c r="I6366" t="n">
        <v>24</v>
      </c>
      <c r="J6366" t="inlineStr">
        <is>
          <t>1⁶, 2³</t>
        </is>
      </c>
      <c r="K6366">
        <f>HYPERLINK("CSG7.html#group24AF7", "24AF⁷"), =HYPERLINK("CSG9.html#group24AC9", "24AC⁹"), =HYPERLINK("CSG11.html#group24B11", "24B¹¹")</f>
        <v/>
      </c>
      <c r="L6366" t="inlineStr"/>
      <c r="M6366">
        <f>HYPERLINK("CSG0.html#group2A0", "2A⁰"), =HYPERLINK("CSG2.html#group24A2", "24A²"), =HYPERLINK("CSG0.html#group4C0", "4C⁰"), =HYPERLINK("CSG0.html#group8A0", "8A⁰"), =HYPERLINK("CSG0.html#group4G0", "4G⁰"), =HYPERLINK("CSG0.html#group2B0", "2B⁰"), =HYPERLINK("CSG0.html#group4E0", "4E⁰"), =HYPERLINK("CSG0.html#group4B0", "4B⁰"), =HYPERLINK("CSG0.html#group1A0", "1A⁰"), =HYPERLINK("CSG3.html#group24U3", "24U³"), =HYPERLINK("CSG11.html#group24B11", "24B¹¹"), =HYPERLINK("CSG0.html#group4D0", "4D⁰"), =HYPERLINK("CSG1.html#group12A1", "12A¹"), =HYPERLINK("CSG5.html#group24H5", "24H⁵"), =HYPERLINK("CSG6.html#group24B6", "24B⁶"), =HYPERLINK("CSG0.html#group6F0", "6F⁰"), =HYPERLINK("CSG9.html#group24AC9", "24AC⁹"), =HYPERLINK("CSG0.html#group3B0", "3B⁰"), =HYPERLINK("CSG7.html#group24AF7", "24AF⁷"), =HYPERLINK("CSG1.html#group12I1", "12I¹"), =HYPERLINK("CSG3.html#group24Z3", "24Z³"), =HYPERLINK("CSG0.html#group6I0", "6I⁰"), =HYPERLINK("CSG1.html#group12F1", "12F¹"), =HYPERLINK("CSG0.html#group6C0", "6C⁰"), =HYPERLINK("CSG0.html#group8E0", "8E⁰"), =HYPERLINK("CSG1.html#group12P1", "12P¹"), =HYPERLINK("CSG3.html#group24G3", "24G³"), =HYPERLINK("CSG1.html#group8D1", "8D¹"), =HYPERLINK("CSG2.html#group8A2", "8A²"), =HYPERLINK("CSG0.html#group24B0", "24B⁰"), =HYPERLINK("CSG0.html#group4A0", "4A⁰"), =HYPERLINK("CSG2.html#group12G2", "12G²"), =HYPERLINK("CSG3.html#group12K3", "12K³"), =HYPERLINK("CSG0.html#group4F0", "4F⁰"), =HYPERLINK("CSG2.html#group24F2", "24F²"), =HYPERLINK("CSG0.html#group2C0", "2C⁰"), =HYPERLINK("CSG0.html#group12E0", "12E⁰")</f>
        <v/>
      </c>
      <c r="N6366" t="inlineStr"/>
    </row>
    <row r="6367">
      <c r="A6367" t="inlineStr">
        <is>
          <t>24D²¹</t>
        </is>
      </c>
      <c r="B6367" t="inlineStr"/>
      <c r="C6367" t="inlineStr">
        <is>
          <t>384</t>
        </is>
      </c>
      <c r="D6367" t="inlineStr">
        <is>
          <t>1</t>
        </is>
      </c>
      <c r="E6367" t="inlineStr">
        <is>
          <t>12</t>
        </is>
      </c>
      <c r="F6367" t="inlineStr">
        <is>
          <t>0</t>
        </is>
      </c>
      <c r="G6367" t="inlineStr">
        <is>
          <t>0</t>
        </is>
      </c>
      <c r="H6367" t="inlineStr">
        <is>
          <t>8¹², 24¹²</t>
        </is>
      </c>
      <c r="I6367" t="n">
        <v>24</v>
      </c>
      <c r="J6367" t="inlineStr">
        <is>
          <t>1⁶, 2³</t>
        </is>
      </c>
      <c r="K6367">
        <f>HYPERLINK("CSG7.html#group24AF7", "24AF⁷"), =HYPERLINK("CSG9.html#group24AF9", "24AF⁹"), =HYPERLINK("CSG11.html#group24A11", "24A¹¹")</f>
        <v/>
      </c>
      <c r="L6367" t="inlineStr"/>
      <c r="M6367">
        <f>HYPERLINK("CSG0.html#group2A0", "2A⁰"), =HYPERLINK("CSG3.html#group24V3", "24V³"), =HYPERLINK("CSG1.html#group24G1", "24G¹"), =HYPERLINK("CSG0.html#group4C0", "4C⁰"),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=HYPERLINK("CSG0.html#group8G0", "8G⁰"), =HYPERLINK("CSG0.html#group4D0", "4D⁰"), =HYPERLINK("CSG1.html#group12A1", "12A¹"), =HYPERLINK("CSG0.html#group6F0", "6F⁰"), =HYPERLINK("CSG0.html#group3B0", "3B⁰"), =HYPERLINK("CSG7.html#group24AF7", "24AF⁷"), =HYPERLINK("CSG1.html#group12I1", "12I¹"), =HYPERLINK("CSG3.html#group24Z3", "24Z³"), =HYPERLINK("CSG5.html#group24K5", "24K⁵"), =HYPERLINK("CSG1.html#group8A1", "8A¹"), =HYPERLINK("CSG3.html#group24B3", "24B³"), =HYPERLINK("CSG1.html#group12F1", "12F¹"), =HYPERLINK("CSG0.html#group6I0", "6I⁰"), =HYPERLINK("CSG0.html#group8D0", "8D⁰"), =HYPERLINK("CSG0.html#group6C0", "6C⁰"), =HYPERLINK("CSG0.html#group8B0", "8B⁰"), =HYPERLINK("CSG1.html#group8B1", "8B¹"), =HYPERLINK("CSG11.html#group24A11", "24A¹¹"), =HYPERLINK("CSG1.html#group12P1", "12P¹"), =HYPERLINK("CSG3.html#group24F3", "24F³"), =HYPERLINK("CSG3.html#group24C3", "24C³"), =HYPERLINK("CSG0.html#group8H0", "8H⁰"), =HYPERLINK("CSG5.html#group24I5", "24I⁵"), =HYPERLINK("CSG1.html#group8C1", "8C¹"), =HYPERLINK("CSG2.html#group24I2", "24I²"), =HYPERLINK("CSG0.html#group4A0", "4A⁰"), =HYPERLINK("CSG2.html#group12G2", "12G²"), =HYPERLINK("CSG3.html#group12K3", "12K³"), =HYPERLINK("CSG0.html#group4F0", "4F⁰"), =HYPERLINK("CSG5.html#group24J5", "24J⁵"), =HYPERLINK("CSG0.html#group2C0", "2C⁰"), =HYPERLINK("CSG0.html#group12E0", "12E⁰"), =HYPERLINK("CSG9.html#group24AF9", "24AF⁹")</f>
        <v/>
      </c>
      <c r="N6367" t="inlineStr"/>
    </row>
    <row r="6368">
      <c r="A6368" t="inlineStr">
        <is>
          <t>24E²¹</t>
        </is>
      </c>
      <c r="B6368" t="inlineStr"/>
      <c r="C6368" t="inlineStr">
        <is>
          <t>384</t>
        </is>
      </c>
      <c r="D6368" t="inlineStr">
        <is>
          <t>1</t>
        </is>
      </c>
      <c r="E6368" t="inlineStr">
        <is>
          <t>12</t>
        </is>
      </c>
      <c r="F6368" t="inlineStr">
        <is>
          <t>0</t>
        </is>
      </c>
      <c r="G6368" t="inlineStr">
        <is>
          <t>0</t>
        </is>
      </c>
      <c r="H6368" t="inlineStr">
        <is>
          <t>8¹², 24¹²</t>
        </is>
      </c>
      <c r="I6368" t="n">
        <v>24</v>
      </c>
      <c r="J6368" t="inlineStr">
        <is>
          <t>1⁶, 2³</t>
        </is>
      </c>
      <c r="K6368">
        <f>HYPERLINK("CSG7.html#group24AG7", "24AG⁷"), =HYPERLINK("CSG9.html#group24AC9", "24AC⁹"), =HYPERLINK("CSG11.html#group24A11", "24A¹¹")</f>
        <v/>
      </c>
      <c r="L6368" t="inlineStr"/>
      <c r="M6368">
        <f>HYPERLINK("CSG0.html#group2A0", "2A⁰"), =HYPERLINK("CSG0.html#group3B0", "3B⁰"), =HYPERLINK("CSG0.html#group8N0", "8N⁰"), =HYPERLINK("CSG1.html#group12I1", "12I¹"), =HYPERLINK("CSG3.html#group24AA3", "24AA³"), =HYPERLINK("CSG0.html#group6I0", "6I⁰"), =HYPERLINK("CSG1.html#group12F1", "12F¹"), =HYPERLINK("CSG0.html#group2C0", "2C⁰"), =HYPERLINK("CSG0.html#group4C0", "4C⁰"), =HYPERLINK("CSG0.html#group6C0", "6C⁰"), =HYPERLINK("CSG7.html#group24AG7", "24AG⁷"), =HYPERLINK("CSG0.html#group4G0", "4G⁰"), =HYPERLINK("CSG0.html#group2B0", "2B⁰"), =HYPERLINK("CSG0.html#group4E0", "4E⁰"), =HYPERLINK("CSG11.html#group24A11", "24A¹¹"), =HYPERLINK("CSG1.html#group12P1", "12P¹"), =HYPERLINK("CSG0.html#group4B0", "4B⁰"), =HYPERLINK("CSG0.html#group1A0", "1A⁰"), =HYPERLINK("CSG0.html#group8K0", "8K⁰"), =HYPERLINK("CSG3.html#group24F3", "24F³"), =HYPERLINK("CSG3.html#group24U3", "24U³"), =HYPERLINK("CSG0.html#group24B0", "24B⁰"), =HYPERLINK("CSG0.html#group4A0", "4A⁰"), =HYPERLINK("CSG0.html#group4D0", "4D⁰"), =HYPERLINK("CSG1.html#group12A1", "12A¹"), =HYPERLINK("CSG4.html#group24R4", "24R⁴"), =HYPERLINK("CSG5.html#group24H5", "24H⁵"), =HYPERLINK("CSG2.html#group12G2", "12G²"), =HYPERLINK("CSG3.html#group12K3", "12K³"), =HYPERLINK("CSG0.html#group4F0", "4F⁰"), =HYPERLINK("CSG2.html#group24F2", "24F²"), =HYPERLINK("CSG0.html#group6F0", "6F⁰"), =HYPERLINK("CSG9.html#group24AC9", "24AC⁹"), =HYPERLINK("CSG0.html#group12E0", "12E⁰"), =HYPERLINK("CSG0.html#group8J0", "8J⁰")</f>
        <v/>
      </c>
      <c r="N6368" t="inlineStr"/>
    </row>
    <row r="6369">
      <c r="A6369" t="inlineStr">
        <is>
          <t>24F²¹</t>
        </is>
      </c>
      <c r="B6369" t="inlineStr"/>
      <c r="C6369" t="inlineStr">
        <is>
          <t>384</t>
        </is>
      </c>
      <c r="D6369" t="inlineStr">
        <is>
          <t>1</t>
        </is>
      </c>
      <c r="E6369" t="inlineStr">
        <is>
          <t>12</t>
        </is>
      </c>
      <c r="F6369" t="inlineStr">
        <is>
          <t>0</t>
        </is>
      </c>
      <c r="G6369" t="inlineStr">
        <is>
          <t>0</t>
        </is>
      </c>
      <c r="H6369" t="inlineStr">
        <is>
          <t>8¹², 24¹²</t>
        </is>
      </c>
      <c r="I6369" t="n">
        <v>24</v>
      </c>
      <c r="J6369" t="inlineStr">
        <is>
          <t>1⁶, 2³</t>
        </is>
      </c>
      <c r="K6369">
        <f>HYPERLINK("CSG9.html#group24AC9", "24AC⁹"), =HYPERLINK("CSG9.html#group24AF9", "24AF⁹"), =HYPERLINK("CSG11.html#group24H11", "24H¹¹")</f>
        <v/>
      </c>
      <c r="L6369" t="inlineStr"/>
      <c r="M6369">
        <f>HYPERLINK("CSG0.html#group2A0", "2A⁰"), =HYPERLINK("CSG3.html#group24V3", "24V³"), =HYPERLINK("CSG1.html#group24G1", "24G¹"), =HYPERLINK("CSG0.html#group4C0", "4C⁰"),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=HYPERLINK("CSG3.html#group24U3", "24U³"), =HYPERLINK("CSG0.html#group8G0", "8G⁰"), =HYPERLINK("CSG0.html#group4D0", "4D⁰"), =HYPERLINK("CSG1.html#group12A1", "12A¹"), =HYPERLINK("CSG5.html#group24H5", "24H⁵"), =HYPERLINK("CSG0.html#group6F0", "6F⁰"), =HYPERLINK("CSG9.html#group24AC9", "24AC⁹"), =HYPERLINK("CSG0.html#group3B0", "3B⁰"), =HYPERLINK("CSG11.html#group24H11", "24H¹¹"), =HYPERLINK("CSG1.html#group12I1", "12I¹"), =HYPERLINK("CSG5.html#group24K5", "24K⁵"), =HYPERLINK("CSG1.html#group8A1", "8A¹"), =HYPERLINK("CSG3.html#group24B3", "24B³"), =HYPERLINK("CSG0.html#group8D0", "8D⁰"), =HYPERLINK("CSG0.html#group6I0", "6I⁰"), =HYPERLINK("CSG1.html#group12F1", "12F¹"), =HYPERLINK("CSG0.html#group6C0", "6C⁰"), =HYPERLINK("CSG0.html#group8B0", "8B⁰"), =HYPERLINK("CSG1.html#group8B1", "8B¹"), =HYPERLINK("CSG1.html#group12P1", "12P¹"), =HYPERLINK("CSG3.html#group24C3", "24C³"), =HYPERLINK("CSG0.html#group8H0", "8H⁰"), =HYPERLINK("CSG5.html#group24I5", "24I⁵"), =HYPERLINK("CSG1.html#group8C1", "8C¹"), =HYPERLINK("CSG2.html#group24I2", "24I²"), =HYPERLINK("CSG0.html#group24B0", "24B⁰"), =HYPERLINK("CSG0.html#group4A0", "4A⁰"), =HYPERLINK("CSG2.html#group12G2", "12G²"), =HYPERLINK("CSG3.html#group12K3", "12K³"), =HYPERLINK("CSG0.html#group4F0", "4F⁰"), =HYPERLINK("CSG5.html#group24J5", "24J⁵"), =HYPERLINK("CSG2.html#group24F2", "24F²"), =HYPERLINK("CSG0.html#group2C0", "2C⁰"), =HYPERLINK("CSG0.html#group12E0", "12E⁰"), =HYPERLINK("CSG9.html#group24AF9", "24AF⁹")</f>
        <v/>
      </c>
      <c r="N6369" t="inlineStr"/>
    </row>
    <row r="6370">
      <c r="A6370" t="inlineStr">
        <is>
          <t>24G²¹</t>
        </is>
      </c>
      <c r="B6370" t="inlineStr"/>
      <c r="C6370" t="inlineStr">
        <is>
          <t>384</t>
        </is>
      </c>
      <c r="D6370" t="inlineStr">
        <is>
          <t>1</t>
        </is>
      </c>
      <c r="E6370" t="inlineStr">
        <is>
          <t>12</t>
        </is>
      </c>
      <c r="F6370" t="inlineStr">
        <is>
          <t>0</t>
        </is>
      </c>
      <c r="G6370" t="inlineStr">
        <is>
          <t>0</t>
        </is>
      </c>
      <c r="H6370" t="inlineStr">
        <is>
          <t>8¹², 24¹²</t>
        </is>
      </c>
      <c r="I6370" t="n">
        <v>24</v>
      </c>
      <c r="J6370" t="inlineStr">
        <is>
          <t>1⁶, 2³</t>
        </is>
      </c>
      <c r="K6370">
        <f>HYPERLINK("CSG3.html#group8B3", "8B³"), =HYPERLINK("CSG7.html#group24AG7", "24AG⁷"), =HYPERLINK("CSG9.html#group24AF9", "24AF⁹"), =HYPERLINK("CSG11.html#group24B11", "24B¹¹"), =HYPERLINK("CSG11.html#group24F11", "24F¹¹"), =HYPERLINK("CSG11.html#group24G11", "24G¹¹")</f>
        <v/>
      </c>
      <c r="L6370" t="inlineStr"/>
      <c r="M6370">
        <f>HYPERLINK("CSG0.html#group2A0", "2A⁰"), =HYPERLINK("CSG3.html#group8B3", "8B³"), =HYPERLINK("CSG3.html#group24V3", "24V³"), =HYPERLINK("CSG3.html#group24AA3", "24AA³"), =HYPERLINK("CSG2.html#group24A2", "24A²"), =HYPERLINK("CSG1.html#group24G1", "24G¹"), =HYPERLINK("CSG0.html#group4C0", "4C⁰"), =HYPERLINK("CSG0.html#group8A0", "8A⁰"),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=HYPERLINK("CSG0.html#group8K0", "8K⁰"), =HYPERLINK("CSG1.html#group8H1", "8H¹"), =HYPERLINK("CSG11.html#group24F11", "24F¹¹"), =HYPERLINK("CSG0.html#group8G0", "8G⁰"), =HYPERLINK("CSG11.html#group24B11", "24B¹¹"), =HYPERLINK("CSG11.html#group24G11", "24G¹¹"), =HYPERLINK("CSG0.html#group4D0", "4D⁰"), =HYPERLINK("CSG1.html#group12A1", "12A¹"), =HYPERLINK("CSG6.html#group24B6", "24B⁶"), =HYPERLINK("CSG0.html#group6F0", "6F⁰"), =HYPERLINK("CSG0.html#group3B0", "3B⁰"), =HYPERLINK("CSG0.html#group8N0", "8N⁰"), =HYPERLINK("CSG5.html#group24K5", "24K⁵"), =HYPERLINK("CSG1.html#group8A1", "8A¹"), =HYPERLINK("CSG1.html#group12I1", "12I¹"), =HYPERLINK("CSG3.html#group24B3", "24B³"), =HYPERLINK("CSG0.html#group8D0", "8D⁰"), =HYPERLINK("CSG1.html#group12F1", "12F¹"), =HYPERLINK("CSG0.html#group6I0", "6I⁰"), =HYPERLINK("CSG0.html#group6C0", "6C⁰"), =HYPERLINK("CSG2.html#group8B2", "8B²"), =HYPERLINK("CSG0.html#group8B0", "8B⁰"), =HYPERLINK("CSG7.html#group24AG7", "24AG⁷"), =HYPERLINK("CSG0.html#group8E0", "8E⁰"), =HYPERLINK("CSG1.html#group8B1", "8B¹"), =HYPERLINK("CSG3.html#group24G3", "24G³"), =HYPERLINK("CSG1.html#group12P1", "12P¹"), =HYPERLINK("CSG1.html#group8D1", "8D¹"), =HYPERLINK("CSG0.html#group8H0", "8H⁰"), =HYPERLINK("CSG3.html#group24C3", "24C³"), =HYPERLINK("CSG2.html#group8A2", "8A²"), =HYPERLINK("CSG5.html#group24I5", "24I⁵"), =HYPERLINK("CSG1.html#group8C1", "8C¹"), =HYPERLINK("CSG2.html#group24I2", "24I²"), =HYPERLINK("CSG0.html#group4A0", "4A⁰"), =HYPERLINK("CSG4.html#group24R4", "24R⁴"), =HYPERLINK("CSG2.html#group12G2", "12G²"), =HYPERLINK("CSG3.html#group12K3", "12K³"), =HYPERLINK("CSG0.html#group4F0", "4F⁰"), =HYPERLINK("CSG5.html#group24J5", "24J⁵"), =HYPERLINK("CSG0.html#group8J0", "8J⁰"), =HYPERLINK("CSG0.html#group2C0", "2C⁰"), =HYPERLINK("CSG0.html#group12E0", "12E⁰"), =HYPERLINK("CSG9.html#group24AF9", "24AF⁹")</f>
        <v/>
      </c>
      <c r="N6370" t="inlineStr"/>
    </row>
    <row r="6371">
      <c r="A6371" t="inlineStr">
        <is>
          <t>24H²¹</t>
        </is>
      </c>
      <c r="B6371" t="inlineStr"/>
      <c r="C6371" t="inlineStr">
        <is>
          <t>384</t>
        </is>
      </c>
      <c r="D6371" t="inlineStr">
        <is>
          <t>1</t>
        </is>
      </c>
      <c r="E6371" t="inlineStr">
        <is>
          <t>32</t>
        </is>
      </c>
      <c r="F6371" t="inlineStr">
        <is>
          <t>0</t>
        </is>
      </c>
      <c r="G6371" t="inlineStr">
        <is>
          <t>12</t>
        </is>
      </c>
      <c r="H6371" t="inlineStr">
        <is>
          <t>24¹⁶</t>
        </is>
      </c>
      <c r="I6371" t="n">
        <v>16</v>
      </c>
      <c r="J6371" t="inlineStr">
        <is>
          <t>4⁸</t>
        </is>
      </c>
      <c r="K6371">
        <f>HYPERLINK("CSG5.html#group24Q5", "24Q⁵"), =HYPERLINK("CSG7.html#group12F7", "12F⁷"), =HYPERLINK("CSG11.html#group24D11", "24D¹¹"), =HYPERLINK("CSG11.html#group24E11", "24E¹¹")</f>
        <v/>
      </c>
      <c r="L6371" t="inlineStr"/>
      <c r="M6371">
        <f>HYPERLINK("CSG0.html#group2A0", "2A⁰"), =HYPERLINK("CSG0.html#group3B0", "3B⁰"), =HYPERLINK("CSG1.html#group12I1", "12I¹"), =HYPERLINK("CSG1.html#group12H1", "12H¹"), =HYPERLINK("CSG7.html#group12F7", "12F⁷"), =HYPERLINK("CSG2.html#group24A2", "24A²"), =HYPERLINK("CSG2.html#group24E2", "24E²"), =HYPERLINK("CSG0.html#group6C0", "6C⁰"), =HYPERLINK("CSG1.html#group12E1", "12E¹"), =HYPERLINK("CSG0.html#group8A0", "8A⁰"), =HYPERLINK("CSG0.html#group8E0", "8E⁰"), =HYPERLINK("CSG11.html#group24D11", "24D¹¹"), =HYPERLINK("CSG3.html#group24G3", "24G³"), =HYPERLINK("CSG0.html#group1A0", "1A⁰"), =HYPERLINK("CSG11.html#group24E11", "24E¹¹"), =HYPERLINK("CSG3.html#group24F3", "24F³"), =HYPERLINK("CSG4.html#group12D4", "12D⁴"), =HYPERLINK("CSG0.html#group6A0", "6A⁰"), =HYPERLINK("CSG0.html#group4A0", "4A⁰"), =HYPERLINK("CSG0.html#group4D0", "4D⁰"), =HYPERLINK("CSG1.html#group12A1", "12A¹"), =HYPERLINK("CSG0.html#group6J0", "6J⁰"), =HYPERLINK("CSG5.html#group24Q5", "24Q⁵"), =HYPERLINK("CSG1.html#group12R1", "12R¹"), =HYPERLINK("CSG1.html#group12O1", "12O¹"), =HYPERLINK("CSG2.html#group24J2", "24J²"), =HYPERLINK("CSG0.html#group12B0", "12B⁰")</f>
        <v/>
      </c>
      <c r="N6371" t="inlineStr"/>
    </row>
    <row r="6372">
      <c r="A6372" t="inlineStr">
        <is>
          <t>24I²¹</t>
        </is>
      </c>
      <c r="B6372" t="inlineStr"/>
      <c r="C6372" t="inlineStr">
        <is>
          <t>384</t>
        </is>
      </c>
      <c r="D6372" t="inlineStr">
        <is>
          <t>1</t>
        </is>
      </c>
      <c r="E6372" t="inlineStr">
        <is>
          <t>96</t>
        </is>
      </c>
      <c r="F6372" t="inlineStr">
        <is>
          <t>0</t>
        </is>
      </c>
      <c r="G6372" t="inlineStr">
        <is>
          <t>0</t>
        </is>
      </c>
      <c r="H6372" t="inlineStr">
        <is>
          <t>8¹², 24¹²</t>
        </is>
      </c>
      <c r="I6372" t="n">
        <v>24</v>
      </c>
      <c r="J6372" t="inlineStr">
        <is>
          <t>2⁴, 4¹², 8⁵</t>
        </is>
      </c>
      <c r="K6372">
        <f>HYPERLINK("CSG9.html#group24AI9", "24AI⁹"), =HYPERLINK("CSG11.html#group24G11", "24G¹¹"), =HYPERLINK("CSG11.html#group24H11", "24H¹¹")</f>
        <v/>
      </c>
      <c r="L6372" t="inlineStr"/>
      <c r="M6372">
        <f>HYPERLINK("CSG0.html#group3B0", "3B⁰"), =HYPERLINK("CSG11.html#group24H11", "24H¹¹"), =HYPERLINK("CSG5.html#group24K5", "24K⁵"), =HYPERLINK("CSG1.html#group8A1", "8A¹"), =HYPERLINK("CSG0.html#group8D0", "8D⁰"), =HYPERLINK("CSG1.html#group12F1", "12F¹"), =HYPERLINK("CSG2.html#group24A2", "24A²"), =HYPERLINK("CSG0.html#group4C0", "4C⁰"), =HYPERLINK("CSG2.html#group8B2", "8B²"), =HYPERLINK("CSG0.html#group8A0", "8A⁰"), =HYPERLINK("CSG0.html#group2B0", "2B⁰"), =HYPERLINK("CSG0.html#group1A0", "1A⁰"), =HYPERLINK("CSG0.html#group8K0", "8K⁰"), =HYPERLINK("CSG1.html#group8D1", "8D¹"), =HYPERLINK("CSG3.html#group24C3", "24C³"), =HYPERLINK("CSG1.html#group8C1", "8C¹"), =HYPERLINK("CSG2.html#group24I2", "24I²"), =HYPERLINK("CSG5.html#group24M5", "24M⁵"), =HYPERLINK("CSG0.html#group4A0", "4A⁰"), =HYPERLINK("CSG11.html#group24G11", "24G¹¹"), =HYPERLINK("CSG1.html#group12A1", "12A¹"), =HYPERLINK("CSG4.html#group24R4", "24R⁴"), =HYPERLINK("CSG9.html#group24AI9", "24AI⁹"), =HYPERLINK("CSG2.html#group12G2", "12G²"), =HYPERLINK("CSG0.html#group4F0", "4F⁰"), =HYPERLINK("CSG6.html#group24B6", "24B⁶"), =HYPERLINK("CSG0.html#group6F0", "6F⁰")</f>
        <v/>
      </c>
      <c r="N6372" t="inlineStr"/>
    </row>
    <row r="6373">
      <c r="A6373" t="inlineStr">
        <is>
          <t>24J²¹</t>
        </is>
      </c>
      <c r="B6373" t="inlineStr"/>
      <c r="C6373" t="inlineStr">
        <is>
          <t>384</t>
        </is>
      </c>
      <c r="D6373" t="inlineStr">
        <is>
          <t>1</t>
        </is>
      </c>
      <c r="E6373" t="inlineStr">
        <is>
          <t>96</t>
        </is>
      </c>
      <c r="F6373" t="inlineStr">
        <is>
          <t>0</t>
        </is>
      </c>
      <c r="G6373" t="inlineStr">
        <is>
          <t>0</t>
        </is>
      </c>
      <c r="H6373" t="inlineStr">
        <is>
          <t>8¹², 24¹²</t>
        </is>
      </c>
      <c r="I6373" t="n">
        <v>24</v>
      </c>
      <c r="J6373" t="inlineStr">
        <is>
          <t>2⁴, 4¹², 8⁵</t>
        </is>
      </c>
      <c r="K6373">
        <f>HYPERLINK("CSG2.html#group8C2", "8C²"), =HYPERLINK("CSG7.html#group24F7", "24F⁷"), =HYPERLINK("CSG9.html#group24AJ9", "24AJ⁹"), =HYPERLINK("CSG11.html#group24F11", "24F¹¹"), =HYPERLINK("CSG11.html#group24I11", "24I¹¹")</f>
        <v/>
      </c>
      <c r="L6373" t="inlineStr"/>
      <c r="M6373">
        <f>HYPERLINK("CSG11.html#group24I11", "24I¹¹"), =HYPERLINK("CSG5.html#group24N5", "24N⁵"), =HYPERLINK("CSG2.html#group24A2", "24A²"), =HYPERLINK("CSG0.html#group4C0", "4C⁰"), =HYPERLINK("CSG2.html#group8C2", "8C²"), =HYPERLINK("CSG0.html#group8A0", "8A⁰"), =HYPERLINK("CSG0.html#group8L0", "8L⁰"), =HYPERLINK("CSG0.html#group2B0", "2B⁰"), =HYPERLINK("CSG0.html#group1A0", "1A⁰"), =HYPERLINK("CSG0.html#group8K0", "8K⁰"), =HYPERLINK("CSG1.html#group8H1", "8H¹"), =HYPERLINK("CSG11.html#group24F11", "24F¹¹"), =HYPERLINK("CSG9.html#group24AJ9", "24AJ⁹"), =HYPERLINK("CSG1.html#group12A1", "12A¹"), =HYPERLINK("CSG6.html#group24B6", "24B⁶"), =HYPERLINK("CSG0.html#group8M0", "8M⁰"), =HYPERLINK("CSG0.html#group8P0", "8P⁰"), =HYPERLINK("CSG0.html#group6F0", "6F⁰"), =HYPERLINK("CSG4.html#group24C4", "24C⁴"), =HYPERLINK("CSG0.html#group3B0", "3B⁰"), =HYPERLINK("CSG3.html#group24B3", "24B³"), =HYPERLINK("CSG0.html#group8D0", "8D⁰"), =HYPERLINK("CSG1.html#group12F1", "12F¹"), =HYPERLINK("CSG0.html#group8B0", "8B⁰"), =HYPERLINK("CSG1.html#group8D1", "8D¹"), =HYPERLINK("CSG0.html#group8H0", "8H⁰"), =HYPERLINK("CSG0.html#group8F0", "8F⁰"), =HYPERLINK("CSG2.html#group24I2", "24I²"), =HYPERLINK("CSG0.html#group4A0", "4A⁰"), =HYPERLINK("CSG1.html#group8I1", "8I¹"), =HYPERLINK("CSG7.html#group24F7", "24F⁷"), =HYPERLINK("CSG4.html#group24R4", "24R⁴"), =HYPERLINK("CSG2.html#group12G2", "12G²"), =HYPERLINK("CSG5.html#group24J5", "24J⁵"), =HYPERLINK("CSG0.html#group4F0", "4F⁰")</f>
        <v/>
      </c>
      <c r="N6373" t="inlineStr"/>
    </row>
    <row r="6374">
      <c r="A6374" t="inlineStr">
        <is>
          <t>24K²¹</t>
        </is>
      </c>
      <c r="B6374" t="inlineStr"/>
      <c r="C6374" t="inlineStr">
        <is>
          <t>384</t>
        </is>
      </c>
      <c r="D6374" t="inlineStr">
        <is>
          <t>1</t>
        </is>
      </c>
      <c r="E6374" t="inlineStr">
        <is>
          <t>96</t>
        </is>
      </c>
      <c r="F6374" t="inlineStr">
        <is>
          <t>16</t>
        </is>
      </c>
      <c r="G6374" t="inlineStr">
        <is>
          <t>0</t>
        </is>
      </c>
      <c r="H6374" t="inlineStr">
        <is>
          <t>24¹⁶</t>
        </is>
      </c>
      <c r="I6374" t="n">
        <v>16</v>
      </c>
      <c r="J6374" t="inlineStr">
        <is>
          <t>8¹²</t>
        </is>
      </c>
      <c r="K6374">
        <f>HYPERLINK("CSG3.html#group12M3", "12M³"), =HYPERLINK("CSG9.html#group24AL9", "24AL⁹")</f>
        <v/>
      </c>
      <c r="L6374" t="inlineStr"/>
      <c r="M6374">
        <f>HYPERLINK("CSG1.html#group12G1", "12G¹"), =HYPERLINK("CSG9.html#group24AL9", "24AL⁹"), =HYPERLINK("CSG1.html#group12D1", "12D¹"), =HYPERLINK("CSG0.html#group6B0", "6B⁰"), =HYPERLINK("CSG5.html#group24O5", "24O⁵"), =HYPERLINK("CSG0.html#group12F0", "12F⁰"), =HYPERLINK("CSG0.html#group1A0", "1A⁰"), =HYPERLINK("CSG1.html#group24F1", "24F¹"), =HYPERLINK("CSG0.html#group12A0", "12A⁰"), =HYPERLINK("CSG0.html#group8F0", "8F⁰"), =HYPERLINK("CSG0.html#group6E0", "6E⁰"), =HYPERLINK("CSG0.html#group4A0", "4A⁰"), =HYPERLINK("CSG3.html#group12M3", "12M³"), =HYPERLINK("CSG1.html#group12Q1", "12Q¹"), =HYPERLINK("CSG0.html#group3C0", "3C⁰"), =HYPERLINK("CSG3.html#group24AB3", "24AB³"), =HYPERLINK("CSG0.html#group3A0", "3A⁰")</f>
        <v/>
      </c>
      <c r="N6374" t="inlineStr"/>
    </row>
    <row r="6375">
      <c r="A6375" t="inlineStr">
        <is>
          <t>24L²¹</t>
        </is>
      </c>
      <c r="B6375" t="inlineStr"/>
      <c r="C6375" t="inlineStr">
        <is>
          <t>384</t>
        </is>
      </c>
      <c r="D6375" t="inlineStr">
        <is>
          <t>1</t>
        </is>
      </c>
      <c r="E6375" t="inlineStr">
        <is>
          <t>96</t>
        </is>
      </c>
      <c r="F6375" t="inlineStr">
        <is>
          <t>16</t>
        </is>
      </c>
      <c r="G6375" t="inlineStr">
        <is>
          <t>0</t>
        </is>
      </c>
      <c r="H6375" t="inlineStr">
        <is>
          <t>24¹⁶</t>
        </is>
      </c>
      <c r="I6375" t="n">
        <v>16</v>
      </c>
      <c r="J6375" t="inlineStr">
        <is>
          <t>8¹²</t>
        </is>
      </c>
      <c r="K6375">
        <f>HYPERLINK("CSG5.html#group24L5", "24L⁵"), =HYPERLINK("CSG9.html#group24AL9", "24AL⁹")</f>
        <v/>
      </c>
      <c r="L6375" t="inlineStr"/>
      <c r="M6375">
        <f>HYPERLINK("CSG1.html#group12G1", "12G¹"), =HYPERLINK("CSG9.html#group24AL9", "24AL⁹"), =HYPERLINK("CSG0.html#group6B0", "6B⁰"), =HYPERLINK("CSG5.html#group24O5", "24O⁵"), =HYPERLINK("CSG0.html#group12F0", "12F⁰"), =HYPERLINK("CSG0.html#group1A0", "1A⁰"), =HYPERLINK("CSG1.html#group24F1", "24F¹"), =HYPERLINK("CSG0.html#group12A0", "12A⁰"), =HYPERLINK("CSG0.html#group8F0", "8F⁰"), =HYPERLINK("CSG0.html#group6E0", "6E⁰"), =HYPERLINK("CSG0.html#group4A0", "4A⁰"), =HYPERLINK("CSG1.html#group12Q1", "12Q¹"), =HYPERLINK("CSG0.html#group3C0", "3C⁰"), =HYPERLINK("CSG3.html#group24AB3", "24AB³"), =HYPERLINK("CSG0.html#group3A0", "3A⁰"), =HYPERLINK("CSG5.html#group24L5", "24L⁵")</f>
        <v/>
      </c>
      <c r="N6375" t="inlineStr"/>
    </row>
    <row r="6376">
      <c r="A6376" t="inlineStr">
        <is>
          <t>24M²¹</t>
        </is>
      </c>
      <c r="B6376" t="inlineStr"/>
      <c r="C6376" t="inlineStr">
        <is>
          <t>384</t>
        </is>
      </c>
      <c r="D6376" t="inlineStr">
        <is>
          <t>2</t>
        </is>
      </c>
      <c r="E6376" t="inlineStr">
        <is>
          <t>48</t>
        </is>
      </c>
      <c r="F6376" t="inlineStr">
        <is>
          <t>16</t>
        </is>
      </c>
      <c r="G6376" t="inlineStr">
        <is>
          <t>0</t>
        </is>
      </c>
      <c r="H6376" t="inlineStr">
        <is>
          <t>24¹⁶</t>
        </is>
      </c>
      <c r="I6376" t="n">
        <v>16</v>
      </c>
      <c r="J6376" t="inlineStr">
        <is>
          <t>4⁸, 8⁸</t>
        </is>
      </c>
      <c r="K6376">
        <f>HYPERLINK("CSG5.html#group24P5", "24P⁵"), =HYPERLINK("CSG9.html#group24AL9", "24AL⁹"), =HYPERLINK("CSG9.html#group24AM9", "24AM⁹"), =HYPERLINK("CSG9.html#group24AN9", "24AN⁹"), =HYPERLINK("CSG9.html#group24AO9", "24AO⁹"), =HYPERLINK("CSG11.html#group24L11", "24L¹¹"), =HYPERLINK("CSG11.html#group24M11", "24M¹¹")</f>
        <v/>
      </c>
      <c r="L6376" t="inlineStr"/>
      <c r="M6376">
        <f>HYPERLINK("CSG9.html#group24AO9", "24AO⁹"), =HYPERLINK("CSG11.html#group24L11", "24L¹¹"), =HYPERLINK("CSG4.html#group24S4", "24S⁴"), =HYPERLINK("CSG0.html#group8A0", "8A⁰"), =HYPERLINK("CSG0.html#group1A0", "1A⁰"), =HYPERLINK("CSG1.html#group24A1", "24A¹"), =HYPERLINK("CSG1.html#group12Q1", "12Q¹"), =HYPERLINK("CSG0.html#group3C0", "3C⁰"), =HYPERLINK("CSG0.html#group8M0", "8M⁰"), =HYPERLINK("CSG0.html#group3A0", "3A⁰"), =HYPERLINK("CSG2.html#group24G2", "24G²"), =HYPERLINK("CSG4.html#group24T4", "24T⁴"), =HYPERLINK("CSG5.html#group24P5", "24P⁵"), =HYPERLINK("CSG9.html#group24AM9", "24AM⁹"), =HYPERLINK("CSG1.html#group12G1", "12G¹"), =HYPERLINK("CSG9.html#group24AL9", "24AL⁹"), =HYPERLINK("CSG0.html#group6B0", "6B⁰"), =HYPERLINK("CSG3.html#group24D3", "24D³"), =HYPERLINK("CSG9.html#group24AN9", "24AN⁹"), =HYPERLINK("CSG5.html#group24O5", "24O⁵"), =HYPERLINK("CSG0.html#group12F0", "12F⁰"), =HYPERLINK("CSG1.html#group24B1", "24B¹"), =HYPERLINK("CSG11.html#group24M11", "24M¹¹"), =HYPERLINK("CSG1.html#group24F1", "24F¹"), =HYPERLINK("CSG3.html#group24E3", "24E³"), =HYPERLINK("CSG0.html#group12A0", "12A⁰"), =HYPERLINK("CSG0.html#group8F0", "8F⁰"), =HYPERLINK("CSG2.html#group24K2", "24K²"), =HYPERLINK("CSG0.html#group6E0", "6E⁰"), =HYPERLINK("CSG0.html#group4A0", "4A⁰"), =HYPERLINK("CSG3.html#group24AB3", "24AB³"), =HYPERLINK("CSG2.html#group24H2", "24H²")</f>
        <v/>
      </c>
      <c r="N6376" t="inlineStr"/>
    </row>
    <row r="6377">
      <c r="A6377" t="inlineStr">
        <is>
          <t>26A²¹</t>
        </is>
      </c>
      <c r="B6377" t="inlineStr"/>
      <c r="C6377" t="inlineStr">
        <is>
          <t>312</t>
        </is>
      </c>
      <c r="D6377" t="inlineStr">
        <is>
          <t>1</t>
        </is>
      </c>
      <c r="E6377" t="inlineStr">
        <is>
          <t>78</t>
        </is>
      </c>
      <c r="F6377" t="inlineStr">
        <is>
          <t>0</t>
        </is>
      </c>
      <c r="G6377" t="inlineStr">
        <is>
          <t>0</t>
        </is>
      </c>
      <c r="H6377" t="inlineStr">
        <is>
          <t>26¹²</t>
        </is>
      </c>
      <c r="I6377" t="n">
        <v>12</v>
      </c>
      <c r="J6377" t="inlineStr">
        <is>
          <t>6¹, 12⁶</t>
        </is>
      </c>
      <c r="K6377">
        <f>HYPERLINK("CSG8.html#group13A8", "13A⁸"), =HYPERLINK("CSG8.html#group26A8", "26A⁸"), =HYPERLINK("CSG11.html#group26A11", "26A¹¹")</f>
        <v/>
      </c>
      <c r="L6377" t="inlineStr"/>
      <c r="M6377">
        <f>HYPERLINK("CSG8.html#group13A8", "13A⁸"), =HYPERLINK("CSG3.html#group13A3", "13A³"), =HYPERLINK("CSG0.html#group2A0", "2A⁰"), =HYPERLINK("CSG8.html#group26A8", "26A⁸"), =HYPERLINK("CSG11.html#group26A11", "26A¹¹"), =HYPERLINK("CSG0.html#group1A0", "1A⁰")</f>
        <v/>
      </c>
      <c r="N6377" t="inlineStr"/>
    </row>
    <row r="6378">
      <c r="A6378" t="inlineStr">
        <is>
          <t>28A²¹</t>
        </is>
      </c>
      <c r="B6378" t="inlineStr"/>
      <c r="C6378" t="inlineStr">
        <is>
          <t>336</t>
        </is>
      </c>
      <c r="D6378" t="inlineStr">
        <is>
          <t>1</t>
        </is>
      </c>
      <c r="E6378" t="inlineStr">
        <is>
          <t>42</t>
        </is>
      </c>
      <c r="F6378" t="inlineStr">
        <is>
          <t>8</t>
        </is>
      </c>
      <c r="G6378" t="inlineStr">
        <is>
          <t>0</t>
        </is>
      </c>
      <c r="H6378" t="inlineStr">
        <is>
          <t>28¹²</t>
        </is>
      </c>
      <c r="I6378" t="n">
        <v>12</v>
      </c>
      <c r="J6378" t="inlineStr">
        <is>
          <t>6¹, 12³</t>
        </is>
      </c>
      <c r="K6378">
        <f>HYPERLINK("CSG5.html#group28F5", "28F⁵"), =HYPERLINK("CSG5.html#group28G5", "28G⁵"), =HYPERLINK("CSG7.html#group14B7", "14B⁷")</f>
        <v/>
      </c>
      <c r="L6378" t="inlineStr"/>
      <c r="M6378">
        <f>HYPERLINK("CSG5.html#group28F5", "28F⁵"), =HYPERLINK("CSG0.html#group14A0", "14A⁰"), =HYPERLINK("CSG2.html#group14B2", "14B²"), =HYPERLINK("CSG7.html#group14B7", "14B⁷"), =HYPERLINK("CSG5.html#group28G5", "28G⁵"), =HYPERLINK("CSG0.html#group7D0", "7D⁰"), =HYPERLINK("CSG0.html#group7G0", "7G⁰"), =HYPERLINK("CSG1.html#group14G1", "14G¹"), =HYPERLINK("CSG1.html#group7C1", "7C¹"), =HYPERLINK("CSG0.html#group1A0", "1A⁰"), =HYPERLINK("CSG0.html#group7C0", "7C⁰"), =HYPERLINK("CSG1.html#group7A1", "7A¹"), =HYPERLINK("CSG0.html#group7F0", "7F⁰"), =HYPERLINK("CSG3.html#group14F3", "14F³"), =HYPERLINK("CSG1.html#group14E1", "14E¹"), =HYPERLINK("CSG0.html#group7A0", "7A⁰")</f>
        <v/>
      </c>
      <c r="N6378" t="inlineStr"/>
    </row>
    <row r="6379">
      <c r="A6379" t="inlineStr">
        <is>
          <t>28B²¹</t>
        </is>
      </c>
      <c r="B6379" t="inlineStr"/>
      <c r="C6379" t="inlineStr">
        <is>
          <t>336</t>
        </is>
      </c>
      <c r="D6379" t="inlineStr">
        <is>
          <t>1</t>
        </is>
      </c>
      <c r="E6379" t="inlineStr">
        <is>
          <t>84</t>
        </is>
      </c>
      <c r="F6379" t="inlineStr">
        <is>
          <t>0</t>
        </is>
      </c>
      <c r="G6379" t="inlineStr">
        <is>
          <t>0</t>
        </is>
      </c>
      <c r="H6379" t="inlineStr">
        <is>
          <t>14⁸, 28⁸</t>
        </is>
      </c>
      <c r="I6379" t="n">
        <v>16</v>
      </c>
      <c r="J6379" t="inlineStr">
        <is>
          <t>1³, 3³, 6¹²</t>
        </is>
      </c>
      <c r="K6379">
        <f>HYPERLINK("CSG6.html#group28A6", "28A⁶"), =HYPERLINK("CSG7.html#group14D7", "14D⁷"), =HYPERLINK("CSG9.html#group28A9", "28A⁹"), =HYPERLINK("CSG11.html#group28A11", "28A¹¹")</f>
        <v/>
      </c>
      <c r="L6379" t="inlineStr"/>
      <c r="M6379">
        <f>HYPERLINK("CSG0.html#group14A0", "14A⁰"), =HYPERLINK("CSG1.html#group14B1", "14B¹"), =HYPERLINK("CSG2.html#group14C2", "14C²"), =HYPERLINK("CSG3.html#group28A3", "28A³"), =HYPERLINK("CSG9.html#group28A9", "28A⁹"), =HYPERLINK("CSG7.html#group14D7", "14D⁷"), =HYPERLINK("CSG0.html#group2B0", "2B⁰"), =HYPERLINK("CSG1.html#group14G1", "14G¹"), =HYPERLINK("CSG0.html#group4B0", "4B⁰"), =HYPERLINK("CSG0.html#group1A0", "1A⁰"), =HYPERLINK("CSG3.html#group14D3", "14D³"), =HYPERLINK("CSG11.html#group28A11", "28A¹¹"), =HYPERLINK("CSG6.html#group28A6", "28A⁶"), =HYPERLINK("CSG0.html#group7F0", "7F⁰"), =HYPERLINK("CSG3.html#group28B3", "28B³"), =HYPERLINK("CSG0.html#group7A0", "7A⁰")</f>
        <v/>
      </c>
      <c r="N6379" t="inlineStr"/>
    </row>
    <row r="6380">
      <c r="A6380" t="inlineStr">
        <is>
          <t>28C²¹</t>
        </is>
      </c>
      <c r="B6380" t="inlineStr"/>
      <c r="C6380" t="inlineStr">
        <is>
          <t>336</t>
        </is>
      </c>
      <c r="D6380" t="inlineStr">
        <is>
          <t>1</t>
        </is>
      </c>
      <c r="E6380" t="inlineStr">
        <is>
          <t>84</t>
        </is>
      </c>
      <c r="F6380" t="inlineStr">
        <is>
          <t>0</t>
        </is>
      </c>
      <c r="G6380" t="inlineStr">
        <is>
          <t>0</t>
        </is>
      </c>
      <c r="H6380" t="inlineStr">
        <is>
          <t>14⁸, 28⁸</t>
        </is>
      </c>
      <c r="I6380" t="n">
        <v>16</v>
      </c>
      <c r="J6380" t="inlineStr">
        <is>
          <t>1³, 3³, 6¹²</t>
        </is>
      </c>
      <c r="K6380">
        <f>HYPERLINK("CSG6.html#group28B6", "28B⁶"), =HYPERLINK("CSG7.html#group28E7", "28E⁷"), =HYPERLINK("CSG9.html#group14B9", "14B⁹"), =HYPERLINK("CSG11.html#group28A11", "28A¹¹")</f>
        <v/>
      </c>
      <c r="L6380" t="inlineStr"/>
      <c r="M6380">
        <f>HYPERLINK("CSG0.html#group2A0", "2A⁰"), =HYPERLINK("CSG7.html#group28E7", "28E⁷"), =HYPERLINK("CSG6.html#group28B6", "28B⁶"), =HYPERLINK("CSG1.html#group14B1", "14B¹"), =HYPERLINK("CSG3.html#group14B3", "14B³"), =HYPERLINK("CSG1.html#group14A1", "14A¹"), =HYPERLINK("CSG0.html#group2B0", "2B⁰"), =HYPERLINK("CSG0.html#group1A0", "1A⁰"), =HYPERLINK("CSG3.html#group14D3", "14D³"), =HYPERLINK("CSG11.html#group28A11", "28A¹¹"), =HYPERLINK("CSG3.html#group14C3", "14C³"), =HYPERLINK("CSG9.html#group14B9", "14B⁹"), =HYPERLINK("CSG0.html#group7F0", "7F⁰"), =HYPERLINK("CSG3.html#group28B3", "28B³"), =HYPERLINK("CSG0.html#group2C0", "2C⁰"), =HYPERLINK("CSG2.html#group28B2", "28B²"), =HYPERLINK("CSG0.html#group7A0", "7A⁰")</f>
        <v/>
      </c>
      <c r="N6380" t="inlineStr"/>
    </row>
    <row r="6381">
      <c r="A6381" t="inlineStr">
        <is>
          <t>28D²¹</t>
        </is>
      </c>
      <c r="B6381" t="inlineStr"/>
      <c r="C6381" t="inlineStr">
        <is>
          <t>336</t>
        </is>
      </c>
      <c r="D6381" t="inlineStr">
        <is>
          <t>1</t>
        </is>
      </c>
      <c r="E6381" t="inlineStr">
        <is>
          <t>84</t>
        </is>
      </c>
      <c r="F6381" t="inlineStr">
        <is>
          <t>0</t>
        </is>
      </c>
      <c r="G6381" t="inlineStr">
        <is>
          <t>0</t>
        </is>
      </c>
      <c r="H6381" t="inlineStr">
        <is>
          <t>14⁸, 28⁸</t>
        </is>
      </c>
      <c r="I6381" t="n">
        <v>16</v>
      </c>
      <c r="J6381" t="inlineStr">
        <is>
          <t>1³, 3³, 6¹²</t>
        </is>
      </c>
      <c r="K6381">
        <f>HYPERLINK("CSG6.html#group28C6", "28C⁶"), =HYPERLINK("CSG9.html#group14B9", "14B⁹"), =HYPERLINK("CSG9.html#group28A9", "28A⁹"), =HYPERLINK("CSG9.html#group28B9", "28B⁹")</f>
        <v/>
      </c>
      <c r="L6381" t="inlineStr"/>
      <c r="M6381">
        <f>HYPERLINK("CSG0.html#group2A0", "2A⁰"), =HYPERLINK("CSG1.html#group14B1", "14B¹"), =HYPERLINK("CSG9.html#group28B9", "28B⁹"), =HYPERLINK("CSG3.html#group14B3", "14B³"), =HYPERLINK("CSG0.html#group4C0", "4C⁰"), =HYPERLINK("CSG1.html#group14A1", "14A¹"), =HYPERLINK("CSG9.html#group28A9", "28A⁹"), =HYPERLINK("CSG3.html#group28A3", "28A³"), =HYPERLINK("CSG0.html#group2B0", "2B⁰"), =HYPERLINK("CSG0.html#group4E0", "4E⁰"), =HYPERLINK("CSG0.html#group4B0", "4B⁰"), =HYPERLINK("CSG0.html#group1A0", "1A⁰"), =HYPERLINK("CSG3.html#group14D3", "14D³"), =HYPERLINK("CSG2.html#group28C2", "28C²"), =HYPERLINK("CSG3.html#group14C3", "14C³"), =HYPERLINK("CSG9.html#group14B9", "14B⁹"), =HYPERLINK("CSG0.html#group7F0", "7F⁰"), =HYPERLINK("CSG6.html#group28C6", "28C⁶"), =HYPERLINK("CSG0.html#group2C0", "2C⁰"), =HYPERLINK("CSG0.html#group7A0", "7A⁰")</f>
        <v/>
      </c>
      <c r="N6381" t="inlineStr"/>
    </row>
    <row r="6382">
      <c r="A6382" t="inlineStr">
        <is>
          <t>28E²¹</t>
        </is>
      </c>
      <c r="B6382" t="inlineStr"/>
      <c r="C6382" t="inlineStr">
        <is>
          <t>336</t>
        </is>
      </c>
      <c r="D6382" t="inlineStr">
        <is>
          <t>1</t>
        </is>
      </c>
      <c r="E6382" t="inlineStr">
        <is>
          <t>84</t>
        </is>
      </c>
      <c r="F6382" t="inlineStr">
        <is>
          <t>0</t>
        </is>
      </c>
      <c r="G6382" t="inlineStr">
        <is>
          <t>0</t>
        </is>
      </c>
      <c r="H6382" t="inlineStr">
        <is>
          <t>14⁸, 28⁸</t>
        </is>
      </c>
      <c r="I6382" t="n">
        <v>16</v>
      </c>
      <c r="J6382" t="inlineStr">
        <is>
          <t>1³, 3³, 6¹²</t>
        </is>
      </c>
      <c r="K6382">
        <f>HYPERLINK("CSG3.html#group28C3", "28C³"), =HYPERLINK("CSG5.html#group28B5", "28B⁵"), =HYPERLINK("CSG7.html#group14C7", "14C⁷"), =HYPERLINK("CSG9.html#group28B9", "28B⁹"), =HYPERLINK("CSG11.html#group28A11", "28A¹¹")</f>
        <v/>
      </c>
      <c r="L6382" t="inlineStr"/>
      <c r="M6382">
        <f>HYPERLINK("CSG1.html#group14B1", "14B¹"), =HYPERLINK("CSG9.html#group28B9", "28B⁹"), =HYPERLINK("CSG7.html#group14C7", "14C⁷"), =HYPERLINK("CSG0.html#group4C0", "4C⁰"), =HYPERLINK("CSG0.html#group2B0", "2B⁰"), =HYPERLINK("CSG5.html#group28B5", "28B⁵"), =HYPERLINK("CSG0.html#group1A0", "1A⁰"), =HYPERLINK("CSG3.html#group14D3", "14D³"), =HYPERLINK("CSG2.html#group28C2", "28C²"), =HYPERLINK("CSG11.html#group28A11", "28A¹¹"), =HYPERLINK("CSG2.html#group14A2", "14A²"), =HYPERLINK("CSG0.html#group7B0", "7B⁰"), =HYPERLINK("CSG0.html#group7C0", "7C⁰"), =HYPERLINK("CSG1.html#group14C1", "14C¹"), =HYPERLINK("CSG0.html#group7F0", "7F⁰"), =HYPERLINK("CSG3.html#group28B3", "28B³"), =HYPERLINK("CSG3.html#group28C3", "28C³"), =HYPERLINK("CSG1.html#group7B1", "7B¹"), =HYPERLINK("CSG0.html#group7A0", "7A⁰")</f>
        <v/>
      </c>
      <c r="N6382" t="inlineStr"/>
    </row>
    <row r="6383">
      <c r="A6383" t="inlineStr">
        <is>
          <t>28F²¹</t>
        </is>
      </c>
      <c r="B6383" t="inlineStr"/>
      <c r="C6383" t="inlineStr">
        <is>
          <t>336</t>
        </is>
      </c>
      <c r="D6383" t="inlineStr">
        <is>
          <t>1</t>
        </is>
      </c>
      <c r="E6383" t="inlineStr">
        <is>
          <t>84</t>
        </is>
      </c>
      <c r="F6383" t="inlineStr">
        <is>
          <t>8</t>
        </is>
      </c>
      <c r="G6383" t="inlineStr">
        <is>
          <t>0</t>
        </is>
      </c>
      <c r="H6383" t="inlineStr">
        <is>
          <t>28¹²</t>
        </is>
      </c>
      <c r="I6383" t="n">
        <v>12</v>
      </c>
      <c r="J6383" t="inlineStr">
        <is>
          <t>6², 12⁶</t>
        </is>
      </c>
      <c r="K6383">
        <f>HYPERLINK("CSG1.html#group7C1", "7C¹"), =HYPERLINK("CSG6.html#group28H6", "28H⁶"), =HYPERLINK("CSG9.html#group28C9", "28C⁹"), =HYPERLINK("CSG11.html#group28B11", "28B¹¹")</f>
        <v/>
      </c>
      <c r="L6383" t="inlineStr"/>
      <c r="M6383">
        <f>HYPERLINK("CSG3.html#group28D3", "28D³"), =HYPERLINK("CSG6.html#group28H6", "28H⁶"), =HYPERLINK("CSG0.html#group7D0", "7D⁰"), =HYPERLINK("CSG0.html#group4A0", "4A⁰"), =HYPERLINK("CSG0.html#group7C0", "7C⁰"), =HYPERLINK("CSG1.html#group7A1", "7A¹"), =HYPERLINK("CSG0.html#group7F0", "7F⁰"), =HYPERLINK("CSG0.html#group7G0", "7G⁰"), =HYPERLINK("CSG1.html#group7C1", "7C¹"), =HYPERLINK("CSG4.html#group28B4", "28B⁴"), =HYPERLINK("CSG1.html#group28A1", "28A¹"), =HYPERLINK("CSG0.html#group1A0", "1A⁰"), =HYPERLINK("CSG9.html#group28C9", "28C⁹"), =HYPERLINK("CSG11.html#group28B11", "28B¹¹"), =HYPERLINK("CSG0.html#group7A0", "7A⁰")</f>
        <v/>
      </c>
      <c r="N6383" t="inlineStr"/>
    </row>
    <row r="6384">
      <c r="A6384" t="inlineStr">
        <is>
          <t>28G²¹</t>
        </is>
      </c>
      <c r="B6384" t="inlineStr"/>
      <c r="C6384" t="inlineStr">
        <is>
          <t>336</t>
        </is>
      </c>
      <c r="D6384" t="inlineStr">
        <is>
          <t>1</t>
        </is>
      </c>
      <c r="E6384" t="inlineStr">
        <is>
          <t>84</t>
        </is>
      </c>
      <c r="F6384" t="inlineStr">
        <is>
          <t>8</t>
        </is>
      </c>
      <c r="G6384" t="inlineStr">
        <is>
          <t>0</t>
        </is>
      </c>
      <c r="H6384" t="inlineStr">
        <is>
          <t>28¹²</t>
        </is>
      </c>
      <c r="I6384" t="n">
        <v>12</v>
      </c>
      <c r="J6384" t="inlineStr">
        <is>
          <t>2³, 6³, 12¹²</t>
        </is>
      </c>
      <c r="K6384">
        <f>HYPERLINK("CSG5.html#group28F5", "28F⁵"), =HYPERLINK("CSG7.html#group14D7", "14D⁷")</f>
        <v/>
      </c>
      <c r="L6384" t="inlineStr"/>
      <c r="M6384">
        <f>HYPERLINK("CSG5.html#group28F5", "28F⁵"), =HYPERLINK("CSG0.html#group14A0", "14A⁰"), =HYPERLINK("CSG1.html#group14B1", "14B¹"), =HYPERLINK("CSG2.html#group14C2", "14C²"), =HYPERLINK("CSG7.html#group14D7", "14D⁷"), =HYPERLINK("CSG0.html#group2B0", "2B⁰"), =HYPERLINK("CSG1.html#group14G1", "14G¹"), =HYPERLINK("CSG0.html#group1A0", "1A⁰"), =HYPERLINK("CSG3.html#group14D3", "14D³"), =HYPERLINK("CSG0.html#group7F0", "7F⁰"), =HYPERLINK("CSG0.html#group7A0", "7A⁰")</f>
        <v/>
      </c>
      <c r="N6384" t="inlineStr"/>
    </row>
    <row r="6385">
      <c r="A6385" t="inlineStr">
        <is>
          <t>28H²¹</t>
        </is>
      </c>
      <c r="B6385" t="inlineStr"/>
      <c r="C6385" t="inlineStr">
        <is>
          <t>336</t>
        </is>
      </c>
      <c r="D6385" t="inlineStr">
        <is>
          <t>1</t>
        </is>
      </c>
      <c r="E6385" t="inlineStr">
        <is>
          <t>84</t>
        </is>
      </c>
      <c r="F6385" t="inlineStr">
        <is>
          <t>8</t>
        </is>
      </c>
      <c r="G6385" t="inlineStr">
        <is>
          <t>0</t>
        </is>
      </c>
      <c r="H6385" t="inlineStr">
        <is>
          <t>28¹²</t>
        </is>
      </c>
      <c r="I6385" t="n">
        <v>12</v>
      </c>
      <c r="J6385" t="inlineStr">
        <is>
          <t>2³, 6³, 12¹²</t>
        </is>
      </c>
      <c r="K6385">
        <f>HYPERLINK("CSG5.html#group28G5", "28G⁵"), =HYPERLINK("CSG7.html#group14D7", "14D⁷")</f>
        <v/>
      </c>
      <c r="L6385" t="inlineStr"/>
      <c r="M6385">
        <f>HYPERLINK("CSG0.html#group14A0", "14A⁰"), =HYPERLINK("CSG5.html#group28G5", "28G⁵"), =HYPERLINK("CSG1.html#group14B1", "14B¹"), =HYPERLINK("CSG2.html#group14C2", "14C²"), =HYPERLINK("CSG7.html#group14D7", "14D⁷"), =HYPERLINK("CSG0.html#group2B0", "2B⁰"), =HYPERLINK("CSG1.html#group14G1", "14G¹"), =HYPERLINK("CSG0.html#group1A0", "1A⁰"), =HYPERLINK("CSG3.html#group14D3", "14D³"), =HYPERLINK("CSG0.html#group7F0", "7F⁰"), =HYPERLINK("CSG0.html#group7A0", "7A⁰")</f>
        <v/>
      </c>
      <c r="N6385" t="inlineStr"/>
    </row>
    <row r="6386">
      <c r="A6386" t="inlineStr">
        <is>
          <t>28I²¹</t>
        </is>
      </c>
      <c r="B6386" t="inlineStr"/>
      <c r="C6386" t="inlineStr">
        <is>
          <t>336</t>
        </is>
      </c>
      <c r="D6386" t="inlineStr">
        <is>
          <t>1</t>
        </is>
      </c>
      <c r="E6386" t="inlineStr">
        <is>
          <t>168</t>
        </is>
      </c>
      <c r="F6386" t="inlineStr">
        <is>
          <t>8</t>
        </is>
      </c>
      <c r="G6386" t="inlineStr">
        <is>
          <t>0</t>
        </is>
      </c>
      <c r="H6386" t="inlineStr">
        <is>
          <t>28¹²</t>
        </is>
      </c>
      <c r="I6386" t="n">
        <v>12</v>
      </c>
      <c r="J6386" t="inlineStr">
        <is>
          <t>1², 2², 3², 6¹⁰, 12⁸</t>
        </is>
      </c>
      <c r="K6386">
        <f>HYPERLINK("CSG5.html#group28C5", "28C⁵"), =HYPERLINK("CSG9.html#group28B9", "28B⁹")</f>
        <v/>
      </c>
      <c r="L6386" t="inlineStr"/>
      <c r="M6386">
        <f>HYPERLINK("CSG2.html#group28C2", "28C²"), =HYPERLINK("CSG1.html#group14B1", "14B¹"), =HYPERLINK("CSG9.html#group28B9", "28B⁹"), =HYPERLINK("CSG0.html#group4C0", "4C⁰"), =HYPERLINK("CSG0.html#group7F0", "7F⁰"), =HYPERLINK("CSG5.html#group28C5", "28C⁵"), =HYPERLINK("CSG0.html#group2B0", "2B⁰"), =HYPERLINK("CSG0.html#group1A0", "1A⁰"), =HYPERLINK("CSG0.html#group7A0", "7A⁰"), =HYPERLINK("CSG3.html#group14D3", "14D³")</f>
        <v/>
      </c>
      <c r="N6386" t="inlineStr"/>
    </row>
    <row r="6387">
      <c r="A6387" t="inlineStr">
        <is>
          <t>28J²¹</t>
        </is>
      </c>
      <c r="B6387" t="inlineStr"/>
      <c r="C6387" t="inlineStr">
        <is>
          <t>336</t>
        </is>
      </c>
      <c r="D6387" t="inlineStr">
        <is>
          <t>1</t>
        </is>
      </c>
      <c r="E6387" t="inlineStr">
        <is>
          <t>168</t>
        </is>
      </c>
      <c r="F6387" t="inlineStr">
        <is>
          <t>8</t>
        </is>
      </c>
      <c r="G6387" t="inlineStr">
        <is>
          <t>0</t>
        </is>
      </c>
      <c r="H6387" t="inlineStr">
        <is>
          <t>28¹²</t>
        </is>
      </c>
      <c r="I6387" t="n">
        <v>12</v>
      </c>
      <c r="J6387" t="inlineStr">
        <is>
          <t>1², 2², 3², 6¹⁰, 12⁸</t>
        </is>
      </c>
      <c r="K6387">
        <f>HYPERLINK("CSG5.html#group28D5", "28D⁵"), =HYPERLINK("CSG6.html#group28H6", "28H⁶"), =HYPERLINK("CSG9.html#group28B9", "28B⁹")</f>
        <v/>
      </c>
      <c r="L6387" t="inlineStr"/>
      <c r="M6387">
        <f>HYPERLINK("CSG2.html#group28C2", "28C²"), =HYPERLINK("CSG6.html#group28H6", "28H⁶"), =HYPERLINK("CSG1.html#group14B1", "14B¹"), =HYPERLINK("CSG9.html#group28B9", "28B⁹"), =HYPERLINK("CSG0.html#group4A0", "4A⁰"), =HYPERLINK("CSG5.html#group28D5", "28D⁵"), =HYPERLINK("CSG0.html#group4C0", "4C⁰"), =HYPERLINK("CSG0.html#group7F0", "7F⁰"), =HYPERLINK("CSG0.html#group2B0", "2B⁰"), =HYPERLINK("CSG0.html#group4F0", "4F⁰"), =HYPERLINK("CSG1.html#group28A1", "28A¹"), =HYPERLINK("CSG0.html#group1A0", "1A⁰"), =HYPERLINK("CSG0.html#group7A0", "7A⁰"), =HYPERLINK("CSG3.html#group14D3", "14D³")</f>
        <v/>
      </c>
      <c r="N6387" t="inlineStr"/>
    </row>
    <row r="6388">
      <c r="A6388" t="inlineStr">
        <is>
          <t>28K²¹</t>
        </is>
      </c>
      <c r="B6388" t="inlineStr"/>
      <c r="C6388" t="inlineStr">
        <is>
          <t>336</t>
        </is>
      </c>
      <c r="D6388" t="inlineStr">
        <is>
          <t>2</t>
        </is>
      </c>
      <c r="E6388" t="inlineStr">
        <is>
          <t>56</t>
        </is>
      </c>
      <c r="F6388" t="inlineStr">
        <is>
          <t>0</t>
        </is>
      </c>
      <c r="G6388" t="inlineStr">
        <is>
          <t>6</t>
        </is>
      </c>
      <c r="H6388" t="inlineStr">
        <is>
          <t>28¹²</t>
        </is>
      </c>
      <c r="I6388" t="n">
        <v>12</v>
      </c>
      <c r="J6388" t="inlineStr">
        <is>
          <t>4⁴, 12⁸</t>
        </is>
      </c>
      <c r="K6388">
        <f>HYPERLINK("CSG3.html#group14E3", "14E³"), =HYPERLINK("CSG7.html#group28A7", "28A⁷"), =HYPERLINK("CSG9.html#group28E9", "28E⁹")</f>
        <v/>
      </c>
      <c r="L6388" t="inlineStr"/>
      <c r="M6388">
        <f>HYPERLINK("CSG0.html#group2A0", "2A⁰"), =HYPERLINK("CSG0.html#group14A0", "14A⁰"), =HYPERLINK("CSG9.html#group28E9", "28E⁹"), =HYPERLINK("CSG3.html#group28D3", "28D³"), =HYPERLINK("CSG2.html#group28E2", "28E²"), =HYPERLINK("CSG1.html#group14A1", "14A¹"), =HYPERLINK("CSG1.html#group14D1", "14D¹"), =HYPERLINK("CSG0.html#group1A0", "1A⁰"), =HYPERLINK("CSG1.html#group14F1", "14F¹"), =HYPERLINK("CSG3.html#group14E3", "14E³"), =HYPERLINK("CSG0.html#group4A0", "4A⁰"), =HYPERLINK("CSG4.html#group28A4", "28A⁴"), =HYPERLINK("CSG0.html#group7C0", "7C⁰"), =HYPERLINK("CSG0.html#group4D0", "4D⁰"), =HYPERLINK("CSG7.html#group28A7", "28A⁷"), =HYPERLINK("CSG1.html#group28A1", "28A¹"), =HYPERLINK("CSG0.html#group7A0", "7A⁰")</f>
        <v/>
      </c>
      <c r="N6388" t="inlineStr"/>
    </row>
    <row r="6389">
      <c r="A6389" t="inlineStr">
        <is>
          <t>28L²¹</t>
        </is>
      </c>
      <c r="B6389" t="inlineStr"/>
      <c r="C6389" t="inlineStr">
        <is>
          <t>336</t>
        </is>
      </c>
      <c r="D6389" t="inlineStr">
        <is>
          <t>2</t>
        </is>
      </c>
      <c r="E6389" t="inlineStr">
        <is>
          <t>168</t>
        </is>
      </c>
      <c r="F6389" t="inlineStr">
        <is>
          <t>0</t>
        </is>
      </c>
      <c r="G6389" t="inlineStr">
        <is>
          <t>6</t>
        </is>
      </c>
      <c r="H6389" t="inlineStr">
        <is>
          <t>28¹²</t>
        </is>
      </c>
      <c r="I6389" t="n">
        <v>12</v>
      </c>
      <c r="J6389" t="inlineStr">
        <is>
          <t>12²⁸</t>
        </is>
      </c>
      <c r="K6389">
        <f>HYPERLINK("CSG3.html#group14E3", "14E³"), =HYPERLINK("CSG9.html#group28D9", "28D⁹")</f>
        <v/>
      </c>
      <c r="L6389" t="inlineStr"/>
      <c r="M6389">
        <f>HYPERLINK("CSG0.html#group2A0", "2A⁰"), =HYPERLINK("CSG0.html#group14A0", "14A⁰"), =HYPERLINK("CSG1.html#group14D1", "14D¹"), =HYPERLINK("CSG9.html#group28D9", "28D⁹"), =HYPERLINK("CSG1.html#group14F1", "14F¹"), =HYPERLINK("CSG3.html#group14E3", "14E³"), =HYPERLINK("CSG0.html#group7C0", "7C⁰"), =HYPERLINK("CSG1.html#group14A1", "14A¹"), =HYPERLINK("CSG0.html#group1A0", "1A⁰"), =HYPERLINK("CSG0.html#group7A0", "7A⁰")</f>
        <v/>
      </c>
      <c r="N6389" t="inlineStr"/>
    </row>
    <row r="6390">
      <c r="A6390" t="inlineStr">
        <is>
          <t>28M²¹</t>
        </is>
      </c>
      <c r="B6390" t="inlineStr"/>
      <c r="C6390" t="inlineStr">
        <is>
          <t>384</t>
        </is>
      </c>
      <c r="D6390" t="inlineStr">
        <is>
          <t>1</t>
        </is>
      </c>
      <c r="E6390" t="inlineStr">
        <is>
          <t>8</t>
        </is>
      </c>
      <c r="F6390" t="inlineStr">
        <is>
          <t>0</t>
        </is>
      </c>
      <c r="G6390" t="inlineStr">
        <is>
          <t>0</t>
        </is>
      </c>
      <c r="H6390" t="inlineStr">
        <is>
          <t>4¹², 28¹²</t>
        </is>
      </c>
      <c r="I6390" t="n">
        <v>24</v>
      </c>
      <c r="J6390" t="inlineStr">
        <is>
          <t>1², 6¹</t>
        </is>
      </c>
      <c r="K6390">
        <f>HYPERLINK("CSG5.html#group28I5", "28I⁵"), =HYPERLINK("CSG9.html#group28F9", "28F⁹"), =HYPERLINK("CSG11.html#group28E11", "28E¹¹"), =HYPERLINK("CSG11.html#group28F11", "28F¹¹")</f>
        <v/>
      </c>
      <c r="L6390" t="inlineStr"/>
      <c r="M6390">
        <f>HYPERLINK("CSG0.html#group2A0", "2A⁰"), =HYPERLINK("CSG0.html#group28A0", "28A⁰"), =HYPERLINK("CSG11.html#group28F11", "28F¹¹"), =HYPERLINK("CSG2.html#group28D2", "28D²"), =HYPERLINK("CSG0.html#group4C0", "4C⁰"), =HYPERLINK("CSG0.html#group4G0", "4G⁰"), =HYPERLINK("CSG0.html#group2B0", "2B⁰"), =HYPERLINK("CSG5.html#group28I5", "28I⁵"), =HYPERLINK("CSG0.html#group4E0", "4E⁰"), =HYPERLINK("CSG2.html#group14E2", "14E²"), =HYPERLINK("CSG0.html#group4B0", "4B⁰"), =HYPERLINK("CSG6.html#group28E6", "28E⁶"), =HYPERLINK("CSG0.html#group1A0", "1A⁰"), =HYPERLINK("CSG3.html#group28E3", "28E³"), =HYPERLINK("CSG4.html#group28D4", "28D⁴"), =HYPERLINK("CSG6.html#group28G6", "28G⁶"), =HYPERLINK("CSG2.html#group28A2", "28A²"), =HYPERLINK("CSG4.html#group28E4", "28E⁴"), =HYPERLINK("CSG11.html#group28E11", "28E¹¹"), =HYPERLINK("CSG5.html#group28E5", "28E⁵"), =HYPERLINK("CSG9.html#group28F9", "28F⁹"), =HYPERLINK("CSG0.html#group7B0", "7B⁰"), =HYPERLINK("CSG0.html#group4A0", "4A⁰"), =HYPERLINK("CSG0.html#group4D0", "4D⁰"), =HYPERLINK("CSG1.html#group14C1", "14C¹"), =HYPERLINK("CSG0.html#group14B0", "14B⁰"), =HYPERLINK("CSG0.html#group4F0", "4F⁰"), =HYPERLINK("CSG3.html#group28C3", "28C³"), =HYPERLINK("CSG0.html#group2C0", "2C⁰")</f>
        <v/>
      </c>
      <c r="N6390" t="inlineStr"/>
    </row>
    <row r="6391">
      <c r="A6391" t="inlineStr">
        <is>
          <t>28N²¹</t>
        </is>
      </c>
      <c r="B6391" t="inlineStr"/>
      <c r="C6391" t="inlineStr">
        <is>
          <t>384</t>
        </is>
      </c>
      <c r="D6391" t="inlineStr">
        <is>
          <t>1</t>
        </is>
      </c>
      <c r="E6391" t="inlineStr">
        <is>
          <t>32</t>
        </is>
      </c>
      <c r="F6391" t="inlineStr">
        <is>
          <t>0</t>
        </is>
      </c>
      <c r="G6391" t="inlineStr">
        <is>
          <t>0</t>
        </is>
      </c>
      <c r="H6391" t="inlineStr">
        <is>
          <t>4¹², 28¹²</t>
        </is>
      </c>
      <c r="I6391" t="n">
        <v>24</v>
      </c>
      <c r="J6391" t="inlineStr">
        <is>
          <t>2⁴, 12²</t>
        </is>
      </c>
      <c r="K6391">
        <f>HYPERLINK("CSG5.html#group28I5", "28I⁵"), =HYPERLINK("CSG6.html#group28D6", "28D⁶"), =HYPERLINK("CSG11.html#group28G11", "28G¹¹")</f>
        <v/>
      </c>
      <c r="L6391" t="inlineStr"/>
      <c r="M6391">
        <f>HYPERLINK("CSG0.html#group2A0", "2A⁰"), =HYPERLINK("CSG6.html#group28F6", "28F⁶"), =HYPERLINK("CSG0.html#group28A0", "28A⁰"), =HYPERLINK("CSG0.html#group4A0", "4A⁰"), =HYPERLINK("CSG0.html#group7B0", "7B⁰"), =HYPERLINK("CSG0.html#group4D0", "4D⁰"), =HYPERLINK("CSG6.html#group28D6", "28D⁶"), =HYPERLINK("CSG2.html#group14D2", "14D²"), =HYPERLINK("CSG0.html#group14B0", "14B⁰"), =HYPERLINK("CSG0.html#group7E0", "7E⁰"), =HYPERLINK("CSG5.html#group28I5", "28I⁵"), =HYPERLINK("CSG3.html#group28E3", "28E³"), =HYPERLINK("CSG0.html#group1A0", "1A⁰"), =HYPERLINK("CSG11.html#group28G11", "28G¹¹"), =HYPERLINK("CSG2.html#group28A2", "28A²")</f>
        <v/>
      </c>
      <c r="N6391" t="inlineStr"/>
    </row>
    <row r="6392">
      <c r="A6392" t="inlineStr">
        <is>
          <t>30A²¹</t>
        </is>
      </c>
      <c r="B6392" t="inlineStr"/>
      <c r="C6392" t="inlineStr">
        <is>
          <t>360</t>
        </is>
      </c>
      <c r="D6392" t="inlineStr">
        <is>
          <t>1</t>
        </is>
      </c>
      <c r="E6392" t="inlineStr">
        <is>
          <t>45</t>
        </is>
      </c>
      <c r="F6392" t="inlineStr">
        <is>
          <t>16</t>
        </is>
      </c>
      <c r="G6392" t="inlineStr">
        <is>
          <t>0</t>
        </is>
      </c>
      <c r="H6392" t="inlineStr">
        <is>
          <t>30¹²</t>
        </is>
      </c>
      <c r="I6392" t="n">
        <v>12</v>
      </c>
      <c r="J6392" t="inlineStr">
        <is>
          <t>1¹, 2², 4⁴, 8³</t>
        </is>
      </c>
      <c r="K6392">
        <f>HYPERLINK("CSG8.html#group15A8", "15A⁸"), =HYPERLINK("CSG9.html#group30O9", "30O⁹"), =HYPERLINK("CSG10.html#group30A10", "30A¹⁰"), =HYPERLINK("CSG10.html#group30I10", "30I¹⁰"), =HYPERLINK("CSG11.html#group30A11", "30A¹¹")</f>
        <v/>
      </c>
      <c r="L6392" t="inlineStr"/>
      <c r="M6392">
        <f>HYPERLINK("CSG8.html#group15A8", "15A⁸"), =HYPERLINK("CSG11.html#group30A11", "30A¹¹"), =HYPERLINK("CSG0.html#group5A0", "5A⁰"), =HYPERLINK("CSG0.html#group6B0", "6B⁰"), =HYPERLINK("CSG10.html#group30A10", "30A¹⁰"), =HYPERLINK("CSG10.html#group30I10", "30I¹⁰"), =HYPERLINK("CSG1.html#group15F1", "15F¹"), =HYPERLINK("CSG4.html#group30A4", "30A⁴"), =HYPERLINK("CSG3.html#group15H3", "15H³"), =HYPERLINK("CSG1.html#group10E1", "10E¹"), =HYPERLINK("CSG0.html#group1A0", "1A⁰"), =HYPERLINK("CSG9.html#group30O9", "30O⁹"), =HYPERLINK("CSG4.html#group15C4", "15C⁴"), =HYPERLINK("CSG4.html#group30F4", "30F⁴"), =HYPERLINK("CSG2.html#group30A2", "30A²"), =HYPERLINK("CSG5.html#group30L5", "30L⁵"), =HYPERLINK("CSG4.html#group30E4", "30E⁴"), =HYPERLINK("CSG2.html#group15A2", "15A²"), =HYPERLINK("CSG0.html#group6E0", "6E⁰"), =HYPERLINK("CSG0.html#group5E0", "5E⁰"), =HYPERLINK("CSG0.html#group3C0", "3C⁰"), =HYPERLINK("CSG0.html#group3A0", "3A⁰"), =HYPERLINK("CSG1.html#group15A1", "15A¹"), =HYPERLINK("CSG0.html#group15A0", "15A⁰")</f>
        <v/>
      </c>
      <c r="N6392" t="inlineStr"/>
    </row>
    <row r="6393">
      <c r="A6393" t="inlineStr">
        <is>
          <t>30B²¹</t>
        </is>
      </c>
      <c r="B6393" t="inlineStr"/>
      <c r="C6393" t="inlineStr">
        <is>
          <t>360</t>
        </is>
      </c>
      <c r="D6393" t="inlineStr">
        <is>
          <t>1</t>
        </is>
      </c>
      <c r="E6393" t="inlineStr">
        <is>
          <t>45</t>
        </is>
      </c>
      <c r="F6393" t="inlineStr">
        <is>
          <t>16</t>
        </is>
      </c>
      <c r="G6393" t="inlineStr">
        <is>
          <t>0</t>
        </is>
      </c>
      <c r="H6393" t="inlineStr">
        <is>
          <t>30¹²</t>
        </is>
      </c>
      <c r="I6393" t="n">
        <v>12</v>
      </c>
      <c r="J6393" t="inlineStr">
        <is>
          <t>1¹, 2², 4⁴, 8³</t>
        </is>
      </c>
      <c r="K6393">
        <f>HYPERLINK("CSG1.html#group30D1", "30D¹"), =HYPERLINK("CSG5.html#group30Q5", "30Q⁵"), =HYPERLINK("CSG8.html#group15B8", "15B⁸"), =HYPERLINK("CSG9.html#group30O9", "30O⁹"), =HYPERLINK("CSG10.html#group30B10", "30B¹⁰"), =HYPERLINK("CSG10.html#group30D10", "30D¹⁰"), =HYPERLINK("CSG10.html#group30E10", "30E¹⁰"), =HYPERLINK("CSG11.html#group30B11", "30B¹¹")</f>
        <v/>
      </c>
      <c r="L6393" t="inlineStr"/>
      <c r="M6393">
        <f>HYPERLINK("CSG0.html#group30A0", "30A⁰"), =HYPERLINK("CSG0.html#group5A0", "5A⁰"), =HYPERLINK("CSG0.html#group10D0", "10D⁰"), =HYPERLINK("CSG10.html#group30B10", "30B¹⁰"), =HYPERLINK("CSG0.html#group5B0", "5B⁰"), =HYPERLINK("CSG2.html#group15D2", "15D²"), =HYPERLINK("CSG1.html#group15F1", "15F¹"), =HYPERLINK("CSG3.html#group30H3", "30H³"), =HYPERLINK("CSG0.html#group1A0", "1A⁰"), =HYPERLINK("CSG9.html#group30O9", "30O⁹"), =HYPERLINK("CSG10.html#group30D10", "30D¹⁰"), =HYPERLINK("CSG1.html#group30D1", "30D¹"), =HYPERLINK("CSG4.html#group30F4", "30F⁴"), =HYPERLINK("CSG5.html#group30L5", "30L⁵"), =HYPERLINK("CSG4.html#group30E4", "30E⁴"), =HYPERLINK("CSG2.html#group10C2", "10C²"), =HYPERLINK("CSG0.html#group3A0", "3A⁰"), =HYPERLINK("CSG11.html#group30B11", "30B¹¹"), =HYPERLINK("CSG0.html#group5G0", "5G⁰"), =HYPERLINK("CSG1.html#group15A1", "15A¹"), =HYPERLINK("CSG3.html#group15H3", "15H³"), =HYPERLINK("CSG0.html#group15C0", "15C⁰"), =HYPERLINK("CSG4.html#group15D4", "15D⁴"), =HYPERLINK("CSG0.html#group6B0", "6B⁰"), =HYPERLINK("CSG10.html#group30E10", "30E¹⁰"), =HYPERLINK("CSG1.html#group10E1", "10E¹"), =HYPERLINK("CSG2.html#group30F2", "30F²"), =HYPERLINK("CSG0.html#group10B0", "10B⁰"), =HYPERLINK("CSG5.html#group30Q5", "30Q⁵"), =HYPERLINK("CSG1.html#group15D1", "15D¹"), =HYPERLINK("CSG0.html#group15B0", "15B⁰"), =HYPERLINK("CSG2.html#group30A2", "30A²"), =HYPERLINK("CSG0.html#group5E0", "5E⁰"), =HYPERLINK("CSG8.html#group15B8", "15B⁸"), =HYPERLINK("CSG0.html#group5C0", "5C⁰"), =HYPERLINK("CSG1.html#group30C1", "30C¹"), =HYPERLINK("CSG0.html#group15A0", "15A⁰")</f>
        <v/>
      </c>
      <c r="N6393" t="inlineStr"/>
    </row>
    <row r="6394">
      <c r="A6394" t="inlineStr">
        <is>
          <t>30C²¹</t>
        </is>
      </c>
      <c r="B6394" t="inlineStr"/>
      <c r="C6394" t="inlineStr">
        <is>
          <t>360</t>
        </is>
      </c>
      <c r="D6394" t="inlineStr">
        <is>
          <t>1</t>
        </is>
      </c>
      <c r="E6394" t="inlineStr">
        <is>
          <t>90</t>
        </is>
      </c>
      <c r="F6394" t="inlineStr">
        <is>
          <t>8</t>
        </is>
      </c>
      <c r="G6394" t="inlineStr">
        <is>
          <t>0</t>
        </is>
      </c>
      <c r="H6394" t="inlineStr">
        <is>
          <t>15⁸, 30⁸</t>
        </is>
      </c>
      <c r="I6394" t="n">
        <v>16</v>
      </c>
      <c r="J6394" t="inlineStr">
        <is>
          <t>2³, 4⁹, 8⁶</t>
        </is>
      </c>
      <c r="K6394">
        <f>HYPERLINK("CSG5.html#group15A5", "15A⁵"), =HYPERLINK("CSG10.html#group30H10", "30H¹⁰"), =HYPERLINK("CSG11.html#group30C11", "30C¹¹")</f>
        <v/>
      </c>
      <c r="L6394" t="inlineStr"/>
      <c r="M6394">
        <f>HYPERLINK("CSG5.html#group30K5", "30K⁵"), =HYPERLINK("CSG11.html#group30C11", "30C¹¹"), =HYPERLINK("CSG1.html#group15D1", "15D¹"), =HYPERLINK("CSG10.html#group30H10", "30H¹⁰"), =HYPERLINK("CSG0.html#group5C0", "5C⁰"), =HYPERLINK("CSG0.html#group6G0", "6G⁰"), =HYPERLINK("CSG5.html#group15A5", "15A⁵"), =HYPERLINK("CSG0.html#group3C0", "3C⁰"), =HYPERLINK("CSG0.html#group2B0", "2B⁰"), =HYPERLINK("CSG2.html#group15D2", "15D²"), =HYPERLINK("CSG3.html#group15C3", "15C³"), =HYPERLINK("CSG0.html#group3A0", "3A⁰"), =HYPERLINK("CSG0.html#group1A0", "1A⁰"), =HYPERLINK("CSG0.html#group6D0", "6D⁰"), =HYPERLINK("CSG1.html#group10F1", "10F¹")</f>
        <v/>
      </c>
      <c r="N6394" t="inlineStr"/>
    </row>
    <row r="6395">
      <c r="A6395" t="inlineStr">
        <is>
          <t>30D²¹</t>
        </is>
      </c>
      <c r="B6395" t="inlineStr"/>
      <c r="C6395" t="inlineStr">
        <is>
          <t>360</t>
        </is>
      </c>
      <c r="D6395" t="inlineStr">
        <is>
          <t>1</t>
        </is>
      </c>
      <c r="E6395" t="inlineStr">
        <is>
          <t>90</t>
        </is>
      </c>
      <c r="F6395" t="inlineStr">
        <is>
          <t>16</t>
        </is>
      </c>
      <c r="G6395" t="inlineStr">
        <is>
          <t>0</t>
        </is>
      </c>
      <c r="H6395" t="inlineStr">
        <is>
          <t>30¹²</t>
        </is>
      </c>
      <c r="I6395" t="n">
        <v>12</v>
      </c>
      <c r="J6395" t="inlineStr">
        <is>
          <t>2³, 4⁹, 8⁶</t>
        </is>
      </c>
      <c r="K6395">
        <f>HYPERLINK("CSG5.html#group30Q5", "30Q⁵"), =HYPERLINK("CSG10.html#group30C10", "30C¹⁰"), =HYPERLINK("CSG10.html#group30H10", "30H¹⁰"), =HYPERLINK("CSG11.html#group30D11", "30D¹¹")</f>
        <v/>
      </c>
      <c r="L6395" t="inlineStr"/>
      <c r="M6395">
        <f>HYPERLINK("CSG11.html#group30D11", "30D¹¹"), =HYPERLINK("CSG0.html#group6B0", "6B⁰"), =HYPERLINK("CSG10.html#group30H10", "30H¹⁰"), =HYPERLINK("CSG0.html#group10D0", "10D⁰"), =HYPERLINK("CSG2.html#group15D2", "15D²"), =HYPERLINK("CSG0.html#group2B0", "2B⁰"), =HYPERLINK("CSG3.html#group30H3", "30H³"), =HYPERLINK("CSG2.html#group30F2", "30F²"), =HYPERLINK("CSG0.html#group1A0", "1A⁰"), =HYPERLINK("CSG10.html#group30C10", "30C¹⁰"), =HYPERLINK("CSG1.html#group10F1", "10F¹"), =HYPERLINK("CSG5.html#group30K5", "30K⁵"), =HYPERLINK("CSG5.html#group30Q5", "30Q⁵"), =HYPERLINK("CSG1.html#group15D1", "15D¹"), =HYPERLINK("CSG2.html#group10E2", "10E²"), =HYPERLINK("CSG0.html#group6H0", "6H⁰"), =HYPERLINK("CSG0.html#group3A0", "3A⁰"), =HYPERLINK("CSG0.html#group5C0", "5C⁰"), =HYPERLINK("CSG0.html#group6D0", "6D⁰")</f>
        <v/>
      </c>
      <c r="N6395" t="inlineStr"/>
    </row>
    <row r="6396">
      <c r="A6396" t="inlineStr">
        <is>
          <t>30E²¹</t>
        </is>
      </c>
      <c r="B6396" t="inlineStr"/>
      <c r="C6396" t="inlineStr">
        <is>
          <t>360</t>
        </is>
      </c>
      <c r="D6396" t="inlineStr">
        <is>
          <t>1</t>
        </is>
      </c>
      <c r="E6396" t="inlineStr">
        <is>
          <t>180</t>
        </is>
      </c>
      <c r="F6396" t="inlineStr">
        <is>
          <t>16</t>
        </is>
      </c>
      <c r="G6396" t="inlineStr">
        <is>
          <t>0</t>
        </is>
      </c>
      <c r="H6396" t="inlineStr">
        <is>
          <t>30¹²</t>
        </is>
      </c>
      <c r="I6396" t="n">
        <v>12</v>
      </c>
      <c r="J6396" t="inlineStr">
        <is>
          <t>4¹⁵, 8¹⁵</t>
        </is>
      </c>
      <c r="K6396">
        <f>HYPERLINK("CSG5.html#group30Q5", "30Q⁵"), =HYPERLINK("CSG10.html#group30G10", "30G¹⁰")</f>
        <v/>
      </c>
      <c r="L6396" t="inlineStr"/>
      <c r="M6396">
        <f>HYPERLINK("CSG5.html#group30Q5", "30Q⁵"), =HYPERLINK("CSG1.html#group15D1", "15D¹"), =HYPERLINK("CSG1.html#group10J1", "10J¹"), =HYPERLINK("CSG0.html#group6B0", "6B⁰"), =HYPERLINK("CSG3.html#group30H3", "30H³"), =HYPERLINK("CSG2.html#group30F2", "30F²"), =HYPERLINK("CSG0.html#group10D0", "10D⁰"), =HYPERLINK("CSG2.html#group15D2", "15D²"), =HYPERLINK("CSG0.html#group1A0", "1A⁰"), =HYPERLINK("CSG10.html#group30G10", "30G¹⁰"), =HYPERLINK("CSG0.html#group3A0", "3A⁰"), =HYPERLINK("CSG0.html#group5C0", "5C⁰")</f>
        <v/>
      </c>
      <c r="N6396" t="inlineStr"/>
    </row>
    <row r="6397">
      <c r="A6397" t="inlineStr">
        <is>
          <t>30F²¹</t>
        </is>
      </c>
      <c r="B6397" t="inlineStr"/>
      <c r="C6397" t="inlineStr">
        <is>
          <t>360</t>
        </is>
      </c>
      <c r="D6397" t="inlineStr">
        <is>
          <t>2</t>
        </is>
      </c>
      <c r="E6397" t="inlineStr">
        <is>
          <t>45</t>
        </is>
      </c>
      <c r="F6397" t="inlineStr">
        <is>
          <t>16</t>
        </is>
      </c>
      <c r="G6397" t="inlineStr">
        <is>
          <t>0</t>
        </is>
      </c>
      <c r="H6397" t="inlineStr">
        <is>
          <t>30¹²</t>
        </is>
      </c>
      <c r="I6397" t="n">
        <v>12</v>
      </c>
      <c r="J6397" t="inlineStr">
        <is>
          <t>2¹, 4⁴, 8⁹</t>
        </is>
      </c>
      <c r="K6397">
        <f>HYPERLINK("CSG7.html#group15C7", "15C⁷"), =HYPERLINK("CSG9.html#group30O9", "30O⁹"), =HYPERLINK("CSG10.html#group30D10", "30D¹⁰"), =HYPERLINK("CSG10.html#group30E10", "30E¹⁰"), =HYPERLINK("CSG10.html#group30I10", "30I¹⁰"), =HYPERLINK("CSG11.html#group30E11", "30E¹¹")</f>
        <v/>
      </c>
      <c r="L6397" t="inlineStr"/>
      <c r="M6397">
        <f>HYPERLINK("CSG7.html#group15C7", "15C⁷"), =HYPERLINK("CSG2.html#group15E2", "15E²"), =HYPERLINK("CSG0.html#group5A0", "5A⁰"), =HYPERLINK("CSG0.html#group6B0", "6B⁰"), =HYPERLINK("CSG10.html#group30I10", "30I¹⁰"), =HYPERLINK("CSG10.html#group30E10", "30E¹⁰"), =HYPERLINK("CSG1.html#group15F1", "15F¹"), =HYPERLINK("CSG11.html#group30E11", "30E¹¹"), =HYPERLINK("CSG3.html#group15H3", "15H³"), =HYPERLINK("CSG1.html#group10E1", "10E¹"), =HYPERLINK("CSG0.html#group1A0", "1A⁰"), =HYPERLINK("CSG9.html#group30O9", "30O⁹"), =HYPERLINK("CSG10.html#group30D10", "30D¹⁰"), =HYPERLINK("CSG4.html#group30F4", "30F⁴"), =HYPERLINK("CSG2.html#group30A2", "30A²"), =HYPERLINK("CSG5.html#group30L5", "30L⁵"), =HYPERLINK("CSG4.html#group30E4", "30E⁴"), =HYPERLINK("CSG0.html#group5E0", "5E⁰"), =HYPERLINK("CSG0.html#group3A0", "3A⁰"), =HYPERLINK("CSG1.html#group15A1", "15A¹"), =HYPERLINK("CSG0.html#group15A0", "15A⁰")</f>
        <v/>
      </c>
      <c r="N6397" t="inlineStr"/>
    </row>
    <row r="6398">
      <c r="A6398" t="inlineStr">
        <is>
          <t>30G²¹</t>
        </is>
      </c>
      <c r="B6398" t="inlineStr"/>
      <c r="C6398" t="inlineStr">
        <is>
          <t>432</t>
        </is>
      </c>
      <c r="D6398" t="inlineStr">
        <is>
          <t>1</t>
        </is>
      </c>
      <c r="E6398" t="inlineStr">
        <is>
          <t>18</t>
        </is>
      </c>
      <c r="F6398" t="inlineStr">
        <is>
          <t>0</t>
        </is>
      </c>
      <c r="G6398" t="inlineStr">
        <is>
          <t>0</t>
        </is>
      </c>
      <c r="H6398" t="inlineStr">
        <is>
          <t>3⁸, 6⁸, 15⁸, 30⁸</t>
        </is>
      </c>
      <c r="I6398" t="n">
        <v>32</v>
      </c>
      <c r="J6398" t="inlineStr">
        <is>
          <t>1⁶, 4³</t>
        </is>
      </c>
      <c r="K6398">
        <f>HYPERLINK("CSG5.html#group15C5", "15C⁵"), =HYPERLINK("CSG5.html#group30S5", "30S⁵"), =HYPERLINK("CSG9.html#group30Q9", "30Q⁹"), =HYPERLINK("CSG11.html#group30G11", "30G¹¹"), =HYPERLINK("CSG11.html#group30H11", "30H¹¹")</f>
        <v/>
      </c>
      <c r="L6398" t="inlineStr"/>
      <c r="M6398">
        <f>HYPERLINK("CSG0.html#group5B0", "5B⁰"), =HYPERLINK("CSG0.html#group6G0", "6G⁰"), =HYPERLINK("CSG0.html#group5D0", "5D⁰"), =HYPERLINK("CSG6.html#group30C6", "30C⁶"), =HYPERLINK("CSG0.html#group2B0", "2B⁰"), =HYPERLINK("CSG5.html#group30O5", "30O⁵"), =HYPERLINK("CSG11.html#group30H11", "30H¹¹"), =HYPERLINK("CSG1.html#group15H1", "15H¹"), =HYPERLINK("CSG0.html#group1A0", "1A⁰"), =HYPERLINK("CSG2.html#group15B2", "15B²"), =HYPERLINK("CSG0.html#group10C0", "10C⁰"), =HYPERLINK("CSG0.html#group3C0", "3C⁰"), =HYPERLINK("CSG5.html#group30S5", "30S⁵"), =HYPERLINK("CSG0.html#group6K0", "6K⁰"), =HYPERLINK("CSG0.html#group3A0", "3A⁰"), =HYPERLINK("CSG0.html#group6F0", "6F⁰"), =HYPERLINK("CSG0.html#group15C0", "15C⁰"), =HYPERLINK("CSG0.html#group3B0", "3B⁰"), =HYPERLINK("CSG11.html#group30G11", "30G¹¹"), =HYPERLINK("CSG1.html#group15G1", "15G¹"), =HYPERLINK("CSG3.html#group15F3", "15F³"), =HYPERLINK("CSG0.html#group10F0", "10F⁰"), =HYPERLINK("CSG1.html#group15C1", "15C¹"), =HYPERLINK("CSG0.html#group15B0", "15B⁰"), =HYPERLINK("CSG5.html#group15C5", "15C⁵"), =HYPERLINK("CSG2.html#group30E2", "30E²"), =HYPERLINK("CSG3.html#group15E3", "15E³"), =HYPERLINK("CSG9.html#group30Q9", "30Q⁹"), =HYPERLINK("CSG4.html#group30I4", "30I⁴"), =HYPERLINK("CSG3.html#group30K3", "30K³"), =HYPERLINK("CSG0.html#group3D0", "3D⁰"), =HYPERLINK("CSG0.html#group6D0", "6D⁰"), =HYPERLINK("CSG1.html#group15E1", "15E¹")</f>
        <v/>
      </c>
      <c r="N6398" t="inlineStr"/>
    </row>
    <row r="6399">
      <c r="A6399" t="inlineStr">
        <is>
          <t>30H²¹</t>
        </is>
      </c>
      <c r="B6399" t="inlineStr"/>
      <c r="C6399" t="inlineStr">
        <is>
          <t>432</t>
        </is>
      </c>
      <c r="D6399" t="inlineStr">
        <is>
          <t>1</t>
        </is>
      </c>
      <c r="E6399" t="inlineStr">
        <is>
          <t>54</t>
        </is>
      </c>
      <c r="F6399" t="inlineStr">
        <is>
          <t>16</t>
        </is>
      </c>
      <c r="G6399" t="inlineStr">
        <is>
          <t>0</t>
        </is>
      </c>
      <c r="H6399" t="inlineStr">
        <is>
          <t>6¹², 30¹²</t>
        </is>
      </c>
      <c r="I6399" t="n">
        <v>24</v>
      </c>
      <c r="J6399" t="inlineStr">
        <is>
          <t>1⁶, 2⁶, 4³, 8³</t>
        </is>
      </c>
      <c r="K6399">
        <f>HYPERLINK("CSG5.html#group30R5", "30R⁵"), =HYPERLINK("CSG9.html#group30Q9", "30Q⁹"), =HYPERLINK("CSG9.html#group30R9", "30R⁹"), =HYPERLINK("CSG11.html#group30I11", "30I¹¹"), =HYPERLINK("CSG11.html#group30J11", "30J¹¹"), =HYPERLINK("CSG11.html#group30K11", "30K¹¹")</f>
        <v/>
      </c>
      <c r="L6399" t="inlineStr"/>
      <c r="M6399">
        <f>HYPERLINK("CSG11.html#group30J11", "30J¹¹"), =HYPERLINK("CSG0.html#group30A0", "30A⁰"), =HYPERLINK("CSG0.html#group10G0", "10G⁰"), =HYPERLINK("CSG3.html#group30J3", "30J³"), =HYPERLINK("CSG9.html#group30R9", "30R⁹"), =HYPERLINK("CSG0.html#group5B0", "5B⁰"), =HYPERLINK("CSG0.html#group6G0", "6G⁰"), =HYPERLINK("CSG0.html#group2B0", "2B⁰"), =HYPERLINK("CSG5.html#group30O5", "30O⁵"), =HYPERLINK("CSG1.html#group15H1", "15H¹"), =HYPERLINK("CSG0.html#group1A0", "1A⁰"), =HYPERLINK("CSG5.html#group30P5", "30P⁵"), =HYPERLINK("CSG1.html#group30D1", "30D¹"), =HYPERLINK("CSG6.html#group30D6", "30D⁶"), =HYPERLINK("CSG11.html#group30K11", "30K¹¹"), =HYPERLINK("CSG0.html#group10C0", "10C⁰"), =HYPERLINK("CSG0.html#group3C0", "3C⁰"), =HYPERLINK("CSG0.html#group6H0", "6H⁰"), =HYPERLINK("CSG0.html#group3A0", "3A⁰"), =HYPERLINK("CSG11.html#group30I11", "30I¹¹"), =HYPERLINK("CSG0.html#group15C0", "15C⁰"), =HYPERLINK("CSG3.html#group30L3", "30L³"), =HYPERLINK("CSG0.html#group6B0", "6B⁰"), =HYPERLINK("CSG3.html#group30I3", "30I³"), =HYPERLINK("CSG1.html#group30C1", "30C¹"), =HYPERLINK("CSG0.html#group10B0", "10B⁰"), =HYPERLINK("CSG0.html#group15B0", "15B⁰"), =HYPERLINK("CSG5.html#group30R5", "30R⁵"), =HYPERLINK("CSG2.html#group30E2", "30E²"), =HYPERLINK("CSG0.html#group6E0", "6E⁰"), =HYPERLINK("CSG0.html#group6L0", "6L⁰"), =HYPERLINK("CSG9.html#group30Q9", "30Q⁹"), =HYPERLINK("CSG4.html#group30I4", "30I⁴"), =HYPERLINK("CSG4.html#group30H4", "30H⁴"), =HYPERLINK("CSG0.html#group6D0", "6D⁰"), =HYPERLINK("CSG1.html#group15E1", "15E¹"), =HYPERLINK("CSG2.html#group30C2", "30C²")</f>
        <v/>
      </c>
      <c r="N6399" t="inlineStr"/>
    </row>
    <row r="6400">
      <c r="A6400" t="inlineStr">
        <is>
          <t>32A²¹</t>
        </is>
      </c>
      <c r="B6400" t="inlineStr"/>
      <c r="C6400" t="inlineStr">
        <is>
          <t>384</t>
        </is>
      </c>
      <c r="D6400" t="inlineStr">
        <is>
          <t>1</t>
        </is>
      </c>
      <c r="E6400" t="inlineStr">
        <is>
          <t>3</t>
        </is>
      </c>
      <c r="F6400" t="inlineStr">
        <is>
          <t>0</t>
        </is>
      </c>
      <c r="G6400" t="inlineStr">
        <is>
          <t>0</t>
        </is>
      </c>
      <c r="H6400" t="inlineStr">
        <is>
          <t>8¹⁶, 32⁸</t>
        </is>
      </c>
      <c r="I6400" t="n">
        <v>24</v>
      </c>
      <c r="J6400" t="inlineStr">
        <is>
          <t>1³</t>
        </is>
      </c>
      <c r="K6400">
        <f>HYPERLINK("CSG9.html#group16C9", "16C⁹"), =HYPERLINK("CSG9.html#group32A9", "32A⁹"), =HYPERLINK("CSG9.html#group32K9", "32K⁹")</f>
        <v/>
      </c>
      <c r="L6400" t="inlineStr"/>
      <c r="M6400">
        <f>HYPERLINK("CSG0.html#group8A0", "8A⁰"), =HYPERLINK("CSG0.html#group2B0", "2B⁰"), =HYPERLINK("CSG0.html#group4B0", "4B⁰"), =HYPERLINK("CSG0.html#group8K0", "8K⁰"), =HYPERLINK("CSG0.html#group1A0", "1A⁰"), =HYPERLINK("CSG1.html#group8H1", "8H¹"), =HYPERLINK("CSG3.html#group32C3", "32C³"), =HYPERLINK("CSG2.html#group16A2", "16A²"), =HYPERLINK("CSG0.html#group16B0", "16B⁰"), =HYPERLINK("CSG0.html#group4D0", "4D⁰"), =HYPERLINK("CSG0.html#group16C0", "16C⁰"), =HYPERLINK("CSG9.html#group16C9", "16C⁹"), =HYPERLINK("CSG0.html#group8N0", "8N⁰"), =HYPERLINK("CSG1.html#group8A1", "8A¹"), =HYPERLINK("CSG0.html#group8D0", "8D⁰"), =HYPERLINK("CSG1.html#group16E1", "16E¹"), =HYPERLINK("CSG9.html#group32A9", "32A⁹"), =HYPERLINK("CSG2.html#group8B2", "8B²"), =HYPERLINK("CSG0.html#group8B0", "8B⁰"), =HYPERLINK("CSG3.html#group16B3", "16B³"), =HYPERLINK("CSG1.html#group16B1", "16B¹"), =HYPERLINK("CSG0.html#group8E0", "8E⁰"), =HYPERLINK("CSG1.html#group8D1", "8D¹"), =HYPERLINK("CSG3.html#group32J3", "32J³"), =HYPERLINK("CSG9.html#group32K9", "32K⁹"), =HYPERLINK("CSG3.html#group16K3", "16K³"), =HYPERLINK("CSG1.html#group8C1", "8C¹"), =HYPERLINK("CSG0.html#group4F0", "4F⁰"), =HYPERLINK("CSG0.html#group8J0", "8J⁰"), =HYPERLINK("CSG0.html#group2C0", "2C⁰"), =HYPERLINK("CSG0.html#group2A0", "2A⁰"), =HYPERLINK("CSG3.html#group8B3", "8B³"), =HYPERLINK("CSG0.html#group4C0", "4C⁰"), =HYPERLINK("CSG3.html#group16A3", "16A³"), =HYPERLINK("CSG0.html#group4G0", "4G⁰"), =HYPERLINK("CSG0.html#group8C0", "8C⁰"), =HYPERLINK("CSG0.html#group4E0", "4E⁰"), =HYPERLINK("CSG1.html#group16A1", "16A¹"), =HYPERLINK("CSG1.html#group8F1", "8F¹"), =HYPERLINK("CSG1.html#group32A1", "32A¹"), =HYPERLINK("CSG0.html#group8G0", "8G⁰"), =HYPERLINK("CSG5.html#group32A5", "32A⁵"), =HYPERLINK("CSG1.html#group16F1", "16F¹"), =HYPERLINK("CSG1.html#group16H1", "16H¹"), =HYPERLINK("CSG3.html#group16C3", "16C³"), =HYPERLINK("CSG1.html#group8B1", "8B¹"), =HYPERLINK("CSG3.html#group16H3", "16H³"), =HYPERLINK("CSG0.html#group8H0", "8H⁰"), =HYPERLINK("CSG2.html#group8A2", "8A²"), =HYPERLINK("CSG5.html#group16B5", "16B⁵"), =HYPERLINK("CSG0.html#group4A0", "4A⁰"), =HYPERLINK("CSG5.html#group16E5", "16E⁵")</f>
        <v/>
      </c>
      <c r="N6400" t="inlineStr"/>
    </row>
    <row r="6401">
      <c r="A6401" t="inlineStr">
        <is>
          <t>32B²¹</t>
        </is>
      </c>
      <c r="B6401" t="inlineStr"/>
      <c r="C6401" t="inlineStr">
        <is>
          <t>384</t>
        </is>
      </c>
      <c r="D6401" t="inlineStr">
        <is>
          <t>1</t>
        </is>
      </c>
      <c r="E6401" t="inlineStr">
        <is>
          <t>3</t>
        </is>
      </c>
      <c r="F6401" t="inlineStr">
        <is>
          <t>0</t>
        </is>
      </c>
      <c r="G6401" t="inlineStr">
        <is>
          <t>0</t>
        </is>
      </c>
      <c r="H6401" t="inlineStr">
        <is>
          <t>8¹⁶, 32⁸</t>
        </is>
      </c>
      <c r="I6401" t="n">
        <v>24</v>
      </c>
      <c r="J6401" t="inlineStr">
        <is>
          <t>1³</t>
        </is>
      </c>
      <c r="K6401">
        <f>HYPERLINK("CSG9.html#group16C9", "16C⁹"), =HYPERLINK("CSG9.html#group32B9", "32B⁹"), =HYPERLINK("CSG9.html#group32L9", "32L⁹")</f>
        <v/>
      </c>
      <c r="L6401" t="inlineStr"/>
      <c r="M6401">
        <f>HYPERLINK("CSG0.html#group2A0", "2A⁰"), =HYPERLINK("CSG3.html#group8B3", "8B³"), =HYPERLINK("CSG0.html#group4C0", "4C⁰"), =HYPERLINK("CSG0.html#group8A0", "8A⁰"), =HYPERLINK("CSG3.html#group16A3", "16A³"), =HYPERLINK("CSG0.html#group4G0", "4G⁰"), =HYPERLINK("CSG0.html#group2B0", "2B⁰"), =HYPERLINK("CSG0.html#group4E0", "4E⁰"), =HYPERLINK("CSG0.html#group8C0", "8C⁰"), =HYPERLINK("CSG1.html#group16A1", "16A¹"), =HYPERLINK("CSG0.html#group4B0", "4B⁰"), =HYPERLINK("CSG1.html#group8F1", "8F¹"), =HYPERLINK("CSG0.html#group8K0", "8K⁰"), =HYPERLINK("CSG0.html#group1A0", "1A⁰"), =HYPERLINK("CSG1.html#group8H1", "8H¹"), =HYPERLINK("CSG2.html#group16A2", "16A²"), =HYPERLINK("CSG0.html#group16B0", "16B⁰"), =HYPERLINK("CSG5.html#group16E5", "16E⁵"), =HYPERLINK("CSG5.html#group32B5", "32B⁵"), =HYPERLINK("CSG0.html#group8G0", "8G⁰"), =HYPERLINK("CSG0.html#group4D0", "4D⁰"), =HYPERLINK("CSG0.html#group16C0", "16C⁰"), =HYPERLINK("CSG0.html#group32A0", "32A⁰"), =HYPERLINK("CSG9.html#group32L9", "32L⁹"), =HYPERLINK("CSG1.html#group16F1", "16F¹"), =HYPERLINK("CSG1.html#group16H1", "16H¹"), =HYPERLINK("CSG3.html#group32B3", "32B³"), =HYPERLINK("CSG9.html#group16C9", "16C⁹"), =HYPERLINK("CSG0.html#group8N0", "8N⁰"), =HYPERLINK("CSG1.html#group8A1", "8A¹"), =HYPERLINK("CSG3.html#group16C3", "16C³"), =HYPERLINK("CSG0.html#group8D0", "8D⁰"), =HYPERLINK("CSG1.html#group16E1", "16E¹"), =HYPERLINK("CSG2.html#group8B2", "8B²"), =HYPERLINK("CSG0.html#group8B0", "8B⁰"), =HYPERLINK("CSG3.html#group16B3", "16B³"), =HYPERLINK("CSG1.html#group16B1", "16B¹"), =HYPERLINK("CSG0.html#group8E0", "8E⁰"), =HYPERLINK("CSG3.html#group32A3", "32A³"), =HYPERLINK("CSG1.html#group8B1", "8B¹"), =HYPERLINK("CSG3.html#group32K3", "32K³"), =HYPERLINK("CSG1.html#group8D1", "8D¹"), =HYPERLINK("CSG3.html#group16H3", "16H³"), =HYPERLINK("CSG0.html#group8H0", "8H⁰"), =HYPERLINK("CSG2.html#group8A2", "8A²"), =HYPERLINK("CSG3.html#group16K3", "16K³"), =HYPERLINK("CSG5.html#group16B5", "16B⁵"), =HYPERLINK("CSG1.html#group8C1", "8C¹"), =HYPERLINK("CSG0.html#group4A0", "4A⁰"), =HYPERLINK("CSG9.html#group32B9", "32B⁹"), =HYPERLINK("CSG2.html#group32A2", "32A²"), =HYPERLINK("CSG0.html#group4F0", "4F⁰"), =HYPERLINK("CSG0.html#group8J0", "8J⁰"), =HYPERLINK("CSG0.html#group2C0", "2C⁰")</f>
        <v/>
      </c>
      <c r="N6401" t="inlineStr"/>
    </row>
    <row r="6402">
      <c r="A6402" t="inlineStr">
        <is>
          <t>32C²¹</t>
        </is>
      </c>
      <c r="B6402" t="inlineStr"/>
      <c r="C6402" t="inlineStr">
        <is>
          <t>384</t>
        </is>
      </c>
      <c r="D6402" t="inlineStr">
        <is>
          <t>1</t>
        </is>
      </c>
      <c r="E6402" t="inlineStr">
        <is>
          <t>3</t>
        </is>
      </c>
      <c r="F6402" t="inlineStr">
        <is>
          <t>0</t>
        </is>
      </c>
      <c r="G6402" t="inlineStr">
        <is>
          <t>0</t>
        </is>
      </c>
      <c r="H6402" t="inlineStr">
        <is>
          <t>8¹⁶, 32⁸</t>
        </is>
      </c>
      <c r="I6402" t="n">
        <v>24</v>
      </c>
      <c r="J6402" t="inlineStr">
        <is>
          <t>1³</t>
        </is>
      </c>
      <c r="K6402">
        <f>HYPERLINK("CSG5.html#group16M5", "16M⁵"), =HYPERLINK("CSG10.html#group32A10", "32A¹⁰"), =HYPERLINK("CSG11.html#group32A11", "32A¹¹"), =HYPERLINK("CSG11.html#group32B11", "32B¹¹")</f>
        <v/>
      </c>
      <c r="L6402" t="inlineStr"/>
      <c r="M6402">
        <f>HYPERLINK("CSG0.html#group2A0", "2A⁰"), =HYPERLINK("CSG0.html#group16G0", "16G⁰"), =HYPERLINK("CSG1.html#group16I1", "16I¹"), =HYPERLINK("CSG5.html#group16M5", "16M⁵"), =HYPERLINK("CSG0.html#group4C0", "4C⁰"), =HYPERLINK("CSG0.html#group4G0", "4G⁰"), =HYPERLINK("CSG0.html#group2B0", "2B⁰"), =HYPERLINK("CSG11.html#group32B11", "32B¹¹"), =HYPERLINK("CSG0.html#group8C0", "8C⁰"), =HYPERLINK("CSG0.html#group4E0", "4E⁰"), =HYPERLINK("CSG0.html#group4B0", "4B⁰"), =HYPERLINK("CSG1.html#group8F1", "8F¹"), =HYPERLINK("CSG0.html#group1A0", "1A⁰"), =HYPERLINK("CSG0.html#group8L0", "8L⁰"), =HYPERLINK("CSG3.html#group16J3", "16J³"), =HYPERLINK("CSG0.html#group8K0", "8K⁰"), =HYPERLINK("CSG0.html#group16H0", "16H⁰"), =HYPERLINK("CSG0.html#group16E0", "16E⁰"), =HYPERLINK("CSG0.html#group8G0", "8G⁰"), =HYPERLINK("CSG10.html#group32A10", "32A¹⁰"), =HYPERLINK("CSG0.html#group4D0", "4D⁰"), =HYPERLINK("CSG1.html#group8G1", "8G¹"), =HYPERLINK("CSG0.html#group16C0", "16C⁰"), =HYPERLINK("CSG1.html#group16M1", "16M¹"), =HYPERLINK("CSG0.html#group8P0", "8P⁰"), =HYPERLINK("CSG11.html#group32A11", "32A¹¹"), =HYPERLINK("CSG5.html#group32I5", "32I⁵"), =HYPERLINK("CSG1.html#group16H1", "16H¹"), =HYPERLINK("CSG2.html#group16D2", "16D²"), =HYPERLINK("CSG0.html#group8N0", "8N⁰"), =HYPERLINK("CSG1.html#group8A1", "8A¹"), =HYPERLINK("CSG2.html#group16C2", "16C²"), =HYPERLINK("CSG0.html#group8D0", "8D⁰"), =HYPERLINK("CSG1.html#group8K1", "8K¹"), =HYPERLINK("CSG1.html#group16E1", "16E¹"), =HYPERLINK("CSG5.html#group32H5", "32H⁵"), =HYPERLINK("CSG0.html#group8B0", "8B⁰"), =HYPERLINK("CSG3.html#group32I3", "32I³"), =HYPERLINK("CSG1.html#group8B1", "8B¹"), =HYPERLINK("CSG0.html#group8I0", "8I⁰"), =HYPERLINK("CSG6.html#group32A6", "32A⁶"), =HYPERLINK("CSG2.html#group16L2", "16L²"), =HYPERLINK("CSG3.html#group16I3", "16I³"), =HYPERLINK("CSG1.html#group16A1", "16A¹"), =HYPERLINK("CSG3.html#group16H3", "16H³"), =HYPERLINK("CSG0.html#group8H0", "8H⁰"), =HYPERLINK("CSG1.html#group8C1", "8C¹"), =HYPERLINK("CSG1.html#group16G1", "16G¹"), =HYPERLINK("CSG0.html#group4A0", "4A⁰"), =HYPERLINK("CSG1.html#group16C1", "16C¹"), =HYPERLINK("CSG0.html#group16D0", "16D⁰"), =HYPERLINK("CSG6.html#group32B6", "32B⁶"), =HYPERLINK("CSG0.html#group4F0", "4F⁰"), =HYPERLINK("CSG0.html#group8J0", "8J⁰"), =HYPERLINK("CSG0.html#group2C0", "2C⁰"), =HYPERLINK("CSG0.html#group8O0", "8O⁰")</f>
        <v/>
      </c>
      <c r="N6402" t="inlineStr"/>
    </row>
    <row r="6403">
      <c r="A6403" t="inlineStr">
        <is>
          <t>32D²¹</t>
        </is>
      </c>
      <c r="B6403" t="inlineStr"/>
      <c r="C6403" t="inlineStr">
        <is>
          <t>384</t>
        </is>
      </c>
      <c r="D6403" t="inlineStr">
        <is>
          <t>1</t>
        </is>
      </c>
      <c r="E6403" t="inlineStr">
        <is>
          <t>6</t>
        </is>
      </c>
      <c r="F6403" t="inlineStr">
        <is>
          <t>0</t>
        </is>
      </c>
      <c r="G6403" t="inlineStr">
        <is>
          <t>0</t>
        </is>
      </c>
      <c r="H6403" t="inlineStr">
        <is>
          <t>8¹⁶, 32⁸</t>
        </is>
      </c>
      <c r="I6403" t="n">
        <v>24</v>
      </c>
      <c r="J6403" t="inlineStr">
        <is>
          <t>1², 2²</t>
        </is>
      </c>
      <c r="K6403">
        <f>HYPERLINK("CSG7.html#group32L7", "32L⁷"), =HYPERLINK("CSG9.html#group16D9", "16D⁹"), =HYPERLINK("CSG10.html#group32B10", "32B¹⁰"), =HYPERLINK("CSG10.html#group32C10", "32C¹⁰"), =HYPERLINK("CSG11.html#group32A11", "32A¹¹"), =HYPERLINK("CSG11.html#group32H11", "32H¹¹")</f>
        <v/>
      </c>
      <c r="L6403" t="inlineStr"/>
      <c r="M6403">
        <f>HYPERLINK("CSG9.html#group16D9", "16D⁹"), =HYPERLINK("CSG0.html#group2A0", "2A⁰"), =HYPERLINK("CSG0.html#group16G0", "16G⁰"), =HYPERLINK("CSG3.html#group8B3", "8B³"), =HYPERLINK("CSG1.html#group16I1", "16I¹"), =HYPERLINK("CSG0.html#group4C0", "4C⁰"), =HYPERLINK("CSG0.html#group8A0", "8A⁰"), =HYPERLINK("CSG0.html#group4G0", "4G⁰"), =HYPERLINK("CSG0.html#group2B0", "2B⁰"), =HYPERLINK("CSG0.html#group4E0", "4E⁰"), =HYPERLINK("CSG0.html#group8C0", "8C⁰"), =HYPERLINK("CSG1.html#group32D1", "32D¹"), =HYPERLINK("CSG0.html#group4B0", "4B⁰"), =HYPERLINK("CSG1.html#group8F1", "8F¹"), =HYPERLINK("CSG0.html#group1A0", "1A⁰"), =HYPERLINK("CSG0.html#group8K0", "8K⁰"), =HYPERLINK("CSG1.html#group8H1", "8H¹"), =HYPERLINK("CSG2.html#group16E2", "16E²"), =HYPERLINK("CSG3.html#group32Q3", "32Q³"), =HYPERLINK("CSG0.html#group16E0", "16E⁰"), =HYPERLINK("CSG4.html#group16B4", "16B⁴"), =HYPERLINK("CSG1.html#group16D1", "16D¹"), =HYPERLINK("CSG2.html#group16B2", "16B²"), =HYPERLINK("CSG0.html#group8G0", "8G⁰"), =HYPERLINK("CSG0.html#group4D0", "4D⁰"), =HYPERLINK("CSG11.html#group32A11", "32A¹¹"), =HYPERLINK("CSG7.html#group32L7", "32L⁷"), =HYPERLINK("CSG5.html#group32I5", "32I⁵"), =HYPERLINK("CSG3.html#group16E3", "16E³"), =HYPERLINK("CSG2.html#group16D2", "16D²"), =HYPERLINK("CSG0.html#group8N0", "8N⁰"), =HYPERLINK("CSG3.html#group16D3", "16D³"), =HYPERLINK("CSG1.html#group8A1", "8A¹"), =HYPERLINK("CSG2.html#group16C2", "16C²"), =HYPERLINK("CSG5.html#group16H5", "16H⁵"), =HYPERLINK("CSG4.html#group32C4", "32C⁴"), =HYPERLINK("CSG0.html#group8D0", "8D⁰"), =HYPERLINK("CSG2.html#group8B2", "8B²"), =HYPERLINK("CSG0.html#group8B0", "8B⁰"), =HYPERLINK("CSG11.html#group32H11", "32H¹¹"), =HYPERLINK("CSG0.html#group8E0", "8E⁰"), =HYPERLINK("CSG5.html#group32H5", "32H⁵"), =HYPERLINK("CSG3.html#group32I3", "32I³"), =HYPERLINK("CSG1.html#group8B1", "8B¹"), =HYPERLINK("CSG3.html#group32P3", "32P³"), =HYPERLINK("CSG6.html#group32A6", "32A⁶"), =HYPERLINK("CSG3.html#group16I3", "16I³"), =HYPERLINK("CSG1.html#group8D1", "8D¹"), =HYPERLINK("CSG0.html#group8H0", "8H⁰"), =HYPERLINK("CSG2.html#group8A2", "8A²"), =HYPERLINK("CSG10.html#group32C10", "32C¹⁰"), =HYPERLINK("CSG1.html#group8C1", "8C¹"), =HYPERLINK("CSG1.html#group32C1", "32C¹"), =HYPERLINK("CSG2.html#group32B2", "32B²"), =HYPERLINK("CSG0.html#group4A0", "4A⁰"), =HYPERLINK("CSG10.html#group32B10", "32B¹⁰"), =HYPERLINK("CSG1.html#group16C1", "16C¹"), =HYPERLINK("CSG0.html#group16D0", "16D⁰"), =HYPERLINK("CSG5.html#group16A5", "16A⁵"), =HYPERLINK("CSG0.html#group4F0", "4F⁰"), =HYPERLINK("CSG6.html#group32B6", "32B⁶"), =HYPERLINK("CSG0.html#group8J0", "8J⁰"), =HYPERLINK("CSG0.html#group2C0", "2C⁰")</f>
        <v/>
      </c>
      <c r="N6403" t="inlineStr"/>
    </row>
    <row r="6404">
      <c r="A6404" t="inlineStr">
        <is>
          <t>32E²¹</t>
        </is>
      </c>
      <c r="B6404" t="inlineStr"/>
      <c r="C6404" t="inlineStr">
        <is>
          <t>384</t>
        </is>
      </c>
      <c r="D6404" t="inlineStr">
        <is>
          <t>1</t>
        </is>
      </c>
      <c r="E6404" t="inlineStr">
        <is>
          <t>6</t>
        </is>
      </c>
      <c r="F6404" t="inlineStr">
        <is>
          <t>0</t>
        </is>
      </c>
      <c r="G6404" t="inlineStr">
        <is>
          <t>0</t>
        </is>
      </c>
      <c r="H6404" t="inlineStr">
        <is>
          <t>8¹⁶, 32⁸</t>
        </is>
      </c>
      <c r="I6404" t="n">
        <v>24</v>
      </c>
      <c r="J6404" t="inlineStr">
        <is>
          <t>1², 2²</t>
        </is>
      </c>
      <c r="K6404">
        <f>HYPERLINK("CSG7.html#group32L7", "32L⁷"), =HYPERLINK("CSG9.html#group16B9", "16B⁹"), =HYPERLINK("CSG9.html#group32M9", "32M⁹"), =HYPERLINK("CSG9.html#group32N9", "32N⁹"), =HYPERLINK("CSG11.html#group32A11", "32A¹¹"), =HYPERLINK("CSG11.html#group32C11", "32C¹¹"), =HYPERLINK("CSG11.html#group32D11", "32D¹¹")</f>
        <v/>
      </c>
      <c r="L6404" t="inlineStr"/>
      <c r="M6404">
        <f>HYPERLINK("CSG0.html#group2A0", "2A⁰"), =HYPERLINK("CSG0.html#group16G0", "16G⁰"), =HYPERLINK("CSG5.html#group16F5", "16F⁵"), =HYPERLINK("CSG1.html#group16I1", "16I¹"), =HYPERLINK("CSG9.html#group32M9", "32M⁹"), =HYPERLINK("CSG0.html#group4C0", "4C⁰"), =HYPERLINK("CSG3.html#group16A3", "16A³"), =HYPERLINK("CSG0.html#group4G0", "4G⁰"), =HYPERLINK("CSG11.html#group32D11", "32D¹¹"), =HYPERLINK("CSG0.html#group2B0", "2B⁰"), =HYPERLINK("CSG0.html#group8C0", "8C⁰"), =HYPERLINK("CSG0.html#group4E0", "4E⁰"), =HYPERLINK("CSG0.html#group4B0", "4B⁰"), =HYPERLINK("CSG1.html#group8F1", "8F¹"), =HYPERLINK("CSG0.html#group1A0", "1A⁰"), =HYPERLINK("CSG1.html#group8E1", "8E¹"), =HYPERLINK("CSG1.html#group32D1", "32D¹"), =HYPERLINK("CSG3.html#group32Q3", "32Q³"), =HYPERLINK("CSG2.html#group16A2", "16A²"), =HYPERLINK("CSG0.html#group16B0", "16B⁰"), =HYPERLINK("CSG0.html#group16E0", "16E⁰"), =HYPERLINK("CSG0.html#group8G0", "8G⁰"), =HYPERLINK("CSG0.html#group4D0", "4D⁰"), =HYPERLINK("CSG1.html#group16F1", "16F¹"), =HYPERLINK("CSG11.html#group32A11", "32A¹¹"), =HYPERLINK("CSG7.html#group32L7", "32L⁷"), =HYPERLINK("CSG9.html#group32N9", "32N⁹"), =HYPERLINK("CSG5.html#group32I5", "32I⁵"), =HYPERLINK("CSG2.html#group16D2", "16D²"), =HYPERLINK("CSG11.html#group32C11", "32C¹¹"), =HYPERLINK("CSG1.html#group8A1", "8A¹"), =HYPERLINK("CSG2.html#group16C2", "16C²"), =HYPERLINK("CSG4.html#group32C4", "32C⁴"), =HYPERLINK("CSG3.html#group16C3", "16C³"), =HYPERLINK("CSG0.html#group8D0", "8D⁰"), =HYPERLINK("CSG3.html#group8A3", "8A³"), =HYPERLINK("CSG5.html#group32H5", "32H⁵"), =HYPERLINK("CSG0.html#group8B0", "8B⁰"), =HYPERLINK("CSG1.html#group16B1", "16B¹"), =HYPERLINK("CSG3.html#group16B3", "16B³"), =HYPERLINK("CSG3.html#group32I3", "32I³"), =HYPERLINK("CSG1.html#group8B1", "8B¹"), =HYPERLINK("CSG6.html#group32A6", "32A⁶"), =HYPERLINK("CSG3.html#group16I3", "16I³"), =HYPERLINK("CSG0.html#group8H0", "8H⁰"), =HYPERLINK("CSG5.html#group16B5", "16B⁵"), =HYPERLINK("CSG0.html#group8F0", "8F⁰"), =HYPERLINK("CSG1.html#group8C1", "8C¹"), =HYPERLINK("CSG3.html#group16L3", "16L³"), =HYPERLINK("CSG9.html#group16B9", "16B⁹"), =HYPERLINK("CSG1.html#group32C1", "32C¹"), =HYPERLINK("CSG2.html#group32B2", "32B²"), =HYPERLINK("CSG0.html#group4A0", "4A⁰"), =HYPERLINK("CSG1.html#group8I1", "8I¹"), =HYPERLINK("CSG1.html#group16C1", "16C¹"), =HYPERLINK("CSG0.html#group16D0", "16D⁰"), =HYPERLINK("CSG6.html#group32B6", "32B⁶"), =HYPERLINK("CSG0.html#group4F0", "4F⁰"), =HYPERLINK("CSG3.html#group32P3", "32P³"), =HYPERLINK("CSG0.html#group2C0", "2C⁰")</f>
        <v/>
      </c>
      <c r="N6404" t="inlineStr"/>
    </row>
    <row r="6405">
      <c r="A6405" t="inlineStr">
        <is>
          <t>32F²¹</t>
        </is>
      </c>
      <c r="B6405" t="inlineStr"/>
      <c r="C6405" t="inlineStr">
        <is>
          <t>384</t>
        </is>
      </c>
      <c r="D6405" t="inlineStr">
        <is>
          <t>1</t>
        </is>
      </c>
      <c r="E6405" t="inlineStr">
        <is>
          <t>6</t>
        </is>
      </c>
      <c r="F6405" t="inlineStr">
        <is>
          <t>0</t>
        </is>
      </c>
      <c r="G6405" t="inlineStr">
        <is>
          <t>0</t>
        </is>
      </c>
      <c r="H6405" t="inlineStr">
        <is>
          <t>8¹⁶, 32⁸</t>
        </is>
      </c>
      <c r="I6405" t="n">
        <v>24</v>
      </c>
      <c r="J6405" t="inlineStr">
        <is>
          <t>1⁴, 2¹</t>
        </is>
      </c>
      <c r="K6405">
        <f>HYPERLINK("CSG9.html#group16A9", "16A⁹"), =HYPERLINK("CSG9.html#group32B9", "32B⁹"), =HYPERLINK("CSG9.html#group32A9", "32A⁹")</f>
        <v/>
      </c>
      <c r="L6405" t="inlineStr"/>
      <c r="M6405">
        <f>HYPERLINK("CSG0.html#group2A0", "2A⁰"), =HYPERLINK("CSG0.html#group4C0", "4C⁰"), =HYPERLINK("CSG0.html#group4G0", "4G⁰"), =HYPERLINK("CSG0.html#group2B0", "2B⁰"), =HYPERLINK("CSG0.html#group8C0", "8C⁰"), =HYPERLINK("CSG0.html#group4E0", "4E⁰"), =HYPERLINK("CSG1.html#group8E1", "8E¹"), =HYPERLINK("CSG0.html#group4B0", "4B⁰"), =HYPERLINK("CSG1.html#group8F1", "8F¹"), =HYPERLINK("CSG0.html#group1A0", "1A⁰"), =HYPERLINK("CSG1.html#group16A1", "16A¹"), =HYPERLINK("CSG2.html#group16E2", "16E²"), =HYPERLINK("CSG3.html#group32C3", "32C³"), =HYPERLINK("CSG1.html#group16D1", "16D¹"), =HYPERLINK("CSG2.html#group16B2", "16B²"), =HYPERLINK("CSG1.html#group32A1", "32A¹"), =HYPERLINK("CSG5.html#group32B5", "32B⁵"), =HYPERLINK("CSG0.html#group8G0", "8G⁰"), =HYPERLINK("CSG0.html#group4D0", "4D⁰"), =HYPERLINK("CSG0.html#group16C0", "16C⁰"), =HYPERLINK("CSG0.html#group32A0", "32A⁰"), =HYPERLINK("CSG5.html#group32A5", "32A⁵"), =HYPERLINK("CSG1.html#group16H1", "16H¹"), =HYPERLINK("CSG3.html#group16E3", "16E³"), =HYPERLINK("CSG3.html#group32B3", "32B³"), =HYPERLINK("CSG3.html#group16D3", "16D³"), =HYPERLINK("CSG1.html#group8A1", "8A¹"), =HYPERLINK("CSG3.html#group8A3", "8A³"), =HYPERLINK("CSG0.html#group8D0", "8D⁰"), =HYPERLINK("CSG1.html#group16E1", "16E¹"), =HYPERLINK("CSG9.html#group32A9", "32A⁹"), =HYPERLINK("CSG3.html#group32A3", "32A³"), =HYPERLINK("CSG0.html#group8B0", "8B⁰"), =HYPERLINK("CSG1.html#group8B1", "8B¹"), =HYPERLINK("CSG3.html#group32K3", "32K³"), =HYPERLINK("CSG3.html#group32J3", "32J³"), =HYPERLINK("CSG3.html#group16H3", "16H³"), =HYPERLINK("CSG0.html#group8H0", "8H⁰"), =HYPERLINK("CSG0.html#group8F0", "8F⁰"), =HYPERLINK("CSG1.html#group8C1", "8C¹"), =HYPERLINK("CSG9.html#group16A9", "16A⁹"), =HYPERLINK("CSG0.html#group4A0", "4A⁰"), =HYPERLINK("CSG1.html#group8I1", "8I¹"), =HYPERLINK("CSG5.html#group16A5", "16A⁵"), =HYPERLINK("CSG4.html#group16C4", "16C⁴"), =HYPERLINK("CSG9.html#group32B9", "32B⁹"), =HYPERLINK("CSG2.html#group32A2", "32A²"), =HYPERLINK("CSG0.html#group4F0", "4F⁰"), =HYPERLINK("CSG0.html#group2C0", "2C⁰")</f>
        <v/>
      </c>
      <c r="N6405" t="inlineStr"/>
    </row>
    <row r="6406">
      <c r="A6406" t="inlineStr">
        <is>
          <t>32G²¹</t>
        </is>
      </c>
      <c r="B6406" t="inlineStr"/>
      <c r="C6406" t="inlineStr">
        <is>
          <t>384</t>
        </is>
      </c>
      <c r="D6406" t="inlineStr">
        <is>
          <t>1</t>
        </is>
      </c>
      <c r="E6406" t="inlineStr">
        <is>
          <t>12</t>
        </is>
      </c>
      <c r="F6406" t="inlineStr">
        <is>
          <t>0</t>
        </is>
      </c>
      <c r="G6406" t="inlineStr">
        <is>
          <t>0</t>
        </is>
      </c>
      <c r="H6406" t="inlineStr">
        <is>
          <t>8¹⁶, 32⁸</t>
        </is>
      </c>
      <c r="I6406" t="n">
        <v>24</v>
      </c>
      <c r="J6406" t="inlineStr">
        <is>
          <t>1⁴, 2², 4¹</t>
        </is>
      </c>
      <c r="K6406">
        <f>HYPERLINK("CSG7.html#group16C7", "16C⁷"), =HYPERLINK("CSG9.html#group32C9", "32C⁹"), =HYPERLINK("CSG11.html#group32B11", "32B¹¹")</f>
        <v/>
      </c>
      <c r="L6406" t="inlineStr"/>
      <c r="M6406">
        <f>HYPERLINK("CSG0.html#group2A0", "2A⁰"), =HYPERLINK("CSG9.html#group32C9", "32C⁹"), =HYPERLINK("CSG2.html#group16C2", "16C²"), =HYPERLINK("CSG0.html#group8D0", "8D⁰"), =HYPERLINK("CSG1.html#group16E1", "16E¹"), =HYPERLINK("CSG0.html#group4C0", "4C⁰"), =HYPERLINK("CSG3.html#group32A3", "32A³"), =HYPERLINK("CSG1.html#group16A1", "16A¹"), =HYPERLINK("CSG0.html#group8C0", "8C⁰"), =HYPERLINK("CSG11.html#group32B11", "32B¹¹"), =HYPERLINK("CSG7.html#group16C7", "16C⁷"), =HYPERLINK("CSG0.html#group4E0", "4E⁰"), =HYPERLINK("CSG0.html#group2B0", "2B⁰"), =HYPERLINK("CSG0.html#group8I0", "8I⁰"), =HYPERLINK("CSG3.html#group16J3", "16J³"), =HYPERLINK("CSG0.html#group4B0", "4B⁰"), =HYPERLINK("CSG0.html#group1A0", "1A⁰"), =HYPERLINK("CSG3.html#group32J3", "32J³"), =HYPERLINK("CSG6.html#group32A6", "32A⁶"), =HYPERLINK("CSG2.html#group16K2", "16K²"), =HYPERLINK("CSG1.html#group32A1", "32A¹"), =HYPERLINK("CSG0.html#group8O0", "8O⁰"), =HYPERLINK("CSG5.html#group32B5", "32B⁵"), =HYPERLINK("CSG0.html#group8G0", "8G⁰"), =HYPERLINK("CSG0.html#group16C0", "16C⁰"), =HYPERLINK("CSG1.html#group16C1", "16C¹"), =HYPERLINK("CSG3.html#group32I3", "32I³"), =HYPERLINK("CSG0.html#group8J0", "8J⁰"), =HYPERLINK("CSG0.html#group2C0", "2C⁰"), =HYPERLINK("CSG3.html#group32B3", "32B³")</f>
        <v/>
      </c>
      <c r="N6406" t="inlineStr"/>
    </row>
    <row r="6407">
      <c r="A6407" t="inlineStr">
        <is>
          <t>32H²¹</t>
        </is>
      </c>
      <c r="B6407" t="inlineStr"/>
      <c r="C6407" t="inlineStr">
        <is>
          <t>384</t>
        </is>
      </c>
      <c r="D6407" t="inlineStr">
        <is>
          <t>1</t>
        </is>
      </c>
      <c r="E6407" t="inlineStr">
        <is>
          <t>12</t>
        </is>
      </c>
      <c r="F6407" t="inlineStr">
        <is>
          <t>0</t>
        </is>
      </c>
      <c r="G6407" t="inlineStr">
        <is>
          <t>0</t>
        </is>
      </c>
      <c r="H6407" t="inlineStr">
        <is>
          <t>8¹⁶, 32⁸</t>
        </is>
      </c>
      <c r="I6407" t="n">
        <v>24</v>
      </c>
      <c r="J6407" t="inlineStr">
        <is>
          <t>1⁴, 2², 4¹</t>
        </is>
      </c>
      <c r="K6407">
        <f>HYPERLINK("CSG7.html#group16C7", "16C⁷"), =HYPERLINK("CSG9.html#group32D9", "32D⁹"), =HYPERLINK("CSG11.html#group32B11", "32B¹¹")</f>
        <v/>
      </c>
      <c r="L6407" t="inlineStr"/>
      <c r="M6407">
        <f>HYPERLINK("CSG0.html#group2A0", "2A⁰"), =HYPERLINK("CSG2.html#group16C2", "16C²"), =HYPERLINK("CSG0.html#group8D0", "8D⁰"), =HYPERLINK("CSG1.html#group16E1", "16E¹"), =HYPERLINK("CSG0.html#group4C0", "4C⁰"), =HYPERLINK("CSG9.html#group32D9", "32D⁹"), =HYPERLINK("CSG1.html#group16A1", "16A¹"), =HYPERLINK("CSG0.html#group8C0", "8C⁰"), =HYPERLINK("CSG11.html#group32B11", "32B¹¹"), =HYPERLINK("CSG7.html#group16C7", "16C⁷"), =HYPERLINK("CSG0.html#group4E0", "4E⁰"), =HYPERLINK("CSG0.html#group2B0", "2B⁰"), =HYPERLINK("CSG3.html#group32K3", "32K³"), =HYPERLINK("CSG3.html#group16J3", "16J³"), =HYPERLINK("CSG0.html#group8I0", "8I⁰"), =HYPERLINK("CSG0.html#group4B0", "4B⁰"), =HYPERLINK("CSG0.html#group1A0", "1A⁰"), =HYPERLINK("CSG3.html#group32C3", "32C³"), =HYPERLINK("CSG6.html#group32A6", "32A⁶"), =HYPERLINK("CSG2.html#group16K2", "16K²"), =HYPERLINK("CSG0.html#group8G0", "8G⁰"), =HYPERLINK("CSG0.html#group16C0", "16C⁰"), =HYPERLINK("CSG1.html#group16C1", "16C¹"), =HYPERLINK("CSG0.html#group32A0", "32A⁰"), =HYPERLINK("CSG5.html#group32A5", "32A⁵"), =HYPERLINK("CSG2.html#group32A2", "32A²"), =HYPERLINK("CSG3.html#group32I3", "32I³"), =HYPERLINK("CSG0.html#group8J0", "8J⁰"), =HYPERLINK("CSG0.html#group2C0", "2C⁰"), =HYPERLINK("CSG0.html#group8O0", "8O⁰")</f>
        <v/>
      </c>
      <c r="N6407" t="inlineStr"/>
    </row>
    <row r="6408">
      <c r="A6408" t="inlineStr">
        <is>
          <t>32I²¹</t>
        </is>
      </c>
      <c r="B6408" t="inlineStr"/>
      <c r="C6408" t="inlineStr">
        <is>
          <t>384</t>
        </is>
      </c>
      <c r="D6408" t="inlineStr">
        <is>
          <t>1</t>
        </is>
      </c>
      <c r="E6408" t="inlineStr">
        <is>
          <t>24</t>
        </is>
      </c>
      <c r="F6408" t="inlineStr">
        <is>
          <t>16</t>
        </is>
      </c>
      <c r="G6408" t="inlineStr">
        <is>
          <t>0</t>
        </is>
      </c>
      <c r="H6408" t="inlineStr">
        <is>
          <t>16⁸, 32⁸</t>
        </is>
      </c>
      <c r="I6408" t="n">
        <v>16</v>
      </c>
      <c r="J6408" t="inlineStr">
        <is>
          <t>4², 8²</t>
        </is>
      </c>
      <c r="K6408">
        <f>HYPERLINK("CSG9.html#group16I9", "16I⁹"), =HYPERLINK("CSG9.html#group32F9", "32F⁹"), =HYPERLINK("CSG9.html#group32K9", "32K⁹")</f>
        <v/>
      </c>
      <c r="L6408" t="inlineStr"/>
      <c r="M6408">
        <f>HYPERLINK("CSG0.html#group16A0", "16A⁰"), =HYPERLINK("CSG5.html#group32E5", "32E⁵"), =HYPERLINK("CSG9.html#group32F9", "32F⁹"), =HYPERLINK("CSG0.html#group8D0", "8D⁰"), =HYPERLINK("CSG0.html#group4C0", "4C⁰"), =HYPERLINK("CSG0.html#group8B0", "8B⁰"), =HYPERLINK("CSG0.html#group8A0", "8A⁰"), =HYPERLINK("CSG1.html#group16B1", "16B¹"), =HYPERLINK("CSG3.html#group32L3", "32L³"), =HYPERLINK("CSG0.html#group2B0", "2B⁰"), =HYPERLINK("CSG3.html#group16P3", "16P³"), =HYPERLINK("CSG3.html#group16G3", "16G³"), =HYPERLINK("CSG0.html#group1A0", "1A⁰"), =HYPERLINK("CSG0.html#group8K0", "8K⁰"), =HYPERLINK("CSG1.html#group8D1", "8D¹"), =HYPERLINK("CSG1.html#group8H1", "8H¹"), =HYPERLINK("CSG0.html#group16B0", "16B⁰"), =HYPERLINK("CSG9.html#group32K9", "32K⁹"), =HYPERLINK("CSG0.html#group8H0", "8H⁰"), =HYPERLINK("CSG3.html#group16K3", "16K³"), =HYPERLINK("CSG0.html#group4A0", "4A⁰"), =HYPERLINK("CSG1.html#group32B1", "32B¹"), =HYPERLINK("CSG0.html#group4F0", "4F⁰"), =HYPERLINK("CSG1.html#group16F1", "16F¹"), =HYPERLINK("CSG1.html#group16H1", "16H¹"), =HYPERLINK("CSG5.html#group16J5", "16J⁵"), =HYPERLINK("CSG9.html#group16I9", "16I⁹")</f>
        <v/>
      </c>
      <c r="N6408" t="inlineStr"/>
    </row>
    <row r="6409">
      <c r="A6409" t="inlineStr">
        <is>
          <t>32J²¹</t>
        </is>
      </c>
      <c r="B6409" t="inlineStr"/>
      <c r="C6409" t="inlineStr">
        <is>
          <t>384</t>
        </is>
      </c>
      <c r="D6409" t="inlineStr">
        <is>
          <t>1</t>
        </is>
      </c>
      <c r="E6409" t="inlineStr">
        <is>
          <t>24</t>
        </is>
      </c>
      <c r="F6409" t="inlineStr">
        <is>
          <t>16</t>
        </is>
      </c>
      <c r="G6409" t="inlineStr">
        <is>
          <t>0</t>
        </is>
      </c>
      <c r="H6409" t="inlineStr">
        <is>
          <t>16⁸, 32⁸</t>
        </is>
      </c>
      <c r="I6409" t="n">
        <v>16</v>
      </c>
      <c r="J6409" t="inlineStr">
        <is>
          <t>4², 8²</t>
        </is>
      </c>
      <c r="K6409">
        <f>HYPERLINK("CSG9.html#group16J9", "16J⁹"), =HYPERLINK("CSG9.html#group32F9", "32F⁹"), =HYPERLINK("CSG9.html#group32L9", "32L⁹")</f>
        <v/>
      </c>
      <c r="L6409" t="inlineStr"/>
      <c r="M6409">
        <f>HYPERLINK("CSG5.html#group32E5", "32E⁵"), =HYPERLINK("CSG9.html#group32F9", "32F⁹"), =HYPERLINK("CSG0.html#group8D0", "8D⁰"), =HYPERLINK("CSG0.html#group4C0", "4C⁰"), =HYPERLINK("CSG0.html#group8B0", "8B⁰"), =HYPERLINK("CSG0.html#group8A0", "8A⁰"), =HYPERLINK("CSG1.html#group16B1", "16B¹"), =HYPERLINK("CSG1.html#group16F1", "16F¹"), =HYPERLINK("CSG0.html#group2B0", "2B⁰"), =HYPERLINK("CSG3.html#group32L3", "32L³"), =HYPERLINK("CSG0.html#group1A0", "1A⁰"), =HYPERLINK("CSG9.html#group16J9", "16J⁹"), =HYPERLINK("CSG0.html#group8K0", "8K⁰"), =HYPERLINK("CSG1.html#group8D1", "8D¹"), =HYPERLINK("CSG1.html#group8H1", "8H¹"), =HYPERLINK("CSG0.html#group16B0", "16B⁰"), =HYPERLINK("CSG0.html#group8H0", "8H⁰"), =HYPERLINK("CSG1.html#group16L1", "16L¹"), =HYPERLINK("CSG3.html#group16K3", "16K³"), =HYPERLINK("CSG0.html#group4A0", "4A⁰"), =HYPERLINK("CSG5.html#group16I5", "16I⁵"), =HYPERLINK("CSG1.html#group32B1", "32B¹"), =HYPERLINK("CSG0.html#group4F0", "4F⁰"), =HYPERLINK("CSG9.html#group32L9", "32L⁹"), =HYPERLINK("CSG3.html#group16Q3", "16Q³"), =HYPERLINK("CSG1.html#group16H1", "16H¹"), =HYPERLINK("CSG1.html#group16K1", "16K¹")</f>
        <v/>
      </c>
      <c r="N6409" t="inlineStr"/>
    </row>
    <row r="6410">
      <c r="A6410" t="inlineStr">
        <is>
          <t>32K²¹</t>
        </is>
      </c>
      <c r="B6410" t="inlineStr"/>
      <c r="C6410" t="inlineStr">
        <is>
          <t>384</t>
        </is>
      </c>
      <c r="D6410" t="inlineStr">
        <is>
          <t>1</t>
        </is>
      </c>
      <c r="E6410" t="inlineStr">
        <is>
          <t>24</t>
        </is>
      </c>
      <c r="F6410" t="inlineStr">
        <is>
          <t>16</t>
        </is>
      </c>
      <c r="G6410" t="inlineStr">
        <is>
          <t>0</t>
        </is>
      </c>
      <c r="H6410" t="inlineStr">
        <is>
          <t>16⁸, 32⁸</t>
        </is>
      </c>
      <c r="I6410" t="n">
        <v>16</v>
      </c>
      <c r="J6410" t="inlineStr">
        <is>
          <t>1², 2¹, 4¹, 8²</t>
        </is>
      </c>
      <c r="K6410">
        <f>HYPERLINK("CSG9.html#group16K9", "16K⁹"), =HYPERLINK("CSG9.html#group32G9", "32G⁹"), =HYPERLINK("CSG9.html#group32M9", "32M⁹")</f>
        <v/>
      </c>
      <c r="L6410" t="inlineStr"/>
      <c r="M6410">
        <f>HYPERLINK("CSG5.html#group32F5", "32F⁵"), =HYPERLINK("CSG1.html#group16I1", "16I¹"), =HYPERLINK("CSG9.html#group32M9", "32M⁹"), =HYPERLINK("CSG0.html#group8D0", "8D⁰"), =HYPERLINK("CSG0.html#group4C0", "4C⁰"), =HYPERLINK("CSG5.html#group32H5", "32H⁵"), =HYPERLINK("CSG0.html#group8B0", "8B⁰"), =HYPERLINK("CSG1.html#group16B1", "16B¹"), =HYPERLINK("CSG3.html#group32L3", "32L³"), =HYPERLINK("CSG3.html#group32I3", "32I³"), =HYPERLINK("CSG9.html#group16K9", "16K⁹"), =HYPERLINK("CSG0.html#group2B0", "2B⁰"), =HYPERLINK("CSG9.html#group32G9", "32G⁹"), =HYPERLINK("CSG0.html#group1A0", "1A⁰"), =HYPERLINK("CSG0.html#group8H0", "8H⁰"), =HYPERLINK("CSG0.html#group16B0", "16B⁰"), =HYPERLINK("CSG0.html#group16E0", "16E⁰"), =HYPERLINK("CSG0.html#group8F0", "8F⁰"), =HYPERLINK("CSG3.html#group16L3", "16L³"), =HYPERLINK("CSG0.html#group4A0", "4A⁰"), =HYPERLINK("CSG1.html#group8I1", "8I¹"), =HYPERLINK("CSG1.html#group16C1", "16C¹"), =HYPERLINK("CSG1.html#group32B1", "32B¹"), =HYPERLINK("CSG0.html#group4F0", "4F⁰"), =HYPERLINK("CSG1.html#group16F1", "16F¹"), =HYPERLINK("CSG3.html#group32P3", "32P³")</f>
        <v/>
      </c>
      <c r="N6410" t="inlineStr"/>
    </row>
    <row r="6411">
      <c r="A6411" t="inlineStr">
        <is>
          <t>32L²¹</t>
        </is>
      </c>
      <c r="B6411" t="inlineStr"/>
      <c r="C6411" t="inlineStr">
        <is>
          <t>384</t>
        </is>
      </c>
      <c r="D6411" t="inlineStr">
        <is>
          <t>1</t>
        </is>
      </c>
      <c r="E6411" t="inlineStr">
        <is>
          <t>24</t>
        </is>
      </c>
      <c r="F6411" t="inlineStr">
        <is>
          <t>16</t>
        </is>
      </c>
      <c r="G6411" t="inlineStr">
        <is>
          <t>0</t>
        </is>
      </c>
      <c r="H6411" t="inlineStr">
        <is>
          <t>16⁸, 32⁸</t>
        </is>
      </c>
      <c r="I6411" t="n">
        <v>16</v>
      </c>
      <c r="J6411" t="inlineStr">
        <is>
          <t>2⁴, 8²</t>
        </is>
      </c>
      <c r="K6411">
        <f>HYPERLINK("CSG9.html#group16L9", "16L⁹"), =HYPERLINK("CSG9.html#group32G9", "32G⁹"), =HYPERLINK("CSG9.html#group32N9", "32N⁹")</f>
        <v/>
      </c>
      <c r="L6411" t="inlineStr"/>
      <c r="M6411">
        <f>HYPERLINK("CSG5.html#group32I5", "32I⁵"), =HYPERLINK("CSG5.html#group32F5", "32F⁵"), =HYPERLINK("CSG1.html#group16I1", "16I¹"), =HYPERLINK("CSG0.html#group8D0", "8D⁰"), =HYPERLINK("CSG0.html#group4C0", "4C⁰"), =HYPERLINK("CSG0.html#group8B0", "8B⁰"), =HYPERLINK("CSG1.html#group16B1", "16B¹"), =HYPERLINK("CSG1.html#group32D1", "32D¹"), =HYPERLINK("CSG0.html#group2B0", "2B⁰"), =HYPERLINK("CSG3.html#group32L3", "32L³"), =HYPERLINK("CSG9.html#group32G9", "32G⁹"), =HYPERLINK("CSG0.html#group1A0", "1A⁰"), =HYPERLINK("CSG9.html#group16L9", "16L⁹"), =HYPERLINK("CSG3.html#group32Q3", "32Q³"), =HYPERLINK("CSG0.html#group8H0", "8H⁰"), =HYPERLINK("CSG0.html#group16B0", "16B⁰"), =HYPERLINK("CSG0.html#group16E0", "16E⁰"), =HYPERLINK("CSG0.html#group8F0", "8F⁰"), =HYPERLINK("CSG3.html#group16L3", "16L³"), =HYPERLINK("CSG1.html#group32C1", "32C¹"), =HYPERLINK("CSG0.html#group4A0", "4A⁰"), =HYPERLINK("CSG1.html#group8I1", "8I¹"), =HYPERLINK("CSG1.html#group16C1", "16C¹"), =HYPERLINK("CSG1.html#group32B1", "32B¹"), =HYPERLINK("CSG2.html#group16G2", "16G²"), =HYPERLINK("CSG0.html#group4F0", "4F⁰"), =HYPERLINK("CSG1.html#group16F1", "16F¹"), =HYPERLINK("CSG9.html#group32N9", "32N⁹")</f>
        <v/>
      </c>
      <c r="N6411" t="inlineStr"/>
    </row>
    <row r="6412">
      <c r="A6412" t="inlineStr">
        <is>
          <t>32M²¹</t>
        </is>
      </c>
      <c r="B6412" t="inlineStr"/>
      <c r="C6412" t="inlineStr">
        <is>
          <t>384</t>
        </is>
      </c>
      <c r="D6412" t="inlineStr">
        <is>
          <t>1</t>
        </is>
      </c>
      <c r="E6412" t="inlineStr">
        <is>
          <t>24</t>
        </is>
      </c>
      <c r="F6412" t="inlineStr">
        <is>
          <t>16</t>
        </is>
      </c>
      <c r="G6412" t="inlineStr">
        <is>
          <t>0</t>
        </is>
      </c>
      <c r="H6412" t="inlineStr">
        <is>
          <t>16⁸, 32⁸</t>
        </is>
      </c>
      <c r="I6412" t="n">
        <v>16</v>
      </c>
      <c r="J6412" t="inlineStr">
        <is>
          <t>2², 4⁵</t>
        </is>
      </c>
      <c r="K6412">
        <f>HYPERLINK("CSG7.html#group16D7", "16D⁷"), =HYPERLINK("CSG9.html#group32F9", "32F⁹"), =HYPERLINK("CSG9.html#group32G9", "32G⁹"), =HYPERLINK("CSG9.html#group32H9", "32H⁹"), =HYPERLINK("CSG11.html#group32F11", "32F¹¹"), =HYPERLINK("CSG11.html#group32G11", "32G¹¹"), =HYPERLINK("CSG11.html#group32E11", "32E¹¹")</f>
        <v/>
      </c>
      <c r="L6412" t="inlineStr"/>
      <c r="M6412">
        <f>HYPERLINK("CSG5.html#group32L5", "32L⁵"), =HYPERLINK("CSG5.html#group32E5", "32E⁵"), =HYPERLINK("CSG1.html#group16I1", "16I¹"), =HYPERLINK("CSG9.html#group32F9", "32F⁹"), =HYPERLINK("CSG0.html#group4C0", "4C⁰"), =HYPERLINK("CSG2.html#group8C2", "8C²"), =HYPERLINK("CSG0.html#group8A0", "8A⁰"), =HYPERLINK("CSG0.html#group8L0", "8L⁰"), =HYPERLINK("CSG0.html#group2B0", "2B⁰"), =HYPERLINK("CSG5.html#group32G5", "32G⁵"), =HYPERLINK("CSG0.html#group1A0", "1A⁰"), =HYPERLINK("CSG11.html#group32F11", "32F¹¹"), =HYPERLINK("CSG2.html#group16E2", "16E²"), =HYPERLINK("CSG0.html#group8K0", "8K⁰"), =HYPERLINK("CSG1.html#group8H1", "8H¹"), =HYPERLINK("CSG3.html#group32N3", "32N³"), =HYPERLINK("CSG0.html#group16B0", "16B⁰"), =HYPERLINK("CSG0.html#group16E0", "16E⁰"), =HYPERLINK("CSG11.html#group32E11", "32E¹¹"), =HYPERLINK("CSG1.html#group16D1", "16D¹"), =HYPERLINK("CSG4.html#group16B4", "16B⁴"), =HYPERLINK("CSG7.html#group16D7", "16D⁷"), =HYPERLINK("CSG3.html#group32D3", "32D³"), =HYPERLINK("CSG1.html#group32B1", "32B¹"), =HYPERLINK("CSG1.html#group16F1", "16F¹"), =HYPERLINK("CSG0.html#group8P0", "8P⁰"), =HYPERLINK("CSG0.html#group8M0", "8M⁰"), =HYPERLINK("CSG1.html#group16H1", "16H¹"), =HYPERLINK("CSG5.html#group32F5", "32F⁵"), =HYPERLINK("CSG9.html#group32H9", "32H⁹"), =HYPERLINK("CSG0.html#group8D0", "8D⁰"), =HYPERLINK("CSG3.html#group16M3", "16M³"), =HYPERLINK("CSG0.html#group8B0", "8B⁰"), =HYPERLINK("CSG1.html#group16B1", "16B¹"), =HYPERLINK("CSG9.html#group32G9", "32G⁹"), =HYPERLINK("CSG1.html#group16J1", "16J¹"), =HYPERLINK("CSG2.html#group16L2", "16L²"), =HYPERLINK("CSG1.html#group8D1", "8D¹"), =HYPERLINK("CSG0.html#group8H0", "8H⁰"), =HYPERLINK("CSG3.html#group16K3", "16K³"), =HYPERLINK("CSG0.html#group8F0", "8F⁰"), =HYPERLINK("CSG3.html#group16L3", "16L³"), =HYPERLINK("CSG2.html#group16F2", "16F²"), =HYPERLINK("CSG0.html#group4A0", "4A⁰"), =HYPERLINK("CSG1.html#group8I1", "8I¹"), =HYPERLINK("CSG1.html#group16C1", "16C¹"), =HYPERLINK("CSG4.html#group16C4", "16C⁴"), =HYPERLINK("CSG11.html#group32G11", "32G¹¹"), =HYPERLINK("CSG0.html#group4F0", "4F⁰"), =HYPERLINK("CSG3.html#group32L3", "32L³")</f>
        <v/>
      </c>
      <c r="N6412" t="inlineStr"/>
    </row>
    <row r="6413">
      <c r="A6413" t="inlineStr">
        <is>
          <t>32N²¹</t>
        </is>
      </c>
      <c r="B6413" t="inlineStr"/>
      <c r="C6413" t="inlineStr">
        <is>
          <t>384</t>
        </is>
      </c>
      <c r="D6413" t="inlineStr">
        <is>
          <t>1</t>
        </is>
      </c>
      <c r="E6413" t="inlineStr">
        <is>
          <t>48</t>
        </is>
      </c>
      <c r="F6413" t="inlineStr">
        <is>
          <t>0</t>
        </is>
      </c>
      <c r="G6413" t="inlineStr">
        <is>
          <t>0</t>
        </is>
      </c>
      <c r="H6413" t="inlineStr">
        <is>
          <t>4⁸, 8⁴, 16⁴, 32⁸</t>
        </is>
      </c>
      <c r="I6413" t="n">
        <v>24</v>
      </c>
      <c r="J6413" t="inlineStr">
        <is>
          <t>1⁴, 2², 4², 8², 16¹</t>
        </is>
      </c>
      <c r="K6413">
        <f>HYPERLINK("CSG9.html#group32I9", "32I⁹")</f>
        <v/>
      </c>
      <c r="L6413" t="inlineStr"/>
      <c r="M6413">
        <f>HYPERLINK("CSG3.html#group16N3", "16N³"), =HYPERLINK("CSG5.html#group32C5", "32C⁵"), =HYPERLINK("CSG1.html#group16G1", "16G¹"), =HYPERLINK("CSG3.html#group32O3", "32O³"), =HYPERLINK("CSG0.html#group16D0", "16D⁰"), =HYPERLINK("CSG3.html#group32A3", "32A³"), =HYPERLINK("CSG1.html#group16A1", "16A¹"), =HYPERLINK("CSG0.html#group8C0", "8C⁰"), =HYPERLINK("CSG0.html#group2B0", "2B⁰"), =HYPERLINK("CSG0.html#group8I0", "8I⁰"), =HYPERLINK("CSG0.html#group1A0", "1A⁰"), =HYPERLINK("CSG0.html#group4B0", "4B⁰"), =HYPERLINK("CSG9.html#group32I9", "32I⁹"), =HYPERLINK("CSG3.html#group32C3", "32C³")</f>
        <v/>
      </c>
      <c r="N6413" t="inlineStr"/>
    </row>
    <row r="6414">
      <c r="A6414" t="inlineStr">
        <is>
          <t>32O²¹</t>
        </is>
      </c>
      <c r="B6414" t="inlineStr"/>
      <c r="C6414" t="inlineStr">
        <is>
          <t>384</t>
        </is>
      </c>
      <c r="D6414" t="inlineStr">
        <is>
          <t>1</t>
        </is>
      </c>
      <c r="E6414" t="inlineStr">
        <is>
          <t>48</t>
        </is>
      </c>
      <c r="F6414" t="inlineStr">
        <is>
          <t>0</t>
        </is>
      </c>
      <c r="G6414" t="inlineStr">
        <is>
          <t>0</t>
        </is>
      </c>
      <c r="H6414" t="inlineStr">
        <is>
          <t>4⁸, 8⁴, 16⁴, 32⁸</t>
        </is>
      </c>
      <c r="I6414" t="n">
        <v>24</v>
      </c>
      <c r="J6414" t="inlineStr">
        <is>
          <t>1⁴, 2², 4², 8², 16¹</t>
        </is>
      </c>
      <c r="K6414">
        <f>HYPERLINK("CSG9.html#group32J9", "32J⁹")</f>
        <v/>
      </c>
      <c r="L6414" t="inlineStr"/>
      <c r="M6414">
        <f>HYPERLINK("CSG3.html#group16N3", "16N³"), =HYPERLINK("CSG1.html#group16G1", "16G¹"), =HYPERLINK("CSG3.html#group32O3", "32O³"), =HYPERLINK("CSG9.html#group32J9", "32J⁹"), =HYPERLINK("CSG0.html#group16D0", "16D⁰"), =HYPERLINK("CSG5.html#group32D5", "32D⁵"), =HYPERLINK("CSG1.html#group16A1", "16A¹"), =HYPERLINK("CSG0.html#group8C0", "8C⁰"), =HYPERLINK("CSG0.html#group2B0", "2B⁰"), =HYPERLINK("CSG0.html#group8I0", "8I⁰"), =HYPERLINK("CSG0.html#group4B0", "4B⁰"), =HYPERLINK("CSG0.html#group1A0", "1A⁰"), =HYPERLINK("CSG3.html#group32C3", "32C³"), =HYPERLINK("CSG3.html#group32B3", "32B³")</f>
        <v/>
      </c>
      <c r="N6414" t="inlineStr"/>
    </row>
    <row r="6415">
      <c r="A6415" t="inlineStr">
        <is>
          <t>32P²¹</t>
        </is>
      </c>
      <c r="B6415" t="inlineStr"/>
      <c r="C6415" t="inlineStr">
        <is>
          <t>384</t>
        </is>
      </c>
      <c r="D6415" t="inlineStr">
        <is>
          <t>1</t>
        </is>
      </c>
      <c r="E6415" t="inlineStr">
        <is>
          <t>48</t>
        </is>
      </c>
      <c r="F6415" t="inlineStr">
        <is>
          <t>0</t>
        </is>
      </c>
      <c r="G6415" t="inlineStr">
        <is>
          <t>0</t>
        </is>
      </c>
      <c r="H6415" t="inlineStr">
        <is>
          <t>8¹⁶, 32⁸</t>
        </is>
      </c>
      <c r="I6415" t="n">
        <v>24</v>
      </c>
      <c r="J6415" t="inlineStr">
        <is>
          <t>2², 4³, 8⁴</t>
        </is>
      </c>
      <c r="K6415">
        <f>HYPERLINK("CSG6.html#group32H6", "32H⁶"), =HYPERLINK("CSG9.html#group16H9", "16H⁹"), =HYPERLINK("CSG10.html#group32A10", "32A¹⁰"), =HYPERLINK("CSG10.html#group32B10", "32B¹⁰"), =HYPERLINK("CSG10.html#group32C10", "32C¹⁰"), =HYPERLINK("CSG11.html#group32C11", "32C¹¹"), =HYPERLINK("CSG11.html#group32D11", "32D¹¹")</f>
        <v/>
      </c>
      <c r="L6415" t="inlineStr"/>
      <c r="M6415">
        <f>HYPERLINK("CSG5.html#group16F5", "16F⁵"), =HYPERLINK("CSG1.html#group16I1", "16I¹"), =HYPERLINK("CSG0.html#group4C0", "4C⁰"), =HYPERLINK("CSG2.html#group8C2", "8C²"), =HYPERLINK("CSG0.html#group8A0", "8A⁰"), =HYPERLINK("CSG1.html#group32D1", "32D¹"), =HYPERLINK("CSG11.html#group32D11", "32D¹¹"), =HYPERLINK("CSG0.html#group2B0", "2B⁰"), =HYPERLINK("CSG0.html#group8L0", "8L⁰"), =HYPERLINK("CSG0.html#group1A0", "1A⁰"), =HYPERLINK("CSG0.html#group8K0", "8K⁰"), =HYPERLINK("CSG3.html#group32Q3", "32Q³"), =HYPERLINK("CSG1.html#group8H1", "8H¹"), =HYPERLINK("CSG2.html#group16E2", "16E²"), =HYPERLINK("CSG2.html#group16A2", "16A²"), =HYPERLINK("CSG0.html#group16E0", "16E⁰"), =HYPERLINK("CSG4.html#group16B4", "16B⁴"), =HYPERLINK("CSG1.html#group16D1", "16D¹"), =HYPERLINK("CSG10.html#group32A10", "32A¹⁰"), =HYPERLINK("CSG0.html#group8P0", "8P⁰"), =HYPERLINK("CSG0.html#group8M0", "8M⁰"), =HYPERLINK("CSG5.html#group32I5", "32I⁵"), =HYPERLINK("CSG1.html#group16H1", "16H¹"), =HYPERLINK("CSG11.html#group32C11", "32C¹¹"), =HYPERLINK("CSG3.html#group16C3", "16C³"), =HYPERLINK("CSG0.html#group8D0", "8D⁰"), =HYPERLINK("CSG5.html#group32H5", "32H⁵"), =HYPERLINK("CSG0.html#group8B0", "8B⁰"), =HYPERLINK("CSG1.html#group16B1", "16B¹"), =HYPERLINK("CSG5.html#group16G5", "16G⁵"), =HYPERLINK("CSG3.html#group32I3", "32I³"), =HYPERLINK("CSG2.html#group16L2", "16L²"), =HYPERLINK("CSG1.html#group8D1", "8D¹"), =HYPERLINK("CSG0.html#group8H0", "8H⁰"), =HYPERLINK("CSG0.html#group8F0", "8F⁰"), =HYPERLINK("CSG10.html#group32C10", "32C¹⁰"), =HYPERLINK("CSG1.html#group32C1", "32C¹"), =HYPERLINK("CSG2.html#group16F2", "16F²"), =HYPERLINK("CSG0.html#group4A0", "4A⁰"), =HYPERLINK("CSG10.html#group32B10", "32B¹⁰"), =HYPERLINK("CSG1.html#group8I1", "8I¹"), =HYPERLINK("CSG1.html#group16C1", "16C¹"), =HYPERLINK("CSG3.html#group16F3", "16F³"), =HYPERLINK("CSG9.html#group16H9", "16H⁹"), =HYPERLINK("CSG4.html#group16C4", "16C⁴"), =HYPERLINK("CSG0.html#group4F0", "4F⁰"), =HYPERLINK("CSG6.html#group32H6", "32H⁶"), =HYPERLINK("CSG3.html#group32P3", "32P³"), =HYPERLINK("CSG5.html#group16E5", "16E⁵")</f>
        <v/>
      </c>
      <c r="N6415" t="inlineStr"/>
    </row>
    <row r="6416">
      <c r="A6416" t="inlineStr">
        <is>
          <t>32Q²¹</t>
        </is>
      </c>
      <c r="B6416" t="inlineStr"/>
      <c r="C6416" t="inlineStr">
        <is>
          <t>384</t>
        </is>
      </c>
      <c r="D6416" t="inlineStr">
        <is>
          <t>1</t>
        </is>
      </c>
      <c r="E6416" t="inlineStr">
        <is>
          <t>48</t>
        </is>
      </c>
      <c r="F6416" t="inlineStr">
        <is>
          <t>0</t>
        </is>
      </c>
      <c r="G6416" t="inlineStr">
        <is>
          <t>0</t>
        </is>
      </c>
      <c r="H6416" t="inlineStr">
        <is>
          <t>8⁸, 16¹², 32⁴</t>
        </is>
      </c>
      <c r="I6416" t="n">
        <v>24</v>
      </c>
      <c r="J6416" t="inlineStr">
        <is>
          <t>1⁸, 2⁴, 4⁴, 8²</t>
        </is>
      </c>
      <c r="K6416">
        <f>HYPERLINK("CSG9.html#group16F9", "16F⁹")</f>
        <v/>
      </c>
      <c r="L6416" t="inlineStr"/>
      <c r="M6416">
        <f>HYPERLINK("CSG0.html#group2A0", "2A⁰"), =HYPERLINK("CSG3.html#group16D3", "16D³"), =HYPERLINK("CSG1.html#group8A1", "8A¹"), =HYPERLINK("CSG5.html#group16C5", "16C⁵"), =HYPERLINK("CSG3.html#group16O3", "16O³"), =HYPERLINK("CSG0.html#group4C0", "4C⁰"), =HYPERLINK("CSG3.html#group16A3", "16A³"), =HYPERLINK("CSG0.html#group8B0", "8B⁰"), =HYPERLINK("CSG1.html#group16B1", "16B¹"), =HYPERLINK("CSG0.html#group8L0", "8L⁰"), =HYPERLINK("CSG0.html#group2B0", "2B⁰"), =HYPERLINK("CSG1.html#group8B1", "8B¹"), =HYPERLINK("CSG0.html#group4E0", "4E⁰"), =HYPERLINK("CSG0.html#group4B0", "4B⁰"), =HYPERLINK("CSG0.html#group1A0", "1A⁰"), =HYPERLINK("CSG9.html#group16F9", "16F⁹"), =HYPERLINK("CSG1.html#group16D1", "16D¹"), =HYPERLINK("CSG2.html#group16B2", "16B²"), =HYPERLINK("CSG2.html#group16F2", "16F²"), =HYPERLINK("CSG1.html#group8G1", "8G¹"), =HYPERLINK("CSG0.html#group8J0", "8J⁰"), =HYPERLINK("CSG0.html#group2C0", "2C⁰")</f>
        <v/>
      </c>
      <c r="N6416" t="inlineStr"/>
    </row>
    <row r="6417">
      <c r="A6417" t="inlineStr">
        <is>
          <t>32R²¹</t>
        </is>
      </c>
      <c r="B6417" t="inlineStr"/>
      <c r="C6417" t="inlineStr">
        <is>
          <t>384</t>
        </is>
      </c>
      <c r="D6417" t="inlineStr">
        <is>
          <t>1</t>
        </is>
      </c>
      <c r="E6417" t="inlineStr">
        <is>
          <t>48</t>
        </is>
      </c>
      <c r="F6417" t="inlineStr">
        <is>
          <t>0</t>
        </is>
      </c>
      <c r="G6417" t="inlineStr">
        <is>
          <t>0</t>
        </is>
      </c>
      <c r="H6417" t="inlineStr">
        <is>
          <t>8⁸, 16¹², 32⁴</t>
        </is>
      </c>
      <c r="I6417" t="n">
        <v>24</v>
      </c>
      <c r="J6417" t="inlineStr">
        <is>
          <t>1⁸, 2⁴, 4⁴, 8²</t>
        </is>
      </c>
      <c r="K6417">
        <f>HYPERLINK("CSG9.html#group16G9", "16G⁹")</f>
        <v/>
      </c>
      <c r="L6417" t="inlineStr"/>
      <c r="M6417">
        <f>HYPERLINK("CSG0.html#group2A0", "2A⁰"), =HYPERLINK("CSG3.html#group16D3", "16D³"), =HYPERLINK("CSG5.html#group16D5", "16D⁵"), =HYPERLINK("CSG1.html#group8A1", "8A¹"), =HYPERLINK("CSG3.html#group16O3", "16O³"), =HYPERLINK("CSG0.html#group4C0", "4C⁰"), =HYPERLINK("CSG0.html#group8B0", "8B⁰"), =HYPERLINK("CSG3.html#group16B3", "16B³"), =HYPERLINK("CSG3.html#group16S3", "16S³"), =HYPERLINK("CSG0.html#group8L0", "8L⁰"), =HYPERLINK("CSG0.html#group2B0", "2B⁰"), =HYPERLINK("CSG1.html#group8B1", "8B¹"), =HYPERLINK("CSG0.html#group4E0", "4E⁰"), =HYPERLINK("CSG1.html#group16J1", "16J¹"), =HYPERLINK("CSG0.html#group4B0", "4B⁰"), =HYPERLINK("CSG0.html#group1A0", "1A⁰"), =HYPERLINK("CSG2.html#group16A2", "16A²"), =HYPERLINK("CSG0.html#group16B0", "16B⁰"), =HYPERLINK("CSG9.html#group16G9", "16G⁹"), =HYPERLINK("CSG1.html#group16D1", "16D¹"), =HYPERLINK("CSG2.html#group16B2", "16B²"), =HYPERLINK("CSG1.html#group8G1", "8G¹"), =HYPERLINK("CSG3.html#group16F3", "16F³"), =HYPERLINK("CSG3.html#group16R3", "16R³"), =HYPERLINK("CSG0.html#group8J0", "8J⁰"), =HYPERLINK("CSG0.html#group2C0", "2C⁰")</f>
        <v/>
      </c>
      <c r="N6417" t="inlineStr"/>
    </row>
    <row r="6418">
      <c r="A6418" t="inlineStr">
        <is>
          <t>32S²¹</t>
        </is>
      </c>
      <c r="B6418" t="inlineStr"/>
      <c r="C6418" t="inlineStr">
        <is>
          <t>384</t>
        </is>
      </c>
      <c r="D6418" t="inlineStr">
        <is>
          <t>1</t>
        </is>
      </c>
      <c r="E6418" t="inlineStr">
        <is>
          <t>48</t>
        </is>
      </c>
      <c r="F6418" t="inlineStr">
        <is>
          <t>16</t>
        </is>
      </c>
      <c r="G6418" t="inlineStr">
        <is>
          <t>0</t>
        </is>
      </c>
      <c r="H6418" t="inlineStr">
        <is>
          <t>16⁸, 32⁸</t>
        </is>
      </c>
      <c r="I6418" t="n">
        <v>16</v>
      </c>
      <c r="J6418" t="inlineStr">
        <is>
          <t>4¹², 8², 16²</t>
        </is>
      </c>
      <c r="K6418">
        <f>HYPERLINK("CSG9.html#group32O9", "32O⁹")</f>
        <v/>
      </c>
      <c r="L6418" t="inlineStr"/>
      <c r="M6418">
        <f>HYPERLINK("CSG0.html#group16B0", "16B⁰"), =HYPERLINK("CSG1.html#group16D1", "16D¹"), =HYPERLINK("CSG3.html#group16R3", "16R³"), =HYPERLINK("CSG5.html#group32K5", "32K⁵"), =HYPERLINK("CSG0.html#group4C0", "4C⁰"), =HYPERLINK("CSG0.html#group8B0", "8B⁰"), =HYPERLINK("CSG0.html#group8L0", "8L⁰"), =HYPERLINK("CSG0.html#group2B0", "2B⁰"), =HYPERLINK("CSG1.html#group32B1", "32B¹"), =HYPERLINK("CSG3.html#group32G3", "32G³"), =HYPERLINK("CSG9.html#group32O9", "32O⁹"), =HYPERLINK("CSG1.html#group16J1", "16J¹"), =HYPERLINK("CSG0.html#group1A0", "1A⁰"), =HYPERLINK("CSG3.html#group32H3", "32H³"), =HYPERLINK("CSG3.html#group32N3", "32N³")</f>
        <v/>
      </c>
      <c r="N6418" t="inlineStr"/>
    </row>
    <row r="6419">
      <c r="A6419" t="inlineStr">
        <is>
          <t>32T²¹</t>
        </is>
      </c>
      <c r="B6419" t="inlineStr"/>
      <c r="C6419" t="inlineStr">
        <is>
          <t>384</t>
        </is>
      </c>
      <c r="D6419" t="inlineStr">
        <is>
          <t>1</t>
        </is>
      </c>
      <c r="E6419" t="inlineStr">
        <is>
          <t>48</t>
        </is>
      </c>
      <c r="F6419" t="inlineStr">
        <is>
          <t>16</t>
        </is>
      </c>
      <c r="G6419" t="inlineStr">
        <is>
          <t>0</t>
        </is>
      </c>
      <c r="H6419" t="inlineStr">
        <is>
          <t>16⁸, 32⁸</t>
        </is>
      </c>
      <c r="I6419" t="n">
        <v>16</v>
      </c>
      <c r="J6419" t="inlineStr">
        <is>
          <t>4¹², 8², 16²</t>
        </is>
      </c>
      <c r="K6419">
        <f>HYPERLINK("CSG9.html#group32O9", "32O⁹")</f>
        <v/>
      </c>
      <c r="L6419" t="inlineStr"/>
      <c r="M6419">
        <f>HYPERLINK("CSG0.html#group16B0", "16B⁰"), =HYPERLINK("CSG1.html#group16D1", "16D¹"), =HYPERLINK("CSG3.html#group16R3", "16R³"), =HYPERLINK("CSG5.html#group32K5", "32K⁵"), =HYPERLINK("CSG0.html#group4C0", "4C⁰"), =HYPERLINK("CSG0.html#group8B0", "8B⁰"), =HYPERLINK("CSG0.html#group8L0", "8L⁰"), =HYPERLINK("CSG0.html#group2B0", "2B⁰"), =HYPERLINK("CSG1.html#group32B1", "32B¹"), =HYPERLINK("CSG3.html#group32G3", "32G³"), =HYPERLINK("CSG9.html#group32O9", "32O⁹"), =HYPERLINK("CSG1.html#group16J1", "16J¹"), =HYPERLINK("CSG0.html#group1A0", "1A⁰"), =HYPERLINK("CSG3.html#group32H3", "32H³"), =HYPERLINK("CSG3.html#group32N3", "32N³")</f>
        <v/>
      </c>
      <c r="N6419" t="inlineStr"/>
    </row>
    <row r="6420">
      <c r="A6420" t="inlineStr">
        <is>
          <t>32U²¹</t>
        </is>
      </c>
      <c r="B6420" t="inlineStr"/>
      <c r="C6420" t="inlineStr">
        <is>
          <t>384</t>
        </is>
      </c>
      <c r="D6420" t="inlineStr">
        <is>
          <t>1</t>
        </is>
      </c>
      <c r="E6420" t="inlineStr">
        <is>
          <t>48</t>
        </is>
      </c>
      <c r="F6420" t="inlineStr">
        <is>
          <t>16</t>
        </is>
      </c>
      <c r="G6420" t="inlineStr">
        <is>
          <t>0</t>
        </is>
      </c>
      <c r="H6420" t="inlineStr">
        <is>
          <t>16⁸, 32⁸</t>
        </is>
      </c>
      <c r="I6420" t="n">
        <v>16</v>
      </c>
      <c r="J6420" t="inlineStr">
        <is>
          <t>4¹², 8², 16²</t>
        </is>
      </c>
      <c r="K6420">
        <f>HYPERLINK("CSG9.html#group32P9", "32P⁹")</f>
        <v/>
      </c>
      <c r="L6420" t="inlineStr"/>
      <c r="M6420">
        <f>HYPERLINK("CSG0.html#group16B0", "16B⁰"), =HYPERLINK("CSG9.html#group32P9", "32P⁹"), =HYPERLINK("CSG1.html#group16D1", "16D¹"), =HYPERLINK("CSG5.html#group32J5", "32J⁵"), =HYPERLINK("CSG0.html#group4C0", "4C⁰"), =HYPERLINK("CSG0.html#group8B0", "8B⁰"), =HYPERLINK("CSG3.html#group16S3", "16S³"), =HYPERLINK("CSG0.html#group8L0", "8L⁰"), =HYPERLINK("CSG0.html#group2B0", "2B⁰"), =HYPERLINK("CSG3.html#group32E3", "32E³"), =HYPERLINK("CSG1.html#group32B1", "32B¹"), =HYPERLINK("CSG3.html#group32F3", "32F³"), =HYPERLINK("CSG1.html#group16J1", "16J¹"), =HYPERLINK("CSG0.html#group1A0", "1A⁰"), =HYPERLINK("CSG3.html#group32N3", "32N³")</f>
        <v/>
      </c>
      <c r="N6420" t="inlineStr"/>
    </row>
    <row r="6421">
      <c r="A6421" t="inlineStr">
        <is>
          <t>32V²¹</t>
        </is>
      </c>
      <c r="B6421" t="inlineStr"/>
      <c r="C6421" t="inlineStr">
        <is>
          <t>384</t>
        </is>
      </c>
      <c r="D6421" t="inlineStr">
        <is>
          <t>1</t>
        </is>
      </c>
      <c r="E6421" t="inlineStr">
        <is>
          <t>48</t>
        </is>
      </c>
      <c r="F6421" t="inlineStr">
        <is>
          <t>16</t>
        </is>
      </c>
      <c r="G6421" t="inlineStr">
        <is>
          <t>0</t>
        </is>
      </c>
      <c r="H6421" t="inlineStr">
        <is>
          <t>16⁸, 32⁸</t>
        </is>
      </c>
      <c r="I6421" t="n">
        <v>16</v>
      </c>
      <c r="J6421" t="inlineStr">
        <is>
          <t>4¹², 8², 16²</t>
        </is>
      </c>
      <c r="K6421">
        <f>HYPERLINK("CSG9.html#group32P9", "32P⁹")</f>
        <v/>
      </c>
      <c r="L6421" t="inlineStr"/>
      <c r="M6421">
        <f>HYPERLINK("CSG0.html#group16B0", "16B⁰"), =HYPERLINK("CSG9.html#group32P9", "32P⁹"), =HYPERLINK("CSG1.html#group16D1", "16D¹"), =HYPERLINK("CSG5.html#group32J5", "32J⁵"), =HYPERLINK("CSG0.html#group4C0", "4C⁰"), =HYPERLINK("CSG0.html#group8B0", "8B⁰"), =HYPERLINK("CSG3.html#group16S3", "16S³"), =HYPERLINK("CSG0.html#group8L0", "8L⁰"), =HYPERLINK("CSG0.html#group2B0", "2B⁰"), =HYPERLINK("CSG3.html#group32E3", "32E³"), =HYPERLINK("CSG1.html#group32B1", "32B¹"), =HYPERLINK("CSG3.html#group32F3", "32F³"), =HYPERLINK("CSG1.html#group16J1", "16J¹"), =HYPERLINK("CSG0.html#group1A0", "1A⁰"), =HYPERLINK("CSG3.html#group32N3", "32N³")</f>
        <v/>
      </c>
      <c r="N6421" t="inlineStr"/>
    </row>
    <row r="6422">
      <c r="A6422" t="inlineStr">
        <is>
          <t>32W²¹</t>
        </is>
      </c>
      <c r="B6422" t="inlineStr"/>
      <c r="C6422" t="inlineStr">
        <is>
          <t>384</t>
        </is>
      </c>
      <c r="D6422" t="inlineStr">
        <is>
          <t>1</t>
        </is>
      </c>
      <c r="E6422" t="inlineStr">
        <is>
          <t>96</t>
        </is>
      </c>
      <c r="F6422" t="inlineStr">
        <is>
          <t>8</t>
        </is>
      </c>
      <c r="G6422" t="inlineStr">
        <is>
          <t>0</t>
        </is>
      </c>
      <c r="H6422" t="inlineStr">
        <is>
          <t>16¹⁶, 32⁴</t>
        </is>
      </c>
      <c r="I6422" t="n">
        <v>20</v>
      </c>
      <c r="J6422" t="inlineStr">
        <is>
          <t>8², 16⁵</t>
        </is>
      </c>
      <c r="K6422">
        <f>HYPERLINK("CSG9.html#group16J9", "16J⁹")</f>
        <v/>
      </c>
      <c r="L6422" t="inlineStr"/>
      <c r="M6422">
        <f>HYPERLINK("CSG0.html#group8D0", "8D⁰"), =HYPERLINK("CSG0.html#group4C0", "4C⁰"), =HYPERLINK("CSG0.html#group8B0", "8B⁰"), =HYPERLINK("CSG0.html#group8A0", "8A⁰"), =HYPERLINK("CSG1.html#group16B1", "16B¹"), =HYPERLINK("CSG0.html#group2B0", "2B⁰"), =HYPERLINK("CSG0.html#group8K0", "8K⁰"), =HYPERLINK("CSG9.html#group16J9", "16J⁹"), =HYPERLINK("CSG0.html#group1A0", "1A⁰"), =HYPERLINK("CSG1.html#group8H1", "8H¹"), =HYPERLINK("CSG1.html#group8D1", "8D¹"), =HYPERLINK("CSG0.html#group8H0", "8H⁰"), =HYPERLINK("CSG0.html#group16B0", "16B⁰"), =HYPERLINK("CSG1.html#group16L1", "16L¹"), =HYPERLINK("CSG3.html#group16K3", "16K³"), =HYPERLINK("CSG0.html#group4A0", "4A⁰"), =HYPERLINK("CSG5.html#group16I5", "16I⁵"), =HYPERLINK("CSG0.html#group4F0", "4F⁰"), =HYPERLINK("CSG1.html#group16F1", "16F¹"), =HYPERLINK("CSG3.html#group16Q3", "16Q³"), =HYPERLINK("CSG1.html#group16H1", "16H¹"), =HYPERLINK("CSG1.html#group16K1", "16K¹")</f>
        <v/>
      </c>
      <c r="N6422" t="inlineStr"/>
    </row>
    <row r="6423">
      <c r="A6423" t="inlineStr">
        <is>
          <t>32X²¹</t>
        </is>
      </c>
      <c r="B6423" t="inlineStr"/>
      <c r="C6423" t="inlineStr">
        <is>
          <t>384</t>
        </is>
      </c>
      <c r="D6423" t="inlineStr">
        <is>
          <t>1</t>
        </is>
      </c>
      <c r="E6423" t="inlineStr">
        <is>
          <t>96</t>
        </is>
      </c>
      <c r="F6423" t="inlineStr">
        <is>
          <t>8</t>
        </is>
      </c>
      <c r="G6423" t="inlineStr">
        <is>
          <t>0</t>
        </is>
      </c>
      <c r="H6423" t="inlineStr">
        <is>
          <t>16¹⁶, 32⁴</t>
        </is>
      </c>
      <c r="I6423" t="n">
        <v>20</v>
      </c>
      <c r="J6423" t="inlineStr">
        <is>
          <t>8², 16⁵</t>
        </is>
      </c>
      <c r="K6423">
        <f>HYPERLINK("CSG9.html#group16I9", "16I⁹"), =HYPERLINK("CSG9.html#group32Q9", "32Q⁹"), =HYPERLINK("CSG9.html#group32R9", "32R⁹")</f>
        <v/>
      </c>
      <c r="L6423" t="inlineStr"/>
      <c r="M6423">
        <f>HYPERLINK("CSG0.html#group16A0", "16A⁰"), =HYPERLINK("CSG0.html#group8D0", "8D⁰"), =HYPERLINK("CSG0.html#group4C0", "4C⁰"), =HYPERLINK("CSG0.html#group8B0", "8B⁰"), =HYPERLINK("CSG9.html#group32R9", "32R⁹"), =HYPERLINK("CSG3.html#group16P3", "16P³"), =HYPERLINK("CSG0.html#group8A0", "8A⁰"), =HYPERLINK("CSG0.html#group2B0", "2B⁰"), =HYPERLINK("CSG1.html#group16B1", "16B¹"), =HYPERLINK("CSG3.html#group16G3", "16G³"), =HYPERLINK("CSG0.html#group1A0", "1A⁰"), =HYPERLINK("CSG0.html#group8K0", "8K⁰"), =HYPERLINK("CSG1.html#group8D1", "8D¹"), =HYPERLINK("CSG1.html#group8H1", "8H¹"), =HYPERLINK("CSG0.html#group8H0", "8H⁰"), =HYPERLINK("CSG0.html#group16B0", "16B⁰"), =HYPERLINK("CSG3.html#group16K3", "16K³"), =HYPERLINK("CSG0.html#group4A0", "4A⁰"), =HYPERLINK("CSG9.html#group32Q9", "32Q⁹"), =HYPERLINK("CSG0.html#group4F0", "4F⁰"), =HYPERLINK("CSG1.html#group16F1", "16F¹"), =HYPERLINK("CSG1.html#group16H1", "16H¹"), =HYPERLINK("CSG5.html#group16J5", "16J⁵"), =HYPERLINK("CSG9.html#group16I9", "16I⁹")</f>
        <v/>
      </c>
      <c r="N6423" t="inlineStr"/>
    </row>
    <row r="6424">
      <c r="A6424" t="inlineStr">
        <is>
          <t>32Y²¹</t>
        </is>
      </c>
      <c r="B6424" t="inlineStr"/>
      <c r="C6424" t="inlineStr">
        <is>
          <t>384</t>
        </is>
      </c>
      <c r="D6424" t="inlineStr">
        <is>
          <t>2</t>
        </is>
      </c>
      <c r="E6424" t="inlineStr">
        <is>
          <t>24</t>
        </is>
      </c>
      <c r="F6424" t="inlineStr">
        <is>
          <t>16</t>
        </is>
      </c>
      <c r="G6424" t="inlineStr">
        <is>
          <t>0</t>
        </is>
      </c>
      <c r="H6424" t="inlineStr">
        <is>
          <t>16⁸, 32⁸</t>
        </is>
      </c>
      <c r="I6424" t="n">
        <v>16</v>
      </c>
      <c r="J6424" t="inlineStr">
        <is>
          <t>2⁸, 4⁴, 8²</t>
        </is>
      </c>
      <c r="K6424">
        <f>HYPERLINK("CSG7.html#group16E7", "16E⁷"), =HYPERLINK("CSG9.html#group32H9", "32H⁹"), =HYPERLINK("CSG9.html#group32O9", "32O⁹"), =HYPERLINK("CSG9.html#group32P9", "32P⁹"), =HYPERLINK("CSG11.html#group32I11", "32I¹¹"), =HYPERLINK("CSG11.html#group32J11", "32J¹¹"), =HYPERLINK("CSG11.html#group32K11", "32K¹¹")</f>
        <v/>
      </c>
      <c r="L6424" t="inlineStr"/>
      <c r="M6424">
        <f>HYPERLINK("CSG5.html#group32L5", "32L⁵"), =HYPERLINK("CSG6.html#group32F6", "32F⁶"), =HYPERLINK("CSG5.html#group32J5", "32J⁵"), =HYPERLINK("CSG5.html#group32K5", "32K⁵"), =HYPERLINK("CSG0.html#group4C0", "4C⁰"), =HYPERLINK("CSG3.html#group16S3", "16S³"), =HYPERLINK("CSG0.html#group8L0", "8L⁰"), =HYPERLINK("CSG0.html#group2B0", "2B⁰"), =HYPERLINK("CSG7.html#group16E7", "16E⁷"), =HYPERLINK("CSG3.html#group32F3", "32F³"), =HYPERLINK("CSG5.html#group32G5", "32G⁵"), =HYPERLINK("CSG3.html#group32G3", "32G³"), =HYPERLINK("CSG0.html#group1A0", "1A⁰"), =HYPERLINK("CSG2.html#group16E2", "16E²"), =HYPERLINK("CSG11.html#group32J11", "32J¹¹"), =HYPERLINK("CSG3.html#group32N3", "32N³"), =HYPERLINK("CSG0.html#group16B0", "16B⁰"), =HYPERLINK("CSG1.html#group16D1", "16D¹"), =HYPERLINK("CSG3.html#group32D3", "32D³"), =HYPERLINK("CSG1.html#group32B1", "32B¹"), =HYPERLINK("CSG3.html#group16R3", "16R³"), =HYPERLINK("CSG1.html#group16F1", "16F¹"), =HYPERLINK("CSG0.html#group8P0", "8P⁰"), =HYPERLINK("CSG11.html#group32I11", "32I¹¹"), =HYPERLINK("CSG9.html#group32H9", "32H⁹"), =HYPERLINK("CSG11.html#group32K11", "32K¹¹"), =HYPERLINK("CSG0.html#group8D0", "8D⁰"), =HYPERLINK("CSG3.html#group16M3", "16M³"), =HYPERLINK("CSG6.html#group32D6", "32D⁶"), =HYPERLINK("CSG0.html#group8B0", "8B⁰"), =HYPERLINK("CSG1.html#group16B1", "16B¹"), =HYPERLINK("CSG9.html#group32O9", "32O⁹"), =HYPERLINK("CSG1.html#group16J1", "16J¹"), =HYPERLINK("CSG0.html#group8H0", "8H⁰"), =HYPERLINK("CSG9.html#group32P9", "32P⁹"), =HYPERLINK("CSG6.html#group32E6", "32E⁶"), =HYPERLINK("CSG6.html#group32C6", "32C⁶"), =HYPERLINK("CSG2.html#group16F2", "16F²"), =HYPERLINK("CSG0.html#group4A0", "4A⁰"), =HYPERLINK("CSG3.html#group32E3", "32E³"), =HYPERLINK("CSG0.html#group4F0", "4F⁰"), =HYPERLINK("CSG3.html#group32L3", "32L³"), =HYPERLINK("CSG3.html#group32H3", "32H³")</f>
        <v/>
      </c>
      <c r="N6424" t="inlineStr"/>
    </row>
    <row r="6425">
      <c r="A6425" t="inlineStr">
        <is>
          <t>33A²¹</t>
        </is>
      </c>
      <c r="B6425" t="inlineStr"/>
      <c r="C6425" t="inlineStr">
        <is>
          <t>330</t>
        </is>
      </c>
      <c r="D6425" t="inlineStr">
        <is>
          <t>1</t>
        </is>
      </c>
      <c r="E6425" t="inlineStr">
        <is>
          <t>110</t>
        </is>
      </c>
      <c r="F6425" t="inlineStr">
        <is>
          <t>6</t>
        </is>
      </c>
      <c r="G6425" t="inlineStr">
        <is>
          <t>3</t>
        </is>
      </c>
      <c r="H6425" t="inlineStr">
        <is>
          <t>33¹⁰</t>
        </is>
      </c>
      <c r="I6425" t="n">
        <v>10</v>
      </c>
      <c r="J6425" t="inlineStr">
        <is>
          <t>10¹, 20⁵</t>
        </is>
      </c>
      <c r="K6425">
        <f>HYPERLINK("CSG4.html#group11A4", "11A⁴")</f>
        <v/>
      </c>
      <c r="L6425" t="inlineStr"/>
      <c r="M6425">
        <f>HYPERLINK("CSG4.html#group11A4", "11A⁴"), =HYPERLINK("CSG1.html#group11C1", "11C¹"), =HYPERLINK("CSG0.html#group1A0", "1A⁰")</f>
        <v/>
      </c>
      <c r="N6425" t="inlineStr"/>
    </row>
    <row r="6426">
      <c r="A6426" t="inlineStr">
        <is>
          <t>33B²¹</t>
        </is>
      </c>
      <c r="B6426" t="inlineStr"/>
      <c r="C6426" t="inlineStr">
        <is>
          <t>360</t>
        </is>
      </c>
      <c r="D6426" t="inlineStr">
        <is>
          <t>1</t>
        </is>
      </c>
      <c r="E6426" t="inlineStr">
        <is>
          <t>36</t>
        </is>
      </c>
      <c r="F6426" t="inlineStr">
        <is>
          <t>0</t>
        </is>
      </c>
      <c r="G6426" t="inlineStr">
        <is>
          <t>0</t>
        </is>
      </c>
      <c r="H6426" t="inlineStr">
        <is>
          <t>3¹⁰, 33¹⁰</t>
        </is>
      </c>
      <c r="I6426" t="n">
        <v>20</v>
      </c>
      <c r="J6426" t="inlineStr">
        <is>
          <t>1², 2², 10¹, 20¹</t>
        </is>
      </c>
      <c r="K6426">
        <f>HYPERLINK("CSG5.html#group33A5", "33A⁵"), =HYPERLINK("CSG11.html#group33A11", "33A¹¹")</f>
        <v/>
      </c>
      <c r="L6426" t="inlineStr"/>
      <c r="M6426">
        <f>HYPERLINK("CSG11.html#group33A11", "33A¹¹"), =HYPERLINK("CSG1.html#group11A1", "11A¹"), =HYPERLINK("CSG5.html#group33A5", "33A⁵"), =HYPERLINK("CSG0.html#group3C0", "3C⁰"), =HYPERLINK("CSG0.html#group3A0", "3A⁰"), =HYPERLINK("CSG3.html#group33A3", "33A³"), =HYPERLINK("CSG0.html#group1A0", "1A⁰"), =HYPERLINK("CSG1.html#group11D1", "11D¹")</f>
        <v/>
      </c>
      <c r="N6426" t="inlineStr"/>
    </row>
    <row r="6427">
      <c r="A6427" t="inlineStr">
        <is>
          <t>33C²¹</t>
        </is>
      </c>
      <c r="B6427" t="inlineStr">
        <is>
          <t>Γ₁(33)</t>
        </is>
      </c>
      <c r="C6427" t="inlineStr">
        <is>
          <t>480</t>
        </is>
      </c>
      <c r="D6427" t="inlineStr">
        <is>
          <t>1</t>
        </is>
      </c>
      <c r="E6427" t="inlineStr">
        <is>
          <t>48</t>
        </is>
      </c>
      <c r="F6427" t="inlineStr">
        <is>
          <t>0</t>
        </is>
      </c>
      <c r="G6427" t="inlineStr">
        <is>
          <t>0</t>
        </is>
      </c>
      <c r="H6427" t="inlineStr">
        <is>
          <t>1¹⁰, 3¹⁰, 11¹⁰, 33¹⁰</t>
        </is>
      </c>
      <c r="I6427" t="n">
        <v>40</v>
      </c>
      <c r="J6427" t="inlineStr">
        <is>
          <t>1⁴, 2², 10², 20¹</t>
        </is>
      </c>
      <c r="K6427">
        <f>HYPERLINK("CSG5.html#group33B5", "33B⁵"), =HYPERLINK("CSG11.html#group33B11", "33B¹¹")</f>
        <v/>
      </c>
      <c r="L6427" t="inlineStr"/>
      <c r="M6427">
        <f>HYPERLINK("CSG5.html#group33B5", "33B⁵"), =HYPERLINK("CSG0.html#group3B0", "3B⁰"), =HYPERLINK("CSG1.html#group11A1", "11A¹"), =HYPERLINK("CSG11.html#group33B11", "33B¹¹"), =HYPERLINK("CSG0.html#group1A0", "1A⁰"), =HYPERLINK("CSG1.html#group11D1", "11D¹"), =HYPERLINK("CSG3.html#group33C3", "33C³")</f>
        <v/>
      </c>
      <c r="N6427" t="inlineStr"/>
    </row>
    <row r="6428">
      <c r="A6428" t="inlineStr">
        <is>
          <t>34A²¹</t>
        </is>
      </c>
      <c r="B6428" t="inlineStr">
        <is>
          <t>Γ₁(34)</t>
        </is>
      </c>
      <c r="C6428" t="inlineStr">
        <is>
          <t>432</t>
        </is>
      </c>
      <c r="D6428" t="inlineStr">
        <is>
          <t>1</t>
        </is>
      </c>
      <c r="E6428" t="inlineStr">
        <is>
          <t>54</t>
        </is>
      </c>
      <c r="F6428" t="inlineStr">
        <is>
          <t>0</t>
        </is>
      </c>
      <c r="G6428" t="inlineStr">
        <is>
          <t>0</t>
        </is>
      </c>
      <c r="H6428" t="inlineStr">
        <is>
          <t>1⁸, 2⁸, 17⁸, 34⁸</t>
        </is>
      </c>
      <c r="I6428" t="n">
        <v>32</v>
      </c>
      <c r="J6428" t="inlineStr">
        <is>
          <t>1⁶, 16³</t>
        </is>
      </c>
      <c r="K6428">
        <f>HYPERLINK("CSG5.html#group17A5", "17A⁵"), =HYPERLINK("CSG9.html#group34B9", "34B⁹")</f>
        <v/>
      </c>
      <c r="L6428" t="inlineStr"/>
      <c r="M6428">
        <f>HYPERLINK("CSG5.html#group17A5", "17A⁵"), =HYPERLINK("CSG3.html#group34C3", "34C³"), =HYPERLINK("CSG1.html#group17B1", "17B¹"), =HYPERLINK("CSG5.html#group34C5", "34C⁵"), =HYPERLINK("CSG9.html#group34B9", "34B⁹"), =HYPERLINK("CSG1.html#group17A1", "17A¹"), =HYPERLINK("CSG1.html#group17C1", "17C¹"), =HYPERLINK("CSG0.html#group2B0", "2B⁰"), =HYPERLINK("CSG0.html#group1A0", "1A⁰")</f>
        <v/>
      </c>
      <c r="N6428" t="inlineStr"/>
    </row>
    <row r="6429">
      <c r="A6429" t="inlineStr">
        <is>
          <t>34B²¹</t>
        </is>
      </c>
      <c r="B6429" t="inlineStr"/>
      <c r="C6429" t="inlineStr">
        <is>
          <t>432</t>
        </is>
      </c>
      <c r="D6429" t="inlineStr">
        <is>
          <t>1</t>
        </is>
      </c>
      <c r="E6429" t="inlineStr">
        <is>
          <t>54</t>
        </is>
      </c>
      <c r="F6429" t="inlineStr">
        <is>
          <t>16</t>
        </is>
      </c>
      <c r="G6429" t="inlineStr">
        <is>
          <t>0</t>
        </is>
      </c>
      <c r="H6429" t="inlineStr">
        <is>
          <t>2¹², 34¹²</t>
        </is>
      </c>
      <c r="I6429" t="n">
        <v>24</v>
      </c>
      <c r="J6429" t="inlineStr">
        <is>
          <t>1⁶, 16³</t>
        </is>
      </c>
      <c r="K6429">
        <f>HYPERLINK("CSG5.html#group34D5", "34D⁵"), =HYPERLINK("CSG9.html#group34B9", "34B⁹")</f>
        <v/>
      </c>
      <c r="L6429" t="inlineStr"/>
      <c r="M6429">
        <f>HYPERLINK("CSG3.html#group34C3", "34C³"), =HYPERLINK("CSG1.html#group17B1", "17B¹"), =HYPERLINK("CSG5.html#group34C5", "34C⁵"), =HYPERLINK("CSG9.html#group34B9", "34B⁹"), =HYPERLINK("CSG1.html#group17C1", "17C¹"), =HYPERLINK("CSG5.html#group34D5", "34D⁵"), =HYPERLINK("CSG1.html#group17A1", "17A¹"), =HYPERLINK("CSG0.html#group2B0", "2B⁰"), =HYPERLINK("CSG0.html#group1A0", "1A⁰")</f>
        <v/>
      </c>
      <c r="N6429" t="inlineStr"/>
    </row>
    <row r="6430">
      <c r="A6430" t="inlineStr">
        <is>
          <t>35A²¹</t>
        </is>
      </c>
      <c r="B6430" t="inlineStr"/>
      <c r="C6430" t="inlineStr">
        <is>
          <t>336</t>
        </is>
      </c>
      <c r="D6430" t="inlineStr">
        <is>
          <t>1</t>
        </is>
      </c>
      <c r="E6430" t="inlineStr">
        <is>
          <t>168</t>
        </is>
      </c>
      <c r="F6430" t="inlineStr">
        <is>
          <t>0</t>
        </is>
      </c>
      <c r="G6430" t="inlineStr">
        <is>
          <t>0</t>
        </is>
      </c>
      <c r="H6430" t="inlineStr">
        <is>
          <t>7⁸, 35⁸</t>
        </is>
      </c>
      <c r="I6430" t="n">
        <v>16</v>
      </c>
      <c r="J6430" t="inlineStr">
        <is>
          <t>1², 3², 4¹, 6⁸, 12¹, 24⁴</t>
        </is>
      </c>
      <c r="K6430">
        <f>HYPERLINK("CSG6.html#group35A6", "35A⁶"), =HYPERLINK("CSG9.html#group35D9", "35D⁹")</f>
        <v/>
      </c>
      <c r="L6430" t="inlineStr"/>
      <c r="M6430">
        <f>HYPERLINK("CSG2.html#group35C2", "35C²"), =HYPERLINK("CSG0.html#group5B0", "5B⁰"), =HYPERLINK("CSG0.html#group7F0", "7F⁰"), =HYPERLINK("CSG0.html#group5D0", "5D⁰"), =HYPERLINK("CSG0.html#group1A0", "1A⁰"), =HYPERLINK("CSG6.html#group35A6", "35A⁶"), =HYPERLINK("CSG9.html#group35D9", "35D⁹"), =HYPERLINK("CSG0.html#group7A0", "7A⁰")</f>
        <v/>
      </c>
      <c r="N6430" t="inlineStr"/>
    </row>
    <row r="6431">
      <c r="A6431" t="inlineStr">
        <is>
          <t>35B²¹</t>
        </is>
      </c>
      <c r="B6431" t="inlineStr"/>
      <c r="C6431" t="inlineStr">
        <is>
          <t>336</t>
        </is>
      </c>
      <c r="D6431" t="inlineStr">
        <is>
          <t>1</t>
        </is>
      </c>
      <c r="E6431" t="inlineStr">
        <is>
          <t>168</t>
        </is>
      </c>
      <c r="F6431" t="inlineStr">
        <is>
          <t>0</t>
        </is>
      </c>
      <c r="G6431" t="inlineStr">
        <is>
          <t>0</t>
        </is>
      </c>
      <c r="H6431" t="inlineStr">
        <is>
          <t>7⁸, 35⁸</t>
        </is>
      </c>
      <c r="I6431" t="n">
        <v>16</v>
      </c>
      <c r="J6431" t="inlineStr">
        <is>
          <t>1², 3², 4¹, 6⁸, 12¹, 24⁴</t>
        </is>
      </c>
      <c r="K6431">
        <f>HYPERLINK("CSG1.html#group7B1", "7B¹"), =HYPERLINK("CSG3.html#group35A3", "35A³"), =HYPERLINK("CSG5.html#group35B5", "35B⁵"), =HYPERLINK("CSG9.html#group35D9", "35D⁹")</f>
        <v/>
      </c>
      <c r="L6431" t="inlineStr"/>
      <c r="M6431">
        <f>HYPERLINK("CSG2.html#group35C2", "35C²"), =HYPERLINK("CSG0.html#group7B0", "7B⁰"), =HYPERLINK("CSG0.html#group7C0", "7C⁰"), =HYPERLINK("CSG0.html#group5B0", "5B⁰"), =HYPERLINK("CSG0.html#group7F0", "7F⁰"), =HYPERLINK("CSG5.html#group35B5", "35B⁵"), =HYPERLINK("CSG0.html#group1A0", "1A⁰"), =HYPERLINK("CSG3.html#group35A3", "35A³"), =HYPERLINK("CSG1.html#group7B1", "7B¹"), =HYPERLINK("CSG9.html#group35D9", "35D⁹"), =HYPERLINK("CSG0.html#group7A0", "7A⁰")</f>
        <v/>
      </c>
      <c r="N6431" t="inlineStr"/>
    </row>
    <row r="6432">
      <c r="A6432" t="inlineStr">
        <is>
          <t>36A²¹</t>
        </is>
      </c>
      <c r="B6432" t="inlineStr"/>
      <c r="C6432" t="inlineStr">
        <is>
          <t>288</t>
        </is>
      </c>
      <c r="D6432" t="inlineStr">
        <is>
          <t>1</t>
        </is>
      </c>
      <c r="E6432" t="inlineStr">
        <is>
          <t>12</t>
        </is>
      </c>
      <c r="F6432" t="inlineStr">
        <is>
          <t>0</t>
        </is>
      </c>
      <c r="G6432" t="inlineStr">
        <is>
          <t>0</t>
        </is>
      </c>
      <c r="H6432" t="inlineStr">
        <is>
          <t>36⁸</t>
        </is>
      </c>
      <c r="I6432" t="n">
        <v>8</v>
      </c>
      <c r="J6432" t="inlineStr">
        <is>
          <t>2², 4²</t>
        </is>
      </c>
      <c r="K6432">
        <f>HYPERLINK("CSG5.html#group12A5", "12A⁵"), =HYPERLINK("CSG5.html#group18A5", "18A⁵"), =HYPERLINK("CSG5.html#group36M5", "36M⁵"), =HYPERLINK("CSG9.html#group36K9", "36K⁹"), =HYPERLINK("CSG11.html#group36C11", "36C¹¹"), =HYPERLINK("CSG11.html#group36D11", "36D¹¹"), =HYPERLINK("CSG11.html#group36F11", "36F¹¹")</f>
        <v/>
      </c>
      <c r="L6432" t="inlineStr"/>
      <c r="M6432">
        <f>HYPERLINK("CSG0.html#group2A0", "2A⁰"), =HYPERLINK("CSG11.html#group36C11", "36C¹¹"), =HYPERLINK("CSG5.html#group18A5", "18A⁵"), =HYPERLINK("CSG3.html#group18A3", "18A³"), =HYPERLINK("CSG9.html#group36K9", "36K⁹"), =HYPERLINK("CSG5.html#group12A5", "12A⁵"), =HYPERLINK("CSG6.html#group36A6", "36A⁶"), =HYPERLINK("CSG0.html#group1A0", "1A⁰"), =HYPERLINK("CSG1.html#group9B1", "9B¹"), =HYPERLINK("CSG0.html#group18A0", "18A⁰"), =HYPERLINK("CSG2.html#group9A2", "9A²"), =HYPERLINK("CSG1.html#group6B1", "6B¹"), =HYPERLINK("CSG0.html#group4D0", "4D⁰"), =HYPERLINK("CSG5.html#group36E5", "36E⁵"), =HYPERLINK("CSG1.html#group12A1", "12A¹"), =HYPERLINK("CSG2.html#group12A2", "12A²"), =HYPERLINK("CSG0.html#group3C0", "3C⁰"), =HYPERLINK("CSG1.html#group12Q1", "12Q¹"), =HYPERLINK("CSG11.html#group36D11", "36D¹¹"), =HYPERLINK("CSG1.html#group6A1", "6A¹"), =HYPERLINK("CSG0.html#group3A0", "3A⁰"), =HYPERLINK("CSG1.html#group12G1", "12G¹"), =HYPERLINK("CSG0.html#group3B0", "3B⁰"), =HYPERLINK("CSG2.html#group36D2", "36D²"), =HYPERLINK("CSG0.html#group6B0", "6B⁰"), =HYPERLINK("CSG1.html#group12I1", "12I¹"), =HYPERLINK("CSG11.html#group36F11", "36F¹¹"), =HYPERLINK("CSG3.html#group12B3", "12B³"), =HYPERLINK("CSG0.html#group6C0", "6C⁰"), =HYPERLINK("CSG3.html#group36H3", "36H³"), =HYPERLINK("CSG3.html#group12C3", "12C³"), =HYPERLINK("CSG0.html#group12F0", "12F⁰"), =HYPERLINK("CSG2.html#group18A2", "18A²"), =HYPERLINK("CSG1.html#group36A1", "36A¹"), =HYPERLINK("CSG0.html#group12A0", "12A⁰"), =HYPERLINK("CSG0.html#group9D0", "9D⁰"), =HYPERLINK("CSG0.html#group18D0", "18D⁰"), =HYPERLINK("CSG1.html#group6D1", "6D¹"), =HYPERLINK("CSG0.html#group6E0", "6E⁰"), =HYPERLINK("CSG0.html#group4A0", "4A⁰"), =HYPERLINK("CSG0.html#group9A0", "9A⁰"), =HYPERLINK("CSG5.html#group36M5", "36M⁵"), =HYPERLINK("CSG3.html#group18C3", "18C³"), =HYPERLINK("CSG2.html#group18G2", "18G²"), =HYPERLINK("CSG0.html#group3D0", "3D⁰"), =HYPERLINK("CSG1.html#group18A1", "18A¹"), =HYPERLINK("CSG4.html#group36L4", "36L⁴")</f>
        <v/>
      </c>
      <c r="N6432" t="inlineStr"/>
    </row>
    <row r="6433">
      <c r="A6433" t="inlineStr">
        <is>
          <t>36B²¹</t>
        </is>
      </c>
      <c r="B6433" t="inlineStr"/>
      <c r="C6433" t="inlineStr">
        <is>
          <t>288</t>
        </is>
      </c>
      <c r="D6433" t="inlineStr">
        <is>
          <t>1</t>
        </is>
      </c>
      <c r="E6433" t="inlineStr">
        <is>
          <t>24</t>
        </is>
      </c>
      <c r="F6433" t="inlineStr">
        <is>
          <t>0</t>
        </is>
      </c>
      <c r="G6433" t="inlineStr">
        <is>
          <t>0</t>
        </is>
      </c>
      <c r="H6433" t="inlineStr">
        <is>
          <t>36⁸</t>
        </is>
      </c>
      <c r="I6433" t="n">
        <v>8</v>
      </c>
      <c r="J6433" t="inlineStr">
        <is>
          <t>4⁶</t>
        </is>
      </c>
      <c r="K6433">
        <f>HYPERLINK("CSG5.html#group12A5", "12A⁵"), =HYPERLINK("CSG5.html#group18B5", "18B⁵"), =HYPERLINK("CSG9.html#group36L9", "36L⁹"), =HYPERLINK("CSG11.html#group36E11", "36E¹¹")</f>
        <v/>
      </c>
      <c r="L6433" t="inlineStr"/>
      <c r="M6433">
        <f>HYPERLINK("CSG1.html#group12G1", "12G¹"), =HYPERLINK("CSG0.html#group2A0", "2A⁰"), =HYPERLINK("CSG0.html#group3B0", "3B⁰"), =HYPERLINK("CSG0.html#group6B0", "6B⁰"), =HYPERLINK("CSG1.html#group12I1", "12I¹"), =HYPERLINK("CSG3.html#group12B3", "12B³"), =HYPERLINK("CSG0.html#group6C0", "6C⁰"), =HYPERLINK("CSG3.html#group12C3", "12C³"), =HYPERLINK("CSG0.html#group12F0", "12F⁰"), =HYPERLINK("CSG1.html#group18B1", "18B¹"), =HYPERLINK("CSG5.html#group12A5", "12A⁵"), =HYPERLINK("CSG0.html#group1A0", "1A⁰"), =HYPERLINK("CSG0.html#group3D0", "3D⁰"), =HYPERLINK("CSG4.html#group36N4", "36N⁴"), =HYPERLINK("CSG0.html#group12A0", "12A⁰"), =HYPERLINK("CSG1.html#group6D1", "6D¹"), =HYPERLINK("CSG2.html#group18H2", "18H²"), =HYPERLINK("CSG0.html#group6E0", "6E⁰"), =HYPERLINK("CSG1.html#group6B1", "6B¹"), =HYPERLINK("CSG0.html#group4A0", "4A⁰"), =HYPERLINK("CSG0.html#group4D0", "4D⁰"), =HYPERLINK("CSG1.html#group12A1", "12A¹"), =HYPERLINK("CSG3.html#group18B3", "18B³"), =HYPERLINK("CSG2.html#group12A2", "12A²"), =HYPERLINK("CSG5.html#group18B5", "18B⁵"), =HYPERLINK("CSG1.html#group12Q1", "12Q¹"), =HYPERLINK("CSG11.html#group36E11", "36E¹¹"), =HYPERLINK("CSG0.html#group3C0", "3C⁰"), =HYPERLINK("CSG1.html#group6A1", "6A¹"), =HYPERLINK("CSG0.html#group3A0", "3A⁰"), =HYPERLINK("CSG9.html#group36L9", "36L⁹")</f>
        <v/>
      </c>
      <c r="N6433" t="inlineStr"/>
    </row>
    <row r="6434">
      <c r="A6434" t="inlineStr">
        <is>
          <t>36C²¹</t>
        </is>
      </c>
      <c r="B6434" t="inlineStr"/>
      <c r="C6434" t="inlineStr">
        <is>
          <t>324</t>
        </is>
      </c>
      <c r="D6434" t="inlineStr">
        <is>
          <t>1</t>
        </is>
      </c>
      <c r="E6434" t="inlineStr">
        <is>
          <t>81</t>
        </is>
      </c>
      <c r="F6434" t="inlineStr">
        <is>
          <t>4</t>
        </is>
      </c>
      <c r="G6434" t="inlineStr">
        <is>
          <t>0</t>
        </is>
      </c>
      <c r="H6434" t="inlineStr">
        <is>
          <t>18⁶, 36⁶</t>
        </is>
      </c>
      <c r="I6434" t="n">
        <v>12</v>
      </c>
      <c r="J6434" t="inlineStr">
        <is>
          <t>3³, 6¹²</t>
        </is>
      </c>
      <c r="K6434">
        <f>HYPERLINK("CSG5.html#group36I5", "36I⁵"), =HYPERLINK("CSG7.html#group36E7", "36E⁷"), =HYPERLINK("CSG8.html#group18A8", "18A⁸"), =HYPERLINK("CSG8.html#group36L8", "36L⁸"), =HYPERLINK("CSG11.html#group36G11", "36G¹¹")</f>
        <v/>
      </c>
      <c r="L6434" t="inlineStr"/>
      <c r="M6434">
        <f>HYPERLINK("CSG5.html#group36I5", "36I⁵"), =HYPERLINK("CSG0.html#group12C0", "12C⁰"), =HYPERLINK("CSG1.html#group18I1", "18I¹"), =HYPERLINK("CSG8.html#group36L8", "36L⁸"), =HYPERLINK("CSG0.html#group9G0", "9G⁰"), =HYPERLINK("CSG0.html#group4C0", "4C⁰"), =HYPERLINK("CSG2.html#group36B2", "36B²"), =HYPERLINK("CSG0.html#group6G0", "6G⁰"), =HYPERLINK("CSG4.html#group36E4", "36E⁴"), =HYPERLINK("CSG0.html#group2B0", "2B⁰"), =HYPERLINK("CSG2.html#group9B2", "9B²"), =HYPERLINK("CSG0.html#group9E0", "9E⁰"), =HYPERLINK("CSG0.html#group1A0", "1A⁰"), =HYPERLINK("CSG1.html#group12L1", "12L¹"), =HYPERLINK("CSG1.html#group9B1", "9B¹"), =HYPERLINK("CSG3.html#group18E3", "18E³"), =HYPERLINK("CSG8.html#group18A8", "18A⁸"), =HYPERLINK("CSG1.html#group12C1", "12C¹"), =HYPERLINK("CSG3.html#group18J3", "18J³"), =HYPERLINK("CSG0.html#group9A0", "9A⁰"), =HYPERLINK("CSG11.html#group36G11", "36G¹¹"), =HYPERLINK("CSG7.html#group36E7", "36E⁷"), =HYPERLINK("CSG0.html#group3C0", "3C⁰"), =HYPERLINK("CSG1.html#group18E1", "18E¹"), =HYPERLINK("CSG0.html#group3A0", "3A⁰"), =HYPERLINK("CSG0.html#group6D0", "6D⁰")</f>
        <v/>
      </c>
      <c r="N6434" t="inlineStr"/>
    </row>
    <row r="6435">
      <c r="A6435" t="inlineStr">
        <is>
          <t>36D²¹</t>
        </is>
      </c>
      <c r="B6435" t="inlineStr"/>
      <c r="C6435" t="inlineStr">
        <is>
          <t>324</t>
        </is>
      </c>
      <c r="D6435" t="inlineStr">
        <is>
          <t>2</t>
        </is>
      </c>
      <c r="E6435" t="inlineStr">
        <is>
          <t>81</t>
        </is>
      </c>
      <c r="F6435" t="inlineStr">
        <is>
          <t>4</t>
        </is>
      </c>
      <c r="G6435" t="inlineStr">
        <is>
          <t>0</t>
        </is>
      </c>
      <c r="H6435" t="inlineStr">
        <is>
          <t>18⁶, 36⁶</t>
        </is>
      </c>
      <c r="I6435" t="n">
        <v>12</v>
      </c>
      <c r="J6435" t="inlineStr">
        <is>
          <t>6²⁷</t>
        </is>
      </c>
      <c r="K6435">
        <f>HYPERLINK("CSG7.html#group36F7", "36F⁷"), =HYPERLINK("CSG7.html#group36G7", "36G⁷"), =HYPERLINK("CSG8.html#group18B8", "18B⁸"), =HYPERLINK("CSG8.html#group36M8", "36M⁸"), =HYPERLINK("CSG11.html#group36G11", "36G¹¹")</f>
        <v/>
      </c>
      <c r="L6435" t="inlineStr"/>
      <c r="M6435">
        <f>HYPERLINK("CSG0.html#group6B0", "6B⁰"), =HYPERLINK("CSG0.html#group9G0", "9G⁰"), =HYPERLINK("CSG2.html#group18K2", "18K²"), =HYPERLINK("CSG0.html#group6H0", "6H⁰"), =HYPERLINK("CSG1.html#group18B1", "18B¹"), =HYPERLINK("CSG4.html#group36E4", "36E⁴"), =HYPERLINK("CSG0.html#group2B0", "2B⁰"), =HYPERLINK("CSG1.html#group12N1", "12N¹"), =HYPERLINK("CSG2.html#group18M2", "18M²"), =HYPERLINK("CSG0.html#group1A0", "1A⁰"), =HYPERLINK("CSG7.html#group36F7", "36F⁷"), =HYPERLINK("CSG0.html#group18A0", "18A⁰"), =HYPERLINK("CSG2.html#group18L2", "18L²"), =HYPERLINK("CSG8.html#group36M8", "36M⁸"), =HYPERLINK("CSG3.html#group18D3", "18D³"), =HYPERLINK("CSG1.html#group12C1", "12C¹"), =HYPERLINK("CSG3.html#group18J3", "18J³"), =HYPERLINK("CSG0.html#group9A0", "9A⁰"), =HYPERLINK("CSG11.html#group36G11", "36G¹¹"), =HYPERLINK("CSG8.html#group18B8", "18B⁸"), =HYPERLINK("CSG0.html#group12D0", "12D⁰"), =HYPERLINK("CSG1.html#group18E1", "18E¹"), =HYPERLINK("CSG0.html#group3A0", "3A⁰"), =HYPERLINK("CSG7.html#group36G7", "36G⁷"), =HYPERLINK("CSG3.html#group36D3", "36D³"), =HYPERLINK("CSG1.html#group18A1", "18A¹"), =HYPERLINK("CSG0.html#group6D0", "6D⁰"), =HYPERLINK("CSG2.html#group36C2", "36C²")</f>
        <v/>
      </c>
      <c r="N6435" t="inlineStr"/>
    </row>
    <row r="6436">
      <c r="A6436" t="inlineStr">
        <is>
          <t>36E²¹</t>
        </is>
      </c>
      <c r="B6436" t="inlineStr"/>
      <c r="C6436" t="inlineStr">
        <is>
          <t>432</t>
        </is>
      </c>
      <c r="D6436" t="inlineStr">
        <is>
          <t>1</t>
        </is>
      </c>
      <c r="E6436" t="inlineStr">
        <is>
          <t>18</t>
        </is>
      </c>
      <c r="F6436" t="inlineStr">
        <is>
          <t>0</t>
        </is>
      </c>
      <c r="G6436" t="inlineStr">
        <is>
          <t>0</t>
        </is>
      </c>
      <c r="H6436" t="inlineStr">
        <is>
          <t>6¹², 12¹², 18⁴, 36⁴</t>
        </is>
      </c>
      <c r="I6436" t="n">
        <v>32</v>
      </c>
      <c r="J6436" t="inlineStr">
        <is>
          <t>1⁶, 2⁶</t>
        </is>
      </c>
      <c r="K6436">
        <f>HYPERLINK("CSG5.html#group12B5", "12B⁵"), =HYPERLINK("CSG7.html#group18N7", "18N⁷"), =HYPERLINK("CSG7.html#group36N7", "36N⁷"), =HYPERLINK("CSG9.html#group36P9", "36P⁹"), =HYPERLINK("CSG11.html#group36I11", "36I¹¹"), =HYPERLINK("CSG11.html#group36L11", "36L¹¹"), =HYPERLINK("CSG11.html#group36N11", "36N¹¹"), =HYPERLINK("CSG11.html#group36M11", "36M¹¹")</f>
        <v/>
      </c>
      <c r="L6436" t="inlineStr"/>
      <c r="M6436">
        <f>HYPERLINK("CSG1.html#group12T1", "12T¹"), =HYPERLINK("CSG5.html#group36I5", "36I⁵"), =HYPERLINK("CSG0.html#group12C0", "12C⁰"), =HYPERLINK("CSG1.html#group6C1", "6C¹"), =HYPERLINK("CSG3.html#group12F3", "12F³"), =HYPERLINK("CSG2.html#group12B2", "12B²"), =HYPERLINK("CSG2.html#group12E2", "12E²"), =HYPERLINK("CSG0.html#group2B0", "2B⁰"), =HYPERLINK("CSG0.html#group4B0", "4B⁰"), =HYPERLINK("CSG3.html#group12G3", "12G³"), =HYPERLINK("CSG0.html#group1A0", "1A⁰"), =HYPERLINK("CSG11.html#group36I11", "36I¹¹"), =HYPERLINK("CSG4.html#group18N4", "18N⁴"), =HYPERLINK("CSG3.html#group18H3", "18H³"), =HYPERLINK("CSG0.html#group3C0", "3C⁰"), =HYPERLINK("CSG3.html#group18K3", "18K³"), =HYPERLINK("CSG1.html#group12B1", "12B¹"), =HYPERLINK("CSG1.html#group18G1", "18G¹"), =HYPERLINK("CSG0.html#group6H0", "6H⁰"), =HYPERLINK("CSG1.html#group6E1", "6E¹"), =HYPERLINK("CSG0.html#group3B0", "3B⁰"), =HYPERLINK("CSG1.html#group12P1", "12P¹"), =HYPERLINK("CSG1.html#group12L1", "12L¹"), =HYPERLINK("CSG9.html#group36P9", "36P⁹"), =HYPERLINK("CSG0.html#group12G0", "12G⁰"), =HYPERLINK("CSG0.html#group6A0", "6A⁰"), =HYPERLINK("CSG1.html#group12C1", "12C¹"), =HYPERLINK("CSG3.html#group12D3", "12D³"), =HYPERLINK("CSG4.html#group36Q4", "36Q⁴"), =HYPERLINK("CSG2.html#group18P2", "18P²"), =HYPERLINK("CSG3.html#group12E3", "12E³"), =HYPERLINK("CSG1.html#group18F1", "18F¹"), =HYPERLINK("CSG0.html#group3D0", "3D⁰"), =HYPERLINK("CSG0.html#group2C0", "2C⁰"), =HYPERLINK("CSG0.html#group6D0", "6D⁰"), =HYPERLINK("CSG0.html#group2A0", "2A⁰"), =HYPERLINK("CSG1.html#group12K1", "12K¹"), =HYPERLINK("CSG5.html#group12B5", "12B⁵"), =HYPERLINK("CSG2.html#group12D2", "12D²"), =HYPERLINK("CSG0.html#group4C0", "4C⁰"), =HYPERLINK("CSG0.html#group6G0", "6G⁰"), =HYPERLINK("CSG1.html#group12S1", "12S¹"), =HYPERLINK("CSG0.html#group4E0", "4E⁰"), =HYPERLINK("CSG0.html#group9E0", "9E⁰"), =HYPERLINK("CSG1.html#group12N1", "12N¹"), =HYPERLINK("CSG3.html#group18F3", "18F³"), =HYPERLINK("CSG11.html#group36M11", "36M¹¹"), =HYPERLINK("CSG1.html#group6B1", "6B¹"), =HYPERLINK("CSG11.html#group36N11", "36N¹¹"), =HYPERLINK("CSG1.html#group6A1", "6A¹"), =HYPERLINK("CSG0.html#group6K0", "6K⁰"), =HYPERLINK("CSG3.html#group36I3", "36I³"), =HYPERLINK("CSG0.html#group3A0", "3A⁰"), =HYPERLINK("CSG0.html#group6F0", "6F⁰"), =HYPERLINK("CSG2.html#group18F2", "18F²"), =HYPERLINK("CSG7.html#group18N7", "18N⁷"), =HYPERLINK("CSG11.html#group36L11", "36L¹¹"), =HYPERLINK("CSG0.html#group6B0", "6B⁰"), =HYPERLINK("CSG7.html#group36N7", "36N⁷"), =HYPERLINK("CSG1.html#group18I1", "18I¹"), =HYPERLINK("CSG0.html#group6I0", "6I⁰"), =HYPERLINK("CSG1.html#group6F1", "6F¹"), =HYPERLINK("CSG0.html#group6C0", "6C⁰"), =HYPERLINK("CSG1.html#group12F1", "12F¹"), =HYPERLINK("CSG6.html#group36D6", "36D⁶"), =HYPERLINK("CSG1.html#group6D1", "6D¹"), =HYPERLINK("CSG0.html#group6E0", "6E⁰"), =HYPERLINK("CSG0.html#group6L0", "6L⁰"), =HYPERLINK("CSG0.html#group6J0", "6J⁰"), =HYPERLINK("CSG0.html#group9H0", "9H⁰"), =HYPERLINK("CSG0.html#group12D0", "12D⁰"), =HYPERLINK("CSG0.html#group12H0", "12H⁰"), =HYPERLINK("CSG2.html#group12C2", "12C²"), =HYPERLINK("CSG0.html#group12E0", "12E⁰")</f>
        <v/>
      </c>
      <c r="N6436" t="inlineStr"/>
    </row>
    <row r="6437">
      <c r="A6437" t="inlineStr">
        <is>
          <t>36F²¹</t>
        </is>
      </c>
      <c r="B6437" t="inlineStr"/>
      <c r="C6437" t="inlineStr">
        <is>
          <t>432</t>
        </is>
      </c>
      <c r="D6437" t="inlineStr">
        <is>
          <t>1</t>
        </is>
      </c>
      <c r="E6437" t="inlineStr">
        <is>
          <t>36</t>
        </is>
      </c>
      <c r="F6437" t="inlineStr">
        <is>
          <t>0</t>
        </is>
      </c>
      <c r="G6437" t="inlineStr">
        <is>
          <t>0</t>
        </is>
      </c>
      <c r="H6437" t="inlineStr">
        <is>
          <t>2⁶, 4⁶, 6⁴, 12⁴, 18⁶, 36⁶</t>
        </is>
      </c>
      <c r="I6437" t="n">
        <v>32</v>
      </c>
      <c r="J6437" t="inlineStr">
        <is>
          <t>1⁶, 2⁶, 6³</t>
        </is>
      </c>
      <c r="K6437">
        <f>HYPERLINK("CSG5.html#group36L5", "36L⁵"), =HYPERLINK("CSG7.html#group18O7", "18O⁷"), =HYPERLINK("CSG7.html#group36O7", "36O⁷"), =HYPERLINK("CSG11.html#group36K11", "36K¹¹")</f>
        <v/>
      </c>
      <c r="L6437" t="inlineStr"/>
      <c r="M6437">
        <f>HYPERLINK("CSG0.html#group2A0", "2A⁰"), =HYPERLINK("CSG0.html#group4C0", "4C⁰"), =HYPERLINK("CSG0.html#group2B0", "2B⁰"), =HYPERLINK("CSG0.html#group4E0", "4E⁰"), =HYPERLINK("CSG0.html#group4B0", "4B⁰"), =HYPERLINK("CSG0.html#group1A0", "1A⁰"), =HYPERLINK("CSG0.html#group18C0", "18C⁰"), =HYPERLINK("CSG2.html#group18Q2", "18Q²"), =HYPERLINK("CSG1.html#group18C1", "18C¹"), =HYPERLINK("CSG0.html#group9I0", "9I⁰"), =HYPERLINK("CSG3.html#group18I3", "18I³"), =HYPERLINK("CSG0.html#group6F0", "6F⁰"), =HYPERLINK("CSG3.html#group36G3", "36G³"), =HYPERLINK("CSG7.html#group36O7", "36O⁷"), =HYPERLINK("CSG0.html#group3B0", "3B⁰"), =HYPERLINK("CSG5.html#group36L5", "36L⁵"), =HYPERLINK("CSG1.html#group12F1", "12F¹"), =HYPERLINK("CSG0.html#group6I0", "6I⁰"), =HYPERLINK("CSG0.html#group6C0", "6C⁰"), =HYPERLINK("CSG0.html#group9B0", "9B⁰"), =HYPERLINK("CSG1.html#group12P1", "12P¹"), =HYPERLINK("CSG1.html#group18J1", "18J¹"), =HYPERLINK("CSG7.html#group18O7", "18O⁷"), =HYPERLINK("CSG0.html#group18E0", "18E⁰"), =HYPERLINK("CSG3.html#group18G3", "18G³"), =HYPERLINK("CSG11.html#group36K11", "36K¹¹"), =HYPERLINK("CSG1.html#group36C1", "36C¹"), =HYPERLINK("CSG0.html#group2C0", "2C⁰"), =HYPERLINK("CSG0.html#group12E0", "12E⁰")</f>
        <v/>
      </c>
      <c r="N6437" t="inlineStr"/>
    </row>
    <row r="6438">
      <c r="A6438" t="inlineStr">
        <is>
          <t>39A²¹</t>
        </is>
      </c>
      <c r="B6438" t="inlineStr"/>
      <c r="C6438" t="inlineStr">
        <is>
          <t>312</t>
        </is>
      </c>
      <c r="D6438" t="inlineStr">
        <is>
          <t>1</t>
        </is>
      </c>
      <c r="E6438" t="inlineStr">
        <is>
          <t>312</t>
        </is>
      </c>
      <c r="F6438" t="inlineStr">
        <is>
          <t>0</t>
        </is>
      </c>
      <c r="G6438" t="inlineStr">
        <is>
          <t>0</t>
        </is>
      </c>
      <c r="H6438" t="inlineStr">
        <is>
          <t>13⁶, 39⁶</t>
        </is>
      </c>
      <c r="I6438" t="n">
        <v>12</v>
      </c>
      <c r="J6438" t="inlineStr">
        <is>
          <t>6², 12¹³, 24⁶</t>
        </is>
      </c>
      <c r="K6438">
        <f>HYPERLINK("CSG0.html#group3B0", "3B⁰"), =HYPERLINK("CSG3.html#group13A3", "13A³")</f>
        <v/>
      </c>
      <c r="L6438" t="inlineStr"/>
      <c r="M6438">
        <f>HYPERLINK("CSG0.html#group3B0", "3B⁰"), =HYPERLINK("CSG3.html#group13A3", "13A³"), =HYPERLINK("CSG0.html#group1A0", "1A⁰")</f>
        <v/>
      </c>
      <c r="N6438" t="inlineStr"/>
    </row>
    <row r="6439">
      <c r="A6439" t="inlineStr">
        <is>
          <t>39B²¹</t>
        </is>
      </c>
      <c r="B6439" t="inlineStr"/>
      <c r="C6439" t="inlineStr">
        <is>
          <t>336</t>
        </is>
      </c>
      <c r="D6439" t="inlineStr">
        <is>
          <t>1</t>
        </is>
      </c>
      <c r="E6439" t="inlineStr">
        <is>
          <t>14</t>
        </is>
      </c>
      <c r="F6439" t="inlineStr">
        <is>
          <t>0</t>
        </is>
      </c>
      <c r="G6439" t="inlineStr">
        <is>
          <t>0</t>
        </is>
      </c>
      <c r="H6439" t="inlineStr">
        <is>
          <t>3⁸, 39⁸</t>
        </is>
      </c>
      <c r="I6439" t="n">
        <v>16</v>
      </c>
      <c r="J6439" t="inlineStr">
        <is>
          <t>1², 12¹</t>
        </is>
      </c>
      <c r="K6439">
        <f>HYPERLINK("CSG5.html#group39B5", "39B⁵"), =HYPERLINK("CSG9.html#group39A9", "39A⁹"), =HYPERLINK("CSG11.html#group39A11", "39A¹¹"), =HYPERLINK("CSG11.html#group39B11", "39B¹¹")</f>
        <v/>
      </c>
      <c r="L6439" t="inlineStr"/>
      <c r="M6439">
        <f>HYPERLINK("CSG2.html#group39A2", "39A²"), =HYPERLINK("CSG0.html#group3B0", "3B⁰"), =HYPERLINK("CSG3.html#group39A3", "39A³"), =HYPERLINK("CSG9.html#group39A9", "39A⁹"), =HYPERLINK("CSG0.html#group13A0", "13A⁰"), =HYPERLINK("CSG6.html#group39A6", "39A⁶"), =HYPERLINK("CSG11.html#group39A11", "39A¹¹"), =HYPERLINK("CSG0.html#group1A0", "1A⁰"), =HYPERLINK("CSG5.html#group39A5", "39A⁵"), =HYPERLINK("CSG0.html#group3C0", "3C⁰"), =HYPERLINK("CSG11.html#group39B11", "39B¹¹"), =HYPERLINK("CSG0.html#group13B0", "13B⁰"), =HYPERLINK("CSG4.html#group39A4", "39A⁴"), =HYPERLINK("CSG0.html#group3A0", "3A⁰"), =HYPERLINK("CSG0.html#group3D0", "3D⁰"), =HYPERLINK("CSG5.html#group39B5", "39B⁵")</f>
        <v/>
      </c>
      <c r="N6439" t="inlineStr"/>
    </row>
    <row r="6440">
      <c r="A6440" t="inlineStr">
        <is>
          <t>40A²¹</t>
        </is>
      </c>
      <c r="B6440" t="inlineStr"/>
      <c r="C6440" t="inlineStr">
        <is>
          <t>320</t>
        </is>
      </c>
      <c r="D6440" t="inlineStr">
        <is>
          <t>1</t>
        </is>
      </c>
      <c r="E6440" t="inlineStr">
        <is>
          <t>40</t>
        </is>
      </c>
      <c r="F6440" t="inlineStr">
        <is>
          <t>0</t>
        </is>
      </c>
      <c r="G6440" t="inlineStr">
        <is>
          <t>8</t>
        </is>
      </c>
      <c r="H6440" t="inlineStr">
        <is>
          <t>40⁸</t>
        </is>
      </c>
      <c r="I6440" t="n">
        <v>8</v>
      </c>
      <c r="J6440" t="inlineStr">
        <is>
          <t>4², 8⁴</t>
        </is>
      </c>
      <c r="K6440">
        <f>HYPERLINK("CSG9.html#group20A9", "20A⁹"), =HYPERLINK("CSG9.html#group40S9", "40S⁹"), =HYPERLINK("CSG9.html#group40T9", "40T⁹")</f>
        <v/>
      </c>
      <c r="L6440" t="inlineStr"/>
      <c r="M6440">
        <f>HYPERLINK("CSG1.html#group10H1", "10H¹"), =HYPERLINK("CSG0.html#group2A0", "2A⁰"), =HYPERLINK("CSG9.html#group40S9", "40S⁹"), =HYPERLINK("CSG0.html#group5A0", "5A⁰"), =HYPERLINK("CSG3.html#group20O3", "20O³"), =HYPERLINK("CSG0.html#group10D0", "10D⁰"), =HYPERLINK("CSG5.html#group20B5", "20B⁵"), =HYPERLINK("CSG0.html#group5F0", "5F⁰"), =HYPERLINK("CSG1.html#group20A1", "20A¹"), =HYPERLINK("CSG5.html#group20A5", "20A⁵"), =HYPERLINK("CSG0.html#group1A0", "1A⁰"), =HYPERLINK("CSG0.html#group10A0", "10A⁰"), =HYPERLINK("CSG2.html#group20D2", "20D²"), =HYPERLINK("CSG9.html#group20A9", "20A⁹"), =HYPERLINK("CSG0.html#group4A0", "4A⁰"), =HYPERLINK("CSG0.html#group4D0", "4D⁰"), =HYPERLINK("CSG1.html#group10C1", "10C¹"), =HYPERLINK("CSG9.html#group40T9", "40T⁹"), =HYPERLINK("CSG0.html#group5C0", "5C⁰"), =HYPERLINK("CSG2.html#group20E2", "20E²")</f>
        <v/>
      </c>
      <c r="N6440" t="inlineStr"/>
    </row>
    <row r="6441">
      <c r="A6441" t="inlineStr">
        <is>
          <t>40B²¹</t>
        </is>
      </c>
      <c r="B6441" t="inlineStr"/>
      <c r="C6441" t="inlineStr">
        <is>
          <t>320</t>
        </is>
      </c>
      <c r="D6441" t="inlineStr">
        <is>
          <t>1</t>
        </is>
      </c>
      <c r="E6441" t="inlineStr">
        <is>
          <t>40</t>
        </is>
      </c>
      <c r="F6441" t="inlineStr">
        <is>
          <t>0</t>
        </is>
      </c>
      <c r="G6441" t="inlineStr">
        <is>
          <t>8</t>
        </is>
      </c>
      <c r="H6441" t="inlineStr">
        <is>
          <t>40⁸</t>
        </is>
      </c>
      <c r="I6441" t="n">
        <v>8</v>
      </c>
      <c r="J6441" t="inlineStr">
        <is>
          <t>4², 8⁴</t>
        </is>
      </c>
      <c r="K6441">
        <f>HYPERLINK("CSG4.html#group40D4", "40D⁴"), =HYPERLINK("CSG9.html#group20A9", "20A⁹"), =HYPERLINK("CSG9.html#group40U9", "40U⁹"), =HYPERLINK("CSG11.html#group40A11", "40A¹¹"), =HYPERLINK("CSG11.html#group40B11", "40B¹¹"), =HYPERLINK("CSG11.html#group40D11", "40D¹¹")</f>
        <v/>
      </c>
      <c r="L6441" t="inlineStr"/>
      <c r="M6441">
        <f>HYPERLINK("CSG5.html#group40F5", "40F⁵"), =HYPERLINK("CSG0.html#group2A0", "2A⁰"), =HYPERLINK("CSG11.html#group40B11", "40B¹¹"), =HYPERLINK("CSG4.html#group40D4", "40D⁴"), =HYPERLINK("CSG0.html#group5A0", "5A⁰"), =HYPERLINK("CSG1.html#group10H1", "10H¹"), =HYPERLINK("CSG3.html#group20O3", "20O³"), =HYPERLINK("CSG0.html#group10D0", "10D⁰"), =HYPERLINK("CSG9.html#group40U9", "40U⁹"), =HYPERLINK("CSG11.html#group40D11", "40D¹¹"), =HYPERLINK("CSG0.html#group8A0", "8A⁰"), =HYPERLINK("CSG0.html#group8E0", "8E⁰"), =HYPERLINK("CSG1.html#group20A1", "20A¹"), =HYPERLINK("CSG5.html#group20B5", "20B⁵"), =HYPERLINK("CSG0.html#group5F0", "5F⁰"), =HYPERLINK("CSG5.html#group20A5", "20A⁵"), =HYPERLINK("CSG0.html#group1A0", "1A⁰"), =HYPERLINK("CSG5.html#group40E5", "40E⁵"), =HYPERLINK("CSG0.html#group10A0", "10A⁰"), =HYPERLINK("CSG2.html#group20D2", "20D²"), =HYPERLINK("CSG9.html#group20A9", "20A⁹"), =HYPERLINK("CSG0.html#group4A0", "4A⁰"), =HYPERLINK("CSG0.html#group4D0", "4D⁰"), =HYPERLINK("CSG1.html#group10C1", "10C¹"), =HYPERLINK("CSG11.html#group40A11", "40A¹¹"), =HYPERLINK("CSG0.html#group5C0", "5C⁰"), =HYPERLINK("CSG2.html#group20E2", "20E²"), =HYPERLINK("CSG2.html#group40A2", "40A²")</f>
        <v/>
      </c>
      <c r="N6441" t="inlineStr"/>
    </row>
    <row r="6442">
      <c r="A6442" t="inlineStr">
        <is>
          <t>40C²¹</t>
        </is>
      </c>
      <c r="B6442" t="inlineStr"/>
      <c r="C6442" t="inlineStr">
        <is>
          <t>320</t>
        </is>
      </c>
      <c r="D6442" t="inlineStr">
        <is>
          <t>1</t>
        </is>
      </c>
      <c r="E6442" t="inlineStr">
        <is>
          <t>80</t>
        </is>
      </c>
      <c r="F6442" t="inlineStr">
        <is>
          <t>0</t>
        </is>
      </c>
      <c r="G6442" t="inlineStr">
        <is>
          <t>8</t>
        </is>
      </c>
      <c r="H6442" t="inlineStr">
        <is>
          <t>40⁸</t>
        </is>
      </c>
      <c r="I6442" t="n">
        <v>8</v>
      </c>
      <c r="J6442" t="inlineStr">
        <is>
          <t>4⁴, 16⁴</t>
        </is>
      </c>
      <c r="K6442">
        <f>HYPERLINK("CSG1.html#group8J1", "8J¹"), =HYPERLINK("CSG4.html#group40D4", "40D⁴"), =HYPERLINK("CSG10.html#group40B10", "40B¹⁰"), =HYPERLINK("CSG11.html#group40C11", "40C¹¹")</f>
        <v/>
      </c>
      <c r="L6442" t="inlineStr"/>
      <c r="M6442">
        <f>HYPERLINK("CSG0.html#group2A0", "2A⁰"), =HYPERLINK("CSG4.html#group40D4", "40D⁴"), =HYPERLINK("CSG0.html#group5A0", "5A⁰"), =HYPERLINK("CSG0.html#group8A0", "8A⁰"), =HYPERLINK("CSG0.html#group8E0", "8E⁰"), =HYPERLINK("CSG11.html#group40C11", "40C¹¹"), =HYPERLINK("CSG1.html#group20A1", "20A¹"), =HYPERLINK("CSG1.html#group8E1", "8E¹"), =HYPERLINK("CSG1.html#group8J1", "8J¹"), =HYPERLINK("CSG0.html#group1A0", "1A⁰"), =HYPERLINK("CSG5.html#group40D5", "40D⁵"), =HYPERLINK("CSG10.html#group40B10", "40B¹⁰"), =HYPERLINK("CSG0.html#group8F0", "8F⁰"), =HYPERLINK("CSG2.html#group20D2", "20D²"), =HYPERLINK("CSG0.html#group10A0", "10A⁰"), =HYPERLINK("CSG0.html#group4A0", "4A⁰"), =HYPERLINK("CSG0.html#group4D0", "4D⁰"), =HYPERLINK("CSG0.html#group8M0", "8M⁰"), =HYPERLINK("CSG2.html#group40A2", "40A²")</f>
        <v/>
      </c>
      <c r="N6442" t="inlineStr"/>
    </row>
    <row r="6443">
      <c r="A6443" t="inlineStr">
        <is>
          <t>40D²¹</t>
        </is>
      </c>
      <c r="B6443" t="inlineStr"/>
      <c r="C6443" t="inlineStr">
        <is>
          <t>320</t>
        </is>
      </c>
      <c r="D6443" t="inlineStr">
        <is>
          <t>2</t>
        </is>
      </c>
      <c r="E6443" t="inlineStr">
        <is>
          <t>160</t>
        </is>
      </c>
      <c r="F6443" t="inlineStr">
        <is>
          <t>8</t>
        </is>
      </c>
      <c r="G6443" t="inlineStr">
        <is>
          <t>2</t>
        </is>
      </c>
      <c r="H6443" t="inlineStr">
        <is>
          <t>40⁸</t>
        </is>
      </c>
      <c r="I6443" t="n">
        <v>8</v>
      </c>
      <c r="J6443" t="inlineStr">
        <is>
          <t>8⁸, 16¹⁶</t>
        </is>
      </c>
      <c r="K6443">
        <f>HYPERLINK("CSG5.html#group40E5", "40E⁵"), =HYPERLINK("CSG10.html#group40A10", "40A¹⁰")</f>
        <v/>
      </c>
      <c r="L6443" t="inlineStr"/>
      <c r="M6443">
        <f>HYPERLINK("CSG2.html#group20E2", "20E²"), =HYPERLINK("CSG5.html#group40E5", "40E⁵"), =HYPERLINK("CSG0.html#group8F0", "8F⁰"), =HYPERLINK("CSG10.html#group40A10", "40A¹⁰"), =HYPERLINK("CSG0.html#group1A0", "1A⁰"), =HYPERLINK("CSG0.html#group4A0", "4A⁰"), =HYPERLINK("CSG0.html#group5C0", "5C⁰")</f>
        <v/>
      </c>
      <c r="N6443" t="inlineStr"/>
    </row>
    <row r="6444">
      <c r="A6444" t="inlineStr">
        <is>
          <t>40E²¹</t>
        </is>
      </c>
      <c r="B6444" t="inlineStr"/>
      <c r="C6444" t="inlineStr">
        <is>
          <t>320</t>
        </is>
      </c>
      <c r="D6444" t="inlineStr">
        <is>
          <t>2</t>
        </is>
      </c>
      <c r="E6444" t="inlineStr">
        <is>
          <t>160</t>
        </is>
      </c>
      <c r="F6444" t="inlineStr">
        <is>
          <t>8</t>
        </is>
      </c>
      <c r="G6444" t="inlineStr">
        <is>
          <t>2</t>
        </is>
      </c>
      <c r="H6444" t="inlineStr">
        <is>
          <t>40⁸</t>
        </is>
      </c>
      <c r="I6444" t="n">
        <v>8</v>
      </c>
      <c r="J6444" t="inlineStr">
        <is>
          <t>8⁸, 16¹⁶</t>
        </is>
      </c>
      <c r="K6444">
        <f>HYPERLINK("CSG0.html#group8M0", "8M⁰"), =HYPERLINK("CSG5.html#group40F5", "40F⁵"), =HYPERLINK("CSG10.html#group40A10", "40A¹⁰")</f>
        <v/>
      </c>
      <c r="L6444" t="inlineStr"/>
      <c r="M6444">
        <f>HYPERLINK("CSG5.html#group40F5", "40F⁵"), =HYPERLINK("CSG0.html#group8F0", "8F⁰"), =HYPERLINK("CSG0.html#group4A0", "4A⁰"), =HYPERLINK("CSG0.html#group5C0", "5C⁰"), =HYPERLINK("CSG0.html#group8A0", "8A⁰"), =HYPERLINK("CSG0.html#group8M0", "8M⁰"), =HYPERLINK("CSG10.html#group40A10", "40A¹⁰"), =HYPERLINK("CSG0.html#group1A0", "1A⁰"), =HYPERLINK("CSG2.html#group20E2", "20E²")</f>
        <v/>
      </c>
      <c r="N6444" t="inlineStr"/>
    </row>
    <row r="6445">
      <c r="A6445" t="inlineStr">
        <is>
          <t>40F²¹</t>
        </is>
      </c>
      <c r="B6445" t="inlineStr"/>
      <c r="C6445" t="inlineStr">
        <is>
          <t>360</t>
        </is>
      </c>
      <c r="D6445" t="inlineStr">
        <is>
          <t>1</t>
        </is>
      </c>
      <c r="E6445" t="inlineStr">
        <is>
          <t>45</t>
        </is>
      </c>
      <c r="F6445" t="inlineStr">
        <is>
          <t>16</t>
        </is>
      </c>
      <c r="G6445" t="inlineStr">
        <is>
          <t>0</t>
        </is>
      </c>
      <c r="H6445" t="inlineStr">
        <is>
          <t>20⁶, 40⁶</t>
        </is>
      </c>
      <c r="I6445" t="n">
        <v>12</v>
      </c>
      <c r="J6445" t="inlineStr">
        <is>
          <t>1³, 2³, 4⁹</t>
        </is>
      </c>
      <c r="K6445">
        <f>HYPERLINK("CSG8.html#group20C8", "20C⁸"), =HYPERLINK("CSG10.html#group40C10", "40C¹⁰"), =HYPERLINK("CSG11.html#group40E11", "40E¹¹")</f>
        <v/>
      </c>
      <c r="L6445" t="inlineStr"/>
      <c r="M6445">
        <f>HYPERLINK("CSG0.html#group5A0", "5A⁰"), =HYPERLINK("CSG4.html#group40A4", "40A⁴"), =HYPERLINK("CSG4.html#group20E4", "20E⁴"), =HYPERLINK("CSG1.html#group10B1", "10B¹"), =HYPERLINK("CSG2.html#group20B2", "20B²"), =HYPERLINK("CSG0.html#group4C0", "4C⁰"), =HYPERLINK("CSG0.html#group8B0", "8B⁰"), =HYPERLINK("CSG0.html#group2B0", "2B⁰"), =HYPERLINK("CSG1.html#group10E1", "10E¹"), =HYPERLINK("CSG0.html#group1A0", "1A⁰"), =HYPERLINK("CSG8.html#group20C8", "20C⁸"), =HYPERLINK("CSG11.html#group40E11", "40E¹¹"), =HYPERLINK("CSG3.html#group10C3", "10C³"), =HYPERLINK("CSG1.html#group10I1", "10I¹"), =HYPERLINK("CSG10.html#group40C10", "40C¹⁰"), =HYPERLINK("CSG0.html#group5E0", "5E⁰"), =HYPERLINK("CSG3.html#group20P3", "20P³")</f>
        <v/>
      </c>
      <c r="N6445" t="inlineStr"/>
    </row>
    <row r="6446">
      <c r="A6446" t="inlineStr">
        <is>
          <t>40G²¹</t>
        </is>
      </c>
      <c r="B6446" t="inlineStr"/>
      <c r="C6446" t="inlineStr">
        <is>
          <t>360</t>
        </is>
      </c>
      <c r="D6446" t="inlineStr">
        <is>
          <t>1</t>
        </is>
      </c>
      <c r="E6446" t="inlineStr">
        <is>
          <t>90</t>
        </is>
      </c>
      <c r="F6446" t="inlineStr">
        <is>
          <t>4</t>
        </is>
      </c>
      <c r="G6446" t="inlineStr">
        <is>
          <t>0</t>
        </is>
      </c>
      <c r="H6446" t="inlineStr">
        <is>
          <t>10¹², 40⁶</t>
        </is>
      </c>
      <c r="I6446" t="n">
        <v>18</v>
      </c>
      <c r="J6446" t="inlineStr">
        <is>
          <t>2³, 4³, 8⁹</t>
        </is>
      </c>
      <c r="K6446">
        <f>HYPERLINK("CSG3.html#group40I3", "40I³"), =HYPERLINK("CSG6.html#group20D6", "20D⁶"), =HYPERLINK("CSG7.html#group40J7", "40J⁷")</f>
        <v/>
      </c>
      <c r="L6446" t="inlineStr"/>
      <c r="M6446">
        <f>HYPERLINK("CSG0.html#group5A0", "5A⁰"), =HYPERLINK("CSG1.html#group10B1", "10B¹"), =HYPERLINK("CSG0.html#group5B0", "5B⁰"), =HYPERLINK("CSG7.html#group40J7", "40J⁷"), =HYPERLINK("CSG0.html#group2B0", "2B⁰"), =HYPERLINK("CSG2.html#group20F2", "20F²"), =HYPERLINK("CSG0.html#group1A0", "1A⁰"), =HYPERLINK("CSG1.html#group10F1", "10F¹"), =HYPERLINK("CSG6.html#group20D6", "20D⁶"), =HYPERLINK("CSG0.html#group20A0", "20A⁰"), =HYPERLINK("CSG1.html#group10I1", "10I¹"), =HYPERLINK("CSG3.html#group40I3", "40I³"), =HYPERLINK("CSG2.html#group10F2", "10F²"), =HYPERLINK("CSG0.html#group10C0", "10C⁰"), =HYPERLINK("CSG0.html#group5E0", "5E⁰"), =HYPERLINK("CSG3.html#group20P3", "20P³"), =HYPERLINK("CSG0.html#group5C0", "5C⁰"), =HYPERLINK("CSG0.html#group5G0", "5G⁰")</f>
        <v/>
      </c>
      <c r="N6446" t="inlineStr"/>
    </row>
    <row r="6447">
      <c r="A6447" t="inlineStr">
        <is>
          <t>40H²¹</t>
        </is>
      </c>
      <c r="B6447" t="inlineStr"/>
      <c r="C6447" t="inlineStr">
        <is>
          <t>360</t>
        </is>
      </c>
      <c r="D6447" t="inlineStr">
        <is>
          <t>1</t>
        </is>
      </c>
      <c r="E6447" t="inlineStr">
        <is>
          <t>90</t>
        </is>
      </c>
      <c r="F6447" t="inlineStr">
        <is>
          <t>4</t>
        </is>
      </c>
      <c r="G6447" t="inlineStr">
        <is>
          <t>0</t>
        </is>
      </c>
      <c r="H6447" t="inlineStr">
        <is>
          <t>10¹², 40⁶</t>
        </is>
      </c>
      <c r="I6447" t="n">
        <v>18</v>
      </c>
      <c r="J6447" t="inlineStr">
        <is>
          <t>1², 2⁴, 4⁸, 8⁶</t>
        </is>
      </c>
      <c r="K6447">
        <f>HYPERLINK("CSG3.html#group40G3", "40G³"), =HYPERLINK("CSG7.html#group40H7", "40H⁷"), =HYPERLINK("CSG9.html#group20B9", "20B⁹"), =HYPERLINK("CSG10.html#group40G10", "40G¹⁰")</f>
        <v/>
      </c>
      <c r="L6447" t="inlineStr"/>
      <c r="M6447">
        <f>HYPERLINK("CSG1.html#group20E1", "20E¹"), =HYPERLINK("CSG0.html#group5A0", "5A⁰"), =HYPERLINK("CSG4.html#group20E4", "20E⁴"), =HYPERLINK("CSG1.html#group10B1", "10B¹"), =HYPERLINK("CSG2.html#group20B2", "20B²"), =HYPERLINK("CSG0.html#group4C0", "4C⁰"), =HYPERLINK("CSG9.html#group20B9", "20B⁹"), =HYPERLINK("CSG0.html#group5B0", "5B⁰"), =HYPERLINK("CSG0.html#group2B0", "2B⁰"), =HYPERLINK("CSG0.html#group1A0", "1A⁰"), =HYPERLINK("CSG3.html#group20F3", "20F³"), =HYPERLINK("CSG1.html#group10F1", "10F¹"), =HYPERLINK("CSG1.html#group10I1", "10I¹"), =HYPERLINK("CSG2.html#group10F2", "10F²"), =HYPERLINK("CSG5.html#group20C5", "20C⁵"), =HYPERLINK("CSG7.html#group40H7", "40H⁷"), =HYPERLINK("CSG0.html#group5E0", "5E⁰"), =HYPERLINK("CSG0.html#group10C0", "10C⁰"), =HYPERLINK("CSG10.html#group40G10", "40G¹⁰"), =HYPERLINK("CSG0.html#group5C0", "5C⁰"), =HYPERLINK("CSG0.html#group5G0", "5G⁰"), =HYPERLINK("CSG3.html#group40G3", "40G³")</f>
        <v/>
      </c>
      <c r="N6447" t="inlineStr"/>
    </row>
    <row r="6448">
      <c r="A6448" t="inlineStr">
        <is>
          <t>40I²¹</t>
        </is>
      </c>
      <c r="B6448" t="inlineStr"/>
      <c r="C6448" t="inlineStr">
        <is>
          <t>360</t>
        </is>
      </c>
      <c r="D6448" t="inlineStr">
        <is>
          <t>1</t>
        </is>
      </c>
      <c r="E6448" t="inlineStr">
        <is>
          <t>90</t>
        </is>
      </c>
      <c r="F6448" t="inlineStr">
        <is>
          <t>4</t>
        </is>
      </c>
      <c r="G6448" t="inlineStr">
        <is>
          <t>0</t>
        </is>
      </c>
      <c r="H6448" t="inlineStr">
        <is>
          <t>10¹², 40⁶</t>
        </is>
      </c>
      <c r="I6448" t="n">
        <v>18</v>
      </c>
      <c r="J6448" t="inlineStr">
        <is>
          <t>1², 2⁴, 4⁸, 8⁶</t>
        </is>
      </c>
      <c r="K6448">
        <f>HYPERLINK("CSG3.html#group40H3", "40H³"), =HYPERLINK("CSG7.html#group40I7", "40I⁷"), =HYPERLINK("CSG9.html#group20B9", "20B⁹"), =HYPERLINK("CSG10.html#group40E10", "40E¹⁰"), =HYPERLINK("CSG10.html#group40G10", "40G¹⁰")</f>
        <v/>
      </c>
      <c r="L6448" t="inlineStr"/>
      <c r="M6448">
        <f>HYPERLINK("CSG1.html#group20E1", "20E¹"), =HYPERLINK("CSG0.html#group5A0", "5A⁰"), =HYPERLINK("CSG4.html#group20E4", "20E⁴"), =HYPERLINK("CSG7.html#group40I7", "40I⁷"), =HYPERLINK("CSG3.html#group40H3", "40H³"), =HYPERLINK("CSG0.html#group8D0", "8D⁰"), =HYPERLINK("CSG1.html#group10B1", "10B¹"), =HYPERLINK("CSG2.html#group20B2", "20B²"), =HYPERLINK("CSG0.html#group4C0", "4C⁰"), =HYPERLINK("CSG0.html#group5C0", "5C⁰"), =HYPERLINK("CSG9.html#group20B9", "20B⁹"), =HYPERLINK("CSG0.html#group5B0", "5B⁰"), =HYPERLINK("CSG0.html#group2B0", "2B⁰"), =HYPERLINK("CSG0.html#group1A0", "1A⁰"), =HYPERLINK("CSG3.html#group20F3", "20F³"), =HYPERLINK("CSG1.html#group10F1", "10F¹"), =HYPERLINK("CSG4.html#group40C4", "40C⁴"), =HYPERLINK("CSG10.html#group40E10", "40E¹⁰"), =HYPERLINK("CSG1.html#group10I1", "10I¹"), =HYPERLINK("CSG2.html#group10F2", "10F²"), =HYPERLINK("CSG5.html#group20C5", "20C⁵"), =HYPERLINK("CSG0.html#group5E0", "5E⁰"), =HYPERLINK("CSG0.html#group10C0", "10C⁰"), =HYPERLINK("CSG10.html#group40G10", "40G¹⁰"), =HYPERLINK("CSG0.html#group5G0", "5G⁰")</f>
        <v/>
      </c>
      <c r="N6448" t="inlineStr"/>
    </row>
    <row r="6449">
      <c r="A6449" t="inlineStr">
        <is>
          <t>40J²¹</t>
        </is>
      </c>
      <c r="B6449" t="inlineStr"/>
      <c r="C6449" t="inlineStr">
        <is>
          <t>384</t>
        </is>
      </c>
      <c r="D6449" t="inlineStr">
        <is>
          <t>1</t>
        </is>
      </c>
      <c r="E6449" t="inlineStr">
        <is>
          <t>96</t>
        </is>
      </c>
      <c r="F6449" t="inlineStr">
        <is>
          <t>16</t>
        </is>
      </c>
      <c r="G6449" t="inlineStr">
        <is>
          <t>0</t>
        </is>
      </c>
      <c r="H6449" t="inlineStr">
        <is>
          <t>8⁸, 40⁸</t>
        </is>
      </c>
      <c r="I6449" t="n">
        <v>16</v>
      </c>
      <c r="J6449" t="inlineStr">
        <is>
          <t>4¹⁶, 16⁸</t>
        </is>
      </c>
      <c r="K6449">
        <f>HYPERLINK("CSG5.html#group40G5", "40G⁵"), =HYPERLINK("CSG9.html#group40V9", "40V⁹")</f>
        <v/>
      </c>
      <c r="L6449" t="inlineStr"/>
      <c r="M6449">
        <f>HYPERLINK("CSG5.html#group40I5", "40I⁵"), =HYPERLINK("CSG9.html#group40V9", "40V⁹"), =HYPERLINK("CSG0.html#group8F0", "8F⁰"), =HYPERLINK("CSG5.html#group40G5", "40G⁵"), =HYPERLINK("CSG0.html#group4A0", "4A⁰"), =HYPERLINK("CSG1.html#group20G1", "20G¹"), =HYPERLINK("CSG0.html#group5B0", "5B⁰"), =HYPERLINK("CSG0.html#group1A0", "1A⁰"), =HYPERLINK("CSG1.html#group20B1", "20B¹"), =HYPERLINK("CSG0.html#group10B0", "10B⁰")</f>
        <v/>
      </c>
      <c r="N6449" t="inlineStr"/>
    </row>
    <row r="6450">
      <c r="A6450" t="inlineStr">
        <is>
          <t>40K²¹</t>
        </is>
      </c>
      <c r="B6450" t="inlineStr"/>
      <c r="C6450" t="inlineStr">
        <is>
          <t>384</t>
        </is>
      </c>
      <c r="D6450" t="inlineStr">
        <is>
          <t>1</t>
        </is>
      </c>
      <c r="E6450" t="inlineStr">
        <is>
          <t>96</t>
        </is>
      </c>
      <c r="F6450" t="inlineStr">
        <is>
          <t>16</t>
        </is>
      </c>
      <c r="G6450" t="inlineStr">
        <is>
          <t>0</t>
        </is>
      </c>
      <c r="H6450" t="inlineStr">
        <is>
          <t>8⁸, 40⁸</t>
        </is>
      </c>
      <c r="I6450" t="n">
        <v>16</v>
      </c>
      <c r="J6450" t="inlineStr">
        <is>
          <t>4¹⁶, 16⁸</t>
        </is>
      </c>
      <c r="K6450">
        <f>HYPERLINK("CSG5.html#group40H5", "40H⁵"), =HYPERLINK("CSG9.html#group40V9", "40V⁹")</f>
        <v/>
      </c>
      <c r="L6450" t="inlineStr"/>
      <c r="M6450">
        <f>HYPERLINK("CSG5.html#group40I5", "40I⁵"), =HYPERLINK("CSG9.html#group40V9", "40V⁹"), =HYPERLINK("CSG0.html#group8F0", "8F⁰"), =HYPERLINK("CSG5.html#group40H5", "40H⁵"), =HYPERLINK("CSG0.html#group4A0", "4A⁰"), =HYPERLINK("CSG1.html#group20G1", "20G¹"), =HYPERLINK("CSG0.html#group5B0", "5B⁰"), =HYPERLINK("CSG0.html#group1A0", "1A⁰"), =HYPERLINK("CSG1.html#group20B1", "20B¹"), =HYPERLINK("CSG0.html#group10B0", "10B⁰")</f>
        <v/>
      </c>
      <c r="N6450" t="inlineStr"/>
    </row>
    <row r="6451">
      <c r="A6451" t="inlineStr">
        <is>
          <t>40L²¹</t>
        </is>
      </c>
      <c r="B6451" t="inlineStr"/>
      <c r="C6451" t="inlineStr">
        <is>
          <t>384</t>
        </is>
      </c>
      <c r="D6451" t="inlineStr">
        <is>
          <t>2</t>
        </is>
      </c>
      <c r="E6451" t="inlineStr">
        <is>
          <t>96</t>
        </is>
      </c>
      <c r="F6451" t="inlineStr">
        <is>
          <t>16</t>
        </is>
      </c>
      <c r="G6451" t="inlineStr">
        <is>
          <t>0</t>
        </is>
      </c>
      <c r="H6451" t="inlineStr">
        <is>
          <t>8⁸, 40⁸</t>
        </is>
      </c>
      <c r="I6451" t="n">
        <v>16</v>
      </c>
      <c r="J6451" t="inlineStr">
        <is>
          <t>4¹⁶, 16⁸</t>
        </is>
      </c>
      <c r="K6451">
        <f>HYPERLINK("CSG3.html#group20Q3", "20Q³"), =HYPERLINK("CSG9.html#group40V9", "40V⁹")</f>
        <v/>
      </c>
      <c r="L6451" t="inlineStr"/>
      <c r="M6451">
        <f>HYPERLINK("CSG5.html#group40I5", "40I⁵"), =HYPERLINK("CSG9.html#group40V9", "40V⁹"), =HYPERLINK("CSG1.html#group20C1", "20C¹"), =HYPERLINK("CSG0.html#group8F0", "8F⁰"), =HYPERLINK("CSG0.html#group4A0", "4A⁰"), =HYPERLINK("CSG1.html#group20G1", "20G¹"), =HYPERLINK("CSG0.html#group5B0", "5B⁰"), =HYPERLINK("CSG0.html#group1A0", "1A⁰"), =HYPERLINK("CSG3.html#group20Q3", "20Q³"), =HYPERLINK("CSG1.html#group20B1", "20B¹"), =HYPERLINK("CSG0.html#group10B0", "10B⁰")</f>
        <v/>
      </c>
      <c r="N6451" t="inlineStr"/>
    </row>
    <row r="6452">
      <c r="A6452" t="inlineStr">
        <is>
          <t>40M²¹</t>
        </is>
      </c>
      <c r="B6452" t="inlineStr"/>
      <c r="C6452" t="inlineStr">
        <is>
          <t>384</t>
        </is>
      </c>
      <c r="D6452" t="inlineStr">
        <is>
          <t>2</t>
        </is>
      </c>
      <c r="E6452" t="inlineStr">
        <is>
          <t>96</t>
        </is>
      </c>
      <c r="F6452" t="inlineStr">
        <is>
          <t>16</t>
        </is>
      </c>
      <c r="G6452" t="inlineStr">
        <is>
          <t>0</t>
        </is>
      </c>
      <c r="H6452" t="inlineStr">
        <is>
          <t>8⁸, 40⁸</t>
        </is>
      </c>
      <c r="I6452" t="n">
        <v>16</v>
      </c>
      <c r="J6452" t="inlineStr">
        <is>
          <t>4¹⁶, 16⁸</t>
        </is>
      </c>
      <c r="K6452">
        <f>HYPERLINK("CSG5.html#group40J5", "40J⁵"), =HYPERLINK("CSG9.html#group40V9", "40V⁹"), =HYPERLINK("CSG11.html#group40H11", "40H¹¹"), =HYPERLINK("CSG11.html#group40I11", "40I¹¹")</f>
        <v/>
      </c>
      <c r="L6452" t="inlineStr"/>
      <c r="M6452">
        <f>HYPERLINK("CSG5.html#group40I5", "40I⁵"), =HYPERLINK("CSG11.html#group40H11", "40H¹¹"), =HYPERLINK("CSG3.html#group40A3", "40A³"), =HYPERLINK("CSG0.html#group5B0", "5B⁰"), =HYPERLINK("CSG0.html#group8A0", "8A⁰"), =HYPERLINK("CSG0.html#group1A0", "1A⁰"), =HYPERLINK("CSG1.html#group20B1", "20B¹"), =HYPERLINK("CSG0.html#group10B0", "10B⁰"), =HYPERLINK("CSG9.html#group40V9", "40V⁹"), =HYPERLINK("CSG0.html#group8F0", "8F⁰"), =HYPERLINK("CSG11.html#group40I11", "40I¹¹"), =HYPERLINK("CSG5.html#group40J5", "40J⁵"), =HYPERLINK("CSG0.html#group4A0", "4A⁰"), =HYPERLINK("CSG3.html#group40B3", "40B³"), =HYPERLINK("CSG1.html#group20G1", "20G¹"), =HYPERLINK("CSG0.html#group8M0", "8M⁰")</f>
        <v/>
      </c>
      <c r="N6452" t="inlineStr"/>
    </row>
    <row r="6453">
      <c r="A6453" t="inlineStr">
        <is>
          <t>41A²¹</t>
        </is>
      </c>
      <c r="B6453" t="inlineStr"/>
      <c r="C6453" t="inlineStr">
        <is>
          <t>420</t>
        </is>
      </c>
      <c r="D6453" t="inlineStr">
        <is>
          <t>1</t>
        </is>
      </c>
      <c r="E6453" t="inlineStr">
        <is>
          <t>42</t>
        </is>
      </c>
      <c r="F6453" t="inlineStr">
        <is>
          <t>20</t>
        </is>
      </c>
      <c r="G6453" t="inlineStr">
        <is>
          <t>0</t>
        </is>
      </c>
      <c r="H6453" t="inlineStr">
        <is>
          <t>1¹⁰, 41¹⁰</t>
        </is>
      </c>
      <c r="I6453" t="n">
        <v>20</v>
      </c>
      <c r="J6453" t="inlineStr">
        <is>
          <t>1², 40¹</t>
        </is>
      </c>
      <c r="K6453">
        <f>HYPERLINK("CSG5.html#group41A5", "41A⁵"), =HYPERLINK("CSG11.html#group41B11", "41B¹¹")</f>
        <v/>
      </c>
      <c r="L6453" t="inlineStr"/>
      <c r="M6453">
        <f>HYPERLINK("CSG3.html#group41A3", "41A³"), =HYPERLINK("CSG11.html#group41B11", "41B¹¹"), =HYPERLINK("CSG0.html#group1A0", "1A⁰"), =HYPERLINK("CSG5.html#group41A5", "41A⁵")</f>
        <v/>
      </c>
      <c r="N6453" t="inlineStr"/>
    </row>
    <row r="6454">
      <c r="A6454" t="inlineStr">
        <is>
          <t>42A²¹</t>
        </is>
      </c>
      <c r="B6454" t="inlineStr"/>
      <c r="C6454" t="inlineStr">
        <is>
          <t>336</t>
        </is>
      </c>
      <c r="D6454" t="inlineStr">
        <is>
          <t>1</t>
        </is>
      </c>
      <c r="E6454" t="inlineStr">
        <is>
          <t>84</t>
        </is>
      </c>
      <c r="F6454" t="inlineStr">
        <is>
          <t>16</t>
        </is>
      </c>
      <c r="G6454" t="inlineStr">
        <is>
          <t>0</t>
        </is>
      </c>
      <c r="H6454" t="inlineStr">
        <is>
          <t>42⁸</t>
        </is>
      </c>
      <c r="I6454" t="n">
        <v>8</v>
      </c>
      <c r="J6454" t="inlineStr">
        <is>
          <t>1¹, 2¹, 3¹, 6⁵, 12⁴</t>
        </is>
      </c>
      <c r="K6454">
        <f>HYPERLINK("CSG4.html#group42F4", "42F⁴"), =HYPERLINK("CSG9.html#group21B9", "21B⁹"), =HYPERLINK("CSG9.html#group42B9", "42B⁹")</f>
        <v/>
      </c>
      <c r="L6454" t="inlineStr"/>
      <c r="M6454">
        <f>HYPERLINK("CSG2.html#group21D2", "21D²"), =HYPERLINK("CSG0.html#group6B0", "6B⁰"), =HYPERLINK("CSG4.html#group42F4", "42F⁴"), =HYPERLINK("CSG0.html#group6E0", "6E⁰"), =HYPERLINK("CSG0.html#group7F0", "7F⁰"), =HYPERLINK("CSG0.html#group21A0", "21A⁰"), =HYPERLINK("CSG9.html#group42B9", "42B⁹"), =HYPERLINK("CSG0.html#group3C0", "3C⁰"), =HYPERLINK("CSG9.html#group21B9", "21B⁹"), =HYPERLINK("CSG1.html#group42B1", "42B¹"), =HYPERLINK("CSG0.html#group3A0", "3A⁰"), =HYPERLINK("CSG0.html#group1A0", "1A⁰"), =HYPERLINK("CSG3.html#group21C3", "21C³"), =HYPERLINK("CSG0.html#group7A0", "7A⁰")</f>
        <v/>
      </c>
      <c r="N6454" t="inlineStr"/>
    </row>
    <row r="6455">
      <c r="A6455" t="inlineStr">
        <is>
          <t>42B²¹</t>
        </is>
      </c>
      <c r="B6455" t="inlineStr"/>
      <c r="C6455" t="inlineStr">
        <is>
          <t>336</t>
        </is>
      </c>
      <c r="D6455" t="inlineStr">
        <is>
          <t>1</t>
        </is>
      </c>
      <c r="E6455" t="inlineStr">
        <is>
          <t>84</t>
        </is>
      </c>
      <c r="F6455" t="inlineStr">
        <is>
          <t>16</t>
        </is>
      </c>
      <c r="G6455" t="inlineStr">
        <is>
          <t>0</t>
        </is>
      </c>
      <c r="H6455" t="inlineStr">
        <is>
          <t>42⁸</t>
        </is>
      </c>
      <c r="I6455" t="n">
        <v>8</v>
      </c>
      <c r="J6455" t="inlineStr">
        <is>
          <t>1¹, 2¹, 3¹, 6⁵, 12⁴</t>
        </is>
      </c>
      <c r="K6455">
        <f>HYPERLINK("CSG5.html#group42E5", "42E⁵"), =HYPERLINK("CSG7.html#group42N7", "42N⁷"), =HYPERLINK("CSG9.html#group21B9", "21B⁹"), =HYPERLINK("CSG11.html#group42A11", "42A¹¹")</f>
        <v/>
      </c>
      <c r="L6455" t="inlineStr"/>
      <c r="M6455">
        <f>HYPERLINK("CSG0.html#group14A0", "14A⁰"), =HYPERLINK("CSG2.html#group21D2", "21D²"), =HYPERLINK("CSG1.html#group42A1", "42A¹"), =HYPERLINK("CSG0.html#group21A0", "21A⁰"), =HYPERLINK("CSG1.html#group14G1", "14G¹"), =HYPERLINK("CSG0.html#group1A0", "1A⁰"), =HYPERLINK("CSG3.html#group21C3", "21C³"), =HYPERLINK("CSG11.html#group42A11", "42A¹¹"), =HYPERLINK("CSG2.html#group42A2", "42A²"), =HYPERLINK("CSG5.html#group42E5", "42E⁵"), =HYPERLINK("CSG0.html#group7F0", "7F⁰"), =HYPERLINK("CSG0.html#group3C0", "3C⁰"), =HYPERLINK("CSG9.html#group21B9", "21B⁹"), =HYPERLINK("CSG7.html#group42N7", "42N⁷"), =HYPERLINK("CSG0.html#group3A0", "3A⁰"), =HYPERLINK("CSG0.html#group7A0", "7A⁰")</f>
        <v/>
      </c>
      <c r="N6455" t="inlineStr"/>
    </row>
    <row r="6456">
      <c r="A6456" t="inlineStr">
        <is>
          <t>42C²¹</t>
        </is>
      </c>
      <c r="B6456" t="inlineStr"/>
      <c r="C6456" t="inlineStr">
        <is>
          <t>336</t>
        </is>
      </c>
      <c r="D6456" t="inlineStr">
        <is>
          <t>1</t>
        </is>
      </c>
      <c r="E6456" t="inlineStr">
        <is>
          <t>336</t>
        </is>
      </c>
      <c r="F6456" t="inlineStr">
        <is>
          <t>0</t>
        </is>
      </c>
      <c r="G6456" t="inlineStr">
        <is>
          <t>0</t>
        </is>
      </c>
      <c r="H6456" t="inlineStr">
        <is>
          <t>7⁴, 14⁴, 21⁴, 42⁴</t>
        </is>
      </c>
      <c r="I6456" t="n">
        <v>16</v>
      </c>
      <c r="J6456" t="inlineStr">
        <is>
          <t>1⁶, 2³, 3⁶, 6²⁷, 12¹²</t>
        </is>
      </c>
      <c r="K6456">
        <f>HYPERLINK("CSG3.html#group14D3", "14D³"), =HYPERLINK("CSG6.html#group21B6", "21B⁶"), =HYPERLINK("CSG6.html#group42C6", "42C⁶")</f>
        <v/>
      </c>
      <c r="L6456" t="inlineStr"/>
      <c r="M6456">
        <f>HYPERLINK("CSG0.html#group3B0", "3B⁰"), =HYPERLINK("CSG2.html#group21B2", "21B²"), =HYPERLINK("CSG1.html#group14B1", "14B¹"), =HYPERLINK("CSG6.html#group42C6", "42C⁶"), =HYPERLINK("CSG0.html#group7F0", "7F⁰"), =HYPERLINK("CSG0.html#group6F0", "6F⁰"), =HYPERLINK("CSG0.html#group1A0", "1A⁰"), =HYPERLINK("CSG0.html#group2B0", "2B⁰"), =HYPERLINK("CSG6.html#group21B6", "21B⁶"), =HYPERLINK("CSG0.html#group7A0", "7A⁰"), =HYPERLINK("CSG3.html#group14D3", "14D³")</f>
        <v/>
      </c>
      <c r="N6456" t="inlineStr"/>
    </row>
    <row r="6457">
      <c r="A6457" t="inlineStr">
        <is>
          <t>42D²¹</t>
        </is>
      </c>
      <c r="B6457" t="inlineStr"/>
      <c r="C6457" t="inlineStr">
        <is>
          <t>336</t>
        </is>
      </c>
      <c r="D6457" t="inlineStr">
        <is>
          <t>2</t>
        </is>
      </c>
      <c r="E6457" t="inlineStr">
        <is>
          <t>56</t>
        </is>
      </c>
      <c r="F6457" t="inlineStr">
        <is>
          <t>0</t>
        </is>
      </c>
      <c r="G6457" t="inlineStr">
        <is>
          <t>6</t>
        </is>
      </c>
      <c r="H6457" t="inlineStr">
        <is>
          <t>14⁶, 42⁶</t>
        </is>
      </c>
      <c r="I6457" t="n">
        <v>12</v>
      </c>
      <c r="J6457" t="inlineStr">
        <is>
          <t>2⁴, 4², 6⁸, 12⁴</t>
        </is>
      </c>
      <c r="K6457">
        <f>HYPERLINK("CSG3.html#group14E3", "14E³"), =HYPERLINK("CSG7.html#group42F7", "42F⁷"), =HYPERLINK("CSG11.html#group42D11", "42D¹¹")</f>
        <v/>
      </c>
      <c r="L6457" t="inlineStr"/>
      <c r="M6457">
        <f>HYPERLINK("CSG3.html#group21B3", "21B³"), =HYPERLINK("CSG0.html#group2A0", "2A⁰"), =HYPERLINK("CSG0.html#group14A0", "14A⁰"), =HYPERLINK("CSG0.html#group3B0", "3B⁰"), =HYPERLINK("CSG1.html#group14A1", "14A¹"), =HYPERLINK("CSG7.html#group42F7", "42F⁷"), =HYPERLINK("CSG0.html#group6C0", "6C⁰"), =HYPERLINK("CSG11.html#group42D11", "42D¹¹"), =HYPERLINK("CSG1.html#group14D1", "14D¹"), =HYPERLINK("CSG0.html#group1A0", "1A⁰"), =HYPERLINK("CSG1.html#group14F1", "14F¹"), =HYPERLINK("CSG2.html#group21B2", "21B²"), =HYPERLINK("CSG3.html#group14E3", "14E³"), =HYPERLINK("CSG0.html#group7C0", "7C⁰"), =HYPERLINK("CSG4.html#group42D4", "42D⁴"), =HYPERLINK("CSG4.html#group42E4", "42E⁴"), =HYPERLINK("CSG0.html#group7A0", "7A⁰")</f>
        <v/>
      </c>
      <c r="N6457" t="inlineStr"/>
    </row>
    <row r="6458">
      <c r="A6458" t="inlineStr">
        <is>
          <t>42E²¹</t>
        </is>
      </c>
      <c r="B6458" t="inlineStr"/>
      <c r="C6458" t="inlineStr">
        <is>
          <t>336</t>
        </is>
      </c>
      <c r="D6458" t="inlineStr">
        <is>
          <t>2</t>
        </is>
      </c>
      <c r="E6458" t="inlineStr">
        <is>
          <t>84</t>
        </is>
      </c>
      <c r="F6458" t="inlineStr">
        <is>
          <t>16</t>
        </is>
      </c>
      <c r="G6458" t="inlineStr">
        <is>
          <t>0</t>
        </is>
      </c>
      <c r="H6458" t="inlineStr">
        <is>
          <t>42⁸</t>
        </is>
      </c>
      <c r="I6458" t="n">
        <v>8</v>
      </c>
      <c r="J6458" t="inlineStr">
        <is>
          <t>2³, 6³, 12¹²</t>
        </is>
      </c>
      <c r="K6458">
        <f>HYPERLINK("CSG4.html#group42G4", "42G⁴"), =HYPERLINK("CSG4.html#group42H4", "42H⁴"), =HYPERLINK("CSG7.html#group21C7", "21C⁷"), =HYPERLINK("CSG9.html#group42B9", "42B⁹"), =HYPERLINK("CSG11.html#group42A11", "42A¹¹")</f>
        <v/>
      </c>
      <c r="L6458" t="inlineStr"/>
      <c r="M6458">
        <f>HYPERLINK("CSG0.html#group6B0", "6B⁰"), =HYPERLINK("CSG2.html#group42A2", "42A²"), =HYPERLINK("CSG1.html#group42B1", "42B¹"), =HYPERLINK("CSG4.html#group42H4", "42H⁴"), =HYPERLINK("CSG4.html#group42G4", "42G⁴"), =HYPERLINK("CSG1.html#group21D1", "21D¹"), =HYPERLINK("CSG0.html#group7F0", "7F⁰"), =HYPERLINK("CSG0.html#group21A0", "21A⁰"), =HYPERLINK("CSG9.html#group42B9", "42B⁹"), =HYPERLINK("CSG7.html#group21C7", "21C⁷"), =HYPERLINK("CSG0.html#group3A0", "3A⁰"), =HYPERLINK("CSG0.html#group1A0", "1A⁰"), =HYPERLINK("CSG3.html#group21C3", "21C³"), =HYPERLINK("CSG0.html#group7A0", "7A⁰"), =HYPERLINK("CSG11.html#group42A11", "42A¹¹")</f>
        <v/>
      </c>
      <c r="N6458" t="inlineStr"/>
    </row>
    <row r="6459">
      <c r="A6459" t="inlineStr">
        <is>
          <t>42F²¹</t>
        </is>
      </c>
      <c r="B6459" t="inlineStr"/>
      <c r="C6459" t="inlineStr">
        <is>
          <t>336</t>
        </is>
      </c>
      <c r="D6459" t="inlineStr">
        <is>
          <t>2</t>
        </is>
      </c>
      <c r="E6459" t="inlineStr">
        <is>
          <t>168</t>
        </is>
      </c>
      <c r="F6459" t="inlineStr">
        <is>
          <t>8</t>
        </is>
      </c>
      <c r="G6459" t="inlineStr">
        <is>
          <t>6</t>
        </is>
      </c>
      <c r="H6459" t="inlineStr">
        <is>
          <t>42⁸</t>
        </is>
      </c>
      <c r="I6459" t="n">
        <v>8</v>
      </c>
      <c r="J6459" t="inlineStr">
        <is>
          <t>12²⁸</t>
        </is>
      </c>
      <c r="K6459">
        <f>HYPERLINK("CSG8.html#group21A8", "21A⁸")</f>
        <v/>
      </c>
      <c r="L6459" t="inlineStr"/>
      <c r="M6459">
        <f>HYPERLINK("CSG8.html#group21A8", "21A⁸"), =HYPERLINK("CSG0.html#group1A0", "1A⁰"), =HYPERLINK("CSG0.html#group7C0", "7C⁰"), =HYPERLINK("CSG0.html#group7A0", "7A⁰"), =HYPERLINK("CSG1.html#group21C1", "21C¹")</f>
        <v/>
      </c>
      <c r="N6459" t="inlineStr"/>
    </row>
    <row r="6460">
      <c r="A6460" t="inlineStr">
        <is>
          <t>42G²¹</t>
        </is>
      </c>
      <c r="B6460" t="inlineStr"/>
      <c r="C6460" t="inlineStr">
        <is>
          <t>384</t>
        </is>
      </c>
      <c r="D6460" t="inlineStr">
        <is>
          <t>1</t>
        </is>
      </c>
      <c r="E6460" t="inlineStr">
        <is>
          <t>32</t>
        </is>
      </c>
      <c r="F6460" t="inlineStr">
        <is>
          <t>0</t>
        </is>
      </c>
      <c r="G6460" t="inlineStr">
        <is>
          <t>0</t>
        </is>
      </c>
      <c r="H6460" t="inlineStr">
        <is>
          <t>2⁶, 6⁶, 14⁶, 42⁶</t>
        </is>
      </c>
      <c r="I6460" t="n">
        <v>24</v>
      </c>
      <c r="J6460" t="inlineStr">
        <is>
          <t>1⁴, 2², 6², 12¹</t>
        </is>
      </c>
      <c r="K6460">
        <f>HYPERLINK("CSG5.html#group21E5", "21E⁵"), =HYPERLINK("CSG5.html#group42I5", "42I⁵"), =HYPERLINK("CSG11.html#group42E11", "42E¹¹"), =HYPERLINK("CSG11.html#group42F11", "42F¹¹")</f>
        <v/>
      </c>
      <c r="L6460" t="inlineStr"/>
      <c r="M6460">
        <f>HYPERLINK("CSG0.html#group3B0", "3B⁰"), =HYPERLINK("CSG5.html#group42I5", "42I⁵"), =HYPERLINK("CSG0.html#group2A0", "2A⁰"), =HYPERLINK("CSG0.html#group6C0", "6C⁰"), =HYPERLINK("CSG11.html#group42E11", "42E¹¹"), =HYPERLINK("CSG2.html#group14D2", "14D²"), =HYPERLINK("CSG11.html#group42F11", "42F¹¹"), =HYPERLINK("CSG0.html#group7E0", "7E⁰"), =HYPERLINK("CSG3.html#group42D3", "42D³"), =HYPERLINK("CSG0.html#group1A0", "1A⁰"), =HYPERLINK("CSG1.html#group21F1", "21F¹"), =HYPERLINK("CSG1.html#group21B1", "21B¹"), =HYPERLINK("CSG3.html#group21D3", "21D³"), =HYPERLINK("CSG0.html#group7B0", "7B⁰"), =HYPERLINK("CSG3.html#group42E3", "42E³"), =HYPERLINK("CSG0.html#group14B0", "14B⁰"), =HYPERLINK("CSG5.html#group21E5", "21E⁵")</f>
        <v/>
      </c>
      <c r="N6460" t="inlineStr"/>
    </row>
    <row r="6461">
      <c r="A6461" t="inlineStr">
        <is>
          <t>42H²¹</t>
        </is>
      </c>
      <c r="B6461" t="inlineStr"/>
      <c r="C6461" t="inlineStr">
        <is>
          <t>384</t>
        </is>
      </c>
      <c r="D6461" t="inlineStr">
        <is>
          <t>1</t>
        </is>
      </c>
      <c r="E6461" t="inlineStr">
        <is>
          <t>32</t>
        </is>
      </c>
      <c r="F6461" t="inlineStr">
        <is>
          <t>0</t>
        </is>
      </c>
      <c r="G6461" t="inlineStr">
        <is>
          <t>0</t>
        </is>
      </c>
      <c r="H6461" t="inlineStr">
        <is>
          <t>2⁶, 6⁶, 14⁶, 42⁶</t>
        </is>
      </c>
      <c r="I6461" t="n">
        <v>24</v>
      </c>
      <c r="J6461" t="inlineStr">
        <is>
          <t>1⁴, 2², 6², 12¹</t>
        </is>
      </c>
      <c r="K6461">
        <f>HYPERLINK("CSG5.html#group42I5", "42I⁵"), =HYPERLINK("CSG9.html#group42E9", "42E⁹"), =HYPERLINK("CSG11.html#group42G11", "42G¹¹"), =HYPERLINK("CSG11.html#group42I11", "42I¹¹")</f>
        <v/>
      </c>
      <c r="L6461" t="inlineStr"/>
      <c r="M6461">
        <f>HYPERLINK("CSG0.html#group3B0", "3B⁰"), =HYPERLINK("CSG5.html#group42I5", "42I⁵"), =HYPERLINK("CSG0.html#group2A0", "2A⁰"), =HYPERLINK("CSG0.html#group6I0", "6I⁰"), =HYPERLINK("CSG0.html#group6C0", "6C⁰"), =HYPERLINK("CSG3.html#group42D3", "42D³"), =HYPERLINK("CSG0.html#group2B0", "2B⁰"), =HYPERLINK("CSG2.html#group14E2", "14E²"), =HYPERLINK("CSG5.html#group42G5", "42G⁵"), =HYPERLINK("CSG0.html#group1A0", "1A⁰"), =HYPERLINK("CSG1.html#group21F1", "21F¹"), =HYPERLINK("CSG11.html#group42I11", "42I¹¹"), =HYPERLINK("CSG1.html#group21B1", "21B¹"), =HYPERLINK("CSG0.html#group7B0", "7B⁰"), =HYPERLINK("CSG3.html#group42E3", "42E³"), =HYPERLINK("CSG0.html#group14B0", "14B⁰"), =HYPERLINK("CSG1.html#group14C1", "14C¹"), =HYPERLINK("CSG9.html#group42E9", "42E⁹"), =HYPERLINK("CSG0.html#group6F0", "6F⁰"), =HYPERLINK("CSG0.html#group2C0", "2C⁰"), =HYPERLINK("CSG11.html#group42G11", "42G¹¹")</f>
        <v/>
      </c>
      <c r="N6461" t="inlineStr"/>
    </row>
    <row r="6462">
      <c r="A6462" t="inlineStr">
        <is>
          <t>42I²¹</t>
        </is>
      </c>
      <c r="B6462" t="inlineStr"/>
      <c r="C6462" t="inlineStr">
        <is>
          <t>384</t>
        </is>
      </c>
      <c r="D6462" t="inlineStr">
        <is>
          <t>1</t>
        </is>
      </c>
      <c r="E6462" t="inlineStr">
        <is>
          <t>64</t>
        </is>
      </c>
      <c r="F6462" t="inlineStr">
        <is>
          <t>0</t>
        </is>
      </c>
      <c r="G6462" t="inlineStr">
        <is>
          <t>12</t>
        </is>
      </c>
      <c r="H6462" t="inlineStr">
        <is>
          <t>6⁸, 42⁸</t>
        </is>
      </c>
      <c r="I6462" t="n">
        <v>16</v>
      </c>
      <c r="J6462" t="inlineStr">
        <is>
          <t>2⁸, 12⁴</t>
        </is>
      </c>
      <c r="K6462">
        <f>HYPERLINK("CSG5.html#group42I5", "42I⁵"), =HYPERLINK("CSG11.html#group42H11", "42H¹¹")</f>
        <v/>
      </c>
      <c r="L6462" t="inlineStr"/>
      <c r="M6462">
        <f>HYPERLINK("CSG0.html#group3B0", "3B⁰"), =HYPERLINK("CSG5.html#group42I5", "42I⁵"), =HYPERLINK("CSG0.html#group2A0", "2A⁰"), =HYPERLINK("CSG11.html#group42H11", "42H¹¹"), =HYPERLINK("CSG0.html#group6C0", "6C⁰"), =HYPERLINK("CSG3.html#group42D3", "42D³"), =HYPERLINK("CSG0.html#group1A0", "1A⁰"), =HYPERLINK("CSG1.html#group21F1", "21F¹"), =HYPERLINK("CSG2.html#group42B2", "42B²"), =HYPERLINK("CSG1.html#group21B1", "21B¹"), =HYPERLINK("CSG0.html#group6A0", "6A⁰"), =HYPERLINK("CSG0.html#group7B0", "7B⁰"), =HYPERLINK("CSG3.html#group42E3", "42E³"), =HYPERLINK("CSG0.html#group14B0", "14B⁰"), =HYPERLINK("CSG0.html#group6J0", "6J⁰")</f>
        <v/>
      </c>
      <c r="N6462" t="inlineStr"/>
    </row>
    <row r="6463">
      <c r="A6463" t="inlineStr">
        <is>
          <t>42J²¹</t>
        </is>
      </c>
      <c r="B6463" t="inlineStr"/>
      <c r="C6463" t="inlineStr">
        <is>
          <t>384</t>
        </is>
      </c>
      <c r="D6463" t="inlineStr">
        <is>
          <t>2</t>
        </is>
      </c>
      <c r="E6463" t="inlineStr">
        <is>
          <t>32</t>
        </is>
      </c>
      <c r="F6463" t="inlineStr">
        <is>
          <t>0</t>
        </is>
      </c>
      <c r="G6463" t="inlineStr">
        <is>
          <t>12</t>
        </is>
      </c>
      <c r="H6463" t="inlineStr">
        <is>
          <t>6⁸, 42⁸</t>
        </is>
      </c>
      <c r="I6463" t="n">
        <v>16</v>
      </c>
      <c r="J6463" t="inlineStr">
        <is>
          <t>2⁸, 12⁴</t>
        </is>
      </c>
      <c r="K6463">
        <f>HYPERLINK("CSG5.html#group42I5", "42I⁵"), =HYPERLINK("CSG7.html#group21D7", "21D⁷"), =HYPERLINK("CSG11.html#group42J11", "42J¹¹"), =HYPERLINK("CSG11.html#group42K11", "42K¹¹")</f>
        <v/>
      </c>
      <c r="L6463" t="inlineStr"/>
      <c r="M6463">
        <f>HYPERLINK("CSG0.html#group2A0", "2A⁰"), =HYPERLINK("CSG5.html#group42I5", "42I⁵"), =HYPERLINK("CSG0.html#group3B0", "3B⁰"), =HYPERLINK("CSG1.html#group21A1", "21A¹"), =HYPERLINK("CSG0.html#group6C0", "6C⁰"), =HYPERLINK("CSG11.html#group42K11", "42K¹¹"), =HYPERLINK("CSG3.html#group42D3", "42D³"), =HYPERLINK("CSG0.html#group1A0", "1A⁰"), =HYPERLINK("CSG1.html#group21F1", "21F¹"), =HYPERLINK("CSG11.html#group42J11", "42J¹¹"), =HYPERLINK("CSG1.html#group21B1", "21B¹"), =HYPERLINK("CSG0.html#group7B0", "7B⁰"), =HYPERLINK("CSG7.html#group21D7", "21D⁷"), =HYPERLINK("CSG3.html#group42E3", "42E³"), =HYPERLINK("CSG0.html#group14B0", "14B⁰"), =HYPERLINK("CSG2.html#group42C2", "42C²"), =HYPERLINK("CSG4.html#group21C4", "21C⁴")</f>
        <v/>
      </c>
      <c r="N6463" t="inlineStr"/>
    </row>
    <row r="6464">
      <c r="A6464" t="inlineStr">
        <is>
          <t>44A²¹</t>
        </is>
      </c>
      <c r="B6464" t="inlineStr"/>
      <c r="C6464" t="inlineStr">
        <is>
          <t>330</t>
        </is>
      </c>
      <c r="D6464" t="inlineStr">
        <is>
          <t>1</t>
        </is>
      </c>
      <c r="E6464" t="inlineStr">
        <is>
          <t>165</t>
        </is>
      </c>
      <c r="F6464" t="inlineStr">
        <is>
          <t>0</t>
        </is>
      </c>
      <c r="G6464" t="inlineStr">
        <is>
          <t>0</t>
        </is>
      </c>
      <c r="H6464" t="inlineStr">
        <is>
          <t>11¹⁰, 44⁵</t>
        </is>
      </c>
      <c r="I6464" t="n">
        <v>15</v>
      </c>
      <c r="J6464" t="inlineStr">
        <is>
          <t>5³, 10¹⁵</t>
        </is>
      </c>
      <c r="K6464">
        <f>HYPERLINK("CSG0.html#group4B0", "4B⁰"), =HYPERLINK("CSG8.html#group22A8", "22A⁸")</f>
        <v/>
      </c>
      <c r="L6464" t="inlineStr"/>
      <c r="M6464">
        <f>HYPERLINK("CSG1.html#group11C1", "11C¹"), =HYPERLINK("CSG0.html#group2B0", "2B⁰"), =HYPERLINK("CSG0.html#group4B0", "4B⁰"), =HYPERLINK("CSG0.html#group1A0", "1A⁰"), =HYPERLINK("CSG8.html#group22A8", "22A⁸")</f>
        <v/>
      </c>
      <c r="N6464" t="inlineStr"/>
    </row>
    <row r="6465">
      <c r="A6465" t="inlineStr">
        <is>
          <t>44B²¹</t>
        </is>
      </c>
      <c r="B6465" t="inlineStr"/>
      <c r="C6465" t="inlineStr">
        <is>
          <t>330</t>
        </is>
      </c>
      <c r="D6465" t="inlineStr">
        <is>
          <t>1</t>
        </is>
      </c>
      <c r="E6465" t="inlineStr">
        <is>
          <t>165</t>
        </is>
      </c>
      <c r="F6465" t="inlineStr">
        <is>
          <t>0</t>
        </is>
      </c>
      <c r="G6465" t="inlineStr">
        <is>
          <t>0</t>
        </is>
      </c>
      <c r="H6465" t="inlineStr">
        <is>
          <t>11¹⁰, 44⁵</t>
        </is>
      </c>
      <c r="I6465" t="n">
        <v>15</v>
      </c>
      <c r="J6465" t="inlineStr">
        <is>
          <t>5³, 10¹⁵</t>
        </is>
      </c>
      <c r="K6465">
        <f>HYPERLINK("CSG5.html#group44A5", "44A⁵"), =HYPERLINK("CSG9.html#group22B9", "22B⁹")</f>
        <v/>
      </c>
      <c r="L6465" t="inlineStr"/>
      <c r="M6465">
        <f>HYPERLINK("CSG0.html#group11A0", "11A⁰"), =HYPERLINK("CSG0.html#group4B0", "4B⁰"), =HYPERLINK("CSG0.html#group2B0", "2B⁰"), =HYPERLINK("CSG1.html#group11B1", "11B¹"), =HYPERLINK("CSG2.html#group22B2", "22B²"), =HYPERLINK("CSG5.html#group44A5", "44A⁵"), =HYPERLINK("CSG0.html#group1A0", "1A⁰"), =HYPERLINK("CSG9.html#group22B9", "22B⁹")</f>
        <v/>
      </c>
      <c r="N6465" t="inlineStr"/>
    </row>
    <row r="6466">
      <c r="A6466" t="inlineStr">
        <is>
          <t>44C²¹</t>
        </is>
      </c>
      <c r="B6466" t="inlineStr"/>
      <c r="C6466" t="inlineStr">
        <is>
          <t>360</t>
        </is>
      </c>
      <c r="D6466" t="inlineStr">
        <is>
          <t>1</t>
        </is>
      </c>
      <c r="E6466" t="inlineStr">
        <is>
          <t>36</t>
        </is>
      </c>
      <c r="F6466" t="inlineStr">
        <is>
          <t>0</t>
        </is>
      </c>
      <c r="G6466" t="inlineStr">
        <is>
          <t>0</t>
        </is>
      </c>
      <c r="H6466" t="inlineStr">
        <is>
          <t>2⁵, 4⁵, 22⁵, 44⁵</t>
        </is>
      </c>
      <c r="I6466" t="n">
        <v>20</v>
      </c>
      <c r="J6466" t="inlineStr">
        <is>
          <t>1⁶, 10³</t>
        </is>
      </c>
      <c r="K6466">
        <f>HYPERLINK("CSG5.html#group44B5", "44B⁵"), =HYPERLINK("CSG6.html#group22C6", "22C⁶")</f>
        <v/>
      </c>
      <c r="L6466" t="inlineStr"/>
      <c r="M6466">
        <f>HYPERLINK("CSG1.html#group11A1", "11A¹"), =HYPERLINK("CSG0.html#group4C0", "4C⁰"), =HYPERLINK("CSG6.html#group22C6", "22C⁶"), =HYPERLINK("CSG5.html#group44B5", "44B⁵"), =HYPERLINK("CSG0.html#group2B0", "2B⁰"), =HYPERLINK("CSG2.html#group22C2", "22C²"), =HYPERLINK("CSG0.html#group1A0", "1A⁰"), =HYPERLINK("CSG1.html#group11D1", "11D¹")</f>
        <v/>
      </c>
      <c r="N6466" t="inlineStr"/>
    </row>
    <row r="6467">
      <c r="A6467" t="inlineStr">
        <is>
          <t>45A²¹</t>
        </is>
      </c>
      <c r="B6467" t="inlineStr"/>
      <c r="C6467" t="inlineStr">
        <is>
          <t>324</t>
        </is>
      </c>
      <c r="D6467" t="inlineStr">
        <is>
          <t>1</t>
        </is>
      </c>
      <c r="E6467" t="inlineStr">
        <is>
          <t>162</t>
        </is>
      </c>
      <c r="F6467" t="inlineStr">
        <is>
          <t>4</t>
        </is>
      </c>
      <c r="G6467" t="inlineStr">
        <is>
          <t>0</t>
        </is>
      </c>
      <c r="H6467" t="inlineStr">
        <is>
          <t>9⁶, 45⁶</t>
        </is>
      </c>
      <c r="I6467" t="n">
        <v>12</v>
      </c>
      <c r="J6467" t="inlineStr">
        <is>
          <t>3², 6⁸, 12¹, 24⁴</t>
        </is>
      </c>
      <c r="K6467">
        <f>HYPERLINK("CSG2.html#group9B2", "9B²"), =HYPERLINK("CSG5.html#group45G5", "45G⁵"), =HYPERLINK("CSG7.html#group45B7", "45B⁷"), =HYPERLINK("CSG8.html#group45D8", "45D⁸")</f>
        <v/>
      </c>
      <c r="L6467" t="inlineStr"/>
      <c r="M6467">
        <f>HYPERLINK("CSG2.html#group45A2", "45A²"), =HYPERLINK("CSG0.html#group15B0", "15B⁰"), =HYPERLINK("CSG5.html#group45G5", "45G⁵"), =HYPERLINK("CSG8.html#group45D8", "45D⁸"), =HYPERLINK("CSG0.html#group9A0", "9A⁰"), =HYPERLINK("CSG0.html#group9G0", "9G⁰"), =HYPERLINK("CSG7.html#group45B7", "45B⁷"), =HYPERLINK("CSG0.html#group5B0", "5B⁰"), =HYPERLINK("CSG0.html#group3C0", "3C⁰"), =HYPERLINK("CSG2.html#group9B2", "9B²"), =HYPERLINK("CSG0.html#group9E0", "9E⁰"), =HYPERLINK("CSG0.html#group3A0", "3A⁰"), =HYPERLINK("CSG0.html#group1A0", "1A⁰"), =HYPERLINK("CSG1.html#group9B1", "9B¹"), =HYPERLINK("CSG1.html#group15E1", "15E¹")</f>
        <v/>
      </c>
      <c r="N6467" t="inlineStr"/>
    </row>
    <row r="6468">
      <c r="A6468" t="inlineStr">
        <is>
          <t>45B²¹</t>
        </is>
      </c>
      <c r="B6468" t="inlineStr"/>
      <c r="C6468" t="inlineStr">
        <is>
          <t>360</t>
        </is>
      </c>
      <c r="D6468" t="inlineStr">
        <is>
          <t>1</t>
        </is>
      </c>
      <c r="E6468" t="inlineStr">
        <is>
          <t>30</t>
        </is>
      </c>
      <c r="F6468" t="inlineStr">
        <is>
          <t>24</t>
        </is>
      </c>
      <c r="G6468" t="inlineStr">
        <is>
          <t>0</t>
        </is>
      </c>
      <c r="H6468" t="inlineStr">
        <is>
          <t>45⁸</t>
        </is>
      </c>
      <c r="I6468" t="n">
        <v>8</v>
      </c>
      <c r="J6468" t="inlineStr">
        <is>
          <t>2¹, 4³, 8²</t>
        </is>
      </c>
      <c r="K6468">
        <f>HYPERLINK("CSG5.html#group15A5", "15A⁵"), =HYPERLINK("CSG10.html#group45D10", "45D¹⁰"), =HYPERLINK("CSG11.html#group45A11", "45A¹¹")</f>
        <v/>
      </c>
      <c r="L6468" t="inlineStr"/>
      <c r="M6468">
        <f>HYPERLINK("CSG11.html#group45A11", "45A¹¹"), =HYPERLINK("CSG1.html#group15D1", "15D¹"), =HYPERLINK("CSG0.html#group9D0", "9D⁰"), =HYPERLINK("CSG5.html#group45E5", "45E⁵"), =HYPERLINK("CSG0.html#group9A0", "9A⁰"), =HYPERLINK("CSG2.html#group15D2", "15D²"), =HYPERLINK("CSG5.html#group15A5", "15A⁵"), =HYPERLINK("CSG0.html#group3C0", "3C⁰"), =HYPERLINK("CSG0.html#group1A0", "1A⁰"), =HYPERLINK("CSG3.html#group15C3", "15C³"), =HYPERLINK("CSG0.html#group3A0", "3A⁰"), =HYPERLINK("CSG0.html#group5C0", "5C⁰"), =HYPERLINK("CSG10.html#group45D10", "45D¹⁰")</f>
        <v/>
      </c>
      <c r="N6468" t="inlineStr"/>
    </row>
    <row r="6469">
      <c r="A6469" t="inlineStr">
        <is>
          <t>45C²¹</t>
        </is>
      </c>
      <c r="B6469" t="inlineStr"/>
      <c r="C6469" t="inlineStr">
        <is>
          <t>360</t>
        </is>
      </c>
      <c r="D6469" t="inlineStr">
        <is>
          <t>1</t>
        </is>
      </c>
      <c r="E6469" t="inlineStr">
        <is>
          <t>180</t>
        </is>
      </c>
      <c r="F6469" t="inlineStr">
        <is>
          <t>8</t>
        </is>
      </c>
      <c r="G6469" t="inlineStr">
        <is>
          <t>0</t>
        </is>
      </c>
      <c r="H6469" t="inlineStr">
        <is>
          <t>15¹², 45⁴</t>
        </is>
      </c>
      <c r="I6469" t="n">
        <v>16</v>
      </c>
      <c r="J6469" t="inlineStr">
        <is>
          <t>2¹, 4³, 6¹, 8², 12⁴, 24⁴</t>
        </is>
      </c>
      <c r="K6469">
        <f>HYPERLINK("CSG5.html#group15A5", "15A⁵"), =HYPERLINK("CSG11.html#group45E11", "45E¹¹")</f>
        <v/>
      </c>
      <c r="L6469" t="inlineStr"/>
      <c r="M6469">
        <f>HYPERLINK("CSG1.html#group15D1", "15D¹"), =HYPERLINK("CSG2.html#group15D2", "15D²"), =HYPERLINK("CSG5.html#group15A5", "15A⁵"), =HYPERLINK("CSG0.html#group3C0", "3C⁰"), =HYPERLINK("CSG0.html#group1A0", "1A⁰"), =HYPERLINK("CSG3.html#group15C3", "15C³"), =HYPERLINK("CSG0.html#group9E0", "9E⁰"), =HYPERLINK("CSG0.html#group3A0", "3A⁰"), =HYPERLINK("CSG0.html#group5C0", "5C⁰"), =HYPERLINK("CSG11.html#group45E11", "45E¹¹")</f>
        <v/>
      </c>
      <c r="N6469" t="inlineStr"/>
    </row>
    <row r="6470">
      <c r="A6470" t="inlineStr">
        <is>
          <t>45D²¹</t>
        </is>
      </c>
      <c r="B6470" t="inlineStr"/>
      <c r="C6470" t="inlineStr">
        <is>
          <t>360</t>
        </is>
      </c>
      <c r="D6470" t="inlineStr">
        <is>
          <t>1</t>
        </is>
      </c>
      <c r="E6470" t="inlineStr">
        <is>
          <t>360</t>
        </is>
      </c>
      <c r="F6470" t="inlineStr">
        <is>
          <t>8</t>
        </is>
      </c>
      <c r="G6470" t="inlineStr">
        <is>
          <t>0</t>
        </is>
      </c>
      <c r="H6470" t="inlineStr">
        <is>
          <t>15¹², 45⁴</t>
        </is>
      </c>
      <c r="I6470" t="n">
        <v>16</v>
      </c>
      <c r="J6470" t="inlineStr">
        <is>
          <t>4¹, 8⁷, 12⁵, 24¹⁰</t>
        </is>
      </c>
      <c r="K6470">
        <f>HYPERLINK("CSG5.html#group15A5", "15A⁵")</f>
        <v/>
      </c>
      <c r="L6470" t="inlineStr"/>
      <c r="M6470">
        <f>HYPERLINK("CSG1.html#group15D1", "15D¹"), =HYPERLINK("CSG2.html#group15D2", "15D²"), =HYPERLINK("CSG5.html#group15A5", "15A⁵"), =HYPERLINK("CSG0.html#group3C0", "3C⁰"), =HYPERLINK("CSG0.html#group1A0", "1A⁰"), =HYPERLINK("CSG3.html#group15C3", "15C³"), =HYPERLINK("CSG0.html#group3A0", "3A⁰"), =HYPERLINK("CSG0.html#group5C0", "5C⁰")</f>
        <v/>
      </c>
      <c r="N6470" t="inlineStr"/>
    </row>
    <row r="6471">
      <c r="A6471" t="inlineStr">
        <is>
          <t>45E²¹</t>
        </is>
      </c>
      <c r="B6471" t="inlineStr"/>
      <c r="C6471" t="inlineStr">
        <is>
          <t>432</t>
        </is>
      </c>
      <c r="D6471" t="inlineStr">
        <is>
          <t>1</t>
        </is>
      </c>
      <c r="E6471" t="inlineStr">
        <is>
          <t>36</t>
        </is>
      </c>
      <c r="F6471" t="inlineStr">
        <is>
          <t>0</t>
        </is>
      </c>
      <c r="G6471" t="inlineStr">
        <is>
          <t>0</t>
        </is>
      </c>
      <c r="H6471" t="inlineStr">
        <is>
          <t>3¹², 9⁴, 15¹², 45⁴</t>
        </is>
      </c>
      <c r="I6471" t="n">
        <v>32</v>
      </c>
      <c r="J6471" t="inlineStr">
        <is>
          <t>1⁴, 2⁴, 4², 8²</t>
        </is>
      </c>
      <c r="K6471">
        <f>HYPERLINK("CSG5.html#group15C5", "15C⁵"), =HYPERLINK("CSG9.html#group45F9", "45F⁹"), =HYPERLINK("CSG11.html#group45F11", "45F¹¹"), =HYPERLINK("CSG11.html#group45H11", "45H¹¹")</f>
        <v/>
      </c>
      <c r="L6471" t="inlineStr"/>
      <c r="M6471">
        <f>HYPERLINK("CSG0.html#group3B0", "3B⁰"), =HYPERLINK("CSG9.html#group45F9", "45F⁹"), =HYPERLINK("CSG5.html#group45G5", "45G⁵"), =HYPERLINK("CSG11.html#group45F11", "45F¹¹"), =HYPERLINK("CSG0.html#group5B0", "5B⁰"), =HYPERLINK("CSG0.html#group5D0", "5D⁰"), =HYPERLINK("CSG1.html#group15G1", "15G¹"), =HYPERLINK("CSG3.html#group15F3", "15F³"), =HYPERLINK("CSG0.html#group9E0", "9E⁰"), =HYPERLINK("CSG1.html#group15H1", "15H¹"), =HYPERLINK("CSG0.html#group1A0", "1A⁰"), =HYPERLINK("CSG1.html#group15C1", "15C¹"), =HYPERLINK("CSG0.html#group15B0", "15B⁰"), =HYPERLINK("CSG5.html#group15C5", "15C⁵"), =HYPERLINK("CSG3.html#group15E3", "15E³"), =HYPERLINK("CSG11.html#group45H11", "45H¹¹"), =HYPERLINK("CSG2.html#group15B2", "15B²"), =HYPERLINK("CSG0.html#group3C0", "3C⁰"), =HYPERLINK("CSG0.html#group15C0", "15C⁰"), =HYPERLINK("CSG0.html#group9H0", "9H⁰"), =HYPERLINK("CSG0.html#group3A0", "3A⁰"), =HYPERLINK("CSG0.html#group3D0", "3D⁰"), =HYPERLINK("CSG1.html#group15E1", "15E¹")</f>
        <v/>
      </c>
      <c r="N6471" t="inlineStr"/>
    </row>
    <row r="6472">
      <c r="A6472" t="inlineStr">
        <is>
          <t>45F²¹</t>
        </is>
      </c>
      <c r="B6472" t="inlineStr"/>
      <c r="C6472" t="inlineStr">
        <is>
          <t>432</t>
        </is>
      </c>
      <c r="D6472" t="inlineStr">
        <is>
          <t>1</t>
        </is>
      </c>
      <c r="E6472" t="inlineStr">
        <is>
          <t>72</t>
        </is>
      </c>
      <c r="F6472" t="inlineStr">
        <is>
          <t>0</t>
        </is>
      </c>
      <c r="G6472" t="inlineStr">
        <is>
          <t>0</t>
        </is>
      </c>
      <c r="H6472" t="inlineStr">
        <is>
          <t>1⁶, 3⁴, 5⁶, 9⁶, 15⁴, 45⁶</t>
        </is>
      </c>
      <c r="I6472" t="n">
        <v>32</v>
      </c>
      <c r="J6472" t="inlineStr">
        <is>
          <t>1⁴, 2⁴, 4², 6², 8², 24¹</t>
        </is>
      </c>
      <c r="K6472">
        <f>HYPERLINK("CSG5.html#group45H5", "45H⁵"), =HYPERLINK("CSG11.html#group45G11", "45G¹¹")</f>
        <v/>
      </c>
      <c r="L6472" t="inlineStr"/>
      <c r="M6472">
        <f>HYPERLINK("CSG0.html#group3B0", "3B⁰"), =HYPERLINK("CSG1.html#group15C1", "15C¹"), =HYPERLINK("CSG0.html#group5B0", "5B⁰"), =HYPERLINK("CSG11.html#group45G11", "45G¹¹"), =HYPERLINK("CSG5.html#group45H5", "45H⁵"), =HYPERLINK("CSG0.html#group9I0", "9I⁰"), =HYPERLINK("CSG3.html#group45D3", "45D³"), =HYPERLINK("CSG0.html#group9B0", "9B⁰"), =HYPERLINK("CSG1.html#group15G1", "15G¹"), =HYPERLINK("CSG0.html#group5D0", "5D⁰"), =HYPERLINK("CSG0.html#group1A0", "1A⁰")</f>
        <v/>
      </c>
      <c r="N6472" t="inlineStr"/>
    </row>
    <row r="6473">
      <c r="A6473" t="inlineStr">
        <is>
          <t>48A²¹</t>
        </is>
      </c>
      <c r="B6473" t="inlineStr"/>
      <c r="C6473" t="inlineStr">
        <is>
          <t>288</t>
        </is>
      </c>
      <c r="D6473" t="inlineStr">
        <is>
          <t>1</t>
        </is>
      </c>
      <c r="E6473" t="inlineStr">
        <is>
          <t>3</t>
        </is>
      </c>
      <c r="F6473" t="inlineStr">
        <is>
          <t>0</t>
        </is>
      </c>
      <c r="G6473" t="inlineStr">
        <is>
          <t>0</t>
        </is>
      </c>
      <c r="H6473" t="inlineStr">
        <is>
          <t>24⁴, 48⁴</t>
        </is>
      </c>
      <c r="I6473" t="n">
        <v>8</v>
      </c>
      <c r="J6473" t="inlineStr">
        <is>
          <t>1³</t>
        </is>
      </c>
      <c r="K6473">
        <f>HYPERLINK("CSG7.html#group48A7", "48A⁷"), =HYPERLINK("CSG9.html#group24B9", "24B⁹"), =HYPERLINK("CSG9.html#group48H9", "48H⁹")</f>
        <v/>
      </c>
      <c r="L6473" t="inlineStr"/>
      <c r="M6473">
        <f>HYPERLINK("CSG3.html#group24A3", "24A³"), =HYPERLINK("CSG0.html#group12C0", "12C⁰"), =HYPERLINK("CSG7.html#group48A7", "48A⁷"), =HYPERLINK("CSG0.html#group4C0", "4C⁰"), =HYPERLINK("CSG0.html#group6G0", "6G⁰"), =HYPERLINK("CSG0.html#group2B0", "2B⁰"), =HYPERLINK("CSG5.html#group24E5", "24E⁵"), =HYPERLINK("CSG0.html#group1A0", "1A⁰"), =HYPERLINK("CSG3.html#group24H3", "24H³"), =HYPERLINK("CSG0.html#group3C0", "3C⁰"), =HYPERLINK("CSG0.html#group6K0", "6K⁰"), =HYPERLINK("CSG0.html#group3A0", "3A⁰"), =HYPERLINK("CSG0.html#group6F0", "6F⁰"), =HYPERLINK("CSG0.html#group3B0", "3B⁰"), =HYPERLINK("CSG1.html#group8A1", "8A¹"), =HYPERLINK("CSG1.html#group12F1", "12F¹"), =HYPERLINK("CSG1.html#group24D1", "24D¹"), =HYPERLINK("CSG9.html#group24B9", "24B⁹"), =HYPERLINK("CSG1.html#group12L1", "12L¹"), =HYPERLINK("CSG0.html#group3D0", "3D⁰"), =HYPERLINK("CSG3.html#group24C3", "24C³"), =HYPERLINK("CSG1.html#group12C1", "12C¹"), =HYPERLINK("CSG3.html#group12D3", "12D³"), =HYPERLINK("CSG9.html#group48H9", "48H⁹"), =HYPERLINK("CSG2.html#group12C2", "12C²"), =HYPERLINK("CSG0.html#group6D0", "6D⁰")</f>
        <v/>
      </c>
      <c r="N6473" t="inlineStr"/>
    </row>
    <row r="6474">
      <c r="A6474" t="inlineStr">
        <is>
          <t>48B²¹</t>
        </is>
      </c>
      <c r="B6474" t="inlineStr"/>
      <c r="C6474" t="inlineStr">
        <is>
          <t>288</t>
        </is>
      </c>
      <c r="D6474" t="inlineStr">
        <is>
          <t>1</t>
        </is>
      </c>
      <c r="E6474" t="inlineStr">
        <is>
          <t>3</t>
        </is>
      </c>
      <c r="F6474" t="inlineStr">
        <is>
          <t>0</t>
        </is>
      </c>
      <c r="G6474" t="inlineStr">
        <is>
          <t>0</t>
        </is>
      </c>
      <c r="H6474" t="inlineStr">
        <is>
          <t>24⁴, 48⁴</t>
        </is>
      </c>
      <c r="I6474" t="n">
        <v>8</v>
      </c>
      <c r="J6474" t="inlineStr">
        <is>
          <t>1³</t>
        </is>
      </c>
      <c r="K6474">
        <f>HYPERLINK("CSG7.html#group48B7", "48B⁷"), =HYPERLINK("CSG9.html#group24B9", "24B⁹"), =HYPERLINK("CSG9.html#group48I9", "48I⁹")</f>
        <v/>
      </c>
      <c r="L6474" t="inlineStr"/>
      <c r="M6474">
        <f>HYPERLINK("CSG0.html#group3B0", "3B⁰"), =HYPERLINK("CSG3.html#group24A3", "24A³"), =HYPERLINK("CSG1.html#group8A1", "8A¹"), =HYPERLINK("CSG0.html#group12C0", "12C⁰"), =HYPERLINK("CSG1.html#group12F1", "12F¹"), =HYPERLINK("CSG0.html#group4C0", "4C⁰"), =HYPERLINK("CSG1.html#group24D1", "24D¹"), =HYPERLINK("CSG0.html#group6G0", "6G⁰"), =HYPERLINK("CSG9.html#group24B9", "24B⁹"), =HYPERLINK("CSG0.html#group2B0", "2B⁰"), =HYPERLINK("CSG9.html#group48I9", "48I⁹"), =HYPERLINK("CSG5.html#group24E5", "24E⁵"), =HYPERLINK("CSG0.html#group1A0", "1A⁰"), =HYPERLINK("CSG1.html#group12L1", "12L¹"), =HYPERLINK("CSG0.html#group3D0", "3D⁰"), =HYPERLINK("CSG3.html#group24C3", "24C³"), =HYPERLINK("CSG3.html#group12D3", "12D³"), =HYPERLINK("CSG3.html#group24H3", "24H³"), =HYPERLINK("CSG1.html#group12C1", "12C¹"), =HYPERLINK("CSG0.html#group6F0", "6F⁰"), =HYPERLINK("CSG0.html#group3C0", "3C⁰"), =HYPERLINK("CSG0.html#group6K0", "6K⁰"), =HYPERLINK("CSG0.html#group3A0", "3A⁰"), =HYPERLINK("CSG2.html#group12C2", "12C²"), =HYPERLINK("CSG0.html#group6D0", "6D⁰"), =HYPERLINK("CSG7.html#group48B7", "48B⁷")</f>
        <v/>
      </c>
      <c r="N6474" t="inlineStr"/>
    </row>
    <row r="6475">
      <c r="A6475" t="inlineStr">
        <is>
          <t>48C²¹</t>
        </is>
      </c>
      <c r="B6475" t="inlineStr"/>
      <c r="C6475" t="inlineStr">
        <is>
          <t>288</t>
        </is>
      </c>
      <c r="D6475" t="inlineStr">
        <is>
          <t>1</t>
        </is>
      </c>
      <c r="E6475" t="inlineStr">
        <is>
          <t>3</t>
        </is>
      </c>
      <c r="F6475" t="inlineStr">
        <is>
          <t>0</t>
        </is>
      </c>
      <c r="G6475" t="inlineStr">
        <is>
          <t>0</t>
        </is>
      </c>
      <c r="H6475" t="inlineStr">
        <is>
          <t>24⁴, 48⁴</t>
        </is>
      </c>
      <c r="I6475" t="n">
        <v>8</v>
      </c>
      <c r="J6475" t="inlineStr">
        <is>
          <t>1³</t>
        </is>
      </c>
      <c r="K6475">
        <f>HYPERLINK("CSG7.html#group48C7", "48C⁷"), =HYPERLINK("CSG7.html#group48N7", "48N⁷"), =HYPERLINK("CSG9.html#group24A9", "24A⁹"), =HYPERLINK("CSG11.html#group48E11", "48E¹¹")</f>
        <v/>
      </c>
      <c r="L6475" t="inlineStr"/>
      <c r="M6475">
        <f>HYPERLINK("CSG0.html#group12C0", "12C⁰"), =HYPERLINK("CSG0.html#group4C0", "4C⁰"), =HYPERLINK("CSG2.html#group12C2", "12C²"), =HYPERLINK("CSG3.html#group24I3", "24I³"), =HYPERLINK("CSG0.html#group6G0", "6G⁰"), =HYPERLINK("CSG0.html#group2B0", "2B⁰"), =HYPERLINK("CSG2.html#group24C2", "24C²"), =HYPERLINK("CSG11.html#group48E11", "48E¹¹"), =HYPERLINK("CSG0.html#group1A0", "1A⁰"), =HYPERLINK("CSG0.html#group16B0", "16B⁰"), =HYPERLINK("CSG9.html#group24A9", "24A⁹"), =HYPERLINK("CSG0.html#group24A0", "24A⁰"), =HYPERLINK("CSG0.html#group3C0", "3C⁰"), =HYPERLINK("CSG0.html#group6K0", "6K⁰"), =HYPERLINK("CSG0.html#group3A0", "3A⁰"), =HYPERLINK("CSG7.html#group48C7", "48C⁷"), =HYPERLINK("CSG0.html#group6F0", "6F⁰"), =HYPERLINK("CSG0.html#group3B0", "3B⁰"), =HYPERLINK("CSG3.html#group24B3", "24B³"), =HYPERLINK("CSG1.html#group12F1", "12F¹"), =HYPERLINK("CSG0.html#group8B0", "8B⁰"), =HYPERLINK("CSG0.html#group48A0", "48A⁰"), =HYPERLINK("CSG1.html#group12L1", "12L¹"), =HYPERLINK("CSG4.html#group48C4", "48C⁴"), =HYPERLINK("CSG1.html#group12C1", "12C¹"), =HYPERLINK("CSG3.html#group12D3", "12D³"), =HYPERLINK("CSG7.html#group48N7", "48N⁷"), =HYPERLINK("CSG5.html#group24C5", "24C⁵"), =HYPERLINK("CSG0.html#group3D0", "3D⁰"), =HYPERLINK("CSG0.html#group6D0", "6D⁰")</f>
        <v/>
      </c>
      <c r="N6475" t="inlineStr"/>
    </row>
    <row r="6476">
      <c r="A6476" t="inlineStr">
        <is>
          <t>48D²¹</t>
        </is>
      </c>
      <c r="B6476" t="inlineStr"/>
      <c r="C6476" t="inlineStr">
        <is>
          <t>288</t>
        </is>
      </c>
      <c r="D6476" t="inlineStr">
        <is>
          <t>1</t>
        </is>
      </c>
      <c r="E6476" t="inlineStr">
        <is>
          <t>3</t>
        </is>
      </c>
      <c r="F6476" t="inlineStr">
        <is>
          <t>0</t>
        </is>
      </c>
      <c r="G6476" t="inlineStr">
        <is>
          <t>0</t>
        </is>
      </c>
      <c r="H6476" t="inlineStr">
        <is>
          <t>24⁴, 48⁴</t>
        </is>
      </c>
      <c r="I6476" t="n">
        <v>8</v>
      </c>
      <c r="J6476" t="inlineStr">
        <is>
          <t>1³</t>
        </is>
      </c>
      <c r="K6476">
        <f>HYPERLINK("CSG7.html#group48D7", "48D⁷"), =HYPERLINK("CSG7.html#group48M7", "48M⁷"), =HYPERLINK("CSG9.html#group24A9", "24A⁹"), =HYPERLINK("CSG11.html#group48H11", "48H¹¹")</f>
        <v/>
      </c>
      <c r="L6476" t="inlineStr"/>
      <c r="M6476">
        <f>HYPERLINK("CSG0.html#group12C0", "12C⁰"), =HYPERLINK("CSG0.html#group4C0", "4C⁰"), =HYPERLINK("CSG2.html#group12C2", "12C²"), =HYPERLINK("CSG3.html#group24I3", "24I³"), =HYPERLINK("CSG0.html#group6G0", "6G⁰"), =HYPERLINK("CSG0.html#group2B0", "2B⁰"), =HYPERLINK("CSG2.html#group24C2", "24C²"), =HYPERLINK("CSG0.html#group1A0", "1A⁰"), =HYPERLINK("CSG11.html#group48H11", "48H¹¹"), =HYPERLINK("CSG2.html#group16A2", "16A²"), =HYPERLINK("CSG9.html#group24A9", "24A⁹"), =HYPERLINK("CSG7.html#group48M7", "48M⁷"), =HYPERLINK("CSG0.html#group24A0", "24A⁰"), =HYPERLINK("CSG0.html#group3C0", "3C⁰"), =HYPERLINK("CSG0.html#group6K0", "6K⁰"), =HYPERLINK("CSG0.html#group3A0", "3A⁰"), =HYPERLINK("CSG0.html#group6F0", "6F⁰"), =HYPERLINK("CSG0.html#group3B0", "3B⁰"), =HYPERLINK("CSG3.html#group24B3", "24B³"), =HYPERLINK("CSG1.html#group12F1", "12F¹"), =HYPERLINK("CSG0.html#group8B0", "8B⁰"), =HYPERLINK("CSG1.html#group12L1", "12L¹"), =HYPERLINK("CSG7.html#group48D7", "48D⁷"), =HYPERLINK("CSG3.html#group12D3", "12D³"), =HYPERLINK("CSG1.html#group12C1", "12C¹"), =HYPERLINK("CSG5.html#group24C5", "24C⁵"), =HYPERLINK("CSG2.html#group48A2", "48A²"), =HYPERLINK("CSG6.html#group48A6", "48A⁶"), =HYPERLINK("CSG0.html#group3D0", "3D⁰"), =HYPERLINK("CSG0.html#group6D0", "6D⁰")</f>
        <v/>
      </c>
      <c r="N6476" t="inlineStr"/>
    </row>
    <row r="6477">
      <c r="A6477" t="inlineStr">
        <is>
          <t>48E²¹</t>
        </is>
      </c>
      <c r="B6477" t="inlineStr"/>
      <c r="C6477" t="inlineStr">
        <is>
          <t>288</t>
        </is>
      </c>
      <c r="D6477" t="inlineStr">
        <is>
          <t>1</t>
        </is>
      </c>
      <c r="E6477" t="inlineStr">
        <is>
          <t>3</t>
        </is>
      </c>
      <c r="F6477" t="inlineStr">
        <is>
          <t>0</t>
        </is>
      </c>
      <c r="G6477" t="inlineStr">
        <is>
          <t>0</t>
        </is>
      </c>
      <c r="H6477" t="inlineStr">
        <is>
          <t>24⁴, 48⁴</t>
        </is>
      </c>
      <c r="I6477" t="n">
        <v>8</v>
      </c>
      <c r="J6477" t="inlineStr">
        <is>
          <t>1³</t>
        </is>
      </c>
      <c r="K6477">
        <f>HYPERLINK("CSG5.html#group16A5", "16A⁵"), =HYPERLINK("CSG8.html#group48F8", "48F⁸"), =HYPERLINK("CSG9.html#group24C9", "24C⁹"), =HYPERLINK("CSG11.html#group48D11", "48D¹¹"), =HYPERLINK("CSG11.html#group48J11", "48J¹¹")</f>
        <v/>
      </c>
      <c r="L6477" t="inlineStr"/>
      <c r="M6477">
        <f>HYPERLINK("CSG0.html#group2A0", "2A⁰"), =HYPERLINK("CSG3.html#group24A3", "24A³"), =HYPERLINK("CSG8.html#group48F8", "48F⁸"), =HYPERLINK("CSG0.html#group12C0", "12C⁰"), =HYPERLINK("CSG0.html#group4C0", "4C⁰"), =HYPERLINK("CSG5.html#group24A5", "24A⁵"), =HYPERLINK("CSG1.html#group6C1", "6C¹"), =HYPERLINK("CSG2.html#group12B2", "12B²"),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=HYPERLINK("CSG2.html#group16E2", "16E²"), =HYPERLINK("CSG4.html#group12A4", "12A⁴"), =HYPERLINK("CSG2.html#group24B2", "24B²"), =HYPERLINK("CSG1.html#group16D1", "16D¹"), =HYPERLINK("CSG2.html#group16B2", "16B²"), =HYPERLINK("CSG6.html#group48B6", "48B⁶"), =HYPERLINK("CSG0.html#group24A0", "24A⁰"), =HYPERLINK("CSG11.html#group48D11", "48D¹¹"), =HYPERLINK("CSG0.html#group8G0", "8G⁰"), =HYPERLINK("CSG0.html#group4D0", "4D⁰"), =HYPERLINK("CSG2.html#group12A2", "12A²"), =HYPERLINK("CSG1.html#group12B1", "12B¹"), =HYPERLINK("CSG1.html#group6A1", "6A¹"), =HYPERLINK("CSG0.html#group3A0", "3A⁰"), =HYPERLINK("CSG3.html#group16E3", "16E³"), =HYPERLINK("CSG3.html#group16D3", "16D³"), =HYPERLINK("CSG1.html#group8A1", "8A¹"), =HYPERLINK("CSG11.html#group48J11", "48J¹¹"), =HYPERLINK("CSG0.html#group8D0", "8D⁰"), =HYPERLINK("CSG1.html#group12E1", "12E¹"), =HYPERLINK("CSG0.html#group8B0", "8B⁰"), =HYPERLINK("CSG1.html#group8B1", "8B¹"), =HYPERLINK("CSG2.html#group24L2", "24L²"), =HYPERLINK("CSG4.html#group24D4", "24D⁴"), =HYPERLINK("CSG0.html#group8H0", "8H⁰"), =HYPERLINK("CSG0.html#group12A0", "12A⁰"), =HYPERLINK("CSG1.html#group8C1", "8C¹"), =HYPERLINK("CSG0.html#group6A0", "6A⁰"), =HYPERLINK("CSG3.html#group48E3", "48E³"), =HYPERLINK("CSG0.html#group4A0", "4A⁰"), =HYPERLINK("CSG5.html#group16A5", "16A⁵"), =HYPERLINK("CSG1.html#group24C1", "24C¹"), =HYPERLINK("CSG1.html#group12J1", "12J¹"), =HYPERLINK("CSG0.html#group4F0", "4F⁰"), =HYPERLINK("CSG9.html#group24C9", "24C⁹"), =HYPERLINK("CSG0.html#group2C0", "2C⁰"), =HYPERLINK("CSG0.html#group6D0", "6D⁰"), =HYPERLINK("CSG5.html#group24B5", "24B⁵")</f>
        <v/>
      </c>
      <c r="N6477" t="inlineStr"/>
    </row>
    <row r="6478">
      <c r="A6478" t="inlineStr">
        <is>
          <t>48F²¹</t>
        </is>
      </c>
      <c r="B6478" t="inlineStr"/>
      <c r="C6478" t="inlineStr">
        <is>
          <t>288</t>
        </is>
      </c>
      <c r="D6478" t="inlineStr">
        <is>
          <t>1</t>
        </is>
      </c>
      <c r="E6478" t="inlineStr">
        <is>
          <t>3</t>
        </is>
      </c>
      <c r="F6478" t="inlineStr">
        <is>
          <t>0</t>
        </is>
      </c>
      <c r="G6478" t="inlineStr">
        <is>
          <t>0</t>
        </is>
      </c>
      <c r="H6478" t="inlineStr">
        <is>
          <t>24⁴, 48⁴</t>
        </is>
      </c>
      <c r="I6478" t="n">
        <v>8</v>
      </c>
      <c r="J6478" t="inlineStr">
        <is>
          <t>1³</t>
        </is>
      </c>
      <c r="K6478">
        <f>HYPERLINK("CSG5.html#group16B5", "16B⁵"), =HYPERLINK("CSG5.html#group48E5", "48E⁵"), =HYPERLINK("CSG9.html#group24C9", "24C⁹"), =HYPERLINK("CSG11.html#group48A11", "48A¹¹"), =HYPERLINK("CSG11.html#group48B11", "48B¹¹"), =HYPERLINK("CSG11.html#group48C11", "48C¹¹")</f>
        <v/>
      </c>
      <c r="L6478" t="inlineStr"/>
      <c r="M6478">
        <f>HYPERLINK("CSG0.html#group2A0", "2A⁰"), =HYPERLINK("CSG3.html#group24A3", "24A³"), =HYPERLINK("CSG0.html#group12C0", "12C⁰"), =HYPERLINK("CSG0.html#group4C0", "4C⁰"), =HYPERLINK("CSG5.html#group24A5", "24A⁵"), =HYPERLINK("CSG3.html#group16A3", "16A³"), =HYPERLINK("CSG1.html#group6C1", "6C¹"), =HYPERLINK("CSG2.html#group12B2", "12B²"),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=HYPERLINK("CSG2.html#group16A2", "16A²"), =HYPERLINK("CSG0.html#group16B0", "16B⁰"), =HYPERLINK("CSG4.html#group12A4", "12A⁴"), =HYPERLINK("CSG2.html#group24B2", "24B²"), =HYPERLINK("CSG11.html#group48B11", "48B¹¹"), =HYPERLINK("CSG0.html#group24A0", "24A⁰"), =HYPERLINK("CSG0.html#group8G0", "8G⁰"), =HYPERLINK("CSG0.html#group4D0", "4D⁰"), =HYPERLINK("CSG5.html#group24B5", "24B⁵"), =HYPERLINK("CSG6.html#group48A6", "48A⁶"), =HYPERLINK("CSG2.html#group12A2", "12A²"), =HYPERLINK("CSG1.html#group12B1", "12B¹"), =HYPERLINK("CSG1.html#group6A1", "6A¹"), =HYPERLINK("CSG1.html#group16F1", "16F¹"), =HYPERLINK("CSG0.html#group3A0", "3A⁰"), =HYPERLINK("CSG5.html#group48E5", "48E⁵"), =HYPERLINK("CSG1.html#group8A1", "8A¹"), =HYPERLINK("CSG3.html#group16C3", "16C³"), =HYPERLINK("CSG0.html#group8D0", "8D⁰"), =HYPERLINK("CSG1.html#group12E1", "12E¹"), =HYPERLINK("CSG3.html#group16B3", "16B³"), =HYPERLINK("CSG0.html#group8B0", "8B⁰"), =HYPERLINK("CSG1.html#group16B1", "16B¹"), =HYPERLINK("CSG0.html#group48A0", "48A⁰"), =HYPERLINK("CSG1.html#group8B1", "8B¹"), =HYPERLINK("CSG2.html#group24L2", "24L²"), =HYPERLINK("CSG4.html#group24D4", "24D⁴"), =HYPERLINK("CSG0.html#group8H0", "8H⁰"), =HYPERLINK("CSG3.html#group48C3", "48C³"), =HYPERLINK("CSG5.html#group16B5", "16B⁵"), =HYPERLINK("CSG11.html#group48A11", "48A¹¹"), =HYPERLINK("CSG1.html#group8C1", "8C¹"), =HYPERLINK("CSG0.html#group6A0", "6A⁰"), =HYPERLINK("CSG0.html#group12A0", "12A⁰"), =HYPERLINK("CSG0.html#group4A0", "4A⁰"), =HYPERLINK("CSG1.html#group24C1", "24C¹"), =HYPERLINK("CSG1.html#group12J1", "12J¹"), =HYPERLINK("CSG0.html#group4F0", "4F⁰"), =HYPERLINK("CSG9.html#group24C9", "24C⁹"), =HYPERLINK("CSG0.html#group2C0", "2C⁰"), =HYPERLINK("CSG0.html#group6D0", "6D⁰"), =HYPERLINK("CSG11.html#group48C11", "48C¹¹")</f>
        <v/>
      </c>
      <c r="N6478" t="inlineStr"/>
    </row>
    <row r="6479">
      <c r="A6479" t="inlineStr">
        <is>
          <t>48G²¹</t>
        </is>
      </c>
      <c r="B6479" t="inlineStr"/>
      <c r="C6479" t="inlineStr">
        <is>
          <t>288</t>
        </is>
      </c>
      <c r="D6479" t="inlineStr">
        <is>
          <t>1</t>
        </is>
      </c>
      <c r="E6479" t="inlineStr">
        <is>
          <t>6</t>
        </is>
      </c>
      <c r="F6479" t="inlineStr">
        <is>
          <t>0</t>
        </is>
      </c>
      <c r="G6479" t="inlineStr">
        <is>
          <t>0</t>
        </is>
      </c>
      <c r="H6479" t="inlineStr">
        <is>
          <t>24⁴, 48⁴</t>
        </is>
      </c>
      <c r="I6479" t="n">
        <v>8</v>
      </c>
      <c r="J6479" t="inlineStr">
        <is>
          <t>1², 2²</t>
        </is>
      </c>
      <c r="K6479">
        <f>HYPERLINK("CSG7.html#group48E7", "48E⁷"), =HYPERLINK("CSG9.html#group24B9", "24B⁹"), =HYPERLINK("CSG9.html#group48V9", "48V⁹")</f>
        <v/>
      </c>
      <c r="L6479" t="inlineStr"/>
      <c r="M6479">
        <f>HYPERLINK("CSG3.html#group24A3", "24A³"), =HYPERLINK("CSG0.html#group12C0", "12C⁰"), =HYPERLINK("CSG0.html#group4C0", "4C⁰"), =HYPERLINK("CSG2.html#group12C2", "12C²"), =HYPERLINK("CSG0.html#group6G0", "6G⁰"), =HYPERLINK("CSG0.html#group2B0", "2B⁰"), =HYPERLINK("CSG5.html#group24E5", "24E⁵"), =HYPERLINK("CSG0.html#group1A0", "1A⁰"), =HYPERLINK("CSG3.html#group24H3", "24H³"), =HYPERLINK("CSG0.html#group3C0", "3C⁰"), =HYPERLINK("CSG0.html#group6K0", "6K⁰"), =HYPERLINK("CSG0.html#group3A0", "3A⁰"), =HYPERLINK("CSG0.html#group6F0", "6F⁰"), =HYPERLINK("CSG9.html#group48V9", "48V⁹"), =HYPERLINK("CSG0.html#group3B0", "3B⁰"), =HYPERLINK("CSG1.html#group8A1", "8A¹"), =HYPERLINK("CSG1.html#group12F1", "12F¹"), =HYPERLINK("CSG1.html#group24D1", "24D¹"), =HYPERLINK("CSG9.html#group24B9", "24B⁹"), =HYPERLINK("CSG1.html#group12L1", "12L¹"), =HYPERLINK("CSG3.html#group24C3", "24C³"), =HYPERLINK("CSG7.html#group48E7", "48E⁷"), =HYPERLINK("CSG1.html#group12C1", "12C¹"), =HYPERLINK("CSG3.html#group12D3", "12D³"), =HYPERLINK("CSG0.html#group3D0", "3D⁰"), =HYPERLINK("CSG0.html#group6D0", "6D⁰")</f>
        <v/>
      </c>
      <c r="N6479" t="inlineStr"/>
    </row>
    <row r="6480">
      <c r="A6480" t="inlineStr">
        <is>
          <t>48H²¹</t>
        </is>
      </c>
      <c r="B6480" t="inlineStr"/>
      <c r="C6480" t="inlineStr">
        <is>
          <t>288</t>
        </is>
      </c>
      <c r="D6480" t="inlineStr">
        <is>
          <t>1</t>
        </is>
      </c>
      <c r="E6480" t="inlineStr">
        <is>
          <t>6</t>
        </is>
      </c>
      <c r="F6480" t="inlineStr">
        <is>
          <t>0</t>
        </is>
      </c>
      <c r="G6480" t="inlineStr">
        <is>
          <t>0</t>
        </is>
      </c>
      <c r="H6480" t="inlineStr">
        <is>
          <t>24⁴, 48⁴</t>
        </is>
      </c>
      <c r="I6480" t="n">
        <v>8</v>
      </c>
      <c r="J6480" t="inlineStr">
        <is>
          <t>1², 2²</t>
        </is>
      </c>
      <c r="K6480">
        <f>HYPERLINK("CSG7.html#group48F7", "48F⁷"), =HYPERLINK("CSG9.html#group24A9", "24A⁹"), =HYPERLINK("CSG9.html#group48J9", "48J⁹"), =HYPERLINK("CSG9.html#group48M9", "48M⁹")</f>
        <v/>
      </c>
      <c r="L6480" t="inlineStr"/>
      <c r="M6480">
        <f>HYPERLINK("CSG0.html#group3B0", "3B⁰"), =HYPERLINK("CSG0.html#group12C0", "12C⁰"), =HYPERLINK("CSG3.html#group24B3", "24B³"), =HYPERLINK("CSG1.html#group12F1", "12F¹"), =HYPERLINK("CSG9.html#group48M9", "48M⁹"), =HYPERLINK("CSG9.html#group48J9", "48J⁹"), =HYPERLINK("CSG0.html#group4C0", "4C⁰"), =HYPERLINK("CSG3.html#group24I3", "24I³"), =HYPERLINK("CSG0.html#group8B0", "8B⁰"), =HYPERLINK("CSG0.html#group6G0", "6G⁰"), =HYPERLINK("CSG1.html#group16B1", "16B¹"), =HYPERLINK("CSG0.html#group2B0", "2B⁰"), =HYPERLINK("CSG2.html#group24C2", "24C²"), =HYPERLINK("CSG0.html#group1A0", "1A⁰"), =HYPERLINK("CSG1.html#group12L1", "12L¹"), =HYPERLINK("CSG0.html#group3D0", "3D⁰"), =HYPERLINK("CSG3.html#group48C3", "48C³"), =HYPERLINK("CSG9.html#group24A9", "24A⁹"), =HYPERLINK("CSG3.html#group12D3", "12D³"), =HYPERLINK("CSG1.html#group12C1", "12C¹"), =HYPERLINK("CSG0.html#group24A0", "24A⁰"), =HYPERLINK("CSG5.html#group24C5", "24C⁵"), =HYPERLINK("CSG0.html#group6F0", "6F⁰"), =HYPERLINK("CSG0.html#group3C0", "3C⁰"), =HYPERLINK("CSG0.html#group6K0", "6K⁰"), =HYPERLINK("CSG7.html#group48F7", "48F⁷"), =HYPERLINK("CSG3.html#group48F3", "48F³"), =HYPERLINK("CSG0.html#group3A0", "3A⁰"), =HYPERLINK("CSG2.html#group12C2", "12C²"), =HYPERLINK("CSG0.html#group6D0", "6D⁰")</f>
        <v/>
      </c>
      <c r="N6480" t="inlineStr"/>
    </row>
    <row r="6481">
      <c r="A6481" t="inlineStr">
        <is>
          <t>48I²¹</t>
        </is>
      </c>
      <c r="B6481" t="inlineStr"/>
      <c r="C6481" t="inlineStr">
        <is>
          <t>288</t>
        </is>
      </c>
      <c r="D6481" t="inlineStr">
        <is>
          <t>1</t>
        </is>
      </c>
      <c r="E6481" t="inlineStr">
        <is>
          <t>6</t>
        </is>
      </c>
      <c r="F6481" t="inlineStr">
        <is>
          <t>0</t>
        </is>
      </c>
      <c r="G6481" t="inlineStr">
        <is>
          <t>0</t>
        </is>
      </c>
      <c r="H6481" t="inlineStr">
        <is>
          <t>24⁴, 48⁴</t>
        </is>
      </c>
      <c r="I6481" t="n">
        <v>8</v>
      </c>
      <c r="J6481" t="inlineStr">
        <is>
          <t>1⁴, 2¹</t>
        </is>
      </c>
      <c r="K6481">
        <f>HYPERLINK("CSG5.html#group16C5", "16C⁵"), =HYPERLINK("CSG8.html#group48X8", "48X⁸"), =HYPERLINK("CSG9.html#group24D9", "24D⁹"), =HYPERLINK("CSG11.html#group48A11", "48A¹¹"), =HYPERLINK("CSG11.html#group48D11", "48D¹¹")</f>
        <v/>
      </c>
      <c r="L6481" t="inlineStr"/>
      <c r="M6481">
        <f>HYPERLINK("CSG0.html#group2A0", "2A⁰"), =HYPERLINK("CSG3.html#group24A3", "24A³"), =HYPERLINK("CSG0.html#group12C0", "12C⁰"), =HYPERLINK("CSG5.html#group16C5", "16C⁵"), =HYPERLINK("CSG8.html#group48X8", "48X⁸"), =HYPERLINK("CSG0.html#group4C0", "4C⁰"), =HYPERLINK("CSG5.html#group24A5", "24A⁵"), =HYPERLINK("CSG1.html#group6C1", "6C¹"), =HYPERLINK("CSG2.html#group12B2", "12B²"), =HYPERLINK("CSG3.html#group16A3", "16A³"), =HYPERLINK("CSG0.html#group8L0", "8L⁰"), =HYPERLINK("CSG0.html#group2B0", "2B⁰"), =HYPERLINK("CSG0.html#group4E0", "4E⁰"), =HYPERLINK("CSG0.html#group4B0", "4B⁰"), =HYPERLINK("CSG0.html#group1A0", "1A⁰"), =HYPERLINK("CSG1.html#group16D1", "16D¹"), =HYPERLINK("CSG2.html#group16B2", "16B²"), =HYPERLINK("CSG6.html#group48B6", "48B⁶"), =HYPERLINK("CSG0.html#group24A0", "24A⁰"), =HYPERLINK("CSG11.html#group48D11", "48D¹¹"), =HYPERLINK("CSG1.html#group8G1", "8G¹"), =HYPERLINK("CSG1.html#group12B1", "12B¹"), =HYPERLINK("CSG1.html#group6A1", "6A¹"), =HYPERLINK("CSG0.html#group3A0", "3A⁰"), =HYPERLINK("CSG3.html#group16D3", "16D³"), =HYPERLINK("CSG1.html#group8A1", "8A¹"), =HYPERLINK("CSG0.html#group8B0", "8B⁰"), =HYPERLINK("CSG1.html#group16B1", "16B¹"), =HYPERLINK("CSG1.html#group8B1", "8B¹"), =HYPERLINK("CSG9.html#group24D9", "24D⁹"), =HYPERLINK("CSG3.html#group48C3", "48C³"), =HYPERLINK("CSG11.html#group48A11", "48A¹¹"), =HYPERLINK("CSG0.html#group6A0", "6A⁰"), =HYPERLINK("CSG3.html#group48E3", "48E³"), =HYPERLINK("CSG2.html#group16F2", "16F²"), =HYPERLINK("CSG2.html#group24M2", "24M²"), =HYPERLINK("CSG0.html#group8J0", "8J⁰"), =HYPERLINK("CSG0.html#group2C0", "2C⁰"), =HYPERLINK("CSG0.html#group6D0", "6D⁰"), =HYPERLINK("CSG4.html#group24G4", "24G⁴")</f>
        <v/>
      </c>
      <c r="N6481" t="inlineStr"/>
    </row>
    <row r="6482">
      <c r="A6482" t="inlineStr">
        <is>
          <t>48J²¹</t>
        </is>
      </c>
      <c r="B6482" t="inlineStr"/>
      <c r="C6482" t="inlineStr">
        <is>
          <t>288</t>
        </is>
      </c>
      <c r="D6482" t="inlineStr">
        <is>
          <t>1</t>
        </is>
      </c>
      <c r="E6482" t="inlineStr">
        <is>
          <t>6</t>
        </is>
      </c>
      <c r="F6482" t="inlineStr">
        <is>
          <t>0</t>
        </is>
      </c>
      <c r="G6482" t="inlineStr">
        <is>
          <t>0</t>
        </is>
      </c>
      <c r="H6482" t="inlineStr">
        <is>
          <t>24⁴, 48⁴</t>
        </is>
      </c>
      <c r="I6482" t="n">
        <v>8</v>
      </c>
      <c r="J6482" t="inlineStr">
        <is>
          <t>1⁴, 2¹</t>
        </is>
      </c>
      <c r="K6482">
        <f>HYPERLINK("CSG5.html#group16D5", "16D⁵"), =HYPERLINK("CSG5.html#group48F5", "48F⁵"), =HYPERLINK("CSG9.html#group24D9", "24D⁹"), =HYPERLINK("CSG11.html#group48B11", "48B¹¹"), =HYPERLINK("CSG11.html#group48D11", "48D¹¹"), =HYPERLINK("CSG11.html#group48K11", "48K¹¹")</f>
        <v/>
      </c>
      <c r="L6482" t="inlineStr"/>
      <c r="M6482">
        <f>HYPERLINK("CSG0.html#group2A0", "2A⁰"), =HYPERLINK("CSG3.html#group24A3", "24A³"), =HYPERLINK("CSG5.html#group16D5", "16D⁵"), =HYPERLINK("CSG0.html#group12C0", "12C⁰"), =HYPERLINK("CSG0.html#group4C0", "4C⁰"), =HYPERLINK("CSG5.html#group24A5", "24A⁵"), =HYPERLINK("CSG1.html#group6C1", "6C¹"), =HYPERLINK("CSG2.html#group12B2", "12B²"), =HYPERLINK("CSG0.html#group8L0", "8L⁰"), =HYPERLINK("CSG0.html#group2B0", "2B⁰"), =HYPERLINK("CSG0.html#group4E0", "4E⁰"), =HYPERLINK("CSG0.html#group4B0", "4B⁰"), =HYPERLINK("CSG0.html#group1A0", "1A⁰"), =HYPERLINK("CSG2.html#group16A2", "16A²"), =HYPERLINK("CSG0.html#group16B0", "16B⁰"), =HYPERLINK("CSG11.html#group48B11", "48B¹¹"), =HYPERLINK("CSG1.html#group16D1", "16D¹"), =HYPERLINK("CSG2.html#group16B2", "16B²"), =HYPERLINK("CSG6.html#group48B6", "48B⁶"), =HYPERLINK("CSG0.html#group24A0", "24A⁰"), =HYPERLINK("CSG11.html#group48D11", "48D¹¹"), =HYPERLINK("CSG1.html#group8G1", "8G¹"), =HYPERLINK("CSG1.html#group12B1", "12B¹"), =HYPERLINK("CSG1.html#group6A1", "6A¹"), =HYPERLINK("CSG0.html#group3A0", "3A⁰"), =HYPERLINK("CSG5.html#group48F5", "48F⁵"), =HYPERLINK("CSG3.html#group16D3", "16D³"), =HYPERLINK("CSG1.html#group8A1", "8A¹"), =HYPERLINK("CSG11.html#group48K11", "48K¹¹"), =HYPERLINK("CSG0.html#group8B0", "8B⁰"), =HYPERLINK("CSG3.html#group16B3", "16B³"), =HYPERLINK("CSG0.html#group48A0", "48A⁰"), =HYPERLINK("CSG1.html#group8B1", "8B¹"), =HYPERLINK("CSG1.html#group16J1", "16J¹"), =HYPERLINK("CSG9.html#group24D9", "24D⁹"), =HYPERLINK("CSG0.html#group6A0", "6A⁰"), =HYPERLINK("CSG3.html#group48E3", "48E³"), =HYPERLINK("CSG2.html#group24M2", "24M²"), =HYPERLINK("CSG3.html#group16F3", "16F³"), =HYPERLINK("CSG6.html#group48A6", "48A⁶"), =HYPERLINK("CSG0.html#group8J0", "8J⁰"), =HYPERLINK("CSG0.html#group2C0", "2C⁰"), =HYPERLINK("CSG0.html#group6D0", "6D⁰"), =HYPERLINK("CSG4.html#group24G4", "24G⁴")</f>
        <v/>
      </c>
      <c r="N6482" t="inlineStr"/>
    </row>
    <row r="6483">
      <c r="A6483" t="inlineStr">
        <is>
          <t>48K²¹</t>
        </is>
      </c>
      <c r="B6483" t="inlineStr"/>
      <c r="C6483" t="inlineStr">
        <is>
          <t>288</t>
        </is>
      </c>
      <c r="D6483" t="inlineStr">
        <is>
          <t>1</t>
        </is>
      </c>
      <c r="E6483" t="inlineStr">
        <is>
          <t>9</t>
        </is>
      </c>
      <c r="F6483" t="inlineStr">
        <is>
          <t>0</t>
        </is>
      </c>
      <c r="G6483" t="inlineStr">
        <is>
          <t>0</t>
        </is>
      </c>
      <c r="H6483" t="inlineStr">
        <is>
          <t>24⁴, 48⁴</t>
        </is>
      </c>
      <c r="I6483" t="n">
        <v>8</v>
      </c>
      <c r="J6483" t="inlineStr">
        <is>
          <t>1³, 2³</t>
        </is>
      </c>
      <c r="K6483">
        <f>HYPERLINK("CSG7.html#group48S7", "48S⁷"), =HYPERLINK("CSG9.html#group24J9", "24J⁹"), =HYPERLINK("CSG9.html#group48J9", "48J⁹"), =HYPERLINK("CSG11.html#group48F11", "48F¹¹")</f>
        <v/>
      </c>
      <c r="L6483" t="inlineStr"/>
      <c r="M6483">
        <f>HYPERLINK("CSG0.html#group2A0", "2A⁰"), =HYPERLINK("CSG3.html#group24A3", "24A³"), =HYPERLINK("CSG0.html#group12C0", "12C⁰"), =HYPERLINK("CSG1.html#group12K1", "12K¹"), =HYPERLINK("CSG2.html#group12D2", "12D²"), =HYPERLINK("CSG1.html#group6C1", "6C¹"), =HYPERLINK("CSG5.html#group24A5", "24A⁵"), =HYPERLINK("CSG0.html#group4C0", "4C⁰"), =HYPERLINK("CSG2.html#group12B2", "12B²"), =HYPERLINK("CSG3.html#group24I3", "24I³"), =HYPERLINK("CSG0.html#group6G0", "6G⁰"), =HYPERLINK("CSG0.html#group2B0", "2B⁰"), =HYPERLINK("CSG0.html#group4E0", "4E⁰"), =HYPERLINK("CSG2.html#group12E2", "12E²"), =HYPERLINK("CSG2.html#group24C2", "24C²"), =HYPERLINK("CSG0.html#group4B0", "4B⁰"), =HYPERLINK("CSG5.html#group24E5", "24E⁵"), =HYPERLINK("CSG0.html#group1A0", "1A⁰"), =HYPERLINK("CSG3.html#group12G3", "12G³"), =HYPERLINK("CSG7.html#group48S7", "48S⁷"), =HYPERLINK("CSG5.html#group24F5", "24F⁵"), =HYPERLINK("CSG0.html#group24A0", "24A⁰"), =HYPERLINK("CSG1.html#group6B1", "6B¹"), =HYPERLINK("CSG0.html#group3C0", "3C⁰"), =HYPERLINK("CSG9.html#group24J9", "24J⁹"), =HYPERLINK("CSG1.html#group12B1", "12B¹"), =HYPERLINK("CSG1.html#group6A1", "6A¹"), =HYPERLINK("CSG0.html#group6H0", "6H⁰"), =HYPERLINK("CSG0.html#group3A0", "3A⁰"), =HYPERLINK("CSG1.html#group24H1", "24H¹"), =HYPERLINK("CSG1.html#group6E1", "6E¹"), =HYPERLINK("CSG11.html#group48F11", "48F¹¹"), =HYPERLINK("CSG0.html#group6B0", "6B⁰"), =HYPERLINK("CSG1.html#group8A1", "8A¹"), =HYPERLINK("CSG9.html#group48J9", "48J⁹"), =HYPERLINK("CSG1.html#group24D1", "24D¹"), =HYPERLINK("CSG0.html#group8B0", "8B⁰"), =HYPERLINK("CSG1.html#group8B1", "8B¹"), =HYPERLINK("CSG1.html#group12L1", "12L¹"), =HYPERLINK("CSG5.html#group24D5", "24D⁵"), =HYPERLINK("CSG0.html#group6A0", "6A⁰"), =HYPERLINK("CSG1.html#group12C1", "12C¹"), =HYPERLINK("CSG0.html#group12D0", "12D⁰"), =HYPERLINK("CSG3.html#group48F3", "48F³"), =HYPERLINK("CSG0.html#group12H0", "12H⁰"), =HYPERLINK("CSG0.html#group2C0", "2C⁰"), =HYPERLINK("CSG0.html#group6D0", "6D⁰")</f>
        <v/>
      </c>
      <c r="N6483" t="inlineStr"/>
    </row>
    <row r="6484">
      <c r="A6484" t="inlineStr">
        <is>
          <t>48L²¹</t>
        </is>
      </c>
      <c r="B6484" t="inlineStr"/>
      <c r="C6484" t="inlineStr">
        <is>
          <t>288</t>
        </is>
      </c>
      <c r="D6484" t="inlineStr">
        <is>
          <t>1</t>
        </is>
      </c>
      <c r="E6484" t="inlineStr">
        <is>
          <t>9</t>
        </is>
      </c>
      <c r="F6484" t="inlineStr">
        <is>
          <t>0</t>
        </is>
      </c>
      <c r="G6484" t="inlineStr">
        <is>
          <t>0</t>
        </is>
      </c>
      <c r="H6484" t="inlineStr">
        <is>
          <t>24⁴, 48⁴</t>
        </is>
      </c>
      <c r="I6484" t="n">
        <v>8</v>
      </c>
      <c r="J6484" t="inlineStr">
        <is>
          <t>1³, 2³</t>
        </is>
      </c>
      <c r="K6484">
        <f>HYPERLINK("CSG8.html#group48R8", "48R⁸"), =HYPERLINK("CSG9.html#group24C9", "24C⁹"), =HYPERLINK("CSG11.html#group48M11", "48M¹¹"), =HYPERLINK("CSG11.html#group48O11", "48O¹¹")</f>
        <v/>
      </c>
      <c r="L6484" t="inlineStr"/>
      <c r="M6484">
        <f>HYPERLINK("CSG0.html#group2A0", "2A⁰"), =HYPERLINK("CSG3.html#group24A3", "24A³"), =HYPERLINK("CSG11.html#group48M11", "48M¹¹"), =HYPERLINK("CSG0.html#group12C0", "12C⁰"), =HYPERLINK("CSG8.html#group48R8", "48R⁸"), =HYPERLINK("CSG11.html#group48O11", "48O¹¹"), =HYPERLINK("CSG0.html#group4C0", "4C⁰"), =HYPERLINK("CSG1.html#group6C1", "6C¹"), =HYPERLINK("CSG5.html#group24A5", "24A⁵"), =HYPERLINK("CSG2.html#group12B2", "12B²"),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=HYPERLINK("CSG3.html#group48H3", "48H³"), =HYPERLINK("CSG4.html#group12A4", "12A⁴"), =HYPERLINK("CSG2.html#group24B2", "24B²"), =HYPERLINK("CSG0.html#group24A0", "24A⁰"), =HYPERLINK("CSG6.html#group48C6", "48C⁶"), =HYPERLINK("CSG0.html#group8G0", "8G⁰"), =HYPERLINK("CSG0.html#group4D0", "4D⁰"), =HYPERLINK("CSG2.html#group12A2", "12A²"), =HYPERLINK("CSG1.html#group12B1", "12B¹"), =HYPERLINK("CSG1.html#group6A1", "6A¹"), =HYPERLINK("CSG0.html#group3A0", "3A⁰"), =HYPERLINK("CSG1.html#group8A1", "8A¹"), =HYPERLINK("CSG0.html#group8D0", "8D⁰"), =HYPERLINK("CSG1.html#group12E1", "12E¹"), =HYPERLINK("CSG0.html#group8B0", "8B⁰"), =HYPERLINK("CSG1.html#group8B1", "8B¹"), =HYPERLINK("CSG2.html#group24L2", "24L²"), =HYPERLINK("CSG4.html#group24D4", "24D⁴"), =HYPERLINK("CSG0.html#group8H0", "8H⁰"), =HYPERLINK("CSG0.html#group12A0", "12A⁰"), =HYPERLINK("CSG1.html#group8C1", "8C¹"), =HYPERLINK("CSG0.html#group6A0", "6A⁰"), =HYPERLINK("CSG0.html#group4A0", "4A⁰"), =HYPERLINK("CSG1.html#group24C1", "24C¹"), =HYPERLINK("CSG1.html#group12J1", "12J¹"), =HYPERLINK("CSG0.html#group4F0", "4F⁰"), =HYPERLINK("CSG9.html#group24C9", "24C⁹"), =HYPERLINK("CSG0.html#group2C0", "2C⁰"), =HYPERLINK("CSG0.html#group6D0", "6D⁰"), =HYPERLINK("CSG5.html#group24B5", "24B⁵")</f>
        <v/>
      </c>
      <c r="N6484" t="inlineStr"/>
    </row>
    <row r="6485">
      <c r="A6485" t="inlineStr">
        <is>
          <t>48M²¹</t>
        </is>
      </c>
      <c r="B6485" t="inlineStr"/>
      <c r="C6485" t="inlineStr">
        <is>
          <t>288</t>
        </is>
      </c>
      <c r="D6485" t="inlineStr">
        <is>
          <t>1</t>
        </is>
      </c>
      <c r="E6485" t="inlineStr">
        <is>
          <t>9</t>
        </is>
      </c>
      <c r="F6485" t="inlineStr">
        <is>
          <t>0</t>
        </is>
      </c>
      <c r="G6485" t="inlineStr">
        <is>
          <t>0</t>
        </is>
      </c>
      <c r="H6485" t="inlineStr">
        <is>
          <t>24⁴, 48⁴</t>
        </is>
      </c>
      <c r="I6485" t="n">
        <v>8</v>
      </c>
      <c r="J6485" t="inlineStr">
        <is>
          <t>1³, 2³</t>
        </is>
      </c>
      <c r="K6485">
        <f>HYPERLINK("CSG5.html#group24S5", "24S⁵"), =HYPERLINK("CSG7.html#group48AH7", "48AH⁷"), =HYPERLINK("CSG11.html#group48E11", "48E¹¹"), =HYPERLINK("CSG11.html#group48G11", "48G¹¹"), =HYPERLINK("CSG11.html#group48H11", "48H¹¹")</f>
        <v/>
      </c>
      <c r="L6485" t="inlineStr"/>
      <c r="M6485">
        <f>HYPERLINK("CSG11.html#group48G11", "48G¹¹"), =HYPERLINK("CSG1.html#group12T1", "12T¹"), =HYPERLINK("CSG0.html#group12C0", "12C⁰"), =HYPERLINK("CSG0.html#group4C0", "4C⁰"), =HYPERLINK("CSG3.html#group24I3", "24I³"), =HYPERLINK("CSG0.html#group6G0", "6G⁰"), =HYPERLINK("CSG0.html#group2B0", "2B⁰"), =HYPERLINK("CSG2.html#group24C2", "24C²"), =HYPERLINK("CSG1.html#group12N1", "12N¹"), =HYPERLINK("CSG11.html#group48E11", "48E¹¹"), =HYPERLINK("CSG0.html#group1A0", "1A⁰"), =HYPERLINK("CSG11.html#group48H11", "48H¹¹"), =HYPERLINK("CSG2.html#group16A2", "16A²"), =HYPERLINK("CSG3.html#group24H3", "24H³"), =HYPERLINK("CSG0.html#group24A0", "24A⁰"), =HYPERLINK("CSG3.html#group24S3", "24S³"), =HYPERLINK("CSG5.html#group24S5", "24S⁵"), =HYPERLINK("CSG0.html#group3C0", "3C⁰"), =HYPERLINK("CSG0.html#group6H0", "6H⁰"), =HYPERLINK("CSG0.html#group3A0", "3A⁰"), =HYPERLINK("CSG1.html#group24H1", "24H¹"), =HYPERLINK("CSG7.html#group48AH7", "48AH⁷"), =HYPERLINK("CSG0.html#group6B0", "6B⁰"), =HYPERLINK("CSG1.html#group24D1", "24D¹"), =HYPERLINK("CSG0.html#group8B0", "8B⁰"), =HYPERLINK("CSG1.html#group12L1", "12L¹"), =HYPERLINK("CSG4.html#group48C4", "48C⁴"), =HYPERLINK("CSG0.html#group12G0", "12G⁰"), =HYPERLINK("CSG1.html#group12C1", "12C¹"), =HYPERLINK("CSG0.html#group6E0", "6E⁰"), =HYPERLINK("CSG0.html#group6L0", "6L⁰"), =HYPERLINK("CSG2.html#group48A2", "48A²"), =HYPERLINK("CSG0.html#group12D0", "12D⁰"), =HYPERLINK("CSG6.html#group48A6", "48A⁶"), =HYPERLINK("CSG0.html#group12H0", "12H⁰"), =HYPERLINK("CSG0.html#group6D0", "6D⁰")</f>
        <v/>
      </c>
      <c r="N6485" t="inlineStr"/>
    </row>
    <row r="6486">
      <c r="A6486" t="inlineStr">
        <is>
          <t>48N²¹</t>
        </is>
      </c>
      <c r="B6486" t="inlineStr"/>
      <c r="C6486" t="inlineStr">
        <is>
          <t>288</t>
        </is>
      </c>
      <c r="D6486" t="inlineStr">
        <is>
          <t>1</t>
        </is>
      </c>
      <c r="E6486" t="inlineStr">
        <is>
          <t>9</t>
        </is>
      </c>
      <c r="F6486" t="inlineStr">
        <is>
          <t>0</t>
        </is>
      </c>
      <c r="G6486" t="inlineStr">
        <is>
          <t>0</t>
        </is>
      </c>
      <c r="H6486" t="inlineStr">
        <is>
          <t>24⁴, 48⁴</t>
        </is>
      </c>
      <c r="I6486" t="n">
        <v>8</v>
      </c>
      <c r="J6486" t="inlineStr">
        <is>
          <t>1³, 2³</t>
        </is>
      </c>
      <c r="K6486">
        <f>HYPERLINK("CSG5.html#group48G5", "48G⁵"), =HYPERLINK("CSG9.html#group24F9", "24F⁹"), =HYPERLINK("CSG11.html#group48B11", "48B¹¹"), =HYPERLINK("CSG11.html#group48F11", "48F¹¹"), =HYPERLINK("CSG11.html#group48L11", "48L¹¹")</f>
        <v/>
      </c>
      <c r="L6486" t="inlineStr"/>
      <c r="M6486">
        <f>HYPERLINK("CSG9.html#group24F9", "24F⁹"), =HYPERLINK("CSG0.html#group2A0", "2A⁰"), =HYPERLINK("CSG1.html#group24E1", "24E¹"), =HYPERLINK("CSG3.html#group24A3", "24A³"), =HYPERLINK("CSG0.html#group12C0", "12C⁰"), =HYPERLINK("CSG0.html#group4C0", "4C⁰"), =HYPERLINK("CSG5.html#group24A5", "24A⁵"), =HYPERLINK("CSG1.html#group6C1", "6C¹"), =HYPERLINK("CSG2.html#group12B2", "12B²"), =HYPERLINK("CSG2.html#group24P2", "24P²"), =HYPERLINK("CSG2.html#group12E2", "12E²"), =HYPERLINK("CSG1.html#group12M1", "12M¹"), =HYPERLINK("CSG0.html#group2B0", "2B⁰"), =HYPERLINK("CSG0.html#group4E0", "4E⁰"), =HYPERLINK("CSG0.html#group4B0", "4B⁰"), =HYPERLINK("CSG0.html#group1A0", "1A⁰"), =HYPERLINK("CSG2.html#group16A2", "16A²"), =HYPERLINK("CSG0.html#group16B0", "16B⁰"), =HYPERLINK("CSG11.html#group48B11", "48B¹¹"), =HYPERLINK("CSG0.html#group24A0", "24A⁰"), =HYPERLINK("CSG6.html#group48A6", "48A⁶"), =HYPERLINK("CSG2.html#group24D2", "24D²"), =HYPERLINK("CSG1.html#group12B1", "12B¹"), =HYPERLINK("CSG1.html#group6A1", "6A¹"), =HYPERLINK("CSG0.html#group3A0", "3A⁰"), =HYPERLINK("CSG5.html#group24G5", "24G⁵"), =HYPERLINK("CSG11.html#group48F11", "48F¹¹"), =HYPERLINK("CSG1.html#group8A1", "8A¹"), =HYPERLINK("CSG0.html#group8B0", "8B⁰"), =HYPERLINK("CSG3.html#group16B3", "16B³"), =HYPERLINK("CSG0.html#group48A0", "48A⁰"), =HYPERLINK("CSG1.html#group8B1", "8B¹"), =HYPERLINK("CSG5.html#group48G5", "48G⁵"), =HYPERLINK("CSG0.html#group6A0", "6A⁰"), =HYPERLINK("CSG1.html#group12C1", "12C¹"), =HYPERLINK("CSG11.html#group48L11", "48L¹¹"), =HYPERLINK("CSG4.html#group24E4", "24E⁴"), =HYPERLINK("CSG3.html#group48F3", "48F³"), =HYPERLINK("CSG0.html#group12D0", "12D⁰"), =HYPERLINK("CSG4.html#group12C4", "12C⁴"), =HYPERLINK("CSG0.html#group2C0", "2C⁰"), =HYPERLINK("CSG0.html#group6D0", "6D⁰")</f>
        <v/>
      </c>
      <c r="N6486" t="inlineStr"/>
    </row>
    <row r="6487">
      <c r="A6487" t="inlineStr">
        <is>
          <t>48O²¹</t>
        </is>
      </c>
      <c r="B6487" t="inlineStr"/>
      <c r="C6487" t="inlineStr">
        <is>
          <t>288</t>
        </is>
      </c>
      <c r="D6487" t="inlineStr">
        <is>
          <t>1</t>
        </is>
      </c>
      <c r="E6487" t="inlineStr">
        <is>
          <t>9</t>
        </is>
      </c>
      <c r="F6487" t="inlineStr">
        <is>
          <t>0</t>
        </is>
      </c>
      <c r="G6487" t="inlineStr">
        <is>
          <t>0</t>
        </is>
      </c>
      <c r="H6487" t="inlineStr">
        <is>
          <t>24⁴, 48⁴</t>
        </is>
      </c>
      <c r="I6487" t="n">
        <v>8</v>
      </c>
      <c r="J6487" t="inlineStr">
        <is>
          <t>1³, 2³</t>
        </is>
      </c>
      <c r="K6487">
        <f>HYPERLINK("CSG7.html#group48M7", "48M⁷"), =HYPERLINK("CSG7.html#group48AH7", "48AH⁷"), =HYPERLINK("CSG9.html#group24J9", "24J⁹"), =HYPERLINK("CSG11.html#group48E11", "48E¹¹"), =HYPERLINK("CSG11.html#group48I11", "48I¹¹")</f>
        <v/>
      </c>
      <c r="L6487" t="inlineStr"/>
      <c r="M6487">
        <f>HYPERLINK("CSG0.html#group2A0", "2A⁰"), =HYPERLINK("CSG3.html#group24A3", "24A³"), =HYPERLINK("CSG0.html#group12C0", "12C⁰"), =HYPERLINK("CSG1.html#group12K1", "12K¹"), =HYPERLINK("CSG2.html#group12D2", "12D²"), =HYPERLINK("CSG0.html#group4C0", "4C⁰"), =HYPERLINK("CSG1.html#group6C1", "6C¹"), =HYPERLINK("CSG5.html#group24A5", "24A⁵"), =HYPERLINK("CSG2.html#group12B2", "12B²"), =HYPERLINK("CSG3.html#group24I3", "24I³"), =HYPERLINK("CSG0.html#group6G0", "6G⁰"), =HYPERLINK("CSG0.html#group2B0", "2B⁰"), =HYPERLINK("CSG0.html#group4E0", "4E⁰"), =HYPERLINK("CSG2.html#group24C2", "24C²"), =HYPERLINK("CSG2.html#group12E2", "12E²"), =HYPERLINK("CSG11.html#group48E11", "48E¹¹"), =HYPERLINK("CSG0.html#group4B0", "4B⁰"), =HYPERLINK("CSG0.html#group1A0", "1A⁰"), =HYPERLINK("CSG5.html#group24E5", "24E⁵"), =HYPERLINK("CSG3.html#group12G3", "12G³"), =HYPERLINK("CSG5.html#group24F5", "24F⁵"), =HYPERLINK("CSG7.html#group48M7", "48M⁷"), =HYPERLINK("CSG0.html#group24A0", "24A⁰"), =HYPERLINK("CSG1.html#group6B1", "6B¹"), =HYPERLINK("CSG0.html#group3C0", "3C⁰"), =HYPERLINK("CSG9.html#group24J9", "24J⁹"), =HYPERLINK("CSG1.html#group12B1", "12B¹"), =HYPERLINK("CSG1.html#group6A1", "6A¹"), =HYPERLINK("CSG0.html#group6H0", "6H⁰"), =HYPERLINK("CSG0.html#group3A0", "3A⁰"), =HYPERLINK("CSG1.html#group24H1", "24H¹"), =HYPERLINK("CSG7.html#group48AH7", "48AH⁷"), =HYPERLINK("CSG1.html#group6E1", "6E¹"), =HYPERLINK("CSG11.html#group48I11", "48I¹¹"), =HYPERLINK("CSG0.html#group6B0", "6B⁰"), =HYPERLINK("CSG1.html#group8A1", "8A¹"), =HYPERLINK("CSG1.html#group24D1", "24D¹"), =HYPERLINK("CSG0.html#group8B0", "8B⁰"), =HYPERLINK("CSG1.html#group8B1", "8B¹"), =HYPERLINK("CSG1.html#group12L1", "12L¹"), =HYPERLINK("CSG4.html#group48C4", "48C⁴"), =HYPERLINK("CSG5.html#group24D5", "24D⁵"), =HYPERLINK("CSG0.html#group6A0", "6A⁰"), =HYPERLINK("CSG1.html#group12C1", "12C¹"), =HYPERLINK("CSG2.html#group48A2", "48A²"), =HYPERLINK("CSG0.html#group12D0", "12D⁰"), =HYPERLINK("CSG0.html#group12H0", "12H⁰"), =HYPERLINK("CSG0.html#group2C0", "2C⁰"), =HYPERLINK("CSG0.html#group6D0", "6D⁰")</f>
        <v/>
      </c>
      <c r="N6487" t="inlineStr"/>
    </row>
    <row r="6488">
      <c r="A6488" t="inlineStr">
        <is>
          <t>48P²¹</t>
        </is>
      </c>
      <c r="B6488" t="inlineStr"/>
      <c r="C6488" t="inlineStr">
        <is>
          <t>288</t>
        </is>
      </c>
      <c r="D6488" t="inlineStr">
        <is>
          <t>1</t>
        </is>
      </c>
      <c r="E6488" t="inlineStr">
        <is>
          <t>9</t>
        </is>
      </c>
      <c r="F6488" t="inlineStr">
        <is>
          <t>0</t>
        </is>
      </c>
      <c r="G6488" t="inlineStr">
        <is>
          <t>0</t>
        </is>
      </c>
      <c r="H6488" t="inlineStr">
        <is>
          <t>24⁴, 48⁴</t>
        </is>
      </c>
      <c r="I6488" t="n">
        <v>8</v>
      </c>
      <c r="J6488" t="inlineStr">
        <is>
          <t>1³, 2³</t>
        </is>
      </c>
      <c r="K6488">
        <f>HYPERLINK("CSG7.html#group48T7", "48T⁷"), =HYPERLINK("CSG9.html#group24J9", "24J⁹"), =HYPERLINK("CSG9.html#group48M9", "48M⁹"), =HYPERLINK("CSG11.html#group48A11", "48A¹¹"), =HYPERLINK("CSG11.html#group48F11", "48F¹¹")</f>
        <v/>
      </c>
      <c r="L6488" t="inlineStr"/>
      <c r="M6488">
        <f>HYPERLINK("CSG0.html#group2A0", "2A⁰"), =HYPERLINK("CSG3.html#group24A3", "24A³"), =HYPERLINK("CSG0.html#group12C0", "12C⁰"), =HYPERLINK("CSG1.html#group12K1", "12K¹"), =HYPERLINK("CSG2.html#group12D2", "12D²"), =HYPERLINK("CSG9.html#group48M9", "48M⁹"), =HYPERLINK("CSG0.html#group4C0", "4C⁰"), =HYPERLINK("CSG1.html#group6C1", "6C¹"), =HYPERLINK("CSG5.html#group24A5", "24A⁵"), =HYPERLINK("CSG2.html#group12B2", "12B²"), =HYPERLINK("CSG3.html#group16A3", "16A³"), =HYPERLINK("CSG3.html#group24I3", "24I³"), =HYPERLINK("CSG0.html#group2B0", "2B⁰"), =HYPERLINK("CSG0.html#group4E0", "4E⁰"), =HYPERLINK("CSG0.html#group6G0", "6G⁰"), =HYPERLINK("CSG2.html#group24C2", "24C²"), =HYPERLINK("CSG0.html#group4B0", "4B⁰"), =HYPERLINK("CSG2.html#group12E2", "12E²"), =HYPERLINK("CSG0.html#group1A0", "1A⁰"), =HYPERLINK("CSG5.html#group24E5", "24E⁵"), =HYPERLINK("CSG3.html#group12G3", "12G³"), =HYPERLINK("CSG5.html#group24F5", "24F⁵"), =HYPERLINK("CSG7.html#group48T7", "48T⁷"), =HYPERLINK("CSG0.html#group24A0", "24A⁰"), =HYPERLINK("CSG1.html#group6B1", "6B¹"), =HYPERLINK("CSG0.html#group3C0", "3C⁰"), =HYPERLINK("CSG9.html#group24J9", "24J⁹"), =HYPERLINK("CSG1.html#group12B1", "12B¹"), =HYPERLINK("CSG1.html#group6A1", "6A¹"), =HYPERLINK("CSG0.html#group6H0", "6H⁰"), =HYPERLINK("CSG0.html#group3A0", "3A⁰"), =HYPERLINK("CSG1.html#group24H1", "24H¹"), =HYPERLINK("CSG1.html#group6E1", "6E¹"), =HYPERLINK("CSG11.html#group48F11", "48F¹¹"), =HYPERLINK("CSG0.html#group6B0", "6B⁰"), =HYPERLINK("CSG1.html#group8A1", "8A¹"), =HYPERLINK("CSG1.html#group24D1", "24D¹"), =HYPERLINK("CSG0.html#group8B0", "8B⁰"), =HYPERLINK("CSG1.html#group16B1", "16B¹"), =HYPERLINK("CSG1.html#group8B1", "8B¹"), =HYPERLINK("CSG1.html#group12L1", "12L¹"), =HYPERLINK("CSG3.html#group48C3", "48C³"), =HYPERLINK("CSG5.html#group24D5", "24D⁵"), =HYPERLINK("CSG11.html#group48A11", "48A¹¹"), =HYPERLINK("CSG0.html#group6A0", "6A⁰"), =HYPERLINK("CSG1.html#group12C1", "12C¹"), =HYPERLINK("CSG0.html#group12D0", "12D⁰"), =HYPERLINK("CSG3.html#group48F3", "48F³"), =HYPERLINK("CSG0.html#group12H0", "12H⁰"), =HYPERLINK("CSG0.html#group2C0", "2C⁰"), =HYPERLINK("CSG0.html#group6D0", "6D⁰")</f>
        <v/>
      </c>
      <c r="N6488" t="inlineStr"/>
    </row>
    <row r="6489">
      <c r="A6489" t="inlineStr">
        <is>
          <t>48Q²¹</t>
        </is>
      </c>
      <c r="B6489" t="inlineStr"/>
      <c r="C6489" t="inlineStr">
        <is>
          <t>288</t>
        </is>
      </c>
      <c r="D6489" t="inlineStr">
        <is>
          <t>1</t>
        </is>
      </c>
      <c r="E6489" t="inlineStr">
        <is>
          <t>9</t>
        </is>
      </c>
      <c r="F6489" t="inlineStr">
        <is>
          <t>0</t>
        </is>
      </c>
      <c r="G6489" t="inlineStr">
        <is>
          <t>0</t>
        </is>
      </c>
      <c r="H6489" t="inlineStr">
        <is>
          <t>24⁴, 48⁴</t>
        </is>
      </c>
      <c r="I6489" t="n">
        <v>8</v>
      </c>
      <c r="J6489" t="inlineStr">
        <is>
          <t>1³, 2³</t>
        </is>
      </c>
      <c r="K6489">
        <f>HYPERLINK("CSG7.html#group48U7", "48U⁷"), =HYPERLINK("CSG9.html#group24C9", "24C⁹"), =HYPERLINK("CSG9.html#group48K9", "48K⁹"), =HYPERLINK("CSG11.html#group48F11", "48F¹¹"), =HYPERLINK("CSG11.html#group48I11", "48I¹¹")</f>
        <v/>
      </c>
      <c r="L6489" t="inlineStr"/>
      <c r="M6489">
        <f>HYPERLINK("CSG0.html#group2A0", "2A⁰"), =HYPERLINK("CSG3.html#group24A3", "24A³"), =HYPERLINK("CSG0.html#group12C0", "12C⁰"), =HYPERLINK("CSG1.html#group6C1", "6C¹"), =HYPERLINK("CSG5.html#group24A5", "24A⁵"), =HYPERLINK("CSG0.html#group4C0", "4C⁰"), =HYPERLINK("CSG2.html#group12B2", "12B²"), =HYPERLINK("CSG0.html#group4G0", "4G⁰"), =HYPERLINK("CSG0.html#group2B0", "2B⁰"), =HYPERLINK("CSG0.html#group4E0", "4E⁰"), =HYPERLINK("CSG0.html#group8C0", "8C⁰"), =HYPERLINK("CSG0.html#group4B0", "4B⁰"), =HYPERLINK("CSG1.html#group8F1", "8F¹"), =HYPERLINK("CSG0.html#group1A0", "1A⁰"), =HYPERLINK("CSG4.html#group12A4", "12A⁴"), =HYPERLINK("CSG2.html#group24B2", "24B²"), =HYPERLINK("CSG0.html#group24A0", "24A⁰"), =HYPERLINK("CSG0.html#group8G0", "8G⁰"), =HYPERLINK("CSG0.html#group4D0", "4D⁰"), =HYPERLINK("CSG2.html#group12A2", "12A²"), =HYPERLINK("CSG1.html#group12B1", "12B¹"), =HYPERLINK("CSG1.html#group6A1", "6A¹"), =HYPERLINK("CSG0.html#group3A0", "3A⁰"), =HYPERLINK("CSG11.html#group48F11", "48F¹¹"), =HYPERLINK("CSG11.html#group48I11", "48I¹¹"), =HYPERLINK("CSG1.html#group8A1", "8A¹"), =HYPERLINK("CSG0.html#group8D0", "8D⁰"), =HYPERLINK("CSG9.html#group48K9", "48K⁹"), =HYPERLINK("CSG1.html#group12E1", "12E¹"), =HYPERLINK("CSG0.html#group8B0", "8B⁰"), =HYPERLINK("CSG1.html#group8B1", "8B¹"), =HYPERLINK("CSG7.html#group48U7", "48U⁷"), =HYPERLINK("CSG2.html#group24L2", "24L²"), =HYPERLINK("CSG4.html#group24D4", "24D⁴"), =HYPERLINK("CSG4.html#group48C4", "48C⁴"), =HYPERLINK("CSG0.html#group8H0", "8H⁰"), =HYPERLINK("CSG0.html#group12A0", "12A⁰"), =HYPERLINK("CSG1.html#group8C1", "8C¹"), =HYPERLINK("CSG0.html#group6A0", "6A⁰"), =HYPERLINK("CSG9.html#group24C9", "24C⁹"), =HYPERLINK("CSG0.html#group4A0", "4A⁰"), =HYPERLINK("CSG1.html#group24C1", "24C¹"), =HYPERLINK("CSG2.html#group48A2", "48A²"), =HYPERLINK("CSG1.html#group12J1", "12J¹"), =HYPERLINK("CSG0.html#group4F0", "4F⁰"), =HYPERLINK("CSG3.html#group48F3", "48F³"), =HYPERLINK("CSG0.html#group2C0", "2C⁰"), =HYPERLINK("CSG0.html#group6D0", "6D⁰"), =HYPERLINK("CSG5.html#group24B5", "24B⁵")</f>
        <v/>
      </c>
      <c r="N6489" t="inlineStr"/>
    </row>
    <row r="6490">
      <c r="A6490" t="inlineStr">
        <is>
          <t>48R²¹</t>
        </is>
      </c>
      <c r="B6490" t="inlineStr"/>
      <c r="C6490" t="inlineStr">
        <is>
          <t>288</t>
        </is>
      </c>
      <c r="D6490" t="inlineStr">
        <is>
          <t>1</t>
        </is>
      </c>
      <c r="E6490" t="inlineStr">
        <is>
          <t>9</t>
        </is>
      </c>
      <c r="F6490" t="inlineStr">
        <is>
          <t>0</t>
        </is>
      </c>
      <c r="G6490" t="inlineStr">
        <is>
          <t>0</t>
        </is>
      </c>
      <c r="H6490" t="inlineStr">
        <is>
          <t>24⁴, 48⁴</t>
        </is>
      </c>
      <c r="I6490" t="n">
        <v>8</v>
      </c>
      <c r="J6490" t="inlineStr">
        <is>
          <t>1³, 2³</t>
        </is>
      </c>
      <c r="K6490">
        <f>HYPERLINK("CSG7.html#group48V7", "48V⁷"), =HYPERLINK("CSG9.html#group24F9", "24F⁹"), =HYPERLINK("CSG9.html#group48L9", "48L⁹"), =HYPERLINK("CSG11.html#group48A11", "48A¹¹"), =HYPERLINK("CSG11.html#group48I11", "48I¹¹")</f>
        <v/>
      </c>
      <c r="L6490" t="inlineStr"/>
      <c r="M6490">
        <f>HYPERLINK("CSG9.html#group24F9", "24F⁹"), =HYPERLINK("CSG0.html#group2A0", "2A⁰"), =HYPERLINK("CSG1.html#group24E1", "24E¹"), =HYPERLINK("CSG3.html#group24A3", "24A³"), =HYPERLINK("CSG0.html#group12C0", "12C⁰"), =HYPERLINK("CSG0.html#group4C0", "4C⁰"), =HYPERLINK("CSG5.html#group24A5", "24A⁵"), =HYPERLINK("CSG1.html#group6C1", "6C¹"), =HYPERLINK("CSG2.html#group12B2", "12B²"), =HYPERLINK("CSG2.html#group24P2", "24P²"), =HYPERLINK("CSG2.html#group12E2", "12E²"), =HYPERLINK("CSG1.html#group12M1", "12M¹"), =HYPERLINK("CSG0.html#group2B0", "2B⁰"), =HYPERLINK("CSG0.html#group4E0", "4E⁰"), =HYPERLINK("CSG3.html#group16A3", "16A³"), =HYPERLINK("CSG0.html#group4B0", "4B⁰"), =HYPERLINK("CSG0.html#group1A0", "1A⁰"), =HYPERLINK("CSG0.html#group24A0", "24A⁰"), =HYPERLINK("CSG2.html#group24D2", "24D²"), =HYPERLINK("CSG1.html#group12B1", "12B¹"), =HYPERLINK("CSG1.html#group6A1", "6A¹"), =HYPERLINK("CSG0.html#group3A0", "3A⁰"), =HYPERLINK("CSG5.html#group24G5", "24G⁵"), =HYPERLINK("CSG11.html#group48I11", "48I¹¹"), =HYPERLINK("CSG1.html#group8A1", "8A¹"), =HYPERLINK("CSG0.html#group8B0", "8B⁰"), =HYPERLINK("CSG1.html#group16B1", "16B¹"), =HYPERLINK("CSG1.html#group8B1", "8B¹"), =HYPERLINK("CSG4.html#group48C4", "48C⁴"), =HYPERLINK("CSG3.html#group48C3", "48C³"), =HYPERLINK("CSG7.html#group48V7", "48V⁷"), =HYPERLINK("CSG9.html#group48L9", "48L⁹"), =HYPERLINK("CSG11.html#group48A11", "48A¹¹"), =HYPERLINK("CSG0.html#group6A0", "6A⁰"), =HYPERLINK("CSG1.html#group12C1", "12C¹"), =HYPERLINK("CSG4.html#group24E4", "24E⁴"), =HYPERLINK("CSG2.html#group48A2", "48A²"), =HYPERLINK("CSG0.html#group12D0", "12D⁰"), =HYPERLINK("CSG4.html#group12C4", "12C⁴"), =HYPERLINK("CSG0.html#group2C0", "2C⁰"), =HYPERLINK("CSG0.html#group6D0", "6D⁰")</f>
        <v/>
      </c>
      <c r="N6490" t="inlineStr"/>
    </row>
    <row r="6491">
      <c r="A6491" t="inlineStr">
        <is>
          <t>48S²¹</t>
        </is>
      </c>
      <c r="B6491" t="inlineStr"/>
      <c r="C6491" t="inlineStr">
        <is>
          <t>288</t>
        </is>
      </c>
      <c r="D6491" t="inlineStr">
        <is>
          <t>1</t>
        </is>
      </c>
      <c r="E6491" t="inlineStr">
        <is>
          <t>9</t>
        </is>
      </c>
      <c r="F6491" t="inlineStr">
        <is>
          <t>0</t>
        </is>
      </c>
      <c r="G6491" t="inlineStr">
        <is>
          <t>0</t>
        </is>
      </c>
      <c r="H6491" t="inlineStr">
        <is>
          <t>24⁴, 48⁴</t>
        </is>
      </c>
      <c r="I6491" t="n">
        <v>8</v>
      </c>
      <c r="J6491" t="inlineStr">
        <is>
          <t>1³, 2³</t>
        </is>
      </c>
      <c r="K6491">
        <f>HYPERLINK("CSG3.html#group48M3", "48M³"), =HYPERLINK("CSG7.html#group48N7", "48N⁷"), =HYPERLINK("CSG9.html#group24J9", "24J⁹"), =HYPERLINK("CSG11.html#group48B11", "48B¹¹"), =HYPERLINK("CSG11.html#group48G11", "48G¹¹"), =HYPERLINK("CSG11.html#group48H11", "48H¹¹"), =HYPERLINK("CSG11.html#group48I11", "48I¹¹")</f>
        <v/>
      </c>
      <c r="L6491" t="inlineStr"/>
      <c r="M6491">
        <f>HYPERLINK("CSG11.html#group48G11", "48G¹¹"), =HYPERLINK("CSG0.html#group2A0", "2A⁰"), =HYPERLINK("CSG3.html#group24A3", "24A³"), =HYPERLINK("CSG0.html#group12C0", "12C⁰"), =HYPERLINK("CSG1.html#group12K1", "12K¹"), =HYPERLINK("CSG2.html#group12D2", "12D²"), =HYPERLINK("CSG0.html#group4C0", "4C⁰"), =HYPERLINK("CSG1.html#group6C1", "6C¹"), =HYPERLINK("CSG5.html#group24A5", "24A⁵"), =HYPERLINK("CSG2.html#group12B2", "12B²"), =HYPERLINK("CSG3.html#group24I3", "24I³"), =HYPERLINK("CSG0.html#group6G0", "6G⁰"), =HYPERLINK("CSG0.html#group2B0", "2B⁰"), =HYPERLINK("CSG0.html#group4E0", "4E⁰"), =HYPERLINK("CSG2.html#group24C2", "24C²"), =HYPERLINK("CSG2.html#group12E2", "12E²"), =HYPERLINK("CSG0.html#group4B0", "4B⁰"), =HYPERLINK("CSG5.html#group24E5", "24E⁵"), =HYPERLINK("CSG0.html#group1A0", "1A⁰"), =HYPERLINK("CSG3.html#group12G3", "12G³"), =HYPERLINK("CSG11.html#group48H11", "48H¹¹"), =HYPERLINK("CSG5.html#group24F5", "24F⁵"), =HYPERLINK("CSG2.html#group16A2", "16A²"), =HYPERLINK("CSG0.html#group16B0", "16B⁰"), =HYPERLINK("CSG11.html#group48B11", "48B¹¹"), =HYPERLINK("CSG0.html#group24A0", "24A⁰"), =HYPERLINK("CSG1.html#group6B1", "6B¹"), =HYPERLINK("CSG0.html#group3C0", "3C⁰"), =HYPERLINK("CSG9.html#group24J9", "24J⁹"), =HYPERLINK("CSG1.html#group12B1", "12B¹"), =HYPERLINK("CSG1.html#group6A1", "6A¹"), =HYPERLINK("CSG0.html#group6H0", "6H⁰"), =HYPERLINK("CSG0.html#group3A0", "3A⁰"), =HYPERLINK("CSG1.html#group24H1", "24H¹"), =HYPERLINK("CSG1.html#group6E1", "6E¹"), =HYPERLINK("CSG11.html#group48I11", "48I¹¹"), =HYPERLINK("CSG0.html#group6B0", "6B⁰"), =HYPERLINK("CSG1.html#group8A1", "8A¹"), =HYPERLINK("CSG1.html#group24D1", "24D¹"), =HYPERLINK("CSG0.html#group8B0", "8B⁰"), =HYPERLINK("CSG3.html#group16B3", "16B³"), =HYPERLINK("CSG0.html#group48A0", "48A⁰"), =HYPERLINK("CSG1.html#group8B1", "8B¹"), =HYPERLINK("CSG1.html#group12L1", "12L¹"), =HYPERLINK("CSG4.html#group48C4", "48C⁴"), =HYPERLINK("CSG5.html#group24D5", "24D⁵"), =HYPERLINK("CSG0.html#group6A0", "6A⁰"), =HYPERLINK("CSG1.html#group12C1", "12C¹"), =HYPERLINK("CSG3.html#group48M3", "48M³"), =HYPERLINK("CSG7.html#group48N7", "48N⁷"), =HYPERLINK("CSG2.html#group48A2", "48A²"), =HYPERLINK("CSG0.html#group12D0", "12D⁰"), =HYPERLINK("CSG6.html#group48A6", "48A⁶"), =HYPERLINK("CSG0.html#group12H0", "12H⁰"), =HYPERLINK("CSG0.html#group2C0", "2C⁰"), =HYPERLINK("CSG0.html#group6D0", "6D⁰")</f>
        <v/>
      </c>
      <c r="N6491" t="inlineStr"/>
    </row>
    <row r="6492">
      <c r="A6492" t="inlineStr">
        <is>
          <t>48T²¹</t>
        </is>
      </c>
      <c r="B6492" t="inlineStr"/>
      <c r="C6492" t="inlineStr">
        <is>
          <t>288</t>
        </is>
      </c>
      <c r="D6492" t="inlineStr">
        <is>
          <t>1</t>
        </is>
      </c>
      <c r="E6492" t="inlineStr">
        <is>
          <t>12</t>
        </is>
      </c>
      <c r="F6492" t="inlineStr">
        <is>
          <t>0</t>
        </is>
      </c>
      <c r="G6492" t="inlineStr">
        <is>
          <t>0</t>
        </is>
      </c>
      <c r="H6492" t="inlineStr">
        <is>
          <t>24⁴, 48⁴</t>
        </is>
      </c>
      <c r="I6492" t="n">
        <v>8</v>
      </c>
      <c r="J6492" t="inlineStr">
        <is>
          <t>2², 4²</t>
        </is>
      </c>
      <c r="K6492">
        <f>HYPERLINK("CSG5.html#group16E5", "16E⁵"), =HYPERLINK("CSG7.html#group24K7", "24K⁷"), =HYPERLINK("CSG7.html#group48O7", "48O⁷"), =HYPERLINK("CSG11.html#group48C11", "48C¹¹")</f>
        <v/>
      </c>
      <c r="L6492" t="inlineStr"/>
      <c r="M6492">
        <f>HYPERLINK("CSG0.html#group12C0", "12C⁰"), =HYPERLINK("CSG0.html#group4C0", "4C⁰"), =HYPERLINK("CSG0.html#group8A0", "8A⁰"), =HYPERLINK("CSG0.html#group2B0", "2B⁰"), =HYPERLINK("CSG0.html#group8K0", "8K⁰"), =HYPERLINK("CSG0.html#group1A0", "1A⁰"), =HYPERLINK("CSG1.html#group8H1", "8H¹"), =HYPERLINK("CSG2.html#group16A2", "16A²"), =HYPERLINK("CSG1.html#group24A1", "24A¹"), =HYPERLINK("CSG0.html#group24A0", "24A⁰"), =HYPERLINK("CSG0.html#group3A0", "3A⁰"), =HYPERLINK("CSG1.html#group16H1", "16H¹"), =HYPERLINK("CSG7.html#group24K7", "24K⁷"), =HYPERLINK("CSG3.html#group16C3", "16C³"), =HYPERLINK("CSG0.html#group8D0", "8D⁰"), =HYPERLINK("CSG0.html#group8B0", "8B⁰"), =HYPERLINK("CSG1.html#group16B1", "16B¹"), =HYPERLINK("CSG2.html#group24L2", "24L²"), =HYPERLINK("CSG1.html#group8D1", "8D¹"), =HYPERLINK("CSG3.html#group24J3", "24J³"), =HYPERLINK("CSG0.html#group8H0", "8H⁰"), =HYPERLINK("CSG3.html#group48C3", "48C³"), =HYPERLINK("CSG4.html#group24H4", "24H⁴"), =HYPERLINK("CSG0.html#group12A0", "12A⁰"), =HYPERLINK("CSG0.html#group4A0", "4A⁰"), =HYPERLINK("CSG1.html#group24C1", "24C¹"), =HYPERLINK("CSG1.html#group12J1", "12J¹"), =HYPERLINK("CSG0.html#group4F0", "4F⁰"), =HYPERLINK("CSG6.html#group48A6", "48A⁶"), =HYPERLINK("CSG7.html#group48O7", "48O⁷"), =HYPERLINK("CSG5.html#group16E5", "16E⁵"), =HYPERLINK("CSG0.html#group6D0", "6D⁰"), =HYPERLINK("CSG11.html#group48C11", "48C¹¹")</f>
        <v/>
      </c>
      <c r="N6492" t="inlineStr"/>
    </row>
    <row r="6493">
      <c r="A6493" t="inlineStr">
        <is>
          <t>48U²¹</t>
        </is>
      </c>
      <c r="B6493" t="inlineStr"/>
      <c r="C6493" t="inlineStr">
        <is>
          <t>288</t>
        </is>
      </c>
      <c r="D6493" t="inlineStr">
        <is>
          <t>1</t>
        </is>
      </c>
      <c r="E6493" t="inlineStr">
        <is>
          <t>12</t>
        </is>
      </c>
      <c r="F6493" t="inlineStr">
        <is>
          <t>0</t>
        </is>
      </c>
      <c r="G6493" t="inlineStr">
        <is>
          <t>0</t>
        </is>
      </c>
      <c r="H6493" t="inlineStr">
        <is>
          <t>24⁴, 48⁴</t>
        </is>
      </c>
      <c r="I6493" t="n">
        <v>8</v>
      </c>
      <c r="J6493" t="inlineStr">
        <is>
          <t>1², 2¹, 4²</t>
        </is>
      </c>
      <c r="K6493">
        <f>HYPERLINK("CSG5.html#group16F5", "16F⁵"), =HYPERLINK("CSG7.html#group24L7", "24L⁷"), =HYPERLINK("CSG7.html#group48P7", "48P⁷"), =HYPERLINK("CSG11.html#group48C11", "48C¹¹")</f>
        <v/>
      </c>
      <c r="L6493" t="inlineStr"/>
      <c r="M6493">
        <f>HYPERLINK("CSG5.html#group16F5", "16F⁵"), =HYPERLINK("CSG0.html#group12C0", "12C⁰"), =HYPERLINK("CSG1.html#group16I1", "16I¹"), =HYPERLINK("CSG0.html#group4C0", "4C⁰"), =HYPERLINK("CSG7.html#group48P7", "48P⁷"), =HYPERLINK("CSG0.html#group2B0", "2B⁰"), =HYPERLINK("CSG0.html#group1A0", "1A⁰"), =HYPERLINK("CSG2.html#group16A2", "16A²"), =HYPERLINK("CSG0.html#group16E0", "16E⁰"), =HYPERLINK("CSG4.html#group48E4", "48E⁴"), =HYPERLINK("CSG0.html#group24A0", "24A⁰"), =HYPERLINK("CSG7.html#group24L7", "24L⁷"), =HYPERLINK("CSG3.html#group48D3", "48D³"), =HYPERLINK("CSG0.html#group3A0", "3A⁰"), =HYPERLINK("CSG3.html#group16C3", "16C³"), =HYPERLINK("CSG0.html#group8D0", "8D⁰"), =HYPERLINK("CSG0.html#group8B0", "8B⁰"), =HYPERLINK("CSG1.html#group16B1", "16B¹"), =HYPERLINK("CSG2.html#group24L2", "24L²"), =HYPERLINK("CSG1.html#group24F1", "24F¹"), =HYPERLINK("CSG0.html#group8H0", "8H⁰"), =HYPERLINK("CSG3.html#group48C3", "48C³"), =HYPERLINK("CSG0.html#group12A0", "12A⁰"), =HYPERLINK("CSG0.html#group8F0", "8F⁰"), =HYPERLINK("CSG0.html#group4A0", "4A⁰"), =HYPERLINK("CSG1.html#group8I1", "8I¹"), =HYPERLINK("CSG1.html#group16C1", "16C¹"), =HYPERLINK("CSG1.html#group24C1", "24C¹"), =HYPERLINK("CSG1.html#group12J1", "12J¹"), =HYPERLINK("CSG0.html#group4F0", "4F⁰"), =HYPERLINK("CSG6.html#group48A6", "48A⁶"), =HYPERLINK("CSG0.html#group6D0", "6D⁰"), =HYPERLINK("CSG11.html#group48C11", "48C¹¹")</f>
        <v/>
      </c>
      <c r="N6493" t="inlineStr"/>
    </row>
    <row r="6494">
      <c r="A6494" t="inlineStr">
        <is>
          <t>48V²¹</t>
        </is>
      </c>
      <c r="B6494" t="inlineStr"/>
      <c r="C6494" t="inlineStr">
        <is>
          <t>288</t>
        </is>
      </c>
      <c r="D6494" t="inlineStr">
        <is>
          <t>1</t>
        </is>
      </c>
      <c r="E6494" t="inlineStr">
        <is>
          <t>12</t>
        </is>
      </c>
      <c r="F6494" t="inlineStr">
        <is>
          <t>0</t>
        </is>
      </c>
      <c r="G6494" t="inlineStr">
        <is>
          <t>0</t>
        </is>
      </c>
      <c r="H6494" t="inlineStr">
        <is>
          <t>24⁴, 48⁴</t>
        </is>
      </c>
      <c r="I6494" t="n">
        <v>8</v>
      </c>
      <c r="J6494" t="inlineStr">
        <is>
          <t>2⁶</t>
        </is>
      </c>
      <c r="K6494">
        <f>HYPERLINK("CSG5.html#group16G5", "16G⁵"), =HYPERLINK("CSG6.html#group24D6", "24D⁶"), =HYPERLINK("CSG8.html#group48F8", "48F⁸"), =HYPERLINK("CSG8.html#group48X8", "48X⁸"), =HYPERLINK("CSG11.html#group48C11", "48C¹¹"), =HYPERLINK("CSG11.html#group48K11", "48K¹¹")</f>
        <v/>
      </c>
      <c r="L6494" t="inlineStr"/>
      <c r="M6494">
        <f>HYPERLINK("CSG6.html#group24D6", "24D⁶"), =HYPERLINK("CSG8.html#group48F8", "48F⁸"), =HYPERLINK("CSG0.html#group12C0", "12C⁰"), =HYPERLINK("CSG8.html#group48X8", "48X⁸"), =HYPERLINK("CSG0.html#group4C0", "4C⁰"), =HYPERLINK("CSG0.html#group8L0", "8L⁰"), =HYPERLINK("CSG0.html#group2B0", "2B⁰"), =HYPERLINK("CSG0.html#group1A0", "1A⁰"), =HYPERLINK("CSG2.html#group16E2", "16E²"), =HYPERLINK("CSG2.html#group16A2", "16A²"), =HYPERLINK("CSG1.html#group16D1", "16D¹"), =HYPERLINK("CSG0.html#group24A0", "24A⁰"), =HYPERLINK("CSG0.html#group3A0", "3A⁰"), =HYPERLINK("CSG0.html#group8P0", "8P⁰"), =HYPERLINK("CSG3.html#group16C3", "16C³"), =HYPERLINK("CSG0.html#group8D0", "8D⁰"), =HYPERLINK("CSG11.html#group48K11", "48K¹¹"), =HYPERLINK("CSG0.html#group8B0", "8B⁰"), =HYPERLINK("CSG5.html#group16G5", "16G⁵"), =HYPERLINK("CSG1.html#group16B1", "16B¹"), =HYPERLINK("CSG2.html#group24L2", "24L²"), =HYPERLINK("CSG0.html#group8H0", "8H⁰"), =HYPERLINK("CSG3.html#group48C3", "48C³"), =HYPERLINK("CSG0.html#group12A0", "12A⁰"), =HYPERLINK("CSG3.html#group48E3", "48E³"), =HYPERLINK("CSG2.html#group16F2", "16F²"), =HYPERLINK("CSG0.html#group4A0", "4A⁰"), =HYPERLINK("CSG2.html#group24M2", "24M²"), =HYPERLINK("CSG3.html#group16F3", "16F³"), =HYPERLINK("CSG1.html#group24C1", "24C¹"), =HYPERLINK("CSG1.html#group12J1", "12J¹"), =HYPERLINK("CSG0.html#group4F0", "4F⁰"), =HYPERLINK("CSG6.html#group48A6", "48A⁶"), =HYPERLINK("CSG0.html#group6D0", "6D⁰"), =HYPERLINK("CSG11.html#group48C11", "48C¹¹")</f>
        <v/>
      </c>
      <c r="N6494" t="inlineStr"/>
    </row>
    <row r="6495">
      <c r="A6495" t="inlineStr">
        <is>
          <t>48W²¹</t>
        </is>
      </c>
      <c r="B6495" t="inlineStr"/>
      <c r="C6495" t="inlineStr">
        <is>
          <t>288</t>
        </is>
      </c>
      <c r="D6495" t="inlineStr">
        <is>
          <t>1</t>
        </is>
      </c>
      <c r="E6495" t="inlineStr">
        <is>
          <t>12</t>
        </is>
      </c>
      <c r="F6495" t="inlineStr">
        <is>
          <t>0</t>
        </is>
      </c>
      <c r="G6495" t="inlineStr">
        <is>
          <t>0</t>
        </is>
      </c>
      <c r="H6495" t="inlineStr">
        <is>
          <t>24⁴, 48⁴</t>
        </is>
      </c>
      <c r="I6495" t="n">
        <v>8</v>
      </c>
      <c r="J6495" t="inlineStr">
        <is>
          <t>1⁴, 2², 4¹</t>
        </is>
      </c>
      <c r="K6495">
        <f>HYPERLINK("CSG7.html#group48G7", "48G⁷"), =HYPERLINK("CSG9.html#group24A9", "24A⁹"), =HYPERLINK("CSG9.html#group48W9", "48W⁹"), =HYPERLINK("CSG9.html#group48Z9", "48Z⁹")</f>
        <v/>
      </c>
      <c r="L6495" t="inlineStr"/>
      <c r="M6495">
        <f>HYPERLINK("CSG0.html#group12C0", "12C⁰"), =HYPERLINK("CSG9.html#group48Z9", "48Z⁹"), =HYPERLINK("CSG0.html#group4C0", "4C⁰"), =HYPERLINK("CSG2.html#group12C2", "12C²"), =HYPERLINK("CSG3.html#group24I3", "24I³"), =HYPERLINK("CSG0.html#group6G0", "6G⁰"), =HYPERLINK("CSG0.html#group2B0", "2B⁰"), =HYPERLINK("CSG2.html#group24C2", "24C²"), =HYPERLINK("CSG0.html#group1A0", "1A⁰"), =HYPERLINK("CSG3.html#group48H3", "48H³"), =HYPERLINK("CSG1.html#group16D1", "16D¹"), =HYPERLINK("CSG9.html#group24A9", "24A⁹"), =HYPERLINK("CSG0.html#group24A0", "24A⁰"), =HYPERLINK("CSG7.html#group48G7", "48G⁷"), =HYPERLINK("CSG0.html#group3C0", "3C⁰"), =HYPERLINK("CSG0.html#group6K0", "6K⁰"), =HYPERLINK("CSG9.html#group48W9", "48W⁹"), =HYPERLINK("CSG0.html#group3A0", "3A⁰"), =HYPERLINK("CSG0.html#group6F0", "6F⁰"), =HYPERLINK("CSG0.html#group3B0", "3B⁰"), =HYPERLINK("CSG3.html#group24B3", "24B³"), =HYPERLINK("CSG1.html#group12F1", "12F¹"), =HYPERLINK("CSG0.html#group8B0", "8B⁰"), =HYPERLINK("CSG1.html#group12L1", "12L¹"), =HYPERLINK("CSG1.html#group12C1", "12C¹"), =HYPERLINK("CSG3.html#group12D3", "12D³"), =HYPERLINK("CSG3.html#group48E3", "48E³"), =HYPERLINK("CSG5.html#group24C5", "24C⁵"), =HYPERLINK("CSG0.html#group3D0", "3D⁰"), =HYPERLINK("CSG0.html#group6D0", "6D⁰")</f>
        <v/>
      </c>
      <c r="N6495" t="inlineStr"/>
    </row>
    <row r="6496">
      <c r="A6496" t="inlineStr">
        <is>
          <t>48X²¹</t>
        </is>
      </c>
      <c r="B6496" t="inlineStr"/>
      <c r="C6496" t="inlineStr">
        <is>
          <t>288</t>
        </is>
      </c>
      <c r="D6496" t="inlineStr">
        <is>
          <t>1</t>
        </is>
      </c>
      <c r="E6496" t="inlineStr">
        <is>
          <t>12</t>
        </is>
      </c>
      <c r="F6496" t="inlineStr">
        <is>
          <t>0</t>
        </is>
      </c>
      <c r="G6496" t="inlineStr">
        <is>
          <t>0</t>
        </is>
      </c>
      <c r="H6496" t="inlineStr">
        <is>
          <t>24⁴, 48⁴</t>
        </is>
      </c>
      <c r="I6496" t="n">
        <v>8</v>
      </c>
      <c r="J6496" t="inlineStr">
        <is>
          <t>1⁴, 2², 4¹</t>
        </is>
      </c>
      <c r="K6496">
        <f>HYPERLINK("CSG7.html#group48H7", "48H⁷"), =HYPERLINK("CSG9.html#group24B9", "24B⁹"), =HYPERLINK("CSG11.html#group48P11", "48P¹¹"), =HYPERLINK("CSG11.html#group48S11", "48S¹¹")</f>
        <v/>
      </c>
      <c r="L6496" t="inlineStr"/>
      <c r="M6496">
        <f>HYPERLINK("CSG3.html#group24A3", "24A³"), =HYPERLINK("CSG0.html#group12C0", "12C⁰"), =HYPERLINK("CSG7.html#group48H7", "48H⁷"), =HYPERLINK("CSG0.html#group4C0", "4C⁰"), =HYPERLINK("CSG2.html#group12C2", "12C²"), =HYPERLINK("CSG0.html#group6G0", "6G⁰"), =HYPERLINK("CSG0.html#group2B0", "2B⁰"), =HYPERLINK("CSG5.html#group24E5", "24E⁵"), =HYPERLINK("CSG0.html#group1A0", "1A⁰"), =HYPERLINK("CSG11.html#group48P11", "48P¹¹"), =HYPERLINK("CSG2.html#group16B2", "16B²"), =HYPERLINK("CSG6.html#group48B6", "48B⁶"), =HYPERLINK("CSG6.html#group48C6", "48C⁶"), =HYPERLINK("CSG3.html#group24H3", "24H³"), =HYPERLINK("CSG0.html#group3C0", "3C⁰"), =HYPERLINK("CSG0.html#group6K0", "6K⁰"), =HYPERLINK("CSG0.html#group3A0", "3A⁰"), =HYPERLINK("CSG0.html#group6F0", "6F⁰"), =HYPERLINK("CSG0.html#group3B0", "3B⁰"), =HYPERLINK("CSG1.html#group8A1", "8A¹"), =HYPERLINK("CSG1.html#group12F1", "12F¹"), =HYPERLINK("CSG1.html#group24D1", "24D¹"), =HYPERLINK("CSG9.html#group24B9", "24B⁹"), =HYPERLINK("CSG1.html#group12L1", "12L¹"), =HYPERLINK("CSG3.html#group24C3", "24C³"), =HYPERLINK("CSG1.html#group12C1", "12C¹"), =HYPERLINK("CSG3.html#group12D3", "12D³"), =HYPERLINK("CSG0.html#group3D0", "3D⁰"), =HYPERLINK("CSG11.html#group48S11", "48S¹¹"), =HYPERLINK("CSG0.html#group6D0", "6D⁰")</f>
        <v/>
      </c>
      <c r="N6496" t="inlineStr"/>
    </row>
    <row r="6497">
      <c r="A6497" t="inlineStr">
        <is>
          <t>48Y²¹</t>
        </is>
      </c>
      <c r="B6497" t="inlineStr"/>
      <c r="C6497" t="inlineStr">
        <is>
          <t>288</t>
        </is>
      </c>
      <c r="D6497" t="inlineStr">
        <is>
          <t>1</t>
        </is>
      </c>
      <c r="E6497" t="inlineStr">
        <is>
          <t>18</t>
        </is>
      </c>
      <c r="F6497" t="inlineStr">
        <is>
          <t>0</t>
        </is>
      </c>
      <c r="G6497" t="inlineStr">
        <is>
          <t>0</t>
        </is>
      </c>
      <c r="H6497" t="inlineStr">
        <is>
          <t>24⁴, 48⁴</t>
        </is>
      </c>
      <c r="I6497" t="n">
        <v>8</v>
      </c>
      <c r="J6497" t="inlineStr">
        <is>
          <t>2³, 4³</t>
        </is>
      </c>
      <c r="K6497">
        <f>HYPERLINK("CSG9.html#group24G9", "24G⁹"), =HYPERLINK("CSG9.html#group48V9", "48V⁹")</f>
        <v/>
      </c>
      <c r="L6497" t="inlineStr"/>
      <c r="M6497">
        <f>HYPERLINK("CSG0.html#group2A0", "2A⁰"), =HYPERLINK("CSG0.html#group12C0", "12C⁰"), =HYPERLINK("CSG1.html#group12K1", "12K¹"), =HYPERLINK("CSG2.html#group12D2", "12D²"), =HYPERLINK("CSG0.html#group4C0", "4C⁰"), =HYPERLINK("CSG1.html#group6C1", "6C¹"), =HYPERLINK("CSG2.html#group12B2", "12B²"), =HYPERLINK("CSG0.html#group6G0", "6G⁰"), =HYPERLINK("CSG2.html#group12E2", "12E²"), =HYPERLINK("CSG0.html#group2B0", "2B⁰"), =HYPERLINK("CSG9.html#group24G9", "24G⁹"), =HYPERLINK("CSG0.html#group4E0", "4E⁰"), =HYPERLINK("CSG2.html#group24C2", "24C²"), =HYPERLINK("CSG0.html#group4B0", "4B⁰"), =HYPERLINK("CSG3.html#group12G3", "12G³"), =HYPERLINK("CSG0.html#group1A0", "1A⁰"), =HYPERLINK("CSG5.html#group24F5", "24F⁵"), =HYPERLINK("CSG3.html#group24H3", "24H³"), =HYPERLINK("CSG1.html#group6B1", "6B¹"), =HYPERLINK("CSG3.html#group24S3", "24S³"), =HYPERLINK("CSG0.html#group3C0", "3C⁰"), =HYPERLINK("CSG1.html#group6A1", "6A¹"), =HYPERLINK("CSG1.html#group12B1", "12B¹"), =HYPERLINK("CSG0.html#group6H0", "6H⁰"), =HYPERLINK("CSG0.html#group3A0", "3A⁰"), =HYPERLINK("CSG9.html#group48V9", "48V⁹"), =HYPERLINK("CSG1.html#group6E1", "6E¹"), =HYPERLINK("CSG0.html#group6B0", "6B⁰"), =HYPERLINK("CSG1.html#group24D1", "24D¹"), =HYPERLINK("CSG1.html#group12L1", "12L¹"), =HYPERLINK("CSG1.html#group12C1", "12C¹"), =HYPERLINK("CSG0.html#group6A0", "6A⁰"), =HYPERLINK("CSG5.html#group24C5", "24C⁵"), =HYPERLINK("CSG0.html#group12D0", "12D⁰"), =HYPERLINK("CSG0.html#group12H0", "12H⁰"), =HYPERLINK("CSG0.html#group2C0", "2C⁰"), =HYPERLINK("CSG0.html#group6D0", "6D⁰")</f>
        <v/>
      </c>
      <c r="N6497" t="inlineStr"/>
    </row>
    <row r="6498">
      <c r="A6498" t="inlineStr">
        <is>
          <t>48Z²¹</t>
        </is>
      </c>
      <c r="B6498" t="inlineStr"/>
      <c r="C6498" t="inlineStr">
        <is>
          <t>288</t>
        </is>
      </c>
      <c r="D6498" t="inlineStr">
        <is>
          <t>1</t>
        </is>
      </c>
      <c r="E6498" t="inlineStr">
        <is>
          <t>18</t>
        </is>
      </c>
      <c r="F6498" t="inlineStr">
        <is>
          <t>0</t>
        </is>
      </c>
      <c r="G6498" t="inlineStr">
        <is>
          <t>0</t>
        </is>
      </c>
      <c r="H6498" t="inlineStr">
        <is>
          <t>24⁴, 48⁴</t>
        </is>
      </c>
      <c r="I6498" t="n">
        <v>8</v>
      </c>
      <c r="J6498" t="inlineStr">
        <is>
          <t>2³, 4³</t>
        </is>
      </c>
      <c r="K6498">
        <f>HYPERLINK("CSG9.html#group24G9", "24G⁹"), =HYPERLINK("CSG9.html#group48H9", "48H⁹"), =HYPERLINK("CSG9.html#group48I9", "48I⁹")</f>
        <v/>
      </c>
      <c r="L6498" t="inlineStr"/>
      <c r="M6498">
        <f>HYPERLINK("CSG0.html#group2A0", "2A⁰"), =HYPERLINK("CSG0.html#group12C0", "12C⁰"), =HYPERLINK("CSG1.html#group12K1", "12K¹"), =HYPERLINK("CSG2.html#group12D2", "12D²"), =HYPERLINK("CSG0.html#group4C0", "4C⁰"), =HYPERLINK("CSG1.html#group6C1", "6C¹"), =HYPERLINK("CSG2.html#group12B2", "12B²"), =HYPERLINK("CSG0.html#group6G0", "6G⁰"), =HYPERLINK("CSG2.html#group12E2", "12E²"), =HYPERLINK("CSG0.html#group2B0", "2B⁰"), =HYPERLINK("CSG9.html#group24G9", "24G⁹"), =HYPERLINK("CSG0.html#group4E0", "4E⁰"), =HYPERLINK("CSG2.html#group24C2", "24C²"), =HYPERLINK("CSG0.html#group4B0", "4B⁰"), =HYPERLINK("CSG3.html#group12G3", "12G³"), =HYPERLINK("CSG0.html#group1A0", "1A⁰"), =HYPERLINK("CSG5.html#group24F5", "24F⁵"), =HYPERLINK("CSG3.html#group24H3", "24H³"), =HYPERLINK("CSG1.html#group6B1", "6B¹"), =HYPERLINK("CSG3.html#group24S3", "24S³"), =HYPERLINK("CSG0.html#group3C0", "3C⁰"), =HYPERLINK("CSG1.html#group6A1", "6A¹"), =HYPERLINK("CSG1.html#group12B1", "12B¹"), =HYPERLINK("CSG0.html#group6H0", "6H⁰"), =HYPERLINK("CSG0.html#group3A0", "3A⁰"), =HYPERLINK("CSG1.html#group6E1", "6E¹"), =HYPERLINK("CSG0.html#group6B0", "6B⁰"), =HYPERLINK("CSG1.html#group24D1", "24D¹"), =HYPERLINK("CSG9.html#group48I9", "48I⁹"), =HYPERLINK("CSG1.html#group12L1", "12L¹"), =HYPERLINK("CSG1.html#group12C1", "12C¹"), =HYPERLINK("CSG0.html#group6A0", "6A⁰"), =HYPERLINK("CSG9.html#group48H9", "48H⁹"), =HYPERLINK("CSG5.html#group24C5", "24C⁵"), =HYPERLINK("CSG0.html#group12D0", "12D⁰"), =HYPERLINK("CSG0.html#group12H0", "12H⁰"), =HYPERLINK("CSG0.html#group2C0", "2C⁰"), =HYPERLINK("CSG0.html#group6D0", "6D⁰")</f>
        <v/>
      </c>
      <c r="N6498" t="inlineStr"/>
    </row>
    <row r="6499">
      <c r="A6499" t="inlineStr">
        <is>
          <t>48AA²¹</t>
        </is>
      </c>
      <c r="B6499" t="inlineStr"/>
      <c r="C6499" t="inlineStr">
        <is>
          <t>288</t>
        </is>
      </c>
      <c r="D6499" t="inlineStr">
        <is>
          <t>1</t>
        </is>
      </c>
      <c r="E6499" t="inlineStr">
        <is>
          <t>18</t>
        </is>
      </c>
      <c r="F6499" t="inlineStr">
        <is>
          <t>0</t>
        </is>
      </c>
      <c r="G6499" t="inlineStr">
        <is>
          <t>0</t>
        </is>
      </c>
      <c r="H6499" t="inlineStr">
        <is>
          <t>24⁴, 48⁴</t>
        </is>
      </c>
      <c r="I6499" t="n">
        <v>8</v>
      </c>
      <c r="J6499" t="inlineStr">
        <is>
          <t>2⁵, 4²</t>
        </is>
      </c>
      <c r="K6499">
        <f>HYPERLINK("CSG5.html#group24V5", "24V⁵"), =HYPERLINK("CSG7.html#group48S7", "48S⁷"), =HYPERLINK("CSG9.html#group48AB9", "48AB⁹"), =HYPERLINK("CSG11.html#group48G11", "48G¹¹"), =HYPERLINK("CSG11.html#group48L11", "48L¹¹")</f>
        <v/>
      </c>
      <c r="L6499" t="inlineStr"/>
      <c r="M6499">
        <f>HYPERLINK("CSG11.html#group48G11", "48G¹¹"), =HYPERLINK("CSG1.html#group24E1", "24E¹"), =HYPERLINK("CSG0.html#group6B0", "6B⁰"), =HYPERLINK("CSG0.html#group12C0", "12C⁰"), =HYPERLINK("CSG0.html#group3A0", "3A⁰"), =HYPERLINK("CSG2.html#group24N2", "24N²"), =HYPERLINK("CSG0.html#group4C0", "4C⁰"), =HYPERLINK("CSG1.html#group24D1", "24D¹"), =HYPERLINK("CSG0.html#group8B0", "8B⁰"), =HYPERLINK("CSG2.html#group24P2", "24P²"), =HYPERLINK("CSG0.html#group2B0", "2B⁰"), =HYPERLINK("CSG1.html#group12M1", "12M¹"), =HYPERLINK("CSG0.html#group1A0", "1A⁰"), =HYPERLINK("CSG7.html#group48S7", "48S⁷"), =HYPERLINK("CSG4.html#group48C4", "48C⁴"), =HYPERLINK("CSG2.html#group16A2", "16A²"), =HYPERLINK("CSG2.html#group12H2", "12H²"), =HYPERLINK("CSG5.html#group24V5", "24V⁵"), =HYPERLINK("CSG0.html#group24A0", "24A⁰"), =HYPERLINK("CSG11.html#group48L11", "48L¹¹"), =HYPERLINK("CSG9.html#group48AB9", "48AB⁹"), =HYPERLINK("CSG6.html#group48A6", "48A⁶"), =HYPERLINK("CSG3.html#group24T3", "24T³"), =HYPERLINK("CSG3.html#group48F3", "48F³"), =HYPERLINK("CSG0.html#group12D0", "12D⁰"), =HYPERLINK("CSG0.html#group6H0", "6H⁰"), =HYPERLINK("CSG0.html#group12H0", "12H⁰"), =HYPERLINK("CSG1.html#group24H1", "24H¹"), =HYPERLINK("CSG0.html#group6D0", "6D⁰")</f>
        <v/>
      </c>
      <c r="N6499" t="inlineStr"/>
    </row>
    <row r="6500">
      <c r="A6500" t="inlineStr">
        <is>
          <t>48AB²¹</t>
        </is>
      </c>
      <c r="B6500" t="inlineStr"/>
      <c r="C6500" t="inlineStr">
        <is>
          <t>288</t>
        </is>
      </c>
      <c r="D6500" t="inlineStr">
        <is>
          <t>1</t>
        </is>
      </c>
      <c r="E6500" t="inlineStr">
        <is>
          <t>18</t>
        </is>
      </c>
      <c r="F6500" t="inlineStr">
        <is>
          <t>0</t>
        </is>
      </c>
      <c r="G6500" t="inlineStr">
        <is>
          <t>0</t>
        </is>
      </c>
      <c r="H6500" t="inlineStr">
        <is>
          <t>24⁴, 48⁴</t>
        </is>
      </c>
      <c r="I6500" t="n">
        <v>8</v>
      </c>
      <c r="J6500" t="inlineStr">
        <is>
          <t>1², 2⁴, 4²</t>
        </is>
      </c>
      <c r="K6500">
        <f>HYPERLINK("CSG7.html#group24O7", "24O⁷"), =HYPERLINK("CSG7.html#group48AI7", "48AI⁷"), =HYPERLINK("CSG9.html#group48J9", "48J⁹"), =HYPERLINK("CSG11.html#group48H11", "48H¹¹"), =HYPERLINK("CSG11.html#group48L11", "48L¹¹")</f>
        <v/>
      </c>
      <c r="L6500" t="inlineStr"/>
      <c r="M6500">
        <f>HYPERLINK("CSG7.html#group48AI7", "48AI⁷"), =HYPERLINK("CSG1.html#group24E1", "24E¹"), =HYPERLINK("CSG0.html#group12C0", "12C⁰"), =HYPERLINK("CSG4.html#group24P4", "24P⁴"), =HYPERLINK("CSG7.html#group24O7", "24O⁷"), =HYPERLINK("CSG9.html#group48J9", "48J⁹"), =HYPERLINK("CSG0.html#group4C0", "4C⁰"), =HYPERLINK("CSG0.html#group8B0", "8B⁰"), =HYPERLINK("CSG3.html#group24I3", "24I³"), =HYPERLINK("CSG2.html#group24P2", "24P²"), =HYPERLINK("CSG0.html#group6G0", "6G⁰"), =HYPERLINK("CSG1.html#group12M1", "12M¹"), =HYPERLINK("CSG0.html#group2B0", "2B⁰"), =HYPERLINK("CSG2.html#group24C2", "24C²"), =HYPERLINK("CSG0.html#group1A0", "1A⁰"), =HYPERLINK("CSG1.html#group12L1", "12L¹"), =HYPERLINK("CSG11.html#group48H11", "48H¹¹"), =HYPERLINK("CSG2.html#group16A2", "16A²"), =HYPERLINK("CSG1.html#group12C1", "12C¹"), =HYPERLINK("CSG0.html#group24A0", "24A⁰"), =HYPERLINK("CSG11.html#group48L11", "48L¹¹"), =HYPERLINK("CSG3.html#group12I3", "12I³"), =HYPERLINK("CSG3.html#group24N3", "24N³"), =HYPERLINK("CSG6.html#group48A6", "48A⁶"), =HYPERLINK("CSG2.html#group48A2", "48A²"), =HYPERLINK("CSG0.html#group3C0", "3C⁰"), =HYPERLINK("CSG3.html#group48F3", "48F³"), =HYPERLINK("CSG0.html#group3A0", "3A⁰"), =HYPERLINK("CSG0.html#group6D0", "6D⁰")</f>
        <v/>
      </c>
      <c r="N6500" t="inlineStr"/>
    </row>
    <row r="6501">
      <c r="A6501" t="inlineStr">
        <is>
          <t>48AC²¹</t>
        </is>
      </c>
      <c r="B6501" t="inlineStr"/>
      <c r="C6501" t="inlineStr">
        <is>
          <t>288</t>
        </is>
      </c>
      <c r="D6501" t="inlineStr">
        <is>
          <t>1</t>
        </is>
      </c>
      <c r="E6501" t="inlineStr">
        <is>
          <t>18</t>
        </is>
      </c>
      <c r="F6501" t="inlineStr">
        <is>
          <t>0</t>
        </is>
      </c>
      <c r="G6501" t="inlineStr">
        <is>
          <t>0</t>
        </is>
      </c>
      <c r="H6501" t="inlineStr">
        <is>
          <t>24⁴, 48⁴</t>
        </is>
      </c>
      <c r="I6501" t="n">
        <v>8</v>
      </c>
      <c r="J6501" t="inlineStr">
        <is>
          <t>1², 2⁴, 4²</t>
        </is>
      </c>
      <c r="K6501">
        <f>HYPERLINK("CSG7.html#group24O7", "24O⁷"), =HYPERLINK("CSG9.html#group48L9", "48L⁹"), =HYPERLINK("CSG9.html#group48M9", "48M⁹"), =HYPERLINK("CSG9.html#group48AB9", "48AB⁹"), =HYPERLINK("CSG11.html#group48E11", "48E¹¹")</f>
        <v/>
      </c>
      <c r="L6501" t="inlineStr"/>
      <c r="M6501">
        <f>HYPERLINK("CSG1.html#group24E1", "24E¹"), =HYPERLINK("CSG0.html#group12C0", "12C⁰"), =HYPERLINK("CSG4.html#group24P4", "24P⁴"), =HYPERLINK("CSG7.html#group24O7", "24O⁷"), =HYPERLINK("CSG9.html#group48M9", "48M⁹"), =HYPERLINK("CSG0.html#group4C0", "4C⁰"), =HYPERLINK("CSG0.html#group8B0", "8B⁰"), =HYPERLINK("CSG3.html#group24I3", "24I³"), =HYPERLINK("CSG2.html#group24P2", "24P²"), =HYPERLINK("CSG1.html#group16B1", "16B¹"), =HYPERLINK("CSG0.html#group2B0", "2B⁰"), =HYPERLINK("CSG1.html#group12M1", "12M¹"), =HYPERLINK("CSG0.html#group6G0", "6G⁰"), =HYPERLINK("CSG2.html#group24C2", "24C²"), =HYPERLINK("CSG11.html#group48E11", "48E¹¹"), =HYPERLINK("CSG0.html#group1A0", "1A⁰"), =HYPERLINK("CSG1.html#group12L1", "12L¹"), =HYPERLINK("CSG4.html#group48C4", "48C⁴"), =HYPERLINK("CSG3.html#group48C3", "48C³"), =HYPERLINK("CSG9.html#group48L9", "48L⁹"), =HYPERLINK("CSG1.html#group12C1", "12C¹"), =HYPERLINK("CSG0.html#group24A0", "24A⁰"), =HYPERLINK("CSG3.html#group12I3", "12I³"), =HYPERLINK("CSG3.html#group24N3", "24N³"), =HYPERLINK("CSG9.html#group48AB9", "48AB⁹"), =HYPERLINK("CSG0.html#group3C0", "3C⁰"), =HYPERLINK("CSG3.html#group48F3", "48F³"), =HYPERLINK("CSG0.html#group3A0", "3A⁰"), =HYPERLINK("CSG0.html#group6D0", "6D⁰")</f>
        <v/>
      </c>
      <c r="N6501" t="inlineStr"/>
    </row>
    <row r="6502">
      <c r="A6502" t="inlineStr">
        <is>
          <t>48AD²¹</t>
        </is>
      </c>
      <c r="B6502" t="inlineStr"/>
      <c r="C6502" t="inlineStr">
        <is>
          <t>288</t>
        </is>
      </c>
      <c r="D6502" t="inlineStr">
        <is>
          <t>1</t>
        </is>
      </c>
      <c r="E6502" t="inlineStr">
        <is>
          <t>18</t>
        </is>
      </c>
      <c r="F6502" t="inlineStr">
        <is>
          <t>0</t>
        </is>
      </c>
      <c r="G6502" t="inlineStr">
        <is>
          <t>0</t>
        </is>
      </c>
      <c r="H6502" t="inlineStr">
        <is>
          <t>24⁴, 48⁴</t>
        </is>
      </c>
      <c r="I6502" t="n">
        <v>8</v>
      </c>
      <c r="J6502" t="inlineStr">
        <is>
          <t>1², 2⁴, 4²</t>
        </is>
      </c>
      <c r="K6502">
        <f>HYPERLINK("CSG7.html#group24R7", "24R⁷"), =HYPERLINK("CSG9.html#group48J9", "48J⁹"), =HYPERLINK("CSG9.html#group48K9", "48K⁹"), =HYPERLINK("CSG9.html#group48AB9", "48AB⁹"), =HYPERLINK("CSG11.html#group48E11", "48E¹¹")</f>
        <v/>
      </c>
      <c r="L6502" t="inlineStr"/>
      <c r="M6502">
        <f>HYPERLINK("CSG1.html#group24E1", "24E¹"), =HYPERLINK("CSG0.html#group12C0", "12C⁰"), =HYPERLINK("CSG0.html#group4C0", "4C⁰"), =HYPERLINK("CSG3.html#group24I3", "24I³"), =HYPERLINK("CSG0.html#group6G0", "6G⁰"), =HYPERLINK("CSG2.html#group24P2", "24P²"), =HYPERLINK("CSG1.html#group12M1", "12M¹"), =HYPERLINK("CSG0.html#group2B0", "2B⁰"), =HYPERLINK("CSG2.html#group24C2", "24C²"), =HYPERLINK("CSG11.html#group48E11", "48E¹¹"), =HYPERLINK("CSG0.html#group1A0", "1A⁰"), =HYPERLINK("CSG3.html#group24O3", "24O³"), =HYPERLINK("CSG7.html#group24R7", "24R⁷"), =HYPERLINK("CSG0.html#group24A0", "24A⁰"), =HYPERLINK("CSG9.html#group48AB9", "48AB⁹"), =HYPERLINK("CSG0.html#group3C0", "3C⁰"), =HYPERLINK("CSG0.html#group3A0", "3A⁰"), =HYPERLINK("CSG1.html#group12G1", "12G¹"), =HYPERLINK("CSG0.html#group8D0", "8D⁰"), =HYPERLINK("CSG9.html#group48K9", "48K⁹"), =HYPERLINK("CSG9.html#group48J9", "48J⁹"), =HYPERLINK("CSG0.html#group8B0", "8B⁰"), =HYPERLINK("CSG2.html#group24L2", "24L²"), =HYPERLINK("CSG1.html#group12L1", "12L¹"), =HYPERLINK("CSG3.html#group12J3", "12J³"), =HYPERLINK("CSG4.html#group48C4", "48C⁴"), =HYPERLINK("CSG0.html#group8H0", "8H⁰"), =HYPERLINK("CSG0.html#group12A0", "12A⁰"), =HYPERLINK("CSG1.html#group12C1", "12C¹"), =HYPERLINK("CSG0.html#group4A0", "4A⁰"), =HYPERLINK("CSG4.html#group24K4", "24K⁴"), =HYPERLINK("CSG1.html#group24C1", "24C¹"), =HYPERLINK("CSG1.html#group12J1", "12J¹"), =HYPERLINK("CSG0.html#group4F0", "4F⁰"), =HYPERLINK("CSG3.html#group48F3", "48F³"), =HYPERLINK("CSG4.html#group24L4", "24L⁴"), =HYPERLINK("CSG0.html#group6D0", "6D⁰")</f>
        <v/>
      </c>
      <c r="N6502" t="inlineStr"/>
    </row>
    <row r="6503">
      <c r="A6503" t="inlineStr">
        <is>
          <t>48AE²¹</t>
        </is>
      </c>
      <c r="B6503" t="inlineStr"/>
      <c r="C6503" t="inlineStr">
        <is>
          <t>288</t>
        </is>
      </c>
      <c r="D6503" t="inlineStr">
        <is>
          <t>1</t>
        </is>
      </c>
      <c r="E6503" t="inlineStr">
        <is>
          <t>18</t>
        </is>
      </c>
      <c r="F6503" t="inlineStr">
        <is>
          <t>0</t>
        </is>
      </c>
      <c r="G6503" t="inlineStr">
        <is>
          <t>0</t>
        </is>
      </c>
      <c r="H6503" t="inlineStr">
        <is>
          <t>24⁴, 48⁴</t>
        </is>
      </c>
      <c r="I6503" t="n">
        <v>8</v>
      </c>
      <c r="J6503" t="inlineStr">
        <is>
          <t>1², 2⁴, 4²</t>
        </is>
      </c>
      <c r="K6503">
        <f>HYPERLINK("CSG5.html#group24W5", "24W⁵"), =HYPERLINK("CSG7.html#group48T7", "48T⁷"), =HYPERLINK("CSG9.html#group48K9", "48K⁹"), =HYPERLINK("CSG9.html#group48L9", "48L⁹"), =HYPERLINK("CSG11.html#group48C11", "48C¹¹"), =HYPERLINK("CSG11.html#group48G11", "48G¹¹"), =HYPERLINK("CSG11.html#group48L11", "48L¹¹")</f>
        <v/>
      </c>
      <c r="L6503" t="inlineStr"/>
      <c r="M6503">
        <f>HYPERLINK("CSG11.html#group48G11", "48G¹¹"), =HYPERLINK("CSG2.html#group12I2", "12I²"), =HYPERLINK("CSG1.html#group24E1", "24E¹"), =HYPERLINK("CSG2.html#group24O2", "24O²"), =HYPERLINK("CSG3.html#group24Q3", "24Q³"), =HYPERLINK("CSG0.html#group12C0", "12C⁰"), =HYPERLINK("CSG0.html#group4C0", "4C⁰"), =HYPERLINK("CSG2.html#group24P2", "24P²"), =HYPERLINK("CSG0.html#group2B0", "2B⁰"), =HYPERLINK("CSG1.html#group12M1", "12M¹"), =HYPERLINK("CSG3.html#group24P3", "24P³"), =HYPERLINK("CSG0.html#group1A0", "1A⁰"), =HYPERLINK("CSG5.html#group24W5", "24W⁵"), =HYPERLINK("CSG2.html#group16A2", "16A²"), =HYPERLINK("CSG7.html#group48T7", "48T⁷"), =HYPERLINK("CSG0.html#group24A0", "24A⁰"), =HYPERLINK("CSG0.html#group6H0", "6H⁰"), =HYPERLINK("CSG0.html#group3A0", "3A⁰"), =HYPERLINK("CSG1.html#group24H1", "24H¹"), =HYPERLINK("CSG0.html#group6B0", "6B⁰"), =HYPERLINK("CSG3.html#group16C3", "16C³"), =HYPERLINK("CSG0.html#group8D0", "8D⁰"), =HYPERLINK("CSG9.html#group48K9", "48K⁹"), =HYPERLINK("CSG1.html#group24D1", "24D¹"), =HYPERLINK("CSG0.html#group8B0", "8B⁰"), =HYPERLINK("CSG0.html#group12F0", "12F⁰"), =HYPERLINK("CSG1.html#group16B1", "16B¹"), =HYPERLINK("CSG2.html#group24L2", "24L²"), =HYPERLINK("CSG4.html#group48C4", "48C⁴"), =HYPERLINK("CSG0.html#group8H0", "8H⁰"), =HYPERLINK("CSG3.html#group48C3", "48C³"), =HYPERLINK("CSG9.html#group48L9", "48L⁹"), =HYPERLINK("CSG0.html#group12A0", "12A⁰"), =HYPERLINK("CSG11.html#group48L11", "48L¹¹"), =HYPERLINK("CSG0.html#group4A0", "4A⁰"), =HYPERLINK("CSG1.html#group24C1", "24C¹"), =HYPERLINK("CSG3.html#group48F3", "48F³"), =HYPERLINK("CSG1.html#group12J1", "12J¹"), =HYPERLINK("CSG0.html#group12D0", "12D⁰"), =HYPERLINK("CSG0.html#group4F0", "4F⁰"), =HYPERLINK("CSG6.html#group48A6", "48A⁶"), =HYPERLINK("CSG0.html#group12H0", "12H⁰"), =HYPERLINK("CSG0.html#group6D0", "6D⁰"), =HYPERLINK("CSG11.html#group48C11", "48C¹¹")</f>
        <v/>
      </c>
      <c r="N6503" t="inlineStr"/>
    </row>
    <row r="6504">
      <c r="A6504" t="inlineStr">
        <is>
          <t>48AF²¹</t>
        </is>
      </c>
      <c r="B6504" t="inlineStr"/>
      <c r="C6504" t="inlineStr">
        <is>
          <t>288</t>
        </is>
      </c>
      <c r="D6504" t="inlineStr">
        <is>
          <t>1</t>
        </is>
      </c>
      <c r="E6504" t="inlineStr">
        <is>
          <t>18</t>
        </is>
      </c>
      <c r="F6504" t="inlineStr">
        <is>
          <t>0</t>
        </is>
      </c>
      <c r="G6504" t="inlineStr">
        <is>
          <t>0</t>
        </is>
      </c>
      <c r="H6504" t="inlineStr">
        <is>
          <t>24⁴, 48⁴</t>
        </is>
      </c>
      <c r="I6504" t="n">
        <v>8</v>
      </c>
      <c r="J6504" t="inlineStr">
        <is>
          <t>1², 2⁴, 4²</t>
        </is>
      </c>
      <c r="K6504">
        <f>HYPERLINK("CSG7.html#group24R7", "24R⁷"), =HYPERLINK("CSG7.html#group48U7", "48U⁷"), =HYPERLINK("CSG7.html#group48V7", "48V⁷"), =HYPERLINK("CSG9.html#group48M9", "48M⁹"), =HYPERLINK("CSG11.html#group48C11", "48C¹¹"), =HYPERLINK("CSG11.html#group48H11", "48H¹¹"), =HYPERLINK("CSG11.html#group48L11", "48L¹¹")</f>
        <v/>
      </c>
      <c r="L6504" t="inlineStr"/>
      <c r="M6504">
        <f>HYPERLINK("CSG1.html#group24E1", "24E¹"), =HYPERLINK("CSG0.html#group12C0", "12C⁰"), =HYPERLINK("CSG9.html#group48M9", "48M⁹"), =HYPERLINK("CSG0.html#group4C0", "4C⁰"), =HYPERLINK("CSG3.html#group24I3", "24I³"), =HYPERLINK("CSG0.html#group6G0", "6G⁰"), =HYPERLINK("CSG2.html#group24P2", "24P²"), =HYPERLINK("CSG0.html#group2B0", "2B⁰"), =HYPERLINK("CSG1.html#group12M1", "12M¹"), =HYPERLINK("CSG2.html#group24C2", "24C²"), =HYPERLINK("CSG0.html#group1A0", "1A⁰"), =HYPERLINK("CSG3.html#group24O3", "24O³"), =HYPERLINK("CSG11.html#group48H11", "48H¹¹"), =HYPERLINK("CSG2.html#group16A2", "16A²"), =HYPERLINK("CSG7.html#group24R7", "24R⁷"), =HYPERLINK("CSG0.html#group24A0", "24A⁰"), =HYPERLINK("CSG6.html#group48A6", "48A⁶"), =HYPERLINK("CSG0.html#group3C0", "3C⁰"), =HYPERLINK("CSG0.html#group3A0", "3A⁰"), =HYPERLINK("CSG1.html#group12G1", "12G¹"), =HYPERLINK("CSG3.html#group16C3", "16C³"), =HYPERLINK("CSG0.html#group8D0", "8D⁰"), =HYPERLINK("CSG0.html#group8B0", "8B⁰"), =HYPERLINK("CSG1.html#group16B1", "16B¹"), =HYPERLINK("CSG7.html#group48U7", "48U⁷"), =HYPERLINK("CSG2.html#group24L2", "24L²"), =HYPERLINK("CSG1.html#group12L1", "12L¹"), =HYPERLINK("CSG3.html#group12J3", "12J³"), =HYPERLINK("CSG0.html#group8H0", "8H⁰"), =HYPERLINK("CSG3.html#group48C3", "48C³"), =HYPERLINK("CSG7.html#group48V7", "48V⁷"), =HYPERLINK("CSG0.html#group12A0", "12A⁰"), =HYPERLINK("CSG1.html#group12C1", "12C¹"), =HYPERLINK("CSG11.html#group48L11", "48L¹¹"), =HYPERLINK("CSG0.html#group4A0", "4A⁰"), =HYPERLINK("CSG4.html#group24K4", "24K⁴"), =HYPERLINK("CSG1.html#group24C1", "24C¹"), =HYPERLINK("CSG2.html#group48A2", "48A²"), =HYPERLINK("CSG1.html#group12J1", "12J¹"), =HYPERLINK("CSG0.html#group4F0", "4F⁰"), =HYPERLINK("CSG3.html#group48F3", "48F³"), =HYPERLINK("CSG4.html#group24L4", "24L⁴"), =HYPERLINK("CSG0.html#group6D0", "6D⁰"), =HYPERLINK("CSG11.html#group48C11", "48C¹¹")</f>
        <v/>
      </c>
      <c r="N6504" t="inlineStr"/>
    </row>
    <row r="6505">
      <c r="A6505" t="inlineStr">
        <is>
          <t>48AG²¹</t>
        </is>
      </c>
      <c r="B6505" t="inlineStr"/>
      <c r="C6505" t="inlineStr">
        <is>
          <t>288</t>
        </is>
      </c>
      <c r="D6505" t="inlineStr">
        <is>
          <t>1</t>
        </is>
      </c>
      <c r="E6505" t="inlineStr">
        <is>
          <t>18</t>
        </is>
      </c>
      <c r="F6505" t="inlineStr">
        <is>
          <t>0</t>
        </is>
      </c>
      <c r="G6505" t="inlineStr">
        <is>
          <t>0</t>
        </is>
      </c>
      <c r="H6505" t="inlineStr">
        <is>
          <t>24⁴, 48⁴</t>
        </is>
      </c>
      <c r="I6505" t="n">
        <v>8</v>
      </c>
      <c r="J6505" t="inlineStr">
        <is>
          <t>2⁷, 4¹</t>
        </is>
      </c>
      <c r="K6505">
        <f>HYPERLINK("CSG8.html#group48S8", "48S⁸"), =HYPERLINK("CSG8.html#group48T8", "48T⁸"), =HYPERLINK("CSG9.html#group24F9", "24F⁹"), =HYPERLINK("CSG11.html#group48M11", "48M¹¹"), =HYPERLINK("CSG11.html#group48T11", "48T¹¹"), =HYPERLINK("CSG11.html#group48U11", "48U¹¹")</f>
        <v/>
      </c>
      <c r="L6505" t="inlineStr"/>
      <c r="M6505">
        <f>HYPERLINK("CSG9.html#group24F9", "24F⁹"), =HYPERLINK("CSG0.html#group2A0", "2A⁰"), =HYPERLINK("CSG1.html#group24E1", "24E¹"), =HYPERLINK("CSG11.html#group48M11", "48M¹¹"), =HYPERLINK("CSG3.html#group24A3", "24A³"), =HYPERLINK("CSG0.html#group12C0", "12C⁰"), =HYPERLINK("CSG11.html#group48T11", "48T¹¹"), =HYPERLINK("CSG0.html#group4C0", "4C⁰"), =HYPERLINK("CSG5.html#group24A5", "24A⁵"), =HYPERLINK("CSG1.html#group6C1", "6C¹"), =HYPERLINK("CSG2.html#group12B2", "12B²"), =HYPERLINK("CSG2.html#group24P2", "24P²"), =HYPERLINK("CSG2.html#group12E2", "12E²"), =HYPERLINK("CSG1.html#group12M1", "12M¹"), =HYPERLINK("CSG0.html#group2B0", "2B⁰"), =HYPERLINK("CSG0.html#group4E0", "4E⁰"), =HYPERLINK("CSG0.html#group4B0", "4B⁰"), =HYPERLINK("CSG0.html#group1A0", "1A⁰"), =HYPERLINK("CSG3.html#group48H3", "48H³"), =HYPERLINK("CSG8.html#group48S8", "48S⁸"), =HYPERLINK("CSG0.html#group24A0", "24A⁰"), =HYPERLINK("CSG6.html#group48C6", "48C⁶"), =HYPERLINK("CSG2.html#group24D2", "24D²"), =HYPERLINK("CSG1.html#group12B1", "12B¹"), =HYPERLINK("CSG1.html#group6A1", "6A¹"), =HYPERLINK("CSG0.html#group3A0", "3A⁰"), =HYPERLINK("CSG5.html#group24G5", "24G⁵"), =HYPERLINK("CSG1.html#group8A1", "8A¹"), =HYPERLINK("CSG0.html#group8B0", "8B⁰"), =HYPERLINK("CSG8.html#group48T8", "48T⁸"), =HYPERLINK("CSG1.html#group8B1", "8B¹"), =HYPERLINK("CSG0.html#group6A0", "6A⁰"), =HYPERLINK("CSG1.html#group12C1", "12C¹"), =HYPERLINK("CSG4.html#group24E4", "24E⁴"), =HYPERLINK("CSG0.html#group12D0", "12D⁰"), =HYPERLINK("CSG4.html#group12C4", "12C⁴"), =HYPERLINK("CSG0.html#group2C0", "2C⁰"), =HYPERLINK("CSG11.html#group48U11", "48U¹¹"), =HYPERLINK("CSG0.html#group6D0", "6D⁰")</f>
        <v/>
      </c>
      <c r="N6505" t="inlineStr"/>
    </row>
    <row r="6506">
      <c r="A6506" t="inlineStr">
        <is>
          <t>48AH²¹</t>
        </is>
      </c>
      <c r="B6506" t="inlineStr"/>
      <c r="C6506" t="inlineStr">
        <is>
          <t>288</t>
        </is>
      </c>
      <c r="D6506" t="inlineStr">
        <is>
          <t>1</t>
        </is>
      </c>
      <c r="E6506" t="inlineStr">
        <is>
          <t>18</t>
        </is>
      </c>
      <c r="F6506" t="inlineStr">
        <is>
          <t>0</t>
        </is>
      </c>
      <c r="G6506" t="inlineStr">
        <is>
          <t>0</t>
        </is>
      </c>
      <c r="H6506" t="inlineStr">
        <is>
          <t>24⁴, 48⁴</t>
        </is>
      </c>
      <c r="I6506" t="n">
        <v>8</v>
      </c>
      <c r="J6506" t="inlineStr">
        <is>
          <t>1⁴, 2⁵, 4¹</t>
        </is>
      </c>
      <c r="K6506">
        <f>HYPERLINK("CSG8.html#group48AA8", "48AA⁸"), =HYPERLINK("CSG9.html#group24D9", "24D⁹"), =HYPERLINK("CSG11.html#group48F11", "48F¹¹"), =HYPERLINK("CSG11.html#group48M11", "48M¹¹")</f>
        <v/>
      </c>
      <c r="L6506" t="inlineStr"/>
      <c r="M6506">
        <f>HYPERLINK("CSG11.html#group48F11", "48F¹¹"), =HYPERLINK("CSG0.html#group2A0", "2A⁰"), =HYPERLINK("CSG11.html#group48M11", "48M¹¹"), =HYPERLINK("CSG3.html#group24A3", "24A³"), =HYPERLINK("CSG1.html#group8A1", "8A¹"), =HYPERLINK("CSG0.html#group12C0", "12C⁰"), =HYPERLINK("CSG0.html#group4C0", "4C⁰"), =HYPERLINK("CSG5.html#group24A5", "24A⁵"), =HYPERLINK("CSG0.html#group8B0", "8B⁰"), =HYPERLINK("CSG1.html#group6C1", "6C¹"), =HYPERLINK("CSG2.html#group12B2", "12B²"), =HYPERLINK("CSG0.html#group8L0", "8L⁰"), =HYPERLINK("CSG0.html#group2B0", "2B⁰"), =HYPERLINK("CSG1.html#group8B1", "8B¹"), =HYPERLINK("CSG0.html#group4E0", "4E⁰"), =HYPERLINK("CSG0.html#group4B0", "4B⁰"), =HYPERLINK("CSG0.html#group1A0", "1A⁰"), =HYPERLINK("CSG3.html#group48H3", "48H³"), =HYPERLINK("CSG9.html#group24D9", "24D⁹"), =HYPERLINK("CSG0.html#group6A0", "6A⁰"), =HYPERLINK("CSG0.html#group24A0", "24A⁰"), =HYPERLINK("CSG6.html#group48C6", "48C⁶"), =HYPERLINK("CSG1.html#group8G1", "8G¹"), =HYPERLINK("CSG2.html#group24M2", "24M²"), =HYPERLINK("CSG0.html#group6D0", "6D⁰"), =HYPERLINK("CSG1.html#group12B1", "12B¹"), =HYPERLINK("CSG1.html#group6A1", "6A¹"), =HYPERLINK("CSG3.html#group48F3", "48F³"), =HYPERLINK("CSG0.html#group3A0", "3A⁰"), =HYPERLINK("CSG0.html#group8J0", "8J⁰"), =HYPERLINK("CSG0.html#group2C0", "2C⁰"), =HYPERLINK("CSG8.html#group48AA8", "48AA⁸"), =HYPERLINK("CSG4.html#group24G4", "24G⁴")</f>
        <v/>
      </c>
      <c r="N6506" t="inlineStr"/>
    </row>
    <row r="6507">
      <c r="A6507" t="inlineStr">
        <is>
          <t>48AI²¹</t>
        </is>
      </c>
      <c r="B6507" t="inlineStr"/>
      <c r="C6507" t="inlineStr">
        <is>
          <t>288</t>
        </is>
      </c>
      <c r="D6507" t="inlineStr">
        <is>
          <t>1</t>
        </is>
      </c>
      <c r="E6507" t="inlineStr">
        <is>
          <t>18</t>
        </is>
      </c>
      <c r="F6507" t="inlineStr">
        <is>
          <t>0</t>
        </is>
      </c>
      <c r="G6507" t="inlineStr">
        <is>
          <t>0</t>
        </is>
      </c>
      <c r="H6507" t="inlineStr">
        <is>
          <t>24⁴, 48⁴</t>
        </is>
      </c>
      <c r="I6507" t="n">
        <v>8</v>
      </c>
      <c r="J6507" t="inlineStr">
        <is>
          <t>1⁴, 2⁵, 4¹</t>
        </is>
      </c>
      <c r="K6507">
        <f>HYPERLINK("CSG8.html#group48AC8", "48AC⁸"), =HYPERLINK("CSG9.html#group24S9", "24S⁹"), =HYPERLINK("CSG11.html#group48A11", "48A¹¹"), =HYPERLINK("CSG11.html#group48M11", "48M¹¹")</f>
        <v/>
      </c>
      <c r="L6507" t="inlineStr"/>
      <c r="M6507">
        <f>HYPERLINK("CSG0.html#group2A0", "2A⁰"), =HYPERLINK("CSG3.html#group24A3", "24A³"), =HYPERLINK("CSG11.html#group48M11", "48M¹¹"), =HYPERLINK("CSG0.html#group12C0", "12C⁰"), =HYPERLINK("CSG1.html#group8A1", "8A¹"), =HYPERLINK("CSG0.html#group4C0", "4C⁰"), =HYPERLINK("CSG9.html#group24S9", "24S⁹"), =HYPERLINK("CSG5.html#group24A5", "24A⁵"), =HYPERLINK("CSG1.html#group6C1", "6C¹"), =HYPERLINK("CSG2.html#group12B2", "12B²"), =HYPERLINK("CSG0.html#group8B0", "8B⁰"), =HYPERLINK("CSG0.html#group2B0", "2B⁰"), =HYPERLINK("CSG0.html#group4E0", "4E⁰"), =HYPERLINK("CSG1.html#group8B1", "8B¹"), =HYPERLINK("CSG3.html#group16A3", "16A³"), =HYPERLINK("CSG0.html#group4B0", "4B⁰"), =HYPERLINK("CSG1.html#group16B1", "16B¹"), =HYPERLINK("CSG0.html#group1A0", "1A⁰"), =HYPERLINK("CSG3.html#group48H3", "48H³"), =HYPERLINK("CSG2.html#group24Q2", "24Q²"), =HYPERLINK("CSG3.html#group48C3", "48C³"), =HYPERLINK("CSG11.html#group48A11", "48A¹¹"), =HYPERLINK("CSG0.html#group6A0", "6A⁰"), =HYPERLINK("CSG6.html#group48C6", "48C⁶"), =HYPERLINK("CSG0.html#group24A0", "24A⁰"), =HYPERLINK("CSG4.html#group24N4", "24N⁴"), =HYPERLINK("CSG1.html#group12B1", "12B¹"), =HYPERLINK("CSG1.html#group6A1", "6A¹"), =HYPERLINK("CSG8.html#group48AC8", "48AC⁸"), =HYPERLINK("CSG0.html#group3A0", "3A⁰"), =HYPERLINK("CSG0.html#group2C0", "2C⁰"), =HYPERLINK("CSG0.html#group6D0", "6D⁰")</f>
        <v/>
      </c>
      <c r="N6507" t="inlineStr"/>
    </row>
    <row r="6508">
      <c r="A6508" t="inlineStr">
        <is>
          <t>48AJ²¹</t>
        </is>
      </c>
      <c r="B6508" t="inlineStr"/>
      <c r="C6508" t="inlineStr">
        <is>
          <t>288</t>
        </is>
      </c>
      <c r="D6508" t="inlineStr">
        <is>
          <t>1</t>
        </is>
      </c>
      <c r="E6508" t="inlineStr">
        <is>
          <t>18</t>
        </is>
      </c>
      <c r="F6508" t="inlineStr">
        <is>
          <t>0</t>
        </is>
      </c>
      <c r="G6508" t="inlineStr">
        <is>
          <t>0</t>
        </is>
      </c>
      <c r="H6508" t="inlineStr">
        <is>
          <t>24⁴, 48⁴</t>
        </is>
      </c>
      <c r="I6508" t="n">
        <v>8</v>
      </c>
      <c r="J6508" t="inlineStr">
        <is>
          <t>1⁴, 2⁵, 4¹</t>
        </is>
      </c>
      <c r="K6508">
        <f>HYPERLINK("CSG8.html#group48AD8", "48AD⁸"), =HYPERLINK("CSG9.html#group24S9", "24S⁹"), =HYPERLINK("CSG11.html#group48D11", "48D¹¹"), =HYPERLINK("CSG11.html#group48F11", "48F¹¹")</f>
        <v/>
      </c>
      <c r="L6508" t="inlineStr"/>
      <c r="M6508">
        <f>HYPERLINK("CSG11.html#group48F11", "48F¹¹"), =HYPERLINK("CSG0.html#group2A0", "2A⁰"), =HYPERLINK("CSG3.html#group24A3", "24A³"), =HYPERLINK("CSG3.html#group16D3", "16D³"), =HYPERLINK("CSG0.html#group12C0", "12C⁰"), =HYPERLINK("CSG1.html#group8A1", "8A¹"), =HYPERLINK("CSG1.html#group6C1", "6C¹"), =HYPERLINK("CSG9.html#group24S9", "24S⁹"), =HYPERLINK("CSG5.html#group24A5", "24A⁵"), =HYPERLINK("CSG0.html#group4C0", "4C⁰"), =HYPERLINK("CSG2.html#group12B2", "12B²"), =HYPERLINK("CSG0.html#group8B0", "8B⁰"), =HYPERLINK("CSG0.html#group2B0", "2B⁰"), =HYPERLINK("CSG1.html#group8B1", "8B¹"), =HYPERLINK("CSG0.html#group4E0", "4E⁰"), =HYPERLINK("CSG2.html#group24Q2", "24Q²"), =HYPERLINK("CSG0.html#group4B0", "4B⁰"), =HYPERLINK("CSG0.html#group1A0", "1A⁰"), =HYPERLINK("CSG8.html#group48AD8", "48AD⁸"), =HYPERLINK("CSG1.html#group16D1", "16D¹"), =HYPERLINK("CSG2.html#group16B2", "16B²"), =HYPERLINK("CSG0.html#group6A0", "6A⁰"), =HYPERLINK("CSG6.html#group48B6", "48B⁶"), =HYPERLINK("CSG0.html#group24A0", "24A⁰"), =HYPERLINK("CSG11.html#group48D11", "48D¹¹"), =HYPERLINK("CSG3.html#group48E3", "48E³"), =HYPERLINK("CSG4.html#group24N4", "24N⁴"), =HYPERLINK("CSG1.html#group12B1", "12B¹"), =HYPERLINK("CSG1.html#group6A1", "6A¹"), =HYPERLINK("CSG3.html#group48F3", "48F³"), =HYPERLINK("CSG0.html#group3A0", "3A⁰"), =HYPERLINK("CSG0.html#group2C0", "2C⁰"), =HYPERLINK("CSG0.html#group6D0", "6D⁰")</f>
        <v/>
      </c>
      <c r="N6508" t="inlineStr"/>
    </row>
    <row r="6509">
      <c r="A6509" t="inlineStr">
        <is>
          <t>48AK²¹</t>
        </is>
      </c>
      <c r="B6509" t="inlineStr"/>
      <c r="C6509" t="inlineStr">
        <is>
          <t>288</t>
        </is>
      </c>
      <c r="D6509" t="inlineStr">
        <is>
          <t>1</t>
        </is>
      </c>
      <c r="E6509" t="inlineStr">
        <is>
          <t>18</t>
        </is>
      </c>
      <c r="F6509" t="inlineStr">
        <is>
          <t>0</t>
        </is>
      </c>
      <c r="G6509" t="inlineStr">
        <is>
          <t>0</t>
        </is>
      </c>
      <c r="H6509" t="inlineStr">
        <is>
          <t>24⁴, 48⁴</t>
        </is>
      </c>
      <c r="I6509" t="n">
        <v>8</v>
      </c>
      <c r="J6509" t="inlineStr">
        <is>
          <t>1⁴, 2⁵, 4¹</t>
        </is>
      </c>
      <c r="K6509">
        <f>HYPERLINK("CSG5.html#group48H5", "48H⁵"), =HYPERLINK("CSG9.html#group24S9", "24S⁹"), =HYPERLINK("CSG11.html#group48B11", "48B¹¹"), =HYPERLINK("CSG11.html#group48M11", "48M¹¹"), =HYPERLINK("CSG11.html#group48Q11", "48Q¹¹")</f>
        <v/>
      </c>
      <c r="L6509" t="inlineStr"/>
      <c r="M6509">
        <f>HYPERLINK("CSG0.html#group2A0", "2A⁰"), =HYPERLINK("CSG3.html#group24A3", "24A³"), =HYPERLINK("CSG11.html#group48M11", "48M¹¹"), =HYPERLINK("CSG0.html#group12C0", "12C⁰"), =HYPERLINK("CSG0.html#group4C0", "4C⁰"), =HYPERLINK("CSG5.html#group24A5", "24A⁵"), =HYPERLINK("CSG1.html#group6C1", "6C¹"), =HYPERLINK("CSG2.html#group12B2", "12B²"), =HYPERLINK("CSG2.html#group24Q2", "24Q²"), =HYPERLINK("CSG0.html#group2B0", "2B⁰"), =HYPERLINK("CSG0.html#group4E0", "4E⁰"), =HYPERLINK("CSG0.html#group4B0", "4B⁰"), =HYPERLINK("CSG0.html#group1A0", "1A⁰"), =HYPERLINK("CSG3.html#group48H3", "48H³"), =HYPERLINK("CSG2.html#group16A2", "16A²"), =HYPERLINK("CSG0.html#group16B0", "16B⁰"), =HYPERLINK("CSG11.html#group48B11", "48B¹¹"), =HYPERLINK("CSG6.html#group48C6", "48C⁶"), =HYPERLINK("CSG0.html#group24A0", "24A⁰"), =HYPERLINK("CSG4.html#group24N4", "24N⁴"), =HYPERLINK("CSG1.html#group12B1", "12B¹"), =HYPERLINK("CSG1.html#group6A1", "6A¹"), =HYPERLINK("CSG0.html#group3A0", "3A⁰"), =HYPERLINK("CSG1.html#group8A1", "8A¹"), =HYPERLINK("CSG9.html#group24S9", "24S⁹"), =HYPERLINK("CSG0.html#group8B0", "8B⁰"), =HYPERLINK("CSG3.html#group16B3", "16B³"), =HYPERLINK("CSG5.html#group48H5", "48H⁵"), =HYPERLINK("CSG0.html#group48A0", "48A⁰"), =HYPERLINK("CSG1.html#group8B1", "8B¹"), =HYPERLINK("CSG0.html#group6A0", "6A⁰"), =HYPERLINK("CSG11.html#group48Q11", "48Q¹¹"), =HYPERLINK("CSG6.html#group48A6", "48A⁶"), =HYPERLINK("CSG0.html#group2C0", "2C⁰"), =HYPERLINK("CSG0.html#group6D0", "6D⁰")</f>
        <v/>
      </c>
      <c r="N6509" t="inlineStr"/>
    </row>
    <row r="6510">
      <c r="A6510" t="inlineStr">
        <is>
          <t>48AL²¹</t>
        </is>
      </c>
      <c r="B6510" t="inlineStr"/>
      <c r="C6510" t="inlineStr">
        <is>
          <t>288</t>
        </is>
      </c>
      <c r="D6510" t="inlineStr">
        <is>
          <t>1</t>
        </is>
      </c>
      <c r="E6510" t="inlineStr">
        <is>
          <t>18</t>
        </is>
      </c>
      <c r="F6510" t="inlineStr">
        <is>
          <t>0</t>
        </is>
      </c>
      <c r="G6510" t="inlineStr">
        <is>
          <t>0</t>
        </is>
      </c>
      <c r="H6510" t="inlineStr">
        <is>
          <t>24⁴, 48⁴</t>
        </is>
      </c>
      <c r="I6510" t="n">
        <v>8</v>
      </c>
      <c r="J6510" t="inlineStr">
        <is>
          <t>1⁴, 2⁵, 4¹</t>
        </is>
      </c>
      <c r="K6510">
        <f>HYPERLINK("CSG7.html#group48AF7", "48AF⁷"), =HYPERLINK("CSG9.html#group24D9", "24D⁹"), =HYPERLINK("CSG9.html#group48X9", "48X⁹"), =HYPERLINK("CSG11.html#group48I11", "48I¹¹"), =HYPERLINK("CSG11.html#group48M11", "48M¹¹")</f>
        <v/>
      </c>
      <c r="L6510" t="inlineStr"/>
      <c r="M6510">
        <f>HYPERLINK("CSG0.html#group2A0", "2A⁰"), =HYPERLINK("CSG3.html#group24A3", "24A³"), =HYPERLINK("CSG11.html#group48M11", "48M¹¹"), =HYPERLINK("CSG0.html#group12C0", "12C⁰"), =HYPERLINK("CSG0.html#group4C0", "4C⁰"), =HYPERLINK("CSG5.html#group24A5", "24A⁵"), =HYPERLINK("CSG1.html#group6C1", "6C¹"), =HYPERLINK("CSG2.html#group12B2", "12B²"), =HYPERLINK("CSG0.html#group8L0", "8L⁰"), =HYPERLINK("CSG0.html#group2B0", "2B⁰"), =HYPERLINK("CSG0.html#group4E0", "4E⁰"), =HYPERLINK("CSG0.html#group4B0", "4B⁰"), =HYPERLINK("CSG0.html#group1A0", "1A⁰"), =HYPERLINK("CSG3.html#group48H3", "48H³"), =HYPERLINK("CSG0.html#group24A0", "24A⁰"), =HYPERLINK("CSG6.html#group48C6", "48C⁶"), =HYPERLINK("CSG1.html#group8G1", "8G¹"), =HYPERLINK("CSG9.html#group48X9", "48X⁹"), =HYPERLINK("CSG1.html#group12B1", "12B¹"), =HYPERLINK("CSG1.html#group6A1", "6A¹"), =HYPERLINK("CSG0.html#group3A0", "3A⁰"), =HYPERLINK("CSG0.html#group8J0", "8J⁰"), =HYPERLINK("CSG11.html#group48I11", "48I¹¹"), =HYPERLINK("CSG1.html#group8A1", "8A¹"), =HYPERLINK("CSG0.html#group8B0", "8B⁰"), =HYPERLINK("CSG1.html#group8B1", "8B¹"), =HYPERLINK("CSG4.html#group48C4", "48C⁴"), =HYPERLINK("CSG9.html#group24D9", "24D⁹"), =HYPERLINK("CSG0.html#group6A0", "6A⁰"), =HYPERLINK("CSG2.html#group24M2", "24M²"), =HYPERLINK("CSG2.html#group48A2", "48A²"), =HYPERLINK("CSG7.html#group48AF7", "48AF⁷"), =HYPERLINK("CSG0.html#group2C0", "2C⁰"), =HYPERLINK("CSG0.html#group6D0", "6D⁰"), =HYPERLINK("CSG4.html#group24G4", "24G⁴")</f>
        <v/>
      </c>
      <c r="N6510" t="inlineStr"/>
    </row>
    <row r="6511">
      <c r="A6511" t="inlineStr">
        <is>
          <t>48AM²¹</t>
        </is>
      </c>
      <c r="B6511" t="inlineStr"/>
      <c r="C6511" t="inlineStr">
        <is>
          <t>288</t>
        </is>
      </c>
      <c r="D6511" t="inlineStr">
        <is>
          <t>1</t>
        </is>
      </c>
      <c r="E6511" t="inlineStr">
        <is>
          <t>18</t>
        </is>
      </c>
      <c r="F6511" t="inlineStr">
        <is>
          <t>0</t>
        </is>
      </c>
      <c r="G6511" t="inlineStr">
        <is>
          <t>0</t>
        </is>
      </c>
      <c r="H6511" t="inlineStr">
        <is>
          <t>24⁴, 48⁴</t>
        </is>
      </c>
      <c r="I6511" t="n">
        <v>8</v>
      </c>
      <c r="J6511" t="inlineStr">
        <is>
          <t>1⁴, 2⁵, 4¹</t>
        </is>
      </c>
      <c r="K6511">
        <f>HYPERLINK("CSG7.html#group48AG7", "48AG⁷"), =HYPERLINK("CSG9.html#group24S9", "24S⁹"), =HYPERLINK("CSG9.html#group48Y9", "48Y⁹"), =HYPERLINK("CSG11.html#group48D11", "48D¹¹"), =HYPERLINK("CSG11.html#group48I11", "48I¹¹")</f>
        <v/>
      </c>
      <c r="L6511" t="inlineStr"/>
      <c r="M6511">
        <f>HYPERLINK("CSG0.html#group2A0", "2A⁰"), =HYPERLINK("CSG3.html#group24A3", "24A³"), =HYPERLINK("CSG0.html#group12C0", "12C⁰"), =HYPERLINK("CSG0.html#group4C0", "4C⁰"), =HYPERLINK("CSG1.html#group6C1", "6C¹"), =HYPERLINK("CSG5.html#group24A5", "24A⁵"), =HYPERLINK("CSG2.html#group12B2", "12B²"), =HYPERLINK("CSG2.html#group24Q2", "24Q²"), =HYPERLINK("CSG0.html#group2B0", "2B⁰"), =HYPERLINK("CSG0.html#group4E0", "4E⁰"), =HYPERLINK("CSG0.html#group4B0", "4B⁰"), =HYPERLINK("CSG0.html#group1A0", "1A⁰"), =HYPERLINK("CSG1.html#group16D1", "16D¹"), =HYPERLINK("CSG2.html#group16B2", "16B²"), =HYPERLINK("CSG6.html#group48B6", "48B⁶"), =HYPERLINK("CSG0.html#group24A0", "24A⁰"), =HYPERLINK("CSG11.html#group48D11", "48D¹¹"), =HYPERLINK("CSG4.html#group24N4", "24N⁴"), =HYPERLINK("CSG1.html#group12B1", "12B¹"), =HYPERLINK("CSG1.html#group6A1", "6A¹"), =HYPERLINK("CSG0.html#group3A0", "3A⁰"), =HYPERLINK("CSG7.html#group48AG7", "48AG⁷"), =HYPERLINK("CSG11.html#group48I11", "48I¹¹"), =HYPERLINK("CSG3.html#group16D3", "16D³"), =HYPERLINK("CSG1.html#group8A1", "8A¹"), =HYPERLINK("CSG9.html#group24S9", "24S⁹"), =HYPERLINK("CSG0.html#group8B0", "8B⁰"), =HYPERLINK("CSG1.html#group8B1", "8B¹"), =HYPERLINK("CSG4.html#group48C4", "48C⁴"), =HYPERLINK("CSG9.html#group48Y9", "48Y⁹"), =HYPERLINK("CSG0.html#group6A0", "6A⁰"), =HYPERLINK("CSG3.html#group48E3", "48E³"), =HYPERLINK("CSG2.html#group48A2", "48A²"), =HYPERLINK("CSG0.html#group2C0", "2C⁰"), =HYPERLINK("CSG0.html#group6D0", "6D⁰")</f>
        <v/>
      </c>
      <c r="N6511" t="inlineStr"/>
    </row>
    <row r="6512">
      <c r="A6512" t="inlineStr">
        <is>
          <t>48AN²¹</t>
        </is>
      </c>
      <c r="B6512" t="inlineStr"/>
      <c r="C6512" t="inlineStr">
        <is>
          <t>288</t>
        </is>
      </c>
      <c r="D6512" t="inlineStr">
        <is>
          <t>1</t>
        </is>
      </c>
      <c r="E6512" t="inlineStr">
        <is>
          <t>18</t>
        </is>
      </c>
      <c r="F6512" t="inlineStr">
        <is>
          <t>0</t>
        </is>
      </c>
      <c r="G6512" t="inlineStr">
        <is>
          <t>0</t>
        </is>
      </c>
      <c r="H6512" t="inlineStr">
        <is>
          <t>24⁴, 48⁴</t>
        </is>
      </c>
      <c r="I6512" t="n">
        <v>8</v>
      </c>
      <c r="J6512" t="inlineStr">
        <is>
          <t>1⁴, 2⁵, 4¹</t>
        </is>
      </c>
      <c r="K6512">
        <f>HYPERLINK("CSG8.html#group48AB8", "48AB⁸"), =HYPERLINK("CSG9.html#group24F9", "24F⁹"), =HYPERLINK("CSG11.html#group48D11", "48D¹¹"), =HYPERLINK("CSG11.html#group48M11", "48M¹¹"), =HYPERLINK("CSG11.html#group48V11", "48V¹¹")</f>
        <v/>
      </c>
      <c r="L6512" t="inlineStr"/>
      <c r="M6512">
        <f>HYPERLINK("CSG8.html#group48AB8", "48AB⁸"), =HYPERLINK("CSG9.html#group24F9", "24F⁹"), =HYPERLINK("CSG1.html#group24E1", "24E¹"), =HYPERLINK("CSG11.html#group48M11", "48M¹¹"), =HYPERLINK("CSG0.html#group2A0", "2A⁰"), =HYPERLINK("CSG3.html#group24A3", "24A³"), =HYPERLINK("CSG0.html#group12C0", "12C⁰"), =HYPERLINK("CSG0.html#group4C0", "4C⁰"), =HYPERLINK("CSG5.html#group24A5", "24A⁵"), =HYPERLINK("CSG1.html#group6C1", "6C¹"), =HYPERLINK("CSG2.html#group12B2", "12B²"), =HYPERLINK("CSG2.html#group24P2", "24P²"), =HYPERLINK("CSG2.html#group12E2", "12E²"), =HYPERLINK("CSG0.html#group2B0", "2B⁰"), =HYPERLINK("CSG1.html#group12M1", "12M¹"), =HYPERLINK("CSG0.html#group4E0", "4E⁰"), =HYPERLINK("CSG0.html#group4B0", "4B⁰"), =HYPERLINK("CSG0.html#group1A0", "1A⁰"), =HYPERLINK("CSG3.html#group48H3", "48H³"), =HYPERLINK("CSG1.html#group16D1", "16D¹"), =HYPERLINK("CSG2.html#group16B2", "16B²"), =HYPERLINK("CSG6.html#group48B6", "48B⁶"), =HYPERLINK("CSG0.html#group24A0", "24A⁰"), =HYPERLINK("CSG11.html#group48D11", "48D¹¹"), =HYPERLINK("CSG6.html#group48C6", "48C⁶"), =HYPERLINK("CSG2.html#group24D2", "24D²"), =HYPERLINK("CSG1.html#group12B1", "12B¹"), =HYPERLINK("CSG1.html#group6A1", "6A¹"), =HYPERLINK("CSG0.html#group3A0", "3A⁰"), =HYPERLINK("CSG5.html#group24G5", "24G⁵"), =HYPERLINK("CSG3.html#group16D3", "16D³"), =HYPERLINK("CSG1.html#group8A1", "8A¹"), =HYPERLINK("CSG0.html#group8B0", "8B⁰"), =HYPERLINK("CSG1.html#group8B1", "8B¹"), =HYPERLINK("CSG0.html#group6A0", "6A⁰"), =HYPERLINK("CSG1.html#group12C1", "12C¹"), =HYPERLINK("CSG3.html#group48E3", "48E³"), =HYPERLINK("CSG11.html#group48V11", "48V¹¹"), =HYPERLINK("CSG4.html#group24E4", "24E⁴"), =HYPERLINK("CSG0.html#group12D0", "12D⁰"), =HYPERLINK("CSG4.html#group12C4", "12C⁴"), =HYPERLINK("CSG0.html#group2C0", "2C⁰"), =HYPERLINK("CSG0.html#group6D0", "6D⁰")</f>
        <v/>
      </c>
      <c r="N6512" t="inlineStr"/>
    </row>
    <row r="6513">
      <c r="A6513" t="inlineStr">
        <is>
          <t>48AO²¹</t>
        </is>
      </c>
      <c r="B6513" t="inlineStr"/>
      <c r="C6513" t="inlineStr">
        <is>
          <t>288</t>
        </is>
      </c>
      <c r="D6513" t="inlineStr">
        <is>
          <t>1</t>
        </is>
      </c>
      <c r="E6513" t="inlineStr">
        <is>
          <t>18</t>
        </is>
      </c>
      <c r="F6513" t="inlineStr">
        <is>
          <t>0</t>
        </is>
      </c>
      <c r="G6513" t="inlineStr">
        <is>
          <t>0</t>
        </is>
      </c>
      <c r="H6513" t="inlineStr">
        <is>
          <t>24⁴, 48⁴</t>
        </is>
      </c>
      <c r="I6513" t="n">
        <v>8</v>
      </c>
      <c r="J6513" t="inlineStr">
        <is>
          <t>1⁴, 2⁵, 4¹</t>
        </is>
      </c>
      <c r="K6513">
        <f>HYPERLINK("CSG7.html#group48AD7", "48AD⁷"), =HYPERLINK("CSG9.html#group24J9", "24J⁹"), =HYPERLINK("CSG9.html#group48W9", "48W⁹"), =HYPERLINK("CSG11.html#group48M11", "48M¹¹"), =HYPERLINK("CSG11.html#group48N11", "48N¹¹"), =HYPERLINK("CSG11.html#group48P11", "48P¹¹")</f>
        <v/>
      </c>
      <c r="L6513" t="inlineStr"/>
      <c r="M6513">
        <f>HYPERLINK("CSG0.html#group2A0", "2A⁰"), =HYPERLINK("CSG3.html#group24A3", "24A³"), =HYPERLINK("CSG11.html#group48M11", "48M¹¹"), =HYPERLINK("CSG0.html#group12C0", "12C⁰"), =HYPERLINK("CSG1.html#group12K1", "12K¹"), =HYPERLINK("CSG2.html#group12D2", "12D²"), =HYPERLINK("CSG0.html#group4C0", "4C⁰"), =HYPERLINK("CSG5.html#group24A5", "24A⁵"), =HYPERLINK("CSG1.html#group6C1", "6C¹"), =HYPERLINK("CSG2.html#group12B2", "12B²"), =HYPERLINK("CSG0.html#group6G0", "6G⁰"), =HYPERLINK("CSG3.html#group24I3", "24I³"), =HYPERLINK("CSG0.html#group2B0", "2B⁰"), =HYPERLINK("CSG0.html#group4E0", "4E⁰"), =HYPERLINK("CSG2.html#group12E2", "12E²"), =HYPERLINK("CSG2.html#group24C2", "24C²"), =HYPERLINK("CSG0.html#group4B0", "4B⁰"), =HYPERLINK("CSG5.html#group24E5", "24E⁵"), =HYPERLINK("CSG0.html#group1A0", "1A⁰"), =HYPERLINK("CSG3.html#group48H3", "48H³"), =HYPERLINK("CSG3.html#group12G3", "12G³"), =HYPERLINK("CSG5.html#group24F5", "24F⁵"), =HYPERLINK("CSG11.html#group48P11", "48P¹¹"), =HYPERLINK("CSG6.html#group48C6", "48C⁶"), =HYPERLINK("CSG0.html#group24A0", "24A⁰"), =HYPERLINK("CSG1.html#group6B1", "6B¹"), =HYPERLINK("CSG0.html#group3C0", "3C⁰"), =HYPERLINK("CSG9.html#group24J9", "24J⁹"), =HYPERLINK("CSG1.html#group12B1", "12B¹"), =HYPERLINK("CSG1.html#group6A1", "6A¹"), =HYPERLINK("CSG9.html#group48W9", "48W⁹"), =HYPERLINK("CSG0.html#group3A0", "3A⁰"), =HYPERLINK("CSG0.html#group6H0", "6H⁰"), =HYPERLINK("CSG1.html#group24H1", "24H¹"), =HYPERLINK("CSG11.html#group48N11", "48N¹¹"), =HYPERLINK("CSG1.html#group6E1", "6E¹"), =HYPERLINK("CSG0.html#group6B0", "6B⁰"), =HYPERLINK("CSG1.html#group8A1", "8A¹"), =HYPERLINK("CSG1.html#group24D1", "24D¹"), =HYPERLINK("CSG0.html#group8B0", "8B⁰"), =HYPERLINK("CSG1.html#group8B1", "8B¹"), =HYPERLINK("CSG1.html#group12L1", "12L¹"), =HYPERLINK("CSG7.html#group48AD7", "48AD⁷"), =HYPERLINK("CSG5.html#group24D5", "24D⁵"), =HYPERLINK("CSG0.html#group6A0", "6A⁰"), =HYPERLINK("CSG1.html#group12C1", "12C¹"), =HYPERLINK("CSG0.html#group12D0", "12D⁰"), =HYPERLINK("CSG0.html#group12H0", "12H⁰"), =HYPERLINK("CSG0.html#group2C0", "2C⁰"), =HYPERLINK("CSG0.html#group6D0", "6D⁰")</f>
        <v/>
      </c>
      <c r="N6513" t="inlineStr"/>
    </row>
    <row r="6514">
      <c r="A6514" t="inlineStr">
        <is>
          <t>48AP²¹</t>
        </is>
      </c>
      <c r="B6514" t="inlineStr"/>
      <c r="C6514" t="inlineStr">
        <is>
          <t>288</t>
        </is>
      </c>
      <c r="D6514" t="inlineStr">
        <is>
          <t>1</t>
        </is>
      </c>
      <c r="E6514" t="inlineStr">
        <is>
          <t>18</t>
        </is>
      </c>
      <c r="F6514" t="inlineStr">
        <is>
          <t>0</t>
        </is>
      </c>
      <c r="G6514" t="inlineStr">
        <is>
          <t>0</t>
        </is>
      </c>
      <c r="H6514" t="inlineStr">
        <is>
          <t>24⁴, 48⁴</t>
        </is>
      </c>
      <c r="I6514" t="n">
        <v>8</v>
      </c>
      <c r="J6514" t="inlineStr">
        <is>
          <t>1⁴, 2⁵, 4¹</t>
        </is>
      </c>
      <c r="K6514">
        <f>HYPERLINK("CSG7.html#group48AE7", "48AE⁷"), =HYPERLINK("CSG9.html#group24J9", "24J⁹"), =HYPERLINK("CSG9.html#group48Z9", "48Z⁹"), =HYPERLINK("CSG11.html#group48D11", "48D¹¹"), =HYPERLINK("CSG11.html#group48M11", "48M¹¹"), =HYPERLINK("CSG11.html#group48R11", "48R¹¹"), =HYPERLINK("CSG11.html#group48S11", "48S¹¹")</f>
        <v/>
      </c>
      <c r="L6514" t="inlineStr"/>
      <c r="M6514">
        <f>HYPERLINK("CSG0.html#group2A0", "2A⁰"), =HYPERLINK("CSG3.html#group24A3", "24A³"), =HYPERLINK("CSG11.html#group48M11", "48M¹¹"), =HYPERLINK("CSG0.html#group12C0", "12C⁰"), =HYPERLINK("CSG1.html#group12K1", "12K¹"), =HYPERLINK("CSG9.html#group48Z9", "48Z⁹"), =HYPERLINK("CSG2.html#group12D2", "12D²"), =HYPERLINK("CSG11.html#group48R11", "48R¹¹"), =HYPERLINK("CSG0.html#group4C0", "4C⁰"), =HYPERLINK("CSG5.html#group24A5", "24A⁵"), =HYPERLINK("CSG1.html#group6C1", "6C¹"), =HYPERLINK("CSG2.html#group12B2", "12B²"), =HYPERLINK("CSG3.html#group24I3", "24I³"), =HYPERLINK("CSG0.html#group2B0", "2B⁰"), =HYPERLINK("CSG0.html#group4E0", "4E⁰"), =HYPERLINK("CSG0.html#group6G0", "6G⁰"), =HYPERLINK("CSG2.html#group24C2", "24C²"), =HYPERLINK("CSG0.html#group4B0", "4B⁰"), =HYPERLINK("CSG2.html#group12E2", "12E²"), =HYPERLINK("CSG0.html#group1A0", "1A⁰"), =HYPERLINK("CSG3.html#group48H3", "48H³"), =HYPERLINK("CSG5.html#group24E5", "24E⁵"), =HYPERLINK("CSG3.html#group12G3", "12G³"), =HYPERLINK("CSG5.html#group24F5", "24F⁵"), =HYPERLINK("CSG1.html#group16D1", "16D¹"), =HYPERLINK("CSG2.html#group16B2", "16B²"), =HYPERLINK("CSG6.html#group48B6", "48B⁶"), =HYPERLINK("CSG6.html#group48C6", "48C⁶"), =HYPERLINK("CSG11.html#group48D11", "48D¹¹"), =HYPERLINK("CSG0.html#group24A0", "24A⁰"), =HYPERLINK("CSG1.html#group6B1", "6B¹"), =HYPERLINK("CSG0.html#group3C0", "3C⁰"), =HYPERLINK("CSG9.html#group24J9", "24J⁹"), =HYPERLINK("CSG1.html#group12B1", "12B¹"), =HYPERLINK("CSG1.html#group6A1", "6A¹"), =HYPERLINK("CSG0.html#group6H0", "6H⁰"), =HYPERLINK("CSG0.html#group3A0", "3A⁰"), =HYPERLINK("CSG1.html#group24H1", "24H¹"), =HYPERLINK("CSG1.html#group6E1", "6E¹"), =HYPERLINK("CSG3.html#group16D3", "16D³"), =HYPERLINK("CSG1.html#group8A1", "8A¹"), =HYPERLINK("CSG0.html#group6B0", "6B⁰"), =HYPERLINK("CSG1.html#group24D1", "24D¹"), =HYPERLINK("CSG0.html#group8B0", "8B⁰"), =HYPERLINK("CSG1.html#group8B1", "8B¹"), =HYPERLINK("CSG1.html#group12L1", "12L¹"), =HYPERLINK("CSG5.html#group24D5", "24D⁵"), =HYPERLINK("CSG0.html#group6A0", "6A⁰"), =HYPERLINK("CSG11.html#group48S11", "48S¹¹"), =HYPERLINK("CSG3.html#group48E3", "48E³"), =HYPERLINK("CSG1.html#group12C1", "12C¹"), =HYPERLINK("CSG0.html#group12D0", "12D⁰"), =HYPERLINK("CSG7.html#group48AE7", "48AE⁷"), =HYPERLINK("CSG0.html#group12H0", "12H⁰"), =HYPERLINK("CSG0.html#group2C0", "2C⁰"), =HYPERLINK("CSG0.html#group6D0", "6D⁰")</f>
        <v/>
      </c>
      <c r="N6514" t="inlineStr"/>
    </row>
    <row r="6515">
      <c r="A6515" t="inlineStr">
        <is>
          <t>48AQ²¹</t>
        </is>
      </c>
      <c r="B6515" t="inlineStr"/>
      <c r="C6515" t="inlineStr">
        <is>
          <t>288</t>
        </is>
      </c>
      <c r="D6515" t="inlineStr">
        <is>
          <t>1</t>
        </is>
      </c>
      <c r="E6515" t="inlineStr">
        <is>
          <t>24</t>
        </is>
      </c>
      <c r="F6515" t="inlineStr">
        <is>
          <t>0</t>
        </is>
      </c>
      <c r="G6515" t="inlineStr">
        <is>
          <t>0</t>
        </is>
      </c>
      <c r="H6515" t="inlineStr">
        <is>
          <t>24⁴, 48⁴</t>
        </is>
      </c>
      <c r="I6515" t="n">
        <v>8</v>
      </c>
      <c r="J6515" t="inlineStr">
        <is>
          <t>2², 4⁵</t>
        </is>
      </c>
      <c r="K6515">
        <f>HYPERLINK("CSG5.html#group16H5", "16H⁵"), =HYPERLINK("CSG10.html#group24C10", "24C¹⁰"), =HYPERLINK("CSG10.html#group48C10", "48C¹⁰"), =HYPERLINK("CSG11.html#group48J11", "48J¹¹")</f>
        <v/>
      </c>
      <c r="L6515" t="inlineStr"/>
      <c r="M6515">
        <f>HYPERLINK("CSG10.html#group24C10", "24C¹⁰"), =HYPERLINK("CSG3.html#group24A3", "24A³"), =HYPERLINK("CSG0.html#group12C0", "12C⁰"), =HYPERLINK("CSG0.html#group4C0", "4C⁰"), =HYPERLINK("CSG0.html#group8A0", "8A⁰"), =HYPERLINK("CSG0.html#group2B0", "2B⁰"), =HYPERLINK("CSG0.html#group1A0", "1A⁰"), =HYPERLINK("CSG0.html#group8K0", "8K⁰"), =HYPERLINK("CSG0.html#group16E0", "16E⁰"), =HYPERLINK("CSG2.html#group16B2", "16B²"), =HYPERLINK("CSG1.html#group24A1", "24A¹"), =HYPERLINK("CSG6.html#group48B6", "48B⁶"), =HYPERLINK("CSG4.html#group48E4", "48E⁴"), =HYPERLINK("CSG3.html#group48D3", "48D³"), =HYPERLINK("CSG0.html#group3A0", "3A⁰"), =HYPERLINK("CSG3.html#group16E3", "16E³"), =HYPERLINK("CSG2.html#group16D2", "16D²"), =HYPERLINK("CSG1.html#group8A1", "8A¹"), =HYPERLINK("CSG11.html#group48J11", "48J¹¹"), =HYPERLINK("CSG5.html#group16H5", "16H⁵"), =HYPERLINK("CSG0.html#group8D0", "8D⁰"), =HYPERLINK("CSG2.html#group8B2", "8B²"), =HYPERLINK("CSG1.html#group8D1", "8D¹"), =HYPERLINK("CSG3.html#group24J3", "24J³"), =HYPERLINK("CSG4.html#group24H4", "24H⁴"), =HYPERLINK("CSG1.html#group8C1", "8C¹"), =HYPERLINK("CSG0.html#group12A0", "12A⁰"), =HYPERLINK("CSG0.html#group4A0", "4A⁰"), =HYPERLINK("CSG1.html#group16C1", "16C¹"), =HYPERLINK("CSG1.html#group24C1", "24C¹"), =HYPERLINK("CSG1.html#group12J1", "12J¹"), =HYPERLINK("CSG0.html#group4F0", "4F⁰"), =HYPERLINK("CSG10.html#group48C10", "48C¹⁰"), =HYPERLINK("CSG0.html#group6D0", "6D⁰"), =HYPERLINK("CSG5.html#group24B5", "24B⁵")</f>
        <v/>
      </c>
      <c r="N6515" t="inlineStr"/>
    </row>
    <row r="6516">
      <c r="A6516" t="inlineStr">
        <is>
          <t>48AR²¹</t>
        </is>
      </c>
      <c r="B6516" t="inlineStr"/>
      <c r="C6516" t="inlineStr">
        <is>
          <t>288</t>
        </is>
      </c>
      <c r="D6516" t="inlineStr">
        <is>
          <t>1</t>
        </is>
      </c>
      <c r="E6516" t="inlineStr">
        <is>
          <t>36</t>
        </is>
      </c>
      <c r="F6516" t="inlineStr">
        <is>
          <t>0</t>
        </is>
      </c>
      <c r="G6516" t="inlineStr">
        <is>
          <t>0</t>
        </is>
      </c>
      <c r="H6516" t="inlineStr">
        <is>
          <t>24⁴, 48⁴</t>
        </is>
      </c>
      <c r="I6516" t="n">
        <v>8</v>
      </c>
      <c r="J6516" t="inlineStr">
        <is>
          <t>2², 4⁴, 8²</t>
        </is>
      </c>
      <c r="K6516">
        <f>HYPERLINK("CSG7.html#group24AB7", "24AB⁷"), =HYPERLINK("CSG7.html#group48AB7", "48AB⁷"), =HYPERLINK("CSG11.html#group48C11", "48C¹¹")</f>
        <v/>
      </c>
      <c r="L6516" t="inlineStr"/>
      <c r="M6516">
        <f>HYPERLINK("CSG4.html#group24O4", "24O⁴"), =HYPERLINK("CSG0.html#group12C0", "12C⁰"), =HYPERLINK("CSG3.html#group16C3", "16C³"), =HYPERLINK("CSG0.html#group8D0", "8D⁰"), =HYPERLINK("CSG0.html#group4C0", "4C⁰"), =HYPERLINK("CSG0.html#group8B0", "8B⁰"), =HYPERLINK("CSG1.html#group16B1", "16B¹"), =HYPERLINK("CSG0.html#group2B0", "2B⁰"), =HYPERLINK("CSG1.html#group24B1", "24B¹"), =HYPERLINK("CSG2.html#group24L2", "24L²"), =HYPERLINK("CSG0.html#group1A0", "1A⁰"), =HYPERLINK("CSG2.html#group16A2", "16A²"), =HYPERLINK("CSG0.html#group8H0", "8H⁰"), =HYPERLINK("CSG3.html#group48C3", "48C³"), =HYPERLINK("CSG7.html#group48AB7", "48AB⁷"), =HYPERLINK("CSG0.html#group12A0", "12A⁰"), =HYPERLINK("CSG0.html#group24A0", "24A⁰"), =HYPERLINK("CSG0.html#group4A0", "4A⁰"), =HYPERLINK("CSG6.html#group48A6", "48A⁶"), =HYPERLINK("CSG1.html#group24C1", "24C¹"), =HYPERLINK("CSG7.html#group24AB7", "24AB⁷"), =HYPERLINK("CSG1.html#group12J1", "12J¹"), =HYPERLINK("CSG0.html#group4F0", "4F⁰"), =HYPERLINK("CSG3.html#group24R3", "24R³"), =HYPERLINK("CSG0.html#group3A0", "3A⁰"), =HYPERLINK("CSG0.html#group6D0", "6D⁰"), =HYPERLINK("CSG11.html#group48C11", "48C¹¹")</f>
        <v/>
      </c>
      <c r="N6516" t="inlineStr"/>
    </row>
    <row r="6517">
      <c r="A6517" t="inlineStr">
        <is>
          <t>48AS²¹</t>
        </is>
      </c>
      <c r="B6517" t="inlineStr"/>
      <c r="C6517" t="inlineStr">
        <is>
          <t>288</t>
        </is>
      </c>
      <c r="D6517" t="inlineStr">
        <is>
          <t>1</t>
        </is>
      </c>
      <c r="E6517" t="inlineStr">
        <is>
          <t>36</t>
        </is>
      </c>
      <c r="F6517" t="inlineStr">
        <is>
          <t>0</t>
        </is>
      </c>
      <c r="G6517" t="inlineStr">
        <is>
          <t>0</t>
        </is>
      </c>
      <c r="H6517" t="inlineStr">
        <is>
          <t>24⁴, 48⁴</t>
        </is>
      </c>
      <c r="I6517" t="n">
        <v>8</v>
      </c>
      <c r="J6517" t="inlineStr">
        <is>
          <t>1², 2³, 4³, 8²</t>
        </is>
      </c>
      <c r="K6517">
        <f>HYPERLINK("CSG7.html#group24AC7", "24AC⁷"), =HYPERLINK("CSG7.html#group48AC7", "48AC⁷"), =HYPERLINK("CSG11.html#group48C11", "48C¹¹")</f>
        <v/>
      </c>
      <c r="L6517" t="inlineStr"/>
      <c r="M6517">
        <f>HYPERLINK("CSG0.html#group12C0", "12C⁰"), =HYPERLINK("CSG7.html#group24AC7", "24AC⁷"), =HYPERLINK("CSG3.html#group48G3", "48G³"), =HYPERLINK("CSG3.html#group16C3", "16C³"), =HYPERLINK("CSG7.html#group48AC7", "48AC⁷"), =HYPERLINK("CSG4.html#group48H4", "48H⁴"), =HYPERLINK("CSG0.html#group8D0", "8D⁰"), =HYPERLINK("CSG0.html#group4C0", "4C⁰"), =HYPERLINK("CSG0.html#group8B0", "8B⁰"), =HYPERLINK("CSG1.html#group16B1", "16B¹"), =HYPERLINK("CSG0.html#group2B0", "2B⁰"), =HYPERLINK("CSG2.html#group24L2", "24L²"), =HYPERLINK("CSG0.html#group1A0", "1A⁰"), =HYPERLINK("CSG2.html#group16A2", "16A²"), =HYPERLINK("CSG0.html#group8H0", "8H⁰"), =HYPERLINK("CSG3.html#group48C3", "48C³"), =HYPERLINK("CSG0.html#group12A0", "12A⁰"), =HYPERLINK("CSG0.html#group24A0", "24A⁰"), =HYPERLINK("CSG0.html#group4A0", "4A⁰"), =HYPERLINK("CSG1.html#group24C1", "24C¹"), =HYPERLINK("CSG1.html#group12J1", "12J¹"), =HYPERLINK("CSG0.html#group4F0", "4F⁰"), =HYPERLINK("CSG6.html#group48A6", "48A⁶"), =HYPERLINK("CSG0.html#group3A0", "3A⁰"), =HYPERLINK("CSG0.html#group6D0", "6D⁰"), =HYPERLINK("CSG11.html#group48C11", "48C¹¹")</f>
        <v/>
      </c>
      <c r="N6517" t="inlineStr"/>
    </row>
    <row r="6518">
      <c r="A6518" t="inlineStr">
        <is>
          <t>48AT²¹</t>
        </is>
      </c>
      <c r="B6518" t="inlineStr"/>
      <c r="C6518" t="inlineStr">
        <is>
          <t>288</t>
        </is>
      </c>
      <c r="D6518" t="inlineStr">
        <is>
          <t>1</t>
        </is>
      </c>
      <c r="E6518" t="inlineStr">
        <is>
          <t>36</t>
        </is>
      </c>
      <c r="F6518" t="inlineStr">
        <is>
          <t>0</t>
        </is>
      </c>
      <c r="G6518" t="inlineStr">
        <is>
          <t>0</t>
        </is>
      </c>
      <c r="H6518" t="inlineStr">
        <is>
          <t>24⁴, 48⁴</t>
        </is>
      </c>
      <c r="I6518" t="n">
        <v>8</v>
      </c>
      <c r="J6518" t="inlineStr">
        <is>
          <t>2², 4⁸</t>
        </is>
      </c>
      <c r="K6518">
        <f>HYPERLINK("CSG9.html#group24Q9", "24Q⁹"), =HYPERLINK("CSG11.html#group48N11", "48N¹¹"), =HYPERLINK("CSG11.html#group48O11", "48O¹¹"), =HYPERLINK("CSG11.html#group48T11", "48T¹¹"), =HYPERLINK("CSG11.html#group48U11", "48U¹¹")</f>
        <v/>
      </c>
      <c r="L6518" t="inlineStr"/>
      <c r="M6518">
        <f>HYPERLINK("CSG2.html#group12I2", "12I²"), =HYPERLINK("CSG2.html#group24O2", "24O²"), =HYPERLINK("CSG1.html#group24E1", "24E¹"), =HYPERLINK("CSG3.html#group24A3", "24A³"), =HYPERLINK("CSG0.html#group12C0", "12C⁰"), =HYPERLINK("CSG11.html#group48O11", "48O¹¹"), =HYPERLINK("CSG11.html#group48T11", "48T¹¹"), =HYPERLINK("CSG0.html#group4C0", "4C⁰"), =HYPERLINK("CSG1.html#group12M1", "12M¹"), =HYPERLINK("CSG0.html#group2B0", "2B⁰"), =HYPERLINK("CSG2.html#group24C2", "24C²"), =HYPERLINK("CSG0.html#group1A0", "1A⁰"), =HYPERLINK("CSG9.html#group24Q9", "24Q⁹"), =HYPERLINK("CSG6.html#group48C6", "48C⁶"), =HYPERLINK("CSG0.html#group6H0", "6H⁰"), =HYPERLINK("CSG0.html#group3A0", "3A⁰"), =HYPERLINK("CSG11.html#group48N11", "48N¹¹"), =HYPERLINK("CSG5.html#group24G5", "24G⁵"), =HYPERLINK("CSG0.html#group6B0", "6B⁰"), =HYPERLINK("CSG1.html#group8A1", "8A¹"), =HYPERLINK("CSG0.html#group8D0", "8D⁰"), =HYPERLINK("CSG0.html#group12F0", "12F⁰"), =HYPERLINK("CSG5.html#group24D5", "24D⁵"), =HYPERLINK("CSG0.html#group12A0", "12A⁰"), =HYPERLINK("CSG1.html#group8C1", "8C¹"), =HYPERLINK("CSG0.html#group4A0", "4A⁰"), =HYPERLINK("CSG4.html#group24K4", "24K⁴"), =HYPERLINK("CSG1.html#group24C1", "24C¹"), =HYPERLINK("CSG1.html#group12J1", "12J¹"), =HYPERLINK("CSG0.html#group12D0", "12D⁰"), =HYPERLINK("CSG0.html#group4F0", "4F⁰"), =HYPERLINK("CSG0.html#group12H0", "12H⁰"), =HYPERLINK("CSG4.html#group24L4", "24L⁴"), =HYPERLINK("CSG11.html#group48U11", "48U¹¹"), =HYPERLINK("CSG0.html#group6D0", "6D⁰"), =HYPERLINK("CSG5.html#group24B5", "24B⁵")</f>
        <v/>
      </c>
      <c r="N6518" t="inlineStr"/>
    </row>
    <row r="6519">
      <c r="A6519" t="inlineStr">
        <is>
          <t>48AU²¹</t>
        </is>
      </c>
      <c r="B6519" t="inlineStr"/>
      <c r="C6519" t="inlineStr">
        <is>
          <t>288</t>
        </is>
      </c>
      <c r="D6519" t="inlineStr">
        <is>
          <t>1</t>
        </is>
      </c>
      <c r="E6519" t="inlineStr">
        <is>
          <t>36</t>
        </is>
      </c>
      <c r="F6519" t="inlineStr">
        <is>
          <t>0</t>
        </is>
      </c>
      <c r="G6519" t="inlineStr">
        <is>
          <t>0</t>
        </is>
      </c>
      <c r="H6519" t="inlineStr">
        <is>
          <t>24⁴, 48⁴</t>
        </is>
      </c>
      <c r="I6519" t="n">
        <v>8</v>
      </c>
      <c r="J6519" t="inlineStr">
        <is>
          <t>2⁴, 4⁷</t>
        </is>
      </c>
      <c r="K6519">
        <f>HYPERLINK("CSG9.html#group24G9", "24G⁹"), =HYPERLINK("CSG9.html#group48AF9", "48AF⁹")</f>
        <v/>
      </c>
      <c r="L6519" t="inlineStr"/>
      <c r="M6519">
        <f>HYPERLINK("CSG0.html#group2A0", "2A⁰"), =HYPERLINK("CSG0.html#group12C0", "12C⁰"), =HYPERLINK("CSG1.html#group12K1", "12K¹"), =HYPERLINK("CSG9.html#group48AF9", "48AF⁹"), =HYPERLINK("CSG2.html#group12D2", "12D²"), =HYPERLINK("CSG0.html#group4C0", "4C⁰"), =HYPERLINK("CSG1.html#group6C1", "6C¹"), =HYPERLINK("CSG2.html#group12B2", "12B²"), =HYPERLINK("CSG0.html#group6G0", "6G⁰"), =HYPERLINK("CSG2.html#group12E2", "12E²"), =HYPERLINK("CSG0.html#group2B0", "2B⁰"), =HYPERLINK("CSG9.html#group24G9", "24G⁹"), =HYPERLINK("CSG2.html#group24C2", "24C²"), =HYPERLINK("CSG0.html#group4E0", "4E⁰"), =HYPERLINK("CSG0.html#group4B0", "4B⁰"), =HYPERLINK("CSG3.html#group12G3", "12G³"), =HYPERLINK("CSG0.html#group1A0", "1A⁰"), =HYPERLINK("CSG5.html#group24F5", "24F⁵"), =HYPERLINK("CSG3.html#group24H3", "24H³"), =HYPERLINK("CSG1.html#group6B1", "6B¹"), =HYPERLINK("CSG3.html#group24S3", "24S³"), =HYPERLINK("CSG0.html#group3C0", "3C⁰"), =HYPERLINK("CSG1.html#group6A1", "6A¹"), =HYPERLINK("CSG1.html#group12B1", "12B¹"), =HYPERLINK("CSG0.html#group6H0", "6H⁰"), =HYPERLINK("CSG0.html#group3A0", "3A⁰"), =HYPERLINK("CSG1.html#group6E1", "6E¹"), =HYPERLINK("CSG0.html#group6B0", "6B⁰"), =HYPERLINK("CSG1.html#group24D1", "24D¹"), =HYPERLINK("CSG1.html#group12L1", "12L¹"), =HYPERLINK("CSG1.html#group12C1", "12C¹"), =HYPERLINK("CSG0.html#group6A0", "6A⁰"), =HYPERLINK("CSG5.html#group24C5", "24C⁵"), =HYPERLINK("CSG0.html#group12D0", "12D⁰"), =HYPERLINK("CSG0.html#group12H0", "12H⁰"), =HYPERLINK("CSG0.html#group2C0", "2C⁰"), =HYPERLINK("CSG0.html#group6D0", "6D⁰")</f>
        <v/>
      </c>
      <c r="N6519" t="inlineStr"/>
    </row>
    <row r="6520">
      <c r="A6520" t="inlineStr">
        <is>
          <t>48AV²¹</t>
        </is>
      </c>
      <c r="B6520" t="inlineStr"/>
      <c r="C6520" t="inlineStr">
        <is>
          <t>288</t>
        </is>
      </c>
      <c r="D6520" t="inlineStr">
        <is>
          <t>1</t>
        </is>
      </c>
      <c r="E6520" t="inlineStr">
        <is>
          <t>36</t>
        </is>
      </c>
      <c r="F6520" t="inlineStr">
        <is>
          <t>0</t>
        </is>
      </c>
      <c r="G6520" t="inlineStr">
        <is>
          <t>0</t>
        </is>
      </c>
      <c r="H6520" t="inlineStr">
        <is>
          <t>24⁴, 48⁴</t>
        </is>
      </c>
      <c r="I6520" t="n">
        <v>8</v>
      </c>
      <c r="J6520" t="inlineStr">
        <is>
          <t>2⁸, 4³, 8¹</t>
        </is>
      </c>
      <c r="K6520">
        <f>HYPERLINK("CSG9.html#group24E9", "24E⁹"), =HYPERLINK("CSG9.html#group48AF9", "48AF⁹")</f>
        <v/>
      </c>
      <c r="L6520" t="inlineStr"/>
      <c r="M6520">
        <f>HYPERLINK("CSG1.html#group12T1", "12T¹"), =HYPERLINK("CSG3.html#group24A3", "24A³"), =HYPERLINK("CSG0.html#group12C0", "12C⁰"), =HYPERLINK("CSG9.html#group48AF9", "48AF⁹"), =HYPERLINK("CSG0.html#group4C0", "4C⁰"), =HYPERLINK("CSG0.html#group6G0", "6G⁰"), =HYPERLINK("CSG0.html#group2B0", "2B⁰"), =HYPERLINK("CSG2.html#group24C2", "24C²"), =HYPERLINK("CSG1.html#group12N1", "12N¹"), =HYPERLINK("CSG5.html#group24E5", "24E⁵"), =HYPERLINK("CSG0.html#group1A0", "1A⁰"), =HYPERLINK("CSG3.html#group24S3", "24S³"), =HYPERLINK("CSG9.html#group24E9", "24E⁹"), =HYPERLINK("CSG0.html#group3C0", "3C⁰"), =HYPERLINK("CSG0.html#group6H0", "6H⁰"), =HYPERLINK("CSG0.html#group3A0", "3A⁰"), =HYPERLINK("CSG0.html#group6B0", "6B⁰"), =HYPERLINK("CSG1.html#group8A1", "8A¹"), =HYPERLINK("CSG1.html#group24D1", "24D¹"), =HYPERLINK("CSG1.html#group12L1", "12L¹"), =HYPERLINK("CSG5.html#group24D5", "24D⁵"), =HYPERLINK("CSG0.html#group12G0", "12G⁰"), =HYPERLINK("CSG1.html#group12C1", "12C¹"), =HYPERLINK("CSG0.html#group6E0", "6E⁰"), =HYPERLINK("CSG0.html#group6L0", "6L⁰"), =HYPERLINK("CSG5.html#group24C5", "24C⁵"), =HYPERLINK("CSG0.html#group12D0", "12D⁰"), =HYPERLINK("CSG0.html#group12H0", "12H⁰"), =HYPERLINK("CSG0.html#group6D0", "6D⁰")</f>
        <v/>
      </c>
      <c r="N6520" t="inlineStr"/>
    </row>
    <row r="6521">
      <c r="A6521" t="inlineStr">
        <is>
          <t>48AW²¹</t>
        </is>
      </c>
      <c r="B6521" t="inlineStr"/>
      <c r="C6521" t="inlineStr">
        <is>
          <t>288</t>
        </is>
      </c>
      <c r="D6521" t="inlineStr">
        <is>
          <t>1</t>
        </is>
      </c>
      <c r="E6521" t="inlineStr">
        <is>
          <t>36</t>
        </is>
      </c>
      <c r="F6521" t="inlineStr">
        <is>
          <t>0</t>
        </is>
      </c>
      <c r="G6521" t="inlineStr">
        <is>
          <t>0</t>
        </is>
      </c>
      <c r="H6521" t="inlineStr">
        <is>
          <t>24⁴, 48⁴</t>
        </is>
      </c>
      <c r="I6521" t="n">
        <v>8</v>
      </c>
      <c r="J6521" t="inlineStr">
        <is>
          <t>2⁸, 4³, 8¹</t>
        </is>
      </c>
      <c r="K6521">
        <f>HYPERLINK("CSG5.html#group24X5", "24X⁵"), =HYPERLINK("CSG7.html#group48AD7", "48AD⁷"), =HYPERLINK("CSG9.html#group48AE9", "48AE⁹"), =HYPERLINK("CSG11.html#group48G11", "48G¹¹"), =HYPERLINK("CSG11.html#group48Q11", "48Q¹¹")</f>
        <v/>
      </c>
      <c r="L6521" t="inlineStr"/>
      <c r="M6521">
        <f>HYPERLINK("CSG5.html#group24X5", "24X⁵"), =HYPERLINK("CSG11.html#group48G11", "48G¹¹"), =HYPERLINK("CSG0.html#group6B0", "6B⁰"), =HYPERLINK("CSG0.html#group12C0", "12C⁰"), =HYPERLINK("CSG0.html#group3A0", "3A⁰"), =HYPERLINK("CSG0.html#group4C0", "4C⁰"), =HYPERLINK("CSG1.html#group24D1", "24D¹"), =HYPERLINK("CSG0.html#group8B0", "8B⁰"), =HYPERLINK("CSG2.html#group24Q2", "24Q²"), =HYPERLINK("CSG0.html#group2B0", "2B⁰"), =HYPERLINK("CSG0.html#group1A0", "1A⁰"), =HYPERLINK("CSG3.html#group48H3", "48H³"), =HYPERLINK("CSG7.html#group48AD7", "48AD⁷"), =HYPERLINK("CSG2.html#group16A2", "16A²"), =HYPERLINK("CSG4.html#group48C4", "48C⁴"), =HYPERLINK("CSG0.html#group24A0", "24A⁰"), =HYPERLINK("CSG6.html#group48A6", "48A⁶"), =HYPERLINK("CSG9.html#group48AE9", "48AE⁹"), =HYPERLINK("CSG11.html#group48Q11", "48Q¹¹"), =HYPERLINK("CSG0.html#group12D0", "12D⁰"), =HYPERLINK("CSG0.html#group6H0", "6H⁰"), =HYPERLINK("CSG0.html#group12H0", "12H⁰"), =HYPERLINK("CSG1.html#group24H1", "24H¹"), =HYPERLINK("CSG0.html#group6D0", "6D⁰")</f>
        <v/>
      </c>
      <c r="N6521" t="inlineStr"/>
    </row>
    <row r="6522">
      <c r="A6522" t="inlineStr">
        <is>
          <t>48AX²¹</t>
        </is>
      </c>
      <c r="B6522" t="inlineStr"/>
      <c r="C6522" t="inlineStr">
        <is>
          <t>288</t>
        </is>
      </c>
      <c r="D6522" t="inlineStr">
        <is>
          <t>1</t>
        </is>
      </c>
      <c r="E6522" t="inlineStr">
        <is>
          <t>36</t>
        </is>
      </c>
      <c r="F6522" t="inlineStr">
        <is>
          <t>0</t>
        </is>
      </c>
      <c r="G6522" t="inlineStr">
        <is>
          <t>0</t>
        </is>
      </c>
      <c r="H6522" t="inlineStr">
        <is>
          <t>24⁴, 48⁴</t>
        </is>
      </c>
      <c r="I6522" t="n">
        <v>8</v>
      </c>
      <c r="J6522" t="inlineStr">
        <is>
          <t>2⁶, 4⁶</t>
        </is>
      </c>
      <c r="K6522">
        <f>HYPERLINK("CSG6.html#group24G6", "24G⁶"), =HYPERLINK("CSG8.html#group48R8", "48R⁸"), =HYPERLINK("CSG8.html#group48AC8", "48AC⁸"), =HYPERLINK("CSG11.html#group48C11", "48C¹¹"), =HYPERLINK("CSG11.html#group48Q11", "48Q¹¹")</f>
        <v/>
      </c>
      <c r="L6522" t="inlineStr"/>
      <c r="M6522">
        <f>HYPERLINK("CSG0.html#group12C0", "12C⁰"), =HYPERLINK("CSG8.html#group48R8", "48R⁸"), =HYPERLINK("CSG0.html#group8D0", "8D⁰"), =HYPERLINK("CSG3.html#group16C3", "16C³"), =HYPERLINK("CSG0.html#group4C0", "4C⁰"), =HYPERLINK("CSG0.html#group8B0", "8B⁰"), =HYPERLINK("CSG2.html#group24Q2", "24Q²"), =HYPERLINK("CSG1.html#group16B1", "16B¹"), =HYPERLINK("CSG0.html#group2B0", "2B⁰"), =HYPERLINK("CSG2.html#group24L2", "24L²"), =HYPERLINK("CSG0.html#group1A0", "1A⁰"), =HYPERLINK("CSG3.html#group48H3", "48H³"), =HYPERLINK("CSG2.html#group16A2", "16A²"), =HYPERLINK("CSG0.html#group8H0", "8H⁰"), =HYPERLINK("CSG3.html#group48C3", "48C³"), =HYPERLINK("CSG6.html#group24G6", "24G⁶"), =HYPERLINK("CSG0.html#group12A0", "12A⁰"), =HYPERLINK("CSG0.html#group24A0", "24A⁰"), =HYPERLINK("CSG0.html#group4A0", "4A⁰"), =HYPERLINK("CSG6.html#group48A6", "48A⁶"), =HYPERLINK("CSG1.html#group24C1", "24C¹"), =HYPERLINK("CSG11.html#group48Q11", "48Q¹¹"), =HYPERLINK("CSG1.html#group12J1", "12J¹"), =HYPERLINK("CSG0.html#group4F0", "4F⁰"), =HYPERLINK("CSG8.html#group48AC8", "48AC⁸"), =HYPERLINK("CSG0.html#group3A0", "3A⁰"), =HYPERLINK("CSG0.html#group6D0", "6D⁰"), =HYPERLINK("CSG11.html#group48C11", "48C¹¹")</f>
        <v/>
      </c>
      <c r="N6522" t="inlineStr"/>
    </row>
    <row r="6523">
      <c r="A6523" t="inlineStr">
        <is>
          <t>48AY²¹</t>
        </is>
      </c>
      <c r="B6523" t="inlineStr"/>
      <c r="C6523" t="inlineStr">
        <is>
          <t>288</t>
        </is>
      </c>
      <c r="D6523" t="inlineStr">
        <is>
          <t>1</t>
        </is>
      </c>
      <c r="E6523" t="inlineStr">
        <is>
          <t>36</t>
        </is>
      </c>
      <c r="F6523" t="inlineStr">
        <is>
          <t>0</t>
        </is>
      </c>
      <c r="G6523" t="inlineStr">
        <is>
          <t>0</t>
        </is>
      </c>
      <c r="H6523" t="inlineStr">
        <is>
          <t>24⁴, 48⁴</t>
        </is>
      </c>
      <c r="I6523" t="n">
        <v>8</v>
      </c>
      <c r="J6523" t="inlineStr">
        <is>
          <t>2⁶, 4⁶</t>
        </is>
      </c>
      <c r="K6523">
        <f>HYPERLINK("CSG9.html#group24Q9", "24Q⁹"), =HYPERLINK("CSG11.html#group48J11", "48J¹¹"), =HYPERLINK("CSG11.html#group48O11", "48O¹¹"), =HYPERLINK("CSG11.html#group48R11", "48R¹¹"), =HYPERLINK("CSG11.html#group48V11", "48V¹¹")</f>
        <v/>
      </c>
      <c r="L6523" t="inlineStr"/>
      <c r="M6523">
        <f>HYPERLINK("CSG2.html#group12I2", "12I²"), =HYPERLINK("CSG2.html#group24O2", "24O²"), =HYPERLINK("CSG1.html#group24E1", "24E¹"), =HYPERLINK("CSG3.html#group24A3", "24A³"), =HYPERLINK("CSG0.html#group12C0", "12C⁰"), =HYPERLINK("CSG11.html#group48O11", "48O¹¹"), =HYPERLINK("CSG11.html#group48R11", "48R¹¹"), =HYPERLINK("CSG0.html#group4C0", "4C⁰"), =HYPERLINK("CSG1.html#group12M1", "12M¹"), =HYPERLINK("CSG0.html#group2B0", "2B⁰"), =HYPERLINK("CSG2.html#group24C2", "24C²"), =HYPERLINK("CSG0.html#group1A0", "1A⁰"), =HYPERLINK("CSG9.html#group24Q9", "24Q⁹"), =HYPERLINK("CSG2.html#group16B2", "16B²"), =HYPERLINK("CSG6.html#group48B6", "48B⁶"), =HYPERLINK("CSG6.html#group48C6", "48C⁶"), =HYPERLINK("CSG0.html#group6H0", "6H⁰"), =HYPERLINK("CSG0.html#group3A0", "3A⁰"), =HYPERLINK("CSG3.html#group16E3", "16E³"), =HYPERLINK("CSG5.html#group24G5", "24G⁵"), =HYPERLINK("CSG0.html#group6B0", "6B⁰"), =HYPERLINK("CSG1.html#group8A1", "8A¹"), =HYPERLINK("CSG11.html#group48J11", "48J¹¹"), =HYPERLINK("CSG0.html#group8D0", "8D⁰"), =HYPERLINK("CSG0.html#group12F0", "12F⁰"), =HYPERLINK("CSG5.html#group24D5", "24D⁵"), =HYPERLINK("CSG0.html#group12A0", "12A⁰"), =HYPERLINK("CSG1.html#group8C1", "8C¹"), =HYPERLINK("CSG11.html#group48V11", "48V¹¹"), =HYPERLINK("CSG0.html#group4A0", "4A⁰"), =HYPERLINK("CSG4.html#group24K4", "24K⁴"), =HYPERLINK("CSG1.html#group24C1", "24C¹"), =HYPERLINK("CSG1.html#group12J1", "12J¹"), =HYPERLINK("CSG0.html#group12D0", "12D⁰"), =HYPERLINK("CSG0.html#group4F0", "4F⁰"), =HYPERLINK("CSG0.html#group12H0", "12H⁰"), =HYPERLINK("CSG4.html#group24L4", "24L⁴"), =HYPERLINK("CSG0.html#group6D0", "6D⁰"), =HYPERLINK("CSG5.html#group24B5", "24B⁵")</f>
        <v/>
      </c>
      <c r="N6523" t="inlineStr"/>
    </row>
    <row r="6524">
      <c r="A6524" t="inlineStr">
        <is>
          <t>48AZ²¹</t>
        </is>
      </c>
      <c r="B6524" t="inlineStr"/>
      <c r="C6524" t="inlineStr">
        <is>
          <t>288</t>
        </is>
      </c>
      <c r="D6524" t="inlineStr">
        <is>
          <t>1</t>
        </is>
      </c>
      <c r="E6524" t="inlineStr">
        <is>
          <t>36</t>
        </is>
      </c>
      <c r="F6524" t="inlineStr">
        <is>
          <t>0</t>
        </is>
      </c>
      <c r="G6524" t="inlineStr">
        <is>
          <t>0</t>
        </is>
      </c>
      <c r="H6524" t="inlineStr">
        <is>
          <t>24⁴, 48⁴</t>
        </is>
      </c>
      <c r="I6524" t="n">
        <v>8</v>
      </c>
      <c r="J6524" t="inlineStr">
        <is>
          <t>2⁶, 4⁶</t>
        </is>
      </c>
      <c r="K6524">
        <f>HYPERLINK("CSG9.html#group24R9", "24R⁹"), =HYPERLINK("CSG11.html#group48J11", "48J¹¹"), =HYPERLINK("CSG11.html#group48O11", "48O¹¹"), =HYPERLINK("CSG11.html#group48S11", "48S¹¹"), =HYPERLINK("CSG11.html#group48V11", "48V¹¹")</f>
        <v/>
      </c>
      <c r="L6524" t="inlineStr"/>
      <c r="M6524">
        <f>HYPERLINK("CSG3.html#group24Q3", "24Q³"), =HYPERLINK("CSG3.html#group24A3", "24A³"), =HYPERLINK("CSG1.html#group24E1", "24E¹"), =HYPERLINK("CSG0.html#group12C0", "12C⁰"), =HYPERLINK("CSG11.html#group48O11", "48O¹¹"), =HYPERLINK("CSG0.html#group4C0", "4C⁰"), =HYPERLINK("CSG0.html#group6G0", "6G⁰"), =HYPERLINK("CSG0.html#group2B0", "2B⁰"), =HYPERLINK("CSG1.html#group12M1", "12M¹"), =HYPERLINK("CSG3.html#group24P3", "24P³"), =HYPERLINK("CSG5.html#group24E5", "24E⁵"), =HYPERLINK("CSG0.html#group1A0", "1A⁰"), =HYPERLINK("CSG3.html#group24O3", "24O³"), =HYPERLINK("CSG2.html#group16B2", "16B²"), =HYPERLINK("CSG6.html#group48B6", "48B⁶"), =HYPERLINK("CSG6.html#group48C6", "48C⁶"), =HYPERLINK("CSG0.html#group3C0", "3C⁰"), =HYPERLINK("CSG0.html#group3A0", "3A⁰"), =HYPERLINK("CSG3.html#group16E3", "16E³"), =HYPERLINK("CSG5.html#group24G5", "24G⁵"), =HYPERLINK("CSG1.html#group12G1", "12G¹"), =HYPERLINK("CSG1.html#group8A1", "8A¹"), =HYPERLINK("CSG11.html#group48J11", "48J¹¹"), =HYPERLINK("CSG0.html#group8D0", "8D⁰"), =HYPERLINK("CSG1.html#group24D1", "24D¹"), =HYPERLINK("CSG1.html#group12L1", "12L¹"), =HYPERLINK("CSG3.html#group12J3", "12J³"), =HYPERLINK("CSG9.html#group24R9", "24R⁹"), =HYPERLINK("CSG0.html#group12A0", "12A⁰"), =HYPERLINK("CSG1.html#group8C1", "8C¹"), =HYPERLINK("CSG1.html#group12C1", "12C¹"), =HYPERLINK("CSG11.html#group48V11", "48V¹¹"), =HYPERLINK("CSG0.html#group4A0", "4A⁰"), =HYPERLINK("CSG1.html#group24C1", "24C¹"), =HYPERLINK("CSG1.html#group12J1", "12J¹"), =HYPERLINK("CSG0.html#group4F0", "4F⁰"), =HYPERLINK("CSG11.html#group48S11", "48S¹¹"), =HYPERLINK("CSG0.html#group6D0", "6D⁰"), =HYPERLINK("CSG5.html#group24B5", "24B⁵")</f>
        <v/>
      </c>
      <c r="N6524" t="inlineStr"/>
    </row>
    <row r="6525">
      <c r="A6525" t="inlineStr">
        <is>
          <t>48BA²¹</t>
        </is>
      </c>
      <c r="B6525" t="inlineStr"/>
      <c r="C6525" t="inlineStr">
        <is>
          <t>288</t>
        </is>
      </c>
      <c r="D6525" t="inlineStr">
        <is>
          <t>1</t>
        </is>
      </c>
      <c r="E6525" t="inlineStr">
        <is>
          <t>36</t>
        </is>
      </c>
      <c r="F6525" t="inlineStr">
        <is>
          <t>0</t>
        </is>
      </c>
      <c r="G6525" t="inlineStr">
        <is>
          <t>0</t>
        </is>
      </c>
      <c r="H6525" t="inlineStr">
        <is>
          <t>24⁴, 48⁴</t>
        </is>
      </c>
      <c r="I6525" t="n">
        <v>8</v>
      </c>
      <c r="J6525" t="inlineStr">
        <is>
          <t>2⁶, 4⁶</t>
        </is>
      </c>
      <c r="K6525">
        <f>HYPERLINK("CSG9.html#group24R9", "24R⁹"), =HYPERLINK("CSG11.html#group48O11", "48O¹¹"), =HYPERLINK("CSG11.html#group48P11", "48P¹¹"), =HYPERLINK("CSG11.html#group48T11", "48T¹¹"), =HYPERLINK("CSG11.html#group48U11", "48U¹¹")</f>
        <v/>
      </c>
      <c r="L6525" t="inlineStr"/>
      <c r="M6525">
        <f>HYPERLINK("CSG3.html#group24Q3", "24Q³"), =HYPERLINK("CSG3.html#group24A3", "24A³"), =HYPERLINK("CSG1.html#group24E1", "24E¹"), =HYPERLINK("CSG0.html#group12C0", "12C⁰"), =HYPERLINK("CSG11.html#group48O11", "48O¹¹"), =HYPERLINK("CSG11.html#group48T11", "48T¹¹"), =HYPERLINK("CSG0.html#group4C0", "4C⁰"), =HYPERLINK("CSG0.html#group6G0", "6G⁰"), =HYPERLINK("CSG0.html#group2B0", "2B⁰"), =HYPERLINK("CSG1.html#group12M1", "12M¹"), =HYPERLINK("CSG3.html#group24P3", "24P³"), =HYPERLINK("CSG5.html#group24E5", "24E⁵"), =HYPERLINK("CSG0.html#group1A0", "1A⁰"), =HYPERLINK("CSG3.html#group24O3", "24O³"), =HYPERLINK("CSG11.html#group48P11", "48P¹¹"), =HYPERLINK("CSG6.html#group48C6", "48C⁶"), =HYPERLINK("CSG0.html#group3C0", "3C⁰"), =HYPERLINK("CSG0.html#group3A0", "3A⁰"), =HYPERLINK("CSG5.html#group24G5", "24G⁵"), =HYPERLINK("CSG1.html#group12G1", "12G¹"), =HYPERLINK("CSG1.html#group8A1", "8A¹"), =HYPERLINK("CSG0.html#group8D0", "8D⁰"), =HYPERLINK("CSG1.html#group24D1", "24D¹"), =HYPERLINK("CSG1.html#group12L1", "12L¹"), =HYPERLINK("CSG3.html#group12J3", "12J³"), =HYPERLINK("CSG9.html#group24R9", "24R⁹"), =HYPERLINK("CSG0.html#group12A0", "12A⁰"), =HYPERLINK("CSG1.html#group8C1", "8C¹"), =HYPERLINK("CSG1.html#group12C1", "12C¹"), =HYPERLINK("CSG0.html#group4A0", "4A⁰"), =HYPERLINK("CSG1.html#group24C1", "24C¹"), =HYPERLINK("CSG1.html#group12J1", "12J¹"), =HYPERLINK("CSG0.html#group4F0", "4F⁰"), =HYPERLINK("CSG11.html#group48U11", "48U¹¹"), =HYPERLINK("CSG0.html#group6D0", "6D⁰"), =HYPERLINK("CSG5.html#group24B5", "24B⁵")</f>
        <v/>
      </c>
      <c r="N6525" t="inlineStr"/>
    </row>
    <row r="6526">
      <c r="A6526" t="inlineStr">
        <is>
          <t>48BB²¹</t>
        </is>
      </c>
      <c r="B6526" t="inlineStr"/>
      <c r="C6526" t="inlineStr">
        <is>
          <t>288</t>
        </is>
      </c>
      <c r="D6526" t="inlineStr">
        <is>
          <t>1</t>
        </is>
      </c>
      <c r="E6526" t="inlineStr">
        <is>
          <t>36</t>
        </is>
      </c>
      <c r="F6526" t="inlineStr">
        <is>
          <t>0</t>
        </is>
      </c>
      <c r="G6526" t="inlineStr">
        <is>
          <t>0</t>
        </is>
      </c>
      <c r="H6526" t="inlineStr">
        <is>
          <t>24⁴, 48⁴</t>
        </is>
      </c>
      <c r="I6526" t="n">
        <v>8</v>
      </c>
      <c r="J6526" t="inlineStr">
        <is>
          <t>1⁴, 2⁶, 4³, 8¹</t>
        </is>
      </c>
      <c r="K6526">
        <f>HYPERLINK("CSG7.html#group24Z7", "24Z⁷"), =HYPERLINK("CSG7.html#group48AJ7", "48AJ⁷"), =HYPERLINK("CSG9.html#group48W9", "48W⁹"), =HYPERLINK("CSG11.html#group48H11", "48H¹¹"), =HYPERLINK("CSG11.html#group48Q11", "48Q¹¹")</f>
        <v/>
      </c>
      <c r="L6526" t="inlineStr"/>
      <c r="M6526">
        <f>HYPERLINK("CSG0.html#group12C0", "12C⁰"), =HYPERLINK("CSG7.html#group24Z7", "24Z⁷"), =HYPERLINK("CSG0.html#group4C0", "4C⁰"), =HYPERLINK("CSG3.html#group24I3", "24I³"), =HYPERLINK("CSG0.html#group8B0", "8B⁰"), =HYPERLINK("CSG2.html#group24Q2", "24Q²"), =HYPERLINK("CSG7.html#group48AJ7", "48AJ⁷"), =HYPERLINK("CSG0.html#group6G0", "6G⁰"), =HYPERLINK("CSG0.html#group2B0", "2B⁰"), =HYPERLINK("CSG2.html#group24C2", "24C²"), =HYPERLINK("CSG1.html#group12L1", "12L¹"), =HYPERLINK("CSG0.html#group1A0", "1A⁰"), =HYPERLINK("CSG11.html#group48H11", "48H¹¹"), =HYPERLINK("CSG3.html#group48H3", "48H³"), =HYPERLINK("CSG2.html#group16A2", "16A²"), =HYPERLINK("CSG1.html#group12C1", "12C¹"), =HYPERLINK("CSG0.html#group24A0", "24A⁰"), =HYPERLINK("CSG6.html#group48A6", "48A⁶"), =HYPERLINK("CSG0.html#group3C0", "3C⁰"), =HYPERLINK("CSG2.html#group48A2", "48A²"), =HYPERLINK("CSG11.html#group48Q11", "48Q¹¹"), =HYPERLINK("CSG9.html#group48W9", "48W⁹"), =HYPERLINK("CSG0.html#group3A0", "3A⁰"), =HYPERLINK("CSG0.html#group6D0", "6D⁰")</f>
        <v/>
      </c>
      <c r="N6526" t="inlineStr"/>
    </row>
    <row r="6527">
      <c r="A6527" t="inlineStr">
        <is>
          <t>48BC²¹</t>
        </is>
      </c>
      <c r="B6527" t="inlineStr"/>
      <c r="C6527" t="inlineStr">
        <is>
          <t>288</t>
        </is>
      </c>
      <c r="D6527" t="inlineStr">
        <is>
          <t>1</t>
        </is>
      </c>
      <c r="E6527" t="inlineStr">
        <is>
          <t>36</t>
        </is>
      </c>
      <c r="F6527" t="inlineStr">
        <is>
          <t>0</t>
        </is>
      </c>
      <c r="G6527" t="inlineStr">
        <is>
          <t>0</t>
        </is>
      </c>
      <c r="H6527" t="inlineStr">
        <is>
          <t>24⁴, 48⁴</t>
        </is>
      </c>
      <c r="I6527" t="n">
        <v>8</v>
      </c>
      <c r="J6527" t="inlineStr">
        <is>
          <t>1⁴, 2⁶, 4³, 8¹</t>
        </is>
      </c>
      <c r="K6527">
        <f>HYPERLINK("CSG7.html#group24Z7", "24Z⁷"), =HYPERLINK("CSG9.html#group48Y9", "48Y⁹"), =HYPERLINK("CSG9.html#group48Z9", "48Z⁹"), =HYPERLINK("CSG9.html#group48AE9", "48AE⁹"), =HYPERLINK("CSG11.html#group48E11", "48E¹¹")</f>
        <v/>
      </c>
      <c r="L6527" t="inlineStr"/>
      <c r="M6527">
        <f>HYPERLINK("CSG0.html#group12C0", "12C⁰"), =HYPERLINK("CSG9.html#group48Z9", "48Z⁹"), =HYPERLINK("CSG7.html#group24Z7", "24Z⁷"), =HYPERLINK("CSG0.html#group4C0", "4C⁰"), =HYPERLINK("CSG0.html#group8B0", "8B⁰"), =HYPERLINK("CSG3.html#group24I3", "24I³"), =HYPERLINK("CSG2.html#group24Q2", "24Q²"), =HYPERLINK("CSG0.html#group6G0", "6G⁰"), =HYPERLINK("CSG0.html#group2B0", "2B⁰"), =HYPERLINK("CSG2.html#group24C2", "24C²"), =HYPERLINK("CSG11.html#group48E11", "48E¹¹"), =HYPERLINK("CSG0.html#group1A0", "1A⁰"), =HYPERLINK("CSG1.html#group12L1", "12L¹"), =HYPERLINK("CSG3.html#group48H3", "48H³"), =HYPERLINK("CSG4.html#group48C4", "48C⁴"), =HYPERLINK("CSG9.html#group48Y9", "48Y⁹"), =HYPERLINK("CSG1.html#group16D1", "16D¹"), =HYPERLINK("CSG1.html#group12C1", "12C¹"), =HYPERLINK("CSG3.html#group48E3", "48E³"), =HYPERLINK("CSG0.html#group24A0", "24A⁰"), =HYPERLINK("CSG9.html#group48AE9", "48AE⁹"), =HYPERLINK("CSG0.html#group3C0", "3C⁰"), =HYPERLINK("CSG0.html#group3A0", "3A⁰"), =HYPERLINK("CSG0.html#group6D0", "6D⁰")</f>
        <v/>
      </c>
      <c r="N6527" t="inlineStr"/>
    </row>
    <row r="6528">
      <c r="A6528" t="inlineStr">
        <is>
          <t>48BD²¹</t>
        </is>
      </c>
      <c r="B6528" t="inlineStr"/>
      <c r="C6528" t="inlineStr">
        <is>
          <t>288</t>
        </is>
      </c>
      <c r="D6528" t="inlineStr">
        <is>
          <t>1</t>
        </is>
      </c>
      <c r="E6528" t="inlineStr">
        <is>
          <t>36</t>
        </is>
      </c>
      <c r="F6528" t="inlineStr">
        <is>
          <t>0</t>
        </is>
      </c>
      <c r="G6528" t="inlineStr">
        <is>
          <t>0</t>
        </is>
      </c>
      <c r="H6528" t="inlineStr">
        <is>
          <t>24⁴, 48⁴</t>
        </is>
      </c>
      <c r="I6528" t="n">
        <v>8</v>
      </c>
      <c r="J6528" t="inlineStr">
        <is>
          <t>1⁴, 2⁶, 4³, 8¹</t>
        </is>
      </c>
      <c r="K6528">
        <f>HYPERLINK("CSG7.html#group24AA7", "24AA⁷"), =HYPERLINK("CSG9.html#group48W9", "48W⁹"), =HYPERLINK("CSG9.html#group48X9", "48X⁹"), =HYPERLINK("CSG9.html#group48AE9", "48AE⁹"), =HYPERLINK("CSG11.html#group48E11", "48E¹¹")</f>
        <v/>
      </c>
      <c r="L6528" t="inlineStr"/>
      <c r="M6528">
        <f>HYPERLINK("CSG0.html#group12C0", "12C⁰"), =HYPERLINK("CSG7.html#group24AA7", "24AA⁷"), =HYPERLINK("CSG0.html#group4C0", "4C⁰"), =HYPERLINK("CSG3.html#group24I3", "24I³"), =HYPERLINK("CSG0.html#group8B0", "8B⁰"), =HYPERLINK("CSG2.html#group24Q2", "24Q²"), =HYPERLINK("CSG0.html#group6G0", "6G⁰"), =HYPERLINK("CSG0.html#group2B0", "2B⁰"), =HYPERLINK("CSG0.html#group8L0", "8L⁰"), =HYPERLINK("CSG2.html#group24C2", "24C²"), =HYPERLINK("CSG11.html#group48E11", "48E¹¹"), =HYPERLINK("CSG0.html#group1A0", "1A⁰"), =HYPERLINK("CSG1.html#group12L1", "12L¹"), =HYPERLINK("CSG3.html#group48H3", "48H³"), =HYPERLINK("CSG4.html#group48C4", "48C⁴"), =HYPERLINK("CSG1.html#group12C1", "12C¹"), =HYPERLINK("CSG0.html#group24A0", "24A⁰"), =HYPERLINK("CSG2.html#group24M2", "24M²"), =HYPERLINK("CSG9.html#group48X9", "48X⁹"), =HYPERLINK("CSG9.html#group48AE9", "48AE⁹"), =HYPERLINK("CSG0.html#group3C0", "3C⁰"), =HYPERLINK("CSG9.html#group48W9", "48W⁹"), =HYPERLINK("CSG0.html#group3A0", "3A⁰"), =HYPERLINK("CSG0.html#group6D0", "6D⁰")</f>
        <v/>
      </c>
      <c r="N6528" t="inlineStr"/>
    </row>
    <row r="6529">
      <c r="A6529" t="inlineStr">
        <is>
          <t>48BE²¹</t>
        </is>
      </c>
      <c r="B6529" t="inlineStr"/>
      <c r="C6529" t="inlineStr">
        <is>
          <t>288</t>
        </is>
      </c>
      <c r="D6529" t="inlineStr">
        <is>
          <t>1</t>
        </is>
      </c>
      <c r="E6529" t="inlineStr">
        <is>
          <t>36</t>
        </is>
      </c>
      <c r="F6529" t="inlineStr">
        <is>
          <t>0</t>
        </is>
      </c>
      <c r="G6529" t="inlineStr">
        <is>
          <t>0</t>
        </is>
      </c>
      <c r="H6529" t="inlineStr">
        <is>
          <t>24⁴, 48⁴</t>
        </is>
      </c>
      <c r="I6529" t="n">
        <v>8</v>
      </c>
      <c r="J6529" t="inlineStr">
        <is>
          <t>1⁴, 2⁶, 4³, 8¹</t>
        </is>
      </c>
      <c r="K6529">
        <f>HYPERLINK("CSG9.html#group24E9", "24E⁹"), =HYPERLINK("CSG11.html#group48N11", "48N¹¹"), =HYPERLINK("CSG11.html#group48P11", "48P¹¹"), =HYPERLINK("CSG11.html#group48R11", "48R¹¹"), =HYPERLINK("CSG11.html#group48S11", "48S¹¹")</f>
        <v/>
      </c>
      <c r="L6529" t="inlineStr"/>
      <c r="M6529">
        <f>HYPERLINK("CSG1.html#group12T1", "12T¹"), =HYPERLINK("CSG3.html#group24A3", "24A³"), =HYPERLINK("CSG0.html#group12C0", "12C⁰"), =HYPERLINK("CSG11.html#group48R11", "48R¹¹"), =HYPERLINK("CSG0.html#group4C0", "4C⁰"), =HYPERLINK("CSG0.html#group6G0", "6G⁰"), =HYPERLINK("CSG0.html#group2B0", "2B⁰"), =HYPERLINK("CSG2.html#group24C2", "24C²"), =HYPERLINK("CSG1.html#group12N1", "12N¹"), =HYPERLINK("CSG5.html#group24E5", "24E⁵"), =HYPERLINK("CSG0.html#group1A0", "1A⁰"), =HYPERLINK("CSG11.html#group48P11", "48P¹¹"), =HYPERLINK("CSG2.html#group16B2", "16B²"), =HYPERLINK("CSG6.html#group48B6", "48B⁶"), =HYPERLINK("CSG6.html#group48C6", "48C⁶"), =HYPERLINK("CSG3.html#group24S3", "24S³"), =HYPERLINK("CSG0.html#group3C0", "3C⁰"), =HYPERLINK("CSG9.html#group24E9", "24E⁹"), =HYPERLINK("CSG0.html#group6H0", "6H⁰"), =HYPERLINK("CSG0.html#group3A0", "3A⁰"), =HYPERLINK("CSG11.html#group48N11", "48N¹¹"), =HYPERLINK("CSG0.html#group6B0", "6B⁰"), =HYPERLINK("CSG1.html#group8A1", "8A¹"), =HYPERLINK("CSG1.html#group24D1", "24D¹"), =HYPERLINK("CSG1.html#group12L1", "12L¹"), =HYPERLINK("CSG5.html#group24D5", "24D⁵"), =HYPERLINK("CSG0.html#group12G0", "12G⁰"), =HYPERLINK("CSG1.html#group12C1", "12C¹"), =HYPERLINK("CSG0.html#group6E0", "6E⁰"), =HYPERLINK("CSG0.html#group6L0", "6L⁰"), =HYPERLINK("CSG5.html#group24C5", "24C⁵"), =HYPERLINK("CSG0.html#group12D0", "12D⁰"), =HYPERLINK("CSG0.html#group12H0", "12H⁰"), =HYPERLINK("CSG11.html#group48S11", "48S¹¹"), =HYPERLINK("CSG0.html#group6D0", "6D⁰")</f>
        <v/>
      </c>
      <c r="N6529" t="inlineStr"/>
    </row>
    <row r="6530">
      <c r="A6530" t="inlineStr">
        <is>
          <t>48BF²¹</t>
        </is>
      </c>
      <c r="B6530" t="inlineStr"/>
      <c r="C6530" t="inlineStr">
        <is>
          <t>288</t>
        </is>
      </c>
      <c r="D6530" t="inlineStr">
        <is>
          <t>1</t>
        </is>
      </c>
      <c r="E6530" t="inlineStr">
        <is>
          <t>36</t>
        </is>
      </c>
      <c r="F6530" t="inlineStr">
        <is>
          <t>0</t>
        </is>
      </c>
      <c r="G6530" t="inlineStr">
        <is>
          <t>0</t>
        </is>
      </c>
      <c r="H6530" t="inlineStr">
        <is>
          <t>24⁴, 48⁴</t>
        </is>
      </c>
      <c r="I6530" t="n">
        <v>8</v>
      </c>
      <c r="J6530" t="inlineStr">
        <is>
          <t>1⁴, 2⁶, 4³, 8¹</t>
        </is>
      </c>
      <c r="K6530">
        <f>HYPERLINK("CSG5.html#group24Y5", "24Y⁵"), =HYPERLINK("CSG7.html#group48AE7", "48AE⁷"), =HYPERLINK("CSG9.html#group48X9", "48X⁹"), =HYPERLINK("CSG9.html#group48Y9", "48Y⁹"), =HYPERLINK("CSG11.html#group48G11", "48G¹¹"), =HYPERLINK("CSG11.html#group48K11", "48K¹¹"), =HYPERLINK("CSG11.html#group48Q11", "48Q¹¹")</f>
        <v/>
      </c>
      <c r="L6530" t="inlineStr"/>
      <c r="M6530">
        <f>HYPERLINK("CSG11.html#group48G11", "48G¹¹"), =HYPERLINK("CSG0.html#group6B0", "6B⁰"), =HYPERLINK("CSG0.html#group12C0", "12C⁰"), =HYPERLINK("CSG0.html#group3A0", "3A⁰"), =HYPERLINK("CSG11.html#group48K11", "48K¹¹"), =HYPERLINK("CSG0.html#group6H0", "6H⁰"), =HYPERLINK("CSG0.html#group4C0", "4C⁰"), =HYPERLINK("CSG1.html#group24D1", "24D¹"), =HYPERLINK("CSG0.html#group8B0", "8B⁰"), =HYPERLINK("CSG2.html#group24Q2", "24Q²"), =HYPERLINK("CSG0.html#group8L0", "8L⁰"), =HYPERLINK("CSG5.html#group24Y5", "24Y⁵"), =HYPERLINK("CSG0.html#group2B0", "2B⁰"), =HYPERLINK("CSG0.html#group1A0", "1A⁰"), =HYPERLINK("CSG3.html#group48H3", "48H³"), =HYPERLINK("CSG4.html#group48C4", "48C⁴"), =HYPERLINK("CSG2.html#group16A2", "16A²"), =HYPERLINK("CSG9.html#group48Y9", "48Y⁹"), =HYPERLINK("CSG1.html#group16D1", "16D¹"), =HYPERLINK("CSG0.html#group24A0", "24A⁰"), =HYPERLINK("CSG3.html#group48E3", "48E³"), =HYPERLINK("CSG3.html#group16F3", "16F³"), =HYPERLINK("CSG2.html#group24M2", "24M²"), =HYPERLINK("CSG9.html#group48X9", "48X⁹"), =HYPERLINK("CSG6.html#group48A6", "48A⁶"), =HYPERLINK("CSG11.html#group48Q11", "48Q¹¹"), =HYPERLINK("CSG0.html#group12D0", "12D⁰"), =HYPERLINK("CSG7.html#group48AE7", "48AE⁷"), =HYPERLINK("CSG0.html#group12H0", "12H⁰"), =HYPERLINK("CSG1.html#group24H1", "24H¹"), =HYPERLINK("CSG0.html#group6D0", "6D⁰")</f>
        <v/>
      </c>
      <c r="N6530" t="inlineStr"/>
    </row>
    <row r="6531">
      <c r="A6531" t="inlineStr">
        <is>
          <t>48BG²¹</t>
        </is>
      </c>
      <c r="B6531" t="inlineStr"/>
      <c r="C6531" t="inlineStr">
        <is>
          <t>288</t>
        </is>
      </c>
      <c r="D6531" t="inlineStr">
        <is>
          <t>1</t>
        </is>
      </c>
      <c r="E6531" t="inlineStr">
        <is>
          <t>36</t>
        </is>
      </c>
      <c r="F6531" t="inlineStr">
        <is>
          <t>0</t>
        </is>
      </c>
      <c r="G6531" t="inlineStr">
        <is>
          <t>0</t>
        </is>
      </c>
      <c r="H6531" t="inlineStr">
        <is>
          <t>24⁴, 48⁴</t>
        </is>
      </c>
      <c r="I6531" t="n">
        <v>8</v>
      </c>
      <c r="J6531" t="inlineStr">
        <is>
          <t>1⁴, 2⁶, 4³, 8¹</t>
        </is>
      </c>
      <c r="K6531">
        <f>HYPERLINK("CSG7.html#group24AA7", "24AA⁷"), =HYPERLINK("CSG7.html#group48AF7", "48AF⁷"), =HYPERLINK("CSG7.html#group48AG7", "48AG⁷"), =HYPERLINK("CSG9.html#group48Z9", "48Z⁹"), =HYPERLINK("CSG11.html#group48H11", "48H¹¹"), =HYPERLINK("CSG11.html#group48K11", "48K¹¹"), =HYPERLINK("CSG11.html#group48Q11", "48Q¹¹")</f>
        <v/>
      </c>
      <c r="L6531" t="inlineStr"/>
      <c r="M6531">
        <f>HYPERLINK("CSG7.html#group48AG7", "48AG⁷"), =HYPERLINK("CSG0.html#group12C0", "12C⁰"), =HYPERLINK("CSG7.html#group24AA7", "24AA⁷"), =HYPERLINK("CSG9.html#group48Z9", "48Z⁹"), =HYPERLINK("CSG11.html#group48K11", "48K¹¹"), =HYPERLINK("CSG0.html#group4C0", "4C⁰"), =HYPERLINK("CSG0.html#group8B0", "8B⁰"), =HYPERLINK("CSG3.html#group24I3", "24I³"), =HYPERLINK("CSG2.html#group24Q2", "24Q²"), =HYPERLINK("CSG0.html#group6G0", "6G⁰"), =HYPERLINK("CSG0.html#group2B0", "2B⁰"), =HYPERLINK("CSG0.html#group8L0", "8L⁰"), =HYPERLINK("CSG2.html#group24C2", "24C²"), =HYPERLINK("CSG0.html#group1A0", "1A⁰"), =HYPERLINK("CSG1.html#group12L1", "12L¹"), =HYPERLINK("CSG11.html#group48H11", "48H¹¹"), =HYPERLINK("CSG3.html#group48H3", "48H³"), =HYPERLINK("CSG2.html#group16A2", "16A²"), =HYPERLINK("CSG1.html#group16D1", "16D¹"), =HYPERLINK("CSG1.html#group12C1", "12C¹"), =HYPERLINK("CSG3.html#group48E3", "48E³"), =HYPERLINK("CSG0.html#group24A0", "24A⁰"), =HYPERLINK("CSG2.html#group24M2", "24M²"), =HYPERLINK("CSG3.html#group16F3", "16F³"), =HYPERLINK("CSG2.html#group48A2", "48A²"), =HYPERLINK("CSG0.html#group3C0", "3C⁰"), =HYPERLINK("CSG11.html#group48Q11", "48Q¹¹"), =HYPERLINK("CSG6.html#group48A6", "48A⁶"), =HYPERLINK("CSG0.html#group3A0", "3A⁰"), =HYPERLINK("CSG7.html#group48AF7", "48AF⁷"), =HYPERLINK("CSG0.html#group6D0", "6D⁰")</f>
        <v/>
      </c>
      <c r="N6531" t="inlineStr"/>
    </row>
    <row r="6532">
      <c r="A6532" t="inlineStr">
        <is>
          <t>48BH²¹</t>
        </is>
      </c>
      <c r="B6532" t="inlineStr"/>
      <c r="C6532" t="inlineStr">
        <is>
          <t>288</t>
        </is>
      </c>
      <c r="D6532" t="inlineStr">
        <is>
          <t>1</t>
        </is>
      </c>
      <c r="E6532" t="inlineStr">
        <is>
          <t>36</t>
        </is>
      </c>
      <c r="F6532" t="inlineStr">
        <is>
          <t>0</t>
        </is>
      </c>
      <c r="G6532" t="inlineStr">
        <is>
          <t>0</t>
        </is>
      </c>
      <c r="H6532" t="inlineStr">
        <is>
          <t>24⁴, 48⁴</t>
        </is>
      </c>
      <c r="I6532" t="n">
        <v>8</v>
      </c>
      <c r="J6532" t="inlineStr">
        <is>
          <t>4¹⁴, 8²</t>
        </is>
      </c>
      <c r="K6532">
        <f>HYPERLINK("CSG6.html#group24H6", "24H⁶"), =HYPERLINK("CSG8.html#group48S8", "48S⁸"), =HYPERLINK("CSG8.html#group48AF8", "48AF⁸"), =HYPERLINK("CSG11.html#group48L11", "48L¹¹"), =HYPERLINK("CSG11.html#group48Q11", "48Q¹¹")</f>
        <v/>
      </c>
      <c r="L6532" t="inlineStr"/>
      <c r="M6532">
        <f>HYPERLINK("CSG1.html#group24E1", "24E¹"), =HYPERLINK("CSG0.html#group12C0", "12C⁰"), =HYPERLINK("CSG8.html#group48AF8", "48AF⁸"), =HYPERLINK("CSG0.html#group4C0", "4C⁰"), =HYPERLINK("CSG0.html#group8B0", "8B⁰"), =HYPERLINK("CSG2.html#group24Q2", "24Q²"), =HYPERLINK("CSG2.html#group24P2", "24P²"), =HYPERLINK("CSG0.html#group2B0", "2B⁰"), =HYPERLINK("CSG1.html#group12M1", "12M¹"), =HYPERLINK("CSG0.html#group1A0", "1A⁰"), =HYPERLINK("CSG3.html#group48H3", "48H³"), =HYPERLINK("CSG8.html#group48S8", "48S⁸"), =HYPERLINK("CSG2.html#group16A2", "16A²"), =HYPERLINK("CSG0.html#group24A0", "24A⁰"), =HYPERLINK("CSG11.html#group48L11", "48L¹¹"), =HYPERLINK("CSG6.html#group24H6", "24H⁶"), =HYPERLINK("CSG6.html#group48A6", "48A⁶"), =HYPERLINK("CSG11.html#group48Q11", "48Q¹¹"), =HYPERLINK("CSG3.html#group48F3", "48F³"), =HYPERLINK("CSG0.html#group3A0", "3A⁰"), =HYPERLINK("CSG0.html#group6D0", "6D⁰")</f>
        <v/>
      </c>
      <c r="N6532" t="inlineStr"/>
    </row>
    <row r="6533">
      <c r="A6533" t="inlineStr">
        <is>
          <t>48BI²¹</t>
        </is>
      </c>
      <c r="B6533" t="inlineStr"/>
      <c r="C6533" t="inlineStr">
        <is>
          <t>288</t>
        </is>
      </c>
      <c r="D6533" t="inlineStr">
        <is>
          <t>1</t>
        </is>
      </c>
      <c r="E6533" t="inlineStr">
        <is>
          <t>36</t>
        </is>
      </c>
      <c r="F6533" t="inlineStr">
        <is>
          <t>0</t>
        </is>
      </c>
      <c r="G6533" t="inlineStr">
        <is>
          <t>0</t>
        </is>
      </c>
      <c r="H6533" t="inlineStr">
        <is>
          <t>24⁴, 48⁴</t>
        </is>
      </c>
      <c r="I6533" t="n">
        <v>8</v>
      </c>
      <c r="J6533" t="inlineStr">
        <is>
          <t>4¹⁴, 8²</t>
        </is>
      </c>
      <c r="K6533">
        <f>HYPERLINK("CSG6.html#group24I6", "24I⁶"), =HYPERLINK("CSG8.html#group48T8", "48T⁸"), =HYPERLINK("CSG8.html#group48AE8", "48AE⁸"), =HYPERLINK("CSG11.html#group48L11", "48L¹¹"), =HYPERLINK("CSG11.html#group48Q11", "48Q¹¹")</f>
        <v/>
      </c>
      <c r="L6533" t="inlineStr"/>
      <c r="M6533">
        <f>HYPERLINK("CSG1.html#group24E1", "24E¹"), =HYPERLINK("CSG6.html#group24I6", "24I⁶"), =HYPERLINK("CSG0.html#group12C0", "12C⁰"), =HYPERLINK("CSG0.html#group4C0", "4C⁰"), =HYPERLINK("CSG0.html#group8B0", "8B⁰"), =HYPERLINK("CSG8.html#group48T8", "48T⁸"), =HYPERLINK("CSG2.html#group24P2", "24P²"), =HYPERLINK("CSG2.html#group24Q2", "24Q²"), =HYPERLINK("CSG1.html#group12M1", "12M¹"), =HYPERLINK("CSG0.html#group2B0", "2B⁰"), =HYPERLINK("CSG0.html#group1A0", "1A⁰"), =HYPERLINK("CSG8.html#group48AE8", "48AE⁸"), =HYPERLINK("CSG3.html#group48H3", "48H³"), =HYPERLINK("CSG2.html#group16A2", "16A²"), =HYPERLINK("CSG0.html#group24A0", "24A⁰"), =HYPERLINK("CSG11.html#group48L11", "48L¹¹"), =HYPERLINK("CSG6.html#group48A6", "48A⁶"), =HYPERLINK("CSG11.html#group48Q11", "48Q¹¹"), =HYPERLINK("CSG3.html#group48F3", "48F³"), =HYPERLINK("CSG0.html#group3A0", "3A⁰"), =HYPERLINK("CSG0.html#group6D0", "6D⁰")</f>
        <v/>
      </c>
      <c r="N6533" t="inlineStr"/>
    </row>
    <row r="6534">
      <c r="A6534" t="inlineStr">
        <is>
          <t>48BJ²¹</t>
        </is>
      </c>
      <c r="B6534" t="inlineStr"/>
      <c r="C6534" t="inlineStr">
        <is>
          <t>288</t>
        </is>
      </c>
      <c r="D6534" t="inlineStr">
        <is>
          <t>1</t>
        </is>
      </c>
      <c r="E6534" t="inlineStr">
        <is>
          <t>36</t>
        </is>
      </c>
      <c r="F6534" t="inlineStr">
        <is>
          <t>0</t>
        </is>
      </c>
      <c r="G6534" t="inlineStr">
        <is>
          <t>0</t>
        </is>
      </c>
      <c r="H6534" t="inlineStr">
        <is>
          <t>24⁴, 48⁴</t>
        </is>
      </c>
      <c r="I6534" t="n">
        <v>8</v>
      </c>
      <c r="J6534" t="inlineStr">
        <is>
          <t>2⁴, 4¹⁰, 8³</t>
        </is>
      </c>
      <c r="K6534">
        <f>HYPERLINK("CSG9.html#group24M9", "24M⁹"), =HYPERLINK("CSG11.html#group48N11", "48N¹¹"), =HYPERLINK("CSG11.html#group48R11", "48R¹¹"), =HYPERLINK("CSG11.html#group48T11", "48T¹¹"), =HYPERLINK("CSG11.html#group48V11", "48V¹¹")</f>
        <v/>
      </c>
      <c r="L6534" t="inlineStr"/>
      <c r="M6534">
        <f>HYPERLINK("CSG5.html#group24G5", "24G⁵"), =HYPERLINK("CSG1.html#group24E1", "24E¹"), =HYPERLINK("CSG3.html#group24A3", "24A³"), =HYPERLINK("CSG0.html#group6B0", "6B⁰"), =HYPERLINK("CSG0.html#group12C0", "12C⁰"), =HYPERLINK("CSG1.html#group8A1", "8A¹"), =HYPERLINK("CSG4.html#group24P4", "24P⁴"), =HYPERLINK("CSG2.html#group24N2", "24N²"), =HYPERLINK("CSG11.html#group48R11", "48R¹¹"), =HYPERLINK("CSG11.html#group48T11", "48T¹¹"), =HYPERLINK("CSG0.html#group4C0", "4C⁰"), =HYPERLINK("CSG1.html#group12M1", "12M¹"), =HYPERLINK("CSG9.html#group24M9", "24M⁹"), =HYPERLINK("CSG0.html#group2B0", "2B⁰"), =HYPERLINK("CSG2.html#group24C2", "24C²"), =HYPERLINK("CSG0.html#group12H0", "12H⁰"), =HYPERLINK("CSG0.html#group1A0", "1A⁰"), =HYPERLINK("CSG5.html#group24D5", "24D⁵"), =HYPERLINK("CSG2.html#group12H2", "12H²"), =HYPERLINK("CSG2.html#group16B2", "16B²"), =HYPERLINK("CSG6.html#group48B6", "48B⁶"), =HYPERLINK("CSG6.html#group48C6", "48C⁶"), =HYPERLINK("CSG11.html#group48V11", "48V¹¹"), =HYPERLINK("CSG0.html#group12D0", "12D⁰"), =HYPERLINK("CSG0.html#group6H0", "6H⁰"), =HYPERLINK("CSG0.html#group3A0", "3A⁰"), =HYPERLINK("CSG0.html#group6D0", "6D⁰"), =HYPERLINK("CSG11.html#group48N11", "48N¹¹")</f>
        <v/>
      </c>
      <c r="N6534" t="inlineStr"/>
    </row>
    <row r="6535">
      <c r="A6535" t="inlineStr">
        <is>
          <t>48BK²¹</t>
        </is>
      </c>
      <c r="B6535" t="inlineStr"/>
      <c r="C6535" t="inlineStr">
        <is>
          <t>288</t>
        </is>
      </c>
      <c r="D6535" t="inlineStr">
        <is>
          <t>1</t>
        </is>
      </c>
      <c r="E6535" t="inlineStr">
        <is>
          <t>36</t>
        </is>
      </c>
      <c r="F6535" t="inlineStr">
        <is>
          <t>0</t>
        </is>
      </c>
      <c r="G6535" t="inlineStr">
        <is>
          <t>0</t>
        </is>
      </c>
      <c r="H6535" t="inlineStr">
        <is>
          <t>24⁴, 48⁴</t>
        </is>
      </c>
      <c r="I6535" t="n">
        <v>8</v>
      </c>
      <c r="J6535" t="inlineStr">
        <is>
          <t>2⁴, 4¹⁰, 8³</t>
        </is>
      </c>
      <c r="K6535">
        <f>HYPERLINK("CSG9.html#group24M9", "24M⁹"), =HYPERLINK("CSG11.html#group48N11", "48N¹¹"), =HYPERLINK("CSG11.html#group48R11", "48R¹¹"), =HYPERLINK("CSG11.html#group48U11", "48U¹¹"), =HYPERLINK("CSG11.html#group48V11", "48V¹¹")</f>
        <v/>
      </c>
      <c r="L6535" t="inlineStr"/>
      <c r="M6535">
        <f>HYPERLINK("CSG5.html#group24G5", "24G⁵"), =HYPERLINK("CSG1.html#group24E1", "24E¹"), =HYPERLINK("CSG3.html#group24A3", "24A³"), =HYPERLINK("CSG0.html#group6B0", "6B⁰"), =HYPERLINK("CSG0.html#group12C0", "12C⁰"), =HYPERLINK("CSG1.html#group8A1", "8A¹"), =HYPERLINK("CSG4.html#group24P4", "24P⁴"), =HYPERLINK("CSG2.html#group24N2", "24N²"), =HYPERLINK("CSG11.html#group48R11", "48R¹¹"), =HYPERLINK("CSG0.html#group4C0", "4C⁰"), =HYPERLINK("CSG1.html#group12M1", "12M¹"), =HYPERLINK("CSG9.html#group24M9", "24M⁹"), =HYPERLINK("CSG0.html#group2B0", "2B⁰"), =HYPERLINK("CSG2.html#group24C2", "24C²"), =HYPERLINK("CSG0.html#group12H0", "12H⁰"), =HYPERLINK("CSG0.html#group1A0", "1A⁰"), =HYPERLINK("CSG5.html#group24D5", "24D⁵"), =HYPERLINK("CSG2.html#group12H2", "12H²"), =HYPERLINK("CSG2.html#group16B2", "16B²"), =HYPERLINK("CSG6.html#group48B6", "48B⁶"), =HYPERLINK("CSG6.html#group48C6", "48C⁶"), =HYPERLINK("CSG11.html#group48V11", "48V¹¹"), =HYPERLINK("CSG0.html#group12D0", "12D⁰"), =HYPERLINK("CSG0.html#group6H0", "6H⁰"), =HYPERLINK("CSG0.html#group3A0", "3A⁰"), =HYPERLINK("CSG11.html#group48U11", "48U¹¹"), =HYPERLINK("CSG0.html#group6D0", "6D⁰"), =HYPERLINK("CSG11.html#group48N11", "48N¹¹")</f>
        <v/>
      </c>
      <c r="N6535" t="inlineStr"/>
    </row>
    <row r="6536">
      <c r="A6536" t="inlineStr">
        <is>
          <t>48BL²¹</t>
        </is>
      </c>
      <c r="B6536" t="inlineStr"/>
      <c r="C6536" t="inlineStr">
        <is>
          <t>288</t>
        </is>
      </c>
      <c r="D6536" t="inlineStr">
        <is>
          <t>1</t>
        </is>
      </c>
      <c r="E6536" t="inlineStr">
        <is>
          <t>72</t>
        </is>
      </c>
      <c r="F6536" t="inlineStr">
        <is>
          <t>0</t>
        </is>
      </c>
      <c r="G6536" t="inlineStr">
        <is>
          <t>0</t>
        </is>
      </c>
      <c r="H6536" t="inlineStr">
        <is>
          <t>24⁴, 48⁴</t>
        </is>
      </c>
      <c r="I6536" t="n">
        <v>8</v>
      </c>
      <c r="J6536" t="inlineStr">
        <is>
          <t>2², 4⁷, 8⁵</t>
        </is>
      </c>
      <c r="K6536">
        <f>HYPERLINK("CSG10.html#group24C10", "24C¹⁰"), =HYPERLINK("CSG10.html#group48D10", "48D¹⁰"), =HYPERLINK("CSG11.html#group48O11", "48O¹¹")</f>
        <v/>
      </c>
      <c r="L6536" t="inlineStr"/>
      <c r="M6536">
        <f>HYPERLINK("CSG10.html#group24C10", "24C¹⁰"), =HYPERLINK("CSG3.html#group24A3", "24A³"), =HYPERLINK("CSG0.html#group12C0", "12C⁰"), =HYPERLINK("CSG1.html#group8A1", "8A¹"), =HYPERLINK("CSG3.html#group48G3", "48G³"), =HYPERLINK("CSG11.html#group48O11", "48O¹¹"), =HYPERLINK("CSG0.html#group8D0", "8D⁰"), =HYPERLINK("CSG4.html#group48H4", "48H⁴"), =HYPERLINK("CSG0.html#group4C0", "4C⁰"), =HYPERLINK("CSG2.html#group8B2", "8B²"), =HYPERLINK("CSG0.html#group8A0", "8A⁰"), =HYPERLINK("CSG10.html#group48D10", "48D¹⁰"), =HYPERLINK("CSG0.html#group2B0", "2B⁰"), =HYPERLINK("CSG0.html#group1A0", "1A⁰"), =HYPERLINK("CSG1.html#group8D1", "8D¹"), =HYPERLINK("CSG0.html#group8K0", "8K⁰"), =HYPERLINK("CSG3.html#group24J3", "24J³"), =HYPERLINK("CSG4.html#group24H4", "24H⁴"), =HYPERLINK("CSG0.html#group12A0", "12A⁰"), =HYPERLINK("CSG1.html#group8C1", "8C¹"), =HYPERLINK("CSG1.html#group24A1", "24A¹"), =HYPERLINK("CSG6.html#group48C6", "48C⁶"), =HYPERLINK("CSG0.html#group4A0", "4A⁰"), =HYPERLINK("CSG1.html#group24C1", "24C¹"), =HYPERLINK("CSG1.html#group12J1", "12J¹"), =HYPERLINK("CSG0.html#group4F0", "4F⁰"), =HYPERLINK("CSG0.html#group3A0", "3A⁰"), =HYPERLINK("CSG0.html#group6D0", "6D⁰"), =HYPERLINK("CSG5.html#group24B5", "24B⁵")</f>
        <v/>
      </c>
      <c r="N6536" t="inlineStr"/>
    </row>
    <row r="6537">
      <c r="A6537" t="inlineStr">
        <is>
          <t>48BM²¹</t>
        </is>
      </c>
      <c r="B6537" t="inlineStr"/>
      <c r="C6537" t="inlineStr">
        <is>
          <t>288</t>
        </is>
      </c>
      <c r="D6537" t="inlineStr">
        <is>
          <t>1</t>
        </is>
      </c>
      <c r="E6537" t="inlineStr">
        <is>
          <t>72</t>
        </is>
      </c>
      <c r="F6537" t="inlineStr">
        <is>
          <t>0</t>
        </is>
      </c>
      <c r="G6537" t="inlineStr">
        <is>
          <t>0</t>
        </is>
      </c>
      <c r="H6537" t="inlineStr">
        <is>
          <t>24⁴, 48⁴</t>
        </is>
      </c>
      <c r="I6537" t="n">
        <v>8</v>
      </c>
      <c r="J6537" t="inlineStr">
        <is>
          <t>2², 4⁷, 8⁵</t>
        </is>
      </c>
      <c r="K6537">
        <f>HYPERLINK("CSG10.html#group24E10", "24E¹⁰"), =HYPERLINK("CSG10.html#group48C10", "48C¹⁰"), =HYPERLINK("CSG11.html#group48O11", "48O¹¹")</f>
        <v/>
      </c>
      <c r="L6537" t="inlineStr"/>
      <c r="M6537">
        <f>HYPERLINK("CSG4.html#group24O4", "24O⁴"), =HYPERLINK("CSG2.html#group16D2", "16D²"), =HYPERLINK("CSG3.html#group24A3", "24A³"), =HYPERLINK("CSG10.html#group24E10", "24E¹⁰"), =HYPERLINK("CSG1.html#group8A1", "8A¹"), =HYPERLINK("CSG0.html#group12C0", "12C⁰"), =HYPERLINK("CSG11.html#group48O11", "48O¹¹"), =HYPERLINK("CSG0.html#group8D0", "8D⁰"), =HYPERLINK("CSG0.html#group4C0", "4C⁰"), =HYPERLINK("CSG0.html#group2B0", "2B⁰"), =HYPERLINK("CSG1.html#group24B1", "24B¹"), =HYPERLINK("CSG0.html#group1A0", "1A⁰"), =HYPERLINK("CSG0.html#group16E0", "16E⁰"), =HYPERLINK("CSG0.html#group12A0", "12A⁰"), =HYPERLINK("CSG1.html#group8C1", "8C¹"), =HYPERLINK("CSG4.html#group48E4", "48E⁴"), =HYPERLINK("CSG6.html#group48C6", "48C⁶"), =HYPERLINK("CSG0.html#group4A0", "4A⁰"), =HYPERLINK("CSG1.html#group16C1", "16C¹"), =HYPERLINK("CSG1.html#group24C1", "24C¹"), =HYPERLINK("CSG1.html#group12J1", "12J¹"), =HYPERLINK("CSG3.html#group24R3", "24R³"), =HYPERLINK("CSG0.html#group4F0", "4F⁰"), =HYPERLINK("CSG10.html#group48C10", "48C¹⁰"), =HYPERLINK("CSG0.html#group3A0", "3A⁰"), =HYPERLINK("CSG3.html#group48D3", "48D³"), =HYPERLINK("CSG0.html#group6D0", "6D⁰"), =HYPERLINK("CSG5.html#group24B5", "24B⁵")</f>
        <v/>
      </c>
      <c r="N6537" t="inlineStr"/>
    </row>
    <row r="6538">
      <c r="A6538" t="inlineStr">
        <is>
          <t>48BN²¹</t>
        </is>
      </c>
      <c r="B6538" t="inlineStr"/>
      <c r="C6538" t="inlineStr">
        <is>
          <t>288</t>
        </is>
      </c>
      <c r="D6538" t="inlineStr">
        <is>
          <t>1</t>
        </is>
      </c>
      <c r="E6538" t="inlineStr">
        <is>
          <t>72</t>
        </is>
      </c>
      <c r="F6538" t="inlineStr">
        <is>
          <t>0</t>
        </is>
      </c>
      <c r="G6538" t="inlineStr">
        <is>
          <t>0</t>
        </is>
      </c>
      <c r="H6538" t="inlineStr">
        <is>
          <t>24⁴, 48⁴</t>
        </is>
      </c>
      <c r="I6538" t="n">
        <v>8</v>
      </c>
      <c r="J6538" t="inlineStr">
        <is>
          <t>2², 4⁷, 8⁵</t>
        </is>
      </c>
      <c r="K6538">
        <f>HYPERLINK("CSG10.html#group24E10", "24E¹⁰"), =HYPERLINK("CSG10.html#group48D10", "48D¹⁰"), =HYPERLINK("CSG11.html#group48J11", "48J¹¹")</f>
        <v/>
      </c>
      <c r="L6538" t="inlineStr"/>
      <c r="M6538">
        <f>HYPERLINK("CSG4.html#group24O4", "24O⁴"), =HYPERLINK("CSG3.html#group24A3", "24A³"), =HYPERLINK("CSG10.html#group24E10", "24E¹⁰"), =HYPERLINK("CSG0.html#group12C0", "12C⁰"), =HYPERLINK("CSG11.html#group48J11", "48J¹¹"), =HYPERLINK("CSG3.html#group48G3", "48G³"), =HYPERLINK("CSG1.html#group8A1", "8A¹"), =HYPERLINK("CSG4.html#group48H4", "48H⁴"), =HYPERLINK("CSG0.html#group8D0", "8D⁰"), =HYPERLINK("CSG0.html#group4C0", "4C⁰"), =HYPERLINK("CSG10.html#group48D10", "48D¹⁰"), =HYPERLINK("CSG0.html#group2B0", "2B⁰"), =HYPERLINK("CSG1.html#group24B1", "24B¹"), =HYPERLINK("CSG0.html#group1A0", "1A⁰"), =HYPERLINK("CSG0.html#group12A0", "12A⁰"), =HYPERLINK("CSG1.html#group8C1", "8C¹"), =HYPERLINK("CSG2.html#group16B2", "16B²"), =HYPERLINK("CSG6.html#group48B6", "48B⁶"), =HYPERLINK("CSG0.html#group4A0", "4A⁰"), =HYPERLINK("CSG1.html#group24C1", "24C¹"), =HYPERLINK("CSG1.html#group12J1", "12J¹"), =HYPERLINK("CSG3.html#group24R3", "24R³"), =HYPERLINK("CSG0.html#group4F0", "4F⁰"), =HYPERLINK("CSG0.html#group3A0", "3A⁰"), =HYPERLINK("CSG0.html#group6D0", "6D⁰"), =HYPERLINK("CSG5.html#group24B5", "24B⁵"), =HYPERLINK("CSG3.html#group16E3", "16E³")</f>
        <v/>
      </c>
      <c r="N6538" t="inlineStr"/>
    </row>
    <row r="6539">
      <c r="A6539" t="inlineStr">
        <is>
          <t>48BO²¹</t>
        </is>
      </c>
      <c r="B6539" t="inlineStr"/>
      <c r="C6539" t="inlineStr">
        <is>
          <t>288</t>
        </is>
      </c>
      <c r="D6539" t="inlineStr">
        <is>
          <t>1</t>
        </is>
      </c>
      <c r="E6539" t="inlineStr">
        <is>
          <t>72</t>
        </is>
      </c>
      <c r="F6539" t="inlineStr">
        <is>
          <t>4</t>
        </is>
      </c>
      <c r="G6539" t="inlineStr">
        <is>
          <t>0</t>
        </is>
      </c>
      <c r="H6539" t="inlineStr">
        <is>
          <t>48⁶</t>
        </is>
      </c>
      <c r="I6539" t="n">
        <v>6</v>
      </c>
      <c r="J6539" t="inlineStr">
        <is>
          <t>8², 16⁸</t>
        </is>
      </c>
      <c r="K6539">
        <f>HYPERLINK("CSG9.html#group24X9", "24X⁹"), =HYPERLINK("CSG10.html#group48G10", "48G¹⁰")</f>
        <v/>
      </c>
      <c r="L6539" t="inlineStr"/>
      <c r="M6539">
        <f>HYPERLINK("CSG1.html#group24E1", "24E¹"), =HYPERLINK("CSG0.html#group12C0", "12C⁰"), =HYPERLINK("CSG0.html#group4C0", "4C⁰"), =HYPERLINK("CSG0.html#group8A0", "8A⁰"), =HYPERLINK("CSG0.html#group2B0", "2B⁰"), =HYPERLINK("CSG2.html#group24C2", "24C²"), =HYPERLINK("CSG0.html#group1A0", "1A⁰"), =HYPERLINK("CSG1.html#group8D1", "8D¹"), =HYPERLINK("CSG10.html#group48G10", "48G¹⁰"), =HYPERLINK("CSG4.html#group24H4", "24H⁴"), =HYPERLINK("CSG0.html#group12A0", "12A⁰"), =HYPERLINK("CSG1.html#group24A1", "24A¹"), =HYPERLINK("CSG0.html#group4A0", "4A⁰"), =HYPERLINK("CSG9.html#group24X9", "24X⁹"), =HYPERLINK("CSG4.html#group24K4", "24K⁴"), =HYPERLINK("CSG3.html#group24R3", "24R³"), =HYPERLINK("CSG1.html#group12J1", "12J¹"), =HYPERLINK("CSG0.html#group4F0", "4F⁰"), =HYPERLINK("CSG0.html#group3A0", "3A⁰"), =HYPERLINK("CSG0.html#group6D0", "6D⁰"), =HYPERLINK("CSG3.html#group48B3", "48B³")</f>
        <v/>
      </c>
      <c r="N6539" t="inlineStr"/>
    </row>
    <row r="6540">
      <c r="A6540" t="inlineStr">
        <is>
          <t>48BP²¹</t>
        </is>
      </c>
      <c r="B6540" t="inlineStr"/>
      <c r="C6540" t="inlineStr">
        <is>
          <t>288</t>
        </is>
      </c>
      <c r="D6540" t="inlineStr">
        <is>
          <t>1</t>
        </is>
      </c>
      <c r="E6540" t="inlineStr">
        <is>
          <t>72</t>
        </is>
      </c>
      <c r="F6540" t="inlineStr">
        <is>
          <t>4</t>
        </is>
      </c>
      <c r="G6540" t="inlineStr">
        <is>
          <t>0</t>
        </is>
      </c>
      <c r="H6540" t="inlineStr">
        <is>
          <t>48⁶</t>
        </is>
      </c>
      <c r="I6540" t="n">
        <v>6</v>
      </c>
      <c r="J6540" t="inlineStr">
        <is>
          <t>8², 16⁸</t>
        </is>
      </c>
      <c r="K6540">
        <f>HYPERLINK("CSG9.html#group24X9", "24X⁹"), =HYPERLINK("CSG10.html#group48G10", "48G¹⁰")</f>
        <v/>
      </c>
      <c r="L6540" t="inlineStr"/>
      <c r="M6540">
        <f>HYPERLINK("CSG1.html#group24E1", "24E¹"), =HYPERLINK("CSG0.html#group12C0", "12C⁰"), =HYPERLINK("CSG0.html#group4C0", "4C⁰"), =HYPERLINK("CSG0.html#group8A0", "8A⁰"), =HYPERLINK("CSG0.html#group2B0", "2B⁰"), =HYPERLINK("CSG2.html#group24C2", "24C²"), =HYPERLINK("CSG0.html#group1A0", "1A⁰"), =HYPERLINK("CSG1.html#group8D1", "8D¹"), =HYPERLINK("CSG10.html#group48G10", "48G¹⁰"), =HYPERLINK("CSG4.html#group24H4", "24H⁴"), =HYPERLINK("CSG0.html#group12A0", "12A⁰"), =HYPERLINK("CSG1.html#group24A1", "24A¹"), =HYPERLINK("CSG0.html#group4A0", "4A⁰"), =HYPERLINK("CSG9.html#group24X9", "24X⁹"), =HYPERLINK("CSG4.html#group24K4", "24K⁴"), =HYPERLINK("CSG3.html#group24R3", "24R³"), =HYPERLINK("CSG1.html#group12J1", "12J¹"), =HYPERLINK("CSG0.html#group4F0", "4F⁰"), =HYPERLINK("CSG0.html#group3A0", "3A⁰"), =HYPERLINK("CSG0.html#group6D0", "6D⁰"), =HYPERLINK("CSG3.html#group48B3", "48B³")</f>
        <v/>
      </c>
      <c r="N6540" t="inlineStr"/>
    </row>
    <row r="6541">
      <c r="A6541" t="inlineStr">
        <is>
          <t>48BQ²¹</t>
        </is>
      </c>
      <c r="B6541" t="inlineStr"/>
      <c r="C6541" t="inlineStr">
        <is>
          <t>288</t>
        </is>
      </c>
      <c r="D6541" t="inlineStr">
        <is>
          <t>2</t>
        </is>
      </c>
      <c r="E6541" t="inlineStr">
        <is>
          <t>9</t>
        </is>
      </c>
      <c r="F6541" t="inlineStr">
        <is>
          <t>0</t>
        </is>
      </c>
      <c r="G6541" t="inlineStr">
        <is>
          <t>0</t>
        </is>
      </c>
      <c r="H6541" t="inlineStr">
        <is>
          <t>24⁴, 48⁴</t>
        </is>
      </c>
      <c r="I6541" t="n">
        <v>8</v>
      </c>
      <c r="J6541" t="inlineStr">
        <is>
          <t>2⁹</t>
        </is>
      </c>
      <c r="K6541">
        <f>HYPERLINK("CSG7.html#group48AI7", "48AI⁷"), =HYPERLINK("CSG9.html#group24F9", "24F⁹"), =HYPERLINK("CSG9.html#group48AB9", "48AB⁹"), =HYPERLINK("CSG11.html#group48F11", "48F¹¹"), =HYPERLINK("CSG11.html#group48I11", "48I¹¹")</f>
        <v/>
      </c>
      <c r="L6541" t="inlineStr"/>
      <c r="M6541">
        <f>HYPERLINK("CSG9.html#group24F9", "24F⁹"), =HYPERLINK("CSG0.html#group2A0", "2A⁰"), =HYPERLINK("CSG1.html#group24E1", "24E¹"), =HYPERLINK("CSG3.html#group24A3", "24A³"), =HYPERLINK("CSG0.html#group12C0", "12C⁰"), =HYPERLINK("CSG0.html#group4C0", "4C⁰"), =HYPERLINK("CSG5.html#group24A5", "24A⁵"), =HYPERLINK("CSG1.html#group6C1", "6C¹"), =HYPERLINK("CSG2.html#group12B2", "12B²"), =HYPERLINK("CSG2.html#group24P2", "24P²"), =HYPERLINK("CSG2.html#group12E2", "12E²"), =HYPERLINK("CSG1.html#group12M1", "12M¹"), =HYPERLINK("CSG0.html#group2B0", "2B⁰"), =HYPERLINK("CSG0.html#group4E0", "4E⁰"), =HYPERLINK("CSG0.html#group4B0", "4B⁰"), =HYPERLINK("CSG0.html#group1A0", "1A⁰"), =HYPERLINK("CSG0.html#group24A0", "24A⁰"), =HYPERLINK("CSG9.html#group48AB9", "48AB⁹"), =HYPERLINK("CSG2.html#group24D2", "24D²"), =HYPERLINK("CSG1.html#group12B1", "12B¹"), =HYPERLINK("CSG1.html#group6A1", "6A¹"), =HYPERLINK("CSG0.html#group3A0", "3A⁰"), =HYPERLINK("CSG5.html#group24G5", "24G⁵"), =HYPERLINK("CSG11.html#group48F11", "48F¹¹"), =HYPERLINK("CSG7.html#group48AI7", "48AI⁷"), =HYPERLINK("CSG11.html#group48I11", "48I¹¹"), =HYPERLINK("CSG1.html#group8A1", "8A¹"), =HYPERLINK("CSG0.html#group8B0", "8B⁰"), =HYPERLINK("CSG1.html#group8B1", "8B¹"), =HYPERLINK("CSG4.html#group48C4", "48C⁴"), =HYPERLINK("CSG0.html#group6A0", "6A⁰"), =HYPERLINK("CSG1.html#group12C1", "12C¹"), =HYPERLINK("CSG4.html#group24E4", "24E⁴"), =HYPERLINK("CSG3.html#group48F3", "48F³"), =HYPERLINK("CSG2.html#group48A2", "48A²"), =HYPERLINK("CSG0.html#group12D0", "12D⁰"), =HYPERLINK("CSG4.html#group12C4", "12C⁴"), =HYPERLINK("CSG0.html#group2C0", "2C⁰"), =HYPERLINK("CSG0.html#group6D0", "6D⁰")</f>
        <v/>
      </c>
      <c r="N6541" t="inlineStr"/>
    </row>
    <row r="6542">
      <c r="A6542" t="inlineStr">
        <is>
          <t>48BR²¹</t>
        </is>
      </c>
      <c r="B6542" t="inlineStr"/>
      <c r="C6542" t="inlineStr">
        <is>
          <t>288</t>
        </is>
      </c>
      <c r="D6542" t="inlineStr">
        <is>
          <t>2</t>
        </is>
      </c>
      <c r="E6542" t="inlineStr">
        <is>
          <t>18</t>
        </is>
      </c>
      <c r="F6542" t="inlineStr">
        <is>
          <t>0</t>
        </is>
      </c>
      <c r="G6542" t="inlineStr">
        <is>
          <t>0</t>
        </is>
      </c>
      <c r="H6542" t="inlineStr">
        <is>
          <t>24⁴, 48⁴</t>
        </is>
      </c>
      <c r="I6542" t="n">
        <v>8</v>
      </c>
      <c r="J6542" t="inlineStr">
        <is>
          <t>2¹², 4³</t>
        </is>
      </c>
      <c r="K6542">
        <f>HYPERLINK("CSG7.html#group48AJ7", "48AJ⁷"), =HYPERLINK("CSG9.html#group24S9", "24S⁹"), =HYPERLINK("CSG9.html#group48AE9", "48AE⁹"), =HYPERLINK("CSG11.html#group48I11", "48I¹¹"), =HYPERLINK("CSG11.html#group48M11", "48M¹¹")</f>
        <v/>
      </c>
      <c r="L6542" t="inlineStr"/>
      <c r="M6542">
        <f>HYPERLINK("CSG0.html#group2A0", "2A⁰"), =HYPERLINK("CSG3.html#group24A3", "24A³"), =HYPERLINK("CSG11.html#group48M11", "48M¹¹"), =HYPERLINK("CSG11.html#group48I11", "48I¹¹"), =HYPERLINK("CSG0.html#group12C0", "12C⁰"), =HYPERLINK("CSG1.html#group8A1", "8A¹"), =HYPERLINK("CSG0.html#group4C0", "4C⁰"), =HYPERLINK("CSG9.html#group24S9", "24S⁹"), =HYPERLINK("CSG5.html#group24A5", "24A⁵"), =HYPERLINK("CSG1.html#group6C1", "6C¹"), =HYPERLINK("CSG2.html#group12B2", "12B²"), =HYPERLINK("CSG7.html#group48AJ7", "48AJ⁷"), =HYPERLINK("CSG0.html#group2B0", "2B⁰"), =HYPERLINK("CSG0.html#group4E0", "4E⁰"), =HYPERLINK("CSG0.html#group8B0", "8B⁰"), =HYPERLINK("CSG1.html#group8B1", "8B¹"), =HYPERLINK("CSG0.html#group4B0", "4B⁰"), =HYPERLINK("CSG2.html#group24Q2", "24Q²"), =HYPERLINK("CSG0.html#group1A0", "1A⁰"), =HYPERLINK("CSG3.html#group48H3", "48H³"), =HYPERLINK("CSG4.html#group48C4", "48C⁴"), =HYPERLINK("CSG0.html#group6A0", "6A⁰"), =HYPERLINK("CSG6.html#group48C6", "48C⁶"), =HYPERLINK("CSG0.html#group24A0", "24A⁰"), =HYPERLINK("CSG4.html#group24N4", "24N⁴"), =HYPERLINK("CSG9.html#group48AE9", "48AE⁹"), =HYPERLINK("CSG2.html#group48A2", "48A²"), =HYPERLINK("CSG1.html#group12B1", "12B¹"), =HYPERLINK("CSG1.html#group6A1", "6A¹"), =HYPERLINK("CSG0.html#group3A0", "3A⁰"), =HYPERLINK("CSG0.html#group2C0", "2C⁰"), =HYPERLINK("CSG0.html#group6D0", "6D⁰")</f>
        <v/>
      </c>
      <c r="N6542" t="inlineStr"/>
    </row>
    <row r="6543">
      <c r="A6543" t="inlineStr">
        <is>
          <t>48BS²¹</t>
        </is>
      </c>
      <c r="B6543" t="inlineStr"/>
      <c r="C6543" t="inlineStr">
        <is>
          <t>288</t>
        </is>
      </c>
      <c r="D6543" t="inlineStr">
        <is>
          <t>2</t>
        </is>
      </c>
      <c r="E6543" t="inlineStr">
        <is>
          <t>18</t>
        </is>
      </c>
      <c r="F6543" t="inlineStr">
        <is>
          <t>0</t>
        </is>
      </c>
      <c r="G6543" t="inlineStr">
        <is>
          <t>0</t>
        </is>
      </c>
      <c r="H6543" t="inlineStr">
        <is>
          <t>24⁴, 48⁴</t>
        </is>
      </c>
      <c r="I6543" t="n">
        <v>8</v>
      </c>
      <c r="J6543" t="inlineStr">
        <is>
          <t>2¹², 4³</t>
        </is>
      </c>
      <c r="K6543">
        <f>HYPERLINK("CSG8.html#group48AE8", "48AE⁸"), =HYPERLINK("CSG8.html#group48AF8", "48AF⁸"), =HYPERLINK("CSG9.html#group24S9", "24S⁹"), =HYPERLINK("CSG11.html#group48F11", "48F¹¹"), =HYPERLINK("CSG11.html#group48M11", "48M¹¹")</f>
        <v/>
      </c>
      <c r="L6543" t="inlineStr"/>
      <c r="M6543">
        <f>HYPERLINK("CSG11.html#group48F11", "48F¹¹"), =HYPERLINK("CSG0.html#group2A0", "2A⁰"), =HYPERLINK("CSG11.html#group48M11", "48M¹¹"), =HYPERLINK("CSG3.html#group24A3", "24A³"), =HYPERLINK("CSG0.html#group12C0", "12C⁰"), =HYPERLINK("CSG1.html#group8A1", "8A¹"), =HYPERLINK("CSG8.html#group48AF8", "48AF⁸"), =HYPERLINK("CSG1.html#group6C1", "6C¹"), =HYPERLINK("CSG9.html#group24S9", "24S⁹"), =HYPERLINK("CSG5.html#group24A5", "24A⁵"), =HYPERLINK("CSG0.html#group4C0", "4C⁰"), =HYPERLINK("CSG2.html#group12B2", "12B²"), =HYPERLINK("CSG0.html#group8B0", "8B⁰"), =HYPERLINK("CSG0.html#group2B0", "2B⁰"), =HYPERLINK("CSG1.html#group8B1", "8B¹"), =HYPERLINK("CSG0.html#group4E0", "4E⁰"), =HYPERLINK("CSG2.html#group24Q2", "24Q²"), =HYPERLINK("CSG0.html#group4B0", "4B⁰"), =HYPERLINK("CSG0.html#group1A0", "1A⁰"), =HYPERLINK("CSG8.html#group48AE8", "48AE⁸"), =HYPERLINK("CSG3.html#group48H3", "48H³"), =HYPERLINK("CSG0.html#group6A0", "6A⁰"), =HYPERLINK("CSG0.html#group24A0", "24A⁰"), =HYPERLINK("CSG6.html#group48C6", "48C⁶"), =HYPERLINK("CSG4.html#group24N4", "24N⁴"), =HYPERLINK("CSG1.html#group12B1", "12B¹"), =HYPERLINK("CSG1.html#group6A1", "6A¹"), =HYPERLINK("CSG3.html#group48F3", "48F³"), =HYPERLINK("CSG0.html#group3A0", "3A⁰"), =HYPERLINK("CSG0.html#group2C0", "2C⁰"), =HYPERLINK("CSG0.html#group6D0", "6D⁰")</f>
        <v/>
      </c>
      <c r="N6543" t="inlineStr"/>
    </row>
    <row r="6544">
      <c r="A6544" t="inlineStr">
        <is>
          <t>48BT²¹</t>
        </is>
      </c>
      <c r="B6544" t="inlineStr"/>
      <c r="C6544" t="inlineStr">
        <is>
          <t>288</t>
        </is>
      </c>
      <c r="D6544" t="inlineStr">
        <is>
          <t>2</t>
        </is>
      </c>
      <c r="E6544" t="inlineStr">
        <is>
          <t>36</t>
        </is>
      </c>
      <c r="F6544" t="inlineStr">
        <is>
          <t>0</t>
        </is>
      </c>
      <c r="G6544" t="inlineStr">
        <is>
          <t>0</t>
        </is>
      </c>
      <c r="H6544" t="inlineStr">
        <is>
          <t>24⁴, 48⁴</t>
        </is>
      </c>
      <c r="I6544" t="n">
        <v>8</v>
      </c>
      <c r="J6544" t="inlineStr">
        <is>
          <t>2⁸, 4¹⁰, 8²</t>
        </is>
      </c>
      <c r="K6544">
        <f>HYPERLINK("CSG9.html#group24N9", "24N⁹"), =HYPERLINK("CSG11.html#group48P11", "48P¹¹"), =HYPERLINK("CSG11.html#group48S11", "48S¹¹"), =HYPERLINK("CSG11.html#group48T11", "48T¹¹"), =HYPERLINK("CSG11.html#group48U11", "48U¹¹"), =HYPERLINK("CSG11.html#group48V11", "48V¹¹")</f>
        <v/>
      </c>
      <c r="L6544" t="inlineStr"/>
      <c r="M6544">
        <f>HYPERLINK("CSG5.html#group24G5", "24G⁵"), =HYPERLINK("CSG3.html#group24A3", "24A³"), =HYPERLINK("CSG1.html#group24E1", "24E¹"), =HYPERLINK("CSG0.html#group12C0", "12C⁰"), =HYPERLINK("CSG1.html#group8A1", "8A¹"), =HYPERLINK("CSG11.html#group48T11", "48T¹¹"), =HYPERLINK("CSG0.html#group4C0", "4C⁰"), =HYPERLINK("CSG1.html#group24D1", "24D¹"), =HYPERLINK("CSG0.html#group6G0", "6G⁰"), =HYPERLINK("CSG0.html#group2B0", "2B⁰"), =HYPERLINK("CSG1.html#group12M1", "12M¹"), =HYPERLINK("CSG5.html#group24E5", "24E⁵"), =HYPERLINK("CSG1.html#group12L1", "12L¹"), =HYPERLINK("CSG0.html#group1A0", "1A⁰"), =HYPERLINK("CSG11.html#group48P11", "48P¹¹"), =HYPERLINK("CSG2.html#group16B2", "16B²"), =HYPERLINK("CSG1.html#group12C1", "12C¹"), =HYPERLINK("CSG6.html#group48B6", "48B⁶"), =HYPERLINK("CSG6.html#group48C6", "48C⁶"), =HYPERLINK("CSG3.html#group12I3", "12I³"), =HYPERLINK("CSG11.html#group48V11", "48V¹¹"), =HYPERLINK("CSG3.html#group24N3", "24N³"), =HYPERLINK("CSG3.html#group24T3", "24T³"), =HYPERLINK("CSG0.html#group3C0", "3C⁰"), =HYPERLINK("CSG0.html#group3A0", "3A⁰"), =HYPERLINK("CSG9.html#group24N9", "24N⁹"), =HYPERLINK("CSG11.html#group48S11", "48S¹¹"), =HYPERLINK("CSG11.html#group48U11", "48U¹¹"), =HYPERLINK("CSG0.html#group6D0", "6D⁰")</f>
        <v/>
      </c>
      <c r="N6544" t="inlineStr"/>
    </row>
    <row r="6545">
      <c r="A6545" t="inlineStr">
        <is>
          <t>48BU²¹</t>
        </is>
      </c>
      <c r="B6545" t="inlineStr"/>
      <c r="C6545" t="inlineStr">
        <is>
          <t>288</t>
        </is>
      </c>
      <c r="D6545" t="inlineStr">
        <is>
          <t>2</t>
        </is>
      </c>
      <c r="E6545" t="inlineStr">
        <is>
          <t>36</t>
        </is>
      </c>
      <c r="F6545" t="inlineStr">
        <is>
          <t>0</t>
        </is>
      </c>
      <c r="G6545" t="inlineStr">
        <is>
          <t>0</t>
        </is>
      </c>
      <c r="H6545" t="inlineStr">
        <is>
          <t>24⁴, 48⁴</t>
        </is>
      </c>
      <c r="I6545" t="n">
        <v>8</v>
      </c>
      <c r="J6545" t="inlineStr">
        <is>
          <t>2⁸, 4¹⁰, 8²</t>
        </is>
      </c>
      <c r="K6545">
        <f>HYPERLINK("CSG6.html#group24K6", "24K⁶"), =HYPERLINK("CSG8.html#group48AA8", "48AA⁸"), =HYPERLINK("CSG8.html#group48AB8", "48AB⁸"), =HYPERLINK("CSG8.html#group48AD8", "48AD⁸"), =HYPERLINK("CSG11.html#group48K11", "48K¹¹"), =HYPERLINK("CSG11.html#group48L11", "48L¹¹"), =HYPERLINK("CSG11.html#group48Q11", "48Q¹¹")</f>
        <v/>
      </c>
      <c r="L6545" t="inlineStr"/>
      <c r="M6545">
        <f>HYPERLINK("CSG8.html#group48AB8", "48AB⁸"), =HYPERLINK("CSG1.html#group24E1", "24E¹"), =HYPERLINK("CSG0.html#group12C0", "12C⁰"), =HYPERLINK("CSG11.html#group48K11", "48K¹¹"), =HYPERLINK("CSG0.html#group4C0", "4C⁰"), =HYPERLINK("CSG0.html#group8B0", "8B⁰"), =HYPERLINK("CSG2.html#group24P2", "24P²"), =HYPERLINK("CSG0.html#group8L0", "8L⁰"), =HYPERLINK("CSG0.html#group2B0", "2B⁰"), =HYPERLINK("CSG1.html#group12M1", "12M¹"), =HYPERLINK("CSG2.html#group24Q2", "24Q²"), =HYPERLINK("CSG0.html#group1A0", "1A⁰"), =HYPERLINK("CSG8.html#group48AD8", "48AD⁸"), =HYPERLINK("CSG3.html#group48H3", "48H³"), =HYPERLINK("CSG2.html#group16A2", "16A²"), =HYPERLINK("CSG1.html#group16D1", "16D¹"), =HYPERLINK("CSG3.html#group48E3", "48E³"), =HYPERLINK("CSG11.html#group48L11", "48L¹¹"), =HYPERLINK("CSG0.html#group24A0", "24A⁰"), =HYPERLINK("CSG0.html#group6D0", "6D⁰"), =HYPERLINK("CSG3.html#group16F3", "16F³"), =HYPERLINK("CSG6.html#group48A6", "48A⁶"), =HYPERLINK("CSG2.html#group24M2", "24M²"), =HYPERLINK("CSG6.html#group24K6", "24K⁶"), =HYPERLINK("CSG11.html#group48Q11", "48Q¹¹"), =HYPERLINK("CSG3.html#group48F3", "48F³"), =HYPERLINK("CSG0.html#group3A0", "3A⁰"), =HYPERLINK("CSG8.html#group48AA8", "48AA⁸")</f>
        <v/>
      </c>
      <c r="N6545" t="inlineStr"/>
    </row>
    <row r="6546">
      <c r="A6546" t="inlineStr">
        <is>
          <t>48BV²¹</t>
        </is>
      </c>
      <c r="B6546" t="inlineStr"/>
      <c r="C6546" t="inlineStr">
        <is>
          <t>288</t>
        </is>
      </c>
      <c r="D6546" t="inlineStr">
        <is>
          <t>2</t>
        </is>
      </c>
      <c r="E6546" t="inlineStr">
        <is>
          <t>72</t>
        </is>
      </c>
      <c r="F6546" t="inlineStr">
        <is>
          <t>0</t>
        </is>
      </c>
      <c r="G6546" t="inlineStr">
        <is>
          <t>0</t>
        </is>
      </c>
      <c r="H6546" t="inlineStr">
        <is>
          <t>24⁴, 48⁴</t>
        </is>
      </c>
      <c r="I6546" t="n">
        <v>8</v>
      </c>
      <c r="J6546" t="inlineStr">
        <is>
          <t>4⁶, 8¹⁵</t>
        </is>
      </c>
      <c r="K6546">
        <f>HYPERLINK("CSG10.html#group24E10", "24E¹⁰"), =HYPERLINK("CSG10.html#group48D10", "48D¹⁰"), =HYPERLINK("CSG11.html#group48O11", "48O¹¹")</f>
        <v/>
      </c>
      <c r="L6546" t="inlineStr"/>
      <c r="M6546">
        <f>HYPERLINK("CSG4.html#group24O4", "24O⁴"), =HYPERLINK("CSG3.html#group24A3", "24A³"), =HYPERLINK("CSG10.html#group24E10", "24E¹⁰"), =HYPERLINK("CSG0.html#group12C0", "12C⁰"), =HYPERLINK("CSG3.html#group48G3", "48G³"), =HYPERLINK("CSG1.html#group8A1", "8A¹"), =HYPERLINK("CSG11.html#group48O11", "48O¹¹"), =HYPERLINK("CSG4.html#group48H4", "48H⁴"), =HYPERLINK("CSG0.html#group8D0", "8D⁰"), =HYPERLINK("CSG0.html#group4C0", "4C⁰"), =HYPERLINK("CSG10.html#group48D10", "48D¹⁰"), =HYPERLINK("CSG0.html#group2B0", "2B⁰"), =HYPERLINK("CSG1.html#group24B1", "24B¹"), =HYPERLINK("CSG0.html#group1A0", "1A⁰"), =HYPERLINK("CSG0.html#group12A0", "12A⁰"), =HYPERLINK("CSG1.html#group8C1", "8C¹"), =HYPERLINK("CSG6.html#group48C6", "48C⁶"), =HYPERLINK("CSG0.html#group4A0", "4A⁰"), =HYPERLINK("CSG1.html#group24C1", "24C¹"), =HYPERLINK("CSG1.html#group12J1", "12J¹"), =HYPERLINK("CSG3.html#group24R3", "24R³"), =HYPERLINK("CSG0.html#group4F0", "4F⁰"), =HYPERLINK("CSG0.html#group3A0", "3A⁰"), =HYPERLINK("CSG0.html#group6D0", "6D⁰"), =HYPERLINK("CSG5.html#group24B5", "24B⁵")</f>
        <v/>
      </c>
      <c r="N6546" t="inlineStr"/>
    </row>
    <row r="6547">
      <c r="A6547" t="inlineStr">
        <is>
          <t>48BW²¹</t>
        </is>
      </c>
      <c r="B6547" t="inlineStr"/>
      <c r="C6547" t="inlineStr">
        <is>
          <t>288</t>
        </is>
      </c>
      <c r="D6547" t="inlineStr">
        <is>
          <t>2</t>
        </is>
      </c>
      <c r="E6547" t="inlineStr">
        <is>
          <t>72</t>
        </is>
      </c>
      <c r="F6547" t="inlineStr">
        <is>
          <t>4</t>
        </is>
      </c>
      <c r="G6547" t="inlineStr">
        <is>
          <t>0</t>
        </is>
      </c>
      <c r="H6547" t="inlineStr">
        <is>
          <t>48⁶</t>
        </is>
      </c>
      <c r="I6547" t="n">
        <v>6</v>
      </c>
      <c r="J6547" t="inlineStr">
        <is>
          <t>8⁶, 16⁶</t>
        </is>
      </c>
      <c r="K6547">
        <f>HYPERLINK("CSG7.html#group48I7", "48I⁷"), =HYPERLINK("CSG9.html#group24Y9", "24Y⁹"), =HYPERLINK("CSG10.html#group48G10", "48G¹⁰")</f>
        <v/>
      </c>
      <c r="L6547" t="inlineStr"/>
      <c r="M6547">
        <f>HYPERLINK("CSG7.html#group48I7", "48I⁷"), =HYPERLINK("CSG4.html#group24O4", "24O⁴"), =HYPERLINK("CSG0.html#group12C0", "12C⁰"), =HYPERLINK("CSG0.html#group4C0", "4C⁰"), =HYPERLINK("CSG0.html#group8A0", "8A⁰"), =HYPERLINK("CSG0.html#group6G0", "6G⁰"), =HYPERLINK("CSG0.html#group2B0", "2B⁰"), =HYPERLINK("CSG1.html#group12M1", "12M¹"), =HYPERLINK("CSG0.html#group1A0", "1A⁰"), =HYPERLINK("CSG1.html#group24A1", "24A¹"), =HYPERLINK("CSG9.html#group24Y9", "24Y⁹"), =HYPERLINK("CSG0.html#group3C0", "3C⁰"), =HYPERLINK("CSG0.html#group3A0", "3A⁰"), =HYPERLINK("CSG3.html#group48B3", "48B³"), =HYPERLINK("CSG1.html#group12G1", "12G¹"), =HYPERLINK("CSG1.html#group24B1", "24B¹"), =HYPERLINK("CSG1.html#group12L1", "12L¹"), =HYPERLINK("CSG1.html#group8D1", "8D¹"), =HYPERLINK("CSG3.html#group12J3", "12J³"), =HYPERLINK("CSG10.html#group48G10", "48G¹⁰"), =HYPERLINK("CSG3.html#group24E3", "24E³"), =HYPERLINK("CSG0.html#group12A0", "12A⁰"), =HYPERLINK("CSG4.html#group24H4", "24H⁴"), =HYPERLINK("CSG1.html#group12C1", "12C¹"), =HYPERLINK("CSG0.html#group4A0", "4A⁰"), =HYPERLINK("CSG1.html#group12J1", "12J¹"), =HYPERLINK("CSG0.html#group4F0", "4F⁰"), =HYPERLINK("CSG0.html#group6D0", "6D⁰")</f>
        <v/>
      </c>
      <c r="N6547" t="inlineStr"/>
    </row>
    <row r="6548">
      <c r="A6548" t="inlineStr">
        <is>
          <t>48BX²¹</t>
        </is>
      </c>
      <c r="B6548" t="inlineStr"/>
      <c r="C6548" t="inlineStr">
        <is>
          <t>288</t>
        </is>
      </c>
      <c r="D6548" t="inlineStr">
        <is>
          <t>2</t>
        </is>
      </c>
      <c r="E6548" t="inlineStr">
        <is>
          <t>72</t>
        </is>
      </c>
      <c r="F6548" t="inlineStr">
        <is>
          <t>4</t>
        </is>
      </c>
      <c r="G6548" t="inlineStr">
        <is>
          <t>0</t>
        </is>
      </c>
      <c r="H6548" t="inlineStr">
        <is>
          <t>48⁶</t>
        </is>
      </c>
      <c r="I6548" t="n">
        <v>6</v>
      </c>
      <c r="J6548" t="inlineStr">
        <is>
          <t>8⁶, 16⁶</t>
        </is>
      </c>
      <c r="K6548">
        <f>HYPERLINK("CSG9.html#group24X9", "24X⁹"), =HYPERLINK("CSG10.html#group48F10", "48F¹⁰"), =HYPERLINK("CSG10.html#group48G10", "48G¹⁰")</f>
        <v/>
      </c>
      <c r="L6548" t="inlineStr"/>
      <c r="M6548">
        <f>HYPERLINK("CSG1.html#group24E1", "24E¹"), =HYPERLINK("CSG0.html#group12C0", "12C⁰"), =HYPERLINK("CSG0.html#group16A0", "16A⁰"), =HYPERLINK("CSG0.html#group4C0", "4C⁰"), =HYPERLINK("CSG0.html#group8A0", "8A⁰"), =HYPERLINK("CSG3.html#group16G3", "16G³"), =HYPERLINK("CSG0.html#group2B0", "2B⁰"), =HYPERLINK("CSG10.html#group48F10", "48F¹⁰"), =HYPERLINK("CSG2.html#group24C2", "24C²"), =HYPERLINK("CSG0.html#group1A0", "1A⁰"), =HYPERLINK("CSG1.html#group8D1", "8D¹"), =HYPERLINK("CSG10.html#group48G10", "48G¹⁰"), =HYPERLINK("CSG4.html#group24H4", "24H⁴"), =HYPERLINK("CSG0.html#group12A0", "12A⁰"), =HYPERLINK("CSG1.html#group24A1", "24A¹"), =HYPERLINK("CSG3.html#group48A3", "48A³"), =HYPERLINK("CSG0.html#group4A0", "4A⁰"), =HYPERLINK("CSG9.html#group24X9", "24X⁹"), =HYPERLINK("CSG4.html#group24K4", "24K⁴"), =HYPERLINK("CSG3.html#group24R3", "24R³"), =HYPERLINK("CSG1.html#group12J1", "12J¹"), =HYPERLINK("CSG0.html#group4F0", "4F⁰"), =HYPERLINK("CSG0.html#group3A0", "3A⁰"), =HYPERLINK("CSG0.html#group6D0", "6D⁰"), =HYPERLINK("CSG3.html#group48B3", "48B³")</f>
        <v/>
      </c>
      <c r="N6548" t="inlineStr"/>
    </row>
    <row r="6549">
      <c r="A6549" t="inlineStr">
        <is>
          <t>48BY²¹</t>
        </is>
      </c>
      <c r="B6549" t="inlineStr"/>
      <c r="C6549" t="inlineStr">
        <is>
          <t>288</t>
        </is>
      </c>
      <c r="D6549" t="inlineStr">
        <is>
          <t>2</t>
        </is>
      </c>
      <c r="E6549" t="inlineStr">
        <is>
          <t>72</t>
        </is>
      </c>
      <c r="F6549" t="inlineStr">
        <is>
          <t>4</t>
        </is>
      </c>
      <c r="G6549" t="inlineStr">
        <is>
          <t>0</t>
        </is>
      </c>
      <c r="H6549" t="inlineStr">
        <is>
          <t>48⁶</t>
        </is>
      </c>
      <c r="I6549" t="n">
        <v>6</v>
      </c>
      <c r="J6549" t="inlineStr">
        <is>
          <t>8⁶, 16⁶</t>
        </is>
      </c>
      <c r="K6549">
        <f>HYPERLINK("CSG7.html#group48J7", "48J⁷"), =HYPERLINK("CSG9.html#group24Y9", "24Y⁹"), =HYPERLINK("CSG10.html#group48F10", "48F¹⁰"), =HYPERLINK("CSG10.html#group48G10", "48G¹⁰")</f>
        <v/>
      </c>
      <c r="L6549" t="inlineStr"/>
      <c r="M6549">
        <f>HYPERLINK("CSG4.html#group24O4", "24O⁴"), =HYPERLINK("CSG1.html#group12G1", "12G¹"), =HYPERLINK("CSG0.html#group12C0", "12C⁰"), =HYPERLINK("CSG0.html#group16A0", "16A⁰"), =HYPERLINK("CSG0.html#group4C0", "4C⁰"), =HYPERLINK("CSG0.html#group8A0", "8A⁰"), =HYPERLINK("CSG0.html#group6G0", "6G⁰"), =HYPERLINK("CSG3.html#group16G3", "16G³"), =HYPERLINK("CSG0.html#group2B0", "2B⁰"), =HYPERLINK("CSG10.html#group48F10", "48F¹⁰"), =HYPERLINK("CSG1.html#group24B1", "24B¹"), =HYPERLINK("CSG1.html#group12M1", "12M¹"), =HYPERLINK("CSG0.html#group1A0", "1A⁰"), =HYPERLINK("CSG1.html#group12L1", "12L¹"), =HYPERLINK("CSG3.html#group12J3", "12J³"), =HYPERLINK("CSG10.html#group48G10", "48G¹⁰"), =HYPERLINK("CSG1.html#group8D1", "8D¹"), =HYPERLINK("CSG3.html#group24E3", "24E³"), =HYPERLINK("CSG4.html#group24H4", "24H⁴"), =HYPERLINK("CSG0.html#group12A0", "12A⁰"), =HYPERLINK("CSG1.html#group24A1", "24A¹"), =HYPERLINK("CSG1.html#group12C1", "12C¹"), =HYPERLINK("CSG3.html#group48A3", "48A³"), =HYPERLINK("CSG7.html#group48J7", "48J⁷"), =HYPERLINK("CSG0.html#group4A0", "4A⁰"), =HYPERLINK("CSG9.html#group24Y9", "24Y⁹"), =HYPERLINK("CSG0.html#group3C0", "3C⁰"), =HYPERLINK("CSG1.html#group12J1", "12J¹"), =HYPERLINK("CSG0.html#group4F0", "4F⁰"), =HYPERLINK("CSG0.html#group3A0", "3A⁰"), =HYPERLINK("CSG0.html#group6D0", "6D⁰"), =HYPERLINK("CSG3.html#group48B3", "48B³")</f>
        <v/>
      </c>
      <c r="N6549" t="inlineStr"/>
    </row>
    <row r="6550">
      <c r="A6550" t="inlineStr">
        <is>
          <t>48BZ²¹</t>
        </is>
      </c>
      <c r="B6550" t="inlineStr"/>
      <c r="C6550" t="inlineStr">
        <is>
          <t>384</t>
        </is>
      </c>
      <c r="D6550" t="inlineStr">
        <is>
          <t>1</t>
        </is>
      </c>
      <c r="E6550" t="inlineStr">
        <is>
          <t>12</t>
        </is>
      </c>
      <c r="F6550" t="inlineStr">
        <is>
          <t>0</t>
        </is>
      </c>
      <c r="G6550" t="inlineStr">
        <is>
          <t>0</t>
        </is>
      </c>
      <c r="H6550" t="inlineStr">
        <is>
          <t>4⁸, 12⁸, 16⁴, 48⁴</t>
        </is>
      </c>
      <c r="I6550" t="n">
        <v>24</v>
      </c>
      <c r="J6550" t="inlineStr">
        <is>
          <t>1⁶, 2³</t>
        </is>
      </c>
      <c r="K6550">
        <f>HYPERLINK("CSG5.html#group24Z5", "24Z⁵"), =HYPERLINK("CSG11.html#group48W11", "48W¹¹"), =HYPERLINK("CSG11.html#group48X11", "48X¹¹")</f>
        <v/>
      </c>
      <c r="L6550" t="inlineStr"/>
      <c r="M6550">
        <f>HYPERLINK("CSG0.html#group2A0", "2A⁰"), =HYPERLINK("CSG3.html#group24V3", "24V³"), =HYPERLINK("CSG6.html#group48D6", "48D⁶"), =HYPERLINK("CSG1.html#group24G1", "24G¹"), =HYPERLINK("CSG0.html#group4C0", "4C⁰"), =HYPERLINK("CSG0.html#group12I0", "12I⁰"), =HYPERLINK("CSG0.html#group12J0", "12J⁰"), =HYPERLINK("CSG0.html#group2B0", "2B⁰"), =HYPERLINK("CSG0.html#group8C0", "8C⁰"), =HYPERLINK("CSG0.html#group4E0", "4E⁰"), =HYPERLINK("CSG0.html#group4B0", "4B⁰"), =HYPERLINK("CSG0.html#group1A0", "1A⁰"), =HYPERLINK("CSG5.html#group24Z5", "24Z⁵"), =HYPERLINK("CSG1.html#group24J1", "24J¹"), =HYPERLINK("CSG3.html#group24U3", "24U³"), =HYPERLINK("CSG0.html#group8G0", "8G⁰"), =HYPERLINK("CSG0.html#group6F0", "6F⁰"), =HYPERLINK("CSG0.html#group3B0", "3B⁰"), =HYPERLINK("CSG2.html#group16C2", "16C²"), =HYPERLINK("CSG1.html#group12V1", "12V¹"), =HYPERLINK("CSG0.html#group8D0", "8D⁰"), =HYPERLINK("CSG0.html#group6I0", "6I⁰"), =HYPERLINK("CSG1.html#group12F1", "12F¹"), =HYPERLINK("CSG0.html#group6C0", "6C⁰"), =HYPERLINK("CSG1.html#group12P1", "12P¹"), =HYPERLINK("CSG11.html#group48W11", "48W¹¹"), =HYPERLINK("CSG2.html#group24I2", "24I²"), =HYPERLINK("CSG0.html#group24B0", "24B⁰"), =HYPERLINK("CSG1.html#group16C1", "16C¹"), =HYPERLINK("CSG3.html#group24W3", "24W³"), =HYPERLINK("CSG11.html#group48X11", "48X¹¹"), =HYPERLINK("CSG2.html#group24F2", "24F²"), =HYPERLINK("CSG0.html#group2C0", "2C⁰"), =HYPERLINK("CSG0.html#group12E0", "12E⁰")</f>
        <v/>
      </c>
      <c r="N6550" t="inlineStr"/>
    </row>
    <row r="6551">
      <c r="A6551" t="inlineStr">
        <is>
          <t>48CA²¹</t>
        </is>
      </c>
      <c r="B6551" t="inlineStr"/>
      <c r="C6551" t="inlineStr">
        <is>
          <t>384</t>
        </is>
      </c>
      <c r="D6551" t="inlineStr">
        <is>
          <t>1</t>
        </is>
      </c>
      <c r="E6551" t="inlineStr">
        <is>
          <t>12</t>
        </is>
      </c>
      <c r="F6551" t="inlineStr">
        <is>
          <t>0</t>
        </is>
      </c>
      <c r="G6551" t="inlineStr">
        <is>
          <t>0</t>
        </is>
      </c>
      <c r="H6551" t="inlineStr">
        <is>
          <t>4⁸, 12⁸, 16⁴, 48⁴</t>
        </is>
      </c>
      <c r="I6551" t="n">
        <v>24</v>
      </c>
      <c r="J6551" t="inlineStr">
        <is>
          <t>1⁶, 2³</t>
        </is>
      </c>
      <c r="K6551">
        <f>HYPERLINK("CSG7.html#group48AK7", "48AK⁷"), =HYPERLINK("CSG9.html#group24AE9", "24AE⁹"), =HYPERLINK("CSG11.html#group48X11", "48X¹¹")</f>
        <v/>
      </c>
      <c r="L6551" t="inlineStr"/>
      <c r="M6551">
        <f>HYPERLINK("CSG9.html#group24AE9", "24AE⁹"), =HYPERLINK("CSG0.html#group3B0", "3B⁰"), =HYPERLINK("CSG0.html#group2A0", "2A⁰"), =HYPERLINK("CSG3.html#group24V3", "24V³"), =HYPERLINK("CSG2.html#group16C2", "16C²"), =HYPERLINK("CSG0.html#group8D0", "8D⁰"), =HYPERLINK("CSG0.html#group6I0", "6I⁰"), =HYPERLINK("CSG1.html#group12F1", "12F¹"), =HYPERLINK("CSG1.html#group24G1", "24G¹"), =HYPERLINK("CSG0.html#group6C0", "6C⁰"), =HYPERLINK("CSG0.html#group12I0", "12I⁰"), =HYPERLINK("CSG0.html#group4C0", "4C⁰"), =HYPERLINK("CSG3.html#group48K3", "48K³"), =HYPERLINK("CSG6.html#group48D6", "48D⁶"), =HYPERLINK("CSG0.html#group2B0", "2B⁰"), =HYPERLINK("CSG0.html#group4E0", "4E⁰"), =HYPERLINK("CSG0.html#group8C0", "8C⁰"), =HYPERLINK("CSG1.html#group12P1", "12P¹"), =HYPERLINK("CSG0.html#group4B0", "4B⁰"), =HYPERLINK("CSG0.html#group1A0", "1A⁰"), =HYPERLINK("CSG2.html#group12F2", "12F²"), =HYPERLINK("CSG7.html#group48AK7", "48AK⁷"), =HYPERLINK("CSG2.html#group24I2", "24I²"), =HYPERLINK("CSG0.html#group8G0", "8G⁰"), =HYPERLINK("CSG3.html#group12L3", "12L³"), =HYPERLINK("CSG1.html#group16C1", "16C¹"), =HYPERLINK("CSG5.html#group24H5", "24H⁵"), =HYPERLINK("CSG11.html#group48X11", "48X¹¹"), =HYPERLINK("CSG0.html#group6F0", "6F⁰"), =HYPERLINK("CSG0.html#group2C0", "2C⁰"), =HYPERLINK("CSG0.html#group12E0", "12E⁰"), =HYPERLINK("CSG0.html#group12B0", "12B⁰")</f>
        <v/>
      </c>
      <c r="N6551" t="inlineStr"/>
    </row>
    <row r="6552">
      <c r="A6552" t="inlineStr">
        <is>
          <t>48CB²¹</t>
        </is>
      </c>
      <c r="B6552" t="inlineStr"/>
      <c r="C6552" t="inlineStr">
        <is>
          <t>384</t>
        </is>
      </c>
      <c r="D6552" t="inlineStr">
        <is>
          <t>1</t>
        </is>
      </c>
      <c r="E6552" t="inlineStr">
        <is>
          <t>12</t>
        </is>
      </c>
      <c r="F6552" t="inlineStr">
        <is>
          <t>0</t>
        </is>
      </c>
      <c r="G6552" t="inlineStr">
        <is>
          <t>0</t>
        </is>
      </c>
      <c r="H6552" t="inlineStr">
        <is>
          <t>4⁸, 12⁸, 16⁴, 48⁴</t>
        </is>
      </c>
      <c r="I6552" t="n">
        <v>24</v>
      </c>
      <c r="J6552" t="inlineStr">
        <is>
          <t>1⁶, 2³</t>
        </is>
      </c>
      <c r="K6552">
        <f>HYPERLINK("CSG7.html#group48AK7", "48AK⁷"), =HYPERLINK("CSG9.html#group24AF9", "24AF⁹"), =HYPERLINK("CSG11.html#group48W11", "48W¹¹")</f>
        <v/>
      </c>
      <c r="L6552" t="inlineStr"/>
      <c r="M6552">
        <f>HYPERLINK("CSG0.html#group2A0", "2A⁰"), =HYPERLINK("CSG3.html#group24V3", "24V³"), =HYPERLINK("CSG1.html#group24G1", "24G¹"), =HYPERLINK("CSG0.html#group4C0", "4C⁰"), =HYPERLINK("CSG0.html#group4G0", "4G⁰"), =HYPERLINK("CSG0.html#group8C0", "8C⁰"), =HYPERLINK("CSG0.html#group2B0", "2B⁰"), =HYPERLINK("CSG0.html#group4E0", "4E⁰"), =HYPERLINK("CSG0.html#group4B0", "4B⁰"), =HYPERLINK("CSG1.html#group8F1", "8F¹"), =HYPERLINK("CSG0.html#group1A0", "1A⁰"), =HYPERLINK("CSG0.html#group8G0", "8G⁰"), =HYPERLINK("CSG0.html#group4D0", "4D⁰"), =HYPERLINK("CSG1.html#group12A1", "12A¹"), =HYPERLINK("CSG0.html#group6F0", "6F⁰"), =HYPERLINK("CSG0.html#group3B0", "3B⁰"), =HYPERLINK("CSG5.html#group24K5", "24K⁵"), =HYPERLINK("CSG1.html#group8A1", "8A¹"), =HYPERLINK("CSG1.html#group12I1", "12I¹"), =HYPERLINK("CSG3.html#group24B3", "24B³"), =HYPERLINK("CSG0.html#group8D0", "8D⁰"), =HYPERLINK("CSG1.html#group12F1", "12F¹"), =HYPERLINK("CSG3.html#group48K3", "48K³"), =HYPERLINK("CSG0.html#group6I0", "6I⁰"), =HYPERLINK("CSG0.html#group6C0", "6C⁰"), =HYPERLINK("CSG0.html#group8B0", "8B⁰"), =HYPERLINK("CSG1.html#group8B1", "8B¹"), =HYPERLINK("CSG1.html#group12P1", "12P¹"), =HYPERLINK("CSG3.html#group24C3", "24C³"), =HYPERLINK("CSG0.html#group8H0", "8H⁰"), =HYPERLINK("CSG7.html#group48AK7", "48AK⁷"), =HYPERLINK("CSG5.html#group24I5", "24I⁵"), =HYPERLINK("CSG1.html#group8C1", "8C¹"), =HYPERLINK("CSG11.html#group48W11", "48W¹¹"), =HYPERLINK("CSG2.html#group24I2", "24I²"), =HYPERLINK("CSG0.html#group4A0", "4A⁰"), =HYPERLINK("CSG2.html#group12G2", "12G²"), =HYPERLINK("CSG3.html#group12K3", "12K³"), =HYPERLINK("CSG5.html#group24J5", "24J⁵"), =HYPERLINK("CSG0.html#group4F0", "4F⁰"), =HYPERLINK("CSG0.html#group2C0", "2C⁰"), =HYPERLINK("CSG0.html#group12E0", "12E⁰"), =HYPERLINK("CSG9.html#group24AF9", "24AF⁹")</f>
        <v/>
      </c>
      <c r="N6552" t="inlineStr"/>
    </row>
    <row r="6553">
      <c r="A6553" t="inlineStr">
        <is>
          <t>48CC²¹</t>
        </is>
      </c>
      <c r="B6553" t="inlineStr"/>
      <c r="C6553" t="inlineStr">
        <is>
          <t>384</t>
        </is>
      </c>
      <c r="D6553" t="inlineStr">
        <is>
          <t>1</t>
        </is>
      </c>
      <c r="E6553" t="inlineStr">
        <is>
          <t>12</t>
        </is>
      </c>
      <c r="F6553" t="inlineStr">
        <is>
          <t>0</t>
        </is>
      </c>
      <c r="G6553" t="inlineStr">
        <is>
          <t>0</t>
        </is>
      </c>
      <c r="H6553" t="inlineStr">
        <is>
          <t>4⁸, 12⁸, 16⁴, 48⁴</t>
        </is>
      </c>
      <c r="I6553" t="n">
        <v>24</v>
      </c>
      <c r="J6553" t="inlineStr">
        <is>
          <t>1⁶, 2³</t>
        </is>
      </c>
      <c r="K6553">
        <f>HYPERLINK("CSG7.html#group48AL7", "48AL⁷"), =HYPERLINK("CSG9.html#group24AE9", "24AE⁹"), =HYPERLINK("CSG11.html#group48W11", "48W¹¹")</f>
        <v/>
      </c>
      <c r="L6553" t="inlineStr"/>
      <c r="M6553">
        <f>HYPERLINK("CSG9.html#group24AE9", "24AE⁹"), =HYPERLINK("CSG0.html#group2A0", "2A⁰"), =HYPERLINK("CSG0.html#group16G0", "16G⁰"), =HYPERLINK("CSG3.html#group24V3", "24V³"), =HYPERLINK("CSG1.html#group24G1", "24G¹"), =HYPERLINK("CSG0.html#group4C0", "4C⁰"), =HYPERLINK("CSG0.html#group12I0", "12I⁰"), =HYPERLINK("CSG0.html#group2B0", "2B⁰"), =HYPERLINK("CSG0.html#group4E0", "4E⁰"), =HYPERLINK("CSG0.html#group8C0", "8C⁰"), =HYPERLINK("CSG0.html#group4B0", "4B⁰"), =HYPERLINK("CSG0.html#group1A0", "1A⁰"), =HYPERLINK("CSG2.html#group12F2", "12F²"), =HYPERLINK("CSG0.html#group16E0", "16E⁰"), =HYPERLINK("CSG7.html#group48AL7", "48AL⁷"), =HYPERLINK("CSG0.html#group8G0", "8G⁰"), =HYPERLINK("CSG3.html#group12L3", "12L³"), =HYPERLINK("CSG5.html#group24H5", "24H⁵"), =HYPERLINK("CSG0.html#group6F0", "6F⁰"), =HYPERLINK("CSG3.html#group48L3", "48L³"), =HYPERLINK("CSG0.html#group3B0", "3B⁰"), =HYPERLINK("CSG0.html#group8D0", "8D⁰"), =HYPERLINK("CSG0.html#group6I0", "6I⁰"), =HYPERLINK("CSG1.html#group12F1", "12F¹"), =HYPERLINK("CSG0.html#group6C0", "6C⁰"), =HYPERLINK("CSG1.html#group12P1", "12P¹"), =HYPERLINK("CSG11.html#group48W11", "48W¹¹"), =HYPERLINK("CSG2.html#group24I2", "24I²"), =HYPERLINK("CSG4.html#group48J4", "48J⁴"), =HYPERLINK("CSG0.html#group16D0", "16D⁰"), =HYPERLINK("CSG0.html#group2C0", "2C⁰"), =HYPERLINK("CSG0.html#group12E0", "12E⁰"), =HYPERLINK("CSG0.html#group12B0", "12B⁰")</f>
        <v/>
      </c>
      <c r="N6553" t="inlineStr"/>
    </row>
    <row r="6554">
      <c r="A6554" t="inlineStr">
        <is>
          <t>48CD²¹</t>
        </is>
      </c>
      <c r="B6554" t="inlineStr"/>
      <c r="C6554" t="inlineStr">
        <is>
          <t>384</t>
        </is>
      </c>
      <c r="D6554" t="inlineStr">
        <is>
          <t>1</t>
        </is>
      </c>
      <c r="E6554" t="inlineStr">
        <is>
          <t>12</t>
        </is>
      </c>
      <c r="F6554" t="inlineStr">
        <is>
          <t>0</t>
        </is>
      </c>
      <c r="G6554" t="inlineStr">
        <is>
          <t>0</t>
        </is>
      </c>
      <c r="H6554" t="inlineStr">
        <is>
          <t>4⁸, 12⁸, 16⁴, 48⁴</t>
        </is>
      </c>
      <c r="I6554" t="n">
        <v>24</v>
      </c>
      <c r="J6554" t="inlineStr">
        <is>
          <t>1⁶, 2³</t>
        </is>
      </c>
      <c r="K6554">
        <f>HYPERLINK("CSG9.html#group24AF9", "24AF⁹"), =HYPERLINK("CSG9.html#group48AH9", "48AH⁹"), =HYPERLINK("CSG11.html#group48Y11", "48Y¹¹")</f>
        <v/>
      </c>
      <c r="L6554" t="inlineStr"/>
      <c r="M6554">
        <f>HYPERLINK("CSG0.html#group2A0", "2A⁰"), =HYPERLINK("CSG3.html#group24V3", "24V³"), =HYPERLINK("CSG1.html#group24G1", "24G¹"), =HYPERLINK("CSG0.html#group4C0", "4C⁰"), =HYPERLINK("CSG0.html#group4G0", "4G⁰"), =HYPERLINK("CSG0.html#group8C0", "8C⁰"), =HYPERLINK("CSG0.html#group2B0", "2B⁰"), =HYPERLINK("CSG0.html#group4E0", "4E⁰"), =HYPERLINK("CSG0.html#group4B0", "4B⁰"), =HYPERLINK("CSG1.html#group8F1", "8F¹"), =HYPERLINK("CSG0.html#group1A0", "1A⁰"), =HYPERLINK("CSG9.html#group48AH9", "48AH⁹"), =HYPERLINK("CSG0.html#group8G0", "8G⁰"), =HYPERLINK("CSG0.html#group4D0", "4D⁰"), =HYPERLINK("CSG1.html#group12A1", "12A¹"), =HYPERLINK("CSG3.html#group48I3", "48I³"), =HYPERLINK("CSG0.html#group6F0", "6F⁰"), =HYPERLINK("CSG5.html#group48C5", "48C⁵"), =HYPERLINK("CSG0.html#group3B0", "3B⁰"), =HYPERLINK("CSG5.html#group24K5", "24K⁵"), =HYPERLINK("CSG1.html#group8A1", "8A¹"), =HYPERLINK("CSG1.html#group12I1", "12I¹"), =HYPERLINK("CSG3.html#group24B3", "24B³"), =HYPERLINK("CSG0.html#group8D0", "8D⁰"), =HYPERLINK("CSG1.html#group12F1", "12F¹"), =HYPERLINK("CSG0.html#group6I0", "6I⁰"), =HYPERLINK("CSG0.html#group6C0", "6C⁰"), =HYPERLINK("CSG0.html#group8B0", "8B⁰"), =HYPERLINK("CSG11.html#group48Y11", "48Y¹¹"), =HYPERLINK("CSG1.html#group8B1", "8B¹"), =HYPERLINK("CSG1.html#group12P1", "12P¹"), =HYPERLINK("CSG3.html#group24C3", "24C³"), =HYPERLINK("CSG0.html#group8H0", "8H⁰"), =HYPERLINK("CSG5.html#group24I5", "24I⁵"), =HYPERLINK("CSG1.html#group8C1", "8C¹"), =HYPERLINK("CSG2.html#group24I2", "24I²"), =HYPERLINK("CSG0.html#group4A0", "4A⁰"), =HYPERLINK("CSG2.html#group12G2", "12G²"), =HYPERLINK("CSG3.html#group12K3", "12K³"), =HYPERLINK("CSG0.html#group4F0", "4F⁰"), =HYPERLINK("CSG5.html#group24J5", "24J⁵"), =HYPERLINK("CSG0.html#group2C0", "2C⁰"), =HYPERLINK("CSG0.html#group12E0", "12E⁰"), =HYPERLINK("CSG9.html#group24AF9", "24AF⁹")</f>
        <v/>
      </c>
      <c r="N6554" t="inlineStr"/>
    </row>
    <row r="6555">
      <c r="A6555" t="inlineStr">
        <is>
          <t>48CE²¹</t>
        </is>
      </c>
      <c r="B6555" t="inlineStr"/>
      <c r="C6555" t="inlineStr">
        <is>
          <t>384</t>
        </is>
      </c>
      <c r="D6555" t="inlineStr">
        <is>
          <t>1</t>
        </is>
      </c>
      <c r="E6555" t="inlineStr">
        <is>
          <t>12</t>
        </is>
      </c>
      <c r="F6555" t="inlineStr">
        <is>
          <t>0</t>
        </is>
      </c>
      <c r="G6555" t="inlineStr">
        <is>
          <t>0</t>
        </is>
      </c>
      <c r="H6555" t="inlineStr">
        <is>
          <t>4⁸, 12⁸, 16⁴, 48⁴</t>
        </is>
      </c>
      <c r="I6555" t="n">
        <v>24</v>
      </c>
      <c r="J6555" t="inlineStr">
        <is>
          <t>1⁶, 2³</t>
        </is>
      </c>
      <c r="K6555">
        <f>HYPERLINK("CSG3.html#group16H3", "16H³"), =HYPERLINK("CSG9.html#group24AF9", "24AF⁹"), =HYPERLINK("CSG9.html#group48AK9", "48AK⁹"), =HYPERLINK("CSG11.html#group48Z11", "48Z¹¹")</f>
        <v/>
      </c>
      <c r="L6555" t="inlineStr"/>
      <c r="M6555">
        <f>HYPERLINK("CSG0.html#group2A0", "2A⁰"), =HYPERLINK("CSG3.html#group24V3", "24V³"), =HYPERLINK("CSG1.html#group24G1", "24G¹"), =HYPERLINK("CSG0.html#group4C0", "4C⁰"), =HYPERLINK("CSG1.html#group16A1", "16A¹"), =HYPERLINK("CSG0.html#group2B0", "2B⁰"), =HYPERLINK("CSG0.html#group8C0", "8C⁰"), =HYPERLINK("CSG0.html#group4E0", "4E⁰"), =HYPERLINK("CSG0.html#group4G0", "4G⁰"), =HYPERLINK("CSG0.html#group4B0", "4B⁰"), =HYPERLINK("CSG1.html#group8F1", "8F¹"), =HYPERLINK("CSG0.html#group1A0", "1A⁰"), =HYPERLINK("CSG0.html#group8G0", "8G⁰"), =HYPERLINK("CSG11.html#group48Z11", "48Z¹¹"), =HYPERLINK("CSG3.html#group48J3", "48J³"), =HYPERLINK("CSG1.html#group12A1", "12A¹"), =HYPERLINK("CSG0.html#group16C0", "16C⁰"), =HYPERLINK("CSG0.html#group4D0", "4D⁰"), =HYPERLINK("CSG9.html#group48AK9", "48AK⁹"), =HYPERLINK("CSG1.html#group16H1", "16H¹"), =HYPERLINK("CSG0.html#group6F0", "6F⁰"), =HYPERLINK("CSG0.html#group3B0", "3B⁰"), =HYPERLINK("CSG5.html#group24K5", "24K⁵"), =HYPERLINK("CSG1.html#group8A1", "8A¹"), =HYPERLINK("CSG1.html#group12I1", "12I¹"), =HYPERLINK("CSG3.html#group24B3", "24B³"), =HYPERLINK("CSG0.html#group8D0", "8D⁰"), =HYPERLINK("CSG1.html#group12F1", "12F¹"), =HYPERLINK("CSG0.html#group6I0", "6I⁰"), =HYPERLINK("CSG1.html#group16E1", "16E¹"), =HYPERLINK("CSG0.html#group6C0", "6C⁰"), =HYPERLINK("CSG0.html#group8B0", "8B⁰"), =HYPERLINK("CSG1.html#group8B1", "8B¹"), =HYPERLINK("CSG1.html#group12P1", "12P¹"), =HYPERLINK("CSG3.html#group16H3", "16H³"), =HYPERLINK("CSG0.html#group8H0", "8H⁰"), =HYPERLINK("CSG3.html#group24C3", "24C³"), =HYPERLINK("CSG5.html#group24I5", "24I⁵"), =HYPERLINK("CSG1.html#group8C1", "8C¹"), =HYPERLINK("CSG2.html#group24I2", "24I²"), =HYPERLINK("CSG0.html#group4A0", "4A⁰"), =HYPERLINK("CSG2.html#group12G2", "12G²"), =HYPERLINK("CSG3.html#group12K3", "12K³"), =HYPERLINK("CSG5.html#group24J5", "24J⁵"), =HYPERLINK("CSG0.html#group4F0", "4F⁰"), =HYPERLINK("CSG5.html#group48D5", "48D⁵"), =HYPERLINK("CSG0.html#group2C0", "2C⁰"), =HYPERLINK("CSG0.html#group12E0", "12E⁰"), =HYPERLINK("CSG9.html#group24AF9", "24AF⁹")</f>
        <v/>
      </c>
      <c r="N6555" t="inlineStr"/>
    </row>
    <row r="6556">
      <c r="A6556" t="inlineStr">
        <is>
          <t>48CF²¹</t>
        </is>
      </c>
      <c r="B6556" t="inlineStr"/>
      <c r="C6556" t="inlineStr">
        <is>
          <t>384</t>
        </is>
      </c>
      <c r="D6556" t="inlineStr">
        <is>
          <t>1</t>
        </is>
      </c>
      <c r="E6556" t="inlineStr">
        <is>
          <t>12</t>
        </is>
      </c>
      <c r="F6556" t="inlineStr">
        <is>
          <t>0</t>
        </is>
      </c>
      <c r="G6556" t="inlineStr">
        <is>
          <t>0</t>
        </is>
      </c>
      <c r="H6556" t="inlineStr">
        <is>
          <t>4⁸, 12⁸, 16⁴, 48⁴</t>
        </is>
      </c>
      <c r="I6556" t="n">
        <v>24</v>
      </c>
      <c r="J6556" t="inlineStr">
        <is>
          <t>1⁶, 2³</t>
        </is>
      </c>
      <c r="K6556">
        <f>HYPERLINK("CSG3.html#group16I3", "16I³"), =HYPERLINK("CSG7.html#group48AL7", "48AL⁷"), =HYPERLINK("CSG9.html#group24AF9", "24AF⁹"), =HYPERLINK("CSG11.html#group48X11", "48X¹¹"), =HYPERLINK("CSG11.html#group48AA11", "48AA¹¹"), =HYPERLINK("CSG11.html#group48AB11", "48AB¹¹")</f>
        <v/>
      </c>
      <c r="L6556" t="inlineStr"/>
      <c r="M6556">
        <f>HYPERLINK("CSG0.html#group16G0", "16G⁰"), =HYPERLINK("CSG0.html#group2A0", "2A⁰"), =HYPERLINK("CSG3.html#group24V3", "24V³"), =HYPERLINK("CSG1.html#group16I1", "16I¹"), =HYPERLINK("CSG6.html#group48D6", "48D⁶"), =HYPERLINK("CSG1.html#group24G1", "24G¹"), =HYPERLINK("CSG0.html#group4C0", "4C⁰"), =HYPERLINK("CSG0.html#group4G0", "4G⁰"), =HYPERLINK("CSG0.html#group8C0", "8C⁰"), =HYPERLINK("CSG0.html#group4E0", "4E⁰"), =HYPERLINK("CSG0.html#group2B0", "2B⁰"), =HYPERLINK("CSG0.html#group4B0", "4B⁰"), =HYPERLINK("CSG1.html#group8F1", "8F¹"), =HYPERLINK("CSG0.html#group1A0", "1A⁰"), =HYPERLINK("CSG0.html#group16E0", "16E⁰"), =HYPERLINK("CSG7.html#group48AL7", "48AL⁷"), =HYPERLINK("CSG0.html#group8G0", "8G⁰"), =HYPERLINK("CSG0.html#group4D0", "4D⁰"), =HYPERLINK("CSG1.html#group12A1", "12A¹"), =HYPERLINK("CSG11.html#group48AB11", "48AB¹¹"), =HYPERLINK("CSG0.html#group6F0", "6F⁰"), =HYPERLINK("CSG3.html#group48L3", "48L³"), =HYPERLINK("CSG2.html#group16D2", "16D²"), =HYPERLINK("CSG0.html#group3B0", "3B⁰"), =HYPERLINK("CSG5.html#group24K5", "24K⁵"), =HYPERLINK("CSG1.html#group8A1", "8A¹"), =HYPERLINK("CSG2.html#group16C2", "16C²"), =HYPERLINK("CSG1.html#group12I1", "12I¹"), =HYPERLINK("CSG3.html#group24B3", "24B³"), =HYPERLINK("CSG11.html#group48AA11", "48AA¹¹"), =HYPERLINK("CSG0.html#group8D0", "8D⁰"), =HYPERLINK("CSG1.html#group12F1", "12F¹"), =HYPERLINK("CSG0.html#group6I0", "6I⁰"), =HYPERLINK("CSG0.html#group6C0", "6C⁰"), =HYPERLINK("CSG0.html#group8B0", "8B⁰"), =HYPERLINK("CSG1.html#group8B1", "8B¹"), =HYPERLINK("CSG1.html#group12P1", "12P¹"), =HYPERLINK("CSG3.html#group16I3", "16I³"), =HYPERLINK("CSG0.html#group8H0", "8H⁰"), =HYPERLINK("CSG3.html#group24C3", "24C³"), =HYPERLINK("CSG5.html#group24I5", "24I⁵"), =HYPERLINK("CSG1.html#group8C1", "8C¹"), =HYPERLINK("CSG2.html#group24I2", "24I²"), =HYPERLINK("CSG0.html#group4A0", "4A⁰"), =HYPERLINK("CSG4.html#group48J4", "48J⁴"), =HYPERLINK("CSG0.html#group16D0", "16D⁰"), =HYPERLINK("CSG1.html#group16C1", "16C¹"), =HYPERLINK("CSG11.html#group48X11", "48X¹¹"), =HYPERLINK("CSG2.html#group12G2", "12G²"), =HYPERLINK("CSG3.html#group12K3", "12K³"), =HYPERLINK("CSG5.html#group24J5", "24J⁵"), =HYPERLINK("CSG0.html#group4F0", "4F⁰"), =HYPERLINK("CSG0.html#group2C0", "2C⁰"), =HYPERLINK("CSG0.html#group12E0", "12E⁰"), =HYPERLINK("CSG9.html#group24AF9", "24AF⁹")</f>
        <v/>
      </c>
      <c r="N6556" t="inlineStr"/>
    </row>
    <row r="6557">
      <c r="A6557" t="inlineStr">
        <is>
          <t>48CG²¹</t>
        </is>
      </c>
      <c r="B6557" t="inlineStr"/>
      <c r="C6557" t="inlineStr">
        <is>
          <t>384</t>
        </is>
      </c>
      <c r="D6557" t="inlineStr">
        <is>
          <t>1</t>
        </is>
      </c>
      <c r="E6557" t="inlineStr">
        <is>
          <t>24</t>
        </is>
      </c>
      <c r="F6557" t="inlineStr">
        <is>
          <t>0</t>
        </is>
      </c>
      <c r="G6557" t="inlineStr">
        <is>
          <t>0</t>
        </is>
      </c>
      <c r="H6557" t="inlineStr">
        <is>
          <t>4⁸, 12⁸, 16⁴, 48⁴</t>
        </is>
      </c>
      <c r="I6557" t="n">
        <v>24</v>
      </c>
      <c r="J6557" t="inlineStr">
        <is>
          <t>1⁸, 2⁶, 4¹</t>
        </is>
      </c>
      <c r="K6557">
        <f>HYPERLINK("CSG7.html#group24AH7", "24AH⁷"), =HYPERLINK("CSG9.html#group48AH9", "48AH⁹"), =HYPERLINK("CSG11.html#group48X11", "48X¹¹")</f>
        <v/>
      </c>
      <c r="L6557" t="inlineStr"/>
      <c r="M6557">
        <f>HYPERLINK("CSG5.html#group48C5", "48C⁵"), =HYPERLINK("CSG0.html#group3B0", "3B⁰"), =HYPERLINK("CSG0.html#group2A0", "2A⁰"), =HYPERLINK("CSG3.html#group24V3", "24V³"), =HYPERLINK("CSG3.html#group24Z3", "24Z³"), =HYPERLINK("CSG2.html#group16C2", "16C²"), =HYPERLINK("CSG0.html#group8D0", "8D⁰"), =HYPERLINK("CSG1.html#group12F1", "12F¹"), =HYPERLINK("CSG0.html#group6I0", "6I⁰"), =HYPERLINK("CSG1.html#group24G1", "24G¹"), =HYPERLINK("CSG0.html#group4C0", "4C⁰"), =HYPERLINK("CSG0.html#group6C0", "6C⁰"), =HYPERLINK("CSG6.html#group48D6", "48D⁶"), =HYPERLINK("CSG7.html#group24AH7", "24AH⁷"), =HYPERLINK("CSG0.html#group8C0", "8C⁰"), =HYPERLINK("CSG0.html#group2B0", "2B⁰"), =HYPERLINK("CSG0.html#group4E0", "4E⁰"), =HYPERLINK("CSG1.html#group12P1", "12P¹"), =HYPERLINK("CSG0.html#group4B0", "4B⁰"), =HYPERLINK("CSG0.html#group1A0", "1A⁰"), =HYPERLINK("CSG3.html#group24X3", "24X³"), =HYPERLINK("CSG9.html#group48AH9", "48AH⁹"), =HYPERLINK("CSG2.html#group24I2", "24I²"), =HYPERLINK("CSG0.html#group8G0", "8G⁰"), =HYPERLINK("CSG1.html#group16C1", "16C¹"), =HYPERLINK("CSG11.html#group48X11", "48X¹¹"), =HYPERLINK("CSG3.html#group48I3", "48I³"), =HYPERLINK("CSG0.html#group6F0", "6F⁰"), =HYPERLINK("CSG0.html#group2C0", "2C⁰"), =HYPERLINK("CSG0.html#group12E0", "12E⁰")</f>
        <v/>
      </c>
      <c r="N6557" t="inlineStr"/>
    </row>
    <row r="6558">
      <c r="A6558" t="inlineStr">
        <is>
          <t>48CH²¹</t>
        </is>
      </c>
      <c r="B6558" t="inlineStr"/>
      <c r="C6558" t="inlineStr">
        <is>
          <t>384</t>
        </is>
      </c>
      <c r="D6558" t="inlineStr">
        <is>
          <t>1</t>
        </is>
      </c>
      <c r="E6558" t="inlineStr">
        <is>
          <t>24</t>
        </is>
      </c>
      <c r="F6558" t="inlineStr">
        <is>
          <t>0</t>
        </is>
      </c>
      <c r="G6558" t="inlineStr">
        <is>
          <t>0</t>
        </is>
      </c>
      <c r="H6558" t="inlineStr">
        <is>
          <t>4⁸, 12⁸, 16⁴, 48⁴</t>
        </is>
      </c>
      <c r="I6558" t="n">
        <v>24</v>
      </c>
      <c r="J6558" t="inlineStr">
        <is>
          <t>1⁸, 2⁶, 4¹</t>
        </is>
      </c>
      <c r="K6558">
        <f>HYPERLINK("CSG7.html#group24AH7", "24AH⁷"), =HYPERLINK("CSG9.html#group48AK9", "48AK⁹"), =HYPERLINK("CSG11.html#group48W11", "48W¹¹")</f>
        <v/>
      </c>
      <c r="L6558" t="inlineStr"/>
      <c r="M6558">
        <f>HYPERLINK("CSG0.html#group3B0", "3B⁰"), =HYPERLINK("CSG0.html#group2A0", "2A⁰"), =HYPERLINK("CSG3.html#group24V3", "24V³"), =HYPERLINK("CSG3.html#group24Z3", "24Z³"), =HYPERLINK("CSG0.html#group8D0", "8D⁰"), =HYPERLINK("CSG1.html#group12F1", "12F¹"), =HYPERLINK("CSG0.html#group6I0", "6I⁰"), =HYPERLINK("CSG1.html#group24G1", "24G¹"), =HYPERLINK("CSG0.html#group4C0", "4C⁰"), =HYPERLINK("CSG0.html#group6C0", "6C⁰"), =HYPERLINK("CSG1.html#group16E1", "16E¹"), =HYPERLINK("CSG7.html#group24AH7", "24AH⁷"), =HYPERLINK("CSG1.html#group16A1", "16A¹"), =HYPERLINK("CSG0.html#group8C0", "8C⁰"), =HYPERLINK("CSG0.html#group2B0", "2B⁰"), =HYPERLINK("CSG0.html#group4E0", "4E⁰"), =HYPERLINK("CSG1.html#group12P1", "12P¹"), =HYPERLINK("CSG0.html#group4B0", "4B⁰"), =HYPERLINK("CSG0.html#group1A0", "1A⁰"), =HYPERLINK("CSG3.html#group24X3", "24X³"), =HYPERLINK("CSG11.html#group48W11", "48W¹¹"), =HYPERLINK("CSG2.html#group24I2", "24I²"), =HYPERLINK("CSG0.html#group8G0", "8G⁰"), =HYPERLINK("CSG3.html#group48J3", "48J³"), =HYPERLINK("CSG0.html#group16C0", "16C⁰"), =HYPERLINK("CSG9.html#group48AK9", "48AK⁹"), =HYPERLINK("CSG5.html#group48D5", "48D⁵"), =HYPERLINK("CSG0.html#group6F0", "6F⁰"), =HYPERLINK("CSG0.html#group2C0", "2C⁰"), =HYPERLINK("CSG0.html#group12E0", "12E⁰")</f>
        <v/>
      </c>
      <c r="N6558" t="inlineStr"/>
    </row>
    <row r="6559">
      <c r="A6559" t="inlineStr">
        <is>
          <t>48CI²¹</t>
        </is>
      </c>
      <c r="B6559" t="inlineStr"/>
      <c r="C6559" t="inlineStr">
        <is>
          <t>384</t>
        </is>
      </c>
      <c r="D6559" t="inlineStr">
        <is>
          <t>1</t>
        </is>
      </c>
      <c r="E6559" t="inlineStr">
        <is>
          <t>24</t>
        </is>
      </c>
      <c r="F6559" t="inlineStr">
        <is>
          <t>0</t>
        </is>
      </c>
      <c r="G6559" t="inlineStr">
        <is>
          <t>0</t>
        </is>
      </c>
      <c r="H6559" t="inlineStr">
        <is>
          <t>4⁸, 12⁸, 16⁴, 48⁴</t>
        </is>
      </c>
      <c r="I6559" t="n">
        <v>24</v>
      </c>
      <c r="J6559" t="inlineStr">
        <is>
          <t>1⁸, 2⁶, 4¹</t>
        </is>
      </c>
      <c r="K6559">
        <f>HYPERLINK("CSG7.html#group24AI7", "24AI⁷"), =HYPERLINK("CSG9.html#group48AH9", "48AH⁹"), =HYPERLINK("CSG11.html#group48W11", "48W¹¹")</f>
        <v/>
      </c>
      <c r="L6559" t="inlineStr"/>
      <c r="M6559">
        <f>HYPERLINK("CSG5.html#group48C5", "48C⁵"), =HYPERLINK("CSG0.html#group2A0", "2A⁰"), =HYPERLINK("CSG0.html#group3B0", "3B⁰"), =HYPERLINK("CSG3.html#group24V3", "24V³"), =HYPERLINK("CSG3.html#group24AA3", "24AA³"), =HYPERLINK("CSG0.html#group8D0", "8D⁰"), =HYPERLINK("CSG0.html#group6I0", "6I⁰"), =HYPERLINK("CSG1.html#group12F1", "12F¹"), =HYPERLINK("CSG1.html#group24G1", "24G¹"), =HYPERLINK("CSG0.html#group4C0", "4C⁰"), =HYPERLINK("CSG0.html#group6C0", "6C⁰"), =HYPERLINK("CSG0.html#group2B0", "2B⁰"), =HYPERLINK("CSG0.html#group4E0", "4E⁰"), =HYPERLINK("CSG0.html#group8C0", "8C⁰"), =HYPERLINK("CSG1.html#group12P1", "12P¹"), =HYPERLINK("CSG0.html#group4B0", "4B⁰"), =HYPERLINK("CSG0.html#group8I0", "8I⁰"), =HYPERLINK("CSG0.html#group1A0", "1A⁰"), =HYPERLINK("CSG9.html#group48AH9", "48AH⁹"), =HYPERLINK("CSG11.html#group48W11", "48W¹¹"), =HYPERLINK("CSG2.html#group24I2", "24I²"), =HYPERLINK("CSG0.html#group8G0", "8G⁰"), =HYPERLINK("CSG0.html#group12E0", "12E⁰"), =HYPERLINK("CSG3.html#group48I3", "48I³"), =HYPERLINK("CSG3.html#group24Y3", "24Y³"), =HYPERLINK("CSG0.html#group6F0", "6F⁰"), =HYPERLINK("CSG0.html#group2C0", "2C⁰"), =HYPERLINK("CSG7.html#group24AI7", "24AI⁷"), =HYPERLINK("CSG0.html#group8J0", "8J⁰"), =HYPERLINK("CSG0.html#group8O0", "8O⁰")</f>
        <v/>
      </c>
      <c r="N6559" t="inlineStr"/>
    </row>
    <row r="6560">
      <c r="A6560" t="inlineStr">
        <is>
          <t>48CJ²¹</t>
        </is>
      </c>
      <c r="B6560" t="inlineStr"/>
      <c r="C6560" t="inlineStr">
        <is>
          <t>384</t>
        </is>
      </c>
      <c r="D6560" t="inlineStr">
        <is>
          <t>1</t>
        </is>
      </c>
      <c r="E6560" t="inlineStr">
        <is>
          <t>24</t>
        </is>
      </c>
      <c r="F6560" t="inlineStr">
        <is>
          <t>0</t>
        </is>
      </c>
      <c r="G6560" t="inlineStr">
        <is>
          <t>0</t>
        </is>
      </c>
      <c r="H6560" t="inlineStr">
        <is>
          <t>4⁸, 12⁸, 16⁴, 48⁴</t>
        </is>
      </c>
      <c r="I6560" t="n">
        <v>24</v>
      </c>
      <c r="J6560" t="inlineStr">
        <is>
          <t>1⁸, 2⁶, 4¹</t>
        </is>
      </c>
      <c r="K6560">
        <f>HYPERLINK("CSG9.html#group24AE9", "24AE⁹"), =HYPERLINK("CSG9.html#group48AH9", "48AH⁹"), =HYPERLINK("CSG9.html#group48AK9", "48AK⁹")</f>
        <v/>
      </c>
      <c r="L6560" t="inlineStr"/>
      <c r="M6560">
        <f>HYPERLINK("CSG5.html#group48C5", "48C⁵"), =HYPERLINK("CSG9.html#group24AE9", "24AE⁹"), =HYPERLINK("CSG0.html#group3B0", "3B⁰"), =HYPERLINK("CSG0.html#group2A0", "2A⁰"), =HYPERLINK("CSG3.html#group24V3", "24V³"), =HYPERLINK("CSG0.html#group8D0", "8D⁰"), =HYPERLINK("CSG0.html#group6I0", "6I⁰"), =HYPERLINK("CSG1.html#group12F1", "12F¹"), =HYPERLINK("CSG1.html#group24G1", "24G¹"), =HYPERLINK("CSG0.html#group6C0", "6C⁰"), =HYPERLINK("CSG0.html#group12I0", "12I⁰"), =HYPERLINK("CSG0.html#group4C0", "4C⁰"), =HYPERLINK("CSG1.html#group16E1", "16E¹"), =HYPERLINK("CSG1.html#group16A1", "16A¹"), =HYPERLINK("CSG0.html#group2B0", "2B⁰"), =HYPERLINK("CSG0.html#group4E0", "4E⁰"), =HYPERLINK("CSG0.html#group8C0", "8C⁰"), =HYPERLINK("CSG1.html#group12P1", "12P¹"), =HYPERLINK("CSG0.html#group4B0", "4B⁰"), =HYPERLINK("CSG0.html#group1A0", "1A⁰"), =HYPERLINK("CSG2.html#group12F2", "12F²"), =HYPERLINK("CSG9.html#group48AH9", "48AH⁹"), =HYPERLINK("CSG2.html#group24I2", "24I²"), =HYPERLINK("CSG0.html#group8G0", "8G⁰"), =HYPERLINK("CSG3.html#group48J3", "48J³"), =HYPERLINK("CSG0.html#group16C0", "16C⁰"), =HYPERLINK("CSG3.html#group12L3", "12L³"), =HYPERLINK("CSG5.html#group24H5", "24H⁵"), =HYPERLINK("CSG9.html#group48AK9", "48AK⁹"), =HYPERLINK("CSG3.html#group48I3", "48I³"), =HYPERLINK("CSG5.html#group48D5", "48D⁵"), =HYPERLINK("CSG0.html#group6F0", "6F⁰"), =HYPERLINK("CSG0.html#group2C0", "2C⁰"), =HYPERLINK("CSG0.html#group12E0", "12E⁰"), =HYPERLINK("CSG0.html#group12B0", "12B⁰")</f>
        <v/>
      </c>
      <c r="N6560" t="inlineStr"/>
    </row>
    <row r="6561">
      <c r="A6561" t="inlineStr">
        <is>
          <t>48CK²¹</t>
        </is>
      </c>
      <c r="B6561" t="inlineStr"/>
      <c r="C6561" t="inlineStr">
        <is>
          <t>384</t>
        </is>
      </c>
      <c r="D6561" t="inlineStr">
        <is>
          <t>1</t>
        </is>
      </c>
      <c r="E6561" t="inlineStr">
        <is>
          <t>24</t>
        </is>
      </c>
      <c r="F6561" t="inlineStr">
        <is>
          <t>0</t>
        </is>
      </c>
      <c r="G6561" t="inlineStr">
        <is>
          <t>0</t>
        </is>
      </c>
      <c r="H6561" t="inlineStr">
        <is>
          <t>4⁸, 12⁸, 16⁴, 48⁴</t>
        </is>
      </c>
      <c r="I6561" t="n">
        <v>24</v>
      </c>
      <c r="J6561" t="inlineStr">
        <is>
          <t>1⁸, 2⁶, 4¹</t>
        </is>
      </c>
      <c r="K6561">
        <f>HYPERLINK("CSG3.html#group16J3", "16J³"), =HYPERLINK("CSG7.html#group24AI7", "24AI⁷"), =HYPERLINK("CSG9.html#group48AK9", "48AK⁹"), =HYPERLINK("CSG11.html#group48X11", "48X¹¹")</f>
        <v/>
      </c>
      <c r="L6561" t="inlineStr"/>
      <c r="M6561">
        <f>HYPERLINK("CSG0.html#group2A0", "2A⁰"), =HYPERLINK("CSG3.html#group24V3", "24V³"), =HYPERLINK("CSG3.html#group24AA3", "24AA³"), =HYPERLINK("CSG6.html#group48D6", "48D⁶"), =HYPERLINK("CSG1.html#group24G1", "24G¹"), =HYPERLINK("CSG0.html#group4C0", "4C⁰"), =HYPERLINK("CSG1.html#group16A1", "16A¹"), =HYPERLINK("CSG0.html#group8C0", "8C⁰"), =HYPERLINK("CSG0.html#group4E0", "4E⁰"), =HYPERLINK("CSG0.html#group2B0", "2B⁰"), =HYPERLINK("CSG3.html#group16J3", "16J³"), =HYPERLINK("CSG0.html#group4B0", "4B⁰"), =HYPERLINK("CSG0.html#group1A0", "1A⁰"), =HYPERLINK("CSG0.html#group8G0", "8G⁰"), =HYPERLINK("CSG3.html#group48J3", "48J³"), =HYPERLINK("CSG0.html#group16C0", "16C⁰"), =HYPERLINK("CSG0.html#group12E0", "12E⁰"), =HYPERLINK("CSG9.html#group48AK9", "48AK⁹"), =HYPERLINK("CSG0.html#group6F0", "6F⁰"), =HYPERLINK("CSG0.html#group3B0", "3B⁰"), =HYPERLINK("CSG2.html#group16C2", "16C²"), =HYPERLINK("CSG0.html#group8D0", "8D⁰"), =HYPERLINK("CSG1.html#group12F1", "12F¹"), =HYPERLINK("CSG1.html#group16E1", "16E¹"), =HYPERLINK("CSG0.html#group6I0", "6I⁰"), =HYPERLINK("CSG0.html#group6C0", "6C⁰"), =HYPERLINK("CSG0.html#group8I0", "8I⁰"), =HYPERLINK("CSG1.html#group12P1", "12P¹"), =HYPERLINK("CSG2.html#group24I2", "24I²"), =HYPERLINK("CSG1.html#group16C1", "16C¹"), =HYPERLINK("CSG11.html#group48X11", "48X¹¹"), =HYPERLINK("CSG3.html#group24Y3", "24Y³"), =HYPERLINK("CSG5.html#group48D5", "48D⁵"), =HYPERLINK("CSG0.html#group8J0", "8J⁰"), =HYPERLINK("CSG0.html#group2C0", "2C⁰"), =HYPERLINK("CSG7.html#group24AI7", "24AI⁷"), =HYPERLINK("CSG0.html#group8O0", "8O⁰")</f>
        <v/>
      </c>
      <c r="N6561" t="inlineStr"/>
    </row>
    <row r="6562">
      <c r="A6562" t="inlineStr">
        <is>
          <t>48CL²¹</t>
        </is>
      </c>
      <c r="B6562" t="inlineStr"/>
      <c r="C6562" t="inlineStr">
        <is>
          <t>384</t>
        </is>
      </c>
      <c r="D6562" t="inlineStr">
        <is>
          <t>1</t>
        </is>
      </c>
      <c r="E6562" t="inlineStr">
        <is>
          <t>96</t>
        </is>
      </c>
      <c r="F6562" t="inlineStr">
        <is>
          <t>0</t>
        </is>
      </c>
      <c r="G6562" t="inlineStr">
        <is>
          <t>0</t>
        </is>
      </c>
      <c r="H6562" t="inlineStr">
        <is>
          <t>2⁴, 4², 6⁴, 8², 12², 16⁴, 24², 48⁴</t>
        </is>
      </c>
      <c r="I6562" t="n">
        <v>24</v>
      </c>
      <c r="J6562" t="inlineStr">
        <is>
          <t>1⁸, 2⁸, 4⁶, 8⁴, 16¹</t>
        </is>
      </c>
      <c r="K6562">
        <f>HYPERLINK("CSG9.html#group48AO9", "48AO⁹")</f>
        <v/>
      </c>
      <c r="L6562" t="inlineStr"/>
      <c r="M6562">
        <f>HYPERLINK("CSG0.html#group3B0", "3B⁰"), =HYPERLINK("CSG1.html#group24G1", "24G¹"), =HYPERLINK("CSG1.html#group16A1", "16A¹"), =HYPERLINK("CSG0.html#group8C0", "8C⁰"), =HYPERLINK("CSG0.html#group2B0", "2B⁰"), =HYPERLINK("CSG0.html#group8I0", "8I⁰"), =HYPERLINK("CSG0.html#group4B0", "4B⁰"), =HYPERLINK("CSG0.html#group1A0", "1A⁰"), =HYPERLINK("CSG1.html#group16G1", "16G¹"), =HYPERLINK("CSG0.html#group16D0", "16D⁰"), =HYPERLINK("CSG3.html#group24Y3", "24Y³"), =HYPERLINK("CSG9.html#group48AO9", "48AO⁹"), =HYPERLINK("CSG5.html#group48D5", "48D⁵"), =HYPERLINK("CSG0.html#group6F0", "6F⁰"), =HYPERLINK("CSG0.html#group12E0", "12E⁰"), =HYPERLINK("CSG3.html#group48L3", "48L³")</f>
        <v/>
      </c>
      <c r="N6562" t="inlineStr"/>
    </row>
    <row r="6563">
      <c r="A6563" t="inlineStr">
        <is>
          <t>48CM²¹</t>
        </is>
      </c>
      <c r="B6563" t="inlineStr"/>
      <c r="C6563" t="inlineStr">
        <is>
          <t>384</t>
        </is>
      </c>
      <c r="D6563" t="inlineStr">
        <is>
          <t>1</t>
        </is>
      </c>
      <c r="E6563" t="inlineStr">
        <is>
          <t>96</t>
        </is>
      </c>
      <c r="F6563" t="inlineStr">
        <is>
          <t>0</t>
        </is>
      </c>
      <c r="G6563" t="inlineStr">
        <is>
          <t>0</t>
        </is>
      </c>
      <c r="H6563" t="inlineStr">
        <is>
          <t>2⁴, 4², 6⁴, 8², 12², 16⁴, 24², 48⁴</t>
        </is>
      </c>
      <c r="I6563" t="n">
        <v>24</v>
      </c>
      <c r="J6563" t="inlineStr">
        <is>
          <t>1⁸, 2⁸, 4⁶, 8⁴, 16¹</t>
        </is>
      </c>
      <c r="K6563">
        <f>HYPERLINK("CSG3.html#group16N3", "16N³"), =HYPERLINK("CSG9.html#group48AO9", "48AO⁹")</f>
        <v/>
      </c>
      <c r="L6563" t="inlineStr"/>
      <c r="M6563">
        <f>HYPERLINK("CSG0.html#group3B0", "3B⁰"), =HYPERLINK("CSG1.html#group24G1", "24G¹"), =HYPERLINK("CSG1.html#group16A1", "16A¹"), =HYPERLINK("CSG0.html#group8C0", "8C⁰"), =HYPERLINK("CSG0.html#group2B0", "2B⁰"), =HYPERLINK("CSG0.html#group8I0", "8I⁰"), =HYPERLINK("CSG0.html#group4B0", "4B⁰"), =HYPERLINK("CSG0.html#group1A0", "1A⁰"), =HYPERLINK("CSG3.html#group16N3", "16N³"), =HYPERLINK("CSG1.html#group16G1", "16G¹"), =HYPERLINK("CSG0.html#group16D0", "16D⁰"), =HYPERLINK("CSG3.html#group24Y3", "24Y³"), =HYPERLINK("CSG9.html#group48AO9", "48AO⁹"), =HYPERLINK("CSG5.html#group48D5", "48D⁵"), =HYPERLINK("CSG0.html#group6F0", "6F⁰"), =HYPERLINK("CSG0.html#group12E0", "12E⁰"), =HYPERLINK("CSG3.html#group48L3", "48L³")</f>
        <v/>
      </c>
      <c r="N6563" t="inlineStr"/>
    </row>
    <row r="6564">
      <c r="A6564" t="inlineStr">
        <is>
          <t>48CN²¹</t>
        </is>
      </c>
      <c r="B6564" t="inlineStr"/>
      <c r="C6564" t="inlineStr">
        <is>
          <t>384</t>
        </is>
      </c>
      <c r="D6564" t="inlineStr">
        <is>
          <t>1</t>
        </is>
      </c>
      <c r="E6564" t="inlineStr">
        <is>
          <t>96</t>
        </is>
      </c>
      <c r="F6564" t="inlineStr">
        <is>
          <t>0</t>
        </is>
      </c>
      <c r="G6564" t="inlineStr">
        <is>
          <t>0</t>
        </is>
      </c>
      <c r="H6564" t="inlineStr">
        <is>
          <t>4⁸, 12⁸, 16⁴, 48⁴</t>
        </is>
      </c>
      <c r="I6564" t="n">
        <v>24</v>
      </c>
      <c r="J6564" t="inlineStr">
        <is>
          <t>2⁴, 4¹², 8⁵</t>
        </is>
      </c>
      <c r="K6564">
        <f>HYPERLINK("CSG9.html#group24AI9", "24AI⁹"), =HYPERLINK("CSG11.html#group48Y11", "48Y¹¹"), =HYPERLINK("CSG11.html#group48AB11", "48AB¹¹")</f>
        <v/>
      </c>
      <c r="L6564" t="inlineStr"/>
      <c r="M6564">
        <f>HYPERLINK("CSG2.html#group16D2", "16D²"), =HYPERLINK("CSG0.html#group3B0", "3B⁰"), =HYPERLINK("CSG5.html#group24K5", "24K⁵"), =HYPERLINK("CSG1.html#group8A1", "8A¹"), =HYPERLINK("CSG0.html#group8D0", "8D⁰"), =HYPERLINK("CSG1.html#group12F1", "12F¹"), =HYPERLINK("CSG6.html#group48D6", "48D⁶"), =HYPERLINK("CSG0.html#group4C0", "4C⁰"), =HYPERLINK("CSG11.html#group48Y11", "48Y¹¹"), =HYPERLINK("CSG0.html#group2B0", "2B⁰"), =HYPERLINK("CSG0.html#group1A0", "1A⁰"), =HYPERLINK("CSG3.html#group24C3", "24C³"), =HYPERLINK("CSG0.html#group16E0", "16E⁰"), =HYPERLINK("CSG1.html#group8C1", "8C¹"), =HYPERLINK("CSG2.html#group24I2", "24I²"), =HYPERLINK("CSG5.html#group24M5", "24M⁵"), =HYPERLINK("CSG0.html#group4A0", "4A⁰"), =HYPERLINK("CSG1.html#group12A1", "12A¹"), =HYPERLINK("CSG4.html#group48J4", "48J⁴"), =HYPERLINK("CSG1.html#group16C1", "16C¹"), =HYPERLINK("CSG9.html#group24AI9", "24AI⁹"), =HYPERLINK("CSG2.html#group12G2", "12G²"), =HYPERLINK("CSG0.html#group4F0", "4F⁰"), =HYPERLINK("CSG11.html#group48AB11", "48AB¹¹"), =HYPERLINK("CSG0.html#group6F0", "6F⁰")</f>
        <v/>
      </c>
      <c r="N6564" t="inlineStr"/>
    </row>
    <row r="6565">
      <c r="A6565" t="inlineStr">
        <is>
          <t>48CO²¹</t>
        </is>
      </c>
      <c r="B6565" t="inlineStr"/>
      <c r="C6565" t="inlineStr">
        <is>
          <t>384</t>
        </is>
      </c>
      <c r="D6565" t="inlineStr">
        <is>
          <t>1</t>
        </is>
      </c>
      <c r="E6565" t="inlineStr">
        <is>
          <t>96</t>
        </is>
      </c>
      <c r="F6565" t="inlineStr">
        <is>
          <t>0</t>
        </is>
      </c>
      <c r="G6565" t="inlineStr">
        <is>
          <t>0</t>
        </is>
      </c>
      <c r="H6565" t="inlineStr">
        <is>
          <t>4⁸, 12⁸, 16⁴, 48⁴</t>
        </is>
      </c>
      <c r="I6565" t="n">
        <v>24</v>
      </c>
      <c r="J6565" t="inlineStr">
        <is>
          <t>2⁴, 4¹², 8⁵</t>
        </is>
      </c>
      <c r="K6565">
        <f>HYPERLINK("CSG2.html#group16L2", "16L²"), =HYPERLINK("CSG9.html#group24AJ9", "24AJ⁹"), =HYPERLINK("CSG11.html#group48Z11", "48Z¹¹"), =HYPERLINK("CSG11.html#group48AA11", "48AA¹¹")</f>
        <v/>
      </c>
      <c r="L6565" t="inlineStr"/>
      <c r="M6565">
        <f>HYPERLINK("CSG1.html#group16I1", "16I¹"), =HYPERLINK("CSG5.html#group24N5", "24N⁵"), =HYPERLINK("CSG6.html#group48D6", "48D⁶"), =HYPERLINK("CSG0.html#group4C0", "4C⁰"), =HYPERLINK("CSG0.html#group8L0", "8L⁰"), =HYPERLINK("CSG0.html#group2B0", "2B⁰"), =HYPERLINK("CSG0.html#group1A0", "1A⁰"), =HYPERLINK("CSG0.html#group16E0", "16E⁰"), =HYPERLINK("CSG9.html#group24AJ9", "24AJ⁹"), =HYPERLINK("CSG11.html#group48Z11", "48Z¹¹"), =HYPERLINK("CSG1.html#group12A1", "12A¹"), =HYPERLINK("CSG0.html#group8P0", "8P⁰"), =HYPERLINK("CSG1.html#group16H1", "16H¹"), =HYPERLINK("CSG0.html#group6F0", "6F⁰"), =HYPERLINK("CSG0.html#group3B0", "3B⁰"), =HYPERLINK("CSG3.html#group24B3", "24B³"), =HYPERLINK("CSG11.html#group48AA11", "48AA¹¹"), =HYPERLINK("CSG0.html#group8D0", "8D⁰"), =HYPERLINK("CSG1.html#group12F1", "12F¹"), =HYPERLINK("CSG0.html#group8B0", "8B⁰"), =HYPERLINK("CSG2.html#group16L2", "16L²"), =HYPERLINK("CSG0.html#group8H0", "8H⁰"), =HYPERLINK("CSG2.html#group24I2", "24I²"), =HYPERLINK("CSG0.html#group4A0", "4A⁰"), =HYPERLINK("CSG1.html#group16C1", "16C¹"), =HYPERLINK("CSG4.html#group48J4", "48J⁴"), =HYPERLINK("CSG2.html#group12G2", "12G²"), =HYPERLINK("CSG0.html#group4F0", "4F⁰"), =HYPERLINK("CSG5.html#group24J5", "24J⁵")</f>
        <v/>
      </c>
      <c r="N6565" t="inlineStr"/>
    </row>
    <row r="6566">
      <c r="A6566" t="inlineStr">
        <is>
          <t>48CP²¹</t>
        </is>
      </c>
      <c r="B6566" t="inlineStr"/>
      <c r="C6566" t="inlineStr">
        <is>
          <t>384</t>
        </is>
      </c>
      <c r="D6566" t="inlineStr">
        <is>
          <t>1</t>
        </is>
      </c>
      <c r="E6566" t="inlineStr">
        <is>
          <t>96</t>
        </is>
      </c>
      <c r="F6566" t="inlineStr">
        <is>
          <t>0</t>
        </is>
      </c>
      <c r="G6566" t="inlineStr">
        <is>
          <t>0</t>
        </is>
      </c>
      <c r="H6566" t="inlineStr">
        <is>
          <t>4⁴, 8⁶, 12⁴, 16², 24⁶, 48²</t>
        </is>
      </c>
      <c r="I6566" t="n">
        <v>24</v>
      </c>
      <c r="J6566" t="inlineStr">
        <is>
          <t>1¹⁶, 2¹⁶, 4⁸, 8²</t>
        </is>
      </c>
      <c r="K6566">
        <f>HYPERLINK("CSG9.html#group24AH9", "24AH⁹")</f>
        <v/>
      </c>
      <c r="L6566" t="inlineStr"/>
      <c r="M6566">
        <f>HYPERLINK("CSG0.html#group3B0", "3B⁰"), =HYPERLINK("CSG0.html#group2A0", "2A⁰"), =HYPERLINK("CSG1.html#group8A1", "8A¹"), =HYPERLINK("CSG5.html#group24N5", "24N⁵"), =HYPERLINK("CSG3.html#group24AA3", "24AA³"), =HYPERLINK("CSG3.html#group24B3", "24B³"), =HYPERLINK("CSG1.html#group12F1", "12F¹"), =HYPERLINK("CSG0.html#group6I0", "6I⁰"), =HYPERLINK("CSG0.html#group4C0", "4C⁰"), =HYPERLINK("CSG0.html#group6C0", "6C⁰"), =HYPERLINK("CSG0.html#group8B0", "8B⁰"), =HYPERLINK("CSG9.html#group24AH9", "24AH⁹"), =HYPERLINK("CSG0.html#group8L0", "8L⁰"), =HYPERLINK("CSG0.html#group2B0", "2B⁰"), =HYPERLINK("CSG0.html#group4E0", "4E⁰"), =HYPERLINK("CSG1.html#group8B1", "8B¹"), =HYPERLINK("CSG1.html#group12P1", "12P¹"), =HYPERLINK("CSG0.html#group4B0", "4B⁰"), =HYPERLINK("CSG0.html#group1A0", "1A⁰"), =HYPERLINK("CSG3.html#group24C3", "24C³"), =HYPERLINK("CSG5.html#group24I5", "24I⁵"), =HYPERLINK("CSG1.html#group8G1", "8G¹"), =HYPERLINK("CSG0.html#group6F0", "6F⁰"), =HYPERLINK("CSG0.html#group2C0", "2C⁰"), =HYPERLINK("CSG0.html#group12E0", "12E⁰"), =HYPERLINK("CSG0.html#group8J0", "8J⁰")</f>
        <v/>
      </c>
      <c r="N6566" t="inlineStr"/>
    </row>
    <row r="6567">
      <c r="A6567" t="inlineStr">
        <is>
          <t>48CQ²¹</t>
        </is>
      </c>
      <c r="B6567" t="inlineStr"/>
      <c r="C6567" t="inlineStr">
        <is>
          <t>384</t>
        </is>
      </c>
      <c r="D6567" t="inlineStr">
        <is>
          <t>1</t>
        </is>
      </c>
      <c r="E6567" t="inlineStr">
        <is>
          <t>96</t>
        </is>
      </c>
      <c r="F6567" t="inlineStr">
        <is>
          <t>0</t>
        </is>
      </c>
      <c r="G6567" t="inlineStr">
        <is>
          <t>0</t>
        </is>
      </c>
      <c r="H6567" t="inlineStr">
        <is>
          <t>4⁴, 8⁶, 12⁴, 16², 24⁶, 48²</t>
        </is>
      </c>
      <c r="I6567" t="n">
        <v>24</v>
      </c>
      <c r="J6567" t="inlineStr">
        <is>
          <t>1¹⁶, 2¹⁶, 4⁸, 8²</t>
        </is>
      </c>
      <c r="K6567">
        <f>HYPERLINK("CSG3.html#group16O3", "16O³"), =HYPERLINK("CSG9.html#group24AH9", "24AH⁹")</f>
        <v/>
      </c>
      <c r="L6567" t="inlineStr"/>
      <c r="M6567">
        <f>HYPERLINK("CSG0.html#group3B0", "3B⁰"), =HYPERLINK("CSG0.html#group2A0", "2A⁰"), =HYPERLINK("CSG1.html#group8A1", "8A¹"), =HYPERLINK("CSG5.html#group24N5", "24N⁵"), =HYPERLINK("CSG3.html#group24AA3", "24AA³"), =HYPERLINK("CSG3.html#group24B3", "24B³"), =HYPERLINK("CSG1.html#group12F1", "12F¹"), =HYPERLINK("CSG0.html#group6I0", "6I⁰"), =HYPERLINK("CSG3.html#group16O3", "16O³"), =HYPERLINK("CSG0.html#group4C0", "4C⁰"), =HYPERLINK("CSG0.html#group6C0", "6C⁰"), =HYPERLINK("CSG0.html#group8B0", "8B⁰"), =HYPERLINK("CSG9.html#group24AH9", "24AH⁹"), =HYPERLINK("CSG0.html#group8L0", "8L⁰"), =HYPERLINK("CSG0.html#group2B0", "2B⁰"), =HYPERLINK("CSG0.html#group4E0", "4E⁰"), =HYPERLINK("CSG1.html#group8B1", "8B¹"), =HYPERLINK("CSG1.html#group12P1", "12P¹"), =HYPERLINK("CSG0.html#group4B0", "4B⁰"), =HYPERLINK("CSG0.html#group1A0", "1A⁰"), =HYPERLINK("CSG3.html#group24C3", "24C³"), =HYPERLINK("CSG5.html#group24I5", "24I⁵"), =HYPERLINK("CSG1.html#group8G1", "8G¹"), =HYPERLINK("CSG0.html#group6F0", "6F⁰"), =HYPERLINK("CSG0.html#group2C0", "2C⁰"), =HYPERLINK("CSG0.html#group12E0", "12E⁰"), =HYPERLINK("CSG0.html#group8J0", "8J⁰")</f>
        <v/>
      </c>
      <c r="N6567" t="inlineStr"/>
    </row>
    <row r="6568">
      <c r="A6568" t="inlineStr">
        <is>
          <t>48CR²¹</t>
        </is>
      </c>
      <c r="B6568" t="inlineStr"/>
      <c r="C6568" t="inlineStr">
        <is>
          <t>384</t>
        </is>
      </c>
      <c r="D6568" t="inlineStr">
        <is>
          <t>1</t>
        </is>
      </c>
      <c r="E6568" t="inlineStr">
        <is>
          <t>192</t>
        </is>
      </c>
      <c r="F6568" t="inlineStr">
        <is>
          <t>32</t>
        </is>
      </c>
      <c r="G6568" t="inlineStr">
        <is>
          <t>0</t>
        </is>
      </c>
      <c r="H6568" t="inlineStr">
        <is>
          <t>48⁸</t>
        </is>
      </c>
      <c r="I6568" t="n">
        <v>8</v>
      </c>
      <c r="J6568" t="inlineStr">
        <is>
          <t>8⁸, 16⁸</t>
        </is>
      </c>
      <c r="K6568">
        <f>HYPERLINK("CSG3.html#group24AB3", "24AB³"), =HYPERLINK("CSG9.html#group48AP9", "48AP⁹")</f>
        <v/>
      </c>
      <c r="L6568" t="inlineStr"/>
      <c r="M6568">
        <f>HYPERLINK("CSG1.html#group24F1", "24F¹"), =HYPERLINK("CSG0.html#group12A0", "12A⁰"), =HYPERLINK("CSG0.html#group8F0", "8F⁰"), =HYPERLINK("CSG0.html#group6B0", "6B⁰"), =HYPERLINK("CSG0.html#group4A0", "4A⁰"), =HYPERLINK("CSG9.html#group48AP9", "48AP⁹"), =HYPERLINK("CSG0.html#group12F0", "12F⁰"), =HYPERLINK("CSG2.html#group16G2", "16G²"), =HYPERLINK("CSG3.html#group24AB3", "24AB³"), =HYPERLINK("CSG0.html#group3A0", "3A⁰"), =HYPERLINK("CSG0.html#group1A0", "1A⁰")</f>
        <v/>
      </c>
      <c r="N6568" t="inlineStr"/>
    </row>
    <row r="6569">
      <c r="A6569" t="inlineStr">
        <is>
          <t>50A²¹</t>
        </is>
      </c>
      <c r="B6569" t="inlineStr"/>
      <c r="C6569" t="inlineStr">
        <is>
          <t>300</t>
        </is>
      </c>
      <c r="D6569" t="inlineStr">
        <is>
          <t>1</t>
        </is>
      </c>
      <c r="E6569" t="inlineStr">
        <is>
          <t>30</t>
        </is>
      </c>
      <c r="F6569" t="inlineStr">
        <is>
          <t>0</t>
        </is>
      </c>
      <c r="G6569" t="inlineStr">
        <is>
          <t>0</t>
        </is>
      </c>
      <c r="H6569" t="inlineStr">
        <is>
          <t>10⁵, 50⁵</t>
        </is>
      </c>
      <c r="I6569" t="n">
        <v>10</v>
      </c>
      <c r="J6569" t="inlineStr">
        <is>
          <t>2², 4⁴, 20²</t>
        </is>
      </c>
      <c r="K6569">
        <f>HYPERLINK("CSG5.html#group50A5", "50A⁵"), =HYPERLINK("CSG6.html#group25A6", "25A⁶")</f>
        <v/>
      </c>
      <c r="L6569" t="inlineStr"/>
      <c r="M6569">
        <f>HYPERLINK("CSG0.html#group5B0", "5B⁰"), =HYPERLINK("CSG0.html#group2A0", "2A⁰"), =HYPERLINK("CSG1.html#group10A1", "10A¹"), =HYPERLINK("CSG2.html#group25A2", "25A²"), =HYPERLINK("CSG5.html#group50A5", "50A⁵"), =HYPERLINK("CSG0.html#group1A0", "1A⁰"), =HYPERLINK("CSG6.html#group25A6", "25A⁶")</f>
        <v/>
      </c>
      <c r="N6569" t="inlineStr"/>
    </row>
    <row r="6570">
      <c r="A6570" t="inlineStr">
        <is>
          <t>50B²¹</t>
        </is>
      </c>
      <c r="B6570" t="inlineStr"/>
      <c r="C6570" t="inlineStr">
        <is>
          <t>300</t>
        </is>
      </c>
      <c r="D6570" t="inlineStr">
        <is>
          <t>1</t>
        </is>
      </c>
      <c r="E6570" t="inlineStr">
        <is>
          <t>30</t>
        </is>
      </c>
      <c r="F6570" t="inlineStr">
        <is>
          <t>0</t>
        </is>
      </c>
      <c r="G6570" t="inlineStr">
        <is>
          <t>0</t>
        </is>
      </c>
      <c r="H6570" t="inlineStr">
        <is>
          <t>10⁵, 50⁵</t>
        </is>
      </c>
      <c r="I6570" t="n">
        <v>10</v>
      </c>
      <c r="J6570" t="inlineStr">
        <is>
          <t>2², 4⁴, 20²</t>
        </is>
      </c>
      <c r="K6570">
        <f>HYPERLINK("CSG5.html#group50B5", "50B⁵"), =HYPERLINK("CSG6.html#group25B6", "25B⁶")</f>
        <v/>
      </c>
      <c r="L6570" t="inlineStr"/>
      <c r="M6570">
        <f>HYPERLINK("CSG0.html#group5B0", "5B⁰"), =HYPERLINK("CSG0.html#group2A0", "2A⁰"), =HYPERLINK("CSG1.html#group10A1", "10A¹"), =HYPERLINK("CSG6.html#group25B6", "25B⁶"), =HYPERLINK("CSG5.html#group50B5", "50B⁵"), =HYPERLINK("CSG0.html#group1A0", "1A⁰"), =HYPERLINK("CSG2.html#group25B2", "25B²")</f>
        <v/>
      </c>
      <c r="N6570" t="inlineStr"/>
    </row>
    <row r="6571">
      <c r="A6571" t="inlineStr">
        <is>
          <t>50C²¹</t>
        </is>
      </c>
      <c r="B6571" t="inlineStr"/>
      <c r="C6571" t="inlineStr">
        <is>
          <t>300</t>
        </is>
      </c>
      <c r="D6571" t="inlineStr">
        <is>
          <t>1</t>
        </is>
      </c>
      <c r="E6571" t="inlineStr">
        <is>
          <t>30</t>
        </is>
      </c>
      <c r="F6571" t="inlineStr">
        <is>
          <t>0</t>
        </is>
      </c>
      <c r="G6571" t="inlineStr">
        <is>
          <t>0</t>
        </is>
      </c>
      <c r="H6571" t="inlineStr">
        <is>
          <t>10⁵, 50⁵</t>
        </is>
      </c>
      <c r="I6571" t="n">
        <v>10</v>
      </c>
      <c r="J6571" t="inlineStr">
        <is>
          <t>2², 4⁴, 20²</t>
        </is>
      </c>
      <c r="K6571">
        <f>HYPERLINK("CSG5.html#group50C5", "50C⁵"), =HYPERLINK("CSG6.html#group25C6", "25C⁶")</f>
        <v/>
      </c>
      <c r="L6571" t="inlineStr"/>
      <c r="M6571">
        <f>HYPERLINK("CSG0.html#group5B0", "5B⁰"), =HYPERLINK("CSG0.html#group2A0", "2A⁰"), =HYPERLINK("CSG5.html#group50C5", "50C⁵"), =HYPERLINK("CSG1.html#group10A1", "10A¹"), =HYPERLINK("CSG6.html#group25C6", "25C⁶"), =HYPERLINK("CSG0.html#group1A0", "1A⁰"), =HYPERLINK("CSG2.html#group25C2", "25C²")</f>
        <v/>
      </c>
      <c r="N6571" t="inlineStr"/>
    </row>
    <row r="6572">
      <c r="A6572" t="inlineStr">
        <is>
          <t>50D²¹</t>
        </is>
      </c>
      <c r="B6572" t="inlineStr"/>
      <c r="C6572" t="inlineStr">
        <is>
          <t>300</t>
        </is>
      </c>
      <c r="D6572" t="inlineStr">
        <is>
          <t>1</t>
        </is>
      </c>
      <c r="E6572" t="inlineStr">
        <is>
          <t>30</t>
        </is>
      </c>
      <c r="F6572" t="inlineStr">
        <is>
          <t>0</t>
        </is>
      </c>
      <c r="G6572" t="inlineStr">
        <is>
          <t>0</t>
        </is>
      </c>
      <c r="H6572" t="inlineStr">
        <is>
          <t>10⁵, 50⁵</t>
        </is>
      </c>
      <c r="I6572" t="n">
        <v>10</v>
      </c>
      <c r="J6572" t="inlineStr">
        <is>
          <t>2², 4⁴, 20²</t>
        </is>
      </c>
      <c r="K6572">
        <f>HYPERLINK("CSG5.html#group50D5", "50D⁵"), =HYPERLINK("CSG6.html#group25D6", "25D⁶")</f>
        <v/>
      </c>
      <c r="L6572" t="inlineStr"/>
      <c r="M6572">
        <f>HYPERLINK("CSG0.html#group5B0", "5B⁰"), =HYPERLINK("CSG0.html#group2A0", "2A⁰"), =HYPERLINK("CSG5.html#group50D5", "50D⁵"), =HYPERLINK("CSG1.html#group10A1", "10A¹"), =HYPERLINK("CSG2.html#group25D2", "25D²"), =HYPERLINK("CSG0.html#group1A0", "1A⁰"), =HYPERLINK("CSG6.html#group25D6", "25D⁶")</f>
        <v/>
      </c>
      <c r="N6572" t="inlineStr"/>
    </row>
    <row r="6573">
      <c r="A6573" t="inlineStr">
        <is>
          <t>50E²¹</t>
        </is>
      </c>
      <c r="B6573" t="inlineStr"/>
      <c r="C6573" t="inlineStr">
        <is>
          <t>300</t>
        </is>
      </c>
      <c r="D6573" t="inlineStr">
        <is>
          <t>1</t>
        </is>
      </c>
      <c r="E6573" t="inlineStr">
        <is>
          <t>150</t>
        </is>
      </c>
      <c r="F6573" t="inlineStr">
        <is>
          <t>0</t>
        </is>
      </c>
      <c r="G6573" t="inlineStr">
        <is>
          <t>0</t>
        </is>
      </c>
      <c r="H6573" t="inlineStr">
        <is>
          <t>10⁵, 50⁵</t>
        </is>
      </c>
      <c r="I6573" t="n">
        <v>10</v>
      </c>
      <c r="J6573" t="inlineStr">
        <is>
          <t>1², 4¹², 20⁵</t>
        </is>
      </c>
      <c r="K6573">
        <f>HYPERLINK("CSG3.html#group10B3", "10B³"), =HYPERLINK("CSG3.html#group50A3", "50A³"), =HYPERLINK("CSG5.html#group50C5", "50C⁵"), =HYPERLINK("CSG5.html#group50B5", "50B⁵"), =HYPERLINK("CSG5.html#group50D5", "50D⁵"), =HYPERLINK("CSG5.html#group50A5", "50A⁵"), =HYPERLINK("CSG8.html#group25A8", "25A⁸")</f>
        <v/>
      </c>
      <c r="L6573" t="inlineStr"/>
      <c r="M6573">
        <f>HYPERLINK("CSG0.html#group2A0", "2A⁰"), =HYPERLINK("CSG0.html#group5A0", "5A⁰"), =HYPERLINK("CSG2.html#group10A2", "10A²"), =HYPERLINK("CSG5.html#group50A5", "50A⁵"), =HYPERLINK("CSG3.html#group50A3", "50A³"), =HYPERLINK("CSG0.html#group5B0", "5B⁰"), =HYPERLINK("CSG5.html#group50D5", "50D⁵"), =HYPERLINK("CSG1.html#group10A1", "10A¹"), =HYPERLINK("CSG1.html#group10E1", "10E¹"), =HYPERLINK("CSG0.html#group1A0", "1A⁰"), =HYPERLINK("CSG2.html#group25C2", "25C²"), =HYPERLINK("CSG2.html#group25D2", "25D²"), =HYPERLINK("CSG2.html#group25B2", "25B²"), =HYPERLINK("CSG8.html#group25A8", "25A⁸"), =HYPERLINK("CSG2.html#group25A2", "25A²"), =HYPERLINK("CSG0.html#group10A0", "10A⁰"), =HYPERLINK("CSG5.html#group50B5", "50B⁵"), =HYPERLINK("CSG3.html#group10B3", "10B³"), =HYPERLINK("CSG0.html#group25A0", "25A⁰"), =HYPERLINK("CSG0.html#group5E0", "5E⁰"), =HYPERLINK("CSG5.html#group50C5", "50C⁵"), =HYPERLINK("CSG1.html#group10C1", "10C¹"), =HYPERLINK("CSG0.html#group5C0", "5C⁰"), =HYPERLINK("CSG0.html#group5G0", "5G⁰")</f>
        <v/>
      </c>
      <c r="N6573" t="inlineStr"/>
    </row>
    <row r="6574">
      <c r="A6574" t="inlineStr">
        <is>
          <t>51A²¹</t>
        </is>
      </c>
      <c r="B6574" t="inlineStr"/>
      <c r="C6574" t="inlineStr">
        <is>
          <t>432</t>
        </is>
      </c>
      <c r="D6574" t="inlineStr">
        <is>
          <t>1</t>
        </is>
      </c>
      <c r="E6574" t="inlineStr">
        <is>
          <t>54</t>
        </is>
      </c>
      <c r="F6574" t="inlineStr">
        <is>
          <t>32</t>
        </is>
      </c>
      <c r="G6574" t="inlineStr">
        <is>
          <t>0</t>
        </is>
      </c>
      <c r="H6574" t="inlineStr">
        <is>
          <t>3⁸, 51⁸</t>
        </is>
      </c>
      <c r="I6574" t="n">
        <v>16</v>
      </c>
      <c r="J6574" t="inlineStr">
        <is>
          <t>1², 2², 16¹, 32¹</t>
        </is>
      </c>
      <c r="K6574">
        <f>HYPERLINK("CSG9.html#group51B9", "51B⁹")</f>
        <v/>
      </c>
      <c r="L6574" t="inlineStr"/>
      <c r="M6574">
        <f>HYPERLINK("CSG9.html#group51B9", "51B⁹"), =HYPERLINK("CSG3.html#group51A3", "51A³"), =HYPERLINK("CSG1.html#group17B1", "17B¹"), =HYPERLINK("CSG1.html#group17C1", "17C¹"), =HYPERLINK("CSG1.html#group17A1", "17A¹"), =HYPERLINK("CSG5.html#group51B5", "51B⁵"), =HYPERLINK("CSG0.html#group3A0", "3A⁰"), =HYPERLINK("CSG0.html#group1A0", "1A⁰")</f>
        <v/>
      </c>
      <c r="N6574" t="inlineStr"/>
    </row>
    <row r="6575">
      <c r="A6575" t="inlineStr">
        <is>
          <t>52A²¹</t>
        </is>
      </c>
      <c r="B6575" t="inlineStr"/>
      <c r="C6575" t="inlineStr">
        <is>
          <t>312</t>
        </is>
      </c>
      <c r="D6575" t="inlineStr">
        <is>
          <t>1</t>
        </is>
      </c>
      <c r="E6575" t="inlineStr">
        <is>
          <t>312</t>
        </is>
      </c>
      <c r="F6575" t="inlineStr">
        <is>
          <t>12</t>
        </is>
      </c>
      <c r="G6575" t="inlineStr">
        <is>
          <t>0</t>
        </is>
      </c>
      <c r="H6575" t="inlineStr">
        <is>
          <t>52⁶</t>
        </is>
      </c>
      <c r="I6575" t="n">
        <v>6</v>
      </c>
      <c r="J6575" t="inlineStr">
        <is>
          <t>12², 24¹²</t>
        </is>
      </c>
      <c r="K6575">
        <f>HYPERLINK("CSG0.html#group4A0", "4A⁰"), =HYPERLINK("CSG3.html#group13A3", "13A³")</f>
        <v/>
      </c>
      <c r="L6575" t="inlineStr"/>
      <c r="M6575">
        <f>HYPERLINK("CSG3.html#group13A3", "13A³"), =HYPERLINK("CSG0.html#group4A0", "4A⁰"), =HYPERLINK("CSG0.html#group1A0", "1A⁰")</f>
        <v/>
      </c>
      <c r="N6575" t="inlineStr"/>
    </row>
    <row r="6576">
      <c r="A6576" t="inlineStr">
        <is>
          <t>52B²¹</t>
        </is>
      </c>
      <c r="B6576" t="inlineStr"/>
      <c r="C6576" t="inlineStr">
        <is>
          <t>312</t>
        </is>
      </c>
      <c r="D6576" t="inlineStr">
        <is>
          <t>2</t>
        </is>
      </c>
      <c r="E6576" t="inlineStr">
        <is>
          <t>78</t>
        </is>
      </c>
      <c r="F6576" t="inlineStr">
        <is>
          <t>12</t>
        </is>
      </c>
      <c r="G6576" t="inlineStr">
        <is>
          <t>0</t>
        </is>
      </c>
      <c r="H6576" t="inlineStr">
        <is>
          <t>52⁶</t>
        </is>
      </c>
      <c r="I6576" t="n">
        <v>6</v>
      </c>
      <c r="J6576" t="inlineStr">
        <is>
          <t>12¹, 24⁶</t>
        </is>
      </c>
      <c r="K6576">
        <f>HYPERLINK("CSG8.html#group26A8", "26A⁸")</f>
        <v/>
      </c>
      <c r="L6576" t="inlineStr"/>
      <c r="M6576">
        <f>HYPERLINK("CSG3.html#group13A3", "13A³"), =HYPERLINK("CSG0.html#group1A0", "1A⁰"), =HYPERLINK("CSG8.html#group26A8", "26A⁸")</f>
        <v/>
      </c>
      <c r="N6576" t="inlineStr"/>
    </row>
    <row r="6577">
      <c r="A6577" t="inlineStr">
        <is>
          <t>52C²¹</t>
        </is>
      </c>
      <c r="B6577" t="inlineStr"/>
      <c r="C6577" t="inlineStr">
        <is>
          <t>336</t>
        </is>
      </c>
      <c r="D6577" t="inlineStr">
        <is>
          <t>1</t>
        </is>
      </c>
      <c r="E6577" t="inlineStr">
        <is>
          <t>42</t>
        </is>
      </c>
      <c r="F6577" t="inlineStr">
        <is>
          <t>0</t>
        </is>
      </c>
      <c r="G6577" t="inlineStr">
        <is>
          <t>0</t>
        </is>
      </c>
      <c r="H6577" t="inlineStr">
        <is>
          <t>2⁴, 4⁴, 26⁴, 52⁴</t>
        </is>
      </c>
      <c r="I6577" t="n">
        <v>16</v>
      </c>
      <c r="J6577" t="inlineStr">
        <is>
          <t>1⁶, 12³</t>
        </is>
      </c>
      <c r="K6577">
        <f>HYPERLINK("CSG9.html#group26B9", "26B⁹"), =HYPERLINK("CSG9.html#group52A9", "52A⁹"), =HYPERLINK("CSG9.html#group52B9", "52B⁹"), =HYPERLINK("CSG11.html#group52B11", "52B¹¹"), =HYPERLINK("CSG11.html#group52A11", "52A¹¹"), =HYPERLINK("CSG11.html#group52C11", "52C¹¹"), =HYPERLINK("CSG11.html#group52D11", "52D¹¹")</f>
        <v/>
      </c>
      <c r="L6577" t="inlineStr"/>
      <c r="M6577">
        <f>HYPERLINK("CSG11.html#group52C11", "52C¹¹"), =HYPERLINK("CSG0.html#group2A0", "2A⁰"), =HYPERLINK("CSG1.html#group26A1", "26A¹"), =HYPERLINK("CSG11.html#group52B11", "52B¹¹"), =HYPERLINK("CSG0.html#group2C0", "2C⁰"), =HYPERLINK("CSG0.html#group4C0", "4C⁰"), =HYPERLINK("CSG0.html#group13A0", "13A⁰"), =HYPERLINK("CSG5.html#group52A5", "52A⁵"), =HYPERLINK("CSG0.html#group2B0", "2B⁰"), =HYPERLINK("CSG0.html#group26A0", "26A⁰"), =HYPERLINK("CSG0.html#group4E0", "4E⁰"), =HYPERLINK("CSG0.html#group4B0", "4B⁰"), =HYPERLINK("CSG0.html#group1A0", "1A⁰"), =HYPERLINK("CSG11.html#group52A11", "52A¹¹"), =HYPERLINK("CSG2.html#group26A2", "26A²"), =HYPERLINK("CSG4.html#group26A4", "26A⁴"), =HYPERLINK("CSG5.html#group26B5", "26B⁵"), =HYPERLINK("CSG1.html#group26B1", "26B¹"), =HYPERLINK("CSG6.html#group52A6", "52A⁶"), =HYPERLINK("CSG9.html#group52B9", "52B⁹"), =HYPERLINK("CSG9.html#group26B9", "26B⁹"), =HYPERLINK("CSG9.html#group52A9", "52A⁹"), =HYPERLINK("CSG4.html#group26B4", "26B⁴"), =HYPERLINK("CSG5.html#group52B5", "52B⁵"), =HYPERLINK("CSG0.html#group13B0", "13B⁰"), =HYPERLINK("CSG11.html#group52D11", "52D¹¹"), =HYPERLINK("CSG4.html#group52A4", "52A⁴")</f>
        <v/>
      </c>
      <c r="N6577" t="inlineStr"/>
    </row>
    <row r="6578">
      <c r="A6578" t="inlineStr">
        <is>
          <t>52D²¹</t>
        </is>
      </c>
      <c r="B6578" t="inlineStr"/>
      <c r="C6578" t="inlineStr">
        <is>
          <t>336</t>
        </is>
      </c>
      <c r="D6578" t="inlineStr">
        <is>
          <t>1</t>
        </is>
      </c>
      <c r="E6578" t="inlineStr">
        <is>
          <t>84</t>
        </is>
      </c>
      <c r="F6578" t="inlineStr">
        <is>
          <t>8</t>
        </is>
      </c>
      <c r="G6578" t="inlineStr">
        <is>
          <t>0</t>
        </is>
      </c>
      <c r="H6578" t="inlineStr">
        <is>
          <t>4⁶, 52⁶</t>
        </is>
      </c>
      <c r="I6578" t="n">
        <v>12</v>
      </c>
      <c r="J6578" t="inlineStr">
        <is>
          <t>1⁴, 2⁴, 12², 24²</t>
        </is>
      </c>
      <c r="K6578">
        <f>HYPERLINK("CSG5.html#group52C5", "52C⁵"), =HYPERLINK("CSG9.html#group52B9", "52B⁹"), =HYPERLINK("CSG11.html#group52E11", "52E¹¹"), =HYPERLINK("CSG11.html#group52F11", "52F¹¹")</f>
        <v/>
      </c>
      <c r="L6578" t="inlineStr"/>
      <c r="M6578">
        <f>HYPERLINK("CSG11.html#group52E11", "52E¹¹"), =HYPERLINK("CSG0.html#group4C0", "4C⁰"), =HYPERLINK("CSG0.html#group13A0", "13A⁰"), =HYPERLINK("CSG0.html#group2B0", "2B⁰"), =HYPERLINK("CSG0.html#group26A0", "26A⁰"), =HYPERLINK("CSG0.html#group1A0", "1A⁰"), =HYPERLINK("CSG2.html#group26A2", "26A²"), =HYPERLINK("CSG11.html#group52F11", "52F¹¹"), =HYPERLINK("CSG9.html#group52B9", "52B⁹"), =HYPERLINK("CSG3.html#group52A3", "52A³"), =HYPERLINK("CSG0.html#group4A0", "4A⁰"), =HYPERLINK("CSG5.html#group52B5", "52B⁵"), =HYPERLINK("CSG4.html#group26B4", "26B⁴"), =HYPERLINK("CSG0.html#group4F0", "4F⁰"), =HYPERLINK("CSG4.html#group52A4", "52A⁴"), =HYPERLINK("CSG5.html#group52C5", "52C⁵")</f>
        <v/>
      </c>
      <c r="N6578" t="inlineStr"/>
    </row>
    <row r="6579">
      <c r="A6579" t="inlineStr">
        <is>
          <t>52E²¹</t>
        </is>
      </c>
      <c r="B6579" t="inlineStr"/>
      <c r="C6579" t="inlineStr">
        <is>
          <t>336</t>
        </is>
      </c>
      <c r="D6579" t="inlineStr">
        <is>
          <t>1</t>
        </is>
      </c>
      <c r="E6579" t="inlineStr">
        <is>
          <t>112</t>
        </is>
      </c>
      <c r="F6579" t="inlineStr">
        <is>
          <t>0</t>
        </is>
      </c>
      <c r="G6579" t="inlineStr">
        <is>
          <t>6</t>
        </is>
      </c>
      <c r="H6579" t="inlineStr">
        <is>
          <t>4⁶, 52⁶</t>
        </is>
      </c>
      <c r="I6579" t="n">
        <v>12</v>
      </c>
      <c r="J6579" t="inlineStr">
        <is>
          <t>2⁸, 24⁴</t>
        </is>
      </c>
      <c r="K6579">
        <f>HYPERLINK("CSG3.html#group26A3", "26A³"), =HYPERLINK("CSG7.html#group52B7", "52B⁷")</f>
        <v/>
      </c>
      <c r="L6579" t="inlineStr"/>
      <c r="M6579">
        <f>HYPERLINK("CSG0.html#group2A0", "2A⁰"), =HYPERLINK("CSG1.html#group26A1", "26A¹"), =HYPERLINK("CSG3.html#group52A3", "52A³"), =HYPERLINK("CSG0.html#group4A0", "4A⁰"), =HYPERLINK("CSG0.html#group4D0", "4D⁰"), =HYPERLINK("CSG0.html#group13A0", "13A⁰"), =HYPERLINK("CSG3.html#group26A3", "26A³"), =HYPERLINK("CSG7.html#group52B7", "52B⁷"), =HYPERLINK("CSG0.html#group1A0", "1A⁰")</f>
        <v/>
      </c>
      <c r="N6579" t="inlineStr"/>
    </row>
    <row r="6580">
      <c r="A6580" t="inlineStr">
        <is>
          <t>52F²¹</t>
        </is>
      </c>
      <c r="B6580" t="inlineStr"/>
      <c r="C6580" t="inlineStr">
        <is>
          <t>336</t>
        </is>
      </c>
      <c r="D6580" t="inlineStr">
        <is>
          <t>2</t>
        </is>
      </c>
      <c r="E6580" t="inlineStr">
        <is>
          <t>42</t>
        </is>
      </c>
      <c r="F6580" t="inlineStr">
        <is>
          <t>8</t>
        </is>
      </c>
      <c r="G6580" t="inlineStr">
        <is>
          <t>0</t>
        </is>
      </c>
      <c r="H6580" t="inlineStr">
        <is>
          <t>4⁶, 52⁶</t>
        </is>
      </c>
      <c r="I6580" t="n">
        <v>12</v>
      </c>
      <c r="J6580" t="inlineStr">
        <is>
          <t>2⁶, 24³</t>
        </is>
      </c>
      <c r="K6580">
        <f>HYPERLINK("CSG9.html#group52B9", "52B⁹"), =HYPERLINK("CSG9.html#group52E9", "52E⁹"), =HYPERLINK("CSG11.html#group52G11", "52G¹¹")</f>
        <v/>
      </c>
      <c r="L6580" t="inlineStr"/>
      <c r="M6580">
        <f>HYPERLINK("CSG9.html#group52B9", "52B⁹"), =HYPERLINK("CSG11.html#group52G11", "52G¹¹"), =HYPERLINK("CSG0.html#group4C0", "4C⁰"), =HYPERLINK("CSG0.html#group13A0", "13A⁰"), =HYPERLINK("CSG4.html#group26B4", "26B⁴"), =HYPERLINK("CSG5.html#group52B5", "52B⁵"), =HYPERLINK("CSG0.html#group2B0", "2B⁰"), =HYPERLINK("CSG0.html#group26A0", "26A⁰"), =HYPERLINK("CSG9.html#group52E9", "52E⁹"), =HYPERLINK("CSG1.html#group52A1", "52A¹"), =HYPERLINK("CSG0.html#group1A0", "1A⁰"), =HYPERLINK("CSG4.html#group52A4", "52A⁴"), =HYPERLINK("CSG2.html#group26A2", "26A²")</f>
        <v/>
      </c>
      <c r="N6580" t="inlineStr"/>
    </row>
    <row r="6581">
      <c r="A6581" t="inlineStr">
        <is>
          <t>54A²¹</t>
        </is>
      </c>
      <c r="B6581" t="inlineStr"/>
      <c r="C6581" t="inlineStr">
        <is>
          <t>324</t>
        </is>
      </c>
      <c r="D6581" t="inlineStr">
        <is>
          <t>1</t>
        </is>
      </c>
      <c r="E6581" t="inlineStr">
        <is>
          <t>162</t>
        </is>
      </c>
      <c r="F6581" t="inlineStr">
        <is>
          <t>4</t>
        </is>
      </c>
      <c r="G6581" t="inlineStr">
        <is>
          <t>0</t>
        </is>
      </c>
      <c r="H6581" t="inlineStr">
        <is>
          <t>18⁹, 54³</t>
        </is>
      </c>
      <c r="I6581" t="n">
        <v>12</v>
      </c>
      <c r="J6581" t="inlineStr">
        <is>
          <t>3¹, 6⁴, 9¹, 18⁷</t>
        </is>
      </c>
      <c r="K6581">
        <f>HYPERLINK("CSG6.html#group18B6", "18B⁶"), =HYPERLINK("CSG8.html#group27A8", "27A⁸")</f>
        <v/>
      </c>
      <c r="L6581" t="inlineStr"/>
      <c r="M6581">
        <f>HYPERLINK("CSG0.html#group6B0", "6B⁰"), =HYPERLINK("CSG6.html#group18B6", "18B⁶"), =HYPERLINK("CSG0.html#group9G0", "9G⁰"), =HYPERLINK("CSG2.html#group18K2", "18K²"), =HYPERLINK("CSG8.html#group27A8", "27A⁸"), =HYPERLINK("CSG2.html#group9B2", "9B²"), =HYPERLINK("CSG0.html#group9E0", "9E⁰"), =HYPERLINK("CSG0.html#group1A0", "1A⁰"), =HYPERLINK("CSG1.html#group9B1", "9B¹"), =HYPERLINK("CSG0.html#group18A0", "18A⁰"), =HYPERLINK("CSG0.html#group6E0", "6E⁰"), =HYPERLINK("CSG0.html#group9A0", "9A⁰"), =HYPERLINK("CSG0.html#group3C0", "3C⁰"), =HYPERLINK("CSG1.html#group18F1", "18F¹"), =HYPERLINK("CSG2.html#group18G2", "18G²"), =HYPERLINK("CSG0.html#group3A0", "3A⁰"), =HYPERLINK("CSG1.html#group18A1", "18A¹")</f>
        <v/>
      </c>
      <c r="N6581" t="inlineStr"/>
    </row>
    <row r="6582">
      <c r="A6582" t="inlineStr">
        <is>
          <t>54B²¹</t>
        </is>
      </c>
      <c r="B6582" t="inlineStr"/>
      <c r="C6582" t="inlineStr">
        <is>
          <t>324</t>
        </is>
      </c>
      <c r="D6582" t="inlineStr">
        <is>
          <t>1</t>
        </is>
      </c>
      <c r="E6582" t="inlineStr">
        <is>
          <t>324</t>
        </is>
      </c>
      <c r="F6582" t="inlineStr">
        <is>
          <t>4</t>
        </is>
      </c>
      <c r="G6582" t="inlineStr">
        <is>
          <t>0</t>
        </is>
      </c>
      <c r="H6582" t="inlineStr">
        <is>
          <t>18⁹, 54³</t>
        </is>
      </c>
      <c r="I6582" t="n">
        <v>12</v>
      </c>
      <c r="J6582" t="inlineStr">
        <is>
          <t>6⁹, 9², 18¹⁴</t>
        </is>
      </c>
      <c r="K6582">
        <f>HYPERLINK("CSG6.html#group18B6", "18B⁶")</f>
        <v/>
      </c>
      <c r="L6582" t="inlineStr"/>
      <c r="M6582">
        <f>HYPERLINK("CSG0.html#group6B0", "6B⁰"), =HYPERLINK("CSG6.html#group18B6", "18B⁶"), =HYPERLINK("CSG0.html#group9G0", "9G⁰"), =HYPERLINK("CSG2.html#group18K2", "18K²"), =HYPERLINK("CSG2.html#group9B2", "9B²"), =HYPERLINK("CSG0.html#group9E0", "9E⁰"), =HYPERLINK("CSG0.html#group1A0", "1A⁰"), =HYPERLINK("CSG0.html#group18A0", "18A⁰"), =HYPERLINK("CSG1.html#group9B1", "9B¹"), =HYPERLINK("CSG0.html#group6E0", "6E⁰"), =HYPERLINK("CSG0.html#group9A0", "9A⁰"), =HYPERLINK("CSG0.html#group3C0", "3C⁰"), =HYPERLINK("CSG1.html#group18F1", "18F¹"), =HYPERLINK("CSG2.html#group18G2", "18G²"), =HYPERLINK("CSG0.html#group3A0", "3A⁰"), =HYPERLINK("CSG1.html#group18A1", "18A¹")</f>
        <v/>
      </c>
      <c r="N6582" t="inlineStr"/>
    </row>
    <row r="6583">
      <c r="A6583" t="inlineStr">
        <is>
          <t>55A²¹</t>
        </is>
      </c>
      <c r="B6583" t="inlineStr"/>
      <c r="C6583" t="inlineStr">
        <is>
          <t>300</t>
        </is>
      </c>
      <c r="D6583" t="inlineStr">
        <is>
          <t>1</t>
        </is>
      </c>
      <c r="E6583" t="inlineStr">
        <is>
          <t>60</t>
        </is>
      </c>
      <c r="F6583" t="inlineStr">
        <is>
          <t>0</t>
        </is>
      </c>
      <c r="G6583" t="inlineStr">
        <is>
          <t>0</t>
        </is>
      </c>
      <c r="H6583" t="inlineStr">
        <is>
          <t>5⁵, 55⁵</t>
        </is>
      </c>
      <c r="I6583" t="n">
        <v>10</v>
      </c>
      <c r="J6583" t="inlineStr">
        <is>
          <t>1², 4², 10¹, 40¹</t>
        </is>
      </c>
      <c r="K6583">
        <f>HYPERLINK("CSG1.html#group11D1", "11D¹"), =HYPERLINK("CSG5.html#group55A5", "55A⁵")</f>
        <v/>
      </c>
      <c r="L6583" t="inlineStr"/>
      <c r="M6583">
        <f>HYPERLINK("CSG0.html#group5A0", "5A⁰"), =HYPERLINK("CSG5.html#group55A5", "55A⁵"), =HYPERLINK("CSG0.html#group1A0", "1A⁰"), =HYPERLINK("CSG1.html#group11A1", "11A¹"), =HYPERLINK("CSG1.html#group11D1", "11D¹")</f>
        <v/>
      </c>
      <c r="N6583" t="inlineStr"/>
    </row>
    <row r="6584">
      <c r="A6584" t="inlineStr">
        <is>
          <t>55B²¹</t>
        </is>
      </c>
      <c r="B6584" t="inlineStr"/>
      <c r="C6584" t="inlineStr">
        <is>
          <t>360</t>
        </is>
      </c>
      <c r="D6584" t="inlineStr">
        <is>
          <t>1</t>
        </is>
      </c>
      <c r="E6584" t="inlineStr">
        <is>
          <t>72</t>
        </is>
      </c>
      <c r="F6584" t="inlineStr">
        <is>
          <t>0</t>
        </is>
      </c>
      <c r="G6584" t="inlineStr">
        <is>
          <t>0</t>
        </is>
      </c>
      <c r="H6584" t="inlineStr">
        <is>
          <t>1⁵, 5⁵, 11⁵, 55⁵</t>
        </is>
      </c>
      <c r="I6584" t="n">
        <v>20</v>
      </c>
      <c r="J6584" t="inlineStr">
        <is>
          <t>1⁴, 4², 10², 40¹</t>
        </is>
      </c>
      <c r="K6584">
        <f>HYPERLINK("CSG1.html#group11D1", "11D¹"), =HYPERLINK("CSG5.html#group55B5", "55B⁵")</f>
        <v/>
      </c>
      <c r="L6584" t="inlineStr"/>
      <c r="M6584">
        <f>HYPERLINK("CSG0.html#group5B0", "5B⁰"), =HYPERLINK("CSG5.html#group55B5", "55B⁵"), =HYPERLINK("CSG0.html#group1A0", "1A⁰"), =HYPERLINK("CSG1.html#group11A1", "11A¹"), =HYPERLINK("CSG1.html#group11D1", "11D¹")</f>
        <v/>
      </c>
      <c r="N6584" t="inlineStr"/>
    </row>
    <row r="6585">
      <c r="A6585" t="inlineStr">
        <is>
          <t>56A²¹</t>
        </is>
      </c>
      <c r="B6585" t="inlineStr"/>
      <c r="C6585" t="inlineStr">
        <is>
          <t>336</t>
        </is>
      </c>
      <c r="D6585" t="inlineStr">
        <is>
          <t>1</t>
        </is>
      </c>
      <c r="E6585" t="inlineStr">
        <is>
          <t>84</t>
        </is>
      </c>
      <c r="F6585" t="inlineStr">
        <is>
          <t>8</t>
        </is>
      </c>
      <c r="G6585" t="inlineStr">
        <is>
          <t>0</t>
        </is>
      </c>
      <c r="H6585" t="inlineStr">
        <is>
          <t>14⁸, 56⁴</t>
        </is>
      </c>
      <c r="I6585" t="n">
        <v>12</v>
      </c>
      <c r="J6585" t="inlineStr">
        <is>
          <t>2³, 6³, 12¹²</t>
        </is>
      </c>
      <c r="K6585">
        <f>HYPERLINK("CSG7.html#group28E7", "28E⁷")</f>
        <v/>
      </c>
      <c r="L6585" t="inlineStr"/>
      <c r="M6585">
        <f>HYPERLINK("CSG7.html#group28E7", "28E⁷"), =HYPERLINK("CSG1.html#group14B1", "14B¹"), =HYPERLINK("CSG0.html#group7F0", "7F⁰"), =HYPERLINK("CSG0.html#group2B0", "2B⁰"), =HYPERLINK("CSG0.html#group1A0", "1A⁰"), =HYPERLINK("CSG2.html#group28B2", "28B²"), =HYPERLINK("CSG0.html#group7A0", "7A⁰"), =HYPERLINK("CSG3.html#group14D3", "14D³")</f>
        <v/>
      </c>
      <c r="N6585" t="inlineStr"/>
    </row>
    <row r="6586">
      <c r="A6586" t="inlineStr">
        <is>
          <t>56B²¹</t>
        </is>
      </c>
      <c r="B6586" t="inlineStr"/>
      <c r="C6586" t="inlineStr">
        <is>
          <t>336</t>
        </is>
      </c>
      <c r="D6586" t="inlineStr">
        <is>
          <t>1</t>
        </is>
      </c>
      <c r="E6586" t="inlineStr">
        <is>
          <t>84</t>
        </is>
      </c>
      <c r="F6586" t="inlineStr">
        <is>
          <t>8</t>
        </is>
      </c>
      <c r="G6586" t="inlineStr">
        <is>
          <t>0</t>
        </is>
      </c>
      <c r="H6586" t="inlineStr">
        <is>
          <t>14⁸, 56⁴</t>
        </is>
      </c>
      <c r="I6586" t="n">
        <v>12</v>
      </c>
      <c r="J6586" t="inlineStr">
        <is>
          <t>2³, 6³, 12¹²</t>
        </is>
      </c>
      <c r="K6586">
        <f>HYPERLINK("CSG7.html#group28E7", "28E⁷")</f>
        <v/>
      </c>
      <c r="L6586" t="inlineStr"/>
      <c r="M6586">
        <f>HYPERLINK("CSG7.html#group28E7", "28E⁷"), =HYPERLINK("CSG1.html#group14B1", "14B¹"), =HYPERLINK("CSG0.html#group7F0", "7F⁰"), =HYPERLINK("CSG0.html#group2B0", "2B⁰"), =HYPERLINK("CSG0.html#group1A0", "1A⁰"), =HYPERLINK("CSG2.html#group28B2", "28B²"), =HYPERLINK("CSG0.html#group7A0", "7A⁰"), =HYPERLINK("CSG3.html#group14D3", "14D³")</f>
        <v/>
      </c>
      <c r="N6586" t="inlineStr"/>
    </row>
    <row r="6587">
      <c r="A6587" t="inlineStr">
        <is>
          <t>56C²¹</t>
        </is>
      </c>
      <c r="B6587" t="inlineStr"/>
      <c r="C6587" t="inlineStr">
        <is>
          <t>336</t>
        </is>
      </c>
      <c r="D6587" t="inlineStr">
        <is>
          <t>1</t>
        </is>
      </c>
      <c r="E6587" t="inlineStr">
        <is>
          <t>84</t>
        </is>
      </c>
      <c r="F6587" t="inlineStr">
        <is>
          <t>16</t>
        </is>
      </c>
      <c r="G6587" t="inlineStr">
        <is>
          <t>0</t>
        </is>
      </c>
      <c r="H6587" t="inlineStr">
        <is>
          <t>28⁴, 56⁴</t>
        </is>
      </c>
      <c r="I6587" t="n">
        <v>8</v>
      </c>
      <c r="J6587" t="inlineStr">
        <is>
          <t>1³, 3³, 6¹²</t>
        </is>
      </c>
      <c r="K6587">
        <f>HYPERLINK("CSG4.html#group56B4", "56B⁴"), =HYPERLINK("CSG9.html#group28B9", "28B⁹")</f>
        <v/>
      </c>
      <c r="L6587" t="inlineStr"/>
      <c r="M6587">
        <f>HYPERLINK("CSG2.html#group28C2", "28C²"), =HYPERLINK("CSG1.html#group14B1", "14B¹"), =HYPERLINK("CSG9.html#group28B9", "28B⁹"), =HYPERLINK("CSG0.html#group4C0", "4C⁰"), =HYPERLINK("CSG0.html#group7F0", "7F⁰"), =HYPERLINK("CSG0.html#group8B0", "8B⁰"), =HYPERLINK("CSG0.html#group2B0", "2B⁰"), =HYPERLINK("CSG3.html#group14D3", "14D³"), =HYPERLINK("CSG0.html#group1A0", "1A⁰"), =HYPERLINK("CSG0.html#group7A0", "7A⁰"), =HYPERLINK("CSG4.html#group56B4", "56B⁴")</f>
        <v/>
      </c>
      <c r="N6587" t="inlineStr"/>
    </row>
    <row r="6588">
      <c r="A6588" t="inlineStr">
        <is>
          <t>56D²¹</t>
        </is>
      </c>
      <c r="B6588" t="inlineStr"/>
      <c r="C6588" t="inlineStr">
        <is>
          <t>336</t>
        </is>
      </c>
      <c r="D6588" t="inlineStr">
        <is>
          <t>1</t>
        </is>
      </c>
      <c r="E6588" t="inlineStr">
        <is>
          <t>84</t>
        </is>
      </c>
      <c r="F6588" t="inlineStr">
        <is>
          <t>16</t>
        </is>
      </c>
      <c r="G6588" t="inlineStr">
        <is>
          <t>0</t>
        </is>
      </c>
      <c r="H6588" t="inlineStr">
        <is>
          <t>28⁴, 56⁴</t>
        </is>
      </c>
      <c r="I6588" t="n">
        <v>8</v>
      </c>
      <c r="J6588" t="inlineStr">
        <is>
          <t>1³, 3³, 6¹²</t>
        </is>
      </c>
      <c r="K6588">
        <f>HYPERLINK("CSG5.html#group56A5", "56A⁵"), =HYPERLINK("CSG9.html#group28B9", "28B⁹")</f>
        <v/>
      </c>
      <c r="L6588" t="inlineStr"/>
      <c r="M6588">
        <f>HYPERLINK("CSG2.html#group28C2", "28C²"), =HYPERLINK("CSG1.html#group14B1", "14B¹"), =HYPERLINK("CSG9.html#group28B9", "28B⁹"), =HYPERLINK("CSG0.html#group4C0", "4C⁰"), =HYPERLINK("CSG0.html#group7F0", "7F⁰"), =HYPERLINK("CSG0.html#group2B0", "2B⁰"), =HYPERLINK("CSG5.html#group56A5", "56A⁵"), =HYPERLINK("CSG0.html#group1A0", "1A⁰"), =HYPERLINK("CSG0.html#group7A0", "7A⁰"), =HYPERLINK("CSG3.html#group14D3", "14D³")</f>
        <v/>
      </c>
      <c r="N6588" t="inlineStr"/>
    </row>
    <row r="6589">
      <c r="A6589" t="inlineStr">
        <is>
          <t>56E²¹</t>
        </is>
      </c>
      <c r="B6589" t="inlineStr"/>
      <c r="C6589" t="inlineStr">
        <is>
          <t>336</t>
        </is>
      </c>
      <c r="D6589" t="inlineStr">
        <is>
          <t>1</t>
        </is>
      </c>
      <c r="E6589" t="inlineStr">
        <is>
          <t>168</t>
        </is>
      </c>
      <c r="F6589" t="inlineStr">
        <is>
          <t>0</t>
        </is>
      </c>
      <c r="G6589" t="inlineStr">
        <is>
          <t>0</t>
        </is>
      </c>
      <c r="H6589" t="inlineStr">
        <is>
          <t>7⁸, 14⁴, 56⁴</t>
        </is>
      </c>
      <c r="I6589" t="n">
        <v>16</v>
      </c>
      <c r="J6589" t="inlineStr">
        <is>
          <t>1⁴, 2¹, 3⁴, 6¹⁷, 12⁴</t>
        </is>
      </c>
      <c r="K6589">
        <f>HYPERLINK("CSG6.html#group56B6", "56B⁶"), =HYPERLINK("CSG9.html#group28A9", "28A⁹")</f>
        <v/>
      </c>
      <c r="L6589" t="inlineStr"/>
      <c r="M6589">
        <f>HYPERLINK("CSG1.html#group14B1", "14B¹"), =HYPERLINK("CSG6.html#group56B6", "56B⁶"), =HYPERLINK("CSG0.html#group7F0", "7F⁰"), =HYPERLINK("CSG3.html#group28A3", "28A³"), =HYPERLINK("CSG0.html#group2B0", "2B⁰"), =HYPERLINK("CSG0.html#group7A0", "7A⁰"), =HYPERLINK("CSG0.html#group4B0", "4B⁰"), =HYPERLINK("CSG0.html#group1A0", "1A⁰"), =HYPERLINK("CSG9.html#group28A9", "28A⁹"), =HYPERLINK("CSG3.html#group14D3", "14D³")</f>
        <v/>
      </c>
      <c r="N6589" t="inlineStr"/>
    </row>
    <row r="6590">
      <c r="A6590" t="inlineStr">
        <is>
          <t>56F²¹</t>
        </is>
      </c>
      <c r="B6590" t="inlineStr"/>
      <c r="C6590" t="inlineStr">
        <is>
          <t>336</t>
        </is>
      </c>
      <c r="D6590" t="inlineStr">
        <is>
          <t>1</t>
        </is>
      </c>
      <c r="E6590" t="inlineStr">
        <is>
          <t>168</t>
        </is>
      </c>
      <c r="F6590" t="inlineStr">
        <is>
          <t>0</t>
        </is>
      </c>
      <c r="G6590" t="inlineStr">
        <is>
          <t>0</t>
        </is>
      </c>
      <c r="H6590" t="inlineStr">
        <is>
          <t>7⁸, 14⁴, 56⁴</t>
        </is>
      </c>
      <c r="I6590" t="n">
        <v>16</v>
      </c>
      <c r="J6590" t="inlineStr">
        <is>
          <t>1⁴, 2¹, 3⁴, 6¹⁷, 12⁴</t>
        </is>
      </c>
      <c r="K6590">
        <f>HYPERLINK("CSG6.html#group56C6", "56C⁶"), =HYPERLINK("CSG9.html#group28A9", "28A⁹")</f>
        <v/>
      </c>
      <c r="L6590" t="inlineStr"/>
      <c r="M6590">
        <f>HYPERLINK("CSG6.html#group56C6", "56C⁶"), =HYPERLINK("CSG1.html#group14B1", "14B¹"), =HYPERLINK("CSG0.html#group7F0", "7F⁰"), =HYPERLINK("CSG3.html#group28A3", "28A³"), =HYPERLINK("CSG0.html#group8C0", "8C⁰"), =HYPERLINK("CSG0.html#group2B0", "2B⁰"), =HYPERLINK("CSG0.html#group7A0", "7A⁰"), =HYPERLINK("CSG0.html#group4B0", "4B⁰"), =HYPERLINK("CSG0.html#group1A0", "1A⁰"), =HYPERLINK("CSG9.html#group28A9", "28A⁹"), =HYPERLINK("CSG3.html#group14D3", "14D³")</f>
        <v/>
      </c>
      <c r="N6590" t="inlineStr"/>
    </row>
    <row r="6591">
      <c r="A6591" t="inlineStr">
        <is>
          <t>56G²¹</t>
        </is>
      </c>
      <c r="B6591" t="inlineStr"/>
      <c r="C6591" t="inlineStr">
        <is>
          <t>336</t>
        </is>
      </c>
      <c r="D6591" t="inlineStr">
        <is>
          <t>1</t>
        </is>
      </c>
      <c r="E6591" t="inlineStr">
        <is>
          <t>168</t>
        </is>
      </c>
      <c r="F6591" t="inlineStr">
        <is>
          <t>8</t>
        </is>
      </c>
      <c r="G6591" t="inlineStr">
        <is>
          <t>0</t>
        </is>
      </c>
      <c r="H6591" t="inlineStr">
        <is>
          <t>14⁸, 56⁴</t>
        </is>
      </c>
      <c r="I6591" t="n">
        <v>12</v>
      </c>
      <c r="J6591" t="inlineStr">
        <is>
          <t>1², 2², 3², 6¹⁰, 12⁸</t>
        </is>
      </c>
      <c r="K6591">
        <f>HYPERLINK("CSG5.html#group56B5", "56B⁵"), =HYPERLINK("CSG9.html#group28B9", "28B⁹")</f>
        <v/>
      </c>
      <c r="L6591" t="inlineStr"/>
      <c r="M6591">
        <f>HYPERLINK("CSG2.html#group28C2", "28C²"), =HYPERLINK("CSG5.html#group56B5", "56B⁵"), =HYPERLINK("CSG1.html#group14B1", "14B¹"), =HYPERLINK("CSG9.html#group28B9", "28B⁹"), =HYPERLINK("CSG0.html#group4C0", "4C⁰"), =HYPERLINK("CSG0.html#group7F0", "7F⁰"), =HYPERLINK("CSG0.html#group2B0", "2B⁰"), =HYPERLINK("CSG0.html#group1A0", "1A⁰"), =HYPERLINK("CSG0.html#group7A0", "7A⁰"), =HYPERLINK("CSG3.html#group14D3", "14D³")</f>
        <v/>
      </c>
      <c r="N6591" t="inlineStr"/>
    </row>
    <row r="6592">
      <c r="A6592" t="inlineStr">
        <is>
          <t>56H²¹</t>
        </is>
      </c>
      <c r="B6592" t="inlineStr"/>
      <c r="C6592" t="inlineStr">
        <is>
          <t>336</t>
        </is>
      </c>
      <c r="D6592" t="inlineStr">
        <is>
          <t>1</t>
        </is>
      </c>
      <c r="E6592" t="inlineStr">
        <is>
          <t>168</t>
        </is>
      </c>
      <c r="F6592" t="inlineStr">
        <is>
          <t>8</t>
        </is>
      </c>
      <c r="G6592" t="inlineStr">
        <is>
          <t>0</t>
        </is>
      </c>
      <c r="H6592" t="inlineStr">
        <is>
          <t>14⁸, 56⁴</t>
        </is>
      </c>
      <c r="I6592" t="n">
        <v>12</v>
      </c>
      <c r="J6592" t="inlineStr">
        <is>
          <t>1², 2², 3², 6¹⁰, 12⁸</t>
        </is>
      </c>
      <c r="K6592">
        <f>HYPERLINK("CSG5.html#group56C5", "56C⁵"), =HYPERLINK("CSG9.html#group28B9", "28B⁹")</f>
        <v/>
      </c>
      <c r="L6592" t="inlineStr"/>
      <c r="M6592">
        <f>HYPERLINK("CSG2.html#group28C2", "28C²"), =HYPERLINK("CSG5.html#group56C5", "56C⁵"), =HYPERLINK("CSG1.html#group14B1", "14B¹"), =HYPERLINK("CSG9.html#group28B9", "28B⁹"), =HYPERLINK("CSG0.html#group8D0", "8D⁰"), =HYPERLINK("CSG0.html#group4C0", "4C⁰"), =HYPERLINK("CSG0.html#group7F0", "7F⁰"), =HYPERLINK("CSG0.html#group2B0", "2B⁰"), =HYPERLINK("CSG0.html#group1A0", "1A⁰"), =HYPERLINK("CSG0.html#group7A0", "7A⁰"), =HYPERLINK("CSG3.html#group14D3", "14D³")</f>
        <v/>
      </c>
      <c r="N6592" t="inlineStr"/>
    </row>
    <row r="6593">
      <c r="A6593" t="inlineStr">
        <is>
          <t>56I²¹</t>
        </is>
      </c>
      <c r="B6593" t="inlineStr"/>
      <c r="C6593" t="inlineStr">
        <is>
          <t>336</t>
        </is>
      </c>
      <c r="D6593" t="inlineStr">
        <is>
          <t>1</t>
        </is>
      </c>
      <c r="E6593" t="inlineStr">
        <is>
          <t>336</t>
        </is>
      </c>
      <c r="F6593" t="inlineStr">
        <is>
          <t>20</t>
        </is>
      </c>
      <c r="G6593" t="inlineStr">
        <is>
          <t>0</t>
        </is>
      </c>
      <c r="H6593" t="inlineStr">
        <is>
          <t>56⁶</t>
        </is>
      </c>
      <c r="I6593" t="n">
        <v>6</v>
      </c>
      <c r="J6593" t="inlineStr">
        <is>
          <t>12⁴, 24¹²</t>
        </is>
      </c>
      <c r="K6593">
        <f>HYPERLINK("CSG4.html#group28B4", "28B⁴"), =HYPERLINK("CSG6.html#group56H6", "56H⁶")</f>
        <v/>
      </c>
      <c r="L6593" t="inlineStr"/>
      <c r="M6593">
        <f>HYPERLINK("CSG0.html#group8F0", "8F⁰"), =HYPERLINK("CSG0.html#group7D0", "7D⁰"), =HYPERLINK("CSG0.html#group4A0", "4A⁰"), =HYPERLINK("CSG6.html#group56H6", "56H⁶"), =HYPERLINK("CSG4.html#group28B4", "28B⁴"), =HYPERLINK("CSG1.html#group28A1", "28A¹"), =HYPERLINK("CSG0.html#group1A0", "1A⁰"), =HYPERLINK("CSG0.html#group7A0", "7A⁰")</f>
        <v/>
      </c>
      <c r="N6593" t="inlineStr"/>
    </row>
    <row r="6594">
      <c r="A6594" t="inlineStr">
        <is>
          <t>56J²¹</t>
        </is>
      </c>
      <c r="B6594" t="inlineStr"/>
      <c r="C6594" t="inlineStr">
        <is>
          <t>336</t>
        </is>
      </c>
      <c r="D6594" t="inlineStr">
        <is>
          <t>2</t>
        </is>
      </c>
      <c r="E6594" t="inlineStr">
        <is>
          <t>42</t>
        </is>
      </c>
      <c r="F6594" t="inlineStr">
        <is>
          <t>16</t>
        </is>
      </c>
      <c r="G6594" t="inlineStr">
        <is>
          <t>0</t>
        </is>
      </c>
      <c r="H6594" t="inlineStr">
        <is>
          <t>28⁴, 56⁴</t>
        </is>
      </c>
      <c r="I6594" t="n">
        <v>8</v>
      </c>
      <c r="J6594" t="inlineStr">
        <is>
          <t>2², 4², 6⁴, 12⁴</t>
        </is>
      </c>
      <c r="K6594">
        <f>HYPERLINK("CSG9.html#group56B9", "56B⁹"), =HYPERLINK("CSG10.html#group28A10", "28A¹⁰"), =HYPERLINK("CSG10.html#group56A10", "56A¹⁰"), =HYPERLINK("CSG10.html#group56B10", "56B¹⁰"), =HYPERLINK("CSG10.html#group56C10", "56C¹⁰"), =HYPERLINK("CSG11.html#group56E11", "56E¹¹"), =HYPERLINK("CSG11.html#group56D11", "56D¹¹")</f>
        <v/>
      </c>
      <c r="L6594" t="inlineStr"/>
      <c r="M6594">
        <f>HYPERLINK("CSG5.html#group56B5", "56B⁵"), =HYPERLINK("CSG0.html#group14A0", "14A⁰"), =HYPERLINK("CSG5.html#group56C5", "56C⁵"), =HYPERLINK("CSG2.html#group28E2", "28E²"), =HYPERLINK("CSG10.html#group56B10", "56B¹⁰"), =HYPERLINK("CSG1.html#group14B1", "14B¹"), =HYPERLINK("CSG0.html#group8D0", "8D⁰"), =HYPERLINK("CSG4.html#group28C4", "28C⁴"), =HYPERLINK("CSG0.html#group4C0", "4C⁰"), =HYPERLINK("CSG2.html#group14C2", "14C²"), =HYPERLINK("CSG0.html#group8B0", "8B⁰"), =HYPERLINK("CSG5.html#group28C5", "28C⁵"), =HYPERLINK("CSG0.html#group2B0", "2B⁰"), =HYPERLINK("CSG9.html#group56B9", "56B⁹"), =HYPERLINK("CSG0.html#group1A0", "1A⁰"), =HYPERLINK("CSG10.html#group56A10", "56A¹⁰"), =HYPERLINK("CSG10.html#group28A10", "28A¹⁰"), =HYPERLINK("CSG10.html#group56C10", "56C¹⁰"), =HYPERLINK("CSG0.html#group8H0", "8H⁰"), =HYPERLINK("CSG2.html#group28C2", "28C²"), =HYPERLINK("CSG11.html#group56E11", "56E¹¹"), =HYPERLINK("CSG0.html#group4A0", "4A⁰"), =HYPERLINK("CSG5.html#group28D5", "28D⁵"), =HYPERLINK("CSG11.html#group56D11", "56D¹¹"), =HYPERLINK("CSG0.html#group4F0", "4F⁰"), =HYPERLINK("CSG5.html#group56A5", "56A⁵"), =HYPERLINK("CSG1.html#group28A1", "28A¹"), =HYPERLINK("CSG2.html#group28B2", "28B²"), =HYPERLINK("CSG0.html#group7A0", "7A⁰"), =HYPERLINK("CSG4.html#group56B4", "56B⁴")</f>
        <v/>
      </c>
      <c r="N6594" t="inlineStr"/>
    </row>
    <row r="6595">
      <c r="A6595" t="inlineStr">
        <is>
          <t>56K²¹</t>
        </is>
      </c>
      <c r="B6595" t="inlineStr"/>
      <c r="C6595" t="inlineStr">
        <is>
          <t>336</t>
        </is>
      </c>
      <c r="D6595" t="inlineStr">
        <is>
          <t>2</t>
        </is>
      </c>
      <c r="E6595" t="inlineStr">
        <is>
          <t>84</t>
        </is>
      </c>
      <c r="F6595" t="inlineStr">
        <is>
          <t>16</t>
        </is>
      </c>
      <c r="G6595" t="inlineStr">
        <is>
          <t>0</t>
        </is>
      </c>
      <c r="H6595" t="inlineStr">
        <is>
          <t>28⁴, 56⁴</t>
        </is>
      </c>
      <c r="I6595" t="n">
        <v>8</v>
      </c>
      <c r="J6595" t="inlineStr">
        <is>
          <t>2⁴, 4², 6⁸, 8¹, 12⁴, 24²</t>
        </is>
      </c>
      <c r="K6595">
        <f>HYPERLINK("CSG9.html#group56B9", "56B⁹"), =HYPERLINK("CSG10.html#group56D10", "56D¹⁰"), =HYPERLINK("CSG10.html#group56E10", "56E¹⁰")</f>
        <v/>
      </c>
      <c r="L6595" t="inlineStr"/>
      <c r="M6595">
        <f>HYPERLINK("CSG0.html#group14A0", "14A⁰"), =HYPERLINK("CSG10.html#group56E10", "56E¹⁰"), =HYPERLINK("CSG4.html#group28C4", "28C⁴"), =HYPERLINK("CSG1.html#group14B1", "14B¹"), =HYPERLINK("CSG2.html#group14C2", "14C²"), =HYPERLINK("CSG0.html#group4C0", "4C⁰"), =HYPERLINK("CSG0.html#group8B0", "8B⁰"), =HYPERLINK("CSG0.html#group8L0", "8L⁰"), =HYPERLINK("CSG0.html#group2B0", "2B⁰"), =HYPERLINK("CSG10.html#group56D10", "56D¹⁰"), =HYPERLINK("CSG9.html#group56B9", "56B⁹"), =HYPERLINK("CSG0.html#group1A0", "1A⁰"), =HYPERLINK("CSG2.html#group28C2", "28C²"), =HYPERLINK("CSG5.html#group56A5", "56A⁵"), =HYPERLINK("CSG2.html#group28B2", "28B²"), =HYPERLINK("CSG0.html#group7A0", "7A⁰"), =HYPERLINK("CSG4.html#group56B4", "56B⁴")</f>
        <v/>
      </c>
      <c r="N6595" t="inlineStr"/>
    </row>
    <row r="6596">
      <c r="A6596" t="inlineStr">
        <is>
          <t>56L²¹</t>
        </is>
      </c>
      <c r="B6596" t="inlineStr"/>
      <c r="C6596" t="inlineStr">
        <is>
          <t>384</t>
        </is>
      </c>
      <c r="D6596" t="inlineStr">
        <is>
          <t>1</t>
        </is>
      </c>
      <c r="E6596" t="inlineStr">
        <is>
          <t>24</t>
        </is>
      </c>
      <c r="F6596" t="inlineStr">
        <is>
          <t>0</t>
        </is>
      </c>
      <c r="G6596" t="inlineStr">
        <is>
          <t>0</t>
        </is>
      </c>
      <c r="H6596" t="inlineStr">
        <is>
          <t>2⁸, 8⁴, 14⁸, 56⁴</t>
        </is>
      </c>
      <c r="I6596" t="n">
        <v>24</v>
      </c>
      <c r="J6596" t="inlineStr">
        <is>
          <t>1⁶, 6³</t>
        </is>
      </c>
      <c r="K6596">
        <f>HYPERLINK("CSG9.html#group28F9", "28F⁹"), =HYPERLINK("CSG9.html#group56C9", "56C⁹"), =HYPERLINK("CSG11.html#group56L11", "56L¹¹"), =HYPERLINK("CSG11.html#group56M11", "56M¹¹"), =HYPERLINK("CSG11.html#group56N11", "56N¹¹")</f>
        <v/>
      </c>
      <c r="L6596" t="inlineStr"/>
      <c r="M6596">
        <f>HYPERLINK("CSG0.html#group2A0", "2A⁰"), =HYPERLINK("CSG0.html#group8D0", "8D⁰"), =HYPERLINK("CSG2.html#group28D2", "28D²"), =HYPERLINK("CSG0.html#group4C0", "4C⁰"), =HYPERLINK("CSG11.html#group56L11", "56L¹¹"), =HYPERLINK("CSG0.html#group2B0", "2B⁰"), =HYPERLINK("CSG0.html#group4E0", "4E⁰"), =HYPERLINK("CSG9.html#group56C9", "56C⁹"), =HYPERLINK("CSG2.html#group14E2", "14E²"), =HYPERLINK("CSG0.html#group4B0", "4B⁰"), =HYPERLINK("CSG0.html#group8C0", "8C⁰"), =HYPERLINK("CSG0.html#group1A0", "1A⁰"), =HYPERLINK("CSG5.html#group56D5", "56D⁵"), =HYPERLINK("CSG4.html#group28D4", "28D⁴"), =HYPERLINK("CSG11.html#group56M11", "56M¹¹"), =HYPERLINK("CSG4.html#group28E4", "28E⁴"), =HYPERLINK("CSG5.html#group28E5", "28E⁵"), =HYPERLINK("CSG4.html#group56C4", "56C⁴"), =HYPERLINK("CSG6.html#group56D6", "56D⁶"), =HYPERLINK("CSG9.html#group28F9", "28F⁹"), =HYPERLINK("CSG0.html#group8G0", "8G⁰"), =HYPERLINK("CSG0.html#group7B0", "7B⁰"), =HYPERLINK("CSG1.html#group14C1", "14C¹"), =HYPERLINK("CSG0.html#group14B0", "14B⁰"), =HYPERLINK("CSG3.html#group28C3", "28C³"), =HYPERLINK("CSG11.html#group56N11", "56N¹¹"), =HYPERLINK("CSG6.html#group56E6", "56E⁶"), =HYPERLINK("CSG0.html#group2C0", "2C⁰")</f>
        <v/>
      </c>
      <c r="N6596" t="inlineStr"/>
    </row>
    <row r="6597">
      <c r="A6597" t="inlineStr">
        <is>
          <t>56M²¹</t>
        </is>
      </c>
      <c r="B6597" t="inlineStr"/>
      <c r="C6597" t="inlineStr">
        <is>
          <t>384</t>
        </is>
      </c>
      <c r="D6597" t="inlineStr">
        <is>
          <t>1</t>
        </is>
      </c>
      <c r="E6597" t="inlineStr">
        <is>
          <t>96</t>
        </is>
      </c>
      <c r="F6597" t="inlineStr">
        <is>
          <t>0</t>
        </is>
      </c>
      <c r="G6597" t="inlineStr">
        <is>
          <t>0</t>
        </is>
      </c>
      <c r="H6597" t="inlineStr">
        <is>
          <t>1⁴, 2², 4², 7⁴, 8⁴, 14², 28², 56⁴</t>
        </is>
      </c>
      <c r="I6597" t="n">
        <v>24</v>
      </c>
      <c r="J6597" t="inlineStr">
        <is>
          <t>1⁸, 2⁴, 4², 6⁴, 12², 24¹</t>
        </is>
      </c>
      <c r="K6597">
        <f>HYPERLINK("CSG9.html#group56C9", "56C⁹"), =HYPERLINK("CSG11.html#group56O11", "56O¹¹"), =HYPERLINK("CSG11.html#group56P11", "56P¹¹")</f>
        <v/>
      </c>
      <c r="L6597" t="inlineStr"/>
      <c r="M6597">
        <f>HYPERLINK("CSG4.html#group28E4", "28E⁴"), =HYPERLINK("CSG4.html#group56C4", "56C⁴"), =HYPERLINK("CSG0.html#group4B0", "4B⁰"), =HYPERLINK("CSG0.html#group7B0", "7B⁰"), =HYPERLINK("CSG2.html#group28D2", "28D²"), =HYPERLINK("CSG1.html#group14C1", "14C¹"), =HYPERLINK("CSG11.html#group56O11", "56O¹¹"), =HYPERLINK("CSG0.html#group8C0", "8C⁰"), =HYPERLINK("CSG0.html#group2B0", "2B⁰"), =HYPERLINK("CSG9.html#group56C9", "56C⁹"), =HYPERLINK("CSG0.html#group8I0", "8I⁰"), =HYPERLINK("CSG11.html#group56P11", "56P¹¹"), =HYPERLINK("CSG5.html#group56D5", "56D⁵"), =HYPERLINK("CSG0.html#group1A0", "1A⁰")</f>
        <v/>
      </c>
      <c r="N6597" t="inlineStr"/>
    </row>
    <row r="6598">
      <c r="A6598" t="inlineStr">
        <is>
          <t>56N²¹</t>
        </is>
      </c>
      <c r="B6598" t="inlineStr"/>
      <c r="C6598" t="inlineStr">
        <is>
          <t>384</t>
        </is>
      </c>
      <c r="D6598" t="inlineStr">
        <is>
          <t>1</t>
        </is>
      </c>
      <c r="E6598" t="inlineStr">
        <is>
          <t>96</t>
        </is>
      </c>
      <c r="F6598" t="inlineStr">
        <is>
          <t>0</t>
        </is>
      </c>
      <c r="G6598" t="inlineStr">
        <is>
          <t>0</t>
        </is>
      </c>
      <c r="H6598" t="inlineStr">
        <is>
          <t>2⁴, 4⁶, 8², 14⁴, 28⁶, 56²</t>
        </is>
      </c>
      <c r="I6598" t="n">
        <v>24</v>
      </c>
      <c r="J6598" t="inlineStr">
        <is>
          <t>1¹⁶, 2⁴, 6⁸, 12²</t>
        </is>
      </c>
      <c r="K6598">
        <f>HYPERLINK("CSG9.html#group28F9", "28F⁹"), =HYPERLINK("CSG11.html#group56Q11", "56Q¹¹"), =HYPERLINK("CSG11.html#group56R11", "56R¹¹")</f>
        <v/>
      </c>
      <c r="L6598" t="inlineStr"/>
      <c r="M6598">
        <f>HYPERLINK("CSG0.html#group2A0", "2A⁰"), =HYPERLINK("CSG2.html#group28D2", "28D²"), =HYPERLINK("CSG0.html#group4C0", "4C⁰"), =HYPERLINK("CSG0.html#group2B0", "2B⁰"), =HYPERLINK("CSG0.html#group4E0", "4E⁰"), =HYPERLINK("CSG2.html#group14E2", "14E²"), =HYPERLINK("CSG0.html#group4B0", "4B⁰"), =HYPERLINK("CSG0.html#group1A0", "1A⁰"), =HYPERLINK("CSG4.html#group28D4", "28D⁴"), =HYPERLINK("CSG11.html#group56Q11", "56Q¹¹"), =HYPERLINK("CSG4.html#group28E4", "28E⁴"), =HYPERLINK("CSG5.html#group28E5", "28E⁵"), =HYPERLINK("CSG9.html#group28F9", "28F⁹"), =HYPERLINK("CSG0.html#group7B0", "7B⁰"), =HYPERLINK("CSG1.html#group14C1", "14C¹"), =HYPERLINK("CSG0.html#group14B0", "14B⁰"), =HYPERLINK("CSG11.html#group56R11", "56R¹¹"), =HYPERLINK("CSG3.html#group28C3", "28C³"), =HYPERLINK("CSG0.html#group8J0", "8J⁰"), =HYPERLINK("CSG0.html#group2C0", "2C⁰")</f>
        <v/>
      </c>
      <c r="N6598" t="inlineStr"/>
    </row>
    <row r="6599">
      <c r="A6599" t="inlineStr">
        <is>
          <t>60A²¹</t>
        </is>
      </c>
      <c r="B6599" t="inlineStr"/>
      <c r="C6599" t="inlineStr">
        <is>
          <t>288</t>
        </is>
      </c>
      <c r="D6599" t="inlineStr">
        <is>
          <t>1</t>
        </is>
      </c>
      <c r="E6599" t="inlineStr">
        <is>
          <t>6</t>
        </is>
      </c>
      <c r="F6599" t="inlineStr">
        <is>
          <t>0</t>
        </is>
      </c>
      <c r="G6599" t="inlineStr">
        <is>
          <t>0</t>
        </is>
      </c>
      <c r="H6599" t="inlineStr">
        <is>
          <t>12⁴, 60⁴</t>
        </is>
      </c>
      <c r="I6599" t="n">
        <v>8</v>
      </c>
      <c r="J6599" t="inlineStr">
        <is>
          <t>1², 4¹</t>
        </is>
      </c>
      <c r="K6599">
        <f>HYPERLINK("CSG7.html#group60D7", "60D⁷"), =HYPERLINK("CSG9.html#group30H9", "30H⁹"), =HYPERLINK("CSG9.html#group60E9", "60E⁹")</f>
        <v/>
      </c>
      <c r="L6599" t="inlineStr"/>
      <c r="M6599">
        <f>HYPERLINK("CSG0.html#group2A0", "2A⁰"), =HYPERLINK("CSG0.html#group5B0", "5B⁰"), =HYPERLINK("CSG1.html#group10A1", "10A¹"), =HYPERLINK("CSG3.html#group30G3", "30G³"), =HYPERLINK("CSG0.html#group1A0", "1A⁰"), =HYPERLINK("CSG9.html#group60E9", "60E⁹"), =HYPERLINK("CSG3.html#group30B3", "30B³"), =HYPERLINK("CSG1.html#group6B1", "6B¹"), =HYPERLINK("CSG0.html#group3C0", "3C⁰"), =HYPERLINK("CSG1.html#group6A1", "6A¹"), =HYPERLINK("CSG9.html#group30H9", "30H⁹"), =HYPERLINK("CSG0.html#group3A0", "3A⁰"), =HYPERLINK("CSG0.html#group3B0", "3B⁰"), =HYPERLINK("CSG0.html#group6B0", "6B⁰"), =HYPERLINK("CSG3.html#group30I3", "30I³"), =HYPERLINK("CSG1.html#group30C1", "30C¹"), =HYPERLINK("CSG0.html#group6C0", "6C⁰"), =HYPERLINK("CSG7.html#group60D7", "60D⁷"), =HYPERLINK("CSG5.html#group30H5", "30H⁵"), =HYPERLINK("CSG1.html#group15C1", "15C¹"), =HYPERLINK("CSG0.html#group15B0", "15B⁰"), =HYPERLINK("CSG1.html#group6D1", "6D¹"), =HYPERLINK("CSG0.html#group6E0", "6E⁰"), =HYPERLINK("CSG3.html#group15E3", "15E³"), =HYPERLINK("CSG0.html#group3D0", "3D⁰"), =HYPERLINK("CSG1.html#group15E1", "15E¹")</f>
        <v/>
      </c>
      <c r="N6599" t="inlineStr"/>
    </row>
    <row r="6600">
      <c r="A6600" t="inlineStr">
        <is>
          <t>60B²¹</t>
        </is>
      </c>
      <c r="B6600" t="inlineStr"/>
      <c r="C6600" t="inlineStr">
        <is>
          <t>288</t>
        </is>
      </c>
      <c r="D6600" t="inlineStr">
        <is>
          <t>1</t>
        </is>
      </c>
      <c r="E6600" t="inlineStr">
        <is>
          <t>6</t>
        </is>
      </c>
      <c r="F6600" t="inlineStr">
        <is>
          <t>0</t>
        </is>
      </c>
      <c r="G6600" t="inlineStr">
        <is>
          <t>0</t>
        </is>
      </c>
      <c r="H6600" t="inlineStr">
        <is>
          <t>12⁴, 60⁴</t>
        </is>
      </c>
      <c r="I6600" t="n">
        <v>8</v>
      </c>
      <c r="J6600" t="inlineStr">
        <is>
          <t>1², 4¹</t>
        </is>
      </c>
      <c r="K6600">
        <f>HYPERLINK("CSG3.html#group12A3", "12A³"), =HYPERLINK("CSG7.html#group60E7", "60E⁷"), =HYPERLINK("CSG9.html#group30H9", "30H⁹"), =HYPERLINK("CSG9.html#group60F9", "60F⁹")</f>
        <v/>
      </c>
      <c r="L6600" t="inlineStr"/>
      <c r="M6600">
        <f>HYPERLINK("CSG0.html#group2A0", "2A⁰"), =HYPERLINK("CSG1.html#group12D1", "12D¹"), =HYPERLINK("CSG0.html#group5B0", "5B⁰"), =HYPERLINK("CSG1.html#group10A1", "10A¹"), =HYPERLINK("CSG3.html#group30G3", "30G³"), =HYPERLINK("CSG0.html#group1A0", "1A⁰"), =HYPERLINK("CSG3.html#group30B3", "30B³"), =HYPERLINK("CSG7.html#group60E7", "60E⁷"), =HYPERLINK("CSG1.html#group6B1", "6B¹"), =HYPERLINK("CSG0.html#group3C0", "3C⁰"), =HYPERLINK("CSG1.html#group6A1", "6A¹"), =HYPERLINK("CSG9.html#group30H9", "30H⁹"), =HYPERLINK("CSG0.html#group3A0", "3A⁰"), =HYPERLINK("CSG0.html#group3B0", "3B⁰"), =HYPERLINK("CSG0.html#group6B0", "6B⁰"), =HYPERLINK("CSG3.html#group30I3", "30I³"), =HYPERLINK("CSG3.html#group12A3", "12A³"), =HYPERLINK("CSG1.html#group30C1", "30C¹"), =HYPERLINK("CSG0.html#group6C0", "6C⁰"), =HYPERLINK("CSG9.html#group60F9", "60F⁹"), =HYPERLINK("CSG5.html#group30H5", "30H⁵"), =HYPERLINK("CSG1.html#group15C1", "15C¹"), =HYPERLINK("CSG0.html#group15B0", "15B⁰"), =HYPERLINK("CSG1.html#group6D1", "6D¹"), =HYPERLINK("CSG0.html#group6E0", "6E⁰"), =HYPERLINK("CSG3.html#group15E3", "15E³"), =HYPERLINK("CSG0.html#group3D0", "3D⁰"), =HYPERLINK("CSG1.html#group15E1", "15E¹"), =HYPERLINK("CSG0.html#group12B0", "12B⁰")</f>
        <v/>
      </c>
      <c r="N6600" t="inlineStr"/>
    </row>
    <row r="6601">
      <c r="A6601" t="inlineStr">
        <is>
          <t>60C²¹</t>
        </is>
      </c>
      <c r="B6601" t="inlineStr"/>
      <c r="C6601" t="inlineStr">
        <is>
          <t>288</t>
        </is>
      </c>
      <c r="D6601" t="inlineStr">
        <is>
          <t>1</t>
        </is>
      </c>
      <c r="E6601" t="inlineStr">
        <is>
          <t>18</t>
        </is>
      </c>
      <c r="F6601" t="inlineStr">
        <is>
          <t>0</t>
        </is>
      </c>
      <c r="G6601" t="inlineStr">
        <is>
          <t>0</t>
        </is>
      </c>
      <c r="H6601" t="inlineStr">
        <is>
          <t>12⁴, 60⁴</t>
        </is>
      </c>
      <c r="I6601" t="n">
        <v>8</v>
      </c>
      <c r="J6601" t="inlineStr">
        <is>
          <t>1², 2², 4¹, 8¹</t>
        </is>
      </c>
      <c r="K6601">
        <f>HYPERLINK("CSG7.html#group60M7", "60M⁷"), =HYPERLINK("CSG7.html#group60N7", "60N⁷"), =HYPERLINK("CSG9.html#group30K9", "30K⁹"), =HYPERLINK("CSG9.html#group60K9", "60K⁹"), =HYPERLINK("CSG11.html#group60C11", "60C¹¹")</f>
        <v/>
      </c>
      <c r="L6601" t="inlineStr"/>
      <c r="M6601">
        <f>HYPERLINK("CSG0.html#group30A0", "30A⁰"), =HYPERLINK("CSG0.html#group2A0", "2A⁰"), =HYPERLINK("CSG5.html#group30C5", "30C⁵"), =HYPERLINK("CSG11.html#group60C11", "60C¹¹"), =HYPERLINK("CSG3.html#group30J3", "30J³"), =HYPERLINK("CSG0.html#group5B0", "5B⁰"), =HYPERLINK("CSG0.html#group5D0", "5D⁰"), =HYPERLINK("CSG1.html#group10A1", "10A¹"), =HYPERLINK("CSG5.html#group30G5", "30G⁵"), =HYPERLINK("CSG3.html#group60D3", "60D³"), =HYPERLINK("CSG1.html#group10D1", "10D¹"), =HYPERLINK("CSG0.html#group1A0", "1A⁰"), =HYPERLINK("CSG5.html#group30F5", "30F⁵"), =HYPERLINK("CSG3.html#group30B3", "30B³"), =HYPERLINK("CSG1.html#group30D1", "30D¹"), =HYPERLINK("CSG9.html#group60K9", "60K⁹"), =HYPERLINK("CSG1.html#group6B1", "6B¹"), =HYPERLINK("CSG9.html#group30K9", "30K⁹"), =HYPERLINK("CSG2.html#group15B2", "15B²"), =HYPERLINK("CSG0.html#group3C0", "3C⁰"), =HYPERLINK("CSG1.html#group6A1", "6A¹"), =HYPERLINK("CSG0.html#group3A0", "3A⁰"), =HYPERLINK("CSG0.html#group15C0", "15C⁰"), =HYPERLINK("CSG0.html#group6B0", "6B⁰"), =HYPERLINK("CSG1.html#group30C1", "30C¹"), =HYPERLINK("CSG3.html#group15F3", "15F³"), =HYPERLINK("CSG7.html#group60N7", "60N⁷"), =HYPERLINK("CSG7.html#group60M7", "60M⁷"), =HYPERLINK("CSG0.html#group10B0", "10B⁰"), =HYPERLINK("CSG5.html#group30H5", "30H⁵"), =HYPERLINK("CSG0.html#group15B0", "15B⁰"), =HYPERLINK("CSG1.html#group15E1", "15E¹"), =HYPERLINK("CSG2.html#group30C2", "30C²")</f>
        <v/>
      </c>
      <c r="N6601" t="inlineStr"/>
    </row>
    <row r="6602">
      <c r="A6602" t="inlineStr">
        <is>
          <t>60D²¹</t>
        </is>
      </c>
      <c r="B6602" t="inlineStr"/>
      <c r="C6602" t="inlineStr">
        <is>
          <t>288</t>
        </is>
      </c>
      <c r="D6602" t="inlineStr">
        <is>
          <t>1</t>
        </is>
      </c>
      <c r="E6602" t="inlineStr">
        <is>
          <t>18</t>
        </is>
      </c>
      <c r="F6602" t="inlineStr">
        <is>
          <t>0</t>
        </is>
      </c>
      <c r="G6602" t="inlineStr">
        <is>
          <t>0</t>
        </is>
      </c>
      <c r="H6602" t="inlineStr">
        <is>
          <t>12⁴, 60⁴</t>
        </is>
      </c>
      <c r="I6602" t="n">
        <v>8</v>
      </c>
      <c r="J6602" t="inlineStr">
        <is>
          <t>1², 2², 4¹, 8¹</t>
        </is>
      </c>
      <c r="K6602">
        <f>HYPERLINK("CSG7.html#group60S7", "60S⁷"), =HYPERLINK("CSG9.html#group30K9", "30K⁹"), =HYPERLINK("CSG9.html#group60L9", "60L⁹"), =HYPERLINK("CSG11.html#group60A11", "60A¹¹"), =HYPERLINK("CSG11.html#group60C11", "60C¹¹")</f>
        <v/>
      </c>
      <c r="L6602" t="inlineStr"/>
      <c r="M6602">
        <f>HYPERLINK("CSG0.html#group30A0", "30A⁰"), =HYPERLINK("CSG0.html#group2A0", "2A⁰"), =HYPERLINK("CSG5.html#group30C5", "30C⁵"), =HYPERLINK("CSG1.html#group20C1", "20C¹"), =HYPERLINK("CSG11.html#group60C11", "60C¹¹"), =HYPERLINK("CSG9.html#group60L9", "60L⁹"), =HYPERLINK("CSG11.html#group60A11", "60A¹¹"), =HYPERLINK("CSG3.html#group30J3", "30J³"), =HYPERLINK("CSG0.html#group5B0", "5B⁰"), =HYPERLINK("CSG0.html#group5D0", "5D⁰"), =HYPERLINK("CSG1.html#group10A1", "10A¹"), =HYPERLINK("CSG5.html#group30G5", "30G⁵"), =HYPERLINK("CSG3.html#group60D3", "60D³"), =HYPERLINK("CSG1.html#group10D1", "10D¹"), =HYPERLINK("CSG0.html#group1A0", "1A⁰"), =HYPERLINK("CSG5.html#group30F5", "30F⁵"), =HYPERLINK("CSG3.html#group30B3", "30B³"), =HYPERLINK("CSG3.html#group20A3", "20A³"), =HYPERLINK("CSG1.html#group30D1", "30D¹"), =HYPERLINK("CSG3.html#group60C3", "60C³"), =HYPERLINK("CSG1.html#group6B1", "6B¹"), =HYPERLINK("CSG9.html#group30K9", "30K⁹"), =HYPERLINK("CSG2.html#group15B2", "15B²"), =HYPERLINK("CSG0.html#group3C0", "3C⁰"), =HYPERLINK("CSG1.html#group6A1", "6A¹"), =HYPERLINK("CSG0.html#group3A0", "3A⁰"), =HYPERLINK("CSG0.html#group15C0", "15C⁰"), =HYPERLINK("CSG0.html#group6B0", "6B⁰"), =HYPERLINK("CSG1.html#group30C1", "30C¹"), =HYPERLINK("CSG3.html#group15F3", "15F³"), =HYPERLINK("CSG7.html#group60S7", "60S⁷"), =HYPERLINK("CSG0.html#group10B0", "10B⁰"), =HYPERLINK("CSG5.html#group30H5", "30H⁵"), =HYPERLINK("CSG0.html#group15B0", "15B⁰"), =HYPERLINK("CSG1.html#group15E1", "15E¹"), =HYPERLINK("CSG2.html#group30C2", "30C²")</f>
        <v/>
      </c>
      <c r="N6602" t="inlineStr"/>
    </row>
    <row r="6603">
      <c r="A6603" t="inlineStr">
        <is>
          <t>60E²¹</t>
        </is>
      </c>
      <c r="B6603" t="inlineStr"/>
      <c r="C6603" t="inlineStr">
        <is>
          <t>288</t>
        </is>
      </c>
      <c r="D6603" t="inlineStr">
        <is>
          <t>1</t>
        </is>
      </c>
      <c r="E6603" t="inlineStr">
        <is>
          <t>24</t>
        </is>
      </c>
      <c r="F6603" t="inlineStr">
        <is>
          <t>0</t>
        </is>
      </c>
      <c r="G6603" t="inlineStr">
        <is>
          <t>0</t>
        </is>
      </c>
      <c r="H6603" t="inlineStr">
        <is>
          <t>12⁴, 60⁴</t>
        </is>
      </c>
      <c r="I6603" t="n">
        <v>8</v>
      </c>
      <c r="J6603" t="inlineStr">
        <is>
          <t>2⁴, 8²</t>
        </is>
      </c>
      <c r="K6603">
        <f>HYPERLINK("CSG3.html#group12B3", "12B³"), =HYPERLINK("CSG3.html#group15E3", "15E³"), =HYPERLINK("CSG7.html#group60F7", "60F⁷"), =HYPERLINK("CSG9.html#group60J9", "60J⁹")</f>
        <v/>
      </c>
      <c r="L6603" t="inlineStr"/>
      <c r="M6603">
        <f>HYPERLINK("CSG1.html#group12G1", "12G¹"), =HYPERLINK("CSG0.html#group3B0", "3B⁰"), =HYPERLINK("CSG3.html#group12B3", "12B³"), =HYPERLINK("CSG9.html#group60J9", "60J⁹"), =HYPERLINK("CSG0.html#group5B0", "5B⁰"), =HYPERLINK("CSG0.html#group1A0", "1A⁰"), =HYPERLINK("CSG1.html#group20B1", "20B¹"), =HYPERLINK("CSG1.html#group15C1", "15C¹"), =HYPERLINK("CSG0.html#group15B0", "15B⁰"), =HYPERLINK("CSG0.html#group12A0", "12A⁰"), =HYPERLINK("CSG3.html#group15E3", "15E³"), =HYPERLINK("CSG7.html#group60F7", "60F⁷"), =HYPERLINK("CSG0.html#group4A0", "4A⁰"), =HYPERLINK("CSG1.html#group12A1", "12A¹"), =HYPERLINK("CSG0.html#group3C0", "3C⁰"), =HYPERLINK("CSG3.html#group60B3", "60B³"), =HYPERLINK("CSG0.html#group3A0", "3A⁰"), =HYPERLINK("CSG0.html#group3D0", "3D⁰"), =HYPERLINK("CSG1.html#group15E1", "15E¹")</f>
        <v/>
      </c>
      <c r="N6603" t="inlineStr"/>
    </row>
    <row r="6604">
      <c r="A6604" t="inlineStr">
        <is>
          <t>60F²¹</t>
        </is>
      </c>
      <c r="B6604" t="inlineStr"/>
      <c r="C6604" t="inlineStr">
        <is>
          <t>288</t>
        </is>
      </c>
      <c r="D6604" t="inlineStr">
        <is>
          <t>1</t>
        </is>
      </c>
      <c r="E6604" t="inlineStr">
        <is>
          <t>24</t>
        </is>
      </c>
      <c r="F6604" t="inlineStr">
        <is>
          <t>0</t>
        </is>
      </c>
      <c r="G6604" t="inlineStr">
        <is>
          <t>0</t>
        </is>
      </c>
      <c r="H6604" t="inlineStr">
        <is>
          <t>12⁴, 60⁴</t>
        </is>
      </c>
      <c r="I6604" t="n">
        <v>8</v>
      </c>
      <c r="J6604" t="inlineStr">
        <is>
          <t>2⁴, 8²</t>
        </is>
      </c>
      <c r="K6604">
        <f>HYPERLINK("CSG5.html#group20D5", "20D⁵"), =HYPERLINK("CSG5.html#group30C5", "30C⁵"), =HYPERLINK("CSG5.html#group60C5", "60C⁵"), =HYPERLINK("CSG11.html#group60D11", "60D¹¹"), =HYPERLINK("CSG11.html#group60E11", "60E¹¹")</f>
        <v/>
      </c>
      <c r="L6604" t="inlineStr"/>
      <c r="M6604">
        <f>HYPERLINK("CSG11.html#group60E11", "60E¹¹"), =HYPERLINK("CSG11.html#group60D11", "60D¹¹"), =HYPERLINK("CSG5.html#group30C5", "30C⁵"), =HYPERLINK("CSG0.html#group2A0", "2A⁰"), =HYPERLINK("CSG0.html#group30A0", "30A⁰"), =HYPERLINK("CSG5.html#group60C5", "60C⁵"), =HYPERLINK("CSG3.html#group20C3", "20C³"), =HYPERLINK("CSG0.html#group5B0", "5B⁰"), =HYPERLINK("CSG1.html#group10A1", "10A¹"), =HYPERLINK("CSG0.html#group5D0", "5D⁰"), =HYPERLINK("CSG1.html#group10D1", "10D¹"), =HYPERLINK("CSG0.html#group1A0", "1A⁰"), =HYPERLINK("CSG3.html#group20B3", "20B³"), =HYPERLINK("CSG1.html#group20B1", "20B¹"), =HYPERLINK("CSG3.html#group30B3", "30B³"), =HYPERLINK("CSG0.html#group10B0", "10B⁰"), =HYPERLINK("CSG0.html#group15B0", "15B⁰"), =HYPERLINK("CSG0.html#group12A0", "12A⁰"), =HYPERLINK("CSG0.html#group4A0", "4A⁰"), =HYPERLINK("CSG0.html#group4D0", "4D⁰"), =HYPERLINK("CSG1.html#group20G1", "20G¹"), =HYPERLINK("CSG2.html#group12A2", "12A²"), =HYPERLINK("CSG2.html#group15B2", "15B²"), =HYPERLINK("CSG3.html#group60B3", "60B³"), =HYPERLINK("CSG1.html#group6A1", "6A¹"), =HYPERLINK("CSG0.html#group3A0", "3A⁰"), =HYPERLINK("CSG5.html#group20D5", "20D⁵")</f>
        <v/>
      </c>
      <c r="N6604" t="inlineStr"/>
    </row>
    <row r="6605">
      <c r="A6605" t="inlineStr">
        <is>
          <t>60G²¹</t>
        </is>
      </c>
      <c r="B6605" t="inlineStr"/>
      <c r="C6605" t="inlineStr">
        <is>
          <t>288</t>
        </is>
      </c>
      <c r="D6605" t="inlineStr">
        <is>
          <t>1</t>
        </is>
      </c>
      <c r="E6605" t="inlineStr">
        <is>
          <t>36</t>
        </is>
      </c>
      <c r="F6605" t="inlineStr">
        <is>
          <t>0</t>
        </is>
      </c>
      <c r="G6605" t="inlineStr">
        <is>
          <t>0</t>
        </is>
      </c>
      <c r="H6605" t="inlineStr">
        <is>
          <t>12⁴, 60⁴</t>
        </is>
      </c>
      <c r="I6605" t="n">
        <v>8</v>
      </c>
      <c r="J6605" t="inlineStr">
        <is>
          <t>2², 4², 8¹, 16¹</t>
        </is>
      </c>
      <c r="K6605">
        <f>HYPERLINK("CSG9.html#group30J9", "30J⁹"), =HYPERLINK("CSG9.html#group60E9", "60E⁹"), =HYPERLINK("CSG9.html#group60F9", "60F⁹")</f>
        <v/>
      </c>
      <c r="L6605" t="inlineStr"/>
      <c r="M6605">
        <f>HYPERLINK("CSG3.html#group30L3", "30L³"), =HYPERLINK("CSG0.html#group6B0", "6B⁰"), =HYPERLINK("CSG3.html#group30I3", "30I³"), =HYPERLINK("CSG1.html#group12D1", "12D¹"), =HYPERLINK("CSG1.html#group30C1", "30C¹"), =HYPERLINK("CSG9.html#group60F9", "60F⁹"), =HYPERLINK("CSG0.html#group5B0", "5B⁰"), =HYPERLINK("CSG0.html#group5D0", "5D⁰"), =HYPERLINK("CSG5.html#group30G5", "30G⁵"), =HYPERLINK("CSG3.html#group15F3", "15F³"), =HYPERLINK("CSG0.html#group1A0", "1A⁰"), =HYPERLINK("CSG9.html#group60E9", "60E⁹"), =HYPERLINK("CSG0.html#group15B0", "15B⁰"), =HYPERLINK("CSG0.html#group6E0", "6E⁰"), =HYPERLINK("CSG5.html#group30E5", "30E⁵"), =HYPERLINK("CSG9.html#group30J9", "30J⁹"), =HYPERLINK("CSG2.html#group15B2", "15B²"), =HYPERLINK("CSG0.html#group3C0", "3C⁰"), =HYPERLINK("CSG0.html#group15C0", "15C⁰"), =HYPERLINK("CSG0.html#group3A0", "3A⁰"), =HYPERLINK("CSG1.html#group15E1", "15E¹"), =HYPERLINK("CSG2.html#group30C2", "30C²")</f>
        <v/>
      </c>
      <c r="N6605" t="inlineStr"/>
    </row>
    <row r="6606">
      <c r="A6606" t="inlineStr">
        <is>
          <t>60H²¹</t>
        </is>
      </c>
      <c r="B6606" t="inlineStr"/>
      <c r="C6606" t="inlineStr">
        <is>
          <t>288</t>
        </is>
      </c>
      <c r="D6606" t="inlineStr">
        <is>
          <t>1</t>
        </is>
      </c>
      <c r="E6606" t="inlineStr">
        <is>
          <t>48</t>
        </is>
      </c>
      <c r="F6606" t="inlineStr">
        <is>
          <t>0</t>
        </is>
      </c>
      <c r="G6606" t="inlineStr">
        <is>
          <t>0</t>
        </is>
      </c>
      <c r="H6606" t="inlineStr">
        <is>
          <t>12⁴, 60⁴</t>
        </is>
      </c>
      <c r="I6606" t="n">
        <v>8</v>
      </c>
      <c r="J6606" t="inlineStr">
        <is>
          <t>4⁴, 16²</t>
        </is>
      </c>
      <c r="K6606">
        <f>HYPERLINK("CSG5.html#group20D5", "20D⁵"), =HYPERLINK("CSG5.html#group30D5", "30D⁵"), =HYPERLINK("CSG11.html#group60F11", "60F¹¹")</f>
        <v/>
      </c>
      <c r="L6606" t="inlineStr"/>
      <c r="M6606">
        <f>HYPERLINK("CSG0.html#group2A0", "2A⁰"), =HYPERLINK("CSG3.html#group30C3", "30C³"), =HYPERLINK("CSG3.html#group20C3", "20C³"), =HYPERLINK("CSG1.html#group12E1", "12E¹"), =HYPERLINK("CSG0.html#group5B0", "5B⁰"), =HYPERLINK("CSG1.html#group10A1", "10A¹"), =HYPERLINK("CSG0.html#group5D0", "5D⁰"), =HYPERLINK("CSG11.html#group60F11", "60F¹¹"), =HYPERLINK("CSG1.html#group10D1", "10D¹"), =HYPERLINK("CSG0.html#group1A0", "1A⁰"), =HYPERLINK("CSG3.html#group20B3", "20B³"), =HYPERLINK("CSG1.html#group20B1", "20B¹"), =HYPERLINK("CSG0.html#group10B0", "10B⁰"), =HYPERLINK("CSG0.html#group6A0", "6A⁰"), =HYPERLINK("CSG0.html#group4A0", "4A⁰"), =HYPERLINK("CSG0.html#group4D0", "4D⁰"), =HYPERLINK("CSG1.html#group20G1", "20G¹"), =HYPERLINK("CSG5.html#group20D5", "20D⁵"), =HYPERLINK("CSG5.html#group30D5", "30D⁵")</f>
        <v/>
      </c>
      <c r="N6606" t="inlineStr"/>
    </row>
    <row r="6607">
      <c r="A6607" t="inlineStr">
        <is>
          <t>60I²¹</t>
        </is>
      </c>
      <c r="B6607" t="inlineStr"/>
      <c r="C6607" t="inlineStr">
        <is>
          <t>288</t>
        </is>
      </c>
      <c r="D6607" t="inlineStr">
        <is>
          <t>1</t>
        </is>
      </c>
      <c r="E6607" t="inlineStr">
        <is>
          <t>48</t>
        </is>
      </c>
      <c r="F6607" t="inlineStr">
        <is>
          <t>0</t>
        </is>
      </c>
      <c r="G6607" t="inlineStr">
        <is>
          <t>0</t>
        </is>
      </c>
      <c r="H6607" t="inlineStr">
        <is>
          <t>12⁴, 60⁴</t>
        </is>
      </c>
      <c r="I6607" t="n">
        <v>8</v>
      </c>
      <c r="J6607" t="inlineStr">
        <is>
          <t>2⁸, 8⁴</t>
        </is>
      </c>
      <c r="K6607">
        <f>HYPERLINK("CSG7.html#group60D7", "60D⁷"), =HYPERLINK("CSG9.html#group30L9", "30L⁹")</f>
        <v/>
      </c>
      <c r="L6607" t="inlineStr"/>
      <c r="M6607">
        <f>HYPERLINK("CSG1.html#group15C1", "15C¹"), =HYPERLINK("CSG0.html#group3B0", "3B⁰"), =HYPERLINK("CSG0.html#group2A0", "2A⁰"), =HYPERLINK("CSG0.html#group6A0", "6A⁰"), =HYPERLINK("CSG3.html#group30C3", "30C³"), =HYPERLINK("CSG9.html#group30L9", "30L⁹"), =HYPERLINK("CSG0.html#group6C0", "6C⁰"), =HYPERLINK("CSG0.html#group5B0", "5B⁰"), =HYPERLINK("CSG0.html#group6J0", "6J⁰"), =HYPERLINK("CSG1.html#group10A1", "10A¹"), =HYPERLINK("CSG0.html#group1A0", "1A⁰"), =HYPERLINK("CSG3.html#group30G3", "30G³"), =HYPERLINK("CSG7.html#group60D7", "60D⁷")</f>
        <v/>
      </c>
      <c r="N6607" t="inlineStr"/>
    </row>
    <row r="6608">
      <c r="A6608" t="inlineStr">
        <is>
          <t>60J²¹</t>
        </is>
      </c>
      <c r="B6608" t="inlineStr"/>
      <c r="C6608" t="inlineStr">
        <is>
          <t>288</t>
        </is>
      </c>
      <c r="D6608" t="inlineStr">
        <is>
          <t>1</t>
        </is>
      </c>
      <c r="E6608" t="inlineStr">
        <is>
          <t>48</t>
        </is>
      </c>
      <c r="F6608" t="inlineStr">
        <is>
          <t>0</t>
        </is>
      </c>
      <c r="G6608" t="inlineStr">
        <is>
          <t>0</t>
        </is>
      </c>
      <c r="H6608" t="inlineStr">
        <is>
          <t>12⁴, 60⁴</t>
        </is>
      </c>
      <c r="I6608" t="n">
        <v>8</v>
      </c>
      <c r="J6608" t="inlineStr">
        <is>
          <t>2⁸, 8⁴</t>
        </is>
      </c>
      <c r="K6608">
        <f>HYPERLINK("CSG1.html#group12O1", "12O¹"), =HYPERLINK("CSG7.html#group60E7", "60E⁷"), =HYPERLINK("CSG9.html#group30L9", "30L⁹")</f>
        <v/>
      </c>
      <c r="L6608" t="inlineStr"/>
      <c r="M6608">
        <f>HYPERLINK("CSG0.html#group3B0", "3B⁰"), =HYPERLINK("CSG0.html#group2A0", "2A⁰"), =HYPERLINK("CSG3.html#group30C3", "30C³"), =HYPERLINK("CSG0.html#group6C0", "6C⁰"), =HYPERLINK("CSG0.html#group5B0", "5B⁰"), =HYPERLINK("CSG1.html#group10A1", "10A¹"), =HYPERLINK("CSG3.html#group30G3", "30G³"), =HYPERLINK("CSG0.html#group1A0", "1A⁰"), =HYPERLINK("CSG1.html#group15C1", "15C¹"), =HYPERLINK("CSG7.html#group60E7", "60E⁷"), =HYPERLINK("CSG0.html#group6A0", "6A⁰"), =HYPERLINK("CSG9.html#group30L9", "30L⁹"), =HYPERLINK("CSG0.html#group6J0", "6J⁰"), =HYPERLINK("CSG1.html#group12O1", "12O¹"), =HYPERLINK("CSG0.html#group12B0", "12B⁰")</f>
        <v/>
      </c>
      <c r="N6608" t="inlineStr"/>
    </row>
    <row r="6609">
      <c r="A6609" t="inlineStr">
        <is>
          <t>60K²¹</t>
        </is>
      </c>
      <c r="B6609" t="inlineStr"/>
      <c r="C6609" t="inlineStr">
        <is>
          <t>288</t>
        </is>
      </c>
      <c r="D6609" t="inlineStr">
        <is>
          <t>1</t>
        </is>
      </c>
      <c r="E6609" t="inlineStr">
        <is>
          <t>72</t>
        </is>
      </c>
      <c r="F6609" t="inlineStr">
        <is>
          <t>0</t>
        </is>
      </c>
      <c r="G6609" t="inlineStr">
        <is>
          <t>0</t>
        </is>
      </c>
      <c r="H6609" t="inlineStr">
        <is>
          <t>12⁴, 60⁴</t>
        </is>
      </c>
      <c r="I6609" t="n">
        <v>8</v>
      </c>
      <c r="J6609" t="inlineStr">
        <is>
          <t>2⁴, 4⁴, 8², 16²</t>
        </is>
      </c>
      <c r="K6609">
        <f>HYPERLINK("CSG5.html#group30E5", "30E⁵"), =HYPERLINK("CSG9.html#group60I9", "60I⁹"), =HYPERLINK("CSG9.html#group60J9", "60J⁹")</f>
        <v/>
      </c>
      <c r="L6609" t="inlineStr"/>
      <c r="M6609">
        <f>HYPERLINK("CSG1.html#group12G1", "12G¹"), =HYPERLINK("CSG9.html#group60J9", "60J⁹"), =HYPERLINK("CSG0.html#group5B0", "5B⁰"), =HYPERLINK("CSG0.html#group1A0", "1A⁰"), =HYPERLINK("CSG9.html#group60I9", "60I⁹"), =HYPERLINK("CSG1.html#group20B1", "20B¹"), =HYPERLINK("CSG0.html#group15B0", "15B⁰"), =HYPERLINK("CSG0.html#group12A0", "12A⁰"), =HYPERLINK("CSG5.html#group30E5", "30E⁵"), =HYPERLINK("CSG0.html#group4A0", "4A⁰"), =HYPERLINK("CSG0.html#group3C0", "3C⁰"), =HYPERLINK("CSG3.html#group60B3", "60B³"), =HYPERLINK("CSG0.html#group3A0", "3A⁰"), =HYPERLINK("CSG1.html#group15E1", "15E¹"), =HYPERLINK("CSG2.html#group30C2", "30C²")</f>
        <v/>
      </c>
      <c r="N6609" t="inlineStr"/>
    </row>
    <row r="6610">
      <c r="A6610" t="inlineStr">
        <is>
          <t>60L²¹</t>
        </is>
      </c>
      <c r="B6610" t="inlineStr"/>
      <c r="C6610" t="inlineStr">
        <is>
          <t>288</t>
        </is>
      </c>
      <c r="D6610" t="inlineStr">
        <is>
          <t>1</t>
        </is>
      </c>
      <c r="E6610" t="inlineStr">
        <is>
          <t>72</t>
        </is>
      </c>
      <c r="F6610" t="inlineStr">
        <is>
          <t>0</t>
        </is>
      </c>
      <c r="G6610" t="inlineStr">
        <is>
          <t>0</t>
        </is>
      </c>
      <c r="H6610" t="inlineStr">
        <is>
          <t>12⁴, 60⁴</t>
        </is>
      </c>
      <c r="I6610" t="n">
        <v>8</v>
      </c>
      <c r="J6610" t="inlineStr">
        <is>
          <t>2⁴, 4⁴, 8², 16²</t>
        </is>
      </c>
      <c r="K6610">
        <f>HYPERLINK("CSG3.html#group15F3", "15F³"), =HYPERLINK("CSG7.html#group60Q7", "60Q⁷"), =HYPERLINK("CSG9.html#group60J9", "60J⁹"), =HYPERLINK("CSG11.html#group60D11", "60D¹¹")</f>
        <v/>
      </c>
      <c r="L6610" t="inlineStr"/>
      <c r="M6610">
        <f>HYPERLINK("CSG1.html#group12G1", "12G¹"), =HYPERLINK("CSG11.html#group60D11", "60D¹¹"), =HYPERLINK("CSG9.html#group60J9", "60J⁹"), =HYPERLINK("CSG0.html#group5B0", "5B⁰"), =HYPERLINK("CSG0.html#group5D0", "5D⁰"), =HYPERLINK("CSG3.html#group15F3", "15F³"), =HYPERLINK("CSG0.html#group1A0", "1A⁰"), =HYPERLINK("CSG3.html#group20B3", "20B³"), =HYPERLINK("CSG1.html#group20B1", "20B¹"), =HYPERLINK("CSG0.html#group15B0", "15B⁰"), =HYPERLINK("CSG0.html#group12A0", "12A⁰"), =HYPERLINK("CSG1.html#group15E1", "15E¹"), =HYPERLINK("CSG0.html#group4A0", "4A⁰"), =HYPERLINK("CSG2.html#group15B2", "15B²"), =HYPERLINK("CSG7.html#group60Q7", "60Q⁷"), =HYPERLINK("CSG0.html#group3C0", "3C⁰"), =HYPERLINK("CSG3.html#group60B3", "60B³"), =HYPERLINK("CSG0.html#group3A0", "3A⁰"), =HYPERLINK("CSG0.html#group15C0", "15C⁰")</f>
        <v/>
      </c>
      <c r="N6610" t="inlineStr"/>
    </row>
    <row r="6611">
      <c r="A6611" t="inlineStr">
        <is>
          <t>60M²¹</t>
        </is>
      </c>
      <c r="B6611" t="inlineStr"/>
      <c r="C6611" t="inlineStr">
        <is>
          <t>288</t>
        </is>
      </c>
      <c r="D6611" t="inlineStr">
        <is>
          <t>1</t>
        </is>
      </c>
      <c r="E6611" t="inlineStr">
        <is>
          <t>72</t>
        </is>
      </c>
      <c r="F6611" t="inlineStr">
        <is>
          <t>0</t>
        </is>
      </c>
      <c r="G6611" t="inlineStr">
        <is>
          <t>0</t>
        </is>
      </c>
      <c r="H6611" t="inlineStr">
        <is>
          <t>12⁴, 60⁴</t>
        </is>
      </c>
      <c r="I6611" t="n">
        <v>8</v>
      </c>
      <c r="J6611" t="inlineStr">
        <is>
          <t>2⁴, 4⁴, 8², 16²</t>
        </is>
      </c>
      <c r="K6611">
        <f>HYPERLINK("CSG5.html#group30F5", "30F⁵"), =HYPERLINK("CSG7.html#group60Q7", "60Q⁷"), =HYPERLINK("CSG9.html#group60I9", "60I⁹"), =HYPERLINK("CSG11.html#group60E11", "60E¹¹")</f>
        <v/>
      </c>
      <c r="L6611" t="inlineStr"/>
      <c r="M6611">
        <f>HYPERLINK("CSG11.html#group60E11", "60E¹¹"), =HYPERLINK("CSG0.html#group2A0", "2A⁰"), =HYPERLINK("CSG3.html#group20C3", "20C³"), =HYPERLINK("CSG0.html#group5B0", "5B⁰"), =HYPERLINK("CSG1.html#group10A1", "10A¹"), =HYPERLINK("CSG0.html#group1A0", "1A⁰"), =HYPERLINK("CSG5.html#group30F5", "30F⁵"), =HYPERLINK("CSG9.html#group60I9", "60I⁹"), =HYPERLINK("CSG1.html#group20B1", "20B¹"), =HYPERLINK("CSG3.html#group30B3", "30B³"), =HYPERLINK("CSG0.html#group15B0", "15B⁰"), =HYPERLINK("CSG0.html#group12A0", "12A⁰"), =HYPERLINK("CSG0.html#group4A0", "4A⁰"), =HYPERLINK("CSG0.html#group4D0", "4D⁰"), =HYPERLINK("CSG2.html#group12A2", "12A²"), =HYPERLINK("CSG7.html#group60Q7", "60Q⁷"), =HYPERLINK("CSG3.html#group60B3", "60B³"), =HYPERLINK("CSG1.html#group6A1", "6A¹"), =HYPERLINK("CSG0.html#group3A0", "3A⁰"), =HYPERLINK("CSG0.html#group15C0", "15C⁰"), =HYPERLINK("CSG2.html#group30C2", "30C²")</f>
        <v/>
      </c>
      <c r="N6611" t="inlineStr"/>
    </row>
    <row r="6612">
      <c r="A6612" t="inlineStr">
        <is>
          <t>60N²¹</t>
        </is>
      </c>
      <c r="B6612" t="inlineStr"/>
      <c r="C6612" t="inlineStr">
        <is>
          <t>288</t>
        </is>
      </c>
      <c r="D6612" t="inlineStr">
        <is>
          <t>1</t>
        </is>
      </c>
      <c r="E6612" t="inlineStr">
        <is>
          <t>72</t>
        </is>
      </c>
      <c r="F6612" t="inlineStr">
        <is>
          <t>0</t>
        </is>
      </c>
      <c r="G6612" t="inlineStr">
        <is>
          <t>0</t>
        </is>
      </c>
      <c r="H6612" t="inlineStr">
        <is>
          <t>12⁴, 60⁴</t>
        </is>
      </c>
      <c r="I6612" t="n">
        <v>8</v>
      </c>
      <c r="J6612" t="inlineStr">
        <is>
          <t>2⁴, 4⁴, 8², 16²</t>
        </is>
      </c>
      <c r="K6612">
        <f>HYPERLINK("CSG5.html#group30G5", "30G⁵"), =HYPERLINK("CSG7.html#group60R7", "60R⁷"), =HYPERLINK("CSG9.html#group60I9", "60I⁹"), =HYPERLINK("CSG11.html#group60D11", "60D¹¹")</f>
        <v/>
      </c>
      <c r="L6612" t="inlineStr"/>
      <c r="M6612">
        <f>HYPERLINK("CSG11.html#group60D11", "60D¹¹"), =HYPERLINK("CSG0.html#group6B0", "6B⁰"), =HYPERLINK("CSG7.html#group60R7", "60R⁷"), =HYPERLINK("CSG0.html#group5B0", "5B⁰"), =HYPERLINK("CSG0.html#group12F0", "12F⁰"), =HYPERLINK("CSG0.html#group5D0", "5D⁰"), =HYPERLINK("CSG5.html#group30G5", "30G⁵"), =HYPERLINK("CSG0.html#group1A0", "1A⁰"), =HYPERLINK("CSG3.html#group20B3", "20B³"), =HYPERLINK("CSG1.html#group20B1", "20B¹"), =HYPERLINK("CSG9.html#group60I9", "60I⁹"), =HYPERLINK("CSG0.html#group15B0", "15B⁰"), =HYPERLINK("CSG0.html#group12A0", "12A⁰"), =HYPERLINK("CSG0.html#group4A0", "4A⁰"), =HYPERLINK("CSG2.html#group15B2", "15B²"), =HYPERLINK("CSG3.html#group60B3", "60B³"), =HYPERLINK("CSG0.html#group3A0", "3A⁰"), =HYPERLINK("CSG1.html#group30C1", "30C¹"), =HYPERLINK("CSG2.html#group30C2", "30C²")</f>
        <v/>
      </c>
      <c r="N6612" t="inlineStr"/>
    </row>
    <row r="6613">
      <c r="A6613" t="inlineStr">
        <is>
          <t>60O²¹</t>
        </is>
      </c>
      <c r="B6613" t="inlineStr"/>
      <c r="C6613" t="inlineStr">
        <is>
          <t>288</t>
        </is>
      </c>
      <c r="D6613" t="inlineStr">
        <is>
          <t>1</t>
        </is>
      </c>
      <c r="E6613" t="inlineStr">
        <is>
          <t>72</t>
        </is>
      </c>
      <c r="F6613" t="inlineStr">
        <is>
          <t>0</t>
        </is>
      </c>
      <c r="G6613" t="inlineStr">
        <is>
          <t>0</t>
        </is>
      </c>
      <c r="H6613" t="inlineStr">
        <is>
          <t>12⁴, 60⁴</t>
        </is>
      </c>
      <c r="I6613" t="n">
        <v>8</v>
      </c>
      <c r="J6613" t="inlineStr">
        <is>
          <t>2⁴, 4⁴, 8², 16²</t>
        </is>
      </c>
      <c r="K6613">
        <f>HYPERLINK("CSG3.html#group12C3", "12C³"), =HYPERLINK("CSG5.html#group30H5", "30H⁵"), =HYPERLINK("CSG7.html#group60R7", "60R⁷"), =HYPERLINK("CSG9.html#group60J9", "60J⁹"), =HYPERLINK("CSG11.html#group60E11", "60E¹¹")</f>
        <v/>
      </c>
      <c r="L6613" t="inlineStr"/>
      <c r="M6613">
        <f>HYPERLINK("CSG11.html#group60E11", "60E¹¹"), =HYPERLINK("CSG0.html#group2A0", "2A⁰"), =HYPERLINK("CSG1.html#group12G1", "12G¹"), =HYPERLINK("CSG0.html#group6B0", "6B⁰"), =HYPERLINK("CSG9.html#group60J9", "60J⁹"), =HYPERLINK("CSG1.html#group30C1", "30C¹"), =HYPERLINK("CSG7.html#group60R7", "60R⁷"), =HYPERLINK("CSG3.html#group20C3", "20C³"), =HYPERLINK("CSG3.html#group12C3", "12C³"), =HYPERLINK("CSG0.html#group5B0", "5B⁰"), =HYPERLINK("CSG1.html#group10A1", "10A¹"), =HYPERLINK("CSG0.html#group12F0", "12F⁰"), =HYPERLINK("CSG0.html#group1A0", "1A⁰"), =HYPERLINK("CSG1.html#group20B1", "20B¹"), =HYPERLINK("CSG3.html#group30B3", "30B³"), =HYPERLINK("CSG5.html#group30H5", "30H⁵"), =HYPERLINK("CSG0.html#group15B0", "15B⁰"), =HYPERLINK("CSG0.html#group12A0", "12A⁰"), =HYPERLINK("CSG1.html#group6B1", "6B¹"), =HYPERLINK("CSG0.html#group4A0", "4A⁰"), =HYPERLINK("CSG0.html#group4D0", "4D⁰"), =HYPERLINK("CSG2.html#group12A2", "12A²"), =HYPERLINK("CSG0.html#group3C0", "3C⁰"), =HYPERLINK("CSG3.html#group60B3", "60B³"), =HYPERLINK("CSG1.html#group6A1", "6A¹"), =HYPERLINK("CSG0.html#group3A0", "3A⁰"), =HYPERLINK("CSG1.html#group15E1", "15E¹")</f>
        <v/>
      </c>
      <c r="N6613" t="inlineStr"/>
    </row>
    <row r="6614">
      <c r="A6614" t="inlineStr">
        <is>
          <t>60P²¹</t>
        </is>
      </c>
      <c r="B6614" t="inlineStr"/>
      <c r="C6614" t="inlineStr">
        <is>
          <t>288</t>
        </is>
      </c>
      <c r="D6614" t="inlineStr">
        <is>
          <t>1</t>
        </is>
      </c>
      <c r="E6614" t="inlineStr">
        <is>
          <t>144</t>
        </is>
      </c>
      <c r="F6614" t="inlineStr">
        <is>
          <t>0</t>
        </is>
      </c>
      <c r="G6614" t="inlineStr">
        <is>
          <t>0</t>
        </is>
      </c>
      <c r="H6614" t="inlineStr">
        <is>
          <t>12⁴, 60⁴</t>
        </is>
      </c>
      <c r="I6614" t="n">
        <v>8</v>
      </c>
      <c r="J6614" t="inlineStr">
        <is>
          <t>4¹², 16⁶</t>
        </is>
      </c>
      <c r="K6614">
        <f>HYPERLINK("CSG5.html#group30D5", "30D⁵"), =HYPERLINK("CSG11.html#group60G11", "60G¹¹")</f>
        <v/>
      </c>
      <c r="L6614" t="inlineStr"/>
      <c r="M6614">
        <f>HYPERLINK("CSG0.html#group2A0", "2A⁰"), =HYPERLINK("CSG1.html#group12H1", "12H¹"), =HYPERLINK("CSG0.html#group6A0", "6A⁰"), =HYPERLINK("CSG3.html#group30C3", "30C³"), =HYPERLINK("CSG0.html#group5B0", "5B⁰"), =HYPERLINK("CSG1.html#group10A1", "10A¹"), =HYPERLINK("CSG0.html#group5D0", "5D⁰"), =HYPERLINK("CSG11.html#group60G11", "60G¹¹"), =HYPERLINK("CSG1.html#group10D1", "10D¹"), =HYPERLINK("CSG0.html#group1A0", "1A⁰"), =HYPERLINK("CSG5.html#group30D5", "30D⁵"), =HYPERLINK("CSG0.html#group10B0", "10B⁰")</f>
        <v/>
      </c>
      <c r="N6614" t="inlineStr"/>
    </row>
    <row r="6615">
      <c r="A6615" t="inlineStr">
        <is>
          <t>60Q²¹</t>
        </is>
      </c>
      <c r="B6615" t="inlineStr"/>
      <c r="C6615" t="inlineStr">
        <is>
          <t>288</t>
        </is>
      </c>
      <c r="D6615" t="inlineStr">
        <is>
          <t>2</t>
        </is>
      </c>
      <c r="E6615" t="inlineStr">
        <is>
          <t>6</t>
        </is>
      </c>
      <c r="F6615" t="inlineStr">
        <is>
          <t>0</t>
        </is>
      </c>
      <c r="G6615" t="inlineStr">
        <is>
          <t>0</t>
        </is>
      </c>
      <c r="H6615" t="inlineStr">
        <is>
          <t>12⁴, 60⁴</t>
        </is>
      </c>
      <c r="I6615" t="n">
        <v>8</v>
      </c>
      <c r="J6615" t="inlineStr">
        <is>
          <t>2², 8¹</t>
        </is>
      </c>
      <c r="K6615">
        <f>HYPERLINK("CSG7.html#group60G7", "60G⁷"), =HYPERLINK("CSG9.html#group30G9", "30G⁹"), =HYPERLINK("CSG9.html#group60K9", "60K⁹"), =HYPERLINK("CSG9.html#group60L9", "60L⁹")</f>
        <v/>
      </c>
      <c r="L6615" t="inlineStr"/>
      <c r="M6615">
        <f>HYPERLINK("CSG0.html#group30A0", "30A⁰"), =HYPERLINK("CSG0.html#group3B0", "3B⁰"), =HYPERLINK("CSG1.html#group20C1", "20C¹"), =HYPERLINK("CSG9.html#group60L9", "60L⁹"), =HYPERLINK("CSG3.html#group30J3", "30J³"), =HYPERLINK("CSG0.html#group5B0", "5B⁰"), =HYPERLINK("CSG3.html#group60D3", "60D³"), =HYPERLINK("CSG9.html#group30G9", "30G⁹"), =HYPERLINK("CSG0.html#group1A0", "1A⁰"), =HYPERLINK("CSG7.html#group60G7", "60G⁷"), =HYPERLINK("CSG0.html#group10B0", "10B⁰"), =HYPERLINK("CSG1.html#group15C1", "15C¹"), =HYPERLINK("CSG0.html#group15B0", "15B⁰"), =HYPERLINK("CSG3.html#group60C3", "60C³"), =HYPERLINK("CSG3.html#group30F3", "30F³"), =HYPERLINK("CSG9.html#group60K9", "60K⁹"), =HYPERLINK("CSG3.html#group15E3", "15E³"), =HYPERLINK("CSG5.html#group30E5", "30E⁵"), =HYPERLINK("CSG0.html#group3C0", "3C⁰"), =HYPERLINK("CSG0.html#group3A0", "3A⁰"), =HYPERLINK("CSG0.html#group3D0", "3D⁰"), =HYPERLINK("CSG1.html#group15E1", "15E¹"), =HYPERLINK("CSG2.html#group30C2", "30C²")</f>
        <v/>
      </c>
      <c r="N6615" t="inlineStr"/>
    </row>
    <row r="6616">
      <c r="A6616" t="inlineStr">
        <is>
          <t>60R²¹</t>
        </is>
      </c>
      <c r="B6616" t="inlineStr"/>
      <c r="C6616" t="inlineStr">
        <is>
          <t>320</t>
        </is>
      </c>
      <c r="D6616" t="inlineStr">
        <is>
          <t>1</t>
        </is>
      </c>
      <c r="E6616" t="inlineStr">
        <is>
          <t>40</t>
        </is>
      </c>
      <c r="F6616" t="inlineStr">
        <is>
          <t>0</t>
        </is>
      </c>
      <c r="G6616" t="inlineStr">
        <is>
          <t>8</t>
        </is>
      </c>
      <c r="H6616" t="inlineStr">
        <is>
          <t>20⁴, 60⁴</t>
        </is>
      </c>
      <c r="I6616" t="n">
        <v>8</v>
      </c>
      <c r="J6616" t="inlineStr">
        <is>
          <t>2², 4⁵, 8²</t>
        </is>
      </c>
      <c r="K6616">
        <f>HYPERLINK("CSG3.html#group20N3", "20N³"), =HYPERLINK("CSG9.html#group30N9", "30N⁹"), =HYPERLINK("CSG11.html#group60K11", "60K¹¹")</f>
        <v/>
      </c>
      <c r="L6616" t="inlineStr"/>
      <c r="M6616">
        <f>HYPERLINK("CSG5.html#group30J5", "30J⁵"), =HYPERLINK("CSG0.html#group3B0", "3B⁰"), =HYPERLINK("CSG1.html#group10H1", "10H¹"), =HYPERLINK("CSG0.html#group2A0", "2A⁰"), =HYPERLINK("CSG0.html#group5A0", "5A⁰"), =HYPERLINK("CSG0.html#group10D0", "10D⁰"), =HYPERLINK("CSG2.html#group30D2", "30D²"), =HYPERLINK("CSG0.html#group6C0", "6C⁰"), =HYPERLINK("CSG0.html#group5F0", "5F⁰"), =HYPERLINK("CSG3.html#group20N3", "20N³"), =HYPERLINK("CSG5.html#group30I5", "30I⁵"), =HYPERLINK("CSG0.html#group1A0", "1A⁰"), =HYPERLINK("CSG1.html#group20F1", "20F¹"), =HYPERLINK("CSG0.html#group10A0", "10A⁰"), =HYPERLINK("CSG11.html#group60K11", "60K¹¹"), =HYPERLINK("CSG3.html#group15G3", "15G³"), =HYPERLINK("CSG1.html#group15B1", "15B¹"), =HYPERLINK("CSG1.html#group10C1", "10C¹"), =HYPERLINK("CSG2.html#group15C2", "15C²"), =HYPERLINK("CSG0.html#group5C0", "5C⁰"), =HYPERLINK("CSG9.html#group30N9", "30N⁹")</f>
        <v/>
      </c>
      <c r="N6616" t="inlineStr"/>
    </row>
    <row r="6617">
      <c r="A6617" t="inlineStr">
        <is>
          <t>60S²¹</t>
        </is>
      </c>
      <c r="B6617" t="inlineStr"/>
      <c r="C6617" t="inlineStr">
        <is>
          <t>320</t>
        </is>
      </c>
      <c r="D6617" t="inlineStr">
        <is>
          <t>1</t>
        </is>
      </c>
      <c r="E6617" t="inlineStr">
        <is>
          <t>40</t>
        </is>
      </c>
      <c r="F6617" t="inlineStr">
        <is>
          <t>0</t>
        </is>
      </c>
      <c r="G6617" t="inlineStr">
        <is>
          <t>8</t>
        </is>
      </c>
      <c r="H6617" t="inlineStr">
        <is>
          <t>20⁴, 60⁴</t>
        </is>
      </c>
      <c r="I6617" t="n">
        <v>8</v>
      </c>
      <c r="J6617" t="inlineStr">
        <is>
          <t>2², 4⁵, 8²</t>
        </is>
      </c>
      <c r="K6617">
        <f>HYPERLINK("CSG4.html#group60B4", "60B⁴"), =HYPERLINK("CSG9.html#group30N9", "30N⁹"), =HYPERLINK("CSG11.html#group60H11", "60H¹¹"), =HYPERLINK("CSG11.html#group60I11", "60I¹¹")</f>
        <v/>
      </c>
      <c r="L6617" t="inlineStr"/>
      <c r="M6617">
        <f>HYPERLINK("CSG5.html#group30J5", "30J⁵"), =HYPERLINK("CSG0.html#group2A0", "2A⁰"), =HYPERLINK("CSG0.html#group3B0", "3B⁰"), =HYPERLINK("CSG1.html#group10H1", "10H¹"), =HYPERLINK("CSG0.html#group5A0", "5A⁰"), =HYPERLINK("CSG0.html#group10D0", "10D⁰"), =HYPERLINK("CSG0.html#group6C0", "6C⁰"), =HYPERLINK("CSG4.html#group60B4", "60B⁴"), =HYPERLINK("CSG2.html#group30D2", "30D²"), =HYPERLINK("CSG0.html#group5F0", "5F⁰"), =HYPERLINK("CSG11.html#group60H11", "60H¹¹"), =HYPERLINK("CSG0.html#group1A0", "1A⁰"), =HYPERLINK("CSG5.html#group30I5", "30I⁵"), =HYPERLINK("CSG0.html#group10A0", "10A⁰"), =HYPERLINK("CSG3.html#group15G3", "15G³"), =HYPERLINK("CSG11.html#group60I11", "60I¹¹"), =HYPERLINK("CSG1.html#group15B1", "15B¹"), =HYPERLINK("CSG1.html#group10C1", "10C¹"), =HYPERLINK("CSG2.html#group15C2", "15C²"), =HYPERLINK("CSG0.html#group5C0", "5C⁰"), =HYPERLINK("CSG9.html#group30N9", "30N⁹"), =HYPERLINK("CSG0.html#group12B0", "12B⁰")</f>
        <v/>
      </c>
      <c r="N6617" t="inlineStr"/>
    </row>
    <row r="6618">
      <c r="A6618" t="inlineStr">
        <is>
          <t>60T²¹</t>
        </is>
      </c>
      <c r="B6618" t="inlineStr"/>
      <c r="C6618" t="inlineStr">
        <is>
          <t>320</t>
        </is>
      </c>
      <c r="D6618" t="inlineStr">
        <is>
          <t>1</t>
        </is>
      </c>
      <c r="E6618" t="inlineStr">
        <is>
          <t>80</t>
        </is>
      </c>
      <c r="F6618" t="inlineStr">
        <is>
          <t>0</t>
        </is>
      </c>
      <c r="G6618" t="inlineStr">
        <is>
          <t>8</t>
        </is>
      </c>
      <c r="H6618" t="inlineStr">
        <is>
          <t>20⁴, 60⁴</t>
        </is>
      </c>
      <c r="I6618" t="n">
        <v>8</v>
      </c>
      <c r="J6618" t="inlineStr">
        <is>
          <t>2⁴, 4², 8⁴, 16²</t>
        </is>
      </c>
      <c r="K6618">
        <f>HYPERLINK("CSG1.html#group12R1", "12R¹"), =HYPERLINK("CSG4.html#group60B4", "60B⁴"), =HYPERLINK("CSG11.html#group60J11", "60J¹¹")</f>
        <v/>
      </c>
      <c r="L6618" t="inlineStr"/>
      <c r="M6618">
        <f>HYPERLINK("CSG0.html#group3B0", "3B⁰"), =HYPERLINK("CSG0.html#group2A0", "2A⁰"), =HYPERLINK("CSG0.html#group5A0", "5A⁰"), =HYPERLINK("CSG1.html#group12I1", "12I¹"), =HYPERLINK("CSG2.html#group30D2", "30D²"), =HYPERLINK("CSG4.html#group60B4", "60B⁴"), =HYPERLINK("CSG0.html#group6C0", "6C⁰"), =HYPERLINK("CSG1.html#group20A1", "20A¹"), =HYPERLINK("CSG6.html#group60A6", "60A⁶"), =HYPERLINK("CSG0.html#group1A0", "1A⁰"), =HYPERLINK("CSG0.html#group10A0", "10A⁰"), =HYPERLINK("CSG2.html#group20D2", "20D²"), =HYPERLINK("CSG0.html#group4A0", "4A⁰"), =HYPERLINK("CSG0.html#group4D0", "4D⁰"), =HYPERLINK("CSG1.html#group12A1", "12A¹"), =HYPERLINK("CSG1.html#group15B1", "15B¹"), =HYPERLINK("CSG1.html#group12R1", "12R¹"), =HYPERLINK("CSG11.html#group60J11", "60J¹¹"), =HYPERLINK("CSG0.html#group12B0", "12B⁰")</f>
        <v/>
      </c>
      <c r="N6618" t="inlineStr"/>
    </row>
    <row r="6619">
      <c r="A6619" t="inlineStr">
        <is>
          <t>60U²¹</t>
        </is>
      </c>
      <c r="B6619" t="inlineStr"/>
      <c r="C6619" t="inlineStr">
        <is>
          <t>360</t>
        </is>
      </c>
      <c r="D6619" t="inlineStr">
        <is>
          <t>1</t>
        </is>
      </c>
      <c r="E6619" t="inlineStr">
        <is>
          <t>30</t>
        </is>
      </c>
      <c r="F6619" t="inlineStr">
        <is>
          <t>24</t>
        </is>
      </c>
      <c r="G6619" t="inlineStr">
        <is>
          <t>0</t>
        </is>
      </c>
      <c r="H6619" t="inlineStr">
        <is>
          <t>30⁴, 60⁴</t>
        </is>
      </c>
      <c r="I6619" t="n">
        <v>8</v>
      </c>
      <c r="J6619" t="inlineStr">
        <is>
          <t>2³, 4⁶</t>
        </is>
      </c>
      <c r="K6619">
        <f>HYPERLINK("CSG5.html#group20F5", "20F⁵"), =HYPERLINK("CSG10.html#group30C10", "30C¹⁰"), =HYPERLINK("CSG10.html#group60C10", "60C¹⁰"), =HYPERLINK("CSG11.html#group60L11", "60L¹¹")</f>
        <v/>
      </c>
      <c r="L6619" t="inlineStr"/>
      <c r="M6619">
        <f>HYPERLINK("CSG0.html#group12C0", "12C⁰"), =HYPERLINK("CSG0.html#group10D0", "10D⁰"), =HYPERLINK("CSG0.html#group4C0", "4C⁰"), =HYPERLINK("CSG0.html#group2B0", "2B⁰"), =HYPERLINK("CSG2.html#group20F2", "20F²"), =HYPERLINK("CSG0.html#group1A0", "1A⁰"), =HYPERLINK("CSG10.html#group30C10", "30C¹⁰"), =HYPERLINK("CSG3.html#group20F3", "20F³"), =HYPERLINK("CSG2.html#group30F2", "30F²"), =HYPERLINK("CSG1.html#group10F1", "10F¹"), =HYPERLINK("CSG5.html#group30K5", "30K⁵"), =HYPERLINK("CSG1.html#group15D1", "15D¹"), =HYPERLINK("CSG2.html#group10E2", "10E²"), =HYPERLINK("CSG5.html#group20F5", "20F⁵"), =HYPERLINK("CSG11.html#group60L11", "60L¹¹"), =HYPERLINK("CSG0.html#group3A0", "3A⁰"), =HYPERLINK("CSG10.html#group60C10", "60C¹⁰"), =HYPERLINK("CSG0.html#group5C0", "5C⁰"), =HYPERLINK("CSG0.html#group6D0", "6D⁰")</f>
        <v/>
      </c>
      <c r="N6619" t="inlineStr"/>
    </row>
    <row r="6620">
      <c r="A6620" t="inlineStr">
        <is>
          <t>60V²¹</t>
        </is>
      </c>
      <c r="B6620" t="inlineStr"/>
      <c r="C6620" t="inlineStr">
        <is>
          <t>360</t>
        </is>
      </c>
      <c r="D6620" t="inlineStr">
        <is>
          <t>1</t>
        </is>
      </c>
      <c r="E6620" t="inlineStr">
        <is>
          <t>90</t>
        </is>
      </c>
      <c r="F6620" t="inlineStr">
        <is>
          <t>16</t>
        </is>
      </c>
      <c r="G6620" t="inlineStr">
        <is>
          <t>0</t>
        </is>
      </c>
      <c r="H6620" t="inlineStr">
        <is>
          <t>15⁸, 60⁴</t>
        </is>
      </c>
      <c r="I6620" t="n">
        <v>12</v>
      </c>
      <c r="J6620" t="inlineStr">
        <is>
          <t>2³, 4⁹, 8⁶</t>
        </is>
      </c>
      <c r="K6620">
        <f>HYPERLINK("CSG10.html#group30H10", "30H¹⁰"), =HYPERLINK("CSG10.html#group60C10", "60C¹⁰"), =HYPERLINK("CSG11.html#group60M11", "60M¹¹")</f>
        <v/>
      </c>
      <c r="L6620" t="inlineStr"/>
      <c r="M6620">
        <f>HYPERLINK("CSG5.html#group30K5", "30K⁵"), =HYPERLINK("CSG1.html#group15D1", "15D¹"), =HYPERLINK("CSG11.html#group60M11", "60M¹¹"), =HYPERLINK("CSG10.html#group30H10", "30H¹⁰"), =HYPERLINK("CSG0.html#group5C0", "5C⁰"), =HYPERLINK("CSG2.html#group15D2", "15D²"), =HYPERLINK("CSG0.html#group2B0", "2B⁰"), =HYPERLINK("CSG0.html#group12D0", "12D⁰"), =HYPERLINK("CSG2.html#group20F2", "20F²"), =HYPERLINK("CSG0.html#group3A0", "3A⁰"), =HYPERLINK("CSG10.html#group60C10", "60C¹⁰"), =HYPERLINK("CSG0.html#group1A0", "1A⁰"), =HYPERLINK("CSG0.html#group6D0", "6D⁰"), =HYPERLINK("CSG1.html#group10F1", "10F¹")</f>
        <v/>
      </c>
      <c r="N6620" t="inlineStr"/>
    </row>
    <row r="6621">
      <c r="A6621" t="inlineStr">
        <is>
          <t>60W²¹</t>
        </is>
      </c>
      <c r="B6621" t="inlineStr"/>
      <c r="C6621" t="inlineStr">
        <is>
          <t>432</t>
        </is>
      </c>
      <c r="D6621" t="inlineStr">
        <is>
          <t>1</t>
        </is>
      </c>
      <c r="E6621" t="inlineStr">
        <is>
          <t>54</t>
        </is>
      </c>
      <c r="F6621" t="inlineStr">
        <is>
          <t>16</t>
        </is>
      </c>
      <c r="G6621" t="inlineStr">
        <is>
          <t>0</t>
        </is>
      </c>
      <c r="H6621" t="inlineStr">
        <is>
          <t>3⁸, 12⁴, 15⁸, 60⁴</t>
        </is>
      </c>
      <c r="I6621" t="n">
        <v>24</v>
      </c>
      <c r="J6621" t="inlineStr">
        <is>
          <t>1⁶, 2⁶, 4³, 8³</t>
        </is>
      </c>
      <c r="K6621">
        <f>HYPERLINK("CSG9.html#group30Q9", "30Q⁹"), =HYPERLINK("CSG9.html#group60N9", "60N⁹"), =HYPERLINK("CSG11.html#group60N11", "60N¹¹"), =HYPERLINK("CSG11.html#group60O11", "60O¹¹"), =HYPERLINK("CSG11.html#group60U11", "60U¹¹")</f>
        <v/>
      </c>
      <c r="L6621" t="inlineStr"/>
      <c r="M6621">
        <f>HYPERLINK("CSG11.html#group60U11", "60U¹¹"), =HYPERLINK("CSG6.html#group60E6", "60E⁶"), =HYPERLINK("CSG11.html#group60N11", "60N¹¹"), =HYPERLINK("CSG11.html#group60O11", "60O¹¹"), =HYPERLINK("CSG0.html#group5B0", "5B⁰"), =HYPERLINK("CSG5.html#group60B5", "60B⁵"), =HYPERLINK("CSG0.html#group6G0", "6G⁰"), =HYPERLINK("CSG4.html#group60C4", "60C⁴"), =HYPERLINK("CSG0.html#group2B0", "2B⁰"), =HYPERLINK("CSG9.html#group60N9", "60N⁹"), =HYPERLINK("CSG5.html#group30O5", "30O⁵"), =HYPERLINK("CSG1.html#group15H1", "15H¹"), =HYPERLINK("CSG0.html#group1A0", "1A⁰"), =HYPERLINK("CSG0.html#group20A0", "20A⁰"), =HYPERLINK("CSG0.html#group15B0", "15B⁰"), =HYPERLINK("CSG0.html#group12G0", "12G⁰"), =HYPERLINK("CSG2.html#group30E2", "30E²"), =HYPERLINK("CSG1.html#group15E1", "15E¹"), =HYPERLINK("CSG9.html#group30Q9", "30Q⁹"), =HYPERLINK("CSG4.html#group30I4", "30I⁴"), =HYPERLINK("CSG0.html#group10C0", "10C⁰"), =HYPERLINK("CSG0.html#group3C0", "3C⁰"), =HYPERLINK("CSG0.html#group12D0", "12D⁰"), =HYPERLINK("CSG0.html#group3A0", "3A⁰"), =HYPERLINK("CSG0.html#group6D0", "6D⁰"), =HYPERLINK("CSG0.html#group15C0", "15C⁰")</f>
        <v/>
      </c>
      <c r="N6621" t="inlineStr"/>
    </row>
    <row r="6622">
      <c r="A6622" t="inlineStr">
        <is>
          <t>60X²¹</t>
        </is>
      </c>
      <c r="B6622" t="inlineStr"/>
      <c r="C6622" t="inlineStr">
        <is>
          <t>432</t>
        </is>
      </c>
      <c r="D6622" t="inlineStr">
        <is>
          <t>1</t>
        </is>
      </c>
      <c r="E6622" t="inlineStr">
        <is>
          <t>54</t>
        </is>
      </c>
      <c r="F6622" t="inlineStr">
        <is>
          <t>32</t>
        </is>
      </c>
      <c r="G6622" t="inlineStr">
        <is>
          <t>0</t>
        </is>
      </c>
      <c r="H6622" t="inlineStr">
        <is>
          <t>6⁴, 12⁴, 30⁴, 60⁴</t>
        </is>
      </c>
      <c r="I6622" t="n">
        <v>16</v>
      </c>
      <c r="J6622" t="inlineStr">
        <is>
          <t>1⁶, 2⁶, 4³, 8³</t>
        </is>
      </c>
      <c r="K6622">
        <f>HYPERLINK("CSG9.html#group30R9", "30R⁹"), =HYPERLINK("CSG9.html#group60M9", "60M⁹"), =HYPERLINK("CSG9.html#group60N9", "60N⁹"), =HYPERLINK("CSG11.html#group60P11", "60P¹¹"), =HYPERLINK("CSG11.html#group60Q11", "60Q¹¹"), =HYPERLINK("CSG11.html#group60R11", "60R¹¹"), =HYPERLINK("CSG11.html#group60S11", "60S¹¹")</f>
        <v/>
      </c>
      <c r="L6622" t="inlineStr"/>
      <c r="M6622">
        <f>HYPERLINK("CSG0.html#group30A0", "30A⁰"), =HYPERLINK("CSG1.html#group20E1", "20E¹"), =HYPERLINK("CSG6.html#group60F6", "60F⁶"), =HYPERLINK("CSG0.html#group12C0", "12C⁰"), =HYPERLINK("CSG0.html#group10G0", "10G⁰"), =HYPERLINK("CSG9.html#group30R9", "30R⁹"), =HYPERLINK("CSG0.html#group4C0", "4C⁰"), =HYPERLINK("CSG0.html#group5B0", "5B⁰"), =HYPERLINK("CSG4.html#group60C4", "60C⁴"), =HYPERLINK("CSG0.html#group2B0", "2B⁰"), =HYPERLINK("CSG9.html#group60N9", "60N⁹"), =HYPERLINK("CSG0.html#group1A0", "1A⁰"), =HYPERLINK("CSG5.html#group30P5", "30P⁵"), =HYPERLINK("CSG1.html#group30D1", "30D¹"), =HYPERLINK("CSG5.html#group60A5", "60A⁵"), =HYPERLINK("CSG11.html#group60S11", "60S¹¹"), =HYPERLINK("CSG9.html#group60M9", "60M⁹"), =HYPERLINK("CSG11.html#group60P11", "60P¹¹"), =HYPERLINK("CSG11.html#group60Q11", "60Q¹¹"), =HYPERLINK("CSG0.html#group10C0", "10C⁰"), =HYPERLINK("CSG0.html#group6H0", "6H⁰"), =HYPERLINK("CSG0.html#group3A0", "3A⁰"), =HYPERLINK("CSG0.html#group15C0", "15C⁰"), =HYPERLINK("CSG0.html#group6B0", "6B⁰"), =HYPERLINK("CSG11.html#group60R11", "60R¹¹"), =HYPERLINK("CSG1.html#group30C1", "30C¹"), =HYPERLINK("CSG0.html#group10B0", "10B⁰"), =HYPERLINK("CSG0.html#group20A0", "20A⁰"), =HYPERLINK("CSG0.html#group15B0", "15B⁰"), =HYPERLINK("CSG2.html#group30E2", "30E²"), =HYPERLINK("CSG1.html#group20I1", "20I¹"), =HYPERLINK("CSG4.html#group30I4", "30I⁴"), =HYPERLINK("CSG0.html#group12D0", "12D⁰"), =HYPERLINK("CSG4.html#group30H4", "30H⁴"), =HYPERLINK("CSG0.html#group12H0", "12H⁰"), =HYPERLINK("CSG0.html#group6D0", "6D⁰"), =HYPERLINK("CSG5.html#group60B5", "60B⁵")</f>
        <v/>
      </c>
      <c r="N6622" t="inlineStr"/>
    </row>
    <row r="6623">
      <c r="A6623" t="inlineStr">
        <is>
          <t>63A²¹</t>
        </is>
      </c>
      <c r="B6623" t="inlineStr"/>
      <c r="C6623" t="inlineStr">
        <is>
          <t>288</t>
        </is>
      </c>
      <c r="D6623" t="inlineStr">
        <is>
          <t>1</t>
        </is>
      </c>
      <c r="E6623" t="inlineStr">
        <is>
          <t>24</t>
        </is>
      </c>
      <c r="F6623" t="inlineStr">
        <is>
          <t>0</t>
        </is>
      </c>
      <c r="G6623" t="inlineStr">
        <is>
          <t>0</t>
        </is>
      </c>
      <c r="H6623" t="inlineStr">
        <is>
          <t>9⁴, 63⁴</t>
        </is>
      </c>
      <c r="I6623" t="n">
        <v>8</v>
      </c>
      <c r="J6623" t="inlineStr">
        <is>
          <t>1², 2², 6¹, 12¹</t>
        </is>
      </c>
      <c r="K6623">
        <f>HYPERLINK("CSG2.html#group9A2", "9A²"), =HYPERLINK("CSG5.html#group21C5", "21C⁵"), =HYPERLINK("CSG11.html#group63A11", "63A¹¹"), =HYPERLINK("CSG11.html#group63C11", "63C¹¹")</f>
        <v/>
      </c>
      <c r="L6623" t="inlineStr"/>
      <c r="M6623">
        <f>HYPERLINK("CSG0.html#group3B0", "3B⁰"), =HYPERLINK("CSG6.html#group63A6", "63A⁶"), =HYPERLINK("CSG0.html#group1A0", "1A⁰"), =HYPERLINK("CSG1.html#group9B1", "9B¹"), =HYPERLINK("CSG3.html#group21A3", "21A³"), =HYPERLINK("CSG0.html#group9D0", "9D⁰"), =HYPERLINK("CSG2.html#group21A2", "21A²"), =HYPERLINK("CSG2.html#group9A2", "9A²"), =HYPERLINK("CSG5.html#group21C5", "21C⁵"), =HYPERLINK("CSG1.html#group21B1", "21B¹"), =HYPERLINK("CSG0.html#group7B0", "7B⁰"), =HYPERLINK("CSG0.html#group9A0", "9A⁰"), =HYPERLINK("CSG11.html#group63A11", "63A¹¹"), =HYPERLINK("CSG0.html#group3C0", "3C⁰"), =HYPERLINK("CSG11.html#group63C11", "63C¹¹"), =HYPERLINK("CSG0.html#group3A0", "3A⁰"), =HYPERLINK("CSG0.html#group3D0", "3D⁰")</f>
        <v/>
      </c>
      <c r="N6623" t="inlineStr"/>
    </row>
    <row r="6624">
      <c r="A6624" t="inlineStr">
        <is>
          <t>63B²¹</t>
        </is>
      </c>
      <c r="B6624" t="inlineStr"/>
      <c r="C6624" t="inlineStr">
        <is>
          <t>288</t>
        </is>
      </c>
      <c r="D6624" t="inlineStr">
        <is>
          <t>1</t>
        </is>
      </c>
      <c r="E6624" t="inlineStr">
        <is>
          <t>48</t>
        </is>
      </c>
      <c r="F6624" t="inlineStr">
        <is>
          <t>0</t>
        </is>
      </c>
      <c r="G6624" t="inlineStr">
        <is>
          <t>0</t>
        </is>
      </c>
      <c r="H6624" t="inlineStr">
        <is>
          <t>9⁴, 63⁴</t>
        </is>
      </c>
      <c r="I6624" t="n">
        <v>8</v>
      </c>
      <c r="J6624" t="inlineStr">
        <is>
          <t>2⁶, 12³</t>
        </is>
      </c>
      <c r="K6624">
        <f>HYPERLINK("CSG5.html#group21C5", "21C⁵"), =HYPERLINK("CSG11.html#group63B11", "63B¹¹")</f>
        <v/>
      </c>
      <c r="L6624" t="inlineStr"/>
      <c r="M6624">
        <f>HYPERLINK("CSG0.html#group3B0", "3B⁰"), =HYPERLINK("CSG1.html#group21B1", "21B¹"), =HYPERLINK("CSG5.html#group21C5", "21C⁵"), =HYPERLINK("CSG11.html#group63B11", "63B¹¹"), =HYPERLINK("CSG2.html#group21A2", "21A²"), =HYPERLINK("CSG0.html#group7B0", "7B⁰"), =HYPERLINK("CSG0.html#group3C0", "3C⁰"), =HYPERLINK("CSG0.html#group3A0", "3A⁰"), =HYPERLINK("CSG0.html#group1A0", "1A⁰"), =HYPERLINK("CSG3.html#group21A3", "21A³"), =HYPERLINK("CSG0.html#group3D0", "3D⁰")</f>
        <v/>
      </c>
      <c r="N6624" t="inlineStr"/>
    </row>
    <row r="6625">
      <c r="A6625" t="inlineStr">
        <is>
          <t>63C²¹</t>
        </is>
      </c>
      <c r="B6625" t="inlineStr"/>
      <c r="C6625" t="inlineStr">
        <is>
          <t>336</t>
        </is>
      </c>
      <c r="D6625" t="inlineStr">
        <is>
          <t>1</t>
        </is>
      </c>
      <c r="E6625" t="inlineStr">
        <is>
          <t>112</t>
        </is>
      </c>
      <c r="F6625" t="inlineStr">
        <is>
          <t>0</t>
        </is>
      </c>
      <c r="G6625" t="inlineStr">
        <is>
          <t>0</t>
        </is>
      </c>
      <c r="H6625" t="inlineStr">
        <is>
          <t>7¹², 63⁴</t>
        </is>
      </c>
      <c r="I6625" t="n">
        <v>16</v>
      </c>
      <c r="J6625" t="inlineStr">
        <is>
          <t>1², 2¹, 3², 6⁹, 12⁴</t>
        </is>
      </c>
      <c r="K6625">
        <f>HYPERLINK("CSG6.html#group21B6", "21B⁶"), =HYPERLINK("CSG6.html#group63B6", "63B⁶")</f>
        <v/>
      </c>
      <c r="L6625" t="inlineStr"/>
      <c r="M6625">
        <f>HYPERLINK("CSG0.html#group3B0", "3B⁰"), =HYPERLINK("CSG2.html#group21B2", "21B²"), =HYPERLINK("CSG6.html#group21B6", "21B⁶"), =HYPERLINK("CSG0.html#group7F0", "7F⁰"), =HYPERLINK("CSG6.html#group63B6", "63B⁶"), =HYPERLINK("CSG0.html#group9B0", "9B⁰"), =HYPERLINK("CSG0.html#group1A0", "1A⁰"), =HYPERLINK("CSG0.html#group7A0", "7A⁰")</f>
        <v/>
      </c>
      <c r="N6625" t="inlineStr"/>
    </row>
    <row r="6626">
      <c r="A6626" t="inlineStr">
        <is>
          <t>63D²¹</t>
        </is>
      </c>
      <c r="B6626" t="inlineStr"/>
      <c r="C6626" t="inlineStr">
        <is>
          <t>378</t>
        </is>
      </c>
      <c r="D6626" t="inlineStr">
        <is>
          <t>2</t>
        </is>
      </c>
      <c r="E6626" t="inlineStr">
        <is>
          <t>189</t>
        </is>
      </c>
      <c r="F6626" t="inlineStr">
        <is>
          <t>34</t>
        </is>
      </c>
      <c r="G6626" t="inlineStr">
        <is>
          <t>0</t>
        </is>
      </c>
      <c r="H6626" t="inlineStr">
        <is>
          <t>63⁶</t>
        </is>
      </c>
      <c r="I6626" t="n">
        <v>6</v>
      </c>
      <c r="J6626" t="inlineStr">
        <is>
          <t>6³, 12⁹, 18², 36⁶</t>
        </is>
      </c>
      <c r="K6626">
        <f>HYPERLINK("CSG4.html#group21D4", "21D⁴"), =HYPERLINK("CSG9.html#group63D9", "63D⁹")</f>
        <v/>
      </c>
      <c r="L6626" t="inlineStr"/>
      <c r="M6626">
        <f>HYPERLINK("CSG4.html#group21D4", "21D⁴"), =HYPERLINK("CSG9.html#group63D9", "63D⁹"), =HYPERLINK("CSG0.html#group7D0", "7D⁰"), =HYPERLINK("CSG1.html#group21E1", "21E¹"), =HYPERLINK("CSG0.html#group9A0", "9A⁰"), =HYPERLINK("CSG2.html#group63A2", "63A²"), =HYPERLINK("CSG0.html#group21A0", "21A⁰"), =HYPERLINK("CSG0.html#group3A0", "3A⁰"), =HYPERLINK("CSG0.html#group1A0", "1A⁰"), =HYPERLINK("CSG0.html#group7A0", "7A⁰")</f>
        <v/>
      </c>
      <c r="N6626" t="inlineStr"/>
    </row>
    <row r="6627">
      <c r="A6627" t="inlineStr">
        <is>
          <t>64A²¹</t>
        </is>
      </c>
      <c r="B6627" t="inlineStr"/>
      <c r="C6627" t="inlineStr">
        <is>
          <t>384</t>
        </is>
      </c>
      <c r="D6627" t="inlineStr">
        <is>
          <t>1</t>
        </is>
      </c>
      <c r="E6627" t="inlineStr">
        <is>
          <t>6</t>
        </is>
      </c>
      <c r="F6627" t="inlineStr">
        <is>
          <t>0</t>
        </is>
      </c>
      <c r="G6627" t="inlineStr">
        <is>
          <t>0</t>
        </is>
      </c>
      <c r="H6627" t="inlineStr">
        <is>
          <t>4¹⁶, 16⁴, 64⁴</t>
        </is>
      </c>
      <c r="I6627" t="n">
        <v>24</v>
      </c>
      <c r="J6627" t="inlineStr">
        <is>
          <t>1⁴, 2¹</t>
        </is>
      </c>
      <c r="K6627">
        <f>HYPERLINK("CSG9.html#group32C9", "32C⁹"), =HYPERLINK("CSG9.html#group64B9", "64B⁹")</f>
        <v/>
      </c>
      <c r="L6627" t="inlineStr"/>
      <c r="M6627">
        <f>HYPERLINK("CSG0.html#group2A0", "2A⁰"), =HYPERLINK("CSG9.html#group32C9", "32C⁹"), =HYPERLINK("CSG2.html#group16C2", "16C²"), =HYPERLINK("CSG0.html#group8D0", "8D⁰"), =HYPERLINK("CSG1.html#group16E1", "16E¹"), =HYPERLINK("CSG0.html#group4C0", "4C⁰"), =HYPERLINK("CSG3.html#group32A3", "32A³"), =HYPERLINK("CSG1.html#group16A1", "16A¹"), =HYPERLINK("CSG0.html#group8C0", "8C⁰"), =HYPERLINK("CSG0.html#group4E0", "4E⁰"), =HYPERLINK("CSG0.html#group2B0", "2B⁰"), =HYPERLINK("CSG0.html#group8I0", "8I⁰"), =HYPERLINK("CSG3.html#group16J3", "16J³"), =HYPERLINK("CSG0.html#group4B0", "4B⁰"), =HYPERLINK("CSG0.html#group1A0", "1A⁰"), =HYPERLINK("CSG3.html#group32J3", "32J³"), =HYPERLINK("CSG5.html#group64A5", "64A⁵"), =HYPERLINK("CSG1.html#group32A1", "32A¹"), =HYPERLINK("CSG0.html#group8O0", "8O⁰"), =HYPERLINK("CSG5.html#group32B5", "32B⁵"), =HYPERLINK("CSG0.html#group8G0", "8G⁰"), =HYPERLINK("CSG0.html#group16C0", "16C⁰"), =HYPERLINK("CSG1.html#group16C1", "16C¹"), =HYPERLINK("CSG3.html#group64A3", "64A³"), =HYPERLINK("CSG0.html#group8J0", "8J⁰"), =HYPERLINK("CSG0.html#group2C0", "2C⁰"), =HYPERLINK("CSG9.html#group64B9", "64B⁹"), =HYPERLINK("CSG3.html#group32B3", "32B³")</f>
        <v/>
      </c>
      <c r="N6627" t="inlineStr"/>
    </row>
    <row r="6628">
      <c r="A6628" t="inlineStr">
        <is>
          <t>64B²¹</t>
        </is>
      </c>
      <c r="B6628" t="inlineStr"/>
      <c r="C6628" t="inlineStr">
        <is>
          <t>384</t>
        </is>
      </c>
      <c r="D6628" t="inlineStr">
        <is>
          <t>1</t>
        </is>
      </c>
      <c r="E6628" t="inlineStr">
        <is>
          <t>6</t>
        </is>
      </c>
      <c r="F6628" t="inlineStr">
        <is>
          <t>0</t>
        </is>
      </c>
      <c r="G6628" t="inlineStr">
        <is>
          <t>0</t>
        </is>
      </c>
      <c r="H6628" t="inlineStr">
        <is>
          <t>4¹⁶, 16⁴, 64⁴</t>
        </is>
      </c>
      <c r="I6628" t="n">
        <v>24</v>
      </c>
      <c r="J6628" t="inlineStr">
        <is>
          <t>1⁴, 2¹</t>
        </is>
      </c>
      <c r="K6628">
        <f>HYPERLINK("CSG9.html#group32C9", "32C⁹"), =HYPERLINK("CSG9.html#group64C9", "64C⁹")</f>
        <v/>
      </c>
      <c r="L6628" t="inlineStr"/>
      <c r="M6628">
        <f>HYPERLINK("CSG9.html#group64C9", "64C⁹"), =HYPERLINK("CSG0.html#group2A0", "2A⁰"), =HYPERLINK("CSG9.html#group32C9", "32C⁹"), =HYPERLINK("CSG2.html#group16C2", "16C²"), =HYPERLINK("CSG0.html#group8D0", "8D⁰"), =HYPERLINK("CSG1.html#group16E1", "16E¹"), =HYPERLINK("CSG0.html#group4C0", "4C⁰"), =HYPERLINK("CSG3.html#group32A3", "32A³"), =HYPERLINK("CSG3.html#group64B3", "64B³"), =HYPERLINK("CSG1.html#group16A1", "16A¹"), =HYPERLINK("CSG0.html#group8C0", "8C⁰"), =HYPERLINK("CSG0.html#group2B0", "2B⁰"), =HYPERLINK("CSG0.html#group4E0", "4E⁰"), =HYPERLINK("CSG0.html#group8I0", "8I⁰"), =HYPERLINK("CSG0.html#group4B0", "4B⁰"), =HYPERLINK("CSG3.html#group16J3", "16J³"), =HYPERLINK("CSG0.html#group1A0", "1A⁰"), =HYPERLINK("CSG3.html#group32J3", "32J³"), =HYPERLINK("CSG5.html#group64B5", "64B⁵"), =HYPERLINK("CSG1.html#group32A1", "32A¹"), =HYPERLINK("CSG0.html#group8O0", "8O⁰"), =HYPERLINK("CSG5.html#group32B5", "32B⁵"), =HYPERLINK("CSG0.html#group8G0", "8G⁰"), =HYPERLINK("CSG0.html#group16C0", "16C⁰"), =HYPERLINK("CSG1.html#group16C1", "16C¹"), =HYPERLINK("CSG0.html#group8J0", "8J⁰"), =HYPERLINK("CSG0.html#group2C0", "2C⁰"), =HYPERLINK("CSG3.html#group32B3", "32B³")</f>
        <v/>
      </c>
      <c r="N6628" t="inlineStr"/>
    </row>
    <row r="6629">
      <c r="A6629" t="inlineStr">
        <is>
          <t>64C²¹</t>
        </is>
      </c>
      <c r="B6629" t="inlineStr"/>
      <c r="C6629" t="inlineStr">
        <is>
          <t>384</t>
        </is>
      </c>
      <c r="D6629" t="inlineStr">
        <is>
          <t>1</t>
        </is>
      </c>
      <c r="E6629" t="inlineStr">
        <is>
          <t>6</t>
        </is>
      </c>
      <c r="F6629" t="inlineStr">
        <is>
          <t>0</t>
        </is>
      </c>
      <c r="G6629" t="inlineStr">
        <is>
          <t>0</t>
        </is>
      </c>
      <c r="H6629" t="inlineStr">
        <is>
          <t>4¹⁶, 16⁴, 64⁴</t>
        </is>
      </c>
      <c r="I6629" t="n">
        <v>24</v>
      </c>
      <c r="J6629" t="inlineStr">
        <is>
          <t>1⁴, 2¹</t>
        </is>
      </c>
      <c r="K6629">
        <f>HYPERLINK("CSG5.html#group32M5", "32M⁵"), =HYPERLINK("CSG11.html#group64A11", "64A¹¹"), =HYPERLINK("CSG11.html#group64B11", "64B¹¹")</f>
        <v/>
      </c>
      <c r="L6629" t="inlineStr"/>
      <c r="M6629">
        <f>HYPERLINK("CSG0.html#group2A0", "2A⁰"), =HYPERLINK("CSG0.html#group16G0", "16G⁰"), =HYPERLINK("CSG3.html#group32M3", "32M³"), =HYPERLINK("CSG0.html#group4C0", "4C⁰"), =HYPERLINK("CSG1.html#group16A1", "16A¹"), =HYPERLINK("CSG0.html#group8C0", "8C⁰"), =HYPERLINK("CSG0.html#group2B0", "2B⁰"), =HYPERLINK("CSG0.html#group4E0", "4E⁰"), =HYPERLINK("CSG0.html#group4B0", "4B⁰"), =HYPERLINK("CSG0.html#group1A0", "1A⁰"), =HYPERLINK("CSG5.html#group32M5", "32M⁵"), =HYPERLINK("CSG0.html#group16H0", "16H⁰"), =HYPERLINK("CSG0.html#group16E0", "16E⁰"), =HYPERLINK("CSG1.html#group32A1", "32A¹"), =HYPERLINK("CSG0.html#group8G0", "8G⁰"), =HYPERLINK("CSG0.html#group16C0", "16C⁰"), =HYPERLINK("CSG0.html#group32A0", "32A⁰"), =HYPERLINK("CSG1.html#group16M1", "16M¹"), =HYPERLINK("CSG1.html#group32E1", "32E¹"), =HYPERLINK("CSG0.html#group8J0", "8J⁰"), =HYPERLINK("CSG0.html#group8D0", "8D⁰"), =HYPERLINK("CSG1.html#group16E1", "16E¹"), =HYPERLINK("CSG11.html#group64B11", "64B¹¹"), =HYPERLINK("CSG0.html#group8I0", "8I⁰"), =HYPERLINK("CSG3.html#group32K3", "32K³"), =HYPERLINK("CSG6.html#group64A6", "64A⁶"), =HYPERLINK("CSG3.html#group32J3", "32J³"), =HYPERLINK("CSG1.html#group16G1", "16G¹"), =HYPERLINK("CSG0.html#group16D0", "16D⁰"), =HYPERLINK("CSG2.html#group32A2", "32A²"), =HYPERLINK("CSG11.html#group64A11", "64A¹¹"), =HYPERLINK("CSG0.html#group2C0", "2C⁰"), =HYPERLINK("CSG0.html#group8O0", "8O⁰")</f>
        <v/>
      </c>
      <c r="N6629" t="inlineStr"/>
    </row>
    <row r="6630">
      <c r="A6630" t="inlineStr">
        <is>
          <t>64D²¹</t>
        </is>
      </c>
      <c r="B6630" t="inlineStr"/>
      <c r="C6630" t="inlineStr">
        <is>
          <t>384</t>
        </is>
      </c>
      <c r="D6630" t="inlineStr">
        <is>
          <t>1</t>
        </is>
      </c>
      <c r="E6630" t="inlineStr">
        <is>
          <t>12</t>
        </is>
      </c>
      <c r="F6630" t="inlineStr">
        <is>
          <t>0</t>
        </is>
      </c>
      <c r="G6630" t="inlineStr">
        <is>
          <t>0</t>
        </is>
      </c>
      <c r="H6630" t="inlineStr">
        <is>
          <t>4¹⁶, 16⁴, 64⁴</t>
        </is>
      </c>
      <c r="I6630" t="n">
        <v>24</v>
      </c>
      <c r="J6630" t="inlineStr">
        <is>
          <t>1⁴, 2², 4¹</t>
        </is>
      </c>
      <c r="K6630">
        <f>HYPERLINK("CSG7.html#group64K7", "64K⁷"), =HYPERLINK("CSG9.html#group32B9", "32B⁹"), =HYPERLINK("CSG11.html#group64A11", "64A¹¹")</f>
        <v/>
      </c>
      <c r="L6630" t="inlineStr"/>
      <c r="M6630">
        <f>HYPERLINK("CSG0.html#group2A0", "2A⁰"), =HYPERLINK("CSG0.html#group4C0", "4C⁰"), =HYPERLINK("CSG1.html#group16A1", "16A¹"), =HYPERLINK("CSG0.html#group8C0", "8C⁰"), =HYPERLINK("CSG0.html#group4E0", "4E⁰"), =HYPERLINK("CSG0.html#group2B0", "2B⁰"), =HYPERLINK("CSG0.html#group4G0", "4G⁰"), =HYPERLINK("CSG0.html#group4B0", "4B⁰"), =HYPERLINK("CSG1.html#group8F1", "8F¹"), =HYPERLINK("CSG0.html#group1A0", "1A⁰"), =HYPERLINK("CSG5.html#group32B5", "32B⁵"), =HYPERLINK("CSG0.html#group8G0", "8G⁰"), =HYPERLINK("CSG0.html#group16C0", "16C⁰"), =HYPERLINK("CSG0.html#group4D0", "4D⁰"), =HYPERLINK("CSG0.html#group32A0", "32A⁰"), =HYPERLINK("CSG2.html#group64A2", "64A²"), =HYPERLINK("CSG1.html#group16H1", "16H¹"), =HYPERLINK("CSG3.html#group32B3", "32B³"), =HYPERLINK("CSG1.html#group8A1", "8A¹"), =HYPERLINK("CSG0.html#group8D0", "8D⁰"), =HYPERLINK("CSG1.html#group16E1", "16E¹"), =HYPERLINK("CSG3.html#group32A3", "32A³"), =HYPERLINK("CSG0.html#group8B0", "8B⁰"), =HYPERLINK("CSG1.html#group8B1", "8B¹"), =HYPERLINK("CSG3.html#group32K3", "32K³"), =HYPERLINK("CSG6.html#group64A6", "64A⁶"), =HYPERLINK("CSG3.html#group16H3", "16H³"), =HYPERLINK("CSG0.html#group8H0", "8H⁰"), =HYPERLINK("CSG1.html#group8C1", "8C¹"), =HYPERLINK("CSG0.html#group4A0", "4A⁰"), =HYPERLINK("CSG9.html#group32B9", "32B⁹"), =HYPERLINK("CSG7.html#group64K7", "64K⁷"), =HYPERLINK("CSG2.html#group32A2", "32A²"), =HYPERLINK("CSG0.html#group4F0", "4F⁰"), =HYPERLINK("CSG11.html#group64A11", "64A¹¹"), =HYPERLINK("CSG0.html#group2C0", "2C⁰")</f>
        <v/>
      </c>
      <c r="N6630" t="inlineStr"/>
    </row>
    <row r="6631">
      <c r="A6631" t="inlineStr">
        <is>
          <t>64E²¹</t>
        </is>
      </c>
      <c r="B6631" t="inlineStr"/>
      <c r="C6631" t="inlineStr">
        <is>
          <t>384</t>
        </is>
      </c>
      <c r="D6631" t="inlineStr">
        <is>
          <t>1</t>
        </is>
      </c>
      <c r="E6631" t="inlineStr">
        <is>
          <t>12</t>
        </is>
      </c>
      <c r="F6631" t="inlineStr">
        <is>
          <t>0</t>
        </is>
      </c>
      <c r="G6631" t="inlineStr">
        <is>
          <t>0</t>
        </is>
      </c>
      <c r="H6631" t="inlineStr">
        <is>
          <t>4¹⁶, 16⁴, 64⁴</t>
        </is>
      </c>
      <c r="I6631" t="n">
        <v>24</v>
      </c>
      <c r="J6631" t="inlineStr">
        <is>
          <t>1⁴, 2², 4¹</t>
        </is>
      </c>
      <c r="K6631">
        <f>HYPERLINK("CSG7.html#group64K7", "64K⁷"), =HYPERLINK("CSG9.html#group32D9", "32D⁹"), =HYPERLINK("CSG11.html#group64A11", "64A¹¹")</f>
        <v/>
      </c>
      <c r="L6631" t="inlineStr"/>
      <c r="M6631">
        <f>HYPERLINK("CSG0.html#group2A0", "2A⁰"), =HYPERLINK("CSG2.html#group16C2", "16C²"), =HYPERLINK("CSG0.html#group8D0", "8D⁰"), =HYPERLINK("CSG1.html#group16E1", "16E¹"), =HYPERLINK("CSG0.html#group4C0", "4C⁰"), =HYPERLINK("CSG9.html#group32D9", "32D⁹"), =HYPERLINK("CSG1.html#group16A1", "16A¹"), =HYPERLINK("CSG0.html#group8C0", "8C⁰"), =HYPERLINK("CSG0.html#group4E0", "4E⁰"), =HYPERLINK("CSG0.html#group2B0", "2B⁰"), =HYPERLINK("CSG3.html#group32K3", "32K³"), =HYPERLINK("CSG3.html#group16J3", "16J³"), =HYPERLINK("CSG0.html#group8I0", "8I⁰"), =HYPERLINK("CSG0.html#group4B0", "4B⁰"), =HYPERLINK("CSG0.html#group1A0", "1A⁰"), =HYPERLINK("CSG3.html#group32C3", "32C³"), =HYPERLINK("CSG6.html#group64A6", "64A⁶"), =HYPERLINK("CSG0.html#group8G0", "8G⁰"), =HYPERLINK("CSG0.html#group16C0", "16C⁰"), =HYPERLINK("CSG1.html#group16C1", "16C¹"), =HYPERLINK("CSG0.html#group32A0", "32A⁰"), =HYPERLINK("CSG5.html#group32A5", "32A⁵"), =HYPERLINK("CSG7.html#group64K7", "64K⁷"), =HYPERLINK("CSG2.html#group32A2", "32A²"), =HYPERLINK("CSG2.html#group64A2", "64A²"), =HYPERLINK("CSG11.html#group64A11", "64A¹¹"), =HYPERLINK("CSG0.html#group2C0", "2C⁰"), =HYPERLINK("CSG0.html#group8J0", "8J⁰"), =HYPERLINK("CSG0.html#group8O0", "8O⁰")</f>
        <v/>
      </c>
      <c r="N6631" t="inlineStr"/>
    </row>
    <row r="6632">
      <c r="A6632" t="inlineStr">
        <is>
          <t>64F²¹</t>
        </is>
      </c>
      <c r="B6632" t="inlineStr"/>
      <c r="C6632" t="inlineStr">
        <is>
          <t>384</t>
        </is>
      </c>
      <c r="D6632" t="inlineStr">
        <is>
          <t>1</t>
        </is>
      </c>
      <c r="E6632" t="inlineStr">
        <is>
          <t>12</t>
        </is>
      </c>
      <c r="F6632" t="inlineStr">
        <is>
          <t>0</t>
        </is>
      </c>
      <c r="G6632" t="inlineStr">
        <is>
          <t>0</t>
        </is>
      </c>
      <c r="H6632" t="inlineStr">
        <is>
          <t>4¹⁶, 16⁴, 64⁴</t>
        </is>
      </c>
      <c r="I6632" t="n">
        <v>24</v>
      </c>
      <c r="J6632" t="inlineStr">
        <is>
          <t>1⁴, 2², 4¹</t>
        </is>
      </c>
      <c r="K6632">
        <f>HYPERLINK("CSG9.html#group32A9", "32A⁹"), =HYPERLINK("CSG9.html#group64C9", "64C⁹"), =HYPERLINK("CSG9.html#group64B9", "64B⁹")</f>
        <v/>
      </c>
      <c r="L6632" t="inlineStr"/>
      <c r="M6632">
        <f>HYPERLINK("CSG9.html#group64C9", "64C⁹"), =HYPERLINK("CSG0.html#group2A0", "2A⁰"), =HYPERLINK("CSG0.html#group4C0", "4C⁰"), =HYPERLINK("CSG3.html#group64B3", "64B³"), =HYPERLINK("CSG1.html#group16A1", "16A¹"), =HYPERLINK("CSG0.html#group8C0", "8C⁰"), =HYPERLINK("CSG0.html#group2B0", "2B⁰"), =HYPERLINK("CSG0.html#group4E0", "4E⁰"), =HYPERLINK("CSG0.html#group4G0", "4G⁰"), =HYPERLINK("CSG0.html#group4B0", "4B⁰"), =HYPERLINK("CSG1.html#group8F1", "8F¹"), =HYPERLINK("CSG0.html#group1A0", "1A⁰"), =HYPERLINK("CSG3.html#group32C3", "32C³"), =HYPERLINK("CSG1.html#group32A1", "32A¹"), =HYPERLINK("CSG0.html#group8G0", "8G⁰"), =HYPERLINK("CSG0.html#group16C0", "16C⁰"), =HYPERLINK("CSG0.html#group4D0", "4D⁰"), =HYPERLINK("CSG5.html#group32A5", "32A⁵"), =HYPERLINK("CSG1.html#group16H1", "16H¹"), =HYPERLINK("CSG1.html#group8A1", "8A¹"), =HYPERLINK("CSG0.html#group8D0", "8D⁰"), =HYPERLINK("CSG1.html#group16E1", "16E¹"), =HYPERLINK("CSG9.html#group32A9", "32A⁹"), =HYPERLINK("CSG0.html#group8B0", "8B⁰"), =HYPERLINK("CSG1.html#group8B1", "8B¹"), =HYPERLINK("CSG3.html#group32J3", "32J³"), =HYPERLINK("CSG3.html#group16H3", "16H³"), =HYPERLINK("CSG5.html#group64B5", "64B⁵"), =HYPERLINK("CSG0.html#group8H0", "8H⁰"), =HYPERLINK("CSG1.html#group8C1", "8C¹"), =HYPERLINK("CSG0.html#group4A0", "4A⁰"), =HYPERLINK("CSG0.html#group4F0", "4F⁰"), =HYPERLINK("CSG3.html#group64A3", "64A³"), =HYPERLINK("CSG0.html#group2C0", "2C⁰"), =HYPERLINK("CSG9.html#group64B9", "64B⁹"), =HYPERLINK("CSG5.html#group64A5", "64A⁵")</f>
        <v/>
      </c>
      <c r="N6632" t="inlineStr"/>
    </row>
    <row r="6633">
      <c r="A6633" t="inlineStr">
        <is>
          <t>64G²¹</t>
        </is>
      </c>
      <c r="B6633" t="inlineStr"/>
      <c r="C6633" t="inlineStr">
        <is>
          <t>384</t>
        </is>
      </c>
      <c r="D6633" t="inlineStr">
        <is>
          <t>1</t>
        </is>
      </c>
      <c r="E6633" t="inlineStr">
        <is>
          <t>12</t>
        </is>
      </c>
      <c r="F6633" t="inlineStr">
        <is>
          <t>32</t>
        </is>
      </c>
      <c r="G6633" t="inlineStr">
        <is>
          <t>0</t>
        </is>
      </c>
      <c r="H6633" t="inlineStr">
        <is>
          <t>32⁴, 64⁴</t>
        </is>
      </c>
      <c r="I6633" t="n">
        <v>8</v>
      </c>
      <c r="J6633" t="inlineStr">
        <is>
          <t>2², 4²</t>
        </is>
      </c>
      <c r="K6633">
        <f>HYPERLINK("CSG9.html#group32F9", "32F⁹"), =HYPERLINK("CSG9.html#group64F9", "64F⁹")</f>
        <v/>
      </c>
      <c r="L6633" t="inlineStr"/>
      <c r="M6633">
        <f>HYPERLINK("CSG5.html#group32E5", "32E⁵"), =HYPERLINK("CSG9.html#group32F9", "32F⁹"), =HYPERLINK("CSG0.html#group8D0", "8D⁰"), =HYPERLINK("CSG0.html#group4C0", "4C⁰"), =HYPERLINK("CSG0.html#group8B0", "8B⁰"), =HYPERLINK("CSG0.html#group8A0", "8A⁰"), =HYPERLINK("CSG9.html#group64F9", "64F⁹"), =HYPERLINK("CSG1.html#group16B1", "16B¹"), =HYPERLINK("CSG0.html#group2B0", "2B⁰"), =HYPERLINK("CSG3.html#group32L3", "32L³"), =HYPERLINK("CSG0.html#group1A0", "1A⁰"), =HYPERLINK("CSG0.html#group8K0", "8K⁰"), =HYPERLINK("CSG1.html#group8D1", "8D¹"), =HYPERLINK("CSG1.html#group8H1", "8H¹"), =HYPERLINK("CSG0.html#group16B0", "16B⁰"), =HYPERLINK("CSG0.html#group8H0", "8H⁰"), =HYPERLINK("CSG3.html#group16K3", "16K³"), =HYPERLINK("CSG0.html#group4A0", "4A⁰"), =HYPERLINK("CSG1.html#group32B1", "32B¹"), =HYPERLINK("CSG0.html#group4F0", "4F⁰"), =HYPERLINK("CSG1.html#group16F1", "16F¹"), =HYPERLINK("CSG1.html#group16H1", "16H¹")</f>
        <v/>
      </c>
      <c r="N6633" t="inlineStr"/>
    </row>
    <row r="6634">
      <c r="A6634" t="inlineStr">
        <is>
          <t>64H²¹</t>
        </is>
      </c>
      <c r="B6634" t="inlineStr"/>
      <c r="C6634" t="inlineStr">
        <is>
          <t>384</t>
        </is>
      </c>
      <c r="D6634" t="inlineStr">
        <is>
          <t>1</t>
        </is>
      </c>
      <c r="E6634" t="inlineStr">
        <is>
          <t>12</t>
        </is>
      </c>
      <c r="F6634" t="inlineStr">
        <is>
          <t>32</t>
        </is>
      </c>
      <c r="G6634" t="inlineStr">
        <is>
          <t>0</t>
        </is>
      </c>
      <c r="H6634" t="inlineStr">
        <is>
          <t>32⁴, 64⁴</t>
        </is>
      </c>
      <c r="I6634" t="n">
        <v>8</v>
      </c>
      <c r="J6634" t="inlineStr">
        <is>
          <t>1², 2¹, 4²</t>
        </is>
      </c>
      <c r="K6634">
        <f>HYPERLINK("CSG9.html#group32G9", "32G⁹"), =HYPERLINK("CSG9.html#group64F9", "64F⁹")</f>
        <v/>
      </c>
      <c r="L6634" t="inlineStr"/>
      <c r="M6634">
        <f>HYPERLINK("CSG5.html#group32F5", "32F⁵"), =HYPERLINK("CSG1.html#group16I1", "16I¹"), =HYPERLINK("CSG0.html#group8D0", "8D⁰"), =HYPERLINK("CSG0.html#group4C0", "4C⁰"), =HYPERLINK("CSG0.html#group8B0", "8B⁰"), =HYPERLINK("CSG9.html#group64F9", "64F⁹"), =HYPERLINK("CSG1.html#group16B1", "16B¹"), =HYPERLINK("CSG0.html#group2B0", "2B⁰"), =HYPERLINK("CSG9.html#group32G9", "32G⁹"), =HYPERLINK("CSG0.html#group1A0", "1A⁰"), =HYPERLINK("CSG0.html#group16B0", "16B⁰"), =HYPERLINK("CSG0.html#group8H0", "8H⁰"), =HYPERLINK("CSG0.html#group16E0", "16E⁰"), =HYPERLINK("CSG0.html#group8F0", "8F⁰"), =HYPERLINK("CSG3.html#group16L3", "16L³"), =HYPERLINK("CSG0.html#group4A0", "4A⁰"), =HYPERLINK("CSG1.html#group8I1", "8I¹"), =HYPERLINK("CSG1.html#group16C1", "16C¹"), =HYPERLINK("CSG1.html#group32B1", "32B¹"), =HYPERLINK("CSG0.html#group4F0", "4F⁰"), =HYPERLINK("CSG1.html#group16F1", "16F¹"), =HYPERLINK("CSG3.html#group32L3", "32L³")</f>
        <v/>
      </c>
      <c r="N6634" t="inlineStr"/>
    </row>
    <row r="6635">
      <c r="A6635" t="inlineStr">
        <is>
          <t>64I²¹</t>
        </is>
      </c>
      <c r="B6635" t="inlineStr"/>
      <c r="C6635" t="inlineStr">
        <is>
          <t>384</t>
        </is>
      </c>
      <c r="D6635" t="inlineStr">
        <is>
          <t>1</t>
        </is>
      </c>
      <c r="E6635" t="inlineStr">
        <is>
          <t>12</t>
        </is>
      </c>
      <c r="F6635" t="inlineStr">
        <is>
          <t>32</t>
        </is>
      </c>
      <c r="G6635" t="inlineStr">
        <is>
          <t>0</t>
        </is>
      </c>
      <c r="H6635" t="inlineStr">
        <is>
          <t>32⁴, 64⁴</t>
        </is>
      </c>
      <c r="I6635" t="n">
        <v>8</v>
      </c>
      <c r="J6635" t="inlineStr">
        <is>
          <t>2⁶</t>
        </is>
      </c>
      <c r="K6635">
        <f>HYPERLINK("CSG9.html#group32H9", "32H⁹"), =HYPERLINK("CSG9.html#group64F9", "64F⁹"), =HYPERLINK("CSG9.html#group64I9", "64I⁹")</f>
        <v/>
      </c>
      <c r="L6635" t="inlineStr"/>
      <c r="M6635">
        <f>HYPERLINK("CSG5.html#group32L5", "32L⁵"), =HYPERLINK("CSG9.html#group32H9", "32H⁹"), =HYPERLINK("CSG9.html#group64I9", "64I⁹"), =HYPERLINK("CSG0.html#group8D0", "8D⁰"), =HYPERLINK("CSG0.html#group4C0", "4C⁰"), =HYPERLINK("CSG3.html#group16M3", "16M³"), =HYPERLINK("CSG0.html#group8B0", "8B⁰"), =HYPERLINK("CSG9.html#group64F9", "64F⁹"), =HYPERLINK("CSG0.html#group8L0", "8L⁰"), =HYPERLINK("CSG0.html#group2B0", "2B⁰"), =HYPERLINK("CSG1.html#group16B1", "16B¹"), =HYPERLINK("CSG5.html#group32G5", "32G⁵"), =HYPERLINK("CSG1.html#group16J1", "16J¹"), =HYPERLINK("CSG0.html#group1A0", "1A⁰"), =HYPERLINK("CSG2.html#group16E2", "16E²"), =HYPERLINK("CSG3.html#group32N3", "32N³"), =HYPERLINK("CSG0.html#group16B0", "16B⁰"), =HYPERLINK("CSG0.html#group8H0", "8H⁰"), =HYPERLINK("CSG1.html#group16D1", "16D¹"), =HYPERLINK("CSG2.html#group16F2", "16F²"), =HYPERLINK("CSG0.html#group4A0", "4A⁰"), =HYPERLINK("CSG3.html#group32D3", "32D³"), =HYPERLINK("CSG1.html#group32B1", "32B¹"), =HYPERLINK("CSG0.html#group4F0", "4F⁰"), =HYPERLINK("CSG1.html#group16F1", "16F¹"), =HYPERLINK("CSG0.html#group8P0", "8P⁰"), =HYPERLINK("CSG3.html#group32L3", "32L³")</f>
        <v/>
      </c>
      <c r="N6635" t="inlineStr"/>
    </row>
    <row r="6636">
      <c r="A6636" t="inlineStr">
        <is>
          <t>64J²¹</t>
        </is>
      </c>
      <c r="B6636" t="inlineStr"/>
      <c r="C6636" t="inlineStr">
        <is>
          <t>384</t>
        </is>
      </c>
      <c r="D6636" t="inlineStr">
        <is>
          <t>1</t>
        </is>
      </c>
      <c r="E6636" t="inlineStr">
        <is>
          <t>24</t>
        </is>
      </c>
      <c r="F6636" t="inlineStr">
        <is>
          <t>0</t>
        </is>
      </c>
      <c r="G6636" t="inlineStr">
        <is>
          <t>0</t>
        </is>
      </c>
      <c r="H6636" t="inlineStr">
        <is>
          <t>4¹⁶, 16⁴, 64⁴</t>
        </is>
      </c>
      <c r="I6636" t="n">
        <v>24</v>
      </c>
      <c r="J6636" t="inlineStr">
        <is>
          <t>1⁴, 2², 4², 8¹</t>
        </is>
      </c>
      <c r="K6636">
        <f>HYPERLINK("CSG7.html#group32M7", "32M⁷"), =HYPERLINK("CSG9.html#group64D9", "64D⁹"), =HYPERLINK("CSG11.html#group64B11", "64B¹¹")</f>
        <v/>
      </c>
      <c r="L6636" t="inlineStr"/>
      <c r="M6636">
        <f>HYPERLINK("CSG9.html#group64D9", "64D⁹"), =HYPERLINK("CSG2.html#group32C2", "32C²"), =HYPERLINK("CSG3.html#group32M3", "32M³"), =HYPERLINK("CSG11.html#group64B11", "64B¹¹"), =HYPERLINK("CSG0.html#group8C0", "8C⁰"), =HYPERLINK("CSG7.html#group32M7", "32M⁷"), =HYPERLINK("CSG0.html#group2B0", "2B⁰"), =HYPERLINK("CSG0.html#group8I0", "8I⁰"), =HYPERLINK("CSG0.html#group4B0", "4B⁰"), =HYPERLINK("CSG0.html#group1A0", "1A⁰"), =HYPERLINK("CSG6.html#group64A6", "64A⁶"), =HYPERLINK("CSG2.html#group16J2", "16J²"), =HYPERLINK("CSG0.html#group16H0", "16H⁰"), =HYPERLINK("CSG5.html#group64B5", "64B⁵"), =HYPERLINK("CSG1.html#group32A1", "32A¹"), =HYPERLINK("CSG0.html#group16C0", "16C⁰"), =HYPERLINK("CSG0.html#group16D0", "16D⁰"), =HYPERLINK("CSG2.html#group32A2", "32A²"), =HYPERLINK("CSG3.html#group64A3", "64A³")</f>
        <v/>
      </c>
      <c r="N6636" t="inlineStr"/>
    </row>
    <row r="6637">
      <c r="A6637" t="inlineStr">
        <is>
          <t>64K²¹</t>
        </is>
      </c>
      <c r="B6637" t="inlineStr"/>
      <c r="C6637" t="inlineStr">
        <is>
          <t>384</t>
        </is>
      </c>
      <c r="D6637" t="inlineStr">
        <is>
          <t>1</t>
        </is>
      </c>
      <c r="E6637" t="inlineStr">
        <is>
          <t>24</t>
        </is>
      </c>
      <c r="F6637" t="inlineStr">
        <is>
          <t>0</t>
        </is>
      </c>
      <c r="G6637" t="inlineStr">
        <is>
          <t>0</t>
        </is>
      </c>
      <c r="H6637" t="inlineStr">
        <is>
          <t>4¹⁶, 16⁴, 64⁴</t>
        </is>
      </c>
      <c r="I6637" t="n">
        <v>24</v>
      </c>
      <c r="J6637" t="inlineStr">
        <is>
          <t>1⁴, 2², 4², 8¹</t>
        </is>
      </c>
      <c r="K6637">
        <f>HYPERLINK("CSG7.html#group32M7", "32M⁷"), =HYPERLINK("CSG9.html#group64E9", "64E⁹"), =HYPERLINK("CSG11.html#group64B11", "64B¹¹")</f>
        <v/>
      </c>
      <c r="L6637" t="inlineStr"/>
      <c r="M6637">
        <f>HYPERLINK("CSG2.html#group32C2", "32C²"), =HYPERLINK("CSG3.html#group32M3", "32M³"), =HYPERLINK("CSG11.html#group64B11", "64B¹¹"), =HYPERLINK("CSG3.html#group64B3", "64B³"), =HYPERLINK("CSG0.html#group8C0", "8C⁰"), =HYPERLINK("CSG7.html#group32M7", "32M⁷"), =HYPERLINK("CSG0.html#group2B0", "2B⁰"), =HYPERLINK("CSG0.html#group8I0", "8I⁰"), =HYPERLINK("CSG0.html#group4B0", "4B⁰"), =HYPERLINK("CSG0.html#group1A0", "1A⁰"), =HYPERLINK("CSG6.html#group64A6", "64A⁶"), =HYPERLINK("CSG2.html#group16J2", "16J²"), =HYPERLINK("CSG0.html#group16H0", "16H⁰"), =HYPERLINK("CSG1.html#group32A1", "32A¹"), =HYPERLINK("CSG9.html#group64E9", "64E⁹"), =HYPERLINK("CSG0.html#group16C0", "16C⁰"), =HYPERLINK("CSG0.html#group16D0", "16D⁰"), =HYPERLINK("CSG2.html#group32A2", "32A²"), =HYPERLINK("CSG5.html#group64A5", "64A⁵")</f>
        <v/>
      </c>
      <c r="N6637" t="inlineStr"/>
    </row>
    <row r="6638">
      <c r="A6638" t="inlineStr">
        <is>
          <t>64L²¹</t>
        </is>
      </c>
      <c r="B6638" t="inlineStr"/>
      <c r="C6638" t="inlineStr">
        <is>
          <t>384</t>
        </is>
      </c>
      <c r="D6638" t="inlineStr">
        <is>
          <t>1</t>
        </is>
      </c>
      <c r="E6638" t="inlineStr">
        <is>
          <t>24</t>
        </is>
      </c>
      <c r="F6638" t="inlineStr">
        <is>
          <t>32</t>
        </is>
      </c>
      <c r="G6638" t="inlineStr">
        <is>
          <t>0</t>
        </is>
      </c>
      <c r="H6638" t="inlineStr">
        <is>
          <t>32⁴, 64⁴</t>
        </is>
      </c>
      <c r="I6638" t="n">
        <v>8</v>
      </c>
      <c r="J6638" t="inlineStr">
        <is>
          <t>2⁸, 8¹</t>
        </is>
      </c>
      <c r="K6638">
        <f>HYPERLINK("CSG9.html#group32O9", "32O⁹"), =HYPERLINK("CSG9.html#group64I9", "64I⁹")</f>
        <v/>
      </c>
      <c r="L6638" t="inlineStr"/>
      <c r="M6638">
        <f>HYPERLINK("CSG5.html#group32K5", "32K⁵"), =HYPERLINK("CSG9.html#group64I9", "64I⁹"), =HYPERLINK("CSG0.html#group4C0", "4C⁰"), =HYPERLINK("CSG0.html#group8B0", "8B⁰"), =HYPERLINK("CSG0.html#group8L0", "8L⁰"), =HYPERLINK("CSG0.html#group2B0", "2B⁰"), =HYPERLINK("CSG3.html#group32G3", "32G³"), =HYPERLINK("CSG9.html#group32O9", "32O⁹"), =HYPERLINK("CSG1.html#group16J1", "16J¹"), =HYPERLINK("CSG0.html#group1A0", "1A⁰"), =HYPERLINK("CSG3.html#group32N3", "32N³"), =HYPERLINK("CSG0.html#group16B0", "16B⁰"), =HYPERLINK("CSG1.html#group16D1", "16D¹"), =HYPERLINK("CSG1.html#group32B1", "32B¹"), =HYPERLINK("CSG3.html#group16R3", "16R³"), =HYPERLINK("CSG3.html#group32H3", "32H³")</f>
        <v/>
      </c>
      <c r="N6638" t="inlineStr"/>
    </row>
    <row r="6639">
      <c r="A6639" t="inlineStr">
        <is>
          <t>64M²¹</t>
        </is>
      </c>
      <c r="B6639" t="inlineStr"/>
      <c r="C6639" t="inlineStr">
        <is>
          <t>384</t>
        </is>
      </c>
      <c r="D6639" t="inlineStr">
        <is>
          <t>1</t>
        </is>
      </c>
      <c r="E6639" t="inlineStr">
        <is>
          <t>24</t>
        </is>
      </c>
      <c r="F6639" t="inlineStr">
        <is>
          <t>32</t>
        </is>
      </c>
      <c r="G6639" t="inlineStr">
        <is>
          <t>0</t>
        </is>
      </c>
      <c r="H6639" t="inlineStr">
        <is>
          <t>32⁴, 64⁴</t>
        </is>
      </c>
      <c r="I6639" t="n">
        <v>8</v>
      </c>
      <c r="J6639" t="inlineStr">
        <is>
          <t>2⁸, 8¹</t>
        </is>
      </c>
      <c r="K6639">
        <f>HYPERLINK("CSG9.html#group32P9", "32P⁹"), =HYPERLINK("CSG9.html#group64I9", "64I⁹")</f>
        <v/>
      </c>
      <c r="L6639" t="inlineStr"/>
      <c r="M6639">
        <f>HYPERLINK("CSG5.html#group32J5", "32J⁵"), =HYPERLINK("CSG9.html#group64I9", "64I⁹"), =HYPERLINK("CSG0.html#group4C0", "4C⁰"), =HYPERLINK("CSG0.html#group8B0", "8B⁰"), =HYPERLINK("CSG3.html#group16S3", "16S³"), =HYPERLINK("CSG0.html#group8L0", "8L⁰"), =HYPERLINK("CSG0.html#group2B0", "2B⁰"), =HYPERLINK("CSG3.html#group32F3", "32F³"), =HYPERLINK("CSG1.html#group16J1", "16J¹"), =HYPERLINK("CSG0.html#group1A0", "1A⁰"), =HYPERLINK("CSG3.html#group32N3", "32N³"), =HYPERLINK("CSG0.html#group16B0", "16B⁰"), =HYPERLINK("CSG9.html#group32P9", "32P⁹"), =HYPERLINK("CSG1.html#group16D1", "16D¹"), =HYPERLINK("CSG3.html#group32E3", "32E³"), =HYPERLINK("CSG1.html#group32B1", "32B¹")</f>
        <v/>
      </c>
      <c r="N6639" t="inlineStr"/>
    </row>
    <row r="6640">
      <c r="A6640" t="inlineStr">
        <is>
          <t>64N²¹</t>
        </is>
      </c>
      <c r="B6640" t="inlineStr"/>
      <c r="C6640" t="inlineStr">
        <is>
          <t>384</t>
        </is>
      </c>
      <c r="D6640" t="inlineStr">
        <is>
          <t>1</t>
        </is>
      </c>
      <c r="E6640" t="inlineStr">
        <is>
          <t>48</t>
        </is>
      </c>
      <c r="F6640" t="inlineStr">
        <is>
          <t>0</t>
        </is>
      </c>
      <c r="G6640" t="inlineStr">
        <is>
          <t>0</t>
        </is>
      </c>
      <c r="H6640" t="inlineStr">
        <is>
          <t>4⁸, 8¹², 64⁴</t>
        </is>
      </c>
      <c r="I6640" t="n">
        <v>24</v>
      </c>
      <c r="J6640" t="inlineStr">
        <is>
          <t>1⁴, 2², 4², 8², 16¹</t>
        </is>
      </c>
      <c r="K6640">
        <f>HYPERLINK("CSG9.html#group32I9", "32I⁹")</f>
        <v/>
      </c>
      <c r="L6640" t="inlineStr"/>
      <c r="M6640">
        <f>HYPERLINK("CSG3.html#group16N3", "16N³"), =HYPERLINK("CSG5.html#group32C5", "32C⁵"), =HYPERLINK("CSG1.html#group16G1", "16G¹"), =HYPERLINK("CSG3.html#group32O3", "32O³"), =HYPERLINK("CSG0.html#group16D0", "16D⁰"), =HYPERLINK("CSG3.html#group32A3", "32A³"), =HYPERLINK("CSG1.html#group16A1", "16A¹"), =HYPERLINK("CSG0.html#group8C0", "8C⁰"), =HYPERLINK("CSG0.html#group2B0", "2B⁰"), =HYPERLINK("CSG0.html#group8I0", "8I⁰"), =HYPERLINK("CSG0.html#group1A0", "1A⁰"), =HYPERLINK("CSG0.html#group4B0", "4B⁰"), =HYPERLINK("CSG9.html#group32I9", "32I⁹"), =HYPERLINK("CSG3.html#group32C3", "32C³")</f>
        <v/>
      </c>
      <c r="N6640" t="inlineStr"/>
    </row>
    <row r="6641">
      <c r="A6641" t="inlineStr">
        <is>
          <t>64O²¹</t>
        </is>
      </c>
      <c r="B6641" t="inlineStr"/>
      <c r="C6641" t="inlineStr">
        <is>
          <t>384</t>
        </is>
      </c>
      <c r="D6641" t="inlineStr">
        <is>
          <t>1</t>
        </is>
      </c>
      <c r="E6641" t="inlineStr">
        <is>
          <t>48</t>
        </is>
      </c>
      <c r="F6641" t="inlineStr">
        <is>
          <t>0</t>
        </is>
      </c>
      <c r="G6641" t="inlineStr">
        <is>
          <t>0</t>
        </is>
      </c>
      <c r="H6641" t="inlineStr">
        <is>
          <t>4⁸, 8¹², 64⁴</t>
        </is>
      </c>
      <c r="I6641" t="n">
        <v>24</v>
      </c>
      <c r="J6641" t="inlineStr">
        <is>
          <t>1⁴, 2², 4², 8², 16¹</t>
        </is>
      </c>
      <c r="K6641">
        <f>HYPERLINK("CSG9.html#group32J9", "32J⁹")</f>
        <v/>
      </c>
      <c r="L6641" t="inlineStr"/>
      <c r="M6641">
        <f>HYPERLINK("CSG3.html#group16N3", "16N³"), =HYPERLINK("CSG1.html#group16G1", "16G¹"), =HYPERLINK("CSG3.html#group32O3", "32O³"), =HYPERLINK("CSG9.html#group32J9", "32J⁹"), =HYPERLINK("CSG0.html#group16D0", "16D⁰"), =HYPERLINK("CSG5.html#group32D5", "32D⁵"), =HYPERLINK("CSG1.html#group16A1", "16A¹"), =HYPERLINK("CSG0.html#group8C0", "8C⁰"), =HYPERLINK("CSG0.html#group2B0", "2B⁰"), =HYPERLINK("CSG0.html#group8I0", "8I⁰"), =HYPERLINK("CSG0.html#group4B0", "4B⁰"), =HYPERLINK("CSG0.html#group1A0", "1A⁰"), =HYPERLINK("CSG3.html#group32C3", "32C³"), =HYPERLINK("CSG3.html#group32B3", "32B³")</f>
        <v/>
      </c>
      <c r="N6641" t="inlineStr"/>
    </row>
    <row r="6642">
      <c r="A6642" t="inlineStr">
        <is>
          <t>64P²¹</t>
        </is>
      </c>
      <c r="B6642" t="inlineStr"/>
      <c r="C6642" t="inlineStr">
        <is>
          <t>384</t>
        </is>
      </c>
      <c r="D6642" t="inlineStr">
        <is>
          <t>1</t>
        </is>
      </c>
      <c r="E6642" t="inlineStr">
        <is>
          <t>96</t>
        </is>
      </c>
      <c r="F6642" t="inlineStr">
        <is>
          <t>8</t>
        </is>
      </c>
      <c r="G6642" t="inlineStr">
        <is>
          <t>0</t>
        </is>
      </c>
      <c r="H6642" t="inlineStr">
        <is>
          <t>8¹⁶, 64⁴</t>
        </is>
      </c>
      <c r="I6642" t="n">
        <v>20</v>
      </c>
      <c r="J6642" t="inlineStr">
        <is>
          <t>2⁴, 4², 8², 16⁴</t>
        </is>
      </c>
      <c r="K6642">
        <f>HYPERLINK("CSG9.html#group32N9", "32N⁹")</f>
        <v/>
      </c>
      <c r="L6642" t="inlineStr"/>
      <c r="M6642">
        <f>HYPERLINK("CSG5.html#group32I5", "32I⁵"), =HYPERLINK("CSG1.html#group16I1", "16I¹"), =HYPERLINK("CSG0.html#group8D0", "8D⁰"), =HYPERLINK("CSG0.html#group4C0", "4C⁰"), =HYPERLINK("CSG0.html#group8B0", "8B⁰"), =HYPERLINK("CSG1.html#group16B1", "16B¹"), =HYPERLINK("CSG1.html#group32D1", "32D¹"), =HYPERLINK("CSG0.html#group2B0", "2B⁰"), =HYPERLINK("CSG0.html#group1A0", "1A⁰"), =HYPERLINK("CSG3.html#group32Q3", "32Q³"), =HYPERLINK("CSG0.html#group8H0", "8H⁰"), =HYPERLINK("CSG0.html#group16B0", "16B⁰"), =HYPERLINK("CSG0.html#group16E0", "16E⁰"), =HYPERLINK("CSG0.html#group8F0", "8F⁰"), =HYPERLINK("CSG3.html#group16L3", "16L³"), =HYPERLINK("CSG1.html#group32C1", "32C¹"), =HYPERLINK("CSG0.html#group4A0", "4A⁰"), =HYPERLINK("CSG1.html#group8I1", "8I¹"), =HYPERLINK("CSG1.html#group16C1", "16C¹"), =HYPERLINK("CSG0.html#group4F0", "4F⁰"), =HYPERLINK("CSG1.html#group16F1", "16F¹"), =HYPERLINK("CSG9.html#group32N9", "32N⁹")</f>
        <v/>
      </c>
      <c r="N6642" t="inlineStr"/>
    </row>
    <row r="6643">
      <c r="A6643" t="inlineStr">
        <is>
          <t>64Q²¹</t>
        </is>
      </c>
      <c r="B6643" t="inlineStr"/>
      <c r="C6643" t="inlineStr">
        <is>
          <t>384</t>
        </is>
      </c>
      <c r="D6643" t="inlineStr">
        <is>
          <t>1</t>
        </is>
      </c>
      <c r="E6643" t="inlineStr">
        <is>
          <t>96</t>
        </is>
      </c>
      <c r="F6643" t="inlineStr">
        <is>
          <t>8</t>
        </is>
      </c>
      <c r="G6643" t="inlineStr">
        <is>
          <t>0</t>
        </is>
      </c>
      <c r="H6643" t="inlineStr">
        <is>
          <t>8¹⁶, 64⁴</t>
        </is>
      </c>
      <c r="I6643" t="n">
        <v>20</v>
      </c>
      <c r="J6643" t="inlineStr">
        <is>
          <t>1², 2⁵, 4¹, 8², 16⁴</t>
        </is>
      </c>
      <c r="K6643">
        <f>HYPERLINK("CSG9.html#group32M9", "32M⁹"), =HYPERLINK("CSG9.html#group64G9", "64G⁹"), =HYPERLINK("CSG9.html#group64H9", "64H⁹")</f>
        <v/>
      </c>
      <c r="L6643" t="inlineStr"/>
      <c r="M6643">
        <f>HYPERLINK("CSG9.html#group64G9", "64G⁹"), =HYPERLINK("CSG1.html#group16I1", "16I¹"), =HYPERLINK("CSG9.html#group32M9", "32M⁹"), =HYPERLINK("CSG0.html#group8D0", "8D⁰"), =HYPERLINK("CSG0.html#group4C0", "4C⁰"), =HYPERLINK("CSG0.html#group8B0", "8B⁰"), =HYPERLINK("CSG5.html#group32H5", "32H⁵"), =HYPERLINK("CSG1.html#group16B1", "16B¹"), =HYPERLINK("CSG0.html#group2B0", "2B⁰"), =HYPERLINK("CSG3.html#group32I3", "32I³"), =HYPERLINK("CSG0.html#group1A0", "1A⁰"), =HYPERLINK("CSG0.html#group8H0", "8H⁰"), =HYPERLINK("CSG0.html#group16B0", "16B⁰"), =HYPERLINK("CSG0.html#group16E0", "16E⁰"), =HYPERLINK("CSG0.html#group8F0", "8F⁰"), =HYPERLINK("CSG3.html#group16L3", "16L³"), =HYPERLINK("CSG0.html#group4A0", "4A⁰"), =HYPERLINK("CSG1.html#group8I1", "8I¹"), =HYPERLINK("CSG1.html#group16C1", "16C¹"), =HYPERLINK("CSG0.html#group4F0", "4F⁰"), =HYPERLINK("CSG1.html#group16F1", "16F¹"), =HYPERLINK("CSG9.html#group64H9", "64H⁹"), =HYPERLINK("CSG3.html#group32P3", "32P³")</f>
        <v/>
      </c>
      <c r="N6643" t="inlineStr"/>
    </row>
    <row r="6644">
      <c r="A6644" t="inlineStr">
        <is>
          <t>65A²¹</t>
        </is>
      </c>
      <c r="B6644" t="inlineStr"/>
      <c r="C6644" t="inlineStr">
        <is>
          <t>336</t>
        </is>
      </c>
      <c r="D6644" t="inlineStr">
        <is>
          <t>1</t>
        </is>
      </c>
      <c r="E6644" t="inlineStr">
        <is>
          <t>84</t>
        </is>
      </c>
      <c r="F6644" t="inlineStr">
        <is>
          <t>0</t>
        </is>
      </c>
      <c r="G6644" t="inlineStr">
        <is>
          <t>0</t>
        </is>
      </c>
      <c r="H6644" t="inlineStr">
        <is>
          <t>1⁴, 5⁴, 13⁴, 65⁴</t>
        </is>
      </c>
      <c r="I6644" t="n">
        <v>16</v>
      </c>
      <c r="J6644" t="inlineStr">
        <is>
          <t>1⁴, 4², 12², 48¹</t>
        </is>
      </c>
      <c r="K6644">
        <f>HYPERLINK("CSG9.html#group65B9", "65B⁹"), =HYPERLINK("CSG11.html#group65A11", "65A¹¹"), =HYPERLINK("CSG11.html#group65B11", "65B¹¹")</f>
        <v/>
      </c>
      <c r="L6644" t="inlineStr"/>
      <c r="M6644">
        <f>HYPERLINK("CSG11.html#group65B11", "65B¹¹"), =HYPERLINK("CSG11.html#group65A11", "65A¹¹"), =HYPERLINK("CSG9.html#group65B9", "65B⁹"), =HYPERLINK("CSG0.html#group5B0", "5B⁰"), =HYPERLINK("CSG0.html#group13A0", "13A⁰"), =HYPERLINK("CSG0.html#group5D0", "5D⁰"), =HYPERLINK("CSG0.html#group13B0", "13B⁰"), =HYPERLINK("CSG5.html#group65A5", "65A⁵"), =HYPERLINK("CSG0.html#group1A0", "1A⁰")</f>
        <v/>
      </c>
      <c r="N6644" t="inlineStr"/>
    </row>
    <row r="6645">
      <c r="A6645" t="inlineStr">
        <is>
          <t>66A²¹</t>
        </is>
      </c>
      <c r="B6645" t="inlineStr"/>
      <c r="C6645" t="inlineStr">
        <is>
          <t>264</t>
        </is>
      </c>
      <c r="D6645" t="inlineStr">
        <is>
          <t>2</t>
        </is>
      </c>
      <c r="E6645" t="inlineStr">
        <is>
          <t>11</t>
        </is>
      </c>
      <c r="F6645" t="inlineStr">
        <is>
          <t>0</t>
        </is>
      </c>
      <c r="G6645" t="inlineStr">
        <is>
          <t>0</t>
        </is>
      </c>
      <c r="H6645" t="inlineStr">
        <is>
          <t>66⁴</t>
        </is>
      </c>
      <c r="I6645" t="n">
        <v>4</v>
      </c>
      <c r="J6645" t="inlineStr">
        <is>
          <t>2¹, 10²</t>
        </is>
      </c>
      <c r="K6645">
        <f>HYPERLINK("CSG1.html#group6D1", "6D¹"), =HYPERLINK("CSG6.html#group66E6", "66E⁶"), =HYPERLINK("CSG8.html#group66B8", "66B⁸"), =HYPERLINK("CSG10.html#group33A10", "33A¹⁰"), =HYPERLINK("CSG11.html#group66A11", "66A¹¹")</f>
        <v/>
      </c>
      <c r="L6645" t="inlineStr"/>
      <c r="M6645">
        <f>HYPERLINK("CSG0.html#group3B0", "3B⁰"), =HYPERLINK("CSG0.html#group2A0", "2A⁰"), =HYPERLINK("CSG0.html#group6B0", "6B⁰"), =HYPERLINK("CSG1.html#group22A1", "22A¹"), =HYPERLINK("CSG3.html#group33B3", "33B³"), =HYPERLINK("CSG1.html#group33A1", "33A¹"), =HYPERLINK("CSG0.html#group6C0", "6C⁰"), =HYPERLINK("CSG8.html#group66B8", "66B⁸"), =HYPERLINK("CSG6.html#group66E6", "66E⁶"), =HYPERLINK("CSG0.html#group1A0", "1A⁰"), =HYPERLINK("CSG4.html#group33A4", "33A⁴"), =HYPERLINK("CSG0.html#group11A0", "11A⁰"), =HYPERLINK("CSG1.html#group6D1", "6D¹"), =HYPERLINK("CSG0.html#group6E0", "6E⁰"), =HYPERLINK("CSG1.html#group6B1", "6B¹"), =HYPERLINK("CSG3.html#group66A3", "66A³"), =HYPERLINK("CSG11.html#group66A11", "66A¹¹"), =HYPERLINK("CSG10.html#group33A10", "33A¹⁰"), =HYPERLINK("CSG0.html#group3C0", "3C⁰"), =HYPERLINK("CSG1.html#group6A1", "6A¹"), =HYPERLINK("CSG0.html#group3A0", "3A⁰"), =HYPERLINK("CSG0.html#group3D0", "3D⁰"), =HYPERLINK("CSG6.html#group66A6", "66A⁶")</f>
        <v/>
      </c>
      <c r="N6645" t="inlineStr"/>
    </row>
    <row r="6646">
      <c r="A6646" t="inlineStr">
        <is>
          <t>66B²¹</t>
        </is>
      </c>
      <c r="B6646" t="inlineStr"/>
      <c r="C6646" t="inlineStr">
        <is>
          <t>288</t>
        </is>
      </c>
      <c r="D6646" t="inlineStr">
        <is>
          <t>1</t>
        </is>
      </c>
      <c r="E6646" t="inlineStr">
        <is>
          <t>12</t>
        </is>
      </c>
      <c r="F6646" t="inlineStr">
        <is>
          <t>0</t>
        </is>
      </c>
      <c r="G6646" t="inlineStr">
        <is>
          <t>0</t>
        </is>
      </c>
      <c r="H6646" t="inlineStr">
        <is>
          <t>6⁴, 66⁴</t>
        </is>
      </c>
      <c r="I6646" t="n">
        <v>8</v>
      </c>
      <c r="J6646" t="inlineStr">
        <is>
          <t>1², 10¹</t>
        </is>
      </c>
      <c r="K6646">
        <f>HYPERLINK("CSG7.html#group66A7", "66A⁷"), =HYPERLINK("CSG9.html#group33A9", "33A⁹")</f>
        <v/>
      </c>
      <c r="L6646" t="inlineStr"/>
      <c r="M6646">
        <f>HYPERLINK("CSG0.html#group3B0", "3B⁰"), =HYPERLINK("CSG1.html#group11A1", "11A¹"), =HYPERLINK("CSG5.html#group33A5", "33A⁵"), =HYPERLINK("CSG0.html#group3C0", "3C⁰"), =HYPERLINK("CSG9.html#group33A9", "33A⁹"), =HYPERLINK("CSG0.html#group3A0", "3A⁰"), =HYPERLINK("CSG3.html#group33A3", "33A³"), =HYPERLINK("CSG0.html#group1A0", "1A⁰"), =HYPERLINK("CSG7.html#group66A7", "66A⁷"), =HYPERLINK("CSG0.html#group3D0", "3D⁰"), =HYPERLINK("CSG3.html#group33C3", "33C³")</f>
        <v/>
      </c>
      <c r="N6646" t="inlineStr"/>
    </row>
    <row r="6647">
      <c r="A6647" t="inlineStr">
        <is>
          <t>66C²¹</t>
        </is>
      </c>
      <c r="B6647" t="inlineStr"/>
      <c r="C6647" t="inlineStr">
        <is>
          <t>288</t>
        </is>
      </c>
      <c r="D6647" t="inlineStr">
        <is>
          <t>1</t>
        </is>
      </c>
      <c r="E6647" t="inlineStr">
        <is>
          <t>12</t>
        </is>
      </c>
      <c r="F6647" t="inlineStr">
        <is>
          <t>0</t>
        </is>
      </c>
      <c r="G6647" t="inlineStr">
        <is>
          <t>0</t>
        </is>
      </c>
      <c r="H6647" t="inlineStr">
        <is>
          <t>6⁴, 66⁴</t>
        </is>
      </c>
      <c r="I6647" t="n">
        <v>8</v>
      </c>
      <c r="J6647" t="inlineStr">
        <is>
          <t>1², 10¹</t>
        </is>
      </c>
      <c r="K6647">
        <f>HYPERLINK("CSG1.html#group6D1", "6D¹"), =HYPERLINK("CSG7.html#group66B7", "66B⁷"), =HYPERLINK("CSG9.html#group33A9", "33A⁹"), =HYPERLINK("CSG11.html#group66B11", "66B¹¹"), =HYPERLINK("CSG11.html#group66C11", "66C¹¹")</f>
        <v/>
      </c>
      <c r="L6647" t="inlineStr"/>
      <c r="M6647">
        <f>HYPERLINK("CSG0.html#group3B0", "3B⁰"), =HYPERLINK("CSG0.html#group2A0", "2A⁰"), =HYPERLINK("CSG0.html#group6B0", "6B⁰"), =HYPERLINK("CSG6.html#group66D6", "66D⁶"), =HYPERLINK("CSG11.html#group66B11", "66B¹¹"), =HYPERLINK("CSG0.html#group6C0", "6C⁰"), =HYPERLINK("CSG3.html#group33A3", "33A³"), =HYPERLINK("CSG0.html#group1A0", "1A⁰"), =HYPERLINK("CSG1.html#group6D1", "6D¹"), =HYPERLINK("CSG0.html#group6E0", "6E⁰"), =HYPERLINK("CSG1.html#group6B1", "6B¹"), =HYPERLINK("CSG1.html#group11A1", "11A¹"), =HYPERLINK("CSG2.html#group22A2", "22A²"), =HYPERLINK("CSG5.html#group33A5", "33A⁵"), =HYPERLINK("CSG0.html#group3C0", "3C⁰"), =HYPERLINK("CSG6.html#group66B6", "66B⁶"), =HYPERLINK("CSG11.html#group66C11", "66C¹¹"), =HYPERLINK("CSG9.html#group33A9", "33A⁹"), =HYPERLINK("CSG1.html#group6A1", "6A¹"), =HYPERLINK("CSG0.html#group3A0", "3A⁰"), =HYPERLINK("CSG0.html#group3D0", "3D⁰"), =HYPERLINK("CSG7.html#group66B7", "66B⁷"), =HYPERLINK("CSG3.html#group33C3", "33C³")</f>
        <v/>
      </c>
      <c r="N6647" t="inlineStr"/>
    </row>
    <row r="6648">
      <c r="A6648" t="inlineStr">
        <is>
          <t>66D²¹</t>
        </is>
      </c>
      <c r="B6648" t="inlineStr"/>
      <c r="C6648" t="inlineStr">
        <is>
          <t>288</t>
        </is>
      </c>
      <c r="D6648" t="inlineStr">
        <is>
          <t>1</t>
        </is>
      </c>
      <c r="E6648" t="inlineStr">
        <is>
          <t>96</t>
        </is>
      </c>
      <c r="F6648" t="inlineStr">
        <is>
          <t>0</t>
        </is>
      </c>
      <c r="G6648" t="inlineStr">
        <is>
          <t>0</t>
        </is>
      </c>
      <c r="H6648" t="inlineStr">
        <is>
          <t>6⁴, 66⁴</t>
        </is>
      </c>
      <c r="I6648" t="n">
        <v>8</v>
      </c>
      <c r="J6648" t="inlineStr">
        <is>
          <t>2⁸, 20⁴</t>
        </is>
      </c>
      <c r="K6648">
        <f>HYPERLINK("CSG0.html#group6J0", "6J⁰"), =HYPERLINK("CSG6.html#group66C6", "66C⁶"), =HYPERLINK("CSG7.html#group66B7", "66B⁷")</f>
        <v/>
      </c>
      <c r="L6648" t="inlineStr"/>
      <c r="M6648">
        <f>HYPERLINK("CSG0.html#group3B0", "3B⁰"), =HYPERLINK("CSG0.html#group2A0", "2A⁰"), =HYPERLINK("CSG0.html#group6A0", "6A⁰"), =HYPERLINK("CSG1.html#group11A1", "11A¹"), =HYPERLINK("CSG2.html#group22A2", "22A²"), =HYPERLINK("CSG0.html#group6C0", "6C⁰"), =HYPERLINK("CSG0.html#group6J0", "6J⁰"), =HYPERLINK("CSG6.html#group66C6", "66C⁶"), =HYPERLINK("CSG0.html#group1A0", "1A⁰"), =HYPERLINK("CSG7.html#group66B7", "66B⁷"), =HYPERLINK("CSG3.html#group33C3", "33C³")</f>
        <v/>
      </c>
      <c r="N6648" t="inlineStr"/>
    </row>
    <row r="6649">
      <c r="A6649" t="inlineStr">
        <is>
          <t>66E²¹</t>
        </is>
      </c>
      <c r="B6649" t="inlineStr"/>
      <c r="C6649" t="inlineStr">
        <is>
          <t>330</t>
        </is>
      </c>
      <c r="D6649" t="inlineStr">
        <is>
          <t>2</t>
        </is>
      </c>
      <c r="E6649" t="inlineStr">
        <is>
          <t>165</t>
        </is>
      </c>
      <c r="F6649" t="inlineStr">
        <is>
          <t>20</t>
        </is>
      </c>
      <c r="G6649" t="inlineStr">
        <is>
          <t>0</t>
        </is>
      </c>
      <c r="H6649" t="inlineStr">
        <is>
          <t>66⁵</t>
        </is>
      </c>
      <c r="I6649" t="n">
        <v>5</v>
      </c>
      <c r="J6649" t="inlineStr">
        <is>
          <t>10¹¹, 20¹¹</t>
        </is>
      </c>
      <c r="K6649">
        <f>HYPERLINK("CSG7.html#group33A7", "33A⁷")</f>
        <v/>
      </c>
      <c r="L6649" t="inlineStr"/>
      <c r="M6649">
        <f>HYPERLINK("CSG0.html#group3A0", "3A⁰"), =HYPERLINK("CSG1.html#group11C1", "11C¹"), =HYPERLINK("CSG7.html#group33A7", "33A⁷"), =HYPERLINK("CSG0.html#group1A0", "1A⁰")</f>
        <v/>
      </c>
      <c r="N6649" t="inlineStr"/>
    </row>
    <row r="6650">
      <c r="A6650" t="inlineStr">
        <is>
          <t>68A²¹</t>
        </is>
      </c>
      <c r="B6650" t="inlineStr"/>
      <c r="C6650" t="inlineStr">
        <is>
          <t>288</t>
        </is>
      </c>
      <c r="D6650" t="inlineStr">
        <is>
          <t>1</t>
        </is>
      </c>
      <c r="E6650" t="inlineStr">
        <is>
          <t>72</t>
        </is>
      </c>
      <c r="F6650" t="inlineStr">
        <is>
          <t>0</t>
        </is>
      </c>
      <c r="G6650" t="inlineStr">
        <is>
          <t>0</t>
        </is>
      </c>
      <c r="H6650" t="inlineStr">
        <is>
          <t>4⁴, 68⁴</t>
        </is>
      </c>
      <c r="I6650" t="n">
        <v>8</v>
      </c>
      <c r="J6650" t="inlineStr">
        <is>
          <t>2⁴, 32²</t>
        </is>
      </c>
      <c r="K6650">
        <f>HYPERLINK("CSG5.html#group34A5", "34A⁵"), =HYPERLINK("CSG9.html#group68A9", "68A⁹")</f>
        <v/>
      </c>
      <c r="L6650" t="inlineStr"/>
      <c r="M6650">
        <f>HYPERLINK("CSG5.html#group68A5", "68A⁵"), =HYPERLINK("CSG1.html#group17A1", "17A¹"), =HYPERLINK("CSG0.html#group1A0", "1A⁰"), =HYPERLINK("CSG0.html#group4A0", "4A⁰"), =HYPERLINK("CSG9.html#group68A9", "68A⁹"), =HYPERLINK("CSG5.html#group34A5", "34A⁵"), =HYPERLINK("CSG1.html#group17B1", "17B¹")</f>
        <v/>
      </c>
      <c r="N6650" t="inlineStr"/>
    </row>
    <row r="6651">
      <c r="A6651" t="inlineStr">
        <is>
          <t>68B²¹</t>
        </is>
      </c>
      <c r="B6651" t="inlineStr"/>
      <c r="C6651" t="inlineStr">
        <is>
          <t>288</t>
        </is>
      </c>
      <c r="D6651" t="inlineStr">
        <is>
          <t>1</t>
        </is>
      </c>
      <c r="E6651" t="inlineStr">
        <is>
          <t>72</t>
        </is>
      </c>
      <c r="F6651" t="inlineStr">
        <is>
          <t>0</t>
        </is>
      </c>
      <c r="G6651" t="inlineStr">
        <is>
          <t>0</t>
        </is>
      </c>
      <c r="H6651" t="inlineStr">
        <is>
          <t>4⁴, 68⁴</t>
        </is>
      </c>
      <c r="I6651" t="n">
        <v>8</v>
      </c>
      <c r="J6651" t="inlineStr">
        <is>
          <t>2⁴, 32²</t>
        </is>
      </c>
      <c r="K6651">
        <f>HYPERLINK("CSG5.html#group34B5", "34B⁵"), =HYPERLINK("CSG9.html#group68A9", "68A⁹"), =HYPERLINK("CSG11.html#group68A11", "68A¹¹"), =HYPERLINK("CSG11.html#group68B11", "68B¹¹")</f>
        <v/>
      </c>
      <c r="L6651" t="inlineStr"/>
      <c r="M6651">
        <f>HYPERLINK("CSG0.html#group2A0", "2A⁰"), =HYPERLINK("CSG0.html#group4A0", "4A⁰"), =HYPERLINK("CSG0.html#group4D0", "4D⁰"), =HYPERLINK("CSG1.html#group17B1", "17B¹"), =HYPERLINK("CSG5.html#group68A5", "68A⁵"), =HYPERLINK("CSG5.html#group34B5", "34B⁵"), =HYPERLINK("CSG11.html#group68A11", "68A¹¹"), =HYPERLINK("CSG1.html#group17A1", "17A¹"), =HYPERLINK("CSG0.html#group1A0", "1A⁰"), =HYPERLINK("CSG3.html#group34B3", "34B³"), =HYPERLINK("CSG9.html#group68A9", "68A⁹"), =HYPERLINK("CSG11.html#group68B11", "68B¹¹"), =HYPERLINK("CSG3.html#group34A3", "34A³")</f>
        <v/>
      </c>
      <c r="N6651" t="inlineStr"/>
    </row>
    <row r="6652">
      <c r="A6652" t="inlineStr">
        <is>
          <t>68C²¹</t>
        </is>
      </c>
      <c r="B6652" t="inlineStr"/>
      <c r="C6652" t="inlineStr">
        <is>
          <t>432</t>
        </is>
      </c>
      <c r="D6652" t="inlineStr">
        <is>
          <t>1</t>
        </is>
      </c>
      <c r="E6652" t="inlineStr">
        <is>
          <t>54</t>
        </is>
      </c>
      <c r="F6652" t="inlineStr">
        <is>
          <t>16</t>
        </is>
      </c>
      <c r="G6652" t="inlineStr">
        <is>
          <t>0</t>
        </is>
      </c>
      <c r="H6652" t="inlineStr">
        <is>
          <t>1⁸, 4⁴, 17⁸, 68⁴</t>
        </is>
      </c>
      <c r="I6652" t="n">
        <v>24</v>
      </c>
      <c r="J6652" t="inlineStr">
        <is>
          <t>1⁶, 16³</t>
        </is>
      </c>
      <c r="K6652">
        <f>HYPERLINK("CSG9.html#group34B9", "34B⁹")</f>
        <v/>
      </c>
      <c r="L6652" t="inlineStr"/>
      <c r="M6652">
        <f>HYPERLINK("CSG3.html#group34C3", "34C³"), =HYPERLINK("CSG1.html#group17B1", "17B¹"), =HYPERLINK("CSG5.html#group34C5", "34C⁵"), =HYPERLINK("CSG9.html#group34B9", "34B⁹"), =HYPERLINK("CSG1.html#group17C1", "17C¹"), =HYPERLINK("CSG1.html#group17A1", "17A¹"), =HYPERLINK("CSG0.html#group2B0", "2B⁰"), =HYPERLINK("CSG0.html#group1A0", "1A⁰")</f>
        <v/>
      </c>
      <c r="N6652" t="inlineStr"/>
    </row>
    <row r="6653">
      <c r="A6653" t="inlineStr">
        <is>
          <t>69A²¹</t>
        </is>
      </c>
      <c r="B6653" t="inlineStr"/>
      <c r="C6653" t="inlineStr">
        <is>
          <t>288</t>
        </is>
      </c>
      <c r="D6653" t="inlineStr">
        <is>
          <t>1</t>
        </is>
      </c>
      <c r="E6653" t="inlineStr">
        <is>
          <t>24</t>
        </is>
      </c>
      <c r="F6653" t="inlineStr">
        <is>
          <t>0</t>
        </is>
      </c>
      <c r="G6653" t="inlineStr">
        <is>
          <t>0</t>
        </is>
      </c>
      <c r="H6653" t="inlineStr">
        <is>
          <t>3⁴, 69⁴</t>
        </is>
      </c>
      <c r="I6653" t="n">
        <v>8</v>
      </c>
      <c r="J6653" t="inlineStr">
        <is>
          <t>1², 22¹</t>
        </is>
      </c>
      <c r="K6653">
        <f>HYPERLINK("CSG0.html#group3D0", "3D⁰"), =HYPERLINK("CSG7.html#group69A7", "69A⁷"), =HYPERLINK("CSG11.html#group69A11", "69A¹¹")</f>
        <v/>
      </c>
      <c r="L6653" t="inlineStr"/>
      <c r="M6653">
        <f>HYPERLINK("CSG0.html#group3B0", "3B⁰"), =HYPERLINK("CSG6.html#group69A6", "69A⁶"), =HYPERLINK("CSG7.html#group69A7", "69A⁷"), =HYPERLINK("CSG0.html#group3C0", "3C⁰"), =HYPERLINK("CSG2.html#group23A2", "23A²"), =HYPERLINK("CSG0.html#group3A0", "3A⁰"), =HYPERLINK("CSG0.html#group1A0", "1A⁰"), =HYPERLINK("CSG11.html#group69A11", "69A¹¹"), =HYPERLINK("CSG0.html#group3D0", "3D⁰")</f>
        <v/>
      </c>
      <c r="N6653" t="inlineStr"/>
    </row>
    <row r="6654">
      <c r="A6654" t="inlineStr">
        <is>
          <t>70A²¹</t>
        </is>
      </c>
      <c r="B6654" t="inlineStr"/>
      <c r="C6654" t="inlineStr">
        <is>
          <t>280</t>
        </is>
      </c>
      <c r="D6654" t="inlineStr">
        <is>
          <t>1</t>
        </is>
      </c>
      <c r="E6654" t="inlineStr">
        <is>
          <t>140</t>
        </is>
      </c>
      <c r="F6654" t="inlineStr">
        <is>
          <t>0</t>
        </is>
      </c>
      <c r="G6654" t="inlineStr">
        <is>
          <t>4</t>
        </is>
      </c>
      <c r="H6654" t="inlineStr">
        <is>
          <t>70⁴</t>
        </is>
      </c>
      <c r="I6654" t="n">
        <v>4</v>
      </c>
      <c r="J6654" t="inlineStr">
        <is>
          <t>1¹, 3¹, 4¹, 6⁴, 12¹, 24⁴</t>
        </is>
      </c>
      <c r="K6654">
        <f>HYPERLINK("CSG3.html#group14C3", "14C³"), =HYPERLINK("CSG5.html#group70A5", "70A⁵"), =HYPERLINK("CSG9.html#group35A9", "35A⁹")</f>
        <v/>
      </c>
      <c r="L6654" t="inlineStr"/>
      <c r="M6654">
        <f>HYPERLINK("CSG0.html#group2A0", "2A⁰"), =HYPERLINK("CSG0.html#group5A0", "5A⁰"), =HYPERLINK("CSG9.html#group35A9", "35A⁹"), =HYPERLINK("CSG0.html#group10A0", "10A⁰"), =HYPERLINK("CSG3.html#group14C3", "14C³"), =HYPERLINK("CSG5.html#group70A5", "70A⁵"), =HYPERLINK("CSG0.html#group7F0", "7F⁰"), =HYPERLINK("CSG1.html#group14A1", "14A¹"), =HYPERLINK("CSG0.html#group1A0", "1A⁰"), =HYPERLINK("CSG2.html#group35A2", "35A²"), =HYPERLINK("CSG0.html#group7A0", "7A⁰")</f>
        <v/>
      </c>
      <c r="N6654" t="inlineStr"/>
    </row>
    <row r="6655">
      <c r="A6655" t="inlineStr">
        <is>
          <t>70B²¹</t>
        </is>
      </c>
      <c r="B6655" t="inlineStr"/>
      <c r="C6655" t="inlineStr">
        <is>
          <t>280</t>
        </is>
      </c>
      <c r="D6655" t="inlineStr">
        <is>
          <t>2</t>
        </is>
      </c>
      <c r="E6655" t="inlineStr">
        <is>
          <t>70</t>
        </is>
      </c>
      <c r="F6655" t="inlineStr">
        <is>
          <t>0</t>
        </is>
      </c>
      <c r="G6655" t="inlineStr">
        <is>
          <t>4</t>
        </is>
      </c>
      <c r="H6655" t="inlineStr">
        <is>
          <t>70⁴</t>
        </is>
      </c>
      <c r="I6655" t="n">
        <v>4</v>
      </c>
      <c r="J6655" t="inlineStr">
        <is>
          <t>4¹, 8², 12², 24⁴</t>
        </is>
      </c>
      <c r="K6655">
        <f>HYPERLINK("CSG8.html#group35C8", "35C⁸"), =HYPERLINK("CSG10.html#group70A10", "70A¹⁰"), =HYPERLINK("CSG11.html#group70A11", "70A¹¹")</f>
        <v/>
      </c>
      <c r="L6655" t="inlineStr"/>
      <c r="M6655">
        <f>HYPERLINK("CSG0.html#group2A0", "2A⁰"), =HYPERLINK("CSG10.html#group70A10", "70A¹⁰"), =HYPERLINK("CSG4.html#group35B4", "35B⁴"), =HYPERLINK("CSG0.html#group5C0", "5C⁰"), =HYPERLINK("CSG1.html#group14A1", "14A¹"), =HYPERLINK("CSG1.html#group10C1", "10C¹"), =HYPERLINK("CSG8.html#group35C8", "35C⁸"), =HYPERLINK("CSG11.html#group70A11", "70A¹¹"), =HYPERLINK("CSG0.html#group1A0", "1A⁰"), =HYPERLINK("CSG0.html#group7A0", "7A⁰")</f>
        <v/>
      </c>
      <c r="N6655" t="inlineStr"/>
    </row>
    <row r="6656">
      <c r="A6656" t="inlineStr">
        <is>
          <t>70C²¹</t>
        </is>
      </c>
      <c r="B6656" t="inlineStr"/>
      <c r="C6656" t="inlineStr">
        <is>
          <t>280</t>
        </is>
      </c>
      <c r="D6656" t="inlineStr">
        <is>
          <t>2</t>
        </is>
      </c>
      <c r="E6656" t="inlineStr">
        <is>
          <t>70</t>
        </is>
      </c>
      <c r="F6656" t="inlineStr">
        <is>
          <t>0</t>
        </is>
      </c>
      <c r="G6656" t="inlineStr">
        <is>
          <t>4</t>
        </is>
      </c>
      <c r="H6656" t="inlineStr">
        <is>
          <t>70⁴</t>
        </is>
      </c>
      <c r="I6656" t="n">
        <v>4</v>
      </c>
      <c r="J6656" t="inlineStr">
        <is>
          <t>4¹, 8², 12², 24⁴</t>
        </is>
      </c>
      <c r="K6656">
        <f>HYPERLINK("CSG1.html#group14D1", "14D¹"), =HYPERLINK("CSG9.html#group35B9", "35B⁹"), =HYPERLINK("CSG9.html#group70C9", "70C⁹"), =HYPERLINK("CSG11.html#group70A11", "70A¹¹")</f>
        <v/>
      </c>
      <c r="L6656" t="inlineStr"/>
      <c r="M6656">
        <f>HYPERLINK("CSG9.html#group35B9", "35B⁹"), =HYPERLINK("CSG0.html#group2A0", "2A⁰"), =HYPERLINK("CSG0.html#group14A0", "14A⁰"), =HYPERLINK("CSG9.html#group70C9", "70C⁹"), =HYPERLINK("CSG4.html#group35B4", "35B⁴"), =HYPERLINK("CSG0.html#group5C0", "5C⁰"), =HYPERLINK("CSG0.html#group7C0", "7C⁰"), =HYPERLINK("CSG1.html#group14A1", "14A¹"), =HYPERLINK("CSG0.html#group1A0", "1A⁰"), =HYPERLINK("CSG11.html#group70A11", "70A¹¹"), =HYPERLINK("CSG1.html#group10C1", "10C¹"), =HYPERLINK("CSG1.html#group14D1", "14D¹"), =HYPERLINK("CSG0.html#group7A0", "7A⁰")</f>
        <v/>
      </c>
      <c r="N6656" t="inlineStr"/>
    </row>
    <row r="6657">
      <c r="A6657" t="inlineStr">
        <is>
          <t>70D²¹</t>
        </is>
      </c>
      <c r="B6657" t="inlineStr"/>
      <c r="C6657" t="inlineStr">
        <is>
          <t>280</t>
        </is>
      </c>
      <c r="D6657" t="inlineStr">
        <is>
          <t>2</t>
        </is>
      </c>
      <c r="E6657" t="inlineStr">
        <is>
          <t>70</t>
        </is>
      </c>
      <c r="F6657" t="inlineStr">
        <is>
          <t>0</t>
        </is>
      </c>
      <c r="G6657" t="inlineStr">
        <is>
          <t>4</t>
        </is>
      </c>
      <c r="H6657" t="inlineStr">
        <is>
          <t>70⁴</t>
        </is>
      </c>
      <c r="I6657" t="n">
        <v>4</v>
      </c>
      <c r="J6657" t="inlineStr">
        <is>
          <t>4¹, 8², 12², 24⁴</t>
        </is>
      </c>
      <c r="K6657">
        <f>HYPERLINK("CSG4.html#group70A4", "70A⁴"), =HYPERLINK("CSG9.html#group70C9", "70C⁹"), =HYPERLINK("CSG10.html#group35A10", "35A¹⁰"), =HYPERLINK("CSG10.html#group70A10", "70A¹⁰")</f>
        <v/>
      </c>
      <c r="L6657" t="inlineStr"/>
      <c r="M6657">
        <f>HYPERLINK("CSG10.html#group35A10", "35A¹⁰"), =HYPERLINK("CSG0.html#group14A0", "14A⁰"), =HYPERLINK("CSG0.html#group5A0", "5A⁰"), =HYPERLINK("CSG10.html#group70A10", "70A¹⁰"), =HYPERLINK("CSG4.html#group70A4", "70A⁴"), =HYPERLINK("CSG9.html#group70C9", "70C⁹"), =HYPERLINK("CSG4.html#group35B4", "35B⁴"), =HYPERLINK("CSG0.html#group5F0", "5F⁰"), =HYPERLINK("CSG0.html#group1A0", "1A⁰"), =HYPERLINK("CSG0.html#group5C0", "5C⁰"), =HYPERLINK("CSG2.html#group35A2", "35A²"), =HYPERLINK("CSG0.html#group7A0", "7A⁰")</f>
        <v/>
      </c>
      <c r="N6657" t="inlineStr"/>
    </row>
    <row r="6658">
      <c r="A6658" t="inlineStr">
        <is>
          <t>70E²¹</t>
        </is>
      </c>
      <c r="B6658" t="inlineStr"/>
      <c r="C6658" t="inlineStr">
        <is>
          <t>280</t>
        </is>
      </c>
      <c r="D6658" t="inlineStr">
        <is>
          <t>2</t>
        </is>
      </c>
      <c r="E6658" t="inlineStr">
        <is>
          <t>70</t>
        </is>
      </c>
      <c r="F6658" t="inlineStr">
        <is>
          <t>0</t>
        </is>
      </c>
      <c r="G6658" t="inlineStr">
        <is>
          <t>4</t>
        </is>
      </c>
      <c r="H6658" t="inlineStr">
        <is>
          <t>70⁴</t>
        </is>
      </c>
      <c r="I6658" t="n">
        <v>4</v>
      </c>
      <c r="J6658" t="inlineStr">
        <is>
          <t>4¹, 8², 12², 24⁴</t>
        </is>
      </c>
      <c r="K6658">
        <f>HYPERLINK("CSG1.html#group10H1", "10H¹"), =HYPERLINK("CSG5.html#group70A5", "70A⁵"), =HYPERLINK("CSG8.html#group70C8", "70C⁸"), =HYPERLINK("CSG10.html#group35A10", "35A¹⁰"), =HYPERLINK("CSG11.html#group70A11", "70A¹¹")</f>
        <v/>
      </c>
      <c r="L6658" t="inlineStr"/>
      <c r="M6658">
        <f>HYPERLINK("CSG10.html#group35A10", "35A¹⁰"), =HYPERLINK("CSG1.html#group10H1", "10H¹"), =HYPERLINK("CSG0.html#group5A0", "5A⁰"), =HYPERLINK("CSG0.html#group2A0", "2A⁰"), =HYPERLINK("CSG0.html#group10D0", "10D⁰"), =HYPERLINK("CSG1.html#group14A1", "14A¹"), =HYPERLINK("CSG0.html#group5F0", "5F⁰"), =HYPERLINK("CSG11.html#group70A11", "70A¹¹"), =HYPERLINK("CSG0.html#group1A0", "1A⁰"), =HYPERLINK("CSG8.html#group70C8", "70C⁸"), =HYPERLINK("CSG2.html#group35A2", "35A²"), =HYPERLINK("CSG0.html#group10A0", "10A⁰"), =HYPERLINK("CSG4.html#group35B4", "35B⁴"), =HYPERLINK("CSG5.html#group70A5", "70A⁵"), =HYPERLINK("CSG1.html#group10C1", "10C¹"), =HYPERLINK("CSG0.html#group5C0", "5C⁰"), =HYPERLINK("CSG0.html#group7A0", "7A⁰")</f>
        <v/>
      </c>
      <c r="N6658" t="inlineStr"/>
    </row>
    <row r="6659">
      <c r="A6659" t="inlineStr">
        <is>
          <t>70F²¹</t>
        </is>
      </c>
      <c r="B6659" t="inlineStr"/>
      <c r="C6659" t="inlineStr">
        <is>
          <t>320</t>
        </is>
      </c>
      <c r="D6659" t="inlineStr">
        <is>
          <t>1</t>
        </is>
      </c>
      <c r="E6659" t="inlineStr">
        <is>
          <t>80</t>
        </is>
      </c>
      <c r="F6659" t="inlineStr">
        <is>
          <t>0</t>
        </is>
      </c>
      <c r="G6659" t="inlineStr">
        <is>
          <t>8</t>
        </is>
      </c>
      <c r="H6659" t="inlineStr">
        <is>
          <t>10⁴, 70⁴</t>
        </is>
      </c>
      <c r="I6659" t="n">
        <v>8</v>
      </c>
      <c r="J6659" t="inlineStr">
        <is>
          <t>2², 4⁴, 12¹, 24²</t>
        </is>
      </c>
      <c r="K6659">
        <f>HYPERLINK("CSG9.html#group35C9", "35C⁹")</f>
        <v/>
      </c>
      <c r="L6659" t="inlineStr"/>
      <c r="M6659">
        <f>HYPERLINK("CSG9.html#group35C9", "35C⁹"), =HYPERLINK("CSG5.html#group35A5", "35A⁵"), =HYPERLINK("CSG0.html#group5A0", "5A⁰"), =HYPERLINK("CSG0.html#group7B0", "7B⁰"), =HYPERLINK("CSG0.html#group5F0", "5F⁰"), =HYPERLINK("CSG0.html#group1A0", "1A⁰"), =HYPERLINK("CSG2.html#group35B2", "35B²"), =HYPERLINK("CSG0.html#group5C0", "5C⁰")</f>
        <v/>
      </c>
      <c r="N6659" t="inlineStr"/>
    </row>
    <row r="6660">
      <c r="A6660" t="inlineStr">
        <is>
          <t>70G²¹</t>
        </is>
      </c>
      <c r="B6660" t="inlineStr"/>
      <c r="C6660" t="inlineStr">
        <is>
          <t>320</t>
        </is>
      </c>
      <c r="D6660" t="inlineStr">
        <is>
          <t>1</t>
        </is>
      </c>
      <c r="E6660" t="inlineStr">
        <is>
          <t>80</t>
        </is>
      </c>
      <c r="F6660" t="inlineStr">
        <is>
          <t>0</t>
        </is>
      </c>
      <c r="G6660" t="inlineStr">
        <is>
          <t>8</t>
        </is>
      </c>
      <c r="H6660" t="inlineStr">
        <is>
          <t>10⁴, 70⁴</t>
        </is>
      </c>
      <c r="I6660" t="n">
        <v>8</v>
      </c>
      <c r="J6660" t="inlineStr">
        <is>
          <t>2², 4⁴, 12¹, 24²</t>
        </is>
      </c>
      <c r="K6660">
        <f>HYPERLINK("CSG1.html#group10H1", "10H¹"), =HYPERLINK("CSG4.html#group70B4", "70B⁴"), =HYPERLINK("CSG9.html#group35C9", "35C⁹"), =HYPERLINK("CSG11.html#group70B11", "70B¹¹"), =HYPERLINK("CSG11.html#group70C11", "70C¹¹")</f>
        <v/>
      </c>
      <c r="L6660" t="inlineStr"/>
      <c r="M6660">
        <f>HYPERLINK("CSG1.html#group10H1", "10H¹"), =HYPERLINK("CSG0.html#group2A0", "2A⁰"), =HYPERLINK("CSG0.html#group5A0", "5A⁰"), =HYPERLINK("CSG5.html#group35A5", "35A⁵"), =HYPERLINK("CSG11.html#group70C11", "70C¹¹"), =HYPERLINK("CSG0.html#group10D0", "10D⁰"), =HYPERLINK("CSG0.html#group5F0", "5F⁰"), =HYPERLINK("CSG0.html#group1A0", "1A⁰"), =HYPERLINK("CSG9.html#group35C9", "35C⁹"), =HYPERLINK("CSG0.html#group10A0", "10A⁰"), =HYPERLINK("CSG4.html#group70B4", "70B⁴"), =HYPERLINK("CSG0.html#group7B0", "7B⁰"), =HYPERLINK("CSG11.html#group70B11", "70B¹¹"), =HYPERLINK("CSG0.html#group14B0", "14B⁰"), =HYPERLINK("CSG1.html#group10C1", "10C¹"), =HYPERLINK("CSG2.html#group35B2", "35B²"), =HYPERLINK("CSG0.html#group5C0", "5C⁰")</f>
        <v/>
      </c>
      <c r="N6660" t="inlineStr"/>
    </row>
    <row r="6661">
      <c r="A6661" t="inlineStr">
        <is>
          <t>70H²¹</t>
        </is>
      </c>
      <c r="B6661" t="inlineStr"/>
      <c r="C6661" t="inlineStr">
        <is>
          <t>336</t>
        </is>
      </c>
      <c r="D6661" t="inlineStr">
        <is>
          <t>1</t>
        </is>
      </c>
      <c r="E6661" t="inlineStr">
        <is>
          <t>168</t>
        </is>
      </c>
      <c r="F6661" t="inlineStr">
        <is>
          <t>16</t>
        </is>
      </c>
      <c r="G6661" t="inlineStr">
        <is>
          <t>0</t>
        </is>
      </c>
      <c r="H6661" t="inlineStr">
        <is>
          <t>14⁴, 70⁴</t>
        </is>
      </c>
      <c r="I6661" t="n">
        <v>8</v>
      </c>
      <c r="J6661" t="inlineStr">
        <is>
          <t>1², 3², 4¹, 6⁸, 12¹, 24⁴</t>
        </is>
      </c>
      <c r="K6661">
        <f>HYPERLINK("CSG4.html#group70C4", "70C⁴"), =HYPERLINK("CSG9.html#group35D9", "35D⁹")</f>
        <v/>
      </c>
      <c r="L6661" t="inlineStr"/>
      <c r="M6661">
        <f>HYPERLINK("CSG2.html#group35C2", "35C²"), =HYPERLINK("CSG4.html#group70C4", "70C⁴"), =HYPERLINK("CSG0.html#group5B0", "5B⁰"), =HYPERLINK("CSG0.html#group7F0", "7F⁰"), =HYPERLINK("CSG0.html#group1A0", "1A⁰"), =HYPERLINK("CSG9.html#group35D9", "35D⁹"), =HYPERLINK("CSG0.html#group7A0", "7A⁰"), =HYPERLINK("CSG0.html#group10B0", "10B⁰")</f>
        <v/>
      </c>
      <c r="N6661" t="inlineStr"/>
    </row>
    <row r="6662">
      <c r="A6662" t="inlineStr">
        <is>
          <t>70I²¹</t>
        </is>
      </c>
      <c r="B6662" t="inlineStr"/>
      <c r="C6662" t="inlineStr">
        <is>
          <t>336</t>
        </is>
      </c>
      <c r="D6662" t="inlineStr">
        <is>
          <t>1</t>
        </is>
      </c>
      <c r="E6662" t="inlineStr">
        <is>
          <t>168</t>
        </is>
      </c>
      <c r="F6662" t="inlineStr">
        <is>
          <t>16</t>
        </is>
      </c>
      <c r="G6662" t="inlineStr">
        <is>
          <t>0</t>
        </is>
      </c>
      <c r="H6662" t="inlineStr">
        <is>
          <t>14⁴, 70⁴</t>
        </is>
      </c>
      <c r="I6662" t="n">
        <v>8</v>
      </c>
      <c r="J6662" t="inlineStr">
        <is>
          <t>1², 3², 4¹, 6⁸, 12¹, 24⁴</t>
        </is>
      </c>
      <c r="K6662">
        <f>HYPERLINK("CSG1.html#group14G1", "14G¹"), =HYPERLINK("CSG5.html#group70B5", "70B⁵"), =HYPERLINK("CSG9.html#group35D9", "35D⁹")</f>
        <v/>
      </c>
      <c r="L6662" t="inlineStr"/>
      <c r="M6662">
        <f>HYPERLINK("CSG2.html#group35C2", "35C²"), =HYPERLINK("CSG0.html#group14A0", "14A⁰"), =HYPERLINK("CSG0.html#group5B0", "5B⁰"), =HYPERLINK("CSG0.html#group7F0", "7F⁰"), =HYPERLINK("CSG5.html#group70B5", "70B⁵"), =HYPERLINK("CSG1.html#group14G1", "14G¹"), =HYPERLINK("CSG0.html#group1A0", "1A⁰"), =HYPERLINK("CSG9.html#group35D9", "35D⁹"), =HYPERLINK("CSG0.html#group7A0", "7A⁰")</f>
        <v/>
      </c>
      <c r="N6662" t="inlineStr"/>
    </row>
    <row r="6663">
      <c r="A6663" t="inlineStr">
        <is>
          <t>72A²¹</t>
        </is>
      </c>
      <c r="B6663" t="inlineStr"/>
      <c r="C6663" t="inlineStr">
        <is>
          <t>288</t>
        </is>
      </c>
      <c r="D6663" t="inlineStr">
        <is>
          <t>1</t>
        </is>
      </c>
      <c r="E6663" t="inlineStr">
        <is>
          <t>12</t>
        </is>
      </c>
      <c r="F6663" t="inlineStr">
        <is>
          <t>0</t>
        </is>
      </c>
      <c r="G6663" t="inlineStr">
        <is>
          <t>0</t>
        </is>
      </c>
      <c r="H6663" t="inlineStr">
        <is>
          <t>12², 24², 36², 72²</t>
        </is>
      </c>
      <c r="I6663" t="n">
        <v>8</v>
      </c>
      <c r="J6663" t="inlineStr">
        <is>
          <t>1⁶, 2³</t>
        </is>
      </c>
      <c r="K6663">
        <f>HYPERLINK("CSG5.html#group24H5", "24H⁵"), =HYPERLINK("CSG9.html#group36C9", "36C⁹")</f>
        <v/>
      </c>
      <c r="L6663" t="inlineStr"/>
      <c r="M6663">
        <f>HYPERLINK("CSG0.html#group3B0", "3B⁰"), =HYPERLINK("CSG0.html#group2A0", "2A⁰"), =HYPERLINK("CSG4.html#group18C4", "18C⁴"), =HYPERLINK("CSG1.html#group12F1", "12F¹"), =HYPERLINK("CSG0.html#group18B0", "18B⁰"), =HYPERLINK("CSG0.html#group6I0", "6I⁰"), =HYPERLINK("CSG0.html#group4C0", "4C⁰"), =HYPERLINK("CSG0.html#group6C0", "6C⁰"), =HYPERLINK("CSG2.html#group18D2", "18D²"), =HYPERLINK("CSG4.html#group36F4", "36F⁴"), =HYPERLINK("CSG0.html#group2B0", "2B⁰"), =HYPERLINK("CSG0.html#group4E0", "4E⁰"), =HYPERLINK("CSG0.html#group9C0", "9C⁰"), =HYPERLINK("CSG5.html#group36A5", "36A⁵"), =HYPERLINK("CSG1.html#group12P1", "12P¹"), =HYPERLINK("CSG0.html#group1A0", "1A⁰"), =HYPERLINK("CSG0.html#group4B0", "4B⁰"), =HYPERLINK("CSG9.html#group36C9", "36C⁹"), =HYPERLINK("CSG5.html#group24H5", "24H⁵"), =HYPERLINK("CSG0.html#group6F0", "6F⁰"), =HYPERLINK("CSG0.html#group2C0", "2C⁰"), =HYPERLINK("CSG0.html#group12E0", "12E⁰"), =HYPERLINK("CSG2.html#group18C2", "18C²")</f>
        <v/>
      </c>
      <c r="N6663" t="inlineStr"/>
    </row>
    <row r="6664">
      <c r="A6664" t="inlineStr">
        <is>
          <t>72B²¹</t>
        </is>
      </c>
      <c r="B6664" t="inlineStr"/>
      <c r="C6664" t="inlineStr">
        <is>
          <t>288</t>
        </is>
      </c>
      <c r="D6664" t="inlineStr">
        <is>
          <t>1</t>
        </is>
      </c>
      <c r="E6664" t="inlineStr">
        <is>
          <t>12</t>
        </is>
      </c>
      <c r="F6664" t="inlineStr">
        <is>
          <t>0</t>
        </is>
      </c>
      <c r="G6664" t="inlineStr">
        <is>
          <t>0</t>
        </is>
      </c>
      <c r="H6664" t="inlineStr">
        <is>
          <t>12², 24², 36², 72²</t>
        </is>
      </c>
      <c r="I6664" t="n">
        <v>8</v>
      </c>
      <c r="J6664" t="inlineStr">
        <is>
          <t>1⁶, 2³</t>
        </is>
      </c>
      <c r="K6664">
        <f>HYPERLINK("CSG5.html#group24H5", "24H⁵"), =HYPERLINK("CSG9.html#group36D9", "36D⁹")</f>
        <v/>
      </c>
      <c r="L6664" t="inlineStr"/>
      <c r="M6664">
        <f>HYPERLINK("CSG0.html#group3B0", "3B⁰"), =HYPERLINK("CSG0.html#group2A0", "2A⁰"), =HYPERLINK("CSG1.html#group12F1", "12F¹"), =HYPERLINK("CSG0.html#group6I0", "6I⁰"), =HYPERLINK("CSG1.html#group18D1", "18D¹"), =HYPERLINK("CSG0.html#group4C0", "4C⁰"), =HYPERLINK("CSG2.html#group18E2", "18E²"), =HYPERLINK("CSG0.html#group6C0", "6C⁰"), =HYPERLINK("CSG4.html#group36G4", "36G⁴"), =HYPERLINK("CSG5.html#group36B5", "36B⁵"), =HYPERLINK("CSG0.html#group2B0", "2B⁰"), =HYPERLINK("CSG0.html#group4E0", "4E⁰"), =HYPERLINK("CSG1.html#group12P1", "12P¹"), =HYPERLINK("CSG0.html#group4B0", "4B⁰"), =HYPERLINK("CSG0.html#group1A0", "1A⁰"), =HYPERLINK("CSG2.html#group18B2", "18B²"), =HYPERLINK("CSG1.html#group9A1", "9A¹"), =HYPERLINK("CSG5.html#group24H5", "24H⁵"), =HYPERLINK("CSG4.html#group18D4", "18D⁴"), =HYPERLINK("CSG0.html#group6F0", "6F⁰"), =HYPERLINK("CSG0.html#group2C0", "2C⁰"), =HYPERLINK("CSG0.html#group12E0", "12E⁰"), =HYPERLINK("CSG9.html#group36D9", "36D⁹")</f>
        <v/>
      </c>
      <c r="N6664" t="inlineStr"/>
    </row>
    <row r="6665">
      <c r="A6665" t="inlineStr">
        <is>
          <t>72C²¹</t>
        </is>
      </c>
      <c r="B6665" t="inlineStr"/>
      <c r="C6665" t="inlineStr">
        <is>
          <t>288</t>
        </is>
      </c>
      <c r="D6665" t="inlineStr">
        <is>
          <t>1</t>
        </is>
      </c>
      <c r="E6665" t="inlineStr">
        <is>
          <t>12</t>
        </is>
      </c>
      <c r="F6665" t="inlineStr">
        <is>
          <t>0</t>
        </is>
      </c>
      <c r="G6665" t="inlineStr">
        <is>
          <t>0</t>
        </is>
      </c>
      <c r="H6665" t="inlineStr">
        <is>
          <t>12², 24², 36², 72²</t>
        </is>
      </c>
      <c r="I6665" t="n">
        <v>8</v>
      </c>
      <c r="J6665" t="inlineStr">
        <is>
          <t>1⁶, 2³</t>
        </is>
      </c>
      <c r="K6665">
        <f>HYPERLINK("CSG5.html#group24I5", "24I⁵"), =HYPERLINK("CSG9.html#group36C9", "36C⁹"), =HYPERLINK("CSG11.html#group72A11", "72A¹¹"), =HYPERLINK("CSG11.html#group72C11", "72C¹¹")</f>
        <v/>
      </c>
      <c r="L6665" t="inlineStr"/>
      <c r="M6665">
        <f>HYPERLINK("CSG0.html#group3B0", "3B⁰"), =HYPERLINK("CSG0.html#group2A0", "2A⁰"), =HYPERLINK("CSG4.html#group18C4", "18C⁴"), =HYPERLINK("CSG1.html#group8A1", "8A¹"), =HYPERLINK("CSG3.html#group24B3", "24B³"), =HYPERLINK("CSG11.html#group72C11", "72C¹¹"), =HYPERLINK("CSG1.html#group12F1", "12F¹"), =HYPERLINK("CSG0.html#group18B0", "18B⁰"), =HYPERLINK("CSG0.html#group6I0", "6I⁰"), =HYPERLINK("CSG0.html#group4C0", "4C⁰"), =HYPERLINK("CSG0.html#group6C0", "6C⁰"), =HYPERLINK("CSG0.html#group8B0", "8B⁰"), =HYPERLINK("CSG2.html#group18D2", "18D²"), =HYPERLINK("CSG4.html#group36F4", "36F⁴"), =HYPERLINK("CSG0.html#group2B0", "2B⁰"), =HYPERLINK("CSG0.html#group4E0", "4E⁰"), =HYPERLINK("CSG1.html#group8B1", "8B¹"), =HYPERLINK("CSG0.html#group9C0", "9C⁰"), =HYPERLINK("CSG5.html#group36A5", "36A⁵"), =HYPERLINK("CSG1.html#group12P1", "12P¹"), =HYPERLINK("CSG0.html#group1A0", "1A⁰"), =HYPERLINK("CSG0.html#group4B0", "4B⁰"), =HYPERLINK("CSG3.html#group24C3", "24C³"), =HYPERLINK("CSG9.html#group36C9", "36C⁹"), =HYPERLINK("CSG5.html#group24I5", "24I⁵"), =HYPERLINK("CSG11.html#group72A11", "72A¹¹"), =HYPERLINK("CSG0.html#group6F0", "6F⁰"), =HYPERLINK("CSG0.html#group2C0", "2C⁰"), =HYPERLINK("CSG0.html#group12E0", "12E⁰"), =HYPERLINK("CSG2.html#group18C2", "18C²")</f>
        <v/>
      </c>
      <c r="N6665" t="inlineStr"/>
    </row>
    <row r="6666">
      <c r="A6666" t="inlineStr">
        <is>
          <t>72D²¹</t>
        </is>
      </c>
      <c r="B6666" t="inlineStr"/>
      <c r="C6666" t="inlineStr">
        <is>
          <t>288</t>
        </is>
      </c>
      <c r="D6666" t="inlineStr">
        <is>
          <t>1</t>
        </is>
      </c>
      <c r="E6666" t="inlineStr">
        <is>
          <t>12</t>
        </is>
      </c>
      <c r="F6666" t="inlineStr">
        <is>
          <t>0</t>
        </is>
      </c>
      <c r="G6666" t="inlineStr">
        <is>
          <t>0</t>
        </is>
      </c>
      <c r="H6666" t="inlineStr">
        <is>
          <t>12², 24², 36², 72²</t>
        </is>
      </c>
      <c r="I6666" t="n">
        <v>8</v>
      </c>
      <c r="J6666" t="inlineStr">
        <is>
          <t>1⁶, 2³</t>
        </is>
      </c>
      <c r="K6666">
        <f>HYPERLINK("CSG5.html#group24I5", "24I⁵"), =HYPERLINK("CSG9.html#group36D9", "36D⁹"), =HYPERLINK("CSG11.html#group72B11", "72B¹¹"), =HYPERLINK("CSG11.html#group72D11", "72D¹¹")</f>
        <v/>
      </c>
      <c r="L6666" t="inlineStr"/>
      <c r="M6666">
        <f>HYPERLINK("CSG0.html#group3B0", "3B⁰"), =HYPERLINK("CSG0.html#group2A0", "2A⁰"), =HYPERLINK("CSG1.html#group8A1", "8A¹"), =HYPERLINK("CSG3.html#group24B3", "24B³"), =HYPERLINK("CSG1.html#group12F1", "12F¹"), =HYPERLINK("CSG0.html#group6I0", "6I⁰"), =HYPERLINK("CSG1.html#group18D1", "18D¹"), =HYPERLINK("CSG0.html#group4C0", "4C⁰"), =HYPERLINK("CSG2.html#group18E2", "18E²"), =HYPERLINK("CSG0.html#group8B0", "8B⁰"), =HYPERLINK("CSG0.html#group6C0", "6C⁰"), =HYPERLINK("CSG4.html#group36G4", "36G⁴"), =HYPERLINK("CSG5.html#group36B5", "36B⁵"), =HYPERLINK("CSG0.html#group2B0", "2B⁰"), =HYPERLINK("CSG1.html#group8B1", "8B¹"), =HYPERLINK("CSG0.html#group4E0", "4E⁰"), =HYPERLINK("CSG1.html#group12P1", "12P¹"), =HYPERLINK("CSG0.html#group4B0", "4B⁰"), =HYPERLINK("CSG0.html#group1A0", "1A⁰"), =HYPERLINK("CSG3.html#group24C3", "24C³"), =HYPERLINK("CSG5.html#group24I5", "24I⁵"), =HYPERLINK("CSG2.html#group18B2", "18B²"), =HYPERLINK("CSG11.html#group72D11", "72D¹¹"), =HYPERLINK("CSG1.html#group9A1", "9A¹"), =HYPERLINK("CSG11.html#group72B11", "72B¹¹"), =HYPERLINK("CSG4.html#group18D4", "18D⁴"), =HYPERLINK("CSG0.html#group6F0", "6F⁰"), =HYPERLINK("CSG0.html#group2C0", "2C⁰"), =HYPERLINK("CSG0.html#group12E0", "12E⁰"), =HYPERLINK("CSG9.html#group36D9", "36D⁹")</f>
        <v/>
      </c>
      <c r="N6666" t="inlineStr"/>
    </row>
    <row r="6667">
      <c r="A6667" t="inlineStr">
        <is>
          <t>72E²¹</t>
        </is>
      </c>
      <c r="B6667" t="inlineStr"/>
      <c r="C6667" t="inlineStr">
        <is>
          <t>288</t>
        </is>
      </c>
      <c r="D6667" t="inlineStr">
        <is>
          <t>1</t>
        </is>
      </c>
      <c r="E6667" t="inlineStr">
        <is>
          <t>24</t>
        </is>
      </c>
      <c r="F6667" t="inlineStr">
        <is>
          <t>0</t>
        </is>
      </c>
      <c r="G6667" t="inlineStr">
        <is>
          <t>0</t>
        </is>
      </c>
      <c r="H6667" t="inlineStr">
        <is>
          <t>12², 24², 36², 72²</t>
        </is>
      </c>
      <c r="I6667" t="n">
        <v>8</v>
      </c>
      <c r="J6667" t="inlineStr">
        <is>
          <t>1⁴, 2⁶, 4²</t>
        </is>
      </c>
      <c r="K6667">
        <f>HYPERLINK("CSG5.html#group24J5", "24J⁵"), =HYPERLINK("CSG10.html#group36J10", "36J¹⁰"), =HYPERLINK("CSG10.html#group72C10", "72C¹⁰"), =HYPERLINK("CSG11.html#group72A11", "72A¹¹")</f>
        <v/>
      </c>
      <c r="L6667" t="inlineStr"/>
      <c r="M6667">
        <f>HYPERLINK("CSG0.html#group3B0", "3B⁰"), =HYPERLINK("CSG10.html#group36J10", "36J¹⁰"), =HYPERLINK("CSG3.html#group24B3", "24B³"), =HYPERLINK("CSG0.html#group8D0", "8D⁰"), =HYPERLINK("CSG1.html#group12F1", "12F¹"), =HYPERLINK("CSG0.html#group4C0", "4C⁰"), =HYPERLINK("CSG0.html#group8B0", "8B⁰"), =HYPERLINK("CSG2.html#group18D2", "18D²"), =HYPERLINK("CSG0.html#group2B0", "2B⁰"), =HYPERLINK("CSG0.html#group9C0", "9C⁰"), =HYPERLINK("CSG5.html#group36A5", "36A⁵"), =HYPERLINK("CSG0.html#group1A0", "1A⁰"), =HYPERLINK("CSG3.html#group36C3", "36C³"), =HYPERLINK("CSG0.html#group8H0", "8H⁰"), =HYPERLINK("CSG2.html#group24I2", "24I²"), =HYPERLINK("CSG10.html#group72C10", "72C¹⁰"), =HYPERLINK("CSG0.html#group4A0", "4A⁰"), =HYPERLINK("CSG1.html#group12A1", "12A¹"), =HYPERLINK("CSG11.html#group72A11", "72A¹¹"), =HYPERLINK("CSG2.html#group12G2", "12G²"), =HYPERLINK("CSG5.html#group24J5", "24J⁵"), =HYPERLINK("CSG0.html#group4F0", "4F⁰"), =HYPERLINK("CSG0.html#group6F0", "6F⁰")</f>
        <v/>
      </c>
      <c r="N6667" t="inlineStr"/>
    </row>
    <row r="6668">
      <c r="A6668" t="inlineStr">
        <is>
          <t>72F²¹</t>
        </is>
      </c>
      <c r="B6668" t="inlineStr"/>
      <c r="C6668" t="inlineStr">
        <is>
          <t>288</t>
        </is>
      </c>
      <c r="D6668" t="inlineStr">
        <is>
          <t>1</t>
        </is>
      </c>
      <c r="E6668" t="inlineStr">
        <is>
          <t>24</t>
        </is>
      </c>
      <c r="F6668" t="inlineStr">
        <is>
          <t>0</t>
        </is>
      </c>
      <c r="G6668" t="inlineStr">
        <is>
          <t>0</t>
        </is>
      </c>
      <c r="H6668" t="inlineStr">
        <is>
          <t>12², 24², 36², 72²</t>
        </is>
      </c>
      <c r="I6668" t="n">
        <v>8</v>
      </c>
      <c r="J6668" t="inlineStr">
        <is>
          <t>1⁴, 2⁶, 4²</t>
        </is>
      </c>
      <c r="K6668">
        <f>HYPERLINK("CSG5.html#group24J5", "24J⁵"), =HYPERLINK("CSG10.html#group36K10", "36K¹⁰"), =HYPERLINK("CSG10.html#group72D10", "72D¹⁰"), =HYPERLINK("CSG11.html#group72B11", "72B¹¹")</f>
        <v/>
      </c>
      <c r="L6668" t="inlineStr"/>
      <c r="M6668">
        <f>HYPERLINK("CSG0.html#group3B0", "3B⁰"), =HYPERLINK("CSG3.html#group24B3", "24B³"), =HYPERLINK("CSG0.html#group8D0", "8D⁰"), =HYPERLINK("CSG1.html#group12F1", "12F¹"), =HYPERLINK("CSG0.html#group4C0", "4C⁰"), =HYPERLINK("CSG2.html#group18E2", "18E²"), =HYPERLINK("CSG0.html#group8B0", "8B⁰"), =HYPERLINK("CSG5.html#group36B5", "36B⁵"), =HYPERLINK("CSG0.html#group2B0", "2B⁰"), =HYPERLINK("CSG0.html#group1A0", "1A⁰"), =HYPERLINK("CSG10.html#group36K10", "36K¹⁰"), =HYPERLINK("CSG0.html#group8H0", "8H⁰"), =HYPERLINK("CSG2.html#group24I2", "24I²"), =HYPERLINK("CSG0.html#group4A0", "4A⁰"), =HYPERLINK("CSG1.html#group12A1", "12A¹"), =HYPERLINK("CSG1.html#group9A1", "9A¹"), =HYPERLINK("CSG10.html#group72D10", "72D¹⁰"), =HYPERLINK("CSG4.html#group36C4", "36C⁴"), =HYPERLINK("CSG2.html#group12G2", "12G²"), =HYPERLINK("CSG5.html#group24J5", "24J⁵"), =HYPERLINK("CSG0.html#group4F0", "4F⁰"), =HYPERLINK("CSG0.html#group6F0", "6F⁰"), =HYPERLINK("CSG11.html#group72B11", "72B¹¹")</f>
        <v/>
      </c>
      <c r="N6668" t="inlineStr"/>
    </row>
    <row r="6669">
      <c r="A6669" t="inlineStr">
        <is>
          <t>72G²¹</t>
        </is>
      </c>
      <c r="B6669" t="inlineStr"/>
      <c r="C6669" t="inlineStr">
        <is>
          <t>288</t>
        </is>
      </c>
      <c r="D6669" t="inlineStr">
        <is>
          <t>1</t>
        </is>
      </c>
      <c r="E6669" t="inlineStr">
        <is>
          <t>24</t>
        </is>
      </c>
      <c r="F6669" t="inlineStr">
        <is>
          <t>0</t>
        </is>
      </c>
      <c r="G6669" t="inlineStr">
        <is>
          <t>0</t>
        </is>
      </c>
      <c r="H6669" t="inlineStr">
        <is>
          <t>12², 24², 36², 72²</t>
        </is>
      </c>
      <c r="I6669" t="n">
        <v>8</v>
      </c>
      <c r="J6669" t="inlineStr">
        <is>
          <t>1⁴, 2⁶, 4²</t>
        </is>
      </c>
      <c r="K6669">
        <f>HYPERLINK("CSG5.html#group24K5", "24K⁵"), =HYPERLINK("CSG10.html#group36J10", "36J¹⁰"), =HYPERLINK("CSG10.html#group72C10", "72C¹⁰"), =HYPERLINK("CSG11.html#group72C11", "72C¹¹")</f>
        <v/>
      </c>
      <c r="L6669" t="inlineStr"/>
      <c r="M6669">
        <f>HYPERLINK("CSG0.html#group3B0", "3B⁰"), =HYPERLINK("CSG5.html#group24K5", "24K⁵"), =HYPERLINK("CSG1.html#group8A1", "8A¹"), =HYPERLINK("CSG10.html#group36J10", "36J¹⁰"), =HYPERLINK("CSG11.html#group72C11", "72C¹¹"), =HYPERLINK("CSG0.html#group8D0", "8D⁰"), =HYPERLINK("CSG1.html#group12F1", "12F¹"), =HYPERLINK("CSG0.html#group4C0", "4C⁰"), =HYPERLINK("CSG2.html#group18D2", "18D²"), =HYPERLINK("CSG0.html#group2B0", "2B⁰"), =HYPERLINK("CSG0.html#group9C0", "9C⁰"), =HYPERLINK("CSG5.html#group36A5", "36A⁵"), =HYPERLINK("CSG0.html#group1A0", "1A⁰"), =HYPERLINK("CSG3.html#group36C3", "36C³"), =HYPERLINK("CSG3.html#group24C3", "24C³"), =HYPERLINK("CSG1.html#group8C1", "8C¹"), =HYPERLINK("CSG2.html#group24I2", "24I²"), =HYPERLINK("CSG10.html#group72C10", "72C¹⁰"), =HYPERLINK("CSG0.html#group4A0", "4A⁰"), =HYPERLINK("CSG1.html#group12A1", "12A¹"), =HYPERLINK("CSG2.html#group12G2", "12G²"), =HYPERLINK("CSG0.html#group4F0", "4F⁰"), =HYPERLINK("CSG0.html#group6F0", "6F⁰")</f>
        <v/>
      </c>
      <c r="N6669" t="inlineStr"/>
    </row>
    <row r="6670">
      <c r="A6670" t="inlineStr">
        <is>
          <t>72H²¹</t>
        </is>
      </c>
      <c r="B6670" t="inlineStr"/>
      <c r="C6670" t="inlineStr">
        <is>
          <t>288</t>
        </is>
      </c>
      <c r="D6670" t="inlineStr">
        <is>
          <t>1</t>
        </is>
      </c>
      <c r="E6670" t="inlineStr">
        <is>
          <t>24</t>
        </is>
      </c>
      <c r="F6670" t="inlineStr">
        <is>
          <t>0</t>
        </is>
      </c>
      <c r="G6670" t="inlineStr">
        <is>
          <t>0</t>
        </is>
      </c>
      <c r="H6670" t="inlineStr">
        <is>
          <t>12², 24², 36², 72²</t>
        </is>
      </c>
      <c r="I6670" t="n">
        <v>8</v>
      </c>
      <c r="J6670" t="inlineStr">
        <is>
          <t>1⁴, 2⁶, 4²</t>
        </is>
      </c>
      <c r="K6670">
        <f>HYPERLINK("CSG5.html#group24K5", "24K⁵"), =HYPERLINK("CSG10.html#group36K10", "36K¹⁰"), =HYPERLINK("CSG10.html#group72D10", "72D¹⁰"), =HYPERLINK("CSG11.html#group72D11", "72D¹¹")</f>
        <v/>
      </c>
      <c r="L6670" t="inlineStr"/>
      <c r="M6670">
        <f>HYPERLINK("CSG0.html#group3B0", "3B⁰"), =HYPERLINK("CSG5.html#group24K5", "24K⁵"), =HYPERLINK("CSG1.html#group8A1", "8A¹"), =HYPERLINK("CSG0.html#group8D0", "8D⁰"), =HYPERLINK("CSG1.html#group12F1", "12F¹"), =HYPERLINK("CSG0.html#group4C0", "4C⁰"), =HYPERLINK("CSG2.html#group18E2", "18E²"), =HYPERLINK("CSG5.html#group36B5", "36B⁵"), =HYPERLINK("CSG0.html#group2B0", "2B⁰"), =HYPERLINK("CSG0.html#group1A0", "1A⁰"), =HYPERLINK("CSG10.html#group36K10", "36K¹⁰"), =HYPERLINK("CSG3.html#group24C3", "24C³"), =HYPERLINK("CSG1.html#group8C1", "8C¹"), =HYPERLINK("CSG2.html#group24I2", "24I²"), =HYPERLINK("CSG11.html#group72D11", "72D¹¹"), =HYPERLINK("CSG0.html#group4A0", "4A⁰"), =HYPERLINK("CSG1.html#group12A1", "12A¹"), =HYPERLINK("CSG1.html#group9A1", "9A¹"), =HYPERLINK("CSG10.html#group72D10", "72D¹⁰"), =HYPERLINK("CSG4.html#group36C4", "36C⁴"), =HYPERLINK("CSG2.html#group12G2", "12G²"), =HYPERLINK("CSG0.html#group4F0", "4F⁰"), =HYPERLINK("CSG0.html#group6F0", "6F⁰")</f>
        <v/>
      </c>
      <c r="N6670" t="inlineStr"/>
    </row>
    <row r="6671">
      <c r="A6671" t="inlineStr">
        <is>
          <t>72I²¹</t>
        </is>
      </c>
      <c r="B6671" t="inlineStr"/>
      <c r="C6671" t="inlineStr">
        <is>
          <t>288</t>
        </is>
      </c>
      <c r="D6671" t="inlineStr">
        <is>
          <t>1</t>
        </is>
      </c>
      <c r="E6671" t="inlineStr">
        <is>
          <t>48</t>
        </is>
      </c>
      <c r="F6671" t="inlineStr">
        <is>
          <t>0</t>
        </is>
      </c>
      <c r="G6671" t="inlineStr">
        <is>
          <t>0</t>
        </is>
      </c>
      <c r="H6671" t="inlineStr">
        <is>
          <t>12², 24², 36², 72²</t>
        </is>
      </c>
      <c r="I6671" t="n">
        <v>8</v>
      </c>
      <c r="J6671" t="inlineStr">
        <is>
          <t>1⁸, 2⁸, 4⁴, 8¹</t>
        </is>
      </c>
      <c r="K6671">
        <f>HYPERLINK("CSG5.html#group24M5", "24M⁵"), =HYPERLINK("CSG11.html#group72C11", "72C¹¹")</f>
        <v/>
      </c>
      <c r="L6671" t="inlineStr"/>
      <c r="M6671">
        <f>HYPERLINK("CSG3.html#group24C3", "24C³"), =HYPERLINK("CSG0.html#group3B0", "3B⁰"), =HYPERLINK("CSG1.html#group8A1", "8A¹"), =HYPERLINK("CSG5.html#group24M5", "24M⁵"), =HYPERLINK("CSG11.html#group72C11", "72C¹¹"), =HYPERLINK("CSG1.html#group12F1", "12F¹"), =HYPERLINK("CSG0.html#group4C0", "4C⁰"), =HYPERLINK("CSG0.html#group6F0", "6F⁰"), =HYPERLINK("CSG2.html#group18D2", "18D²"), =HYPERLINK("CSG0.html#group2B0", "2B⁰"), =HYPERLINK("CSG0.html#group9C0", "9C⁰"), =HYPERLINK("CSG5.html#group36A5", "36A⁵"), =HYPERLINK("CSG0.html#group1A0", "1A⁰")</f>
        <v/>
      </c>
      <c r="N6671" t="inlineStr"/>
    </row>
    <row r="6672">
      <c r="A6672" t="inlineStr">
        <is>
          <t>72J²¹</t>
        </is>
      </c>
      <c r="B6672" t="inlineStr"/>
      <c r="C6672" t="inlineStr">
        <is>
          <t>288</t>
        </is>
      </c>
      <c r="D6672" t="inlineStr">
        <is>
          <t>1</t>
        </is>
      </c>
      <c r="E6672" t="inlineStr">
        <is>
          <t>48</t>
        </is>
      </c>
      <c r="F6672" t="inlineStr">
        <is>
          <t>0</t>
        </is>
      </c>
      <c r="G6672" t="inlineStr">
        <is>
          <t>0</t>
        </is>
      </c>
      <c r="H6672" t="inlineStr">
        <is>
          <t>12², 24², 36², 72²</t>
        </is>
      </c>
      <c r="I6672" t="n">
        <v>8</v>
      </c>
      <c r="J6672" t="inlineStr">
        <is>
          <t>1⁸, 2⁸, 4⁴, 8¹</t>
        </is>
      </c>
      <c r="K6672">
        <f>HYPERLINK("CSG5.html#group24M5", "24M⁵"), =HYPERLINK("CSG11.html#group72D11", "72D¹¹")</f>
        <v/>
      </c>
      <c r="L6672" t="inlineStr"/>
      <c r="M6672">
        <f>HYPERLINK("CSG3.html#group24C3", "24C³"), =HYPERLINK("CSG0.html#group3B0", "3B⁰"), =HYPERLINK("CSG1.html#group8A1", "8A¹"), =HYPERLINK("CSG5.html#group24M5", "24M⁵"), =HYPERLINK("CSG11.html#group72D11", "72D¹¹"), =HYPERLINK("CSG1.html#group12F1", "12F¹"), =HYPERLINK("CSG0.html#group4C0", "4C⁰"), =HYPERLINK("CSG1.html#group9A1", "9A¹"), =HYPERLINK("CSG0.html#group6F0", "6F⁰"), =HYPERLINK("CSG2.html#group18E2", "18E²"), =HYPERLINK("CSG0.html#group2B0", "2B⁰"), =HYPERLINK("CSG5.html#group36B5", "36B⁵"), =HYPERLINK("CSG0.html#group1A0", "1A⁰")</f>
        <v/>
      </c>
      <c r="N6672" t="inlineStr"/>
    </row>
    <row r="6673">
      <c r="A6673" t="inlineStr">
        <is>
          <t>72K²¹</t>
        </is>
      </c>
      <c r="B6673" t="inlineStr"/>
      <c r="C6673" t="inlineStr">
        <is>
          <t>288</t>
        </is>
      </c>
      <c r="D6673" t="inlineStr">
        <is>
          <t>1</t>
        </is>
      </c>
      <c r="E6673" t="inlineStr">
        <is>
          <t>48</t>
        </is>
      </c>
      <c r="F6673" t="inlineStr">
        <is>
          <t>0</t>
        </is>
      </c>
      <c r="G6673" t="inlineStr">
        <is>
          <t>0</t>
        </is>
      </c>
      <c r="H6673" t="inlineStr">
        <is>
          <t>12², 24², 36², 72²</t>
        </is>
      </c>
      <c r="I6673" t="n">
        <v>8</v>
      </c>
      <c r="J6673" t="inlineStr">
        <is>
          <t>1⁸, 2⁸, 4⁴, 8¹</t>
        </is>
      </c>
      <c r="K6673">
        <f>HYPERLINK("CSG5.html#group24N5", "24N⁵"), =HYPERLINK("CSG11.html#group72A11", "72A¹¹")</f>
        <v/>
      </c>
      <c r="L6673" t="inlineStr"/>
      <c r="M6673">
        <f>HYPERLINK("CSG0.html#group3B0", "3B⁰"), =HYPERLINK("CSG5.html#group24N5", "24N⁵"), =HYPERLINK("CSG3.html#group24B3", "24B³"), =HYPERLINK("CSG1.html#group12F1", "12F¹"), =HYPERLINK("CSG0.html#group4C0", "4C⁰"), =HYPERLINK("CSG11.html#group72A11", "72A¹¹"), =HYPERLINK("CSG0.html#group8B0", "8B⁰"), =HYPERLINK("CSG0.html#group6F0", "6F⁰"), =HYPERLINK("CSG2.html#group18D2", "18D²"), =HYPERLINK("CSG0.html#group8L0", "8L⁰"), =HYPERLINK("CSG0.html#group2B0", "2B⁰"), =HYPERLINK("CSG0.html#group9C0", "9C⁰"), =HYPERLINK("CSG5.html#group36A5", "36A⁵"), =HYPERLINK("CSG0.html#group1A0", "1A⁰")</f>
        <v/>
      </c>
      <c r="N6673" t="inlineStr"/>
    </row>
    <row r="6674">
      <c r="A6674" t="inlineStr">
        <is>
          <t>72L²¹</t>
        </is>
      </c>
      <c r="B6674" t="inlineStr"/>
      <c r="C6674" t="inlineStr">
        <is>
          <t>288</t>
        </is>
      </c>
      <c r="D6674" t="inlineStr">
        <is>
          <t>1</t>
        </is>
      </c>
      <c r="E6674" t="inlineStr">
        <is>
          <t>48</t>
        </is>
      </c>
      <c r="F6674" t="inlineStr">
        <is>
          <t>0</t>
        </is>
      </c>
      <c r="G6674" t="inlineStr">
        <is>
          <t>0</t>
        </is>
      </c>
      <c r="H6674" t="inlineStr">
        <is>
          <t>12², 24², 36², 72²</t>
        </is>
      </c>
      <c r="I6674" t="n">
        <v>8</v>
      </c>
      <c r="J6674" t="inlineStr">
        <is>
          <t>1⁸, 2⁸, 4⁴, 8¹</t>
        </is>
      </c>
      <c r="K6674">
        <f>HYPERLINK("CSG5.html#group24N5", "24N⁵"), =HYPERLINK("CSG11.html#group72B11", "72B¹¹")</f>
        <v/>
      </c>
      <c r="L6674" t="inlineStr"/>
      <c r="M6674">
        <f>HYPERLINK("CSG0.html#group3B0", "3B⁰"), =HYPERLINK("CSG5.html#group24N5", "24N⁵"), =HYPERLINK("CSG3.html#group24B3", "24B³"), =HYPERLINK("CSG1.html#group12F1", "12F¹"), =HYPERLINK("CSG0.html#group4C0", "4C⁰"), =HYPERLINK("CSG1.html#group9A1", "9A¹"), =HYPERLINK("CSG0.html#group8B0", "8B⁰"), =HYPERLINK("CSG0.html#group6F0", "6F⁰"), =HYPERLINK("CSG2.html#group18E2", "18E²"), =HYPERLINK("CSG0.html#group8L0", "8L⁰"), =HYPERLINK("CSG0.html#group2B0", "2B⁰"), =HYPERLINK("CSG5.html#group36B5", "36B⁵"), =HYPERLINK("CSG0.html#group1A0", "1A⁰"), =HYPERLINK("CSG11.html#group72B11", "72B¹¹")</f>
        <v/>
      </c>
      <c r="N6674" t="inlineStr"/>
    </row>
    <row r="6675">
      <c r="A6675" t="inlineStr">
        <is>
          <t>72M²¹</t>
        </is>
      </c>
      <c r="B6675" t="inlineStr"/>
      <c r="C6675" t="inlineStr">
        <is>
          <t>288</t>
        </is>
      </c>
      <c r="D6675" t="inlineStr">
        <is>
          <t>1</t>
        </is>
      </c>
      <c r="E6675" t="inlineStr">
        <is>
          <t>72</t>
        </is>
      </c>
      <c r="F6675" t="inlineStr">
        <is>
          <t>0</t>
        </is>
      </c>
      <c r="G6675" t="inlineStr">
        <is>
          <t>0</t>
        </is>
      </c>
      <c r="H6675" t="inlineStr">
        <is>
          <t>24⁶, 72²</t>
        </is>
      </c>
      <c r="I6675" t="n">
        <v>8</v>
      </c>
      <c r="J6675" t="inlineStr">
        <is>
          <t>2², 4², 6², 12⁴</t>
        </is>
      </c>
      <c r="K6675">
        <f>HYPERLINK("CSG7.html#group24A7", "24A⁷"), =HYPERLINK("CSG9.html#group36J9", "36J⁹"), =HYPERLINK("CSG10.html#group72J10", "72J¹⁰")</f>
        <v/>
      </c>
      <c r="L6675" t="inlineStr"/>
      <c r="M6675">
        <f>HYPERLINK("CSG1.html#group12G1", "12G¹"), =HYPERLINK("CSG2.html#group18F2", "18F²"), =HYPERLINK("CSG0.html#group2A0", "2A⁰"), =HYPERLINK("CSG0.html#group6B0", "6B⁰"), =HYPERLINK("CSG3.html#group24D3", "24D³"), =HYPERLINK("CSG3.html#group12C3", "12C³"), =HYPERLINK("CSG0.html#group12F0", "12F⁰"), =HYPERLINK("CSG1.html#group24B1", "24B¹"), =HYPERLINK("CSG7.html#group24A7", "24A⁷"), =HYPERLINK("CSG0.html#group9E0", "9E⁰"), =HYPERLINK("CSG0.html#group1A0", "1A⁰"), =HYPERLINK("CSG10.html#group72J10", "72J¹⁰"), =HYPERLINK("CSG0.html#group12A0", "12A⁰"), =HYPERLINK("CSG1.html#group6B1", "6B¹"), =HYPERLINK("CSG0.html#group4A0", "4A⁰"), =HYPERLINK("CSG0.html#group4D0", "4D⁰"), =HYPERLINK("CSG4.html#group24B4", "24B⁴"), =HYPERLINK("CSG2.html#group12A2", "12A²"), =HYPERLINK("CSG4.html#group36M4", "36M⁴"), =HYPERLINK("CSG0.html#group3C0", "3C⁰"), =HYPERLINK("CSG1.html#group6A1", "6A¹"), =HYPERLINK("CSG0.html#group3A0", "3A⁰"), =HYPERLINK("CSG9.html#group36J9", "36J⁹"), =HYPERLINK("CSG2.html#group24G2", "24G²"), =HYPERLINK("CSG2.html#group24H2", "24H²")</f>
        <v/>
      </c>
      <c r="N6675" t="inlineStr"/>
    </row>
    <row r="6676">
      <c r="A6676" t="inlineStr">
        <is>
          <t>72N²¹</t>
        </is>
      </c>
      <c r="B6676" t="inlineStr"/>
      <c r="C6676" t="inlineStr">
        <is>
          <t>288</t>
        </is>
      </c>
      <c r="D6676" t="inlineStr">
        <is>
          <t>1</t>
        </is>
      </c>
      <c r="E6676" t="inlineStr">
        <is>
          <t>72</t>
        </is>
      </c>
      <c r="F6676" t="inlineStr">
        <is>
          <t>0</t>
        </is>
      </c>
      <c r="G6676" t="inlineStr">
        <is>
          <t>0</t>
        </is>
      </c>
      <c r="H6676" t="inlineStr">
        <is>
          <t>24⁶, 72²</t>
        </is>
      </c>
      <c r="I6676" t="n">
        <v>8</v>
      </c>
      <c r="J6676" t="inlineStr">
        <is>
          <t>2², 4², 6², 12⁴</t>
        </is>
      </c>
      <c r="K6676">
        <f>HYPERLINK("CSG7.html#group24B7", "24B⁷"), =HYPERLINK("CSG9.html#group36J9", "36J⁹"), =HYPERLINK("CSG10.html#group72K10", "72K¹⁰")</f>
        <v/>
      </c>
      <c r="L6676" t="inlineStr"/>
      <c r="M6676">
        <f>HYPERLINK("CSG0.html#group2A0", "2A⁰"), =HYPERLINK("CSG0.html#group8A0", "8A⁰"), =HYPERLINK("CSG0.html#group9E0", "9E⁰"), =HYPERLINK("CSG0.html#group1A0", "1A⁰"), =HYPERLINK("CSG1.html#group24A1", "24A¹"), =HYPERLINK("CSG1.html#group6B1", "6B¹"), =HYPERLINK("CSG0.html#group4D0", "4D⁰"), =HYPERLINK("CSG4.html#group24B4", "24B⁴"), =HYPERLINK("CSG2.html#group12A2", "12A²"), =HYPERLINK("CSG4.html#group36M4", "36M⁴"), =HYPERLINK("CSG0.html#group3C0", "3C⁰"), =HYPERLINK("CSG1.html#group6A1", "6A¹"), =HYPERLINK("CSG0.html#group3A0", "3A⁰"), =HYPERLINK("CSG9.html#group36J9", "36J⁹"), =HYPERLINK("CSG1.html#group12G1", "12G¹"), =HYPERLINK("CSG2.html#group18F2", "18F²"), =HYPERLINK("CSG0.html#group6B0", "6B⁰"), =HYPERLINK("CSG3.html#group12C3", "12C³"), =HYPERLINK("CSG0.html#group12F0", "12F⁰"), =HYPERLINK("CSG4.html#group24A4", "24A⁴"), =HYPERLINK("CSG0.html#group8E0", "8E⁰"), =HYPERLINK("CSG1.html#group24B1", "24B¹"), =HYPERLINK("CSG3.html#group24E3", "24E³"), =HYPERLINK("CSG0.html#group12A0", "12A⁰"), =HYPERLINK("CSG10.html#group72K10", "72K¹⁰"), =HYPERLINK("CSG2.html#group24K2", "24K²"), =HYPERLINK("CSG0.html#group4A0", "4A⁰"), =HYPERLINK("CSG7.html#group24B7", "24B⁷")</f>
        <v/>
      </c>
      <c r="N6676" t="inlineStr"/>
    </row>
    <row r="6677">
      <c r="A6677" t="inlineStr">
        <is>
          <t>72O²¹</t>
        </is>
      </c>
      <c r="B6677" t="inlineStr"/>
      <c r="C6677" t="inlineStr">
        <is>
          <t>288</t>
        </is>
      </c>
      <c r="D6677" t="inlineStr">
        <is>
          <t>2</t>
        </is>
      </c>
      <c r="E6677" t="inlineStr">
        <is>
          <t>24</t>
        </is>
      </c>
      <c r="F6677" t="inlineStr">
        <is>
          <t>0</t>
        </is>
      </c>
      <c r="G6677" t="inlineStr">
        <is>
          <t>0</t>
        </is>
      </c>
      <c r="H6677" t="inlineStr">
        <is>
          <t>24⁶, 72²</t>
        </is>
      </c>
      <c r="I6677" t="n">
        <v>8</v>
      </c>
      <c r="J6677" t="inlineStr">
        <is>
          <t>4⁴, 8⁴</t>
        </is>
      </c>
      <c r="K6677">
        <f>HYPERLINK("CSG7.html#group24D7", "24D⁷"), =HYPERLINK("CSG9.html#group36G9", "36G⁹"), =HYPERLINK("CSG10.html#group72K10", "72K¹⁰"), =HYPERLINK("CSG10.html#group72J10", "72J¹⁰")</f>
        <v/>
      </c>
      <c r="L6677" t="inlineStr"/>
      <c r="M6677">
        <f>HYPERLINK("CSG1.html#group12G1", "12G¹"), =HYPERLINK("CSG9.html#group36G9", "36G⁹"), =HYPERLINK("CSG0.html#group3B0", "3B⁰"), =HYPERLINK("CSG3.html#group24D3", "24D³"), =HYPERLINK("CSG3.html#group12B3", "12B³"), =HYPERLINK("CSG2.html#group24A2", "24A²"), =HYPERLINK("CSG0.html#group8A0", "8A⁰"), =HYPERLINK("CSG7.html#group24D7", "24D⁷"), =HYPERLINK("CSG1.html#group24B1", "24B¹"), =HYPERLINK("CSG0.html#group9E0", "9E⁰"), =HYPERLINK("CSG0.html#group1A0", "1A⁰"), =HYPERLINK("CSG10.html#group72J10", "72J¹⁰"), =HYPERLINK("CSG3.html#group24E3", "24E³"), =HYPERLINK("CSG0.html#group12A0", "12A⁰"), =HYPERLINK("CSG10.html#group72K10", "72K¹⁰"), =HYPERLINK("CSG1.html#group24A1", "24A¹"), =HYPERLINK("CSG0.html#group4A0", "4A⁰"), =HYPERLINK("CSG1.html#group12A1", "12A¹"), =HYPERLINK("CSG4.html#group36M4", "36M⁴"), =HYPERLINK("CSG0.html#group3C0", "3C⁰"), =HYPERLINK("CSG0.html#group9H0", "9H⁰"), =HYPERLINK("CSG0.html#group3A0", "3A⁰"), =HYPERLINK("CSG0.html#group3D0", "3D⁰")</f>
        <v/>
      </c>
      <c r="N6677" t="inlineStr"/>
    </row>
    <row r="6678">
      <c r="A6678" t="inlineStr">
        <is>
          <t>72P²¹</t>
        </is>
      </c>
      <c r="B6678" t="inlineStr"/>
      <c r="C6678" t="inlineStr">
        <is>
          <t>288</t>
        </is>
      </c>
      <c r="D6678" t="inlineStr">
        <is>
          <t>2</t>
        </is>
      </c>
      <c r="E6678" t="inlineStr">
        <is>
          <t>36</t>
        </is>
      </c>
      <c r="F6678" t="inlineStr">
        <is>
          <t>8</t>
        </is>
      </c>
      <c r="G6678" t="inlineStr">
        <is>
          <t>0</t>
        </is>
      </c>
      <c r="H6678" t="inlineStr">
        <is>
          <t>72⁴</t>
        </is>
      </c>
      <c r="I6678" t="n">
        <v>4</v>
      </c>
      <c r="J6678" t="inlineStr">
        <is>
          <t>8⁶, 24⁴</t>
        </is>
      </c>
      <c r="K6678">
        <f>HYPERLINK("CSG5.html#group24P5", "24P⁵"), =HYPERLINK("CSG8.html#group72H8", "72H⁸"), =HYPERLINK("CSG8.html#group72J8", "72J⁸"), =HYPERLINK("CSG9.html#group36K9", "36K⁹"), =HYPERLINK("CSG10.html#group72F10", "72F¹⁰"), =HYPERLINK("CSG10.html#group72I10", "72I¹⁰"), =HYPERLINK("CSG11.html#group72G11", "72G¹¹"), =HYPERLINK("CSG11.html#group72E11", "72E¹¹")</f>
        <v/>
      </c>
      <c r="L6678" t="inlineStr"/>
      <c r="M6678">
        <f>HYPERLINK("CSG10.html#group72F10", "72F¹⁰"), =HYPERLINK("CSG11.html#group72E11", "72E¹¹"), =HYPERLINK("CSG0.html#group8A0", "8A⁰"), =HYPERLINK("CSG4.html#group72C4", "72C⁴"), =HYPERLINK("CSG9.html#group36K9", "36K⁹"), =HYPERLINK("CSG10.html#group72I10", "72I¹⁰"), =HYPERLINK("CSG0.html#group1A0", "1A⁰"), =HYPERLINK("CSG0.html#group18A0", "18A⁰"), =HYPERLINK("CSG1.html#group9B1", "9B¹"), =HYPERLINK("CSG4.html#group72A4", "72A⁴"), =HYPERLINK("CSG1.html#group24A1", "24A¹"), =HYPERLINK("CSG5.html#group36E5", "36E⁵"), =HYPERLINK("CSG0.html#group3C0", "3C⁰"), =HYPERLINK("CSG1.html#group12Q1", "12Q¹"), =HYPERLINK("CSG0.html#group3A0", "3A⁰"), =HYPERLINK("CSG2.html#group24G2", "24G²"), =HYPERLINK("CSG5.html#group24P5", "24P⁵"), =HYPERLINK("CSG1.html#group12G1", "12G¹"), =HYPERLINK("CSG8.html#group72J8", "72J⁸"), =HYPERLINK("CSG2.html#group36D2", "36D²"), =HYPERLINK("CSG0.html#group6B0", "6B⁰"), =HYPERLINK("CSG3.html#group24D3", "24D³"), =HYPERLINK("CSG11.html#group72G11", "72G¹¹"), =HYPERLINK("CSG4.html#group72B4", "72B⁴"), =HYPERLINK("CSG8.html#group72H8", "72H⁸"), =HYPERLINK("CSG0.html#group12F0", "12F⁰"), =HYPERLINK("CSG1.html#group24B1", "24B¹"), =HYPERLINK("CSG1.html#group36A1", "36A¹"), =HYPERLINK("CSG3.html#group24E3", "24E³"), =HYPERLINK("CSG0.html#group12A0", "12A⁰"), =HYPERLINK("CSG2.html#group24K2", "24K²"), =HYPERLINK("CSG0.html#group6E0", "6E⁰"), =HYPERLINK("CSG0.html#group4A0", "4A⁰"), =HYPERLINK("CSG0.html#group9A0", "9A⁰"), =HYPERLINK("CSG2.html#group18G2", "18G²"), =HYPERLINK("CSG1.html#group18A1", "18A¹"), =HYPERLINK("CSG2.html#group24H2", "24H²"), =HYPERLINK("CSG4.html#group36L4", "36L⁴")</f>
        <v/>
      </c>
      <c r="N6678" t="inlineStr"/>
    </row>
    <row r="6679">
      <c r="A6679" t="inlineStr">
        <is>
          <t>72Q²¹</t>
        </is>
      </c>
      <c r="B6679" t="inlineStr"/>
      <c r="C6679" t="inlineStr">
        <is>
          <t>288</t>
        </is>
      </c>
      <c r="D6679" t="inlineStr">
        <is>
          <t>2</t>
        </is>
      </c>
      <c r="E6679" t="inlineStr">
        <is>
          <t>36</t>
        </is>
      </c>
      <c r="F6679" t="inlineStr">
        <is>
          <t>8</t>
        </is>
      </c>
      <c r="G6679" t="inlineStr">
        <is>
          <t>0</t>
        </is>
      </c>
      <c r="H6679" t="inlineStr">
        <is>
          <t>72⁴</t>
        </is>
      </c>
      <c r="I6679" t="n">
        <v>4</v>
      </c>
      <c r="J6679" t="inlineStr">
        <is>
          <t>8⁶, 24⁴</t>
        </is>
      </c>
      <c r="K6679">
        <f>HYPERLINK("CSG5.html#group24P5", "24P⁵"), =HYPERLINK("CSG8.html#group72I8", "72I⁸"), =HYPERLINK("CSG8.html#group72K8", "72K⁸"), =HYPERLINK("CSG9.html#group36K9", "36K⁹"), =HYPERLINK("CSG10.html#group72E10", "72E¹⁰"), =HYPERLINK("CSG10.html#group72I10", "72I¹⁰"), =HYPERLINK("CSG11.html#group72H11", "72H¹¹"), =HYPERLINK("CSG11.html#group72F11", "72F¹¹")</f>
        <v/>
      </c>
      <c r="L6679" t="inlineStr"/>
      <c r="M6679">
        <f>HYPERLINK("CSG0.html#group8A0", "8A⁰"), =HYPERLINK("CSG9.html#group36K9", "36K⁹"), =HYPERLINK("CSG10.html#group72E10", "72E¹⁰"), =HYPERLINK("CSG4.html#group72D4", "72D⁴"), =HYPERLINK("CSG10.html#group72I10", "72I¹⁰"), =HYPERLINK("CSG0.html#group1A0", "1A⁰"), =HYPERLINK("CSG0.html#group18A0", "18A⁰"), =HYPERLINK("CSG1.html#group9B1", "9B¹"), =HYPERLINK("CSG11.html#group72H11", "72H¹¹"), =HYPERLINK("CSG4.html#group72A4", "72A⁴"), =HYPERLINK("CSG8.html#group72K8", "72K⁸"), =HYPERLINK("CSG1.html#group24A1", "24A¹"), =HYPERLINK("CSG5.html#group36E5", "36E⁵"), =HYPERLINK("CSG1.html#group12Q1", "12Q¹"), =HYPERLINK("CSG0.html#group3C0", "3C⁰"), =HYPERLINK("CSG0.html#group3A0", "3A⁰"), =HYPERLINK("CSG2.html#group24G2", "24G²"), =HYPERLINK("CSG5.html#group24P5", "24P⁵"), =HYPERLINK("CSG11.html#group72F11", "72F¹¹"), =HYPERLINK("CSG1.html#group12G1", "12G¹"), =HYPERLINK("CSG2.html#group36D2", "36D²"), =HYPERLINK("CSG0.html#group6B0", "6B⁰"), =HYPERLINK("CSG3.html#group24D3", "24D³"), =HYPERLINK("CSG4.html#group72B4", "72B⁴"), =HYPERLINK("CSG0.html#group12F0", "12F⁰"), =HYPERLINK("CSG1.html#group24B1", "24B¹"), =HYPERLINK("CSG1.html#group36A1", "36A¹"), =HYPERLINK("CSG8.html#group72I8", "72I⁸"), =HYPERLINK("CSG3.html#group24E3", "24E³"), =HYPERLINK("CSG0.html#group12A0", "12A⁰"), =HYPERLINK("CSG2.html#group24K2", "24K²"), =HYPERLINK("CSG0.html#group6E0", "6E⁰"), =HYPERLINK("CSG0.html#group4A0", "4A⁰"), =HYPERLINK("CSG0.html#group9A0", "9A⁰"), =HYPERLINK("CSG2.html#group18G2", "18G²"), =HYPERLINK("CSG1.html#group18A1", "18A¹"), =HYPERLINK("CSG2.html#group24H2", "24H²"), =HYPERLINK("CSG4.html#group36L4", "36L⁴")</f>
        <v/>
      </c>
      <c r="N6679" t="inlineStr"/>
    </row>
    <row r="6680">
      <c r="A6680" t="inlineStr">
        <is>
          <t>72R²¹</t>
        </is>
      </c>
      <c r="B6680" t="inlineStr"/>
      <c r="C6680" t="inlineStr">
        <is>
          <t>288</t>
        </is>
      </c>
      <c r="D6680" t="inlineStr">
        <is>
          <t>2</t>
        </is>
      </c>
      <c r="E6680" t="inlineStr">
        <is>
          <t>48</t>
        </is>
      </c>
      <c r="F6680" t="inlineStr">
        <is>
          <t>0</t>
        </is>
      </c>
      <c r="G6680" t="inlineStr">
        <is>
          <t>0</t>
        </is>
      </c>
      <c r="H6680" t="inlineStr">
        <is>
          <t>8³, 24², 72³</t>
        </is>
      </c>
      <c r="I6680" t="n">
        <v>8</v>
      </c>
      <c r="J6680" t="inlineStr">
        <is>
          <t>4⁴, 8⁴, 24²</t>
        </is>
      </c>
      <c r="K6680">
        <f>HYPERLINK("CSG7.html#group72A7", "72A⁷"), =HYPERLINK("CSG9.html#group36H9", "36H⁹")</f>
        <v/>
      </c>
      <c r="L6680" t="inlineStr"/>
      <c r="M6680">
        <f>HYPERLINK("CSG0.html#group3B0", "3B⁰"), =HYPERLINK("CSG7.html#group72A7", "72A⁷"), =HYPERLINK("CSG2.html#group24A2", "24A²"), =HYPERLINK("CSG0.html#group4A0", "4A⁰"), =HYPERLINK("CSG1.html#group12A1", "12A¹"), =HYPERLINK("CSG0.html#group8A0", "8A⁰"), =HYPERLINK("CSG0.html#group9B0", "9B⁰"), =HYPERLINK("CSG0.html#group9I0", "9I⁰"), =HYPERLINK("CSG3.html#group36B3", "36B³"), =HYPERLINK("CSG0.html#group1A0", "1A⁰"), =HYPERLINK("CSG9.html#group36H9", "36H⁹")</f>
        <v/>
      </c>
      <c r="N6680" t="inlineStr"/>
    </row>
    <row r="6681">
      <c r="A6681" t="inlineStr">
        <is>
          <t>72S²¹</t>
        </is>
      </c>
      <c r="B6681" t="inlineStr"/>
      <c r="C6681" t="inlineStr">
        <is>
          <t>288</t>
        </is>
      </c>
      <c r="D6681" t="inlineStr">
        <is>
          <t>2</t>
        </is>
      </c>
      <c r="E6681" t="inlineStr">
        <is>
          <t>72</t>
        </is>
      </c>
      <c r="F6681" t="inlineStr">
        <is>
          <t>8</t>
        </is>
      </c>
      <c r="G6681" t="inlineStr">
        <is>
          <t>0</t>
        </is>
      </c>
      <c r="H6681" t="inlineStr">
        <is>
          <t>72⁴</t>
        </is>
      </c>
      <c r="I6681" t="n">
        <v>4</v>
      </c>
      <c r="J6681" t="inlineStr">
        <is>
          <t>8⁶, 24⁴</t>
        </is>
      </c>
      <c r="K6681">
        <f>HYPERLINK("CSG5.html#group24L5", "24L⁵"), =HYPERLINK("CSG9.html#group36K9", "36K⁹")</f>
        <v/>
      </c>
      <c r="L6681" t="inlineStr"/>
      <c r="M6681">
        <f>HYPERLINK("CSG1.html#group12G1", "12G¹"), =HYPERLINK("CSG2.html#group36D2", "36D²"), =HYPERLINK("CSG0.html#group6B0", "6B⁰"), =HYPERLINK("CSG0.html#group12F0", "12F⁰"), =HYPERLINK("CSG9.html#group36K9", "36K⁹"), =HYPERLINK("CSG0.html#group1A0", "1A⁰"), =HYPERLINK("CSG0.html#group18A0", "18A⁰"), =HYPERLINK("CSG1.html#group9B1", "9B¹"), =HYPERLINK("CSG1.html#group36A1", "36A¹"), =HYPERLINK("CSG0.html#group12A0", "12A⁰"), =HYPERLINK("CSG0.html#group6E0", "6E⁰"), =HYPERLINK("CSG0.html#group4A0", "4A⁰"), =HYPERLINK("CSG5.html#group36E5", "36E⁵"), =HYPERLINK("CSG0.html#group9A0", "9A⁰"), =HYPERLINK("CSG1.html#group12Q1", "12Q¹"), =HYPERLINK("CSG0.html#group3C0", "3C⁰"), =HYPERLINK("CSG2.html#group18G2", "18G²"), =HYPERLINK("CSG4.html#group36L4", "36L⁴"), =HYPERLINK("CSG0.html#group3A0", "3A⁰"), =HYPERLINK("CSG1.html#group18A1", "18A¹"), =HYPERLINK("CSG5.html#group24L5", "24L⁵")</f>
        <v/>
      </c>
      <c r="N6681" t="inlineStr"/>
    </row>
    <row r="6682">
      <c r="A6682" t="inlineStr">
        <is>
          <t>72T²¹</t>
        </is>
      </c>
      <c r="B6682" t="inlineStr"/>
      <c r="C6682" t="inlineStr">
        <is>
          <t>288</t>
        </is>
      </c>
      <c r="D6682" t="inlineStr">
        <is>
          <t>2</t>
        </is>
      </c>
      <c r="E6682" t="inlineStr">
        <is>
          <t>72</t>
        </is>
      </c>
      <c r="F6682" t="inlineStr">
        <is>
          <t>8</t>
        </is>
      </c>
      <c r="G6682" t="inlineStr">
        <is>
          <t>0</t>
        </is>
      </c>
      <c r="H6682" t="inlineStr">
        <is>
          <t>72⁴</t>
        </is>
      </c>
      <c r="I6682" t="n">
        <v>4</v>
      </c>
      <c r="J6682" t="inlineStr">
        <is>
          <t>8¹², 24⁸</t>
        </is>
      </c>
      <c r="K6682">
        <f>HYPERLINK("CSG5.html#group24P5", "24P⁵"), =HYPERLINK("CSG9.html#group36L9", "36L⁹"), =HYPERLINK("CSG10.html#group72G10", "72G¹⁰"), =HYPERLINK("CSG10.html#group72L10", "72L¹⁰")</f>
        <v/>
      </c>
      <c r="L6682" t="inlineStr"/>
      <c r="M6682">
        <f>HYPERLINK("CSG1.html#group12G1", "12G¹"), =HYPERLINK("CSG0.html#group6B0", "6B⁰"), =HYPERLINK("CSG3.html#group24D3", "24D³"), =HYPERLINK("CSG0.html#group12F0", "12F⁰"), =HYPERLINK("CSG1.html#group18B1", "18B¹"), =HYPERLINK("CSG0.html#group8A0", "8A⁰"), =HYPERLINK("CSG1.html#group24B1", "24B¹"), =HYPERLINK("CSG0.html#group1A0", "1A⁰"), =HYPERLINK("CSG10.html#group72G10", "72G¹⁰"), =HYPERLINK("CSG3.html#group24E3", "24E³"), =HYPERLINK("CSG4.html#group36N4", "36N⁴"), =HYPERLINK("CSG0.html#group12A0", "12A⁰"), =HYPERLINK("CSG2.html#group24K2", "24K²"), =HYPERLINK("CSG1.html#group24A1", "24A¹"), =HYPERLINK("CSG2.html#group18H2", "18H²"), =HYPERLINK("CSG0.html#group6E0", "6E⁰"), =HYPERLINK("CSG0.html#group4A0", "4A⁰"), =HYPERLINK("CSG1.html#group12Q1", "12Q¹"), =HYPERLINK("CSG0.html#group3C0", "3C⁰"), =HYPERLINK("CSG10.html#group72L10", "72L¹⁰"), =HYPERLINK("CSG0.html#group3A0", "3A⁰"), =HYPERLINK("CSG9.html#group36L9", "36L⁹"), =HYPERLINK("CSG2.html#group24G2", "24G²"), =HYPERLINK("CSG2.html#group24H2", "24H²"), =HYPERLINK("CSG5.html#group24P5", "24P⁵")</f>
        <v/>
      </c>
      <c r="N6682" t="inlineStr"/>
    </row>
    <row r="6683">
      <c r="A6683" t="inlineStr">
        <is>
          <t>72U²¹</t>
        </is>
      </c>
      <c r="B6683" t="inlineStr"/>
      <c r="C6683" t="inlineStr">
        <is>
          <t>288</t>
        </is>
      </c>
      <c r="D6683" t="inlineStr">
        <is>
          <t>2</t>
        </is>
      </c>
      <c r="E6683" t="inlineStr">
        <is>
          <t>72</t>
        </is>
      </c>
      <c r="F6683" t="inlineStr">
        <is>
          <t>8</t>
        </is>
      </c>
      <c r="G6683" t="inlineStr">
        <is>
          <t>0</t>
        </is>
      </c>
      <c r="H6683" t="inlineStr">
        <is>
          <t>72⁴</t>
        </is>
      </c>
      <c r="I6683" t="n">
        <v>4</v>
      </c>
      <c r="J6683" t="inlineStr">
        <is>
          <t>8¹², 24⁸</t>
        </is>
      </c>
      <c r="K6683">
        <f>HYPERLINK("CSG5.html#group24P5", "24P⁵"), =HYPERLINK("CSG9.html#group36L9", "36L⁹"), =HYPERLINK("CSG10.html#group72H10", "72H¹⁰"), =HYPERLINK("CSG10.html#group72L10", "72L¹⁰")</f>
        <v/>
      </c>
      <c r="L6683" t="inlineStr"/>
      <c r="M6683">
        <f>HYPERLINK("CSG1.html#group12G1", "12G¹"), =HYPERLINK("CSG10.html#group72H10", "72H¹⁰"), =HYPERLINK("CSG0.html#group6B0", "6B⁰"), =HYPERLINK("CSG3.html#group24D3", "24D³"), =HYPERLINK("CSG0.html#group12F0", "12F⁰"), =HYPERLINK("CSG1.html#group18B1", "18B¹"), =HYPERLINK("CSG0.html#group8A0", "8A⁰"), =HYPERLINK("CSG1.html#group24B1", "24B¹"), =HYPERLINK("CSG0.html#group1A0", "1A⁰"), =HYPERLINK("CSG3.html#group24E3", "24E³"), =HYPERLINK("CSG4.html#group36N4", "36N⁴"), =HYPERLINK("CSG0.html#group12A0", "12A⁰"), =HYPERLINK("CSG2.html#group24K2", "24K²"), =HYPERLINK("CSG1.html#group24A1", "24A¹"), =HYPERLINK("CSG2.html#group18H2", "18H²"), =HYPERLINK("CSG0.html#group6E0", "6E⁰"), =HYPERLINK("CSG0.html#group4A0", "4A⁰"), =HYPERLINK("CSG1.html#group12Q1", "12Q¹"), =HYPERLINK("CSG0.html#group3C0", "3C⁰"), =HYPERLINK("CSG10.html#group72L10", "72L¹⁰"), =HYPERLINK("CSG0.html#group3A0", "3A⁰"), =HYPERLINK("CSG9.html#group36L9", "36L⁹"), =HYPERLINK("CSG2.html#group24G2", "24G²"), =HYPERLINK("CSG2.html#group24H2", "24H²"), =HYPERLINK("CSG5.html#group24P5", "24P⁵")</f>
        <v/>
      </c>
      <c r="N6683" t="inlineStr"/>
    </row>
    <row r="6684">
      <c r="A6684" t="inlineStr">
        <is>
          <t>72V²¹</t>
        </is>
      </c>
      <c r="B6684" t="inlineStr"/>
      <c r="C6684" t="inlineStr">
        <is>
          <t>288</t>
        </is>
      </c>
      <c r="D6684" t="inlineStr">
        <is>
          <t>2</t>
        </is>
      </c>
      <c r="E6684" t="inlineStr">
        <is>
          <t>144</t>
        </is>
      </c>
      <c r="F6684" t="inlineStr">
        <is>
          <t>8</t>
        </is>
      </c>
      <c r="G6684" t="inlineStr">
        <is>
          <t>0</t>
        </is>
      </c>
      <c r="H6684" t="inlineStr">
        <is>
          <t>72⁴</t>
        </is>
      </c>
      <c r="I6684" t="n">
        <v>4</v>
      </c>
      <c r="J6684" t="inlineStr">
        <is>
          <t>8¹², 24⁸</t>
        </is>
      </c>
      <c r="K6684">
        <f>HYPERLINK("CSG5.html#group24L5", "24L⁵"), =HYPERLINK("CSG9.html#group36L9", "36L⁹")</f>
        <v/>
      </c>
      <c r="L6684" t="inlineStr"/>
      <c r="M6684">
        <f>HYPERLINK("CSG1.html#group12G1", "12G¹"), =HYPERLINK("CSG4.html#group36N4", "36N⁴"), =HYPERLINK("CSG0.html#group6B0", "6B⁰"), =HYPERLINK("CSG0.html#group12A0", "12A⁰"), =HYPERLINK("CSG2.html#group18H2", "18H²"), =HYPERLINK("CSG0.html#group6E0", "6E⁰"), =HYPERLINK("CSG0.html#group4A0", "4A⁰"), =HYPERLINK("CSG0.html#group12F0", "12F⁰"), =HYPERLINK("CSG1.html#group18B1", "18B¹"), =HYPERLINK("CSG1.html#group12Q1", "12Q¹"), =HYPERLINK("CSG0.html#group3C0", "3C⁰"), =HYPERLINK("CSG0.html#group1A0", "1A⁰"), =HYPERLINK("CSG0.html#group3A0", "3A⁰"), =HYPERLINK("CSG9.html#group36L9", "36L⁹"), =HYPERLINK("CSG5.html#group24L5", "24L⁵")</f>
        <v/>
      </c>
      <c r="N6684" t="inlineStr"/>
    </row>
    <row r="6685">
      <c r="A6685" t="inlineStr">
        <is>
          <t>72W²¹</t>
        </is>
      </c>
      <c r="B6685" t="inlineStr"/>
      <c r="C6685" t="inlineStr">
        <is>
          <t>288</t>
        </is>
      </c>
      <c r="D6685" t="inlineStr">
        <is>
          <t>2</t>
        </is>
      </c>
      <c r="E6685" t="inlineStr">
        <is>
          <t>144</t>
        </is>
      </c>
      <c r="F6685" t="inlineStr">
        <is>
          <t>8</t>
        </is>
      </c>
      <c r="G6685" t="inlineStr">
        <is>
          <t>0</t>
        </is>
      </c>
      <c r="H6685" t="inlineStr">
        <is>
          <t>72⁴</t>
        </is>
      </c>
      <c r="I6685" t="n">
        <v>4</v>
      </c>
      <c r="J6685" t="inlineStr">
        <is>
          <t>8¹², 24⁸</t>
        </is>
      </c>
      <c r="K6685">
        <f>HYPERLINK("CSG5.html#group24O5", "24O⁵"), =HYPERLINK("CSG5.html#group36E5", "36E⁵"), =HYPERLINK("CSG7.html#group72E7", "72E⁷")</f>
        <v/>
      </c>
      <c r="L6685" t="inlineStr"/>
      <c r="M6685">
        <f>HYPERLINK("CSG1.html#group12G1", "12G¹"), =HYPERLINK("CSG1.html#group36A1", "36A¹"), =HYPERLINK("CSG1.html#group24F1", "24F¹"), =HYPERLINK("CSG0.html#group12A0", "12A⁰"), =HYPERLINK("CSG0.html#group8F0", "8F⁰"), =HYPERLINK("CSG0.html#group4A0", "4A⁰"), =HYPERLINK("CSG5.html#group36E5", "36E⁵"), =HYPERLINK("CSG5.html#group24O5", "24O⁵"), =HYPERLINK("CSG0.html#group9A0", "9A⁰"), =HYPERLINK("CSG0.html#group3C0", "3C⁰"), =HYPERLINK("CSG0.html#group3A0", "3A⁰"), =HYPERLINK("CSG0.html#group1A0", "1A⁰"), =HYPERLINK("CSG1.html#group9B1", "9B¹"), =HYPERLINK("CSG7.html#group72E7", "72E⁷")</f>
        <v/>
      </c>
      <c r="N6685" t="inlineStr"/>
    </row>
    <row r="6686">
      <c r="A6686" t="inlineStr">
        <is>
          <t>72X²¹</t>
        </is>
      </c>
      <c r="B6686" t="inlineStr"/>
      <c r="C6686" t="inlineStr">
        <is>
          <t>324</t>
        </is>
      </c>
      <c r="D6686" t="inlineStr">
        <is>
          <t>2</t>
        </is>
      </c>
      <c r="E6686" t="inlineStr">
        <is>
          <t>81</t>
        </is>
      </c>
      <c r="F6686" t="inlineStr">
        <is>
          <t>16</t>
        </is>
      </c>
      <c r="G6686" t="inlineStr">
        <is>
          <t>0</t>
        </is>
      </c>
      <c r="H6686" t="inlineStr">
        <is>
          <t>36³, 72³</t>
        </is>
      </c>
      <c r="I6686" t="n">
        <v>6</v>
      </c>
      <c r="J6686" t="inlineStr">
        <is>
          <t>6²⁷</t>
        </is>
      </c>
      <c r="K6686">
        <f>HYPERLINK("CSG5.html#group72A5", "72A⁵"), =HYPERLINK("CSG7.html#group72B7", "72B⁷"), =HYPERLINK("CSG8.html#group36L8", "36L⁸")</f>
        <v/>
      </c>
      <c r="L6686" t="inlineStr"/>
      <c r="M6686">
        <f>HYPERLINK("CSG0.html#group12C0", "12C⁰"), =HYPERLINK("CSG8.html#group36L8", "36L⁸"), =HYPERLINK("CSG0.html#group9A0", "9A⁰"), =HYPERLINK("CSG2.html#group36B2", "36B²"), =HYPERLINK("CSG1.html#group24D1", "24D¹"), =HYPERLINK("CSG7.html#group72B7", "72B⁷"), =HYPERLINK("CSG0.html#group4C0", "4C⁰"), =HYPERLINK("CSG3.html#group18J3", "18J³"), =HYPERLINK("CSG5.html#group72A5", "72A⁵"), =HYPERLINK("CSG0.html#group2B0", "2B⁰"), =HYPERLINK("CSG0.html#group9G0", "9G⁰"), =HYPERLINK("CSG1.html#group18E1", "18E¹"), =HYPERLINK("CSG0.html#group3A0", "3A⁰"), =HYPERLINK("CSG0.html#group1A0", "1A⁰"), =HYPERLINK("CSG0.html#group6D0", "6D⁰")</f>
        <v/>
      </c>
      <c r="N6686" t="inlineStr"/>
    </row>
    <row r="6687">
      <c r="A6687" t="inlineStr">
        <is>
          <t>72Y²¹</t>
        </is>
      </c>
      <c r="B6687" t="inlineStr"/>
      <c r="C6687" t="inlineStr">
        <is>
          <t>384</t>
        </is>
      </c>
      <c r="D6687" t="inlineStr">
        <is>
          <t>1</t>
        </is>
      </c>
      <c r="E6687" t="inlineStr">
        <is>
          <t>16</t>
        </is>
      </c>
      <c r="F6687" t="inlineStr">
        <is>
          <t>0</t>
        </is>
      </c>
      <c r="G6687" t="inlineStr">
        <is>
          <t>24</t>
        </is>
      </c>
      <c r="H6687" t="inlineStr">
        <is>
          <t>24⁴, 72⁴</t>
        </is>
      </c>
      <c r="I6687" t="n">
        <v>8</v>
      </c>
      <c r="J6687" t="inlineStr">
        <is>
          <t>2⁴, 4²</t>
        </is>
      </c>
      <c r="K6687">
        <f>HYPERLINK("CSG5.html#group24Q5", "24Q⁵"), =HYPERLINK("CSG9.html#group36N9", "36N⁹"), =HYPERLINK("CSG11.html#group72I11", "72I¹¹"), =HYPERLINK("CSG11.html#group72J11", "72J¹¹")</f>
        <v/>
      </c>
      <c r="L6687" t="inlineStr"/>
      <c r="M6687">
        <f>HYPERLINK("CSG0.html#group2A0", "2A⁰"), =HYPERLINK("CSG0.html#group3B0", "3B⁰"), =HYPERLINK("CSG6.html#group72A6", "72A⁶"), =HYPERLINK("CSG1.html#group12I1", "12I¹"), =HYPERLINK("CSG2.html#group24A2", "24A²"), =HYPERLINK("CSG0.html#group18B0", "18B⁰"), =HYPERLINK("CSG11.html#group72J11", "72J¹¹"), =HYPERLINK("CSG0.html#group6C0", "6C⁰"), =HYPERLINK("CSG0.html#group8A0", "8A⁰"), =HYPERLINK("CSG0.html#group8E0", "8E⁰"), =HYPERLINK("CSG0.html#group9C0", "9C⁰"), =HYPERLINK("CSG3.html#group24G3", "24G³"), =HYPERLINK("CSG11.html#group72I11", "72I¹¹"), =HYPERLINK("CSG0.html#group1A0", "1A⁰"), =HYPERLINK("CSG5.html#group36G5", "36G⁵"), =HYPERLINK("CSG3.html#group36C3", "36C³"), =HYPERLINK("CSG3.html#group24F3", "24F³"), =HYPERLINK("CSG0.html#group4A0", "4A⁰"), =HYPERLINK("CSG0.html#group4D0", "4D⁰"), =HYPERLINK("CSG1.html#group12A1", "12A¹"), =HYPERLINK("CSG9.html#group36N9", "36N⁹"), =HYPERLINK("CSG5.html#group24Q5", "24Q⁵"), =HYPERLINK("CSG1.html#group12R1", "12R¹"), =HYPERLINK("CSG0.html#group36A0", "36A⁰"), =HYPERLINK("CSG0.html#group12B0", "12B⁰")</f>
        <v/>
      </c>
      <c r="N6687" t="inlineStr"/>
    </row>
    <row r="6688">
      <c r="A6688" t="inlineStr">
        <is>
          <t>72Z²¹</t>
        </is>
      </c>
      <c r="B6688" t="inlineStr"/>
      <c r="C6688" t="inlineStr">
        <is>
          <t>384</t>
        </is>
      </c>
      <c r="D6688" t="inlineStr">
        <is>
          <t>1</t>
        </is>
      </c>
      <c r="E6688" t="inlineStr">
        <is>
          <t>32</t>
        </is>
      </c>
      <c r="F6688" t="inlineStr">
        <is>
          <t>0</t>
        </is>
      </c>
      <c r="G6688" t="inlineStr">
        <is>
          <t>12</t>
        </is>
      </c>
      <c r="H6688" t="inlineStr">
        <is>
          <t>8¹², 72⁴</t>
        </is>
      </c>
      <c r="I6688" t="n">
        <v>16</v>
      </c>
      <c r="J6688" t="inlineStr">
        <is>
          <t>4⁸</t>
        </is>
      </c>
      <c r="K6688">
        <f>HYPERLINK("CSG5.html#group24Q5", "24Q⁵"), =HYPERLINK("CSG7.html#group36M7", "36M⁷"), =HYPERLINK("CSG11.html#group72L11", "72L¹¹"), =HYPERLINK("CSG11.html#group72K11", "72K¹¹")</f>
        <v/>
      </c>
      <c r="L6688" t="inlineStr"/>
      <c r="M6688">
        <f>HYPERLINK("CSG0.html#group3B0", "3B⁰"), =HYPERLINK("CSG0.html#group2A0", "2A⁰"), =HYPERLINK("CSG1.html#group12I1", "12I¹"), =HYPERLINK("CSG2.html#group24A2", "24A²"), =HYPERLINK("CSG0.html#group6C0", "6C⁰"), =HYPERLINK("CSG0.html#group8A0", "8A⁰"), =HYPERLINK("CSG11.html#group72L11", "72L¹¹"), =HYPERLINK("CSG0.html#group8E0", "8E⁰"), =HYPERLINK("CSG3.html#group24G3", "24G³"), =HYPERLINK("CSG4.html#group36O4", "36O⁴"), =HYPERLINK("CSG11.html#group72K11", "72K¹¹"), =HYPERLINK("CSG0.html#group1A0", "1A⁰"), =HYPERLINK("CSG3.html#group24F3", "24F³"), =HYPERLINK("CSG0.html#group18C0", "18C⁰"), =HYPERLINK("CSG0.html#group4A0", "4A⁰"), =HYPERLINK("CSG0.html#group4D0", "4D⁰"), =HYPERLINK("CSG1.html#group12A1", "12A¹"), =HYPERLINK("CSG7.html#group36M7", "36M⁷"), =HYPERLINK("CSG1.html#group36B1", "36B¹"), =HYPERLINK("CSG5.html#group24Q5", "24Q⁵"), =HYPERLINK("CSG1.html#group12R1", "12R¹"), =HYPERLINK("CSG0.html#group12B0", "12B⁰")</f>
        <v/>
      </c>
      <c r="N6688" t="inlineStr"/>
    </row>
    <row r="6689">
      <c r="A6689" t="inlineStr">
        <is>
          <t>72AA²¹</t>
        </is>
      </c>
      <c r="B6689" t="inlineStr"/>
      <c r="C6689" t="inlineStr">
        <is>
          <t>432</t>
        </is>
      </c>
      <c r="D6689" t="inlineStr">
        <is>
          <t>1</t>
        </is>
      </c>
      <c r="E6689" t="inlineStr">
        <is>
          <t>9</t>
        </is>
      </c>
      <c r="F6689" t="inlineStr">
        <is>
          <t>48</t>
        </is>
      </c>
      <c r="G6689" t="inlineStr">
        <is>
          <t>0</t>
        </is>
      </c>
      <c r="H6689" t="inlineStr">
        <is>
          <t>36⁴, 72⁴</t>
        </is>
      </c>
      <c r="I6689" t="n">
        <v>8</v>
      </c>
      <c r="J6689" t="inlineStr">
        <is>
          <t>1³, 2³</t>
        </is>
      </c>
      <c r="K6689">
        <f>HYPERLINK("CSG5.html#group24S5", "24S⁵"), =HYPERLINK("CSG9.html#group36O9", "36O⁹"), =HYPERLINK("CSG9.html#group72H9", "72H⁹"), =HYPERLINK("CSG11.html#group72M11", "72M¹¹"), =HYPERLINK("CSG11.html#group72N11", "72N¹¹"), =HYPERLINK("CSG11.html#group72R11", "72R¹¹")</f>
        <v/>
      </c>
      <c r="L6689" t="inlineStr"/>
      <c r="M6689">
        <f>HYPERLINK("CSG1.html#group12T1", "12T¹"), =HYPERLINK("CSG0.html#group12C0", "12C⁰"), =HYPERLINK("CSG3.html#group36E3", "36E³"), =HYPERLINK("CSG0.html#group4C0", "4C⁰"), =HYPERLINK("CSG2.html#group36B2", "36B²"), =HYPERLINK("CSG3.html#group24I3", "24I³"), =HYPERLINK("CSG4.html#group36R4", "36R⁴"), =HYPERLINK("CSG0.html#group6G0", "6G⁰"), =HYPERLINK("CSG0.html#group2B0", "2B⁰"), =HYPERLINK("CSG2.html#group24C2", "24C²"), =HYPERLINK("CSG1.html#group12N1", "12N¹"), =HYPERLINK("CSG11.html#group72M11", "72M¹¹"), =HYPERLINK("CSG0.html#group1A0", "1A⁰"), =HYPERLINK("CSG0.html#group18A0", "18A⁰"), =HYPERLINK("CSG2.html#group18L2", "18L²"), =HYPERLINK("CSG9.html#group72H9", "72H⁹"), =HYPERLINK("CSG3.html#group24H3", "24H³"), =HYPERLINK("CSG0.html#group24A0", "24A⁰"), =HYPERLINK("CSG3.html#group24S3", "24S³"), =HYPERLINK("CSG5.html#group24S5", "24S⁵"), =HYPERLINK("CSG0.html#group3C0", "3C⁰"), =HYPERLINK("CSG0.html#group6H0", "6H⁰"), =HYPERLINK("CSG0.html#group3A0", "3A⁰"), =HYPERLINK("CSG1.html#group18E1", "18E¹"), =HYPERLINK("CSG1.html#group24H1", "24H¹"), =HYPERLINK("CSG11.html#group72N11", "72N¹¹"), =HYPERLINK("CSG0.html#group6B0", "6B⁰"), =HYPERLINK("CSG4.html#group18L4", "18L⁴"), =HYPERLINK("CSG4.html#group72E4", "72E⁴"), =HYPERLINK("CSG11.html#group72R11", "72R¹¹"), =HYPERLINK("CSG5.html#group36K5", "36K⁵"), =HYPERLINK("CSG1.html#group24D1", "24D¹"), =HYPERLINK("CSG0.html#group8B0", "8B⁰"), =HYPERLINK("CSG4.html#group36P4", "36P⁴"), =HYPERLINK("CSG9.html#group36O9", "36O⁹"), =HYPERLINK("CSG5.html#group72A5", "72A⁵"), =HYPERLINK("CSG5.html#group36H5", "36H⁵"), =HYPERLINK("CSG6.html#group72B6", "72B⁶"), =HYPERLINK("CSG1.html#group12L1", "12L¹"), =HYPERLINK("CSG0.html#group12G0", "12G⁰"), =HYPERLINK("CSG0.html#group9D0", "9D⁰"), =HYPERLINK("CSG1.html#group12C1", "12C¹"), =HYPERLINK("CSG0.html#group18D0", "18D⁰"), =HYPERLINK("CSG0.html#group6E0", "6E⁰"), =HYPERLINK("CSG0.html#group6L0", "6L⁰"), =HYPERLINK("CSG0.html#group9A0", "9A⁰"), =HYPERLINK("CSG0.html#group12D0", "12D⁰"), =HYPERLINK("CSG0.html#group12H0", "12H⁰"), =HYPERLINK("CSG2.html#group18I2", "18I²"), =HYPERLINK("CSG0.html#group6D0", "6D⁰"), =HYPERLINK("CSG2.html#group36C2", "36C²")</f>
        <v/>
      </c>
      <c r="N6689" t="inlineStr"/>
    </row>
    <row r="6690">
      <c r="A6690" t="inlineStr">
        <is>
          <t>72AB²¹</t>
        </is>
      </c>
      <c r="B6690" t="inlineStr"/>
      <c r="C6690" t="inlineStr">
        <is>
          <t>432</t>
        </is>
      </c>
      <c r="D6690" t="inlineStr">
        <is>
          <t>1</t>
        </is>
      </c>
      <c r="E6690" t="inlineStr">
        <is>
          <t>36</t>
        </is>
      </c>
      <c r="F6690" t="inlineStr">
        <is>
          <t>0</t>
        </is>
      </c>
      <c r="G6690" t="inlineStr">
        <is>
          <t>0</t>
        </is>
      </c>
      <c r="H6690" t="inlineStr">
        <is>
          <t>3¹², 6⁶, 9⁴, 18², 24⁶, 72²</t>
        </is>
      </c>
      <c r="I6690" t="n">
        <v>32</v>
      </c>
      <c r="J6690" t="inlineStr">
        <is>
          <t>1⁸, 2¹⁰, 4²</t>
        </is>
      </c>
      <c r="K6690">
        <f>HYPERLINK("CSG5.html#group24R5", "24R⁵"), =HYPERLINK("CSG7.html#group36N7", "36N⁷"), =HYPERLINK("CSG11.html#group72Q11", "72Q¹¹"), =HYPERLINK("CSG11.html#group72P11", "72P¹¹")</f>
        <v/>
      </c>
      <c r="L6690" t="inlineStr"/>
      <c r="M6690">
        <f>HYPERLINK("CSG1.html#group12K1", "12K¹"), =HYPERLINK("CSG11.html#group72Q11", "72Q¹¹"), =HYPERLINK("CSG1.html#group24G1", "24G¹"), =HYPERLINK("CSG0.html#group6G0", "6G⁰"), =HYPERLINK("CSG1.html#group12S1", "12S¹"), =HYPERLINK("CSG0.html#group2B0", "2B⁰"), =HYPERLINK("CSG0.html#group8C0", "8C⁰"), =HYPERLINK("CSG0.html#group9E0", "9E⁰"), =HYPERLINK("CSG0.html#group4B0", "4B⁰"), =HYPERLINK("CSG0.html#group1A0", "1A⁰"), =HYPERLINK("CSG2.html#group24B2", "24B²"), =HYPERLINK("CSG2.html#group24D2", "24D²"), =HYPERLINK("CSG5.html#group24R5", "24R⁵"), =HYPERLINK("CSG11.html#group72P11", "72P¹¹"), =HYPERLINK("CSG0.html#group3C0", "3C⁰"), =HYPERLINK("CSG1.html#group12B1", "12B¹"), =HYPERLINK("CSG0.html#group6K0", "6K⁰"), =HYPERLINK("CSG3.html#group24K3", "24K³"), =HYPERLINK("CSG0.html#group12E0", "12E⁰"), =HYPERLINK("CSG0.html#group3A0", "3A⁰"), =HYPERLINK("CSG3.html#group36I3", "36I³"), =HYPERLINK("CSG0.html#group6F0", "6F⁰"), =HYPERLINK("CSG0.html#group3B0", "3B⁰"), =HYPERLINK("CSG7.html#group36N7", "36N⁷"), =HYPERLINK("CSG1.html#group18I1", "18I¹"), =HYPERLINK("CSG0.html#group12G0", "12G⁰"), =HYPERLINK("CSG4.html#group36Q4", "36Q⁴"), =HYPERLINK("CSG2.html#group18P2", "18P²"), =HYPERLINK("CSG0.html#group12D0", "12D⁰"), =HYPERLINK("CSG0.html#group9H0", "9H⁰"), =HYPERLINK("CSG3.html#group24L3", "24L³"), =HYPERLINK("CSG0.html#group3D0", "3D⁰"), =HYPERLINK("CSG0.html#group6D0", "6D⁰")</f>
        <v/>
      </c>
      <c r="N6690" t="inlineStr"/>
    </row>
    <row r="6691">
      <c r="A6691" t="inlineStr">
        <is>
          <t>72AC²¹</t>
        </is>
      </c>
      <c r="B6691" t="inlineStr"/>
      <c r="C6691" t="inlineStr">
        <is>
          <t>432</t>
        </is>
      </c>
      <c r="D6691" t="inlineStr">
        <is>
          <t>1</t>
        </is>
      </c>
      <c r="E6691" t="inlineStr">
        <is>
          <t>72</t>
        </is>
      </c>
      <c r="F6691" t="inlineStr">
        <is>
          <t>0</t>
        </is>
      </c>
      <c r="G6691" t="inlineStr">
        <is>
          <t>0</t>
        </is>
      </c>
      <c r="H6691" t="inlineStr">
        <is>
          <t>1⁶, 2³, 3⁴, 6², 8³, 9⁶, 18³, 24², 72³</t>
        </is>
      </c>
      <c r="I6691" t="n">
        <v>32</v>
      </c>
      <c r="J6691" t="inlineStr">
        <is>
          <t>1⁸, 2¹⁰, 4², 6⁴, 12¹</t>
        </is>
      </c>
      <c r="K6691">
        <f>HYPERLINK("CSG5.html#group72B5", "72B⁵"), =HYPERLINK("CSG7.html#group36O7", "36O⁷")</f>
        <v/>
      </c>
      <c r="L6691" t="inlineStr"/>
      <c r="M6691">
        <f>HYPERLINK("CSG0.html#group3B0", "3B⁰"), =HYPERLINK("CSG0.html#group18E0", "18E⁰"), =HYPERLINK("CSG2.html#group18Q2", "18Q²"), =HYPERLINK("CSG5.html#group72B5", "72B⁵"), =HYPERLINK("CSG1.html#group24G1", "24G¹"), =HYPERLINK("CSG0.html#group6F0", "6F⁰"), =HYPERLINK("CSG0.html#group9B0", "9B⁰"), =HYPERLINK("CSG0.html#group9I0", "9I⁰"), =HYPERLINK("CSG0.html#group8C0", "8C⁰"), =HYPERLINK("CSG0.html#group2B0", "2B⁰"), =HYPERLINK("CSG1.html#group36C1", "36C¹"), =HYPERLINK("CSG0.html#group4B0", "4B⁰"), =HYPERLINK("CSG0.html#group1A0", "1A⁰"), =HYPERLINK("CSG0.html#group12E0", "12E⁰"), =HYPERLINK("CSG7.html#group36O7", "36O⁷")</f>
        <v/>
      </c>
      <c r="N6691" t="inlineStr"/>
    </row>
    <row r="6692">
      <c r="A6692" t="inlineStr">
        <is>
          <t>76A²¹</t>
        </is>
      </c>
      <c r="B6692" t="inlineStr"/>
      <c r="C6692" t="inlineStr">
        <is>
          <t>320</t>
        </is>
      </c>
      <c r="D6692" t="inlineStr">
        <is>
          <t>1</t>
        </is>
      </c>
      <c r="E6692" t="inlineStr">
        <is>
          <t>80</t>
        </is>
      </c>
      <c r="F6692" t="inlineStr">
        <is>
          <t>0</t>
        </is>
      </c>
      <c r="G6692" t="inlineStr">
        <is>
          <t>8</t>
        </is>
      </c>
      <c r="H6692" t="inlineStr">
        <is>
          <t>4⁴, 76⁴</t>
        </is>
      </c>
      <c r="I6692" t="n">
        <v>8</v>
      </c>
      <c r="J6692" t="inlineStr">
        <is>
          <t>2⁴, 36²</t>
        </is>
      </c>
      <c r="K6692">
        <f>HYPERLINK("CSG4.html#group76A4", "76A⁴"), =HYPERLINK("CSG11.html#group76A11", "76A¹¹")</f>
        <v/>
      </c>
      <c r="L6692" t="inlineStr"/>
      <c r="M6692">
        <f>HYPERLINK("CSG1.html#group19A1", "19A¹"), =HYPERLINK("CSG0.html#group2A0", "2A⁰"), =HYPERLINK("CSG2.html#group38A2", "38A²"), =HYPERLINK("CSG0.html#group4A0", "4A⁰"), =HYPERLINK("CSG11.html#group76A11", "76A¹¹"), =HYPERLINK("CSG0.html#group4D0", "4D⁰"), =HYPERLINK("CSG6.html#group76A6", "76A⁶"), =HYPERLINK("CSG4.html#group76A4", "76A⁴"), =HYPERLINK("CSG0.html#group1A0", "1A⁰")</f>
        <v/>
      </c>
      <c r="N6692" t="inlineStr"/>
    </row>
    <row r="6693">
      <c r="A6693" t="inlineStr">
        <is>
          <t>77A²¹</t>
        </is>
      </c>
      <c r="B6693" t="inlineStr"/>
      <c r="C6693" t="inlineStr">
        <is>
          <t>308</t>
        </is>
      </c>
      <c r="D6693" t="inlineStr">
        <is>
          <t>2</t>
        </is>
      </c>
      <c r="E6693" t="inlineStr">
        <is>
          <t>308</t>
        </is>
      </c>
      <c r="F6693" t="inlineStr">
        <is>
          <t>12</t>
        </is>
      </c>
      <c r="G6693" t="inlineStr">
        <is>
          <t>2</t>
        </is>
      </c>
      <c r="H6693" t="inlineStr">
        <is>
          <t>77⁴</t>
        </is>
      </c>
      <c r="I6693" t="n">
        <v>4</v>
      </c>
      <c r="J6693" t="inlineStr">
        <is>
          <t>2¹, 6¹, 10², 12⁴, 30², 60⁸</t>
        </is>
      </c>
      <c r="K6693">
        <f>HYPERLINK("CSG0.html#group7F0", "7F⁰"), =HYPERLINK("CSG4.html#group77A4", "77A⁴"), =HYPERLINK("CSG4.html#group77B4", "77B⁴")</f>
        <v/>
      </c>
      <c r="L6693" t="inlineStr"/>
      <c r="M6693">
        <f>HYPERLINK("CSG0.html#group7F0", "7F⁰"), =HYPERLINK("CSG0.html#group11A0", "11A⁰"), =HYPERLINK("CSG4.html#group77B4", "77B⁴"), =HYPERLINK("CSG0.html#group1A0", "1A⁰"), =HYPERLINK("CSG0.html#group7A0", "7A⁰"), =HYPERLINK("CSG4.html#group77A4", "77A⁴")</f>
        <v/>
      </c>
      <c r="N6693" t="inlineStr"/>
    </row>
    <row r="6694">
      <c r="A6694" t="inlineStr">
        <is>
          <t>78A²¹</t>
        </is>
      </c>
      <c r="B6694" t="inlineStr"/>
      <c r="C6694" t="inlineStr">
        <is>
          <t>336</t>
        </is>
      </c>
      <c r="D6694" t="inlineStr">
        <is>
          <t>1</t>
        </is>
      </c>
      <c r="E6694" t="inlineStr">
        <is>
          <t>42</t>
        </is>
      </c>
      <c r="F6694" t="inlineStr">
        <is>
          <t>16</t>
        </is>
      </c>
      <c r="G6694" t="inlineStr">
        <is>
          <t>0</t>
        </is>
      </c>
      <c r="H6694" t="inlineStr">
        <is>
          <t>6⁴, 78⁴</t>
        </is>
      </c>
      <c r="I6694" t="n">
        <v>8</v>
      </c>
      <c r="J6694" t="inlineStr">
        <is>
          <t>1², 2², 12¹, 24¹</t>
        </is>
      </c>
      <c r="K6694">
        <f>HYPERLINK("CSG9.html#group39A9", "39A⁹"), =HYPERLINK("CSG9.html#group78B9", "78B⁹"), =HYPERLINK("CSG11.html#group78A11", "78A¹¹"), =HYPERLINK("CSG11.html#group78B11", "78B¹¹"), =HYPERLINK("CSG11.html#group78E11", "78E¹¹")</f>
        <v/>
      </c>
      <c r="L6694" t="inlineStr"/>
      <c r="M6694">
        <f>HYPERLINK("CSG2.html#group39A2", "39A²"), =HYPERLINK("CSG0.html#group6B0", "6B⁰"), =HYPERLINK("CSG4.html#group78A4", "78A⁴"), =HYPERLINK("CSG9.html#group39A9", "39A⁹"), =HYPERLINK("CSG5.html#group78B5", "78B⁵"), =HYPERLINK("CSG0.html#group13A0", "13A⁰"), =HYPERLINK("CSG11.html#group78E11", "78E¹¹"), =HYPERLINK("CSG0.html#group26A0", "26A⁰"), =HYPERLINK("CSG0.html#group1A0", "1A⁰"), =HYPERLINK("CSG11.html#group78A11", "78A¹¹"), =HYPERLINK("CSG5.html#group39A5", "39A⁵"), =HYPERLINK("CSG0.html#group6E0", "6E⁰"), =HYPERLINK("CSG9.html#group78B9", "78B⁹"), =HYPERLINK("CSG11.html#group78B11", "78B¹¹"), =HYPERLINK("CSG0.html#group3C0", "3C⁰"), =HYPERLINK("CSG4.html#group39A4", "39A⁴"), =HYPERLINK("CSG6.html#group78A6", "78A⁶"), =HYPERLINK("CSG0.html#group3A0", "3A⁰")</f>
        <v/>
      </c>
      <c r="N6694" t="inlineStr"/>
    </row>
    <row r="6695">
      <c r="A6695" t="inlineStr">
        <is>
          <t>78B²¹</t>
        </is>
      </c>
      <c r="B6695" t="inlineStr"/>
      <c r="C6695" t="inlineStr">
        <is>
          <t>336</t>
        </is>
      </c>
      <c r="D6695" t="inlineStr">
        <is>
          <t>1</t>
        </is>
      </c>
      <c r="E6695" t="inlineStr">
        <is>
          <t>112</t>
        </is>
      </c>
      <c r="F6695" t="inlineStr">
        <is>
          <t>0</t>
        </is>
      </c>
      <c r="G6695" t="inlineStr">
        <is>
          <t>6</t>
        </is>
      </c>
      <c r="H6695" t="inlineStr">
        <is>
          <t>2³, 6³, 26³, 78³</t>
        </is>
      </c>
      <c r="I6695" t="n">
        <v>12</v>
      </c>
      <c r="J6695" t="inlineStr">
        <is>
          <t>1⁸, 2⁴, 12⁴, 24²</t>
        </is>
      </c>
      <c r="K6695">
        <f>HYPERLINK("CSG3.html#group26A3", "26A³"), =HYPERLINK("CSG7.html#group78C7", "78C⁷")</f>
        <v/>
      </c>
      <c r="L6695" t="inlineStr"/>
      <c r="M6695">
        <f>HYPERLINK("CSG0.html#group2A0", "2A⁰"), =HYPERLINK("CSG0.html#group3B0", "3B⁰"), =HYPERLINK("CSG1.html#group26A1", "26A¹"), =HYPERLINK("CSG3.html#group39A3", "39A³"), =HYPERLINK("CSG7.html#group78C7", "78C⁷"), =HYPERLINK("CSG0.html#group6C0", "6C⁰"), =HYPERLINK("CSG0.html#group13A0", "13A⁰"), =HYPERLINK("CSG3.html#group26A3", "26A³"), =HYPERLINK("CSG0.html#group1A0", "1A⁰")</f>
        <v/>
      </c>
      <c r="N6695" t="inlineStr"/>
    </row>
    <row r="6696">
      <c r="A6696" t="inlineStr">
        <is>
          <t>78C²¹</t>
        </is>
      </c>
      <c r="B6696" t="inlineStr"/>
      <c r="C6696" t="inlineStr">
        <is>
          <t>336</t>
        </is>
      </c>
      <c r="D6696" t="inlineStr">
        <is>
          <t>1</t>
        </is>
      </c>
      <c r="E6696" t="inlineStr">
        <is>
          <t>168</t>
        </is>
      </c>
      <c r="F6696" t="inlineStr">
        <is>
          <t>0</t>
        </is>
      </c>
      <c r="G6696" t="inlineStr">
        <is>
          <t>0</t>
        </is>
      </c>
      <c r="H6696" t="inlineStr">
        <is>
          <t>1², 2², 3², 6², 13², 26², 39², 78²</t>
        </is>
      </c>
      <c r="I6696" t="n">
        <v>16</v>
      </c>
      <c r="J6696" t="inlineStr">
        <is>
          <t>1¹², 2⁶, 12⁶, 24³</t>
        </is>
      </c>
      <c r="K6696">
        <f>HYPERLINK("CSG4.html#group26A4", "26A⁴"), =HYPERLINK("CSG5.html#group39B5", "39B⁵"), =HYPERLINK("CSG11.html#group78C11", "78C¹¹")</f>
        <v/>
      </c>
      <c r="L6696" t="inlineStr"/>
      <c r="M6696">
        <f>HYPERLINK("CSG0.html#group3B0", "3B⁰"), =HYPERLINK("CSG2.html#group26A2", "26A²"), =HYPERLINK("CSG3.html#group39A3", "39A³"), =HYPERLINK("CSG0.html#group13A0", "13A⁰"), =HYPERLINK("CSG0.html#group6F0", "6F⁰"), =HYPERLINK("CSG0.html#group2B0", "2B⁰"), =HYPERLINK("CSG0.html#group13B0", "13B⁰"), =HYPERLINK("CSG0.html#group1A0", "1A⁰"), =HYPERLINK("CSG11.html#group78C11", "78C¹¹"), =HYPERLINK("CSG5.html#group39B5", "39B⁵"), =HYPERLINK("CSG4.html#group26A4", "26A⁴")</f>
        <v/>
      </c>
      <c r="N6696" t="inlineStr"/>
    </row>
    <row r="6697">
      <c r="A6697" t="inlineStr">
        <is>
          <t>80A²¹</t>
        </is>
      </c>
      <c r="B6697" t="inlineStr"/>
      <c r="C6697" t="inlineStr">
        <is>
          <t>288</t>
        </is>
      </c>
      <c r="D6697" t="inlineStr">
        <is>
          <t>1</t>
        </is>
      </c>
      <c r="E6697" t="inlineStr">
        <is>
          <t>18</t>
        </is>
      </c>
      <c r="F6697" t="inlineStr">
        <is>
          <t>0</t>
        </is>
      </c>
      <c r="G6697" t="inlineStr">
        <is>
          <t>0</t>
        </is>
      </c>
      <c r="H6697" t="inlineStr">
        <is>
          <t>8², 16², 40², 80²</t>
        </is>
      </c>
      <c r="I6697" t="n">
        <v>8</v>
      </c>
      <c r="J6697" t="inlineStr">
        <is>
          <t>1⁶, 4³</t>
        </is>
      </c>
      <c r="K6697">
        <f>HYPERLINK("CSG9.html#group40G9", "40G⁹"), =HYPERLINK("CSG9.html#group80M9", "80M⁹")</f>
        <v/>
      </c>
      <c r="L6697" t="inlineStr"/>
      <c r="M6697">
        <f>HYPERLINK("CSG1.html#group20E1", "20E¹"), =HYPERLINK("CSG1.html#group8A1", "8A¹"), =HYPERLINK("CSG0.html#group4C0", "4C⁰"), =HYPERLINK("CSG3.html#group20G3", "20G³"), =HYPERLINK("CSG0.html#group5B0", "5B⁰"), =HYPERLINK("CSG5.html#group40C5", "40C⁵"), =HYPERLINK("CSG0.html#group5D0", "5D⁰"), =HYPERLINK("CSG0.html#group2B0", "2B⁰"), =HYPERLINK("CSG0.html#group1A0", "1A⁰"), =HYPERLINK("CSG0.html#group10F0", "10F⁰"), =HYPERLINK("CSG3.html#group40C3", "40C³"), =HYPERLINK("CSG9.html#group80M9", "80M⁹"), =HYPERLINK("CSG0.html#group10C0", "10C⁰"), =HYPERLINK("CSG2.html#group20C2", "20C²"), =HYPERLINK("CSG9.html#group40G9", "40G⁹")</f>
        <v/>
      </c>
      <c r="N6697" t="inlineStr"/>
    </row>
    <row r="6698">
      <c r="A6698" t="inlineStr">
        <is>
          <t>80B²¹</t>
        </is>
      </c>
      <c r="B6698" t="inlineStr"/>
      <c r="C6698" t="inlineStr">
        <is>
          <t>288</t>
        </is>
      </c>
      <c r="D6698" t="inlineStr">
        <is>
          <t>1</t>
        </is>
      </c>
      <c r="E6698" t="inlineStr">
        <is>
          <t>18</t>
        </is>
      </c>
      <c r="F6698" t="inlineStr">
        <is>
          <t>0</t>
        </is>
      </c>
      <c r="G6698" t="inlineStr">
        <is>
          <t>0</t>
        </is>
      </c>
      <c r="H6698" t="inlineStr">
        <is>
          <t>8², 16², 40², 80²</t>
        </is>
      </c>
      <c r="I6698" t="n">
        <v>8</v>
      </c>
      <c r="J6698" t="inlineStr">
        <is>
          <t>1⁶, 4³</t>
        </is>
      </c>
      <c r="K6698">
        <f>HYPERLINK("CSG9.html#group40G9", "40G⁹"), =HYPERLINK("CSG9.html#group80N9", "80N⁹")</f>
        <v/>
      </c>
      <c r="L6698" t="inlineStr"/>
      <c r="M6698">
        <f>HYPERLINK("CSG1.html#group20E1", "20E¹"), =HYPERLINK("CSG1.html#group8A1", "8A¹"), =HYPERLINK("CSG0.html#group4C0", "4C⁰"), =HYPERLINK("CSG3.html#group20G3", "20G³"), =HYPERLINK("CSG0.html#group5B0", "5B⁰"), =HYPERLINK("CSG5.html#group40C5", "40C⁵"), =HYPERLINK("CSG0.html#group5D0", "5D⁰"), =HYPERLINK("CSG0.html#group2B0", "2B⁰"), =HYPERLINK("CSG9.html#group80N9", "80N⁹"), =HYPERLINK("CSG0.html#group1A0", "1A⁰"), =HYPERLINK("CSG0.html#group10F0", "10F⁰"), =HYPERLINK("CSG3.html#group40C3", "40C³"), =HYPERLINK("CSG0.html#group10C0", "10C⁰"), =HYPERLINK("CSG2.html#group20C2", "20C²"), =HYPERLINK("CSG9.html#group40G9", "40G⁹")</f>
        <v/>
      </c>
      <c r="N6698" t="inlineStr"/>
    </row>
    <row r="6699">
      <c r="A6699" t="inlineStr">
        <is>
          <t>80C²¹</t>
        </is>
      </c>
      <c r="B6699" t="inlineStr"/>
      <c r="C6699" t="inlineStr">
        <is>
          <t>288</t>
        </is>
      </c>
      <c r="D6699" t="inlineStr">
        <is>
          <t>1</t>
        </is>
      </c>
      <c r="E6699" t="inlineStr">
        <is>
          <t>18</t>
        </is>
      </c>
      <c r="F6699" t="inlineStr">
        <is>
          <t>0</t>
        </is>
      </c>
      <c r="G6699" t="inlineStr">
        <is>
          <t>0</t>
        </is>
      </c>
      <c r="H6699" t="inlineStr">
        <is>
          <t>8², 16², 40², 80²</t>
        </is>
      </c>
      <c r="I6699" t="n">
        <v>8</v>
      </c>
      <c r="J6699" t="inlineStr">
        <is>
          <t>1⁶, 4³</t>
        </is>
      </c>
      <c r="K6699">
        <f>HYPERLINK("CSG9.html#group40J9", "40J⁹"), =HYPERLINK("CSG9.html#group80G9", "80G⁹")</f>
        <v/>
      </c>
      <c r="L6699" t="inlineStr"/>
      <c r="M6699">
        <f>HYPERLINK("CSG1.html#group20E1", "20E¹"), =HYPERLINK("CSG0.html#group2A0", "2A⁰"), =HYPERLINK("CSG3.html#group40D3", "40D³"), =HYPERLINK("CSG1.html#group8A1", "8A¹"), =HYPERLINK("CSG0.html#group4C0", "4C⁰"), =HYPERLINK("CSG5.html#group40C5", "40C⁵"), =HYPERLINK("CSG0.html#group5B0", "5B⁰"), =HYPERLINK("CSG1.html#group10A1", "10A¹"), =HYPERLINK("CSG0.html#group8B0", "8B⁰"), =HYPERLINK("CSG9.html#group40J9", "40J⁹"), =HYPERLINK("CSG0.html#group2B0", "2B⁰"), =HYPERLINK("CSG1.html#group8B1", "8B¹"), =HYPERLINK("CSG1.html#group20D1", "20D¹"), =HYPERLINK("CSG0.html#group4E0", "4E⁰"), =HYPERLINK("CSG0.html#group4B0", "4B⁰"), =HYPERLINK("CSG0.html#group1A0", "1A⁰"), =HYPERLINK("CSG1.html#group10G1", "10G¹"), =HYPERLINK("CSG0.html#group10C0", "10C⁰"), =HYPERLINK("CSG3.html#group20J3", "20J³"), =HYPERLINK("CSG0.html#group2C0", "2C⁰"), =HYPERLINK("CSG9.html#group80G9", "80G⁹")</f>
        <v/>
      </c>
      <c r="N6699" t="inlineStr"/>
    </row>
    <row r="6700">
      <c r="A6700" t="inlineStr">
        <is>
          <t>80D²¹</t>
        </is>
      </c>
      <c r="B6700" t="inlineStr"/>
      <c r="C6700" t="inlineStr">
        <is>
          <t>288</t>
        </is>
      </c>
      <c r="D6700" t="inlineStr">
        <is>
          <t>1</t>
        </is>
      </c>
      <c r="E6700" t="inlineStr">
        <is>
          <t>18</t>
        </is>
      </c>
      <c r="F6700" t="inlineStr">
        <is>
          <t>0</t>
        </is>
      </c>
      <c r="G6700" t="inlineStr">
        <is>
          <t>0</t>
        </is>
      </c>
      <c r="H6700" t="inlineStr">
        <is>
          <t>8², 16², 40², 80²</t>
        </is>
      </c>
      <c r="I6700" t="n">
        <v>8</v>
      </c>
      <c r="J6700" t="inlineStr">
        <is>
          <t>1⁶, 4³</t>
        </is>
      </c>
      <c r="K6700">
        <f>HYPERLINK("CSG3.html#group16A3", "16A³"), =HYPERLINK("CSG9.html#group40J9", "40J⁹"), =HYPERLINK("CSG9.html#group80H9", "80H⁹")</f>
        <v/>
      </c>
      <c r="L6700" t="inlineStr"/>
      <c r="M6700">
        <f>HYPERLINK("CSG0.html#group2A0", "2A⁰"), =HYPERLINK("CSG1.html#group20E1", "20E¹"), =HYPERLINK("CSG0.html#group4C0", "4C⁰"), =HYPERLINK("CSG3.html#group16A3", "16A³"), =HYPERLINK("CSG5.html#group40C5", "40C⁵"), =HYPERLINK("CSG0.html#group5B0", "5B⁰"), =HYPERLINK("CSG1.html#group10A1", "10A¹"), =HYPERLINK("CSG0.html#group2B0", "2B⁰"), =HYPERLINK("CSG0.html#group4E0", "4E⁰"), =HYPERLINK("CSG0.html#group4B0", "4B⁰"), =HYPERLINK("CSG0.html#group1A0", "1A⁰"), =HYPERLINK("CSG0.html#group10C0", "10C⁰"), =HYPERLINK("CSG3.html#group20J3", "20J³"), =HYPERLINK("CSG1.html#group8A1", "8A¹"), =HYPERLINK("CSG0.html#group8B0", "8B⁰"), =HYPERLINK("CSG1.html#group16B1", "16B¹"), =HYPERLINK("CSG9.html#group40J9", "40J⁹"), =HYPERLINK("CSG1.html#group8B1", "8B¹"), =HYPERLINK("CSG1.html#group20D1", "20D¹"), =HYPERLINK("CSG9.html#group80H9", "80H⁹"), =HYPERLINK("CSG3.html#group40D3", "40D³"), =HYPERLINK("CSG0.html#group2C0", "2C⁰"), =HYPERLINK("CSG1.html#group10G1", "10G¹")</f>
        <v/>
      </c>
      <c r="N6700" t="inlineStr"/>
    </row>
    <row r="6701">
      <c r="A6701" t="inlineStr">
        <is>
          <t>80E²¹</t>
        </is>
      </c>
      <c r="B6701" t="inlineStr"/>
      <c r="C6701" t="inlineStr">
        <is>
          <t>288</t>
        </is>
      </c>
      <c r="D6701" t="inlineStr">
        <is>
          <t>1</t>
        </is>
      </c>
      <c r="E6701" t="inlineStr">
        <is>
          <t>18</t>
        </is>
      </c>
      <c r="F6701" t="inlineStr">
        <is>
          <t>0</t>
        </is>
      </c>
      <c r="G6701" t="inlineStr">
        <is>
          <t>0</t>
        </is>
      </c>
      <c r="H6701" t="inlineStr">
        <is>
          <t>8², 16², 40², 80²</t>
        </is>
      </c>
      <c r="I6701" t="n">
        <v>8</v>
      </c>
      <c r="J6701" t="inlineStr">
        <is>
          <t>1⁶, 4³</t>
        </is>
      </c>
      <c r="K6701">
        <f>HYPERLINK("CSG5.html#group40L5", "40L⁵"), =HYPERLINK("CSG11.html#group80A11", "80A¹¹"), =HYPERLINK("CSG11.html#group80B11", "80B¹¹")</f>
        <v/>
      </c>
      <c r="L6701" t="inlineStr"/>
      <c r="M6701">
        <f>HYPERLINK("CSG1.html#group20E1", "20E¹"), =HYPERLINK("CSG3.html#group40D3", "40D³"), =HYPERLINK("CSG0.html#group10G0", "10G⁰"), =HYPERLINK("CSG0.html#group4C0", "4C⁰"), =HYPERLINK("CSG0.html#group5B0", "5B⁰"), =HYPERLINK("CSG0.html#group8B0", "8B⁰"), =HYPERLINK("CSG0.html#group2B0", "2B⁰"), =HYPERLINK("CSG0.html#group1A0", "1A⁰"), =HYPERLINK("CSG0.html#group10B0", "10B⁰"), =HYPERLINK("CSG3.html#group40C3", "40C³"), =HYPERLINK("CSG2.html#group16A2", "16A²"), =HYPERLINK("CSG0.html#group20A0", "20A⁰"), =HYPERLINK("CSG1.html#group20I1", "20I¹"), =HYPERLINK("CSG11.html#group80B11", "80B¹¹"), =HYPERLINK("CSG0.html#group10C0", "10C⁰"), =HYPERLINK("CSG11.html#group80A11", "80A¹¹"), =HYPERLINK("CSG5.html#group40L5", "40L⁵")</f>
        <v/>
      </c>
      <c r="N6701" t="inlineStr"/>
    </row>
    <row r="6702">
      <c r="A6702" t="inlineStr">
        <is>
          <t>80F²¹</t>
        </is>
      </c>
      <c r="B6702" t="inlineStr"/>
      <c r="C6702" t="inlineStr">
        <is>
          <t>288</t>
        </is>
      </c>
      <c r="D6702" t="inlineStr">
        <is>
          <t>1</t>
        </is>
      </c>
      <c r="E6702" t="inlineStr">
        <is>
          <t>18</t>
        </is>
      </c>
      <c r="F6702" t="inlineStr">
        <is>
          <t>0</t>
        </is>
      </c>
      <c r="G6702" t="inlineStr">
        <is>
          <t>0</t>
        </is>
      </c>
      <c r="H6702" t="inlineStr">
        <is>
          <t>8², 16², 40², 80²</t>
        </is>
      </c>
      <c r="I6702" t="n">
        <v>8</v>
      </c>
      <c r="J6702" t="inlineStr">
        <is>
          <t>1⁶, 4³</t>
        </is>
      </c>
      <c r="K6702">
        <f>HYPERLINK("CSG7.html#group80C7", "80C⁷"), =HYPERLINK("CSG9.html#group40H9", "40H⁹"), =HYPERLINK("CSG11.html#group80B11", "80B¹¹")</f>
        <v/>
      </c>
      <c r="L6702" t="inlineStr"/>
      <c r="M6702">
        <f>HYPERLINK("CSG1.html#group20E1", "20E¹"), =HYPERLINK("CSG9.html#group40H9", "40H⁹"), =HYPERLINK("CSG0.html#group4C0", "4C⁰"), =HYPERLINK("CSG3.html#group20G3", "20G³"), =HYPERLINK("CSG7.html#group80C7", "80C⁷"), =HYPERLINK("CSG0.html#group8B0", "8B⁰"), =HYPERLINK("CSG0.html#group5B0", "5B⁰"), =HYPERLINK("CSG0.html#group5D0", "5D⁰"), =HYPERLINK("CSG0.html#group2B0", "2B⁰"), =HYPERLINK("CSG5.html#group40B5", "40B⁵"), =HYPERLINK("CSG0.html#group1A0", "1A⁰"), =HYPERLINK("CSG0.html#group10F0", "10F⁰"), =HYPERLINK("CSG2.html#group16A2", "16A²"), =HYPERLINK("CSG11.html#group80B11", "80B¹¹"), =HYPERLINK("CSG0.html#group10C0", "10C⁰"), =HYPERLINK("CSG3.html#group40D3", "40D³"), =HYPERLINK("CSG2.html#group20C2", "20C²")</f>
        <v/>
      </c>
      <c r="N6702" t="inlineStr"/>
    </row>
    <row r="6703">
      <c r="A6703" t="inlineStr">
        <is>
          <t>80G²¹</t>
        </is>
      </c>
      <c r="B6703" t="inlineStr"/>
      <c r="C6703" t="inlineStr">
        <is>
          <t>288</t>
        </is>
      </c>
      <c r="D6703" t="inlineStr">
        <is>
          <t>1</t>
        </is>
      </c>
      <c r="E6703" t="inlineStr">
        <is>
          <t>18</t>
        </is>
      </c>
      <c r="F6703" t="inlineStr">
        <is>
          <t>0</t>
        </is>
      </c>
      <c r="G6703" t="inlineStr">
        <is>
          <t>0</t>
        </is>
      </c>
      <c r="H6703" t="inlineStr">
        <is>
          <t>8², 16², 40², 80²</t>
        </is>
      </c>
      <c r="I6703" t="n">
        <v>8</v>
      </c>
      <c r="J6703" t="inlineStr">
        <is>
          <t>1⁶, 4³</t>
        </is>
      </c>
      <c r="K6703">
        <f>HYPERLINK("CSG7.html#group80C7", "80C⁷"), =HYPERLINK("CSG9.html#group40J9", "40J⁹"), =HYPERLINK("CSG11.html#group80A11", "80A¹¹")</f>
        <v/>
      </c>
      <c r="L6703" t="inlineStr"/>
      <c r="M6703">
        <f>HYPERLINK("CSG1.html#group20E1", "20E¹"), =HYPERLINK("CSG0.html#group2A0", "2A⁰"), =HYPERLINK("CSG1.html#group8A1", "8A¹"), =HYPERLINK("CSG0.html#group4C0", "4C⁰"), =HYPERLINK("CSG7.html#group80C7", "80C⁷"), =HYPERLINK("CSG0.html#group8B0", "8B⁰"), =HYPERLINK("CSG0.html#group5B0", "5B⁰"), =HYPERLINK("CSG5.html#group40C5", "40C⁵"), =HYPERLINK("CSG9.html#group40J9", "40J⁹"), =HYPERLINK("CSG0.html#group2B0", "2B⁰"), =HYPERLINK("CSG1.html#group10A1", "10A¹"), =HYPERLINK("CSG1.html#group20D1", "20D¹"), =HYPERLINK("CSG1.html#group8B1", "8B¹"), =HYPERLINK("CSG0.html#group4E0", "4E⁰"), =HYPERLINK("CSG0.html#group1A0", "1A⁰"), =HYPERLINK("CSG0.html#group4B0", "4B⁰"), =HYPERLINK("CSG3.html#group20J3", "20J³"), =HYPERLINK("CSG0.html#group10C0", "10C⁰"), =HYPERLINK("CSG11.html#group80A11", "80A¹¹"), =HYPERLINK("CSG3.html#group40D3", "40D³"), =HYPERLINK("CSG0.html#group2C0", "2C⁰"), =HYPERLINK("CSG1.html#group10G1", "10G¹")</f>
        <v/>
      </c>
      <c r="N6703" t="inlineStr"/>
    </row>
    <row r="6704">
      <c r="A6704" t="inlineStr">
        <is>
          <t>80H²¹</t>
        </is>
      </c>
      <c r="B6704" t="inlineStr"/>
      <c r="C6704" t="inlineStr">
        <is>
          <t>288</t>
        </is>
      </c>
      <c r="D6704" t="inlineStr">
        <is>
          <t>1</t>
        </is>
      </c>
      <c r="E6704" t="inlineStr">
        <is>
          <t>18</t>
        </is>
      </c>
      <c r="F6704" t="inlineStr">
        <is>
          <t>0</t>
        </is>
      </c>
      <c r="G6704" t="inlineStr">
        <is>
          <t>0</t>
        </is>
      </c>
      <c r="H6704" t="inlineStr">
        <is>
          <t>8², 16², 40², 80²</t>
        </is>
      </c>
      <c r="I6704" t="n">
        <v>8</v>
      </c>
      <c r="J6704" t="inlineStr">
        <is>
          <t>1⁶, 4³</t>
        </is>
      </c>
      <c r="K6704">
        <f>HYPERLINK("CSG7.html#group80D7", "80D⁷"), =HYPERLINK("CSG9.html#group40H9", "40H⁹"), =HYPERLINK("CSG11.html#group80A11", "80A¹¹")</f>
        <v/>
      </c>
      <c r="L6704" t="inlineStr"/>
      <c r="M6704">
        <f>HYPERLINK("CSG1.html#group20E1", "20E¹"), =HYPERLINK("CSG9.html#group40H9", "40H⁹"), =HYPERLINK("CSG0.html#group4C0", "4C⁰"), =HYPERLINK("CSG3.html#group20G3", "20G³"), =HYPERLINK("CSG0.html#group8B0", "8B⁰"), =HYPERLINK("CSG0.html#group5B0", "5B⁰"), =HYPERLINK("CSG0.html#group5D0", "5D⁰"), =HYPERLINK("CSG0.html#group2B0", "2B⁰"), =HYPERLINK("CSG5.html#group40B5", "40B⁵"), =HYPERLINK("CSG0.html#group1A0", "1A⁰"), =HYPERLINK("CSG0.html#group10F0", "10F⁰"), =HYPERLINK("CSG0.html#group16B0", "16B⁰"), =HYPERLINK("CSG7.html#group80D7", "80D⁷"), =HYPERLINK("CSG0.html#group10C0", "10C⁰"), =HYPERLINK("CSG11.html#group80A11", "80A¹¹"), =HYPERLINK("CSG3.html#group40D3", "40D³"), =HYPERLINK("CSG2.html#group20C2", "20C²")</f>
        <v/>
      </c>
      <c r="N6704" t="inlineStr"/>
    </row>
    <row r="6705">
      <c r="A6705" t="inlineStr">
        <is>
          <t>80I²¹</t>
        </is>
      </c>
      <c r="B6705" t="inlineStr"/>
      <c r="C6705" t="inlineStr">
        <is>
          <t>288</t>
        </is>
      </c>
      <c r="D6705" t="inlineStr">
        <is>
          <t>1</t>
        </is>
      </c>
      <c r="E6705" t="inlineStr">
        <is>
          <t>18</t>
        </is>
      </c>
      <c r="F6705" t="inlineStr">
        <is>
          <t>0</t>
        </is>
      </c>
      <c r="G6705" t="inlineStr">
        <is>
          <t>0</t>
        </is>
      </c>
      <c r="H6705" t="inlineStr">
        <is>
          <t>8², 16², 40², 80²</t>
        </is>
      </c>
      <c r="I6705" t="n">
        <v>8</v>
      </c>
      <c r="J6705" t="inlineStr">
        <is>
          <t>1⁶, 4³</t>
        </is>
      </c>
      <c r="K6705">
        <f>HYPERLINK("CSG3.html#group16B3", "16B³"), =HYPERLINK("CSG7.html#group80D7", "80D⁷"), =HYPERLINK("CSG9.html#group40J9", "40J⁹"), =HYPERLINK("CSG11.html#group80B11", "80B¹¹")</f>
        <v/>
      </c>
      <c r="L6705" t="inlineStr"/>
      <c r="M6705">
        <f>HYPERLINK("CSG0.html#group2A0", "2A⁰"), =HYPERLINK("CSG1.html#group20E1", "20E¹"), =HYPERLINK("CSG3.html#group40D3", "40D³"), =HYPERLINK("CSG1.html#group8A1", "8A¹"), =HYPERLINK("CSG0.html#group4C0", "4C⁰"), =HYPERLINK("CSG3.html#group16B3", "16B³"), =HYPERLINK("CSG0.html#group8B0", "8B⁰"), =HYPERLINK("CSG5.html#group40C5", "40C⁵"), =HYPERLINK("CSG0.html#group5B0", "5B⁰"), =HYPERLINK("CSG9.html#group40J9", "40J⁹"), =HYPERLINK("CSG0.html#group2B0", "2B⁰"), =HYPERLINK("CSG1.html#group8B1", "8B¹"), =HYPERLINK("CSG0.html#group4E0", "4E⁰"), =HYPERLINK("CSG0.html#group4B0", "4B⁰"), =HYPERLINK("CSG1.html#group10A1", "10A¹"), =HYPERLINK("CSG0.html#group1A0", "1A⁰"), =HYPERLINK("CSG1.html#group20D1", "20D¹"), =HYPERLINK("CSG2.html#group16A2", "16A²"), =HYPERLINK("CSG0.html#group16B0", "16B⁰"), =HYPERLINK("CSG7.html#group80D7", "80D⁷"), =HYPERLINK("CSG11.html#group80B11", "80B¹¹"), =HYPERLINK("CSG0.html#group10C0", "10C⁰"), =HYPERLINK("CSG3.html#group20J3", "20J³"), =HYPERLINK("CSG0.html#group2C0", "2C⁰"), =HYPERLINK("CSG1.html#group10G1", "10G¹")</f>
        <v/>
      </c>
      <c r="N6705" t="inlineStr"/>
    </row>
    <row r="6706">
      <c r="A6706" t="inlineStr">
        <is>
          <t>80J²¹</t>
        </is>
      </c>
      <c r="B6706" t="inlineStr"/>
      <c r="C6706" t="inlineStr">
        <is>
          <t>288</t>
        </is>
      </c>
      <c r="D6706" t="inlineStr">
        <is>
          <t>1</t>
        </is>
      </c>
      <c r="E6706" t="inlineStr">
        <is>
          <t>36</t>
        </is>
      </c>
      <c r="F6706" t="inlineStr">
        <is>
          <t>0</t>
        </is>
      </c>
      <c r="G6706" t="inlineStr">
        <is>
          <t>0</t>
        </is>
      </c>
      <c r="H6706" t="inlineStr">
        <is>
          <t>8², 16², 40², 80²</t>
        </is>
      </c>
      <c r="I6706" t="n">
        <v>8</v>
      </c>
      <c r="J6706" t="inlineStr">
        <is>
          <t>1⁴, 2⁴, 4², 8²</t>
        </is>
      </c>
      <c r="K6706">
        <f>HYPERLINK("CSG9.html#group40G9", "40G⁹"), =HYPERLINK("CSG9.html#group80P9", "80P⁹")</f>
        <v/>
      </c>
      <c r="L6706" t="inlineStr"/>
      <c r="M6706">
        <f>HYPERLINK("CSG1.html#group20E1", "20E¹"), =HYPERLINK("CSG9.html#group80P9", "80P⁹"), =HYPERLINK("CSG1.html#group8A1", "8A¹"), =HYPERLINK("CSG0.html#group4C0", "4C⁰"), =HYPERLINK("CSG3.html#group20G3", "20G³"), =HYPERLINK("CSG0.html#group5B0", "5B⁰"), =HYPERLINK("CSG5.html#group40C5", "40C⁵"), =HYPERLINK("CSG0.html#group5D0", "5D⁰"), =HYPERLINK("CSG0.html#group2B0", "2B⁰"), =HYPERLINK("CSG0.html#group1A0", "1A⁰"), =HYPERLINK("CSG0.html#group10F0", "10F⁰"), =HYPERLINK("CSG3.html#group40C3", "40C³"), =HYPERLINK("CSG0.html#group10C0", "10C⁰"), =HYPERLINK("CSG2.html#group20C2", "20C²"), =HYPERLINK("CSG9.html#group40G9", "40G⁹")</f>
        <v/>
      </c>
      <c r="N6706" t="inlineStr"/>
    </row>
    <row r="6707">
      <c r="A6707" t="inlineStr">
        <is>
          <t>80K²¹</t>
        </is>
      </c>
      <c r="B6707" t="inlineStr"/>
      <c r="C6707" t="inlineStr">
        <is>
          <t>288</t>
        </is>
      </c>
      <c r="D6707" t="inlineStr">
        <is>
          <t>1</t>
        </is>
      </c>
      <c r="E6707" t="inlineStr">
        <is>
          <t>36</t>
        </is>
      </c>
      <c r="F6707" t="inlineStr">
        <is>
          <t>0</t>
        </is>
      </c>
      <c r="G6707" t="inlineStr">
        <is>
          <t>0</t>
        </is>
      </c>
      <c r="H6707" t="inlineStr">
        <is>
          <t>8², 16², 40², 80²</t>
        </is>
      </c>
      <c r="I6707" t="n">
        <v>8</v>
      </c>
      <c r="J6707" t="inlineStr">
        <is>
          <t>1⁴, 2⁴, 4², 8²</t>
        </is>
      </c>
      <c r="K6707">
        <f>HYPERLINK("CSG7.html#group40Q7", "40Q⁷"), =HYPERLINK("CSG9.html#group80G9", "80G⁹"), =HYPERLINK("CSG11.html#group80B11", "80B¹¹")</f>
        <v/>
      </c>
      <c r="L6707" t="inlineStr"/>
      <c r="M6707">
        <f>HYPERLINK("CSG1.html#group20E1", "20E¹"), =HYPERLINK("CSG3.html#group40D3", "40D³"), =HYPERLINK("CSG7.html#group40Q7", "40Q⁷"), =HYPERLINK("CSG11.html#group80B11", "80B¹¹"), =HYPERLINK("CSG0.html#group4C0", "4C⁰"), =HYPERLINK("CSG0.html#group8B0", "8B⁰"), =HYPERLINK("CSG0.html#group5B0", "5B⁰"), =HYPERLINK("CSG0.html#group10C0", "10C⁰"), =HYPERLINK("CSG0.html#group2B0", "2B⁰"), =HYPERLINK("CSG3.html#group20K3", "20K³"), =HYPERLINK("CSG0.html#group1A0", "1A⁰"), =HYPERLINK("CSG3.html#group40G3", "40G³"), =HYPERLINK("CSG9.html#group80G9", "80G⁹"), =HYPERLINK("CSG2.html#group16A2", "16A²")</f>
        <v/>
      </c>
      <c r="N6707" t="inlineStr"/>
    </row>
    <row r="6708">
      <c r="A6708" t="inlineStr">
        <is>
          <t>80L²¹</t>
        </is>
      </c>
      <c r="B6708" t="inlineStr"/>
      <c r="C6708" t="inlineStr">
        <is>
          <t>288</t>
        </is>
      </c>
      <c r="D6708" t="inlineStr">
        <is>
          <t>1</t>
        </is>
      </c>
      <c r="E6708" t="inlineStr">
        <is>
          <t>36</t>
        </is>
      </c>
      <c r="F6708" t="inlineStr">
        <is>
          <t>0</t>
        </is>
      </c>
      <c r="G6708" t="inlineStr">
        <is>
          <t>0</t>
        </is>
      </c>
      <c r="H6708" t="inlineStr">
        <is>
          <t>8², 16², 40², 80²</t>
        </is>
      </c>
      <c r="I6708" t="n">
        <v>8</v>
      </c>
      <c r="J6708" t="inlineStr">
        <is>
          <t>1⁴, 2⁴, 4², 8²</t>
        </is>
      </c>
      <c r="K6708">
        <f>HYPERLINK("CSG7.html#group40Q7", "40Q⁷"), =HYPERLINK("CSG9.html#group80H9", "80H⁹"), =HYPERLINK("CSG11.html#group80A11", "80A¹¹")</f>
        <v/>
      </c>
      <c r="L6708" t="inlineStr"/>
      <c r="M6708">
        <f>HYPERLINK("CSG1.html#group20E1", "20E¹"), =HYPERLINK("CSG3.html#group40D3", "40D³"), =HYPERLINK("CSG7.html#group40Q7", "40Q⁷"), =HYPERLINK("CSG9.html#group80H9", "80H⁹"), =HYPERLINK("CSG0.html#group4C0", "4C⁰"), =HYPERLINK("CSG0.html#group8B0", "8B⁰"), =HYPERLINK("CSG0.html#group5B0", "5B⁰"), =HYPERLINK("CSG0.html#group10C0", "10C⁰"), =HYPERLINK("CSG1.html#group16B1", "16B¹"), =HYPERLINK("CSG0.html#group2B0", "2B⁰"), =HYPERLINK("CSG11.html#group80A11", "80A¹¹"), =HYPERLINK("CSG3.html#group20K3", "20K³"), =HYPERLINK("CSG0.html#group1A0", "1A⁰"), =HYPERLINK("CSG3.html#group40G3", "40G³")</f>
        <v/>
      </c>
      <c r="N6708" t="inlineStr"/>
    </row>
    <row r="6709">
      <c r="A6709" t="inlineStr">
        <is>
          <t>80M²¹</t>
        </is>
      </c>
      <c r="B6709" t="inlineStr"/>
      <c r="C6709" t="inlineStr">
        <is>
          <t>288</t>
        </is>
      </c>
      <c r="D6709" t="inlineStr">
        <is>
          <t>1</t>
        </is>
      </c>
      <c r="E6709" t="inlineStr">
        <is>
          <t>36</t>
        </is>
      </c>
      <c r="F6709" t="inlineStr">
        <is>
          <t>0</t>
        </is>
      </c>
      <c r="G6709" t="inlineStr">
        <is>
          <t>0</t>
        </is>
      </c>
      <c r="H6709" t="inlineStr">
        <is>
          <t>8², 16², 40², 80²</t>
        </is>
      </c>
      <c r="I6709" t="n">
        <v>8</v>
      </c>
      <c r="J6709" t="inlineStr">
        <is>
          <t>1⁴, 2⁴, 4², 8²</t>
        </is>
      </c>
      <c r="K6709">
        <f>HYPERLINK("CSG7.html#group40S7", "40S⁷"), =HYPERLINK("CSG9.html#group80G9", "80G⁹"), =HYPERLINK("CSG11.html#group80A11", "80A¹¹")</f>
        <v/>
      </c>
      <c r="L6709" t="inlineStr"/>
      <c r="M6709">
        <f>HYPERLINK("CSG1.html#group20E1", "20E¹"), =HYPERLINK("CSG3.html#group40H3", "40H³"), =HYPERLINK("CSG0.html#group8D0", "8D⁰"), =HYPERLINK("CSG0.html#group4C0", "4C⁰"), =HYPERLINK("CSG0.html#group8B0", "8B⁰"), =HYPERLINK("CSG0.html#group5B0", "5B⁰"), =HYPERLINK("CSG0.html#group2B0", "2B⁰"), =HYPERLINK("CSG0.html#group1A0", "1A⁰"), =HYPERLINK("CSG7.html#group40S7", "40S⁷"), =HYPERLINK("CSG3.html#group20L3", "20L³"), =HYPERLINK("CSG1.html#group20B1", "20B¹"), =HYPERLINK("CSG0.html#group8H0", "8H⁰"), =HYPERLINK("CSG0.html#group4A0", "4A⁰"), =HYPERLINK("CSG0.html#group10C0", "10C⁰"), =HYPERLINK("CSG11.html#group80A11", "80A¹¹"), =HYPERLINK("CSG0.html#group4F0", "4F⁰"), =HYPERLINK("CSG3.html#group40D3", "40D³"), =HYPERLINK("CSG9.html#group80G9", "80G⁹")</f>
        <v/>
      </c>
      <c r="N6709" t="inlineStr"/>
    </row>
    <row r="6710">
      <c r="A6710" t="inlineStr">
        <is>
          <t>80N²¹</t>
        </is>
      </c>
      <c r="B6710" t="inlineStr"/>
      <c r="C6710" t="inlineStr">
        <is>
          <t>288</t>
        </is>
      </c>
      <c r="D6710" t="inlineStr">
        <is>
          <t>1</t>
        </is>
      </c>
      <c r="E6710" t="inlineStr">
        <is>
          <t>36</t>
        </is>
      </c>
      <c r="F6710" t="inlineStr">
        <is>
          <t>0</t>
        </is>
      </c>
      <c r="G6710" t="inlineStr">
        <is>
          <t>0</t>
        </is>
      </c>
      <c r="H6710" t="inlineStr">
        <is>
          <t>8², 16², 40², 80²</t>
        </is>
      </c>
      <c r="I6710" t="n">
        <v>8</v>
      </c>
      <c r="J6710" t="inlineStr">
        <is>
          <t>1⁴, 2⁴, 4², 8²</t>
        </is>
      </c>
      <c r="K6710">
        <f>HYPERLINK("CSG9.html#group40H9", "40H⁹"), =HYPERLINK("CSG9.html#group80G9", "80G⁹"), =HYPERLINK("CSG9.html#group80H9", "80H⁹")</f>
        <v/>
      </c>
      <c r="L6710" t="inlineStr"/>
      <c r="M6710">
        <f>HYPERLINK("CSG1.html#group20E1", "20E¹"), =HYPERLINK("CSG9.html#group40H9", "40H⁹"), =HYPERLINK("CSG3.html#group20G3", "20G³"), =HYPERLINK("CSG0.html#group4C0", "4C⁰"), =HYPERLINK("CSG0.html#group8B0", "8B⁰"), =HYPERLINK("CSG0.html#group5B0", "5B⁰"), =HYPERLINK("CSG0.html#group5D0", "5D⁰"), =HYPERLINK("CSG1.html#group16B1", "16B¹"), =HYPERLINK("CSG5.html#group40B5", "40B⁵"), =HYPERLINK("CSG0.html#group2B0", "2B⁰"), =HYPERLINK("CSG0.html#group1A0", "1A⁰"), =HYPERLINK("CSG0.html#group10F0", "10F⁰"), =HYPERLINK("CSG9.html#group80H9", "80H⁹"), =HYPERLINK("CSG0.html#group10C0", "10C⁰"), =HYPERLINK("CSG3.html#group40D3", "40D³"), =HYPERLINK("CSG2.html#group20C2", "20C²"), =HYPERLINK("CSG9.html#group80G9", "80G⁹")</f>
        <v/>
      </c>
      <c r="N6710" t="inlineStr"/>
    </row>
    <row r="6711">
      <c r="A6711" t="inlineStr">
        <is>
          <t>80O²¹</t>
        </is>
      </c>
      <c r="B6711" t="inlineStr"/>
      <c r="C6711" t="inlineStr">
        <is>
          <t>288</t>
        </is>
      </c>
      <c r="D6711" t="inlineStr">
        <is>
          <t>1</t>
        </is>
      </c>
      <c r="E6711" t="inlineStr">
        <is>
          <t>36</t>
        </is>
      </c>
      <c r="F6711" t="inlineStr">
        <is>
          <t>0</t>
        </is>
      </c>
      <c r="G6711" t="inlineStr">
        <is>
          <t>0</t>
        </is>
      </c>
      <c r="H6711" t="inlineStr">
        <is>
          <t>8², 16², 40², 80²</t>
        </is>
      </c>
      <c r="I6711" t="n">
        <v>8</v>
      </c>
      <c r="J6711" t="inlineStr">
        <is>
          <t>1⁴, 2⁴, 4², 8²</t>
        </is>
      </c>
      <c r="K6711">
        <f>HYPERLINK("CSG3.html#group16C3", "16C³"), =HYPERLINK("CSG7.html#group40S7", "40S⁷"), =HYPERLINK("CSG9.html#group80H9", "80H⁹"), =HYPERLINK("CSG11.html#group80B11", "80B¹¹")</f>
        <v/>
      </c>
      <c r="L6711" t="inlineStr"/>
      <c r="M6711">
        <f>HYPERLINK("CSG1.html#group20E1", "20E¹"), =HYPERLINK("CSG3.html#group16C3", "16C³"), =HYPERLINK("CSG0.html#group8D0", "8D⁰"), =HYPERLINK("CSG3.html#group40H3", "40H³"), =HYPERLINK("CSG0.html#group4C0", "4C⁰"), =HYPERLINK("CSG0.html#group8B0", "8B⁰"), =HYPERLINK("CSG0.html#group5B0", "5B⁰"), =HYPERLINK("CSG1.html#group16B1", "16B¹"), =HYPERLINK("CSG0.html#group2B0", "2B⁰"), =HYPERLINK("CSG0.html#group1A0", "1A⁰"), =HYPERLINK("CSG7.html#group40S7", "40S⁷"), =HYPERLINK("CSG1.html#group20B1", "20B¹"), =HYPERLINK("CSG2.html#group16A2", "16A²"), =HYPERLINK("CSG0.html#group8H0", "8H⁰"), =HYPERLINK("CSG0.html#group4A0", "4A⁰"), =HYPERLINK("CSG11.html#group80B11", "80B¹¹"), =HYPERLINK("CSG9.html#group80H9", "80H⁹"), =HYPERLINK("CSG0.html#group10C0", "10C⁰"), =HYPERLINK("CSG0.html#group4F0", "4F⁰"), =HYPERLINK("CSG3.html#group40D3", "40D³"), =HYPERLINK("CSG3.html#group20L3", "20L³")</f>
        <v/>
      </c>
      <c r="N6711" t="inlineStr"/>
    </row>
    <row r="6712">
      <c r="A6712" t="inlineStr">
        <is>
          <t>80P²¹</t>
        </is>
      </c>
      <c r="B6712" t="inlineStr"/>
      <c r="C6712" t="inlineStr">
        <is>
          <t>288</t>
        </is>
      </c>
      <c r="D6712" t="inlineStr">
        <is>
          <t>1</t>
        </is>
      </c>
      <c r="E6712" t="inlineStr">
        <is>
          <t>36</t>
        </is>
      </c>
      <c r="F6712" t="inlineStr">
        <is>
          <t>0</t>
        </is>
      </c>
      <c r="G6712" t="inlineStr">
        <is>
          <t>0</t>
        </is>
      </c>
      <c r="H6712" t="inlineStr">
        <is>
          <t>8², 16², 40², 80²</t>
        </is>
      </c>
      <c r="I6712" t="n">
        <v>8</v>
      </c>
      <c r="J6712" t="inlineStr">
        <is>
          <t>1⁸, 2², 4⁴, 8¹</t>
        </is>
      </c>
      <c r="K6712">
        <f>HYPERLINK("CSG9.html#group40J9", "40J⁹"), =HYPERLINK("CSG9.html#group80K9", "80K⁹"), =HYPERLINK("CSG11.html#group80C11", "80C¹¹")</f>
        <v/>
      </c>
      <c r="L6712" t="inlineStr"/>
      <c r="M6712">
        <f>HYPERLINK("CSG1.html#group20E1", "20E¹"), =HYPERLINK("CSG0.html#group2A0", "2A⁰"), =HYPERLINK("CSG3.html#group40D3", "40D³"), =HYPERLINK("CSG11.html#group80C11", "80C¹¹"), =HYPERLINK("CSG1.html#group8A1", "8A¹"), =HYPERLINK("CSG9.html#group80K9", "80K⁹"), =HYPERLINK("CSG0.html#group4C0", "4C⁰"), =HYPERLINK("CSG5.html#group40C5", "40C⁵"), =HYPERLINK("CSG0.html#group5B0", "5B⁰"), =HYPERLINK("CSG1.html#group10A1", "10A¹"), =HYPERLINK("CSG0.html#group8B0", "8B⁰"), =HYPERLINK("CSG9.html#group40J9", "40J⁹"), =HYPERLINK("CSG0.html#group2B0", "2B⁰"), =HYPERLINK("CSG1.html#group8B1", "8B¹"), =HYPERLINK("CSG1.html#group20D1", "20D¹"), =HYPERLINK("CSG0.html#group4E0", "4E⁰"), =HYPERLINK("CSG0.html#group4B0", "4B⁰"), =HYPERLINK("CSG0.html#group1A0", "1A⁰"), =HYPERLINK("CSG0.html#group10C0", "10C⁰"), =HYPERLINK("CSG3.html#group20J3", "20J³"), =HYPERLINK("CSG0.html#group2C0", "2C⁰"), =HYPERLINK("CSG1.html#group10G1", "10G¹")</f>
        <v/>
      </c>
      <c r="N6712" t="inlineStr"/>
    </row>
    <row r="6713">
      <c r="A6713" t="inlineStr">
        <is>
          <t>80Q²¹</t>
        </is>
      </c>
      <c r="B6713" t="inlineStr"/>
      <c r="C6713" t="inlineStr">
        <is>
          <t>288</t>
        </is>
      </c>
      <c r="D6713" t="inlineStr">
        <is>
          <t>1</t>
        </is>
      </c>
      <c r="E6713" t="inlineStr">
        <is>
          <t>36</t>
        </is>
      </c>
      <c r="F6713" t="inlineStr">
        <is>
          <t>0</t>
        </is>
      </c>
      <c r="G6713" t="inlineStr">
        <is>
          <t>0</t>
        </is>
      </c>
      <c r="H6713" t="inlineStr">
        <is>
          <t>8², 16², 40², 80²</t>
        </is>
      </c>
      <c r="I6713" t="n">
        <v>8</v>
      </c>
      <c r="J6713" t="inlineStr">
        <is>
          <t>1⁸, 2², 4⁴, 8¹</t>
        </is>
      </c>
      <c r="K6713">
        <f>HYPERLINK("CSG3.html#group16D3", "16D³"), =HYPERLINK("CSG9.html#group40J9", "40J⁹"), =HYPERLINK("CSG9.html#group80L9", "80L⁹"), =HYPERLINK("CSG11.html#group80D11", "80D¹¹")</f>
        <v/>
      </c>
      <c r="L6713" t="inlineStr"/>
      <c r="M6713">
        <f>HYPERLINK("CSG1.html#group20E1", "20E¹"), =HYPERLINK("CSG0.html#group2A0", "2A⁰"), =HYPERLINK("CSG11.html#group80D11", "80D¹¹"), =HYPERLINK("CSG0.html#group4C0", "4C⁰"), =HYPERLINK("CSG5.html#group40C5", "40C⁵"), =HYPERLINK("CSG0.html#group5B0", "5B⁰"), =HYPERLINK("CSG1.html#group10A1", "10A¹"), =HYPERLINK("CSG0.html#group2B0", "2B⁰"), =HYPERLINK("CSG0.html#group4E0", "4E⁰"), =HYPERLINK("CSG0.html#group4B0", "4B⁰"), =HYPERLINK("CSG0.html#group1A0", "1A⁰"), =HYPERLINK("CSG1.html#group16D1", "16D¹"), =HYPERLINK("CSG9.html#group80L9", "80L⁹"), =HYPERLINK("CSG2.html#group16B2", "16B²"), =HYPERLINK("CSG0.html#group10C0", "10C⁰"), =HYPERLINK("CSG3.html#group20J3", "20J³"), =HYPERLINK("CSG3.html#group16D3", "16D³"), =HYPERLINK("CSG1.html#group8A1", "8A¹"), =HYPERLINK("CSG0.html#group8B0", "8B⁰"), =HYPERLINK("CSG9.html#group40J9", "40J⁹"), =HYPERLINK("CSG1.html#group20D1", "20D¹"), =HYPERLINK("CSG1.html#group8B1", "8B¹"), =HYPERLINK("CSG3.html#group40D3", "40D³"), =HYPERLINK("CSG0.html#group2C0", "2C⁰"), =HYPERLINK("CSG1.html#group10G1", "10G¹")</f>
        <v/>
      </c>
      <c r="N6713" t="inlineStr"/>
    </row>
    <row r="6714">
      <c r="A6714" t="inlineStr">
        <is>
          <t>80R²¹</t>
        </is>
      </c>
      <c r="B6714" t="inlineStr"/>
      <c r="C6714" t="inlineStr">
        <is>
          <t>288</t>
        </is>
      </c>
      <c r="D6714" t="inlineStr">
        <is>
          <t>1</t>
        </is>
      </c>
      <c r="E6714" t="inlineStr">
        <is>
          <t>72</t>
        </is>
      </c>
      <c r="F6714" t="inlineStr">
        <is>
          <t>0</t>
        </is>
      </c>
      <c r="G6714" t="inlineStr">
        <is>
          <t>0</t>
        </is>
      </c>
      <c r="H6714" t="inlineStr">
        <is>
          <t>8², 16², 40², 80²</t>
        </is>
      </c>
      <c r="I6714" t="n">
        <v>8</v>
      </c>
      <c r="J6714" t="inlineStr">
        <is>
          <t>2¹², 8⁶</t>
        </is>
      </c>
      <c r="K6714">
        <f>HYPERLINK("CSG9.html#group40I9", "40I⁹")</f>
        <v/>
      </c>
      <c r="L6714" t="inlineStr"/>
      <c r="M6714">
        <f>HYPERLINK("CSG1.html#group20E1", "20E¹"), =HYPERLINK("CSG0.html#group2A0", "2A⁰"), =HYPERLINK("CSG0.html#group4C0", "4C⁰"), =HYPERLINK("CSG0.html#group5B0", "5B⁰"), =HYPERLINK("CSG1.html#group10A1", "10A¹"), =HYPERLINK("CSG5.html#group40B5", "40B⁵"), =HYPERLINK("CSG9.html#group40I9", "40I⁹"), =HYPERLINK("CSG0.html#group2B0", "2B⁰"), =HYPERLINK("CSG1.html#group20D1", "20D¹"), =HYPERLINK("CSG0.html#group4E0", "4E⁰"), =HYPERLINK("CSG0.html#group4B0", "4B⁰"), =HYPERLINK("CSG0.html#group1A0", "1A⁰"), =HYPERLINK("CSG3.html#group40C3", "40C³"), =HYPERLINK("CSG0.html#group10C0", "10C⁰"), =HYPERLINK("CSG3.html#group20J3", "20J³"), =HYPERLINK("CSG0.html#group2C0", "2C⁰"), =HYPERLINK("CSG1.html#group10G1", "10G¹")</f>
        <v/>
      </c>
      <c r="N6714" t="inlineStr"/>
    </row>
    <row r="6715">
      <c r="A6715" t="inlineStr">
        <is>
          <t>80S²¹</t>
        </is>
      </c>
      <c r="B6715" t="inlineStr"/>
      <c r="C6715" t="inlineStr">
        <is>
          <t>288</t>
        </is>
      </c>
      <c r="D6715" t="inlineStr">
        <is>
          <t>1</t>
        </is>
      </c>
      <c r="E6715" t="inlineStr">
        <is>
          <t>72</t>
        </is>
      </c>
      <c r="F6715" t="inlineStr">
        <is>
          <t>0</t>
        </is>
      </c>
      <c r="G6715" t="inlineStr">
        <is>
          <t>0</t>
        </is>
      </c>
      <c r="H6715" t="inlineStr">
        <is>
          <t>8², 16², 40², 80²</t>
        </is>
      </c>
      <c r="I6715" t="n">
        <v>8</v>
      </c>
      <c r="J6715" t="inlineStr">
        <is>
          <t>2¹², 8⁶</t>
        </is>
      </c>
      <c r="K6715">
        <f>HYPERLINK("CSG9.html#group40P9", "40P⁹"), =HYPERLINK("CSG11.html#group80C11", "80C¹¹")</f>
        <v/>
      </c>
      <c r="L6715" t="inlineStr"/>
      <c r="M6715">
        <f>HYPERLINK("CSG1.html#group20E1", "20E¹"), =HYPERLINK("CSG11.html#group80C11", "80C¹¹"), =HYPERLINK("CSG1.html#group8A1", "8A¹"), =HYPERLINK("CSG3.html#group40H3", "40H³"), =HYPERLINK("CSG0.html#group8D0", "8D⁰"), =HYPERLINK("CSG0.html#group4C0", "4C⁰"), =HYPERLINK("CSG5.html#group40C5", "40C⁵"), =HYPERLINK("CSG0.html#group5B0", "5B⁰"), =HYPERLINK("CSG0.html#group2B0", "2B⁰"), =HYPERLINK("CSG0.html#group1A0", "1A⁰"), =HYPERLINK("CSG1.html#group20B1", "20B¹"), =HYPERLINK("CSG9.html#group40P9", "40P⁹"), =HYPERLINK("CSG1.html#group8C1", "8C¹"), =HYPERLINK("CSG0.html#group4A0", "4A⁰"), =HYPERLINK("CSG0.html#group10C0", "10C⁰"), =HYPERLINK("CSG0.html#group4F0", "4F⁰"), =HYPERLINK("CSG3.html#group20L3", "20L³")</f>
        <v/>
      </c>
      <c r="N6715" t="inlineStr"/>
    </row>
    <row r="6716">
      <c r="A6716" t="inlineStr">
        <is>
          <t>80T²¹</t>
        </is>
      </c>
      <c r="B6716" t="inlineStr"/>
      <c r="C6716" t="inlineStr">
        <is>
          <t>288</t>
        </is>
      </c>
      <c r="D6716" t="inlineStr">
        <is>
          <t>1</t>
        </is>
      </c>
      <c r="E6716" t="inlineStr">
        <is>
          <t>72</t>
        </is>
      </c>
      <c r="F6716" t="inlineStr">
        <is>
          <t>0</t>
        </is>
      </c>
      <c r="G6716" t="inlineStr">
        <is>
          <t>0</t>
        </is>
      </c>
      <c r="H6716" t="inlineStr">
        <is>
          <t>8², 16², 40², 80²</t>
        </is>
      </c>
      <c r="I6716" t="n">
        <v>8</v>
      </c>
      <c r="J6716" t="inlineStr">
        <is>
          <t>2¹², 8⁶</t>
        </is>
      </c>
      <c r="K6716">
        <f>HYPERLINK("CSG3.html#group16E3", "16E³"), =HYPERLINK("CSG9.html#group40P9", "40P⁹"), =HYPERLINK("CSG11.html#group80D11", "80D¹¹")</f>
        <v/>
      </c>
      <c r="L6716" t="inlineStr"/>
      <c r="M6716">
        <f>HYPERLINK("CSG1.html#group20E1", "20E¹"), =HYPERLINK("CSG1.html#group8A1", "8A¹"), =HYPERLINK("CSG3.html#group40H3", "40H³"), =HYPERLINK("CSG0.html#group8D0", "8D⁰"), =HYPERLINK("CSG11.html#group80D11", "80D¹¹"), =HYPERLINK("CSG0.html#group4C0", "4C⁰"), =HYPERLINK("CSG5.html#group40C5", "40C⁵"), =HYPERLINK("CSG0.html#group5B0", "5B⁰"), =HYPERLINK("CSG0.html#group2B0", "2B⁰"), =HYPERLINK("CSG0.html#group1A0", "1A⁰"), =HYPERLINK("CSG1.html#group20B1", "20B¹"), =HYPERLINK("CSG9.html#group40P9", "40P⁹"), =HYPERLINK("CSG2.html#group16B2", "16B²"), =HYPERLINK("CSG1.html#group8C1", "8C¹"), =HYPERLINK("CSG0.html#group4A0", "4A⁰"), =HYPERLINK("CSG0.html#group10C0", "10C⁰"), =HYPERLINK("CSG0.html#group4F0", "4F⁰"), =HYPERLINK("CSG3.html#group20L3", "20L³"), =HYPERLINK("CSG3.html#group16E3", "16E³")</f>
        <v/>
      </c>
      <c r="N6716" t="inlineStr"/>
    </row>
    <row r="6717">
      <c r="A6717" t="inlineStr">
        <is>
          <t>80U²¹</t>
        </is>
      </c>
      <c r="B6717" t="inlineStr"/>
      <c r="C6717" t="inlineStr">
        <is>
          <t>288</t>
        </is>
      </c>
      <c r="D6717" t="inlineStr">
        <is>
          <t>1</t>
        </is>
      </c>
      <c r="E6717" t="inlineStr">
        <is>
          <t>72</t>
        </is>
      </c>
      <c r="F6717" t="inlineStr">
        <is>
          <t>0</t>
        </is>
      </c>
      <c r="G6717" t="inlineStr">
        <is>
          <t>0</t>
        </is>
      </c>
      <c r="H6717" t="inlineStr">
        <is>
          <t>8², 16², 40², 80²</t>
        </is>
      </c>
      <c r="I6717" t="n">
        <v>8</v>
      </c>
      <c r="J6717" t="inlineStr">
        <is>
          <t>1⁸, 2⁴, 4⁶, 8², 16¹</t>
        </is>
      </c>
      <c r="K6717">
        <f>HYPERLINK("CSG9.html#group40F9", "40F⁹")</f>
        <v/>
      </c>
      <c r="L6717" t="inlineStr"/>
      <c r="M6717">
        <f>HYPERLINK("CSG1.html#group20E1", "20E¹"), =HYPERLINK("CSG0.html#group20A0", "20A⁰"), =HYPERLINK("CSG0.html#group10G0", "10G⁰"), =HYPERLINK("CSG1.html#group8A1", "8A¹"), =HYPERLINK("CSG1.html#group20I1", "20I¹"), =HYPERLINK("CSG9.html#group40F9", "40F⁹"), =HYPERLINK("CSG0.html#group4C0", "4C⁰"), =HYPERLINK("CSG5.html#group40C5", "40C⁵"), =HYPERLINK("CSG0.html#group5B0", "5B⁰"), =HYPERLINK("CSG0.html#group10C0", "10C⁰"), =HYPERLINK("CSG5.html#group40B5", "40B⁵"), =HYPERLINK("CSG0.html#group2B0", "2B⁰"), =HYPERLINK("CSG0.html#group1A0", "1A⁰"), =HYPERLINK("CSG0.html#group10B0", "10B⁰")</f>
        <v/>
      </c>
      <c r="N6717" t="inlineStr"/>
    </row>
    <row r="6718">
      <c r="A6718" t="inlineStr">
        <is>
          <t>80V²¹</t>
        </is>
      </c>
      <c r="B6718" t="inlineStr"/>
      <c r="C6718" t="inlineStr">
        <is>
          <t>288</t>
        </is>
      </c>
      <c r="D6718" t="inlineStr">
        <is>
          <t>1</t>
        </is>
      </c>
      <c r="E6718" t="inlineStr">
        <is>
          <t>72</t>
        </is>
      </c>
      <c r="F6718" t="inlineStr">
        <is>
          <t>0</t>
        </is>
      </c>
      <c r="G6718" t="inlineStr">
        <is>
          <t>0</t>
        </is>
      </c>
      <c r="H6718" t="inlineStr">
        <is>
          <t>8², 16², 40², 80²</t>
        </is>
      </c>
      <c r="I6718" t="n">
        <v>8</v>
      </c>
      <c r="J6718" t="inlineStr">
        <is>
          <t>1⁸, 2⁴, 4⁶, 8², 16¹</t>
        </is>
      </c>
      <c r="K6718">
        <f>HYPERLINK("CSG7.html#group40AA7", "40AA⁷"), =HYPERLINK("CSG9.html#group80K9", "80K⁹"), =HYPERLINK("CSG11.html#group80B11", "80B¹¹")</f>
        <v/>
      </c>
      <c r="L6718" t="inlineStr"/>
      <c r="M6718">
        <f>HYPERLINK("CSG1.html#group20E1", "20E¹"), =HYPERLINK("CSG3.html#group40D3", "40D³"), =HYPERLINK("CSG7.html#group40AA7", "40AA⁷"), =HYPERLINK("CSG11.html#group80B11", "80B¹¹"), =HYPERLINK("CSG9.html#group80K9", "80K⁹"), =HYPERLINK("CSG0.html#group4C0", "4C⁰"), =HYPERLINK("CSG0.html#group8B0", "8B⁰"), =HYPERLINK("CSG0.html#group5B0", "5B⁰"), =HYPERLINK("CSG0.html#group10C0", "10C⁰"), =HYPERLINK("CSG0.html#group2B0", "2B⁰"), =HYPERLINK("CSG0.html#group1A0", "1A⁰"), =HYPERLINK("CSG2.html#group16A2", "16A²")</f>
        <v/>
      </c>
      <c r="N6718" t="inlineStr"/>
    </row>
    <row r="6719">
      <c r="A6719" t="inlineStr">
        <is>
          <t>80W²¹</t>
        </is>
      </c>
      <c r="B6719" t="inlineStr"/>
      <c r="C6719" t="inlineStr">
        <is>
          <t>288</t>
        </is>
      </c>
      <c r="D6719" t="inlineStr">
        <is>
          <t>1</t>
        </is>
      </c>
      <c r="E6719" t="inlineStr">
        <is>
          <t>72</t>
        </is>
      </c>
      <c r="F6719" t="inlineStr">
        <is>
          <t>0</t>
        </is>
      </c>
      <c r="G6719" t="inlineStr">
        <is>
          <t>0</t>
        </is>
      </c>
      <c r="H6719" t="inlineStr">
        <is>
          <t>8², 16², 40², 80²</t>
        </is>
      </c>
      <c r="I6719" t="n">
        <v>8</v>
      </c>
      <c r="J6719" t="inlineStr">
        <is>
          <t>1⁸, 2⁴, 4⁶, 8², 16¹</t>
        </is>
      </c>
      <c r="K6719">
        <f>HYPERLINK("CSG7.html#group40AA7", "40AA⁷"), =HYPERLINK("CSG9.html#group80L9", "80L⁹"), =HYPERLINK("CSG11.html#group80A11", "80A¹¹")</f>
        <v/>
      </c>
      <c r="L6719" t="inlineStr"/>
      <c r="M6719">
        <f>HYPERLINK("CSG1.html#group20E1", "20E¹"), =HYPERLINK("CSG3.html#group40D3", "40D³"), =HYPERLINK("CSG7.html#group40AA7", "40AA⁷"), =HYPERLINK("CSG9.html#group80L9", "80L⁹"), =HYPERLINK("CSG1.html#group16D1", "16D¹"), =HYPERLINK("CSG0.html#group4C0", "4C⁰"), =HYPERLINK("CSG0.html#group8B0", "8B⁰"), =HYPERLINK("CSG0.html#group5B0", "5B⁰"), =HYPERLINK("CSG0.html#group10C0", "10C⁰"), =HYPERLINK("CSG0.html#group2B0", "2B⁰"), =HYPERLINK("CSG11.html#group80A11", "80A¹¹"), =HYPERLINK("CSG0.html#group1A0", "1A⁰")</f>
        <v/>
      </c>
      <c r="N6719" t="inlineStr"/>
    </row>
    <row r="6720">
      <c r="A6720" t="inlineStr">
        <is>
          <t>80X²¹</t>
        </is>
      </c>
      <c r="B6720" t="inlineStr"/>
      <c r="C6720" t="inlineStr">
        <is>
          <t>288</t>
        </is>
      </c>
      <c r="D6720" t="inlineStr">
        <is>
          <t>1</t>
        </is>
      </c>
      <c r="E6720" t="inlineStr">
        <is>
          <t>72</t>
        </is>
      </c>
      <c r="F6720" t="inlineStr">
        <is>
          <t>0</t>
        </is>
      </c>
      <c r="G6720" t="inlineStr">
        <is>
          <t>0</t>
        </is>
      </c>
      <c r="H6720" t="inlineStr">
        <is>
          <t>8², 16², 40², 80²</t>
        </is>
      </c>
      <c r="I6720" t="n">
        <v>8</v>
      </c>
      <c r="J6720" t="inlineStr">
        <is>
          <t>1⁸, 2⁴, 4⁶, 8², 16¹</t>
        </is>
      </c>
      <c r="K6720">
        <f>HYPERLINK("CSG7.html#group40AB7", "40AB⁷"), =HYPERLINK("CSG9.html#group80K9", "80K⁹"), =HYPERLINK("CSG11.html#group80A11", "80A¹¹")</f>
        <v/>
      </c>
      <c r="L6720" t="inlineStr"/>
      <c r="M6720">
        <f>HYPERLINK("CSG1.html#group20E1", "20E¹"), =HYPERLINK("CSG3.html#group40D3", "40D³"), =HYPERLINK("CSG9.html#group80K9", "80K⁹"), =HYPERLINK("CSG0.html#group4C0", "4C⁰"), =HYPERLINK("CSG0.html#group8B0", "8B⁰"), =HYPERLINK("CSG0.html#group5B0", "5B⁰"), =HYPERLINK("CSG0.html#group10C0", "10C⁰"), =HYPERLINK("CSG0.html#group8L0", "8L⁰"), =HYPERLINK("CSG0.html#group2B0", "2B⁰"), =HYPERLINK("CSG11.html#group80A11", "80A¹¹"), =HYPERLINK("CSG0.html#group1A0", "1A⁰"), =HYPERLINK("CSG7.html#group40AB7", "40AB⁷")</f>
        <v/>
      </c>
      <c r="N6720" t="inlineStr"/>
    </row>
    <row r="6721">
      <c r="A6721" t="inlineStr">
        <is>
          <t>80Y²¹</t>
        </is>
      </c>
      <c r="B6721" t="inlineStr"/>
      <c r="C6721" t="inlineStr">
        <is>
          <t>288</t>
        </is>
      </c>
      <c r="D6721" t="inlineStr">
        <is>
          <t>1</t>
        </is>
      </c>
      <c r="E6721" t="inlineStr">
        <is>
          <t>72</t>
        </is>
      </c>
      <c r="F6721" t="inlineStr">
        <is>
          <t>0</t>
        </is>
      </c>
      <c r="G6721" t="inlineStr">
        <is>
          <t>0</t>
        </is>
      </c>
      <c r="H6721" t="inlineStr">
        <is>
          <t>8², 16², 40², 80²</t>
        </is>
      </c>
      <c r="I6721" t="n">
        <v>8</v>
      </c>
      <c r="J6721" t="inlineStr">
        <is>
          <t>1⁸, 2⁴, 4⁶, 8², 16¹</t>
        </is>
      </c>
      <c r="K6721">
        <f>HYPERLINK("CSG9.html#group40F9", "40F⁹"), =HYPERLINK("CSG11.html#group80C11", "80C¹¹"), =HYPERLINK("CSG11.html#group80D11", "80D¹¹")</f>
        <v/>
      </c>
      <c r="L6721" t="inlineStr"/>
      <c r="M6721">
        <f>HYPERLINK("CSG1.html#group20E1", "20E¹"), =HYPERLINK("CSG11.html#group80C11", "80C¹¹"), =HYPERLINK("CSG1.html#group8A1", "8A¹"), =HYPERLINK("CSG0.html#group10G0", "10G⁰"), =HYPERLINK("CSG11.html#group80D11", "80D¹¹"), =HYPERLINK("CSG9.html#group40F9", "40F⁹"), =HYPERLINK("CSG0.html#group4C0", "4C⁰"), =HYPERLINK("CSG5.html#group40C5", "40C⁵"), =HYPERLINK("CSG0.html#group5B0", "5B⁰"), =HYPERLINK("CSG0.html#group2B0", "2B⁰"), =HYPERLINK("CSG5.html#group40B5", "40B⁵"), =HYPERLINK("CSG0.html#group1A0", "1A⁰"), =HYPERLINK("CSG0.html#group10B0", "10B⁰"), =HYPERLINK("CSG0.html#group20A0", "20A⁰"), =HYPERLINK("CSG2.html#group16B2", "16B²"), =HYPERLINK("CSG1.html#group20I1", "20I¹"), =HYPERLINK("CSG0.html#group10C0", "10C⁰")</f>
        <v/>
      </c>
      <c r="N6721" t="inlineStr"/>
    </row>
    <row r="6722">
      <c r="A6722" t="inlineStr">
        <is>
          <t>80Z²¹</t>
        </is>
      </c>
      <c r="B6722" t="inlineStr"/>
      <c r="C6722" t="inlineStr">
        <is>
          <t>288</t>
        </is>
      </c>
      <c r="D6722" t="inlineStr">
        <is>
          <t>1</t>
        </is>
      </c>
      <c r="E6722" t="inlineStr">
        <is>
          <t>72</t>
        </is>
      </c>
      <c r="F6722" t="inlineStr">
        <is>
          <t>0</t>
        </is>
      </c>
      <c r="G6722" t="inlineStr">
        <is>
          <t>0</t>
        </is>
      </c>
      <c r="H6722" t="inlineStr">
        <is>
          <t>8², 16², 40², 80²</t>
        </is>
      </c>
      <c r="I6722" t="n">
        <v>8</v>
      </c>
      <c r="J6722" t="inlineStr">
        <is>
          <t>1⁸, 2⁴, 4⁶, 8², 16¹</t>
        </is>
      </c>
      <c r="K6722">
        <f>HYPERLINK("CSG9.html#group40G9", "40G⁹"), =HYPERLINK("CSG11.html#group80C11", "80C¹¹"), =HYPERLINK("CSG11.html#group80D11", "80D¹¹")</f>
        <v/>
      </c>
      <c r="L6722" t="inlineStr"/>
      <c r="M6722">
        <f>HYPERLINK("CSG1.html#group20E1", "20E¹"), =HYPERLINK("CSG11.html#group80C11", "80C¹¹"), =HYPERLINK("CSG1.html#group8A1", "8A¹"), =HYPERLINK("CSG11.html#group80D11", "80D¹¹"), =HYPERLINK("CSG0.html#group4C0", "4C⁰"), =HYPERLINK("CSG3.html#group20G3", "20G³"), =HYPERLINK("CSG5.html#group40C5", "40C⁵"), =HYPERLINK("CSG0.html#group5B0", "5B⁰"), =HYPERLINK("CSG0.html#group5D0", "5D⁰"), =HYPERLINK("CSG0.html#group2B0", "2B⁰"), =HYPERLINK("CSG0.html#group1A0", "1A⁰"), =HYPERLINK("CSG0.html#group10F0", "10F⁰"), =HYPERLINK("CSG3.html#group40C3", "40C³"), =HYPERLINK("CSG2.html#group16B2", "16B²"), =HYPERLINK("CSG0.html#group10C0", "10C⁰"), =HYPERLINK("CSG2.html#group20C2", "20C²"), =HYPERLINK("CSG9.html#group40G9", "40G⁹")</f>
        <v/>
      </c>
      <c r="N6722" t="inlineStr"/>
    </row>
    <row r="6723">
      <c r="A6723" t="inlineStr">
        <is>
          <t>80AA²¹</t>
        </is>
      </c>
      <c r="B6723" t="inlineStr"/>
      <c r="C6723" t="inlineStr">
        <is>
          <t>288</t>
        </is>
      </c>
      <c r="D6723" t="inlineStr">
        <is>
          <t>1</t>
        </is>
      </c>
      <c r="E6723" t="inlineStr">
        <is>
          <t>72</t>
        </is>
      </c>
      <c r="F6723" t="inlineStr">
        <is>
          <t>0</t>
        </is>
      </c>
      <c r="G6723" t="inlineStr">
        <is>
          <t>0</t>
        </is>
      </c>
      <c r="H6723" t="inlineStr">
        <is>
          <t>8², 16², 40², 80²</t>
        </is>
      </c>
      <c r="I6723" t="n">
        <v>8</v>
      </c>
      <c r="J6723" t="inlineStr">
        <is>
          <t>1⁸, 2⁴, 4⁶, 8², 16¹</t>
        </is>
      </c>
      <c r="K6723">
        <f>HYPERLINK("CSG9.html#group40H9", "40H⁹"), =HYPERLINK("CSG9.html#group80K9", "80K⁹"), =HYPERLINK("CSG9.html#group80L9", "80L⁹")</f>
        <v/>
      </c>
      <c r="L6723" t="inlineStr"/>
      <c r="M6723">
        <f>HYPERLINK("CSG1.html#group20E1", "20E¹"), =HYPERLINK("CSG9.html#group40H9", "40H⁹"), =HYPERLINK("CSG9.html#group80K9", "80K⁹"), =HYPERLINK("CSG0.html#group4C0", "4C⁰"), =HYPERLINK("CSG0.html#group8B0", "8B⁰"), =HYPERLINK("CSG0.html#group5B0", "5B⁰"), =HYPERLINK("CSG3.html#group20G3", "20G³"), =HYPERLINK("CSG0.html#group5D0", "5D⁰"), =HYPERLINK("CSG0.html#group2B0", "2B⁰"), =HYPERLINK("CSG5.html#group40B5", "40B⁵"), =HYPERLINK("CSG0.html#group1A0", "1A⁰"), =HYPERLINK("CSG0.html#group10F0", "10F⁰"), =HYPERLINK("CSG1.html#group16D1", "16D¹"), =HYPERLINK("CSG9.html#group80L9", "80L⁹"), =HYPERLINK("CSG0.html#group10C0", "10C⁰"), =HYPERLINK("CSG3.html#group40D3", "40D³"), =HYPERLINK("CSG2.html#group20C2", "20C²")</f>
        <v/>
      </c>
      <c r="N6723" t="inlineStr"/>
    </row>
    <row r="6724">
      <c r="A6724" t="inlineStr">
        <is>
          <t>80AB²¹</t>
        </is>
      </c>
      <c r="B6724" t="inlineStr"/>
      <c r="C6724" t="inlineStr">
        <is>
          <t>288</t>
        </is>
      </c>
      <c r="D6724" t="inlineStr">
        <is>
          <t>1</t>
        </is>
      </c>
      <c r="E6724" t="inlineStr">
        <is>
          <t>72</t>
        </is>
      </c>
      <c r="F6724" t="inlineStr">
        <is>
          <t>0</t>
        </is>
      </c>
      <c r="G6724" t="inlineStr">
        <is>
          <t>0</t>
        </is>
      </c>
      <c r="H6724" t="inlineStr">
        <is>
          <t>8², 16², 40², 80²</t>
        </is>
      </c>
      <c r="I6724" t="n">
        <v>8</v>
      </c>
      <c r="J6724" t="inlineStr">
        <is>
          <t>1⁸, 2⁴, 4⁶, 8², 16¹</t>
        </is>
      </c>
      <c r="K6724">
        <f>HYPERLINK("CSG3.html#group16F3", "16F³"), =HYPERLINK("CSG7.html#group40AB7", "40AB⁷"), =HYPERLINK("CSG9.html#group80L9", "80L⁹"), =HYPERLINK("CSG11.html#group80B11", "80B¹¹")</f>
        <v/>
      </c>
      <c r="L6724" t="inlineStr"/>
      <c r="M6724">
        <f>HYPERLINK("CSG1.html#group20E1", "20E¹"), =HYPERLINK("CSG3.html#group40D3", "40D³"), =HYPERLINK("CSG1.html#group16D1", "16D¹"), =HYPERLINK("CSG9.html#group80L9", "80L⁹"), =HYPERLINK("CSG11.html#group80B11", "80B¹¹"), =HYPERLINK("CSG3.html#group16F3", "16F³"), =HYPERLINK("CSG0.html#group4C0", "4C⁰"), =HYPERLINK("CSG0.html#group8B0", "8B⁰"), =HYPERLINK("CSG0.html#group5B0", "5B⁰"), =HYPERLINK("CSG0.html#group10C0", "10C⁰"), =HYPERLINK("CSG0.html#group8L0", "8L⁰"), =HYPERLINK("CSG0.html#group2B0", "2B⁰"), =HYPERLINK("CSG0.html#group1A0", "1A⁰"), =HYPERLINK("CSG7.html#group40AB7", "40AB⁷"), =HYPERLINK("CSG2.html#group16A2", "16A²")</f>
        <v/>
      </c>
      <c r="N6724" t="inlineStr"/>
    </row>
    <row r="6725">
      <c r="A6725" t="inlineStr">
        <is>
          <t>80AC²¹</t>
        </is>
      </c>
      <c r="B6725" t="inlineStr"/>
      <c r="C6725" t="inlineStr">
        <is>
          <t>288</t>
        </is>
      </c>
      <c r="D6725" t="inlineStr">
        <is>
          <t>2</t>
        </is>
      </c>
      <c r="E6725" t="inlineStr">
        <is>
          <t>18</t>
        </is>
      </c>
      <c r="F6725" t="inlineStr">
        <is>
          <t>0</t>
        </is>
      </c>
      <c r="G6725" t="inlineStr">
        <is>
          <t>0</t>
        </is>
      </c>
      <c r="H6725" t="inlineStr">
        <is>
          <t>8², 16², 40², 80²</t>
        </is>
      </c>
      <c r="I6725" t="n">
        <v>8</v>
      </c>
      <c r="J6725" t="inlineStr">
        <is>
          <t>2⁶, 8³</t>
        </is>
      </c>
      <c r="K6725">
        <f>HYPERLINK("CSG9.html#group40I9", "40I⁹"), =HYPERLINK("CSG9.html#group80P9", "80P⁹")</f>
        <v/>
      </c>
      <c r="L6725" t="inlineStr"/>
      <c r="M6725">
        <f>HYPERLINK("CSG1.html#group20E1", "20E¹"), =HYPERLINK("CSG9.html#group80P9", "80P⁹"), =HYPERLINK("CSG0.html#group2A0", "2A⁰"), =HYPERLINK("CSG0.html#group4C0", "4C⁰"), =HYPERLINK("CSG0.html#group5B0", "5B⁰"), =HYPERLINK("CSG1.html#group10A1", "10A¹"), =HYPERLINK("CSG0.html#group2B0", "2B⁰"), =HYPERLINK("CSG9.html#group40I9", "40I⁹"), =HYPERLINK("CSG5.html#group40B5", "40B⁵"), =HYPERLINK("CSG1.html#group20D1", "20D¹"), =HYPERLINK("CSG0.html#group4E0", "4E⁰"), =HYPERLINK("CSG0.html#group4B0", "4B⁰"), =HYPERLINK("CSG0.html#group1A0", "1A⁰"), =HYPERLINK("CSG3.html#group40C3", "40C³"), =HYPERLINK("CSG0.html#group10C0", "10C⁰"), =HYPERLINK("CSG3.html#group20J3", "20J³"), =HYPERLINK("CSG0.html#group2C0", "2C⁰"), =HYPERLINK("CSG1.html#group10G1", "10G¹")</f>
        <v/>
      </c>
      <c r="N6725" t="inlineStr"/>
    </row>
    <row r="6726">
      <c r="A6726" t="inlineStr">
        <is>
          <t>80AD²¹</t>
        </is>
      </c>
      <c r="B6726" t="inlineStr"/>
      <c r="C6726" t="inlineStr">
        <is>
          <t>288</t>
        </is>
      </c>
      <c r="D6726" t="inlineStr">
        <is>
          <t>2</t>
        </is>
      </c>
      <c r="E6726" t="inlineStr">
        <is>
          <t>18</t>
        </is>
      </c>
      <c r="F6726" t="inlineStr">
        <is>
          <t>0</t>
        </is>
      </c>
      <c r="G6726" t="inlineStr">
        <is>
          <t>0</t>
        </is>
      </c>
      <c r="H6726" t="inlineStr">
        <is>
          <t>8², 16², 40², 80²</t>
        </is>
      </c>
      <c r="I6726" t="n">
        <v>8</v>
      </c>
      <c r="J6726" t="inlineStr">
        <is>
          <t>2⁶, 8³</t>
        </is>
      </c>
      <c r="K6726">
        <f>HYPERLINK("CSG9.html#group40I9", "40I⁹"), =HYPERLINK("CSG9.html#group80M9", "80M⁹"), =HYPERLINK("CSG9.html#group80N9", "80N⁹")</f>
        <v/>
      </c>
      <c r="L6726" t="inlineStr"/>
      <c r="M6726">
        <f>HYPERLINK("CSG1.html#group20E1", "20E¹"), =HYPERLINK("CSG0.html#group2A0", "2A⁰"), =HYPERLINK("CSG0.html#group4C0", "4C⁰"), =HYPERLINK("CSG0.html#group5B0", "5B⁰"), =HYPERLINK("CSG1.html#group10A1", "10A¹"), =HYPERLINK("CSG0.html#group2B0", "2B⁰"), =HYPERLINK("CSG9.html#group40I9", "40I⁹"), =HYPERLINK("CSG9.html#group80N9", "80N⁹"), =HYPERLINK("CSG5.html#group40B5", "40B⁵"), =HYPERLINK("CSG1.html#group20D1", "20D¹"), =HYPERLINK("CSG0.html#group4E0", "4E⁰"), =HYPERLINK("CSG0.html#group1A0", "1A⁰"), =HYPERLINK("CSG0.html#group4B0", "4B⁰"), =HYPERLINK("CSG3.html#group40C3", "40C³"), =HYPERLINK("CSG9.html#group80M9", "80M⁹"), =HYPERLINK("CSG0.html#group10C0", "10C⁰"), =HYPERLINK("CSG3.html#group20J3", "20J³"), =HYPERLINK("CSG0.html#group2C0", "2C⁰"), =HYPERLINK("CSG1.html#group10G1", "10G¹")</f>
        <v/>
      </c>
      <c r="N6726" t="inlineStr"/>
    </row>
    <row r="6727">
      <c r="A6727" t="inlineStr">
        <is>
          <t>80AE²¹</t>
        </is>
      </c>
      <c r="B6727" t="inlineStr"/>
      <c r="C6727" t="inlineStr">
        <is>
          <t>288</t>
        </is>
      </c>
      <c r="D6727" t="inlineStr">
        <is>
          <t>2</t>
        </is>
      </c>
      <c r="E6727" t="inlineStr">
        <is>
          <t>72</t>
        </is>
      </c>
      <c r="F6727" t="inlineStr">
        <is>
          <t>0</t>
        </is>
      </c>
      <c r="G6727" t="inlineStr">
        <is>
          <t>0</t>
        </is>
      </c>
      <c r="H6727" t="inlineStr">
        <is>
          <t>8², 16², 40², 80²</t>
        </is>
      </c>
      <c r="I6727" t="n">
        <v>8</v>
      </c>
      <c r="J6727" t="inlineStr">
        <is>
          <t>2¹⁶, 4⁴, 8⁸, 16²</t>
        </is>
      </c>
      <c r="K6727">
        <f>HYPERLINK("CSG9.html#group40M9", "40M⁹"), =HYPERLINK("CSG11.html#group80C11", "80C¹¹"), =HYPERLINK("CSG11.html#group80D11", "80D¹¹")</f>
        <v/>
      </c>
      <c r="L6727" t="inlineStr"/>
      <c r="M6727">
        <f>HYPERLINK("CSG1.html#group20E1", "20E¹"), =HYPERLINK("CSG11.html#group80C11", "80C¹¹"), =HYPERLINK("CSG2.html#group16B2", "16B²"), =HYPERLINK("CSG1.html#group8A1", "8A¹"), =HYPERLINK("CSG11.html#group80D11", "80D¹¹"), =HYPERLINK("CSG0.html#group4C0", "4C⁰"), =HYPERLINK("CSG5.html#group40C5", "40C⁵"), =HYPERLINK("CSG0.html#group5B0", "5B⁰"), =HYPERLINK("CSG0.html#group10C0", "10C⁰"), =HYPERLINK("CSG0.html#group2B0", "2B⁰"), =HYPERLINK("CSG3.html#group20K3", "20K³"), =HYPERLINK("CSG0.html#group1A0", "1A⁰"), =HYPERLINK("CSG9.html#group40M9", "40M⁹"), =HYPERLINK("CSG3.html#group40G3", "40G³")</f>
        <v/>
      </c>
      <c r="N6727" t="inlineStr"/>
    </row>
    <row r="6728">
      <c r="A6728" t="inlineStr">
        <is>
          <t>80AF²¹</t>
        </is>
      </c>
      <c r="B6728" t="inlineStr"/>
      <c r="C6728" t="inlineStr">
        <is>
          <t>288</t>
        </is>
      </c>
      <c r="D6728" t="inlineStr">
        <is>
          <t>2</t>
        </is>
      </c>
      <c r="E6728" t="inlineStr">
        <is>
          <t>144</t>
        </is>
      </c>
      <c r="F6728" t="inlineStr">
        <is>
          <t>4</t>
        </is>
      </c>
      <c r="G6728" t="inlineStr">
        <is>
          <t>0</t>
        </is>
      </c>
      <c r="H6728" t="inlineStr">
        <is>
          <t>16³, 80³</t>
        </is>
      </c>
      <c r="I6728" t="n">
        <v>6</v>
      </c>
      <c r="J6728" t="inlineStr">
        <is>
          <t>8¹², 32⁶</t>
        </is>
      </c>
      <c r="K6728">
        <f>HYPERLINK("CSG7.html#group80A7", "80A⁷"), =HYPERLINK("CSG9.html#group40R9", "40R⁹")</f>
        <v/>
      </c>
      <c r="L6728" t="inlineStr"/>
      <c r="M6728">
        <f>HYPERLINK("CSG1.html#group20E1", "20E¹"), =HYPERLINK("CSG7.html#group80A7", "80A⁷"), =HYPERLINK("CSG0.html#group4A0", "4A⁰"), =HYPERLINK("CSG3.html#group40B3", "40B³"), =HYPERLINK("CSG0.html#group4C0", "4C⁰"), =HYPERLINK("CSG0.html#group5B0", "5B⁰"), =HYPERLINK("CSG0.html#group10C0", "10C⁰"), =HYPERLINK("CSG0.html#group8A0", "8A⁰"), =HYPERLINK("CSG0.html#group1A0", "1A⁰"), =HYPERLINK("CSG0.html#group2B0", "2B⁰"), =HYPERLINK("CSG0.html#group4F0", "4F⁰"), =HYPERLINK("CSG9.html#group40R9", "40R⁹"), =HYPERLINK("CSG1.html#group8D1", "8D¹"), =HYPERLINK("CSG1.html#group20B1", "20B¹"), =HYPERLINK("CSG3.html#group20L3", "20L³")</f>
        <v/>
      </c>
      <c r="N6728" t="inlineStr"/>
    </row>
    <row r="6729">
      <c r="A6729" t="inlineStr">
        <is>
          <t>80AG²¹</t>
        </is>
      </c>
      <c r="B6729" t="inlineStr"/>
      <c r="C6729" t="inlineStr">
        <is>
          <t>288</t>
        </is>
      </c>
      <c r="D6729" t="inlineStr">
        <is>
          <t>2</t>
        </is>
      </c>
      <c r="E6729" t="inlineStr">
        <is>
          <t>144</t>
        </is>
      </c>
      <c r="F6729" t="inlineStr">
        <is>
          <t>4</t>
        </is>
      </c>
      <c r="G6729" t="inlineStr">
        <is>
          <t>0</t>
        </is>
      </c>
      <c r="H6729" t="inlineStr">
        <is>
          <t>16³, 80³</t>
        </is>
      </c>
      <c r="I6729" t="n">
        <v>6</v>
      </c>
      <c r="J6729" t="inlineStr">
        <is>
          <t>8¹², 32⁶</t>
        </is>
      </c>
      <c r="K6729">
        <f>HYPERLINK("CSG3.html#group16G3", "16G³"), =HYPERLINK("CSG7.html#group80B7", "80B⁷"), =HYPERLINK("CSG9.html#group40R9", "40R⁹")</f>
        <v/>
      </c>
      <c r="L6729" t="inlineStr"/>
      <c r="M6729">
        <f>HYPERLINK("CSG1.html#group20E1", "20E¹"), =HYPERLINK("CSG0.html#group16A0", "16A⁰"), =HYPERLINK("CSG7.html#group80B7", "80B⁷"), =HYPERLINK("CSG0.html#group4C0", "4C⁰"), =HYPERLINK("CSG0.html#group8A0", "8A⁰"), =HYPERLINK("CSG0.html#group5B0", "5B⁰"), =HYPERLINK("CSG3.html#group16G3", "16G³"), =HYPERLINK("CSG0.html#group2B0", "2B⁰"), =HYPERLINK("CSG0.html#group1A0", "1A⁰"), =HYPERLINK("CSG1.html#group8D1", "8D¹"), =HYPERLINK("CSG1.html#group20B1", "20B¹"), =HYPERLINK("CSG0.html#group4A0", "4A⁰"), =HYPERLINK("CSG3.html#group40B3", "40B³"), =HYPERLINK("CSG0.html#group10C0", "10C⁰"), =HYPERLINK("CSG0.html#group4F0", "4F⁰"), =HYPERLINK("CSG9.html#group40R9", "40R⁹"), =HYPERLINK("CSG3.html#group20L3", "20L³")</f>
        <v/>
      </c>
      <c r="N6729" t="inlineStr"/>
    </row>
    <row r="6730">
      <c r="A6730" t="inlineStr">
        <is>
          <t>80AH²¹</t>
        </is>
      </c>
      <c r="B6730" t="inlineStr"/>
      <c r="C6730" t="inlineStr">
        <is>
          <t>320</t>
        </is>
      </c>
      <c r="D6730" t="inlineStr">
        <is>
          <t>2</t>
        </is>
      </c>
      <c r="E6730" t="inlineStr">
        <is>
          <t>80</t>
        </is>
      </c>
      <c r="F6730" t="inlineStr">
        <is>
          <t>8</t>
        </is>
      </c>
      <c r="G6730" t="inlineStr">
        <is>
          <t>8</t>
        </is>
      </c>
      <c r="H6730" t="inlineStr">
        <is>
          <t>80⁴</t>
        </is>
      </c>
      <c r="I6730" t="n">
        <v>4</v>
      </c>
      <c r="J6730" t="inlineStr">
        <is>
          <t>16², 32⁴</t>
        </is>
      </c>
      <c r="K6730">
        <f>HYPERLINK("CSG9.html#group40U9", "40U⁹")</f>
        <v/>
      </c>
      <c r="L6730" t="inlineStr"/>
      <c r="M6730">
        <f>HYPERLINK("CSG5.html#group40F5", "40F⁵"), =HYPERLINK("CSG5.html#group40E5", "40E⁵"), =HYPERLINK("CSG3.html#group20O3", "20O³"), =HYPERLINK("CSG0.html#group4A0", "4A⁰"), =HYPERLINK("CSG0.html#group10D0", "10D⁰"), =HYPERLINK("CSG9.html#group40U9", "40U⁹"), =HYPERLINK("CSG0.html#group8A0", "8A⁰"), =HYPERLINK("CSG0.html#group1A0", "1A⁰"), =HYPERLINK("CSG0.html#group5C0", "5C⁰"), =HYPERLINK("CSG2.html#group20E2", "20E²")</f>
        <v/>
      </c>
      <c r="N6730" t="inlineStr"/>
    </row>
    <row r="6731">
      <c r="A6731" t="inlineStr">
        <is>
          <t>80AI²¹</t>
        </is>
      </c>
      <c r="B6731" t="inlineStr"/>
      <c r="C6731" t="inlineStr">
        <is>
          <t>320</t>
        </is>
      </c>
      <c r="D6731" t="inlineStr">
        <is>
          <t>2</t>
        </is>
      </c>
      <c r="E6731" t="inlineStr">
        <is>
          <t>80</t>
        </is>
      </c>
      <c r="F6731" t="inlineStr">
        <is>
          <t>8</t>
        </is>
      </c>
      <c r="G6731" t="inlineStr">
        <is>
          <t>8</t>
        </is>
      </c>
      <c r="H6731" t="inlineStr">
        <is>
          <t>80⁴</t>
        </is>
      </c>
      <c r="I6731" t="n">
        <v>4</v>
      </c>
      <c r="J6731" t="inlineStr">
        <is>
          <t>16², 32⁴</t>
        </is>
      </c>
      <c r="K6731">
        <f>HYPERLINK("CSG9.html#group40U9", "40U⁹"), =HYPERLINK("CSG11.html#group80E11", "80E¹¹"), =HYPERLINK("CSG11.html#group80F11", "80F¹¹")</f>
        <v/>
      </c>
      <c r="L6731" t="inlineStr"/>
      <c r="M6731">
        <f>HYPERLINK("CSG5.html#group40F5", "40F⁵"), =HYPERLINK("CSG5.html#group40E5", "40E⁵"), =HYPERLINK("CSG11.html#group80E11", "80E¹¹"), =HYPERLINK("CSG0.html#group16A0", "16A⁰"), =HYPERLINK("CSG3.html#group20O3", "20O³"), =HYPERLINK("CSG0.html#group4A0", "4A⁰"), =HYPERLINK("CSG0.html#group10D0", "10D⁰"), =HYPERLINK("CSG9.html#group40U9", "40U⁹"), =HYPERLINK("CSG0.html#group8A0", "8A⁰"), =HYPERLINK("CSG0.html#group1A0", "1A⁰"), =HYPERLINK("CSG0.html#group5C0", "5C⁰"), =HYPERLINK("CSG2.html#group20E2", "20E²"), =HYPERLINK("CSG11.html#group80F11", "80F¹¹")</f>
        <v/>
      </c>
      <c r="N6731" t="inlineStr"/>
    </row>
    <row r="6732">
      <c r="A6732" t="inlineStr">
        <is>
          <t>84A²¹</t>
        </is>
      </c>
      <c r="B6732" t="inlineStr"/>
      <c r="C6732" t="inlineStr">
        <is>
          <t>288</t>
        </is>
      </c>
      <c r="D6732" t="inlineStr">
        <is>
          <t>1</t>
        </is>
      </c>
      <c r="E6732" t="inlineStr">
        <is>
          <t>24</t>
        </is>
      </c>
      <c r="F6732" t="inlineStr">
        <is>
          <t>0</t>
        </is>
      </c>
      <c r="G6732" t="inlineStr">
        <is>
          <t>0</t>
        </is>
      </c>
      <c r="H6732" t="inlineStr">
        <is>
          <t>6², 12², 42², 84²</t>
        </is>
      </c>
      <c r="I6732" t="n">
        <v>8</v>
      </c>
      <c r="J6732" t="inlineStr">
        <is>
          <t>1⁶, 6³</t>
        </is>
      </c>
      <c r="K6732">
        <f>HYPERLINK("CSG2.html#group12B2", "12B²"), =HYPERLINK("CSG5.html#group28E5", "28E⁵"), =HYPERLINK("CSG10.html#group42E10", "42E¹⁰"), =HYPERLINK("CSG10.html#group84B10", "84B¹⁰"), =HYPERLINK("CSG11.html#group84A11", "84A¹¹")</f>
        <v/>
      </c>
      <c r="L6732" t="inlineStr"/>
      <c r="M6732">
        <f>HYPERLINK("CSG0.html#group2A0", "2A⁰"), =HYPERLINK("CSG0.html#group3A0", "3A⁰"), =HYPERLINK("CSG0.html#group12C0", "12C⁰"), =HYPERLINK("CSG2.html#group28D2", "28D²"), =HYPERLINK("CSG0.html#group4C0", "4C⁰"), =HYPERLINK("CSG2.html#group12B2", "12B²"), =HYPERLINK("CSG1.html#group6C1", "6C¹"), =HYPERLINK("CSG10.html#group42E10", "42E¹⁰"), =HYPERLINK("CSG0.html#group2B0", "2B⁰"), =HYPERLINK("CSG0.html#group4E0", "4E⁰"), =HYPERLINK("CSG2.html#group14E2", "14E²"), =HYPERLINK("CSG0.html#group4B0", "4B⁰"), =HYPERLINK("CSG0.html#group1A0", "1A⁰"), =HYPERLINK("CSG2.html#group42B2", "42B²"), =HYPERLINK("CSG5.html#group28E5", "28E⁵"), =HYPERLINK("CSG2.html#group21A2", "21A²"), =HYPERLINK("CSG10.html#group84B10", "84B¹⁰"), =HYPERLINK("CSG0.html#group6A0", "6A⁰"), =HYPERLINK("CSG5.html#group42A5", "42A⁵"), =HYPERLINK("CSG0.html#group7B0", "7B⁰"), =HYPERLINK("CSG4.html#group42B4", "42B⁴"), =HYPERLINK("CSG1.html#group14C1", "14C¹"), =HYPERLINK("CSG0.html#group14B0", "14B⁰"), =HYPERLINK("CSG1.html#group12B1", "12B¹"), =HYPERLINK("CSG1.html#group6A1", "6A¹"), =HYPERLINK("CSG11.html#group84A11", "84A¹¹"), =HYPERLINK("CSG3.html#group28C3", "28C³"), =HYPERLINK("CSG0.html#group2C0", "2C⁰"), =HYPERLINK("CSG0.html#group6D0", "6D⁰")</f>
        <v/>
      </c>
      <c r="N6732" t="inlineStr"/>
    </row>
    <row r="6733">
      <c r="A6733" t="inlineStr">
        <is>
          <t>84B²¹</t>
        </is>
      </c>
      <c r="B6733" t="inlineStr"/>
      <c r="C6733" t="inlineStr">
        <is>
          <t>288</t>
        </is>
      </c>
      <c r="D6733" t="inlineStr">
        <is>
          <t>1</t>
        </is>
      </c>
      <c r="E6733" t="inlineStr">
        <is>
          <t>72</t>
        </is>
      </c>
      <c r="F6733" t="inlineStr">
        <is>
          <t>0</t>
        </is>
      </c>
      <c r="G6733" t="inlineStr">
        <is>
          <t>0</t>
        </is>
      </c>
      <c r="H6733" t="inlineStr">
        <is>
          <t>6², 12², 42², 84²</t>
        </is>
      </c>
      <c r="I6733" t="n">
        <v>8</v>
      </c>
      <c r="J6733" t="inlineStr">
        <is>
          <t>1⁶, 2⁶, 6³, 12³</t>
        </is>
      </c>
      <c r="K6733">
        <f>HYPERLINK("CSG2.html#group12C2", "12C²"), =HYPERLINK("CSG9.html#group42A9", "42A⁹"), =HYPERLINK("CSG11.html#group84B11", "84B¹¹")</f>
        <v/>
      </c>
      <c r="L6733" t="inlineStr"/>
      <c r="M6733">
        <f>HYPERLINK("CSG0.html#group6G0", "6G⁰"), =HYPERLINK("CSG0.html#group2B0", "2B⁰"), =HYPERLINK("CSG0.html#group1A0", "1A⁰"), =HYPERLINK("CSG9.html#group42A9", "42A⁹"), =HYPERLINK("CSG3.html#group21A3", "21A³"), =HYPERLINK("CSG1.html#group12C1", "12C¹"), =HYPERLINK("CSG2.html#group21A2", "21A²"), =HYPERLINK("CSG5.html#group42A5", "42A⁵"), =HYPERLINK("CSG0.html#group7B0", "7B⁰"), =HYPERLINK("CSG1.html#group14C1", "14C¹"), =HYPERLINK("CSG0.html#group3C0", "3C⁰"), =HYPERLINK("CSG0.html#group3A0", "3A⁰"), =HYPERLINK("CSG2.html#group12C2", "12C²"), =HYPERLINK("CSG11.html#group84B11", "84B¹¹"), =HYPERLINK("CSG0.html#group6D0", "6D⁰")</f>
        <v/>
      </c>
      <c r="N6733" t="inlineStr"/>
    </row>
    <row r="6734">
      <c r="A6734" t="inlineStr">
        <is>
          <t>84C²¹</t>
        </is>
      </c>
      <c r="B6734" t="inlineStr"/>
      <c r="C6734" t="inlineStr">
        <is>
          <t>288</t>
        </is>
      </c>
      <c r="D6734" t="inlineStr">
        <is>
          <t>1</t>
        </is>
      </c>
      <c r="E6734" t="inlineStr">
        <is>
          <t>72</t>
        </is>
      </c>
      <c r="F6734" t="inlineStr">
        <is>
          <t>0</t>
        </is>
      </c>
      <c r="G6734" t="inlineStr">
        <is>
          <t>0</t>
        </is>
      </c>
      <c r="H6734" t="inlineStr">
        <is>
          <t>6², 12², 42², 84²</t>
        </is>
      </c>
      <c r="I6734" t="n">
        <v>8</v>
      </c>
      <c r="J6734" t="inlineStr">
        <is>
          <t>1⁶, 2⁶, 6³, 12³</t>
        </is>
      </c>
      <c r="K6734">
        <f>HYPERLINK("CSG0.html#group12H0", "12H⁰"), =HYPERLINK("CSG10.html#group42I10", "42I¹⁰"), =HYPERLINK("CSG10.html#group84C10", "84C¹⁰"), =HYPERLINK("CSG11.html#group84A11", "84A¹¹")</f>
        <v/>
      </c>
      <c r="L6734" t="inlineStr"/>
      <c r="M6734">
        <f>HYPERLINK("CSG3.html#group28C3", "28C³"), =HYPERLINK("CSG0.html#group6B0", "6B⁰"), =HYPERLINK("CSG0.html#group12C0", "12C⁰"), =HYPERLINK("CSG10.html#group84C10", "84C¹⁰"), =HYPERLINK("CSG0.html#group4C0", "4C⁰"), =HYPERLINK("CSG10.html#group42I10", "42I¹⁰"), =HYPERLINK("CSG0.html#group2B0", "2B⁰"), =HYPERLINK("CSG4.html#group42C4", "42C⁴"), =HYPERLINK("CSG0.html#group12H0", "12H⁰"), =HYPERLINK("CSG0.html#group1A0", "1A⁰"), =HYPERLINK("CSG2.html#group21A2", "21A²"), =HYPERLINK("CSG5.html#group42A5", "42A⁵"), =HYPERLINK("CSG0.html#group7B0", "7B⁰"), =HYPERLINK("CSG0.html#group6D0", "6D⁰"), =HYPERLINK("CSG1.html#group14C1", "14C¹"), =HYPERLINK("CSG0.html#group12D0", "12D⁰"), =HYPERLINK("CSG0.html#group6H0", "6H⁰"), =HYPERLINK("CSG0.html#group3A0", "3A⁰"), =HYPERLINK("CSG11.html#group84A11", "84A¹¹")</f>
        <v/>
      </c>
      <c r="N6734" t="inlineStr"/>
    </row>
    <row r="6735">
      <c r="A6735" t="inlineStr">
        <is>
          <t>84D²¹</t>
        </is>
      </c>
      <c r="B6735" t="inlineStr"/>
      <c r="C6735" t="inlineStr">
        <is>
          <t>288</t>
        </is>
      </c>
      <c r="D6735" t="inlineStr">
        <is>
          <t>1</t>
        </is>
      </c>
      <c r="E6735" t="inlineStr">
        <is>
          <t>72</t>
        </is>
      </c>
      <c r="F6735" t="inlineStr">
        <is>
          <t>0</t>
        </is>
      </c>
      <c r="G6735" t="inlineStr">
        <is>
          <t>0</t>
        </is>
      </c>
      <c r="H6735" t="inlineStr">
        <is>
          <t>6², 12², 42², 84²</t>
        </is>
      </c>
      <c r="I6735" t="n">
        <v>8</v>
      </c>
      <c r="J6735" t="inlineStr">
        <is>
          <t>1⁶, 2⁶, 6³, 12³</t>
        </is>
      </c>
      <c r="K6735">
        <f>HYPERLINK("CSG1.html#group12L1", "12L¹"), =HYPERLINK("CSG9.html#group42A9", "42A⁹"), =HYPERLINK("CSG11.html#group84A11", "84A¹¹"), =HYPERLINK("CSG11.html#group84B11", "84B¹¹")</f>
        <v/>
      </c>
      <c r="L6735" t="inlineStr"/>
      <c r="M6735">
        <f>HYPERLINK("CSG3.html#group28C3", "28C³"), =HYPERLINK("CSG0.html#group12C0", "12C⁰"), =HYPERLINK("CSG0.html#group4C0", "4C⁰"), =HYPERLINK("CSG0.html#group6G0", "6G⁰"), =HYPERLINK("CSG0.html#group2B0", "2B⁰"), =HYPERLINK("CSG0.html#group1A0", "1A⁰"), =HYPERLINK("CSG1.html#group12L1", "12L¹"), =HYPERLINK("CSG9.html#group42A9", "42A⁹"), =HYPERLINK("CSG3.html#group21A3", "21A³"), =HYPERLINK("CSG1.html#group12C1", "12C¹"), =HYPERLINK("CSG2.html#group21A2", "21A²"), =HYPERLINK("CSG5.html#group42A5", "42A⁵"), =HYPERLINK("CSG0.html#group7B0", "7B⁰"), =HYPERLINK("CSG1.html#group14C1", "14C¹"), =HYPERLINK("CSG0.html#group3C0", "3C⁰"), =HYPERLINK("CSG11.html#group84A11", "84A¹¹"), =HYPERLINK("CSG0.html#group3A0", "3A⁰"), =HYPERLINK("CSG11.html#group84B11", "84B¹¹"), =HYPERLINK("CSG0.html#group6D0", "6D⁰")</f>
        <v/>
      </c>
      <c r="N6735" t="inlineStr"/>
    </row>
    <row r="6736">
      <c r="A6736" t="inlineStr">
        <is>
          <t>84E²¹</t>
        </is>
      </c>
      <c r="B6736" t="inlineStr"/>
      <c r="C6736" t="inlineStr">
        <is>
          <t>288</t>
        </is>
      </c>
      <c r="D6736" t="inlineStr">
        <is>
          <t>1</t>
        </is>
      </c>
      <c r="E6736" t="inlineStr">
        <is>
          <t>72</t>
        </is>
      </c>
      <c r="F6736" t="inlineStr">
        <is>
          <t>0</t>
        </is>
      </c>
      <c r="G6736" t="inlineStr">
        <is>
          <t>0</t>
        </is>
      </c>
      <c r="H6736" t="inlineStr">
        <is>
          <t>6², 12², 42², 84²</t>
        </is>
      </c>
      <c r="I6736" t="n">
        <v>8</v>
      </c>
      <c r="J6736" t="inlineStr">
        <is>
          <t>1⁶, 2⁶, 6³, 12³</t>
        </is>
      </c>
      <c r="K6736">
        <f>HYPERLINK("CSG2.html#group12D2", "12D²"), =HYPERLINK("CSG10.html#group42I10", "42I¹⁰"), =HYPERLINK("CSG10.html#group84B10", "84B¹⁰"), =HYPERLINK("CSG11.html#group84B11", "84B¹¹")</f>
        <v/>
      </c>
      <c r="L6736" t="inlineStr"/>
      <c r="M6736">
        <f>HYPERLINK("CSG0.html#group6B0", "6B⁰"), =HYPERLINK("CSG2.html#group12D2", "12D²"), =HYPERLINK("CSG2.html#group28D2", "28D²"), =HYPERLINK("CSG10.html#group42I10", "42I¹⁰"), =HYPERLINK("CSG0.html#group2B0", "2B⁰"), =HYPERLINK("CSG4.html#group42C4", "42C⁴"), =HYPERLINK("CSG0.html#group4B0", "4B⁰"), =HYPERLINK("CSG0.html#group1A0", "1A⁰"), =HYPERLINK("CSG2.html#group21A2", "21A²"), =HYPERLINK("CSG10.html#group84B10", "84B¹⁰"), =HYPERLINK("CSG1.html#group12C1", "12C¹"), =HYPERLINK("CSG5.html#group42A5", "42A⁵"), =HYPERLINK("CSG0.html#group7B0", "7B⁰"), =HYPERLINK("CSG1.html#group14C1", "14C¹"), =HYPERLINK("CSG1.html#group12B1", "12B¹"), =HYPERLINK("CSG0.html#group6H0", "6H⁰"), =HYPERLINK("CSG0.html#group3A0", "3A⁰"), =HYPERLINK("CSG11.html#group84B11", "84B¹¹"), =HYPERLINK("CSG0.html#group6D0", "6D⁰")</f>
        <v/>
      </c>
      <c r="N6736" t="inlineStr"/>
    </row>
    <row r="6737">
      <c r="A6737" t="inlineStr">
        <is>
          <t>84F²¹</t>
        </is>
      </c>
      <c r="B6737" t="inlineStr"/>
      <c r="C6737" t="inlineStr">
        <is>
          <t>288</t>
        </is>
      </c>
      <c r="D6737" t="inlineStr">
        <is>
          <t>1</t>
        </is>
      </c>
      <c r="E6737" t="inlineStr">
        <is>
          <t>72</t>
        </is>
      </c>
      <c r="F6737" t="inlineStr">
        <is>
          <t>0</t>
        </is>
      </c>
      <c r="G6737" t="inlineStr">
        <is>
          <t>0</t>
        </is>
      </c>
      <c r="H6737" t="inlineStr">
        <is>
          <t>6², 12², 42², 84²</t>
        </is>
      </c>
      <c r="I6737" t="n">
        <v>8</v>
      </c>
      <c r="J6737" t="inlineStr">
        <is>
          <t>1⁶, 2⁶, 6³, 12³</t>
        </is>
      </c>
      <c r="K6737">
        <f>HYPERLINK("CSG2.html#group12E2", "12E²"), =HYPERLINK("CSG10.html#group42E10", "42E¹⁰"), =HYPERLINK("CSG10.html#group84C10", "84C¹⁰"), =HYPERLINK("CSG11.html#group84B11", "84B¹¹")</f>
        <v/>
      </c>
      <c r="L6737" t="inlineStr"/>
      <c r="M6737">
        <f>HYPERLINK("CSG0.html#group2A0", "2A⁰"), =HYPERLINK("CSG10.html#group84C10", "84C¹⁰"), =HYPERLINK("CSG1.html#group6C1", "6C¹"), =HYPERLINK("CSG2.html#group12E2", "12E²"), =HYPERLINK("CSG10.html#group42E10", "42E¹⁰"), =HYPERLINK("CSG0.html#group2B0", "2B⁰"), =HYPERLINK("CSG2.html#group14E2", "14E²"), =HYPERLINK("CSG0.html#group1A0", "1A⁰"), =HYPERLINK("CSG2.html#group42B2", "42B²"), =HYPERLINK("CSG1.html#group12C1", "12C¹"), =HYPERLINK("CSG0.html#group6A0", "6A⁰"), =HYPERLINK("CSG2.html#group21A2", "21A²"), =HYPERLINK("CSG5.html#group42A5", "42A⁵"), =HYPERLINK("CSG0.html#group7B0", "7B⁰"), =HYPERLINK("CSG4.html#group42B4", "42B⁴"), =HYPERLINK("CSG1.html#group14C1", "14C¹"), =HYPERLINK("CSG0.html#group14B0", "14B⁰"), =HYPERLINK("CSG11.html#group84B11", "84B¹¹"), =HYPERLINK("CSG1.html#group6A1", "6A¹"), =HYPERLINK("CSG0.html#group12D0", "12D⁰"), =HYPERLINK("CSG0.html#group3A0", "3A⁰"), =HYPERLINK("CSG0.html#group2C0", "2C⁰"), =HYPERLINK("CSG0.html#group6D0", "6D⁰")</f>
        <v/>
      </c>
      <c r="N6737" t="inlineStr"/>
    </row>
    <row r="6738">
      <c r="A6738" t="inlineStr">
        <is>
          <t>84G²¹</t>
        </is>
      </c>
      <c r="B6738" t="inlineStr"/>
      <c r="C6738" t="inlineStr">
        <is>
          <t>288</t>
        </is>
      </c>
      <c r="D6738" t="inlineStr">
        <is>
          <t>2</t>
        </is>
      </c>
      <c r="E6738" t="inlineStr">
        <is>
          <t>24</t>
        </is>
      </c>
      <c r="F6738" t="inlineStr">
        <is>
          <t>0</t>
        </is>
      </c>
      <c r="G6738" t="inlineStr">
        <is>
          <t>0</t>
        </is>
      </c>
      <c r="H6738" t="inlineStr">
        <is>
          <t>6², 12², 42², 84²</t>
        </is>
      </c>
      <c r="I6738" t="n">
        <v>8</v>
      </c>
      <c r="J6738" t="inlineStr">
        <is>
          <t>2⁶, 12³</t>
        </is>
      </c>
      <c r="K6738">
        <f>HYPERLINK("CSG5.html#group28E5", "28E⁵"), =HYPERLINK("CSG10.html#group42J10", "42J¹⁰"), =HYPERLINK("CSG10.html#group84D10", "84D¹⁰"), =HYPERLINK("CSG11.html#group84C11", "84C¹¹")</f>
        <v/>
      </c>
      <c r="L6738" t="inlineStr"/>
      <c r="M6738">
        <f>HYPERLINK("CSG0.html#group2A0", "2A⁰"), =HYPERLINK("CSG10.html#group42J10", "42J¹⁰"), =HYPERLINK("CSG5.html#group42B5", "42B⁵"), =HYPERLINK("CSG2.html#group28D2", "28D²"), =HYPERLINK("CSG0.html#group4C0", "4C⁰"), =HYPERLINK("CSG0.html#group2B0", "2B⁰"), =HYPERLINK("CSG0.html#group4E0", "4E⁰"), =HYPERLINK("CSG2.html#group14E2", "14E²"), =HYPERLINK("CSG0.html#group4B0", "4B⁰"), =HYPERLINK("CSG0.html#group1A0", "1A⁰"), =HYPERLINK("CSG5.html#group28E5", "28E⁵"), =HYPERLINK("CSG11.html#group84C11", "84C¹¹"), =HYPERLINK("CSG0.html#group7B0", "7B⁰"), =HYPERLINK("CSG1.html#group14C1", "14C¹"), =HYPERLINK("CSG0.html#group14B0", "14B⁰"), =HYPERLINK("CSG2.html#group42C2", "42C²"), =HYPERLINK("CSG3.html#group28C3", "28C³"), =HYPERLINK("CSG10.html#group84D10", "84D¹⁰"), =HYPERLINK("CSG0.html#group2C0", "2C⁰"), =HYPERLINK("CSG3.html#group42B3", "42B³"), =HYPERLINK("CSG1.html#group21A1", "21A¹")</f>
        <v/>
      </c>
      <c r="N6738" t="inlineStr"/>
    </row>
    <row r="6739">
      <c r="A6739" t="inlineStr">
        <is>
          <t>84H²¹</t>
        </is>
      </c>
      <c r="B6739" t="inlineStr"/>
      <c r="C6739" t="inlineStr">
        <is>
          <t>288</t>
        </is>
      </c>
      <c r="D6739" t="inlineStr">
        <is>
          <t>2</t>
        </is>
      </c>
      <c r="E6739" t="inlineStr">
        <is>
          <t>72</t>
        </is>
      </c>
      <c r="F6739" t="inlineStr">
        <is>
          <t>0</t>
        </is>
      </c>
      <c r="G6739" t="inlineStr">
        <is>
          <t>0</t>
        </is>
      </c>
      <c r="H6739" t="inlineStr">
        <is>
          <t>6², 12², 42², 84²</t>
        </is>
      </c>
      <c r="I6739" t="n">
        <v>8</v>
      </c>
      <c r="J6739" t="inlineStr">
        <is>
          <t>2¹⁸, 12⁹</t>
        </is>
      </c>
      <c r="K6739">
        <f>HYPERLINK("CSG1.html#group12N1", "12N¹"), =HYPERLINK("CSG10.html#group42I10", "42I¹⁰"), =HYPERLINK("CSG10.html#group84C10", "84C¹⁰"), =HYPERLINK("CSG11.html#group84B11", "84B¹¹")</f>
        <v/>
      </c>
      <c r="L6739" t="inlineStr"/>
      <c r="M6739">
        <f>HYPERLINK("CSG0.html#group6B0", "6B⁰"), =HYPERLINK("CSG10.html#group84C10", "84C¹⁰"), =HYPERLINK("CSG10.html#group42I10", "42I¹⁰"), =HYPERLINK("CSG0.html#group2B0", "2B⁰"), =HYPERLINK("CSG4.html#group42C4", "42C⁴"), =HYPERLINK("CSG1.html#group12N1", "12N¹"), =HYPERLINK("CSG0.html#group1A0", "1A⁰"), =HYPERLINK("CSG2.html#group21A2", "21A²"), =HYPERLINK("CSG1.html#group12C1", "12C¹"), =HYPERLINK("CSG5.html#group42A5", "42A⁵"), =HYPERLINK("CSG0.html#group7B0", "7B⁰"), =HYPERLINK("CSG1.html#group14C1", "14C¹"), =HYPERLINK("CSG0.html#group12D0", "12D⁰"), =HYPERLINK("CSG0.html#group6H0", "6H⁰"), =HYPERLINK("CSG0.html#group3A0", "3A⁰"), =HYPERLINK("CSG11.html#group84B11", "84B¹¹"), =HYPERLINK("CSG0.html#group6D0", "6D⁰")</f>
        <v/>
      </c>
      <c r="N6739" t="inlineStr"/>
    </row>
    <row r="6740">
      <c r="A6740" t="inlineStr">
        <is>
          <t>84I²¹</t>
        </is>
      </c>
      <c r="B6740" t="inlineStr"/>
      <c r="C6740" t="inlineStr">
        <is>
          <t>336</t>
        </is>
      </c>
      <c r="D6740" t="inlineStr">
        <is>
          <t>1</t>
        </is>
      </c>
      <c r="E6740" t="inlineStr">
        <is>
          <t>28</t>
        </is>
      </c>
      <c r="F6740" t="inlineStr">
        <is>
          <t>24</t>
        </is>
      </c>
      <c r="G6740" t="inlineStr">
        <is>
          <t>0</t>
        </is>
      </c>
      <c r="H6740" t="inlineStr">
        <is>
          <t>84⁴</t>
        </is>
      </c>
      <c r="I6740" t="n">
        <v>4</v>
      </c>
      <c r="J6740" t="inlineStr">
        <is>
          <t>2¹, 6¹, 12⁴</t>
        </is>
      </c>
      <c r="K6740">
        <f>HYPERLINK("CSG5.html#group28F5", "28F⁵"), =HYPERLINK("CSG7.html#group42N7", "42N⁷")</f>
        <v/>
      </c>
      <c r="L6740" t="inlineStr"/>
      <c r="M6740">
        <f>HYPERLINK("CSG5.html#group28F5", "28F⁵"), =HYPERLINK("CSG0.html#group14A0", "14A⁰"), =HYPERLINK("CSG1.html#group42A1", "42A¹"), =HYPERLINK("CSG0.html#group21A0", "21A⁰"), =HYPERLINK("CSG1.html#group14G1", "14G¹"), =HYPERLINK("CSG0.html#group1A0", "1A⁰"), =HYPERLINK("CSG3.html#group21C3", "21C³"), =HYPERLINK("CSG0.html#group7F0", "7F⁰"), =HYPERLINK("CSG7.html#group42N7", "42N⁷"), =HYPERLINK("CSG0.html#group3A0", "3A⁰"), =HYPERLINK("CSG0.html#group7A0", "7A⁰")</f>
        <v/>
      </c>
      <c r="N6740" t="inlineStr"/>
    </row>
    <row r="6741">
      <c r="A6741" t="inlineStr">
        <is>
          <t>84J²¹</t>
        </is>
      </c>
      <c r="B6741" t="inlineStr"/>
      <c r="C6741" t="inlineStr">
        <is>
          <t>336</t>
        </is>
      </c>
      <c r="D6741" t="inlineStr">
        <is>
          <t>1</t>
        </is>
      </c>
      <c r="E6741" t="inlineStr">
        <is>
          <t>28</t>
        </is>
      </c>
      <c r="F6741" t="inlineStr">
        <is>
          <t>24</t>
        </is>
      </c>
      <c r="G6741" t="inlineStr">
        <is>
          <t>0</t>
        </is>
      </c>
      <c r="H6741" t="inlineStr">
        <is>
          <t>84⁴</t>
        </is>
      </c>
      <c r="I6741" t="n">
        <v>4</v>
      </c>
      <c r="J6741" t="inlineStr">
        <is>
          <t>2¹, 6¹, 12⁴</t>
        </is>
      </c>
      <c r="K6741">
        <f>HYPERLINK("CSG5.html#group28G5", "28G⁵"), =HYPERLINK("CSG7.html#group42N7", "42N⁷")</f>
        <v/>
      </c>
      <c r="L6741" t="inlineStr"/>
      <c r="M6741">
        <f>HYPERLINK("CSG0.html#group14A0", "14A⁰"), =HYPERLINK("CSG1.html#group42A1", "42A¹"), =HYPERLINK("CSG5.html#group28G5", "28G⁵"), =HYPERLINK("CSG0.html#group21A0", "21A⁰"), =HYPERLINK("CSG1.html#group14G1", "14G¹"), =HYPERLINK("CSG0.html#group1A0", "1A⁰"), =HYPERLINK("CSG3.html#group21C3", "21C³"), =HYPERLINK("CSG0.html#group7F0", "7F⁰"), =HYPERLINK("CSG7.html#group42N7", "42N⁷"), =HYPERLINK("CSG0.html#group3A0", "3A⁰"), =HYPERLINK("CSG0.html#group7A0", "7A⁰")</f>
        <v/>
      </c>
      <c r="N6741" t="inlineStr"/>
    </row>
    <row r="6742">
      <c r="A6742" t="inlineStr">
        <is>
          <t>84K²¹</t>
        </is>
      </c>
      <c r="B6742" t="inlineStr"/>
      <c r="C6742" t="inlineStr">
        <is>
          <t>336</t>
        </is>
      </c>
      <c r="D6742" t="inlineStr">
        <is>
          <t>1</t>
        </is>
      </c>
      <c r="E6742" t="inlineStr">
        <is>
          <t>84</t>
        </is>
      </c>
      <c r="F6742" t="inlineStr">
        <is>
          <t>24</t>
        </is>
      </c>
      <c r="G6742" t="inlineStr">
        <is>
          <t>0</t>
        </is>
      </c>
      <c r="H6742" t="inlineStr">
        <is>
          <t>84⁴</t>
        </is>
      </c>
      <c r="I6742" t="n">
        <v>4</v>
      </c>
      <c r="J6742" t="inlineStr">
        <is>
          <t>2¹, 4¹, 6¹, 12⁵, 24⁴</t>
        </is>
      </c>
      <c r="K6742">
        <f>HYPERLINK("CSG7.html#group42N7", "42N⁷")</f>
        <v/>
      </c>
      <c r="L6742" t="inlineStr"/>
      <c r="M6742">
        <f>HYPERLINK("CSG0.html#group14A0", "14A⁰"), =HYPERLINK("CSG1.html#group42A1", "42A¹"), =HYPERLINK("CSG0.html#group7A0", "7A⁰"), =HYPERLINK("CSG0.html#group7F0", "7F⁰"), =HYPERLINK("CSG0.html#group21A0", "21A⁰"), =HYPERLINK("CSG7.html#group42N7", "42N⁷"), =HYPERLINK("CSG0.html#group3A0", "3A⁰"), =HYPERLINK("CSG0.html#group1A0", "1A⁰"), =HYPERLINK("CSG3.html#group21C3", "21C³"), =HYPERLINK("CSG1.html#group14G1", "14G¹")</f>
        <v/>
      </c>
      <c r="N6742" t="inlineStr"/>
    </row>
    <row r="6743">
      <c r="A6743" t="inlineStr">
        <is>
          <t>84L²¹</t>
        </is>
      </c>
      <c r="B6743" t="inlineStr"/>
      <c r="C6743" t="inlineStr">
        <is>
          <t>336</t>
        </is>
      </c>
      <c r="D6743" t="inlineStr">
        <is>
          <t>1</t>
        </is>
      </c>
      <c r="E6743" t="inlineStr">
        <is>
          <t>84</t>
        </is>
      </c>
      <c r="F6743" t="inlineStr">
        <is>
          <t>24</t>
        </is>
      </c>
      <c r="G6743" t="inlineStr">
        <is>
          <t>0</t>
        </is>
      </c>
      <c r="H6743" t="inlineStr">
        <is>
          <t>84⁴</t>
        </is>
      </c>
      <c r="I6743" t="n">
        <v>4</v>
      </c>
      <c r="J6743" t="inlineStr">
        <is>
          <t>2¹, 4¹, 6¹, 12⁵, 24⁴</t>
        </is>
      </c>
      <c r="K6743">
        <f>HYPERLINK("CSG7.html#group42N7", "42N⁷")</f>
        <v/>
      </c>
      <c r="L6743" t="inlineStr"/>
      <c r="M6743">
        <f>HYPERLINK("CSG0.html#group14A0", "14A⁰"), =HYPERLINK("CSG1.html#group42A1", "42A¹"), =HYPERLINK("CSG0.html#group7A0", "7A⁰"), =HYPERLINK("CSG0.html#group7F0", "7F⁰"), =HYPERLINK("CSG0.html#group21A0", "21A⁰"), =HYPERLINK("CSG7.html#group42N7", "42N⁷"), =HYPERLINK("CSG0.html#group3A0", "3A⁰"), =HYPERLINK("CSG0.html#group1A0", "1A⁰"), =HYPERLINK("CSG3.html#group21C3", "21C³"), =HYPERLINK("CSG1.html#group14G1", "14G¹")</f>
        <v/>
      </c>
      <c r="N6743" t="inlineStr"/>
    </row>
    <row r="6744">
      <c r="A6744" t="inlineStr">
        <is>
          <t>84M²¹</t>
        </is>
      </c>
      <c r="B6744" t="inlineStr"/>
      <c r="C6744" t="inlineStr">
        <is>
          <t>336</t>
        </is>
      </c>
      <c r="D6744" t="inlineStr">
        <is>
          <t>1</t>
        </is>
      </c>
      <c r="E6744" t="inlineStr">
        <is>
          <t>112</t>
        </is>
      </c>
      <c r="F6744" t="inlineStr">
        <is>
          <t>24</t>
        </is>
      </c>
      <c r="G6744" t="inlineStr">
        <is>
          <t>0</t>
        </is>
      </c>
      <c r="H6744" t="inlineStr">
        <is>
          <t>84⁴</t>
        </is>
      </c>
      <c r="I6744" t="n">
        <v>4</v>
      </c>
      <c r="J6744" t="inlineStr">
        <is>
          <t>2², 6², 12⁸</t>
        </is>
      </c>
      <c r="K6744">
        <f>HYPERLINK("CSG3.html#group21C3", "21C³"), =HYPERLINK("CSG3.html#group84A3", "84A³"), =HYPERLINK("CSG6.html#group28H6", "28H⁶")</f>
        <v/>
      </c>
      <c r="L6744" t="inlineStr"/>
      <c r="M6744">
        <f>HYPERLINK("CSG6.html#group28H6", "28H⁶"), =HYPERLINK("CSG3.html#group84A3", "84A³"), =HYPERLINK("CSG0.html#group12A0", "12A⁰"), =HYPERLINK("CSG0.html#group4A0", "4A⁰"), =HYPERLINK("CSG0.html#group7F0", "7F⁰"), =HYPERLINK("CSG0.html#group21A0", "21A⁰"), =HYPERLINK("CSG0.html#group3A0", "3A⁰"), =HYPERLINK("CSG1.html#group28A1", "28A¹"), =HYPERLINK("CSG0.html#group1A0", "1A⁰"), =HYPERLINK("CSG3.html#group21C3", "21C³"), =HYPERLINK("CSG0.html#group7A0", "7A⁰")</f>
        <v/>
      </c>
      <c r="N6744" t="inlineStr"/>
    </row>
    <row r="6745">
      <c r="A6745" t="inlineStr">
        <is>
          <t>84N²¹</t>
        </is>
      </c>
      <c r="B6745" t="inlineStr"/>
      <c r="C6745" t="inlineStr">
        <is>
          <t>336</t>
        </is>
      </c>
      <c r="D6745" t="inlineStr">
        <is>
          <t>2</t>
        </is>
      </c>
      <c r="E6745" t="inlineStr">
        <is>
          <t>84</t>
        </is>
      </c>
      <c r="F6745" t="inlineStr">
        <is>
          <t>24</t>
        </is>
      </c>
      <c r="G6745" t="inlineStr">
        <is>
          <t>0</t>
        </is>
      </c>
      <c r="H6745" t="inlineStr">
        <is>
          <t>84⁴</t>
        </is>
      </c>
      <c r="I6745" t="n">
        <v>4</v>
      </c>
      <c r="J6745" t="inlineStr">
        <is>
          <t>4², 8², 12⁴, 24⁴</t>
        </is>
      </c>
      <c r="K6745">
        <f>HYPERLINK("CSG1.html#group12Q1", "12Q¹"), =HYPERLINK("CSG4.html#group42F4", "42F⁴"), =HYPERLINK("CSG8.html#group84I8", "84I⁸"), =HYPERLINK("CSG11.html#group84G11", "84G¹¹")</f>
        <v/>
      </c>
      <c r="L6745" t="inlineStr"/>
      <c r="M6745">
        <f>HYPERLINK("CSG1.html#group12G1", "12G¹"), =HYPERLINK("CSG2.html#group21D2", "21D²"), =HYPERLINK("CSG0.html#group6B0", "6B⁰"), =HYPERLINK("CSG4.html#group42F4", "42F⁴"), =HYPERLINK("CSG8.html#group84I8", "84I⁸"), =HYPERLINK("CSG0.html#group12F0", "12F⁰"), =HYPERLINK("CSG0.html#group21A0", "21A⁰"), =HYPERLINK("CSG11.html#group84G11", "84G¹¹"), =HYPERLINK("CSG0.html#group1A0", "1A⁰"), =HYPERLINK("CSG3.html#group84A3", "84A³"), =HYPERLINK("CSG0.html#group12A0", "12A⁰"), =HYPERLINK("CSG0.html#group6E0", "6E⁰"), =HYPERLINK("CSG0.html#group4A0", "4A⁰"), =HYPERLINK("CSG1.html#group12Q1", "12Q¹"), =HYPERLINK("CSG0.html#group3C0", "3C⁰"), =HYPERLINK("CSG1.html#group42B1", "42B¹"), =HYPERLINK("CSG0.html#group3A0", "3A⁰"), =HYPERLINK("CSG1.html#group28A1", "28A¹"), =HYPERLINK("CSG0.html#group7A0", "7A⁰")</f>
        <v/>
      </c>
      <c r="N6745" t="inlineStr"/>
    </row>
    <row r="6746">
      <c r="A6746" t="inlineStr">
        <is>
          <t>84O²¹</t>
        </is>
      </c>
      <c r="B6746" t="inlineStr"/>
      <c r="C6746" t="inlineStr">
        <is>
          <t>336</t>
        </is>
      </c>
      <c r="D6746" t="inlineStr">
        <is>
          <t>2</t>
        </is>
      </c>
      <c r="E6746" t="inlineStr">
        <is>
          <t>84</t>
        </is>
      </c>
      <c r="F6746" t="inlineStr">
        <is>
          <t>24</t>
        </is>
      </c>
      <c r="G6746" t="inlineStr">
        <is>
          <t>0</t>
        </is>
      </c>
      <c r="H6746" t="inlineStr">
        <is>
          <t>84⁴</t>
        </is>
      </c>
      <c r="I6746" t="n">
        <v>4</v>
      </c>
      <c r="J6746" t="inlineStr">
        <is>
          <t>8⁶, 24¹²</t>
        </is>
      </c>
      <c r="K6746">
        <f>HYPERLINK("CSG4.html#group42G4", "42G⁴"), =HYPERLINK("CSG8.html#group84I8", "84I⁸"), =HYPERLINK("CSG9.html#group84E9", "84E⁹"), =HYPERLINK("CSG10.html#group84F10", "84F¹⁰")</f>
        <v/>
      </c>
      <c r="L6746" t="inlineStr"/>
      <c r="M6746">
        <f>HYPERLINK("CSG0.html#group6B0", "6B⁰"), =HYPERLINK("CSG8.html#group84I8", "84I⁸"), =HYPERLINK("CSG1.html#group21D1", "21D¹"), =HYPERLINK("CSG0.html#group12F0", "12F⁰"), =HYPERLINK("CSG0.html#group21A0", "21A⁰"), =HYPERLINK("CSG0.html#group1A0", "1A⁰"), =HYPERLINK("CSG3.html#group84A3", "84A³"), =HYPERLINK("CSG0.html#group12A0", "12A⁰"), =HYPERLINK("CSG2.html#group42A2", "42A²"), =HYPERLINK("CSG10.html#group84F10", "84F¹⁰"), =HYPERLINK("CSG4.html#group42G4", "42G⁴"), =HYPERLINK("CSG0.html#group4A0", "4A⁰"), =HYPERLINK("CSG9.html#group84E9", "84E⁹"), =HYPERLINK("CSG1.html#group42B1", "42B¹"), =HYPERLINK("CSG0.html#group3A0", "3A⁰"), =HYPERLINK("CSG1.html#group28A1", "28A¹"), =HYPERLINK("CSG0.html#group7A0", "7A⁰")</f>
        <v/>
      </c>
      <c r="N6746" t="inlineStr"/>
    </row>
    <row r="6747">
      <c r="A6747" t="inlineStr">
        <is>
          <t>84P²¹</t>
        </is>
      </c>
      <c r="B6747" t="inlineStr"/>
      <c r="C6747" t="inlineStr">
        <is>
          <t>336</t>
        </is>
      </c>
      <c r="D6747" t="inlineStr">
        <is>
          <t>2</t>
        </is>
      </c>
      <c r="E6747" t="inlineStr">
        <is>
          <t>84</t>
        </is>
      </c>
      <c r="F6747" t="inlineStr">
        <is>
          <t>24</t>
        </is>
      </c>
      <c r="G6747" t="inlineStr">
        <is>
          <t>0</t>
        </is>
      </c>
      <c r="H6747" t="inlineStr">
        <is>
          <t>84⁴</t>
        </is>
      </c>
      <c r="I6747" t="n">
        <v>4</v>
      </c>
      <c r="J6747" t="inlineStr">
        <is>
          <t>8⁶, 24¹²</t>
        </is>
      </c>
      <c r="K6747">
        <f>HYPERLINK("CSG4.html#group42H4", "42H⁴"), =HYPERLINK("CSG8.html#group84I8", "84I⁸"), =HYPERLINK("CSG9.html#group84E9", "84E⁹"), =HYPERLINK("CSG10.html#group84F10", "84F¹⁰")</f>
        <v/>
      </c>
      <c r="L6747" t="inlineStr"/>
      <c r="M6747">
        <f>HYPERLINK("CSG0.html#group6B0", "6B⁰"), =HYPERLINK("CSG4.html#group42H4", "42H⁴"), =HYPERLINK("CSG8.html#group84I8", "84I⁸"), =HYPERLINK("CSG1.html#group21D1", "21D¹"), =HYPERLINK("CSG0.html#group12F0", "12F⁰"), =HYPERLINK("CSG0.html#group21A0", "21A⁰"), =HYPERLINK("CSG0.html#group1A0", "1A⁰"), =HYPERLINK("CSG3.html#group84A3", "84A³"), =HYPERLINK("CSG0.html#group12A0", "12A⁰"), =HYPERLINK("CSG2.html#group42A2", "42A²"), =HYPERLINK("CSG10.html#group84F10", "84F¹⁰"), =HYPERLINK("CSG0.html#group4A0", "4A⁰"), =HYPERLINK("CSG9.html#group84E9", "84E⁹"), =HYPERLINK("CSG1.html#group42B1", "42B¹"), =HYPERLINK("CSG0.html#group3A0", "3A⁰"), =HYPERLINK("CSG1.html#group28A1", "28A¹"), =HYPERLINK("CSG0.html#group7A0", "7A⁰")</f>
        <v/>
      </c>
      <c r="N6747" t="inlineStr"/>
    </row>
    <row r="6748">
      <c r="A6748" t="inlineStr">
        <is>
          <t>84Q²¹</t>
        </is>
      </c>
      <c r="B6748" t="inlineStr"/>
      <c r="C6748" t="inlineStr">
        <is>
          <t>384</t>
        </is>
      </c>
      <c r="D6748" t="inlineStr">
        <is>
          <t>1</t>
        </is>
      </c>
      <c r="E6748" t="inlineStr">
        <is>
          <t>96</t>
        </is>
      </c>
      <c r="F6748" t="inlineStr">
        <is>
          <t>0</t>
        </is>
      </c>
      <c r="G6748" t="inlineStr">
        <is>
          <t>0</t>
        </is>
      </c>
      <c r="H6748" t="inlineStr">
        <is>
          <t>1⁴, 3⁴, 4², 7⁴, 12², 21⁴, 28², 84²</t>
        </is>
      </c>
      <c r="I6748" t="n">
        <v>24</v>
      </c>
      <c r="J6748" t="inlineStr">
        <is>
          <t>1¹², 2⁶, 6⁶, 12³</t>
        </is>
      </c>
      <c r="K6748">
        <f>HYPERLINK("CSG9.html#group42E9", "42E⁹"), =HYPERLINK("CSG11.html#group84H11", "84H¹¹"), =HYPERLINK("CSG11.html#group84I11", "84I¹¹")</f>
        <v/>
      </c>
      <c r="L6748" t="inlineStr"/>
      <c r="M6748">
        <f>HYPERLINK("CSG0.html#group3B0", "3B⁰"), =HYPERLINK("CSG1.html#group21B1", "21B¹"), =HYPERLINK("CSG0.html#group7B0", "7B⁰"), =HYPERLINK("CSG2.html#group28D2", "28D²"), =HYPERLINK("CSG1.html#group14C1", "14C¹"), =HYPERLINK("CSG5.html#group42G5", "42G⁵"), =HYPERLINK("CSG0.html#group6F0", "6F⁰"), =HYPERLINK("CSG1.html#group21F1", "21F¹"), =HYPERLINK("CSG0.html#group1A0", "1A⁰"), =HYPERLINK("CSG11.html#group84H11", "84H¹¹"), =HYPERLINK("CSG0.html#group2B0", "2B⁰"), =HYPERLINK("CSG9.html#group42E9", "42E⁹"), =HYPERLINK("CSG0.html#group4B0", "4B⁰"), =HYPERLINK("CSG11.html#group84I11", "84I¹¹"), =HYPERLINK("CSG0.html#group12E0", "12E⁰")</f>
        <v/>
      </c>
      <c r="N6748" t="inlineStr"/>
    </row>
    <row r="6749">
      <c r="A6749" t="inlineStr">
        <is>
          <t>88A²¹</t>
        </is>
      </c>
      <c r="B6749" t="inlineStr"/>
      <c r="C6749" t="inlineStr">
        <is>
          <t>264</t>
        </is>
      </c>
      <c r="D6749" t="inlineStr">
        <is>
          <t>2</t>
        </is>
      </c>
      <c r="E6749" t="inlineStr">
        <is>
          <t>33</t>
        </is>
      </c>
      <c r="F6749" t="inlineStr">
        <is>
          <t>0</t>
        </is>
      </c>
      <c r="G6749" t="inlineStr">
        <is>
          <t>0</t>
        </is>
      </c>
      <c r="H6749" t="inlineStr">
        <is>
          <t>44², 88²</t>
        </is>
      </c>
      <c r="I6749" t="n">
        <v>4</v>
      </c>
      <c r="J6749" t="inlineStr">
        <is>
          <t>2³, 10⁶</t>
        </is>
      </c>
      <c r="K6749">
        <f>HYPERLINK("CSG1.html#group8B1", "8B¹"), =HYPERLINK("CSG8.html#group88B8", "88B⁸"), =HYPERLINK("CSG10.html#group44A10", "44A¹⁰"), =HYPERLINK("CSG11.html#group88A11", "88A¹¹")</f>
        <v/>
      </c>
      <c r="L6749" t="inlineStr"/>
      <c r="M6749">
        <f>HYPERLINK("CSG0.html#group2A0", "2A⁰"), =HYPERLINK("CSG10.html#group44A10", "44A¹⁰"), =HYPERLINK("CSG1.html#group22A1", "22A¹"), =HYPERLINK("CSG1.html#group8A1", "8A¹"), =HYPERLINK("CSG4.html#group44C4", "44C⁴"), =HYPERLINK("CSG0.html#group4C0", "4C⁰"), =HYPERLINK("CSG0.html#group8B0", "8B⁰"), =HYPERLINK("CSG0.html#group2B0", "2B⁰"), =HYPERLINK("CSG1.html#group8B1", "8B¹"), =HYPERLINK("CSG0.html#group4E0", "4E⁰"), =HYPERLINK("CSG2.html#group22B2", "22B²"), =HYPERLINK("CSG0.html#group4B0", "4B⁰"), =HYPERLINK("CSG5.html#group44A5", "44A⁵"), =HYPERLINK("CSG0.html#group1A0", "1A⁰"), =HYPERLINK("CSG8.html#group88B8", "88B⁸"), =HYPERLINK("CSG0.html#group11A0", "11A⁰"), =HYPERLINK("CSG11.html#group88A11", "88A¹¹"), =HYPERLINK("CSG5.html#group22A5", "22A⁵"), =HYPERLINK("CSG0.html#group2C0", "2C⁰")</f>
        <v/>
      </c>
      <c r="N6749" t="inlineStr"/>
    </row>
    <row r="6750">
      <c r="A6750" t="inlineStr">
        <is>
          <t>88B²¹</t>
        </is>
      </c>
      <c r="B6750" t="inlineStr"/>
      <c r="C6750" t="inlineStr">
        <is>
          <t>264</t>
        </is>
      </c>
      <c r="D6750" t="inlineStr">
        <is>
          <t>2</t>
        </is>
      </c>
      <c r="E6750" t="inlineStr">
        <is>
          <t>66</t>
        </is>
      </c>
      <c r="F6750" t="inlineStr">
        <is>
          <t>0</t>
        </is>
      </c>
      <c r="G6750" t="inlineStr">
        <is>
          <t>0</t>
        </is>
      </c>
      <c r="H6750" t="inlineStr">
        <is>
          <t>44², 88²</t>
        </is>
      </c>
      <c r="I6750" t="n">
        <v>4</v>
      </c>
      <c r="J6750" t="inlineStr">
        <is>
          <t>2², 4², 10⁴, 20⁴</t>
        </is>
      </c>
      <c r="K6750">
        <f>HYPERLINK("CSG1.html#group8C1", "8C¹"), =HYPERLINK("CSG9.html#group44A9", "44A⁹"), =HYPERLINK("CSG9.html#group88A9", "88A⁹"), =HYPERLINK("CSG11.html#group88A11", "88A¹¹")</f>
        <v/>
      </c>
      <c r="L6750" t="inlineStr"/>
      <c r="M6750">
        <f>HYPERLINK("CSG0.html#group11A0", "11A⁰"), =HYPERLINK("CSG1.html#group8C1", "8C¹"), =HYPERLINK("CSG2.html#group44A2", "44A²"), =HYPERLINK("CSG1.html#group8A1", "8A¹"), =HYPERLINK("CSG4.html#group44C4", "44C⁴"), =HYPERLINK("CSG11.html#group88A11", "88A¹¹"), =HYPERLINK("CSG0.html#group4A0", "4A⁰"), =HYPERLINK("CSG0.html#group8D0", "8D⁰"), =HYPERLINK("CSG0.html#group4C0", "4C⁰"), =HYPERLINK("CSG0.html#group1A0", "1A⁰"), =HYPERLINK("CSG0.html#group2B0", "2B⁰"), =HYPERLINK("CSG0.html#group4F0", "4F⁰"), =HYPERLINK("CSG2.html#group22B2", "22B²"), =HYPERLINK("CSG9.html#group44A9", "44A⁹"), =HYPERLINK("CSG9.html#group88A9", "88A⁹")</f>
        <v/>
      </c>
      <c r="N6750" t="inlineStr"/>
    </row>
    <row r="6751">
      <c r="A6751" t="inlineStr">
        <is>
          <t>88C²¹</t>
        </is>
      </c>
      <c r="B6751" t="inlineStr"/>
      <c r="C6751" t="inlineStr">
        <is>
          <t>288</t>
        </is>
      </c>
      <c r="D6751" t="inlineStr">
        <is>
          <t>1</t>
        </is>
      </c>
      <c r="E6751" t="inlineStr">
        <is>
          <t>36</t>
        </is>
      </c>
      <c r="F6751" t="inlineStr">
        <is>
          <t>0</t>
        </is>
      </c>
      <c r="G6751" t="inlineStr">
        <is>
          <t>0</t>
        </is>
      </c>
      <c r="H6751" t="inlineStr">
        <is>
          <t>4², 8², 44², 88²</t>
        </is>
      </c>
      <c r="I6751" t="n">
        <v>8</v>
      </c>
      <c r="J6751" t="inlineStr">
        <is>
          <t>1⁶, 10³</t>
        </is>
      </c>
      <c r="K6751">
        <f>HYPERLINK("CSG9.html#group44B9", "44B⁹")</f>
        <v/>
      </c>
      <c r="L6751" t="inlineStr"/>
      <c r="M6751">
        <f>HYPERLINK("CSG0.html#group2A0", "2A⁰"), =HYPERLINK("CSG1.html#group11A1", "11A¹"), =HYPERLINK("CSG2.html#group22A2", "22A²"), =HYPERLINK("CSG0.html#group4C0", "4C⁰"), =HYPERLINK("CSG5.html#group44B5", "44B⁵"), =HYPERLINK("CSG0.html#group1A0", "1A⁰"), =HYPERLINK("CSG0.html#group2B0", "2B⁰"), =HYPERLINK("CSG0.html#group4E0", "4E⁰"), =HYPERLINK("CSG0.html#group4B0", "4B⁰"), =HYPERLINK("CSG2.html#group22C2", "22C²"), =HYPERLINK("CSG9.html#group44B9", "44B⁹"), =HYPERLINK("CSG0.html#group2C0", "2C⁰"), =HYPERLINK("CSG4.html#group44D4", "44D⁴"), =HYPERLINK("CSG4.html#group22A4", "22A⁴")</f>
        <v/>
      </c>
      <c r="N6751" t="inlineStr"/>
    </row>
    <row r="6752">
      <c r="A6752" t="inlineStr">
        <is>
          <t>88D²¹</t>
        </is>
      </c>
      <c r="B6752" t="inlineStr"/>
      <c r="C6752" t="inlineStr">
        <is>
          <t>288</t>
        </is>
      </c>
      <c r="D6752" t="inlineStr">
        <is>
          <t>1</t>
        </is>
      </c>
      <c r="E6752" t="inlineStr">
        <is>
          <t>36</t>
        </is>
      </c>
      <c r="F6752" t="inlineStr">
        <is>
          <t>0</t>
        </is>
      </c>
      <c r="G6752" t="inlineStr">
        <is>
          <t>0</t>
        </is>
      </c>
      <c r="H6752" t="inlineStr">
        <is>
          <t>4², 8², 44², 88²</t>
        </is>
      </c>
      <c r="I6752" t="n">
        <v>8</v>
      </c>
      <c r="J6752" t="inlineStr">
        <is>
          <t>1⁶, 10³</t>
        </is>
      </c>
      <c r="K6752">
        <f>HYPERLINK("CSG1.html#group8B1", "8B¹"), =HYPERLINK("CSG9.html#group44B9", "44B⁹"), =HYPERLINK("CSG11.html#group88B11", "88B¹¹"), =HYPERLINK("CSG11.html#group88C11", "88C¹¹")</f>
        <v/>
      </c>
      <c r="L6752" t="inlineStr"/>
      <c r="M6752">
        <f>HYPERLINK("CSG0.html#group2A0", "2A⁰"), =HYPERLINK("CSG1.html#group8A1", "8A¹"), =HYPERLINK("CSG11.html#group88B11", "88B¹¹"), =HYPERLINK("CSG0.html#group4C0", "4C⁰"), =HYPERLINK("CSG0.html#group8B0", "8B⁰"), =HYPERLINK("CSG5.html#group44B5", "44B⁵"), =HYPERLINK("CSG0.html#group2B0", "2B⁰"), =HYPERLINK("CSG1.html#group8B1", "8B¹"), =HYPERLINK("CSG0.html#group4E0", "4E⁰"), =HYPERLINK("CSG0.html#group4B0", "4B⁰"), =HYPERLINK("CSG2.html#group22C2", "22C²"), =HYPERLINK("CSG0.html#group1A0", "1A⁰"), =HYPERLINK("CSG9.html#group44B9", "44B⁹"), =HYPERLINK("CSG4.html#group22A4", "22A⁴"), =HYPERLINK("CSG4.html#group44D4", "44D⁴"), =HYPERLINK("CSG1.html#group11A1", "11A¹"), =HYPERLINK("CSG2.html#group22A2", "22A²"), =HYPERLINK("CSG11.html#group88C11", "88C¹¹"), =HYPERLINK("CSG0.html#group2C0", "2C⁰")</f>
        <v/>
      </c>
      <c r="N6752" t="inlineStr"/>
    </row>
    <row r="6753">
      <c r="A6753" t="inlineStr">
        <is>
          <t>88E²¹</t>
        </is>
      </c>
      <c r="B6753" t="inlineStr"/>
      <c r="C6753" t="inlineStr">
        <is>
          <t>288</t>
        </is>
      </c>
      <c r="D6753" t="inlineStr">
        <is>
          <t>1</t>
        </is>
      </c>
      <c r="E6753" t="inlineStr">
        <is>
          <t>72</t>
        </is>
      </c>
      <c r="F6753" t="inlineStr">
        <is>
          <t>0</t>
        </is>
      </c>
      <c r="G6753" t="inlineStr">
        <is>
          <t>0</t>
        </is>
      </c>
      <c r="H6753" t="inlineStr">
        <is>
          <t>4², 8², 44², 88²</t>
        </is>
      </c>
      <c r="I6753" t="n">
        <v>8</v>
      </c>
      <c r="J6753" t="inlineStr">
        <is>
          <t>1⁴, 2⁴, 10², 20²</t>
        </is>
      </c>
      <c r="K6753">
        <f>HYPERLINK("CSG0.html#group8H0", "8H⁰"), =HYPERLINK("CSG10.html#group44C10", "44C¹⁰"), =HYPERLINK("CSG10.html#group88C10", "88C¹⁰"), =HYPERLINK("CSG11.html#group88B11", "88B¹¹")</f>
        <v/>
      </c>
      <c r="L6753" t="inlineStr"/>
      <c r="M6753">
        <f>HYPERLINK("CSG10.html#group44C10", "44C¹⁰"), =HYPERLINK("CSG0.html#group8D0", "8D⁰"), =HYPERLINK("CSG11.html#group88B11", "88B¹¹"), =HYPERLINK("CSG4.html#group44B4", "44B⁴"), =HYPERLINK("CSG0.html#group4C0", "4C⁰"), =HYPERLINK("CSG0.html#group8B0", "8B⁰"), =HYPERLINK("CSG5.html#group44B5", "44B⁵"), =HYPERLINK("CSG0.html#group2B0", "2B⁰"), =HYPERLINK("CSG2.html#group22C2", "22C²"), =HYPERLINK("CSG0.html#group1A0", "1A⁰"), =HYPERLINK("CSG0.html#group8H0", "8H⁰"), =HYPERLINK("CSG0.html#group4A0", "4A⁰"), =HYPERLINK("CSG1.html#group11A1", "11A¹"), =HYPERLINK("CSG0.html#group4F0", "4F⁰"), =HYPERLINK("CSG10.html#group88C10", "88C¹⁰")</f>
        <v/>
      </c>
      <c r="N6753" t="inlineStr"/>
    </row>
    <row r="6754">
      <c r="A6754" t="inlineStr">
        <is>
          <t>88F²¹</t>
        </is>
      </c>
      <c r="B6754" t="inlineStr"/>
      <c r="C6754" t="inlineStr">
        <is>
          <t>288</t>
        </is>
      </c>
      <c r="D6754" t="inlineStr">
        <is>
          <t>1</t>
        </is>
      </c>
      <c r="E6754" t="inlineStr">
        <is>
          <t>72</t>
        </is>
      </c>
      <c r="F6754" t="inlineStr">
        <is>
          <t>0</t>
        </is>
      </c>
      <c r="G6754" t="inlineStr">
        <is>
          <t>0</t>
        </is>
      </c>
      <c r="H6754" t="inlineStr">
        <is>
          <t>4², 8², 44², 88²</t>
        </is>
      </c>
      <c r="I6754" t="n">
        <v>8</v>
      </c>
      <c r="J6754" t="inlineStr">
        <is>
          <t>1⁴, 2⁴, 10², 20²</t>
        </is>
      </c>
      <c r="K6754">
        <f>HYPERLINK("CSG1.html#group8C1", "8C¹"), =HYPERLINK("CSG10.html#group44C10", "44C¹⁰"), =HYPERLINK("CSG10.html#group88C10", "88C¹⁰"), =HYPERLINK("CSG11.html#group88C11", "88C¹¹")</f>
        <v/>
      </c>
      <c r="L6754" t="inlineStr"/>
      <c r="M6754">
        <f>HYPERLINK("CSG10.html#group44C10", "44C¹⁰"), =HYPERLINK("CSG1.html#group8C1", "8C¹"), =HYPERLINK("CSG1.html#group8A1", "8A¹"), =HYPERLINK("CSG0.html#group8D0", "8D⁰"), =HYPERLINK("CSG1.html#group11A1", "11A¹"), =HYPERLINK("CSG0.html#group4A0", "4A⁰"), =HYPERLINK("CSG4.html#group44B4", "44B⁴"), =HYPERLINK("CSG0.html#group4C0", "4C⁰"), =HYPERLINK("CSG11.html#group88C11", "88C¹¹"), =HYPERLINK("CSG5.html#group44B5", "44B⁵"), =HYPERLINK("CSG0.html#group2B0", "2B⁰"), =HYPERLINK("CSG0.html#group4F0", "4F⁰"), =HYPERLINK("CSG2.html#group22C2", "22C²"), =HYPERLINK("CSG0.html#group1A0", "1A⁰"), =HYPERLINK("CSG10.html#group88C10", "88C¹⁰")</f>
        <v/>
      </c>
      <c r="N6754" t="inlineStr"/>
    </row>
    <row r="6755">
      <c r="A6755" t="inlineStr">
        <is>
          <t>88G²¹</t>
        </is>
      </c>
      <c r="B6755" t="inlineStr"/>
      <c r="C6755" t="inlineStr">
        <is>
          <t>288</t>
        </is>
      </c>
      <c r="D6755" t="inlineStr">
        <is>
          <t>1</t>
        </is>
      </c>
      <c r="E6755" t="inlineStr">
        <is>
          <t>144</t>
        </is>
      </c>
      <c r="F6755" t="inlineStr">
        <is>
          <t>0</t>
        </is>
      </c>
      <c r="G6755" t="inlineStr">
        <is>
          <t>0</t>
        </is>
      </c>
      <c r="H6755" t="inlineStr">
        <is>
          <t>4², 8², 44², 88²</t>
        </is>
      </c>
      <c r="I6755" t="n">
        <v>8</v>
      </c>
      <c r="J6755" t="inlineStr">
        <is>
          <t>1⁸, 2⁴, 4², 10⁴, 20², 40¹</t>
        </is>
      </c>
      <c r="K6755">
        <f>HYPERLINK("CSG11.html#group88C11", "88C¹¹")</f>
        <v/>
      </c>
      <c r="L6755" t="inlineStr"/>
      <c r="M6755">
        <f>HYPERLINK("CSG1.html#group8A1", "8A¹"), =HYPERLINK("CSG1.html#group11A1", "11A¹"), =HYPERLINK("CSG0.html#group4C0", "4C⁰"), =HYPERLINK("CSG11.html#group88C11", "88C¹¹"), =HYPERLINK("CSG5.html#group44B5", "44B⁵"), =HYPERLINK("CSG0.html#group2B0", "2B⁰"), =HYPERLINK("CSG2.html#group22C2", "22C²"), =HYPERLINK("CSG0.html#group1A0", "1A⁰")</f>
        <v/>
      </c>
      <c r="N6755" t="inlineStr"/>
    </row>
    <row r="6756">
      <c r="A6756" t="inlineStr">
        <is>
          <t>88H²¹</t>
        </is>
      </c>
      <c r="B6756" t="inlineStr"/>
      <c r="C6756" t="inlineStr">
        <is>
          <t>288</t>
        </is>
      </c>
      <c r="D6756" t="inlineStr">
        <is>
          <t>1</t>
        </is>
      </c>
      <c r="E6756" t="inlineStr">
        <is>
          <t>144</t>
        </is>
      </c>
      <c r="F6756" t="inlineStr">
        <is>
          <t>0</t>
        </is>
      </c>
      <c r="G6756" t="inlineStr">
        <is>
          <t>0</t>
        </is>
      </c>
      <c r="H6756" t="inlineStr">
        <is>
          <t>4², 8², 44², 88²</t>
        </is>
      </c>
      <c r="I6756" t="n">
        <v>8</v>
      </c>
      <c r="J6756" t="inlineStr">
        <is>
          <t>1⁸, 2⁴, 4², 10⁴, 20², 40¹</t>
        </is>
      </c>
      <c r="K6756">
        <f>HYPERLINK("CSG0.html#group8L0", "8L⁰"), =HYPERLINK("CSG11.html#group88B11", "88B¹¹")</f>
        <v/>
      </c>
      <c r="L6756" t="inlineStr"/>
      <c r="M6756">
        <f>HYPERLINK("CSG1.html#group11A1", "11A¹"), =HYPERLINK("CSG11.html#group88B11", "88B¹¹"), =HYPERLINK("CSG0.html#group4C0", "4C⁰"), =HYPERLINK("CSG0.html#group8B0", "8B⁰"), =HYPERLINK("CSG5.html#group44B5", "44B⁵"), =HYPERLINK("CSG0.html#group8L0", "8L⁰"), =HYPERLINK("CSG0.html#group2B0", "2B⁰"), =HYPERLINK("CSG2.html#group22C2", "22C²"), =HYPERLINK("CSG0.html#group1A0", "1A⁰")</f>
        <v/>
      </c>
      <c r="N6756" t="inlineStr"/>
    </row>
    <row r="6757">
      <c r="A6757" t="inlineStr">
        <is>
          <t>90A²¹</t>
        </is>
      </c>
      <c r="B6757" t="inlineStr"/>
      <c r="C6757" t="inlineStr">
        <is>
          <t>270</t>
        </is>
      </c>
      <c r="D6757" t="inlineStr">
        <is>
          <t>1</t>
        </is>
      </c>
      <c r="E6757" t="inlineStr">
        <is>
          <t>135</t>
        </is>
      </c>
      <c r="F6757" t="inlineStr">
        <is>
          <t>4</t>
        </is>
      </c>
      <c r="G6757" t="inlineStr">
        <is>
          <t>0</t>
        </is>
      </c>
      <c r="H6757" t="inlineStr">
        <is>
          <t>90³</t>
        </is>
      </c>
      <c r="I6757" t="n">
        <v>3</v>
      </c>
      <c r="J6757" t="inlineStr">
        <is>
          <t>1³, 2³, 4³, 6³, 8³, 24³</t>
        </is>
      </c>
      <c r="K6757">
        <f>HYPERLINK("CSG3.html#group18D3", "18D³"), =HYPERLINK("CSG6.html#group30B6", "30B⁶"), =HYPERLINK("CSG7.html#group90A7", "90A⁷"), =HYPERLINK("CSG7.html#group90B7", "90B⁷"), =HYPERLINK("CSG10.html#group90D10", "90D¹⁰")</f>
        <v/>
      </c>
      <c r="L6757" t="inlineStr"/>
      <c r="M6757">
        <f>HYPERLINK("CSG0.html#group5A0", "5A⁰"), =HYPERLINK("CSG0.html#group6B0", "6B⁰"), =HYPERLINK("CSG1.html#group15A1", "15A¹"), =HYPERLINK("CSG10.html#group90D10", "90D¹⁰"), =HYPERLINK("CSG7.html#group90B7", "90B⁷"), =HYPERLINK("CSG1.html#group10B1", "10B¹"), =HYPERLINK("CSG1.html#group18B1", "18B¹"), =HYPERLINK("CSG0.html#group2B0", "2B⁰"), =HYPERLINK("CSG6.html#group30B6", "30B⁶"), =HYPERLINK("CSG0.html#group1A0", "1A⁰"), =HYPERLINK("CSG3.html#group30D3", "30D³"), =HYPERLINK("CSG3.html#group18D3", "18D³"), =HYPERLINK("CSG2.html#group30A2", "30A²"), =HYPERLINK("CSG7.html#group90A7", "90A⁷"), =HYPERLINK("CSG0.html#group9A0", "9A⁰"), =HYPERLINK("CSG1.html#group18E1", "18E¹"), =HYPERLINK("CSG0.html#group6H0", "6H⁰"), =HYPERLINK("CSG0.html#group3A0", "3A⁰"), =HYPERLINK("CSG1.html#group18A1", "18A¹"), =HYPERLINK("CSG0.html#group6D0", "6D⁰"), =HYPERLINK("CSG3.html#group45A3", "45A³")</f>
        <v/>
      </c>
      <c r="N6757" t="inlineStr"/>
    </row>
    <row r="6758">
      <c r="A6758" t="inlineStr">
        <is>
          <t>90B²¹</t>
        </is>
      </c>
      <c r="B6758" t="inlineStr"/>
      <c r="C6758" t="inlineStr">
        <is>
          <t>270</t>
        </is>
      </c>
      <c r="D6758" t="inlineStr">
        <is>
          <t>2</t>
        </is>
      </c>
      <c r="E6758" t="inlineStr">
        <is>
          <t>135</t>
        </is>
      </c>
      <c r="F6758" t="inlineStr">
        <is>
          <t>2</t>
        </is>
      </c>
      <c r="G6758" t="inlineStr">
        <is>
          <t>0</t>
        </is>
      </c>
      <c r="H6758" t="inlineStr">
        <is>
          <t>45², 90²</t>
        </is>
      </c>
      <c r="I6758" t="n">
        <v>4</v>
      </c>
      <c r="J6758" t="inlineStr">
        <is>
          <t>2⁹, 6⁶, 8⁹, 24⁶</t>
        </is>
      </c>
      <c r="K6758">
        <f>HYPERLINK("CSG3.html#group18E3", "18E³"), =HYPERLINK("CSG6.html#group30A6", "30A⁶"), =HYPERLINK("CSG7.html#group45A7", "45A⁷"), =HYPERLINK("CSG10.html#group90D10", "90D¹⁰")</f>
        <v/>
      </c>
      <c r="L6758" t="inlineStr"/>
      <c r="M6758">
        <f>HYPERLINK("CSG0.html#group5A0", "5A⁰"), =HYPERLINK("CSG7.html#group45A7", "45A⁷"), =HYPERLINK("CSG10.html#group90D10", "90D¹⁰"), =HYPERLINK("CSG1.html#group10B1", "10B¹"), =HYPERLINK("CSG1.html#group15A1", "15A¹"), =HYPERLINK("CSG0.html#group6G0", "6G⁰"), =HYPERLINK("CSG0.html#group2B0", "2B⁰"), =HYPERLINK("CSG0.html#group1A0", "1A⁰"), =HYPERLINK("CSG1.html#group9B1", "9B¹"), =HYPERLINK("CSG3.html#group18E3", "18E³"), =HYPERLINK("CSG3.html#group30D3", "30D³"), =HYPERLINK("CSG2.html#group15A2", "15A²"), =HYPERLINK("CSG0.html#group9A0", "9A⁰"), =HYPERLINK("CSG0.html#group3C0", "3C⁰"), =HYPERLINK("CSG6.html#group30A6", "30A⁶"), =HYPERLINK("CSG1.html#group18E1", "18E¹"), =HYPERLINK("CSG0.html#group3A0", "3A⁰"), =HYPERLINK("CSG0.html#group6D0", "6D⁰"), =HYPERLINK("CSG3.html#group45A3", "45A³")</f>
        <v/>
      </c>
      <c r="N6758" t="inlineStr"/>
    </row>
    <row r="6759">
      <c r="A6759" t="inlineStr">
        <is>
          <t>90C²¹</t>
        </is>
      </c>
      <c r="B6759" t="inlineStr"/>
      <c r="C6759" t="inlineStr">
        <is>
          <t>288</t>
        </is>
      </c>
      <c r="D6759" t="inlineStr">
        <is>
          <t>1</t>
        </is>
      </c>
      <c r="E6759" t="inlineStr">
        <is>
          <t>24</t>
        </is>
      </c>
      <c r="F6759" t="inlineStr">
        <is>
          <t>0</t>
        </is>
      </c>
      <c r="G6759" t="inlineStr">
        <is>
          <t>0</t>
        </is>
      </c>
      <c r="H6759" t="inlineStr">
        <is>
          <t>6², 18², 30², 90²</t>
        </is>
      </c>
      <c r="I6759" t="n">
        <v>8</v>
      </c>
      <c r="J6759" t="inlineStr">
        <is>
          <t>1⁴, 2², 4², 8¹</t>
        </is>
      </c>
      <c r="K6759">
        <f>HYPERLINK("CSG5.html#group30M5", "30M⁵"), =HYPERLINK("CSG9.html#group45C9", "45C⁹")</f>
        <v/>
      </c>
      <c r="L6759" t="inlineStr"/>
      <c r="M6759">
        <f>HYPERLINK("CSG5.html#group45C5", "45C⁵"), =HYPERLINK("CSG1.html#group15C1", "15C¹"), =HYPERLINK("CSG0.html#group3B0", "3B⁰"), =HYPERLINK("CSG9.html#group45C9", "45C⁹"), =HYPERLINK("CSG5.html#group30M5", "30M⁵"), =HYPERLINK("CSG0.html#group5B0", "5B⁰"), =HYPERLINK("CSG1.html#group15G1", "15G¹"), =HYPERLINK("CSG0.html#group5D0", "5D⁰"), =HYPERLINK("CSG0.html#group9C0", "9C⁰"), =HYPERLINK("CSG0.html#group1A0", "1A⁰")</f>
        <v/>
      </c>
      <c r="N6759" t="inlineStr"/>
    </row>
    <row r="6760">
      <c r="A6760" t="inlineStr">
        <is>
          <t>90D²¹</t>
        </is>
      </c>
      <c r="B6760" t="inlineStr"/>
      <c r="C6760" t="inlineStr">
        <is>
          <t>288</t>
        </is>
      </c>
      <c r="D6760" t="inlineStr">
        <is>
          <t>1</t>
        </is>
      </c>
      <c r="E6760" t="inlineStr">
        <is>
          <t>24</t>
        </is>
      </c>
      <c r="F6760" t="inlineStr">
        <is>
          <t>0</t>
        </is>
      </c>
      <c r="G6760" t="inlineStr">
        <is>
          <t>0</t>
        </is>
      </c>
      <c r="H6760" t="inlineStr">
        <is>
          <t>6², 18², 30², 90²</t>
        </is>
      </c>
      <c r="I6760" t="n">
        <v>8</v>
      </c>
      <c r="J6760" t="inlineStr">
        <is>
          <t>1⁴, 2², 4², 8¹</t>
        </is>
      </c>
      <c r="K6760">
        <f>HYPERLINK("CSG5.html#group30M5", "30M⁵"), =HYPERLINK("CSG9.html#group45D9", "45D⁹")</f>
        <v/>
      </c>
      <c r="L6760" t="inlineStr"/>
      <c r="M6760">
        <f>HYPERLINK("CSG1.html#group15C1", "15C¹"), =HYPERLINK("CSG0.html#group3B0", "3B⁰"), =HYPERLINK("CSG5.html#group30M5", "30M⁵"), =HYPERLINK("CSG9.html#group45D9", "45D⁹"), =HYPERLINK("CSG1.html#group9A1", "9A¹"), =HYPERLINK("CSG0.html#group5B0", "5B⁰"), =HYPERLINK("CSG1.html#group15G1", "15G¹"), =HYPERLINK("CSG0.html#group5D0", "5D⁰"), =HYPERLINK("CSG0.html#group1A0", "1A⁰"), =HYPERLINK("CSG5.html#group45D5", "45D⁵")</f>
        <v/>
      </c>
      <c r="N6760" t="inlineStr"/>
    </row>
    <row r="6761">
      <c r="A6761" t="inlineStr">
        <is>
          <t>90E²¹</t>
        </is>
      </c>
      <c r="B6761" t="inlineStr"/>
      <c r="C6761" t="inlineStr">
        <is>
          <t>288</t>
        </is>
      </c>
      <c r="D6761" t="inlineStr">
        <is>
          <t>1</t>
        </is>
      </c>
      <c r="E6761" t="inlineStr">
        <is>
          <t>24</t>
        </is>
      </c>
      <c r="F6761" t="inlineStr">
        <is>
          <t>0</t>
        </is>
      </c>
      <c r="G6761" t="inlineStr">
        <is>
          <t>0</t>
        </is>
      </c>
      <c r="H6761" t="inlineStr">
        <is>
          <t>6², 18², 30², 90²</t>
        </is>
      </c>
      <c r="I6761" t="n">
        <v>8</v>
      </c>
      <c r="J6761" t="inlineStr">
        <is>
          <t>1⁴, 2², 4², 8¹</t>
        </is>
      </c>
      <c r="K6761">
        <f>HYPERLINK("CSG5.html#group30N5", "30N⁵"), =HYPERLINK("CSG9.html#group45C9", "45C⁹"), =HYPERLINK("CSG11.html#group90A11", "90A¹¹"), =HYPERLINK("CSG11.html#group90C11", "90C¹¹")</f>
        <v/>
      </c>
      <c r="L6761" t="inlineStr"/>
      <c r="M6761">
        <f>HYPERLINK("CSG0.html#group3B0", "3B⁰"), =HYPERLINK("CSG0.html#group2A0", "2A⁰"), =HYPERLINK("CSG9.html#group45C9", "45C⁹"), =HYPERLINK("CSG0.html#group18B0", "18B⁰"), =HYPERLINK("CSG0.html#group6C0", "6C⁰"), =HYPERLINK("CSG5.html#group30N5", "30N⁵"), =HYPERLINK("CSG11.html#group90A11", "90A¹¹"), =HYPERLINK("CSG11.html#group90C11", "90C¹¹"), =HYPERLINK("CSG0.html#group5B0", "5B⁰"), =HYPERLINK("CSG1.html#group10A1", "10A¹"), =HYPERLINK("CSG1.html#group15G1", "15G¹"), =HYPERLINK("CSG0.html#group5D0", "5D⁰"), =HYPERLINK("CSG0.html#group9C0", "9C⁰"), =HYPERLINK("CSG3.html#group30G3", "30G³"), =HYPERLINK("CSG1.html#group10D1", "10D¹"), =HYPERLINK("CSG0.html#group1A0", "1A⁰"), =HYPERLINK("CSG0.html#group10B0", "10B⁰"), =HYPERLINK("CSG5.html#group45C5", "45C⁵"), =HYPERLINK("CSG1.html#group15C1", "15C¹"), =HYPERLINK("CSG3.html#group30F3", "30F³")</f>
        <v/>
      </c>
      <c r="N6761" t="inlineStr"/>
    </row>
    <row r="6762">
      <c r="A6762" t="inlineStr">
        <is>
          <t>90F²¹</t>
        </is>
      </c>
      <c r="B6762" t="inlineStr"/>
      <c r="C6762" t="inlineStr">
        <is>
          <t>288</t>
        </is>
      </c>
      <c r="D6762" t="inlineStr">
        <is>
          <t>1</t>
        </is>
      </c>
      <c r="E6762" t="inlineStr">
        <is>
          <t>24</t>
        </is>
      </c>
      <c r="F6762" t="inlineStr">
        <is>
          <t>0</t>
        </is>
      </c>
      <c r="G6762" t="inlineStr">
        <is>
          <t>0</t>
        </is>
      </c>
      <c r="H6762" t="inlineStr">
        <is>
          <t>6², 18², 30², 90²</t>
        </is>
      </c>
      <c r="I6762" t="n">
        <v>8</v>
      </c>
      <c r="J6762" t="inlineStr">
        <is>
          <t>1⁴, 2², 4², 8¹</t>
        </is>
      </c>
      <c r="K6762">
        <f>HYPERLINK("CSG5.html#group30N5", "30N⁵"), =HYPERLINK("CSG9.html#group45D9", "45D⁹"), =HYPERLINK("CSG11.html#group90B11", "90B¹¹"), =HYPERLINK("CSG11.html#group90D11", "90D¹¹")</f>
        <v/>
      </c>
      <c r="L6762" t="inlineStr"/>
      <c r="M6762">
        <f>HYPERLINK("CSG0.html#group3B0", "3B⁰"), =HYPERLINK("CSG0.html#group2A0", "2A⁰"), =HYPERLINK("CSG11.html#group90D11", "90D¹¹"), =HYPERLINK("CSG0.html#group6C0", "6C⁰"), =HYPERLINK("CSG5.html#group30N5", "30N⁵"), =HYPERLINK("CSG0.html#group5B0", "5B⁰"), =HYPERLINK("CSG1.html#group15G1", "15G¹"), =HYPERLINK("CSG0.html#group5D0", "5D⁰"), =HYPERLINK("CSG1.html#group10A1", "10A¹"), =HYPERLINK("CSG3.html#group30G3", "30G³"), =HYPERLINK("CSG1.html#group10D1", "10D¹"), =HYPERLINK("CSG0.html#group1A0", "1A⁰"), =HYPERLINK("CSG11.html#group90B11", "90B¹¹"), =HYPERLINK("CSG5.html#group45D5", "45D⁵"), =HYPERLINK("CSG0.html#group10B0", "10B⁰"), =HYPERLINK("CSG1.html#group15C1", "15C¹"), =HYPERLINK("CSG2.html#group18B2", "18B²"), =HYPERLINK("CSG3.html#group30F3", "30F³"), =HYPERLINK("CSG9.html#group45D9", "45D⁹"), =HYPERLINK("CSG1.html#group9A1", "9A¹")</f>
        <v/>
      </c>
      <c r="N6762" t="inlineStr"/>
    </row>
    <row r="6763">
      <c r="A6763" t="inlineStr">
        <is>
          <t>90G²¹</t>
        </is>
      </c>
      <c r="B6763" t="inlineStr"/>
      <c r="C6763" t="inlineStr">
        <is>
          <t>288</t>
        </is>
      </c>
      <c r="D6763" t="inlineStr">
        <is>
          <t>1</t>
        </is>
      </c>
      <c r="E6763" t="inlineStr">
        <is>
          <t>48</t>
        </is>
      </c>
      <c r="F6763" t="inlineStr">
        <is>
          <t>0</t>
        </is>
      </c>
      <c r="G6763" t="inlineStr">
        <is>
          <t>0</t>
        </is>
      </c>
      <c r="H6763" t="inlineStr">
        <is>
          <t>6², 18², 30², 90²</t>
        </is>
      </c>
      <c r="I6763" t="n">
        <v>8</v>
      </c>
      <c r="J6763" t="inlineStr">
        <is>
          <t>2⁸, 8⁴</t>
        </is>
      </c>
      <c r="K6763">
        <f>HYPERLINK("CSG5.html#group30N5", "30N⁵"), =HYPERLINK("CSG11.html#group90E11", "90E¹¹")</f>
        <v/>
      </c>
      <c r="L6763" t="inlineStr"/>
      <c r="M6763">
        <f>HYPERLINK("CSG0.html#group3B0", "3B⁰"), =HYPERLINK("CSG0.html#group2A0", "2A⁰"), =HYPERLINK("CSG11.html#group90E11", "90E¹¹"), =HYPERLINK("CSG0.html#group6C0", "6C⁰"), =HYPERLINK("CSG5.html#group30N5", "30N⁵"), =HYPERLINK("CSG0.html#group5B0", "5B⁰"), =HYPERLINK("CSG1.html#group10A1", "10A¹"), =HYPERLINK("CSG1.html#group15G1", "15G¹"), =HYPERLINK("CSG0.html#group5D0", "5D⁰"), =HYPERLINK("CSG3.html#group30G3", "30G³"), =HYPERLINK("CSG1.html#group10D1", "10D¹"), =HYPERLINK("CSG0.html#group1A0", "1A⁰"), =HYPERLINK("CSG0.html#group10B0", "10B⁰"), =HYPERLINK("CSG1.html#group15C1", "15C¹"), =HYPERLINK("CSG3.html#group30F3", "30F³"), =HYPERLINK("CSG1.html#group18D1", "18D¹")</f>
        <v/>
      </c>
      <c r="N6763" t="inlineStr"/>
    </row>
    <row r="6764">
      <c r="A6764" t="inlineStr">
        <is>
          <t>90H²¹</t>
        </is>
      </c>
      <c r="B6764" t="inlineStr"/>
      <c r="C6764" t="inlineStr">
        <is>
          <t>288</t>
        </is>
      </c>
      <c r="D6764" t="inlineStr">
        <is>
          <t>1</t>
        </is>
      </c>
      <c r="E6764" t="inlineStr">
        <is>
          <t>48</t>
        </is>
      </c>
      <c r="F6764" t="inlineStr">
        <is>
          <t>0</t>
        </is>
      </c>
      <c r="G6764" t="inlineStr">
        <is>
          <t>0</t>
        </is>
      </c>
      <c r="H6764" t="inlineStr">
        <is>
          <t>6², 18², 30², 90²</t>
        </is>
      </c>
      <c r="I6764" t="n">
        <v>8</v>
      </c>
      <c r="J6764" t="inlineStr">
        <is>
          <t>2⁸, 8⁴</t>
        </is>
      </c>
      <c r="K6764">
        <f>HYPERLINK("CSG5.html#group30N5", "30N⁵"), =HYPERLINK("CSG11.html#group90F11", "90F¹¹")</f>
        <v/>
      </c>
      <c r="L6764" t="inlineStr"/>
      <c r="M6764">
        <f>HYPERLINK("CSG0.html#group3B0", "3B⁰"), =HYPERLINK("CSG0.html#group2A0", "2A⁰"), =HYPERLINK("CSG0.html#group6C0", "6C⁰"), =HYPERLINK("CSG5.html#group30N5", "30N⁵"), =HYPERLINK("CSG11.html#group90F11", "90F¹¹"), =HYPERLINK("CSG0.html#group5B0", "5B⁰"), =HYPERLINK("CSG1.html#group10A1", "10A¹"), =HYPERLINK("CSG1.html#group15G1", "15G¹"), =HYPERLINK("CSG0.html#group5D0", "5D⁰"), =HYPERLINK("CSG3.html#group30G3", "30G³"), =HYPERLINK("CSG1.html#group10D1", "10D¹"), =HYPERLINK("CSG0.html#group1A0", "1A⁰"), =HYPERLINK("CSG0.html#group10B0", "10B⁰"), =HYPERLINK("CSG1.html#group15C1", "15C¹"), =HYPERLINK("CSG3.html#group30F3", "30F³"), =HYPERLINK("CSG2.html#group18C2", "18C²")</f>
        <v/>
      </c>
      <c r="N6764" t="inlineStr"/>
    </row>
    <row r="6765">
      <c r="A6765" t="inlineStr">
        <is>
          <t>90I²¹</t>
        </is>
      </c>
      <c r="B6765" t="inlineStr"/>
      <c r="C6765" t="inlineStr">
        <is>
          <t>324</t>
        </is>
      </c>
      <c r="D6765" t="inlineStr">
        <is>
          <t>1</t>
        </is>
      </c>
      <c r="E6765" t="inlineStr">
        <is>
          <t>54</t>
        </is>
      </c>
      <c r="F6765" t="inlineStr">
        <is>
          <t>12</t>
        </is>
      </c>
      <c r="G6765" t="inlineStr">
        <is>
          <t>0</t>
        </is>
      </c>
      <c r="H6765" t="inlineStr">
        <is>
          <t>9², 18², 45², 90²</t>
        </is>
      </c>
      <c r="I6765" t="n">
        <v>8</v>
      </c>
      <c r="J6765" t="inlineStr">
        <is>
          <t>1⁶, 2⁶, 4³, 8³</t>
        </is>
      </c>
      <c r="K6765">
        <f>HYPERLINK("CSG2.html#group18I2", "18I²"), =HYPERLINK("CSG5.html#group30O5", "30O⁵"), =HYPERLINK("CSG5.html#group45F5", "45F⁵"), =HYPERLINK("CSG10.html#group90E10", "90E¹⁰")</f>
        <v/>
      </c>
      <c r="L6765" t="inlineStr"/>
      <c r="M6765">
        <f>HYPERLINK("CSG2.html#group45A2", "45A²"), =HYPERLINK("CSG5.html#group45F5", "45F⁵"), =HYPERLINK("CSG10.html#group90E10", "90E¹⁰"), =HYPERLINK("CSG0.html#group5B0", "5B⁰"), =HYPERLINK("CSG0.html#group6G0", "6G⁰"), =HYPERLINK("CSG0.html#group2B0", "2B⁰"), =HYPERLINK("CSG5.html#group30O5", "30O⁵"), =HYPERLINK("CSG0.html#group1A0", "1A⁰"), =HYPERLINK("CSG0.html#group15B0", "15B⁰"), =HYPERLINK("CSG0.html#group9D0", "9D⁰"), =HYPERLINK("CSG2.html#group30E2", "30E²"), =HYPERLINK("CSG0.html#group9A0", "9A⁰"), =HYPERLINK("CSG0.html#group10C0", "10C⁰"), =HYPERLINK("CSG0.html#group3C0", "3C⁰"), =HYPERLINK("CSG1.html#group18E1", "18E¹"), =HYPERLINK("CSG0.html#group3A0", "3A⁰"), =HYPERLINK("CSG2.html#group18I2", "18I²"), =HYPERLINK("CSG0.html#group6D0", "6D⁰"), =HYPERLINK("CSG1.html#group15E1", "15E¹")</f>
        <v/>
      </c>
      <c r="N6765" t="inlineStr"/>
    </row>
    <row r="6766">
      <c r="A6766" t="inlineStr">
        <is>
          <t>90J²¹</t>
        </is>
      </c>
      <c r="B6766" t="inlineStr"/>
      <c r="C6766" t="inlineStr">
        <is>
          <t>324</t>
        </is>
      </c>
      <c r="D6766" t="inlineStr">
        <is>
          <t>2</t>
        </is>
      </c>
      <c r="E6766" t="inlineStr">
        <is>
          <t>162</t>
        </is>
      </c>
      <c r="F6766" t="inlineStr">
        <is>
          <t>16</t>
        </is>
      </c>
      <c r="G6766" t="inlineStr">
        <is>
          <t>0</t>
        </is>
      </c>
      <c r="H6766" t="inlineStr">
        <is>
          <t>18³, 90³</t>
        </is>
      </c>
      <c r="I6766" t="n">
        <v>6</v>
      </c>
      <c r="J6766" t="inlineStr">
        <is>
          <t>6¹⁸, 24⁹</t>
        </is>
      </c>
      <c r="K6766">
        <f>HYPERLINK("CSG2.html#group18K2", "18K²"), =HYPERLINK("CSG5.html#group90A5", "90A⁵"), =HYPERLINK("CSG7.html#group90C7", "90C⁷"), =HYPERLINK("CSG8.html#group45D8", "45D⁸")</f>
        <v/>
      </c>
      <c r="L6766" t="inlineStr"/>
      <c r="M6766">
        <f>HYPERLINK("CSG2.html#group45A2", "45A²"), =HYPERLINK("CSG0.html#group15B0", "15B⁰"), =HYPERLINK("CSG0.html#group6B0", "6B⁰"), =HYPERLINK("CSG7.html#group90C7", "90C⁷"), =HYPERLINK("CSG8.html#group45D8", "45D⁸"), =HYPERLINK("CSG2.html#group18K2", "18K²"), =HYPERLINK("CSG0.html#group9A0", "9A⁰"), =HYPERLINK("CSG0.html#group5B0", "5B⁰"), =HYPERLINK("CSG0.html#group9G0", "9G⁰"), =HYPERLINK("CSG5.html#group90A5", "90A⁵"), =HYPERLINK("CSG0.html#group3A0", "3A⁰"), =HYPERLINK("CSG0.html#group1A0", "1A⁰"), =HYPERLINK("CSG0.html#group18A0", "18A⁰"), =HYPERLINK("CSG1.html#group18A1", "18A¹"), =HYPERLINK("CSG1.html#group30C1", "30C¹")</f>
        <v/>
      </c>
      <c r="N6766" t="inlineStr"/>
    </row>
    <row r="6767">
      <c r="A6767" t="inlineStr">
        <is>
          <t>90K²¹</t>
        </is>
      </c>
      <c r="B6767" t="inlineStr"/>
      <c r="C6767" t="inlineStr">
        <is>
          <t>324</t>
        </is>
      </c>
      <c r="D6767" t="inlineStr">
        <is>
          <t>2</t>
        </is>
      </c>
      <c r="E6767" t="inlineStr">
        <is>
          <t>162</t>
        </is>
      </c>
      <c r="F6767" t="inlineStr">
        <is>
          <t>16</t>
        </is>
      </c>
      <c r="G6767" t="inlineStr">
        <is>
          <t>0</t>
        </is>
      </c>
      <c r="H6767" t="inlineStr">
        <is>
          <t>18³, 90³</t>
        </is>
      </c>
      <c r="I6767" t="n">
        <v>6</v>
      </c>
      <c r="J6767" t="inlineStr">
        <is>
          <t>2¹⁸, 6¹², 8⁹, 24⁶</t>
        </is>
      </c>
      <c r="K6767">
        <f>HYPERLINK("CSG2.html#group18L2", "18L²"), =HYPERLINK("CSG5.html#group30P5", "30P⁵"), =HYPERLINK("CSG5.html#group90A5", "90A⁵"), =HYPERLINK("CSG10.html#group90E10", "90E¹⁰")</f>
        <v/>
      </c>
      <c r="L6767" t="inlineStr"/>
      <c r="M6767">
        <f>HYPERLINK("CSG2.html#group45A2", "45A²"), =HYPERLINK("CSG0.html#group6B0", "6B⁰"), =HYPERLINK("CSG0.html#group6H0", "6H⁰"), =HYPERLINK("CSG10.html#group90E10", "90E¹⁰"), =HYPERLINK("CSG0.html#group5B0", "5B⁰"), =HYPERLINK("CSG5.html#group90A5", "90A⁵"), =HYPERLINK("CSG0.html#group2B0", "2B⁰"), =HYPERLINK("CSG0.html#group1A0", "1A⁰"), =HYPERLINK("CSG5.html#group30P5", "30P⁵"), =HYPERLINK("CSG0.html#group18A0", "18A⁰"), =HYPERLINK("CSG2.html#group18L2", "18L²"), =HYPERLINK("CSG0.html#group15B0", "15B⁰"), =HYPERLINK("CSG2.html#group30E2", "30E²"), =HYPERLINK("CSG0.html#group9A0", "9A⁰"), =HYPERLINK("CSG0.html#group10C0", "10C⁰"), =HYPERLINK("CSG1.html#group18E1", "18E¹"), =HYPERLINK("CSG0.html#group3A0", "3A⁰"), =HYPERLINK("CSG0.html#group6D0", "6D⁰"), =HYPERLINK("CSG1.html#group30C1", "30C¹")</f>
        <v/>
      </c>
      <c r="N6767" t="inlineStr"/>
    </row>
    <row r="6768">
      <c r="A6768" t="inlineStr">
        <is>
          <t>90L²¹</t>
        </is>
      </c>
      <c r="B6768" t="inlineStr"/>
      <c r="C6768" t="inlineStr">
        <is>
          <t>324</t>
        </is>
      </c>
      <c r="D6768" t="inlineStr">
        <is>
          <t>2</t>
        </is>
      </c>
      <c r="E6768" t="inlineStr">
        <is>
          <t>324</t>
        </is>
      </c>
      <c r="F6768" t="inlineStr">
        <is>
          <t>16</t>
        </is>
      </c>
      <c r="G6768" t="inlineStr">
        <is>
          <t>0</t>
        </is>
      </c>
      <c r="H6768" t="inlineStr">
        <is>
          <t>18³, 90³</t>
        </is>
      </c>
      <c r="I6768" t="n">
        <v>6</v>
      </c>
      <c r="J6768" t="inlineStr">
        <is>
          <t>6³⁶, 24¹⁸</t>
        </is>
      </c>
      <c r="K6768">
        <f>HYPERLINK("CSG2.html#group18M2", "18M²"), =HYPERLINK("CSG5.html#group90A5", "90A⁵"), =HYPERLINK("CSG7.html#group90D7", "90D⁷")</f>
        <v/>
      </c>
      <c r="L6768" t="inlineStr"/>
      <c r="M6768">
        <f>HYPERLINK("CSG2.html#group45A2", "45A²"), =HYPERLINK("CSG7.html#group90D7", "90D⁷"), =HYPERLINK("CSG0.html#group6B0", "6B⁰"), =HYPERLINK("CSG0.html#group3A0", "3A⁰"), =HYPERLINK("CSG0.html#group15B0", "15B⁰"), =HYPERLINK("CSG0.html#group9A0", "9A⁰"), =HYPERLINK("CSG0.html#group5B0", "5B⁰"), =HYPERLINK("CSG1.html#group18B1", "18B¹"), =HYPERLINK("CSG5.html#group90A5", "90A⁵"), =HYPERLINK("CSG2.html#group18M2", "18M²"), =HYPERLINK("CSG0.html#group1A0", "1A⁰"), =HYPERLINK("CSG0.html#group18A0", "18A⁰"), =HYPERLINK("CSG1.html#group30C1", "30C¹")</f>
        <v/>
      </c>
      <c r="N6768" t="inlineStr"/>
    </row>
    <row r="6769">
      <c r="A6769" t="inlineStr">
        <is>
          <t>90M²¹</t>
        </is>
      </c>
      <c r="B6769" t="inlineStr"/>
      <c r="C6769" t="inlineStr">
        <is>
          <t>360</t>
        </is>
      </c>
      <c r="D6769" t="inlineStr">
        <is>
          <t>2</t>
        </is>
      </c>
      <c r="E6769" t="inlineStr">
        <is>
          <t>90</t>
        </is>
      </c>
      <c r="F6769" t="inlineStr">
        <is>
          <t>32</t>
        </is>
      </c>
      <c r="G6769" t="inlineStr">
        <is>
          <t>0</t>
        </is>
      </c>
      <c r="H6769" t="inlineStr">
        <is>
          <t>90⁴</t>
        </is>
      </c>
      <c r="I6769" t="n">
        <v>4</v>
      </c>
      <c r="J6769" t="inlineStr">
        <is>
          <t>4³, 8⁶, 12², 24⁴</t>
        </is>
      </c>
      <c r="K6769">
        <f>HYPERLINK("CSG5.html#group30Q5", "30Q⁵"), =HYPERLINK("CSG10.html#group45D10", "45D¹⁰"), =HYPERLINK("CSG10.html#group90F10", "90F¹⁰"), =HYPERLINK("CSG11.html#group90G11", "90G¹¹")</f>
        <v/>
      </c>
      <c r="L6769" t="inlineStr"/>
      <c r="M6769">
        <f>HYPERLINK("CSG0.html#group6B0", "6B⁰"), =HYPERLINK("CSG5.html#group45E5", "45E⁵"), =HYPERLINK("CSG0.html#group10D0", "10D⁰"), =HYPERLINK("CSG2.html#group15D2", "15D²"), =HYPERLINK("CSG3.html#group30H3", "30H³"), =HYPERLINK("CSG0.html#group1A0", "1A⁰"), =HYPERLINK("CSG0.html#group18A0", "18A⁰"), =HYPERLINK("CSG2.html#group30F2", "30F²"), =HYPERLINK("CSG10.html#group45D10", "45D¹⁰"), =HYPERLINK("CSG5.html#group30Q5", "30Q⁵"), =HYPERLINK("CSG1.html#group15D1", "15D¹"), =HYPERLINK("CSG11.html#group90G11", "90G¹¹"), =HYPERLINK("CSG0.html#group9A0", "9A⁰"), =HYPERLINK("CSG10.html#group90F10", "90F¹⁰"), =HYPERLINK("CSG0.html#group3A0", "3A⁰"), =HYPERLINK("CSG0.html#group5C0", "5C⁰")</f>
        <v/>
      </c>
      <c r="N6769" t="inlineStr"/>
    </row>
    <row r="6770">
      <c r="A6770" t="inlineStr">
        <is>
          <t>90N²¹</t>
        </is>
      </c>
      <c r="B6770" t="inlineStr"/>
      <c r="C6770" t="inlineStr">
        <is>
          <t>432</t>
        </is>
      </c>
      <c r="D6770" t="inlineStr">
        <is>
          <t>1</t>
        </is>
      </c>
      <c r="E6770" t="inlineStr">
        <is>
          <t>18</t>
        </is>
      </c>
      <c r="F6770" t="inlineStr">
        <is>
          <t>48</t>
        </is>
      </c>
      <c r="G6770" t="inlineStr">
        <is>
          <t>0</t>
        </is>
      </c>
      <c r="H6770" t="inlineStr">
        <is>
          <t>18⁴, 90⁴</t>
        </is>
      </c>
      <c r="I6770" t="n">
        <v>8</v>
      </c>
      <c r="J6770" t="inlineStr">
        <is>
          <t>1², 2², 4¹, 8¹</t>
        </is>
      </c>
      <c r="K6770">
        <f>HYPERLINK("CSG5.html#group30R5", "30R⁵"), =HYPERLINK("CSG9.html#group45E9", "45E⁹"), =HYPERLINK("CSG9.html#group90G9", "90G⁹"), =HYPERLINK("CSG11.html#group90H11", "90H¹¹"), =HYPERLINK("CSG11.html#group90I11", "90I¹¹"), =HYPERLINK("CSG11.html#group90K11", "90K¹¹")</f>
        <v/>
      </c>
      <c r="L6770" t="inlineStr"/>
      <c r="M6770">
        <f>HYPERLINK("CSG0.html#group30A0", "30A⁰"), =HYPERLINK("CSG2.html#group45A2", "45A²"), =HYPERLINK("CSG6.html#group90B6", "90B⁶"), =HYPERLINK("CSG5.html#group45F5", "45F⁵"), =HYPERLINK("CSG3.html#group30J3", "30J³"), =HYPERLINK("CSG0.html#group5B0", "5B⁰"), =HYPERLINK("CSG1.html#group15H1", "15H¹"), =HYPERLINK("CSG0.html#group1A0", "1A⁰"), =HYPERLINK("CSG0.html#group18A0", "18A⁰"), =HYPERLINK("CSG1.html#group30D1", "30D¹"), =HYPERLINK("CSG11.html#group90H11", "90H¹¹"), =HYPERLINK("CSG0.html#group3C0", "3C⁰"), =HYPERLINK("CSG0.html#group3A0", "3A⁰"), =HYPERLINK("CSG0.html#group15C0", "15C⁰"), =HYPERLINK("CSG3.html#group30L3", "30L³"), =HYPERLINK("CSG0.html#group6B0", "6B⁰"), =HYPERLINK("CSG3.html#group30I3", "30I³"), =HYPERLINK("CSG4.html#group90A4", "90A⁴"), =HYPERLINK("CSG5.html#group90A5", "90A⁵"), =HYPERLINK("CSG11.html#group90K11", "90K¹¹"), =HYPERLINK("CSG0.html#group10B0", "10B⁰"), =HYPERLINK("CSG0.html#group15B0", "15B⁰"), =HYPERLINK("CSG5.html#group30R5", "30R⁵"), =HYPERLINK("CSG0.html#group9D0", "9D⁰"), =HYPERLINK("CSG0.html#group18D0", "18D⁰"), =HYPERLINK("CSG9.html#group90G9", "90G⁹"), =HYPERLINK("CSG0.html#group6E0", "6E⁰"), =HYPERLINK("CSG1.html#group15E1", "15E¹"), =HYPERLINK("CSG0.html#group9A0", "9A⁰"), =HYPERLINK("CSG11.html#group90I11", "90I¹¹"), =HYPERLINK("CSG4.html#group45C4", "45C⁴"), =HYPERLINK("CSG9.html#group45E9", "45E⁹"), =HYPERLINK("CSG1.html#group30C1", "30C¹"), =HYPERLINK("CSG2.html#group30C2", "30C²")</f>
        <v/>
      </c>
      <c r="N6770" t="inlineStr"/>
    </row>
    <row r="6771">
      <c r="A6771" t="inlineStr">
        <is>
          <t>90O²¹</t>
        </is>
      </c>
      <c r="B6771" t="inlineStr"/>
      <c r="C6771" t="inlineStr">
        <is>
          <t>432</t>
        </is>
      </c>
      <c r="D6771" t="inlineStr">
        <is>
          <t>1</t>
        </is>
      </c>
      <c r="E6771" t="inlineStr">
        <is>
          <t>72</t>
        </is>
      </c>
      <c r="F6771" t="inlineStr">
        <is>
          <t>0</t>
        </is>
      </c>
      <c r="G6771" t="inlineStr">
        <is>
          <t>0</t>
        </is>
      </c>
      <c r="H6771" t="inlineStr">
        <is>
          <t>1⁶, 2⁶, 5⁶, 9², 10⁶, 18², 45², 90²</t>
        </is>
      </c>
      <c r="I6771" t="n">
        <v>32</v>
      </c>
      <c r="J6771" t="inlineStr">
        <is>
          <t>1¹², 2⁶, 4⁶, 8³</t>
        </is>
      </c>
      <c r="K6771">
        <f>HYPERLINK("CSG5.html#group30S5", "30S⁵"), =HYPERLINK("CSG5.html#group45H5", "45H⁵"), =HYPERLINK("CSG11.html#group90J11", "90J¹¹")</f>
        <v/>
      </c>
      <c r="L6771" t="inlineStr"/>
      <c r="M6771">
        <f>HYPERLINK("CSG0.html#group3B0", "3B⁰"), =HYPERLINK("CSG0.html#group5B0", "5B⁰"), =HYPERLINK("CSG0.html#group9B0", "9B⁰"), =HYPERLINK("CSG1.html#group15G1", "15G¹"), =HYPERLINK("CSG3.html#group45D3", "45D³"), =HYPERLINK("CSG0.html#group5D0", "5D⁰"), =HYPERLINK("CSG0.html#group2B0", "2B⁰"), =HYPERLINK("CSG0.html#group1A0", "1A⁰"), =HYPERLINK("CSG0.html#group10F0", "10F⁰"), =HYPERLINK("CSG11.html#group90J11", "90J¹¹"), =HYPERLINK("CSG1.html#group15C1", "15C¹"), =HYPERLINK("CSG0.html#group18E0", "18E⁰"), =HYPERLINK("CSG0.html#group10C0", "10C⁰"), =HYPERLINK("CSG5.html#group45H5", "45H⁵"), =HYPERLINK("CSG5.html#group30S5", "30S⁵"), =HYPERLINK("CSG3.html#group30K3", "30K³"), =HYPERLINK("CSG0.html#group6F0", "6F⁰")</f>
        <v/>
      </c>
      <c r="N6771" t="inlineStr"/>
    </row>
    <row r="6772">
      <c r="A6772" t="inlineStr">
        <is>
          <t>91A²¹</t>
        </is>
      </c>
      <c r="B6772" t="inlineStr"/>
      <c r="C6772" t="inlineStr">
        <is>
          <t>336</t>
        </is>
      </c>
      <c r="D6772" t="inlineStr">
        <is>
          <t>1</t>
        </is>
      </c>
      <c r="E6772" t="inlineStr">
        <is>
          <t>112</t>
        </is>
      </c>
      <c r="F6772" t="inlineStr">
        <is>
          <t>0</t>
        </is>
      </c>
      <c r="G6772" t="inlineStr">
        <is>
          <t>6</t>
        </is>
      </c>
      <c r="H6772" t="inlineStr">
        <is>
          <t>1³, 7³, 13³, 91³</t>
        </is>
      </c>
      <c r="I6772" t="n">
        <v>12</v>
      </c>
      <c r="J6772" t="inlineStr">
        <is>
          <t>1⁴, 6², 12², 72¹</t>
        </is>
      </c>
      <c r="K6772">
        <f>HYPERLINK("CSG7.html#group91A7", "91A⁷")</f>
        <v/>
      </c>
      <c r="L6772" t="inlineStr"/>
      <c r="M6772">
        <f>HYPERLINK("CSG0.html#group13A0", "13A⁰"), =HYPERLINK("CSG0.html#group1A0", "1A⁰"), =HYPERLINK("CSG0.html#group7B0", "7B⁰"), =HYPERLINK("CSG7.html#group91A7", "91A⁷")</f>
        <v/>
      </c>
      <c r="N6772" t="inlineStr"/>
    </row>
    <row r="6773">
      <c r="A6773" t="inlineStr">
        <is>
          <t>91B²¹</t>
        </is>
      </c>
      <c r="B6773" t="inlineStr"/>
      <c r="C6773" t="inlineStr">
        <is>
          <t>336</t>
        </is>
      </c>
      <c r="D6773" t="inlineStr">
        <is>
          <t>1</t>
        </is>
      </c>
      <c r="E6773" t="inlineStr">
        <is>
          <t>112</t>
        </is>
      </c>
      <c r="F6773" t="inlineStr">
        <is>
          <t>0</t>
        </is>
      </c>
      <c r="G6773" t="inlineStr">
        <is>
          <t>6</t>
        </is>
      </c>
      <c r="H6773" t="inlineStr">
        <is>
          <t>1³, 7³, 13³, 91³</t>
        </is>
      </c>
      <c r="I6773" t="n">
        <v>12</v>
      </c>
      <c r="J6773" t="inlineStr">
        <is>
          <t>1⁴, 6², 12², 72¹</t>
        </is>
      </c>
      <c r="K6773">
        <f>HYPERLINK("CSG7.html#group91A7", "91A⁷")</f>
        <v/>
      </c>
      <c r="L6773" t="inlineStr"/>
      <c r="M6773">
        <f>HYPERLINK("CSG0.html#group13A0", "13A⁰"), =HYPERLINK("CSG0.html#group1A0", "1A⁰"), =HYPERLINK("CSG0.html#group7B0", "7B⁰"), =HYPERLINK("CSG7.html#group91A7", "91A⁷")</f>
        <v/>
      </c>
      <c r="N6773" t="inlineStr"/>
    </row>
    <row r="6774">
      <c r="A6774" t="inlineStr">
        <is>
          <t>92A²¹</t>
        </is>
      </c>
      <c r="B6774" t="inlineStr"/>
      <c r="C6774" t="inlineStr">
        <is>
          <t>288</t>
        </is>
      </c>
      <c r="D6774" t="inlineStr">
        <is>
          <t>1</t>
        </is>
      </c>
      <c r="E6774" t="inlineStr">
        <is>
          <t>72</t>
        </is>
      </c>
      <c r="F6774" t="inlineStr">
        <is>
          <t>0</t>
        </is>
      </c>
      <c r="G6774" t="inlineStr">
        <is>
          <t>0</t>
        </is>
      </c>
      <c r="H6774" t="inlineStr">
        <is>
          <t>2², 4², 46², 92²</t>
        </is>
      </c>
      <c r="I6774" t="n">
        <v>8</v>
      </c>
      <c r="J6774" t="inlineStr">
        <is>
          <t>1⁶, 22³</t>
        </is>
      </c>
      <c r="K6774">
        <f>HYPERLINK("CSG0.html#group4E0", "4E⁰"), =HYPERLINK("CSG10.html#group46A10", "46A¹⁰"), =HYPERLINK("CSG10.html#group92A10", "92A¹⁰"), =HYPERLINK("CSG11.html#group92A11", "92A¹¹")</f>
        <v/>
      </c>
      <c r="L6774" t="inlineStr"/>
      <c r="M6774">
        <f>HYPERLINK("CSG10.html#group92A10", "92A¹⁰"), =HYPERLINK("CSG0.html#group2A0", "2A⁰"), =HYPERLINK("CSG11.html#group92A11", "92A¹¹"), =HYPERLINK("CSG5.html#group46A5", "46A⁵"), =HYPERLINK("CSG0.html#group4C0", "4C⁰"), =HYPERLINK("CSG0.html#group2B0", "2B⁰"), =HYPERLINK("CSG0.html#group4E0", "4E⁰"), =HYPERLINK("CSG10.html#group46A10", "46A¹⁰"), =HYPERLINK("CSG2.html#group23A2", "23A²"), =HYPERLINK("CSG0.html#group4B0", "4B⁰"), =HYPERLINK("CSG0.html#group1A0", "1A⁰"), =HYPERLINK("CSG0.html#group2C0", "2C⁰"), =HYPERLINK("CSG4.html#group46A4", "46A⁴")</f>
        <v/>
      </c>
      <c r="N6774" t="inlineStr"/>
    </row>
    <row r="6775">
      <c r="A6775" t="inlineStr">
        <is>
          <t>96A²¹</t>
        </is>
      </c>
      <c r="B6775" t="inlineStr"/>
      <c r="C6775" t="inlineStr">
        <is>
          <t>288</t>
        </is>
      </c>
      <c r="D6775" t="inlineStr">
        <is>
          <t>1</t>
        </is>
      </c>
      <c r="E6775" t="inlineStr">
        <is>
          <t>6</t>
        </is>
      </c>
      <c r="F6775" t="inlineStr">
        <is>
          <t>0</t>
        </is>
      </c>
      <c r="G6775" t="inlineStr">
        <is>
          <t>0</t>
        </is>
      </c>
      <c r="H6775" t="inlineStr">
        <is>
          <t>12⁴, 24², 96²</t>
        </is>
      </c>
      <c r="I6775" t="n">
        <v>8</v>
      </c>
      <c r="J6775" t="inlineStr">
        <is>
          <t>1⁴, 2¹</t>
        </is>
      </c>
      <c r="K6775">
        <f>HYPERLINK("CSG5.html#group32A5", "32A⁵"), =HYPERLINK("CSG9.html#group48A9", "48A⁹"), =HYPERLINK("CSG11.html#group96C11", "96C¹¹")</f>
        <v/>
      </c>
      <c r="L6775" t="inlineStr"/>
      <c r="M6775">
        <f>HYPERLINK("CSG0.html#group2A0", "2A⁰"), =HYPERLINK("CSG0.html#group12C0", "12C⁰"), =HYPERLINK("CSG0.html#group4C0", "4C⁰"), =HYPERLINK("CSG1.html#group6C1", "6C¹"), =HYPERLINK("CSG2.html#group12B2", "12B²"), =HYPERLINK("CSG1.html#group16A1", "16A¹"), =HYPERLINK("CSG0.html#group8C0", "8C⁰"), =HYPERLINK("CSG0.html#group2B0", "2B⁰"), =HYPERLINK("CSG0.html#group4E0", "4E⁰"), =HYPERLINK("CSG0.html#group4B0", "4B⁰"), =HYPERLINK("CSG0.html#group1A0", "1A⁰"), =HYPERLINK("CSG3.html#group32C3", "32C³"), =HYPERLINK("CSG2.html#group24B2", "24B²"), =HYPERLINK("CSG0.html#group8G0", "8G⁰"), =HYPERLINK("CSG0.html#group16C0", "16C⁰"), =HYPERLINK("CSG5.html#group32A5", "32A⁵"), =HYPERLINK("CSG1.html#group12B1", "12B¹"), =HYPERLINK("CSG1.html#group6A1", "6A¹"), =HYPERLINK("CSG0.html#group3A0", "3A⁰"), =HYPERLINK("CSG5.html#group48A5", "48A⁵"), =HYPERLINK("CSG11.html#group96C11", "96C¹¹"), =HYPERLINK("CSG0.html#group8D0", "8D⁰"), =HYPERLINK("CSG1.html#group16E1", "16E¹"), =HYPERLINK("CSG4.html#group24D4", "24D⁴"), =HYPERLINK("CSG4.html#group48B4", "48B⁴"), =HYPERLINK("CSG9.html#group48A9", "48A⁹"), =HYPERLINK("CSG0.html#group6A0", "6A⁰"), =HYPERLINK("CSG1.html#group24C1", "24C¹"), =HYPERLINK("CSG0.html#group2C0", "2C⁰"), =HYPERLINK("CSG0.html#group6D0", "6D⁰")</f>
        <v/>
      </c>
      <c r="N6775" t="inlineStr"/>
    </row>
    <row r="6776">
      <c r="A6776" t="inlineStr">
        <is>
          <t>96B²¹</t>
        </is>
      </c>
      <c r="B6776" t="inlineStr"/>
      <c r="C6776" t="inlineStr">
        <is>
          <t>288</t>
        </is>
      </c>
      <c r="D6776" t="inlineStr">
        <is>
          <t>1</t>
        </is>
      </c>
      <c r="E6776" t="inlineStr">
        <is>
          <t>6</t>
        </is>
      </c>
      <c r="F6776" t="inlineStr">
        <is>
          <t>0</t>
        </is>
      </c>
      <c r="G6776" t="inlineStr">
        <is>
          <t>0</t>
        </is>
      </c>
      <c r="H6776" t="inlineStr">
        <is>
          <t>12⁴, 24², 96²</t>
        </is>
      </c>
      <c r="I6776" t="n">
        <v>8</v>
      </c>
      <c r="J6776" t="inlineStr">
        <is>
          <t>1⁴, 2¹</t>
        </is>
      </c>
      <c r="K6776">
        <f>HYPERLINK("CSG5.html#group32B5", "32B⁵"), =HYPERLINK("CSG9.html#group48A9", "48A⁹"), =HYPERLINK("CSG11.html#group96A11", "96A¹¹"), =HYPERLINK("CSG11.html#group96B11", "96B¹¹")</f>
        <v/>
      </c>
      <c r="L6776" t="inlineStr"/>
      <c r="M6776">
        <f>HYPERLINK("CSG0.html#group2A0", "2A⁰"), =HYPERLINK("CSG0.html#group12C0", "12C⁰"), =HYPERLINK("CSG0.html#group4C0", "4C⁰"), =HYPERLINK("CSG1.html#group6C1", "6C¹"), =HYPERLINK("CSG2.html#group12B2", "12B²"), =HYPERLINK("CSG1.html#group16A1", "16A¹"), =HYPERLINK("CSG0.html#group8C0", "8C⁰"), =HYPERLINK("CSG0.html#group4E0", "4E⁰"), =HYPERLINK("CSG0.html#group2B0", "2B⁰"), =HYPERLINK("CSG0.html#group4B0", "4B⁰"), =HYPERLINK("CSG0.html#group1A0", "1A⁰"), =HYPERLINK("CSG2.html#group24B2", "24B²"), =HYPERLINK("CSG5.html#group32B5", "32B⁵"), =HYPERLINK("CSG0.html#group8G0", "8G⁰"), =HYPERLINK("CSG0.html#group16C0", "16C⁰"), =HYPERLINK("CSG11.html#group96B11", "96B¹¹"), =HYPERLINK("CSG1.html#group12B1", "12B¹"), =HYPERLINK("CSG1.html#group6A1", "6A¹"), =HYPERLINK("CSG0.html#group3A0", "3A⁰"), =HYPERLINK("CSG3.html#group32B3", "32B³"), =HYPERLINK("CSG5.html#group48A5", "48A⁵"), =HYPERLINK("CSG11.html#group96A11", "96A¹¹"), =HYPERLINK("CSG0.html#group8D0", "8D⁰"), =HYPERLINK("CSG1.html#group16E1", "16E¹"), =HYPERLINK("CSG3.html#group32A3", "32A³"), =HYPERLINK("CSG4.html#group24D4", "24D⁴"), =HYPERLINK("CSG4.html#group48B4", "48B⁴"), =HYPERLINK("CSG9.html#group48A9", "48A⁹"), =HYPERLINK("CSG0.html#group6A0", "6A⁰"), =HYPERLINK("CSG1.html#group24C1", "24C¹"), =HYPERLINK("CSG0.html#group2C0", "2C⁰"), =HYPERLINK("CSG0.html#group6D0", "6D⁰")</f>
        <v/>
      </c>
      <c r="N6776" t="inlineStr"/>
    </row>
    <row r="6777">
      <c r="A6777" t="inlineStr">
        <is>
          <t>96C²¹</t>
        </is>
      </c>
      <c r="B6777" t="inlineStr"/>
      <c r="C6777" t="inlineStr">
        <is>
          <t>288</t>
        </is>
      </c>
      <c r="D6777" t="inlineStr">
        <is>
          <t>1</t>
        </is>
      </c>
      <c r="E6777" t="inlineStr">
        <is>
          <t>12</t>
        </is>
      </c>
      <c r="F6777" t="inlineStr">
        <is>
          <t>0</t>
        </is>
      </c>
      <c r="G6777" t="inlineStr">
        <is>
          <t>0</t>
        </is>
      </c>
      <c r="H6777" t="inlineStr">
        <is>
          <t>12⁴, 24², 96²</t>
        </is>
      </c>
      <c r="I6777" t="n">
        <v>8</v>
      </c>
      <c r="J6777" t="inlineStr">
        <is>
          <t>1⁴, 2², 4¹</t>
        </is>
      </c>
      <c r="K6777">
        <f>HYPERLINK("CSG5.html#group32C5", "32C⁵"), =HYPERLINK("CSG9.html#group48B9", "48B⁹"), =HYPERLINK("CSG11.html#group96A11", "96A¹¹"), =HYPERLINK("CSG11.html#group96C11", "96C¹¹")</f>
        <v/>
      </c>
      <c r="L6777" t="inlineStr"/>
      <c r="M6777">
        <f>HYPERLINK("CSG5.html#group48A5", "48A⁵"), =HYPERLINK("CSG11.html#group96C11", "96C¹¹"), =HYPERLINK("CSG4.html#group24F4", "24F⁴"), =HYPERLINK("CSG9.html#group48B9", "48B⁹"), =HYPERLINK("CSG11.html#group96A11", "96A¹¹"), =HYPERLINK("CSG3.html#group32A3", "32A³"), =HYPERLINK("CSG1.html#group16A1", "16A¹"), =HYPERLINK("CSG0.html#group8C0", "8C⁰"), =HYPERLINK("CSG0.html#group2B0", "2B⁰"), =HYPERLINK("CSG0.html#group8I0", "8I⁰"), =HYPERLINK("CSG0.html#group4B0", "4B⁰"), =HYPERLINK("CSG0.html#group1A0", "1A⁰"), =HYPERLINK("CSG3.html#group32C3", "32C³"), =HYPERLINK("CSG2.html#group24B2", "24B²"), =HYPERLINK("CSG5.html#group32C5", "32C⁵"), =HYPERLINK("CSG1.html#group16G1", "16G¹"), =HYPERLINK("CSG0.html#group16D0", "16D⁰"), =HYPERLINK("CSG1.html#group12B1", "12B¹"), =HYPERLINK("CSG0.html#group3A0", "3A⁰"), =HYPERLINK("CSG0.html#group6D0", "6D⁰"), =HYPERLINK("CSG4.html#group48D4", "48D⁴")</f>
        <v/>
      </c>
      <c r="N6777" t="inlineStr"/>
    </row>
    <row r="6778">
      <c r="A6778" t="inlineStr">
        <is>
          <t>96D²¹</t>
        </is>
      </c>
      <c r="B6778" t="inlineStr"/>
      <c r="C6778" t="inlineStr">
        <is>
          <t>288</t>
        </is>
      </c>
      <c r="D6778" t="inlineStr">
        <is>
          <t>1</t>
        </is>
      </c>
      <c r="E6778" t="inlineStr">
        <is>
          <t>12</t>
        </is>
      </c>
      <c r="F6778" t="inlineStr">
        <is>
          <t>0</t>
        </is>
      </c>
      <c r="G6778" t="inlineStr">
        <is>
          <t>0</t>
        </is>
      </c>
      <c r="H6778" t="inlineStr">
        <is>
          <t>12⁴, 24², 96²</t>
        </is>
      </c>
      <c r="I6778" t="n">
        <v>8</v>
      </c>
      <c r="J6778" t="inlineStr">
        <is>
          <t>1⁴, 2², 4¹</t>
        </is>
      </c>
      <c r="K6778">
        <f>HYPERLINK("CSG5.html#group32D5", "32D⁵"), =HYPERLINK("CSG9.html#group48B9", "48B⁹"), =HYPERLINK("CSG11.html#group96B11", "96B¹¹"), =HYPERLINK("CSG11.html#group96C11", "96C¹¹")</f>
        <v/>
      </c>
      <c r="L6778" t="inlineStr"/>
      <c r="M6778">
        <f>HYPERLINK("CSG5.html#group48A5", "48A⁵"), =HYPERLINK("CSG11.html#group96C11", "96C¹¹"), =HYPERLINK("CSG4.html#group24F4", "24F⁴"), =HYPERLINK("CSG9.html#group48B9", "48B⁹"), =HYPERLINK("CSG1.html#group16A1", "16A¹"), =HYPERLINK("CSG0.html#group8C0", "8C⁰"), =HYPERLINK("CSG0.html#group2B0", "2B⁰"), =HYPERLINK("CSG0.html#group8I0", "8I⁰"), =HYPERLINK("CSG0.html#group4B0", "4B⁰"), =HYPERLINK("CSG0.html#group1A0", "1A⁰"), =HYPERLINK("CSG3.html#group32C3", "32C³"), =HYPERLINK("CSG2.html#group24B2", "24B²"), =HYPERLINK("CSG1.html#group16G1", "16G¹"), =HYPERLINK("CSG0.html#group16D0", "16D⁰"), =HYPERLINK("CSG11.html#group96B11", "96B¹¹"), =HYPERLINK("CSG5.html#group32D5", "32D⁵"), =HYPERLINK("CSG1.html#group12B1", "12B¹"), =HYPERLINK("CSG0.html#group3A0", "3A⁰"), =HYPERLINK("CSG0.html#group6D0", "6D⁰"), =HYPERLINK("CSG4.html#group48D4", "48D⁴"), =HYPERLINK("CSG3.html#group32B3", "32B³")</f>
        <v/>
      </c>
      <c r="N6778" t="inlineStr"/>
    </row>
    <row r="6779">
      <c r="A6779" t="inlineStr">
        <is>
          <t>96E²¹</t>
        </is>
      </c>
      <c r="B6779" t="inlineStr"/>
      <c r="C6779" t="inlineStr">
        <is>
          <t>288</t>
        </is>
      </c>
      <c r="D6779" t="inlineStr">
        <is>
          <t>1</t>
        </is>
      </c>
      <c r="E6779" t="inlineStr">
        <is>
          <t>18</t>
        </is>
      </c>
      <c r="F6779" t="inlineStr">
        <is>
          <t>0</t>
        </is>
      </c>
      <c r="G6779" t="inlineStr">
        <is>
          <t>0</t>
        </is>
      </c>
      <c r="H6779" t="inlineStr">
        <is>
          <t>12⁴, 24², 96²</t>
        </is>
      </c>
      <c r="I6779" t="n">
        <v>8</v>
      </c>
      <c r="J6779" t="inlineStr">
        <is>
          <t>1⁴, 2⁵, 4¹</t>
        </is>
      </c>
      <c r="K6779">
        <f>HYPERLINK("CSG9.html#group48A9", "48A⁹"), =HYPERLINK("CSG11.html#group96F11", "96F¹¹")</f>
        <v/>
      </c>
      <c r="L6779" t="inlineStr"/>
      <c r="M6779">
        <f>HYPERLINK("CSG0.html#group2A0", "2A⁰"), =HYPERLINK("CSG0.html#group12C0", "12C⁰"), =HYPERLINK("CSG0.html#group4C0", "4C⁰"), =HYPERLINK("CSG1.html#group6C1", "6C¹"), =HYPERLINK("CSG2.html#group12B2", "12B²"), =HYPERLINK("CSG1.html#group16A1", "16A¹"), =HYPERLINK("CSG0.html#group8C0", "8C⁰"), =HYPERLINK("CSG0.html#group2B0", "2B⁰"), =HYPERLINK("CSG0.html#group4E0", "4E⁰"), =HYPERLINK("CSG0.html#group4B0", "4B⁰"), =HYPERLINK("CSG0.html#group1A0", "1A⁰"), =HYPERLINK("CSG2.html#group24B2", "24B²"), =HYPERLINK("CSG0.html#group8G0", "8G⁰"), =HYPERLINK("CSG0.html#group16C0", "16C⁰"), =HYPERLINK("CSG1.html#group12B1", "12B¹"), =HYPERLINK("CSG1.html#group6A1", "6A¹"), =HYPERLINK("CSG0.html#group3A0", "3A⁰"), =HYPERLINK("CSG5.html#group48A5", "48A⁵"), =HYPERLINK("CSG0.html#group8D0", "8D⁰"), =HYPERLINK("CSG1.html#group16E1", "16E¹"), =HYPERLINK("CSG4.html#group24D4", "24D⁴"), =HYPERLINK("CSG4.html#group48B4", "48B⁴"), =HYPERLINK("CSG9.html#group48A9", "48A⁹"), =HYPERLINK("CSG0.html#group6A0", "6A⁰"), =HYPERLINK("CSG11.html#group96F11", "96F¹¹"), =HYPERLINK("CSG1.html#group24C1", "24C¹"), =HYPERLINK("CSG0.html#group2C0", "2C⁰"), =HYPERLINK("CSG0.html#group6D0", "6D⁰")</f>
        <v/>
      </c>
      <c r="N6779" t="inlineStr"/>
    </row>
    <row r="6780">
      <c r="A6780" t="inlineStr">
        <is>
          <t>96F²¹</t>
        </is>
      </c>
      <c r="B6780" t="inlineStr"/>
      <c r="C6780" t="inlineStr">
        <is>
          <t>288</t>
        </is>
      </c>
      <c r="D6780" t="inlineStr">
        <is>
          <t>1</t>
        </is>
      </c>
      <c r="E6780" t="inlineStr">
        <is>
          <t>18</t>
        </is>
      </c>
      <c r="F6780" t="inlineStr">
        <is>
          <t>0</t>
        </is>
      </c>
      <c r="G6780" t="inlineStr">
        <is>
          <t>0</t>
        </is>
      </c>
      <c r="H6780" t="inlineStr">
        <is>
          <t>12⁴, 24², 96²</t>
        </is>
      </c>
      <c r="I6780" t="n">
        <v>8</v>
      </c>
      <c r="J6780" t="inlineStr">
        <is>
          <t>1⁴, 2⁵, 4¹</t>
        </is>
      </c>
      <c r="K6780">
        <f>HYPERLINK("CSG9.html#group48D9", "48D⁹"), =HYPERLINK("CSG11.html#group96D11", "96D¹¹")</f>
        <v/>
      </c>
      <c r="L6780" t="inlineStr"/>
      <c r="M6780">
        <f>HYPERLINK("CSG5.html#group48A5", "48A⁵"), =HYPERLINK("CSG1.html#group12K1", "12K¹"), =HYPERLINK("CSG0.html#group6G0", "6G⁰"), =HYPERLINK("CSG1.html#group16A1", "16A¹"), =HYPERLINK("CSG0.html#group8C0", "8C⁰"), =HYPERLINK("CSG9.html#group48D9", "48D⁹"), =HYPERLINK("CSG0.html#group2B0", "2B⁰"), =HYPERLINK("CSG0.html#group4B0", "4B⁰"), =HYPERLINK("CSG0.html#group1A0", "1A⁰"), =HYPERLINK("CSG2.html#group24B2", "24B²"), =HYPERLINK("CSG11.html#group96D11", "96D¹¹"),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"6D⁰"), =HYPERLINK("CSG5.html#group48B5", "48B⁵")</f>
        <v/>
      </c>
      <c r="N6780" t="inlineStr"/>
    </row>
    <row r="6781">
      <c r="A6781" t="inlineStr">
        <is>
          <t>96G²¹</t>
        </is>
      </c>
      <c r="B6781" t="inlineStr"/>
      <c r="C6781" t="inlineStr">
        <is>
          <t>288</t>
        </is>
      </c>
      <c r="D6781" t="inlineStr">
        <is>
          <t>1</t>
        </is>
      </c>
      <c r="E6781" t="inlineStr">
        <is>
          <t>18</t>
        </is>
      </c>
      <c r="F6781" t="inlineStr">
        <is>
          <t>0</t>
        </is>
      </c>
      <c r="G6781" t="inlineStr">
        <is>
          <t>0</t>
        </is>
      </c>
      <c r="H6781" t="inlineStr">
        <is>
          <t>12⁴, 24², 96²</t>
        </is>
      </c>
      <c r="I6781" t="n">
        <v>8</v>
      </c>
      <c r="J6781" t="inlineStr">
        <is>
          <t>1⁴, 2⁵, 4¹</t>
        </is>
      </c>
      <c r="K6781">
        <f>HYPERLINK("CSG9.html#group48D9", "48D⁹"), =HYPERLINK("CSG11.html#group96E11", "96E¹¹")</f>
        <v/>
      </c>
      <c r="L6781" t="inlineStr"/>
      <c r="M6781">
        <f>HYPERLINK("CSG5.html#group48A5", "48A⁵"), =HYPERLINK("CSG1.html#group12K1", "12K¹"), =HYPERLINK("CSG0.html#group6G0", "6G⁰"), =HYPERLINK("CSG11.html#group96E11", "96E¹¹"), =HYPERLINK("CSG1.html#group16A1", "16A¹"), =HYPERLINK("CSG0.html#group8C0", "8C⁰"), =HYPERLINK("CSG9.html#group48D9", "48D⁹"), =HYPERLINK("CSG0.html#group2B0", "2B⁰"), =HYPERLINK("CSG0.html#group4B0", "4B⁰"), =HYPERLINK("CSG0.html#group1A0", "1A⁰"), =HYPERLINK("CSG2.html#group24B2", "24B²"),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"6D⁰"), =HYPERLINK("CSG5.html#group48B5", "48B⁵")</f>
        <v/>
      </c>
      <c r="N6781" t="inlineStr"/>
    </row>
    <row r="6782">
      <c r="A6782" t="inlineStr">
        <is>
          <t>96H²¹</t>
        </is>
      </c>
      <c r="B6782" t="inlineStr"/>
      <c r="C6782" t="inlineStr">
        <is>
          <t>288</t>
        </is>
      </c>
      <c r="D6782" t="inlineStr">
        <is>
          <t>1</t>
        </is>
      </c>
      <c r="E6782" t="inlineStr">
        <is>
          <t>18</t>
        </is>
      </c>
      <c r="F6782" t="inlineStr">
        <is>
          <t>0</t>
        </is>
      </c>
      <c r="G6782" t="inlineStr">
        <is>
          <t>0</t>
        </is>
      </c>
      <c r="H6782" t="inlineStr">
        <is>
          <t>12⁴, 24², 96²</t>
        </is>
      </c>
      <c r="I6782" t="n">
        <v>8</v>
      </c>
      <c r="J6782" t="inlineStr">
        <is>
          <t>1⁴, 2⁵, 4¹</t>
        </is>
      </c>
      <c r="K6782">
        <f>HYPERLINK("CSG9.html#group48A9", "48A⁹"), =HYPERLINK("CSG11.html#group96D11", "96D¹¹"), =HYPERLINK("CSG11.html#group96E11", "96E¹¹")</f>
        <v/>
      </c>
      <c r="L6782" t="inlineStr"/>
      <c r="M6782">
        <f>HYPERLINK("CSG0.html#group2A0", "2A⁰"), =HYPERLINK("CSG0.html#group12C0", "12C⁰"), =HYPERLINK("CSG0.html#group4C0", "4C⁰"), =HYPERLINK("CSG1.html#group6C1", "6C¹"), =HYPERLINK("CSG2.html#group12B2", "12B²"), =HYPERLINK("CSG11.html#group96E11", "96E¹¹"), =HYPERLINK("CSG1.html#group16A1", "16A¹"), =HYPERLINK("CSG0.html#group8C0", "8C⁰"), =HYPERLINK("CSG0.html#group2B0", "2B⁰"), =HYPERLINK("CSG0.html#group4E0", "4E⁰"), =HYPERLINK("CSG0.html#group4B0", "4B⁰"), =HYPERLINK("CSG0.html#group1A0", "1A⁰"), =HYPERLINK("CSG2.html#group24B2", "24B²"), =HYPERLINK("CSG0.html#group8G0", "8G⁰"), =HYPERLINK("CSG0.html#group16C0", "16C⁰"), =HYPERLINK("CSG1.html#group12B1", "12B¹"), =HYPERLINK("CSG1.html#group6A1", "6A¹"), =HYPERLINK("CSG0.html#group3A0", "3A⁰"), =HYPERLINK("CSG5.html#group48A5", "48A⁵"), =HYPERLINK("CSG0.html#group8D0", "8D⁰"), =HYPERLINK("CSG1.html#group16E1", "16E¹"), =HYPERLINK("CSG4.html#group24D4", "24D⁴"), =HYPERLINK("CSG4.html#group48B4", "48B⁴"), =HYPERLINK("CSG9.html#group48A9", "48A⁹"), =HYPERLINK("CSG11.html#group96D11", "96D¹¹"), =HYPERLINK("CSG0.html#group6A0", "6A⁰"), =HYPERLINK("CSG1.html#group24C1", "24C¹"), =HYPERLINK("CSG0.html#group2C0", "2C⁰"), =HYPERLINK("CSG0.html#group6D0", "6D⁰")</f>
        <v/>
      </c>
      <c r="N6782" t="inlineStr"/>
    </row>
    <row r="6783">
      <c r="A6783" t="inlineStr">
        <is>
          <t>96I²¹</t>
        </is>
      </c>
      <c r="B6783" t="inlineStr"/>
      <c r="C6783" t="inlineStr">
        <is>
          <t>288</t>
        </is>
      </c>
      <c r="D6783" t="inlineStr">
        <is>
          <t>1</t>
        </is>
      </c>
      <c r="E6783" t="inlineStr">
        <is>
          <t>18</t>
        </is>
      </c>
      <c r="F6783" t="inlineStr">
        <is>
          <t>0</t>
        </is>
      </c>
      <c r="G6783" t="inlineStr">
        <is>
          <t>0</t>
        </is>
      </c>
      <c r="H6783" t="inlineStr">
        <is>
          <t>12⁴, 24², 96²</t>
        </is>
      </c>
      <c r="I6783" t="n">
        <v>8</v>
      </c>
      <c r="J6783" t="inlineStr">
        <is>
          <t>1⁴, 2⁵, 4¹</t>
        </is>
      </c>
      <c r="K6783">
        <f>HYPERLINK("CSG9.html#group48D9", "48D⁹"), =HYPERLINK("CSG11.html#group96A11", "96A¹¹"), =HYPERLINK("CSG11.html#group96D11", "96D¹¹")</f>
        <v/>
      </c>
      <c r="L6783" t="inlineStr"/>
      <c r="M6783">
        <f>HYPERLINK("CSG5.html#group48A5", "48A⁵"), =HYPERLINK("CSG1.html#group12K1", "12K¹"), =HYPERLINK("CSG11.html#group96A11", "96A¹¹"), =HYPERLINK("CSG3.html#group32A3", "32A³"), =HYPERLINK("CSG0.html#group6G0", "6G⁰"), =HYPERLINK("CSG1.html#group16A1", "16A¹"), =HYPERLINK("CSG0.html#group8C0", "8C⁰"), =HYPERLINK("CSG9.html#group48D9", "48D⁹"), =HYPERLINK("CSG0.html#group2B0", "2B⁰"), =HYPERLINK("CSG0.html#group4B0", "4B⁰"), =HYPERLINK("CSG0.html#group1A0", "1A⁰"), =HYPERLINK("CSG2.html#group24B2", "24B²"), =HYPERLINK("CSG11.html#group96D11", "96D¹¹"),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"6D⁰"), =HYPERLINK("CSG5.html#group48B5", "48B⁵")</f>
        <v/>
      </c>
      <c r="N6783" t="inlineStr"/>
    </row>
    <row r="6784">
      <c r="A6784" t="inlineStr">
        <is>
          <t>96J²¹</t>
        </is>
      </c>
      <c r="B6784" t="inlineStr"/>
      <c r="C6784" t="inlineStr">
        <is>
          <t>288</t>
        </is>
      </c>
      <c r="D6784" t="inlineStr">
        <is>
          <t>1</t>
        </is>
      </c>
      <c r="E6784" t="inlineStr">
        <is>
          <t>18</t>
        </is>
      </c>
      <c r="F6784" t="inlineStr">
        <is>
          <t>0</t>
        </is>
      </c>
      <c r="G6784" t="inlineStr">
        <is>
          <t>0</t>
        </is>
      </c>
      <c r="H6784" t="inlineStr">
        <is>
          <t>12⁴, 24², 96²</t>
        </is>
      </c>
      <c r="I6784" t="n">
        <v>8</v>
      </c>
      <c r="J6784" t="inlineStr">
        <is>
          <t>1⁴, 2⁵, 4¹</t>
        </is>
      </c>
      <c r="K6784">
        <f>HYPERLINK("CSG9.html#group48D9", "48D⁹"), =HYPERLINK("CSG11.html#group96B11", "96B¹¹"), =HYPERLINK("CSG11.html#group96E11", "96E¹¹")</f>
        <v/>
      </c>
      <c r="L6784" t="inlineStr"/>
      <c r="M6784">
        <f>HYPERLINK("CSG5.html#group48A5", "48A⁵"), =HYPERLINK("CSG1.html#group12K1", "12K¹"), =HYPERLINK("CSG0.html#group6G0", "6G⁰"), =HYPERLINK("CSG11.html#group96E11", "96E¹¹"), =HYPERLINK("CSG1.html#group16A1", "16A¹"), =HYPERLINK("CSG0.html#group8C0", "8C⁰"), =HYPERLINK("CSG9.html#group48D9", "48D⁹"), =HYPERLINK("CSG0.html#group2B0", "2B⁰"), =HYPERLINK("CSG3.html#group32B3", "32B³"), =HYPERLINK("CSG0.html#group4B0", "4B⁰"), =HYPERLINK("CSG0.html#group1A0", "1A⁰"), =HYPERLINK("CSG2.html#group24B2", "24B²"), =HYPERLINK("CSG11.html#group96B11", "96B¹¹"),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"6D⁰"), =HYPERLINK("CSG5.html#group48B5", "48B⁵")</f>
        <v/>
      </c>
      <c r="N6784" t="inlineStr"/>
    </row>
    <row r="6785">
      <c r="A6785" t="inlineStr">
        <is>
          <t>96K²¹</t>
        </is>
      </c>
      <c r="B6785" t="inlineStr"/>
      <c r="C6785" t="inlineStr">
        <is>
          <t>288</t>
        </is>
      </c>
      <c r="D6785" t="inlineStr">
        <is>
          <t>1</t>
        </is>
      </c>
      <c r="E6785" t="inlineStr">
        <is>
          <t>18</t>
        </is>
      </c>
      <c r="F6785" t="inlineStr">
        <is>
          <t>0</t>
        </is>
      </c>
      <c r="G6785" t="inlineStr">
        <is>
          <t>0</t>
        </is>
      </c>
      <c r="H6785" t="inlineStr">
        <is>
          <t>12⁴, 24², 96²</t>
        </is>
      </c>
      <c r="I6785" t="n">
        <v>8</v>
      </c>
      <c r="J6785" t="inlineStr">
        <is>
          <t>1⁴, 2⁵, 4¹</t>
        </is>
      </c>
      <c r="K6785">
        <f>HYPERLINK("CSG9.html#group48G9", "48G⁹"), =HYPERLINK("CSG11.html#group96A11", "96A¹¹"), =HYPERLINK("CSG11.html#group96E11", "96E¹¹")</f>
        <v/>
      </c>
      <c r="L6785" t="inlineStr"/>
      <c r="M6785">
        <f>HYPERLINK("CSG5.html#group48A5", "48A⁵"), =HYPERLINK("CSG0.html#group6B0", "6B⁰"), =HYPERLINK("CSG11.html#group96A11", "96A¹¹"), =HYPERLINK("CSG2.html#group12D2", "12D²"), =HYPERLINK("CSG3.html#group32A3", "32A³"), =HYPERLINK("CSG4.html#group24J4", "24J⁴"), =HYPERLINK("CSG4.html#group48F4", "48F⁴"), =HYPERLINK("CSG11.html#group96E11", "96E¹¹"), =HYPERLINK("CSG1.html#group16A1", "16A¹"), =HYPERLINK("CSG0.html#group8C0", "8C⁰"), =HYPERLINK("CSG0.html#group2B0", "2B⁰"), =HYPERLINK("CSG0.html#group4B0", "4B⁰"), =HYPERLINK("CSG0.html#group1A0", "1A⁰"), =HYPERLINK("CSG2.html#group24B2", "24B²"), =HYPERLINK("CSG1.html#group12C1", "12C¹"), =HYPERLINK("CSG2.html#group24D2", "24D²"), =HYPERLINK("CSG1.html#group12B1", "12B¹"), =HYPERLINK("CSG9.html#group48G9", "48G⁹"), =HYPERLINK("CSG0.html#group6H0", "6H⁰"), =HYPERLINK("CSG0.html#group3A0", "3A⁰"), =HYPERLINK("CSG0.html#group6D0", "6D⁰")</f>
        <v/>
      </c>
      <c r="N6785" t="inlineStr"/>
    </row>
    <row r="6786">
      <c r="A6786" t="inlineStr">
        <is>
          <t>96L²¹</t>
        </is>
      </c>
      <c r="B6786" t="inlineStr"/>
      <c r="C6786" t="inlineStr">
        <is>
          <t>288</t>
        </is>
      </c>
      <c r="D6786" t="inlineStr">
        <is>
          <t>1</t>
        </is>
      </c>
      <c r="E6786" t="inlineStr">
        <is>
          <t>18</t>
        </is>
      </c>
      <c r="F6786" t="inlineStr">
        <is>
          <t>0</t>
        </is>
      </c>
      <c r="G6786" t="inlineStr">
        <is>
          <t>0</t>
        </is>
      </c>
      <c r="H6786" t="inlineStr">
        <is>
          <t>12⁴, 24², 96²</t>
        </is>
      </c>
      <c r="I6786" t="n">
        <v>8</v>
      </c>
      <c r="J6786" t="inlineStr">
        <is>
          <t>1⁴, 2⁵, 4¹</t>
        </is>
      </c>
      <c r="K6786">
        <f>HYPERLINK("CSG9.html#group48G9", "48G⁹"), =HYPERLINK("CSG11.html#group96B11", "96B¹¹"), =HYPERLINK("CSG11.html#group96D11", "96D¹¹")</f>
        <v/>
      </c>
      <c r="L6786" t="inlineStr"/>
      <c r="M6786">
        <f>HYPERLINK("CSG5.html#group48A5", "48A⁵"), =HYPERLINK("CSG0.html#group6B0", "6B⁰"), =HYPERLINK("CSG2.html#group12D2", "12D²"), =HYPERLINK("CSG4.html#group24J4", "24J⁴"), =HYPERLINK("CSG4.html#group48F4", "48F⁴"), =HYPERLINK("CSG1.html#group16A1", "16A¹"), =HYPERLINK("CSG0.html#group8C0", "8C⁰"), =HYPERLINK("CSG0.html#group2B0", "2B⁰"), =HYPERLINK("CSG0.html#group4B0", "4B⁰"), =HYPERLINK("CSG0.html#group1A0", "1A⁰"), =HYPERLINK("CSG2.html#group24B2", "24B²"), =HYPERLINK("CSG11.html#group96D11", "96D¹¹"), =HYPERLINK("CSG1.html#group12C1", "12C¹"), =HYPERLINK("CSG11.html#group96B11", "96B¹¹"), =HYPERLINK("CSG2.html#group24D2", "24D²"), =HYPERLINK("CSG1.html#group12B1", "12B¹"), =HYPERLINK("CSG9.html#group48G9", "48G⁹"), =HYPERLINK("CSG0.html#group6H0", "6H⁰"), =HYPERLINK("CSG0.html#group3A0", "3A⁰"), =HYPERLINK("CSG0.html#group6D0", "6D⁰"), =HYPERLINK("CSG3.html#group32B3", "32B³")</f>
        <v/>
      </c>
      <c r="N6786" t="inlineStr"/>
    </row>
    <row r="6787">
      <c r="A6787" t="inlineStr">
        <is>
          <t>96M²¹</t>
        </is>
      </c>
      <c r="B6787" t="inlineStr"/>
      <c r="C6787" t="inlineStr">
        <is>
          <t>288</t>
        </is>
      </c>
      <c r="D6787" t="inlineStr">
        <is>
          <t>1</t>
        </is>
      </c>
      <c r="E6787" t="inlineStr">
        <is>
          <t>36</t>
        </is>
      </c>
      <c r="F6787" t="inlineStr">
        <is>
          <t>0</t>
        </is>
      </c>
      <c r="G6787" t="inlineStr">
        <is>
          <t>0</t>
        </is>
      </c>
      <c r="H6787" t="inlineStr">
        <is>
          <t>12⁴, 24², 96²</t>
        </is>
      </c>
      <c r="I6787" t="n">
        <v>8</v>
      </c>
      <c r="J6787" t="inlineStr">
        <is>
          <t>2⁴, 4⁷</t>
        </is>
      </c>
      <c r="K6787">
        <f>HYPERLINK("CSG9.html#group48C9", "48C⁹")</f>
        <v/>
      </c>
      <c r="L6787" t="inlineStr"/>
      <c r="M6787">
        <f>HYPERLINK("CSG1.html#group12K1", "12K¹"), =HYPERLINK("CSG0.html#group6G0", "6G⁰"), =HYPERLINK("CSG0.html#group2B0", "2B⁰"), =HYPERLINK("CSG0.html#group8C0", "8C⁰"), =HYPERLINK("CSG0.html#group4B0", "4B⁰"), =HYPERLINK("CSG0.html#group1A0", "1A⁰"), =HYPERLINK("CSG2.html#group24B2", "24B²"), =HYPERLINK("CSG9.html#group48C9", "48C⁹"),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"6D⁰"), =HYPERLINK("CSG5.html#group48B5", "48B⁵")</f>
        <v/>
      </c>
      <c r="N6787" t="inlineStr"/>
    </row>
    <row r="6788">
      <c r="A6788" t="inlineStr">
        <is>
          <t>96N²¹</t>
        </is>
      </c>
      <c r="B6788" t="inlineStr"/>
      <c r="C6788" t="inlineStr">
        <is>
          <t>288</t>
        </is>
      </c>
      <c r="D6788" t="inlineStr">
        <is>
          <t>1</t>
        </is>
      </c>
      <c r="E6788" t="inlineStr">
        <is>
          <t>36</t>
        </is>
      </c>
      <c r="F6788" t="inlineStr">
        <is>
          <t>0</t>
        </is>
      </c>
      <c r="G6788" t="inlineStr">
        <is>
          <t>0</t>
        </is>
      </c>
      <c r="H6788" t="inlineStr">
        <is>
          <t>12⁴, 24², 96²</t>
        </is>
      </c>
      <c r="I6788" t="n">
        <v>8</v>
      </c>
      <c r="J6788" t="inlineStr">
        <is>
          <t>2⁴, 4⁷</t>
        </is>
      </c>
      <c r="K6788">
        <f>HYPERLINK("CSG9.html#group48C9", "48C⁹")</f>
        <v/>
      </c>
      <c r="L6788" t="inlineStr"/>
      <c r="M6788">
        <f>HYPERLINK("CSG1.html#group12K1", "12K¹"), =HYPERLINK("CSG0.html#group6G0", "6G⁰"), =HYPERLINK("CSG0.html#group2B0", "2B⁰"), =HYPERLINK("CSG0.html#group8C0", "8C⁰"), =HYPERLINK("CSG0.html#group4B0", "4B⁰"), =HYPERLINK("CSG0.html#group1A0", "1A⁰"), =HYPERLINK("CSG2.html#group24B2", "24B²"), =HYPERLINK("CSG9.html#group48C9", "48C⁹"),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"6D⁰"), =HYPERLINK("CSG5.html#group48B5", "48B⁵")</f>
        <v/>
      </c>
      <c r="N6788" t="inlineStr"/>
    </row>
    <row r="6789">
      <c r="A6789" t="inlineStr">
        <is>
          <t>96O²¹</t>
        </is>
      </c>
      <c r="B6789" t="inlineStr"/>
      <c r="C6789" t="inlineStr">
        <is>
          <t>288</t>
        </is>
      </c>
      <c r="D6789" t="inlineStr">
        <is>
          <t>1</t>
        </is>
      </c>
      <c r="E6789" t="inlineStr">
        <is>
          <t>36</t>
        </is>
      </c>
      <c r="F6789" t="inlineStr">
        <is>
          <t>0</t>
        </is>
      </c>
      <c r="G6789" t="inlineStr">
        <is>
          <t>0</t>
        </is>
      </c>
      <c r="H6789" t="inlineStr">
        <is>
          <t>12⁴, 24², 96²</t>
        </is>
      </c>
      <c r="I6789" t="n">
        <v>8</v>
      </c>
      <c r="J6789" t="inlineStr">
        <is>
          <t>2⁸, 4³, 8¹</t>
        </is>
      </c>
      <c r="K6789">
        <f>HYPERLINK("CSG9.html#group48G9", "48G⁹"), =HYPERLINK("CSG11.html#group96F11", "96F¹¹")</f>
        <v/>
      </c>
      <c r="L6789" t="inlineStr"/>
      <c r="M6789">
        <f>HYPERLINK("CSG5.html#group48A5", "48A⁵"), =HYPERLINK("CSG0.html#group6B0", "6B⁰"), =HYPERLINK("CSG2.html#group12D2", "12D²"), =HYPERLINK("CSG4.html#group24J4", "24J⁴"), =HYPERLINK("CSG4.html#group48F4", "48F⁴"), =HYPERLINK("CSG1.html#group16A1", "16A¹"), =HYPERLINK("CSG0.html#group8C0", "8C⁰"), =HYPERLINK("CSG0.html#group2B0", "2B⁰"), =HYPERLINK("CSG0.html#group4B0", "4B⁰"), =HYPERLINK("CSG0.html#group1A0", "1A⁰"), =HYPERLINK("CSG2.html#group24B2", "24B²"), =HYPERLINK("CSG1.html#group12C1", "12C¹"), =HYPERLINK("CSG11.html#group96F11", "96F¹¹"), =HYPERLINK("CSG2.html#group24D2", "24D²"), =HYPERLINK("CSG1.html#group12B1", "12B¹"), =HYPERLINK("CSG9.html#group48G9", "48G⁹"), =HYPERLINK("CSG0.html#group6H0", "6H⁰"), =HYPERLINK("CSG0.html#group3A0", "3A⁰"), =HYPERLINK("CSG0.html#group6D0", "6D⁰")</f>
        <v/>
      </c>
      <c r="N6789" t="inlineStr"/>
    </row>
    <row r="6790">
      <c r="A6790" t="inlineStr">
        <is>
          <t>96P²¹</t>
        </is>
      </c>
      <c r="B6790" t="inlineStr"/>
      <c r="C6790" t="inlineStr">
        <is>
          <t>288</t>
        </is>
      </c>
      <c r="D6790" t="inlineStr">
        <is>
          <t>1</t>
        </is>
      </c>
      <c r="E6790" t="inlineStr">
        <is>
          <t>36</t>
        </is>
      </c>
      <c r="F6790" t="inlineStr">
        <is>
          <t>0</t>
        </is>
      </c>
      <c r="G6790" t="inlineStr">
        <is>
          <t>0</t>
        </is>
      </c>
      <c r="H6790" t="inlineStr">
        <is>
          <t>12⁴, 24², 96²</t>
        </is>
      </c>
      <c r="I6790" t="n">
        <v>8</v>
      </c>
      <c r="J6790" t="inlineStr">
        <is>
          <t>1⁴, 2⁶, 4³, 8¹</t>
        </is>
      </c>
      <c r="K6790">
        <f>HYPERLINK("CSG9.html#group48D9", "48D⁹"), =HYPERLINK("CSG11.html#group96F11", "96F¹¹")</f>
        <v/>
      </c>
      <c r="L6790" t="inlineStr"/>
      <c r="M6790">
        <f>HYPERLINK("CSG5.html#group48A5", "48A⁵"), =HYPERLINK("CSG1.html#group12K1", "12K¹"), =HYPERLINK("CSG0.html#group6G0", "6G⁰"), =HYPERLINK("CSG1.html#group16A1", "16A¹"), =HYPERLINK("CSG0.html#group8C0", "8C⁰"), =HYPERLINK("CSG9.html#group48D9", "48D⁹"), =HYPERLINK("CSG0.html#group2B0", "2B⁰"), =HYPERLINK("CSG0.html#group4B0", "4B⁰"), =HYPERLINK("CSG0.html#group1A0", "1A⁰"), =HYPERLINK("CSG2.html#group24B2", "24B²"), =HYPERLINK("CSG11.html#group96F11", "96F¹¹"),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"6D⁰"), =HYPERLINK("CSG5.html#group48B5", "48B⁵")</f>
        <v/>
      </c>
      <c r="N6790" t="inlineStr"/>
    </row>
    <row r="6791">
      <c r="A6791" t="inlineStr">
        <is>
          <t>96Q²¹</t>
        </is>
      </c>
      <c r="B6791" t="inlineStr"/>
      <c r="C6791" t="inlineStr">
        <is>
          <t>288</t>
        </is>
      </c>
      <c r="D6791" t="inlineStr">
        <is>
          <t>1</t>
        </is>
      </c>
      <c r="E6791" t="inlineStr">
        <is>
          <t>36</t>
        </is>
      </c>
      <c r="F6791" t="inlineStr">
        <is>
          <t>0</t>
        </is>
      </c>
      <c r="G6791" t="inlineStr">
        <is>
          <t>0</t>
        </is>
      </c>
      <c r="H6791" t="inlineStr">
        <is>
          <t>12⁴, 24², 96²</t>
        </is>
      </c>
      <c r="I6791" t="n">
        <v>8</v>
      </c>
      <c r="J6791" t="inlineStr">
        <is>
          <t>1⁴, 2⁶, 4³, 8¹</t>
        </is>
      </c>
      <c r="K6791">
        <f>HYPERLINK("CSG9.html#group48B9", "48B⁹"), =HYPERLINK("CSG11.html#group96D11", "96D¹¹"), =HYPERLINK("CSG11.html#group96F11", "96F¹¹")</f>
        <v/>
      </c>
      <c r="L6791" t="inlineStr"/>
      <c r="M6791">
        <f>HYPERLINK("CSG5.html#group48A5", "48A⁵"), =HYPERLINK("CSG4.html#group24F4", "24F⁴"), =HYPERLINK("CSG9.html#group48B9", "48B⁹"), =HYPERLINK("CSG1.html#group16A1", "16A¹"), =HYPERLINK("CSG0.html#group8C0", "8C⁰"), =HYPERLINK("CSG0.html#group2B0", "2B⁰"), =HYPERLINK("CSG0.html#group8I0", "8I⁰"), =HYPERLINK("CSG0.html#group4B0", "4B⁰"), =HYPERLINK("CSG0.html#group1A0", "1A⁰"), =HYPERLINK("CSG2.html#group24B2", "24B²"), =HYPERLINK("CSG11.html#group96D11", "96D¹¹"), =HYPERLINK("CSG11.html#group96F11", "96F¹¹"), =HYPERLINK("CSG1.html#group16G1", "16G¹"), =HYPERLINK("CSG0.html#group16D0", "16D⁰"), =HYPERLINK("CSG1.html#group12B1", "12B¹"), =HYPERLINK("CSG0.html#group3A0", "3A⁰"), =HYPERLINK("CSG0.html#group6D0", "6D⁰"), =HYPERLINK("CSG4.html#group48D4", "48D⁴")</f>
        <v/>
      </c>
      <c r="N6791" t="inlineStr"/>
    </row>
    <row r="6792">
      <c r="A6792" t="inlineStr">
        <is>
          <t>96R²¹</t>
        </is>
      </c>
      <c r="B6792" t="inlineStr"/>
      <c r="C6792" t="inlineStr">
        <is>
          <t>288</t>
        </is>
      </c>
      <c r="D6792" t="inlineStr">
        <is>
          <t>1</t>
        </is>
      </c>
      <c r="E6792" t="inlineStr">
        <is>
          <t>36</t>
        </is>
      </c>
      <c r="F6792" t="inlineStr">
        <is>
          <t>0</t>
        </is>
      </c>
      <c r="G6792" t="inlineStr">
        <is>
          <t>0</t>
        </is>
      </c>
      <c r="H6792" t="inlineStr">
        <is>
          <t>12⁴, 24², 96²</t>
        </is>
      </c>
      <c r="I6792" t="n">
        <v>8</v>
      </c>
      <c r="J6792" t="inlineStr">
        <is>
          <t>1⁴, 2⁶, 4³, 8¹</t>
        </is>
      </c>
      <c r="K6792">
        <f>HYPERLINK("CSG9.html#group48B9", "48B⁹"), =HYPERLINK("CSG11.html#group96E11", "96E¹¹"), =HYPERLINK("CSG11.html#group96F11", "96F¹¹")</f>
        <v/>
      </c>
      <c r="L6792" t="inlineStr"/>
      <c r="M6792">
        <f>HYPERLINK("CSG5.html#group48A5", "48A⁵"), =HYPERLINK("CSG4.html#group24F4", "24F⁴"), =HYPERLINK("CSG9.html#group48B9", "48B⁹"), =HYPERLINK("CSG11.html#group96E11", "96E¹¹"), =HYPERLINK("CSG1.html#group16A1", "16A¹"), =HYPERLINK("CSG0.html#group8C0", "8C⁰"), =HYPERLINK("CSG0.html#group2B0", "2B⁰"), =HYPERLINK("CSG0.html#group8I0", "8I⁰"), =HYPERLINK("CSG0.html#group4B0", "4B⁰"), =HYPERLINK("CSG0.html#group1A0", "1A⁰"), =HYPERLINK("CSG2.html#group24B2", "24B²"), =HYPERLINK("CSG11.html#group96F11", "96F¹¹"), =HYPERLINK("CSG1.html#group16G1", "16G¹"), =HYPERLINK("CSG0.html#group16D0", "16D⁰"), =HYPERLINK("CSG1.html#group12B1", "12B¹"), =HYPERLINK("CSG0.html#group3A0", "3A⁰"), =HYPERLINK("CSG0.html#group6D0", "6D⁰"), =HYPERLINK("CSG4.html#group48D4", "48D⁴")</f>
        <v/>
      </c>
      <c r="N6792" t="inlineStr"/>
    </row>
    <row r="6793">
      <c r="A6793" t="inlineStr">
        <is>
          <t>96S²¹</t>
        </is>
      </c>
      <c r="B6793" t="inlineStr"/>
      <c r="C6793" t="inlineStr">
        <is>
          <t>288</t>
        </is>
      </c>
      <c r="D6793" t="inlineStr">
        <is>
          <t>1</t>
        </is>
      </c>
      <c r="E6793" t="inlineStr">
        <is>
          <t>36</t>
        </is>
      </c>
      <c r="F6793" t="inlineStr">
        <is>
          <t>0</t>
        </is>
      </c>
      <c r="G6793" t="inlineStr">
        <is>
          <t>0</t>
        </is>
      </c>
      <c r="H6793" t="inlineStr">
        <is>
          <t>12⁴, 24², 96²</t>
        </is>
      </c>
      <c r="I6793" t="n">
        <v>8</v>
      </c>
      <c r="J6793" t="inlineStr">
        <is>
          <t>1⁴, 2⁶, 4³, 8¹</t>
        </is>
      </c>
      <c r="K6793">
        <f>HYPERLINK("CSG9.html#group48D9", "48D⁹"), =HYPERLINK("CSG11.html#group96C11", "96C¹¹"), =HYPERLINK("CSG11.html#group96F11", "96F¹¹")</f>
        <v/>
      </c>
      <c r="L6793" t="inlineStr"/>
      <c r="M6793">
        <f>HYPERLINK("CSG5.html#group48A5", "48A⁵"), =HYPERLINK("CSG11.html#group96C11", "96C¹¹"), =HYPERLINK("CSG1.html#group12K1", "12K¹"), =HYPERLINK("CSG0.html#group6G0", "6G⁰"), =HYPERLINK("CSG1.html#group16A1", "16A¹"), =HYPERLINK("CSG0.html#group8C0", "8C⁰"), =HYPERLINK("CSG9.html#group48D9", "48D⁹"), =HYPERLINK("CSG0.html#group2B0", "2B⁰"), =HYPERLINK("CSG0.html#group4B0", "4B⁰"), =HYPERLINK("CSG0.html#group1A0", "1A⁰"), =HYPERLINK("CSG3.html#group32C3", "32C³"), =HYPERLINK("CSG2.html#group24B2", "24B²"), =HYPERLINK("CSG11.html#group96F11", "96F¹¹"),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"6D⁰"), =HYPERLINK("CSG5.html#group48B5", "48B⁵")</f>
        <v/>
      </c>
      <c r="N6793" t="inlineStr"/>
    </row>
    <row r="6794">
      <c r="A6794" t="inlineStr">
        <is>
          <t>96T²¹</t>
        </is>
      </c>
      <c r="B6794" t="inlineStr"/>
      <c r="C6794" t="inlineStr">
        <is>
          <t>288</t>
        </is>
      </c>
      <c r="D6794" t="inlineStr">
        <is>
          <t>1</t>
        </is>
      </c>
      <c r="E6794" t="inlineStr">
        <is>
          <t>36</t>
        </is>
      </c>
      <c r="F6794" t="inlineStr">
        <is>
          <t>0</t>
        </is>
      </c>
      <c r="G6794" t="inlineStr">
        <is>
          <t>0</t>
        </is>
      </c>
      <c r="H6794" t="inlineStr">
        <is>
          <t>12⁴, 24², 96²</t>
        </is>
      </c>
      <c r="I6794" t="n">
        <v>8</v>
      </c>
      <c r="J6794" t="inlineStr">
        <is>
          <t>1⁴, 2⁶, 4³, 8¹</t>
        </is>
      </c>
      <c r="K6794">
        <f>HYPERLINK("CSG9.html#group48G9", "48G⁹"), =HYPERLINK("CSG11.html#group96C11", "96C¹¹"), =HYPERLINK("CSG11.html#group96F11", "96F¹¹")</f>
        <v/>
      </c>
      <c r="L6794" t="inlineStr"/>
      <c r="M6794">
        <f>HYPERLINK("CSG5.html#group48A5", "48A⁵"), =HYPERLINK("CSG11.html#group96C11", "96C¹¹"), =HYPERLINK("CSG0.html#group6B0", "6B⁰"), =HYPERLINK("CSG2.html#group12D2", "12D²"), =HYPERLINK("CSG4.html#group24J4", "24J⁴"), =HYPERLINK("CSG4.html#group48F4", "48F⁴"), =HYPERLINK("CSG1.html#group16A1", "16A¹"), =HYPERLINK("CSG0.html#group8C0", "8C⁰"), =HYPERLINK("CSG0.html#group2B0", "2B⁰"), =HYPERLINK("CSG0.html#group4B0", "4B⁰"), =HYPERLINK("CSG0.html#group1A0", "1A⁰"), =HYPERLINK("CSG3.html#group32C3", "32C³"), =HYPERLINK("CSG2.html#group24B2", "24B²"), =HYPERLINK("CSG1.html#group12C1", "12C¹"), =HYPERLINK("CSG11.html#group96F11", "96F¹¹"), =HYPERLINK("CSG2.html#group24D2", "24D²"), =HYPERLINK("CSG1.html#group12B1", "12B¹"), =HYPERLINK("CSG9.html#group48G9", "48G⁹"), =HYPERLINK("CSG0.html#group6H0", "6H⁰"), =HYPERLINK("CSG0.html#group3A0", "3A⁰"), =HYPERLINK("CSG0.html#group6D0", "6D⁰")</f>
        <v/>
      </c>
      <c r="N6794" t="inlineStr"/>
    </row>
    <row r="6795">
      <c r="A6795" t="inlineStr">
        <is>
          <t>96U²¹</t>
        </is>
      </c>
      <c r="B6795" t="inlineStr"/>
      <c r="C6795" t="inlineStr">
        <is>
          <t>288</t>
        </is>
      </c>
      <c r="D6795" t="inlineStr">
        <is>
          <t>1</t>
        </is>
      </c>
      <c r="E6795" t="inlineStr">
        <is>
          <t>36</t>
        </is>
      </c>
      <c r="F6795" t="inlineStr">
        <is>
          <t>0</t>
        </is>
      </c>
      <c r="G6795" t="inlineStr">
        <is>
          <t>0</t>
        </is>
      </c>
      <c r="H6795" t="inlineStr">
        <is>
          <t>12⁴, 24², 96²</t>
        </is>
      </c>
      <c r="I6795" t="n">
        <v>8</v>
      </c>
      <c r="J6795" t="inlineStr">
        <is>
          <t>1⁴, 2⁶, 4³, 8¹</t>
        </is>
      </c>
      <c r="K6795">
        <f>HYPERLINK("CSG9.html#group48Q9", "48Q⁹"), =HYPERLINK("CSG11.html#group96A11", "96A¹¹"), =HYPERLINK("CSG11.html#group96F11", "96F¹¹")</f>
        <v/>
      </c>
      <c r="L6795" t="inlineStr"/>
      <c r="M6795">
        <f>HYPERLINK("CSG5.html#group48A5", "48A⁵"), =HYPERLINK("CSG2.html#group24B2", "24B²"), =HYPERLINK("CSG11.html#group96F11", "96F¹¹"), =HYPERLINK("CSG0.html#group4B0", "4B⁰"), =HYPERLINK("CSG11.html#group96A11", "96A¹¹"), =HYPERLINK("CSG9.html#group48Q9", "48Q⁹"), =HYPERLINK("CSG4.html#group24M4", "24M⁴"), =HYPERLINK("CSG3.html#group32A3", "32A³"), =HYPERLINK("CSG1.html#group16A1", "16A¹"), =HYPERLINK("CSG0.html#group8C0", "8C⁰"), =HYPERLINK("CSG1.html#group12B1", "12B¹"), =HYPERLINK("CSG0.html#group2B0", "2B⁰"), =HYPERLINK("CSG0.html#group3A0", "3A⁰"), =HYPERLINK("CSG0.html#group1A0", "1A⁰"), =HYPERLINK("CSG4.html#group48G4", "48G⁴"), =HYPERLINK("CSG0.html#group6D0", "6D⁰")</f>
        <v/>
      </c>
      <c r="N6795" t="inlineStr"/>
    </row>
    <row r="6796">
      <c r="A6796" t="inlineStr">
        <is>
          <t>96V²¹</t>
        </is>
      </c>
      <c r="B6796" t="inlineStr"/>
      <c r="C6796" t="inlineStr">
        <is>
          <t>288</t>
        </is>
      </c>
      <c r="D6796" t="inlineStr">
        <is>
          <t>1</t>
        </is>
      </c>
      <c r="E6796" t="inlineStr">
        <is>
          <t>36</t>
        </is>
      </c>
      <c r="F6796" t="inlineStr">
        <is>
          <t>0</t>
        </is>
      </c>
      <c r="G6796" t="inlineStr">
        <is>
          <t>0</t>
        </is>
      </c>
      <c r="H6796" t="inlineStr">
        <is>
          <t>12⁴, 24², 96²</t>
        </is>
      </c>
      <c r="I6796" t="n">
        <v>8</v>
      </c>
      <c r="J6796" t="inlineStr">
        <is>
          <t>1⁴, 2⁶, 4³, 8¹</t>
        </is>
      </c>
      <c r="K6796">
        <f>HYPERLINK("CSG9.html#group48Q9", "48Q⁹"), =HYPERLINK("CSG11.html#group96B11", "96B¹¹"), =HYPERLINK("CSG11.html#group96F11", "96F¹¹")</f>
        <v/>
      </c>
      <c r="L6796" t="inlineStr"/>
      <c r="M6796">
        <f>HYPERLINK("CSG5.html#group48A5", "48A⁵"), =HYPERLINK("CSG2.html#group24B2", "24B²"), =HYPERLINK("CSG11.html#group96F11", "96F¹¹"), =HYPERLINK("CSG0.html#group4B0", "4B⁰"), =HYPERLINK("CSG9.html#group48Q9", "48Q⁹"), =HYPERLINK("CSG11.html#group96B11", "96B¹¹"), =HYPERLINK("CSG4.html#group24M4", "24M⁴"), =HYPERLINK("CSG1.html#group16A1", "16A¹"), =HYPERLINK("CSG0.html#group8C0", "8C⁰"), =HYPERLINK("CSG1.html#group12B1", "12B¹"), =HYPERLINK("CSG0.html#group2B0", "2B⁰"), =HYPERLINK("CSG0.html#group3A0", "3A⁰"), =HYPERLINK("CSG0.html#group1A0", "1A⁰"), =HYPERLINK("CSG4.html#group48G4", "48G⁴"), =HYPERLINK("CSG0.html#group6D0", "6D⁰"), =HYPERLINK("CSG3.html#group32B3", "32B³")</f>
        <v/>
      </c>
      <c r="N6796" t="inlineStr"/>
    </row>
    <row r="6797">
      <c r="A6797" t="inlineStr">
        <is>
          <t>96W²¹</t>
        </is>
      </c>
      <c r="B6797" t="inlineStr"/>
      <c r="C6797" t="inlineStr">
        <is>
          <t>288</t>
        </is>
      </c>
      <c r="D6797" t="inlineStr">
        <is>
          <t>1</t>
        </is>
      </c>
      <c r="E6797" t="inlineStr">
        <is>
          <t>36</t>
        </is>
      </c>
      <c r="F6797" t="inlineStr">
        <is>
          <t>0</t>
        </is>
      </c>
      <c r="G6797" t="inlineStr">
        <is>
          <t>0</t>
        </is>
      </c>
      <c r="H6797" t="inlineStr">
        <is>
          <t>12⁴, 24², 96²</t>
        </is>
      </c>
      <c r="I6797" t="n">
        <v>8</v>
      </c>
      <c r="J6797" t="inlineStr">
        <is>
          <t>1⁴, 2⁶, 4³, 8¹</t>
        </is>
      </c>
      <c r="K6797">
        <f>HYPERLINK("CSG9.html#group48Q9", "48Q⁹"), =HYPERLINK("CSG11.html#group96C11", "96C¹¹"), =HYPERLINK("CSG11.html#group96D11", "96D¹¹")</f>
        <v/>
      </c>
      <c r="L6797" t="inlineStr"/>
      <c r="M6797">
        <f>HYPERLINK("CSG5.html#group48A5", "48A⁵"), =HYPERLINK("CSG11.html#group96C11", "96C¹¹"), =HYPERLINK("CSG2.html#group24B2", "24B²"), =HYPERLINK("CSG0.html#group4B0", "4B⁰"), =HYPERLINK("CSG9.html#group48Q9", "48Q⁹"), =HYPERLINK("CSG0.html#group6D0", "6D⁰"), =HYPERLINK("CSG4.html#group24M4", "24M⁴"), =HYPERLINK("CSG1.html#group16A1", "16A¹"), =HYPERLINK("CSG0.html#group8C0", "8C⁰"), =HYPERLINK("CSG1.html#group12B1", "12B¹"), =HYPERLINK("CSG0.html#group2B0", "2B⁰"), =HYPERLINK("CSG0.html#group3A0", "3A⁰"), =HYPERLINK("CSG0.html#group1A0", "1A⁰"), =HYPERLINK("CSG3.html#group32C3", "32C³"), =HYPERLINK("CSG4.html#group48G4", "48G⁴"), =HYPERLINK("CSG11.html#group96D11", "96D¹¹")</f>
        <v/>
      </c>
      <c r="N6797" t="inlineStr"/>
    </row>
    <row r="6798">
      <c r="A6798" t="inlineStr">
        <is>
          <t>96X²¹</t>
        </is>
      </c>
      <c r="B6798" t="inlineStr"/>
      <c r="C6798" t="inlineStr">
        <is>
          <t>288</t>
        </is>
      </c>
      <c r="D6798" t="inlineStr">
        <is>
          <t>1</t>
        </is>
      </c>
      <c r="E6798" t="inlineStr">
        <is>
          <t>36</t>
        </is>
      </c>
      <c r="F6798" t="inlineStr">
        <is>
          <t>0</t>
        </is>
      </c>
      <c r="G6798" t="inlineStr">
        <is>
          <t>0</t>
        </is>
      </c>
      <c r="H6798" t="inlineStr">
        <is>
          <t>12⁴, 24², 96²</t>
        </is>
      </c>
      <c r="I6798" t="n">
        <v>8</v>
      </c>
      <c r="J6798" t="inlineStr">
        <is>
          <t>1⁴, 2⁶, 4³, 8¹</t>
        </is>
      </c>
      <c r="K6798">
        <f>HYPERLINK("CSG9.html#group48Q9", "48Q⁹"), =HYPERLINK("CSG11.html#group96C11", "96C¹¹"), =HYPERLINK("CSG11.html#group96E11", "96E¹¹")</f>
        <v/>
      </c>
      <c r="L6798" t="inlineStr"/>
      <c r="M6798">
        <f>HYPERLINK("CSG5.html#group48A5", "48A⁵"), =HYPERLINK("CSG11.html#group96C11", "96C¹¹"), =HYPERLINK("CSG2.html#group24B2", "24B²"), =HYPERLINK("CSG0.html#group4B0", "4B⁰"), =HYPERLINK("CSG9.html#group48Q9", "48Q⁹"), =HYPERLINK("CSG4.html#group24M4", "24M⁴"), =HYPERLINK("CSG11.html#group96E11", "96E¹¹"), =HYPERLINK("CSG1.html#group16A1", "16A¹"), =HYPERLINK("CSG0.html#group8C0", "8C⁰"), =HYPERLINK("CSG1.html#group12B1", "12B¹"), =HYPERLINK("CSG0.html#group2B0", "2B⁰"), =HYPERLINK("CSG0.html#group3A0", "3A⁰"), =HYPERLINK("CSG0.html#group1A0", "1A⁰"), =HYPERLINK("CSG3.html#group32C3", "32C³"), =HYPERLINK("CSG4.html#group48G4", "48G⁴"), =HYPERLINK("CSG0.html#group6D0", "6D⁰")</f>
        <v/>
      </c>
      <c r="N6798" t="inlineStr"/>
    </row>
    <row r="6799">
      <c r="A6799" t="inlineStr">
        <is>
          <t>96Y²¹</t>
        </is>
      </c>
      <c r="B6799" t="inlineStr"/>
      <c r="C6799" t="inlineStr">
        <is>
          <t>288</t>
        </is>
      </c>
      <c r="D6799" t="inlineStr">
        <is>
          <t>1</t>
        </is>
      </c>
      <c r="E6799" t="inlineStr">
        <is>
          <t>36</t>
        </is>
      </c>
      <c r="F6799" t="inlineStr">
        <is>
          <t>8</t>
        </is>
      </c>
      <c r="G6799" t="inlineStr">
        <is>
          <t>0</t>
        </is>
      </c>
      <c r="H6799" t="inlineStr">
        <is>
          <t>48², 96²</t>
        </is>
      </c>
      <c r="I6799" t="n">
        <v>4</v>
      </c>
      <c r="J6799" t="inlineStr">
        <is>
          <t>2⁶, 4⁶</t>
        </is>
      </c>
      <c r="K6799">
        <f>HYPERLINK("CSG7.html#group48N7", "48N⁷"), =HYPERLINK("CSG7.html#group96A7", "96A⁷")</f>
        <v/>
      </c>
      <c r="L6799" t="inlineStr"/>
      <c r="M6799">
        <f>HYPERLINK("CSG0.html#group12C0", "12C⁰"), =HYPERLINK("CSG0.html#group4C0", "4C⁰"), =HYPERLINK("CSG3.html#group24I3", "24I³"), =HYPERLINK("CSG0.html#group8B0", "8B⁰"), =HYPERLINK("CSG0.html#group6G0", "6G⁰"), =HYPERLINK("CSG0.html#group48A0", "48A⁰"), =HYPERLINK("CSG0.html#group2B0", "2B⁰"), =HYPERLINK("CSG2.html#group24C2", "24C²"), =HYPERLINK("CSG0.html#group1A0", "1A⁰"), =HYPERLINK("CSG1.html#group12L1", "12L¹"), =HYPERLINK("CSG4.html#group48C4", "48C⁴"), =HYPERLINK("CSG0.html#group16B0", "16B⁰"), =HYPERLINK("CSG1.html#group12C1", "12C¹"), =HYPERLINK("CSG0.html#group24A0", "24A⁰"), =HYPERLINK("CSG7.html#group48N7", "48N⁷"), =HYPERLINK("CSG7.html#group96A7", "96A⁷"), =HYPERLINK("CSG0.html#group3C0", "3C⁰"), =HYPERLINK("CSG0.html#group3A0", "3A⁰"), =HYPERLINK("CSG0.html#group6D0", "6D⁰")</f>
        <v/>
      </c>
      <c r="N6799" t="inlineStr"/>
    </row>
    <row r="6800">
      <c r="A6800" t="inlineStr">
        <is>
          <t>96Z²¹</t>
        </is>
      </c>
      <c r="B6800" t="inlineStr"/>
      <c r="C6800" t="inlineStr">
        <is>
          <t>288</t>
        </is>
      </c>
      <c r="D6800" t="inlineStr">
        <is>
          <t>1</t>
        </is>
      </c>
      <c r="E6800" t="inlineStr">
        <is>
          <t>36</t>
        </is>
      </c>
      <c r="F6800" t="inlineStr">
        <is>
          <t>8</t>
        </is>
      </c>
      <c r="G6800" t="inlineStr">
        <is>
          <t>0</t>
        </is>
      </c>
      <c r="H6800" t="inlineStr">
        <is>
          <t>48², 96²</t>
        </is>
      </c>
      <c r="I6800" t="n">
        <v>4</v>
      </c>
      <c r="J6800" t="inlineStr">
        <is>
          <t>2⁶, 4⁶</t>
        </is>
      </c>
      <c r="K6800">
        <f>HYPERLINK("CSG5.html#group48G5", "48G⁵"), =HYPERLINK("CSG7.html#group96A7", "96A⁷"), =HYPERLINK("CSG9.html#group96B9", "96B⁹")</f>
        <v/>
      </c>
      <c r="L6800" t="inlineStr"/>
      <c r="M6800">
        <f>HYPERLINK("CSG1.html#group24E1", "24E¹"), =HYPERLINK("CSG0.html#group12C0", "12C⁰"), =HYPERLINK("CSG9.html#group96B9", "96B⁹"), =HYPERLINK("CSG0.html#group4C0", "4C⁰"), =HYPERLINK("CSG0.html#group8B0", "8B⁰"), =HYPERLINK("CSG2.html#group24P2", "24P²"), =HYPERLINK("CSG0.html#group48A0", "48A⁰"), =HYPERLINK("CSG1.html#group12M1", "12M¹"), =HYPERLINK("CSG0.html#group2B0", "2B⁰"), =HYPERLINK("CSG5.html#group48G5", "48G⁵"), =HYPERLINK("CSG0.html#group1A0", "1A⁰"), =HYPERLINK("CSG0.html#group16B0", "16B⁰"), =HYPERLINK("CSG0.html#group24A0", "24A⁰"), =HYPERLINK("CSG7.html#group96A7", "96A⁷"), =HYPERLINK("CSG3.html#group32D3", "32D³"), =HYPERLINK("CSG3.html#group48F3", "48F³"), =HYPERLINK("CSG0.html#group3A0", "3A⁰"), =HYPERLINK("CSG0.html#group6D0", "6D⁰")</f>
        <v/>
      </c>
      <c r="N6800" t="inlineStr"/>
    </row>
    <row r="6801">
      <c r="A6801" t="inlineStr">
        <is>
          <t>96AA²¹</t>
        </is>
      </c>
      <c r="B6801" t="inlineStr"/>
      <c r="C6801" t="inlineStr">
        <is>
          <t>288</t>
        </is>
      </c>
      <c r="D6801" t="inlineStr">
        <is>
          <t>1</t>
        </is>
      </c>
      <c r="E6801" t="inlineStr">
        <is>
          <t>36</t>
        </is>
      </c>
      <c r="F6801" t="inlineStr">
        <is>
          <t>8</t>
        </is>
      </c>
      <c r="G6801" t="inlineStr">
        <is>
          <t>0</t>
        </is>
      </c>
      <c r="H6801" t="inlineStr">
        <is>
          <t>48², 96²</t>
        </is>
      </c>
      <c r="I6801" t="n">
        <v>4</v>
      </c>
      <c r="J6801" t="inlineStr">
        <is>
          <t>2⁶, 4⁶</t>
        </is>
      </c>
      <c r="K6801">
        <f>HYPERLINK("CSG5.html#group96A5", "96A⁵"), =HYPERLINK("CSG7.html#group48N7", "48N⁷"), =HYPERLINK("CSG9.html#group96B9", "96B⁹")</f>
        <v/>
      </c>
      <c r="L6801" t="inlineStr"/>
      <c r="M6801">
        <f>HYPERLINK("CSG0.html#group12C0", "12C⁰"), =HYPERLINK("CSG9.html#group96B9", "96B⁹"), =HYPERLINK("CSG5.html#group96A5", "96A⁵"), =HYPERLINK("CSG0.html#group4C0", "4C⁰"), =HYPERLINK("CSG0.html#group8B0", "8B⁰"), =HYPERLINK("CSG3.html#group24I3", "24I³"), =HYPERLINK("CSG0.html#group6G0", "6G⁰"), =HYPERLINK("CSG0.html#group48A0", "48A⁰"), =HYPERLINK("CSG0.html#group2B0", "2B⁰"), =HYPERLINK("CSG2.html#group24C2", "24C²"), =HYPERLINK("CSG0.html#group1A0", "1A⁰"), =HYPERLINK("CSG1.html#group12L1", "12L¹"), =HYPERLINK("CSG4.html#group48C4", "48C⁴"), =HYPERLINK("CSG0.html#group16B0", "16B⁰"), =HYPERLINK("CSG1.html#group12C1", "12C¹"), =HYPERLINK("CSG0.html#group24A0", "24A⁰"), =HYPERLINK("CSG7.html#group48N7", "48N⁷"), =HYPERLINK("CSG0.html#group3C0", "3C⁰"), =HYPERLINK("CSG3.html#group32D3", "32D³"), =HYPERLINK("CSG0.html#group3A0", "3A⁰"), =HYPERLINK("CSG0.html#group6D0", "6D⁰")</f>
        <v/>
      </c>
      <c r="N6801" t="inlineStr"/>
    </row>
    <row r="6802">
      <c r="A6802" t="inlineStr">
        <is>
          <t>96AB²¹</t>
        </is>
      </c>
      <c r="B6802" t="inlineStr"/>
      <c r="C6802" t="inlineStr">
        <is>
          <t>288</t>
        </is>
      </c>
      <c r="D6802" t="inlineStr">
        <is>
          <t>1</t>
        </is>
      </c>
      <c r="E6802" t="inlineStr">
        <is>
          <t>72</t>
        </is>
      </c>
      <c r="F6802" t="inlineStr">
        <is>
          <t>0</t>
        </is>
      </c>
      <c r="G6802" t="inlineStr">
        <is>
          <t>0</t>
        </is>
      </c>
      <c r="H6802" t="inlineStr">
        <is>
          <t>12⁴, 24², 96²</t>
        </is>
      </c>
      <c r="I6802" t="n">
        <v>8</v>
      </c>
      <c r="J6802" t="inlineStr">
        <is>
          <t>2⁴, 4¹⁰, 8³</t>
        </is>
      </c>
      <c r="K6802">
        <f>HYPERLINK("CSG9.html#group48C9", "48C⁹")</f>
        <v/>
      </c>
      <c r="L6802" t="inlineStr"/>
      <c r="M6802">
        <f>HYPERLINK("CSG1.html#group12K1", "12K¹"), =HYPERLINK("CSG0.html#group6G0", "6G⁰"), =HYPERLINK("CSG0.html#group2B0", "2B⁰"), =HYPERLINK("CSG0.html#group8C0", "8C⁰"), =HYPERLINK("CSG0.html#group4B0", "4B⁰"), =HYPERLINK("CSG0.html#group1A0", "1A⁰"), =HYPERLINK("CSG2.html#group24B2", "24B²"), =HYPERLINK("CSG9.html#group48C9", "48C⁹"), =HYPERLINK("CSG2.html#group24D2", "24D²"), =HYPERLINK("CSG0.html#group3C0", "3C⁰"), =HYPERLINK("CSG1.html#group12B1", "12B¹"), =HYPERLINK("CSG0.html#group12D0", "12D⁰"), =HYPERLINK("CSG0.html#group3A0", "3A⁰"), =HYPERLINK("CSG3.html#group24L3", "24L³"), =HYPERLINK("CSG0.html#group6D0", "6D⁰"), =HYPERLINK("CSG5.html#group48B5", "48B⁵")</f>
        <v/>
      </c>
      <c r="N6802" t="inlineStr"/>
    </row>
    <row r="6803">
      <c r="A6803" t="inlineStr">
        <is>
          <t>96AC²¹</t>
        </is>
      </c>
      <c r="B6803" t="inlineStr"/>
      <c r="C6803" t="inlineStr">
        <is>
          <t>288</t>
        </is>
      </c>
      <c r="D6803" t="inlineStr">
        <is>
          <t>1</t>
        </is>
      </c>
      <c r="E6803" t="inlineStr">
        <is>
          <t>72</t>
        </is>
      </c>
      <c r="F6803" t="inlineStr">
        <is>
          <t>4</t>
        </is>
      </c>
      <c r="G6803" t="inlineStr">
        <is>
          <t>0</t>
        </is>
      </c>
      <c r="H6803" t="inlineStr">
        <is>
          <t>24⁴, 96²</t>
        </is>
      </c>
      <c r="I6803" t="n">
        <v>6</v>
      </c>
      <c r="J6803" t="inlineStr">
        <is>
          <t>2², 4³, 8⁴, 16⁶</t>
        </is>
      </c>
      <c r="K6803">
        <f>HYPERLINK("CSG9.html#group48U9", "48U⁹"), =HYPERLINK("CSG10.html#group96D10", "96D¹⁰")</f>
        <v/>
      </c>
      <c r="L6803" t="inlineStr"/>
      <c r="M6803">
        <f>HYPERLINK("CSG0.html#group12C0", "12C⁰"), =HYPERLINK("CSG3.html#group48G3", "48G³"), =HYPERLINK("CSG0.html#group8D0", "8D⁰"), =HYPERLINK("CSG0.html#group4C0", "4C⁰"), =HYPERLINK("CSG9.html#group48U9", "48U⁹"), =HYPERLINK("CSG1.html#group12M1", "12M¹"), =HYPERLINK("CSG0.html#group2B0", "2B⁰"), =HYPERLINK("CSG2.html#group24C2", "24C²"), =HYPERLINK("CSG0.html#group1A0", "1A⁰"), =HYPERLINK("CSG4.html#group48E4", "48E⁴"), =HYPERLINK("CSG1.html#group16C1", "16C¹"), =HYPERLINK("CSG1.html#group24C1", "24C¹"), =HYPERLINK("CSG0.html#group3A0", "3A⁰"), =HYPERLINK("CSG4.html#group24L4", "24L⁴"), =HYPERLINK("CSG0.html#group6D0", "6D⁰"), =HYPERLINK("CSG10.html#group96D10", "96D¹⁰")</f>
        <v/>
      </c>
      <c r="N6803" t="inlineStr"/>
    </row>
    <row r="6804">
      <c r="A6804" t="inlineStr">
        <is>
          <t>96AD²¹</t>
        </is>
      </c>
      <c r="B6804" t="inlineStr"/>
      <c r="C6804" t="inlineStr">
        <is>
          <t>288</t>
        </is>
      </c>
      <c r="D6804" t="inlineStr">
        <is>
          <t>1</t>
        </is>
      </c>
      <c r="E6804" t="inlineStr">
        <is>
          <t>72</t>
        </is>
      </c>
      <c r="F6804" t="inlineStr">
        <is>
          <t>4</t>
        </is>
      </c>
      <c r="G6804" t="inlineStr">
        <is>
          <t>0</t>
        </is>
      </c>
      <c r="H6804" t="inlineStr">
        <is>
          <t>24⁴, 96²</t>
        </is>
      </c>
      <c r="I6804" t="n">
        <v>6</v>
      </c>
      <c r="J6804" t="inlineStr">
        <is>
          <t>2², 4³, 8⁴, 16⁶</t>
        </is>
      </c>
      <c r="K6804">
        <f>HYPERLINK("CSG9.html#group48U9", "48U⁹"), =HYPERLINK("CSG10.html#group96D10", "96D¹⁰")</f>
        <v/>
      </c>
      <c r="L6804" t="inlineStr"/>
      <c r="M6804">
        <f>HYPERLINK("CSG0.html#group12C0", "12C⁰"), =HYPERLINK("CSG3.html#group48G3", "48G³"), =HYPERLINK("CSG0.html#group8D0", "8D⁰"), =HYPERLINK("CSG0.html#group4C0", "4C⁰"), =HYPERLINK("CSG9.html#group48U9", "48U⁹"), =HYPERLINK("CSG1.html#group12M1", "12M¹"), =HYPERLINK("CSG0.html#group2B0", "2B⁰"), =HYPERLINK("CSG2.html#group24C2", "24C²"), =HYPERLINK("CSG0.html#group1A0", "1A⁰"), =HYPERLINK("CSG4.html#group48E4", "48E⁴"), =HYPERLINK("CSG1.html#group16C1", "16C¹"), =HYPERLINK("CSG1.html#group24C1", "24C¹"), =HYPERLINK("CSG0.html#group3A0", "3A⁰"), =HYPERLINK("CSG4.html#group24L4", "24L⁴"), =HYPERLINK("CSG0.html#group6D0", "6D⁰"), =HYPERLINK("CSG10.html#group96D10", "96D¹⁰")</f>
        <v/>
      </c>
      <c r="N6804" t="inlineStr"/>
    </row>
    <row r="6805">
      <c r="A6805" t="inlineStr">
        <is>
          <t>96AE²¹</t>
        </is>
      </c>
      <c r="B6805" t="inlineStr"/>
      <c r="C6805" t="inlineStr">
        <is>
          <t>288</t>
        </is>
      </c>
      <c r="D6805" t="inlineStr">
        <is>
          <t>1</t>
        </is>
      </c>
      <c r="E6805" t="inlineStr">
        <is>
          <t>72</t>
        </is>
      </c>
      <c r="F6805" t="inlineStr">
        <is>
          <t>8</t>
        </is>
      </c>
      <c r="G6805" t="inlineStr">
        <is>
          <t>0</t>
        </is>
      </c>
      <c r="H6805" t="inlineStr">
        <is>
          <t>48², 96²</t>
        </is>
      </c>
      <c r="I6805" t="n">
        <v>4</v>
      </c>
      <c r="J6805" t="inlineStr">
        <is>
          <t>2⁸, 4⁸, 8¹, 16¹</t>
        </is>
      </c>
      <c r="K6805">
        <f>HYPERLINK("CSG9.html#group48Z9", "48Z⁹"), =HYPERLINK("CSG9.html#group96H9", "96H⁹")</f>
        <v/>
      </c>
      <c r="L6805" t="inlineStr"/>
      <c r="M6805">
        <f>HYPERLINK("CSG0.html#group12C0", "12C⁰"), =HYPERLINK("CSG9.html#group48Z9", "48Z⁹"), =HYPERLINK("CSG0.html#group4C0", "4C⁰"), =HYPERLINK("CSG0.html#group8B0", "8B⁰"), =HYPERLINK("CSG3.html#group24I3", "24I³"), =HYPERLINK("CSG0.html#group6G0", "6G⁰"), =HYPERLINK("CSG0.html#group2B0", "2B⁰"), =HYPERLINK("CSG2.html#group24C2", "24C²"), =HYPERLINK("CSG0.html#group1A0", "1A⁰"), =HYPERLINK("CSG1.html#group12L1", "12L¹"), =HYPERLINK("CSG3.html#group48H3", "48H³"), =HYPERLINK("CSG1.html#group16D1", "16D¹"), =HYPERLINK("CSG1.html#group12C1", "12C¹"), =HYPERLINK("CSG3.html#group48E3", "48E³"), =HYPERLINK("CSG0.html#group24A0", "24A⁰"), =HYPERLINK("CSG9.html#group96H9", "96H⁹"), =HYPERLINK("CSG0.html#group3C0", "3C⁰"), =HYPERLINK("CSG0.html#group3A0", "3A⁰"), =HYPERLINK("CSG0.html#group6D0", "6D⁰")</f>
        <v/>
      </c>
      <c r="N6805" t="inlineStr"/>
    </row>
    <row r="6806">
      <c r="A6806" t="inlineStr">
        <is>
          <t>96AF²¹</t>
        </is>
      </c>
      <c r="B6806" t="inlineStr"/>
      <c r="C6806" t="inlineStr">
        <is>
          <t>288</t>
        </is>
      </c>
      <c r="D6806" t="inlineStr">
        <is>
          <t>1</t>
        </is>
      </c>
      <c r="E6806" t="inlineStr">
        <is>
          <t>72</t>
        </is>
      </c>
      <c r="F6806" t="inlineStr">
        <is>
          <t>8</t>
        </is>
      </c>
      <c r="G6806" t="inlineStr">
        <is>
          <t>0</t>
        </is>
      </c>
      <c r="H6806" t="inlineStr">
        <is>
          <t>48², 96²</t>
        </is>
      </c>
      <c r="I6806" t="n">
        <v>4</v>
      </c>
      <c r="J6806" t="inlineStr">
        <is>
          <t>2⁸, 4⁸, 8¹, 16¹</t>
        </is>
      </c>
      <c r="K6806">
        <f>HYPERLINK("CSG9.html#group48Z9", "48Z⁹"), =HYPERLINK("CSG9.html#group96I9", "96I⁹")</f>
        <v/>
      </c>
      <c r="L6806" t="inlineStr"/>
      <c r="M6806">
        <f>HYPERLINK("CSG0.html#group12C0", "12C⁰"), =HYPERLINK("CSG9.html#group48Z9", "48Z⁹"), =HYPERLINK("CSG0.html#group4C0", "4C⁰"), =HYPERLINK("CSG3.html#group24I3", "24I³"), =HYPERLINK("CSG0.html#group8B0", "8B⁰"), =HYPERLINK("CSG0.html#group6G0", "6G⁰"), =HYPERLINK("CSG0.html#group2B0", "2B⁰"), =HYPERLINK("CSG2.html#group24C2", "24C²"), =HYPERLINK("CSG0.html#group1A0", "1A⁰"), =HYPERLINK("CSG3.html#group48H3", "48H³"), =HYPERLINK("CSG1.html#group12L1", "12L¹"), =HYPERLINK("CSG9.html#group96I9", "96I⁹"), =HYPERLINK("CSG1.html#group16D1", "16D¹"), =HYPERLINK("CSG1.html#group12C1", "12C¹"), =HYPERLINK("CSG3.html#group48E3", "48E³"), =HYPERLINK("CSG0.html#group24A0", "24A⁰"), =HYPERLINK("CSG0.html#group3C0", "3C⁰"), =HYPERLINK("CSG0.html#group3A0", "3A⁰"), =HYPERLINK("CSG0.html#group6D0", "6D⁰")</f>
        <v/>
      </c>
      <c r="N6806" t="inlineStr"/>
    </row>
    <row r="6807">
      <c r="A6807" t="inlineStr">
        <is>
          <t>96AG²¹</t>
        </is>
      </c>
      <c r="B6807" t="inlineStr"/>
      <c r="C6807" t="inlineStr">
        <is>
          <t>288</t>
        </is>
      </c>
      <c r="D6807" t="inlineStr">
        <is>
          <t>1</t>
        </is>
      </c>
      <c r="E6807" t="inlineStr">
        <is>
          <t>72</t>
        </is>
      </c>
      <c r="F6807" t="inlineStr">
        <is>
          <t>8</t>
        </is>
      </c>
      <c r="G6807" t="inlineStr">
        <is>
          <t>0</t>
        </is>
      </c>
      <c r="H6807" t="inlineStr">
        <is>
          <t>48², 96²</t>
        </is>
      </c>
      <c r="I6807" t="n">
        <v>4</v>
      </c>
      <c r="J6807" t="inlineStr">
        <is>
          <t>2⁸, 4⁸, 8¹, 16¹</t>
        </is>
      </c>
      <c r="K6807">
        <f>HYPERLINK("CSG9.html#group48Z9", "48Z⁹"), =HYPERLINK("CSG9.html#group96J9", "96J⁹")</f>
        <v/>
      </c>
      <c r="L6807" t="inlineStr"/>
      <c r="M6807">
        <f>HYPERLINK("CSG0.html#group12C0", "12C⁰"), =HYPERLINK("CSG9.html#group48Z9", "48Z⁹"), =HYPERLINK("CSG0.html#group4C0", "4C⁰"), =HYPERLINK("CSG0.html#group8B0", "8B⁰"), =HYPERLINK("CSG3.html#group24I3", "24I³"), =HYPERLINK("CSG0.html#group6G0", "6G⁰"), =HYPERLINK("CSG0.html#group2B0", "2B⁰"), =HYPERLINK("CSG2.html#group24C2", "24C²"), =HYPERLINK("CSG9.html#group96J9", "96J⁹"), =HYPERLINK("CSG0.html#group1A0", "1A⁰"), =HYPERLINK("CSG1.html#group12L1", "12L¹"), =HYPERLINK("CSG3.html#group48H3", "48H³"), =HYPERLINK("CSG1.html#group16D1", "16D¹"), =HYPERLINK("CSG1.html#group12C1", "12C¹"), =HYPERLINK("CSG3.html#group48E3", "48E³"), =HYPERLINK("CSG0.html#group24A0", "24A⁰"), =HYPERLINK("CSG0.html#group3C0", "3C⁰"), =HYPERLINK("CSG0.html#group3A0", "3A⁰"), =HYPERLINK("CSG0.html#group6D0", "6D⁰")</f>
        <v/>
      </c>
      <c r="N6807" t="inlineStr"/>
    </row>
    <row r="6808">
      <c r="A6808" t="inlineStr">
        <is>
          <t>96AH²¹</t>
        </is>
      </c>
      <c r="B6808" t="inlineStr"/>
      <c r="C6808" t="inlineStr">
        <is>
          <t>288</t>
        </is>
      </c>
      <c r="D6808" t="inlineStr">
        <is>
          <t>1</t>
        </is>
      </c>
      <c r="E6808" t="inlineStr">
        <is>
          <t>72</t>
        </is>
      </c>
      <c r="F6808" t="inlineStr">
        <is>
          <t>8</t>
        </is>
      </c>
      <c r="G6808" t="inlineStr">
        <is>
          <t>0</t>
        </is>
      </c>
      <c r="H6808" t="inlineStr">
        <is>
          <t>48², 96²</t>
        </is>
      </c>
      <c r="I6808" t="n">
        <v>4</v>
      </c>
      <c r="J6808" t="inlineStr">
        <is>
          <t>2⁸, 4⁸, 8¹, 16¹</t>
        </is>
      </c>
      <c r="K6808">
        <f>HYPERLINK("CSG9.html#group48Z9", "48Z⁹"), =HYPERLINK("CSG9.html#group96K9", "96K⁹")</f>
        <v/>
      </c>
      <c r="L6808" t="inlineStr"/>
      <c r="M6808">
        <f>HYPERLINK("CSG0.html#group12C0", "12C⁰"), =HYPERLINK("CSG9.html#group48Z9", "48Z⁹"), =HYPERLINK("CSG0.html#group4C0", "4C⁰"), =HYPERLINK("CSG0.html#group8B0", "8B⁰"), =HYPERLINK("CSG3.html#group24I3", "24I³"), =HYPERLINK("CSG0.html#group6G0", "6G⁰"), =HYPERLINK("CSG0.html#group2B0", "2B⁰"), =HYPERLINK("CSG2.html#group24C2", "24C²"), =HYPERLINK("CSG0.html#group1A0", "1A⁰"), =HYPERLINK("CSG1.html#group12L1", "12L¹"), =HYPERLINK("CSG3.html#group48H3", "48H³"), =HYPERLINK("CSG1.html#group16D1", "16D¹"), =HYPERLINK("CSG1.html#group12C1", "12C¹"), =HYPERLINK("CSG3.html#group48E3", "48E³"), =HYPERLINK("CSG0.html#group24A0", "24A⁰"), =HYPERLINK("CSG9.html#group96K9", "96K⁹"), =HYPERLINK("CSG0.html#group3C0", "3C⁰"), =HYPERLINK("CSG0.html#group3A0", "3A⁰"), =HYPERLINK("CSG0.html#group6D0", "6D⁰")</f>
        <v/>
      </c>
      <c r="N6808" t="inlineStr"/>
    </row>
    <row r="6809">
      <c r="A6809" t="inlineStr">
        <is>
          <t>96AI²¹</t>
        </is>
      </c>
      <c r="B6809" t="inlineStr"/>
      <c r="C6809" t="inlineStr">
        <is>
          <t>288</t>
        </is>
      </c>
      <c r="D6809" t="inlineStr">
        <is>
          <t>1</t>
        </is>
      </c>
      <c r="E6809" t="inlineStr">
        <is>
          <t>72</t>
        </is>
      </c>
      <c r="F6809" t="inlineStr">
        <is>
          <t>8</t>
        </is>
      </c>
      <c r="G6809" t="inlineStr">
        <is>
          <t>0</t>
        </is>
      </c>
      <c r="H6809" t="inlineStr">
        <is>
          <t>48², 96²</t>
        </is>
      </c>
      <c r="I6809" t="n">
        <v>4</v>
      </c>
      <c r="J6809" t="inlineStr">
        <is>
          <t>2⁸, 4⁸, 8¹, 16¹</t>
        </is>
      </c>
      <c r="K6809">
        <f>HYPERLINK("CSG9.html#group48Y9", "48Y⁹"), =HYPERLINK("CSG9.html#group96C9", "96C⁹"), =HYPERLINK("CSG9.html#group96H9", "96H⁹")</f>
        <v/>
      </c>
      <c r="L6809" t="inlineStr"/>
      <c r="M6809">
        <f>HYPERLINK("CSG9.html#group48Y9", "48Y⁹"), =HYPERLINK("CSG1.html#group16D1", "16D¹"), =HYPERLINK("CSG0.html#group12C0", "12C⁰"), =HYPERLINK("CSG3.html#group48E3", "48E³"), =HYPERLINK("CSG0.html#group24A0", "24A⁰"), =HYPERLINK("CSG0.html#group4C0", "4C⁰"), =HYPERLINK("CSG0.html#group8B0", "8B⁰"), =HYPERLINK("CSG9.html#group96H9", "96H⁹"), =HYPERLINK("CSG2.html#group24Q2", "24Q²"), =HYPERLINK("CSG0.html#group2B0", "2B⁰"), =HYPERLINK("CSG9.html#group96C9", "96C⁹"), =HYPERLINK("CSG3.html#group32E3", "32E³"), =HYPERLINK("CSG0.html#group3A0", "3A⁰"), =HYPERLINK("CSG0.html#group1A0", "1A⁰"), =HYPERLINK("CSG0.html#group6D0", "6D⁰"), =HYPERLINK("CSG4.html#group48C4", "48C⁴")</f>
        <v/>
      </c>
      <c r="N6809" t="inlineStr"/>
    </row>
    <row r="6810">
      <c r="A6810" t="inlineStr">
        <is>
          <t>96AJ²¹</t>
        </is>
      </c>
      <c r="B6810" t="inlineStr"/>
      <c r="C6810" t="inlineStr">
        <is>
          <t>288</t>
        </is>
      </c>
      <c r="D6810" t="inlineStr">
        <is>
          <t>1</t>
        </is>
      </c>
      <c r="E6810" t="inlineStr">
        <is>
          <t>72</t>
        </is>
      </c>
      <c r="F6810" t="inlineStr">
        <is>
          <t>8</t>
        </is>
      </c>
      <c r="G6810" t="inlineStr">
        <is>
          <t>0</t>
        </is>
      </c>
      <c r="H6810" t="inlineStr">
        <is>
          <t>48², 96²</t>
        </is>
      </c>
      <c r="I6810" t="n">
        <v>4</v>
      </c>
      <c r="J6810" t="inlineStr">
        <is>
          <t>2⁸, 4⁸, 8¹, 16¹</t>
        </is>
      </c>
      <c r="K6810">
        <f>HYPERLINK("CSG9.html#group48Y9", "48Y⁹"), =HYPERLINK("CSG9.html#group96D9", "96D⁹"), =HYPERLINK("CSG9.html#group96I9", "96I⁹")</f>
        <v/>
      </c>
      <c r="L6810" t="inlineStr"/>
      <c r="M6810">
        <f>HYPERLINK("CSG9.html#group48Y9", "48Y⁹"), =HYPERLINK("CSG9.html#group96I9", "96I⁹"), =HYPERLINK("CSG1.html#group16D1", "16D¹"), =HYPERLINK("CSG0.html#group12C0", "12C⁰"), =HYPERLINK("CSG3.html#group48E3", "48E³"), =HYPERLINK("CSG0.html#group24A0", "24A⁰"), =HYPERLINK("CSG9.html#group96D9", "96D⁹"), =HYPERLINK("CSG0.html#group4C0", "4C⁰"), =HYPERLINK("CSG0.html#group8B0", "8B⁰"), =HYPERLINK("CSG2.html#group24Q2", "24Q²"), =HYPERLINK("CSG0.html#group2B0", "2B⁰"), =HYPERLINK("CSG3.html#group32F3", "32F³"), =HYPERLINK("CSG0.html#group3A0", "3A⁰"), =HYPERLINK("CSG0.html#group1A0", "1A⁰"), =HYPERLINK("CSG0.html#group6D0", "6D⁰"), =HYPERLINK("CSG4.html#group48C4", "48C⁴")</f>
        <v/>
      </c>
      <c r="N6810" t="inlineStr"/>
    </row>
    <row r="6811">
      <c r="A6811" t="inlineStr">
        <is>
          <t>96AK²¹</t>
        </is>
      </c>
      <c r="B6811" t="inlineStr"/>
      <c r="C6811" t="inlineStr">
        <is>
          <t>288</t>
        </is>
      </c>
      <c r="D6811" t="inlineStr">
        <is>
          <t>1</t>
        </is>
      </c>
      <c r="E6811" t="inlineStr">
        <is>
          <t>72</t>
        </is>
      </c>
      <c r="F6811" t="inlineStr">
        <is>
          <t>8</t>
        </is>
      </c>
      <c r="G6811" t="inlineStr">
        <is>
          <t>0</t>
        </is>
      </c>
      <c r="H6811" t="inlineStr">
        <is>
          <t>48², 96²</t>
        </is>
      </c>
      <c r="I6811" t="n">
        <v>4</v>
      </c>
      <c r="J6811" t="inlineStr">
        <is>
          <t>2⁸, 4⁸, 8¹, 16¹</t>
        </is>
      </c>
      <c r="K6811">
        <f>HYPERLINK("CSG9.html#group48Y9", "48Y⁹"), =HYPERLINK("CSG9.html#group96E9", "96E⁹"), =HYPERLINK("CSG9.html#group96K9", "96K⁹")</f>
        <v/>
      </c>
      <c r="L6811" t="inlineStr"/>
      <c r="M6811">
        <f>HYPERLINK("CSG9.html#group48Y9", "48Y⁹"), =HYPERLINK("CSG1.html#group16D1", "16D¹"), =HYPERLINK("CSG0.html#group12C0", "12C⁰"), =HYPERLINK("CSG3.html#group48E3", "48E³"), =HYPERLINK("CSG0.html#group24A0", "24A⁰"), =HYPERLINK("CSG9.html#group96K9", "96K⁹"), =HYPERLINK("CSG0.html#group4C0", "4C⁰"), =HYPERLINK("CSG0.html#group8B0", "8B⁰"), =HYPERLINK("CSG2.html#group24Q2", "24Q²"), =HYPERLINK("CSG0.html#group2B0", "2B⁰"), =HYPERLINK("CSG3.html#group32G3", "32G³"), =HYPERLINK("CSG0.html#group3A0", "3A⁰"), =HYPERLINK("CSG0.html#group1A0", "1A⁰"), =HYPERLINK("CSG9.html#group96E9", "96E⁹"), =HYPERLINK("CSG0.html#group6D0", "6D⁰"), =HYPERLINK("CSG4.html#group48C4", "48C⁴")</f>
        <v/>
      </c>
      <c r="N6811" t="inlineStr"/>
    </row>
    <row r="6812">
      <c r="A6812" t="inlineStr">
        <is>
          <t>96AL²¹</t>
        </is>
      </c>
      <c r="B6812" t="inlineStr"/>
      <c r="C6812" t="inlineStr">
        <is>
          <t>288</t>
        </is>
      </c>
      <c r="D6812" t="inlineStr">
        <is>
          <t>1</t>
        </is>
      </c>
      <c r="E6812" t="inlineStr">
        <is>
          <t>72</t>
        </is>
      </c>
      <c r="F6812" t="inlineStr">
        <is>
          <t>8</t>
        </is>
      </c>
      <c r="G6812" t="inlineStr">
        <is>
          <t>0</t>
        </is>
      </c>
      <c r="H6812" t="inlineStr">
        <is>
          <t>48², 96²</t>
        </is>
      </c>
      <c r="I6812" t="n">
        <v>4</v>
      </c>
      <c r="J6812" t="inlineStr">
        <is>
          <t>2⁸, 4⁸, 8¹, 16¹</t>
        </is>
      </c>
      <c r="K6812">
        <f>HYPERLINK("CSG9.html#group48Y9", "48Y⁹"), =HYPERLINK("CSG9.html#group96F9", "96F⁹"), =HYPERLINK("CSG9.html#group96J9", "96J⁹")</f>
        <v/>
      </c>
      <c r="L6812" t="inlineStr"/>
      <c r="M6812">
        <f>HYPERLINK("CSG9.html#group48Y9", "48Y⁹"), =HYPERLINK("CSG1.html#group16D1", "16D¹"), =HYPERLINK("CSG0.html#group12C0", "12C⁰"), =HYPERLINK("CSG0.html#group3A0", "3A⁰"), =HYPERLINK("CSG3.html#group48E3", "48E³"), =HYPERLINK("CSG9.html#group96F9", "96F⁹"), =HYPERLINK("CSG0.html#group24A0", "24A⁰"), =HYPERLINK("CSG0.html#group4C0", "4C⁰"), =HYPERLINK("CSG0.html#group8B0", "8B⁰"), =HYPERLINK("CSG3.html#group32H3", "32H³"), =HYPERLINK("CSG2.html#group24Q2", "24Q²"), =HYPERLINK("CSG0.html#group2B0", "2B⁰"), =HYPERLINK("CSG9.html#group96J9", "96J⁹"), =HYPERLINK("CSG0.html#group1A0", "1A⁰"), =HYPERLINK("CSG0.html#group6D0", "6D⁰"), =HYPERLINK("CSG4.html#group48C4", "48C⁴")</f>
        <v/>
      </c>
      <c r="N6812" t="inlineStr"/>
    </row>
    <row r="6813">
      <c r="A6813" t="inlineStr">
        <is>
          <t>96AM²¹</t>
        </is>
      </c>
      <c r="B6813" t="inlineStr"/>
      <c r="C6813" t="inlineStr">
        <is>
          <t>288</t>
        </is>
      </c>
      <c r="D6813" t="inlineStr">
        <is>
          <t>1</t>
        </is>
      </c>
      <c r="E6813" t="inlineStr">
        <is>
          <t>72</t>
        </is>
      </c>
      <c r="F6813" t="inlineStr">
        <is>
          <t>8</t>
        </is>
      </c>
      <c r="G6813" t="inlineStr">
        <is>
          <t>0</t>
        </is>
      </c>
      <c r="H6813" t="inlineStr">
        <is>
          <t>48², 96²</t>
        </is>
      </c>
      <c r="I6813" t="n">
        <v>4</v>
      </c>
      <c r="J6813" t="inlineStr">
        <is>
          <t>2⁸, 4⁸, 8¹, 16¹</t>
        </is>
      </c>
      <c r="K6813">
        <f>HYPERLINK("CSG9.html#group48Z9", "48Z⁹"), =HYPERLINK("CSG9.html#group96C9", "96C⁹"), =HYPERLINK("CSG9.html#group96I9", "96I⁹")</f>
        <v/>
      </c>
      <c r="L6813" t="inlineStr"/>
      <c r="M6813">
        <f>HYPERLINK("CSG0.html#group12C0", "12C⁰"), =HYPERLINK("CSG9.html#group48Z9", "48Z⁹"), =HYPERLINK("CSG0.html#group4C0", "4C⁰"), =HYPERLINK("CSG3.html#group24I3", "24I³"), =HYPERLINK("CSG0.html#group8B0", "8B⁰"), =HYPERLINK("CSG0.html#group6G0", "6G⁰"), =HYPERLINK("CSG0.html#group2B0", "2B⁰"), =HYPERLINK("CSG2.html#group24C2", "24C²"), =HYPERLINK("CSG0.html#group1A0", "1A⁰"), =HYPERLINK("CSG3.html#group48H3", "48H³"), =HYPERLINK("CSG1.html#group12L1", "12L¹"), =HYPERLINK("CSG9.html#group96I9", "96I⁹"), =HYPERLINK("CSG1.html#group16D1", "16D¹"), =HYPERLINK("CSG1.html#group12C1", "12C¹"), =HYPERLINK("CSG3.html#group48E3", "48E³"), =HYPERLINK("CSG0.html#group24A0", "24A⁰"), =HYPERLINK("CSG0.html#group3C0", "3C⁰"), =HYPERLINK("CSG3.html#group32E3", "32E³"), =HYPERLINK("CSG9.html#group96C9", "96C⁹"), =HYPERLINK("CSG0.html#group3A0", "3A⁰"), =HYPERLINK("CSG0.html#group6D0", "6D⁰")</f>
        <v/>
      </c>
      <c r="N6813" t="inlineStr"/>
    </row>
    <row r="6814">
      <c r="A6814" t="inlineStr">
        <is>
          <t>96AN²¹</t>
        </is>
      </c>
      <c r="B6814" t="inlineStr"/>
      <c r="C6814" t="inlineStr">
        <is>
          <t>288</t>
        </is>
      </c>
      <c r="D6814" t="inlineStr">
        <is>
          <t>1</t>
        </is>
      </c>
      <c r="E6814" t="inlineStr">
        <is>
          <t>72</t>
        </is>
      </c>
      <c r="F6814" t="inlineStr">
        <is>
          <t>8</t>
        </is>
      </c>
      <c r="G6814" t="inlineStr">
        <is>
          <t>0</t>
        </is>
      </c>
      <c r="H6814" t="inlineStr">
        <is>
          <t>48², 96²</t>
        </is>
      </c>
      <c r="I6814" t="n">
        <v>4</v>
      </c>
      <c r="J6814" t="inlineStr">
        <is>
          <t>2⁸, 4⁸, 8¹, 16¹</t>
        </is>
      </c>
      <c r="K6814">
        <f>HYPERLINK("CSG9.html#group48Z9", "48Z⁹"), =HYPERLINK("CSG9.html#group96D9", "96D⁹"), =HYPERLINK("CSG9.html#group96H9", "96H⁹")</f>
        <v/>
      </c>
      <c r="L6814" t="inlineStr"/>
      <c r="M6814">
        <f>HYPERLINK("CSG0.html#group12C0", "12C⁰"), =HYPERLINK("CSG9.html#group48Z9", "48Z⁹"), =HYPERLINK("CSG0.html#group4C0", "4C⁰"), =HYPERLINK("CSG0.html#group8B0", "8B⁰"), =HYPERLINK("CSG3.html#group24I3", "24I³"), =HYPERLINK("CSG0.html#group6G0", "6G⁰"), =HYPERLINK("CSG0.html#group2B0", "2B⁰"), =HYPERLINK("CSG2.html#group24C2", "24C²"), =HYPERLINK("CSG3.html#group32F3", "32F³"), =HYPERLINK("CSG0.html#group1A0", "1A⁰"), =HYPERLINK("CSG1.html#group12L1", "12L¹"), =HYPERLINK("CSG3.html#group48H3", "48H³"), =HYPERLINK("CSG1.html#group16D1", "16D¹"), =HYPERLINK("CSG1.html#group12C1", "12C¹"), =HYPERLINK("CSG3.html#group48E3", "48E³"), =HYPERLINK("CSG0.html#group24A0", "24A⁰"), =HYPERLINK("CSG9.html#group96D9", "96D⁹"), =HYPERLINK("CSG9.html#group96H9", "96H⁹"), =HYPERLINK("CSG0.html#group3C0", "3C⁰"), =HYPERLINK("CSG0.html#group3A0", "3A⁰"), =HYPERLINK("CSG0.html#group6D0", "6D⁰")</f>
        <v/>
      </c>
      <c r="N6814" t="inlineStr"/>
    </row>
    <row r="6815">
      <c r="A6815" t="inlineStr">
        <is>
          <t>96AO²¹</t>
        </is>
      </c>
      <c r="B6815" t="inlineStr"/>
      <c r="C6815" t="inlineStr">
        <is>
          <t>288</t>
        </is>
      </c>
      <c r="D6815" t="inlineStr">
        <is>
          <t>1</t>
        </is>
      </c>
      <c r="E6815" t="inlineStr">
        <is>
          <t>72</t>
        </is>
      </c>
      <c r="F6815" t="inlineStr">
        <is>
          <t>8</t>
        </is>
      </c>
      <c r="G6815" t="inlineStr">
        <is>
          <t>0</t>
        </is>
      </c>
      <c r="H6815" t="inlineStr">
        <is>
          <t>48², 96²</t>
        </is>
      </c>
      <c r="I6815" t="n">
        <v>4</v>
      </c>
      <c r="J6815" t="inlineStr">
        <is>
          <t>2⁸, 4⁸, 8¹, 16¹</t>
        </is>
      </c>
      <c r="K6815">
        <f>HYPERLINK("CSG9.html#group48Z9", "48Z⁹"), =HYPERLINK("CSG9.html#group96E9", "96E⁹"), =HYPERLINK("CSG9.html#group96J9", "96J⁹")</f>
        <v/>
      </c>
      <c r="L6815" t="inlineStr"/>
      <c r="M6815">
        <f>HYPERLINK("CSG0.html#group12C0", "12C⁰"), =HYPERLINK("CSG9.html#group48Z9", "48Z⁹"), =HYPERLINK("CSG0.html#group4C0", "4C⁰"), =HYPERLINK("CSG0.html#group8B0", "8B⁰"), =HYPERLINK("CSG3.html#group24I3", "24I³"), =HYPERLINK("CSG0.html#group6G0", "6G⁰"), =HYPERLINK("CSG0.html#group2B0", "2B⁰"), =HYPERLINK("CSG3.html#group32G3", "32G³"), =HYPERLINK("CSG2.html#group24C2", "24C²"), =HYPERLINK("CSG9.html#group96J9", "96J⁹"), =HYPERLINK("CSG0.html#group1A0", "1A⁰"), =HYPERLINK("CSG9.html#group96E9", "96E⁹"), =HYPERLINK("CSG1.html#group12L1", "12L¹"), =HYPERLINK("CSG3.html#group48H3", "48H³"), =HYPERLINK("CSG1.html#group16D1", "16D¹"), =HYPERLINK("CSG1.html#group12C1", "12C¹"), =HYPERLINK("CSG3.html#group48E3", "48E³"), =HYPERLINK("CSG0.html#group24A0", "24A⁰"), =HYPERLINK("CSG0.html#group3C0", "3C⁰"), =HYPERLINK("CSG0.html#group3A0", "3A⁰"), =HYPERLINK("CSG0.html#group6D0", "6D⁰")</f>
        <v/>
      </c>
      <c r="N6815" t="inlineStr"/>
    </row>
    <row r="6816">
      <c r="A6816" t="inlineStr">
        <is>
          <t>96AP²¹</t>
        </is>
      </c>
      <c r="B6816" t="inlineStr"/>
      <c r="C6816" t="inlineStr">
        <is>
          <t>288</t>
        </is>
      </c>
      <c r="D6816" t="inlineStr">
        <is>
          <t>1</t>
        </is>
      </c>
      <c r="E6816" t="inlineStr">
        <is>
          <t>72</t>
        </is>
      </c>
      <c r="F6816" t="inlineStr">
        <is>
          <t>8</t>
        </is>
      </c>
      <c r="G6816" t="inlineStr">
        <is>
          <t>0</t>
        </is>
      </c>
      <c r="H6816" t="inlineStr">
        <is>
          <t>48², 96²</t>
        </is>
      </c>
      <c r="I6816" t="n">
        <v>4</v>
      </c>
      <c r="J6816" t="inlineStr">
        <is>
          <t>2⁸, 4⁸, 8¹, 16¹</t>
        </is>
      </c>
      <c r="K6816">
        <f>HYPERLINK("CSG9.html#group48Z9", "48Z⁹"), =HYPERLINK("CSG9.html#group96F9", "96F⁹"), =HYPERLINK("CSG9.html#group96K9", "96K⁹")</f>
        <v/>
      </c>
      <c r="L6816" t="inlineStr"/>
      <c r="M6816">
        <f>HYPERLINK("CSG0.html#group12C0", "12C⁰"), =HYPERLINK("CSG9.html#group96F9", "96F⁹"), =HYPERLINK("CSG9.html#group48Z9", "48Z⁹"), =HYPERLINK("CSG0.html#group4C0", "4C⁰"), =HYPERLINK("CSG0.html#group8B0", "8B⁰"), =HYPERLINK("CSG3.html#group24I3", "24I³"), =HYPERLINK("CSG0.html#group6G0", "6G⁰"), =HYPERLINK("CSG0.html#group2B0", "2B⁰"), =HYPERLINK("CSG2.html#group24C2", "24C²"), =HYPERLINK("CSG0.html#group1A0", "1A⁰"), =HYPERLINK("CSG1.html#group12L1", "12L¹"), =HYPERLINK("CSG3.html#group48H3", "48H³"), =HYPERLINK("CSG1.html#group16D1", "16D¹"), =HYPERLINK("CSG1.html#group12C1", "12C¹"), =HYPERLINK("CSG3.html#group48E3", "48E³"), =HYPERLINK("CSG0.html#group24A0", "24A⁰"), =HYPERLINK("CSG9.html#group96K9", "96K⁹"), =HYPERLINK("CSG0.html#group6D0", "6D⁰"), =HYPERLINK("CSG0.html#group3C0", "3C⁰"), =HYPERLINK("CSG0.html#group3A0", "3A⁰"), =HYPERLINK("CSG3.html#group32H3", "32H³")</f>
        <v/>
      </c>
      <c r="N6816" t="inlineStr"/>
    </row>
    <row r="6817">
      <c r="A6817" t="inlineStr">
        <is>
          <t>96AQ²¹</t>
        </is>
      </c>
      <c r="B6817" t="inlineStr"/>
      <c r="C6817" t="inlineStr">
        <is>
          <t>288</t>
        </is>
      </c>
      <c r="D6817" t="inlineStr">
        <is>
          <t>2</t>
        </is>
      </c>
      <c r="E6817" t="inlineStr">
        <is>
          <t>18</t>
        </is>
      </c>
      <c r="F6817" t="inlineStr">
        <is>
          <t>0</t>
        </is>
      </c>
      <c r="G6817" t="inlineStr">
        <is>
          <t>0</t>
        </is>
      </c>
      <c r="H6817" t="inlineStr">
        <is>
          <t>12⁴, 24², 96²</t>
        </is>
      </c>
      <c r="I6817" t="n">
        <v>8</v>
      </c>
      <c r="J6817" t="inlineStr">
        <is>
          <t>2¹², 4³</t>
        </is>
      </c>
      <c r="K6817">
        <f>HYPERLINK("CSG9.html#group48G9", "48G⁹"), =HYPERLINK("CSG11.html#group96D11", "96D¹¹"), =HYPERLINK("CSG11.html#group96E11", "96E¹¹")</f>
        <v/>
      </c>
      <c r="L6817" t="inlineStr"/>
      <c r="M6817">
        <f>HYPERLINK("CSG5.html#group48A5", "48A⁵"), =HYPERLINK("CSG0.html#group6B0", "6B⁰"), =HYPERLINK("CSG2.html#group12D2", "12D²"), =HYPERLINK("CSG4.html#group24J4", "24J⁴"), =HYPERLINK("CSG4.html#group48F4", "48F⁴"), =HYPERLINK("CSG11.html#group96E11", "96E¹¹"), =HYPERLINK("CSG1.html#group16A1", "16A¹"), =HYPERLINK("CSG0.html#group8C0", "8C⁰"), =HYPERLINK("CSG0.html#group2B0", "2B⁰"), =HYPERLINK("CSG0.html#group4B0", "4B⁰"), =HYPERLINK("CSG0.html#group1A0", "1A⁰"), =HYPERLINK("CSG2.html#group24B2", "24B²"), =HYPERLINK("CSG11.html#group96D11", "96D¹¹"), =HYPERLINK("CSG1.html#group12C1", "12C¹"), =HYPERLINK("CSG2.html#group24D2", "24D²"), =HYPERLINK("CSG1.html#group12B1", "12B¹"), =HYPERLINK("CSG9.html#group48G9", "48G⁹"), =HYPERLINK("CSG0.html#group6H0", "6H⁰"), =HYPERLINK("CSG0.html#group3A0", "3A⁰"), =HYPERLINK("CSG0.html#group6D0", "6D⁰")</f>
        <v/>
      </c>
      <c r="N6817" t="inlineStr"/>
    </row>
    <row r="6818">
      <c r="A6818" t="inlineStr">
        <is>
          <t>96AR²¹</t>
        </is>
      </c>
      <c r="B6818" t="inlineStr"/>
      <c r="C6818" t="inlineStr">
        <is>
          <t>288</t>
        </is>
      </c>
      <c r="D6818" t="inlineStr">
        <is>
          <t>2</t>
        </is>
      </c>
      <c r="E6818" t="inlineStr">
        <is>
          <t>36</t>
        </is>
      </c>
      <c r="F6818" t="inlineStr">
        <is>
          <t>0</t>
        </is>
      </c>
      <c r="G6818" t="inlineStr">
        <is>
          <t>0</t>
        </is>
      </c>
      <c r="H6818" t="inlineStr">
        <is>
          <t>12⁴, 24², 96²</t>
        </is>
      </c>
      <c r="I6818" t="n">
        <v>8</v>
      </c>
      <c r="J6818" t="inlineStr">
        <is>
          <t>2¹², 4⁶, 8³</t>
        </is>
      </c>
      <c r="K6818">
        <f>HYPERLINK("CSG9.html#group48Q9", "48Q⁹"), =HYPERLINK("CSG11.html#group96D11", "96D¹¹"), =HYPERLINK("CSG11.html#group96F11", "96F¹¹")</f>
        <v/>
      </c>
      <c r="L6818" t="inlineStr"/>
      <c r="M6818">
        <f>HYPERLINK("CSG5.html#group48A5", "48A⁵"), =HYPERLINK("CSG2.html#group24B2", "24B²"), =HYPERLINK("CSG11.html#group96F11", "96F¹¹"), =HYPERLINK("CSG0.html#group4B0", "4B⁰"), =HYPERLINK("CSG9.html#group48Q9", "48Q⁹"), =HYPERLINK("CSG0.html#group6D0", "6D⁰"), =HYPERLINK("CSG4.html#group24M4", "24M⁴"), =HYPERLINK("CSG1.html#group16A1", "16A¹"), =HYPERLINK("CSG0.html#group8C0", "8C⁰"), =HYPERLINK("CSG1.html#group12B1", "12B¹"), =HYPERLINK("CSG0.html#group2B0", "2B⁰"), =HYPERLINK("CSG0.html#group3A0", "3A⁰"), =HYPERLINK("CSG0.html#group1A0", "1A⁰"), =HYPERLINK("CSG4.html#group48G4", "48G⁴"), =HYPERLINK("CSG11.html#group96D11", "96D¹¹")</f>
        <v/>
      </c>
      <c r="N6818" t="inlineStr"/>
    </row>
    <row r="6819">
      <c r="A6819" t="inlineStr">
        <is>
          <t>96AS²¹</t>
        </is>
      </c>
      <c r="B6819" t="inlineStr"/>
      <c r="C6819" t="inlineStr">
        <is>
          <t>288</t>
        </is>
      </c>
      <c r="D6819" t="inlineStr">
        <is>
          <t>2</t>
        </is>
      </c>
      <c r="E6819" t="inlineStr">
        <is>
          <t>36</t>
        </is>
      </c>
      <c r="F6819" t="inlineStr">
        <is>
          <t>0</t>
        </is>
      </c>
      <c r="G6819" t="inlineStr">
        <is>
          <t>0</t>
        </is>
      </c>
      <c r="H6819" t="inlineStr">
        <is>
          <t>12⁴, 24², 96²</t>
        </is>
      </c>
      <c r="I6819" t="n">
        <v>8</v>
      </c>
      <c r="J6819" t="inlineStr">
        <is>
          <t>2¹², 4⁶, 8³</t>
        </is>
      </c>
      <c r="K6819">
        <f>HYPERLINK("CSG9.html#group48Q9", "48Q⁹"), =HYPERLINK("CSG11.html#group96E11", "96E¹¹"), =HYPERLINK("CSG11.html#group96F11", "96F¹¹")</f>
        <v/>
      </c>
      <c r="L6819" t="inlineStr"/>
      <c r="M6819">
        <f>HYPERLINK("CSG5.html#group48A5", "48A⁵"), =HYPERLINK("CSG2.html#group24B2", "24B²"), =HYPERLINK("CSG11.html#group96F11", "96F¹¹"), =HYPERLINK("CSG0.html#group4B0", "4B⁰"), =HYPERLINK("CSG9.html#group48Q9", "48Q⁹"), =HYPERLINK("CSG4.html#group24M4", "24M⁴"), =HYPERLINK("CSG11.html#group96E11", "96E¹¹"), =HYPERLINK("CSG1.html#group16A1", "16A¹"), =HYPERLINK("CSG0.html#group8C0", "8C⁰"), =HYPERLINK("CSG1.html#group12B1", "12B¹"), =HYPERLINK("CSG0.html#group2B0", "2B⁰"), =HYPERLINK("CSG0.html#group3A0", "3A⁰"), =HYPERLINK("CSG0.html#group1A0", "1A⁰"), =HYPERLINK("CSG4.html#group48G4", "48G⁴"), =HYPERLINK("CSG0.html#group6D0", "6D⁰")</f>
        <v/>
      </c>
      <c r="N6819" t="inlineStr"/>
    </row>
    <row r="6820">
      <c r="A6820" t="inlineStr">
        <is>
          <t>96AT²¹</t>
        </is>
      </c>
      <c r="B6820" t="inlineStr"/>
      <c r="C6820" t="inlineStr">
        <is>
          <t>288</t>
        </is>
      </c>
      <c r="D6820" t="inlineStr">
        <is>
          <t>2</t>
        </is>
      </c>
      <c r="E6820" t="inlineStr">
        <is>
          <t>36</t>
        </is>
      </c>
      <c r="F6820" t="inlineStr">
        <is>
          <t>8</t>
        </is>
      </c>
      <c r="G6820" t="inlineStr">
        <is>
          <t>0</t>
        </is>
      </c>
      <c r="H6820" t="inlineStr">
        <is>
          <t>48², 96²</t>
        </is>
      </c>
      <c r="I6820" t="n">
        <v>4</v>
      </c>
      <c r="J6820" t="inlineStr">
        <is>
          <t>2⁸, 4¹⁰, 8²</t>
        </is>
      </c>
      <c r="K6820">
        <f>HYPERLINK("CSG5.html#group48H5", "48H⁵"), =HYPERLINK("CSG7.html#group96A7", "96A⁷"), =HYPERLINK("CSG9.html#group96B9", "96B⁹")</f>
        <v/>
      </c>
      <c r="L6820" t="inlineStr"/>
      <c r="M6820">
        <f>HYPERLINK("CSG0.html#group16B0", "16B⁰"), =HYPERLINK("CSG0.html#group12C0", "12C⁰"), =HYPERLINK("CSG9.html#group96B9", "96B⁹"), =HYPERLINK("CSG0.html#group24A0", "24A⁰"), =HYPERLINK("CSG7.html#group96A7", "96A⁷"), =HYPERLINK("CSG0.html#group4C0", "4C⁰"), =HYPERLINK("CSG0.html#group8B0", "8B⁰"), =HYPERLINK("CSG2.html#group24Q2", "24Q²"), =HYPERLINK("CSG5.html#group48H5", "48H⁵"), =HYPERLINK("CSG0.html#group48A0", "48A⁰"), =HYPERLINK("CSG0.html#group2B0", "2B⁰"), =HYPERLINK("CSG3.html#group32D3", "32D³"), =HYPERLINK("CSG0.html#group3A0", "3A⁰"), =HYPERLINK("CSG0.html#group1A0", "1A⁰"), =HYPERLINK("CSG3.html#group48H3", "48H³"), =HYPERLINK("CSG0.html#group6D0", "6D⁰")</f>
        <v/>
      </c>
      <c r="N6820" t="inlineStr"/>
    </row>
    <row r="6821">
      <c r="A6821" t="inlineStr">
        <is>
          <t>96AU²¹</t>
        </is>
      </c>
      <c r="B6821" t="inlineStr"/>
      <c r="C6821" t="inlineStr">
        <is>
          <t>288</t>
        </is>
      </c>
      <c r="D6821" t="inlineStr">
        <is>
          <t>2</t>
        </is>
      </c>
      <c r="E6821" t="inlineStr">
        <is>
          <t>72</t>
        </is>
      </c>
      <c r="F6821" t="inlineStr">
        <is>
          <t>4</t>
        </is>
      </c>
      <c r="G6821" t="inlineStr">
        <is>
          <t>0</t>
        </is>
      </c>
      <c r="H6821" t="inlineStr">
        <is>
          <t>24⁴, 96²</t>
        </is>
      </c>
      <c r="I6821" t="n">
        <v>6</v>
      </c>
      <c r="J6821" t="inlineStr">
        <is>
          <t>2², 4⁵, 8⁷, 16⁴</t>
        </is>
      </c>
      <c r="K6821">
        <f>HYPERLINK("CSG9.html#group48S9", "48S⁹"), =HYPERLINK("CSG10.html#group96D10", "96D¹⁰")</f>
        <v/>
      </c>
      <c r="L6821" t="inlineStr"/>
      <c r="M6821">
        <f>HYPERLINK("CSG1.html#group24E1", "24E¹"), =HYPERLINK("CSG0.html#group12C0", "12C⁰"), =HYPERLINK("CSG4.html#group48H4", "48H⁴"), =HYPERLINK("CSG0.html#group8D0", "8D⁰"), =HYPERLINK("CSG0.html#group4C0", "4C⁰"), =HYPERLINK("CSG0.html#group6G0", "6G⁰"), =HYPERLINK("CSG0.html#group2B0", "2B⁰"), =HYPERLINK("CSG0.html#group1A0", "1A⁰"), =HYPERLINK("CSG3.html#group24O3", "24O³"), =HYPERLINK("CSG1.html#group12L1", "12L¹"), =HYPERLINK("CSG4.html#group48E4", "48E⁴"), =HYPERLINK("CSG1.html#group12C1", "12C¹"), =HYPERLINK("CSG9.html#group48S9", "48S⁹"), =HYPERLINK("CSG1.html#group16C1", "16C¹"), =HYPERLINK("CSG1.html#group24C1", "24C¹"), =HYPERLINK("CSG0.html#group3C0", "3C⁰"), =HYPERLINK("CSG0.html#group3A0", "3A⁰"), =HYPERLINK("CSG0.html#group6D0", "6D⁰"), =HYPERLINK("CSG10.html#group96D10", "96D¹⁰")</f>
        <v/>
      </c>
      <c r="N6821" t="inlineStr"/>
    </row>
    <row r="6822">
      <c r="A6822" t="inlineStr">
        <is>
          <t>96AV²¹</t>
        </is>
      </c>
      <c r="B6822" t="inlineStr"/>
      <c r="C6822" t="inlineStr">
        <is>
          <t>288</t>
        </is>
      </c>
      <c r="D6822" t="inlineStr">
        <is>
          <t>2</t>
        </is>
      </c>
      <c r="E6822" t="inlineStr">
        <is>
          <t>72</t>
        </is>
      </c>
      <c r="F6822" t="inlineStr">
        <is>
          <t>4</t>
        </is>
      </c>
      <c r="G6822" t="inlineStr">
        <is>
          <t>0</t>
        </is>
      </c>
      <c r="H6822" t="inlineStr">
        <is>
          <t>24⁴, 96²</t>
        </is>
      </c>
      <c r="I6822" t="n">
        <v>6</v>
      </c>
      <c r="J6822" t="inlineStr">
        <is>
          <t>2², 4⁵, 8⁷, 16⁴</t>
        </is>
      </c>
      <c r="K6822">
        <f>HYPERLINK("CSG9.html#group48S9", "48S⁹"), =HYPERLINK("CSG10.html#group96C10", "96C¹⁰"), =HYPERLINK("CSG10.html#group96D10", "96D¹⁰")</f>
        <v/>
      </c>
      <c r="L6822" t="inlineStr"/>
      <c r="M6822">
        <f>HYPERLINK("CSG1.html#group24E1", "24E¹"), =HYPERLINK("CSG0.html#group12C0", "12C⁰"), =HYPERLINK("CSG4.html#group48H4", "48H⁴"), =HYPERLINK("CSG0.html#group8D0", "8D⁰"), =HYPERLINK("CSG0.html#group4C0", "4C⁰"), =HYPERLINK("CSG0.html#group6G0", "6G⁰"), =HYPERLINK("CSG0.html#group2B0", "2B⁰"), =HYPERLINK("CSG3.html#group32I3", "32I³"), =HYPERLINK("CSG0.html#group1A0", "1A⁰"), =HYPERLINK("CSG3.html#group24O3", "24O³"), =HYPERLINK("CSG1.html#group12L1", "12L¹"), =HYPERLINK("CSG4.html#group48E4", "48E⁴"), =HYPERLINK("CSG1.html#group12C1", "12C¹"), =HYPERLINK("CSG9.html#group48S9", "48S⁹"), =HYPERLINK("CSG1.html#group16C1", "16C¹"), =HYPERLINK("CSG1.html#group24C1", "24C¹"), =HYPERLINK("CSG0.html#group3C0", "3C⁰"), =HYPERLINK("CSG0.html#group3A0", "3A⁰"), =HYPERLINK("CSG0.html#group6D0", "6D⁰"), =HYPERLINK("CSG10.html#group96D10", "96D¹⁰"), =HYPERLINK("CSG10.html#group96C10", "96C¹⁰")</f>
        <v/>
      </c>
      <c r="N6822" t="inlineStr"/>
    </row>
    <row r="6823">
      <c r="A6823" t="inlineStr">
        <is>
          <t>96AW²¹</t>
        </is>
      </c>
      <c r="B6823" t="inlineStr"/>
      <c r="C6823" t="inlineStr">
        <is>
          <t>288</t>
        </is>
      </c>
      <c r="D6823" t="inlineStr">
        <is>
          <t>2</t>
        </is>
      </c>
      <c r="E6823" t="inlineStr">
        <is>
          <t>72</t>
        </is>
      </c>
      <c r="F6823" t="inlineStr">
        <is>
          <t>4</t>
        </is>
      </c>
      <c r="G6823" t="inlineStr">
        <is>
          <t>0</t>
        </is>
      </c>
      <c r="H6823" t="inlineStr">
        <is>
          <t>24⁴, 96²</t>
        </is>
      </c>
      <c r="I6823" t="n">
        <v>6</v>
      </c>
      <c r="J6823" t="inlineStr">
        <is>
          <t>2², 4⁵, 8⁷, 16⁴</t>
        </is>
      </c>
      <c r="K6823">
        <f>HYPERLINK("CSG9.html#group48U9", "48U⁹"), =HYPERLINK("CSG10.html#group96C10", "96C¹⁰"), =HYPERLINK("CSG10.html#group96D10", "96D¹⁰")</f>
        <v/>
      </c>
      <c r="L6823" t="inlineStr"/>
      <c r="M6823">
        <f>HYPERLINK("CSG0.html#group12C0", "12C⁰"), =HYPERLINK("CSG3.html#group48G3", "48G³"), =HYPERLINK("CSG0.html#group8D0", "8D⁰"), =HYPERLINK("CSG0.html#group4C0", "4C⁰"), =HYPERLINK("CSG9.html#group48U9", "48U⁹"), =HYPERLINK("CSG1.html#group12M1", "12M¹"), =HYPERLINK("CSG0.html#group2B0", "2B⁰"), =HYPERLINK("CSG2.html#group24C2", "24C²"), =HYPERLINK("CSG3.html#group32I3", "32I³"), =HYPERLINK("CSG0.html#group1A0", "1A⁰"), =HYPERLINK("CSG4.html#group48E4", "48E⁴"), =HYPERLINK("CSG1.html#group16C1", "16C¹"), =HYPERLINK("CSG1.html#group24C1", "24C¹"), =HYPERLINK("CSG0.html#group3A0", "3A⁰"), =HYPERLINK("CSG4.html#group24L4", "24L⁴"), =HYPERLINK("CSG0.html#group6D0", "6D⁰"), =HYPERLINK("CSG10.html#group96D10", "96D¹⁰"), =HYPERLINK("CSG10.html#group96C10", "96C¹⁰")</f>
        <v/>
      </c>
      <c r="N6823" t="inlineStr"/>
    </row>
    <row r="6824">
      <c r="A6824" t="inlineStr">
        <is>
          <t>96AX²¹</t>
        </is>
      </c>
      <c r="B6824" t="inlineStr"/>
      <c r="C6824" t="inlineStr">
        <is>
          <t>288</t>
        </is>
      </c>
      <c r="D6824" t="inlineStr">
        <is>
          <t>2</t>
        </is>
      </c>
      <c r="E6824" t="inlineStr">
        <is>
          <t>72</t>
        </is>
      </c>
      <c r="F6824" t="inlineStr">
        <is>
          <t>8</t>
        </is>
      </c>
      <c r="G6824" t="inlineStr">
        <is>
          <t>0</t>
        </is>
      </c>
      <c r="H6824" t="inlineStr">
        <is>
          <t>48², 96²</t>
        </is>
      </c>
      <c r="I6824" t="n">
        <v>4</v>
      </c>
      <c r="J6824" t="inlineStr">
        <is>
          <t>4²⁴, 16³</t>
        </is>
      </c>
      <c r="K6824">
        <f>HYPERLINK("CSG9.html#group48Y9", "48Y⁹"), =HYPERLINK("CSG9.html#group96H9", "96H⁹"), =HYPERLINK("CSG9.html#group96I9", "96I⁹")</f>
        <v/>
      </c>
      <c r="L6824" t="inlineStr"/>
      <c r="M6824">
        <f>HYPERLINK("CSG9.html#group48Y9", "48Y⁹"), =HYPERLINK("CSG9.html#group96I9", "96I⁹"), =HYPERLINK("CSG1.html#group16D1", "16D¹"), =HYPERLINK("CSG0.html#group12C0", "12C⁰"), =HYPERLINK("CSG3.html#group48E3", "48E³"), =HYPERLINK("CSG0.html#group24A0", "24A⁰"), =HYPERLINK("CSG0.html#group4C0", "4C⁰"), =HYPERLINK("CSG0.html#group8B0", "8B⁰"), =HYPERLINK("CSG9.html#group96H9", "96H⁹"), =HYPERLINK("CSG2.html#group24Q2", "24Q²"), =HYPERLINK("CSG0.html#group2B0", "2B⁰"), =HYPERLINK("CSG0.html#group3A0", "3A⁰"), =HYPERLINK("CSG0.html#group1A0", "1A⁰"), =HYPERLINK("CSG0.html#group6D0", "6D⁰"), =HYPERLINK("CSG4.html#group48C4", "48C⁴")</f>
        <v/>
      </c>
      <c r="N6824" t="inlineStr"/>
    </row>
    <row r="6825">
      <c r="A6825" t="inlineStr">
        <is>
          <t>96AY²¹</t>
        </is>
      </c>
      <c r="B6825" t="inlineStr"/>
      <c r="C6825" t="inlineStr">
        <is>
          <t>288</t>
        </is>
      </c>
      <c r="D6825" t="inlineStr">
        <is>
          <t>2</t>
        </is>
      </c>
      <c r="E6825" t="inlineStr">
        <is>
          <t>72</t>
        </is>
      </c>
      <c r="F6825" t="inlineStr">
        <is>
          <t>8</t>
        </is>
      </c>
      <c r="G6825" t="inlineStr">
        <is>
          <t>0</t>
        </is>
      </c>
      <c r="H6825" t="inlineStr">
        <is>
          <t>48², 96²</t>
        </is>
      </c>
      <c r="I6825" t="n">
        <v>4</v>
      </c>
      <c r="J6825" t="inlineStr">
        <is>
          <t>4²⁴, 16³</t>
        </is>
      </c>
      <c r="K6825">
        <f>HYPERLINK("CSG9.html#group48Y9", "48Y⁹"), =HYPERLINK("CSG9.html#group96J9", "96J⁹"), =HYPERLINK("CSG9.html#group96K9", "96K⁹")</f>
        <v/>
      </c>
      <c r="L6825" t="inlineStr"/>
      <c r="M6825">
        <f>HYPERLINK("CSG9.html#group48Y9", "48Y⁹"), =HYPERLINK("CSG1.html#group16D1", "16D¹"), =HYPERLINK("CSG0.html#group12C0", "12C⁰"), =HYPERLINK("CSG0.html#group3A0", "3A⁰"), =HYPERLINK("CSG3.html#group48E3", "48E³"), =HYPERLINK("CSG0.html#group24A0", "24A⁰"), =HYPERLINK("CSG9.html#group96K9", "96K⁹"), =HYPERLINK("CSG0.html#group4C0", "4C⁰"), =HYPERLINK("CSG0.html#group8B0", "8B⁰"), =HYPERLINK("CSG2.html#group24Q2", "24Q²"), =HYPERLINK("CSG0.html#group2B0", "2B⁰"), =HYPERLINK("CSG9.html#group96J9", "96J⁹"), =HYPERLINK("CSG0.html#group1A0", "1A⁰"), =HYPERLINK("CSG0.html#group6D0", "6D⁰"), =HYPERLINK("CSG4.html#group48C4", "48C⁴")</f>
        <v/>
      </c>
      <c r="N6825" t="inlineStr"/>
    </row>
    <row r="6826">
      <c r="A6826" t="inlineStr">
        <is>
          <t>96AZ²¹</t>
        </is>
      </c>
      <c r="B6826" t="inlineStr"/>
      <c r="C6826" t="inlineStr">
        <is>
          <t>384</t>
        </is>
      </c>
      <c r="D6826" t="inlineStr">
        <is>
          <t>1</t>
        </is>
      </c>
      <c r="E6826" t="inlineStr">
        <is>
          <t>24</t>
        </is>
      </c>
      <c r="F6826" t="inlineStr">
        <is>
          <t>0</t>
        </is>
      </c>
      <c r="G6826" t="inlineStr">
        <is>
          <t>0</t>
        </is>
      </c>
      <c r="H6826" t="inlineStr">
        <is>
          <t>2⁸, 6⁸, 8², 24², 32², 96²</t>
        </is>
      </c>
      <c r="I6826" t="n">
        <v>24</v>
      </c>
      <c r="J6826" t="inlineStr">
        <is>
          <t>1⁸, 2⁶, 4¹</t>
        </is>
      </c>
      <c r="K6826">
        <f>HYPERLINK("CSG9.html#group48AK9", "48AK⁹"), =HYPERLINK("CSG9.html#group96L9", "96L⁹")</f>
        <v/>
      </c>
      <c r="L6826" t="inlineStr"/>
      <c r="M6826">
        <f>HYPERLINK("CSG0.html#group2A0", "2A⁰"), =HYPERLINK("CSG3.html#group24V3", "24V³"), =HYPERLINK("CSG9.html#group96L9", "96L⁹"), =HYPERLINK("CSG1.html#group24G1", "24G¹"), =HYPERLINK("CSG0.html#group4C0", "4C⁰"), =HYPERLINK("CSG1.html#group16A1", "16A¹"), =HYPERLINK("CSG0.html#group8C0", "8C⁰"), =HYPERLINK("CSG0.html#group2B0", "2B⁰"), =HYPERLINK("CSG0.html#group4E0", "4E⁰"), =HYPERLINK("CSG0.html#group4B0", "4B⁰"), =HYPERLINK("CSG0.html#group1A0", "1A⁰"), =HYPERLINK("CSG0.html#group8G0", "8G⁰"), =HYPERLINK("CSG3.html#group48J3", "48J³"), =HYPERLINK("CSG0.html#group16C0", "16C⁰"), =HYPERLINK("CSG9.html#group48AK9", "48AK⁹"), =HYPERLINK("CSG0.html#group6F0", "6F⁰"), =HYPERLINK("CSG0.html#group3B0", "3B⁰"), =HYPERLINK("CSG0.html#group8D0", "8D⁰"), =HYPERLINK("CSG1.html#group12F1", "12F¹"), =HYPERLINK("CSG1.html#group16E1", "16E¹"), =HYPERLINK("CSG0.html#group6I0", "6I⁰"), =HYPERLINK("CSG0.html#group6C0", "6C⁰"), =HYPERLINK("CSG1.html#group12P1", "12P¹"), =HYPERLINK("CSG2.html#group24I2", "24I²"), =HYPERLINK("CSG5.html#group48D5", "48D⁵"), =HYPERLINK("CSG0.html#group2C0", "2C⁰"), =HYPERLINK("CSG0.html#group12E0", "12E⁰")</f>
        <v/>
      </c>
      <c r="N6826" t="inlineStr"/>
    </row>
    <row r="6827">
      <c r="A6827" t="inlineStr">
        <is>
          <t>96BA²¹</t>
        </is>
      </c>
      <c r="B6827" t="inlineStr"/>
      <c r="C6827" t="inlineStr">
        <is>
          <t>384</t>
        </is>
      </c>
      <c r="D6827" t="inlineStr">
        <is>
          <t>1</t>
        </is>
      </c>
      <c r="E6827" t="inlineStr">
        <is>
          <t>24</t>
        </is>
      </c>
      <c r="F6827" t="inlineStr">
        <is>
          <t>0</t>
        </is>
      </c>
      <c r="G6827" t="inlineStr">
        <is>
          <t>0</t>
        </is>
      </c>
      <c r="H6827" t="inlineStr">
        <is>
          <t>2⁸, 6⁸, 8², 24², 32², 96²</t>
        </is>
      </c>
      <c r="I6827" t="n">
        <v>24</v>
      </c>
      <c r="J6827" t="inlineStr">
        <is>
          <t>1⁸, 2⁶, 4¹</t>
        </is>
      </c>
      <c r="K6827">
        <f>HYPERLINK("CSG3.html#group32J3", "32J³"), =HYPERLINK("CSG9.html#group48AK9", "48AK⁹"), =HYPERLINK("CSG9.html#group96M9", "96M⁹")</f>
        <v/>
      </c>
      <c r="L6827" t="inlineStr"/>
      <c r="M6827">
        <f>HYPERLINK("CSG0.html#group2A0", "2A⁰"), =HYPERLINK("CSG3.html#group24V3", "24V³"), =HYPERLINK("CSG9.html#group96M9", "96M⁹"), =HYPERLINK("CSG1.html#group24G1", "24G¹"), =HYPERLINK("CSG0.html#group4C0", "4C⁰"), =HYPERLINK("CSG1.html#group16A1", "16A¹"), =HYPERLINK("CSG0.html#group8C0", "8C⁰"), =HYPERLINK("CSG0.html#group4E0", "4E⁰"), =HYPERLINK("CSG0.html#group2B0", "2B⁰"), =HYPERLINK("CSG0.html#group4B0", "4B⁰"), =HYPERLINK("CSG0.html#group1A0", "1A⁰"), =HYPERLINK("CSG1.html#group32A1", "32A¹"), =HYPERLINK("CSG0.html#group8G0", "8G⁰"), =HYPERLINK("CSG3.html#group48J3", "48J³"), =HYPERLINK("CSG0.html#group16C0", "16C⁰"), =HYPERLINK("CSG9.html#group48AK9", "48AK⁹"), =HYPERLINK("CSG0.html#group6F0", "6F⁰"), =HYPERLINK("CSG0.html#group3B0", "3B⁰"), =HYPERLINK("CSG0.html#group8D0", "8D⁰"), =HYPERLINK("CSG1.html#group12F1", "12F¹"), =HYPERLINK("CSG1.html#group16E1", "16E¹"), =HYPERLINK("CSG0.html#group6I0", "6I⁰"), =HYPERLINK("CSG0.html#group6C0", "6C⁰"), =HYPERLINK("CSG1.html#group12P1", "12P¹"), =HYPERLINK("CSG3.html#group32J3", "32J³"), =HYPERLINK("CSG2.html#group24I2", "24I²"), =HYPERLINK("CSG5.html#group48D5", "48D⁵"), =HYPERLINK("CSG0.html#group2C0", "2C⁰"), =HYPERLINK("CSG0.html#group12E0", "12E⁰")</f>
        <v/>
      </c>
      <c r="N6827" t="inlineStr"/>
    </row>
    <row r="6828">
      <c r="A6828" t="inlineStr">
        <is>
          <t>96BB²¹</t>
        </is>
      </c>
      <c r="B6828" t="inlineStr"/>
      <c r="C6828" t="inlineStr">
        <is>
          <t>384</t>
        </is>
      </c>
      <c r="D6828" t="inlineStr">
        <is>
          <t>1</t>
        </is>
      </c>
      <c r="E6828" t="inlineStr">
        <is>
          <t>24</t>
        </is>
      </c>
      <c r="F6828" t="inlineStr">
        <is>
          <t>0</t>
        </is>
      </c>
      <c r="G6828" t="inlineStr">
        <is>
          <t>0</t>
        </is>
      </c>
      <c r="H6828" t="inlineStr">
        <is>
          <t>2⁸, 6⁸, 8², 24², 32², 96²</t>
        </is>
      </c>
      <c r="I6828" t="n">
        <v>24</v>
      </c>
      <c r="J6828" t="inlineStr">
        <is>
          <t>1⁸, 2⁶, 4¹</t>
        </is>
      </c>
      <c r="K6828">
        <f>HYPERLINK("CSG5.html#group48I5", "48I⁵"), =HYPERLINK("CSG11.html#group96G11", "96G¹¹"), =HYPERLINK("CSG11.html#group96H11", "96H¹¹")</f>
        <v/>
      </c>
      <c r="L6828" t="inlineStr"/>
      <c r="M6828">
        <f>HYPERLINK("CSG0.html#group3B0", "3B⁰"), =HYPERLINK("CSG5.html#group48I5", "48I⁵"), =HYPERLINK("CSG1.html#group24G1", "24G¹"), =HYPERLINK("CSG0.html#group12J0", "12J⁰"), =HYPERLINK("CSG0.html#group2B0", "2B⁰"), =HYPERLINK("CSG0.html#group8C0", "8C⁰"), =HYPERLINK("CSG0.html#group4B0", "4B⁰"), =HYPERLINK("CSG11.html#group96G11", "96G¹¹"), =HYPERLINK("CSG0.html#group1A0", "1A⁰"), =HYPERLINK("CSG11.html#group96H11", "96H¹¹"), =HYPERLINK("CSG1.html#group24J1", "24J¹"), =HYPERLINK("CSG0.html#group24B0", "24B⁰"), =HYPERLINK("CSG3.html#group48J3", "48J³"), =HYPERLINK("CSG0.html#group16C0", "16C⁰"), =HYPERLINK("CSG2.html#group32A2", "32A²"), =HYPERLINK("CSG3.html#group48I3", "48I³"), =HYPERLINK("CSG0.html#group6F0", "6F⁰"), =HYPERLINK("CSG0.html#group12E0", "12E⁰")</f>
        <v/>
      </c>
      <c r="N6828" t="inlineStr"/>
    </row>
    <row r="6829">
      <c r="A6829" t="inlineStr">
        <is>
          <t>96BC²¹</t>
        </is>
      </c>
      <c r="B6829" t="inlineStr"/>
      <c r="C6829" t="inlineStr">
        <is>
          <t>384</t>
        </is>
      </c>
      <c r="D6829" t="inlineStr">
        <is>
          <t>1</t>
        </is>
      </c>
      <c r="E6829" t="inlineStr">
        <is>
          <t>24</t>
        </is>
      </c>
      <c r="F6829" t="inlineStr">
        <is>
          <t>0</t>
        </is>
      </c>
      <c r="G6829" t="inlineStr">
        <is>
          <t>0</t>
        </is>
      </c>
      <c r="H6829" t="inlineStr">
        <is>
          <t>2⁸, 6⁸, 8², 24², 32², 96²</t>
        </is>
      </c>
      <c r="I6829" t="n">
        <v>24</v>
      </c>
      <c r="J6829" t="inlineStr">
        <is>
          <t>1⁸, 2⁶, 4¹</t>
        </is>
      </c>
      <c r="K6829">
        <f>HYPERLINK("CSG7.html#group96B7", "96B⁷"), =HYPERLINK("CSG9.html#group48AJ9", "48AJ⁹"), =HYPERLINK("CSG11.html#group96H11", "96H¹¹")</f>
        <v/>
      </c>
      <c r="L6829" t="inlineStr"/>
      <c r="M6829">
        <f>HYPERLINK("CSG5.html#group48C5", "48C⁵"), =HYPERLINK("CSG0.html#group3B0", "3B⁰"), =HYPERLINK("CSG9.html#group48AJ9", "48AJ⁹"), =HYPERLINK("CSG1.html#group24G1", "24G¹"), =HYPERLINK("CSG0.html#group12J0", "12J⁰"), =HYPERLINK("CSG0.html#group8C0", "8C⁰"), =HYPERLINK("CSG0.html#group2B0", "2B⁰"), =HYPERLINK("CSG0.html#group4B0", "4B⁰"), =HYPERLINK("CSG7.html#group96B7", "96B⁷"), =HYPERLINK("CSG0.html#group1A0", "1A⁰"), =HYPERLINK("CSG11.html#group96H11", "96H¹¹"), =HYPERLINK("CSG3.html#group48J3", "48J³"), =HYPERLINK("CSG0.html#group16C0", "16C⁰"), =HYPERLINK("CSG3.html#group24W3", "24W³"), =HYPERLINK("CSG2.html#group32A2", "32A²"), =HYPERLINK("CSG2.html#group24F2", "24F²"), =HYPERLINK("CSG0.html#group6F0", "6F⁰"), =HYPERLINK("CSG0.html#group12E0", "12E⁰")</f>
        <v/>
      </c>
      <c r="N6829" t="inlineStr"/>
    </row>
    <row r="6830">
      <c r="A6830" t="inlineStr">
        <is>
          <t>96BD²¹</t>
        </is>
      </c>
      <c r="B6830" t="inlineStr"/>
      <c r="C6830" t="inlineStr">
        <is>
          <t>384</t>
        </is>
      </c>
      <c r="D6830" t="inlineStr">
        <is>
          <t>1</t>
        </is>
      </c>
      <c r="E6830" t="inlineStr">
        <is>
          <t>24</t>
        </is>
      </c>
      <c r="F6830" t="inlineStr">
        <is>
          <t>0</t>
        </is>
      </c>
      <c r="G6830" t="inlineStr">
        <is>
          <t>0</t>
        </is>
      </c>
      <c r="H6830" t="inlineStr">
        <is>
          <t>2⁸, 6⁸, 8², 24², 32², 96²</t>
        </is>
      </c>
      <c r="I6830" t="n">
        <v>24</v>
      </c>
      <c r="J6830" t="inlineStr">
        <is>
          <t>1⁸, 2⁶, 4¹</t>
        </is>
      </c>
      <c r="K6830">
        <f>HYPERLINK("CSG7.html#group96B7", "96B⁷"), =HYPERLINK("CSG9.html#group48AK9", "48AK⁹"), =HYPERLINK("CSG11.html#group96G11", "96G¹¹")</f>
        <v/>
      </c>
      <c r="L6830" t="inlineStr"/>
      <c r="M6830">
        <f>HYPERLINK("CSG0.html#group2A0", "2A⁰"), =HYPERLINK("CSG3.html#group24V3", "24V³"), =HYPERLINK("CSG1.html#group24G1", "24G¹"), =HYPERLINK("CSG0.html#group4C0", "4C⁰"), =HYPERLINK("CSG1.html#group16A1", "16A¹"), =HYPERLINK("CSG0.html#group8C0", "8C⁰"), =HYPERLINK("CSG0.html#group2B0", "2B⁰"), =HYPERLINK("CSG0.html#group4E0", "4E⁰"), =HYPERLINK("CSG0.html#group4B0", "4B⁰"), =HYPERLINK("CSG11.html#group96G11", "96G¹¹"), =HYPERLINK("CSG0.html#group1A0", "1A⁰"), =HYPERLINK("CSG0.html#group8G0", "8G⁰"), =HYPERLINK("CSG3.html#group48J3", "48J³"), =HYPERLINK("CSG0.html#group16C0", "16C⁰"), =HYPERLINK("CSG9.html#group48AK9", "48AK⁹"), =HYPERLINK("CSG0.html#group6F0", "6F⁰"), =HYPERLINK("CSG0.html#group3B0", "3B⁰"), =HYPERLINK("CSG0.html#group8D0", "8D⁰"), =HYPERLINK("CSG1.html#group12F1", "12F¹"), =HYPERLINK("CSG1.html#group16E1", "16E¹"), =HYPERLINK("CSG0.html#group6I0", "6I⁰"), =HYPERLINK("CSG0.html#group6C0", "6C⁰"), =HYPERLINK("CSG1.html#group12P1", "12P¹"), =HYPERLINK("CSG7.html#group96B7", "96B⁷"), =HYPERLINK("CSG2.html#group24I2", "24I²"), =HYPERLINK("CSG5.html#group48D5", "48D⁵"), =HYPERLINK("CSG0.html#group2C0", "2C⁰"), =HYPERLINK("CSG0.html#group12E0", "12E⁰")</f>
        <v/>
      </c>
      <c r="N6830" t="inlineStr"/>
    </row>
    <row r="6831">
      <c r="A6831" t="inlineStr">
        <is>
          <t>96BE²¹</t>
        </is>
      </c>
      <c r="B6831" t="inlineStr"/>
      <c r="C6831" t="inlineStr">
        <is>
          <t>384</t>
        </is>
      </c>
      <c r="D6831" t="inlineStr">
        <is>
          <t>1</t>
        </is>
      </c>
      <c r="E6831" t="inlineStr">
        <is>
          <t>24</t>
        </is>
      </c>
      <c r="F6831" t="inlineStr">
        <is>
          <t>0</t>
        </is>
      </c>
      <c r="G6831" t="inlineStr">
        <is>
          <t>0</t>
        </is>
      </c>
      <c r="H6831" t="inlineStr">
        <is>
          <t>2⁸, 6⁸, 8², 24², 32², 96²</t>
        </is>
      </c>
      <c r="I6831" t="n">
        <v>24</v>
      </c>
      <c r="J6831" t="inlineStr">
        <is>
          <t>1⁸, 2⁶, 4¹</t>
        </is>
      </c>
      <c r="K6831">
        <f>HYPERLINK("CSG7.html#group96C7", "96C⁷"), =HYPERLINK("CSG9.html#group48AJ9", "48AJ⁹"), =HYPERLINK("CSG11.html#group96G11", "96G¹¹")</f>
        <v/>
      </c>
      <c r="L6831" t="inlineStr"/>
      <c r="M6831">
        <f>HYPERLINK("CSG7.html#group96C7", "96C⁷"), =HYPERLINK("CSG0.html#group3B0", "3B⁰"), =HYPERLINK("CSG5.html#group48C5", "48C⁵"), =HYPERLINK("CSG9.html#group48AJ9", "48AJ⁹"), =HYPERLINK("CSG1.html#group24G1", "24G¹"), =HYPERLINK("CSG0.html#group12J0", "12J⁰"), =HYPERLINK("CSG0.html#group8C0", "8C⁰"), =HYPERLINK("CSG0.html#group2B0", "2B⁰"), =HYPERLINK("CSG0.html#group4B0", "4B⁰"), =HYPERLINK("CSG11.html#group96G11", "96G¹¹"), =HYPERLINK("CSG0.html#group1A0", "1A⁰"), =HYPERLINK("CSG3.html#group48J3", "48J³"), =HYPERLINK("CSG0.html#group16C0", "16C⁰"), =HYPERLINK("CSG0.html#group32A0", "32A⁰"), =HYPERLINK("CSG3.html#group24W3", "24W³"), =HYPERLINK("CSG2.html#group24F2", "24F²"), =HYPERLINK("CSG0.html#group6F0", "6F⁰"), =HYPERLINK("CSG0.html#group12E0", "12E⁰")</f>
        <v/>
      </c>
      <c r="N6831" t="inlineStr"/>
    </row>
    <row r="6832">
      <c r="A6832" t="inlineStr">
        <is>
          <t>96BF²¹</t>
        </is>
      </c>
      <c r="B6832" t="inlineStr"/>
      <c r="C6832" t="inlineStr">
        <is>
          <t>384</t>
        </is>
      </c>
      <c r="D6832" t="inlineStr">
        <is>
          <t>1</t>
        </is>
      </c>
      <c r="E6832" t="inlineStr">
        <is>
          <t>24</t>
        </is>
      </c>
      <c r="F6832" t="inlineStr">
        <is>
          <t>0</t>
        </is>
      </c>
      <c r="G6832" t="inlineStr">
        <is>
          <t>0</t>
        </is>
      </c>
      <c r="H6832" t="inlineStr">
        <is>
          <t>2⁸, 6⁸, 8², 24², 32², 96²</t>
        </is>
      </c>
      <c r="I6832" t="n">
        <v>24</v>
      </c>
      <c r="J6832" t="inlineStr">
        <is>
          <t>1⁸, 2⁶, 4¹</t>
        </is>
      </c>
      <c r="K6832">
        <f>HYPERLINK("CSG3.html#group32K3", "32K³"), =HYPERLINK("CSG7.html#group96C7", "96C⁷"), =HYPERLINK("CSG9.html#group48AK9", "48AK⁹"), =HYPERLINK("CSG11.html#group96H11", "96H¹¹")</f>
        <v/>
      </c>
      <c r="L6832" t="inlineStr"/>
      <c r="M6832">
        <f>HYPERLINK("CSG7.html#group96C7", "96C⁷"), =HYPERLINK("CSG0.html#group2A0", "2A⁰"), =HYPERLINK("CSG3.html#group24V3", "24V³"), =HYPERLINK("CSG1.html#group24G1", "24G¹"), =HYPERLINK("CSG0.html#group4C0", "4C⁰"), =HYPERLINK("CSG1.html#group16A1", "16A¹"), =HYPERLINK("CSG0.html#group8C0", "8C⁰"), =HYPERLINK("CSG0.html#group2B0", "2B⁰"), =HYPERLINK("CSG0.html#group4E0", "4E⁰"), =HYPERLINK("CSG0.html#group4B0", "4B⁰"), =HYPERLINK("CSG0.html#group1A0", "1A⁰"), =HYPERLINK("CSG11.html#group96H11", "96H¹¹"), =HYPERLINK("CSG0.html#group8G0", "8G⁰"), =HYPERLINK("CSG3.html#group48J3", "48J³"), =HYPERLINK("CSG0.html#group16C0", "16C⁰"), =HYPERLINK("CSG0.html#group32A0", "32A⁰"), =HYPERLINK("CSG9.html#group48AK9", "48AK⁹"), =HYPERLINK("CSG0.html#group6F0", "6F⁰"), =HYPERLINK("CSG0.html#group3B0", "3B⁰"), =HYPERLINK("CSG0.html#group8D0", "8D⁰"), =HYPERLINK("CSG1.html#group12F1", "12F¹"), =HYPERLINK("CSG1.html#group16E1", "16E¹"), =HYPERLINK("CSG0.html#group6I0", "6I⁰"), =HYPERLINK("CSG0.html#group6C0", "6C⁰"), =HYPERLINK("CSG3.html#group32K3", "32K³"), =HYPERLINK("CSG1.html#group12P1", "12P¹"), =HYPERLINK("CSG2.html#group24I2", "24I²"), =HYPERLINK("CSG2.html#group32A2", "32A²"), =HYPERLINK("CSG5.html#group48D5", "48D⁵"), =HYPERLINK("CSG0.html#group2C0", "2C⁰"), =HYPERLINK("CSG0.html#group12E0", "12E⁰")</f>
        <v/>
      </c>
      <c r="N6832" t="inlineStr"/>
    </row>
    <row r="6833">
      <c r="A6833" t="inlineStr">
        <is>
          <t>96BG²¹</t>
        </is>
      </c>
      <c r="B6833" t="inlineStr"/>
      <c r="C6833" t="inlineStr">
        <is>
          <t>384</t>
        </is>
      </c>
      <c r="D6833" t="inlineStr">
        <is>
          <t>1</t>
        </is>
      </c>
      <c r="E6833" t="inlineStr">
        <is>
          <t>48</t>
        </is>
      </c>
      <c r="F6833" t="inlineStr">
        <is>
          <t>0</t>
        </is>
      </c>
      <c r="G6833" t="inlineStr">
        <is>
          <t>0</t>
        </is>
      </c>
      <c r="H6833" t="inlineStr">
        <is>
          <t>2⁸, 6⁸, 8², 24², 32², 96²</t>
        </is>
      </c>
      <c r="I6833" t="n">
        <v>24</v>
      </c>
      <c r="J6833" t="inlineStr">
        <is>
          <t>1⁸, 2⁸, 4⁴, 8¹</t>
        </is>
      </c>
      <c r="K6833">
        <f>HYPERLINK("CSG7.html#group48AN7", "48AN⁷"), =HYPERLINK("CSG9.html#group96L9", "96L⁹"), =HYPERLINK("CSG11.html#group96H11", "96H¹¹")</f>
        <v/>
      </c>
      <c r="L6833" t="inlineStr"/>
      <c r="M6833">
        <f>HYPERLINK("CSG0.html#group3B0", "3B⁰"), =HYPERLINK("CSG3.html#group24X3", "24X³"), =HYPERLINK("CSG7.html#group48AN7", "48AN⁷"), =HYPERLINK("CSG3.html#group48J3", "48J³"), =HYPERLINK("CSG9.html#group96L9", "96L⁹"), =HYPERLINK("CSG0.html#group16C0", "16C⁰"), =HYPERLINK("CSG1.html#group24G1", "24G¹"), =HYPERLINK("CSG3.html#group48K3", "48K³"), =HYPERLINK("CSG0.html#group6F0", "6F⁰"), =HYPERLINK("CSG2.html#group32A2", "32A²"), =HYPERLINK("CSG0.html#group8C0", "8C⁰"), =HYPERLINK("CSG0.html#group2B0", "2B⁰"), =HYPERLINK("CSG0.html#group4B0", "4B⁰"), =HYPERLINK("CSG0.html#group1A0", "1A⁰"), =HYPERLINK("CSG11.html#group96H11", "96H¹¹"), =HYPERLINK("CSG0.html#group12E0", "12E⁰")</f>
        <v/>
      </c>
      <c r="N6833" t="inlineStr"/>
    </row>
    <row r="6834">
      <c r="A6834" t="inlineStr">
        <is>
          <t>96BH²¹</t>
        </is>
      </c>
      <c r="B6834" t="inlineStr"/>
      <c r="C6834" t="inlineStr">
        <is>
          <t>384</t>
        </is>
      </c>
      <c r="D6834" t="inlineStr">
        <is>
          <t>1</t>
        </is>
      </c>
      <c r="E6834" t="inlineStr">
        <is>
          <t>48</t>
        </is>
      </c>
      <c r="F6834" t="inlineStr">
        <is>
          <t>0</t>
        </is>
      </c>
      <c r="G6834" t="inlineStr">
        <is>
          <t>0</t>
        </is>
      </c>
      <c r="H6834" t="inlineStr">
        <is>
          <t>2⁸, 6⁸, 8², 24², 32², 96²</t>
        </is>
      </c>
      <c r="I6834" t="n">
        <v>24</v>
      </c>
      <c r="J6834" t="inlineStr">
        <is>
          <t>1⁸, 2⁸, 4⁴, 8¹</t>
        </is>
      </c>
      <c r="K6834">
        <f>HYPERLINK("CSG7.html#group48AN7", "48AN⁷"), =HYPERLINK("CSG9.html#group96M9", "96M⁹"), =HYPERLINK("CSG11.html#group96G11", "96G¹¹")</f>
        <v/>
      </c>
      <c r="L6834" t="inlineStr"/>
      <c r="M6834">
        <f>HYPERLINK("CSG0.html#group3B0", "3B⁰"), =HYPERLINK("CSG3.html#group24X3", "24X³"), =HYPERLINK("CSG7.html#group48AN7", "48AN⁷"), =HYPERLINK("CSG9.html#group96M9", "96M⁹"), =HYPERLINK("CSG1.html#group32A1", "32A¹"), =HYPERLINK("CSG3.html#group48J3", "48J³"), =HYPERLINK("CSG0.html#group16C0", "16C⁰"), =HYPERLINK("CSG1.html#group24G1", "24G¹"), =HYPERLINK("CSG3.html#group48K3", "48K³"), =HYPERLINK("CSG0.html#group6F0", "6F⁰"), =HYPERLINK("CSG0.html#group8C0", "8C⁰"), =HYPERLINK("CSG0.html#group2B0", "2B⁰"), =HYPERLINK("CSG0.html#group4B0", "4B⁰"), =HYPERLINK("CSG11.html#group96G11", "96G¹¹"), =HYPERLINK("CSG0.html#group1A0", "1A⁰"), =HYPERLINK("CSG0.html#group12E0", "12E⁰")</f>
        <v/>
      </c>
      <c r="N6834" t="inlineStr"/>
    </row>
    <row r="6835">
      <c r="A6835" t="inlineStr">
        <is>
          <t>96BI²¹</t>
        </is>
      </c>
      <c r="B6835" t="inlineStr"/>
      <c r="C6835" t="inlineStr">
        <is>
          <t>384</t>
        </is>
      </c>
      <c r="D6835" t="inlineStr">
        <is>
          <t>1</t>
        </is>
      </c>
      <c r="E6835" t="inlineStr">
        <is>
          <t>48</t>
        </is>
      </c>
      <c r="F6835" t="inlineStr">
        <is>
          <t>0</t>
        </is>
      </c>
      <c r="G6835" t="inlineStr">
        <is>
          <t>0</t>
        </is>
      </c>
      <c r="H6835" t="inlineStr">
        <is>
          <t>2⁸, 6⁸, 8², 24², 32², 96²</t>
        </is>
      </c>
      <c r="I6835" t="n">
        <v>24</v>
      </c>
      <c r="J6835" t="inlineStr">
        <is>
          <t>1⁸, 2⁸, 4⁴, 8¹</t>
        </is>
      </c>
      <c r="K6835">
        <f>HYPERLINK("CSG7.html#group48AP7", "48AP⁷"), =HYPERLINK("CSG9.html#group96L9", "96L⁹"), =HYPERLINK("CSG11.html#group96G11", "96G¹¹")</f>
        <v/>
      </c>
      <c r="L6835" t="inlineStr"/>
      <c r="M6835">
        <f>HYPERLINK("CSG0.html#group3B0", "3B⁰"), =HYPERLINK("CSG9.html#group96L9", "96L⁹"), =HYPERLINK("CSG1.html#group24G1", "24G¹"), =HYPERLINK("CSG0.html#group8C0", "8C⁰"), =HYPERLINK("CSG0.html#group2B0", "2B⁰"), =HYPERLINK("CSG0.html#group8I0", "8I⁰"), =HYPERLINK("CSG0.html#group4B0", "4B⁰"), =HYPERLINK("CSG11.html#group96G11", "96G¹¹"), =HYPERLINK("CSG0.html#group1A0", "1A⁰"), =HYPERLINK("CSG0.html#group16H0", "16H⁰"), =HYPERLINK("CSG3.html#group48J3", "48J³"), =HYPERLINK("CSG0.html#group16C0", "16C⁰"), =HYPERLINK("CSG0.html#group16D0", "16D⁰"), =HYPERLINK("CSG3.html#group24Y3", "24Y³"), =HYPERLINK("CSG0.html#group6F0", "6F⁰"), =HYPERLINK("CSG7.html#group48AP7", "48AP⁷"), =HYPERLINK("CSG0.html#group12E0", "12E⁰"), =HYPERLINK("CSG3.html#group48L3", "48L³")</f>
        <v/>
      </c>
      <c r="N6835" t="inlineStr"/>
    </row>
    <row r="6836">
      <c r="A6836" t="inlineStr">
        <is>
          <t>96BJ²¹</t>
        </is>
      </c>
      <c r="B6836" t="inlineStr"/>
      <c r="C6836" t="inlineStr">
        <is>
          <t>384</t>
        </is>
      </c>
      <c r="D6836" t="inlineStr">
        <is>
          <t>1</t>
        </is>
      </c>
      <c r="E6836" t="inlineStr">
        <is>
          <t>48</t>
        </is>
      </c>
      <c r="F6836" t="inlineStr">
        <is>
          <t>0</t>
        </is>
      </c>
      <c r="G6836" t="inlineStr">
        <is>
          <t>0</t>
        </is>
      </c>
      <c r="H6836" t="inlineStr">
        <is>
          <t>2⁸, 6⁸, 8², 24², 32², 96²</t>
        </is>
      </c>
      <c r="I6836" t="n">
        <v>24</v>
      </c>
      <c r="J6836" t="inlineStr">
        <is>
          <t>1⁸, 2⁸, 4⁴, 8¹</t>
        </is>
      </c>
      <c r="K6836">
        <f>HYPERLINK("CSG9.html#group48AJ9", "48AJ⁹"), =HYPERLINK("CSG9.html#group96L9", "96L⁹"), =HYPERLINK("CSG9.html#group96M9", "96M⁹")</f>
        <v/>
      </c>
      <c r="L6836" t="inlineStr"/>
      <c r="M6836">
        <f>HYPERLINK("CSG5.html#group48C5", "48C⁵"), =HYPERLINK("CSG0.html#group3B0", "3B⁰"), =HYPERLINK("CSG9.html#group96M9", "96M⁹"), =HYPERLINK("CSG9.html#group48AJ9", "48AJ⁹"), =HYPERLINK("CSG9.html#group96L9", "96L⁹"), =HYPERLINK("CSG1.html#group24G1", "24G¹"), =HYPERLINK("CSG0.html#group12J0", "12J⁰"), =HYPERLINK("CSG0.html#group8C0", "8C⁰"), =HYPERLINK("CSG0.html#group2B0", "2B⁰"), =HYPERLINK("CSG0.html#group4B0", "4B⁰"), =HYPERLINK("CSG0.html#group1A0", "1A⁰"), =HYPERLINK("CSG1.html#group32A1", "32A¹"), =HYPERLINK("CSG3.html#group48J3", "48J³"), =HYPERLINK("CSG0.html#group16C0", "16C⁰"), =HYPERLINK("CSG3.html#group24W3", "24W³"), =HYPERLINK("CSG2.html#group24F2", "24F²"), =HYPERLINK("CSG0.html#group6F0", "6F⁰"), =HYPERLINK("CSG0.html#group12E0", "12E⁰")</f>
        <v/>
      </c>
      <c r="N6836" t="inlineStr"/>
    </row>
    <row r="6837">
      <c r="A6837" t="inlineStr">
        <is>
          <t>96BK²¹</t>
        </is>
      </c>
      <c r="B6837" t="inlineStr"/>
      <c r="C6837" t="inlineStr">
        <is>
          <t>384</t>
        </is>
      </c>
      <c r="D6837" t="inlineStr">
        <is>
          <t>1</t>
        </is>
      </c>
      <c r="E6837" t="inlineStr">
        <is>
          <t>48</t>
        </is>
      </c>
      <c r="F6837" t="inlineStr">
        <is>
          <t>0</t>
        </is>
      </c>
      <c r="G6837" t="inlineStr">
        <is>
          <t>0</t>
        </is>
      </c>
      <c r="H6837" t="inlineStr">
        <is>
          <t>2⁸, 6⁸, 8², 24², 32², 96²</t>
        </is>
      </c>
      <c r="I6837" t="n">
        <v>24</v>
      </c>
      <c r="J6837" t="inlineStr">
        <is>
          <t>1⁸, 2⁸, 4⁴, 8¹</t>
        </is>
      </c>
      <c r="K6837">
        <f>HYPERLINK("CSG3.html#group32M3", "32M³"), =HYPERLINK("CSG7.html#group48AP7", "48AP⁷"), =HYPERLINK("CSG9.html#group96M9", "96M⁹"), =HYPERLINK("CSG11.html#group96H11", "96H¹¹")</f>
        <v/>
      </c>
      <c r="L6837" t="inlineStr"/>
      <c r="M6837">
        <f>HYPERLINK("CSG0.html#group3B0", "3B⁰"), =HYPERLINK("CSG9.html#group96M9", "96M⁹"), =HYPERLINK("CSG1.html#group24G1", "24G¹"), =HYPERLINK("CSG3.html#group32M3", "32M³"), =HYPERLINK("CSG0.html#group8C0", "8C⁰"), =HYPERLINK("CSG0.html#group2B0", "2B⁰"), =HYPERLINK("CSG0.html#group8I0", "8I⁰"), =HYPERLINK("CSG0.html#group4B0", "4B⁰"), =HYPERLINK("CSG0.html#group1A0", "1A⁰"), =HYPERLINK("CSG11.html#group96H11", "96H¹¹"), =HYPERLINK("CSG0.html#group16H0", "16H⁰"), =HYPERLINK("CSG1.html#group32A1", "32A¹"), =HYPERLINK("CSG3.html#group48J3", "48J³"), =HYPERLINK("CSG0.html#group16C0", "16C⁰"), =HYPERLINK("CSG0.html#group16D0", "16D⁰"), =HYPERLINK("CSG2.html#group32A2", "32A²"), =HYPERLINK("CSG3.html#group24Y3", "24Y³"), =HYPERLINK("CSG0.html#group6F0", "6F⁰"), =HYPERLINK("CSG7.html#group48AP7", "48AP⁷"), =HYPERLINK("CSG0.html#group12E0", "12E⁰"), =HYPERLINK("CSG3.html#group48L3", "48L³")</f>
        <v/>
      </c>
      <c r="N6837" t="inlineStr"/>
    </row>
    <row r="6838">
      <c r="A6838" t="inlineStr">
        <is>
          <t>96BL²¹</t>
        </is>
      </c>
      <c r="B6838" t="inlineStr"/>
      <c r="C6838" t="inlineStr">
        <is>
          <t>384</t>
        </is>
      </c>
      <c r="D6838" t="inlineStr">
        <is>
          <t>1</t>
        </is>
      </c>
      <c r="E6838" t="inlineStr">
        <is>
          <t>96</t>
        </is>
      </c>
      <c r="F6838" t="inlineStr">
        <is>
          <t>0</t>
        </is>
      </c>
      <c r="G6838" t="inlineStr">
        <is>
          <t>0</t>
        </is>
      </c>
      <c r="H6838" t="inlineStr">
        <is>
          <t>2⁴, 4⁶, 6⁴, 12⁶, 32², 96²</t>
        </is>
      </c>
      <c r="I6838" t="n">
        <v>24</v>
      </c>
      <c r="J6838" t="inlineStr">
        <is>
          <t>1⁸, 2⁸, 4⁶, 8⁴, 16¹</t>
        </is>
      </c>
      <c r="K6838">
        <f>HYPERLINK("CSG9.html#group48AO9", "48AO⁹")</f>
        <v/>
      </c>
      <c r="L6838" t="inlineStr"/>
      <c r="M6838">
        <f>HYPERLINK("CSG0.html#group3B0", "3B⁰"), =HYPERLINK("CSG1.html#group24G1", "24G¹"), =HYPERLINK("CSG1.html#group16A1", "16A¹"), =HYPERLINK("CSG0.html#group8C0", "8C⁰"), =HYPERLINK("CSG0.html#group2B0", "2B⁰"), =HYPERLINK("CSG0.html#group8I0", "8I⁰"), =HYPERLINK("CSG0.html#group4B0", "4B⁰"), =HYPERLINK("CSG0.html#group1A0", "1A⁰"), =HYPERLINK("CSG1.html#group16G1", "16G¹"), =HYPERLINK("CSG0.html#group16D0", "16D⁰"), =HYPERLINK("CSG3.html#group24Y3", "24Y³"), =HYPERLINK("CSG9.html#group48AO9", "48AO⁹"), =HYPERLINK("CSG5.html#group48D5", "48D⁵"), =HYPERLINK("CSG0.html#group6F0", "6F⁰"), =HYPERLINK("CSG0.html#group12E0", "12E⁰"), =HYPERLINK("CSG3.html#group48L3", "48L³")</f>
        <v/>
      </c>
      <c r="N6838" t="inlineStr"/>
    </row>
    <row r="6839">
      <c r="A6839" t="inlineStr">
        <is>
          <t>96BM²¹</t>
        </is>
      </c>
      <c r="B6839" t="inlineStr"/>
      <c r="C6839" t="inlineStr">
        <is>
          <t>384</t>
        </is>
      </c>
      <c r="D6839" t="inlineStr">
        <is>
          <t>1</t>
        </is>
      </c>
      <c r="E6839" t="inlineStr">
        <is>
          <t>96</t>
        </is>
      </c>
      <c r="F6839" t="inlineStr">
        <is>
          <t>0</t>
        </is>
      </c>
      <c r="G6839" t="inlineStr">
        <is>
          <t>0</t>
        </is>
      </c>
      <c r="H6839" t="inlineStr">
        <is>
          <t>2⁴, 4⁶, 6⁴, 12⁶, 32², 96²</t>
        </is>
      </c>
      <c r="I6839" t="n">
        <v>24</v>
      </c>
      <c r="J6839" t="inlineStr">
        <is>
          <t>1⁸, 2⁸, 4⁶, 8⁴, 16¹</t>
        </is>
      </c>
      <c r="K6839">
        <f>HYPERLINK("CSG3.html#group32O3", "32O³"), =HYPERLINK("CSG9.html#group48AO9", "48AO⁹")</f>
        <v/>
      </c>
      <c r="L6839" t="inlineStr"/>
      <c r="M6839">
        <f>HYPERLINK("CSG0.html#group3B0", "3B⁰"), =HYPERLINK("CSG1.html#group24G1", "24G¹"), =HYPERLINK("CSG1.html#group16A1", "16A¹"), =HYPERLINK("CSG0.html#group8C0", "8C⁰"), =HYPERLINK("CSG0.html#group2B0", "2B⁰"), =HYPERLINK("CSG0.html#group8I0", "8I⁰"), =HYPERLINK("CSG0.html#group4B0", "4B⁰"), =HYPERLINK("CSG0.html#group1A0", "1A⁰"), =HYPERLINK("CSG1.html#group16G1", "16G¹"), =HYPERLINK("CSG3.html#group32O3", "32O³"), =HYPERLINK("CSG0.html#group16D0", "16D⁰"), =HYPERLINK("CSG3.html#group24Y3", "24Y³"), =HYPERLINK("CSG9.html#group48AO9", "48AO⁹"), =HYPERLINK("CSG5.html#group48D5", "48D⁵"), =HYPERLINK("CSG0.html#group6F0", "6F⁰"), =HYPERLINK("CSG0.html#group12E0", "12E⁰"), =HYPERLINK("CSG3.html#group48L3", "48L³")</f>
        <v/>
      </c>
      <c r="N6839" t="inlineStr"/>
    </row>
    <row r="6840">
      <c r="A6840" t="inlineStr">
        <is>
          <t>97A²¹</t>
        </is>
      </c>
      <c r="B6840" t="inlineStr"/>
      <c r="C6840" t="inlineStr">
        <is>
          <t>294</t>
        </is>
      </c>
      <c r="D6840" t="inlineStr">
        <is>
          <t>1</t>
        </is>
      </c>
      <c r="E6840" t="inlineStr">
        <is>
          <t>98</t>
        </is>
      </c>
      <c r="F6840" t="inlineStr">
        <is>
          <t>6</t>
        </is>
      </c>
      <c r="G6840" t="inlineStr">
        <is>
          <t>0</t>
        </is>
      </c>
      <c r="H6840" t="inlineStr">
        <is>
          <t>1³, 97³</t>
        </is>
      </c>
      <c r="I6840" t="n">
        <v>6</v>
      </c>
      <c r="J6840" t="inlineStr">
        <is>
          <t>1², 96¹</t>
        </is>
      </c>
      <c r="K6840">
        <f>HYPERLINK("CSG7.html#group97A7", "97A⁷")</f>
        <v/>
      </c>
      <c r="L6840" t="inlineStr"/>
      <c r="M6840">
        <f>HYPERLINK("CSG0.html#group1A0", "1A⁰"), =HYPERLINK("CSG7.html#group97A7", "97A⁷")</f>
        <v/>
      </c>
      <c r="N6840" t="inlineStr"/>
    </row>
    <row r="6841">
      <c r="A6841" t="inlineStr">
        <is>
          <t>99A²¹</t>
        </is>
      </c>
      <c r="B6841" t="inlineStr"/>
      <c r="C6841" t="inlineStr">
        <is>
          <t>288</t>
        </is>
      </c>
      <c r="D6841" t="inlineStr">
        <is>
          <t>1</t>
        </is>
      </c>
      <c r="E6841" t="inlineStr">
        <is>
          <t>48</t>
        </is>
      </c>
      <c r="F6841" t="inlineStr">
        <is>
          <t>0</t>
        </is>
      </c>
      <c r="G6841" t="inlineStr">
        <is>
          <t>0</t>
        </is>
      </c>
      <c r="H6841" t="inlineStr">
        <is>
          <t>3², 9², 33², 99²</t>
        </is>
      </c>
      <c r="I6841" t="n">
        <v>8</v>
      </c>
      <c r="J6841" t="inlineStr">
        <is>
          <t>1⁴, 2², 10², 20¹</t>
        </is>
      </c>
      <c r="K6841">
        <f>HYPERLINK("CSG5.html#group33B5", "33B⁵"), =HYPERLINK("CSG11.html#group99B11", "99B¹¹")</f>
        <v/>
      </c>
      <c r="L6841" t="inlineStr"/>
      <c r="M6841">
        <f>HYPERLINK("CSG5.html#group33B5", "33B⁵"), =HYPERLINK("CSG0.html#group3B0", "3B⁰"), =HYPERLINK("CSG1.html#group11A1", "11A¹"), =HYPERLINK("CSG11.html#group99B11", "99B¹¹"), =HYPERLINK("CSG0.html#group9C0", "9C⁰"), =HYPERLINK("CSG0.html#group1A0", "1A⁰"), =HYPERLINK("CSG3.html#group33C3", "33C³")</f>
        <v/>
      </c>
      <c r="N6841" t="inlineStr"/>
    </row>
    <row r="6842">
      <c r="A6842" t="inlineStr">
        <is>
          <t>99B²¹</t>
        </is>
      </c>
      <c r="B6842" t="inlineStr"/>
      <c r="C6842" t="inlineStr">
        <is>
          <t>288</t>
        </is>
      </c>
      <c r="D6842" t="inlineStr">
        <is>
          <t>1</t>
        </is>
      </c>
      <c r="E6842" t="inlineStr">
        <is>
          <t>48</t>
        </is>
      </c>
      <c r="F6842" t="inlineStr">
        <is>
          <t>0</t>
        </is>
      </c>
      <c r="G6842" t="inlineStr">
        <is>
          <t>0</t>
        </is>
      </c>
      <c r="H6842" t="inlineStr">
        <is>
          <t>3², 9², 33², 99²</t>
        </is>
      </c>
      <c r="I6842" t="n">
        <v>8</v>
      </c>
      <c r="J6842" t="inlineStr">
        <is>
          <t>1⁴, 2², 10², 20¹</t>
        </is>
      </c>
      <c r="K6842">
        <f>HYPERLINK("CSG5.html#group33B5", "33B⁵"), =HYPERLINK("CSG11.html#group99C11", "99C¹¹")</f>
        <v/>
      </c>
      <c r="L6842" t="inlineStr"/>
      <c r="M6842">
        <f>HYPERLINK("CSG5.html#group33B5", "33B⁵"), =HYPERLINK("CSG0.html#group3B0", "3B⁰"), =HYPERLINK("CSG1.html#group11A1", "11A¹"), =HYPERLINK("CSG1.html#group9A1", "9A¹"), =HYPERLINK("CSG11.html#group99C11", "99C¹¹"), =HYPERLINK("CSG0.html#group1A0", "1A⁰"), =HYPERLINK("CSG3.html#group33C3", "33C³")</f>
        <v/>
      </c>
      <c r="N6842" t="inlineStr"/>
    </row>
    <row r="6843">
      <c r="A6843" t="inlineStr">
        <is>
          <t>100A²¹</t>
        </is>
      </c>
      <c r="B6843" t="inlineStr"/>
      <c r="C6843" t="inlineStr">
        <is>
          <t>360</t>
        </is>
      </c>
      <c r="D6843" t="inlineStr">
        <is>
          <t>1</t>
        </is>
      </c>
      <c r="E6843" t="inlineStr">
        <is>
          <t>180</t>
        </is>
      </c>
      <c r="F6843" t="inlineStr">
        <is>
          <t>4</t>
        </is>
      </c>
      <c r="G6843" t="inlineStr">
        <is>
          <t>0</t>
        </is>
      </c>
      <c r="H6843" t="inlineStr">
        <is>
          <t>4¹⁵, 100³</t>
        </is>
      </c>
      <c r="I6843" t="n">
        <v>18</v>
      </c>
      <c r="J6843" t="inlineStr">
        <is>
          <t>1⁴, 2⁴, 4⁴, 8⁴, 20², 40²</t>
        </is>
      </c>
      <c r="K6843">
        <f>HYPERLINK("CSG3.html#group20K3", "20K³"), =HYPERLINK("CSG9.html#group100I9", "100I⁹")</f>
        <v/>
      </c>
      <c r="L6843" t="inlineStr"/>
      <c r="M6843">
        <f>HYPERLINK("CSG1.html#group20E1", "20E¹"), =HYPERLINK("CSG9.html#group100I9", "100I⁹"), =HYPERLINK("CSG0.html#group4C0", "4C⁰"), =HYPERLINK("CSG0.html#group5B0", "5B⁰"), =HYPERLINK("CSG0.html#group10C0", "10C⁰"), =HYPERLINK("CSG0.html#group25A0", "25A⁰"), =HYPERLINK("CSG0.html#group2B0", "2B⁰"), =HYPERLINK("CSG3.html#group20K3", "20K³"), =HYPERLINK("CSG2.html#group50B2", "50B²"), =HYPERLINK("CSG0.html#group1A0", "1A⁰")</f>
        <v/>
      </c>
      <c r="N6843" t="inlineStr"/>
    </row>
    <row r="6844">
      <c r="A6844" t="inlineStr">
        <is>
          <t>100B²¹</t>
        </is>
      </c>
      <c r="B6844" t="inlineStr"/>
      <c r="C6844" t="inlineStr">
        <is>
          <t>360</t>
        </is>
      </c>
      <c r="D6844" t="inlineStr">
        <is>
          <t>1</t>
        </is>
      </c>
      <c r="E6844" t="inlineStr">
        <is>
          <t>180</t>
        </is>
      </c>
      <c r="F6844" t="inlineStr">
        <is>
          <t>4</t>
        </is>
      </c>
      <c r="G6844" t="inlineStr">
        <is>
          <t>0</t>
        </is>
      </c>
      <c r="H6844" t="inlineStr">
        <is>
          <t>4¹⁵, 100³</t>
        </is>
      </c>
      <c r="I6844" t="n">
        <v>18</v>
      </c>
      <c r="J6844" t="inlineStr">
        <is>
          <t>1⁴, 2⁴, 4⁴, 8⁴, 20², 40²</t>
        </is>
      </c>
      <c r="K6844">
        <f>HYPERLINK("CSG3.html#group20L3", "20L³"), =HYPERLINK("CSG7.html#group100A7", "100A⁷"), =HYPERLINK("CSG9.html#group100I9", "100I⁹")</f>
        <v/>
      </c>
      <c r="L6844" t="inlineStr"/>
      <c r="M6844">
        <f>HYPERLINK("CSG1.html#group20E1", "20E¹"), =HYPERLINK("CSG7.html#group100A7", "100A⁷"), =HYPERLINK("CSG9.html#group100I9", "100I⁹"), =HYPERLINK("CSG0.html#group4A0", "4A⁰"), =HYPERLINK("CSG0.html#group4C0", "4C⁰"), =HYPERLINK("CSG0.html#group5B0", "5B⁰"), =HYPERLINK("CSG0.html#group10C0", "10C⁰"), =HYPERLINK("CSG0.html#group25A0", "25A⁰"), =HYPERLINK("CSG0.html#group1A0", "1A⁰"), =HYPERLINK("CSG0.html#group2B0", "2B⁰"), =HYPERLINK("CSG0.html#group4F0", "4F⁰"), =HYPERLINK("CSG2.html#group50B2", "50B²"), =HYPERLINK("CSG3.html#group20L3", "20L³"), =HYPERLINK("CSG1.html#group20B1", "20B¹")</f>
        <v/>
      </c>
      <c r="N6844" t="inlineStr"/>
    </row>
    <row r="6845">
      <c r="A6845" t="inlineStr">
        <is>
          <t>100C²¹</t>
        </is>
      </c>
      <c r="B6845" t="inlineStr"/>
      <c r="C6845" t="inlineStr">
        <is>
          <t>360</t>
        </is>
      </c>
      <c r="D6845" t="inlineStr">
        <is>
          <t>2</t>
        </is>
      </c>
      <c r="E6845" t="inlineStr">
        <is>
          <t>90</t>
        </is>
      </c>
      <c r="F6845" t="inlineStr">
        <is>
          <t>4</t>
        </is>
      </c>
      <c r="G6845" t="inlineStr">
        <is>
          <t>0</t>
        </is>
      </c>
      <c r="H6845" t="inlineStr">
        <is>
          <t>4¹⁵, 100³</t>
        </is>
      </c>
      <c r="I6845" t="n">
        <v>18</v>
      </c>
      <c r="J6845" t="inlineStr">
        <is>
          <t>2⁶, 8⁶, 40³</t>
        </is>
      </c>
      <c r="K6845">
        <f>HYPERLINK("CSG3.html#group20M3", "20M³"), =HYPERLINK("CSG6.html#group50E6", "50E⁶"), =HYPERLINK("CSG7.html#group100B7", "100B⁷")</f>
        <v/>
      </c>
      <c r="L6845" t="inlineStr"/>
      <c r="M6845">
        <f>HYPERLINK("CSG1.html#group20C1", "20C¹"), =HYPERLINK("CSG3.html#group20M3", "20M³"), =HYPERLINK("CSG7.html#group100B7", "100B⁷"), =HYPERLINK("CSG0.html#group10G0", "10G⁰"), =HYPERLINK("CSG6.html#group50E6", "50E⁶"), =HYPERLINK("CSG2.html#group50A2", "50A²"), =HYPERLINK("CSG0.html#group25A0", "25A⁰"), =HYPERLINK("CSG0.html#group10C0", "10C⁰"), =HYPERLINK("CSG0.html#group5B0", "5B⁰"), =HYPERLINK("CSG0.html#group2B0", "2B⁰"), =HYPERLINK("CSG2.html#group50B2", "50B²"), =HYPERLINK("CSG0.html#group1A0", "1A⁰"), =HYPERLINK("CSG0.html#group10B0", "10B⁰")</f>
        <v/>
      </c>
      <c r="N6845" t="inlineStr"/>
    </row>
    <row r="6846">
      <c r="A6846" t="inlineStr">
        <is>
          <t>102A²¹</t>
        </is>
      </c>
      <c r="B6846" t="inlineStr"/>
      <c r="C6846" t="inlineStr">
        <is>
          <t>288</t>
        </is>
      </c>
      <c r="D6846" t="inlineStr">
        <is>
          <t>1</t>
        </is>
      </c>
      <c r="E6846" t="inlineStr">
        <is>
          <t>72</t>
        </is>
      </c>
      <c r="F6846" t="inlineStr">
        <is>
          <t>0</t>
        </is>
      </c>
      <c r="G6846" t="inlineStr">
        <is>
          <t>0</t>
        </is>
      </c>
      <c r="H6846" t="inlineStr">
        <is>
          <t>2², 6², 34², 102²</t>
        </is>
      </c>
      <c r="I6846" t="n">
        <v>8</v>
      </c>
      <c r="J6846" t="inlineStr">
        <is>
          <t>1⁴, 2², 16², 32¹</t>
        </is>
      </c>
      <c r="K6846">
        <f>HYPERLINK("CSG5.html#group34A5", "34A⁵"), =HYPERLINK("CSG9.html#group51A9", "51A⁹")</f>
        <v/>
      </c>
      <c r="L6846" t="inlineStr"/>
      <c r="M6846">
        <f>HYPERLINK("CSG0.html#group3B0", "3B⁰"), =HYPERLINK("CSG9.html#group51A9", "51A⁹"), =HYPERLINK("CSG1.html#group17A1", "17A¹"), =HYPERLINK("CSG5.html#group51A5", "51A⁵"), =HYPERLINK("CSG0.html#group1A0", "1A⁰"), =HYPERLINK("CSG5.html#group34A5", "34A⁵"), =HYPERLINK("CSG1.html#group17B1", "17B¹")</f>
        <v/>
      </c>
      <c r="N6846" t="inlineStr"/>
    </row>
    <row r="6847">
      <c r="A6847" t="inlineStr">
        <is>
          <t>102B²¹</t>
        </is>
      </c>
      <c r="B6847" t="inlineStr"/>
      <c r="C6847" t="inlineStr">
        <is>
          <t>288</t>
        </is>
      </c>
      <c r="D6847" t="inlineStr">
        <is>
          <t>1</t>
        </is>
      </c>
      <c r="E6847" t="inlineStr">
        <is>
          <t>72</t>
        </is>
      </c>
      <c r="F6847" t="inlineStr">
        <is>
          <t>0</t>
        </is>
      </c>
      <c r="G6847" t="inlineStr">
        <is>
          <t>0</t>
        </is>
      </c>
      <c r="H6847" t="inlineStr">
        <is>
          <t>2², 6², 34², 102²</t>
        </is>
      </c>
      <c r="I6847" t="n">
        <v>8</v>
      </c>
      <c r="J6847" t="inlineStr">
        <is>
          <t>1⁴, 2², 16², 32¹</t>
        </is>
      </c>
      <c r="K6847">
        <f>HYPERLINK("CSG5.html#group34B5", "34B⁵"), =HYPERLINK("CSG9.html#group51A9", "51A⁹"), =HYPERLINK("CSG11.html#group102A11", "102A¹¹"), =HYPERLINK("CSG11.html#group102B11", "102B¹¹")</f>
        <v/>
      </c>
      <c r="L6847" t="inlineStr"/>
      <c r="M6847">
        <f>HYPERLINK("CSG0.html#group2A0", "2A⁰"), =HYPERLINK("CSG0.html#group3B0", "3B⁰"), =HYPERLINK("CSG5.html#group51A5", "51A⁵"), =HYPERLINK("CSG1.html#group17B1", "17B¹"), =HYPERLINK("CSG0.html#group6C0", "6C⁰"), =HYPERLINK("CSG11.html#group102A11", "102A¹¹"), =HYPERLINK("CSG5.html#group34B5", "34B⁵"), =HYPERLINK("CSG9.html#group51A9", "51A⁹"), =HYPERLINK("CSG1.html#group17A1", "17A¹"), =HYPERLINK("CSG11.html#group102B11", "102B¹¹"), =HYPERLINK("CSG3.html#group34B3", "34B³"), =HYPERLINK("CSG0.html#group1A0", "1A⁰"), =HYPERLINK("CSG3.html#group34A3", "34A³")</f>
        <v/>
      </c>
      <c r="N6847" t="inlineStr"/>
    </row>
    <row r="6848">
      <c r="A6848" t="inlineStr">
        <is>
          <t>102C²¹</t>
        </is>
      </c>
      <c r="B6848" t="inlineStr"/>
      <c r="C6848" t="inlineStr">
        <is>
          <t>324</t>
        </is>
      </c>
      <c r="D6848" t="inlineStr">
        <is>
          <t>1</t>
        </is>
      </c>
      <c r="E6848" t="inlineStr">
        <is>
          <t>54</t>
        </is>
      </c>
      <c r="F6848" t="inlineStr">
        <is>
          <t>12</t>
        </is>
      </c>
      <c r="G6848" t="inlineStr">
        <is>
          <t>0</t>
        </is>
      </c>
      <c r="H6848" t="inlineStr">
        <is>
          <t>3², 6², 51², 102²</t>
        </is>
      </c>
      <c r="I6848" t="n">
        <v>8</v>
      </c>
      <c r="J6848" t="inlineStr">
        <is>
          <t>1⁶, 16³</t>
        </is>
      </c>
      <c r="K6848">
        <f>HYPERLINK("CSG5.html#group34C5", "34C⁵"), =HYPERLINK("CSG5.html#group51B5", "51B⁵"), =HYPERLINK("CSG11.html#group102C11", "102C¹¹")</f>
        <v/>
      </c>
      <c r="L6848" t="inlineStr"/>
      <c r="M6848">
        <f>HYPERLINK("CSG11.html#group102C11", "102C¹¹"), =HYPERLINK("CSG3.html#group34C3", "34C³"), =HYPERLINK("CSG3.html#group51A3", "51A³"), =HYPERLINK("CSG1.html#group17B1", "17B¹"), =HYPERLINK("CSG5.html#group34C5", "34C⁵"), =HYPERLINK("CSG1.html#group17A1", "17A¹"), =HYPERLINK("CSG0.html#group2B0", "2B⁰"), =HYPERLINK("CSG5.html#group51B5", "51B⁵"), =HYPERLINK("CSG0.html#group3A0", "3A⁰"), =HYPERLINK("CSG0.html#group1A0", "1A⁰"), =HYPERLINK("CSG0.html#group6D0", "6D⁰")</f>
        <v/>
      </c>
      <c r="N6848" t="inlineStr"/>
    </row>
    <row r="6849">
      <c r="A6849" t="inlineStr">
        <is>
          <t>102D²¹</t>
        </is>
      </c>
      <c r="B6849" t="inlineStr"/>
      <c r="C6849" t="inlineStr">
        <is>
          <t>432</t>
        </is>
      </c>
      <c r="D6849" t="inlineStr">
        <is>
          <t>1</t>
        </is>
      </c>
      <c r="E6849" t="inlineStr">
        <is>
          <t>18</t>
        </is>
      </c>
      <c r="F6849" t="inlineStr">
        <is>
          <t>48</t>
        </is>
      </c>
      <c r="G6849" t="inlineStr">
        <is>
          <t>0</t>
        </is>
      </c>
      <c r="H6849" t="inlineStr">
        <is>
          <t>6⁴, 102⁴</t>
        </is>
      </c>
      <c r="I6849" t="n">
        <v>8</v>
      </c>
      <c r="J6849" t="inlineStr">
        <is>
          <t>1², 16¹</t>
        </is>
      </c>
      <c r="K6849">
        <f>HYPERLINK("CSG5.html#group34D5", "34D⁵"), =HYPERLINK("CSG9.html#group51B9", "51B⁹")</f>
        <v/>
      </c>
      <c r="L6849" t="inlineStr"/>
      <c r="M6849">
        <f>HYPERLINK("CSG9.html#group51B9", "51B⁹"), =HYPERLINK("CSG3.html#group51A3", "51A³"), =HYPERLINK("CSG1.html#group17B1", "17B¹"), =HYPERLINK("CSG1.html#group17C1", "17C¹"), =HYPERLINK("CSG5.html#group34D5", "34D⁵"), =HYPERLINK("CSG1.html#group17A1", "17A¹"), =HYPERLINK("CSG5.html#group51B5", "51B⁵"), =HYPERLINK("CSG0.html#group3A0", "3A⁰"), =HYPERLINK("CSG0.html#group1A0", "1A⁰")</f>
        <v/>
      </c>
      <c r="N6849" t="inlineStr"/>
    </row>
    <row r="6850">
      <c r="A6850" t="inlineStr">
        <is>
          <t>104A²¹</t>
        </is>
      </c>
      <c r="B6850" t="inlineStr"/>
      <c r="C6850" t="inlineStr">
        <is>
          <t>336</t>
        </is>
      </c>
      <c r="D6850" t="inlineStr">
        <is>
          <t>1</t>
        </is>
      </c>
      <c r="E6850" t="inlineStr">
        <is>
          <t>42</t>
        </is>
      </c>
      <c r="F6850" t="inlineStr">
        <is>
          <t>16</t>
        </is>
      </c>
      <c r="G6850" t="inlineStr">
        <is>
          <t>0</t>
        </is>
      </c>
      <c r="H6850" t="inlineStr">
        <is>
          <t>4², 8², 52², 104²</t>
        </is>
      </c>
      <c r="I6850" t="n">
        <v>8</v>
      </c>
      <c r="J6850" t="inlineStr">
        <is>
          <t>1⁶, 12³</t>
        </is>
      </c>
      <c r="K6850">
        <f>HYPERLINK("CSG9.html#group52B9", "52B⁹"), =HYPERLINK("CSG11.html#group104A11", "104A¹¹"), =HYPERLINK("CSG11.html#group104B11", "104B¹¹")</f>
        <v/>
      </c>
      <c r="L6850" t="inlineStr"/>
      <c r="M6850">
        <f>HYPERLINK("CSG9.html#group52B9", "52B⁹"), =HYPERLINK("CSG11.html#group104A11", "104A¹¹"), =HYPERLINK("CSG0.html#group4C0", "4C⁰"), =HYPERLINK("CSG11.html#group104B11", "104B¹¹"), =HYPERLINK("CSG0.html#group8B0", "8B⁰"), =HYPERLINK("CSG0.html#group13A0", "13A⁰"), =HYPERLINK("CSG5.html#group52B5", "52B⁵"), =HYPERLINK("CSG0.html#group2B0", "2B⁰"), =HYPERLINK("CSG4.html#group26B4", "26B⁴"), =HYPERLINK("CSG0.html#group26A0", "26A⁰"), =HYPERLINK("CSG4.html#group52A4", "52A⁴"), =HYPERLINK("CSG0.html#group1A0", "1A⁰"), =HYPERLINK("CSG2.html#group26A2", "26A²")</f>
        <v/>
      </c>
      <c r="N6850" t="inlineStr"/>
    </row>
    <row r="6851">
      <c r="A6851" t="inlineStr">
        <is>
          <t>104B²¹</t>
        </is>
      </c>
      <c r="B6851" t="inlineStr"/>
      <c r="C6851" t="inlineStr">
        <is>
          <t>336</t>
        </is>
      </c>
      <c r="D6851" t="inlineStr">
        <is>
          <t>1</t>
        </is>
      </c>
      <c r="E6851" t="inlineStr">
        <is>
          <t>84</t>
        </is>
      </c>
      <c r="F6851" t="inlineStr">
        <is>
          <t>0</t>
        </is>
      </c>
      <c r="G6851" t="inlineStr">
        <is>
          <t>0</t>
        </is>
      </c>
      <c r="H6851" t="inlineStr">
        <is>
          <t>1⁴, 2², 8², 13⁴, 26², 104²</t>
        </is>
      </c>
      <c r="I6851" t="n">
        <v>16</v>
      </c>
      <c r="J6851" t="inlineStr">
        <is>
          <t>1⁸, 2², 12⁴, 24¹</t>
        </is>
      </c>
      <c r="K6851">
        <f>HYPERLINK("CSG9.html#group52A9", "52A⁹"), =HYPERLINK("CSG11.html#group104C11", "104C¹¹"), =HYPERLINK("CSG11.html#group104D11", "104D¹¹")</f>
        <v/>
      </c>
      <c r="L6851" t="inlineStr"/>
      <c r="M6851">
        <f>HYPERLINK("CSG11.html#group104D11", "104D¹¹"), =HYPERLINK("CSG5.html#group52A5", "52A⁵"), =HYPERLINK("CSG9.html#group52A9", "52A⁹"), =HYPERLINK("CSG0.html#group13A0", "13A⁰"), =HYPERLINK("CSG0.html#group8C0", "8C⁰"), =HYPERLINK("CSG0.html#group2B0", "2B⁰"), =HYPERLINK("CSG0.html#group13B0", "13B⁰"), =HYPERLINK("CSG4.html#group52A4", "52A⁴"), =HYPERLINK("CSG0.html#group4B0", "4B⁰"), =HYPERLINK("CSG0.html#group1A0", "1A⁰"), =HYPERLINK("CSG2.html#group26A2", "26A²"), =HYPERLINK("CSG4.html#group26A4", "26A⁴"), =HYPERLINK("CSG11.html#group104C11", "104C¹¹")</f>
        <v/>
      </c>
      <c r="N6851" t="inlineStr"/>
    </row>
    <row r="6852">
      <c r="A6852" t="inlineStr">
        <is>
          <t>104C²¹</t>
        </is>
      </c>
      <c r="B6852" t="inlineStr"/>
      <c r="C6852" t="inlineStr">
        <is>
          <t>336</t>
        </is>
      </c>
      <c r="D6852" t="inlineStr">
        <is>
          <t>1</t>
        </is>
      </c>
      <c r="E6852" t="inlineStr">
        <is>
          <t>84</t>
        </is>
      </c>
      <c r="F6852" t="inlineStr">
        <is>
          <t>8</t>
        </is>
      </c>
      <c r="G6852" t="inlineStr">
        <is>
          <t>0</t>
        </is>
      </c>
      <c r="H6852" t="inlineStr">
        <is>
          <t>2⁴, 8², 26⁴, 104²</t>
        </is>
      </c>
      <c r="I6852" t="n">
        <v>12</v>
      </c>
      <c r="J6852" t="inlineStr">
        <is>
          <t>1⁴, 2⁴, 12², 24²</t>
        </is>
      </c>
      <c r="K6852">
        <f>HYPERLINK("CSG9.html#group52B9", "52B⁹"), =HYPERLINK("CSG11.html#group104E11", "104E¹¹"), =HYPERLINK("CSG11.html#group104F11", "104F¹¹")</f>
        <v/>
      </c>
      <c r="L6852" t="inlineStr"/>
      <c r="M6852">
        <f>HYPERLINK("CSG11.html#group104F11", "104F¹¹"), =HYPERLINK("CSG9.html#group52B9", "52B⁹"), =HYPERLINK("CSG11.html#group104E11", "104E¹¹"), =HYPERLINK("CSG0.html#group8D0", "8D⁰"), =HYPERLINK("CSG0.html#group4C0", "4C⁰"), =HYPERLINK("CSG0.html#group13A0", "13A⁰"), =HYPERLINK("CSG5.html#group52B5", "52B⁵"), =HYPERLINK("CSG4.html#group26B4", "26B⁴"), =HYPERLINK("CSG0.html#group2B0", "2B⁰"), =HYPERLINK("CSG0.html#group26A0", "26A⁰"), =HYPERLINK("CSG4.html#group52A4", "52A⁴"), =HYPERLINK("CSG0.html#group1A0", "1A⁰"), =HYPERLINK("CSG2.html#group26A2", "26A²")</f>
        <v/>
      </c>
      <c r="N6852" t="inlineStr"/>
    </row>
    <row r="6853">
      <c r="A6853" t="inlineStr">
        <is>
          <t>104D²¹</t>
        </is>
      </c>
      <c r="B6853" t="inlineStr"/>
      <c r="C6853" t="inlineStr">
        <is>
          <t>336</t>
        </is>
      </c>
      <c r="D6853" t="inlineStr">
        <is>
          <t>2</t>
        </is>
      </c>
      <c r="E6853" t="inlineStr">
        <is>
          <t>42</t>
        </is>
      </c>
      <c r="F6853" t="inlineStr">
        <is>
          <t>8</t>
        </is>
      </c>
      <c r="G6853" t="inlineStr">
        <is>
          <t>0</t>
        </is>
      </c>
      <c r="H6853" t="inlineStr">
        <is>
          <t>2⁴, 8², 26⁴, 104²</t>
        </is>
      </c>
      <c r="I6853" t="n">
        <v>12</v>
      </c>
      <c r="J6853" t="inlineStr">
        <is>
          <t>2⁶, 24³</t>
        </is>
      </c>
      <c r="K6853">
        <f>HYPERLINK("CSG9.html#group52B9", "52B⁹"), =HYPERLINK("CSG9.html#group104A9", "104A⁹"), =HYPERLINK("CSG11.html#group104G11", "104G¹¹")</f>
        <v/>
      </c>
      <c r="L6853" t="inlineStr"/>
      <c r="M6853">
        <f>HYPERLINK("CSG11.html#group104G11", "104G¹¹"), =HYPERLINK("CSG9.html#group52B9", "52B⁹"), =HYPERLINK("CSG9.html#group104A9", "104A⁹"), =HYPERLINK("CSG0.html#group4C0", "4C⁰"), =HYPERLINK("CSG0.html#group13A0", "13A⁰"), =HYPERLINK("CSG4.html#group26B4", "26B⁴"), =HYPERLINK("CSG5.html#group52B5", "52B⁵"), =HYPERLINK("CSG0.html#group2B0", "2B⁰"), =HYPERLINK("CSG0.html#group26A0", "26A⁰"), =HYPERLINK("CSG4.html#group52A4", "52A⁴"), =HYPERLINK("CSG0.html#group1A0", "1A⁰"), =HYPERLINK("CSG2.html#group26A2", "26A²")</f>
        <v/>
      </c>
      <c r="N6853" t="inlineStr"/>
    </row>
    <row r="6854">
      <c r="A6854" t="inlineStr">
        <is>
          <t>105A²¹</t>
        </is>
      </c>
      <c r="B6854" t="inlineStr"/>
      <c r="C6854" t="inlineStr">
        <is>
          <t>280</t>
        </is>
      </c>
      <c r="D6854" t="inlineStr">
        <is>
          <t>2</t>
        </is>
      </c>
      <c r="E6854" t="inlineStr">
        <is>
          <t>140</t>
        </is>
      </c>
      <c r="F6854" t="inlineStr">
        <is>
          <t>0</t>
        </is>
      </c>
      <c r="G6854" t="inlineStr">
        <is>
          <t>4</t>
        </is>
      </c>
      <c r="H6854" t="inlineStr">
        <is>
          <t>35², 105²</t>
        </is>
      </c>
      <c r="I6854" t="n">
        <v>4</v>
      </c>
      <c r="J6854" t="inlineStr">
        <is>
          <t>2², 4¹, 6⁴, 8², 12², 16¹, 24⁴, 48²</t>
        </is>
      </c>
      <c r="K6854">
        <f>HYPERLINK("CSG3.html#group21B3", "21B³"), =HYPERLINK("CSG4.html#group35A4", "35A⁴"), =HYPERLINK("CSG11.html#group105A11", "105A¹¹")</f>
        <v/>
      </c>
      <c r="L6854" t="inlineStr"/>
      <c r="M6854">
        <f>HYPERLINK("CSG3.html#group21B3", "21B³"), =HYPERLINK("CSG0.html#group3B0", "3B⁰"), =HYPERLINK("CSG0.html#group5A0", "5A⁰"), =HYPERLINK("CSG2.html#group21B2", "21B²"), =HYPERLINK("CSG11.html#group105A11", "105A¹¹"), =HYPERLINK("CSG4.html#group35A4", "35A⁴"), =HYPERLINK("CSG0.html#group7C0", "7C⁰"), =HYPERLINK("CSG1.html#group15B1", "15B¹"), =HYPERLINK("CSG0.html#group1A0", "1A⁰"), =HYPERLINK("CSG2.html#group35A2", "35A²"), =HYPERLINK("CSG0.html#group7A0", "7A⁰")</f>
        <v/>
      </c>
      <c r="N6854" t="inlineStr"/>
    </row>
    <row r="6855">
      <c r="A6855" t="inlineStr">
        <is>
          <t>105B²¹</t>
        </is>
      </c>
      <c r="B6855" t="inlineStr"/>
      <c r="C6855" t="inlineStr">
        <is>
          <t>288</t>
        </is>
      </c>
      <c r="D6855" t="inlineStr">
        <is>
          <t>1</t>
        </is>
      </c>
      <c r="E6855" t="inlineStr">
        <is>
          <t>48</t>
        </is>
      </c>
      <c r="F6855" t="inlineStr">
        <is>
          <t>0</t>
        </is>
      </c>
      <c r="G6855" t="inlineStr">
        <is>
          <t>0</t>
        </is>
      </c>
      <c r="H6855" t="inlineStr">
        <is>
          <t>3², 15², 21², 105²</t>
        </is>
      </c>
      <c r="I6855" t="n">
        <v>8</v>
      </c>
      <c r="J6855" t="inlineStr">
        <is>
          <t>1⁴, 4², 6², 24¹</t>
        </is>
      </c>
      <c r="K6855">
        <f>HYPERLINK("CSG2.html#group15B2", "15B²"), =HYPERLINK("CSG5.html#group35C5", "35C⁵"), =HYPERLINK("CSG11.html#group105B11", "105B¹¹")</f>
        <v/>
      </c>
      <c r="L6855" t="inlineStr"/>
      <c r="M6855">
        <f>HYPERLINK("CSG0.html#group15B0", "15B⁰"), =HYPERLINK("CSG2.html#group21A2", "21A²"), =HYPERLINK("CSG0.html#group7B0", "7B⁰"), =HYPERLINK("CSG2.html#group15B2", "15B²"), =HYPERLINK("CSG0.html#group5B0", "5B⁰"), =HYPERLINK("CSG0.html#group5D0", "5D⁰"), =HYPERLINK("CSG11.html#group105B11", "105B¹¹"), =HYPERLINK("CSG0.html#group3A0", "3A⁰"), =HYPERLINK("CSG0.html#group1A0", "1A⁰"), =HYPERLINK("CSG3.html#group35A3", "35A³"), =HYPERLINK("CSG5.html#group35C5", "35C⁵")</f>
        <v/>
      </c>
      <c r="N6855" t="inlineStr"/>
    </row>
    <row r="6856">
      <c r="A6856" t="inlineStr">
        <is>
          <t>105C²¹</t>
        </is>
      </c>
      <c r="B6856" t="inlineStr"/>
      <c r="C6856" t="inlineStr">
        <is>
          <t>288</t>
        </is>
      </c>
      <c r="D6856" t="inlineStr">
        <is>
          <t>1</t>
        </is>
      </c>
      <c r="E6856" t="inlineStr">
        <is>
          <t>144</t>
        </is>
      </c>
      <c r="F6856" t="inlineStr">
        <is>
          <t>0</t>
        </is>
      </c>
      <c r="G6856" t="inlineStr">
        <is>
          <t>0</t>
        </is>
      </c>
      <c r="H6856" t="inlineStr">
        <is>
          <t>3², 15², 21², 105²</t>
        </is>
      </c>
      <c r="I6856" t="n">
        <v>8</v>
      </c>
      <c r="J6856" t="inlineStr">
        <is>
          <t>1⁴, 2⁴, 4², 6², 8², 12², 24¹, 48¹</t>
        </is>
      </c>
      <c r="K6856">
        <f>HYPERLINK("CSG0.html#group15C0", "15C⁰"), =HYPERLINK("CSG11.html#group105B11", "105B¹¹")</f>
        <v/>
      </c>
      <c r="L6856" t="inlineStr"/>
      <c r="M6856">
        <f>HYPERLINK("CSG0.html#group15B0", "15B⁰"), =HYPERLINK("CSG2.html#group21A2", "21A²"), =HYPERLINK("CSG0.html#group7B0", "7B⁰"), =HYPERLINK("CSG0.html#group5B0", "5B⁰"), =HYPERLINK("CSG11.html#group105B11", "105B¹¹"), =HYPERLINK("CSG0.html#group3A0", "3A⁰"), =HYPERLINK("CSG0.html#group1A0", "1A⁰"), =HYPERLINK("CSG3.html#group35A3", "35A³"), =HYPERLINK("CSG0.html#group15C0", "15C⁰")</f>
        <v/>
      </c>
      <c r="N6856" t="inlineStr"/>
    </row>
    <row r="6857">
      <c r="A6857" t="inlineStr">
        <is>
          <t>105D²¹</t>
        </is>
      </c>
      <c r="B6857" t="inlineStr"/>
      <c r="C6857" t="inlineStr">
        <is>
          <t>288</t>
        </is>
      </c>
      <c r="D6857" t="inlineStr">
        <is>
          <t>1</t>
        </is>
      </c>
      <c r="E6857" t="inlineStr">
        <is>
          <t>144</t>
        </is>
      </c>
      <c r="F6857" t="inlineStr">
        <is>
          <t>0</t>
        </is>
      </c>
      <c r="G6857" t="inlineStr">
        <is>
          <t>0</t>
        </is>
      </c>
      <c r="H6857" t="inlineStr">
        <is>
          <t>3², 15², 21², 105²</t>
        </is>
      </c>
      <c r="I6857" t="n">
        <v>8</v>
      </c>
      <c r="J6857" t="inlineStr">
        <is>
          <t>1⁴, 2⁴, 4², 6², 8², 12², 24¹, 48¹</t>
        </is>
      </c>
      <c r="K6857">
        <f>HYPERLINK("CSG1.html#group15E1", "15E¹"), =HYPERLINK("CSG3.html#group21A3", "21A³"), =HYPERLINK("CSG11.html#group105B11", "105B¹¹")</f>
        <v/>
      </c>
      <c r="L6857" t="inlineStr"/>
      <c r="M6857">
        <f>HYPERLINK("CSG0.html#group15B0", "15B⁰"), =HYPERLINK("CSG2.html#group21A2", "21A²"), =HYPERLINK("CSG0.html#group7B0", "7B⁰"), =HYPERLINK("CSG0.html#group5B0", "5B⁰"), =HYPERLINK("CSG0.html#group3C0", "3C⁰"), =HYPERLINK("CSG11.html#group105B11", "105B¹¹"), =HYPERLINK("CSG0.html#group3A0", "3A⁰"), =HYPERLINK("CSG0.html#group1A0", "1A⁰"), =HYPERLINK("CSG3.html#group35A3", "35A³"), =HYPERLINK("CSG3.html#group21A3", "21A³"), =HYPERLINK("CSG1.html#group15E1", "15E¹")</f>
        <v/>
      </c>
      <c r="N6857" t="inlineStr"/>
    </row>
    <row r="6858">
      <c r="A6858" t="inlineStr">
        <is>
          <t>105E²¹</t>
        </is>
      </c>
      <c r="B6858" t="inlineStr"/>
      <c r="C6858" t="inlineStr">
        <is>
          <t>288</t>
        </is>
      </c>
      <c r="D6858" t="inlineStr">
        <is>
          <t>2</t>
        </is>
      </c>
      <c r="E6858" t="inlineStr">
        <is>
          <t>48</t>
        </is>
      </c>
      <c r="F6858" t="inlineStr">
        <is>
          <t>0</t>
        </is>
      </c>
      <c r="G6858" t="inlineStr">
        <is>
          <t>0</t>
        </is>
      </c>
      <c r="H6858" t="inlineStr">
        <is>
          <t>3², 15², 21², 105²</t>
        </is>
      </c>
      <c r="I6858" t="n">
        <v>8</v>
      </c>
      <c r="J6858" t="inlineStr">
        <is>
          <t>2⁴, 8², 12², 48¹</t>
        </is>
      </c>
      <c r="K6858">
        <f>HYPERLINK("CSG5.html#group35C5", "35C⁵"), =HYPERLINK("CSG11.html#group105C11", "105C¹¹")</f>
        <v/>
      </c>
      <c r="L6858" t="inlineStr"/>
      <c r="M6858">
        <f>HYPERLINK("CSG11.html#group105C11", "105C¹¹"), =HYPERLINK("CSG0.html#group7B0", "7B⁰"), =HYPERLINK("CSG0.html#group5B0", "5B⁰"), =HYPERLINK("CSG5.html#group35C5", "35C⁵"), =HYPERLINK("CSG0.html#group5D0", "5D⁰"), =HYPERLINK("CSG0.html#group1A0", "1A⁰"), =HYPERLINK("CSG3.html#group35A3", "35A³"), =HYPERLINK("CSG1.html#group21A1", "21A¹")</f>
        <v/>
      </c>
      <c r="N6858" t="inlineStr"/>
    </row>
    <row r="6859">
      <c r="A6859" t="inlineStr">
        <is>
          <t>105F²¹</t>
        </is>
      </c>
      <c r="B6859" t="inlineStr"/>
      <c r="C6859" t="inlineStr">
        <is>
          <t>320</t>
        </is>
      </c>
      <c r="D6859" t="inlineStr">
        <is>
          <t>1</t>
        </is>
      </c>
      <c r="E6859" t="inlineStr">
        <is>
          <t>160</t>
        </is>
      </c>
      <c r="F6859" t="inlineStr">
        <is>
          <t>0</t>
        </is>
      </c>
      <c r="G6859" t="inlineStr">
        <is>
          <t>8</t>
        </is>
      </c>
      <c r="H6859" t="inlineStr">
        <is>
          <t>5², 15², 35², 105²</t>
        </is>
      </c>
      <c r="I6859" t="n">
        <v>8</v>
      </c>
      <c r="J6859" t="inlineStr">
        <is>
          <t>1⁴, 2², 4⁴, 6², 8², 12¹, 24², 48¹</t>
        </is>
      </c>
      <c r="K6859">
        <f>HYPERLINK("CSG1.html#group21F1", "21F¹"), =HYPERLINK("CSG11.html#group105D11", "105D¹¹")</f>
        <v/>
      </c>
      <c r="L6859" t="inlineStr"/>
      <c r="M6859">
        <f>HYPERLINK("CSG0.html#group3B0", "3B⁰"), =HYPERLINK("CSG0.html#group5A0", "5A⁰"), =HYPERLINK("CSG1.html#group21B1", "21B¹"), =HYPERLINK("CSG0.html#group7B0", "7B⁰"), =HYPERLINK("CSG1.html#group15B1", "15B¹"), =HYPERLINK("CSG2.html#group35B2", "35B²"), =HYPERLINK("CSG0.html#group1A0", "1A⁰"), =HYPERLINK("CSG1.html#group21F1", "21F¹"), =HYPERLINK("CSG11.html#group105D11", "105D¹¹")</f>
        <v/>
      </c>
      <c r="N6859" t="inlineStr"/>
    </row>
    <row r="6860">
      <c r="A6860" t="inlineStr">
        <is>
          <t>108A²¹</t>
        </is>
      </c>
      <c r="B6860" t="inlineStr"/>
      <c r="C6860" t="inlineStr">
        <is>
          <t>288</t>
        </is>
      </c>
      <c r="D6860" t="inlineStr">
        <is>
          <t>1</t>
        </is>
      </c>
      <c r="E6860" t="inlineStr">
        <is>
          <t>48</t>
        </is>
      </c>
      <c r="F6860" t="inlineStr">
        <is>
          <t>0</t>
        </is>
      </c>
      <c r="G6860" t="inlineStr">
        <is>
          <t>0</t>
        </is>
      </c>
      <c r="H6860" t="inlineStr">
        <is>
          <t>12⁶, 108²</t>
        </is>
      </c>
      <c r="I6860" t="n">
        <v>8</v>
      </c>
      <c r="J6860" t="inlineStr">
        <is>
          <t>2⁴, 4⁴, 12²</t>
        </is>
      </c>
      <c r="K6860">
        <f>HYPERLINK("CSG5.html#group36F5", "36F⁵"), =HYPERLINK("CSG5.html#group54A5", "54A⁵"), =HYPERLINK("CSG11.html#group108C11", "108C¹¹")</f>
        <v/>
      </c>
      <c r="L6860" t="inlineStr"/>
      <c r="M6860">
        <f>HYPERLINK("CSG0.html#group3B0", "3B⁰"), =HYPERLINK("CSG0.html#group2A0", "2A⁰"), =HYPERLINK("CSG2.html#group27A2", "27A²"), =HYPERLINK("CSG1.html#group12I1", "12I¹"), =HYPERLINK("CSG0.html#group6C0", "6C⁰"), =HYPERLINK("CSG0.html#group9B0", "9B⁰"), =HYPERLINK("CSG0.html#group1A0", "1A⁰"), =HYPERLINK("CSG5.html#group54A5", "54A⁵"), =HYPERLINK("CSG0.html#group4A0", "4A⁰"), =HYPERLINK("CSG1.html#group18C1", "18C¹"), =HYPERLINK("CSG1.html#group12A1", "12A¹"), =HYPERLINK("CSG0.html#group4D0", "4D⁰"), =HYPERLINK("CSG11.html#group108C11", "108C¹¹"), =HYPERLINK("CSG5.html#group36F5", "36F⁵"), =HYPERLINK("CSG3.html#group36B3", "36B³")</f>
        <v/>
      </c>
      <c r="N6860" t="inlineStr"/>
    </row>
    <row r="6861">
      <c r="A6861" t="inlineStr">
        <is>
          <t>108B²¹</t>
        </is>
      </c>
      <c r="B6861" t="inlineStr"/>
      <c r="C6861" t="inlineStr">
        <is>
          <t>288</t>
        </is>
      </c>
      <c r="D6861" t="inlineStr">
        <is>
          <t>1</t>
        </is>
      </c>
      <c r="E6861" t="inlineStr">
        <is>
          <t>48</t>
        </is>
      </c>
      <c r="F6861" t="inlineStr">
        <is>
          <t>0</t>
        </is>
      </c>
      <c r="G6861" t="inlineStr">
        <is>
          <t>6</t>
        </is>
      </c>
      <c r="H6861" t="inlineStr">
        <is>
          <t>36², 108²</t>
        </is>
      </c>
      <c r="I6861" t="n">
        <v>4</v>
      </c>
      <c r="J6861" t="inlineStr">
        <is>
          <t>2⁴, 4⁴, 12²</t>
        </is>
      </c>
      <c r="K6861">
        <f>HYPERLINK("CSG4.html#group54B4", "54B⁴"), =HYPERLINK("CSG5.html#group36G5", "36G⁵"), =HYPERLINK("CSG11.html#group108D11", "108D¹¹")</f>
        <v/>
      </c>
      <c r="L6861" t="inlineStr"/>
      <c r="M6861">
        <f>HYPERLINK("CSG0.html#group3B0", "3B⁰"), =HYPERLINK("CSG0.html#group2A0", "2A⁰"), =HYPERLINK("CSG1.html#group12I1", "12I¹"), =HYPERLINK("CSG0.html#group18B0", "18B⁰"), =HYPERLINK("CSG0.html#group6C0", "6C⁰"), =HYPERLINK("CSG4.html#group54B4", "54B⁴"), =HYPERLINK("CSG11.html#group108D11", "108D¹¹"), =HYPERLINK("CSG0.html#group9C0", "9C⁰"), =HYPERLINK("CSG0.html#group1A0", "1A⁰"), =HYPERLINK("CSG5.html#group36G5", "36G⁵"), =HYPERLINK("CSG3.html#group36C3", "36C³"), =HYPERLINK("CSG2.html#group27B2", "27B²"), =HYPERLINK("CSG0.html#group4A0", "4A⁰"), =HYPERLINK("CSG0.html#group4D0", "4D⁰"), =HYPERLINK("CSG1.html#group12A1", "12A¹")</f>
        <v/>
      </c>
      <c r="N6861" t="inlineStr"/>
    </row>
    <row r="6862">
      <c r="A6862" t="inlineStr">
        <is>
          <t>108C²¹</t>
        </is>
      </c>
      <c r="B6862" t="inlineStr"/>
      <c r="C6862" t="inlineStr">
        <is>
          <t>288</t>
        </is>
      </c>
      <c r="D6862" t="inlineStr">
        <is>
          <t>1</t>
        </is>
      </c>
      <c r="E6862" t="inlineStr">
        <is>
          <t>96</t>
        </is>
      </c>
      <c r="F6862" t="inlineStr">
        <is>
          <t>0</t>
        </is>
      </c>
      <c r="G6862" t="inlineStr">
        <is>
          <t>0</t>
        </is>
      </c>
      <c r="H6862" t="inlineStr">
        <is>
          <t>12⁶, 108²</t>
        </is>
      </c>
      <c r="I6862" t="n">
        <v>8</v>
      </c>
      <c r="J6862" t="inlineStr">
        <is>
          <t>4¹², 12⁴</t>
        </is>
      </c>
      <c r="K6862">
        <f>HYPERLINK("CSG5.html#group36F5", "36F⁵"), =HYPERLINK("CSG5.html#group54B5", "54B⁵")</f>
        <v/>
      </c>
      <c r="L6862" t="inlineStr"/>
      <c r="M6862">
        <f>HYPERLINK("CSG0.html#group3B0", "3B⁰"), =HYPERLINK("CSG0.html#group2A0", "2A⁰"), =HYPERLINK("CSG1.html#group12I1", "12I¹"), =HYPERLINK("CSG0.html#group4A0", "4A⁰"), =HYPERLINK("CSG1.html#group18C1", "18C¹"), =HYPERLINK("CSG1.html#group12A1", "12A¹"), =HYPERLINK("CSG0.html#group6C0", "6C⁰"), =HYPERLINK("CSG0.html#group4D0", "4D⁰"), =HYPERLINK("CSG0.html#group9B0", "9B⁰"), =HYPERLINK("CSG0.html#group1A0", "1A⁰"), =HYPERLINK("CSG3.html#group36B3", "36B³"), =HYPERLINK("CSG5.html#group36F5", "36F⁵"), =HYPERLINK("CSG5.html#group54B5", "54B⁵")</f>
        <v/>
      </c>
      <c r="N6862" t="inlineStr"/>
    </row>
    <row r="6863">
      <c r="A6863" t="inlineStr">
        <is>
          <t>108D²¹</t>
        </is>
      </c>
      <c r="B6863" t="inlineStr"/>
      <c r="C6863" t="inlineStr">
        <is>
          <t>288</t>
        </is>
      </c>
      <c r="D6863" t="inlineStr">
        <is>
          <t>1</t>
        </is>
      </c>
      <c r="E6863" t="inlineStr">
        <is>
          <t>96</t>
        </is>
      </c>
      <c r="F6863" t="inlineStr">
        <is>
          <t>0</t>
        </is>
      </c>
      <c r="G6863" t="inlineStr">
        <is>
          <t>6</t>
        </is>
      </c>
      <c r="H6863" t="inlineStr">
        <is>
          <t>36², 108²</t>
        </is>
      </c>
      <c r="I6863" t="n">
        <v>4</v>
      </c>
      <c r="J6863" t="inlineStr">
        <is>
          <t>4¹², 12⁴</t>
        </is>
      </c>
      <c r="K6863">
        <f>HYPERLINK("CSG4.html#group54D4", "54D⁴"), =HYPERLINK("CSG5.html#group36G5", "36G⁵")</f>
        <v/>
      </c>
      <c r="L6863" t="inlineStr"/>
      <c r="M6863">
        <f>HYPERLINK("CSG0.html#group3B0", "3B⁰"), =HYPERLINK("CSG0.html#group2A0", "2A⁰"), =HYPERLINK("CSG1.html#group12I1", "12I¹"), =HYPERLINK("CSG0.html#group18B0", "18B⁰"), =HYPERLINK("CSG0.html#group6C0", "6C⁰"), =HYPERLINK("CSG4.html#group54D4", "54D⁴"), =HYPERLINK("CSG0.html#group9C0", "9C⁰"), =HYPERLINK("CSG0.html#group1A0", "1A⁰"), =HYPERLINK("CSG5.html#group36G5", "36G⁵"), =HYPERLINK("CSG3.html#group36C3", "36C³"), =HYPERLINK("CSG0.html#group4A0", "4A⁰"), =HYPERLINK("CSG0.html#group4D0", "4D⁰"), =HYPERLINK("CSG1.html#group12A1", "12A¹")</f>
        <v/>
      </c>
      <c r="N6863" t="inlineStr"/>
    </row>
    <row r="6864">
      <c r="A6864" t="inlineStr">
        <is>
          <t>108E²¹</t>
        </is>
      </c>
      <c r="B6864" t="inlineStr"/>
      <c r="C6864" t="inlineStr">
        <is>
          <t>432</t>
        </is>
      </c>
      <c r="D6864" t="inlineStr">
        <is>
          <t>1</t>
        </is>
      </c>
      <c r="E6864" t="inlineStr">
        <is>
          <t>36</t>
        </is>
      </c>
      <c r="F6864" t="inlineStr">
        <is>
          <t>0</t>
        </is>
      </c>
      <c r="G6864" t="inlineStr">
        <is>
          <t>0</t>
        </is>
      </c>
      <c r="H6864" t="inlineStr">
        <is>
          <t>2¹², 4¹², 6², 12², 54², 108²</t>
        </is>
      </c>
      <c r="I6864" t="n">
        <v>32</v>
      </c>
      <c r="J6864" t="inlineStr">
        <is>
          <t>1⁶, 2⁶, 6³</t>
        </is>
      </c>
      <c r="K6864">
        <f>HYPERLINK("CSG5.html#group36L5", "36L⁵"), =HYPERLINK("CSG7.html#group54B7", "54B⁷"), =HYPERLINK("CSG7.html#group108A7", "108A⁷"), =HYPERLINK("CSG11.html#group108E11", "108E¹¹")</f>
        <v/>
      </c>
      <c r="L6864" t="inlineStr"/>
      <c r="M6864">
        <f>HYPERLINK("CSG0.html#group2A0", "2A⁰"), =HYPERLINK("CSG2.html#group54B2", "54B²"), =HYPERLINK("CSG0.html#group4C0", "4C⁰"), =HYPERLINK("CSG0.html#group2B0", "2B⁰"), =HYPERLINK("CSG0.html#group4E0", "4E⁰"), =HYPERLINK("CSG11.html#group108E11", "108E¹¹"), =HYPERLINK("CSG0.html#group4B0", "4B⁰"), =HYPERLINK("CSG0.html#group1A0", "1A⁰"), =HYPERLINK("CSG0.html#group18C0", "18C⁰"), =HYPERLINK("CSG7.html#group108A7", "108A⁷"), =HYPERLINK("CSG1.html#group18C1", "18C¹"), =HYPERLINK("CSG0.html#group27A0", "27A⁰"), =HYPERLINK("CSG0.html#group6F0", "6F⁰"), =HYPERLINK("CSG3.html#group36G3", "36G³"), =HYPERLINK("CSG0.html#group3B0", "3B⁰"), =HYPERLINK("CSG5.html#group36L5", "36L⁵"), =HYPERLINK("CSG1.html#group12F1", "12F¹"), =HYPERLINK("CSG0.html#group6I0", "6I⁰"), =HYPERLINK("CSG0.html#group6C0", "6C⁰"), =HYPERLINK("CSG0.html#group9B0", "9B⁰"), =HYPERLINK("CSG1.html#group12P1", "12P¹"), =HYPERLINK("CSG1.html#group18J1", "18J¹"), =HYPERLINK("CSG0.html#group18E0", "18E⁰"), =HYPERLINK("CSG3.html#group54B3", "54B³"), =HYPERLINK("CSG3.html#group54A3", "54A³"), =HYPERLINK("CSG1.html#group36C1", "36C¹"), =HYPERLINK("CSG7.html#group54B7", "54B⁷"), =HYPERLINK("CSG0.html#group2C0", "2C⁰"), =HYPERLINK("CSG0.html#group12E0", "12E⁰")</f>
        <v/>
      </c>
      <c r="N6864" t="inlineStr"/>
    </row>
    <row r="6865">
      <c r="A6865" t="inlineStr">
        <is>
          <t>110A²¹</t>
        </is>
      </c>
      <c r="B6865" t="inlineStr"/>
      <c r="C6865" t="inlineStr">
        <is>
          <t>264</t>
        </is>
      </c>
      <c r="D6865" t="inlineStr">
        <is>
          <t>2</t>
        </is>
      </c>
      <c r="E6865" t="inlineStr">
        <is>
          <t>66</t>
        </is>
      </c>
      <c r="F6865" t="inlineStr">
        <is>
          <t>0</t>
        </is>
      </c>
      <c r="G6865" t="inlineStr">
        <is>
          <t>0</t>
        </is>
      </c>
      <c r="H6865" t="inlineStr">
        <is>
          <t>22², 110²</t>
        </is>
      </c>
      <c r="I6865" t="n">
        <v>4</v>
      </c>
      <c r="J6865" t="inlineStr">
        <is>
          <t>2², 8¹, 10⁴, 40²</t>
        </is>
      </c>
      <c r="K6865">
        <f>HYPERLINK("CSG1.html#group10D1", "10D¹"), =HYPERLINK("CSG8.html#group110A8", "110A⁸"), =HYPERLINK("CSG10.html#group55A10", "55A¹⁰"), =HYPERLINK("CSG11.html#group110A11", "110A¹¹")</f>
        <v/>
      </c>
      <c r="L6865" t="inlineStr"/>
      <c r="M6865">
        <f>HYPERLINK("CSG0.html#group11A0", "11A⁰"), =HYPERLINK("CSG0.html#group2A0", "2A⁰"), =HYPERLINK("CSG4.html#group55A4", "55A⁴"), =HYPERLINK("CSG1.html#group22A1", "22A¹"), =HYPERLINK("CSG8.html#group110A8", "110A⁸"), =HYPERLINK("CSG11.html#group110A11", "110A¹¹"), =HYPERLINK("CSG0.html#group5B0", "5B⁰"), =HYPERLINK("CSG0.html#group5D0", "5D⁰"), =HYPERLINK("CSG1.html#group10A1", "10A¹"), =HYPERLINK("CSG10.html#group55A10", "55A¹⁰"), =HYPERLINK("CSG1.html#group10D1", "10D¹"), =HYPERLINK("CSG0.html#group1A0", "1A⁰"), =HYPERLINK("CSG0.html#group10B0", "10B⁰")</f>
        <v/>
      </c>
      <c r="N6865" t="inlineStr"/>
    </row>
    <row r="6866">
      <c r="A6866" t="inlineStr">
        <is>
          <t>110B²¹</t>
        </is>
      </c>
      <c r="B6866" t="inlineStr"/>
      <c r="C6866" t="inlineStr">
        <is>
          <t>288</t>
        </is>
      </c>
      <c r="D6866" t="inlineStr">
        <is>
          <t>1</t>
        </is>
      </c>
      <c r="E6866" t="inlineStr">
        <is>
          <t>72</t>
        </is>
      </c>
      <c r="F6866" t="inlineStr">
        <is>
          <t>0</t>
        </is>
      </c>
      <c r="G6866" t="inlineStr">
        <is>
          <t>0</t>
        </is>
      </c>
      <c r="H6866" t="inlineStr">
        <is>
          <t>2², 10², 22², 110²</t>
        </is>
      </c>
      <c r="I6866" t="n">
        <v>8</v>
      </c>
      <c r="J6866" t="inlineStr">
        <is>
          <t>1⁴, 4², 10², 40¹</t>
        </is>
      </c>
      <c r="K6866">
        <f>HYPERLINK("CSG9.html#group55B9", "55B⁹")</f>
        <v/>
      </c>
      <c r="L6866" t="inlineStr"/>
      <c r="M6866">
        <f>HYPERLINK("CSG0.html#group5B0", "5B⁰"), =HYPERLINK("CSG0.html#group5D0", "5D⁰"), =HYPERLINK("CSG9.html#group55B9", "55B⁹"), =HYPERLINK("CSG5.html#group55B5", "55B⁵"), =HYPERLINK("CSG0.html#group1A0", "1A⁰"), =HYPERLINK("CSG1.html#group11A1", "11A¹")</f>
        <v/>
      </c>
      <c r="N6866" t="inlineStr"/>
    </row>
    <row r="6867">
      <c r="A6867" t="inlineStr">
        <is>
          <t>110C²¹</t>
        </is>
      </c>
      <c r="B6867" t="inlineStr"/>
      <c r="C6867" t="inlineStr">
        <is>
          <t>288</t>
        </is>
      </c>
      <c r="D6867" t="inlineStr">
        <is>
          <t>1</t>
        </is>
      </c>
      <c r="E6867" t="inlineStr">
        <is>
          <t>72</t>
        </is>
      </c>
      <c r="F6867" t="inlineStr">
        <is>
          <t>0</t>
        </is>
      </c>
      <c r="G6867" t="inlineStr">
        <is>
          <t>0</t>
        </is>
      </c>
      <c r="H6867" t="inlineStr">
        <is>
          <t>2², 10², 22², 110²</t>
        </is>
      </c>
      <c r="I6867" t="n">
        <v>8</v>
      </c>
      <c r="J6867" t="inlineStr">
        <is>
          <t>1⁴, 4², 10², 40¹</t>
        </is>
      </c>
      <c r="K6867">
        <f>HYPERLINK("CSG1.html#group10D1", "10D¹"), =HYPERLINK("CSG9.html#group55B9", "55B⁹"), =HYPERLINK("CSG11.html#group110B11", "110B¹¹"), =HYPERLINK("CSG11.html#group110C11", "110C¹¹")</f>
        <v/>
      </c>
      <c r="L6867" t="inlineStr"/>
      <c r="M6867">
        <f>HYPERLINK("CSG0.html#group2A0", "2A⁰"), =HYPERLINK("CSG5.html#group55B5", "55B⁵"), =HYPERLINK("CSG1.html#group11A1", "11A¹"), =HYPERLINK("CSG2.html#group22A2", "22A²"), =HYPERLINK("CSG0.html#group5B0", "5B⁰"), =HYPERLINK("CSG11.html#group110C11", "110C¹¹"), =HYPERLINK("CSG1.html#group10A1", "10A¹"), =HYPERLINK("CSG0.html#group5D0", "5D⁰"), =HYPERLINK("CSG9.html#group55B9", "55B⁹"), =HYPERLINK("CSG1.html#group10D1", "10D¹"), =HYPERLINK("CSG0.html#group1A0", "1A⁰"), =HYPERLINK("CSG11.html#group110B11", "110B¹¹"), =HYPERLINK("CSG0.html#group10B0", "10B⁰")</f>
        <v/>
      </c>
      <c r="N6867" t="inlineStr"/>
    </row>
    <row r="6868">
      <c r="A6868" t="inlineStr">
        <is>
          <t>111A²¹</t>
        </is>
      </c>
      <c r="B6868" t="inlineStr"/>
      <c r="C6868" t="inlineStr">
        <is>
          <t>304</t>
        </is>
      </c>
      <c r="D6868" t="inlineStr">
        <is>
          <t>1</t>
        </is>
      </c>
      <c r="E6868" t="inlineStr">
        <is>
          <t>152</t>
        </is>
      </c>
      <c r="F6868" t="inlineStr">
        <is>
          <t>0</t>
        </is>
      </c>
      <c r="G6868" t="inlineStr">
        <is>
          <t>4</t>
        </is>
      </c>
      <c r="H6868" t="inlineStr">
        <is>
          <t>1², 3², 37², 111²</t>
        </is>
      </c>
      <c r="I6868" t="n">
        <v>8</v>
      </c>
      <c r="J6868" t="inlineStr">
        <is>
          <t>1⁴, 2², 36², 72¹</t>
        </is>
      </c>
      <c r="K6868">
        <f>HYPERLINK("CSG4.html#group37A4", "37A⁴"), =HYPERLINK("CSG11.html#group111A11", "111A¹¹")</f>
        <v/>
      </c>
      <c r="L6868" t="inlineStr"/>
      <c r="M6868">
        <f>HYPERLINK("CSG2.html#group37A2", "37A²"), =HYPERLINK("CSG11.html#group111A11", "111A¹¹"), =HYPERLINK("CSG0.html#group3B0", "3B⁰"), =HYPERLINK("CSG4.html#group37A4", "37A⁴"), =HYPERLINK("CSG0.html#group1A0", "1A⁰")</f>
        <v/>
      </c>
      <c r="N6868" t="inlineStr"/>
    </row>
    <row r="6869">
      <c r="A6869" t="inlineStr">
        <is>
          <t>112A²¹</t>
        </is>
      </c>
      <c r="B6869" t="inlineStr"/>
      <c r="C6869" t="inlineStr">
        <is>
          <t>336</t>
        </is>
      </c>
      <c r="D6869" t="inlineStr">
        <is>
          <t>2</t>
        </is>
      </c>
      <c r="E6869" t="inlineStr">
        <is>
          <t>42</t>
        </is>
      </c>
      <c r="F6869" t="inlineStr">
        <is>
          <t>24</t>
        </is>
      </c>
      <c r="G6869" t="inlineStr">
        <is>
          <t>0</t>
        </is>
      </c>
      <c r="H6869" t="inlineStr">
        <is>
          <t>56², 112²</t>
        </is>
      </c>
      <c r="I6869" t="n">
        <v>4</v>
      </c>
      <c r="J6869" t="inlineStr">
        <is>
          <t>2², 4², 6⁴, 12⁴</t>
        </is>
      </c>
      <c r="K6869">
        <f>HYPERLINK("CSG8.html#group112B8", "112B⁸"), =HYPERLINK("CSG10.html#group56B10", "56B¹⁰"), =HYPERLINK("CSG11.html#group112A11", "112A¹¹")</f>
        <v/>
      </c>
      <c r="L6869" t="inlineStr"/>
      <c r="M6869">
        <f>HYPERLINK("CSG11.html#group112A11", "112A¹¹"), =HYPERLINK("CSG2.html#group28C2", "28C²"), =HYPERLINK("CSG5.html#group56B5", "56B⁵"), =HYPERLINK("CSG0.html#group16B0", "16B⁰"), =HYPERLINK("CSG10.html#group56B10", "56B¹⁰"), =HYPERLINK("CSG1.html#group14B1", "14B¹"), =HYPERLINK("CSG0.html#group4C0", "4C⁰"), =HYPERLINK("CSG0.html#group8B0", "8B⁰"), =HYPERLINK("CSG5.html#group28C5", "28C⁵"), =HYPERLINK("CSG0.html#group2B0", "2B⁰"), =HYPERLINK("CSG8.html#group112B8", "112B⁸"), =HYPERLINK("CSG0.html#group1A0", "1A⁰"), =HYPERLINK("CSG0.html#group7A0", "7A⁰"), =HYPERLINK("CSG4.html#group56B4", "56B⁴")</f>
        <v/>
      </c>
      <c r="N6869" t="inlineStr"/>
    </row>
    <row r="6870">
      <c r="A6870" t="inlineStr">
        <is>
          <t>112B²¹</t>
        </is>
      </c>
      <c r="B6870" t="inlineStr"/>
      <c r="C6870" t="inlineStr">
        <is>
          <t>336</t>
        </is>
      </c>
      <c r="D6870" t="inlineStr">
        <is>
          <t>2</t>
        </is>
      </c>
      <c r="E6870" t="inlineStr">
        <is>
          <t>42</t>
        </is>
      </c>
      <c r="F6870" t="inlineStr">
        <is>
          <t>24</t>
        </is>
      </c>
      <c r="G6870" t="inlineStr">
        <is>
          <t>0</t>
        </is>
      </c>
      <c r="H6870" t="inlineStr">
        <is>
          <t>56², 112²</t>
        </is>
      </c>
      <c r="I6870" t="n">
        <v>4</v>
      </c>
      <c r="J6870" t="inlineStr">
        <is>
          <t>2², 4², 6⁴, 12⁴</t>
        </is>
      </c>
      <c r="K6870">
        <f>HYPERLINK("CSG1.html#group16F1", "16F¹"), =HYPERLINK("CSG8.html#group112B8", "112B⁸"), =HYPERLINK("CSG10.html#group56C10", "56C¹⁰"), =HYPERLINK("CSG11.html#group112B11", "112B¹¹")</f>
        <v/>
      </c>
      <c r="L6870" t="inlineStr"/>
      <c r="M6870">
        <f>HYPERLINK("CSG5.html#group56C5", "56C⁵"), =HYPERLINK("CSG1.html#group14B1", "14B¹"), =HYPERLINK("CSG0.html#group8D0", "8D⁰"), =HYPERLINK("CSG0.html#group4C0", "4C⁰"), =HYPERLINK("CSG0.html#group8B0", "8B⁰"), =HYPERLINK("CSG1.html#group16F1", "16F¹"), =HYPERLINK("CSG1.html#group16B1", "16B¹"), =HYPERLINK("CSG0.html#group2B0", "2B⁰"), =HYPERLINK("CSG0.html#group1A0", "1A⁰"), =HYPERLINK("CSG10.html#group56C10", "56C¹⁰"), =HYPERLINK("CSG0.html#group8H0", "8H⁰"), =HYPERLINK("CSG2.html#group28C2", "28C²"), =HYPERLINK("CSG0.html#group16B0", "16B⁰"), =HYPERLINK("CSG11.html#group112B11", "112B¹¹"), =HYPERLINK("CSG0.html#group4A0", "4A⁰"), =HYPERLINK("CSG5.html#group28D5", "28D⁵"), =HYPERLINK("CSG0.html#group4F0", "4F⁰"), =HYPERLINK("CSG8.html#group112B8", "112B⁸"), =HYPERLINK("CSG1.html#group28A1", "28A¹"), =HYPERLINK("CSG0.html#group7A0", "7A⁰"), =HYPERLINK("CSG4.html#group56B4", "56B⁴")</f>
        <v/>
      </c>
      <c r="N6870" t="inlineStr"/>
    </row>
    <row r="6871">
      <c r="A6871" t="inlineStr">
        <is>
          <t>112C²¹</t>
        </is>
      </c>
      <c r="B6871" t="inlineStr"/>
      <c r="C6871" t="inlineStr">
        <is>
          <t>336</t>
        </is>
      </c>
      <c r="D6871" t="inlineStr">
        <is>
          <t>2</t>
        </is>
      </c>
      <c r="E6871" t="inlineStr">
        <is>
          <t>84</t>
        </is>
      </c>
      <c r="F6871" t="inlineStr">
        <is>
          <t>24</t>
        </is>
      </c>
      <c r="G6871" t="inlineStr">
        <is>
          <t>0</t>
        </is>
      </c>
      <c r="H6871" t="inlineStr">
        <is>
          <t>56², 112²</t>
        </is>
      </c>
      <c r="I6871" t="n">
        <v>4</v>
      </c>
      <c r="J6871" t="inlineStr">
        <is>
          <t>2⁴, 4², 6⁸, 8¹, 12⁴, 24²</t>
        </is>
      </c>
      <c r="K6871">
        <f>HYPERLINK("CSG8.html#group112B8", "112B⁸"), =HYPERLINK("CSG10.html#group56D10", "56D¹⁰"), =HYPERLINK("CSG11.html#group112E11", "112E¹¹")</f>
        <v/>
      </c>
      <c r="L6871" t="inlineStr"/>
      <c r="M6871">
        <f>HYPERLINK("CSG0.html#group16B0", "16B⁰"), =HYPERLINK("CSG2.html#group28C2", "28C²"), =HYPERLINK("CSG11.html#group112E11", "112E¹¹"), =HYPERLINK("CSG1.html#group14B1", "14B¹"), =HYPERLINK("CSG0.html#group4C0", "4C⁰"), =HYPERLINK("CSG0.html#group8B0", "8B⁰"), =HYPERLINK("CSG0.html#group2B0", "2B⁰"), =HYPERLINK("CSG10.html#group56D10", "56D¹⁰"), =HYPERLINK("CSG8.html#group112B8", "112B⁸"), =HYPERLINK("CSG0.html#group1A0", "1A⁰"), =HYPERLINK("CSG0.html#group7A0", "7A⁰"), =HYPERLINK("CSG4.html#group56B4", "56B⁴")</f>
        <v/>
      </c>
      <c r="N6871" t="inlineStr"/>
    </row>
    <row r="6872">
      <c r="A6872" t="inlineStr">
        <is>
          <t>112D²¹</t>
        </is>
      </c>
      <c r="B6872" t="inlineStr"/>
      <c r="C6872" t="inlineStr">
        <is>
          <t>336</t>
        </is>
      </c>
      <c r="D6872" t="inlineStr">
        <is>
          <t>2</t>
        </is>
      </c>
      <c r="E6872" t="inlineStr">
        <is>
          <t>84</t>
        </is>
      </c>
      <c r="F6872" t="inlineStr">
        <is>
          <t>24</t>
        </is>
      </c>
      <c r="G6872" t="inlineStr">
        <is>
          <t>0</t>
        </is>
      </c>
      <c r="H6872" t="inlineStr">
        <is>
          <t>56², 112²</t>
        </is>
      </c>
      <c r="I6872" t="n">
        <v>4</v>
      </c>
      <c r="J6872" t="inlineStr">
        <is>
          <t>2⁴, 4², 6⁸, 8¹, 12⁴, 24²</t>
        </is>
      </c>
      <c r="K6872">
        <f>HYPERLINK("CSG1.html#group16J1", "16J¹"), =HYPERLINK("CSG8.html#group112B8", "112B⁸"), =HYPERLINK("CSG10.html#group56E10", "56E¹⁰"), =HYPERLINK("CSG11.html#group112F11", "112F¹¹")</f>
        <v/>
      </c>
      <c r="L6872" t="inlineStr"/>
      <c r="M6872">
        <f>HYPERLINK("CSG10.html#group56E10", "56E¹⁰"), =HYPERLINK("CSG1.html#group14B1", "14B¹"), =HYPERLINK("CSG0.html#group4C0", "4C⁰"), =HYPERLINK("CSG0.html#group8B0", "8B⁰"), =HYPERLINK("CSG0.html#group8L0", "8L⁰"), =HYPERLINK("CSG0.html#group2B0", "2B⁰"), =HYPERLINK("CSG1.html#group16J1", "16J¹"), =HYPERLINK("CSG0.html#group1A0", "1A⁰"), =HYPERLINK("CSG0.html#group16B0", "16B⁰"), =HYPERLINK("CSG2.html#group28C2", "28C²"), =HYPERLINK("CSG1.html#group16D1", "16D¹"), =HYPERLINK("CSG11.html#group112F11", "112F¹¹"), =HYPERLINK("CSG8.html#group112B8", "112B⁸"), =HYPERLINK("CSG0.html#group7A0", "7A⁰"), =HYPERLINK("CSG4.html#group56B4", "56B⁴")</f>
        <v/>
      </c>
      <c r="N6872" t="inlineStr"/>
    </row>
    <row r="6873">
      <c r="A6873" t="inlineStr">
        <is>
          <t>112E²¹</t>
        </is>
      </c>
      <c r="B6873" t="inlineStr"/>
      <c r="C6873" t="inlineStr">
        <is>
          <t>384</t>
        </is>
      </c>
      <c r="D6873" t="inlineStr">
        <is>
          <t>1</t>
        </is>
      </c>
      <c r="E6873" t="inlineStr">
        <is>
          <t>48</t>
        </is>
      </c>
      <c r="F6873" t="inlineStr">
        <is>
          <t>0</t>
        </is>
      </c>
      <c r="G6873" t="inlineStr">
        <is>
          <t>0</t>
        </is>
      </c>
      <c r="H6873" t="inlineStr">
        <is>
          <t>1⁸, 4², 7⁸, 16², 28², 112²</t>
        </is>
      </c>
      <c r="I6873" t="n">
        <v>24</v>
      </c>
      <c r="J6873" t="inlineStr">
        <is>
          <t>1⁸, 2², 6⁴, 12¹</t>
        </is>
      </c>
      <c r="K6873">
        <f>HYPERLINK("CSG9.html#group56C9", "56C⁹"), =HYPERLINK("CSG11.html#group112G11", "112G¹¹"), =HYPERLINK("CSG11.html#group112H11", "112H¹¹")</f>
        <v/>
      </c>
      <c r="L6873" t="inlineStr"/>
      <c r="M6873">
        <f>HYPERLINK("CSG4.html#group28E4", "28E⁴"), =HYPERLINK("CSG11.html#group112G11", "112G¹¹"), =HYPERLINK("CSG4.html#group56C4", "56C⁴"), =HYPERLINK("CSG0.html#group7B0", "7B⁰"), =HYPERLINK("CSG0.html#group16C0", "16C⁰"), =HYPERLINK("CSG2.html#group28D2", "28D²"), =HYPERLINK("CSG1.html#group14C1", "14C¹"), =HYPERLINK("CSG0.html#group8C0", "8C⁰"), =HYPERLINK("CSG0.html#group2B0", "2B⁰"), =HYPERLINK("CSG9.html#group56C9", "56C⁹"), =HYPERLINK("CSG0.html#group4B0", "4B⁰"), =HYPERLINK("CSG5.html#group56D5", "56D⁵"), =HYPERLINK("CSG0.html#group1A0", "1A⁰"), =HYPERLINK("CSG11.html#group112H11", "112H¹¹")</f>
        <v/>
      </c>
      <c r="N6873" t="inlineStr"/>
    </row>
    <row r="6874">
      <c r="A6874" t="inlineStr">
        <is>
          <t>112F²¹</t>
        </is>
      </c>
      <c r="B6874" t="inlineStr"/>
      <c r="C6874" t="inlineStr">
        <is>
          <t>384</t>
        </is>
      </c>
      <c r="D6874" t="inlineStr">
        <is>
          <t>1</t>
        </is>
      </c>
      <c r="E6874" t="inlineStr">
        <is>
          <t>96</t>
        </is>
      </c>
      <c r="F6874" t="inlineStr">
        <is>
          <t>0</t>
        </is>
      </c>
      <c r="G6874" t="inlineStr">
        <is>
          <t>0</t>
        </is>
      </c>
      <c r="H6874" t="inlineStr">
        <is>
          <t>1⁴, 2⁶, 7⁴, 14⁶, 16², 112²</t>
        </is>
      </c>
      <c r="I6874" t="n">
        <v>24</v>
      </c>
      <c r="J6874" t="inlineStr">
        <is>
          <t>1⁸, 2⁴, 4², 6⁴, 12², 24¹</t>
        </is>
      </c>
      <c r="K6874">
        <f>HYPERLINK("CSG9.html#group56C9", "56C⁹"), =HYPERLINK("CSG11.html#group112I11", "112I¹¹"), =HYPERLINK("CSG11.html#group112J11", "112J¹¹")</f>
        <v/>
      </c>
      <c r="L6874" t="inlineStr"/>
      <c r="M6874">
        <f>HYPERLINK("CSG4.html#group28E4", "28E⁴"), =HYPERLINK("CSG11.html#group112J11", "112J¹¹"), =HYPERLINK("CSG4.html#group56C4", "56C⁴"), =HYPERLINK("CSG0.html#group7B0", "7B⁰"), =HYPERLINK("CSG0.html#group16D0", "16D⁰"), =HYPERLINK("CSG2.html#group28D2", "28D²"), =HYPERLINK("CSG1.html#group14C1", "14C¹"), =HYPERLINK("CSG0.html#group8C0", "8C⁰"), =HYPERLINK("CSG0.html#group2B0", "2B⁰"), =HYPERLINK("CSG9.html#group56C9", "56C⁹"), =HYPERLINK("CSG0.html#group4B0", "4B⁰"), =HYPERLINK("CSG5.html#group56D5", "56D⁵"), =HYPERLINK("CSG0.html#group1A0", "1A⁰"), =HYPERLINK("CSG11.html#group112I11", "112I¹¹")</f>
        <v/>
      </c>
      <c r="N6874" t="inlineStr"/>
    </row>
    <row r="6875">
      <c r="A6875" t="inlineStr">
        <is>
          <t>114A²¹</t>
        </is>
      </c>
      <c r="B6875" t="inlineStr"/>
      <c r="C6875" t="inlineStr">
        <is>
          <t>320</t>
        </is>
      </c>
      <c r="D6875" t="inlineStr">
        <is>
          <t>1</t>
        </is>
      </c>
      <c r="E6875" t="inlineStr">
        <is>
          <t>80</t>
        </is>
      </c>
      <c r="F6875" t="inlineStr">
        <is>
          <t>0</t>
        </is>
      </c>
      <c r="G6875" t="inlineStr">
        <is>
          <t>8</t>
        </is>
      </c>
      <c r="H6875" t="inlineStr">
        <is>
          <t>2², 6², 38², 114²</t>
        </is>
      </c>
      <c r="I6875" t="n">
        <v>8</v>
      </c>
      <c r="J6875" t="inlineStr">
        <is>
          <t>1⁴, 2², 18², 36¹</t>
        </is>
      </c>
      <c r="K6875">
        <f>HYPERLINK("CSG9.html#group57B9", "57B⁹"), =HYPERLINK("CSG11.html#group114A11", "114A¹¹"), =HYPERLINK("CSG11.html#group114B11", "114B¹¹")</f>
        <v/>
      </c>
      <c r="L6875" t="inlineStr"/>
      <c r="M6875">
        <f>HYPERLINK("CSG0.html#group3B0", "3B⁰"), =HYPERLINK("CSG1.html#group19A1", "19A¹"), =HYPERLINK("CSG0.html#group2A0", "2A⁰"), =HYPERLINK("CSG2.html#group38A2", "38A²"), =HYPERLINK("CSG0.html#group6C0", "6C⁰"), =HYPERLINK("CSG9.html#group57B9", "57B⁹"), =HYPERLINK("CSG11.html#group114A11", "114A¹¹"), =HYPERLINK("CSG0.html#group1A0", "1A⁰"), =HYPERLINK("CSG11.html#group114B11", "114B¹¹"), =HYPERLINK("CSG5.html#group57C5", "57C⁵")</f>
        <v/>
      </c>
      <c r="N6875" t="inlineStr"/>
    </row>
    <row r="6876">
      <c r="A6876" t="inlineStr">
        <is>
          <t>115A²¹</t>
        </is>
      </c>
      <c r="B6876" t="inlineStr"/>
      <c r="C6876" t="inlineStr">
        <is>
          <t>288</t>
        </is>
      </c>
      <c r="D6876" t="inlineStr">
        <is>
          <t>1</t>
        </is>
      </c>
      <c r="E6876" t="inlineStr">
        <is>
          <t>144</t>
        </is>
      </c>
      <c r="F6876" t="inlineStr">
        <is>
          <t>0</t>
        </is>
      </c>
      <c r="G6876" t="inlineStr">
        <is>
          <t>0</t>
        </is>
      </c>
      <c r="H6876" t="inlineStr">
        <is>
          <t>1², 5², 23², 115²</t>
        </is>
      </c>
      <c r="I6876" t="n">
        <v>8</v>
      </c>
      <c r="J6876" t="inlineStr">
        <is>
          <t>1⁴, 4², 22², 88¹</t>
        </is>
      </c>
      <c r="K6876">
        <f>HYPERLINK("CSG0.html#group5D0", "5D⁰"), =HYPERLINK("CSG11.html#group115A11", "115A¹¹")</f>
        <v/>
      </c>
      <c r="L6876" t="inlineStr"/>
      <c r="M6876">
        <f>HYPERLINK("CSG0.html#group5B0", "5B⁰"), =HYPERLINK("CSG0.html#group5D0", "5D⁰"), =HYPERLINK("CSG2.html#group23A2", "23A²"), =HYPERLINK("CSG0.html#group1A0", "1A⁰"), =HYPERLINK("CSG11.html#group115A11", "115A¹¹")</f>
        <v/>
      </c>
      <c r="N6876" t="inlineStr"/>
    </row>
    <row r="6877">
      <c r="A6877" t="inlineStr">
        <is>
          <t>117A²¹</t>
        </is>
      </c>
      <c r="B6877" t="inlineStr"/>
      <c r="C6877" t="inlineStr">
        <is>
          <t>336</t>
        </is>
      </c>
      <c r="D6877" t="inlineStr">
        <is>
          <t>1</t>
        </is>
      </c>
      <c r="E6877" t="inlineStr">
        <is>
          <t>56</t>
        </is>
      </c>
      <c r="F6877" t="inlineStr">
        <is>
          <t>0</t>
        </is>
      </c>
      <c r="G6877" t="inlineStr">
        <is>
          <t>0</t>
        </is>
      </c>
      <c r="H6877" t="inlineStr">
        <is>
          <t>1⁶, 9², 13⁶, 117²</t>
        </is>
      </c>
      <c r="I6877" t="n">
        <v>16</v>
      </c>
      <c r="J6877" t="inlineStr">
        <is>
          <t>1⁴, 2², 12², 24¹</t>
        </is>
      </c>
      <c r="K6877">
        <f>HYPERLINK("CSG5.html#group39B5", "39B⁵"), =HYPERLINK("CSG11.html#group117A11", "117A¹¹")</f>
        <v/>
      </c>
      <c r="L6877" t="inlineStr"/>
      <c r="M6877">
        <f>HYPERLINK("CSG0.html#group3B0", "3B⁰"), =HYPERLINK("CSG11.html#group117A11", "117A¹¹"), =HYPERLINK("CSG3.html#group39A3", "39A³"), =HYPERLINK("CSG0.html#group13A0", "13A⁰"), =HYPERLINK("CSG0.html#group9B0", "9B⁰"), =HYPERLINK("CSG0.html#group13B0", "13B⁰"), =HYPERLINK("CSG0.html#group1A0", "1A⁰"), =HYPERLINK("CSG5.html#group39B5", "39B⁵")</f>
        <v/>
      </c>
      <c r="N6877" t="inlineStr"/>
    </row>
    <row r="6878">
      <c r="A6878" t="inlineStr">
        <is>
          <t>117B²¹</t>
        </is>
      </c>
      <c r="B6878" t="inlineStr"/>
      <c r="C6878" t="inlineStr">
        <is>
          <t>336</t>
        </is>
      </c>
      <c r="D6878" t="inlineStr">
        <is>
          <t>1</t>
        </is>
      </c>
      <c r="E6878" t="inlineStr">
        <is>
          <t>56</t>
        </is>
      </c>
      <c r="F6878" t="inlineStr">
        <is>
          <t>0</t>
        </is>
      </c>
      <c r="G6878" t="inlineStr">
        <is>
          <t>12</t>
        </is>
      </c>
      <c r="H6878" t="inlineStr">
        <is>
          <t>3², 9², 39², 117²</t>
        </is>
      </c>
      <c r="I6878" t="n">
        <v>8</v>
      </c>
      <c r="J6878" t="inlineStr">
        <is>
          <t>1⁴, 2², 12², 24¹</t>
        </is>
      </c>
      <c r="K6878">
        <f>HYPERLINK("CSG5.html#group39B5", "39B⁵"), =HYPERLINK("CSG11.html#group117B11", "117B¹¹")</f>
        <v/>
      </c>
      <c r="L6878" t="inlineStr"/>
      <c r="M6878">
        <f>HYPERLINK("CSG0.html#group3B0", "3B⁰"), =HYPERLINK("CSG3.html#group39A3", "39A³"), =HYPERLINK("CSG11.html#group117B11", "117B¹¹"), =HYPERLINK("CSG0.html#group13A0", "13A⁰"), =HYPERLINK("CSG0.html#group13B0", "13B⁰"), =HYPERLINK("CSG0.html#group9C0", "9C⁰"), =HYPERLINK("CSG0.html#group1A0", "1A⁰"), =HYPERLINK("CSG5.html#group39B5", "39B⁵")</f>
        <v/>
      </c>
      <c r="N6878" t="inlineStr"/>
    </row>
    <row r="6879">
      <c r="A6879" t="inlineStr">
        <is>
          <t>119A²¹</t>
        </is>
      </c>
      <c r="B6879" t="inlineStr"/>
      <c r="C6879" t="inlineStr">
        <is>
          <t>288</t>
        </is>
      </c>
      <c r="D6879" t="inlineStr">
        <is>
          <t>1</t>
        </is>
      </c>
      <c r="E6879" t="inlineStr">
        <is>
          <t>144</t>
        </is>
      </c>
      <c r="F6879" t="inlineStr">
        <is>
          <t>0</t>
        </is>
      </c>
      <c r="G6879" t="inlineStr">
        <is>
          <t>0</t>
        </is>
      </c>
      <c r="H6879" t="inlineStr">
        <is>
          <t>1², 7², 17², 119²</t>
        </is>
      </c>
      <c r="I6879" t="n">
        <v>8</v>
      </c>
      <c r="J6879" t="inlineStr">
        <is>
          <t>1⁴, 6², 16², 96¹</t>
        </is>
      </c>
      <c r="K6879">
        <f>HYPERLINK("CSG1.html#group17B1", "17B¹"), =HYPERLINK("CSG11.html#group119A11", "119A¹¹")</f>
        <v/>
      </c>
      <c r="L6879" t="inlineStr"/>
      <c r="M6879">
        <f>HYPERLINK("CSG1.html#group17A1", "17A¹"), =HYPERLINK("CSG0.html#group1A0", "1A⁰"), =HYPERLINK("CSG11.html#group119A11", "119A¹¹"), =HYPERLINK("CSG0.html#group7B0", "7B⁰"), =HYPERLINK("CSG1.html#group17B1", "17B¹")</f>
        <v/>
      </c>
      <c r="N6879" t="inlineStr"/>
    </row>
    <row r="6880">
      <c r="A6880" t="inlineStr">
        <is>
          <t>120A²¹</t>
        </is>
      </c>
      <c r="B6880" t="inlineStr"/>
      <c r="C6880" t="inlineStr">
        <is>
          <t>288</t>
        </is>
      </c>
      <c r="D6880" t="inlineStr">
        <is>
          <t>1</t>
        </is>
      </c>
      <c r="E6880" t="inlineStr">
        <is>
          <t>72</t>
        </is>
      </c>
      <c r="F6880" t="inlineStr">
        <is>
          <t>0</t>
        </is>
      </c>
      <c r="G6880" t="inlineStr">
        <is>
          <t>0</t>
        </is>
      </c>
      <c r="H6880" t="inlineStr">
        <is>
          <t>4¹, 8¹, 12¹, 20¹, 24¹, 40¹, 60¹, 120¹</t>
        </is>
      </c>
      <c r="I6880" t="n">
        <v>8</v>
      </c>
      <c r="J6880" t="inlineStr">
        <is>
          <t>1¹², 2⁶, 4⁶, 8³</t>
        </is>
      </c>
      <c r="K6880">
        <f>HYPERLINK("CSG3.html#group40C3", "40C³"), =HYPERLINK("CSG9.html#group60H9", "60H⁹")</f>
        <v/>
      </c>
      <c r="L6880" t="inlineStr"/>
      <c r="M6880">
        <f>HYPERLINK("CSG1.html#group20E1", "20E¹"), =HYPERLINK("CSG0.html#group3B0", "3B⁰"), =HYPERLINK("CSG1.html#group12F1", "12F¹"), =HYPERLINK("CSG0.html#group4C0", "4C⁰"), =HYPERLINK("CSG0.html#group5B0", "5B⁰"), =HYPERLINK("CSG0.html#group2B0", "2B⁰"), =HYPERLINK("CSG0.html#group1A0", "1A⁰"), =HYPERLINK("CSG3.html#group40C3", "40C³"), =HYPERLINK("CSG1.html#group15C1", "15C¹"), =HYPERLINK("CSG0.html#group6F0", "6F⁰"), =HYPERLINK("CSG0.html#group10C0", "10C⁰"), =HYPERLINK("CSG3.html#group30K3", "30K³"), =HYPERLINK("CSG9.html#group60H9", "60H⁹")</f>
        <v/>
      </c>
      <c r="N6880" t="inlineStr"/>
    </row>
    <row r="6881">
      <c r="A6881" t="inlineStr">
        <is>
          <t>120B²¹</t>
        </is>
      </c>
      <c r="B6881" t="inlineStr"/>
      <c r="C6881" t="inlineStr">
        <is>
          <t>288</t>
        </is>
      </c>
      <c r="D6881" t="inlineStr">
        <is>
          <t>1</t>
        </is>
      </c>
      <c r="E6881" t="inlineStr">
        <is>
          <t>72</t>
        </is>
      </c>
      <c r="F6881" t="inlineStr">
        <is>
          <t>0</t>
        </is>
      </c>
      <c r="G6881" t="inlineStr">
        <is>
          <t>0</t>
        </is>
      </c>
      <c r="H6881" t="inlineStr">
        <is>
          <t>4¹, 8¹, 12¹, 20¹, 24¹, 40¹, 60¹, 120¹</t>
        </is>
      </c>
      <c r="I6881" t="n">
        <v>8</v>
      </c>
      <c r="J6881" t="inlineStr">
        <is>
          <t>1¹², 2⁶, 4⁶, 8³</t>
        </is>
      </c>
      <c r="K6881">
        <f>HYPERLINK("CSG5.html#group40B5", "40B⁵"), =HYPERLINK("CSG9.html#group60H9", "60H⁹")</f>
        <v/>
      </c>
      <c r="L6881" t="inlineStr"/>
      <c r="M6881">
        <f>HYPERLINK("CSG1.html#group20E1", "20E¹"), =HYPERLINK("CSG0.html#group3B0", "3B⁰"), =HYPERLINK("CSG1.html#group15C1", "15C¹"), =HYPERLINK("CSG1.html#group12F1", "12F¹"), =HYPERLINK("CSG0.html#group4C0", "4C⁰"), =HYPERLINK("CSG0.html#group5B0", "5B⁰"), =HYPERLINK("CSG0.html#group10C0", "10C⁰"), =HYPERLINK("CSG0.html#group6F0", "6F⁰"), =HYPERLINK("CSG0.html#group1A0", "1A⁰"), =HYPERLINK("CSG5.html#group40B5", "40B⁵"), =HYPERLINK("CSG0.html#group2B0", "2B⁰"), =HYPERLINK("CSG3.html#group30K3", "30K³"), =HYPERLINK("CSG9.html#group60H9", "60H⁹")</f>
        <v/>
      </c>
      <c r="N6881" t="inlineStr"/>
    </row>
    <row r="6882">
      <c r="A6882" t="inlineStr">
        <is>
          <t>120C²¹</t>
        </is>
      </c>
      <c r="B6882" t="inlineStr"/>
      <c r="C6882" t="inlineStr">
        <is>
          <t>288</t>
        </is>
      </c>
      <c r="D6882" t="inlineStr">
        <is>
          <t>1</t>
        </is>
      </c>
      <c r="E6882" t="inlineStr">
        <is>
          <t>72</t>
        </is>
      </c>
      <c r="F6882" t="inlineStr">
        <is>
          <t>0</t>
        </is>
      </c>
      <c r="G6882" t="inlineStr">
        <is>
          <t>0</t>
        </is>
      </c>
      <c r="H6882" t="inlineStr">
        <is>
          <t>4¹, 8¹, 12¹, 20¹, 24¹, 40¹, 60¹, 120¹</t>
        </is>
      </c>
      <c r="I6882" t="n">
        <v>8</v>
      </c>
      <c r="J6882" t="inlineStr">
        <is>
          <t>1¹², 2⁶, 4⁶, 8³</t>
        </is>
      </c>
      <c r="K6882">
        <f>HYPERLINK("CSG3.html#group24B3", "24B³"), =HYPERLINK("CSG3.html#group40D3", "40D³"), =HYPERLINK("CSG9.html#group60H9", "60H⁹")</f>
        <v/>
      </c>
      <c r="L6882" t="inlineStr"/>
      <c r="M6882">
        <f>HYPERLINK("CSG0.html#group3B0", "3B⁰"), =HYPERLINK("CSG1.html#group20E1", "20E¹"), =HYPERLINK("CSG3.html#group40D3", "40D³"), =HYPERLINK("CSG3.html#group24B3", "24B³"), =HYPERLINK("CSG1.html#group12F1", "12F¹"), =HYPERLINK("CSG0.html#group4C0", "4C⁰"), =HYPERLINK("CSG0.html#group8B0", "8B⁰"), =HYPERLINK("CSG0.html#group5B0", "5B⁰"), =HYPERLINK("CSG0.html#group2B0", "2B⁰"), =HYPERLINK("CSG0.html#group1A0", "1A⁰"), =HYPERLINK("CSG1.html#group15C1", "15C¹"), =HYPERLINK("CSG0.html#group6F0", "6F⁰"), =HYPERLINK("CSG0.html#group10C0", "10C⁰"), =HYPERLINK("CSG3.html#group30K3", "30K³"), =HYPERLINK("CSG9.html#group60H9", "60H⁹")</f>
        <v/>
      </c>
      <c r="N6882" t="inlineStr"/>
    </row>
    <row r="6883">
      <c r="A6883" t="inlineStr">
        <is>
          <t>120D²¹</t>
        </is>
      </c>
      <c r="B6883" t="inlineStr"/>
      <c r="C6883" t="inlineStr">
        <is>
          <t>288</t>
        </is>
      </c>
      <c r="D6883" t="inlineStr">
        <is>
          <t>1</t>
        </is>
      </c>
      <c r="E6883" t="inlineStr">
        <is>
          <t>72</t>
        </is>
      </c>
      <c r="F6883" t="inlineStr">
        <is>
          <t>0</t>
        </is>
      </c>
      <c r="G6883" t="inlineStr">
        <is>
          <t>0</t>
        </is>
      </c>
      <c r="H6883" t="inlineStr">
        <is>
          <t>4¹, 8¹, 12¹, 20¹, 24¹, 40¹, 60¹, 120¹</t>
        </is>
      </c>
      <c r="I6883" t="n">
        <v>8</v>
      </c>
      <c r="J6883" t="inlineStr">
        <is>
          <t>1¹², 2⁶, 4⁶, 8³</t>
        </is>
      </c>
      <c r="K6883">
        <f>HYPERLINK("CSG3.html#group24C3", "24C³"), =HYPERLINK("CSG5.html#group40C5", "40C⁵"), =HYPERLINK("CSG9.html#group60H9", "60H⁹")</f>
        <v/>
      </c>
      <c r="L6883" t="inlineStr"/>
      <c r="M6883">
        <f>HYPERLINK("CSG0.html#group3B0", "3B⁰"), =HYPERLINK("CSG1.html#group20E1", "20E¹"), =HYPERLINK("CSG1.html#group8A1", "8A¹"), =HYPERLINK("CSG1.html#group12F1", "12F¹"), =HYPERLINK("CSG0.html#group4C0", "4C⁰"), =HYPERLINK("CSG5.html#group40C5", "40C⁵"), =HYPERLINK("CSG0.html#group5B0", "5B⁰"), =HYPERLINK("CSG0.html#group2B0", "2B⁰"), =HYPERLINK("CSG0.html#group1A0", "1A⁰"), =HYPERLINK("CSG3.html#group24C3", "24C³"), =HYPERLINK("CSG1.html#group15C1", "15C¹"), =HYPERLINK("CSG9.html#group60H9", "60H⁹"), =HYPERLINK("CSG0.html#group10C0", "10C⁰"), =HYPERLINK("CSG3.html#group30K3", "30K³"), =HYPERLINK("CSG0.html#group6F0", "6F⁰")</f>
        <v/>
      </c>
      <c r="N6883" t="inlineStr"/>
    </row>
    <row r="6884">
      <c r="A6884" t="inlineStr">
        <is>
          <t>120E²¹</t>
        </is>
      </c>
      <c r="B6884" t="inlineStr"/>
      <c r="C6884" t="inlineStr">
        <is>
          <t>288</t>
        </is>
      </c>
      <c r="D6884" t="inlineStr">
        <is>
          <t>2</t>
        </is>
      </c>
      <c r="E6884" t="inlineStr">
        <is>
          <t>72</t>
        </is>
      </c>
      <c r="F6884" t="inlineStr">
        <is>
          <t>0</t>
        </is>
      </c>
      <c r="G6884" t="inlineStr">
        <is>
          <t>0</t>
        </is>
      </c>
      <c r="H6884" t="inlineStr">
        <is>
          <t>4¹, 8¹, 12¹, 20¹, 24¹, 40¹, 60¹, 120¹</t>
        </is>
      </c>
      <c r="I6884" t="n">
        <v>8</v>
      </c>
      <c r="J6884" t="inlineStr">
        <is>
          <t>2¹², 4⁶, 8⁶, 16³</t>
        </is>
      </c>
      <c r="K6884">
        <f>HYPERLINK("CSG9.html#group60G9", "60G⁹")</f>
        <v/>
      </c>
      <c r="L6884" t="inlineStr"/>
      <c r="M6884">
        <f>HYPERLINK("CSG1.html#group15C1", "15C¹"), =HYPERLINK("CSG0.html#group3B0", "3B⁰"), =HYPERLINK("CSG0.html#group5B0", "5B⁰"), =HYPERLINK("CSG9.html#group60G9", "60G⁹"), =HYPERLINK("CSG0.html#group10C0", "10C⁰"), =HYPERLINK("CSG0.html#group1A0", "1A⁰"), =HYPERLINK("CSG0.html#group2B0", "2B⁰"), =HYPERLINK("CSG3.html#group30K3", "30K³"), =HYPERLINK("CSG0.html#group6F0", "6F⁰"), =HYPERLINK("CSG2.html#group20C2", "20C²")</f>
        <v/>
      </c>
      <c r="N6884" t="inlineStr"/>
    </row>
    <row r="6885">
      <c r="A6885" t="inlineStr">
        <is>
          <t>120F²¹</t>
        </is>
      </c>
      <c r="B6885" t="inlineStr"/>
      <c r="C6885" t="inlineStr">
        <is>
          <t>288</t>
        </is>
      </c>
      <c r="D6885" t="inlineStr">
        <is>
          <t>2</t>
        </is>
      </c>
      <c r="E6885" t="inlineStr">
        <is>
          <t>72</t>
        </is>
      </c>
      <c r="F6885" t="inlineStr">
        <is>
          <t>0</t>
        </is>
      </c>
      <c r="G6885" t="inlineStr">
        <is>
          <t>0</t>
        </is>
      </c>
      <c r="H6885" t="inlineStr">
        <is>
          <t>4¹, 8¹, 12¹, 20¹, 24¹, 40¹, 60¹, 120¹</t>
        </is>
      </c>
      <c r="I6885" t="n">
        <v>8</v>
      </c>
      <c r="J6885" t="inlineStr">
        <is>
          <t>2¹², 4⁶, 8⁶, 16³</t>
        </is>
      </c>
      <c r="K6885">
        <f>HYPERLINK("CSG9.html#group60G9", "60G⁹")</f>
        <v/>
      </c>
      <c r="L6885" t="inlineStr"/>
      <c r="M6885">
        <f>HYPERLINK("CSG1.html#group15C1", "15C¹"), =HYPERLINK("CSG0.html#group3B0", "3B⁰"), =HYPERLINK("CSG0.html#group5B0", "5B⁰"), =HYPERLINK("CSG9.html#group60G9", "60G⁹"), =HYPERLINK("CSG0.html#group10C0", "10C⁰"), =HYPERLINK("CSG0.html#group1A0", "1A⁰"), =HYPERLINK("CSG0.html#group2B0", "2B⁰"), =HYPERLINK("CSG3.html#group30K3", "30K³"), =HYPERLINK("CSG0.html#group6F0", "6F⁰"), =HYPERLINK("CSG2.html#group20C2", "20C²")</f>
        <v/>
      </c>
      <c r="N6885" t="inlineStr"/>
    </row>
    <row r="6886">
      <c r="A6886" t="inlineStr">
        <is>
          <t>120G²¹</t>
        </is>
      </c>
      <c r="B6886" t="inlineStr"/>
      <c r="C6886" t="inlineStr">
        <is>
          <t>288</t>
        </is>
      </c>
      <c r="D6886" t="inlineStr">
        <is>
          <t>2</t>
        </is>
      </c>
      <c r="E6886" t="inlineStr">
        <is>
          <t>72</t>
        </is>
      </c>
      <c r="F6886" t="inlineStr">
        <is>
          <t>8</t>
        </is>
      </c>
      <c r="G6886" t="inlineStr">
        <is>
          <t>0</t>
        </is>
      </c>
      <c r="H6886" t="inlineStr">
        <is>
          <t>24², 120²</t>
        </is>
      </c>
      <c r="I6886" t="n">
        <v>4</v>
      </c>
      <c r="J6886" t="inlineStr">
        <is>
          <t>4⁴, 8⁴, 16², 32²</t>
        </is>
      </c>
      <c r="K6886">
        <f>HYPERLINK("CSG9.html#group60J9", "60J⁹"), =HYPERLINK("CSG9.html#group120E9", "120E⁹")</f>
        <v/>
      </c>
      <c r="L6886" t="inlineStr"/>
      <c r="M6886">
        <f>HYPERLINK("CSG1.html#group12G1", "12G¹"), =HYPERLINK("CSG0.html#group15B0", "15B⁰"), =HYPERLINK("CSG0.html#group12A0", "12A⁰"), =HYPERLINK("CSG9.html#group60J9", "60J⁹"), =HYPERLINK("CSG0.html#group4A0", "4A⁰"), =HYPERLINK("CSG0.html#group5B0", "5B⁰"), =HYPERLINK("CSG9.html#group120E9", "120E⁹"), =HYPERLINK("CSG0.html#group3C0", "3C⁰"), =HYPERLINK("CSG3.html#group60B3", "60B³"), =HYPERLINK("CSG0.html#group3A0", "3A⁰"), =HYPERLINK("CSG0.html#group1A0", "1A⁰"), =HYPERLINK("CSG1.html#group20B1", "20B¹"), =HYPERLINK("CSG1.html#group15E1", "15E¹")</f>
        <v/>
      </c>
      <c r="N6886" t="inlineStr"/>
    </row>
    <row r="6887">
      <c r="A6887" t="inlineStr">
        <is>
          <t>120H²¹</t>
        </is>
      </c>
      <c r="B6887" t="inlineStr"/>
      <c r="C6887" t="inlineStr">
        <is>
          <t>288</t>
        </is>
      </c>
      <c r="D6887" t="inlineStr">
        <is>
          <t>2</t>
        </is>
      </c>
      <c r="E6887" t="inlineStr">
        <is>
          <t>72</t>
        </is>
      </c>
      <c r="F6887" t="inlineStr">
        <is>
          <t>8</t>
        </is>
      </c>
      <c r="G6887" t="inlineStr">
        <is>
          <t>0</t>
        </is>
      </c>
      <c r="H6887" t="inlineStr">
        <is>
          <t>24², 120²</t>
        </is>
      </c>
      <c r="I6887" t="n">
        <v>4</v>
      </c>
      <c r="J6887" t="inlineStr">
        <is>
          <t>4⁴, 8⁴, 16², 32²</t>
        </is>
      </c>
      <c r="K6887">
        <f>HYPERLINK("CSG3.html#group24D3", "24D³"), =HYPERLINK("CSG9.html#group60J9", "60J⁹"), =HYPERLINK("CSG9.html#group120F9", "120F⁹")</f>
        <v/>
      </c>
      <c r="L6887" t="inlineStr"/>
      <c r="M6887">
        <f>HYPERLINK("CSG1.html#group12G1", "12G¹"), =HYPERLINK("CSG3.html#group24D3", "24D³"), =HYPERLINK("CSG9.html#group60J9", "60J⁹"), =HYPERLINK("CSG0.html#group5B0", "5B⁰"), =HYPERLINK("CSG1.html#group24B1", "24B¹"), =HYPERLINK("CSG0.html#group1A0", "1A⁰"), =HYPERLINK("CSG1.html#group20B1", "20B¹"), =HYPERLINK("CSG0.html#group15B0", "15B⁰"), =HYPERLINK("CSG0.html#group12A0", "12A⁰"), =HYPERLINK("CSG9.html#group120F9", "120F⁹"), =HYPERLINK("CSG0.html#group4A0", "4A⁰"), =HYPERLINK("CSG0.html#group3C0", "3C⁰"), =HYPERLINK("CSG3.html#group60B3", "60B³"), =HYPERLINK("CSG0.html#group3A0", "3A⁰"), =HYPERLINK("CSG1.html#group15E1", "15E¹")</f>
        <v/>
      </c>
      <c r="N6887" t="inlineStr"/>
    </row>
    <row r="6888">
      <c r="A6888" t="inlineStr">
        <is>
          <t>120I²¹</t>
        </is>
      </c>
      <c r="B6888" t="inlineStr"/>
      <c r="C6888" t="inlineStr">
        <is>
          <t>288</t>
        </is>
      </c>
      <c r="D6888" t="inlineStr">
        <is>
          <t>2</t>
        </is>
      </c>
      <c r="E6888" t="inlineStr">
        <is>
          <t>72</t>
        </is>
      </c>
      <c r="F6888" t="inlineStr">
        <is>
          <t>8</t>
        </is>
      </c>
      <c r="G6888" t="inlineStr">
        <is>
          <t>0</t>
        </is>
      </c>
      <c r="H6888" t="inlineStr">
        <is>
          <t>24², 120²</t>
        </is>
      </c>
      <c r="I6888" t="n">
        <v>4</v>
      </c>
      <c r="J6888" t="inlineStr">
        <is>
          <t>4⁴, 8⁴, 16², 32²</t>
        </is>
      </c>
      <c r="K6888">
        <f>HYPERLINK("CSG9.html#group60I9", "60I⁹"), =HYPERLINK("CSG9.html#group120C9", "120C⁹"), =HYPERLINK("CSG9.html#group120F9", "120F⁹")</f>
        <v/>
      </c>
      <c r="L6888" t="inlineStr"/>
      <c r="M6888">
        <f>HYPERLINK("CSG0.html#group15B0", "15B⁰"), =HYPERLINK("CSG0.html#group12A0", "12A⁰"), =HYPERLINK("CSG3.html#group40A3", "40A³"), =HYPERLINK("CSG9.html#group120F9", "120F⁹"), =HYPERLINK("CSG0.html#group4A0", "4A⁰"), =HYPERLINK("CSG0.html#group5B0", "5B⁰"), =HYPERLINK("CSG1.html#group20B1", "20B¹"), =HYPERLINK("CSG3.html#group60B3", "60B³"), =HYPERLINK("CSG1.html#group24B1", "24B¹"), =HYPERLINK("CSG0.html#group3A0", "3A⁰"), =HYPERLINK("CSG0.html#group1A0", "1A⁰"), =HYPERLINK("CSG9.html#group120C9", "120C⁹"), =HYPERLINK("CSG9.html#group60I9", "60I⁹"), =HYPERLINK("CSG2.html#group30C2", "30C²")</f>
        <v/>
      </c>
      <c r="N6888" t="inlineStr"/>
    </row>
    <row r="6889">
      <c r="A6889" t="inlineStr">
        <is>
          <t>120J²¹</t>
        </is>
      </c>
      <c r="B6889" t="inlineStr"/>
      <c r="C6889" t="inlineStr">
        <is>
          <t>288</t>
        </is>
      </c>
      <c r="D6889" t="inlineStr">
        <is>
          <t>2</t>
        </is>
      </c>
      <c r="E6889" t="inlineStr">
        <is>
          <t>72</t>
        </is>
      </c>
      <c r="F6889" t="inlineStr">
        <is>
          <t>8</t>
        </is>
      </c>
      <c r="G6889" t="inlineStr">
        <is>
          <t>0</t>
        </is>
      </c>
      <c r="H6889" t="inlineStr">
        <is>
          <t>24², 120²</t>
        </is>
      </c>
      <c r="I6889" t="n">
        <v>4</v>
      </c>
      <c r="J6889" t="inlineStr">
        <is>
          <t>4⁴, 8⁴, 16², 32²</t>
        </is>
      </c>
      <c r="K6889">
        <f>HYPERLINK("CSG9.html#group60I9", "60I⁹"), =HYPERLINK("CSG9.html#group120D9", "120D⁹"), =HYPERLINK("CSG9.html#group120E9", "120E⁹")</f>
        <v/>
      </c>
      <c r="L6889" t="inlineStr"/>
      <c r="M6889">
        <f>HYPERLINK("CSG0.html#group15B0", "15B⁰"), =HYPERLINK("CSG0.html#group12A0", "12A⁰"), =HYPERLINK("CSG1.html#group24A1", "24A¹"), =HYPERLINK("CSG0.html#group4A0", "4A⁰"), =HYPERLINK("CSG3.html#group40B3", "40B³"), =HYPERLINK("CSG0.html#group8A0", "8A⁰"), =HYPERLINK("CSG9.html#group120E9", "120E⁹"), =HYPERLINK("CSG0.html#group5B0", "5B⁰"), =HYPERLINK("CSG1.html#group20B1", "20B¹"), =HYPERLINK("CSG3.html#group60B3", "60B³"), =HYPERLINK("CSG0.html#group3A0", "3A⁰"), =HYPERLINK("CSG9.html#group120D9", "120D⁹"), =HYPERLINK("CSG0.html#group1A0", "1A⁰"), =HYPERLINK("CSG9.html#group60I9", "60I⁹"), =HYPERLINK("CSG2.html#group30C2", "30C²")</f>
        <v/>
      </c>
      <c r="N6889" t="inlineStr"/>
    </row>
    <row r="6890">
      <c r="A6890" t="inlineStr">
        <is>
          <t>120K²¹</t>
        </is>
      </c>
      <c r="B6890" t="inlineStr"/>
      <c r="C6890" t="inlineStr">
        <is>
          <t>288</t>
        </is>
      </c>
      <c r="D6890" t="inlineStr">
        <is>
          <t>2</t>
        </is>
      </c>
      <c r="E6890" t="inlineStr">
        <is>
          <t>72</t>
        </is>
      </c>
      <c r="F6890" t="inlineStr">
        <is>
          <t>8</t>
        </is>
      </c>
      <c r="G6890" t="inlineStr">
        <is>
          <t>0</t>
        </is>
      </c>
      <c r="H6890" t="inlineStr">
        <is>
          <t>24², 120²</t>
        </is>
      </c>
      <c r="I6890" t="n">
        <v>4</v>
      </c>
      <c r="J6890" t="inlineStr">
        <is>
          <t>4⁴, 8⁴, 16², 32²</t>
        </is>
      </c>
      <c r="K6890">
        <f>HYPERLINK("CSG9.html#group60J9", "60J⁹"), =HYPERLINK("CSG9.html#group120C9", "120C⁹"), =HYPERLINK("CSG9.html#group120E9", "120E⁹")</f>
        <v/>
      </c>
      <c r="L6890" t="inlineStr"/>
      <c r="M6890">
        <f>HYPERLINK("CSG1.html#group12G1", "12G¹"), =HYPERLINK("CSG0.html#group15B0", "15B⁰"), =HYPERLINK("CSG0.html#group12A0", "12A⁰"), =HYPERLINK("CSG3.html#group40A3", "40A³"), =HYPERLINK("CSG9.html#group60J9", "60J⁹"), =HYPERLINK("CSG0.html#group4A0", "4A⁰"), =HYPERLINK("CSG0.html#group5B0", "5B⁰"), =HYPERLINK("CSG9.html#group120E9", "120E⁹"), =HYPERLINK("CSG0.html#group3C0", "3C⁰"), =HYPERLINK("CSG3.html#group60B3", "60B³"), =HYPERLINK("CSG0.html#group3A0", "3A⁰"), =HYPERLINK("CSG0.html#group1A0", "1A⁰"), =HYPERLINK("CSG9.html#group120C9", "120C⁹"), =HYPERLINK("CSG1.html#group20B1", "20B¹"), =HYPERLINK("CSG1.html#group15E1", "15E¹")</f>
        <v/>
      </c>
      <c r="N6890" t="inlineStr"/>
    </row>
    <row r="6891">
      <c r="A6891" t="inlineStr">
        <is>
          <t>120L²¹</t>
        </is>
      </c>
      <c r="B6891" t="inlineStr"/>
      <c r="C6891" t="inlineStr">
        <is>
          <t>288</t>
        </is>
      </c>
      <c r="D6891" t="inlineStr">
        <is>
          <t>2</t>
        </is>
      </c>
      <c r="E6891" t="inlineStr">
        <is>
          <t>72</t>
        </is>
      </c>
      <c r="F6891" t="inlineStr">
        <is>
          <t>8</t>
        </is>
      </c>
      <c r="G6891" t="inlineStr">
        <is>
          <t>0</t>
        </is>
      </c>
      <c r="H6891" t="inlineStr">
        <is>
          <t>24², 120²</t>
        </is>
      </c>
      <c r="I6891" t="n">
        <v>4</v>
      </c>
      <c r="J6891" t="inlineStr">
        <is>
          <t>4⁴, 8⁴, 16², 32²</t>
        </is>
      </c>
      <c r="K6891">
        <f>HYPERLINK("CSG3.html#group24E3", "24E³"), =HYPERLINK("CSG9.html#group60J9", "60J⁹"), =HYPERLINK("CSG9.html#group120D9", "120D⁹"), =HYPERLINK("CSG9.html#group120F9", "120F⁹")</f>
        <v/>
      </c>
      <c r="L6891" t="inlineStr"/>
      <c r="M6891">
        <f>HYPERLINK("CSG1.html#group12G1", "12G¹"), =HYPERLINK("CSG9.html#group60J9", "60J⁹"), =HYPERLINK("CSG0.html#group8A0", "8A⁰"), =HYPERLINK("CSG0.html#group5B0", "5B⁰"), =HYPERLINK("CSG1.html#group24B1", "24B¹"), =HYPERLINK("CSG9.html#group120D9", "120D⁹"), =HYPERLINK("CSG0.html#group1A0", "1A⁰"), =HYPERLINK("CSG1.html#group20B1", "20B¹"), =HYPERLINK("CSG3.html#group24E3", "24E³"), =HYPERLINK("CSG0.html#group15B0", "15B⁰"), =HYPERLINK("CSG0.html#group12A0", "12A⁰"), =HYPERLINK("CSG1.html#group24A1", "24A¹"), =HYPERLINK("CSG9.html#group120F9", "120F⁹"), =HYPERLINK("CSG0.html#group4A0", "4A⁰"), =HYPERLINK("CSG3.html#group40B3", "40B³"), =HYPERLINK("CSG0.html#group3C0", "3C⁰"), =HYPERLINK("CSG3.html#group60B3", "60B³"), =HYPERLINK("CSG0.html#group3A0", "3A⁰"), =HYPERLINK("CSG1.html#group15E1", "15E¹")</f>
        <v/>
      </c>
      <c r="N6891" t="inlineStr"/>
    </row>
    <row r="6892">
      <c r="A6892" t="inlineStr">
        <is>
          <t>120M²¹</t>
        </is>
      </c>
      <c r="B6892" t="inlineStr"/>
      <c r="C6892" t="inlineStr">
        <is>
          <t>288</t>
        </is>
      </c>
      <c r="D6892" t="inlineStr">
        <is>
          <t>2</t>
        </is>
      </c>
      <c r="E6892" t="inlineStr">
        <is>
          <t>72</t>
        </is>
      </c>
      <c r="F6892" t="inlineStr">
        <is>
          <t>8</t>
        </is>
      </c>
      <c r="G6892" t="inlineStr">
        <is>
          <t>0</t>
        </is>
      </c>
      <c r="H6892" t="inlineStr">
        <is>
          <t>24², 120²</t>
        </is>
      </c>
      <c r="I6892" t="n">
        <v>4</v>
      </c>
      <c r="J6892" t="inlineStr">
        <is>
          <t>8¹², 32⁶</t>
        </is>
      </c>
      <c r="K6892">
        <f>HYPERLINK("CSG9.html#group60I9", "60I⁹"), =HYPERLINK("CSG9.html#group120E9", "120E⁹"), =HYPERLINK("CSG9.html#group120F9", "120F⁹")</f>
        <v/>
      </c>
      <c r="L6892" t="inlineStr"/>
      <c r="M6892">
        <f>HYPERLINK("CSG0.html#group15B0", "15B⁰"), =HYPERLINK("CSG0.html#group12A0", "12A⁰"), =HYPERLINK("CSG9.html#group120F9", "120F⁹"), =HYPERLINK("CSG0.html#group4A0", "4A⁰"), =HYPERLINK("CSG0.html#group5B0", "5B⁰"), =HYPERLINK("CSG9.html#group120E9", "120E⁹"), =HYPERLINK("CSG1.html#group20B1", "20B¹"), =HYPERLINK("CSG3.html#group60B3", "60B³"), =HYPERLINK("CSG1.html#group24B1", "24B¹"), =HYPERLINK("CSG0.html#group3A0", "3A⁰"), =HYPERLINK("CSG0.html#group1A0", "1A⁰"), =HYPERLINK("CSG9.html#group60I9", "60I⁹"), =HYPERLINK("CSG2.html#group30C2", "30C²")</f>
        <v/>
      </c>
      <c r="N6892" t="inlineStr"/>
    </row>
    <row r="6893">
      <c r="A6893" t="inlineStr">
        <is>
          <t>120N²¹</t>
        </is>
      </c>
      <c r="B6893" t="inlineStr"/>
      <c r="C6893" t="inlineStr">
        <is>
          <t>288</t>
        </is>
      </c>
      <c r="D6893" t="inlineStr">
        <is>
          <t>2</t>
        </is>
      </c>
      <c r="E6893" t="inlineStr">
        <is>
          <t>72</t>
        </is>
      </c>
      <c r="F6893" t="inlineStr">
        <is>
          <t>8</t>
        </is>
      </c>
      <c r="G6893" t="inlineStr">
        <is>
          <t>0</t>
        </is>
      </c>
      <c r="H6893" t="inlineStr">
        <is>
          <t>24², 120²</t>
        </is>
      </c>
      <c r="I6893" t="n">
        <v>4</v>
      </c>
      <c r="J6893" t="inlineStr">
        <is>
          <t>8¹², 32⁶</t>
        </is>
      </c>
      <c r="K6893">
        <f>HYPERLINK("CSG9.html#group60I9", "60I⁹"), =HYPERLINK("CSG9.html#group120E9", "120E⁹"), =HYPERLINK("CSG9.html#group120F9", "120F⁹")</f>
        <v/>
      </c>
      <c r="L6893" t="inlineStr"/>
      <c r="M6893">
        <f>HYPERLINK("CSG0.html#group15B0", "15B⁰"), =HYPERLINK("CSG0.html#group12A0", "12A⁰"), =HYPERLINK("CSG9.html#group120F9", "120F⁹"), =HYPERLINK("CSG0.html#group4A0", "4A⁰"), =HYPERLINK("CSG0.html#group5B0", "5B⁰"), =HYPERLINK("CSG9.html#group120E9", "120E⁹"), =HYPERLINK("CSG1.html#group20B1", "20B¹"), =HYPERLINK("CSG3.html#group60B3", "60B³"), =HYPERLINK("CSG1.html#group24B1", "24B¹"), =HYPERLINK("CSG0.html#group3A0", "3A⁰"), =HYPERLINK("CSG0.html#group1A0", "1A⁰"), =HYPERLINK("CSG9.html#group60I9", "60I⁹"), =HYPERLINK("CSG2.html#group30C2", "30C²")</f>
        <v/>
      </c>
      <c r="N6893" t="inlineStr"/>
    </row>
    <row r="6894">
      <c r="A6894" t="inlineStr">
        <is>
          <t>120O²¹</t>
        </is>
      </c>
      <c r="B6894" t="inlineStr"/>
      <c r="C6894" t="inlineStr">
        <is>
          <t>432</t>
        </is>
      </c>
      <c r="D6894" t="inlineStr">
        <is>
          <t>1</t>
        </is>
      </c>
      <c r="E6894" t="inlineStr">
        <is>
          <t>18</t>
        </is>
      </c>
      <c r="F6894" t="inlineStr">
        <is>
          <t>48</t>
        </is>
      </c>
      <c r="G6894" t="inlineStr">
        <is>
          <t>0</t>
        </is>
      </c>
      <c r="H6894" t="inlineStr">
        <is>
          <t>12², 24², 60², 120²</t>
        </is>
      </c>
      <c r="I6894" t="n">
        <v>8</v>
      </c>
      <c r="J6894" t="inlineStr">
        <is>
          <t>1⁶, 4³</t>
        </is>
      </c>
      <c r="K6894">
        <f>HYPERLINK("CSG5.html#group40L5", "40L⁵"), =HYPERLINK("CSG9.html#group60M9", "60M⁹"), =HYPERLINK("CSG11.html#group120A11", "120A¹¹"), =HYPERLINK("CSG11.html#group120B11", "120B¹¹")</f>
        <v/>
      </c>
      <c r="L6894" t="inlineStr"/>
      <c r="M6894">
        <f>HYPERLINK("CSG0.html#group30A0", "30A⁰"), =HYPERLINK("CSG11.html#group120A11", "120A¹¹"), =HYPERLINK("CSG1.html#group20E1", "20E¹"), =HYPERLINK("CSG3.html#group40D3", "40D³"), =HYPERLINK("CSG0.html#group10G0", "10G⁰"), =HYPERLINK("CSG0.html#group12C0", "12C⁰"), =HYPERLINK("CSG0.html#group4C0", "4C⁰"), =HYPERLINK("CSG0.html#group5B0", "5B⁰"), =HYPERLINK("CSG0.html#group8B0", "8B⁰"), =HYPERLINK("CSG4.html#group60C4", "60C⁴"), =HYPERLINK("CSG0.html#group2B0", "2B⁰"), =HYPERLINK("CSG11.html#group120B11", "120B¹¹"), =HYPERLINK("CSG0.html#group1A0", "1A⁰"), =HYPERLINK("CSG0.html#group10B0", "10B⁰"), =HYPERLINK("CSG3.html#group40C3", "40C³"), =HYPERLINK("CSG0.html#group20A0", "20A⁰"), =HYPERLINK("CSG0.html#group15B0", "15B⁰"), =HYPERLINK("CSG2.html#group30E2", "30E²"), =HYPERLINK("CSG1.html#group20I1", "20I¹"), =HYPERLINK("CSG5.html#group60A5", "60A⁵"), =HYPERLINK("CSG0.html#group24A0", "24A⁰"), =HYPERLINK("CSG9.html#group60M9", "60M⁹"), =HYPERLINK("CSG0.html#group10C0", "10C⁰"), =HYPERLINK("CSG4.html#group30H4", "30H⁴"), =HYPERLINK("CSG0.html#group3A0", "3A⁰"), =HYPERLINK("CSG5.html#group40L5", "40L⁵"), =HYPERLINK("CSG0.html#group6D0", "6D⁰")</f>
        <v/>
      </c>
      <c r="N6894" t="inlineStr"/>
    </row>
    <row r="6895">
      <c r="A6895" t="inlineStr">
        <is>
          <t>126A²¹</t>
        </is>
      </c>
      <c r="B6895" t="inlineStr"/>
      <c r="C6895" t="inlineStr">
        <is>
          <t>252</t>
        </is>
      </c>
      <c r="D6895" t="inlineStr">
        <is>
          <t>2</t>
        </is>
      </c>
      <c r="E6895" t="inlineStr">
        <is>
          <t>21</t>
        </is>
      </c>
      <c r="F6895" t="inlineStr">
        <is>
          <t>0</t>
        </is>
      </c>
      <c r="G6895" t="inlineStr">
        <is>
          <t>0</t>
        </is>
      </c>
      <c r="H6895" t="inlineStr">
        <is>
          <t>126²</t>
        </is>
      </c>
      <c r="I6895" t="n">
        <v>2</v>
      </c>
      <c r="J6895" t="inlineStr">
        <is>
          <t>2¹, 4¹, 6², 12²</t>
        </is>
      </c>
      <c r="K6895">
        <f>HYPERLINK("CSG3.html#group18A3", "18A³"), =HYPERLINK("CSG6.html#group63E6", "63E⁶"), =HYPERLINK("CSG7.html#group42C7", "42C⁷"), =HYPERLINK("CSG8.html#group126A8", "126A⁸"), =HYPERLINK("CSG11.html#group126A11", "126A¹¹")</f>
        <v/>
      </c>
      <c r="L6895" t="inlineStr"/>
      <c r="M6895">
        <f>HYPERLINK("CSG0.html#group2A0", "2A⁰"), =HYPERLINK("CSG2.html#group21D2", "21D²"), =HYPERLINK("CSG0.html#group6B0", "6B⁰"), =HYPERLINK("CSG0.html#group3A0", "3A⁰"), =HYPERLINK("CSG1.html#group42B1", "42B¹"), =HYPERLINK("CSG1.html#group14A1", "14A¹"), =HYPERLINK("CSG3.html#group18A3", "18A³"), =HYPERLINK("CSG6.html#group63E6", "63E⁶"), =HYPERLINK("CSG0.html#group21A0", "21A⁰"), =HYPERLINK("CSG2.html#group18A2", "18A²"), =HYPERLINK("CSG4.html#group42A4", "42A⁴"), =HYPERLINK("CSG0.html#group1A0", "1A⁰"), =HYPERLINK("CSG8.html#group126A8", "126A⁸"), =HYPERLINK("CSG2.html#group63A2", "63A²"), =HYPERLINK("CSG0.html#group9D0", "9D⁰"), =HYPERLINK("CSG1.html#group6B1", "6B¹"), =HYPERLINK("CSG0.html#group9A0", "9A⁰"), =HYPERLINK("CSG0.html#group3C0", "3C⁰"), =HYPERLINK("CSG1.html#group6A1", "6A¹"), =HYPERLINK("CSG11.html#group126A11", "126A¹¹"), =HYPERLINK("CSG7.html#group42C7", "42C⁷"), =HYPERLINK("CSG1.html#group18A1", "18A¹"), =HYPERLINK("CSG0.html#group7A0", "7A⁰")</f>
        <v/>
      </c>
      <c r="N6895" t="inlineStr"/>
    </row>
    <row r="6896">
      <c r="A6896" t="inlineStr">
        <is>
          <t>126B²¹</t>
        </is>
      </c>
      <c r="B6896" t="inlineStr"/>
      <c r="C6896" t="inlineStr">
        <is>
          <t>252</t>
        </is>
      </c>
      <c r="D6896" t="inlineStr">
        <is>
          <t>2</t>
        </is>
      </c>
      <c r="E6896" t="inlineStr">
        <is>
          <t>42</t>
        </is>
      </c>
      <c r="F6896" t="inlineStr">
        <is>
          <t>0</t>
        </is>
      </c>
      <c r="G6896" t="inlineStr">
        <is>
          <t>0</t>
        </is>
      </c>
      <c r="H6896" t="inlineStr">
        <is>
          <t>126²</t>
        </is>
      </c>
      <c r="I6896" t="n">
        <v>2</v>
      </c>
      <c r="J6896" t="inlineStr">
        <is>
          <t>4³, 12⁶</t>
        </is>
      </c>
      <c r="K6896">
        <f>HYPERLINK("CSG3.html#group18B3", "18B³"), =HYPERLINK("CSG7.html#group42C7", "42C⁷"), =HYPERLINK("CSG8.html#group126D8", "126D⁸")</f>
        <v/>
      </c>
      <c r="L6896" t="inlineStr"/>
      <c r="M6896">
        <f>HYPERLINK("CSG0.html#group2A0", "2A⁰"), =HYPERLINK("CSG2.html#group21D2", "21D²"), =HYPERLINK("CSG0.html#group6B0", "6B⁰"), =HYPERLINK("CSG0.html#group3A0", "3A⁰"), =HYPERLINK("CSG1.html#group14A1", "14A¹"), =HYPERLINK("CSG0.html#group21A0", "21A⁰"), =HYPERLINK("CSG1.html#group18B1", "18B¹"), =HYPERLINK("CSG4.html#group42A4", "42A⁴"), =HYPERLINK("CSG0.html#group1A0", "1A⁰"), =HYPERLINK("CSG1.html#group6B1", "6B¹"), =HYPERLINK("CSG3.html#group18B3", "18B³"), =HYPERLINK("CSG0.html#group3C0", "3C⁰"), =HYPERLINK("CSG1.html#group6A1", "6A¹"), =HYPERLINK("CSG1.html#group42B1", "42B¹"), =HYPERLINK("CSG7.html#group42C7", "42C⁷"), =HYPERLINK("CSG8.html#group126D8", "126D⁸"), =HYPERLINK("CSG0.html#group7A0", "7A⁰")</f>
        <v/>
      </c>
      <c r="N6896" t="inlineStr"/>
    </row>
    <row r="6897">
      <c r="A6897" t="inlineStr">
        <is>
          <t>126C²¹</t>
        </is>
      </c>
      <c r="B6897" t="inlineStr"/>
      <c r="C6897" t="inlineStr">
        <is>
          <t>252</t>
        </is>
      </c>
      <c r="D6897" t="inlineStr">
        <is>
          <t>2</t>
        </is>
      </c>
      <c r="E6897" t="inlineStr">
        <is>
          <t>63</t>
        </is>
      </c>
      <c r="F6897" t="inlineStr">
        <is>
          <t>0</t>
        </is>
      </c>
      <c r="G6897" t="inlineStr">
        <is>
          <t>0</t>
        </is>
      </c>
      <c r="H6897" t="inlineStr">
        <is>
          <t>126²</t>
        </is>
      </c>
      <c r="I6897" t="n">
        <v>2</v>
      </c>
      <c r="J6897" t="inlineStr">
        <is>
          <t>2¹, 4¹, 6², 12³, 36²</t>
        </is>
      </c>
      <c r="K6897">
        <f>HYPERLINK("CSG6.html#group126A6", "126A⁶"), =HYPERLINK("CSG7.html#group42A7", "42A⁷"), =HYPERLINK("CSG8.html#group63A8", "63A⁸"), =HYPERLINK("CSG11.html#group126A11", "126A¹¹")</f>
        <v/>
      </c>
      <c r="L6897" t="inlineStr"/>
      <c r="M6897">
        <f>HYPERLINK("CSG0.html#group2A0", "2A⁰"), =HYPERLINK("CSG0.html#group14A0", "14A⁰"), =HYPERLINK("CSG1.html#group42A1", "42A¹"), =HYPERLINK("CSG1.html#group14A1", "14A¹"), =HYPERLINK("CSG2.html#group21C2", "21C²"), =HYPERLINK("CSG0.html#group21A0", "21A⁰"), =HYPERLINK("CSG4.html#group42A4", "42A⁴"), =HYPERLINK("CSG2.html#group18A2", "18A²"), =HYPERLINK("CSG0.html#group1A0", "1A⁰"), =HYPERLINK("CSG1.html#group14D1", "14D¹"), =HYPERLINK("CSG2.html#group63A2", "63A²"), =HYPERLINK("CSG8.html#group63A8", "63A⁸"), =HYPERLINK("CSG6.html#group126A6", "126A⁶"), =HYPERLINK("CSG0.html#group9A0", "9A⁰"), =HYPERLINK("CSG7.html#group42A7", "42A⁷"), =HYPERLINK("CSG0.html#group7C0", "7C⁰"), =HYPERLINK("CSG1.html#group6A1", "6A¹"), =HYPERLINK("CSG11.html#group126A11", "126A¹¹"), =HYPERLINK("CSG0.html#group3A0", "3A⁰"), =HYPERLINK("CSG0.html#group7A0", "7A⁰")</f>
        <v/>
      </c>
      <c r="N6897" t="inlineStr"/>
    </row>
    <row r="6898">
      <c r="A6898" t="inlineStr">
        <is>
          <t>126D²¹</t>
        </is>
      </c>
      <c r="B6898" t="inlineStr"/>
      <c r="C6898" t="inlineStr">
        <is>
          <t>252</t>
        </is>
      </c>
      <c r="D6898" t="inlineStr">
        <is>
          <t>2</t>
        </is>
      </c>
      <c r="E6898" t="inlineStr">
        <is>
          <t>63</t>
        </is>
      </c>
      <c r="F6898" t="inlineStr">
        <is>
          <t>0</t>
        </is>
      </c>
      <c r="G6898" t="inlineStr">
        <is>
          <t>0</t>
        </is>
      </c>
      <c r="H6898" t="inlineStr">
        <is>
          <t>126²</t>
        </is>
      </c>
      <c r="I6898" t="n">
        <v>2</v>
      </c>
      <c r="J6898" t="inlineStr">
        <is>
          <t>2¹, 4¹, 6², 12³, 36²</t>
        </is>
      </c>
      <c r="K6898">
        <f>HYPERLINK("CSG7.html#group42B7", "42B⁷"), =HYPERLINK("CSG7.html#group63D7", "63D⁷"), =HYPERLINK("CSG7.html#group126A7", "126A⁷"), =HYPERLINK("CSG11.html#group126A11", "126A¹¹")</f>
        <v/>
      </c>
      <c r="L6898" t="inlineStr"/>
      <c r="M6898">
        <f>HYPERLINK("CSG0.html#group2A0", "2A⁰"), =HYPERLINK("CSG7.html#group126A7", "126A⁷"), =HYPERLINK("CSG1.html#group21D1", "21D¹"), =HYPERLINK("CSG1.html#group14A1", "14A¹"), =HYPERLINK("CSG0.html#group21A0", "21A⁰"), =HYPERLINK("CSG7.html#group42B7", "42B⁷"), =HYPERLINK("CSG4.html#group42A4", "42A⁴"), =HYPERLINK("CSG2.html#group18A2", "18A²"), =HYPERLINK("CSG0.html#group1A0", "1A⁰"), =HYPERLINK("CSG2.html#group63A2", "63A²"), =HYPERLINK("CSG2.html#group42A2", "42A²"), =HYPERLINK("CSG0.html#group9A0", "9A⁰"), =HYPERLINK("CSG1.html#group6A1", "6A¹"), =HYPERLINK("CSG11.html#group126A11", "126A¹¹"), =HYPERLINK("CSG0.html#group3A0", "3A⁰"), =HYPERLINK("CSG7.html#group63D7", "63D⁷"), =HYPERLINK("CSG0.html#group7A0", "7A⁰")</f>
        <v/>
      </c>
      <c r="N6898" t="inlineStr"/>
    </row>
    <row r="6899">
      <c r="A6899" t="inlineStr">
        <is>
          <t>126E²¹</t>
        </is>
      </c>
      <c r="B6899" t="inlineStr"/>
      <c r="C6899" t="inlineStr">
        <is>
          <t>252</t>
        </is>
      </c>
      <c r="D6899" t="inlineStr">
        <is>
          <t>2</t>
        </is>
      </c>
      <c r="E6899" t="inlineStr">
        <is>
          <t>63</t>
        </is>
      </c>
      <c r="F6899" t="inlineStr">
        <is>
          <t>0</t>
        </is>
      </c>
      <c r="G6899" t="inlineStr">
        <is>
          <t>0</t>
        </is>
      </c>
      <c r="H6899" t="inlineStr">
        <is>
          <t>126²</t>
        </is>
      </c>
      <c r="I6899" t="n">
        <v>2</v>
      </c>
      <c r="J6899" t="inlineStr">
        <is>
          <t>4³, 12⁸, 36⁴</t>
        </is>
      </c>
      <c r="K6899">
        <f>HYPERLINK("CSG6.html#group63F6", "63F⁶"), =HYPERLINK("CSG7.html#group42B7", "42B⁷"), =HYPERLINK("CSG8.html#group126C8", "126C⁸"), =HYPERLINK("CSG11.html#group126A11", "126A¹¹")</f>
        <v/>
      </c>
      <c r="L6899" t="inlineStr"/>
      <c r="M6899">
        <f>HYPERLINK("CSG0.html#group2A0", "2A⁰"), =HYPERLINK("CSG6.html#group63F6", "63F⁶"), =HYPERLINK("CSG1.html#group21D1", "21D¹"), =HYPERLINK("CSG1.html#group14A1", "14A¹"), =HYPERLINK("CSG0.html#group21A0", "21A⁰"), =HYPERLINK("CSG7.html#group42B7", "42B⁷"), =HYPERLINK("CSG4.html#group42A4", "42A⁴"), =HYPERLINK("CSG2.html#group18A2", "18A²"), =HYPERLINK("CSG0.html#group1A0", "1A⁰"), =HYPERLINK("CSG2.html#group63A2", "63A²"), =HYPERLINK("CSG8.html#group126C8", "126C⁸"), =HYPERLINK("CSG2.html#group42A2", "42A²"), =HYPERLINK("CSG0.html#group9A0", "9A⁰"), =HYPERLINK("CSG1.html#group6A1", "6A¹"), =HYPERLINK("CSG11.html#group126A11", "126A¹¹"), =HYPERLINK("CSG0.html#group3A0", "3A⁰"), =HYPERLINK("CSG0.html#group7A0", "7A⁰")</f>
        <v/>
      </c>
      <c r="N6899" t="inlineStr"/>
    </row>
    <row r="6900">
      <c r="A6900" t="inlineStr">
        <is>
          <t>126F²¹</t>
        </is>
      </c>
      <c r="B6900" t="inlineStr"/>
      <c r="C6900" t="inlineStr">
        <is>
          <t>252</t>
        </is>
      </c>
      <c r="D6900" t="inlineStr">
        <is>
          <t>2</t>
        </is>
      </c>
      <c r="E6900" t="inlineStr">
        <is>
          <t>63</t>
        </is>
      </c>
      <c r="F6900" t="inlineStr">
        <is>
          <t>0</t>
        </is>
      </c>
      <c r="G6900" t="inlineStr">
        <is>
          <t>0</t>
        </is>
      </c>
      <c r="H6900" t="inlineStr">
        <is>
          <t>126²</t>
        </is>
      </c>
      <c r="I6900" t="n">
        <v>2</v>
      </c>
      <c r="J6900" t="inlineStr">
        <is>
          <t>4³, 12⁸, 36⁴</t>
        </is>
      </c>
      <c r="K6900">
        <f>HYPERLINK("CSG6.html#group63G6", "63G⁶"), =HYPERLINK("CSG7.html#group42B7", "42B⁷"), =HYPERLINK("CSG8.html#group126B8", "126B⁸"), =HYPERLINK("CSG11.html#group126A11", "126A¹¹")</f>
        <v/>
      </c>
      <c r="L6900" t="inlineStr"/>
      <c r="M6900">
        <f>HYPERLINK("CSG0.html#group2A0", "2A⁰"), =HYPERLINK("CSG1.html#group21D1", "21D¹"), =HYPERLINK("CSG1.html#group14A1", "14A¹"), =HYPERLINK("CSG0.html#group21A0", "21A⁰"), =HYPERLINK("CSG6.html#group63G6", "63G⁶"), =HYPERLINK("CSG7.html#group42B7", "42B⁷"), =HYPERLINK("CSG4.html#group42A4", "42A⁴"), =HYPERLINK("CSG2.html#group18A2", "18A²"), =HYPERLINK("CSG0.html#group1A0", "1A⁰"), =HYPERLINK("CSG2.html#group63A2", "63A²"), =HYPERLINK("CSG2.html#group42A2", "42A²"), =HYPERLINK("CSG0.html#group9A0", "9A⁰"), =HYPERLINK("CSG1.html#group6A1", "6A¹"), =HYPERLINK("CSG11.html#group126A11", "126A¹¹"), =HYPERLINK("CSG0.html#group3A0", "3A⁰"), =HYPERLINK("CSG8.html#group126B8", "126B⁸"), =HYPERLINK("CSG0.html#group7A0", "7A⁰")</f>
        <v/>
      </c>
      <c r="N6900" t="inlineStr"/>
    </row>
    <row r="6901">
      <c r="A6901" t="inlineStr">
        <is>
          <t>126G²¹</t>
        </is>
      </c>
      <c r="B6901" t="inlineStr"/>
      <c r="C6901" t="inlineStr">
        <is>
          <t>252</t>
        </is>
      </c>
      <c r="D6901" t="inlineStr">
        <is>
          <t>2</t>
        </is>
      </c>
      <c r="E6901" t="inlineStr">
        <is>
          <t>63</t>
        </is>
      </c>
      <c r="F6901" t="inlineStr">
        <is>
          <t>0</t>
        </is>
      </c>
      <c r="G6901" t="inlineStr">
        <is>
          <t>0</t>
        </is>
      </c>
      <c r="H6901" t="inlineStr">
        <is>
          <t>126²</t>
        </is>
      </c>
      <c r="I6901" t="n">
        <v>2</v>
      </c>
      <c r="J6901" t="inlineStr">
        <is>
          <t>4³, 12⁸, 36⁴</t>
        </is>
      </c>
      <c r="K6901">
        <f>HYPERLINK("CSG3.html#group18C3", "18C³"), =HYPERLINK("CSG5.html#group126A5", "126A⁵"), =HYPERLINK("CSG7.html#group42C7", "42C⁷"), =HYPERLINK("CSG9.html#group63B9", "63B⁹"), =HYPERLINK("CSG11.html#group126A11", "126A¹¹")</f>
        <v/>
      </c>
      <c r="L6901" t="inlineStr"/>
      <c r="M6901">
        <f>HYPERLINK("CSG0.html#group2A0", "2A⁰"), =HYPERLINK("CSG2.html#group21D2", "21D²"), =HYPERLINK("CSG0.html#group6B0", "6B⁰"), =HYPERLINK("CSG0.html#group3A0", "3A⁰"), =HYPERLINK("CSG1.html#group42B1", "42B¹"), =HYPERLINK("CSG1.html#group14A1", "14A¹"), =HYPERLINK("CSG0.html#group21A0", "21A⁰"), =HYPERLINK("CSG2.html#group18A2", "18A²"), =HYPERLINK("CSG4.html#group42A4", "42A⁴"), =HYPERLINK("CSG5.html#group126A5", "126A⁵"), =HYPERLINK("CSG9.html#group63B9", "63B⁹"), =HYPERLINK("CSG0.html#group1A0", "1A⁰"), =HYPERLINK("CSG1.html#group9B1", "9B¹"), =HYPERLINK("CSG0.html#group18A0", "18A⁰"), =HYPERLINK("CSG2.html#group63A2", "63A²"), =HYPERLINK("CSG1.html#group6B1", "6B¹"), =HYPERLINK("CSG0.html#group9A0", "9A⁰"), =HYPERLINK("CSG3.html#group18C3", "18C³"), =HYPERLINK("CSG0.html#group3C0", "3C⁰"), =HYPERLINK("CSG1.html#group6A1", "6A¹"), =HYPERLINK("CSG11.html#group126A11", "126A¹¹"), =HYPERLINK("CSG7.html#group42C7", "42C⁷"), =HYPERLINK("CSG0.html#group7A0", "7A⁰")</f>
        <v/>
      </c>
      <c r="N6901" t="inlineStr"/>
    </row>
    <row r="6902">
      <c r="A6902" t="inlineStr">
        <is>
          <t>126H²¹</t>
        </is>
      </c>
      <c r="B6902" t="inlineStr"/>
      <c r="C6902" t="inlineStr">
        <is>
          <t>252</t>
        </is>
      </c>
      <c r="D6902" t="inlineStr">
        <is>
          <t>2</t>
        </is>
      </c>
      <c r="E6902" t="inlineStr">
        <is>
          <t>63</t>
        </is>
      </c>
      <c r="F6902" t="inlineStr">
        <is>
          <t>0</t>
        </is>
      </c>
      <c r="G6902" t="inlineStr">
        <is>
          <t>0</t>
        </is>
      </c>
      <c r="H6902" t="inlineStr">
        <is>
          <t>126²</t>
        </is>
      </c>
      <c r="I6902" t="n">
        <v>2</v>
      </c>
      <c r="J6902" t="inlineStr">
        <is>
          <t>4³, 12⁸, 36⁴</t>
        </is>
      </c>
      <c r="K6902">
        <f>HYPERLINK("CSG3.html#group18C3", "18C³"), =HYPERLINK("CSG5.html#group126B5", "126B⁵"), =HYPERLINK("CSG7.html#group42C7", "42C⁷"), =HYPERLINK("CSG9.html#group63A9", "63A⁹"), =HYPERLINK("CSG11.html#group126A11", "126A¹¹")</f>
        <v/>
      </c>
      <c r="L6902" t="inlineStr"/>
      <c r="M6902">
        <f>HYPERLINK("CSG0.html#group2A0", "2A⁰"), =HYPERLINK("CSG9.html#group63A9", "63A⁹"), =HYPERLINK("CSG2.html#group21D2", "21D²"), =HYPERLINK("CSG0.html#group6B0", "6B⁰"), =HYPERLINK("CSG1.html#group42B1", "42B¹"), =HYPERLINK("CSG1.html#group14A1", "14A¹"), =HYPERLINK("CSG0.html#group21A0", "21A⁰"), =HYPERLINK("CSG2.html#group18A2", "18A²"), =HYPERLINK("CSG4.html#group42A4", "42A⁴"), =HYPERLINK("CSG0.html#group1A0", "1A⁰"), =HYPERLINK("CSG1.html#group9B1", "9B¹"), =HYPERLINK("CSG0.html#group18A0", "18A⁰"), =HYPERLINK("CSG2.html#group63A2", "63A²"), =HYPERLINK("CSG7.html#group42C7", "42C⁷"), =HYPERLINK("CSG1.html#group6B1", "6B¹"), =HYPERLINK("CSG0.html#group9A0", "9A⁰"), =HYPERLINK("CSG3.html#group18C3", "18C³"), =HYPERLINK("CSG5.html#group126B5", "126B⁵"), =HYPERLINK("CSG0.html#group3C0", "3C⁰"), =HYPERLINK("CSG1.html#group6A1", "6A¹"), =HYPERLINK("CSG11.html#group126A11", "126A¹¹"), =HYPERLINK("CSG0.html#group3A0", "3A⁰"), =HYPERLINK("CSG0.html#group7A0", "7A⁰")</f>
        <v/>
      </c>
      <c r="N6902" t="inlineStr"/>
    </row>
    <row r="6903">
      <c r="A6903" t="inlineStr">
        <is>
          <t>126I²¹</t>
        </is>
      </c>
      <c r="B6903" t="inlineStr"/>
      <c r="C6903" t="inlineStr">
        <is>
          <t>252</t>
        </is>
      </c>
      <c r="D6903" t="inlineStr">
        <is>
          <t>2</t>
        </is>
      </c>
      <c r="E6903" t="inlineStr">
        <is>
          <t>126</t>
        </is>
      </c>
      <c r="F6903" t="inlineStr">
        <is>
          <t>0</t>
        </is>
      </c>
      <c r="G6903" t="inlineStr">
        <is>
          <t>0</t>
        </is>
      </c>
      <c r="H6903" t="inlineStr">
        <is>
          <t>126²</t>
        </is>
      </c>
      <c r="I6903" t="n">
        <v>2</v>
      </c>
      <c r="J6903" t="inlineStr">
        <is>
          <t>12⁹, 36⁴</t>
        </is>
      </c>
      <c r="K6903">
        <f>HYPERLINK("CSG7.html#group42B7", "42B⁷"), =HYPERLINK("CSG7.html#group63E7", "63E⁷")</f>
        <v/>
      </c>
      <c r="L6903" t="inlineStr"/>
      <c r="M6903">
        <f>HYPERLINK("CSG0.html#group2A0", "2A⁰"), =HYPERLINK("CSG2.html#group42A2", "42A²"), =HYPERLINK("CSG1.html#group21D1", "21D¹"), =HYPERLINK("CSG1.html#group14A1", "14A¹"), =HYPERLINK("CSG0.html#group21A0", "21A⁰"), =HYPERLINK("CSG1.html#group6A1", "6A¹"), =HYPERLINK("CSG7.html#group42B7", "42B⁷"), =HYPERLINK("CSG4.html#group42A4", "42A⁴"), =HYPERLINK("CSG0.html#group7A0", "7A⁰"), =HYPERLINK("CSG0.html#group3A0", "3A⁰"), =HYPERLINK("CSG0.html#group1A0", "1A⁰"), =HYPERLINK("CSG7.html#group63E7", "63E⁷")</f>
        <v/>
      </c>
      <c r="N6903" t="inlineStr"/>
    </row>
    <row r="6904">
      <c r="A6904" t="inlineStr">
        <is>
          <t>126J²¹</t>
        </is>
      </c>
      <c r="B6904" t="inlineStr"/>
      <c r="C6904" t="inlineStr">
        <is>
          <t>288</t>
        </is>
      </c>
      <c r="D6904" t="inlineStr">
        <is>
          <t>1</t>
        </is>
      </c>
      <c r="E6904" t="inlineStr">
        <is>
          <t>96</t>
        </is>
      </c>
      <c r="F6904" t="inlineStr">
        <is>
          <t>0</t>
        </is>
      </c>
      <c r="G6904" t="inlineStr">
        <is>
          <t>0</t>
        </is>
      </c>
      <c r="H6904" t="inlineStr">
        <is>
          <t>3¹, 6¹, 9¹, 18¹, 21¹, 42¹, 63¹, 126¹</t>
        </is>
      </c>
      <c r="I6904" t="n">
        <v>8</v>
      </c>
      <c r="J6904" t="inlineStr">
        <is>
          <t>1¹², 2⁶, 6⁶, 12³</t>
        </is>
      </c>
      <c r="K6904">
        <f>HYPERLINK("CSG2.html#group18D2", "18D²"), =HYPERLINK("CSG5.html#group42G5", "42G⁵"), =HYPERLINK("CSG5.html#group63B5", "63B⁵")</f>
        <v/>
      </c>
      <c r="L6904" t="inlineStr"/>
      <c r="M6904">
        <f>HYPERLINK("CSG0.html#group3B0", "3B⁰"), =HYPERLINK("CSG1.html#group21B1", "21B¹"), =HYPERLINK("CSG0.html#group7B0", "7B⁰"), =HYPERLINK("CSG1.html#group14C1", "14C¹"), =HYPERLINK("CSG2.html#group18D2", "18D²"), =HYPERLINK("CSG0.html#group1A0", "1A⁰"), =HYPERLINK("CSG5.html#group63B5", "63B⁵"), =HYPERLINK("CSG0.html#group2B0", "2B⁰"), =HYPERLINK("CSG0.html#group9C0", "9C⁰"), =HYPERLINK("CSG5.html#group42G5", "42G⁵"), =HYPERLINK("CSG0.html#group6F0", "6F⁰")</f>
        <v/>
      </c>
      <c r="N6904" t="inlineStr"/>
    </row>
    <row r="6905">
      <c r="A6905" t="inlineStr">
        <is>
          <t>126K²¹</t>
        </is>
      </c>
      <c r="B6905" t="inlineStr"/>
      <c r="C6905" t="inlineStr">
        <is>
          <t>288</t>
        </is>
      </c>
      <c r="D6905" t="inlineStr">
        <is>
          <t>1</t>
        </is>
      </c>
      <c r="E6905" t="inlineStr">
        <is>
          <t>96</t>
        </is>
      </c>
      <c r="F6905" t="inlineStr">
        <is>
          <t>0</t>
        </is>
      </c>
      <c r="G6905" t="inlineStr">
        <is>
          <t>0</t>
        </is>
      </c>
      <c r="H6905" t="inlineStr">
        <is>
          <t>3¹, 6¹, 9¹, 18¹, 21¹, 42¹, 63¹, 126¹</t>
        </is>
      </c>
      <c r="I6905" t="n">
        <v>8</v>
      </c>
      <c r="J6905" t="inlineStr">
        <is>
          <t>1¹², 2⁶, 6⁶, 12³</t>
        </is>
      </c>
      <c r="K6905">
        <f>HYPERLINK("CSG2.html#group18E2", "18E²"), =HYPERLINK("CSG5.html#group42G5", "42G⁵"), =HYPERLINK("CSG7.html#group63B7", "63B⁷")</f>
        <v/>
      </c>
      <c r="L6905" t="inlineStr"/>
      <c r="M6905">
        <f>HYPERLINK("CSG0.html#group3B0", "3B⁰"), =HYPERLINK("CSG1.html#group21B1", "21B¹"), =HYPERLINK("CSG0.html#group7B0", "7B⁰"), =HYPERLINK("CSG1.html#group9A1", "9A¹"), =HYPERLINK("CSG2.html#group18E2", "18E²"), =HYPERLINK("CSG1.html#group14C1", "14C¹"), =HYPERLINK("CSG0.html#group1A0", "1A⁰"), =HYPERLINK("CSG7.html#group63B7", "63B⁷"), =HYPERLINK("CSG0.html#group2B0", "2B⁰"), =HYPERLINK("CSG5.html#group42G5", "42G⁵"), =HYPERLINK("CSG0.html#group6F0", "6F⁰")</f>
        <v/>
      </c>
      <c r="N6905" t="inlineStr"/>
    </row>
    <row r="6906">
      <c r="A6906" t="inlineStr">
        <is>
          <t>126L²¹</t>
        </is>
      </c>
      <c r="B6906" t="inlineStr"/>
      <c r="C6906" t="inlineStr">
        <is>
          <t>288</t>
        </is>
      </c>
      <c r="D6906" t="inlineStr">
        <is>
          <t>1</t>
        </is>
      </c>
      <c r="E6906" t="inlineStr">
        <is>
          <t>144</t>
        </is>
      </c>
      <c r="F6906" t="inlineStr">
        <is>
          <t>0</t>
        </is>
      </c>
      <c r="G6906" t="inlineStr">
        <is>
          <t>0</t>
        </is>
      </c>
      <c r="H6906" t="inlineStr">
        <is>
          <t>6³, 18¹, 42³, 126¹</t>
        </is>
      </c>
      <c r="I6906" t="n">
        <v>8</v>
      </c>
      <c r="J6906" t="inlineStr">
        <is>
          <t>1², 2², 3², 6⁵, 12¹, 18¹, 36²</t>
        </is>
      </c>
      <c r="K6906">
        <f>HYPERLINK("CSG1.html#group18F1", "18F¹"), =HYPERLINK("CSG7.html#group42D7", "42D⁷"), =HYPERLINK("CSG9.html#group63C9", "63C⁹")</f>
        <v/>
      </c>
      <c r="L6906" t="inlineStr"/>
      <c r="M6906">
        <f>HYPERLINK("CSG7.html#group42D7", "42D⁷"), =HYPERLINK("CSG0.html#group6B0", "6B⁰"), =HYPERLINK("CSG0.html#group3A0", "3A⁰"), =HYPERLINK("CSG2.html#group21A2", "21A²"), =HYPERLINK("CSG0.html#group6E0", "6E⁰"), =HYPERLINK("CSG0.html#group7B0", "7B⁰"), =HYPERLINK("CSG0.html#group3C0", "3C⁰"), =HYPERLINK("CSG4.html#group42C4", "42C⁴"), =HYPERLINK("CSG1.html#group18F1", "18F¹"), =HYPERLINK("CSG0.html#group9E0", "9E⁰"), =HYPERLINK("CSG9.html#group63C9", "63C⁹"), =HYPERLINK("CSG0.html#group1A0", "1A⁰"), =HYPERLINK("CSG3.html#group21A3", "21A³")</f>
        <v/>
      </c>
      <c r="N6906" t="inlineStr"/>
    </row>
    <row r="6907">
      <c r="A6907" t="inlineStr">
        <is>
          <t>126M²¹</t>
        </is>
      </c>
      <c r="B6907" t="inlineStr"/>
      <c r="C6907" t="inlineStr">
        <is>
          <t>288</t>
        </is>
      </c>
      <c r="D6907" t="inlineStr">
        <is>
          <t>1</t>
        </is>
      </c>
      <c r="E6907" t="inlineStr">
        <is>
          <t>144</t>
        </is>
      </c>
      <c r="F6907" t="inlineStr">
        <is>
          <t>0</t>
        </is>
      </c>
      <c r="G6907" t="inlineStr">
        <is>
          <t>0</t>
        </is>
      </c>
      <c r="H6907" t="inlineStr">
        <is>
          <t>6³, 18¹, 42³, 126¹</t>
        </is>
      </c>
      <c r="I6907" t="n">
        <v>8</v>
      </c>
      <c r="J6907" t="inlineStr">
        <is>
          <t>1², 2², 3², 6⁵, 12¹, 18¹, 36²</t>
        </is>
      </c>
      <c r="K6907">
        <f>HYPERLINK("CSG2.html#group18F2", "18F²"), =HYPERLINK("CSG7.html#group42E7", "42E⁷"), =HYPERLINK("CSG9.html#group63C9", "63C⁹")</f>
        <v/>
      </c>
      <c r="L6907" t="inlineStr"/>
      <c r="M6907">
        <f>HYPERLINK("CSG7.html#group42E7", "42E⁷"), =HYPERLINK("CSG2.html#group18F2", "18F²"), =HYPERLINK("CSG0.html#group2A0", "2A⁰"), =HYPERLINK("CSG0.html#group6B0", "6B⁰"), =HYPERLINK("CSG4.html#group42C4", "42C⁴"), =HYPERLINK("CSG9.html#group63C9", "63C⁹"), =HYPERLINK("CSG0.html#group9E0", "9E⁰"), =HYPERLINK("CSG0.html#group1A0", "1A⁰"), =HYPERLINK("CSG3.html#group21A3", "21A³"), =HYPERLINK("CSG2.html#group21A2", "21A²"), =HYPERLINK("CSG4.html#group42B4", "42B⁴"), =HYPERLINK("CSG1.html#group6B1", "6B¹"), =HYPERLINK("CSG0.html#group7B0", "7B⁰"), =HYPERLINK("CSG0.html#group14B0", "14B⁰"), =HYPERLINK("CSG0.html#group3C0", "3C⁰"), =HYPERLINK("CSG1.html#group6A1", "6A¹"), =HYPERLINK("CSG0.html#group3A0", "3A⁰")</f>
        <v/>
      </c>
      <c r="N6907" t="inlineStr"/>
    </row>
    <row r="6908">
      <c r="A6908" t="inlineStr">
        <is>
          <t>126N²¹</t>
        </is>
      </c>
      <c r="B6908" t="inlineStr"/>
      <c r="C6908" t="inlineStr">
        <is>
          <t>288</t>
        </is>
      </c>
      <c r="D6908" t="inlineStr">
        <is>
          <t>1</t>
        </is>
      </c>
      <c r="E6908" t="inlineStr">
        <is>
          <t>288</t>
        </is>
      </c>
      <c r="F6908" t="inlineStr">
        <is>
          <t>0</t>
        </is>
      </c>
      <c r="G6908" t="inlineStr">
        <is>
          <t>0</t>
        </is>
      </c>
      <c r="H6908" t="inlineStr">
        <is>
          <t>6³, 18¹, 42³, 126¹</t>
        </is>
      </c>
      <c r="I6908" t="n">
        <v>8</v>
      </c>
      <c r="J6908" t="inlineStr">
        <is>
          <t>2⁶, 3⁴, 6⁸, 12³, 18², 36⁴</t>
        </is>
      </c>
      <c r="K6908">
        <f>HYPERLINK("CSG1.html#group18G1", "18G¹"), =HYPERLINK("CSG7.html#group42D7", "42D⁷")</f>
        <v/>
      </c>
      <c r="L6908" t="inlineStr"/>
      <c r="M6908">
        <f>HYPERLINK("CSG7.html#group42D7", "42D⁷"), =HYPERLINK("CSG0.html#group6B0", "6B⁰"), =HYPERLINK("CSG2.html#group21A2", "21A²"), =HYPERLINK("CSG0.html#group6E0", "6E⁰"), =HYPERLINK("CSG0.html#group7B0", "7B⁰"), =HYPERLINK("CSG0.html#group3C0", "3C⁰"), =HYPERLINK("CSG1.html#group18G1", "18G¹"), =HYPERLINK("CSG4.html#group42C4", "42C⁴"), =HYPERLINK("CSG0.html#group3A0", "3A⁰"), =HYPERLINK("CSG0.html#group1A0", "1A⁰"), =HYPERLINK("CSG3.html#group21A3", "21A³")</f>
        <v/>
      </c>
      <c r="N6908" t="inlineStr"/>
    </row>
    <row r="6909">
      <c r="A6909" t="inlineStr">
        <is>
          <t>126O²¹</t>
        </is>
      </c>
      <c r="B6909" t="inlineStr"/>
      <c r="C6909" t="inlineStr">
        <is>
          <t>288</t>
        </is>
      </c>
      <c r="D6909" t="inlineStr">
        <is>
          <t>2</t>
        </is>
      </c>
      <c r="E6909" t="inlineStr">
        <is>
          <t>96</t>
        </is>
      </c>
      <c r="F6909" t="inlineStr">
        <is>
          <t>0</t>
        </is>
      </c>
      <c r="G6909" t="inlineStr">
        <is>
          <t>0</t>
        </is>
      </c>
      <c r="H6909" t="inlineStr">
        <is>
          <t>3¹, 6¹, 9¹, 18¹, 21¹, 42¹, 63¹, 126¹</t>
        </is>
      </c>
      <c r="I6909" t="n">
        <v>8</v>
      </c>
      <c r="J6909" t="inlineStr">
        <is>
          <t>2²⁴, 12¹²</t>
        </is>
      </c>
      <c r="K6909">
        <f>HYPERLINK("CSG5.html#group42G5", "42G⁵"), =HYPERLINK("CSG6.html#group63D6", "63D⁶")</f>
        <v/>
      </c>
      <c r="L6909" t="inlineStr"/>
      <c r="M6909">
        <f>HYPERLINK("CSG0.html#group3B0", "3B⁰"), =HYPERLINK("CSG1.html#group21B1", "21B¹"), =HYPERLINK("CSG0.html#group7B0", "7B⁰"), =HYPERLINK("CSG1.html#group14C1", "14C¹"), =HYPERLINK("CSG0.html#group1A0", "1A⁰"), =HYPERLINK("CSG0.html#group2B0", "2B⁰"), =HYPERLINK("CSG5.html#group42G5", "42G⁵"), =HYPERLINK("CSG0.html#group6F0", "6F⁰"), =HYPERLINK("CSG6.html#group63D6", "63D⁶")</f>
        <v/>
      </c>
      <c r="N6909" t="inlineStr"/>
    </row>
    <row r="6910">
      <c r="A6910" t="inlineStr">
        <is>
          <t>126P²¹</t>
        </is>
      </c>
      <c r="B6910" t="inlineStr"/>
      <c r="C6910" t="inlineStr">
        <is>
          <t>288</t>
        </is>
      </c>
      <c r="D6910" t="inlineStr">
        <is>
          <t>2</t>
        </is>
      </c>
      <c r="E6910" t="inlineStr">
        <is>
          <t>96</t>
        </is>
      </c>
      <c r="F6910" t="inlineStr">
        <is>
          <t>0</t>
        </is>
      </c>
      <c r="G6910" t="inlineStr">
        <is>
          <t>0</t>
        </is>
      </c>
      <c r="H6910" t="inlineStr">
        <is>
          <t>3¹, 6¹, 9¹, 18¹, 21¹, 42¹, 63¹, 126¹</t>
        </is>
      </c>
      <c r="I6910" t="n">
        <v>8</v>
      </c>
      <c r="J6910" t="inlineStr">
        <is>
          <t>2²⁴, 12¹²</t>
        </is>
      </c>
      <c r="K6910">
        <f>HYPERLINK("CSG5.html#group42G5", "42G⁵"), =HYPERLINK("CSG7.html#group63C7", "63C⁷")</f>
        <v/>
      </c>
      <c r="L6910" t="inlineStr"/>
      <c r="M6910">
        <f>HYPERLINK("CSG0.html#group3B0", "3B⁰"), =HYPERLINK("CSG7.html#group63C7", "63C⁷"), =HYPERLINK("CSG1.html#group21B1", "21B¹"), =HYPERLINK("CSG0.html#group7B0", "7B⁰"), =HYPERLINK("CSG1.html#group14C1", "14C¹"), =HYPERLINK("CSG0.html#group1A0", "1A⁰"), =HYPERLINK("CSG0.html#group2B0", "2B⁰"), =HYPERLINK("CSG5.html#group42G5", "42G⁵"), =HYPERLINK("CSG0.html#group6F0", "6F⁰")</f>
        <v/>
      </c>
      <c r="N6910" t="inlineStr"/>
    </row>
    <row r="6911">
      <c r="A6911" t="inlineStr">
        <is>
          <t>126Q²¹</t>
        </is>
      </c>
      <c r="B6911" t="inlineStr"/>
      <c r="C6911" t="inlineStr">
        <is>
          <t>378</t>
        </is>
      </c>
      <c r="D6911" t="inlineStr">
        <is>
          <t>1</t>
        </is>
      </c>
      <c r="E6911" t="inlineStr">
        <is>
          <t>189</t>
        </is>
      </c>
      <c r="F6911" t="inlineStr">
        <is>
          <t>40</t>
        </is>
      </c>
      <c r="G6911" t="inlineStr">
        <is>
          <t>0</t>
        </is>
      </c>
      <c r="H6911" t="inlineStr">
        <is>
          <t>126³</t>
        </is>
      </c>
      <c r="I6911" t="n">
        <v>3</v>
      </c>
      <c r="J6911" t="inlineStr">
        <is>
          <t>3¹, 6⁴, 12³, 18¹, 36³</t>
        </is>
      </c>
      <c r="K6911">
        <f>HYPERLINK("CSG4.html#group42I4", "42I⁴"), =HYPERLINK("CSG9.html#group63D9", "63D⁹")</f>
        <v/>
      </c>
      <c r="L6911" t="inlineStr"/>
      <c r="M6911">
        <f>HYPERLINK("CSG4.html#group42I4", "42I⁴"), =HYPERLINK("CSG9.html#group63D9", "63D⁹"), =HYPERLINK("CSG0.html#group7D0", "7D⁰"), =HYPERLINK("CSG1.html#group21E1", "21E¹"), =HYPERLINK("CSG0.html#group9A0", "9A⁰"), =HYPERLINK("CSG2.html#group63A2", "63A²"), =HYPERLINK("CSG0.html#group21A0", "21A⁰"), =HYPERLINK("CSG0.html#group1A0", "1A⁰"), =HYPERLINK("CSG0.html#group3A0", "3A⁰"), =HYPERLINK("CSG1.html#group14E1", "14E¹"), =HYPERLINK("CSG0.html#group7A0", "7A⁰")</f>
        <v/>
      </c>
      <c r="N6911" t="inlineStr"/>
    </row>
    <row r="6912">
      <c r="A6912" t="inlineStr">
        <is>
          <t>126R²¹</t>
        </is>
      </c>
      <c r="B6912" t="inlineStr"/>
      <c r="C6912" t="inlineStr">
        <is>
          <t>378</t>
        </is>
      </c>
      <c r="D6912" t="inlineStr">
        <is>
          <t>2</t>
        </is>
      </c>
      <c r="E6912" t="inlineStr">
        <is>
          <t>189</t>
        </is>
      </c>
      <c r="F6912" t="inlineStr">
        <is>
          <t>40</t>
        </is>
      </c>
      <c r="G6912" t="inlineStr">
        <is>
          <t>0</t>
        </is>
      </c>
      <c r="H6912" t="inlineStr">
        <is>
          <t>126³</t>
        </is>
      </c>
      <c r="I6912" t="n">
        <v>3</v>
      </c>
      <c r="J6912" t="inlineStr">
        <is>
          <t>6³, 12⁹, 18², 36⁶</t>
        </is>
      </c>
      <c r="K6912">
        <f>HYPERLINK("CSG5.html#group42H5", "42H⁵"), =HYPERLINK("CSG5.html#group126A5", "126A⁵"), =HYPERLINK("CSG5.html#group126B5", "126B⁵"), =HYPERLINK("CSG9.html#group63D9", "63D⁹")</f>
        <v/>
      </c>
      <c r="L6912" t="inlineStr"/>
      <c r="M6912">
        <f>HYPERLINK("CSG9.html#group63D9", "63D⁹"), =HYPERLINK("CSG0.html#group6B0", "6B⁰"), =HYPERLINK("CSG0.html#group3A0", "3A⁰"), =HYPERLINK("CSG0.html#group7D0", "7D⁰"), =HYPERLINK("CSG1.html#group21E1", "21E¹"), =HYPERLINK("CSG0.html#group9A0", "9A⁰"), =HYPERLINK("CSG5.html#group42H5", "42H⁵"), =HYPERLINK("CSG5.html#group126B5", "126B⁵"), =HYPERLINK("CSG0.html#group21A0", "21A⁰"), =HYPERLINK("CSG2.html#group63A2", "63A²"), =HYPERLINK("CSG1.html#group42B1", "42B¹"), =HYPERLINK("CSG5.html#group126A5", "126A⁵"), =HYPERLINK("CSG0.html#group1A0", "1A⁰"), =HYPERLINK("CSG0.html#group18A0", "18A⁰"), =HYPERLINK("CSG0.html#group7A0", "7A⁰")</f>
        <v/>
      </c>
      <c r="N6912" t="inlineStr"/>
    </row>
    <row r="6913">
      <c r="A6913" t="inlineStr">
        <is>
          <t>126S²¹</t>
        </is>
      </c>
      <c r="B6913" t="inlineStr"/>
      <c r="C6913" t="inlineStr">
        <is>
          <t>384</t>
        </is>
      </c>
      <c r="D6913" t="inlineStr">
        <is>
          <t>1</t>
        </is>
      </c>
      <c r="E6913" t="inlineStr">
        <is>
          <t>32</t>
        </is>
      </c>
      <c r="F6913" t="inlineStr">
        <is>
          <t>0</t>
        </is>
      </c>
      <c r="G6913" t="inlineStr">
        <is>
          <t>24</t>
        </is>
      </c>
      <c r="H6913" t="inlineStr">
        <is>
          <t>6², 18², 42², 126²</t>
        </is>
      </c>
      <c r="I6913" t="n">
        <v>8</v>
      </c>
      <c r="J6913" t="inlineStr">
        <is>
          <t>1⁴, 2², 6², 12¹</t>
        </is>
      </c>
      <c r="K6913">
        <f>HYPERLINK("CSG5.html#group42I5", "42I⁵"), =HYPERLINK("CSG9.html#group63F9", "63F⁹"), =HYPERLINK("CSG11.html#group126B11", "126B¹¹"), =HYPERLINK("CSG11.html#group126C11", "126C¹¹")</f>
        <v/>
      </c>
      <c r="L6913" t="inlineStr"/>
      <c r="M6913">
        <f>HYPERLINK("CSG0.html#group3B0", "3B⁰"), =HYPERLINK("CSG5.html#group42I5", "42I⁵"), =HYPERLINK("CSG0.html#group2A0", "2A⁰"), =HYPERLINK("CSG9.html#group63F9", "63F⁹"), =HYPERLINK("CSG0.html#group18B0", "18B⁰"), =HYPERLINK("CSG0.html#group6C0", "6C⁰"), =HYPERLINK("CSG5.html#group63B5", "63B⁵"), =HYPERLINK("CSG3.html#group42D3", "42D³"), =HYPERLINK("CSG0.html#group9C0", "9C⁰"), =HYPERLINK("CSG0.html#group1A0", "1A⁰"), =HYPERLINK("CSG1.html#group21F1", "21F¹"), =HYPERLINK("CSG1.html#group21B1", "21B¹"), =HYPERLINK("CSG0.html#group7B0", "7B⁰"), =HYPERLINK("CSG3.html#group42E3", "42E³"), =HYPERLINK("CSG11.html#group126B11", "126B¹¹"), =HYPERLINK("CSG0.html#group14B0", "14B⁰"), =HYPERLINK("CSG11.html#group126C11", "126C¹¹")</f>
        <v/>
      </c>
      <c r="N6913" t="inlineStr"/>
    </row>
    <row r="6914">
      <c r="A6914" t="inlineStr">
        <is>
          <t>126T²¹</t>
        </is>
      </c>
      <c r="B6914" t="inlineStr"/>
      <c r="C6914" t="inlineStr">
        <is>
          <t>384</t>
        </is>
      </c>
      <c r="D6914" t="inlineStr">
        <is>
          <t>1</t>
        </is>
      </c>
      <c r="E6914" t="inlineStr">
        <is>
          <t>64</t>
        </is>
      </c>
      <c r="F6914" t="inlineStr">
        <is>
          <t>0</t>
        </is>
      </c>
      <c r="G6914" t="inlineStr">
        <is>
          <t>12</t>
        </is>
      </c>
      <c r="H6914" t="inlineStr">
        <is>
          <t>2⁶, 14⁶, 18², 126²</t>
        </is>
      </c>
      <c r="I6914" t="n">
        <v>16</v>
      </c>
      <c r="J6914" t="inlineStr">
        <is>
          <t>2⁸, 12⁴</t>
        </is>
      </c>
      <c r="K6914">
        <f>HYPERLINK("CSG5.html#group42I5", "42I⁵"), =HYPERLINK("CSG11.html#group126D11", "126D¹¹")</f>
        <v/>
      </c>
      <c r="L6914" t="inlineStr"/>
      <c r="M6914">
        <f>HYPERLINK("CSG0.html#group3B0", "3B⁰"), =HYPERLINK("CSG5.html#group42I5", "42I⁵"), =HYPERLINK("CSG0.html#group2A0", "2A⁰"), =HYPERLINK("CSG11.html#group126D11", "126D¹¹"), =HYPERLINK("CSG0.html#group18C0", "18C⁰"), =HYPERLINK("CSG1.html#group21B1", "21B¹"), =HYPERLINK("CSG0.html#group7B0", "7B⁰"), =HYPERLINK("CSG3.html#group42E3", "42E³"), =HYPERLINK("CSG0.html#group6C0", "6C⁰"), =HYPERLINK("CSG0.html#group14B0", "14B⁰"), =HYPERLINK("CSG3.html#group42D3", "42D³"), =HYPERLINK("CSG0.html#group1A0", "1A⁰"), =HYPERLINK("CSG1.html#group21F1", "21F¹")</f>
        <v/>
      </c>
      <c r="N6914" t="inlineStr"/>
    </row>
    <row r="6915">
      <c r="A6915" t="inlineStr">
        <is>
          <t>126U²¹</t>
        </is>
      </c>
      <c r="B6915" t="inlineStr"/>
      <c r="C6915" t="inlineStr">
        <is>
          <t>384</t>
        </is>
      </c>
      <c r="D6915" t="inlineStr">
        <is>
          <t>2</t>
        </is>
      </c>
      <c r="E6915" t="inlineStr">
        <is>
          <t>32</t>
        </is>
      </c>
      <c r="F6915" t="inlineStr">
        <is>
          <t>0</t>
        </is>
      </c>
      <c r="G6915" t="inlineStr">
        <is>
          <t>12</t>
        </is>
      </c>
      <c r="H6915" t="inlineStr">
        <is>
          <t>2⁶, 14⁶, 18², 126²</t>
        </is>
      </c>
      <c r="I6915" t="n">
        <v>16</v>
      </c>
      <c r="J6915" t="inlineStr">
        <is>
          <t>2⁸, 12⁴</t>
        </is>
      </c>
      <c r="K6915">
        <f>HYPERLINK("CSG5.html#group42I5", "42I⁵"), =HYPERLINK("CSG7.html#group63F7", "63F⁷"), =HYPERLINK("CSG11.html#group126F11", "126F¹¹"), =HYPERLINK("CSG11.html#group126E11", "126E¹¹")</f>
        <v/>
      </c>
      <c r="L6915" t="inlineStr"/>
      <c r="M6915">
        <f>HYPERLINK("CSG0.html#group3B0", "3B⁰"), =HYPERLINK("CSG11.html#group126F11", "126F¹¹"), =HYPERLINK("CSG5.html#group42I5", "42I⁵"), =HYPERLINK("CSG0.html#group2A0", "2A⁰"), =HYPERLINK("CSG7.html#group63F7", "63F⁷"), =HYPERLINK("CSG0.html#group6C0", "6C⁰"), =HYPERLINK("CSG3.html#group42D3", "42D³"), =HYPERLINK("CSG0.html#group1A0", "1A⁰"), =HYPERLINK("CSG1.html#group21F1", "21F¹"), =HYPERLINK("CSG11.html#group126E11", "126E¹¹"), =HYPERLINK("CSG1.html#group21B1", "21B¹"), =HYPERLINK("CSG0.html#group7B0", "7B⁰"), =HYPERLINK("CSG3.html#group42E3", "42E³"), =HYPERLINK("CSG0.html#group14B0", "14B⁰"), =HYPERLINK("CSG4.html#group63A4", "63A⁴")</f>
        <v/>
      </c>
      <c r="N6915" t="inlineStr"/>
    </row>
    <row r="6916">
      <c r="A6916" t="inlineStr">
        <is>
          <t>128A²¹</t>
        </is>
      </c>
      <c r="B6916" t="inlineStr"/>
      <c r="C6916" t="inlineStr">
        <is>
          <t>384</t>
        </is>
      </c>
      <c r="D6916" t="inlineStr">
        <is>
          <t>1</t>
        </is>
      </c>
      <c r="E6916" t="inlineStr">
        <is>
          <t>12</t>
        </is>
      </c>
      <c r="F6916" t="inlineStr">
        <is>
          <t>0</t>
        </is>
      </c>
      <c r="G6916" t="inlineStr">
        <is>
          <t>0</t>
        </is>
      </c>
      <c r="H6916" t="inlineStr">
        <is>
          <t>2¹⁶, 8⁴, 32², 128²</t>
        </is>
      </c>
      <c r="I6916" t="n">
        <v>24</v>
      </c>
      <c r="J6916" t="inlineStr">
        <is>
          <t>1⁴, 2², 4¹</t>
        </is>
      </c>
      <c r="K6916">
        <f>HYPERLINK("CSG5.html#group64C5", "64C⁵"), =HYPERLINK("CSG11.html#group128A11", "128A¹¹")</f>
        <v/>
      </c>
      <c r="L6916" t="inlineStr"/>
      <c r="M6916">
        <f>HYPERLINK("CSG1.html#group32A1", "32A¹"), =HYPERLINK("CSG1.html#group32E1", "32E¹"), =HYPERLINK("CSG0.html#group16C0", "16C⁰"), =HYPERLINK("CSG0.html#group16D0", "16D⁰"), =HYPERLINK("CSG0.html#group32A0", "32A⁰"), =HYPERLINK("CSG5.html#group64C5", "64C⁵"), =HYPERLINK("CSG3.html#group64B3", "64B³"), =HYPERLINK("CSG0.html#group1A0", "1A⁰"), =HYPERLINK("CSG0.html#group8C0", "8C⁰"), =HYPERLINK("CSG0.html#group2B0", "2B⁰"), =HYPERLINK("CSG0.html#group8I0", "8I⁰"), =HYPERLINK("CSG3.html#group64A3", "64A³"), =HYPERLINK("CSG0.html#group4B0", "4B⁰"), =HYPERLINK("CSG11.html#group128A11", "128A¹¹"), =HYPERLINK("CSG0.html#group16H0", "16H⁰")</f>
        <v/>
      </c>
      <c r="N6916" t="inlineStr"/>
    </row>
    <row r="6917">
      <c r="A6917" t="inlineStr">
        <is>
          <t>128B²¹</t>
        </is>
      </c>
      <c r="B6917" t="inlineStr"/>
      <c r="C6917" t="inlineStr">
        <is>
          <t>384</t>
        </is>
      </c>
      <c r="D6917" t="inlineStr">
        <is>
          <t>1</t>
        </is>
      </c>
      <c r="E6917" t="inlineStr">
        <is>
          <t>12</t>
        </is>
      </c>
      <c r="F6917" t="inlineStr">
        <is>
          <t>0</t>
        </is>
      </c>
      <c r="G6917" t="inlineStr">
        <is>
          <t>0</t>
        </is>
      </c>
      <c r="H6917" t="inlineStr">
        <is>
          <t>2¹⁶, 8⁴, 32², 128²</t>
        </is>
      </c>
      <c r="I6917" t="n">
        <v>24</v>
      </c>
      <c r="J6917" t="inlineStr">
        <is>
          <t>1⁴, 2², 4¹</t>
        </is>
      </c>
      <c r="K6917">
        <f>HYPERLINK("CSG9.html#group64E9", "64E⁹"), =HYPERLINK("CSG9.html#group128A9", "128A⁹")</f>
        <v/>
      </c>
      <c r="L6917" t="inlineStr"/>
      <c r="M6917">
        <f>HYPERLINK("CSG5.html#group64A5", "64A⁵"), =HYPERLINK("CSG1.html#group32A1", "32A¹"), =HYPERLINK("CSG9.html#group64E9", "64E⁹"), =HYPERLINK("CSG0.html#group16C0", "16C⁰"), =HYPERLINK("CSG0.html#group16D0", "16D⁰"), =HYPERLINK("CSG3.html#group32M3", "32M³"), =HYPERLINK("CSG9.html#group128A9", "128A⁹"), =HYPERLINK("CSG3.html#group64B3", "64B³"), =HYPERLINK("CSG0.html#group8C0", "8C⁰"), =HYPERLINK("CSG0.html#group2B0", "2B⁰"), =HYPERLINK("CSG2.html#group32A2", "32A²"), =HYPERLINK("CSG0.html#group8I0", "8I⁰"), =HYPERLINK("CSG0.html#group4B0", "4B⁰"), =HYPERLINK("CSG0.html#group1A0", "1A⁰"), =HYPERLINK("CSG0.html#group16H0", "16H⁰")</f>
        <v/>
      </c>
      <c r="N6917" t="inlineStr"/>
    </row>
    <row r="6918">
      <c r="A6918" t="inlineStr">
        <is>
          <t>128C²¹</t>
        </is>
      </c>
      <c r="B6918" t="inlineStr"/>
      <c r="C6918" t="inlineStr">
        <is>
          <t>384</t>
        </is>
      </c>
      <c r="D6918" t="inlineStr">
        <is>
          <t>1</t>
        </is>
      </c>
      <c r="E6918" t="inlineStr">
        <is>
          <t>12</t>
        </is>
      </c>
      <c r="F6918" t="inlineStr">
        <is>
          <t>0</t>
        </is>
      </c>
      <c r="G6918" t="inlineStr">
        <is>
          <t>0</t>
        </is>
      </c>
      <c r="H6918" t="inlineStr">
        <is>
          <t>2¹⁶, 8⁴, 32², 128²</t>
        </is>
      </c>
      <c r="I6918" t="n">
        <v>24</v>
      </c>
      <c r="J6918" t="inlineStr">
        <is>
          <t>1⁴, 2², 4¹</t>
        </is>
      </c>
      <c r="K6918">
        <f>HYPERLINK("CSG9.html#group64E9", "64E⁹"), =HYPERLINK("CSG9.html#group128B9", "128B⁹")</f>
        <v/>
      </c>
      <c r="L6918" t="inlineStr"/>
      <c r="M6918">
        <f>HYPERLINK("CSG5.html#group64A5", "64A⁵"), =HYPERLINK("CSG1.html#group32A1", "32A¹"), =HYPERLINK("CSG9.html#group64E9", "64E⁹"), =HYPERLINK("CSG0.html#group4B0", "4B⁰"), =HYPERLINK("CSG0.html#group16C0", "16C⁰"), =HYPERLINK("CSG0.html#group16D0", "16D⁰"), =HYPERLINK("CSG3.html#group32M3", "32M³"), =HYPERLINK("CSG3.html#group64B3", "64B³"), =HYPERLINK("CSG0.html#group8C0", "8C⁰"), =HYPERLINK("CSG0.html#group2B0", "2B⁰"), =HYPERLINK("CSG2.html#group32A2", "32A²"), =HYPERLINK("CSG0.html#group8I0", "8I⁰"), =HYPERLINK("CSG9.html#group128B9", "128B⁹"), =HYPERLINK("CSG0.html#group1A0", "1A⁰"), =HYPERLINK("CSG0.html#group16H0", "16H⁰")</f>
        <v/>
      </c>
      <c r="N6918" t="inlineStr"/>
    </row>
    <row r="6919">
      <c r="A6919" t="inlineStr">
        <is>
          <t>128D²¹</t>
        </is>
      </c>
      <c r="B6919" t="inlineStr"/>
      <c r="C6919" t="inlineStr">
        <is>
          <t>384</t>
        </is>
      </c>
      <c r="D6919" t="inlineStr">
        <is>
          <t>1</t>
        </is>
      </c>
      <c r="E6919" t="inlineStr">
        <is>
          <t>24</t>
        </is>
      </c>
      <c r="F6919" t="inlineStr">
        <is>
          <t>0</t>
        </is>
      </c>
      <c r="G6919" t="inlineStr">
        <is>
          <t>0</t>
        </is>
      </c>
      <c r="H6919" t="inlineStr">
        <is>
          <t>2¹⁶, 8⁴, 32², 128²</t>
        </is>
      </c>
      <c r="I6919" t="n">
        <v>24</v>
      </c>
      <c r="J6919" t="inlineStr">
        <is>
          <t>1⁴, 2², 4², 8¹</t>
        </is>
      </c>
      <c r="K6919">
        <f>HYPERLINK("CSG7.html#group128A7", "128A⁷"), =HYPERLINK("CSG9.html#group64B9", "64B⁹"), =HYPERLINK("CSG11.html#group128A11", "128A¹¹")</f>
        <v/>
      </c>
      <c r="L6919" t="inlineStr"/>
      <c r="M6919">
        <f>HYPERLINK("CSG0.html#group2A0", "2A⁰"), =HYPERLINK("CSG0.html#group8D0", "8D⁰"), =HYPERLINK("CSG1.html#group16E1", "16E¹"), =HYPERLINK("CSG0.html#group4C0", "4C⁰"), =HYPERLINK("CSG7.html#group128A7", "128A⁷"), =HYPERLINK("CSG1.html#group16A1", "16A¹"), =HYPERLINK("CSG0.html#group8C0", "8C⁰"), =HYPERLINK("CSG0.html#group2B0", "2B⁰"), =HYPERLINK("CSG0.html#group4E0", "4E⁰"), =HYPERLINK("CSG0.html#group4B0", "4B⁰"), =HYPERLINK("CSG0.html#group1A0", "1A⁰"), =HYPERLINK("CSG11.html#group128A11", "128A¹¹"), =HYPERLINK("CSG3.html#group32J3", "32J³"), =HYPERLINK("CSG1.html#group32A1", "32A¹"), =HYPERLINK("CSG0.html#group8G0", "8G⁰"), =HYPERLINK("CSG0.html#group16C0", "16C⁰"), =HYPERLINK("CSG3.html#group64A3", "64A³"), =HYPERLINK("CSG0.html#group2C0", "2C⁰"), =HYPERLINK("CSG9.html#group64B9", "64B⁹"), =HYPERLINK("CSG5.html#group64A5", "64A⁵")</f>
        <v/>
      </c>
      <c r="N6919" t="inlineStr"/>
    </row>
    <row r="6920">
      <c r="A6920" t="inlineStr">
        <is>
          <t>128E²¹</t>
        </is>
      </c>
      <c r="B6920" t="inlineStr"/>
      <c r="C6920" t="inlineStr">
        <is>
          <t>384</t>
        </is>
      </c>
      <c r="D6920" t="inlineStr">
        <is>
          <t>1</t>
        </is>
      </c>
      <c r="E6920" t="inlineStr">
        <is>
          <t>24</t>
        </is>
      </c>
      <c r="F6920" t="inlineStr">
        <is>
          <t>0</t>
        </is>
      </c>
      <c r="G6920" t="inlineStr">
        <is>
          <t>0</t>
        </is>
      </c>
      <c r="H6920" t="inlineStr">
        <is>
          <t>2¹⁶, 8⁴, 32², 128²</t>
        </is>
      </c>
      <c r="I6920" t="n">
        <v>24</v>
      </c>
      <c r="J6920" t="inlineStr">
        <is>
          <t>1⁴, 2², 4², 8¹</t>
        </is>
      </c>
      <c r="K6920">
        <f>HYPERLINK("CSG7.html#group128A7", "128A⁷"), =HYPERLINK("CSG9.html#group64D9", "64D⁹"), =HYPERLINK("CSG11.html#group128A11", "128A¹¹")</f>
        <v/>
      </c>
      <c r="L6920" t="inlineStr"/>
      <c r="M6920">
        <f>HYPERLINK("CSG9.html#group64D9", "64D⁹"), =HYPERLINK("CSG3.html#group32M3", "32M³"), =HYPERLINK("CSG7.html#group128A7", "128A⁷"), =HYPERLINK("CSG0.html#group8C0", "8C⁰"), =HYPERLINK("CSG0.html#group2B0", "2B⁰"), =HYPERLINK("CSG0.html#group8I0", "8I⁰"), =HYPERLINK("CSG0.html#group4B0", "4B⁰"), =HYPERLINK("CSG11.html#group128A11", "128A¹¹"), =HYPERLINK("CSG0.html#group1A0", "1A⁰"), =HYPERLINK("CSG0.html#group16H0", "16H⁰"), =HYPERLINK("CSG5.html#group64B5", "64B⁵"), =HYPERLINK("CSG1.html#group32A1", "32A¹"), =HYPERLINK("CSG0.html#group16C0", "16C⁰"), =HYPERLINK("CSG0.html#group16D0", "16D⁰"), =HYPERLINK("CSG2.html#group32A2", "32A²"), =HYPERLINK("CSG3.html#group64A3", "64A³")</f>
        <v/>
      </c>
      <c r="N6920" t="inlineStr"/>
    </row>
    <row r="6921">
      <c r="A6921" t="inlineStr">
        <is>
          <t>128F²¹</t>
        </is>
      </c>
      <c r="B6921" t="inlineStr"/>
      <c r="C6921" t="inlineStr">
        <is>
          <t>384</t>
        </is>
      </c>
      <c r="D6921" t="inlineStr">
        <is>
          <t>1</t>
        </is>
      </c>
      <c r="E6921" t="inlineStr">
        <is>
          <t>24</t>
        </is>
      </c>
      <c r="F6921" t="inlineStr">
        <is>
          <t>0</t>
        </is>
      </c>
      <c r="G6921" t="inlineStr">
        <is>
          <t>0</t>
        </is>
      </c>
      <c r="H6921" t="inlineStr">
        <is>
          <t>2¹⁶, 8⁴, 32², 128²</t>
        </is>
      </c>
      <c r="I6921" t="n">
        <v>24</v>
      </c>
      <c r="J6921" t="inlineStr">
        <is>
          <t>1⁴, 2², 4², 8¹</t>
        </is>
      </c>
      <c r="K6921">
        <f>HYPERLINK("CSG9.html#group64C9", "64C⁹"), =HYPERLINK("CSG9.html#group128A9", "128A⁹"), =HYPERLINK("CSG9.html#group128B9", "128B⁹")</f>
        <v/>
      </c>
      <c r="L6921" t="inlineStr"/>
      <c r="M6921">
        <f>HYPERLINK("CSG9.html#group64C9", "64C⁹"), =HYPERLINK("CSG0.html#group2A0", "2A⁰"), =HYPERLINK("CSG0.html#group8D0", "8D⁰"), =HYPERLINK("CSG1.html#group16E1", "16E¹"), =HYPERLINK("CSG0.html#group4C0", "4C⁰"), =HYPERLINK("CSG3.html#group64B3", "64B³"), =HYPERLINK("CSG1.html#group16A1", "16A¹"), =HYPERLINK("CSG0.html#group8C0", "8C⁰"), =HYPERLINK("CSG0.html#group2B0", "2B⁰"), =HYPERLINK("CSG0.html#group4E0", "4E⁰"), =HYPERLINK("CSG9.html#group128B9", "128B⁹"), =HYPERLINK("CSG0.html#group4B0", "4B⁰"), =HYPERLINK("CSG0.html#group1A0", "1A⁰"), =HYPERLINK("CSG3.html#group32J3", "32J³"), =HYPERLINK("CSG5.html#group64B5", "64B⁵"), =HYPERLINK("CSG1.html#group32A1", "32A¹"), =HYPERLINK("CSG0.html#group8G0", "8G⁰"), =HYPERLINK("CSG0.html#group16C0", "16C⁰"), =HYPERLINK("CSG9.html#group128A9", "128A⁹"), =HYPERLINK("CSG0.html#group2C0", "2C⁰")</f>
        <v/>
      </c>
      <c r="N6921" t="inlineStr"/>
    </row>
    <row r="6922">
      <c r="A6922" t="inlineStr">
        <is>
          <t>129A²¹</t>
        </is>
      </c>
      <c r="B6922" t="inlineStr"/>
      <c r="C6922" t="inlineStr">
        <is>
          <t>264</t>
        </is>
      </c>
      <c r="D6922" t="inlineStr">
        <is>
          <t>1</t>
        </is>
      </c>
      <c r="E6922" t="inlineStr">
        <is>
          <t>132</t>
        </is>
      </c>
      <c r="F6922" t="inlineStr">
        <is>
          <t>0</t>
        </is>
      </c>
      <c r="G6922" t="inlineStr">
        <is>
          <t>0</t>
        </is>
      </c>
      <c r="H6922" t="inlineStr">
        <is>
          <t>3², 129²</t>
        </is>
      </c>
      <c r="I6922" t="n">
        <v>4</v>
      </c>
      <c r="J6922" t="inlineStr">
        <is>
          <t>1², 2², 42¹, 84¹</t>
        </is>
      </c>
      <c r="K6922">
        <f>HYPERLINK("CSG0.html#group3C0", "3C⁰"), =HYPERLINK("CSG11.html#group129A11", "129A¹¹")</f>
        <v/>
      </c>
      <c r="L6922" t="inlineStr"/>
      <c r="M6922">
        <f>HYPERLINK("CSG3.html#group43A3", "43A³"), =HYPERLINK("CSG0.html#group3C0", "3C⁰"), =HYPERLINK("CSG0.html#group3A0", "3A⁰"), =HYPERLINK("CSG0.html#group1A0", "1A⁰"), =HYPERLINK("CSG11.html#group129A11", "129A¹¹")</f>
        <v/>
      </c>
      <c r="N6922" t="inlineStr"/>
    </row>
    <row r="6923">
      <c r="A6923" t="inlineStr">
        <is>
          <t>130A²¹</t>
        </is>
      </c>
      <c r="B6923" t="inlineStr"/>
      <c r="C6923" t="inlineStr">
        <is>
          <t>280</t>
        </is>
      </c>
      <c r="D6923" t="inlineStr">
        <is>
          <t>1</t>
        </is>
      </c>
      <c r="E6923" t="inlineStr">
        <is>
          <t>140</t>
        </is>
      </c>
      <c r="F6923" t="inlineStr">
        <is>
          <t>0</t>
        </is>
      </c>
      <c r="G6923" t="inlineStr">
        <is>
          <t>4</t>
        </is>
      </c>
      <c r="H6923" t="inlineStr">
        <is>
          <t>10², 130²</t>
        </is>
      </c>
      <c r="I6923" t="n">
        <v>4</v>
      </c>
      <c r="J6923" t="inlineStr">
        <is>
          <t>2², 4⁴, 24¹, 48²</t>
        </is>
      </c>
      <c r="K6923">
        <f>HYPERLINK("CSG9.html#group65A9", "65A⁹")</f>
        <v/>
      </c>
      <c r="L6923" t="inlineStr"/>
      <c r="M6923">
        <f>HYPERLINK("CSG0.html#group13A0", "13A⁰"), =HYPERLINK("CSG0.html#group5C0", "5C⁰"), =HYPERLINK("CSG0.html#group1A0", "1A⁰"), =HYPERLINK("CSG9.html#group65A9", "65A⁹")</f>
        <v/>
      </c>
      <c r="N6923" t="inlineStr"/>
    </row>
    <row r="6924">
      <c r="A6924" t="inlineStr">
        <is>
          <t>130B²¹</t>
        </is>
      </c>
      <c r="B6924" t="inlineStr"/>
      <c r="C6924" t="inlineStr">
        <is>
          <t>280</t>
        </is>
      </c>
      <c r="D6924" t="inlineStr">
        <is>
          <t>1</t>
        </is>
      </c>
      <c r="E6924" t="inlineStr">
        <is>
          <t>140</t>
        </is>
      </c>
      <c r="F6924" t="inlineStr">
        <is>
          <t>0</t>
        </is>
      </c>
      <c r="G6924" t="inlineStr">
        <is>
          <t>4</t>
        </is>
      </c>
      <c r="H6924" t="inlineStr">
        <is>
          <t>10², 130²</t>
        </is>
      </c>
      <c r="I6924" t="n">
        <v>4</v>
      </c>
      <c r="J6924" t="inlineStr">
        <is>
          <t>2², 4⁴, 24¹, 48²</t>
        </is>
      </c>
      <c r="K6924">
        <f>HYPERLINK("CSG1.html#group10C1", "10C¹"), =HYPERLINK("CSG1.html#group26A1", "26A¹"), =HYPERLINK("CSG9.html#group65A9", "65A⁹")</f>
        <v/>
      </c>
      <c r="L6924" t="inlineStr"/>
      <c r="M6924">
        <f>HYPERLINK("CSG0.html#group2A0", "2A⁰"), =HYPERLINK("CSG1.html#group26A1", "26A¹"), =HYPERLINK("CSG0.html#group5C0", "5C⁰"), =HYPERLINK("CSG0.html#group13A0", "13A⁰"), =HYPERLINK("CSG1.html#group10C1", "10C¹"), =HYPERLINK("CSG9.html#group65A9", "65A⁹"), =HYPERLINK("CSG0.html#group1A0", "1A⁰")</f>
        <v/>
      </c>
      <c r="N6924" t="inlineStr"/>
    </row>
    <row r="6925">
      <c r="A6925" t="inlineStr">
        <is>
          <t>130C²¹</t>
        </is>
      </c>
      <c r="B6925" t="inlineStr"/>
      <c r="C6925" t="inlineStr">
        <is>
          <t>336</t>
        </is>
      </c>
      <c r="D6925" t="inlineStr">
        <is>
          <t>1</t>
        </is>
      </c>
      <c r="E6925" t="inlineStr">
        <is>
          <t>84</t>
        </is>
      </c>
      <c r="F6925" t="inlineStr">
        <is>
          <t>16</t>
        </is>
      </c>
      <c r="G6925" t="inlineStr">
        <is>
          <t>0</t>
        </is>
      </c>
      <c r="H6925" t="inlineStr">
        <is>
          <t>2², 10², 26², 130²</t>
        </is>
      </c>
      <c r="I6925" t="n">
        <v>8</v>
      </c>
      <c r="J6925" t="inlineStr">
        <is>
          <t>1⁴, 4², 12², 48¹</t>
        </is>
      </c>
      <c r="K6925">
        <f>HYPERLINK("CSG9.html#group65B9", "65B⁹"), =HYPERLINK("CSG11.html#group130A11", "130A¹¹"), =HYPERLINK("CSG11.html#group130B11", "130B¹¹")</f>
        <v/>
      </c>
      <c r="L6925" t="inlineStr"/>
      <c r="M6925">
        <f>HYPERLINK("CSG11.html#group130A11", "130A¹¹"), =HYPERLINK("CSG9.html#group65B9", "65B⁹"), =HYPERLINK("CSG0.html#group5B0", "5B⁰"), =HYPERLINK("CSG0.html#group13A0", "13A⁰"), =HYPERLINK("CSG0.html#group26A0", "26A⁰"), =HYPERLINK("CSG5.html#group65A5", "65A⁵"), =HYPERLINK("CSG0.html#group10B0", "10B⁰"), =HYPERLINK("CSG0.html#group1A0", "1A⁰"), =HYPERLINK("CSG11.html#group130B11", "130B¹¹")</f>
        <v/>
      </c>
      <c r="N6925" t="inlineStr"/>
    </row>
    <row r="6926">
      <c r="A6926" t="inlineStr">
        <is>
          <t>132A²¹</t>
        </is>
      </c>
      <c r="B6926" t="inlineStr"/>
      <c r="C6926" t="inlineStr">
        <is>
          <t>264</t>
        </is>
      </c>
      <c r="D6926" t="inlineStr">
        <is>
          <t>2</t>
        </is>
      </c>
      <c r="E6926" t="inlineStr">
        <is>
          <t>132</t>
        </is>
      </c>
      <c r="F6926" t="inlineStr">
        <is>
          <t>0</t>
        </is>
      </c>
      <c r="G6926" t="inlineStr">
        <is>
          <t>0</t>
        </is>
      </c>
      <c r="H6926" t="inlineStr">
        <is>
          <t>22¹, 44¹, 66¹, 132¹</t>
        </is>
      </c>
      <c r="I6926" t="n">
        <v>4</v>
      </c>
      <c r="J6926" t="inlineStr">
        <is>
          <t>2⁶, 4³, 10¹², 20⁶</t>
        </is>
      </c>
      <c r="K6926">
        <f>HYPERLINK("CSG1.html#group12F1", "12F¹"), =HYPERLINK("CSG4.html#group44C4", "44C⁴"), =HYPERLINK("CSG10.html#group66A10", "66A¹⁰")</f>
        <v/>
      </c>
      <c r="L6926" t="inlineStr"/>
      <c r="M6926">
        <f>HYPERLINK("CSG0.html#group11A0", "11A⁰"), =HYPERLINK("CSG0.html#group3B0", "3B⁰"), =HYPERLINK("CSG4.html#group44C4", "44C⁴"), =HYPERLINK("CSG1.html#group12F1", "12F¹"), =HYPERLINK("CSG3.html#group33B3", "33B³"), =HYPERLINK("CSG0.html#group4C0", "4C⁰"), =HYPERLINK("CSG0.html#group6F0", "6F⁰"), =HYPERLINK("CSG0.html#group2B0", "2B⁰"), =HYPERLINK("CSG2.html#group22B2", "22B²"), =HYPERLINK("CSG0.html#group1A0", "1A⁰"), =HYPERLINK("CSG10.html#group66A10", "66A¹⁰")</f>
        <v/>
      </c>
      <c r="N6926" t="inlineStr"/>
    </row>
    <row r="6927">
      <c r="A6927" t="inlineStr">
        <is>
          <t>132B²¹</t>
        </is>
      </c>
      <c r="B6927" t="inlineStr"/>
      <c r="C6927" t="inlineStr">
        <is>
          <t>288</t>
        </is>
      </c>
      <c r="D6927" t="inlineStr">
        <is>
          <t>1</t>
        </is>
      </c>
      <c r="E6927" t="inlineStr">
        <is>
          <t>144</t>
        </is>
      </c>
      <c r="F6927" t="inlineStr">
        <is>
          <t>0</t>
        </is>
      </c>
      <c r="G6927" t="inlineStr">
        <is>
          <t>0</t>
        </is>
      </c>
      <c r="H6927" t="inlineStr">
        <is>
          <t>2¹, 4¹, 6¹, 12¹, 22¹, 44¹, 66¹, 132¹</t>
        </is>
      </c>
      <c r="I6927" t="n">
        <v>8</v>
      </c>
      <c r="J6927" t="inlineStr">
        <is>
          <t>1¹², 2⁶, 10⁶, 20³</t>
        </is>
      </c>
      <c r="K6927">
        <f>HYPERLINK("CSG9.html#group66A9", "66A⁹")</f>
        <v/>
      </c>
      <c r="L6927" t="inlineStr"/>
      <c r="M6927">
        <f>HYPERLINK("CSG0.html#group3B0", "3B⁰"), =HYPERLINK("CSG1.html#group11A1", "11A¹"), =HYPERLINK("CSG9.html#group66A9", "66A⁹"), =HYPERLINK("CSG0.html#group1A0", "1A⁰"), =HYPERLINK("CSG0.html#group2B0", "2B⁰"), =HYPERLINK("CSG2.html#group22C2", "22C²"), =HYPERLINK("CSG0.html#group6F0", "6F⁰"), =HYPERLINK("CSG3.html#group33C3", "33C³")</f>
        <v/>
      </c>
      <c r="N6927" t="inlineStr"/>
    </row>
    <row r="6928">
      <c r="A6928" t="inlineStr">
        <is>
          <t>132C²¹</t>
        </is>
      </c>
      <c r="B6928" t="inlineStr"/>
      <c r="C6928" t="inlineStr">
        <is>
          <t>288</t>
        </is>
      </c>
      <c r="D6928" t="inlineStr">
        <is>
          <t>1</t>
        </is>
      </c>
      <c r="E6928" t="inlineStr">
        <is>
          <t>144</t>
        </is>
      </c>
      <c r="F6928" t="inlineStr">
        <is>
          <t>0</t>
        </is>
      </c>
      <c r="G6928" t="inlineStr">
        <is>
          <t>0</t>
        </is>
      </c>
      <c r="H6928" t="inlineStr">
        <is>
          <t>2¹, 4¹, 6¹, 12¹, 22¹, 44¹, 66¹, 132¹</t>
        </is>
      </c>
      <c r="I6928" t="n">
        <v>8</v>
      </c>
      <c r="J6928" t="inlineStr">
        <is>
          <t>1¹², 2⁶, 10⁶, 20³</t>
        </is>
      </c>
      <c r="K6928">
        <f>HYPERLINK("CSG1.html#group12F1", "12F¹"), =HYPERLINK("CSG5.html#group44B5", "44B⁵"), =HYPERLINK("CSG9.html#group66A9", "66A⁹")</f>
        <v/>
      </c>
      <c r="L6928" t="inlineStr"/>
      <c r="M6928">
        <f>HYPERLINK("CSG0.html#group3B0", "3B⁰"), =HYPERLINK("CSG1.html#group12F1", "12F¹"), =HYPERLINK("CSG9.html#group66A9", "66A⁹"), =HYPERLINK("CSG1.html#group11A1", "11A¹"), =HYPERLINK("CSG0.html#group4C0", "4C⁰"), =HYPERLINK("CSG0.html#group6F0", "6F⁰"), =HYPERLINK("CSG5.html#group44B5", "44B⁵"), =HYPERLINK("CSG0.html#group2B0", "2B⁰"), =HYPERLINK("CSG2.html#group22C2", "22C²"), =HYPERLINK("CSG0.html#group1A0", "1A⁰"), =HYPERLINK("CSG3.html#group33C3", "33C³")</f>
        <v/>
      </c>
      <c r="N6928" t="inlineStr"/>
    </row>
    <row r="6929">
      <c r="A6929" t="inlineStr">
        <is>
          <t>133A²¹</t>
        </is>
      </c>
      <c r="B6929" t="inlineStr"/>
      <c r="C6929" t="inlineStr">
        <is>
          <t>280</t>
        </is>
      </c>
      <c r="D6929" t="inlineStr">
        <is>
          <t>2</t>
        </is>
      </c>
      <c r="E6929" t="inlineStr">
        <is>
          <t>140</t>
        </is>
      </c>
      <c r="F6929" t="inlineStr">
        <is>
          <t>0</t>
        </is>
      </c>
      <c r="G6929" t="inlineStr">
        <is>
          <t>4</t>
        </is>
      </c>
      <c r="H6929" t="inlineStr">
        <is>
          <t>7², 133²</t>
        </is>
      </c>
      <c r="I6929" t="n">
        <v>4</v>
      </c>
      <c r="J6929" t="inlineStr">
        <is>
          <t>2², 6⁴, 36¹, 108²</t>
        </is>
      </c>
      <c r="K6929">
        <f>HYPERLINK("CSG0.html#group7C0", "7C⁰"), =HYPERLINK("CSG11.html#group133A11", "133A¹¹")</f>
        <v/>
      </c>
      <c r="L6929" t="inlineStr"/>
      <c r="M6929">
        <f>HYPERLINK("CSG1.html#group19A1", "19A¹"), =HYPERLINK("CSG11.html#group133A11", "133A¹¹"), =HYPERLINK("CSG0.html#group1A0", "1A⁰"), =HYPERLINK("CSG0.html#group7C0", "7C⁰"), =HYPERLINK("CSG0.html#group7A0", "7A⁰")</f>
        <v/>
      </c>
      <c r="N6929" t="inlineStr"/>
    </row>
    <row r="6930">
      <c r="A6930" t="inlineStr">
        <is>
          <t>133B²¹</t>
        </is>
      </c>
      <c r="B6930" t="inlineStr"/>
      <c r="C6930" t="inlineStr">
        <is>
          <t>320</t>
        </is>
      </c>
      <c r="D6930" t="inlineStr">
        <is>
          <t>1</t>
        </is>
      </c>
      <c r="E6930" t="inlineStr">
        <is>
          <t>160</t>
        </is>
      </c>
      <c r="F6930" t="inlineStr">
        <is>
          <t>0</t>
        </is>
      </c>
      <c r="G6930" t="inlineStr">
        <is>
          <t>8</t>
        </is>
      </c>
      <c r="H6930" t="inlineStr">
        <is>
          <t>1², 7², 19², 133²</t>
        </is>
      </c>
      <c r="I6930" t="n">
        <v>8</v>
      </c>
      <c r="J6930" t="inlineStr">
        <is>
          <t>1⁴, 6², 18², 108¹</t>
        </is>
      </c>
      <c r="K6930">
        <f>HYPERLINK("CSG11.html#group133B11", "133B¹¹")</f>
        <v/>
      </c>
      <c r="L6930" t="inlineStr"/>
      <c r="M6930">
        <f>HYPERLINK("CSG1.html#group19A1", "19A¹"), =HYPERLINK("CSG0.html#group1A0", "1A⁰"), =HYPERLINK("CSG0.html#group7B0", "7B⁰"), =HYPERLINK("CSG11.html#group133B11", "133B¹¹")</f>
        <v/>
      </c>
      <c r="N6930" t="inlineStr"/>
    </row>
    <row r="6931">
      <c r="A6931" t="inlineStr">
        <is>
          <t>135A²¹</t>
        </is>
      </c>
      <c r="B6931" t="inlineStr"/>
      <c r="C6931" t="inlineStr">
        <is>
          <t>432</t>
        </is>
      </c>
      <c r="D6931" t="inlineStr">
        <is>
          <t>1</t>
        </is>
      </c>
      <c r="E6931" t="inlineStr">
        <is>
          <t>72</t>
        </is>
      </c>
      <c r="F6931" t="inlineStr">
        <is>
          <t>0</t>
        </is>
      </c>
      <c r="G6931" t="inlineStr">
        <is>
          <t>0</t>
        </is>
      </c>
      <c r="H6931" t="inlineStr">
        <is>
          <t>1¹², 3², 5¹², 15², 27², 135²</t>
        </is>
      </c>
      <c r="I6931" t="n">
        <v>32</v>
      </c>
      <c r="J6931" t="inlineStr">
        <is>
          <t>1⁴, 2⁴, 4², 6², 8², 24¹</t>
        </is>
      </c>
      <c r="K6931">
        <f>HYPERLINK("CSG5.html#group45H5", "45H⁵"), =HYPERLINK("CSG11.html#group135B11", "135B¹¹")</f>
        <v/>
      </c>
      <c r="L6931" t="inlineStr"/>
      <c r="M6931">
        <f>HYPERLINK("CSG11.html#group135B11", "135B¹¹"), =HYPERLINK("CSG0.html#group3B0", "3B⁰"), =HYPERLINK("CSG1.html#group15C1", "15C¹"), =HYPERLINK("CSG0.html#group5B0", "5B⁰"), =HYPERLINK("CSG0.html#group27A0", "27A⁰"), =HYPERLINK("CSG5.html#group45H5", "45H⁵"), =HYPERLINK("CSG3.html#group45D3", "45D³"), =HYPERLINK("CSG0.html#group9B0", "9B⁰"), =HYPERLINK("CSG1.html#group15G1", "15G¹"), =HYPERLINK("CSG0.html#group5D0", "5D⁰"), =HYPERLINK("CSG0.html#group1A0", "1A⁰")</f>
        <v/>
      </c>
      <c r="N6931" t="inlineStr"/>
    </row>
    <row r="6932">
      <c r="A6932" t="inlineStr">
        <is>
          <t>136A²¹</t>
        </is>
      </c>
      <c r="B6932" t="inlineStr"/>
      <c r="C6932" t="inlineStr">
        <is>
          <t>288</t>
        </is>
      </c>
      <c r="D6932" t="inlineStr">
        <is>
          <t>1</t>
        </is>
      </c>
      <c r="E6932" t="inlineStr">
        <is>
          <t>288</t>
        </is>
      </c>
      <c r="F6932" t="inlineStr">
        <is>
          <t>8</t>
        </is>
      </c>
      <c r="G6932" t="inlineStr">
        <is>
          <t>0</t>
        </is>
      </c>
      <c r="H6932" t="inlineStr">
        <is>
          <t>8², 136²</t>
        </is>
      </c>
      <c r="I6932" t="n">
        <v>4</v>
      </c>
      <c r="J6932" t="inlineStr">
        <is>
          <t>4⁸, 64⁴</t>
        </is>
      </c>
      <c r="K6932">
        <f>HYPERLINK("CSG0.html#group8F0", "8F⁰"), =HYPERLINK("CSG5.html#group68A5", "68A⁵")</f>
        <v/>
      </c>
      <c r="L6932" t="inlineStr"/>
      <c r="M6932">
        <f>HYPERLINK("CSG5.html#group68A5", "68A⁵"), =HYPERLINK("CSG1.html#group17A1", "17A¹"), =HYPERLINK("CSG0.html#group8F0", "8F⁰"), =HYPERLINK("CSG0.html#group1A0", "1A⁰"), =HYPERLINK("CSG0.html#group4A0", "4A⁰")</f>
        <v/>
      </c>
      <c r="N6932" t="inlineStr"/>
    </row>
    <row r="6933">
      <c r="A6933" t="inlineStr">
        <is>
          <t>136B²¹</t>
        </is>
      </c>
      <c r="B6933" t="inlineStr"/>
      <c r="C6933" t="inlineStr">
        <is>
          <t>288</t>
        </is>
      </c>
      <c r="D6933" t="inlineStr">
        <is>
          <t>2</t>
        </is>
      </c>
      <c r="E6933" t="inlineStr">
        <is>
          <t>72</t>
        </is>
      </c>
      <c r="F6933" t="inlineStr">
        <is>
          <t>8</t>
        </is>
      </c>
      <c r="G6933" t="inlineStr">
        <is>
          <t>0</t>
        </is>
      </c>
      <c r="H6933" t="inlineStr">
        <is>
          <t>8², 136²</t>
        </is>
      </c>
      <c r="I6933" t="n">
        <v>4</v>
      </c>
      <c r="J6933" t="inlineStr">
        <is>
          <t>4⁴, 64²</t>
        </is>
      </c>
      <c r="K6933">
        <f>HYPERLINK("CSG9.html#group68A9", "68A⁹")</f>
        <v/>
      </c>
      <c r="L6933" t="inlineStr"/>
      <c r="M6933">
        <f>HYPERLINK("CSG5.html#group68A5", "68A⁵"), =HYPERLINK("CSG1.html#group17A1", "17A¹"), =HYPERLINK("CSG0.html#group1A0", "1A⁰"), =HYPERLINK("CSG9.html#group68A9", "68A⁹"), =HYPERLINK("CSG0.html#group4A0", "4A⁰"), =HYPERLINK("CSG1.html#group17B1", "17B¹")</f>
        <v/>
      </c>
      <c r="N6933" t="inlineStr"/>
    </row>
    <row r="6934">
      <c r="A6934" t="inlineStr">
        <is>
          <t>136C²¹</t>
        </is>
      </c>
      <c r="B6934" t="inlineStr"/>
      <c r="C6934" t="inlineStr">
        <is>
          <t>288</t>
        </is>
      </c>
      <c r="D6934" t="inlineStr">
        <is>
          <t>2</t>
        </is>
      </c>
      <c r="E6934" t="inlineStr">
        <is>
          <t>72</t>
        </is>
      </c>
      <c r="F6934" t="inlineStr">
        <is>
          <t>8</t>
        </is>
      </c>
      <c r="G6934" t="inlineStr">
        <is>
          <t>0</t>
        </is>
      </c>
      <c r="H6934" t="inlineStr">
        <is>
          <t>8², 136²</t>
        </is>
      </c>
      <c r="I6934" t="n">
        <v>4</v>
      </c>
      <c r="J6934" t="inlineStr">
        <is>
          <t>4⁴, 64²</t>
        </is>
      </c>
      <c r="K6934">
        <f>HYPERLINK("CSG9.html#group68A9", "68A⁹"), =HYPERLINK("CSG11.html#group136A11", "136A¹¹"), =HYPERLINK("CSG11.html#group136B11", "136B¹¹")</f>
        <v/>
      </c>
      <c r="L6934" t="inlineStr"/>
      <c r="M6934">
        <f>HYPERLINK("CSG11.html#group136A11", "136A¹¹"), =HYPERLINK("CSG0.html#group4A0", "4A⁰"), =HYPERLINK("CSG1.html#group17B1", "17B¹"), =HYPERLINK("CSG5.html#group68A5", "68A⁵"), =HYPERLINK("CSG0.html#group8A0", "8A⁰"), =HYPERLINK("CSG1.html#group17A1", "17A¹"), =HYPERLINK("CSG11.html#group136B11", "136B¹¹"), =HYPERLINK("CSG9.html#group68A9", "68A⁹"), =HYPERLINK("CSG0.html#group1A0", "1A⁰")</f>
        <v/>
      </c>
      <c r="N6934" t="inlineStr"/>
    </row>
    <row r="6935">
      <c r="A6935" t="inlineStr">
        <is>
          <t>137A²¹</t>
        </is>
      </c>
      <c r="B6935" t="inlineStr"/>
      <c r="C6935" t="inlineStr">
        <is>
          <t>276</t>
        </is>
      </c>
      <c r="D6935" t="inlineStr">
        <is>
          <t>1</t>
        </is>
      </c>
      <c r="E6935" t="inlineStr">
        <is>
          <t>138</t>
        </is>
      </c>
      <c r="F6935" t="inlineStr">
        <is>
          <t>4</t>
        </is>
      </c>
      <c r="G6935" t="inlineStr">
        <is>
          <t>0</t>
        </is>
      </c>
      <c r="H6935" t="inlineStr">
        <is>
          <t>1², 137²</t>
        </is>
      </c>
      <c r="I6935" t="n">
        <v>4</v>
      </c>
      <c r="J6935" t="inlineStr">
        <is>
          <t>1², 136¹</t>
        </is>
      </c>
      <c r="K6935">
        <f>HYPERLINK("CSG11.html#group137A11", "137A¹¹")</f>
        <v/>
      </c>
      <c r="L6935" t="inlineStr"/>
      <c r="M6935">
        <f>HYPERLINK("CSG11.html#group137A11", "137A¹¹"), =HYPERLINK("CSG0.html#group1A0", "1A⁰")</f>
        <v/>
      </c>
      <c r="N6935" t="inlineStr"/>
    </row>
    <row r="6936">
      <c r="A6936" t="inlineStr">
        <is>
          <t>138A²¹</t>
        </is>
      </c>
      <c r="B6936" t="inlineStr">
        <is>
          <t>Γ₀(138)</t>
        </is>
      </c>
      <c r="C6936" t="inlineStr">
        <is>
          <t>288</t>
        </is>
      </c>
      <c r="D6936" t="inlineStr">
        <is>
          <t>1</t>
        </is>
      </c>
      <c r="E6936" t="inlineStr">
        <is>
          <t>288</t>
        </is>
      </c>
      <c r="F6936" t="inlineStr">
        <is>
          <t>0</t>
        </is>
      </c>
      <c r="G6936" t="inlineStr">
        <is>
          <t>0</t>
        </is>
      </c>
      <c r="H6936" t="inlineStr">
        <is>
          <t>1¹, 2¹, 3¹, 6¹, 23¹, 46¹, 69¹, 138¹</t>
        </is>
      </c>
      <c r="I6936" t="n">
        <v>8</v>
      </c>
      <c r="J6936" t="inlineStr">
        <is>
          <t>1¹², 2⁶, 22⁶, 44³</t>
        </is>
      </c>
      <c r="K6936">
        <f>HYPERLINK("CSG0.html#group6F0", "6F⁰"), =HYPERLINK("CSG5.html#group46A5", "46A⁵"), =HYPERLINK("CSG7.html#group69A7", "69A⁷")</f>
        <v/>
      </c>
      <c r="L6936" t="inlineStr"/>
      <c r="M6936">
        <f>HYPERLINK("CSG0.html#group3B0", "3B⁰"), =HYPERLINK("CSG5.html#group46A5", "46A⁵"), =HYPERLINK("CSG0.html#group6F0", "6F⁰"), =HYPERLINK("CSG7.html#group69A7", "69A⁷"), =HYPERLINK("CSG2.html#group23A2", "23A²"), =HYPERLINK("CSG0.html#group2B0", "2B⁰"), =HYPERLINK("CSG0.html#group1A0", "1A⁰")</f>
        <v/>
      </c>
      <c r="N6936" t="inlineStr"/>
    </row>
    <row r="6937">
      <c r="A6937" t="inlineStr">
        <is>
          <t>140A²¹</t>
        </is>
      </c>
      <c r="B6937" t="inlineStr"/>
      <c r="C6937" t="inlineStr">
        <is>
          <t>280</t>
        </is>
      </c>
      <c r="D6937" t="inlineStr">
        <is>
          <t>2</t>
        </is>
      </c>
      <c r="E6937" t="inlineStr">
        <is>
          <t>140</t>
        </is>
      </c>
      <c r="F6937" t="inlineStr">
        <is>
          <t>4</t>
        </is>
      </c>
      <c r="G6937" t="inlineStr">
        <is>
          <t>4</t>
        </is>
      </c>
      <c r="H6937" t="inlineStr">
        <is>
          <t>140²</t>
        </is>
      </c>
      <c r="I6937" t="n">
        <v>2</v>
      </c>
      <c r="J6937" t="inlineStr">
        <is>
          <t>4², 12⁴, 16², 48⁴</t>
        </is>
      </c>
      <c r="K6937">
        <f>HYPERLINK("CSG3.html#group28D3", "28D³"), =HYPERLINK("CSG4.html#group35A4", "35A⁴"), =HYPERLINK("CSG10.html#group140A10", "140A¹⁰")</f>
        <v/>
      </c>
      <c r="L6937" t="inlineStr"/>
      <c r="M6937">
        <f>HYPERLINK("CSG3.html#group28D3", "28D³"), =HYPERLINK("CSG10.html#group140A10", "140A¹⁰"), =HYPERLINK("CSG0.html#group5A0", "5A⁰"), =HYPERLINK("CSG0.html#group4A0", "4A⁰"), =HYPERLINK("CSG4.html#group35A4", "35A⁴"), =HYPERLINK("CSG0.html#group7C0", "7C⁰"), =HYPERLINK("CSG1.html#group20A1", "20A¹"), =HYPERLINK("CSG1.html#group28A1", "28A¹"), =HYPERLINK("CSG0.html#group1A0", "1A⁰"), =HYPERLINK("CSG2.html#group35A2", "35A²"), =HYPERLINK("CSG0.html#group7A0", "7A⁰")</f>
        <v/>
      </c>
      <c r="N6937" t="inlineStr"/>
    </row>
    <row r="6938">
      <c r="A6938" t="inlineStr">
        <is>
          <t>140B²¹</t>
        </is>
      </c>
      <c r="B6938" t="inlineStr"/>
      <c r="C6938" t="inlineStr">
        <is>
          <t>288</t>
        </is>
      </c>
      <c r="D6938" t="inlineStr">
        <is>
          <t>1</t>
        </is>
      </c>
      <c r="E6938" t="inlineStr">
        <is>
          <t>144</t>
        </is>
      </c>
      <c r="F6938" t="inlineStr">
        <is>
          <t>0</t>
        </is>
      </c>
      <c r="G6938" t="inlineStr">
        <is>
          <t>0</t>
        </is>
      </c>
      <c r="H6938" t="inlineStr">
        <is>
          <t>2¹, 4¹, 10¹, 14¹, 20¹, 28¹, 70¹, 140¹</t>
        </is>
      </c>
      <c r="I6938" t="n">
        <v>8</v>
      </c>
      <c r="J6938" t="inlineStr">
        <is>
          <t>1¹², 4⁶, 6⁶, 24³</t>
        </is>
      </c>
      <c r="K6938">
        <f>HYPERLINK("CSG2.html#group20C2", "20C²"), =HYPERLINK("CSG9.html#group70D9", "70D⁹")</f>
        <v/>
      </c>
      <c r="L6938" t="inlineStr"/>
      <c r="M6938">
        <f>HYPERLINK("CSG0.html#group7B0", "7B⁰"), =HYPERLINK("CSG1.html#group14C1", "14C¹"), =HYPERLINK("CSG0.html#group5B0", "5B⁰"), =HYPERLINK("CSG0.html#group10C0", "10C⁰"), =HYPERLINK("CSG0.html#group2B0", "2B⁰"), =HYPERLINK("CSG0.html#group1A0", "1A⁰"), =HYPERLINK("CSG3.html#group35A3", "35A³"), =HYPERLINK("CSG2.html#group20C2", "20C²"), =HYPERLINK("CSG9.html#group70D9", "70D⁹")</f>
        <v/>
      </c>
      <c r="N6938" t="inlineStr"/>
    </row>
    <row r="6939">
      <c r="A6939" t="inlineStr">
        <is>
          <t>140C²¹</t>
        </is>
      </c>
      <c r="B6939" t="inlineStr"/>
      <c r="C6939" t="inlineStr">
        <is>
          <t>288</t>
        </is>
      </c>
      <c r="D6939" t="inlineStr">
        <is>
          <t>1</t>
        </is>
      </c>
      <c r="E6939" t="inlineStr">
        <is>
          <t>144</t>
        </is>
      </c>
      <c r="F6939" t="inlineStr">
        <is>
          <t>0</t>
        </is>
      </c>
      <c r="G6939" t="inlineStr">
        <is>
          <t>0</t>
        </is>
      </c>
      <c r="H6939" t="inlineStr">
        <is>
          <t>2¹, 4¹, 10¹, 14¹, 20¹, 28¹, 70¹, 140¹</t>
        </is>
      </c>
      <c r="I6939" t="n">
        <v>8</v>
      </c>
      <c r="J6939" t="inlineStr">
        <is>
          <t>1¹², 4⁶, 6⁶, 24³</t>
        </is>
      </c>
      <c r="K6939">
        <f>HYPERLINK("CSG1.html#group20E1", "20E¹"), =HYPERLINK("CSG3.html#group28C3", "28C³"), =HYPERLINK("CSG9.html#group70D9", "70D⁹")</f>
        <v/>
      </c>
      <c r="L6939" t="inlineStr"/>
      <c r="M6939">
        <f>HYPERLINK("CSG1.html#group20E1", "20E¹"), =HYPERLINK("CSG0.html#group7B0", "7B⁰"), =HYPERLINK("CSG0.html#group4C0", "4C⁰"), =HYPERLINK("CSG1.html#group14C1", "14C¹"), =HYPERLINK("CSG0.html#group5B0", "5B⁰"), =HYPERLINK("CSG0.html#group10C0", "10C⁰"), =HYPERLINK("CSG0.html#group2B0", "2B⁰"), =HYPERLINK("CSG3.html#group28C3", "28C³"), =HYPERLINK("CSG0.html#group1A0", "1A⁰"), =HYPERLINK("CSG3.html#group35A3", "35A³"), =HYPERLINK("CSG9.html#group70D9", "70D⁹")</f>
        <v/>
      </c>
      <c r="N6939" t="inlineStr"/>
    </row>
    <row r="6940">
      <c r="A6940" t="inlineStr">
        <is>
          <t>140D²¹</t>
        </is>
      </c>
      <c r="B6940" t="inlineStr"/>
      <c r="C6940" t="inlineStr">
        <is>
          <t>336</t>
        </is>
      </c>
      <c r="D6940" t="inlineStr">
        <is>
          <t>2</t>
        </is>
      </c>
      <c r="E6940" t="inlineStr">
        <is>
          <t>168</t>
        </is>
      </c>
      <c r="F6940" t="inlineStr">
        <is>
          <t>24</t>
        </is>
      </c>
      <c r="G6940" t="inlineStr">
        <is>
          <t>0</t>
        </is>
      </c>
      <c r="H6940" t="inlineStr">
        <is>
          <t>28², 140²</t>
        </is>
      </c>
      <c r="I6940" t="n">
        <v>4</v>
      </c>
      <c r="J6940" t="inlineStr">
        <is>
          <t>4⁴, 12⁸, 16², 48⁴</t>
        </is>
      </c>
      <c r="K6940">
        <f>HYPERLINK("CSG1.html#group20G1", "20G¹"), =HYPERLINK("CSG4.html#group70C4", "70C⁴"), =HYPERLINK("CSG11.html#group140E11", "140E¹¹")</f>
        <v/>
      </c>
      <c r="L6940" t="inlineStr"/>
      <c r="M6940">
        <f>HYPERLINK("CSG2.html#group35C2", "35C²"), =HYPERLINK("CSG4.html#group70C4", "70C⁴"), =HYPERLINK("CSG0.html#group4A0", "4A⁰"), =HYPERLINK("CSG1.html#group20G1", "20G¹"), =HYPERLINK("CSG0.html#group5B0", "5B⁰"), =HYPERLINK("CSG0.html#group7A0", "7A⁰"), =HYPERLINK("CSG1.html#group28A1", "28A¹"), =HYPERLINK("CSG0.html#group1A0", "1A⁰"), =HYPERLINK("CSG1.html#group20B1", "20B¹"), =HYPERLINK("CSG11.html#group140E11", "140E¹¹"), =HYPERLINK("CSG0.html#group10B0", "10B⁰")</f>
        <v/>
      </c>
      <c r="N6940" t="inlineStr"/>
    </row>
    <row r="6941">
      <c r="A6941" t="inlineStr">
        <is>
          <t>144A²¹</t>
        </is>
      </c>
      <c r="B6941" t="inlineStr"/>
      <c r="C6941" t="inlineStr">
        <is>
          <t>288</t>
        </is>
      </c>
      <c r="D6941" t="inlineStr">
        <is>
          <t>1</t>
        </is>
      </c>
      <c r="E6941" t="inlineStr">
        <is>
          <t>12</t>
        </is>
      </c>
      <c r="F6941" t="inlineStr">
        <is>
          <t>0</t>
        </is>
      </c>
      <c r="G6941" t="inlineStr">
        <is>
          <t>0</t>
        </is>
      </c>
      <c r="H6941" t="inlineStr">
        <is>
          <t>8³, 16³, 72¹, 144¹</t>
        </is>
      </c>
      <c r="I6941" t="n">
        <v>8</v>
      </c>
      <c r="J6941" t="inlineStr">
        <is>
          <t>1⁶, 2³</t>
        </is>
      </c>
      <c r="K6941">
        <f>HYPERLINK("CSG7.html#group48A7", "48A⁷"), =HYPERLINK("CSG9.html#group72C9", "72C⁹")</f>
        <v/>
      </c>
      <c r="L6941" t="inlineStr"/>
      <c r="M6941">
        <f>HYPERLINK("CSG3.html#group24C3", "24C³"), =HYPERLINK("CSG0.html#group3B0", "3B⁰"), =HYPERLINK("CSG1.html#group8A1", "8A¹"), =HYPERLINK("CSG0.html#group18E0", "18E⁰"), =HYPERLINK("CSG1.html#group12F1", "12F¹"), =HYPERLINK("CSG7.html#group48A7", "48A⁷"), =HYPERLINK("CSG0.html#group4C0", "4C⁰"), =HYPERLINK("CSG0.html#group6F0", "6F⁰"), =HYPERLINK("CSG0.html#group9B0", "9B⁰"), =HYPERLINK("CSG9.html#group72C9", "72C⁹"), =HYPERLINK("CSG0.html#group2B0", "2B⁰"), =HYPERLINK("CSG0.html#group1A0", "1A⁰"), =HYPERLINK("CSG3.html#group36G3", "36G³")</f>
        <v/>
      </c>
      <c r="N6941" t="inlineStr"/>
    </row>
    <row r="6942">
      <c r="A6942" t="inlineStr">
        <is>
          <t>144B²¹</t>
        </is>
      </c>
      <c r="B6942" t="inlineStr"/>
      <c r="C6942" t="inlineStr">
        <is>
          <t>288</t>
        </is>
      </c>
      <c r="D6942" t="inlineStr">
        <is>
          <t>1</t>
        </is>
      </c>
      <c r="E6942" t="inlineStr">
        <is>
          <t>12</t>
        </is>
      </c>
      <c r="F6942" t="inlineStr">
        <is>
          <t>0</t>
        </is>
      </c>
      <c r="G6942" t="inlineStr">
        <is>
          <t>0</t>
        </is>
      </c>
      <c r="H6942" t="inlineStr">
        <is>
          <t>8³, 16³, 72¹, 144¹</t>
        </is>
      </c>
      <c r="I6942" t="n">
        <v>8</v>
      </c>
      <c r="J6942" t="inlineStr">
        <is>
          <t>1⁶, 2³</t>
        </is>
      </c>
      <c r="K6942">
        <f>HYPERLINK("CSG7.html#group48B7", "48B⁷"), =HYPERLINK("CSG9.html#group72C9", "72C⁹")</f>
        <v/>
      </c>
      <c r="L6942" t="inlineStr"/>
      <c r="M6942">
        <f>HYPERLINK("CSG3.html#group24C3", "24C³"), =HYPERLINK("CSG0.html#group3B0", "3B⁰"), =HYPERLINK("CSG1.html#group8A1", "8A¹"), =HYPERLINK("CSG0.html#group18E0", "18E⁰"), =HYPERLINK("CSG1.html#group12F1", "12F¹"), =HYPERLINK("CSG0.html#group4C0", "4C⁰"), =HYPERLINK("CSG0.html#group6F0", "6F⁰"), =HYPERLINK("CSG0.html#group9B0", "9B⁰"), =HYPERLINK("CSG9.html#group72C9", "72C⁹"), =HYPERLINK("CSG0.html#group2B0", "2B⁰"), =HYPERLINK("CSG0.html#group1A0", "1A⁰"), =HYPERLINK("CSG3.html#group36G3", "36G³"), =HYPERLINK("CSG7.html#group48B7", "48B⁷")</f>
        <v/>
      </c>
      <c r="N6942" t="inlineStr"/>
    </row>
    <row r="6943">
      <c r="A6943" t="inlineStr">
        <is>
          <t>144C²¹</t>
        </is>
      </c>
      <c r="B6943" t="inlineStr"/>
      <c r="C6943" t="inlineStr">
        <is>
          <t>288</t>
        </is>
      </c>
      <c r="D6943" t="inlineStr">
        <is>
          <t>1</t>
        </is>
      </c>
      <c r="E6943" t="inlineStr">
        <is>
          <t>12</t>
        </is>
      </c>
      <c r="F6943" t="inlineStr">
        <is>
          <t>0</t>
        </is>
      </c>
      <c r="G6943" t="inlineStr">
        <is>
          <t>0</t>
        </is>
      </c>
      <c r="H6943" t="inlineStr">
        <is>
          <t>8³, 16³, 72¹, 144¹</t>
        </is>
      </c>
      <c r="I6943" t="n">
        <v>8</v>
      </c>
      <c r="J6943" t="inlineStr">
        <is>
          <t>1⁶, 2³</t>
        </is>
      </c>
      <c r="K6943">
        <f>HYPERLINK("CSG7.html#group48C7", "48C⁷"), =HYPERLINK("CSG9.html#group72B9", "72B⁹")</f>
        <v/>
      </c>
      <c r="L6943" t="inlineStr"/>
      <c r="M6943">
        <f>HYPERLINK("CSG0.html#group16B0", "16B⁰"), =HYPERLINK("CSG0.html#group3B0", "3B⁰"), =HYPERLINK("CSG9.html#group72B9", "72B⁹"), =HYPERLINK("CSG0.html#group18E0", "18E⁰"), =HYPERLINK("CSG3.html#group24B3", "24B³"), =HYPERLINK("CSG1.html#group12F1", "12F¹"), =HYPERLINK("CSG0.html#group4C0", "4C⁰"), =HYPERLINK("CSG0.html#group8B0", "8B⁰"), =HYPERLINK("CSG0.html#group9B0", "9B⁰"), =HYPERLINK("CSG0.html#group1A0", "1A⁰"), =HYPERLINK("CSG0.html#group2B0", "2B⁰"), =HYPERLINK("CSG7.html#group48C7", "48C⁷"), =HYPERLINK("CSG0.html#group6F0", "6F⁰"), =HYPERLINK("CSG3.html#group36G3", "36G³")</f>
        <v/>
      </c>
      <c r="N6943" t="inlineStr"/>
    </row>
    <row r="6944">
      <c r="A6944" t="inlineStr">
        <is>
          <t>144D²¹</t>
        </is>
      </c>
      <c r="B6944" t="inlineStr"/>
      <c r="C6944" t="inlineStr">
        <is>
          <t>288</t>
        </is>
      </c>
      <c r="D6944" t="inlineStr">
        <is>
          <t>1</t>
        </is>
      </c>
      <c r="E6944" t="inlineStr">
        <is>
          <t>12</t>
        </is>
      </c>
      <c r="F6944" t="inlineStr">
        <is>
          <t>0</t>
        </is>
      </c>
      <c r="G6944" t="inlineStr">
        <is>
          <t>0</t>
        </is>
      </c>
      <c r="H6944" t="inlineStr">
        <is>
          <t>8³, 16³, 72¹, 144¹</t>
        </is>
      </c>
      <c r="I6944" t="n">
        <v>8</v>
      </c>
      <c r="J6944" t="inlineStr">
        <is>
          <t>1⁶, 2³</t>
        </is>
      </c>
      <c r="K6944">
        <f>HYPERLINK("CSG7.html#group48D7", "48D⁷"), =HYPERLINK("CSG9.html#group72B9", "72B⁹")</f>
        <v/>
      </c>
      <c r="L6944" t="inlineStr"/>
      <c r="M6944">
        <f>HYPERLINK("CSG7.html#group48D7", "48D⁷"), =HYPERLINK("CSG0.html#group3B0", "3B⁰"), =HYPERLINK("CSG0.html#group18E0", "18E⁰"), =HYPERLINK("CSG3.html#group24B3", "24B³"), =HYPERLINK("CSG1.html#group12F1", "12F¹"), =HYPERLINK("CSG0.html#group4C0", "4C⁰"), =HYPERLINK("CSG0.html#group8B0", "8B⁰"), =HYPERLINK("CSG0.html#group6F0", "6F⁰"), =HYPERLINK("CSG0.html#group9B0", "9B⁰"), =HYPERLINK("CSG0.html#group2B0", "2B⁰"), =HYPERLINK("CSG9.html#group72B9", "72B⁹"), =HYPERLINK("CSG0.html#group1A0", "1A⁰"), =HYPERLINK("CSG3.html#group36G3", "36G³"), =HYPERLINK("CSG2.html#group16A2", "16A²")</f>
        <v/>
      </c>
      <c r="N6944" t="inlineStr"/>
    </row>
    <row r="6945">
      <c r="A6945" t="inlineStr">
        <is>
          <t>144E²¹</t>
        </is>
      </c>
      <c r="B6945" t="inlineStr"/>
      <c r="C6945" t="inlineStr">
        <is>
          <t>288</t>
        </is>
      </c>
      <c r="D6945" t="inlineStr">
        <is>
          <t>1</t>
        </is>
      </c>
      <c r="E6945" t="inlineStr">
        <is>
          <t>24</t>
        </is>
      </c>
      <c r="F6945" t="inlineStr">
        <is>
          <t>0</t>
        </is>
      </c>
      <c r="G6945" t="inlineStr">
        <is>
          <t>0</t>
        </is>
      </c>
      <c r="H6945" t="inlineStr">
        <is>
          <t>6², 12¹, 18², 36¹, 48¹, 144¹</t>
        </is>
      </c>
      <c r="I6945" t="n">
        <v>8</v>
      </c>
      <c r="J6945" t="inlineStr">
        <is>
          <t>1⁸, 2⁶, 4¹</t>
        </is>
      </c>
      <c r="K6945">
        <f>HYPERLINK("CSG5.html#group48C5", "48C⁵"), =HYPERLINK("CSG9.html#group72D9", "72D⁹")</f>
        <v/>
      </c>
      <c r="L6945" t="inlineStr"/>
      <c r="M6945">
        <f>HYPERLINK("CSG5.html#group48C5", "48C⁵"), =HYPERLINK("CSG0.html#group3B0", "3B⁰"), =HYPERLINK("CSG1.html#group24G1", "24G¹"), =HYPERLINK("CSG0.html#group6F0", "6F⁰"), =HYPERLINK("CSG2.html#group18D2", "18D²"), =HYPERLINK("CSG4.html#group36F4", "36F⁴"), =HYPERLINK("CSG0.html#group8C0", "8C⁰"), =HYPERLINK("CSG0.html#group2B0", "2B⁰"), =HYPERLINK("CSG0.html#group9C0", "9C⁰"), =HYPERLINK("CSG0.html#group4B0", "4B⁰"), =HYPERLINK("CSG0.html#group1A0", "1A⁰"), =HYPERLINK("CSG9.html#group72D9", "72D⁹"), =HYPERLINK("CSG0.html#group12E0", "12E⁰")</f>
        <v/>
      </c>
      <c r="N6945" t="inlineStr"/>
    </row>
    <row r="6946">
      <c r="A6946" t="inlineStr">
        <is>
          <t>144F²¹</t>
        </is>
      </c>
      <c r="B6946" t="inlineStr"/>
      <c r="C6946" t="inlineStr">
        <is>
          <t>288</t>
        </is>
      </c>
      <c r="D6946" t="inlineStr">
        <is>
          <t>1</t>
        </is>
      </c>
      <c r="E6946" t="inlineStr">
        <is>
          <t>24</t>
        </is>
      </c>
      <c r="F6946" t="inlineStr">
        <is>
          <t>0</t>
        </is>
      </c>
      <c r="G6946" t="inlineStr">
        <is>
          <t>0</t>
        </is>
      </c>
      <c r="H6946" t="inlineStr">
        <is>
          <t>6², 12¹, 18², 36¹, 48¹, 144¹</t>
        </is>
      </c>
      <c r="I6946" t="n">
        <v>8</v>
      </c>
      <c r="J6946" t="inlineStr">
        <is>
          <t>1⁸, 2⁶, 4¹</t>
        </is>
      </c>
      <c r="K6946">
        <f>HYPERLINK("CSG5.html#group48C5", "48C⁵"), =HYPERLINK("CSG9.html#group72E9", "72E⁹")</f>
        <v/>
      </c>
      <c r="L6946" t="inlineStr"/>
      <c r="M6946">
        <f>HYPERLINK("CSG5.html#group48C5", "48C⁵"), =HYPERLINK("CSG9.html#group72E9", "72E⁹"), =HYPERLINK("CSG0.html#group3B0", "3B⁰"), =HYPERLINK("CSG1.html#group24G1", "24G¹"), =HYPERLINK("CSG1.html#group9A1", "9A¹"), =HYPERLINK("CSG2.html#group18E2", "18E²"), =HYPERLINK("CSG0.html#group6F0", "6F⁰"), =HYPERLINK("CSG4.html#group36G4", "36G⁴"), =HYPERLINK("CSG0.html#group8C0", "8C⁰"), =HYPERLINK("CSG0.html#group2B0", "2B⁰"), =HYPERLINK("CSG0.html#group4B0", "4B⁰"), =HYPERLINK("CSG0.html#group1A0", "1A⁰"), =HYPERLINK("CSG0.html#group12E0", "12E⁰")</f>
        <v/>
      </c>
      <c r="N6946" t="inlineStr"/>
    </row>
    <row r="6947">
      <c r="A6947" t="inlineStr">
        <is>
          <t>144G²¹</t>
        </is>
      </c>
      <c r="B6947" t="inlineStr"/>
      <c r="C6947" t="inlineStr">
        <is>
          <t>288</t>
        </is>
      </c>
      <c r="D6947" t="inlineStr">
        <is>
          <t>1</t>
        </is>
      </c>
      <c r="E6947" t="inlineStr">
        <is>
          <t>24</t>
        </is>
      </c>
      <c r="F6947" t="inlineStr">
        <is>
          <t>0</t>
        </is>
      </c>
      <c r="G6947" t="inlineStr">
        <is>
          <t>0</t>
        </is>
      </c>
      <c r="H6947" t="inlineStr">
        <is>
          <t>6², 12¹, 18², 36¹, 48¹, 144¹</t>
        </is>
      </c>
      <c r="I6947" t="n">
        <v>8</v>
      </c>
      <c r="J6947" t="inlineStr">
        <is>
          <t>1⁸, 2⁶, 4¹</t>
        </is>
      </c>
      <c r="K6947">
        <f>HYPERLINK("CSG5.html#group48D5", "48D⁵"), =HYPERLINK("CSG9.html#group72D9", "72D⁹")</f>
        <v/>
      </c>
      <c r="L6947" t="inlineStr"/>
      <c r="M6947">
        <f>HYPERLINK("CSG0.html#group3B0", "3B⁰"), =HYPERLINK("CSG1.html#group24G1", "24G¹"), =HYPERLINK("CSG0.html#group9C0", "9C⁰"), =HYPERLINK("CSG2.html#group18D2", "18D²"), =HYPERLINK("CSG1.html#group16A1", "16A¹"), =HYPERLINK("CSG0.html#group8C0", "8C⁰"), =HYPERLINK("CSG0.html#group2B0", "2B⁰"), =HYPERLINK("CSG0.html#group1A0", "1A⁰"), =HYPERLINK("CSG4.html#group36F4", "36F⁴"), =HYPERLINK("CSG0.html#group4B0", "4B⁰"), =HYPERLINK("CSG5.html#group48D5", "48D⁵"), =HYPERLINK("CSG0.html#group6F0", "6F⁰"), =HYPERLINK("CSG9.html#group72D9", "72D⁹"), =HYPERLINK("CSG0.html#group12E0", "12E⁰")</f>
        <v/>
      </c>
      <c r="N6947" t="inlineStr"/>
    </row>
    <row r="6948">
      <c r="A6948" t="inlineStr">
        <is>
          <t>144H²¹</t>
        </is>
      </c>
      <c r="B6948" t="inlineStr"/>
      <c r="C6948" t="inlineStr">
        <is>
          <t>288</t>
        </is>
      </c>
      <c r="D6948" t="inlineStr">
        <is>
          <t>1</t>
        </is>
      </c>
      <c r="E6948" t="inlineStr">
        <is>
          <t>24</t>
        </is>
      </c>
      <c r="F6948" t="inlineStr">
        <is>
          <t>0</t>
        </is>
      </c>
      <c r="G6948" t="inlineStr">
        <is>
          <t>0</t>
        </is>
      </c>
      <c r="H6948" t="inlineStr">
        <is>
          <t>6², 12¹, 18², 36¹, 48¹, 144¹</t>
        </is>
      </c>
      <c r="I6948" t="n">
        <v>8</v>
      </c>
      <c r="J6948" t="inlineStr">
        <is>
          <t>1⁸, 2⁶, 4¹</t>
        </is>
      </c>
      <c r="K6948">
        <f>HYPERLINK("CSG5.html#group48D5", "48D⁵"), =HYPERLINK("CSG9.html#group72E9", "72E⁹")</f>
        <v/>
      </c>
      <c r="L6948" t="inlineStr"/>
      <c r="M6948">
        <f>HYPERLINK("CSG9.html#group72E9", "72E⁹"), =HYPERLINK("CSG0.html#group3B0", "3B⁰"), =HYPERLINK("CSG1.html#group24G1", "24G¹"), =HYPERLINK("CSG1.html#group9A1", "9A¹"), =HYPERLINK("CSG2.html#group18E2", "18E²"), =HYPERLINK("CSG4.html#group36G4", "36G⁴"), =HYPERLINK("CSG0.html#group1A0", "1A⁰"), =HYPERLINK("CSG0.html#group2B0", "2B⁰"), =HYPERLINK("CSG0.html#group8C0", "8C⁰"), =HYPERLINK("CSG1.html#group16A1", "16A¹"), =HYPERLINK("CSG0.html#group4B0", "4B⁰"), =HYPERLINK("CSG5.html#group48D5", "48D⁵"), =HYPERLINK("CSG0.html#group6F0", "6F⁰"), =HYPERLINK("CSG0.html#group12E0", "12E⁰")</f>
        <v/>
      </c>
      <c r="N6948" t="inlineStr"/>
    </row>
    <row r="6949">
      <c r="A6949" t="inlineStr">
        <is>
          <t>144I²¹</t>
        </is>
      </c>
      <c r="B6949" t="inlineStr"/>
      <c r="C6949" t="inlineStr">
        <is>
          <t>288</t>
        </is>
      </c>
      <c r="D6949" t="inlineStr">
        <is>
          <t>1</t>
        </is>
      </c>
      <c r="E6949" t="inlineStr">
        <is>
          <t>24</t>
        </is>
      </c>
      <c r="F6949" t="inlineStr">
        <is>
          <t>0</t>
        </is>
      </c>
      <c r="G6949" t="inlineStr">
        <is>
          <t>0</t>
        </is>
      </c>
      <c r="H6949" t="inlineStr">
        <is>
          <t>8³, 16³, 72¹, 144¹</t>
        </is>
      </c>
      <c r="I6949" t="n">
        <v>8</v>
      </c>
      <c r="J6949" t="inlineStr">
        <is>
          <t>1⁴, 2⁶, 4²</t>
        </is>
      </c>
      <c r="K6949">
        <f>HYPERLINK("CSG7.html#group48E7", "48E⁷"), =HYPERLINK("CSG9.html#group72C9", "72C⁹")</f>
        <v/>
      </c>
      <c r="L6949" t="inlineStr"/>
      <c r="M6949">
        <f>HYPERLINK("CSG3.html#group24C3", "24C³"), =HYPERLINK("CSG0.html#group3B0", "3B⁰"), =HYPERLINK("CSG7.html#group48E7", "48E⁷"), =HYPERLINK("CSG1.html#group8A1", "8A¹"), =HYPERLINK("CSG0.html#group18E0", "18E⁰"), =HYPERLINK("CSG1.html#group12F1", "12F¹"), =HYPERLINK("CSG0.html#group4C0", "4C⁰"), =HYPERLINK("CSG0.html#group6F0", "6F⁰"), =HYPERLINK("CSG0.html#group9B0", "9B⁰"), =HYPERLINK("CSG9.html#group72C9", "72C⁹"), =HYPERLINK("CSG0.html#group2B0", "2B⁰"), =HYPERLINK("CSG0.html#group1A0", "1A⁰"), =HYPERLINK("CSG3.html#group36G3", "36G³")</f>
        <v/>
      </c>
      <c r="N6949" t="inlineStr"/>
    </row>
    <row r="6950">
      <c r="A6950" t="inlineStr">
        <is>
          <t>144J²¹</t>
        </is>
      </c>
      <c r="B6950" t="inlineStr"/>
      <c r="C6950" t="inlineStr">
        <is>
          <t>288</t>
        </is>
      </c>
      <c r="D6950" t="inlineStr">
        <is>
          <t>1</t>
        </is>
      </c>
      <c r="E6950" t="inlineStr">
        <is>
          <t>24</t>
        </is>
      </c>
      <c r="F6950" t="inlineStr">
        <is>
          <t>0</t>
        </is>
      </c>
      <c r="G6950" t="inlineStr">
        <is>
          <t>0</t>
        </is>
      </c>
      <c r="H6950" t="inlineStr">
        <is>
          <t>8³, 16³, 72¹, 144¹</t>
        </is>
      </c>
      <c r="I6950" t="n">
        <v>8</v>
      </c>
      <c r="J6950" t="inlineStr">
        <is>
          <t>1⁴, 2⁶, 4²</t>
        </is>
      </c>
      <c r="K6950">
        <f>HYPERLINK("CSG7.html#group48F7", "48F⁷"), =HYPERLINK("CSG9.html#group72B9", "72B⁹")</f>
        <v/>
      </c>
      <c r="L6950" t="inlineStr"/>
      <c r="M6950">
        <f>HYPERLINK("CSG0.html#group3B0", "3B⁰"), =HYPERLINK("CSG0.html#group18E0", "18E⁰"), =HYPERLINK("CSG3.html#group24B3", "24B³"), =HYPERLINK("CSG1.html#group12F1", "12F¹"), =HYPERLINK("CSG0.html#group4C0", "4C⁰"), =HYPERLINK("CSG0.html#group8B0", "8B⁰"), =HYPERLINK("CSG0.html#group9B0", "9B⁰"), =HYPERLINK("CSG0.html#group6F0", "6F⁰"), =HYPERLINK("CSG1.html#group16B1", "16B¹"), =HYPERLINK("CSG0.html#group2B0", "2B⁰"), =HYPERLINK("CSG7.html#group48F7", "48F⁷"), =HYPERLINK("CSG9.html#group72B9", "72B⁹"), =HYPERLINK("CSG0.html#group1A0", "1A⁰"), =HYPERLINK("CSG3.html#group36G3", "36G³")</f>
        <v/>
      </c>
      <c r="N6950" t="inlineStr"/>
    </row>
    <row r="6951">
      <c r="A6951" t="inlineStr">
        <is>
          <t>144K²¹</t>
        </is>
      </c>
      <c r="B6951" t="inlineStr"/>
      <c r="C6951" t="inlineStr">
        <is>
          <t>288</t>
        </is>
      </c>
      <c r="D6951" t="inlineStr">
        <is>
          <t>1</t>
        </is>
      </c>
      <c r="E6951" t="inlineStr">
        <is>
          <t>48</t>
        </is>
      </c>
      <c r="F6951" t="inlineStr">
        <is>
          <t>0</t>
        </is>
      </c>
      <c r="G6951" t="inlineStr">
        <is>
          <t>0</t>
        </is>
      </c>
      <c r="H6951" t="inlineStr">
        <is>
          <t>8³, 16³, 72¹, 144¹</t>
        </is>
      </c>
      <c r="I6951" t="n">
        <v>8</v>
      </c>
      <c r="J6951" t="inlineStr">
        <is>
          <t>1⁸, 2⁸, 4⁴, 8¹</t>
        </is>
      </c>
      <c r="K6951">
        <f>HYPERLINK("CSG7.html#group48G7", "48G⁷"), =HYPERLINK("CSG9.html#group72B9", "72B⁹")</f>
        <v/>
      </c>
      <c r="L6951" t="inlineStr"/>
      <c r="M6951">
        <f>HYPERLINK("CSG0.html#group3B0", "3B⁰"), =HYPERLINK("CSG1.html#group16D1", "16D¹"), =HYPERLINK("CSG0.html#group18E0", "18E⁰"), =HYPERLINK("CSG3.html#group24B3", "24B³"), =HYPERLINK("CSG7.html#group48G7", "48G⁷"), =HYPERLINK("CSG1.html#group12F1", "12F¹"), =HYPERLINK("CSG0.html#group4C0", "4C⁰"), =HYPERLINK("CSG0.html#group8B0", "8B⁰"), =HYPERLINK("CSG0.html#group9B0", "9B⁰"), =HYPERLINK("CSG0.html#group6F0", "6F⁰"), =HYPERLINK("CSG0.html#group2B0", "2B⁰"), =HYPERLINK("CSG9.html#group72B9", "72B⁹"), =HYPERLINK("CSG0.html#group1A0", "1A⁰"), =HYPERLINK("CSG3.html#group36G3", "36G³")</f>
        <v/>
      </c>
      <c r="N6951" t="inlineStr"/>
    </row>
    <row r="6952">
      <c r="A6952" t="inlineStr">
        <is>
          <t>144L²¹</t>
        </is>
      </c>
      <c r="B6952" t="inlineStr"/>
      <c r="C6952" t="inlineStr">
        <is>
          <t>288</t>
        </is>
      </c>
      <c r="D6952" t="inlineStr">
        <is>
          <t>1</t>
        </is>
      </c>
      <c r="E6952" t="inlineStr">
        <is>
          <t>48</t>
        </is>
      </c>
      <c r="F6952" t="inlineStr">
        <is>
          <t>0</t>
        </is>
      </c>
      <c r="G6952" t="inlineStr">
        <is>
          <t>0</t>
        </is>
      </c>
      <c r="H6952" t="inlineStr">
        <is>
          <t>8³, 16³, 72¹, 144¹</t>
        </is>
      </c>
      <c r="I6952" t="n">
        <v>8</v>
      </c>
      <c r="J6952" t="inlineStr">
        <is>
          <t>1⁸, 2⁸, 4⁴, 8¹</t>
        </is>
      </c>
      <c r="K6952">
        <f>HYPERLINK("CSG7.html#group48H7", "48H⁷"), =HYPERLINK("CSG9.html#group72C9", "72C⁹")</f>
        <v/>
      </c>
      <c r="L6952" t="inlineStr"/>
      <c r="M6952">
        <f>HYPERLINK("CSG3.html#group24C3", "24C³"), =HYPERLINK("CSG0.html#group3B0", "3B⁰"), =HYPERLINK("CSG1.html#group8A1", "8A¹"), =HYPERLINK("CSG0.html#group18E0", "18E⁰"), =HYPERLINK("CSG2.html#group16B2", "16B²"), =HYPERLINK("CSG7.html#group48H7", "48H⁷"), =HYPERLINK("CSG1.html#group12F1", "12F¹"), =HYPERLINK("CSG0.html#group4C0", "4C⁰"), =HYPERLINK("CSG0.html#group6F0", "6F⁰"), =HYPERLINK("CSG0.html#group9B0", "9B⁰"), =HYPERLINK("CSG9.html#group72C9", "72C⁹"), =HYPERLINK("CSG0.html#group2B0", "2B⁰"), =HYPERLINK("CSG0.html#group1A0", "1A⁰"), =HYPERLINK("CSG3.html#group36G3", "36G³")</f>
        <v/>
      </c>
      <c r="N6952" t="inlineStr"/>
    </row>
    <row r="6953">
      <c r="A6953" t="inlineStr">
        <is>
          <t>144M²¹</t>
        </is>
      </c>
      <c r="B6953" t="inlineStr"/>
      <c r="C6953" t="inlineStr">
        <is>
          <t>288</t>
        </is>
      </c>
      <c r="D6953" t="inlineStr">
        <is>
          <t>2</t>
        </is>
      </c>
      <c r="E6953" t="inlineStr">
        <is>
          <t>24</t>
        </is>
      </c>
      <c r="F6953" t="inlineStr">
        <is>
          <t>12</t>
        </is>
      </c>
      <c r="G6953" t="inlineStr">
        <is>
          <t>0</t>
        </is>
      </c>
      <c r="H6953" t="inlineStr">
        <is>
          <t>144²</t>
        </is>
      </c>
      <c r="I6953" t="n">
        <v>2</v>
      </c>
      <c r="J6953" t="inlineStr">
        <is>
          <t>8², 16²</t>
        </is>
      </c>
      <c r="K6953">
        <f>HYPERLINK("CSG7.html#group48I7", "48I⁷"), =HYPERLINK("CSG9.html#group72G9", "72G⁹"), =HYPERLINK("CSG10.html#group144C10", "144C¹⁰"), =HYPERLINK("CSG10.html#group144D10", "144D¹⁰")</f>
        <v/>
      </c>
      <c r="L6953" t="inlineStr"/>
      <c r="M6953">
        <f>HYPERLINK("CSG7.html#group48I7", "48I⁷"), =HYPERLINK("CSG1.html#group12G1", "12G¹"), =HYPERLINK("CSG4.html#group72B4", "72B⁴"), =HYPERLINK("CSG10.html#group144C10", "144C¹⁰"), =HYPERLINK("CSG10.html#group144D10", "144D¹⁰"), =HYPERLINK("CSG3.html#group36H3", "36H³"), =HYPERLINK("CSG0.html#group8A0", "8A⁰"), =HYPERLINK("CSG1.html#group24B1", "24B¹"), =HYPERLINK("CSG0.html#group1A0", "1A⁰"), =HYPERLINK("CSG4.html#group72A4", "72A⁴"), =HYPERLINK("CSG1.html#group36A1", "36A¹"), =HYPERLINK("CSG3.html#group24E3", "24E³"), =HYPERLINK("CSG0.html#group12A0", "12A⁰"), =HYPERLINK("CSG1.html#group24A1", "24A¹"), =HYPERLINK("CSG0.html#group9D0", "9D⁰"), =HYPERLINK("CSG0.html#group4A0", "4A⁰"), =HYPERLINK("CSG0.html#group9A0", "9A⁰"), =HYPERLINK("CSG0.html#group3C0", "3C⁰"), =HYPERLINK("CSG0.html#group3A0", "3A⁰"), =HYPERLINK("CSG9.html#group72G9", "72G⁹"), =HYPERLINK("CSG3.html#group48B3", "48B³")</f>
        <v/>
      </c>
      <c r="N6953" t="inlineStr"/>
    </row>
    <row r="6954">
      <c r="A6954" t="inlineStr">
        <is>
          <t>144N²¹</t>
        </is>
      </c>
      <c r="B6954" t="inlineStr"/>
      <c r="C6954" t="inlineStr">
        <is>
          <t>288</t>
        </is>
      </c>
      <c r="D6954" t="inlineStr">
        <is>
          <t>2</t>
        </is>
      </c>
      <c r="E6954" t="inlineStr">
        <is>
          <t>24</t>
        </is>
      </c>
      <c r="F6954" t="inlineStr">
        <is>
          <t>12</t>
        </is>
      </c>
      <c r="G6954" t="inlineStr">
        <is>
          <t>0</t>
        </is>
      </c>
      <c r="H6954" t="inlineStr">
        <is>
          <t>144²</t>
        </is>
      </c>
      <c r="I6954" t="n">
        <v>2</v>
      </c>
      <c r="J6954" t="inlineStr">
        <is>
          <t>8², 16²</t>
        </is>
      </c>
      <c r="K6954">
        <f>HYPERLINK("CSG7.html#group48J7", "48J⁷"), =HYPERLINK("CSG9.html#group72G9", "72G⁹"), =HYPERLINK("CSG10.html#group144A10", "144A¹⁰"), =HYPERLINK("CSG10.html#group144B10", "144B¹⁰")</f>
        <v/>
      </c>
      <c r="L6954" t="inlineStr"/>
      <c r="M6954">
        <f>HYPERLINK("CSG1.html#group12G1", "12G¹"), =HYPERLINK("CSG0.html#group16A0", "16A⁰"), =HYPERLINK("CSG4.html#group72B4", "72B⁴"), =HYPERLINK("CSG3.html#group36H3", "36H³"), =HYPERLINK("CSG0.html#group8A0", "8A⁰"), =HYPERLINK("CSG10.html#group144B10", "144B¹⁰"), =HYPERLINK("CSG1.html#group24B1", "24B¹"), =HYPERLINK("CSG0.html#group1A0", "1A⁰"), =HYPERLINK("CSG4.html#group72A4", "72A⁴"), =HYPERLINK("CSG1.html#group36A1", "36A¹"), =HYPERLINK("CSG10.html#group144A10", "144A¹⁰"), =HYPERLINK("CSG3.html#group24E3", "24E³"), =HYPERLINK("CSG0.html#group12A0", "12A⁰"), =HYPERLINK("CSG1.html#group24A1", "24A¹"), =HYPERLINK("CSG3.html#group48A3", "48A³"), =HYPERLINK("CSG0.html#group9D0", "9D⁰"), =HYPERLINK("CSG7.html#group48J7", "48J⁷"), =HYPERLINK("CSG0.html#group4A0", "4A⁰"), =HYPERLINK("CSG0.html#group9A0", "9A⁰"), =HYPERLINK("CSG0.html#group3C0", "3C⁰"), =HYPERLINK("CSG0.html#group3A0", "3A⁰"), =HYPERLINK("CSG9.html#group72G9", "72G⁹"), =HYPERLINK("CSG3.html#group48B3", "48B³")</f>
        <v/>
      </c>
      <c r="N6954" t="inlineStr"/>
    </row>
    <row r="6955">
      <c r="A6955" t="inlineStr">
        <is>
          <t>146A²¹</t>
        </is>
      </c>
      <c r="B6955" t="inlineStr"/>
      <c r="C6955" t="inlineStr">
        <is>
          <t>296</t>
        </is>
      </c>
      <c r="D6955" t="inlineStr">
        <is>
          <t>1</t>
        </is>
      </c>
      <c r="E6955" t="inlineStr">
        <is>
          <t>74</t>
        </is>
      </c>
      <c r="F6955" t="inlineStr">
        <is>
          <t>0</t>
        </is>
      </c>
      <c r="G6955" t="inlineStr">
        <is>
          <t>8</t>
        </is>
      </c>
      <c r="H6955" t="inlineStr">
        <is>
          <t>2², 146²</t>
        </is>
      </c>
      <c r="I6955" t="n">
        <v>4</v>
      </c>
      <c r="J6955" t="inlineStr">
        <is>
          <t>1², 72¹</t>
        </is>
      </c>
      <c r="K6955">
        <f>HYPERLINK("CSG9.html#group73A9", "73A⁹"), =HYPERLINK("CSG11.html#group146A11", "146A¹¹"), =HYPERLINK("CSG11.html#group146B11", "146B¹¹")</f>
        <v/>
      </c>
      <c r="L6955" t="inlineStr"/>
      <c r="M6955">
        <f>HYPERLINK("CSG11.html#group146B11", "146B¹¹"), =HYPERLINK("CSG0.html#group2A0", "2A⁰"), =HYPERLINK("CSG0.html#group1A0", "1A⁰"), =HYPERLINK("CSG5.html#group73A5", "73A⁵"), =HYPERLINK("CSG11.html#group146A11", "146A¹¹"), =HYPERLINK("CSG9.html#group73A9", "73A⁹")</f>
        <v/>
      </c>
      <c r="N6955" t="inlineStr"/>
    </row>
    <row r="6956">
      <c r="A6956" t="inlineStr">
        <is>
          <t>147A²¹</t>
        </is>
      </c>
      <c r="B6956" t="inlineStr"/>
      <c r="C6956" t="inlineStr">
        <is>
          <t>336</t>
        </is>
      </c>
      <c r="D6956" t="inlineStr">
        <is>
          <t>1</t>
        </is>
      </c>
      <c r="E6956" t="inlineStr">
        <is>
          <t>168</t>
        </is>
      </c>
      <c r="F6956" t="inlineStr">
        <is>
          <t>0</t>
        </is>
      </c>
      <c r="G6956" t="inlineStr">
        <is>
          <t>0</t>
        </is>
      </c>
      <c r="H6956" t="inlineStr">
        <is>
          <t>3¹⁴, 147²</t>
        </is>
      </c>
      <c r="I6956" t="n">
        <v>16</v>
      </c>
      <c r="J6956" t="inlineStr">
        <is>
          <t>1², 2², 6², 12², 42¹, 84¹</t>
        </is>
      </c>
      <c r="K6956">
        <f>HYPERLINK("CSG3.html#group21A3", "21A³"), =HYPERLINK("CSG11.html#group147A11", "147A¹¹")</f>
        <v/>
      </c>
      <c r="L6956" t="inlineStr"/>
      <c r="M6956">
        <f>HYPERLINK("CSG2.html#group21A2", "21A²"), =HYPERLINK("CSG0.html#group7B0", "7B⁰"), =HYPERLINK("CSG1.html#group49A1", "49A¹"), =HYPERLINK("CSG0.html#group3C0", "3C⁰"), =HYPERLINK("CSG11.html#group147A11", "147A¹¹"), =HYPERLINK("CSG0.html#group3A0", "3A⁰"), =HYPERLINK("CSG0.html#group1A0", "1A⁰"), =HYPERLINK("CSG3.html#group21A3", "21A³")</f>
        <v/>
      </c>
      <c r="N6956" t="inlineStr"/>
    </row>
    <row r="6957">
      <c r="A6957" t="inlineStr">
        <is>
          <t>147B²¹</t>
        </is>
      </c>
      <c r="B6957" t="inlineStr"/>
      <c r="C6957" t="inlineStr">
        <is>
          <t>448</t>
        </is>
      </c>
      <c r="D6957" t="inlineStr">
        <is>
          <t>1</t>
        </is>
      </c>
      <c r="E6957" t="inlineStr">
        <is>
          <t>224</t>
        </is>
      </c>
      <c r="F6957" t="inlineStr">
        <is>
          <t>0</t>
        </is>
      </c>
      <c r="G6957" t="inlineStr">
        <is>
          <t>4</t>
        </is>
      </c>
      <c r="H6957" t="inlineStr">
        <is>
          <t>1¹⁴, 3¹⁴, 49², 147²</t>
        </is>
      </c>
      <c r="I6957" t="n">
        <v>32</v>
      </c>
      <c r="J6957" t="inlineStr">
        <is>
          <t>1⁴, 2², 6⁴, 12², 42², 84¹</t>
        </is>
      </c>
      <c r="K6957">
        <f>HYPERLINK("CSG1.html#group21F1", "21F¹"), =HYPERLINK("CSG11.html#group147B11", "147B¹¹")</f>
        <v/>
      </c>
      <c r="L6957" t="inlineStr"/>
      <c r="M6957">
        <f>HYPERLINK("CSG1.html#group49A1", "49A¹"), =HYPERLINK("CSG11.html#group147B11", "147B¹¹"), =HYPERLINK("CSG0.html#group3B0", "3B⁰"), =HYPERLINK("CSG1.html#group21B1", "21B¹"), =HYPERLINK("CSG0.html#group1A0", "1A⁰"), =HYPERLINK("CSG0.html#group7B0", "7B⁰"), =HYPERLINK("CSG1.html#group21F1", "21F¹")</f>
        <v/>
      </c>
      <c r="N6957" t="inlineStr"/>
    </row>
    <row r="6958">
      <c r="A6958" t="inlineStr">
        <is>
          <t>148A²¹</t>
        </is>
      </c>
      <c r="B6958" t="inlineStr"/>
      <c r="C6958" t="inlineStr">
        <is>
          <t>304</t>
        </is>
      </c>
      <c r="D6958" t="inlineStr">
        <is>
          <t>1</t>
        </is>
      </c>
      <c r="E6958" t="inlineStr">
        <is>
          <t>152</t>
        </is>
      </c>
      <c r="F6958" t="inlineStr">
        <is>
          <t>8</t>
        </is>
      </c>
      <c r="G6958" t="inlineStr">
        <is>
          <t>4</t>
        </is>
      </c>
      <c r="H6958" t="inlineStr">
        <is>
          <t>4², 148²</t>
        </is>
      </c>
      <c r="I6958" t="n">
        <v>4</v>
      </c>
      <c r="J6958" t="inlineStr">
        <is>
          <t>2⁴, 72²</t>
        </is>
      </c>
      <c r="K6958">
        <f>HYPERLINK("CSG4.html#group74A4", "74A⁴"), =HYPERLINK("CSG11.html#group148A11", "148A¹¹")</f>
        <v/>
      </c>
      <c r="L6958" t="inlineStr"/>
      <c r="M6958">
        <f>HYPERLINK("CSG2.html#group37A2", "37A²"), =HYPERLINK("CSG4.html#group74A4", "74A⁴"), =HYPERLINK("CSG0.html#group4A0", "4A⁰"), =HYPERLINK("CSG0.html#group1A0", "1A⁰"), =HYPERLINK("CSG11.html#group148A11", "148A¹¹")</f>
        <v/>
      </c>
      <c r="N6958" t="inlineStr"/>
    </row>
    <row r="6959">
      <c r="A6959" t="inlineStr">
        <is>
          <t>150A²¹</t>
        </is>
      </c>
      <c r="B6959" t="inlineStr"/>
      <c r="C6959" t="inlineStr">
        <is>
          <t>360</t>
        </is>
      </c>
      <c r="D6959" t="inlineStr">
        <is>
          <t>1</t>
        </is>
      </c>
      <c r="E6959" t="inlineStr">
        <is>
          <t>90</t>
        </is>
      </c>
      <c r="F6959" t="inlineStr">
        <is>
          <t>16</t>
        </is>
      </c>
      <c r="G6959" t="inlineStr">
        <is>
          <t>0</t>
        </is>
      </c>
      <c r="H6959" t="inlineStr">
        <is>
          <t>6¹⁰, 150²</t>
        </is>
      </c>
      <c r="I6959" t="n">
        <v>12</v>
      </c>
      <c r="J6959" t="inlineStr">
        <is>
          <t>1², 2², 4², 8², 20¹, 40¹</t>
        </is>
      </c>
      <c r="K6959">
        <f>HYPERLINK("CSG1.html#group30D1", "30D¹"), =HYPERLINK("CSG8.html#group75A8", "75A⁸"), =HYPERLINK("CSG10.html#group150A10", "150A¹⁰"), =HYPERLINK("CSG11.html#group150A11", "150A¹¹")</f>
        <v/>
      </c>
      <c r="L6959" t="inlineStr"/>
      <c r="M6959">
        <f>HYPERLINK("CSG0.html#group30A0", "30A⁰"), =HYPERLINK("CSG11.html#group150A11", "150A¹¹"), =HYPERLINK("CSG0.html#group6B0", "6B⁰"), =HYPERLINK("CSG10.html#group150A10", "150A¹⁰"), =HYPERLINK("CSG1.html#group30C1", "30C¹"), =HYPERLINK("CSG0.html#group5B0", "5B⁰"), =HYPERLINK("CSG4.html#group75A4", "75A⁴"), =HYPERLINK("CSG0.html#group1A0", "1A⁰"), =HYPERLINK("CSG8.html#group75A8", "75A⁸"), =HYPERLINK("CSG0.html#group10B0", "10B⁰"), =HYPERLINK("CSG1.html#group30D1", "30D¹"), =HYPERLINK("CSG0.html#group15B0", "15B⁰"), =HYPERLINK("CSG2.html#group50A2", "50A²"), =HYPERLINK("CSG0.html#group25A0", "25A⁰"), =HYPERLINK("CSG0.html#group3A0", "3A⁰"), =HYPERLINK("CSG0.html#group15C0", "15C⁰")</f>
        <v/>
      </c>
      <c r="N6959" t="inlineStr"/>
    </row>
    <row r="6960">
      <c r="A6960" t="inlineStr">
        <is>
          <t>153A²¹</t>
        </is>
      </c>
      <c r="B6960" t="inlineStr"/>
      <c r="C6960" t="inlineStr">
        <is>
          <t>324</t>
        </is>
      </c>
      <c r="D6960" t="inlineStr">
        <is>
          <t>1</t>
        </is>
      </c>
      <c r="E6960" t="inlineStr">
        <is>
          <t>162</t>
        </is>
      </c>
      <c r="F6960" t="inlineStr">
        <is>
          <t>20</t>
        </is>
      </c>
      <c r="G6960" t="inlineStr">
        <is>
          <t>0</t>
        </is>
      </c>
      <c r="H6960" t="inlineStr">
        <is>
          <t>9², 153²</t>
        </is>
      </c>
      <c r="I6960" t="n">
        <v>4</v>
      </c>
      <c r="J6960" t="inlineStr">
        <is>
          <t>1², 2², 6², 16¹, 32¹, 96¹</t>
        </is>
      </c>
      <c r="K6960">
        <f>HYPERLINK("CSG5.html#group51B5", "51B⁵"), =HYPERLINK("CSG11.html#group153A11", "153A¹¹")</f>
        <v/>
      </c>
      <c r="L6960" t="inlineStr"/>
      <c r="M6960">
        <f>HYPERLINK("CSG11.html#group153A11", "153A¹¹"), =HYPERLINK("CSG3.html#group51A3", "51A³"), =HYPERLINK("CSG1.html#group17B1", "17B¹"), =HYPERLINK("CSG0.html#group9A0", "9A⁰"), =HYPERLINK("CSG1.html#group17A1", "17A¹"), =HYPERLINK("CSG5.html#group51B5", "51B⁵"), =HYPERLINK("CSG0.html#group3A0", "3A⁰"), =HYPERLINK("CSG0.html#group1A0", "1A⁰")</f>
        <v/>
      </c>
      <c r="N6960" t="inlineStr"/>
    </row>
    <row r="6961">
      <c r="A6961" t="inlineStr">
        <is>
          <t>154A²¹</t>
        </is>
      </c>
      <c r="B6961" t="inlineStr"/>
      <c r="C6961" t="inlineStr">
        <is>
          <t>264</t>
        </is>
      </c>
      <c r="D6961" t="inlineStr">
        <is>
          <t>2</t>
        </is>
      </c>
      <c r="E6961" t="inlineStr">
        <is>
          <t>264</t>
        </is>
      </c>
      <c r="F6961" t="inlineStr">
        <is>
          <t>0</t>
        </is>
      </c>
      <c r="G6961" t="inlineStr">
        <is>
          <t>0</t>
        </is>
      </c>
      <c r="H6961" t="inlineStr">
        <is>
          <t>11¹, 22¹, 77¹, 154¹</t>
        </is>
      </c>
      <c r="I6961" t="n">
        <v>4</v>
      </c>
      <c r="J6961" t="inlineStr">
        <is>
          <t>2⁶, 10¹², 12³, 60⁶</t>
        </is>
      </c>
      <c r="K6961">
        <f>HYPERLINK("CSG2.html#group22B2", "22B²"), =HYPERLINK("CSG6.html#group77A6", "77A⁶")</f>
        <v/>
      </c>
      <c r="L6961" t="inlineStr"/>
      <c r="M6961">
        <f>HYPERLINK("CSG0.html#group11A0", "11A⁰"), =HYPERLINK("CSG0.html#group2B0", "2B⁰"), =HYPERLINK("CSG2.html#group22B2", "22B²"), =HYPERLINK("CSG0.html#group1A0", "1A⁰"), =HYPERLINK("CSG0.html#group7B0", "7B⁰"), =HYPERLINK("CSG6.html#group77A6", "77A⁶")</f>
        <v/>
      </c>
      <c r="N6961" t="inlineStr"/>
    </row>
    <row r="6962">
      <c r="A6962" t="inlineStr">
        <is>
          <t>154B²¹</t>
        </is>
      </c>
      <c r="B6962" t="inlineStr">
        <is>
          <t>Γ₀(154)</t>
        </is>
      </c>
      <c r="C6962" t="inlineStr">
        <is>
          <t>288</t>
        </is>
      </c>
      <c r="D6962" t="inlineStr">
        <is>
          <t>1</t>
        </is>
      </c>
      <c r="E6962" t="inlineStr">
        <is>
          <t>288</t>
        </is>
      </c>
      <c r="F6962" t="inlineStr">
        <is>
          <t>0</t>
        </is>
      </c>
      <c r="G6962" t="inlineStr">
        <is>
          <t>0</t>
        </is>
      </c>
      <c r="H6962" t="inlineStr">
        <is>
          <t>1¹, 2¹, 7¹, 11¹, 14¹, 22¹, 77¹, 154¹</t>
        </is>
      </c>
      <c r="I6962" t="n">
        <v>8</v>
      </c>
      <c r="J6962" t="inlineStr">
        <is>
          <t>1¹², 6⁶, 10⁶, 60³</t>
        </is>
      </c>
      <c r="K6962">
        <f>HYPERLINK("CSG2.html#group22C2", "22C²"), =HYPERLINK("CSG7.html#group77B7", "77B⁷")</f>
        <v/>
      </c>
      <c r="L6962" t="inlineStr"/>
      <c r="M6962">
        <f>HYPERLINK("CSG0.html#group7B0", "7B⁰"), =HYPERLINK("CSG0.html#group2B0", "2B⁰"), =HYPERLINK("CSG7.html#group77B7", "77B⁷"), =HYPERLINK("CSG2.html#group22C2", "22C²"), =HYPERLINK("CSG0.html#group1A0", "1A⁰"), =HYPERLINK("CSG1.html#group11A1", "11A¹")</f>
        <v/>
      </c>
      <c r="N6962" t="inlineStr"/>
    </row>
    <row r="6963">
      <c r="A6963" t="inlineStr">
        <is>
          <t>156A²¹</t>
        </is>
      </c>
      <c r="B6963" t="inlineStr"/>
      <c r="C6963" t="inlineStr">
        <is>
          <t>336</t>
        </is>
      </c>
      <c r="D6963" t="inlineStr">
        <is>
          <t>1</t>
        </is>
      </c>
      <c r="E6963" t="inlineStr">
        <is>
          <t>56</t>
        </is>
      </c>
      <c r="F6963" t="inlineStr">
        <is>
          <t>24</t>
        </is>
      </c>
      <c r="G6963" t="inlineStr">
        <is>
          <t>0</t>
        </is>
      </c>
      <c r="H6963" t="inlineStr">
        <is>
          <t>12², 156²</t>
        </is>
      </c>
      <c r="I6963" t="n">
        <v>4</v>
      </c>
      <c r="J6963" t="inlineStr">
        <is>
          <t>2⁴, 24²</t>
        </is>
      </c>
      <c r="K6963">
        <f>HYPERLINK("CSG4.html#group78A4", "78A⁴"), =HYPERLINK("CSG5.html#group52C5", "52C⁵"), =HYPERLINK("CSG11.html#group156A11", "156A¹¹")</f>
        <v/>
      </c>
      <c r="L6963" t="inlineStr"/>
      <c r="M6963">
        <f>HYPERLINK("CSG11.html#group156A11", "156A¹¹"), =HYPERLINK("CSG2.html#group39A2", "39A²"), =HYPERLINK("CSG4.html#group78A4", "78A⁴"), =HYPERLINK("CSG0.html#group12A0", "12A⁰"), =HYPERLINK("CSG3.html#group52A3", "52A³"), =HYPERLINK("CSG0.html#group4A0", "4A⁰"), =HYPERLINK("CSG0.html#group13A0", "13A⁰"), =HYPERLINK("CSG0.html#group26A0", "26A⁰"), =HYPERLINK("CSG0.html#group3A0", "3A⁰"), =HYPERLINK("CSG0.html#group1A0", "1A⁰"), =HYPERLINK("CSG5.html#group52C5", "52C⁵")</f>
        <v/>
      </c>
      <c r="N6963" t="inlineStr"/>
    </row>
    <row r="6964">
      <c r="A6964" t="inlineStr">
        <is>
          <t>160A²¹</t>
        </is>
      </c>
      <c r="B6964" t="inlineStr"/>
      <c r="C6964" t="inlineStr">
        <is>
          <t>288</t>
        </is>
      </c>
      <c r="D6964" t="inlineStr">
        <is>
          <t>1</t>
        </is>
      </c>
      <c r="E6964" t="inlineStr">
        <is>
          <t>36</t>
        </is>
      </c>
      <c r="F6964" t="inlineStr">
        <is>
          <t>0</t>
        </is>
      </c>
      <c r="G6964" t="inlineStr">
        <is>
          <t>0</t>
        </is>
      </c>
      <c r="H6964" t="inlineStr">
        <is>
          <t>4², 8¹, 20², 32¹, 40¹, 160¹</t>
        </is>
      </c>
      <c r="I6964" t="n">
        <v>8</v>
      </c>
      <c r="J6964" t="inlineStr">
        <is>
          <t>1⁸, 2², 4⁴, 8¹</t>
        </is>
      </c>
      <c r="K6964">
        <f>HYPERLINK("CSG9.html#group80F9", "80F⁹")</f>
        <v/>
      </c>
      <c r="L6964" t="inlineStr"/>
      <c r="M6964">
        <f>HYPERLINK("CSG3.html#group40F3", "40F³"), =HYPERLINK("CSG9.html#group80F9", "80F⁹"), =HYPERLINK("CSG0.html#group5B0", "5B⁰"), =HYPERLINK("CSG0.html#group10C0", "10C⁰"), =HYPERLINK("CSG1.html#group16A1", "16A¹"), =HYPERLINK("CSG1.html#group20D1", "20D¹"), =HYPERLINK("CSG0.html#group8C0", "8C⁰"), =HYPERLINK("CSG0.html#group2B0", "2B⁰"), =HYPERLINK("CSG0.html#group4B0", "4B⁰"), =HYPERLINK("CSG0.html#group1A0", "1A⁰")</f>
        <v/>
      </c>
      <c r="N6964" t="inlineStr"/>
    </row>
    <row r="6965">
      <c r="A6965" t="inlineStr">
        <is>
          <t>160B²¹</t>
        </is>
      </c>
      <c r="B6965" t="inlineStr"/>
      <c r="C6965" t="inlineStr">
        <is>
          <t>288</t>
        </is>
      </c>
      <c r="D6965" t="inlineStr">
        <is>
          <t>1</t>
        </is>
      </c>
      <c r="E6965" t="inlineStr">
        <is>
          <t>36</t>
        </is>
      </c>
      <c r="F6965" t="inlineStr">
        <is>
          <t>0</t>
        </is>
      </c>
      <c r="G6965" t="inlineStr">
        <is>
          <t>0</t>
        </is>
      </c>
      <c r="H6965" t="inlineStr">
        <is>
          <t>4², 8¹, 20², 32¹, 40¹, 160¹</t>
        </is>
      </c>
      <c r="I6965" t="n">
        <v>8</v>
      </c>
      <c r="J6965" t="inlineStr">
        <is>
          <t>1⁸, 2², 4⁴, 8¹</t>
        </is>
      </c>
      <c r="K6965">
        <f>HYPERLINK("CSG9.html#group80F9", "80F⁹")</f>
        <v/>
      </c>
      <c r="L6965" t="inlineStr"/>
      <c r="M6965">
        <f>HYPERLINK("CSG3.html#group40F3", "40F³"), =HYPERLINK("CSG9.html#group80F9", "80F⁹"), =HYPERLINK("CSG0.html#group5B0", "5B⁰"), =HYPERLINK("CSG0.html#group10C0", "10C⁰"), =HYPERLINK("CSG1.html#group16A1", "16A¹"), =HYPERLINK("CSG1.html#group20D1", "20D¹"), =HYPERLINK("CSG0.html#group8C0", "8C⁰"), =HYPERLINK("CSG0.html#group2B0", "2B⁰"), =HYPERLINK("CSG0.html#group4B0", "4B⁰"), =HYPERLINK("CSG0.html#group1A0", "1A⁰")</f>
        <v/>
      </c>
      <c r="N6965" t="inlineStr"/>
    </row>
    <row r="6966">
      <c r="A6966" t="inlineStr">
        <is>
          <t>160C²¹</t>
        </is>
      </c>
      <c r="B6966" t="inlineStr"/>
      <c r="C6966" t="inlineStr">
        <is>
          <t>288</t>
        </is>
      </c>
      <c r="D6966" t="inlineStr">
        <is>
          <t>1</t>
        </is>
      </c>
      <c r="E6966" t="inlineStr">
        <is>
          <t>36</t>
        </is>
      </c>
      <c r="F6966" t="inlineStr">
        <is>
          <t>0</t>
        </is>
      </c>
      <c r="G6966" t="inlineStr">
        <is>
          <t>0</t>
        </is>
      </c>
      <c r="H6966" t="inlineStr">
        <is>
          <t>4², 8¹, 20², 32¹, 40¹, 160¹</t>
        </is>
      </c>
      <c r="I6966" t="n">
        <v>8</v>
      </c>
      <c r="J6966" t="inlineStr">
        <is>
          <t>1⁸, 2², 4⁴, 8¹</t>
        </is>
      </c>
      <c r="K6966">
        <f>HYPERLINK("CSG3.html#group32A3", "32A³"), =HYPERLINK("CSG9.html#group80F9", "80F⁹")</f>
        <v/>
      </c>
      <c r="L6966" t="inlineStr"/>
      <c r="M6966">
        <f>HYPERLINK("CSG3.html#group40F3", "40F³"), =HYPERLINK("CSG9.html#group80F9", "80F⁹"), =HYPERLINK("CSG3.html#group32A3", "32A³"), =HYPERLINK("CSG0.html#group5B0", "5B⁰"), =HYPERLINK("CSG0.html#group10C0", "10C⁰"), =HYPERLINK("CSG1.html#group16A1", "16A¹"), =HYPERLINK("CSG1.html#group20D1", "20D¹"), =HYPERLINK("CSG0.html#group8C0", "8C⁰"), =HYPERLINK("CSG0.html#group2B0", "2B⁰"), =HYPERLINK("CSG0.html#group4B0", "4B⁰"), =HYPERLINK("CSG0.html#group1A0", "1A⁰")</f>
        <v/>
      </c>
      <c r="N6966" t="inlineStr"/>
    </row>
    <row r="6967">
      <c r="A6967" t="inlineStr">
        <is>
          <t>160D²¹</t>
        </is>
      </c>
      <c r="B6967" t="inlineStr"/>
      <c r="C6967" t="inlineStr">
        <is>
          <t>288</t>
        </is>
      </c>
      <c r="D6967" t="inlineStr">
        <is>
          <t>1</t>
        </is>
      </c>
      <c r="E6967" t="inlineStr">
        <is>
          <t>36</t>
        </is>
      </c>
      <c r="F6967" t="inlineStr">
        <is>
          <t>0</t>
        </is>
      </c>
      <c r="G6967" t="inlineStr">
        <is>
          <t>0</t>
        </is>
      </c>
      <c r="H6967" t="inlineStr">
        <is>
          <t>4², 8¹, 20², 32¹, 40¹, 160¹</t>
        </is>
      </c>
      <c r="I6967" t="n">
        <v>8</v>
      </c>
      <c r="J6967" t="inlineStr">
        <is>
          <t>1⁸, 2², 4⁴, 8¹</t>
        </is>
      </c>
      <c r="K6967">
        <f>HYPERLINK("CSG3.html#group32B3", "32B³"), =HYPERLINK("CSG9.html#group80F9", "80F⁹")</f>
        <v/>
      </c>
      <c r="L6967" t="inlineStr"/>
      <c r="M6967">
        <f>HYPERLINK("CSG3.html#group40F3", "40F³"), =HYPERLINK("CSG9.html#group80F9", "80F⁹"), =HYPERLINK("CSG0.html#group5B0", "5B⁰"), =HYPERLINK("CSG0.html#group10C0", "10C⁰"), =HYPERLINK("CSG1.html#group16A1", "16A¹"), =HYPERLINK("CSG1.html#group20D1", "20D¹"), =HYPERLINK("CSG0.html#group8C0", "8C⁰"), =HYPERLINK("CSG0.html#group2B0", "2B⁰"), =HYPERLINK("CSG0.html#group4B0", "4B⁰"), =HYPERLINK("CSG0.html#group1A0", "1A⁰"), =HYPERLINK("CSG3.html#group32B3", "32B³")</f>
        <v/>
      </c>
      <c r="N6967" t="inlineStr"/>
    </row>
    <row r="6968">
      <c r="A6968" t="inlineStr">
        <is>
          <t>160E²¹</t>
        </is>
      </c>
      <c r="B6968" t="inlineStr"/>
      <c r="C6968" t="inlineStr">
        <is>
          <t>288</t>
        </is>
      </c>
      <c r="D6968" t="inlineStr">
        <is>
          <t>1</t>
        </is>
      </c>
      <c r="E6968" t="inlineStr">
        <is>
          <t>72</t>
        </is>
      </c>
      <c r="F6968" t="inlineStr">
        <is>
          <t>0</t>
        </is>
      </c>
      <c r="G6968" t="inlineStr">
        <is>
          <t>0</t>
        </is>
      </c>
      <c r="H6968" t="inlineStr">
        <is>
          <t>4², 8¹, 20², 32¹, 40¹, 160¹</t>
        </is>
      </c>
      <c r="I6968" t="n">
        <v>8</v>
      </c>
      <c r="J6968" t="inlineStr">
        <is>
          <t>1⁸, 2⁴, 4⁶, 8², 16¹</t>
        </is>
      </c>
      <c r="K6968">
        <f>HYPERLINK("CSG9.html#group80F9", "80F⁹")</f>
        <v/>
      </c>
      <c r="L6968" t="inlineStr"/>
      <c r="M6968">
        <f>HYPERLINK("CSG3.html#group40F3", "40F³"), =HYPERLINK("CSG9.html#group80F9", "80F⁹"), =HYPERLINK("CSG0.html#group5B0", "5B⁰"), =HYPERLINK("CSG0.html#group10C0", "10C⁰"), =HYPERLINK("CSG1.html#group16A1", "16A¹"), =HYPERLINK("CSG1.html#group20D1", "20D¹"), =HYPERLINK("CSG0.html#group8C0", "8C⁰"), =HYPERLINK("CSG0.html#group2B0", "2B⁰"), =HYPERLINK("CSG0.html#group4B0", "4B⁰"), =HYPERLINK("CSG0.html#group1A0", "1A⁰")</f>
        <v/>
      </c>
      <c r="N6968" t="inlineStr"/>
    </row>
    <row r="6969">
      <c r="A6969" t="inlineStr">
        <is>
          <t>160F²¹</t>
        </is>
      </c>
      <c r="B6969" t="inlineStr"/>
      <c r="C6969" t="inlineStr">
        <is>
          <t>288</t>
        </is>
      </c>
      <c r="D6969" t="inlineStr">
        <is>
          <t>1</t>
        </is>
      </c>
      <c r="E6969" t="inlineStr">
        <is>
          <t>72</t>
        </is>
      </c>
      <c r="F6969" t="inlineStr">
        <is>
          <t>0</t>
        </is>
      </c>
      <c r="G6969" t="inlineStr">
        <is>
          <t>0</t>
        </is>
      </c>
      <c r="H6969" t="inlineStr">
        <is>
          <t>4², 8¹, 20², 32¹, 40¹, 160¹</t>
        </is>
      </c>
      <c r="I6969" t="n">
        <v>8</v>
      </c>
      <c r="J6969" t="inlineStr">
        <is>
          <t>1⁸, 2⁴, 4⁶, 8², 16¹</t>
        </is>
      </c>
      <c r="K6969">
        <f>HYPERLINK("CSG3.html#group32C3", "32C³"), =HYPERLINK("CSG9.html#group80F9", "80F⁹")</f>
        <v/>
      </c>
      <c r="L6969" t="inlineStr"/>
      <c r="M6969">
        <f>HYPERLINK("CSG9.html#group80F9", "80F⁹"), =HYPERLINK("CSG0.html#group5B0", "5B⁰"), =HYPERLINK("CSG1.html#group16A1", "16A¹"), =HYPERLINK("CSG0.html#group8C0", "8C⁰"), =HYPERLINK("CSG0.html#group2B0", "2B⁰"), =HYPERLINK("CSG1.html#group20D1", "20D¹"), =HYPERLINK("CSG0.html#group4B0", "4B⁰"), =HYPERLINK("CSG0.html#group1A0", "1A⁰"), =HYPERLINK("CSG3.html#group32C3", "32C³"), =HYPERLINK("CSG3.html#group40F3", "40F³"), =HYPERLINK("CSG0.html#group10C0", "10C⁰")</f>
        <v/>
      </c>
      <c r="N6969" t="inlineStr"/>
    </row>
    <row r="6970">
      <c r="A6970" t="inlineStr">
        <is>
          <t>160G²¹</t>
        </is>
      </c>
      <c r="B6970" t="inlineStr"/>
      <c r="C6970" t="inlineStr">
        <is>
          <t>288</t>
        </is>
      </c>
      <c r="D6970" t="inlineStr">
        <is>
          <t>1</t>
        </is>
      </c>
      <c r="E6970" t="inlineStr">
        <is>
          <t>72</t>
        </is>
      </c>
      <c r="F6970" t="inlineStr">
        <is>
          <t>8</t>
        </is>
      </c>
      <c r="G6970" t="inlineStr">
        <is>
          <t>0</t>
        </is>
      </c>
      <c r="H6970" t="inlineStr">
        <is>
          <t>16¹, 32¹, 80¹, 160¹</t>
        </is>
      </c>
      <c r="I6970" t="n">
        <v>4</v>
      </c>
      <c r="J6970" t="inlineStr">
        <is>
          <t>2¹², 8⁶</t>
        </is>
      </c>
      <c r="K6970">
        <f>HYPERLINK("CSG7.html#group80D7", "80D⁷")</f>
        <v/>
      </c>
      <c r="L6970" t="inlineStr"/>
      <c r="M6970">
        <f>HYPERLINK("CSG0.html#group16B0", "16B⁰"), =HYPERLINK("CSG1.html#group20E1", "20E¹"), =HYPERLINK("CSG7.html#group80D7", "80D⁷"), =HYPERLINK("CSG0.html#group4C0", "4C⁰"), =HYPERLINK("CSG0.html#group8B0", "8B⁰"), =HYPERLINK("CSG0.html#group5B0", "5B⁰"), =HYPERLINK("CSG0.html#group10C0", "10C⁰"), =HYPERLINK("CSG0.html#group1A0", "1A⁰"), =HYPERLINK("CSG0.html#group2B0", "2B⁰"), =HYPERLINK("CSG3.html#group40D3", "40D³")</f>
        <v/>
      </c>
      <c r="N6970" t="inlineStr"/>
    </row>
    <row r="6971">
      <c r="A6971" t="inlineStr">
        <is>
          <t>160H²¹</t>
        </is>
      </c>
      <c r="B6971" t="inlineStr"/>
      <c r="C6971" t="inlineStr">
        <is>
          <t>288</t>
        </is>
      </c>
      <c r="D6971" t="inlineStr">
        <is>
          <t>1</t>
        </is>
      </c>
      <c r="E6971" t="inlineStr">
        <is>
          <t>72</t>
        </is>
      </c>
      <c r="F6971" t="inlineStr">
        <is>
          <t>8</t>
        </is>
      </c>
      <c r="G6971" t="inlineStr">
        <is>
          <t>0</t>
        </is>
      </c>
      <c r="H6971" t="inlineStr">
        <is>
          <t>16¹, 32¹, 80¹, 160¹</t>
        </is>
      </c>
      <c r="I6971" t="n">
        <v>4</v>
      </c>
      <c r="J6971" t="inlineStr">
        <is>
          <t>2¹², 8⁶</t>
        </is>
      </c>
      <c r="K6971">
        <f>HYPERLINK("CSG3.html#group32D3", "32D³"), =HYPERLINK("CSG7.html#group80D7", "80D⁷")</f>
        <v/>
      </c>
      <c r="L6971" t="inlineStr"/>
      <c r="M6971">
        <f>HYPERLINK("CSG0.html#group16B0", "16B⁰"), =HYPERLINK("CSG1.html#group20E1", "20E¹"), =HYPERLINK("CSG7.html#group80D7", "80D⁷"), =HYPERLINK("CSG0.html#group4C0", "4C⁰"), =HYPERLINK("CSG0.html#group8B0", "8B⁰"), =HYPERLINK("CSG0.html#group5B0", "5B⁰"), =HYPERLINK("CSG0.html#group10C0", "10C⁰"), =HYPERLINK("CSG3.html#group32D3", "32D³"), =HYPERLINK("CSG0.html#group2B0", "2B⁰"), =HYPERLINK("CSG0.html#group1A0", "1A⁰"), =HYPERLINK("CSG3.html#group40D3", "40D³")</f>
        <v/>
      </c>
      <c r="N6971" t="inlineStr"/>
    </row>
    <row r="6972">
      <c r="A6972" t="inlineStr">
        <is>
          <t>160I²¹</t>
        </is>
      </c>
      <c r="B6972" t="inlineStr"/>
      <c r="C6972" t="inlineStr">
        <is>
          <t>288</t>
        </is>
      </c>
      <c r="D6972" t="inlineStr">
        <is>
          <t>1</t>
        </is>
      </c>
      <c r="E6972" t="inlineStr">
        <is>
          <t>144</t>
        </is>
      </c>
      <c r="F6972" t="inlineStr">
        <is>
          <t>8</t>
        </is>
      </c>
      <c r="G6972" t="inlineStr">
        <is>
          <t>0</t>
        </is>
      </c>
      <c r="H6972" t="inlineStr">
        <is>
          <t>16¹, 32¹, 80¹, 160¹</t>
        </is>
      </c>
      <c r="I6972" t="n">
        <v>4</v>
      </c>
      <c r="J6972" t="inlineStr">
        <is>
          <t>2¹⁶, 8¹⁰, 32¹</t>
        </is>
      </c>
      <c r="K6972">
        <f>HYPERLINK("CSG9.html#group80L9", "80L⁹")</f>
        <v/>
      </c>
      <c r="L6972" t="inlineStr"/>
      <c r="M6972">
        <f>HYPERLINK("CSG1.html#group20E1", "20E¹"), =HYPERLINK("CSG3.html#group40D3", "40D³"), =HYPERLINK("CSG1.html#group16D1", "16D¹"), =HYPERLINK("CSG9.html#group80L9", "80L⁹"), =HYPERLINK("CSG0.html#group4C0", "4C⁰"), =HYPERLINK("CSG0.html#group8B0", "8B⁰"), =HYPERLINK("CSG0.html#group5B0", "5B⁰"), =HYPERLINK("CSG0.html#group10C0", "10C⁰"), =HYPERLINK("CSG0.html#group2B0", "2B⁰"), =HYPERLINK("CSG0.html#group1A0", "1A⁰")</f>
        <v/>
      </c>
      <c r="N6972" t="inlineStr"/>
    </row>
    <row r="6973">
      <c r="A6973" t="inlineStr">
        <is>
          <t>160J²¹</t>
        </is>
      </c>
      <c r="B6973" t="inlineStr"/>
      <c r="C6973" t="inlineStr">
        <is>
          <t>288</t>
        </is>
      </c>
      <c r="D6973" t="inlineStr">
        <is>
          <t>1</t>
        </is>
      </c>
      <c r="E6973" t="inlineStr">
        <is>
          <t>144</t>
        </is>
      </c>
      <c r="F6973" t="inlineStr">
        <is>
          <t>8</t>
        </is>
      </c>
      <c r="G6973" t="inlineStr">
        <is>
          <t>0</t>
        </is>
      </c>
      <c r="H6973" t="inlineStr">
        <is>
          <t>16¹, 32¹, 80¹, 160¹</t>
        </is>
      </c>
      <c r="I6973" t="n">
        <v>4</v>
      </c>
      <c r="J6973" t="inlineStr">
        <is>
          <t>2¹⁶, 8¹⁰, 32¹</t>
        </is>
      </c>
      <c r="K6973">
        <f>HYPERLINK("CSG9.html#group80L9", "80L⁹")</f>
        <v/>
      </c>
      <c r="L6973" t="inlineStr"/>
      <c r="M6973">
        <f>HYPERLINK("CSG1.html#group20E1", "20E¹"), =HYPERLINK("CSG3.html#group40D3", "40D³"), =HYPERLINK("CSG1.html#group16D1", "16D¹"), =HYPERLINK("CSG9.html#group80L9", "80L⁹"), =HYPERLINK("CSG0.html#group4C0", "4C⁰"), =HYPERLINK("CSG0.html#group8B0", "8B⁰"), =HYPERLINK("CSG0.html#group5B0", "5B⁰"), =HYPERLINK("CSG0.html#group10C0", "10C⁰"), =HYPERLINK("CSG0.html#group2B0", "2B⁰"), =HYPERLINK("CSG0.html#group1A0", "1A⁰")</f>
        <v/>
      </c>
      <c r="N6973" t="inlineStr"/>
    </row>
    <row r="6974">
      <c r="A6974" t="inlineStr">
        <is>
          <t>160K²¹</t>
        </is>
      </c>
      <c r="B6974" t="inlineStr"/>
      <c r="C6974" t="inlineStr">
        <is>
          <t>288</t>
        </is>
      </c>
      <c r="D6974" t="inlineStr">
        <is>
          <t>1</t>
        </is>
      </c>
      <c r="E6974" t="inlineStr">
        <is>
          <t>144</t>
        </is>
      </c>
      <c r="F6974" t="inlineStr">
        <is>
          <t>8</t>
        </is>
      </c>
      <c r="G6974" t="inlineStr">
        <is>
          <t>0</t>
        </is>
      </c>
      <c r="H6974" t="inlineStr">
        <is>
          <t>16¹, 32¹, 80¹, 160¹</t>
        </is>
      </c>
      <c r="I6974" t="n">
        <v>4</v>
      </c>
      <c r="J6974" t="inlineStr">
        <is>
          <t>2¹⁶, 8¹⁰, 32¹</t>
        </is>
      </c>
      <c r="K6974">
        <f>HYPERLINK("CSG9.html#group80L9", "80L⁹")</f>
        <v/>
      </c>
      <c r="L6974" t="inlineStr"/>
      <c r="M6974">
        <f>HYPERLINK("CSG1.html#group20E1", "20E¹"), =HYPERLINK("CSG3.html#group40D3", "40D³"), =HYPERLINK("CSG1.html#group16D1", "16D¹"), =HYPERLINK("CSG9.html#group80L9", "80L⁹"), =HYPERLINK("CSG0.html#group4C0", "4C⁰"), =HYPERLINK("CSG0.html#group8B0", "8B⁰"), =HYPERLINK("CSG0.html#group5B0", "5B⁰"), =HYPERLINK("CSG0.html#group10C0", "10C⁰"), =HYPERLINK("CSG0.html#group2B0", "2B⁰"), =HYPERLINK("CSG0.html#group1A0", "1A⁰")</f>
        <v/>
      </c>
      <c r="N6974" t="inlineStr"/>
    </row>
    <row r="6975">
      <c r="A6975" t="inlineStr">
        <is>
          <t>160L²¹</t>
        </is>
      </c>
      <c r="B6975" t="inlineStr"/>
      <c r="C6975" t="inlineStr">
        <is>
          <t>288</t>
        </is>
      </c>
      <c r="D6975" t="inlineStr">
        <is>
          <t>1</t>
        </is>
      </c>
      <c r="E6975" t="inlineStr">
        <is>
          <t>144</t>
        </is>
      </c>
      <c r="F6975" t="inlineStr">
        <is>
          <t>8</t>
        </is>
      </c>
      <c r="G6975" t="inlineStr">
        <is>
          <t>0</t>
        </is>
      </c>
      <c r="H6975" t="inlineStr">
        <is>
          <t>16¹, 32¹, 80¹, 160¹</t>
        </is>
      </c>
      <c r="I6975" t="n">
        <v>4</v>
      </c>
      <c r="J6975" t="inlineStr">
        <is>
          <t>2¹⁶, 8¹⁰, 32¹</t>
        </is>
      </c>
      <c r="K6975">
        <f>HYPERLINK("CSG9.html#group80L9", "80L⁹")</f>
        <v/>
      </c>
      <c r="L6975" t="inlineStr"/>
      <c r="M6975">
        <f>HYPERLINK("CSG1.html#group20E1", "20E¹"), =HYPERLINK("CSG3.html#group40D3", "40D³"), =HYPERLINK("CSG1.html#group16D1", "16D¹"), =HYPERLINK("CSG9.html#group80L9", "80L⁹"), =HYPERLINK("CSG0.html#group4C0", "4C⁰"), =HYPERLINK("CSG0.html#group8B0", "8B⁰"), =HYPERLINK("CSG0.html#group5B0", "5B⁰"), =HYPERLINK("CSG0.html#group10C0", "10C⁰"), =HYPERLINK("CSG0.html#group2B0", "2B⁰"), =HYPERLINK("CSG0.html#group1A0", "1A⁰")</f>
        <v/>
      </c>
      <c r="N6975" t="inlineStr"/>
    </row>
    <row r="6976">
      <c r="A6976" t="inlineStr">
        <is>
          <t>160M²¹</t>
        </is>
      </c>
      <c r="B6976" t="inlineStr"/>
      <c r="C6976" t="inlineStr">
        <is>
          <t>288</t>
        </is>
      </c>
      <c r="D6976" t="inlineStr">
        <is>
          <t>1</t>
        </is>
      </c>
      <c r="E6976" t="inlineStr">
        <is>
          <t>144</t>
        </is>
      </c>
      <c r="F6976" t="inlineStr">
        <is>
          <t>8</t>
        </is>
      </c>
      <c r="G6976" t="inlineStr">
        <is>
          <t>0</t>
        </is>
      </c>
      <c r="H6976" t="inlineStr">
        <is>
          <t>16¹, 32¹, 80¹, 160¹</t>
        </is>
      </c>
      <c r="I6976" t="n">
        <v>4</v>
      </c>
      <c r="J6976" t="inlineStr">
        <is>
          <t>2¹⁶, 8¹⁰, 32¹</t>
        </is>
      </c>
      <c r="K6976">
        <f>HYPERLINK("CSG3.html#group32E3", "32E³"), =HYPERLINK("CSG9.html#group80L9", "80L⁹")</f>
        <v/>
      </c>
      <c r="L6976" t="inlineStr"/>
      <c r="M6976">
        <f>HYPERLINK("CSG1.html#group20E1", "20E¹"), =HYPERLINK("CSG0.html#group4C0", "4C⁰"), =HYPERLINK("CSG0.html#group8B0", "8B⁰"), =HYPERLINK("CSG0.html#group5B0", "5B⁰"), =HYPERLINK("CSG0.html#group2B0", "2B⁰"), =HYPERLINK("CSG0.html#group1A0", "1A⁰"), =HYPERLINK("CSG1.html#group16D1", "16D¹"), =HYPERLINK("CSG9.html#group80L9", "80L⁹"), =HYPERLINK("CSG0.html#group10C0", "10C⁰"), =HYPERLINK("CSG3.html#group32E3", "32E³"), =HYPERLINK("CSG3.html#group40D3", "40D³")</f>
        <v/>
      </c>
      <c r="N6976" t="inlineStr"/>
    </row>
    <row r="6977">
      <c r="A6977" t="inlineStr">
        <is>
          <t>160N²¹</t>
        </is>
      </c>
      <c r="B6977" t="inlineStr"/>
      <c r="C6977" t="inlineStr">
        <is>
          <t>288</t>
        </is>
      </c>
      <c r="D6977" t="inlineStr">
        <is>
          <t>1</t>
        </is>
      </c>
      <c r="E6977" t="inlineStr">
        <is>
          <t>144</t>
        </is>
      </c>
      <c r="F6977" t="inlineStr">
        <is>
          <t>8</t>
        </is>
      </c>
      <c r="G6977" t="inlineStr">
        <is>
          <t>0</t>
        </is>
      </c>
      <c r="H6977" t="inlineStr">
        <is>
          <t>16¹, 32¹, 80¹, 160¹</t>
        </is>
      </c>
      <c r="I6977" t="n">
        <v>4</v>
      </c>
      <c r="J6977" t="inlineStr">
        <is>
          <t>2¹⁶, 8¹⁰, 32¹</t>
        </is>
      </c>
      <c r="K6977">
        <f>HYPERLINK("CSG3.html#group32F3", "32F³"), =HYPERLINK("CSG9.html#group80L9", "80L⁹")</f>
        <v/>
      </c>
      <c r="L6977" t="inlineStr"/>
      <c r="M6977">
        <f>HYPERLINK("CSG1.html#group20E1", "20E¹"), =HYPERLINK("CSG3.html#group40D3", "40D³"), =HYPERLINK("CSG1.html#group16D1", "16D¹"), =HYPERLINK("CSG9.html#group80L9", "80L⁹"), =HYPERLINK("CSG0.html#group4C0", "4C⁰"), =HYPERLINK("CSG0.html#group8B0", "8B⁰"), =HYPERLINK("CSG0.html#group5B0", "5B⁰"), =HYPERLINK("CSG0.html#group10C0", "10C⁰"), =HYPERLINK("CSG0.html#group2B0", "2B⁰"), =HYPERLINK("CSG3.html#group32F3", "32F³"), =HYPERLINK("CSG0.html#group1A0", "1A⁰")</f>
        <v/>
      </c>
      <c r="N6977" t="inlineStr"/>
    </row>
    <row r="6978">
      <c r="A6978" t="inlineStr">
        <is>
          <t>160O²¹</t>
        </is>
      </c>
      <c r="B6978" t="inlineStr"/>
      <c r="C6978" t="inlineStr">
        <is>
          <t>288</t>
        </is>
      </c>
      <c r="D6978" t="inlineStr">
        <is>
          <t>1</t>
        </is>
      </c>
      <c r="E6978" t="inlineStr">
        <is>
          <t>144</t>
        </is>
      </c>
      <c r="F6978" t="inlineStr">
        <is>
          <t>8</t>
        </is>
      </c>
      <c r="G6978" t="inlineStr">
        <is>
          <t>0</t>
        </is>
      </c>
      <c r="H6978" t="inlineStr">
        <is>
          <t>16¹, 32¹, 80¹, 160¹</t>
        </is>
      </c>
      <c r="I6978" t="n">
        <v>4</v>
      </c>
      <c r="J6978" t="inlineStr">
        <is>
          <t>2¹⁶, 8¹⁰, 32¹</t>
        </is>
      </c>
      <c r="K6978">
        <f>HYPERLINK("CSG3.html#group32G3", "32G³"), =HYPERLINK("CSG9.html#group80L9", "80L⁹")</f>
        <v/>
      </c>
      <c r="L6978" t="inlineStr"/>
      <c r="M6978">
        <f>HYPERLINK("CSG1.html#group20E1", "20E¹"), =HYPERLINK("CSG3.html#group40D3", "40D³"), =HYPERLINK("CSG1.html#group16D1", "16D¹"), =HYPERLINK("CSG9.html#group80L9", "80L⁹"), =HYPERLINK("CSG0.html#group4C0", "4C⁰"), =HYPERLINK("CSG0.html#group8B0", "8B⁰"), =HYPERLINK("CSG0.html#group5B0", "5B⁰"), =HYPERLINK("CSG0.html#group10C0", "10C⁰"), =HYPERLINK("CSG0.html#group2B0", "2B⁰"), =HYPERLINK("CSG3.html#group32G3", "32G³"), =HYPERLINK("CSG0.html#group1A0", "1A⁰")</f>
        <v/>
      </c>
      <c r="N6978" t="inlineStr"/>
    </row>
    <row r="6979">
      <c r="A6979" t="inlineStr">
        <is>
          <t>160P²¹</t>
        </is>
      </c>
      <c r="B6979" t="inlineStr"/>
      <c r="C6979" t="inlineStr">
        <is>
          <t>288</t>
        </is>
      </c>
      <c r="D6979" t="inlineStr">
        <is>
          <t>1</t>
        </is>
      </c>
      <c r="E6979" t="inlineStr">
        <is>
          <t>144</t>
        </is>
      </c>
      <c r="F6979" t="inlineStr">
        <is>
          <t>8</t>
        </is>
      </c>
      <c r="G6979" t="inlineStr">
        <is>
          <t>0</t>
        </is>
      </c>
      <c r="H6979" t="inlineStr">
        <is>
          <t>16¹, 32¹, 80¹, 160¹</t>
        </is>
      </c>
      <c r="I6979" t="n">
        <v>4</v>
      </c>
      <c r="J6979" t="inlineStr">
        <is>
          <t>2¹⁶, 8¹⁰, 32¹</t>
        </is>
      </c>
      <c r="K6979">
        <f>HYPERLINK("CSG3.html#group32H3", "32H³"), =HYPERLINK("CSG9.html#group80L9", "80L⁹")</f>
        <v/>
      </c>
      <c r="L6979" t="inlineStr"/>
      <c r="M6979">
        <f>HYPERLINK("CSG1.html#group20E1", "20E¹"), =HYPERLINK("CSG0.html#group4C0", "4C⁰"), =HYPERLINK("CSG0.html#group8B0", "8B⁰"), =HYPERLINK("CSG0.html#group5B0", "5B⁰"), =HYPERLINK("CSG0.html#group2B0", "2B⁰"), =HYPERLINK("CSG0.html#group1A0", "1A⁰"), =HYPERLINK("CSG1.html#group16D1", "16D¹"), =HYPERLINK("CSG9.html#group80L9", "80L⁹"), =HYPERLINK("CSG0.html#group10C0", "10C⁰"), =HYPERLINK("CSG3.html#group40D3", "40D³"), =HYPERLINK("CSG3.html#group32H3", "32H³")</f>
        <v/>
      </c>
      <c r="N6979" t="inlineStr"/>
    </row>
    <row r="6980">
      <c r="A6980" t="inlineStr">
        <is>
          <t>160Q²¹</t>
        </is>
      </c>
      <c r="B6980" t="inlineStr"/>
      <c r="C6980" t="inlineStr">
        <is>
          <t>288</t>
        </is>
      </c>
      <c r="D6980" t="inlineStr">
        <is>
          <t>2</t>
        </is>
      </c>
      <c r="E6980" t="inlineStr">
        <is>
          <t>36</t>
        </is>
      </c>
      <c r="F6980" t="inlineStr">
        <is>
          <t>0</t>
        </is>
      </c>
      <c r="G6980" t="inlineStr">
        <is>
          <t>0</t>
        </is>
      </c>
      <c r="H6980" t="inlineStr">
        <is>
          <t>4², 8¹, 20², 32¹, 40¹, 160¹</t>
        </is>
      </c>
      <c r="I6980" t="n">
        <v>8</v>
      </c>
      <c r="J6980" t="inlineStr">
        <is>
          <t>2¹², 8⁶</t>
        </is>
      </c>
      <c r="K6980">
        <f>HYPERLINK("CSG9.html#group80E9", "80E⁹")</f>
        <v/>
      </c>
      <c r="L6980" t="inlineStr"/>
      <c r="M6980">
        <f>HYPERLINK("CSG9.html#group80E9", "80E⁹"), =HYPERLINK("CSG3.html#group40F3", "40F³"), =HYPERLINK("CSG0.html#group5B0", "5B⁰"),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6980" t="inlineStr"/>
    </row>
    <row r="6981">
      <c r="A6981" t="inlineStr">
        <is>
          <t>160R²¹</t>
        </is>
      </c>
      <c r="B6981" t="inlineStr"/>
      <c r="C6981" t="inlineStr">
        <is>
          <t>288</t>
        </is>
      </c>
      <c r="D6981" t="inlineStr">
        <is>
          <t>2</t>
        </is>
      </c>
      <c r="E6981" t="inlineStr">
        <is>
          <t>36</t>
        </is>
      </c>
      <c r="F6981" t="inlineStr">
        <is>
          <t>0</t>
        </is>
      </c>
      <c r="G6981" t="inlineStr">
        <is>
          <t>0</t>
        </is>
      </c>
      <c r="H6981" t="inlineStr">
        <is>
          <t>4², 8¹, 20², 32¹, 40¹, 160¹</t>
        </is>
      </c>
      <c r="I6981" t="n">
        <v>8</v>
      </c>
      <c r="J6981" t="inlineStr">
        <is>
          <t>2¹², 8⁶</t>
        </is>
      </c>
      <c r="K6981">
        <f>HYPERLINK("CSG9.html#group80E9", "80E⁹")</f>
        <v/>
      </c>
      <c r="L6981" t="inlineStr"/>
      <c r="M6981">
        <f>HYPERLINK("CSG9.html#group80E9", "80E⁹"), =HYPERLINK("CSG3.html#group40F3", "40F³"), =HYPERLINK("CSG0.html#group5B0", "5B⁰"),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6981" t="inlineStr"/>
    </row>
    <row r="6982">
      <c r="A6982" t="inlineStr">
        <is>
          <t>160S²¹</t>
        </is>
      </c>
      <c r="B6982" t="inlineStr"/>
      <c r="C6982" t="inlineStr">
        <is>
          <t>288</t>
        </is>
      </c>
      <c r="D6982" t="inlineStr">
        <is>
          <t>2</t>
        </is>
      </c>
      <c r="E6982" t="inlineStr">
        <is>
          <t>72</t>
        </is>
      </c>
      <c r="F6982" t="inlineStr">
        <is>
          <t>0</t>
        </is>
      </c>
      <c r="G6982" t="inlineStr">
        <is>
          <t>0</t>
        </is>
      </c>
      <c r="H6982" t="inlineStr">
        <is>
          <t>4², 8¹, 20², 32¹, 40¹, 160¹</t>
        </is>
      </c>
      <c r="I6982" t="n">
        <v>8</v>
      </c>
      <c r="J6982" t="inlineStr">
        <is>
          <t>2¹⁶, 4⁴, 8⁸, 16²</t>
        </is>
      </c>
      <c r="K6982">
        <f>HYPERLINK("CSG9.html#group80E9", "80E⁹")</f>
        <v/>
      </c>
      <c r="L6982" t="inlineStr"/>
      <c r="M6982">
        <f>HYPERLINK("CSG9.html#group80E9", "80E⁹"), =HYPERLINK("CSG3.html#group40F3", "40F³"), =HYPERLINK("CSG0.html#group5B0", "5B⁰"), =HYPERLINK("CSG0.html#group10C0", "10C⁰"), =HYPERLINK("CSG1.html#group20D1", "20D¹"), =HYPERLINK("CSG0.html#group8C0", "8C⁰"), =HYPERLINK("CSG0.html#group2B0", "2B⁰"), =HYPERLINK("CSG0.html#group4B0", "4B⁰"), =HYPERLINK("CSG0.html#group1A0", "1A⁰")</f>
        <v/>
      </c>
      <c r="N6982" t="inlineStr"/>
    </row>
    <row r="6983">
      <c r="A6983" t="inlineStr">
        <is>
          <t>160T²¹</t>
        </is>
      </c>
      <c r="B6983" t="inlineStr"/>
      <c r="C6983" t="inlineStr">
        <is>
          <t>288</t>
        </is>
      </c>
      <c r="D6983" t="inlineStr">
        <is>
          <t>2</t>
        </is>
      </c>
      <c r="E6983" t="inlineStr">
        <is>
          <t>144</t>
        </is>
      </c>
      <c r="F6983" t="inlineStr">
        <is>
          <t>4</t>
        </is>
      </c>
      <c r="G6983" t="inlineStr">
        <is>
          <t>0</t>
        </is>
      </c>
      <c r="H6983" t="inlineStr">
        <is>
          <t>8², 32¹, 40², 160¹</t>
        </is>
      </c>
      <c r="I6983" t="n">
        <v>6</v>
      </c>
      <c r="J6983" t="inlineStr">
        <is>
          <t>2⁴, 4⁶, 8¹⁰, 16³, 32⁴</t>
        </is>
      </c>
      <c r="K6983">
        <f>HYPERLINK("CSG9.html#group80J9", "80J⁹")</f>
        <v/>
      </c>
      <c r="L6983" t="inlineStr"/>
      <c r="M6983">
        <f>HYPERLINK("CSG1.html#group20E1", "20E¹"), =HYPERLINK("CSG3.html#group40H3", "40H³"), =HYPERLINK("CSG0.html#group8D0", "8D⁰"), =HYPERLINK("CSG9.html#group80J9", "80J⁹"), =HYPERLINK("CSG1.html#group16C1", "16C¹"), =HYPERLINK("CSG0.html#group4C0", "4C⁰"), =HYPERLINK("CSG0.html#group5B0", "5B⁰"), =HYPERLINK("CSG0.html#group10C0", "10C⁰"), =HYPERLINK("CSG0.html#group2B0", "2B⁰"), =HYPERLINK("CSG0.html#group1A0", "1A⁰")</f>
        <v/>
      </c>
      <c r="N6983" t="inlineStr"/>
    </row>
    <row r="6984">
      <c r="A6984" t="inlineStr">
        <is>
          <t>160U²¹</t>
        </is>
      </c>
      <c r="B6984" t="inlineStr"/>
      <c r="C6984" t="inlineStr">
        <is>
          <t>288</t>
        </is>
      </c>
      <c r="D6984" t="inlineStr">
        <is>
          <t>2</t>
        </is>
      </c>
      <c r="E6984" t="inlineStr">
        <is>
          <t>144</t>
        </is>
      </c>
      <c r="F6984" t="inlineStr">
        <is>
          <t>4</t>
        </is>
      </c>
      <c r="G6984" t="inlineStr">
        <is>
          <t>0</t>
        </is>
      </c>
      <c r="H6984" t="inlineStr">
        <is>
          <t>8², 32¹, 40², 160¹</t>
        </is>
      </c>
      <c r="I6984" t="n">
        <v>6</v>
      </c>
      <c r="J6984" t="inlineStr">
        <is>
          <t>2⁴, 4⁶, 8¹⁰, 16³, 32⁴</t>
        </is>
      </c>
      <c r="K6984">
        <f>HYPERLINK("CSG3.html#group32I3", "32I³"), =HYPERLINK("CSG9.html#group80J9", "80J⁹")</f>
        <v/>
      </c>
      <c r="L6984" t="inlineStr"/>
      <c r="M6984">
        <f>HYPERLINK("CSG1.html#group20E1", "20E¹"), =HYPERLINK("CSG3.html#group40H3", "40H³"), =HYPERLINK("CSG0.html#group8D0", "8D⁰"), =HYPERLINK("CSG9.html#group80J9", "80J⁹"), =HYPERLINK("CSG1.html#group16C1", "16C¹"), =HYPERLINK("CSG0.html#group4C0", "4C⁰"), =HYPERLINK("CSG0.html#group5B0", "5B⁰"), =HYPERLINK("CSG0.html#group10C0", "10C⁰"), =HYPERLINK("CSG3.html#group32I3", "32I³"), =HYPERLINK("CSG0.html#group2B0", "2B⁰"), =HYPERLINK("CSG0.html#group1A0", "1A⁰")</f>
        <v/>
      </c>
      <c r="N6984" t="inlineStr"/>
    </row>
    <row r="6985">
      <c r="A6985" t="inlineStr">
        <is>
          <t>165A²¹</t>
        </is>
      </c>
      <c r="B6985" t="inlineStr"/>
      <c r="C6985" t="inlineStr">
        <is>
          <t>264</t>
        </is>
      </c>
      <c r="D6985" t="inlineStr">
        <is>
          <t>2</t>
        </is>
      </c>
      <c r="E6985" t="inlineStr">
        <is>
          <t>264</t>
        </is>
      </c>
      <c r="F6985" t="inlineStr">
        <is>
          <t>0</t>
        </is>
      </c>
      <c r="G6985" t="inlineStr">
        <is>
          <t>0</t>
        </is>
      </c>
      <c r="H6985" t="inlineStr">
        <is>
          <t>11¹, 33¹, 55¹, 165¹</t>
        </is>
      </c>
      <c r="I6985" t="n">
        <v>4</v>
      </c>
      <c r="J6985" t="inlineStr">
        <is>
          <t>2⁴, 4², 8², 10⁸, 16¹, 20⁴, 40⁴, 80²</t>
        </is>
      </c>
      <c r="K6985">
        <f>HYPERLINK("CSG1.html#group15C1", "15C¹"), =HYPERLINK("CSG3.html#group33B3", "33B³"), =HYPERLINK("CSG4.html#group55A4", "55A⁴")</f>
        <v/>
      </c>
      <c r="L6985" t="inlineStr"/>
      <c r="M6985">
        <f>HYPERLINK("CSG0.html#group11A0", "11A⁰"), =HYPERLINK("CSG1.html#group15C1", "15C¹"), =HYPERLINK("CSG4.html#group55A4", "55A⁴"), =HYPERLINK("CSG0.html#group3B0", "3B⁰"), =HYPERLINK("CSG3.html#group33B3", "33B³"), =HYPERLINK("CSG0.html#group5B0", "5B⁰"), =HYPERLINK("CSG0.html#group1A0", "1A⁰")</f>
        <v/>
      </c>
      <c r="N6985" t="inlineStr"/>
    </row>
    <row r="6986">
      <c r="A6986" t="inlineStr">
        <is>
          <t>165B²¹</t>
        </is>
      </c>
      <c r="B6986" t="inlineStr">
        <is>
          <t>Γ₀(165)</t>
        </is>
      </c>
      <c r="C6986" t="inlineStr">
        <is>
          <t>288</t>
        </is>
      </c>
      <c r="D6986" t="inlineStr">
        <is>
          <t>1</t>
        </is>
      </c>
      <c r="E6986" t="inlineStr">
        <is>
          <t>288</t>
        </is>
      </c>
      <c r="F6986" t="inlineStr">
        <is>
          <t>0</t>
        </is>
      </c>
      <c r="G6986" t="inlineStr">
        <is>
          <t>0</t>
        </is>
      </c>
      <c r="H6986" t="inlineStr">
        <is>
          <t>1¹, 3¹, 5¹, 11¹, 15¹, 33¹, 55¹, 165¹</t>
        </is>
      </c>
      <c r="I6986" t="n">
        <v>8</v>
      </c>
      <c r="J6986" t="inlineStr">
        <is>
          <t>1⁸, 2⁴, 4⁴, 8², 10⁴, 20², 40², 80¹</t>
        </is>
      </c>
      <c r="K6986">
        <f>HYPERLINK("CSG1.html#group15C1", "15C¹"), =HYPERLINK("CSG3.html#group33C3", "33C³"), =HYPERLINK("CSG5.html#group55B5", "55B⁵")</f>
        <v/>
      </c>
      <c r="L6986" t="inlineStr"/>
      <c r="M6986">
        <f>HYPERLINK("CSG1.html#group15C1", "15C¹"), =HYPERLINK("CSG0.html#group3B0", "3B⁰"), =HYPERLINK("CSG5.html#group55B5", "55B⁵"), =HYPERLINK("CSG1.html#group11A1", "11A¹"), =HYPERLINK("CSG0.html#group5B0", "5B⁰"), =HYPERLINK("CSG0.html#group1A0", "1A⁰"), =HYPERLINK("CSG3.html#group33C3", "33C³")</f>
        <v/>
      </c>
      <c r="N6986" t="inlineStr"/>
    </row>
    <row r="6987">
      <c r="A6987" t="inlineStr">
        <is>
          <t>168A²¹</t>
        </is>
      </c>
      <c r="B6987" t="inlineStr"/>
      <c r="C6987" t="inlineStr">
        <is>
          <t>252</t>
        </is>
      </c>
      <c r="D6987" t="inlineStr">
        <is>
          <t>2</t>
        </is>
      </c>
      <c r="E6987" t="inlineStr">
        <is>
          <t>21</t>
        </is>
      </c>
      <c r="F6987" t="inlineStr">
        <is>
          <t>0</t>
        </is>
      </c>
      <c r="G6987" t="inlineStr">
        <is>
          <t>0</t>
        </is>
      </c>
      <c r="H6987" t="inlineStr">
        <is>
          <t>84¹, 168¹</t>
        </is>
      </c>
      <c r="I6987" t="n">
        <v>2</v>
      </c>
      <c r="J6987" t="inlineStr">
        <is>
          <t>2³, 6⁶</t>
        </is>
      </c>
      <c r="K6987">
        <f>HYPERLINK("CSG3.html#group24A3", "24A³"), =HYPERLINK("CSG6.html#group84B6", "84B⁶"), =HYPERLINK("CSG7.html#group56A7", "56A⁷")</f>
        <v/>
      </c>
      <c r="L6987" t="inlineStr"/>
      <c r="M6987">
        <f>HYPERLINK("CSG3.html#group24A3", "24A³"), =HYPERLINK("CSG1.html#group8A1", "8A¹"), =HYPERLINK("CSG7.html#group56A7", "56A⁷"), =HYPERLINK("CSG0.html#group12C0", "12C⁰"), =HYPERLINK("CSG1.html#group14B1", "14B¹"), =HYPERLINK("CSG0.html#group4C0", "4C⁰"), =HYPERLINK("CSG0.html#group21A0", "21A⁰"), =HYPERLINK("CSG0.html#group2B0", "2B⁰"), =HYPERLINK("CSG0.html#group1A0", "1A⁰"), =HYPERLINK("CSG2.html#group28C2", "28C²"), =HYPERLINK("CSG0.html#group3A0", "3A⁰"), =HYPERLINK("CSG3.html#group42C3", "42C³"), =HYPERLINK("CSG6.html#group84B6", "84B⁶"), =HYPERLINK("CSG0.html#group6D0", "6D⁰"), =HYPERLINK("CSG0.html#group7A0", "7A⁰")</f>
        <v/>
      </c>
      <c r="N6987" t="inlineStr"/>
    </row>
    <row r="6988">
      <c r="A6988" t="inlineStr">
        <is>
          <t>168B²¹</t>
        </is>
      </c>
      <c r="B6988" t="inlineStr"/>
      <c r="C6988" t="inlineStr">
        <is>
          <t>288</t>
        </is>
      </c>
      <c r="D6988" t="inlineStr">
        <is>
          <t>1</t>
        </is>
      </c>
      <c r="E6988" t="inlineStr">
        <is>
          <t>48</t>
        </is>
      </c>
      <c r="F6988" t="inlineStr">
        <is>
          <t>0</t>
        </is>
      </c>
      <c r="G6988" t="inlineStr">
        <is>
          <t>0</t>
        </is>
      </c>
      <c r="H6988" t="inlineStr">
        <is>
          <t>3², 6¹, 21², 24¹, 42¹, 168¹</t>
        </is>
      </c>
      <c r="I6988" t="n">
        <v>8</v>
      </c>
      <c r="J6988" t="inlineStr">
        <is>
          <t>1⁸, 2², 6⁴, 12¹</t>
        </is>
      </c>
      <c r="K6988">
        <f>HYPERLINK("CSG2.html#group24B2", "24B²"), =HYPERLINK("CSG5.html#group56D5", "56D⁵"), =HYPERLINK("CSG10.html#group84B10", "84B¹⁰")</f>
        <v/>
      </c>
      <c r="L6988" t="inlineStr"/>
      <c r="M6988">
        <f>HYPERLINK("CSG2.html#group24B2", "24B²"), =HYPERLINK("CSG0.html#group3A0", "3A⁰"), =HYPERLINK("CSG2.html#group21A2", "21A²"), =HYPERLINK("CSG10.html#group84B10", "84B¹⁰"), =HYPERLINK("CSG5.html#group42A5", "42A⁵"), =HYPERLINK("CSG0.html#group7B0", "7B⁰"), =HYPERLINK("CSG2.html#group28D2", "28D²"), =HYPERLINK("CSG1.html#group14C1", "14C¹"), =HYPERLINK("CSG1.html#group12B1", "12B¹"), =HYPERLINK("CSG0.html#group2B0", "2B⁰"), =HYPERLINK("CSG0.html#group8C0", "8C⁰"), =HYPERLINK("CSG0.html#group4B0", "4B⁰"), =HYPERLINK("CSG5.html#group56D5", "56D⁵"), =HYPERLINK("CSG0.html#group1A0", "1A⁰"), =HYPERLINK("CSG0.html#group6D0", "6D⁰")</f>
        <v/>
      </c>
      <c r="N6988" t="inlineStr"/>
    </row>
    <row r="6989">
      <c r="A6989" t="inlineStr">
        <is>
          <t>168C²¹</t>
        </is>
      </c>
      <c r="B6989" t="inlineStr"/>
      <c r="C6989" t="inlineStr">
        <is>
          <t>288</t>
        </is>
      </c>
      <c r="D6989" t="inlineStr">
        <is>
          <t>1</t>
        </is>
      </c>
      <c r="E6989" t="inlineStr">
        <is>
          <t>144</t>
        </is>
      </c>
      <c r="F6989" t="inlineStr">
        <is>
          <t>0</t>
        </is>
      </c>
      <c r="G6989" t="inlineStr">
        <is>
          <t>0</t>
        </is>
      </c>
      <c r="H6989" t="inlineStr">
        <is>
          <t>3², 6¹, 21², 24¹, 42¹, 168¹</t>
        </is>
      </c>
      <c r="I6989" t="n">
        <v>8</v>
      </c>
      <c r="J6989" t="inlineStr">
        <is>
          <t>1⁸, 2¹⁰, 4², 6⁴, 12⁵, 24¹</t>
        </is>
      </c>
      <c r="K6989">
        <f>HYPERLINK("CSG2.html#group24D2", "24D²"), =HYPERLINK("CSG10.html#group84B10", "84B¹⁰")</f>
        <v/>
      </c>
      <c r="L6989" t="inlineStr"/>
      <c r="M6989">
        <f>HYPERLINK("CSG2.html#group28D2", "28D²"), =HYPERLINK("CSG0.html#group2B0", "2B⁰"), =HYPERLINK("CSG0.html#group4B0", "4B⁰"), =HYPERLINK("CSG0.html#group1A0", "1A⁰"), =HYPERLINK("CSG2.html#group21A2", "21A²"), =HYPERLINK("CSG10.html#group84B10", "84B¹⁰"), =HYPERLINK("CSG5.html#group42A5", "42A⁵"), =HYPERLINK("CSG0.html#group7B0", "7B⁰"), =HYPERLINK("CSG1.html#group14C1", "14C¹"), =HYPERLINK("CSG2.html#group24D2", "24D²"), =HYPERLINK("CSG1.html#group12B1", "12B¹"), =HYPERLINK("CSG0.html#group3A0", "3A⁰"), =HYPERLINK("CSG0.html#group6D0", "6D⁰")</f>
        <v/>
      </c>
      <c r="N6989" t="inlineStr"/>
    </row>
    <row r="6990">
      <c r="A6990" t="inlineStr">
        <is>
          <t>168D²¹</t>
        </is>
      </c>
      <c r="B6990" t="inlineStr"/>
      <c r="C6990" t="inlineStr">
        <is>
          <t>288</t>
        </is>
      </c>
      <c r="D6990" t="inlineStr">
        <is>
          <t>2</t>
        </is>
      </c>
      <c r="E6990" t="inlineStr">
        <is>
          <t>48</t>
        </is>
      </c>
      <c r="F6990" t="inlineStr">
        <is>
          <t>0</t>
        </is>
      </c>
      <c r="G6990" t="inlineStr">
        <is>
          <t>0</t>
        </is>
      </c>
      <c r="H6990" t="inlineStr">
        <is>
          <t>3², 6¹, 21², 24¹, 42¹, 168¹</t>
        </is>
      </c>
      <c r="I6990" t="n">
        <v>8</v>
      </c>
      <c r="J6990" t="inlineStr">
        <is>
          <t>2⁸, 4², 12⁴, 24¹</t>
        </is>
      </c>
      <c r="K6990">
        <f>HYPERLINK("CSG5.html#group56D5", "56D⁵"), =HYPERLINK("CSG10.html#group84D10", "84D¹⁰")</f>
        <v/>
      </c>
      <c r="L6990" t="inlineStr"/>
      <c r="M6990">
        <f>HYPERLINK("CSG5.html#group42B5", "42B⁵"), =HYPERLINK("CSG0.html#group7B0", "7B⁰"), =HYPERLINK("CSG1.html#group21A1", "21A¹"), =HYPERLINK("CSG2.html#group28D2", "28D²"), =HYPERLINK("CSG1.html#group14C1", "14C¹"), =HYPERLINK("CSG0.html#group8C0", "8C⁰"), =HYPERLINK("CSG0.html#group2B0", "2B⁰"), =HYPERLINK("CSG0.html#group4B0", "4B⁰"), =HYPERLINK("CSG5.html#group56D5", "56D⁵"), =HYPERLINK("CSG0.html#group1A0", "1A⁰"), =HYPERLINK("CSG10.html#group84D10", "84D¹⁰")</f>
        <v/>
      </c>
      <c r="N6990" t="inlineStr"/>
    </row>
    <row r="6991">
      <c r="A6991" t="inlineStr">
        <is>
          <t>170A²¹</t>
        </is>
      </c>
      <c r="B6991" t="inlineStr"/>
      <c r="C6991" t="inlineStr">
        <is>
          <t>270</t>
        </is>
      </c>
      <c r="D6991" t="inlineStr">
        <is>
          <t>1</t>
        </is>
      </c>
      <c r="E6991" t="inlineStr">
        <is>
          <t>270</t>
        </is>
      </c>
      <c r="F6991" t="inlineStr">
        <is>
          <t>2</t>
        </is>
      </c>
      <c r="G6991" t="inlineStr">
        <is>
          <t>0</t>
        </is>
      </c>
      <c r="H6991" t="inlineStr">
        <is>
          <t>5¹, 10¹, 85¹, 170¹</t>
        </is>
      </c>
      <c r="I6991" t="n">
        <v>4</v>
      </c>
      <c r="J6991" t="inlineStr">
        <is>
          <t>1⁶, 4⁶, 16³, 64³</t>
        </is>
      </c>
      <c r="K6991">
        <f>HYPERLINK("CSG1.html#group10B1", "10B¹"), =HYPERLINK("CSG3.html#group34C3", "34C³"), =HYPERLINK("CSG7.html#group85A7", "85A⁷")</f>
        <v/>
      </c>
      <c r="L6991" t="inlineStr"/>
      <c r="M6991">
        <f>HYPERLINK("CSG7.html#group85A7", "85A⁷"), =HYPERLINK("CSG0.html#group5A0", "5A⁰"), =HYPERLINK("CSG3.html#group34C3", "34C³"), =HYPERLINK("CSG1.html#group10B1", "10B¹"), =HYPERLINK("CSG1.html#group17A1", "17A¹"), =HYPERLINK("CSG0.html#group2B0", "2B⁰"), =HYPERLINK("CSG0.html#group1A0", "1A⁰")</f>
        <v/>
      </c>
      <c r="N6991" t="inlineStr"/>
    </row>
    <row r="6992">
      <c r="A6992" t="inlineStr">
        <is>
          <t>172A²¹</t>
        </is>
      </c>
      <c r="B6992" t="inlineStr"/>
      <c r="C6992" t="inlineStr">
        <is>
          <t>264</t>
        </is>
      </c>
      <c r="D6992" t="inlineStr">
        <is>
          <t>1</t>
        </is>
      </c>
      <c r="E6992" t="inlineStr">
        <is>
          <t>132</t>
        </is>
      </c>
      <c r="F6992" t="inlineStr">
        <is>
          <t>0</t>
        </is>
      </c>
      <c r="G6992" t="inlineStr">
        <is>
          <t>0</t>
        </is>
      </c>
      <c r="H6992" t="inlineStr">
        <is>
          <t>2¹, 4¹, 86¹, 172¹</t>
        </is>
      </c>
      <c r="I6992" t="n">
        <v>4</v>
      </c>
      <c r="J6992" t="inlineStr">
        <is>
          <t>1⁶, 42³</t>
        </is>
      </c>
      <c r="K6992">
        <f>HYPERLINK("CSG0.html#group4C0", "4C⁰"), =HYPERLINK("CSG10.html#group86A10", "86A¹⁰")</f>
        <v/>
      </c>
      <c r="L6992" t="inlineStr"/>
      <c r="M6992">
        <f>HYPERLINK("CSG0.html#group4C0", "4C⁰"), =HYPERLINK("CSG0.html#group2B0", "2B⁰"), =HYPERLINK("CSG0.html#group1A0", "1A⁰"), =HYPERLINK("CSG3.html#group43A3", "43A³"), =HYPERLINK("CSG10.html#group86A10", "86A¹⁰")</f>
        <v/>
      </c>
      <c r="N6992" t="inlineStr"/>
    </row>
    <row r="6993">
      <c r="A6993" t="inlineStr">
        <is>
          <t>176A²¹</t>
        </is>
      </c>
      <c r="B6993" t="inlineStr"/>
      <c r="C6993" t="inlineStr">
        <is>
          <t>264</t>
        </is>
      </c>
      <c r="D6993" t="inlineStr">
        <is>
          <t>2</t>
        </is>
      </c>
      <c r="E6993" t="inlineStr">
        <is>
          <t>66</t>
        </is>
      </c>
      <c r="F6993" t="inlineStr">
        <is>
          <t>0</t>
        </is>
      </c>
      <c r="G6993" t="inlineStr">
        <is>
          <t>0</t>
        </is>
      </c>
      <c r="H6993" t="inlineStr">
        <is>
          <t>22², 44¹, 176¹</t>
        </is>
      </c>
      <c r="I6993" t="n">
        <v>4</v>
      </c>
      <c r="J6993" t="inlineStr">
        <is>
          <t>2⁴, 4¹, 10⁸, 20²</t>
        </is>
      </c>
      <c r="K6993">
        <f>HYPERLINK("CSG1.html#group16A1", "16A¹"), =HYPERLINK("CSG10.html#group88A10", "88A¹⁰")</f>
        <v/>
      </c>
      <c r="L6993" t="inlineStr"/>
      <c r="M6993">
        <f>HYPERLINK("CSG0.html#group11A0", "11A⁰"), =HYPERLINK("CSG5.html#group44A5", "44A⁵"), =HYPERLINK("CSG1.html#group16A1", "16A¹"), =HYPERLINK("CSG0.html#group8C0", "8C⁰"), =HYPERLINK("CSG10.html#group88A10", "88A¹⁰"), =HYPERLINK("CSG0.html#group2B0", "2B⁰"), =HYPERLINK("CSG2.html#group22B2", "22B²"), =HYPERLINK("CSG0.html#group4B0", "4B⁰"), =HYPERLINK("CSG0.html#group1A0", "1A⁰")</f>
        <v/>
      </c>
      <c r="N6993" t="inlineStr"/>
    </row>
    <row r="6994">
      <c r="A6994" t="inlineStr">
        <is>
          <t>176B²¹</t>
        </is>
      </c>
      <c r="B6994" t="inlineStr"/>
      <c r="C6994" t="inlineStr">
        <is>
          <t>288</t>
        </is>
      </c>
      <c r="D6994" t="inlineStr">
        <is>
          <t>1</t>
        </is>
      </c>
      <c r="E6994" t="inlineStr">
        <is>
          <t>72</t>
        </is>
      </c>
      <c r="F6994" t="inlineStr">
        <is>
          <t>0</t>
        </is>
      </c>
      <c r="G6994" t="inlineStr">
        <is>
          <t>0</t>
        </is>
      </c>
      <c r="H6994" t="inlineStr">
        <is>
          <t>2², 4¹, 16¹, 22², 44¹, 176¹</t>
        </is>
      </c>
      <c r="I6994" t="n">
        <v>8</v>
      </c>
      <c r="J6994" t="inlineStr">
        <is>
          <t>1⁸, 2², 10⁴, 20¹</t>
        </is>
      </c>
      <c r="K6994">
        <f>HYPERLINK("CSG9.html#group88B9", "88B⁹")</f>
        <v/>
      </c>
      <c r="L6994" t="inlineStr"/>
      <c r="M6994">
        <f>HYPERLINK("CSG1.html#group11A1", "11A¹"), =HYPERLINK("CSG9.html#group88B9", "88B⁹"), =HYPERLINK("CSG0.html#group8C0", "8C⁰"), =HYPERLINK("CSG0.html#group2B0", "2B⁰"), =HYPERLINK("CSG0.html#group4B0", "4B⁰"), =HYPERLINK("CSG2.html#group22C2", "22C²"), =HYPERLINK("CSG0.html#group1A0", "1A⁰"), =HYPERLINK("CSG4.html#group44D4", "44D⁴")</f>
        <v/>
      </c>
      <c r="N6994" t="inlineStr"/>
    </row>
    <row r="6995">
      <c r="A6995" t="inlineStr">
        <is>
          <t>176C²¹</t>
        </is>
      </c>
      <c r="B6995" t="inlineStr"/>
      <c r="C6995" t="inlineStr">
        <is>
          <t>288</t>
        </is>
      </c>
      <c r="D6995" t="inlineStr">
        <is>
          <t>1</t>
        </is>
      </c>
      <c r="E6995" t="inlineStr">
        <is>
          <t>72</t>
        </is>
      </c>
      <c r="F6995" t="inlineStr">
        <is>
          <t>0</t>
        </is>
      </c>
      <c r="G6995" t="inlineStr">
        <is>
          <t>0</t>
        </is>
      </c>
      <c r="H6995" t="inlineStr">
        <is>
          <t>2², 4¹, 16¹, 22², 44¹, 176¹</t>
        </is>
      </c>
      <c r="I6995" t="n">
        <v>8</v>
      </c>
      <c r="J6995" t="inlineStr">
        <is>
          <t>1⁸, 2², 10⁴, 20¹</t>
        </is>
      </c>
      <c r="K6995">
        <f>HYPERLINK("CSG1.html#group16A1", "16A¹"), =HYPERLINK("CSG9.html#group88B9", "88B⁹")</f>
        <v/>
      </c>
      <c r="L6995" t="inlineStr"/>
      <c r="M6995">
        <f>HYPERLINK("CSG1.html#group11A1", "11A¹"), =HYPERLINK("CSG1.html#group16A1", "16A¹"), =HYPERLINK("CSG9.html#group88B9", "88B⁹"), =HYPERLINK("CSG0.html#group8C0", "8C⁰"), =HYPERLINK("CSG0.html#group2B0", "2B⁰"), =HYPERLINK("CSG0.html#group4B0", "4B⁰"), =HYPERLINK("CSG2.html#group22C2", "22C²"), =HYPERLINK("CSG0.html#group1A0", "1A⁰"), =HYPERLINK("CSG4.html#group44D4", "44D⁴")</f>
        <v/>
      </c>
      <c r="N6995" t="inlineStr"/>
    </row>
    <row r="6996">
      <c r="A6996" t="inlineStr">
        <is>
          <t>178A²¹</t>
        </is>
      </c>
      <c r="B6996" t="inlineStr">
        <is>
          <t>Γ₀(178)</t>
        </is>
      </c>
      <c r="C6996" t="inlineStr">
        <is>
          <t>270</t>
        </is>
      </c>
      <c r="D6996" t="inlineStr">
        <is>
          <t>1</t>
        </is>
      </c>
      <c r="E6996" t="inlineStr">
        <is>
          <t>270</t>
        </is>
      </c>
      <c r="F6996" t="inlineStr">
        <is>
          <t>2</t>
        </is>
      </c>
      <c r="G6996" t="inlineStr">
        <is>
          <t>0</t>
        </is>
      </c>
      <c r="H6996" t="inlineStr">
        <is>
          <t>1¹, 2¹, 89¹, 178¹</t>
        </is>
      </c>
      <c r="I6996" t="n">
        <v>4</v>
      </c>
      <c r="J6996" t="inlineStr">
        <is>
          <t>1⁶, 88³</t>
        </is>
      </c>
      <c r="K6996">
        <f>HYPERLINK("CSG0.html#group2B0", "2B⁰"), =HYPERLINK("CSG7.html#group89A7", "89A⁷")</f>
        <v/>
      </c>
      <c r="L6996" t="inlineStr"/>
      <c r="M6996">
        <f>HYPERLINK("CSG7.html#group89A7", "89A⁷"), =HYPERLINK("CSG0.html#group1A0", "1A⁰"), =HYPERLINK("CSG0.html#group2B0", "2B⁰")</f>
        <v/>
      </c>
      <c r="N6996" t="inlineStr"/>
    </row>
    <row r="6997">
      <c r="A6997" t="inlineStr">
        <is>
          <t>180A²¹</t>
        </is>
      </c>
      <c r="B6997" t="inlineStr"/>
      <c r="C6997" t="inlineStr">
        <is>
          <t>270</t>
        </is>
      </c>
      <c r="D6997" t="inlineStr">
        <is>
          <t>1</t>
        </is>
      </c>
      <c r="E6997" t="inlineStr">
        <is>
          <t>135</t>
        </is>
      </c>
      <c r="F6997" t="inlineStr">
        <is>
          <t>4</t>
        </is>
      </c>
      <c r="G6997" t="inlineStr">
        <is>
          <t>0</t>
        </is>
      </c>
      <c r="H6997" t="inlineStr">
        <is>
          <t>45², 180¹</t>
        </is>
      </c>
      <c r="I6997" t="n">
        <v>3</v>
      </c>
      <c r="J6997" t="inlineStr">
        <is>
          <t>1³, 2³, 4³, 6³, 8³, 24³</t>
        </is>
      </c>
      <c r="K6997">
        <f>HYPERLINK("CSG3.html#group36D3", "36D³"), =HYPERLINK("CSG6.html#group60C6", "60C⁶"), =HYPERLINK("CSG10.html#group90D10", "90D¹⁰")</f>
        <v/>
      </c>
      <c r="L6997" t="inlineStr"/>
      <c r="M6997">
        <f>HYPERLINK("CSG0.html#group5A0", "5A⁰"), =HYPERLINK("CSG6.html#group60C6", "60C⁶"), =HYPERLINK("CSG1.html#group15A1", "15A¹"), =HYPERLINK("CSG10.html#group90D10", "90D¹⁰"), =HYPERLINK("CSG1.html#group10B1", "10B¹"), =HYPERLINK("CSG0.html#group2B0", "2B⁰"), =HYPERLINK("CSG0.html#group1A0", "1A⁰"), =HYPERLINK("CSG3.html#group30D3", "30D³"), =HYPERLINK("CSG0.html#group9A0", "9A⁰"), =HYPERLINK("CSG0.html#group12D0", "12D⁰"), =HYPERLINK("CSG1.html#group18E1", "18E¹"), =HYPERLINK("CSG0.html#group3A0", "3A⁰"), =HYPERLINK("CSG3.html#group36D3", "36D³"), =HYPERLINK("CSG0.html#group6D0", "6D⁰"), =HYPERLINK("CSG3.html#group45A3", "45A³")</f>
        <v/>
      </c>
      <c r="N6997" t="inlineStr"/>
    </row>
    <row r="6998">
      <c r="A6998" t="inlineStr">
        <is>
          <t>180B²¹</t>
        </is>
      </c>
      <c r="B6998" t="inlineStr"/>
      <c r="C6998" t="inlineStr">
        <is>
          <t>270</t>
        </is>
      </c>
      <c r="D6998" t="inlineStr">
        <is>
          <t>1</t>
        </is>
      </c>
      <c r="E6998" t="inlineStr">
        <is>
          <t>135</t>
        </is>
      </c>
      <c r="F6998" t="inlineStr">
        <is>
          <t>6</t>
        </is>
      </c>
      <c r="G6998" t="inlineStr">
        <is>
          <t>0</t>
        </is>
      </c>
      <c r="H6998" t="inlineStr">
        <is>
          <t>90¹, 180¹</t>
        </is>
      </c>
      <c r="I6998" t="n">
        <v>2</v>
      </c>
      <c r="J6998" t="inlineStr">
        <is>
          <t>1³, 2³, 4³, 6³, 8³, 24³</t>
        </is>
      </c>
      <c r="K6998">
        <f>HYPERLINK("CSG3.html#group36E3", "36E³"), =HYPERLINK("CSG7.html#group60B7", "60B⁷"), =HYPERLINK("CSG10.html#group90D10", "90D¹⁰")</f>
        <v/>
      </c>
      <c r="L6998" t="inlineStr"/>
      <c r="M6998">
        <f>HYPERLINK("CSG0.html#group5A0", "5A⁰"), =HYPERLINK("CSG3.html#group36E3", "36E³"), =HYPERLINK("CSG10.html#group90D10", "90D¹⁰"), =HYPERLINK("CSG1.html#group10B1", "10B¹"), =HYPERLINK("CSG7.html#group60B7", "60B⁷"), =HYPERLINK("CSG0.html#group2B0", "2B⁰"), =HYPERLINK("CSG0.html#group1A0", "1A⁰"), =HYPERLINK("CSG3.html#group30D3", "30D³"), =HYPERLINK("CSG1.html#group12C1", "12C¹"), =HYPERLINK("CSG0.html#group6D0", "6D⁰"), =HYPERLINK("CSG0.html#group9A0", "9A⁰"), =HYPERLINK("CSG1.html#group18E1", "18E¹"), =HYPERLINK("CSG0.html#group3A0", "3A⁰"), =HYPERLINK("CSG1.html#group15A1", "15A¹"), =HYPERLINK("CSG3.html#group45A3", "45A³")</f>
        <v/>
      </c>
      <c r="N6998" t="inlineStr"/>
    </row>
    <row r="6999">
      <c r="A6999" t="inlineStr">
        <is>
          <t>180C²¹</t>
        </is>
      </c>
      <c r="B6999" t="inlineStr"/>
      <c r="C6999" t="inlineStr">
        <is>
          <t>288</t>
        </is>
      </c>
      <c r="D6999" t="inlineStr">
        <is>
          <t>1</t>
        </is>
      </c>
      <c r="E6999" t="inlineStr">
        <is>
          <t>24</t>
        </is>
      </c>
      <c r="F6999" t="inlineStr">
        <is>
          <t>0</t>
        </is>
      </c>
      <c r="G6999" t="inlineStr">
        <is>
          <t>0</t>
        </is>
      </c>
      <c r="H6999" t="inlineStr">
        <is>
          <t>4³, 20³, 36¹, 180¹</t>
        </is>
      </c>
      <c r="I6999" t="n">
        <v>8</v>
      </c>
      <c r="J6999" t="inlineStr">
        <is>
          <t>1⁴, 2², 4², 8¹</t>
        </is>
      </c>
      <c r="K6999">
        <f>HYPERLINK("CSG7.html#group60D7", "60D⁷"), =HYPERLINK("CSG9.html#group90E9", "90E⁹")</f>
        <v/>
      </c>
      <c r="L6999" t="inlineStr"/>
      <c r="M6999">
        <f>HYPERLINK("CSG1.html#group15C1", "15C¹"), =HYPERLINK("CSG0.html#group3B0", "3B⁰"), =HYPERLINK("CSG0.html#group2A0", "2A⁰"), =HYPERLINK("CSG1.html#group18C1", "18C¹"), =HYPERLINK("CSG0.html#group6C0", "6C⁰"), =HYPERLINK("CSG0.html#group5B0", "5B⁰"), =HYPERLINK("CSG0.html#group9B0", "9B⁰"), =HYPERLINK("CSG1.html#group10A1", "10A¹"), =HYPERLINK("CSG0.html#group1A0", "1A⁰"), =HYPERLINK("CSG9.html#group90E9", "90E⁹"), =HYPERLINK("CSG3.html#group45D3", "45D³"), =HYPERLINK("CSG3.html#group30G3", "30G³"), =HYPERLINK("CSG7.html#group60D7", "60D⁷")</f>
        <v/>
      </c>
      <c r="N6999" t="inlineStr"/>
    </row>
    <row r="7000">
      <c r="A7000" t="inlineStr">
        <is>
          <t>180D²¹</t>
        </is>
      </c>
      <c r="B7000" t="inlineStr"/>
      <c r="C7000" t="inlineStr">
        <is>
          <t>288</t>
        </is>
      </c>
      <c r="D7000" t="inlineStr">
        <is>
          <t>1</t>
        </is>
      </c>
      <c r="E7000" t="inlineStr">
        <is>
          <t>24</t>
        </is>
      </c>
      <c r="F7000" t="inlineStr">
        <is>
          <t>0</t>
        </is>
      </c>
      <c r="G7000" t="inlineStr">
        <is>
          <t>0</t>
        </is>
      </c>
      <c r="H7000" t="inlineStr">
        <is>
          <t>4³, 20³, 36¹, 180¹</t>
        </is>
      </c>
      <c r="I7000" t="n">
        <v>8</v>
      </c>
      <c r="J7000" t="inlineStr">
        <is>
          <t>1⁴, 2², 4², 8¹</t>
        </is>
      </c>
      <c r="K7000">
        <f>HYPERLINK("CSG3.html#group36A3", "36A³"), =HYPERLINK("CSG7.html#group60E7", "60E⁷"), =HYPERLINK("CSG9.html#group90E9", "90E⁹")</f>
        <v/>
      </c>
      <c r="L7000" t="inlineStr"/>
      <c r="M7000">
        <f>HYPERLINK("CSG0.html#group3B0", "3B⁰"), =HYPERLINK("CSG1.html#group15C1", "15C¹"), =HYPERLINK("CSG0.html#group2A0", "2A⁰"), =HYPERLINK("CSG7.html#group60E7", "60E⁷"), =HYPERLINK("CSG1.html#group18C1", "18C¹"), =HYPERLINK("CSG0.html#group6C0", "6C⁰"), =HYPERLINK("CSG0.html#group5B0", "5B⁰"), =HYPERLINK("CSG0.html#group9B0", "9B⁰"), =HYPERLINK("CSG3.html#group45D3", "45D³"), =HYPERLINK("CSG1.html#group10A1", "10A¹"), =HYPERLINK("CSG9.html#group90E9", "90E⁹"), =HYPERLINK("CSG3.html#group30G3", "30G³"), =HYPERLINK("CSG0.html#group1A0", "1A⁰"), =HYPERLINK("CSG3.html#group36A3", "36A³"), =HYPERLINK("CSG0.html#group12B0", "12B⁰")</f>
        <v/>
      </c>
      <c r="N7000" t="inlineStr"/>
    </row>
    <row r="7001">
      <c r="A7001" t="inlineStr">
        <is>
          <t>180E²¹</t>
        </is>
      </c>
      <c r="B7001" t="inlineStr"/>
      <c r="C7001" t="inlineStr">
        <is>
          <t>288</t>
        </is>
      </c>
      <c r="D7001" t="inlineStr">
        <is>
          <t>1</t>
        </is>
      </c>
      <c r="E7001" t="inlineStr">
        <is>
          <t>48</t>
        </is>
      </c>
      <c r="F7001" t="inlineStr">
        <is>
          <t>0</t>
        </is>
      </c>
      <c r="G7001" t="inlineStr">
        <is>
          <t>0</t>
        </is>
      </c>
      <c r="H7001" t="inlineStr">
        <is>
          <t>4³, 20³, 36¹, 180¹</t>
        </is>
      </c>
      <c r="I7001" t="n">
        <v>8</v>
      </c>
      <c r="J7001" t="inlineStr">
        <is>
          <t>2⁸, 8⁴</t>
        </is>
      </c>
      <c r="K7001">
        <f>HYPERLINK("CSG7.html#group60D7", "60D⁷"), =HYPERLINK("CSG9.html#group90F9", "90F⁹")</f>
        <v/>
      </c>
      <c r="L7001" t="inlineStr"/>
      <c r="M7001">
        <f>HYPERLINK("CSG1.html#group15C1", "15C¹"), =HYPERLINK("CSG0.html#group3B0", "3B⁰"), =HYPERLINK("CSG0.html#group2A0", "2A⁰"), =HYPERLINK("CSG0.html#group18C0", "18C⁰"), =HYPERLINK("CSG9.html#group90F9", "90F⁹"), =HYPERLINK("CSG0.html#group6C0", "6C⁰"), =HYPERLINK("CSG0.html#group5B0", "5B⁰"), =HYPERLINK("CSG1.html#group10A1", "10A¹"), =HYPERLINK("CSG0.html#group1A0", "1A⁰"), =HYPERLINK("CSG3.html#group30G3", "30G³"), =HYPERLINK("CSG7.html#group60D7", "60D⁷")</f>
        <v/>
      </c>
      <c r="N7001" t="inlineStr"/>
    </row>
    <row r="7002">
      <c r="A7002" t="inlineStr">
        <is>
          <t>180F²¹</t>
        </is>
      </c>
      <c r="B7002" t="inlineStr"/>
      <c r="C7002" t="inlineStr">
        <is>
          <t>288</t>
        </is>
      </c>
      <c r="D7002" t="inlineStr">
        <is>
          <t>1</t>
        </is>
      </c>
      <c r="E7002" t="inlineStr">
        <is>
          <t>48</t>
        </is>
      </c>
      <c r="F7002" t="inlineStr">
        <is>
          <t>0</t>
        </is>
      </c>
      <c r="G7002" t="inlineStr">
        <is>
          <t>0</t>
        </is>
      </c>
      <c r="H7002" t="inlineStr">
        <is>
          <t>4³, 20³, 36¹, 180¹</t>
        </is>
      </c>
      <c r="I7002" t="n">
        <v>8</v>
      </c>
      <c r="J7002" t="inlineStr">
        <is>
          <t>2⁸, 8⁴</t>
        </is>
      </c>
      <c r="K7002">
        <f>HYPERLINK("CSG1.html#group36B1", "36B¹"), =HYPERLINK("CSG7.html#group60E7", "60E⁷"), =HYPERLINK("CSG9.html#group90F9", "90F⁹")</f>
        <v/>
      </c>
      <c r="L7002" t="inlineStr"/>
      <c r="M7002">
        <f>HYPERLINK("CSG0.html#group18C0", "18C⁰"), =HYPERLINK("CSG0.html#group3B0", "3B⁰"), =HYPERLINK("CSG0.html#group2A0", "2A⁰"), =HYPERLINK("CSG1.html#group15C1", "15C¹"), =HYPERLINK("CSG9.html#group90F9", "90F⁹"), =HYPERLINK("CSG7.html#group60E7", "60E⁷"), =HYPERLINK("CSG0.html#group6C0", "6C⁰"), =HYPERLINK("CSG1.html#group36B1", "36B¹"), =HYPERLINK("CSG0.html#group5B0", "5B⁰"), =HYPERLINK("CSG1.html#group10A1", "10A¹"), =HYPERLINK("CSG3.html#group30G3", "30G³"), =HYPERLINK("CSG0.html#group1A0", "1A⁰"), =HYPERLINK("CSG0.html#group12B0", "12B⁰")</f>
        <v/>
      </c>
      <c r="N7002" t="inlineStr"/>
    </row>
    <row r="7003">
      <c r="A7003" t="inlineStr">
        <is>
          <t>180G²¹</t>
        </is>
      </c>
      <c r="B7003" t="inlineStr"/>
      <c r="C7003" t="inlineStr">
        <is>
          <t>288</t>
        </is>
      </c>
      <c r="D7003" t="inlineStr">
        <is>
          <t>1</t>
        </is>
      </c>
      <c r="E7003" t="inlineStr">
        <is>
          <t>96</t>
        </is>
      </c>
      <c r="F7003" t="inlineStr">
        <is>
          <t>0</t>
        </is>
      </c>
      <c r="G7003" t="inlineStr">
        <is>
          <t>0</t>
        </is>
      </c>
      <c r="H7003" t="inlineStr">
        <is>
          <t>4³, 20³, 36¹, 180¹</t>
        </is>
      </c>
      <c r="I7003" t="n">
        <v>8</v>
      </c>
      <c r="J7003" t="inlineStr">
        <is>
          <t>2⁸, 4⁴, 8⁴, 16²</t>
        </is>
      </c>
      <c r="K7003">
        <f>HYPERLINK("CSG3.html#group36B3", "36B³"), =HYPERLINK("CSG3.html#group45D3", "45D³"), =HYPERLINK("CSG7.html#group60F7", "60F⁷")</f>
        <v/>
      </c>
      <c r="L7003" t="inlineStr"/>
      <c r="M7003">
        <f>HYPERLINK("CSG0.html#group3B0", "3B⁰"), =HYPERLINK("CSG1.html#group15C1", "15C¹"), =HYPERLINK("CSG7.html#group60F7", "60F⁷"), =HYPERLINK("CSG0.html#group4A0", "4A⁰"), =HYPERLINK("CSG1.html#group12A1", "12A¹"), =HYPERLINK("CSG0.html#group5B0", "5B⁰"), =HYPERLINK("CSG0.html#group9B0", "9B⁰"), =HYPERLINK("CSG3.html#group45D3", "45D³"), =HYPERLINK("CSG3.html#group36B3", "36B³"), =HYPERLINK("CSG0.html#group1A0", "1A⁰"), =HYPERLINK("CSG1.html#group20B1", "20B¹")</f>
        <v/>
      </c>
      <c r="N7003" t="inlineStr"/>
    </row>
    <row r="7004">
      <c r="A7004" t="inlineStr">
        <is>
          <t>180H²¹</t>
        </is>
      </c>
      <c r="B7004" t="inlineStr"/>
      <c r="C7004" t="inlineStr">
        <is>
          <t>288</t>
        </is>
      </c>
      <c r="D7004" t="inlineStr">
        <is>
          <t>2</t>
        </is>
      </c>
      <c r="E7004" t="inlineStr">
        <is>
          <t>24</t>
        </is>
      </c>
      <c r="F7004" t="inlineStr">
        <is>
          <t>0</t>
        </is>
      </c>
      <c r="G7004" t="inlineStr">
        <is>
          <t>0</t>
        </is>
      </c>
      <c r="H7004" t="inlineStr">
        <is>
          <t>4³, 20³, 36¹, 180¹</t>
        </is>
      </c>
      <c r="I7004" t="n">
        <v>8</v>
      </c>
      <c r="J7004" t="inlineStr">
        <is>
          <t>2⁴, 4², 8², 16¹</t>
        </is>
      </c>
      <c r="K7004">
        <f>HYPERLINK("CSG7.html#group60G7", "60G⁷"), =HYPERLINK("CSG9.html#group90D9", "90D⁹")</f>
        <v/>
      </c>
      <c r="L7004" t="inlineStr"/>
      <c r="M7004">
        <f>HYPERLINK("CSG0.html#group3B0", "3B⁰"), =HYPERLINK("CSG1.html#group15C1", "15C¹"), =HYPERLINK("CSG1.html#group20C1", "20C¹"), =HYPERLINK("CSG3.html#group30F3", "30F³"), =HYPERLINK("CSG0.html#group5B0", "5B⁰"), =HYPERLINK("CSG9.html#group90D9", "90D⁹"), =HYPERLINK("CSG0.html#group9B0", "9B⁰"), =HYPERLINK("CSG3.html#group45D3", "45D³"), =HYPERLINK("CSG0.html#group1A0", "1A⁰"), =HYPERLINK("CSG7.html#group60G7", "60G⁷"), =HYPERLINK("CSG0.html#group10B0", "10B⁰")</f>
        <v/>
      </c>
      <c r="N7004" t="inlineStr"/>
    </row>
    <row r="7005">
      <c r="A7005" t="inlineStr">
        <is>
          <t>180I²¹</t>
        </is>
      </c>
      <c r="B7005" t="inlineStr"/>
      <c r="C7005" t="inlineStr">
        <is>
          <t>324</t>
        </is>
      </c>
      <c r="D7005" t="inlineStr">
        <is>
          <t>1</t>
        </is>
      </c>
      <c r="E7005" t="inlineStr">
        <is>
          <t>162</t>
        </is>
      </c>
      <c r="F7005" t="inlineStr">
        <is>
          <t>20</t>
        </is>
      </c>
      <c r="G7005" t="inlineStr">
        <is>
          <t>0</t>
        </is>
      </c>
      <c r="H7005" t="inlineStr">
        <is>
          <t>18¹, 36¹, 90¹, 180¹</t>
        </is>
      </c>
      <c r="I7005" t="n">
        <v>4</v>
      </c>
      <c r="J7005" t="inlineStr">
        <is>
          <t>1⁶, 2⁶, 4³, 6⁶, 8³, 24³</t>
        </is>
      </c>
      <c r="K7005">
        <f>HYPERLINK("CSG2.html#group36B2", "36B²"), =HYPERLINK("CSG5.html#group60A5", "60A⁵"), =HYPERLINK("CSG10.html#group90E10", "90E¹⁰")</f>
        <v/>
      </c>
      <c r="L7005" t="inlineStr"/>
      <c r="M7005">
        <f>HYPERLINK("CSG1.html#group20E1", "20E¹"), =HYPERLINK("CSG2.html#group45A2", "45A²"), =HYPERLINK("CSG0.html#group12C0", "12C⁰"), =HYPERLINK("CSG2.html#group36B2", "36B²"), =HYPERLINK("CSG0.html#group4C0", "4C⁰"), =HYPERLINK("CSG10.html#group90E10", "90E¹⁰"), =HYPERLINK("CSG0.html#group5B0", "5B⁰"), =HYPERLINK("CSG0.html#group2B0", "2B⁰"), =HYPERLINK("CSG0.html#group1A0", "1A⁰"), =HYPERLINK("CSG0.html#group15B0", "15B⁰"), =HYPERLINK("CSG2.html#group30E2", "30E²"), =HYPERLINK("CSG5.html#group60A5", "60A⁵"), =HYPERLINK("CSG0.html#group9A0", "9A⁰"), =HYPERLINK("CSG0.html#group10C0", "10C⁰"), =HYPERLINK("CSG1.html#group18E1", "18E¹"), =HYPERLINK("CSG0.html#group3A0", "3A⁰"), =HYPERLINK("CSG0.html#group6D0", "6D⁰")</f>
        <v/>
      </c>
      <c r="N7005" t="inlineStr"/>
    </row>
    <row r="7006">
      <c r="A7006" t="inlineStr">
        <is>
          <t>180J²¹</t>
        </is>
      </c>
      <c r="B7006" t="inlineStr"/>
      <c r="C7006" t="inlineStr">
        <is>
          <t>324</t>
        </is>
      </c>
      <c r="D7006" t="inlineStr">
        <is>
          <t>2</t>
        </is>
      </c>
      <c r="E7006" t="inlineStr">
        <is>
          <t>162</t>
        </is>
      </c>
      <c r="F7006" t="inlineStr">
        <is>
          <t>16</t>
        </is>
      </c>
      <c r="G7006" t="inlineStr">
        <is>
          <t>0</t>
        </is>
      </c>
      <c r="H7006" t="inlineStr">
        <is>
          <t>9², 36¹, 45², 180¹</t>
        </is>
      </c>
      <c r="I7006" t="n">
        <v>6</v>
      </c>
      <c r="J7006" t="inlineStr">
        <is>
          <t>2¹⁸, 6¹², 8⁹, 24⁶</t>
        </is>
      </c>
      <c r="K7006">
        <f>HYPERLINK("CSG2.html#group36C2", "36C²"), =HYPERLINK("CSG5.html#group60B5", "60B⁵"), =HYPERLINK("CSG10.html#group90E10", "90E¹⁰")</f>
        <v/>
      </c>
      <c r="L7006" t="inlineStr"/>
      <c r="M7006">
        <f>HYPERLINK("CSG2.html#group45A2", "45A²"), =HYPERLINK("CSG0.html#group15B0", "15B⁰"), =HYPERLINK("CSG2.html#group30E2", "30E²"), =HYPERLINK("CSG0.html#group9A0", "9A⁰"), =HYPERLINK("CSG10.html#group90E10", "90E¹⁰"), =HYPERLINK("CSG0.html#group5B0", "5B⁰"), =HYPERLINK("CSG2.html#group36C2", "36C²"), =HYPERLINK("CSG0.html#group10C0", "10C⁰"), =HYPERLINK("CSG0.html#group2B0", "2B⁰"), =HYPERLINK("CSG0.html#group12D0", "12D⁰"), =HYPERLINK("CSG1.html#group18E1", "18E¹"), =HYPERLINK("CSG0.html#group3A0", "3A⁰"), =HYPERLINK("CSG0.html#group1A0", "1A⁰"), =HYPERLINK("CSG0.html#group6D0", "6D⁰"), =HYPERLINK("CSG5.html#group60B5", "60B⁵")</f>
        <v/>
      </c>
      <c r="N7006" t="inlineStr"/>
    </row>
    <row r="7007">
      <c r="A7007" t="inlineStr">
        <is>
          <t>184A²¹</t>
        </is>
      </c>
      <c r="B7007" t="inlineStr">
        <is>
          <t>Γ₀(184)</t>
        </is>
      </c>
      <c r="C7007" t="inlineStr">
        <is>
          <t>288</t>
        </is>
      </c>
      <c r="D7007" t="inlineStr">
        <is>
          <t>1</t>
        </is>
      </c>
      <c r="E7007" t="inlineStr">
        <is>
          <t>144</t>
        </is>
      </c>
      <c r="F7007" t="inlineStr">
        <is>
          <t>0</t>
        </is>
      </c>
      <c r="G7007" t="inlineStr">
        <is>
          <t>0</t>
        </is>
      </c>
      <c r="H7007" t="inlineStr">
        <is>
          <t>1², 2¹, 8¹, 23², 46¹, 184¹</t>
        </is>
      </c>
      <c r="I7007" t="n">
        <v>8</v>
      </c>
      <c r="J7007" t="inlineStr">
        <is>
          <t>1⁸, 2², 22⁴, 44¹</t>
        </is>
      </c>
      <c r="K7007">
        <f>HYPERLINK("CSG0.html#group8C0", "8C⁰"), =HYPERLINK("CSG10.html#group92A10", "92A¹⁰")</f>
        <v/>
      </c>
      <c r="L7007" t="inlineStr"/>
      <c r="M7007">
        <f>HYPERLINK("CSG10.html#group92A10", "92A¹⁰"), =HYPERLINK("CSG0.html#group8C0", "8C⁰"), =HYPERLINK("CSG0.html#group2B0", "2B⁰"), =HYPERLINK("CSG2.html#group23A2", "23A²"), =HYPERLINK("CSG0.html#group4B0", "4B⁰"), =HYPERLINK("CSG0.html#group1A0", "1A⁰"), =HYPERLINK("CSG5.html#group46A5", "46A⁵")</f>
        <v/>
      </c>
      <c r="N7007" t="inlineStr"/>
    </row>
    <row r="7008">
      <c r="A7008" t="inlineStr">
        <is>
          <t>189A²¹</t>
        </is>
      </c>
      <c r="B7008" t="inlineStr"/>
      <c r="C7008" t="inlineStr">
        <is>
          <t>252</t>
        </is>
      </c>
      <c r="D7008" t="inlineStr">
        <is>
          <t>2</t>
        </is>
      </c>
      <c r="E7008" t="inlineStr">
        <is>
          <t>84</t>
        </is>
      </c>
      <c r="F7008" t="inlineStr">
        <is>
          <t>0</t>
        </is>
      </c>
      <c r="G7008" t="inlineStr">
        <is>
          <t>0</t>
        </is>
      </c>
      <c r="H7008" t="inlineStr">
        <is>
          <t>63¹, 189¹</t>
        </is>
      </c>
      <c r="I7008" t="n">
        <v>2</v>
      </c>
      <c r="J7008" t="inlineStr">
        <is>
          <t>2², 4², 6⁴, 12⁵, 36²</t>
        </is>
      </c>
      <c r="K7008">
        <f>HYPERLINK("CSG3.html#group27A3", "27A³"), =HYPERLINK("CSG6.html#group63C6", "63C⁶")</f>
        <v/>
      </c>
      <c r="L7008" t="inlineStr"/>
      <c r="M7008">
        <f>HYPERLINK("CSG0.html#group3B0", "3B⁰"), =HYPERLINK("CSG2.html#group21B2", "21B²"), =HYPERLINK("CSG0.html#group9C0", "9C⁰"), =HYPERLINK("CSG6.html#group63C6", "63C⁶"), =HYPERLINK("CSG0.html#group1A0", "1A⁰"), =HYPERLINK("CSG3.html#group27A3", "27A³"), =HYPERLINK("CSG0.html#group7A0", "7A⁰")</f>
        <v/>
      </c>
      <c r="N7008" t="inlineStr"/>
    </row>
    <row r="7009">
      <c r="A7009" t="inlineStr">
        <is>
          <t>189B²¹</t>
        </is>
      </c>
      <c r="B7009" t="inlineStr"/>
      <c r="C7009" t="inlineStr">
        <is>
          <t>288</t>
        </is>
      </c>
      <c r="D7009" t="inlineStr">
        <is>
          <t>1</t>
        </is>
      </c>
      <c r="E7009" t="inlineStr">
        <is>
          <t>96</t>
        </is>
      </c>
      <c r="F7009" t="inlineStr">
        <is>
          <t>0</t>
        </is>
      </c>
      <c r="G7009" t="inlineStr">
        <is>
          <t>0</t>
        </is>
      </c>
      <c r="H7009" t="inlineStr">
        <is>
          <t>3³, 21³, 27¹, 189¹</t>
        </is>
      </c>
      <c r="I7009" t="n">
        <v>8</v>
      </c>
      <c r="J7009" t="inlineStr">
        <is>
          <t>1⁴, 2⁴, 6⁴, 12², 36¹</t>
        </is>
      </c>
      <c r="K7009">
        <f>HYPERLINK("CSG2.html#group27A2", "27A²"), =HYPERLINK("CSG5.html#group63A5", "63A⁵")</f>
        <v/>
      </c>
      <c r="L7009" t="inlineStr"/>
      <c r="M7009">
        <f>HYPERLINK("CSG5.html#group63A5", "63A⁵"), =HYPERLINK("CSG0.html#group3B0", "3B⁰"), =HYPERLINK("CSG0.html#group9B0", "9B⁰"), =HYPERLINK("CSG2.html#group27A2", "27A²"), =HYPERLINK("CSG1.html#group21B1", "21B¹"), =HYPERLINK("CSG0.html#group1A0", "1A⁰"), =HYPERLINK("CSG0.html#group7B0", "7B⁰")</f>
        <v/>
      </c>
      <c r="N7009" t="inlineStr"/>
    </row>
    <row r="7010">
      <c r="A7010" t="inlineStr">
        <is>
          <t>189C²¹</t>
        </is>
      </c>
      <c r="B7010" t="inlineStr"/>
      <c r="C7010" t="inlineStr">
        <is>
          <t>288</t>
        </is>
      </c>
      <c r="D7010" t="inlineStr">
        <is>
          <t>1</t>
        </is>
      </c>
      <c r="E7010" t="inlineStr">
        <is>
          <t>96</t>
        </is>
      </c>
      <c r="F7010" t="inlineStr">
        <is>
          <t>0</t>
        </is>
      </c>
      <c r="G7010" t="inlineStr">
        <is>
          <t>6</t>
        </is>
      </c>
      <c r="H7010" t="inlineStr">
        <is>
          <t>9¹, 27¹, 63¹, 189¹</t>
        </is>
      </c>
      <c r="I7010" t="n">
        <v>4</v>
      </c>
      <c r="J7010" t="inlineStr">
        <is>
          <t>1⁴, 2⁴, 6⁴, 12², 36¹</t>
        </is>
      </c>
      <c r="K7010">
        <f>HYPERLINK("CSG2.html#group27B2", "27B²"), =HYPERLINK("CSG5.html#group63B5", "63B⁵")</f>
        <v/>
      </c>
      <c r="L7010" t="inlineStr"/>
      <c r="M7010">
        <f>HYPERLINK("CSG0.html#group3B0", "3B⁰"), =HYPERLINK("CSG1.html#group21B1", "21B¹"), =HYPERLINK("CSG2.html#group27B2", "27B²"), =HYPERLINK("CSG0.html#group7B0", "7B⁰"), =HYPERLINK("CSG5.html#group63B5", "63B⁵"), =HYPERLINK("CSG0.html#group9C0", "9C⁰"), =HYPERLINK("CSG0.html#group1A0", "1A⁰")</f>
        <v/>
      </c>
      <c r="N7010" t="inlineStr"/>
    </row>
    <row r="7011">
      <c r="A7011" t="inlineStr">
        <is>
          <t>189D²¹</t>
        </is>
      </c>
      <c r="B7011" t="inlineStr"/>
      <c r="C7011" t="inlineStr">
        <is>
          <t>288</t>
        </is>
      </c>
      <c r="D7011" t="inlineStr">
        <is>
          <t>2</t>
        </is>
      </c>
      <c r="E7011" t="inlineStr">
        <is>
          <t>96</t>
        </is>
      </c>
      <c r="F7011" t="inlineStr">
        <is>
          <t>0</t>
        </is>
      </c>
      <c r="G7011" t="inlineStr">
        <is>
          <t>0</t>
        </is>
      </c>
      <c r="H7011" t="inlineStr">
        <is>
          <t>3³, 21³, 27¹, 189¹</t>
        </is>
      </c>
      <c r="I7011" t="n">
        <v>8</v>
      </c>
      <c r="J7011" t="inlineStr">
        <is>
          <t>2¹², 6⁴, 12⁶, 36²</t>
        </is>
      </c>
      <c r="K7011">
        <f>HYPERLINK("CSG5.html#group63A5", "63A⁵")</f>
        <v/>
      </c>
      <c r="L7011" t="inlineStr"/>
      <c r="M7011">
        <f>HYPERLINK("CSG5.html#group63A5", "63A⁵"), =HYPERLINK("CSG0.html#group3B0", "3B⁰"), =HYPERLINK("CSG0.html#group9B0", "9B⁰"), =HYPERLINK("CSG1.html#group21B1", "21B¹"), =HYPERLINK("CSG0.html#group1A0", "1A⁰"), =HYPERLINK("CSG0.html#group7B0", "7B⁰")</f>
        <v/>
      </c>
      <c r="N7011" t="inlineStr"/>
    </row>
    <row r="7012">
      <c r="A7012" t="inlineStr">
        <is>
          <t>189E²¹</t>
        </is>
      </c>
      <c r="B7012" t="inlineStr"/>
      <c r="C7012" t="inlineStr">
        <is>
          <t>288</t>
        </is>
      </c>
      <c r="D7012" t="inlineStr">
        <is>
          <t>2</t>
        </is>
      </c>
      <c r="E7012" t="inlineStr">
        <is>
          <t>96</t>
        </is>
      </c>
      <c r="F7012" t="inlineStr">
        <is>
          <t>0</t>
        </is>
      </c>
      <c r="G7012" t="inlineStr">
        <is>
          <t>6</t>
        </is>
      </c>
      <c r="H7012" t="inlineStr">
        <is>
          <t>9¹, 27¹, 63¹, 189¹</t>
        </is>
      </c>
      <c r="I7012" t="n">
        <v>4</v>
      </c>
      <c r="J7012" t="inlineStr">
        <is>
          <t>2¹², 6⁴, 12⁶, 36²</t>
        </is>
      </c>
      <c r="K7012">
        <f>HYPERLINK("CSG5.html#group63B5", "63B⁵")</f>
        <v/>
      </c>
      <c r="L7012" t="inlineStr"/>
      <c r="M7012">
        <f>HYPERLINK("CSG0.html#group3B0", "3B⁰"), =HYPERLINK("CSG5.html#group63B5", "63B⁵"), =HYPERLINK("CSG1.html#group21B1", "21B¹"), =HYPERLINK("CSG0.html#group9C0", "9C⁰"), =HYPERLINK("CSG0.html#group1A0", "1A⁰"), =HYPERLINK("CSG0.html#group7B0", "7B⁰")</f>
        <v/>
      </c>
      <c r="N7012" t="inlineStr"/>
    </row>
    <row r="7013">
      <c r="A7013" t="inlineStr">
        <is>
          <t>192A²¹</t>
        </is>
      </c>
      <c r="B7013" t="inlineStr"/>
      <c r="C7013" t="inlineStr">
        <is>
          <t>288</t>
        </is>
      </c>
      <c r="D7013" t="inlineStr">
        <is>
          <t>1</t>
        </is>
      </c>
      <c r="E7013" t="inlineStr">
        <is>
          <t>12</t>
        </is>
      </c>
      <c r="F7013" t="inlineStr">
        <is>
          <t>0</t>
        </is>
      </c>
      <c r="G7013" t="inlineStr">
        <is>
          <t>0</t>
        </is>
      </c>
      <c r="H7013" t="inlineStr">
        <is>
          <t>6⁴, 12², 48¹, 192¹</t>
        </is>
      </c>
      <c r="I7013" t="n">
        <v>8</v>
      </c>
      <c r="J7013" t="inlineStr">
        <is>
          <t>1⁴, 2², 4¹</t>
        </is>
      </c>
      <c r="K7013">
        <f>HYPERLINK("CSG5.html#group64A5", "64A⁵"), =HYPERLINK("CSG9.html#group96A9", "96A⁹")</f>
        <v/>
      </c>
      <c r="L7013" t="inlineStr"/>
      <c r="M7013">
        <f>HYPERLINK("CSG2.html#group24B2", "24B²"), =HYPERLINK("CSG1.html#group32A1", "32A¹"), =HYPERLINK("CSG0.html#group4B0", "4B⁰"), =HYPERLINK("CSG9.html#group96A9", "96A⁹"), =HYPERLINK("CSG0.html#group16C0", "16C⁰"), =HYPERLINK("CSG0.html#group8C0", "8C⁰"), =HYPERLINK("CSG1.html#group12B1", "12B¹"), =HYPERLINK("CSG0.html#group2B0", "2B⁰"), =HYPERLINK("CSG0.html#group3A0", "3A⁰"), =HYPERLINK("CSG0.html#group1A0", "1A⁰"), =HYPERLINK("CSG0.html#group6D0", "6D⁰"), =HYPERLINK("CSG4.html#group48B4", "48B⁴"), =HYPERLINK("CSG5.html#group64A5", "64A⁵")</f>
        <v/>
      </c>
      <c r="N7013" t="inlineStr"/>
    </row>
    <row r="7014">
      <c r="A7014" t="inlineStr">
        <is>
          <t>192B²¹</t>
        </is>
      </c>
      <c r="B7014" t="inlineStr"/>
      <c r="C7014" t="inlineStr">
        <is>
          <t>288</t>
        </is>
      </c>
      <c r="D7014" t="inlineStr">
        <is>
          <t>1</t>
        </is>
      </c>
      <c r="E7014" t="inlineStr">
        <is>
          <t>12</t>
        </is>
      </c>
      <c r="F7014" t="inlineStr">
        <is>
          <t>0</t>
        </is>
      </c>
      <c r="G7014" t="inlineStr">
        <is>
          <t>0</t>
        </is>
      </c>
      <c r="H7014" t="inlineStr">
        <is>
          <t>6⁴, 12², 48¹, 192¹</t>
        </is>
      </c>
      <c r="I7014" t="n">
        <v>8</v>
      </c>
      <c r="J7014" t="inlineStr">
        <is>
          <t>1⁴, 2², 4¹</t>
        </is>
      </c>
      <c r="K7014">
        <f>HYPERLINK("CSG5.html#group64B5", "64B⁵"), =HYPERLINK("CSG9.html#group96A9", "96A⁹")</f>
        <v/>
      </c>
      <c r="L7014" t="inlineStr"/>
      <c r="M7014">
        <f>HYPERLINK("CSG2.html#group24B2", "24B²"), =HYPERLINK("CSG1.html#group32A1", "32A¹"), =HYPERLINK("CSG0.html#group4B0", "4B⁰"), =HYPERLINK("CSG9.html#group96A9", "96A⁹"), =HYPERLINK("CSG0.html#group16C0", "16C⁰"), =HYPERLINK("CSG0.html#group8C0", "8C⁰"), =HYPERLINK("CSG1.html#group12B1", "12B¹"), =HYPERLINK("CSG0.html#group2B0", "2B⁰"), =HYPERLINK("CSG0.html#group3A0", "3A⁰"), =HYPERLINK("CSG0.html#group1A0", "1A⁰"), =HYPERLINK("CSG0.html#group6D0", "6D⁰"), =HYPERLINK("CSG4.html#group48B4", "48B⁴"), =HYPERLINK("CSG5.html#group64B5", "64B⁵")</f>
        <v/>
      </c>
      <c r="N7014" t="inlineStr"/>
    </row>
    <row r="7015">
      <c r="A7015" t="inlineStr">
        <is>
          <t>192C²¹</t>
        </is>
      </c>
      <c r="B7015" t="inlineStr"/>
      <c r="C7015" t="inlineStr">
        <is>
          <t>288</t>
        </is>
      </c>
      <c r="D7015" t="inlineStr">
        <is>
          <t>1</t>
        </is>
      </c>
      <c r="E7015" t="inlineStr">
        <is>
          <t>36</t>
        </is>
      </c>
      <c r="F7015" t="inlineStr">
        <is>
          <t>0</t>
        </is>
      </c>
      <c r="G7015" t="inlineStr">
        <is>
          <t>0</t>
        </is>
      </c>
      <c r="H7015" t="inlineStr">
        <is>
          <t>6⁴, 12², 48¹, 192¹</t>
        </is>
      </c>
      <c r="I7015" t="n">
        <v>8</v>
      </c>
      <c r="J7015" t="inlineStr">
        <is>
          <t>1⁴, 2⁶, 4³, 8¹</t>
        </is>
      </c>
      <c r="K7015">
        <f>HYPERLINK("CSG9.html#group96A9", "96A⁹")</f>
        <v/>
      </c>
      <c r="L7015" t="inlineStr"/>
      <c r="M7015">
        <f>HYPERLINK("CSG2.html#group24B2", "24B²"), =HYPERLINK("CSG1.html#group32A1", "32A¹"), =HYPERLINK("CSG0.html#group4B0", "4B⁰"), =HYPERLINK("CSG9.html#group96A9", "96A⁹"), =HYPERLINK("CSG0.html#group16C0", "16C⁰"), =HYPERLINK("CSG0.html#group8C0", "8C⁰"), =HYPERLINK("CSG1.html#group12B1", "12B¹"), =HYPERLINK("CSG0.html#group2B0", "2B⁰"), =HYPERLINK("CSG0.html#group3A0", "3A⁰"), =HYPERLINK("CSG0.html#group1A0", "1A⁰"), =HYPERLINK("CSG0.html#group6D0", "6D⁰"), =HYPERLINK("CSG4.html#group48B4", "48B⁴")</f>
        <v/>
      </c>
      <c r="N7015" t="inlineStr"/>
    </row>
    <row r="7016">
      <c r="A7016" t="inlineStr">
        <is>
          <t>192D²¹</t>
        </is>
      </c>
      <c r="B7016" t="inlineStr"/>
      <c r="C7016" t="inlineStr">
        <is>
          <t>288</t>
        </is>
      </c>
      <c r="D7016" t="inlineStr">
        <is>
          <t>1</t>
        </is>
      </c>
      <c r="E7016" t="inlineStr">
        <is>
          <t>36</t>
        </is>
      </c>
      <c r="F7016" t="inlineStr">
        <is>
          <t>0</t>
        </is>
      </c>
      <c r="G7016" t="inlineStr">
        <is>
          <t>0</t>
        </is>
      </c>
      <c r="H7016" t="inlineStr">
        <is>
          <t>6⁴, 12², 48¹, 192¹</t>
        </is>
      </c>
      <c r="I7016" t="n">
        <v>8</v>
      </c>
      <c r="J7016" t="inlineStr">
        <is>
          <t>1⁴, 2⁶, 4³, 8¹</t>
        </is>
      </c>
      <c r="K7016">
        <f>HYPERLINK("CSG9.html#group96A9", "96A⁹")</f>
        <v/>
      </c>
      <c r="L7016" t="inlineStr"/>
      <c r="M7016">
        <f>HYPERLINK("CSG2.html#group24B2", "24B²"), =HYPERLINK("CSG1.html#group32A1", "32A¹"), =HYPERLINK("CSG0.html#group4B0", "4B⁰"), =HYPERLINK("CSG9.html#group96A9", "96A⁹"), =HYPERLINK("CSG0.html#group16C0", "16C⁰"), =HYPERLINK("CSG0.html#group8C0", "8C⁰"), =HYPERLINK("CSG1.html#group12B1", "12B¹"), =HYPERLINK("CSG0.html#group2B0", "2B⁰"), =HYPERLINK("CSG0.html#group3A0", "3A⁰"), =HYPERLINK("CSG0.html#group1A0", "1A⁰"), =HYPERLINK("CSG0.html#group6D0", "6D⁰"), =HYPERLINK("CSG4.html#group48B4", "48B⁴")</f>
        <v/>
      </c>
      <c r="N7016" t="inlineStr"/>
    </row>
    <row r="7017">
      <c r="A7017" t="inlineStr">
        <is>
          <t>192E²¹</t>
        </is>
      </c>
      <c r="B7017" t="inlineStr"/>
      <c r="C7017" t="inlineStr">
        <is>
          <t>288</t>
        </is>
      </c>
      <c r="D7017" t="inlineStr">
        <is>
          <t>2</t>
        </is>
      </c>
      <c r="E7017" t="inlineStr">
        <is>
          <t>48</t>
        </is>
      </c>
      <c r="F7017" t="inlineStr">
        <is>
          <t>12</t>
        </is>
      </c>
      <c r="G7017" t="inlineStr">
        <is>
          <t>0</t>
        </is>
      </c>
      <c r="H7017" t="inlineStr">
        <is>
          <t>96¹, 192¹</t>
        </is>
      </c>
      <c r="I7017" t="n">
        <v>2</v>
      </c>
      <c r="J7017" t="inlineStr">
        <is>
          <t>4¹⁶, 8⁸, 16⁴</t>
        </is>
      </c>
      <c r="K7017">
        <f>HYPERLINK("CSG7.html#group64G7", "64G⁷"), =HYPERLINK("CSG9.html#group96C9", "96C⁹")</f>
        <v/>
      </c>
      <c r="L7017" t="inlineStr"/>
      <c r="M7017">
        <f>HYPERLINK("CSG1.html#group16D1", "16D¹"), =HYPERLINK("CSG0.html#group12C0", "12C⁰"), =HYPERLINK("CSG3.html#group48E3", "48E³"), =HYPERLINK("CSG0.html#group24A0", "24A⁰"), =HYPERLINK("CSG0.html#group6D0", "6D⁰"), =HYPERLINK("CSG0.html#group4C0", "4C⁰"), =HYPERLINK("CSG0.html#group8B0", "8B⁰"), =HYPERLINK("CSG3.html#group32E3", "32E³"), =HYPERLINK("CSG0.html#group2B0", "2B⁰"), =HYPERLINK("CSG9.html#group96C9", "96C⁹"), =HYPERLINK("CSG0.html#group3A0", "3A⁰"), =HYPERLINK("CSG0.html#group1A0", "1A⁰"), =HYPERLINK("CSG7.html#group64G7", "64G⁷")</f>
        <v/>
      </c>
      <c r="N7017" t="inlineStr"/>
    </row>
    <row r="7018">
      <c r="A7018" t="inlineStr">
        <is>
          <t>192F²¹</t>
        </is>
      </c>
      <c r="B7018" t="inlineStr"/>
      <c r="C7018" t="inlineStr">
        <is>
          <t>288</t>
        </is>
      </c>
      <c r="D7018" t="inlineStr">
        <is>
          <t>2</t>
        </is>
      </c>
      <c r="E7018" t="inlineStr">
        <is>
          <t>48</t>
        </is>
      </c>
      <c r="F7018" t="inlineStr">
        <is>
          <t>12</t>
        </is>
      </c>
      <c r="G7018" t="inlineStr">
        <is>
          <t>0</t>
        </is>
      </c>
      <c r="H7018" t="inlineStr">
        <is>
          <t>96¹, 192¹</t>
        </is>
      </c>
      <c r="I7018" t="n">
        <v>2</v>
      </c>
      <c r="J7018" t="inlineStr">
        <is>
          <t>4¹⁶, 8⁸, 16⁴</t>
        </is>
      </c>
      <c r="K7018">
        <f>HYPERLINK("CSG7.html#group64H7", "64H⁷"), =HYPERLINK("CSG9.html#group96C9", "96C⁹")</f>
        <v/>
      </c>
      <c r="L7018" t="inlineStr"/>
      <c r="M7018">
        <f>HYPERLINK("CSG0.html#group12C0", "12C⁰"), =HYPERLINK("CSG0.html#group4C0", "4C⁰"), =HYPERLINK("CSG0.html#group8B0", "8B⁰"), =HYPERLINK("CSG0.html#group2B0", "2B⁰"), =HYPERLINK("CSG7.html#group64H7", "64H⁷"), =HYPERLINK("CSG0.html#group1A0", "1A⁰"), =HYPERLINK("CSG1.html#group16D1", "16D¹"), =HYPERLINK("CSG3.html#group48E3", "48E³"), =HYPERLINK("CSG0.html#group24A0", "24A⁰"), =HYPERLINK("CSG3.html#group32E3", "32E³"), =HYPERLINK("CSG9.html#group96C9", "96C⁹"), =HYPERLINK("CSG0.html#group3A0", "3A⁰"), =HYPERLINK("CSG0.html#group6D0", "6D⁰")</f>
        <v/>
      </c>
      <c r="N7018" t="inlineStr"/>
    </row>
    <row r="7019">
      <c r="A7019" t="inlineStr">
        <is>
          <t>192G²¹</t>
        </is>
      </c>
      <c r="B7019" t="inlineStr"/>
      <c r="C7019" t="inlineStr">
        <is>
          <t>288</t>
        </is>
      </c>
      <c r="D7019" t="inlineStr">
        <is>
          <t>2</t>
        </is>
      </c>
      <c r="E7019" t="inlineStr">
        <is>
          <t>48</t>
        </is>
      </c>
      <c r="F7019" t="inlineStr">
        <is>
          <t>12</t>
        </is>
      </c>
      <c r="G7019" t="inlineStr">
        <is>
          <t>0</t>
        </is>
      </c>
      <c r="H7019" t="inlineStr">
        <is>
          <t>96¹, 192¹</t>
        </is>
      </c>
      <c r="I7019" t="n">
        <v>2</v>
      </c>
      <c r="J7019" t="inlineStr">
        <is>
          <t>4¹⁶, 8⁸, 16⁴</t>
        </is>
      </c>
      <c r="K7019">
        <f>HYPERLINK("CSG7.html#group64I7", "64I⁷"), =HYPERLINK("CSG9.html#group96E9", "96E⁹")</f>
        <v/>
      </c>
      <c r="L7019" t="inlineStr"/>
      <c r="M7019">
        <f>HYPERLINK("CSG1.html#group16D1", "16D¹"), =HYPERLINK("CSG0.html#group12C0", "12C⁰"), =HYPERLINK("CSG7.html#group64I7", "64I⁷"), =HYPERLINK("CSG3.html#group48E3", "48E³"), =HYPERLINK("CSG0.html#group24A0", "24A⁰"), =HYPERLINK("CSG0.html#group4C0", "4C⁰"), =HYPERLINK("CSG0.html#group8B0", "8B⁰"), =HYPERLINK("CSG0.html#group2B0", "2B⁰"), =HYPERLINK("CSG3.html#group32G3", "32G³"), =HYPERLINK("CSG0.html#group3A0", "3A⁰"), =HYPERLINK("CSG0.html#group1A0", "1A⁰"), =HYPERLINK("CSG9.html#group96E9", "96E⁹"), =HYPERLINK("CSG0.html#group6D0", "6D⁰")</f>
        <v/>
      </c>
      <c r="N7019" t="inlineStr"/>
    </row>
    <row r="7020">
      <c r="A7020" t="inlineStr">
        <is>
          <t>192H²¹</t>
        </is>
      </c>
      <c r="B7020" t="inlineStr"/>
      <c r="C7020" t="inlineStr">
        <is>
          <t>288</t>
        </is>
      </c>
      <c r="D7020" t="inlineStr">
        <is>
          <t>2</t>
        </is>
      </c>
      <c r="E7020" t="inlineStr">
        <is>
          <t>48</t>
        </is>
      </c>
      <c r="F7020" t="inlineStr">
        <is>
          <t>12</t>
        </is>
      </c>
      <c r="G7020" t="inlineStr">
        <is>
          <t>0</t>
        </is>
      </c>
      <c r="H7020" t="inlineStr">
        <is>
          <t>96¹, 192¹</t>
        </is>
      </c>
      <c r="I7020" t="n">
        <v>2</v>
      </c>
      <c r="J7020" t="inlineStr">
        <is>
          <t>4¹⁶, 8⁸, 16⁴</t>
        </is>
      </c>
      <c r="K7020">
        <f>HYPERLINK("CSG7.html#group64J7", "64J⁷"), =HYPERLINK("CSG9.html#group96E9", "96E⁹")</f>
        <v/>
      </c>
      <c r="L7020" t="inlineStr"/>
      <c r="M7020">
        <f>HYPERLINK("CSG1.html#group16D1", "16D¹"), =HYPERLINK("CSG0.html#group12C0", "12C⁰"), =HYPERLINK("CSG3.html#group48E3", "48E³"), =HYPERLINK("CSG0.html#group24A0", "24A⁰"), =HYPERLINK("CSG7.html#group64J7", "64J⁷"), =HYPERLINK("CSG0.html#group4C0", "4C⁰"), =HYPERLINK("CSG0.html#group8B0", "8B⁰"), =HYPERLINK("CSG0.html#group2B0", "2B⁰"), =HYPERLINK("CSG3.html#group32G3", "32G³"), =HYPERLINK("CSG0.html#group3A0", "3A⁰"), =HYPERLINK("CSG0.html#group1A0", "1A⁰"), =HYPERLINK("CSG9.html#group96E9", "96E⁹"), =HYPERLINK("CSG0.html#group6D0", "6D⁰")</f>
        <v/>
      </c>
      <c r="N7020" t="inlineStr"/>
    </row>
    <row r="7021">
      <c r="A7021" t="inlineStr">
        <is>
          <t>192I²¹</t>
        </is>
      </c>
      <c r="B7021" t="inlineStr"/>
      <c r="C7021" t="inlineStr">
        <is>
          <t>288</t>
        </is>
      </c>
      <c r="D7021" t="inlineStr">
        <is>
          <t>2</t>
        </is>
      </c>
      <c r="E7021" t="inlineStr">
        <is>
          <t>144</t>
        </is>
      </c>
      <c r="F7021" t="inlineStr">
        <is>
          <t>12</t>
        </is>
      </c>
      <c r="G7021" t="inlineStr">
        <is>
          <t>0</t>
        </is>
      </c>
      <c r="H7021" t="inlineStr">
        <is>
          <t>96¹, 192¹</t>
        </is>
      </c>
      <c r="I7021" t="n">
        <v>2</v>
      </c>
      <c r="J7021" t="inlineStr">
        <is>
          <t>4¹⁶, 8²⁴, 16¹², 32⁴</t>
        </is>
      </c>
      <c r="K7021">
        <f>HYPERLINK("CSG9.html#group96C9", "96C⁹")</f>
        <v/>
      </c>
      <c r="L7021" t="inlineStr"/>
      <c r="M7021">
        <f>HYPERLINK("CSG1.html#group16D1", "16D¹"), =HYPERLINK("CSG0.html#group12C0", "12C⁰"), =HYPERLINK("CSG3.html#group48E3", "48E³"), =HYPERLINK("CSG0.html#group24A0", "24A⁰"), =HYPERLINK("CSG0.html#group4C0", "4C⁰"), =HYPERLINK("CSG0.html#group8B0", "8B⁰"), =HYPERLINK("CSG3.html#group32E3", "32E³"), =HYPERLINK("CSG0.html#group2B0", "2B⁰"), =HYPERLINK("CSG9.html#group96C9", "96C⁹"), =HYPERLINK("CSG0.html#group3A0", "3A⁰"), =HYPERLINK("CSG0.html#group1A0", "1A⁰"), =HYPERLINK("CSG0.html#group6D0", "6D⁰")</f>
        <v/>
      </c>
      <c r="N7021" t="inlineStr"/>
    </row>
    <row r="7022">
      <c r="A7022" t="inlineStr">
        <is>
          <t>192J²¹</t>
        </is>
      </c>
      <c r="B7022" t="inlineStr"/>
      <c r="C7022" t="inlineStr">
        <is>
          <t>288</t>
        </is>
      </c>
      <c r="D7022" t="inlineStr">
        <is>
          <t>2</t>
        </is>
      </c>
      <c r="E7022" t="inlineStr">
        <is>
          <t>144</t>
        </is>
      </c>
      <c r="F7022" t="inlineStr">
        <is>
          <t>12</t>
        </is>
      </c>
      <c r="G7022" t="inlineStr">
        <is>
          <t>0</t>
        </is>
      </c>
      <c r="H7022" t="inlineStr">
        <is>
          <t>96¹, 192¹</t>
        </is>
      </c>
      <c r="I7022" t="n">
        <v>2</v>
      </c>
      <c r="J7022" t="inlineStr">
        <is>
          <t>4¹⁶, 8²⁴, 16¹², 32⁴</t>
        </is>
      </c>
      <c r="K7022">
        <f>HYPERLINK("CSG9.html#group96C9", "96C⁹")</f>
        <v/>
      </c>
      <c r="L7022" t="inlineStr"/>
      <c r="M7022">
        <f>HYPERLINK("CSG1.html#group16D1", "16D¹"), =HYPERLINK("CSG0.html#group12C0", "12C⁰"), =HYPERLINK("CSG3.html#group48E3", "48E³"), =HYPERLINK("CSG0.html#group24A0", "24A⁰"), =HYPERLINK("CSG0.html#group4C0", "4C⁰"), =HYPERLINK("CSG0.html#group8B0", "8B⁰"), =HYPERLINK("CSG3.html#group32E3", "32E³"), =HYPERLINK("CSG0.html#group2B0", "2B⁰"), =HYPERLINK("CSG9.html#group96C9", "96C⁹"), =HYPERLINK("CSG0.html#group3A0", "3A⁰"), =HYPERLINK("CSG0.html#group1A0", "1A⁰"), =HYPERLINK("CSG0.html#group6D0", "6D⁰")</f>
        <v/>
      </c>
      <c r="N7022" t="inlineStr"/>
    </row>
    <row r="7023">
      <c r="A7023" t="inlineStr">
        <is>
          <t>192K²¹</t>
        </is>
      </c>
      <c r="B7023" t="inlineStr"/>
      <c r="C7023" t="inlineStr">
        <is>
          <t>288</t>
        </is>
      </c>
      <c r="D7023" t="inlineStr">
        <is>
          <t>2</t>
        </is>
      </c>
      <c r="E7023" t="inlineStr">
        <is>
          <t>144</t>
        </is>
      </c>
      <c r="F7023" t="inlineStr">
        <is>
          <t>12</t>
        </is>
      </c>
      <c r="G7023" t="inlineStr">
        <is>
          <t>0</t>
        </is>
      </c>
      <c r="H7023" t="inlineStr">
        <is>
          <t>96¹, 192¹</t>
        </is>
      </c>
      <c r="I7023" t="n">
        <v>2</v>
      </c>
      <c r="J7023" t="inlineStr">
        <is>
          <t>4¹⁶, 8²⁴, 16¹², 32⁴</t>
        </is>
      </c>
      <c r="K7023">
        <f>HYPERLINK("CSG9.html#group96E9", "96E⁹")</f>
        <v/>
      </c>
      <c r="L7023" t="inlineStr"/>
      <c r="M7023">
        <f>HYPERLINK("CSG1.html#group16D1", "16D¹"), =HYPERLINK("CSG0.html#group12C0", "12C⁰"), =HYPERLINK("CSG3.html#group48E3", "48E³"), =HYPERLINK("CSG0.html#group24A0", "24A⁰"), =HYPERLINK("CSG0.html#group4C0", "4C⁰"), =HYPERLINK("CSG0.html#group8B0", "8B⁰"), =HYPERLINK("CSG0.html#group2B0", "2B⁰"), =HYPERLINK("CSG3.html#group32G3", "32G³"), =HYPERLINK("CSG0.html#group3A0", "3A⁰"), =HYPERLINK("CSG0.html#group1A0", "1A⁰"), =HYPERLINK("CSG9.html#group96E9", "96E⁹"), =HYPERLINK("CSG0.html#group6D0", "6D⁰")</f>
        <v/>
      </c>
      <c r="N7023" t="inlineStr"/>
    </row>
    <row r="7024">
      <c r="A7024" t="inlineStr">
        <is>
          <t>192L²¹</t>
        </is>
      </c>
      <c r="B7024" t="inlineStr"/>
      <c r="C7024" t="inlineStr">
        <is>
          <t>288</t>
        </is>
      </c>
      <c r="D7024" t="inlineStr">
        <is>
          <t>2</t>
        </is>
      </c>
      <c r="E7024" t="inlineStr">
        <is>
          <t>144</t>
        </is>
      </c>
      <c r="F7024" t="inlineStr">
        <is>
          <t>12</t>
        </is>
      </c>
      <c r="G7024" t="inlineStr">
        <is>
          <t>0</t>
        </is>
      </c>
      <c r="H7024" t="inlineStr">
        <is>
          <t>96¹, 192¹</t>
        </is>
      </c>
      <c r="I7024" t="n">
        <v>2</v>
      </c>
      <c r="J7024" t="inlineStr">
        <is>
          <t>4¹⁶, 8²⁴, 16¹², 32⁴</t>
        </is>
      </c>
      <c r="K7024">
        <f>HYPERLINK("CSG9.html#group96E9", "96E⁹")</f>
        <v/>
      </c>
      <c r="L7024" t="inlineStr"/>
      <c r="M7024">
        <f>HYPERLINK("CSG1.html#group16D1", "16D¹"), =HYPERLINK("CSG0.html#group12C0", "12C⁰"), =HYPERLINK("CSG3.html#group48E3", "48E³"), =HYPERLINK("CSG0.html#group24A0", "24A⁰"), =HYPERLINK("CSG0.html#group4C0", "4C⁰"), =HYPERLINK("CSG0.html#group8B0", "8B⁰"), =HYPERLINK("CSG0.html#group2B0", "2B⁰"), =HYPERLINK("CSG3.html#group32G3", "32G³"), =HYPERLINK("CSG0.html#group3A0", "3A⁰"), =HYPERLINK("CSG0.html#group1A0", "1A⁰"), =HYPERLINK("CSG9.html#group96E9", "96E⁹"), =HYPERLINK("CSG0.html#group6D0", "6D⁰")</f>
        <v/>
      </c>
      <c r="N7024" t="inlineStr"/>
    </row>
    <row r="7025">
      <c r="A7025" t="inlineStr">
        <is>
          <t>192M²¹</t>
        </is>
      </c>
      <c r="B7025" t="inlineStr"/>
      <c r="C7025" t="inlineStr">
        <is>
          <t>384</t>
        </is>
      </c>
      <c r="D7025" t="inlineStr">
        <is>
          <t>1</t>
        </is>
      </c>
      <c r="E7025" t="inlineStr">
        <is>
          <t>48</t>
        </is>
      </c>
      <c r="F7025" t="inlineStr">
        <is>
          <t>0</t>
        </is>
      </c>
      <c r="G7025" t="inlineStr">
        <is>
          <t>0</t>
        </is>
      </c>
      <c r="H7025" t="inlineStr">
        <is>
          <t>1⁸, 3⁸, 4², 12², 16¹, 48¹, 64¹, 192¹</t>
        </is>
      </c>
      <c r="I7025" t="n">
        <v>24</v>
      </c>
      <c r="J7025" t="inlineStr">
        <is>
          <t>1⁸, 2⁸, 4⁴, 8¹</t>
        </is>
      </c>
      <c r="K7025">
        <f>HYPERLINK("CSG9.html#group96M9", "96M⁹")</f>
        <v/>
      </c>
      <c r="L7025" t="inlineStr"/>
      <c r="M7025">
        <f>HYPERLINK("CSG0.html#group3B0", "3B⁰"), =HYPERLINK("CSG9.html#group96M9", "96M⁹"), =HYPERLINK("CSG1.html#group32A1", "32A¹"), =HYPERLINK("CSG3.html#group48J3", "48J³"), =HYPERLINK("CSG0.html#group16C0", "16C⁰"), =HYPERLINK("CSG1.html#group24G1", "24G¹"), =HYPERLINK("CSG0.html#group6F0", "6F⁰"), =HYPERLINK("CSG0.html#group8C0", "8C⁰"), =HYPERLINK("CSG0.html#group2B0", "2B⁰"), =HYPERLINK("CSG0.html#group4B0", "4B⁰"), =HYPERLINK("CSG0.html#group1A0", "1A⁰"), =HYPERLINK("CSG0.html#group12E0", "12E⁰")</f>
        <v/>
      </c>
      <c r="N7025" t="inlineStr"/>
    </row>
    <row r="7026">
      <c r="A7026" t="inlineStr">
        <is>
          <t>192N²¹</t>
        </is>
      </c>
      <c r="B7026" t="inlineStr"/>
      <c r="C7026" t="inlineStr">
        <is>
          <t>384</t>
        </is>
      </c>
      <c r="D7026" t="inlineStr">
        <is>
          <t>1</t>
        </is>
      </c>
      <c r="E7026" t="inlineStr">
        <is>
          <t>48</t>
        </is>
      </c>
      <c r="F7026" t="inlineStr">
        <is>
          <t>0</t>
        </is>
      </c>
      <c r="G7026" t="inlineStr">
        <is>
          <t>0</t>
        </is>
      </c>
      <c r="H7026" t="inlineStr">
        <is>
          <t>1⁸, 3⁸, 4², 12², 16¹, 48¹, 64¹, 192¹</t>
        </is>
      </c>
      <c r="I7026" t="n">
        <v>24</v>
      </c>
      <c r="J7026" t="inlineStr">
        <is>
          <t>1⁸, 2⁸, 4⁴, 8¹</t>
        </is>
      </c>
      <c r="K7026">
        <f>HYPERLINK("CSG9.html#group96M9", "96M⁹")</f>
        <v/>
      </c>
      <c r="L7026" t="inlineStr"/>
      <c r="M7026">
        <f>HYPERLINK("CSG0.html#group3B0", "3B⁰"), =HYPERLINK("CSG9.html#group96M9", "96M⁹"), =HYPERLINK("CSG1.html#group32A1", "32A¹"), =HYPERLINK("CSG3.html#group48J3", "48J³"), =HYPERLINK("CSG0.html#group16C0", "16C⁰"), =HYPERLINK("CSG1.html#group24G1", "24G¹"), =HYPERLINK("CSG0.html#group6F0", "6F⁰"), =HYPERLINK("CSG0.html#group8C0", "8C⁰"), =HYPERLINK("CSG0.html#group2B0", "2B⁰"), =HYPERLINK("CSG0.html#group4B0", "4B⁰"), =HYPERLINK("CSG0.html#group1A0", "1A⁰"), =HYPERLINK("CSG0.html#group12E0", "12E⁰")</f>
        <v/>
      </c>
      <c r="N7026" t="inlineStr"/>
    </row>
    <row r="7027">
      <c r="A7027" t="inlineStr">
        <is>
          <t>192O²¹</t>
        </is>
      </c>
      <c r="B7027" t="inlineStr"/>
      <c r="C7027" t="inlineStr">
        <is>
          <t>384</t>
        </is>
      </c>
      <c r="D7027" t="inlineStr">
        <is>
          <t>1</t>
        </is>
      </c>
      <c r="E7027" t="inlineStr">
        <is>
          <t>48</t>
        </is>
      </c>
      <c r="F7027" t="inlineStr">
        <is>
          <t>0</t>
        </is>
      </c>
      <c r="G7027" t="inlineStr">
        <is>
          <t>0</t>
        </is>
      </c>
      <c r="H7027" t="inlineStr">
        <is>
          <t>1⁸, 3⁸, 4², 12², 16¹, 48¹, 64¹, 192¹</t>
        </is>
      </c>
      <c r="I7027" t="n">
        <v>24</v>
      </c>
      <c r="J7027" t="inlineStr">
        <is>
          <t>1⁸, 2⁸, 4⁴, 8¹</t>
        </is>
      </c>
      <c r="K7027">
        <f>HYPERLINK("CSG3.html#group64A3", "64A³"), =HYPERLINK("CSG9.html#group96M9", "96M⁹")</f>
        <v/>
      </c>
      <c r="L7027" t="inlineStr"/>
      <c r="M7027">
        <f>HYPERLINK("CSG0.html#group3B0", "3B⁰"), =HYPERLINK("CSG9.html#group96M9", "96M⁹"), =HYPERLINK("CSG1.html#group24G1", "24G¹"), =HYPERLINK("CSG0.html#group8C0", "8C⁰"), =HYPERLINK("CSG0.html#group2B0", "2B⁰"), =HYPERLINK("CSG0.html#group4B0", "4B⁰"), =HYPERLINK("CSG0.html#group1A0", "1A⁰"), =HYPERLINK("CSG1.html#group32A1", "32A¹"), =HYPERLINK("CSG3.html#group48J3", "48J³"), =HYPERLINK("CSG0.html#group16C0", "16C⁰"), =HYPERLINK("CSG3.html#group64A3", "64A³"), =HYPERLINK("CSG0.html#group6F0", "6F⁰"), =HYPERLINK("CSG0.html#group12E0", "12E⁰")</f>
        <v/>
      </c>
      <c r="N7027" t="inlineStr"/>
    </row>
    <row r="7028">
      <c r="A7028" t="inlineStr">
        <is>
          <t>192P²¹</t>
        </is>
      </c>
      <c r="B7028" t="inlineStr">
        <is>
          <t>Γ₀(192)</t>
        </is>
      </c>
      <c r="C7028" t="inlineStr">
        <is>
          <t>384</t>
        </is>
      </c>
      <c r="D7028" t="inlineStr">
        <is>
          <t>1</t>
        </is>
      </c>
      <c r="E7028" t="inlineStr">
        <is>
          <t>48</t>
        </is>
      </c>
      <c r="F7028" t="inlineStr">
        <is>
          <t>0</t>
        </is>
      </c>
      <c r="G7028" t="inlineStr">
        <is>
          <t>0</t>
        </is>
      </c>
      <c r="H7028" t="inlineStr">
        <is>
          <t>1⁸, 3⁸, 4², 12², 16¹, 48¹, 64¹, 192¹</t>
        </is>
      </c>
      <c r="I7028" t="n">
        <v>24</v>
      </c>
      <c r="J7028" t="inlineStr">
        <is>
          <t>1⁸, 2⁸, 4⁴, 8¹</t>
        </is>
      </c>
      <c r="K7028">
        <f>HYPERLINK("CSG3.html#group64B3", "64B³"), =HYPERLINK("CSG9.html#group96M9", "96M⁹")</f>
        <v/>
      </c>
      <c r="L7028" t="inlineStr"/>
      <c r="M7028">
        <f>HYPERLINK("CSG0.html#group3B0", "3B⁰"), =HYPERLINK("CSG9.html#group96M9", "96M⁹"), =HYPERLINK("CSG1.html#group24G1", "24G¹"), =HYPERLINK("CSG3.html#group64B3", "64B³"), =HYPERLINK("CSG0.html#group8C0", "8C⁰"), =HYPERLINK("CSG0.html#group2B0", "2B⁰"), =HYPERLINK("CSG0.html#group4B0", "4B⁰"), =HYPERLINK("CSG0.html#group1A0", "1A⁰"), =HYPERLINK("CSG1.html#group32A1", "32A¹"), =HYPERLINK("CSG3.html#group48J3", "48J³"), =HYPERLINK("CSG0.html#group16C0", "16C⁰"), =HYPERLINK("CSG0.html#group6F0", "6F⁰"), =HYPERLINK("CSG0.html#group12E0", "12E⁰")</f>
        <v/>
      </c>
      <c r="N7028" t="inlineStr"/>
    </row>
    <row r="7029">
      <c r="A7029" t="inlineStr">
        <is>
          <t>195A²¹</t>
        </is>
      </c>
      <c r="B7029" t="inlineStr"/>
      <c r="C7029" t="inlineStr">
        <is>
          <t>280</t>
        </is>
      </c>
      <c r="D7029" t="inlineStr">
        <is>
          <t>1</t>
        </is>
      </c>
      <c r="E7029" t="inlineStr">
        <is>
          <t>280</t>
        </is>
      </c>
      <c r="F7029" t="inlineStr">
        <is>
          <t>0</t>
        </is>
      </c>
      <c r="G7029" t="inlineStr">
        <is>
          <t>4</t>
        </is>
      </c>
      <c r="H7029" t="inlineStr">
        <is>
          <t>5¹, 15¹, 65¹, 195¹</t>
        </is>
      </c>
      <c r="I7029" t="n">
        <v>4</v>
      </c>
      <c r="J7029" t="inlineStr">
        <is>
          <t>1⁴, 2², 4⁴, 8², 12², 24¹, 48², 96¹</t>
        </is>
      </c>
      <c r="K7029">
        <f>HYPERLINK("CSG1.html#group15B1", "15B¹"), =HYPERLINK("CSG3.html#group39A3", "39A³"), =HYPERLINK("CSG4.html#group65A4", "65A⁴")</f>
        <v/>
      </c>
      <c r="L7029" t="inlineStr"/>
      <c r="M7029">
        <f>HYPERLINK("CSG0.html#group3B0", "3B⁰"), =HYPERLINK("CSG0.html#group5A0", "5A⁰"), =HYPERLINK("CSG3.html#group39A3", "39A³"), =HYPERLINK("CSG0.html#group13A0", "13A⁰"), =HYPERLINK("CSG1.html#group15B1", "15B¹"), =HYPERLINK("CSG0.html#group1A0", "1A⁰"), =HYPERLINK("CSG4.html#group65A4", "65A⁴")</f>
        <v/>
      </c>
      <c r="N7029" t="inlineStr"/>
    </row>
    <row r="7030">
      <c r="A7030" t="inlineStr">
        <is>
          <t>196A²¹</t>
        </is>
      </c>
      <c r="B7030" t="inlineStr"/>
      <c r="C7030" t="inlineStr">
        <is>
          <t>336</t>
        </is>
      </c>
      <c r="D7030" t="inlineStr">
        <is>
          <t>1</t>
        </is>
      </c>
      <c r="E7030" t="inlineStr">
        <is>
          <t>168</t>
        </is>
      </c>
      <c r="F7030" t="inlineStr">
        <is>
          <t>0</t>
        </is>
      </c>
      <c r="G7030" t="inlineStr">
        <is>
          <t>0</t>
        </is>
      </c>
      <c r="H7030" t="inlineStr">
        <is>
          <t>2⁷, 4⁷, 98¹, 196¹</t>
        </is>
      </c>
      <c r="I7030" t="n">
        <v>16</v>
      </c>
      <c r="J7030" t="inlineStr">
        <is>
          <t>1⁶, 6⁶, 42³</t>
        </is>
      </c>
      <c r="K7030">
        <f>HYPERLINK("CSG3.html#group28C3", "28C³"), =HYPERLINK("CSG7.html#group98A7", "98A⁷")</f>
        <v/>
      </c>
      <c r="L7030" t="inlineStr"/>
      <c r="M7030">
        <f>HYPERLINK("CSG7.html#group98A7", "98A⁷"), =HYPERLINK("CSG0.html#group7B0", "7B⁰"), =HYPERLINK("CSG0.html#group4C0", "4C⁰"), =HYPERLINK("CSG1.html#group14C1", "14C¹"), =HYPERLINK("CSG1.html#group49A1", "49A¹"), =HYPERLINK("CSG0.html#group2B0", "2B⁰"), =HYPERLINK("CSG3.html#group28C3", "28C³"), =HYPERLINK("CSG0.html#group1A0", "1A⁰")</f>
        <v/>
      </c>
      <c r="N7030" t="inlineStr"/>
    </row>
    <row r="7031">
      <c r="A7031" t="inlineStr">
        <is>
          <t>198A²¹</t>
        </is>
      </c>
      <c r="B7031" t="inlineStr"/>
      <c r="C7031" t="inlineStr">
        <is>
          <t>264</t>
        </is>
      </c>
      <c r="D7031" t="inlineStr">
        <is>
          <t>2</t>
        </is>
      </c>
      <c r="E7031" t="inlineStr">
        <is>
          <t>44</t>
        </is>
      </c>
      <c r="F7031" t="inlineStr">
        <is>
          <t>0</t>
        </is>
      </c>
      <c r="G7031" t="inlineStr">
        <is>
          <t>0</t>
        </is>
      </c>
      <c r="H7031" t="inlineStr">
        <is>
          <t>22³, 198¹</t>
        </is>
      </c>
      <c r="I7031" t="n">
        <v>4</v>
      </c>
      <c r="J7031" t="inlineStr">
        <is>
          <t>2², 4¹, 10⁴, 20²</t>
        </is>
      </c>
      <c r="K7031">
        <f>HYPERLINK("CSG1.html#group18C1", "18C¹"), =HYPERLINK("CSG6.html#group66E6", "66E⁶"), =HYPERLINK("CSG10.html#group99A10", "99A¹⁰")</f>
        <v/>
      </c>
      <c r="L7031" t="inlineStr"/>
      <c r="M7031">
        <f>HYPERLINK("CSG0.html#group11A0", "11A⁰"), =HYPERLINK("CSG0.html#group3B0", "3B⁰"), =HYPERLINK("CSG0.html#group2A0", "2A⁰"), =HYPERLINK("CSG1.html#group22A1", "22A¹"), =HYPERLINK("CSG3.html#group33B3", "33B³"), =HYPERLINK("CSG1.html#group18C1", "18C¹"), =HYPERLINK("CSG0.html#group6C0", "6C⁰"), =HYPERLINK("CSG10.html#group99A10", "99A¹⁰"), =HYPERLINK("CSG0.html#group9B0", "9B⁰"), =HYPERLINK("CSG6.html#group66E6", "66E⁶"), =HYPERLINK("CSG0.html#group1A0", "1A⁰")</f>
        <v/>
      </c>
      <c r="N7031" t="inlineStr"/>
    </row>
    <row r="7032">
      <c r="A7032" t="inlineStr">
        <is>
          <t>198B²¹</t>
        </is>
      </c>
      <c r="B7032" t="inlineStr"/>
      <c r="C7032" t="inlineStr">
        <is>
          <t>288</t>
        </is>
      </c>
      <c r="D7032" t="inlineStr">
        <is>
          <t>1</t>
        </is>
      </c>
      <c r="E7032" t="inlineStr">
        <is>
          <t>48</t>
        </is>
      </c>
      <c r="F7032" t="inlineStr">
        <is>
          <t>0</t>
        </is>
      </c>
      <c r="G7032" t="inlineStr">
        <is>
          <t>0</t>
        </is>
      </c>
      <c r="H7032" t="inlineStr">
        <is>
          <t>2³, 18¹, 22³, 198¹</t>
        </is>
      </c>
      <c r="I7032" t="n">
        <v>8</v>
      </c>
      <c r="J7032" t="inlineStr">
        <is>
          <t>1⁴, 2², 10², 20¹</t>
        </is>
      </c>
      <c r="K7032">
        <f>HYPERLINK("CSG7.html#group66A7", "66A⁷"), =HYPERLINK("CSG9.html#group99C9", "99C⁹")</f>
        <v/>
      </c>
      <c r="L7032" t="inlineStr"/>
      <c r="M7032">
        <f>HYPERLINK("CSG0.html#group3B0", "3B⁰"), =HYPERLINK("CSG1.html#group11A1", "11A¹"), =HYPERLINK("CSG0.html#group9B0", "9B⁰"), =HYPERLINK("CSG9.html#group99C9", "99C⁹"), =HYPERLINK("CSG0.html#group1A0", "1A⁰"), =HYPERLINK("CSG7.html#group66A7", "66A⁷"), =HYPERLINK("CSG3.html#group33C3", "33C³")</f>
        <v/>
      </c>
      <c r="N7032" t="inlineStr"/>
    </row>
    <row r="7033">
      <c r="A7033" t="inlineStr">
        <is>
          <t>198C²¹</t>
        </is>
      </c>
      <c r="B7033" t="inlineStr"/>
      <c r="C7033" t="inlineStr">
        <is>
          <t>288</t>
        </is>
      </c>
      <c r="D7033" t="inlineStr">
        <is>
          <t>1</t>
        </is>
      </c>
      <c r="E7033" t="inlineStr">
        <is>
          <t>48</t>
        </is>
      </c>
      <c r="F7033" t="inlineStr">
        <is>
          <t>0</t>
        </is>
      </c>
      <c r="G7033" t="inlineStr">
        <is>
          <t>0</t>
        </is>
      </c>
      <c r="H7033" t="inlineStr">
        <is>
          <t>2³, 18¹, 22³, 198¹</t>
        </is>
      </c>
      <c r="I7033" t="n">
        <v>8</v>
      </c>
      <c r="J7033" t="inlineStr">
        <is>
          <t>1⁴, 2², 10², 20¹</t>
        </is>
      </c>
      <c r="K7033">
        <f>HYPERLINK("CSG1.html#group18C1", "18C¹"), =HYPERLINK("CSG7.html#group66B7", "66B⁷"), =HYPERLINK("CSG9.html#group99C9", "99C⁹")</f>
        <v/>
      </c>
      <c r="L7033" t="inlineStr"/>
      <c r="M7033">
        <f>HYPERLINK("CSG0.html#group3B0", "3B⁰"), =HYPERLINK("CSG0.html#group2A0", "2A⁰"), =HYPERLINK("CSG1.html#group11A1", "11A¹"), =HYPERLINK("CSG1.html#group18C1", "18C¹"), =HYPERLINK("CSG2.html#group22A2", "22A²"), =HYPERLINK("CSG0.html#group6C0", "6C⁰"), =HYPERLINK("CSG0.html#group9B0", "9B⁰"), =HYPERLINK("CSG9.html#group99C9", "99C⁹"), =HYPERLINK("CSG0.html#group1A0", "1A⁰"), =HYPERLINK("CSG7.html#group66B7", "66B⁷"), =HYPERLINK("CSG3.html#group33C3", "33C³")</f>
        <v/>
      </c>
      <c r="N7033" t="inlineStr"/>
    </row>
    <row r="7034">
      <c r="A7034" t="inlineStr">
        <is>
          <t>198D²¹</t>
        </is>
      </c>
      <c r="B7034" t="inlineStr"/>
      <c r="C7034" t="inlineStr">
        <is>
          <t>288</t>
        </is>
      </c>
      <c r="D7034" t="inlineStr">
        <is>
          <t>1</t>
        </is>
      </c>
      <c r="E7034" t="inlineStr">
        <is>
          <t>96</t>
        </is>
      </c>
      <c r="F7034" t="inlineStr">
        <is>
          <t>0</t>
        </is>
      </c>
      <c r="G7034" t="inlineStr">
        <is>
          <t>0</t>
        </is>
      </c>
      <c r="H7034" t="inlineStr">
        <is>
          <t>2³, 18¹, 22³, 198¹</t>
        </is>
      </c>
      <c r="I7034" t="n">
        <v>8</v>
      </c>
      <c r="J7034" t="inlineStr">
        <is>
          <t>2⁸, 20⁴</t>
        </is>
      </c>
      <c r="K7034">
        <f>HYPERLINK("CSG0.html#group18C0", "18C⁰"), =HYPERLINK("CSG7.html#group66B7", "66B⁷")</f>
        <v/>
      </c>
      <c r="L7034" t="inlineStr"/>
      <c r="M7034">
        <f>HYPERLINK("CSG0.html#group18C0", "18C⁰"), =HYPERLINK("CSG0.html#group3B0", "3B⁰"), =HYPERLINK("CSG0.html#group2A0", "2A⁰"), =HYPERLINK("CSG1.html#group11A1", "11A¹"), =HYPERLINK("CSG2.html#group22A2", "22A²"), =HYPERLINK("CSG0.html#group6C0", "6C⁰"), =HYPERLINK("CSG0.html#group1A0", "1A⁰"), =HYPERLINK("CSG7.html#group66B7", "66B⁷"), =HYPERLINK("CSG3.html#group33C3", "33C³")</f>
        <v/>
      </c>
      <c r="N7034" t="inlineStr"/>
    </row>
    <row r="7035">
      <c r="A7035" t="inlineStr">
        <is>
          <t>198E²¹</t>
        </is>
      </c>
      <c r="B7035" t="inlineStr"/>
      <c r="C7035" t="inlineStr">
        <is>
          <t>297</t>
        </is>
      </c>
      <c r="D7035" t="inlineStr">
        <is>
          <t>2</t>
        </is>
      </c>
      <c r="E7035" t="inlineStr">
        <is>
          <t>297</t>
        </is>
      </c>
      <c r="F7035" t="inlineStr">
        <is>
          <t>15</t>
        </is>
      </c>
      <c r="G7035" t="inlineStr">
        <is>
          <t>0</t>
        </is>
      </c>
      <c r="H7035" t="inlineStr">
        <is>
          <t>99¹, 198¹</t>
        </is>
      </c>
      <c r="I7035" t="n">
        <v>2</v>
      </c>
      <c r="J7035" t="inlineStr">
        <is>
          <t>2³, 4³, 10⁶, 12³, 20⁶, 60⁶</t>
        </is>
      </c>
      <c r="K7035">
        <f>HYPERLINK("CSG1.html#group18E1", "18E¹"), =HYPERLINK("CSG5.html#group99A5", "99A⁵"), =HYPERLINK("CSG6.html#group66F6", "66F⁶")</f>
        <v/>
      </c>
      <c r="L7035" t="inlineStr"/>
      <c r="M7035">
        <f>HYPERLINK("CSG0.html#group11A0", "11A⁰"), =HYPERLINK("CSG0.html#group9A0", "9A⁰"), =HYPERLINK("CSG1.html#group33A1", "33A¹"), =HYPERLINK("CSG5.html#group99A5", "99A⁵"), =HYPERLINK("CSG2.html#group22B2", "22B²"), =HYPERLINK("CSG0.html#group2B0", "2B⁰"), =HYPERLINK("CSG6.html#group66F6", "66F⁶"), =HYPERLINK("CSG1.html#group18E1", "18E¹"), =HYPERLINK("CSG0.html#group3A0", "3A⁰"), =HYPERLINK("CSG0.html#group1A0", "1A⁰"), =HYPERLINK("CSG0.html#group6D0", "6D⁰")</f>
        <v/>
      </c>
      <c r="N7035" t="inlineStr"/>
    </row>
    <row r="7036">
      <c r="A7036" t="inlineStr">
        <is>
          <t>200A²¹</t>
        </is>
      </c>
      <c r="B7036" t="inlineStr"/>
      <c r="C7036" t="inlineStr">
        <is>
          <t>360</t>
        </is>
      </c>
      <c r="D7036" t="inlineStr">
        <is>
          <t>1</t>
        </is>
      </c>
      <c r="E7036" t="inlineStr">
        <is>
          <t>180</t>
        </is>
      </c>
      <c r="F7036" t="inlineStr">
        <is>
          <t>4</t>
        </is>
      </c>
      <c r="G7036" t="inlineStr">
        <is>
          <t>0</t>
        </is>
      </c>
      <c r="H7036" t="inlineStr">
        <is>
          <t>2¹⁰, 8⁵, 50², 200¹</t>
        </is>
      </c>
      <c r="I7036" t="n">
        <v>18</v>
      </c>
      <c r="J7036" t="inlineStr">
        <is>
          <t>1⁴, 2⁴, 4⁴, 8⁴, 20², 40²</t>
        </is>
      </c>
      <c r="K7036">
        <f>HYPERLINK("CSG3.html#group40G3", "40G³"), =HYPERLINK("CSG9.html#group100I9", "100I⁹")</f>
        <v/>
      </c>
      <c r="L7036" t="inlineStr"/>
      <c r="M7036">
        <f>HYPERLINK("CSG1.html#group20E1", "20E¹"), =HYPERLINK("CSG9.html#group100I9", "100I⁹"), =HYPERLINK("CSG0.html#group4C0", "4C⁰"), =HYPERLINK("CSG0.html#group5B0", "5B⁰"), =HYPERLINK("CSG0.html#group10C0", "10C⁰"), =HYPERLINK("CSG0.html#group25A0", "25A⁰"), =HYPERLINK("CSG0.html#group2B0", "2B⁰"), =HYPERLINK("CSG2.html#group50B2", "50B²"), =HYPERLINK("CSG0.html#group1A0", "1A⁰"), =HYPERLINK("CSG3.html#group40G3", "40G³")</f>
        <v/>
      </c>
      <c r="N7036" t="inlineStr"/>
    </row>
    <row r="7037">
      <c r="A7037" t="inlineStr">
        <is>
          <t>200B²¹</t>
        </is>
      </c>
      <c r="B7037" t="inlineStr"/>
      <c r="C7037" t="inlineStr">
        <is>
          <t>360</t>
        </is>
      </c>
      <c r="D7037" t="inlineStr">
        <is>
          <t>1</t>
        </is>
      </c>
      <c r="E7037" t="inlineStr">
        <is>
          <t>180</t>
        </is>
      </c>
      <c r="F7037" t="inlineStr">
        <is>
          <t>4</t>
        </is>
      </c>
      <c r="G7037" t="inlineStr">
        <is>
          <t>0</t>
        </is>
      </c>
      <c r="H7037" t="inlineStr">
        <is>
          <t>2¹⁰, 8⁵, 50², 200¹</t>
        </is>
      </c>
      <c r="I7037" t="n">
        <v>18</v>
      </c>
      <c r="J7037" t="inlineStr">
        <is>
          <t>1⁴, 2⁴, 4⁴, 8⁴, 20², 40²</t>
        </is>
      </c>
      <c r="K7037">
        <f>HYPERLINK("CSG3.html#group40H3", "40H³"), =HYPERLINK("CSG9.html#group100I9", "100I⁹")</f>
        <v/>
      </c>
      <c r="L7037" t="inlineStr"/>
      <c r="M7037">
        <f>HYPERLINK("CSG1.html#group20E1", "20E¹"), =HYPERLINK("CSG3.html#group40H3", "40H³"), =HYPERLINK("CSG0.html#group8D0", "8D⁰"), =HYPERLINK("CSG9.html#group100I9", "100I⁹"), =HYPERLINK("CSG0.html#group4C0", "4C⁰"), =HYPERLINK("CSG0.html#group5B0", "5B⁰"), =HYPERLINK("CSG0.html#group10C0", "10C⁰"), =HYPERLINK("CSG0.html#group25A0", "25A⁰"), =HYPERLINK("CSG0.html#group2B0", "2B⁰"), =HYPERLINK("CSG2.html#group50B2", "50B²"), =HYPERLINK("CSG0.html#group1A0", "1A⁰")</f>
        <v/>
      </c>
      <c r="N7037" t="inlineStr"/>
    </row>
    <row r="7038">
      <c r="A7038" t="inlineStr">
        <is>
          <t>200C²¹</t>
        </is>
      </c>
      <c r="B7038" t="inlineStr"/>
      <c r="C7038" t="inlineStr">
        <is>
          <t>360</t>
        </is>
      </c>
      <c r="D7038" t="inlineStr">
        <is>
          <t>2</t>
        </is>
      </c>
      <c r="E7038" t="inlineStr">
        <is>
          <t>90</t>
        </is>
      </c>
      <c r="F7038" t="inlineStr">
        <is>
          <t>4</t>
        </is>
      </c>
      <c r="G7038" t="inlineStr">
        <is>
          <t>0</t>
        </is>
      </c>
      <c r="H7038" t="inlineStr">
        <is>
          <t>2¹⁰, 8⁵, 50², 200¹</t>
        </is>
      </c>
      <c r="I7038" t="n">
        <v>18</v>
      </c>
      <c r="J7038" t="inlineStr">
        <is>
          <t>2⁶, 8⁶, 40³</t>
        </is>
      </c>
      <c r="K7038">
        <f>HYPERLINK("CSG3.html#group40I3", "40I³"), =HYPERLINK("CSG6.html#group100A6", "100A⁶")</f>
        <v/>
      </c>
      <c r="L7038" t="inlineStr"/>
      <c r="M7038">
        <f>HYPERLINK("CSG0.html#group20A0", "20A⁰"), =HYPERLINK("CSG6.html#group100A6", "100A⁶"), =HYPERLINK("CSG3.html#group40I3", "40I³"), =HYPERLINK("CSG0.html#group5B0", "5B⁰"), =HYPERLINK("CSG0.html#group10C0", "10C⁰"), =HYPERLINK("CSG0.html#group25A0", "25A⁰"), =HYPERLINK("CSG0.html#group2B0", "2B⁰"), =HYPERLINK("CSG2.html#group50B2", "50B²"), =HYPERLINK("CSG0.html#group1A0", "1A⁰")</f>
        <v/>
      </c>
      <c r="N7038" t="inlineStr"/>
    </row>
    <row r="7039">
      <c r="A7039" t="inlineStr">
        <is>
          <t>201A²¹</t>
        </is>
      </c>
      <c r="B7039" t="inlineStr">
        <is>
          <t>Γ₀(201)</t>
        </is>
      </c>
      <c r="C7039" t="inlineStr">
        <is>
          <t>272</t>
        </is>
      </c>
      <c r="D7039" t="inlineStr">
        <is>
          <t>1</t>
        </is>
      </c>
      <c r="E7039" t="inlineStr">
        <is>
          <t>272</t>
        </is>
      </c>
      <c r="F7039" t="inlineStr">
        <is>
          <t>0</t>
        </is>
      </c>
      <c r="G7039" t="inlineStr">
        <is>
          <t>2</t>
        </is>
      </c>
      <c r="H7039" t="inlineStr">
        <is>
          <t>1¹, 3¹, 67¹, 201¹</t>
        </is>
      </c>
      <c r="I7039" t="n">
        <v>4</v>
      </c>
      <c r="J7039" t="inlineStr">
        <is>
          <t>1⁴, 2², 66², 132¹</t>
        </is>
      </c>
      <c r="K7039">
        <f>HYPERLINK("CSG0.html#group3B0", "3B⁰"), =HYPERLINK("CSG5.html#group67A5", "67A⁵")</f>
        <v/>
      </c>
      <c r="L7039" t="inlineStr"/>
      <c r="M7039">
        <f>HYPERLINK("CSG0.html#group3B0", "3B⁰"), =HYPERLINK("CSG0.html#group1A0", "1A⁰"), =HYPERLINK("CSG5.html#group67A5", "67A⁵")</f>
        <v/>
      </c>
      <c r="N7039" t="inlineStr"/>
    </row>
    <row r="7040">
      <c r="A7040" t="inlineStr">
        <is>
          <t>207A²¹</t>
        </is>
      </c>
      <c r="B7040" t="inlineStr">
        <is>
          <t>Γ₀(207)</t>
        </is>
      </c>
      <c r="C7040" t="inlineStr">
        <is>
          <t>288</t>
        </is>
      </c>
      <c r="D7040" t="inlineStr">
        <is>
          <t>1</t>
        </is>
      </c>
      <c r="E7040" t="inlineStr">
        <is>
          <t>96</t>
        </is>
      </c>
      <c r="F7040" t="inlineStr">
        <is>
          <t>0</t>
        </is>
      </c>
      <c r="G7040" t="inlineStr">
        <is>
          <t>0</t>
        </is>
      </c>
      <c r="H7040" t="inlineStr">
        <is>
          <t>1³, 9¹, 23³, 207¹</t>
        </is>
      </c>
      <c r="I7040" t="n">
        <v>8</v>
      </c>
      <c r="J7040" t="inlineStr">
        <is>
          <t>1⁴, 2², 22², 44¹</t>
        </is>
      </c>
      <c r="K7040">
        <f>HYPERLINK("CSG0.html#group9B0", "9B⁰"), =HYPERLINK("CSG7.html#group69A7", "69A⁷")</f>
        <v/>
      </c>
      <c r="L7040" t="inlineStr"/>
      <c r="M7040">
        <f>HYPERLINK("CSG0.html#group3B0", "3B⁰"), =HYPERLINK("CSG0.html#group9B0", "9B⁰"), =HYPERLINK("CSG7.html#group69A7", "69A⁷"), =HYPERLINK("CSG2.html#group23A2", "23A²"), =HYPERLINK("CSG0.html#group1A0", "1A⁰")</f>
        <v/>
      </c>
      <c r="N7040" t="inlineStr"/>
    </row>
    <row r="7041">
      <c r="A7041" t="inlineStr">
        <is>
          <t>210A²¹</t>
        </is>
      </c>
      <c r="B7041" t="inlineStr"/>
      <c r="C7041" t="inlineStr">
        <is>
          <t>252</t>
        </is>
      </c>
      <c r="D7041" t="inlineStr">
        <is>
          <t>2</t>
        </is>
      </c>
      <c r="E7041" t="inlineStr">
        <is>
          <t>42</t>
        </is>
      </c>
      <c r="F7041" t="inlineStr">
        <is>
          <t>0</t>
        </is>
      </c>
      <c r="G7041" t="inlineStr">
        <is>
          <t>0</t>
        </is>
      </c>
      <c r="H7041" t="inlineStr">
        <is>
          <t>42¹, 210¹</t>
        </is>
      </c>
      <c r="I7041" t="n">
        <v>2</v>
      </c>
      <c r="J7041" t="inlineStr">
        <is>
          <t>2², 6⁴, 8¹, 24²</t>
        </is>
      </c>
      <c r="K7041">
        <f>HYPERLINK("CSG3.html#group30B3", "30B³"), =HYPERLINK("CSG4.html#group42A4", "42A⁴"), =HYPERLINK("CSG6.html#group105C6", "105C⁶"), =HYPERLINK("CSG7.html#group70A7", "70A⁷")</f>
        <v/>
      </c>
      <c r="L7041" t="inlineStr"/>
      <c r="M7041">
        <f>HYPERLINK("CSG2.html#group35C2", "35C²"), =HYPERLINK("CSG0.html#group2A0", "2A⁰"), =HYPERLINK("CSG1.html#group14A1", "14A¹"), =HYPERLINK("CSG0.html#group5B0", "5B⁰"), =HYPERLINK("CSG0.html#group21A0", "21A⁰"), =HYPERLINK("CSG1.html#group10A1", "10A¹"), =HYPERLINK("CSG4.html#group42A4", "42A⁴"), =HYPERLINK("CSG0.html#group1A0", "1A⁰"), =HYPERLINK("CSG3.html#group30B3", "30B³"), =HYPERLINK("CSG0.html#group15B0", "15B⁰"), =HYPERLINK("CSG6.html#group105C6", "105C⁶"), =HYPERLINK("CSG7.html#group70A7", "70A⁷"), =HYPERLINK("CSG1.html#group6A1", "6A¹"), =HYPERLINK("CSG0.html#group3A0", "3A⁰"), =HYPERLINK("CSG0.html#group7A0", "7A⁰")</f>
        <v/>
      </c>
      <c r="N7041" t="inlineStr"/>
    </row>
    <row r="7042">
      <c r="A7042" t="inlineStr">
        <is>
          <t>210B²¹</t>
        </is>
      </c>
      <c r="B7042" t="inlineStr"/>
      <c r="C7042" t="inlineStr">
        <is>
          <t>252</t>
        </is>
      </c>
      <c r="D7042" t="inlineStr">
        <is>
          <t>2</t>
        </is>
      </c>
      <c r="E7042" t="inlineStr">
        <is>
          <t>84</t>
        </is>
      </c>
      <c r="F7042" t="inlineStr">
        <is>
          <t>0</t>
        </is>
      </c>
      <c r="G7042" t="inlineStr">
        <is>
          <t>0</t>
        </is>
      </c>
      <c r="H7042" t="inlineStr">
        <is>
          <t>42¹, 210¹</t>
        </is>
      </c>
      <c r="I7042" t="n">
        <v>2</v>
      </c>
      <c r="J7042" t="inlineStr">
        <is>
          <t>4², 12⁴, 16¹, 48²</t>
        </is>
      </c>
      <c r="K7042">
        <f>HYPERLINK("CSG3.html#group30C3", "30C³"), =HYPERLINK("CSG3.html#group42A3", "42A³"), =HYPERLINK("CSG7.html#group70A7", "70A⁷")</f>
        <v/>
      </c>
      <c r="L7042" t="inlineStr"/>
      <c r="M7042">
        <f>HYPERLINK("CSG2.html#group35C2", "35C²"), =HYPERLINK("CSG0.html#group2A0", "2A⁰"), =HYPERLINK("CSG0.html#group6A0", "6A⁰"), =HYPERLINK("CSG3.html#group30C3", "30C³"), =HYPERLINK("CSG3.html#group42A3", "42A³"), =HYPERLINK("CSG1.html#group14A1", "14A¹"), =HYPERLINK("CSG0.html#group5B0", "5B⁰"), =HYPERLINK("CSG1.html#group10A1", "10A¹"), =HYPERLINK("CSG7.html#group70A7", "70A⁷"), =HYPERLINK("CSG0.html#group1A0", "1A⁰"), =HYPERLINK("CSG0.html#group7A0", "7A⁰")</f>
        <v/>
      </c>
      <c r="N7042" t="inlineStr"/>
    </row>
    <row r="7043">
      <c r="A7043" t="inlineStr">
        <is>
          <t>215A²¹</t>
        </is>
      </c>
      <c r="B7043" t="inlineStr">
        <is>
          <t>Γ₀(215)</t>
        </is>
      </c>
      <c r="C7043" t="inlineStr">
        <is>
          <t>264</t>
        </is>
      </c>
      <c r="D7043" t="inlineStr">
        <is>
          <t>1</t>
        </is>
      </c>
      <c r="E7043" t="inlineStr">
        <is>
          <t>264</t>
        </is>
      </c>
      <c r="F7043" t="inlineStr">
        <is>
          <t>0</t>
        </is>
      </c>
      <c r="G7043" t="inlineStr">
        <is>
          <t>0</t>
        </is>
      </c>
      <c r="H7043" t="inlineStr">
        <is>
          <t>1¹, 5¹, 43¹, 215¹</t>
        </is>
      </c>
      <c r="I7043" t="n">
        <v>4</v>
      </c>
      <c r="J7043" t="inlineStr">
        <is>
          <t>1⁴, 4², 42², 168¹</t>
        </is>
      </c>
      <c r="K7043">
        <f>HYPERLINK("CSG0.html#group5B0", "5B⁰"), =HYPERLINK("CSG3.html#group43A3", "43A³")</f>
        <v/>
      </c>
      <c r="L7043" t="inlineStr"/>
      <c r="M7043">
        <f>HYPERLINK("CSG0.html#group5B0", "5B⁰"), =HYPERLINK("CSG0.html#group1A0", "1A⁰"), =HYPERLINK("CSG3.html#group43A3", "43A³")</f>
        <v/>
      </c>
      <c r="N7043" t="inlineStr"/>
    </row>
    <row r="7044">
      <c r="A7044" t="inlineStr">
        <is>
          <t>216A²¹</t>
        </is>
      </c>
      <c r="B7044" t="inlineStr"/>
      <c r="C7044" t="inlineStr">
        <is>
          <t>288</t>
        </is>
      </c>
      <c r="D7044" t="inlineStr">
        <is>
          <t>2</t>
        </is>
      </c>
      <c r="E7044" t="inlineStr">
        <is>
          <t>48</t>
        </is>
      </c>
      <c r="F7044" t="inlineStr">
        <is>
          <t>0</t>
        </is>
      </c>
      <c r="G7044" t="inlineStr">
        <is>
          <t>0</t>
        </is>
      </c>
      <c r="H7044" t="inlineStr">
        <is>
          <t>8⁶, 24¹, 216¹</t>
        </is>
      </c>
      <c r="I7044" t="n">
        <v>8</v>
      </c>
      <c r="J7044" t="inlineStr">
        <is>
          <t>4⁴, 8⁴, 24²</t>
        </is>
      </c>
      <c r="K7044">
        <f>HYPERLINK("CSG7.html#group72A7", "72A⁷"), =HYPERLINK("CSG9.html#group108C9", "108C⁹")</f>
        <v/>
      </c>
      <c r="L7044" t="inlineStr"/>
      <c r="M7044">
        <f>HYPERLINK("CSG0.html#group3B0", "3B⁰"), =HYPERLINK("CSG7.html#group72A7", "72A⁷"), =HYPERLINK("CSG2.html#group24A2", "24A²"), =HYPERLINK("CSG0.html#group4A0", "4A⁰"), =HYPERLINK("CSG1.html#group12A1", "12A¹"), =HYPERLINK("CSG0.html#group8A0", "8A⁰"), =HYPERLINK("CSG0.html#group9B0", "9B⁰"), =HYPERLINK("CSG0.html#group27A0", "27A⁰"), =HYPERLINK("CSG3.html#group36B3", "36B³"), =HYPERLINK("CSG0.html#group1A0", "1A⁰"), =HYPERLINK("CSG9.html#group108C9", "108C⁹")</f>
        <v/>
      </c>
      <c r="N7044" t="inlineStr"/>
    </row>
    <row r="7045">
      <c r="A7045" t="inlineStr">
        <is>
          <t>216B²¹</t>
        </is>
      </c>
      <c r="B7045" t="inlineStr"/>
      <c r="C7045" t="inlineStr">
        <is>
          <t>432</t>
        </is>
      </c>
      <c r="D7045" t="inlineStr">
        <is>
          <t>1</t>
        </is>
      </c>
      <c r="E7045" t="inlineStr">
        <is>
          <t>72</t>
        </is>
      </c>
      <c r="F7045" t="inlineStr">
        <is>
          <t>0</t>
        </is>
      </c>
      <c r="G7045" t="inlineStr">
        <is>
          <t>0</t>
        </is>
      </c>
      <c r="H7045" t="inlineStr">
        <is>
          <t>1¹², 2⁶, 3², 6¹, 8⁶, 24¹, 27², 54¹, 216¹</t>
        </is>
      </c>
      <c r="I7045" t="n">
        <v>32</v>
      </c>
      <c r="J7045" t="inlineStr">
        <is>
          <t>1⁸, 2¹⁰, 4², 6⁴, 12¹</t>
        </is>
      </c>
      <c r="K7045">
        <f>HYPERLINK("CSG5.html#group72B5", "72B⁵"), =HYPERLINK("CSG7.html#group108A7", "108A⁷")</f>
        <v/>
      </c>
      <c r="L7045" t="inlineStr"/>
      <c r="M7045">
        <f>HYPERLINK("CSG0.html#group3B0", "3B⁰"), =HYPERLINK("CSG2.html#group54B2", "54B²"), =HYPERLINK("CSG0.html#group18E0", "18E⁰"), =HYPERLINK("CSG7.html#group108A7", "108A⁷"), =HYPERLINK("CSG5.html#group72B5", "72B⁵"), =HYPERLINK("CSG1.html#group24G1", "24G¹"), =HYPERLINK("CSG0.html#group6F0", "6F⁰"), =HYPERLINK("CSG0.html#group27A0", "27A⁰"), =HYPERLINK("CSG0.html#group9B0", "9B⁰"), =HYPERLINK("CSG0.html#group2B0", "2B⁰"), =HYPERLINK("CSG0.html#group8C0", "8C⁰"), =HYPERLINK("CSG1.html#group36C1", "36C¹"), =HYPERLINK("CSG0.html#group4B0", "4B⁰"), =HYPERLINK("CSG0.html#group1A0", "1A⁰"), =HYPERLINK("CSG0.html#group12E0", "12E⁰")</f>
        <v/>
      </c>
      <c r="N7045" t="inlineStr"/>
    </row>
    <row r="7046">
      <c r="A7046" t="inlineStr">
        <is>
          <t>224A²¹</t>
        </is>
      </c>
      <c r="B7046" t="inlineStr"/>
      <c r="C7046" t="inlineStr">
        <is>
          <t>336</t>
        </is>
      </c>
      <c r="D7046" t="inlineStr">
        <is>
          <t>2</t>
        </is>
      </c>
      <c r="E7046" t="inlineStr">
        <is>
          <t>84</t>
        </is>
      </c>
      <c r="F7046" t="inlineStr">
        <is>
          <t>28</t>
        </is>
      </c>
      <c r="G7046" t="inlineStr">
        <is>
          <t>0</t>
        </is>
      </c>
      <c r="H7046" t="inlineStr">
        <is>
          <t>112¹, 224¹</t>
        </is>
      </c>
      <c r="I7046" t="n">
        <v>2</v>
      </c>
      <c r="J7046" t="inlineStr">
        <is>
          <t>4⁶, 12¹²</t>
        </is>
      </c>
      <c r="K7046">
        <f>HYPERLINK("CSG8.html#group112B8", "112B⁸")</f>
        <v/>
      </c>
      <c r="L7046" t="inlineStr"/>
      <c r="M7046">
        <f>HYPERLINK("CSG0.html#group16B0", "16B⁰"), =HYPERLINK("CSG2.html#group28C2", "28C²"), =HYPERLINK("CSG1.html#group14B1", "14B¹"), =HYPERLINK("CSG0.html#group4C0", "4C⁰"), =HYPERLINK("CSG0.html#group8B0", "8B⁰"), =HYPERLINK("CSG0.html#group2B0", "2B⁰"), =HYPERLINK("CSG8.html#group112B8", "112B⁸"), =HYPERLINK("CSG0.html#group1A0", "1A⁰"), =HYPERLINK("CSG0.html#group7A0", "7A⁰"), =HYPERLINK("CSG4.html#group56B4", "56B⁴")</f>
        <v/>
      </c>
      <c r="N7046" t="inlineStr"/>
    </row>
    <row r="7047">
      <c r="A7047" t="inlineStr">
        <is>
          <t>231A²¹</t>
        </is>
      </c>
      <c r="B7047" t="inlineStr"/>
      <c r="C7047" t="inlineStr">
        <is>
          <t>252</t>
        </is>
      </c>
      <c r="D7047" t="inlineStr">
        <is>
          <t>2</t>
        </is>
      </c>
      <c r="E7047" t="inlineStr">
        <is>
          <t>84</t>
        </is>
      </c>
      <c r="F7047" t="inlineStr">
        <is>
          <t>0</t>
        </is>
      </c>
      <c r="G7047" t="inlineStr">
        <is>
          <t>0</t>
        </is>
      </c>
      <c r="H7047" t="inlineStr">
        <is>
          <t>21¹, 231¹</t>
        </is>
      </c>
      <c r="I7047" t="n">
        <v>2</v>
      </c>
      <c r="J7047" t="inlineStr">
        <is>
          <t>2², 6⁴, 20¹, 60²</t>
        </is>
      </c>
      <c r="K7047">
        <f>HYPERLINK("CSG0.html#group21A0", "21A⁰"), =HYPERLINK("CSG3.html#group33A3", "33A³"), =HYPERLINK("CSG7.html#group77A7", "77A⁷")</f>
        <v/>
      </c>
      <c r="L7047" t="inlineStr"/>
      <c r="M7047">
        <f>HYPERLINK("CSG1.html#group11A1", "11A¹"), =HYPERLINK("CSG0.html#group21A0", "21A⁰"), =HYPERLINK("CSG7.html#group77A7", "77A⁷"), =HYPERLINK("CSG0.html#group3A0", "3A⁰"), =HYPERLINK("CSG3.html#group33A3", "33A³"), =HYPERLINK("CSG0.html#group1A0", "1A⁰"), =HYPERLINK("CSG0.html#group7A0", "7A⁰")</f>
        <v/>
      </c>
      <c r="N7047" t="inlineStr"/>
    </row>
    <row r="7048">
      <c r="A7048" t="inlineStr">
        <is>
          <t>234A²¹</t>
        </is>
      </c>
      <c r="B7048" t="inlineStr"/>
      <c r="C7048" t="inlineStr">
        <is>
          <t>252</t>
        </is>
      </c>
      <c r="D7048" t="inlineStr">
        <is>
          <t>1</t>
        </is>
      </c>
      <c r="E7048" t="inlineStr">
        <is>
          <t>126</t>
        </is>
      </c>
      <c r="F7048" t="inlineStr">
        <is>
          <t>0</t>
        </is>
      </c>
      <c r="G7048" t="inlineStr">
        <is>
          <t>0</t>
        </is>
      </c>
      <c r="H7048" t="inlineStr">
        <is>
          <t>18¹, 234¹</t>
        </is>
      </c>
      <c r="I7048" t="n">
        <v>2</v>
      </c>
      <c r="J7048" t="inlineStr">
        <is>
          <t>1², 2², 6², 12¹, 24¹, 72¹</t>
        </is>
      </c>
      <c r="K7048">
        <f>HYPERLINK("CSG2.html#group18A2", "18A²"), =HYPERLINK("CSG7.html#group78A7", "78A⁷"), =HYPERLINK("CSG8.html#group117A8", "117A⁸")</f>
        <v/>
      </c>
      <c r="L7048" t="inlineStr"/>
      <c r="M7048">
        <f>HYPERLINK("CSG8.html#group117A8", "117A⁸"), =HYPERLINK("CSG2.html#group39A2", "39A²"), =HYPERLINK("CSG0.html#group2A0", "2A⁰"), =HYPERLINK("CSG1.html#group26A1", "26A¹"), =HYPERLINK("CSG7.html#group78A7", "78A⁷"), =HYPERLINK("CSG0.html#group9A0", "9A⁰"), =HYPERLINK("CSG0.html#group13A0", "13A⁰"), =HYPERLINK("CSG1.html#group6A1", "6A¹"), =HYPERLINK("CSG2.html#group18A2", "18A²"), =HYPERLINK("CSG0.html#group3A0", "3A⁰"), =HYPERLINK("CSG0.html#group1A0", "1A⁰")</f>
        <v/>
      </c>
      <c r="N7048" t="inlineStr"/>
    </row>
    <row r="7049">
      <c r="A7049" t="inlineStr">
        <is>
          <t>238A²¹</t>
        </is>
      </c>
      <c r="B7049" t="inlineStr"/>
      <c r="C7049" t="inlineStr">
        <is>
          <t>252</t>
        </is>
      </c>
      <c r="D7049" t="inlineStr">
        <is>
          <t>2</t>
        </is>
      </c>
      <c r="E7049" t="inlineStr">
        <is>
          <t>126</t>
        </is>
      </c>
      <c r="F7049" t="inlineStr">
        <is>
          <t>0</t>
        </is>
      </c>
      <c r="G7049" t="inlineStr">
        <is>
          <t>0</t>
        </is>
      </c>
      <c r="H7049" t="inlineStr">
        <is>
          <t>14¹, 238¹</t>
        </is>
      </c>
      <c r="I7049" t="n">
        <v>2</v>
      </c>
      <c r="J7049" t="inlineStr">
        <is>
          <t>2², 6⁴, 32¹, 96²</t>
        </is>
      </c>
      <c r="K7049">
        <f>HYPERLINK("CSG3.html#group34A3", "34A³"), =HYPERLINK("CSG9.html#group119A9", "119A⁹")</f>
        <v/>
      </c>
      <c r="L7049" t="inlineStr"/>
      <c r="M7049">
        <f>HYPERLINK("CSG9.html#group119A9", "119A⁹"), =HYPERLINK("CSG1.html#group17A1", "17A¹"), =HYPERLINK("CSG0.html#group1A0", "1A⁰"), =HYPERLINK("CSG3.html#group34A3", "34A³"), =HYPERLINK("CSG0.html#group7A0", "7A⁰")</f>
        <v/>
      </c>
      <c r="N7049" t="inlineStr"/>
    </row>
    <row r="7050">
      <c r="A7050" t="inlineStr">
        <is>
          <t>238B²¹</t>
        </is>
      </c>
      <c r="B7050" t="inlineStr"/>
      <c r="C7050" t="inlineStr">
        <is>
          <t>252</t>
        </is>
      </c>
      <c r="D7050" t="inlineStr">
        <is>
          <t>2</t>
        </is>
      </c>
      <c r="E7050" t="inlineStr">
        <is>
          <t>126</t>
        </is>
      </c>
      <c r="F7050" t="inlineStr">
        <is>
          <t>0</t>
        </is>
      </c>
      <c r="G7050" t="inlineStr">
        <is>
          <t>0</t>
        </is>
      </c>
      <c r="H7050" t="inlineStr">
        <is>
          <t>14¹, 238¹</t>
        </is>
      </c>
      <c r="I7050" t="n">
        <v>2</v>
      </c>
      <c r="J7050" t="inlineStr">
        <is>
          <t>2², 6⁴, 32¹, 96²</t>
        </is>
      </c>
      <c r="K7050">
        <f>HYPERLINK("CSG1.html#group14A1", "14A¹"), =HYPERLINK("CSG3.html#group34B3", "34B³"), =HYPERLINK("CSG9.html#group119A9", "119A⁹")</f>
        <v/>
      </c>
      <c r="L7050" t="inlineStr"/>
      <c r="M7050">
        <f>HYPERLINK("CSG9.html#group119A9", "119A⁹"), =HYPERLINK("CSG0.html#group2A0", "2A⁰"), =HYPERLINK("CSG1.html#group14A1", "14A¹"), =HYPERLINK("CSG1.html#group17A1", "17A¹"), =HYPERLINK("CSG3.html#group34B3", "34B³"), =HYPERLINK("CSG0.html#group1A0", "1A⁰"), =HYPERLINK("CSG0.html#group7A0", "7A⁰")</f>
        <v/>
      </c>
      <c r="N7050" t="inlineStr"/>
    </row>
    <row r="7051">
      <c r="A7051" t="inlineStr">
        <is>
          <t>240A²¹</t>
        </is>
      </c>
      <c r="B7051" t="inlineStr"/>
      <c r="C7051" t="inlineStr">
        <is>
          <t>288</t>
        </is>
      </c>
      <c r="D7051" t="inlineStr">
        <is>
          <t>2</t>
        </is>
      </c>
      <c r="E7051" t="inlineStr">
        <is>
          <t>48</t>
        </is>
      </c>
      <c r="F7051" t="inlineStr">
        <is>
          <t>12</t>
        </is>
      </c>
      <c r="G7051" t="inlineStr">
        <is>
          <t>0</t>
        </is>
      </c>
      <c r="H7051" t="inlineStr">
        <is>
          <t>48¹, 240¹</t>
        </is>
      </c>
      <c r="I7051" t="n">
        <v>2</v>
      </c>
      <c r="J7051" t="inlineStr">
        <is>
          <t>8⁴, 32²</t>
        </is>
      </c>
      <c r="K7051">
        <f>HYPERLINK("CSG7.html#group80A7", "80A⁷"), =HYPERLINK("CSG9.html#group120D9", "120D⁹")</f>
        <v/>
      </c>
      <c r="L7051" t="inlineStr"/>
      <c r="M7051">
        <f>HYPERLINK("CSG0.html#group15B0", "15B⁰"), =HYPERLINK("CSG0.html#group12A0", "12A⁰"), =HYPERLINK("CSG7.html#group80A7", "80A⁷"), =HYPERLINK("CSG1.html#group24A1", "24A¹"), =HYPERLINK("CSG0.html#group4A0", "4A⁰"), =HYPERLINK("CSG3.html#group40B3", "40B³"), =HYPERLINK("CSG0.html#group8A0", "8A⁰"), =HYPERLINK("CSG0.html#group5B0", "5B⁰"), =HYPERLINK("CSG3.html#group60B3", "60B³"), =HYPERLINK("CSG0.html#group3A0", "3A⁰"), =HYPERLINK("CSG9.html#group120D9", "120D⁹"), =HYPERLINK("CSG0.html#group1A0", "1A⁰"), =HYPERLINK("CSG1.html#group20B1", "20B¹")</f>
        <v/>
      </c>
      <c r="N7051" t="inlineStr"/>
    </row>
    <row r="7052">
      <c r="A7052" t="inlineStr">
        <is>
          <t>240B²¹</t>
        </is>
      </c>
      <c r="B7052" t="inlineStr"/>
      <c r="C7052" t="inlineStr">
        <is>
          <t>288</t>
        </is>
      </c>
      <c r="D7052" t="inlineStr">
        <is>
          <t>2</t>
        </is>
      </c>
      <c r="E7052" t="inlineStr">
        <is>
          <t>48</t>
        </is>
      </c>
      <c r="F7052" t="inlineStr">
        <is>
          <t>12</t>
        </is>
      </c>
      <c r="G7052" t="inlineStr">
        <is>
          <t>0</t>
        </is>
      </c>
      <c r="H7052" t="inlineStr">
        <is>
          <t>48¹, 240¹</t>
        </is>
      </c>
      <c r="I7052" t="n">
        <v>2</v>
      </c>
      <c r="J7052" t="inlineStr">
        <is>
          <t>8⁴, 32²</t>
        </is>
      </c>
      <c r="K7052">
        <f>HYPERLINK("CSG3.html#group48A3", "48A³"), =HYPERLINK("CSG7.html#group80B7", "80B⁷"), =HYPERLINK("CSG9.html#group120D9", "120D⁹")</f>
        <v/>
      </c>
      <c r="L7052" t="inlineStr"/>
      <c r="M7052">
        <f>HYPERLINK("CSG0.html#group15B0", "15B⁰"), =HYPERLINK("CSG0.html#group12A0", "12A⁰"), =HYPERLINK("CSG3.html#group48A3", "48A³"), =HYPERLINK("CSG1.html#group24A1", "24A¹"), =HYPERLINK("CSG0.html#group16A0", "16A⁰"), =HYPERLINK("CSG7.html#group80B7", "80B⁷"), =HYPERLINK("CSG0.html#group4A0", "4A⁰"), =HYPERLINK("CSG3.html#group40B3", "40B³"), =HYPERLINK("CSG0.html#group8A0", "8A⁰"), =HYPERLINK("CSG0.html#group5B0", "5B⁰"), =HYPERLINK("CSG3.html#group60B3", "60B³"), =HYPERLINK("CSG0.html#group3A0", "3A⁰"), =HYPERLINK("CSG9.html#group120D9", "120D⁹"), =HYPERLINK("CSG0.html#group1A0", "1A⁰"), =HYPERLINK("CSG1.html#group20B1", "20B¹")</f>
        <v/>
      </c>
      <c r="N7052" t="inlineStr"/>
    </row>
    <row r="7053">
      <c r="A7053" t="inlineStr">
        <is>
          <t>240C²¹</t>
        </is>
      </c>
      <c r="B7053" t="inlineStr"/>
      <c r="C7053" t="inlineStr">
        <is>
          <t>288</t>
        </is>
      </c>
      <c r="D7053" t="inlineStr">
        <is>
          <t>2</t>
        </is>
      </c>
      <c r="E7053" t="inlineStr">
        <is>
          <t>144</t>
        </is>
      </c>
      <c r="F7053" t="inlineStr">
        <is>
          <t>12</t>
        </is>
      </c>
      <c r="G7053" t="inlineStr">
        <is>
          <t>0</t>
        </is>
      </c>
      <c r="H7053" t="inlineStr">
        <is>
          <t>48¹, 240¹</t>
        </is>
      </c>
      <c r="I7053" t="n">
        <v>2</v>
      </c>
      <c r="J7053" t="inlineStr">
        <is>
          <t>8⁴, 16⁴, 32², 64²</t>
        </is>
      </c>
      <c r="K7053">
        <f>HYPERLINK("CSG9.html#group120D9", "120D⁹")</f>
        <v/>
      </c>
      <c r="L7053" t="inlineStr"/>
      <c r="M7053">
        <f>HYPERLINK("CSG0.html#group15B0", "15B⁰"), =HYPERLINK("CSG0.html#group12A0", "12A⁰"), =HYPERLINK("CSG1.html#group24A1", "24A¹"), =HYPERLINK("CSG0.html#group4A0", "4A⁰"), =HYPERLINK("CSG3.html#group40B3", "40B³"), =HYPERLINK("CSG0.html#group8A0", "8A⁰"), =HYPERLINK("CSG0.html#group5B0", "5B⁰"), =HYPERLINK("CSG3.html#group60B3", "60B³"), =HYPERLINK("CSG0.html#group3A0", "3A⁰"), =HYPERLINK("CSG9.html#group120D9", "120D⁹"), =HYPERLINK("CSG0.html#group1A0", "1A⁰"), =HYPERLINK("CSG1.html#group20B1", "20B¹")</f>
        <v/>
      </c>
      <c r="N7053" t="inlineStr"/>
    </row>
    <row r="7054">
      <c r="A7054" t="inlineStr">
        <is>
          <t>240D²¹</t>
        </is>
      </c>
      <c r="B7054" t="inlineStr"/>
      <c r="C7054" t="inlineStr">
        <is>
          <t>288</t>
        </is>
      </c>
      <c r="D7054" t="inlineStr">
        <is>
          <t>2</t>
        </is>
      </c>
      <c r="E7054" t="inlineStr">
        <is>
          <t>144</t>
        </is>
      </c>
      <c r="F7054" t="inlineStr">
        <is>
          <t>12</t>
        </is>
      </c>
      <c r="G7054" t="inlineStr">
        <is>
          <t>0</t>
        </is>
      </c>
      <c r="H7054" t="inlineStr">
        <is>
          <t>48¹, 240¹</t>
        </is>
      </c>
      <c r="I7054" t="n">
        <v>2</v>
      </c>
      <c r="J7054" t="inlineStr">
        <is>
          <t>8⁴, 16⁴, 32², 64²</t>
        </is>
      </c>
      <c r="K7054">
        <f>HYPERLINK("CSG3.html#group48B3", "48B³"), =HYPERLINK("CSG9.html#group120D9", "120D⁹")</f>
        <v/>
      </c>
      <c r="L7054" t="inlineStr"/>
      <c r="M7054">
        <f>HYPERLINK("CSG0.html#group15B0", "15B⁰"), =HYPERLINK("CSG0.html#group12A0", "12A⁰"), =HYPERLINK("CSG1.html#group24A1", "24A¹"), =HYPERLINK("CSG0.html#group4A0", "4A⁰"), =HYPERLINK("CSG3.html#group40B3", "40B³"), =HYPERLINK("CSG0.html#group8A0", "8A⁰"), =HYPERLINK("CSG0.html#group5B0", "5B⁰"), =HYPERLINK("CSG3.html#group60B3", "60B³"), =HYPERLINK("CSG0.html#group3A0", "3A⁰"), =HYPERLINK("CSG9.html#group120D9", "120D⁹"), =HYPERLINK("CSG0.html#group1A0", "1A⁰"), =HYPERLINK("CSG1.html#group20B1", "20B¹"), =HYPERLINK("CSG3.html#group48B3", "48B³")</f>
        <v/>
      </c>
      <c r="N7054" t="inlineStr"/>
    </row>
    <row r="7055">
      <c r="A7055" t="inlineStr">
        <is>
          <t>245A²¹</t>
        </is>
      </c>
      <c r="B7055" t="inlineStr">
        <is>
          <t>Γ₀(245)</t>
        </is>
      </c>
      <c r="C7055" t="inlineStr">
        <is>
          <t>336</t>
        </is>
      </c>
      <c r="D7055" t="inlineStr">
        <is>
          <t>1</t>
        </is>
      </c>
      <c r="E7055" t="inlineStr">
        <is>
          <t>336</t>
        </is>
      </c>
      <c r="F7055" t="inlineStr">
        <is>
          <t>0</t>
        </is>
      </c>
      <c r="G7055" t="inlineStr">
        <is>
          <t>0</t>
        </is>
      </c>
      <c r="H7055" t="inlineStr">
        <is>
          <t>1⁷, 5⁷, 49¹, 245¹</t>
        </is>
      </c>
      <c r="I7055" t="n">
        <v>16</v>
      </c>
      <c r="J7055" t="inlineStr">
        <is>
          <t>1⁴, 4², 6⁴, 24², 42², 168¹</t>
        </is>
      </c>
      <c r="K7055">
        <f>HYPERLINK("CSG1.html#group49A1", "49A¹"), =HYPERLINK("CSG3.html#group35A3", "35A³")</f>
        <v/>
      </c>
      <c r="L7055" t="inlineStr"/>
      <c r="M7055">
        <f>HYPERLINK("CSG1.html#group49A1", "49A¹"), =HYPERLINK("CSG0.html#group5B0", "5B⁰"), =HYPERLINK("CSG0.html#group1A0", "1A⁰"), =HYPERLINK("CSG0.html#group7B0", "7B⁰"), =HYPERLINK("CSG3.html#group35A3", "35A³")</f>
        <v/>
      </c>
      <c r="N7055" t="inlineStr"/>
    </row>
    <row r="7056">
      <c r="A7056" t="inlineStr">
        <is>
          <t>246A²¹</t>
        </is>
      </c>
      <c r="B7056" t="inlineStr"/>
      <c r="C7056" t="inlineStr">
        <is>
          <t>252</t>
        </is>
      </c>
      <c r="D7056" t="inlineStr">
        <is>
          <t>1</t>
        </is>
      </c>
      <c r="E7056" t="inlineStr">
        <is>
          <t>42</t>
        </is>
      </c>
      <c r="F7056" t="inlineStr">
        <is>
          <t>0</t>
        </is>
      </c>
      <c r="G7056" t="inlineStr">
        <is>
          <t>0</t>
        </is>
      </c>
      <c r="H7056" t="inlineStr">
        <is>
          <t>6¹, 246¹</t>
        </is>
      </c>
      <c r="I7056" t="n">
        <v>2</v>
      </c>
      <c r="J7056" t="inlineStr">
        <is>
          <t>1², 40¹</t>
        </is>
      </c>
      <c r="K7056">
        <f>HYPERLINK("CSG7.html#group82A7", "82A⁷"), =HYPERLINK("CSG9.html#group123A9", "123A⁹")</f>
        <v/>
      </c>
      <c r="L7056" t="inlineStr"/>
      <c r="M7056">
        <f>HYPERLINK("CSG9.html#group123A9", "123A⁹"), =HYPERLINK("CSG7.html#group82A7", "82A⁷"), =HYPERLINK("CSG3.html#group41A3", "41A³"), =HYPERLINK("CSG0.html#group3A0", "3A⁰"), =HYPERLINK("CSG0.html#group1A0", "1A⁰")</f>
        <v/>
      </c>
      <c r="N7056" t="inlineStr"/>
    </row>
    <row r="7057">
      <c r="A7057" t="inlineStr">
        <is>
          <t>246B²¹</t>
        </is>
      </c>
      <c r="B7057" t="inlineStr"/>
      <c r="C7057" t="inlineStr">
        <is>
          <t>252</t>
        </is>
      </c>
      <c r="D7057" t="inlineStr">
        <is>
          <t>1</t>
        </is>
      </c>
      <c r="E7057" t="inlineStr">
        <is>
          <t>42</t>
        </is>
      </c>
      <c r="F7057" t="inlineStr">
        <is>
          <t>0</t>
        </is>
      </c>
      <c r="G7057" t="inlineStr">
        <is>
          <t>0</t>
        </is>
      </c>
      <c r="H7057" t="inlineStr">
        <is>
          <t>6¹, 246¹</t>
        </is>
      </c>
      <c r="I7057" t="n">
        <v>2</v>
      </c>
      <c r="J7057" t="inlineStr">
        <is>
          <t>1², 40¹</t>
        </is>
      </c>
      <c r="K7057">
        <f>HYPERLINK("CSG1.html#group6A1", "6A¹"), =HYPERLINK("CSG7.html#group82B7", "82B⁷"), =HYPERLINK("CSG9.html#group123A9", "123A⁹")</f>
        <v/>
      </c>
      <c r="L7057" t="inlineStr"/>
      <c r="M7057">
        <f>HYPERLINK("CSG0.html#group2A0", "2A⁰"), =HYPERLINK("CSG9.html#group123A9", "123A⁹"), =HYPERLINK("CSG1.html#group6A1", "6A¹"), =HYPERLINK("CSG3.html#group41A3", "41A³"), =HYPERLINK("CSG0.html#group3A0", "3A⁰"), =HYPERLINK("CSG0.html#group1A0", "1A⁰"), =HYPERLINK("CSG7.html#group82B7", "82B⁷")</f>
        <v/>
      </c>
      <c r="N7057" t="inlineStr"/>
    </row>
    <row r="7058">
      <c r="A7058" t="inlineStr">
        <is>
          <t>246C²¹</t>
        </is>
      </c>
      <c r="B7058" t="inlineStr"/>
      <c r="C7058" t="inlineStr">
        <is>
          <t>252</t>
        </is>
      </c>
      <c r="D7058" t="inlineStr">
        <is>
          <t>1</t>
        </is>
      </c>
      <c r="E7058" t="inlineStr">
        <is>
          <t>84</t>
        </is>
      </c>
      <c r="F7058" t="inlineStr">
        <is>
          <t>0</t>
        </is>
      </c>
      <c r="G7058" t="inlineStr">
        <is>
          <t>0</t>
        </is>
      </c>
      <c r="H7058" t="inlineStr">
        <is>
          <t>6¹, 246¹</t>
        </is>
      </c>
      <c r="I7058" t="n">
        <v>2</v>
      </c>
      <c r="J7058" t="inlineStr">
        <is>
          <t>2², 80¹</t>
        </is>
      </c>
      <c r="K7058">
        <f>HYPERLINK("CSG0.html#group6A0", "6A⁰"), =HYPERLINK("CSG7.html#group82B7", "82B⁷")</f>
        <v/>
      </c>
      <c r="L7058" t="inlineStr"/>
      <c r="M7058">
        <f>HYPERLINK("CSG0.html#group2A0", "2A⁰"), =HYPERLINK("CSG3.html#group41A3", "41A³"), =HYPERLINK("CSG0.html#group6A0", "6A⁰"), =HYPERLINK("CSG0.html#group1A0", "1A⁰"), =HYPERLINK("CSG7.html#group82B7", "82B⁷")</f>
        <v/>
      </c>
      <c r="N7058" t="inlineStr"/>
    </row>
    <row r="7059">
      <c r="A7059" t="inlineStr">
        <is>
          <t>247A²¹</t>
        </is>
      </c>
      <c r="B7059" t="inlineStr">
        <is>
          <t>Γ₀(247)</t>
        </is>
      </c>
      <c r="C7059" t="inlineStr">
        <is>
          <t>280</t>
        </is>
      </c>
      <c r="D7059" t="inlineStr">
        <is>
          <t>1</t>
        </is>
      </c>
      <c r="E7059" t="inlineStr">
        <is>
          <t>280</t>
        </is>
      </c>
      <c r="F7059" t="inlineStr">
        <is>
          <t>0</t>
        </is>
      </c>
      <c r="G7059" t="inlineStr">
        <is>
          <t>4</t>
        </is>
      </c>
      <c r="H7059" t="inlineStr">
        <is>
          <t>1¹, 13¹, 19¹, 247¹</t>
        </is>
      </c>
      <c r="I7059" t="n">
        <v>4</v>
      </c>
      <c r="J7059" t="inlineStr">
        <is>
          <t>1⁴, 12², 18², 216¹</t>
        </is>
      </c>
      <c r="K7059">
        <f>HYPERLINK("CSG0.html#group13A0", "13A⁰"), =HYPERLINK("CSG1.html#group19A1", "19A¹")</f>
        <v/>
      </c>
      <c r="L7059" t="inlineStr"/>
      <c r="M7059">
        <f>HYPERLINK("CSG0.html#group13A0", "13A⁰"), =HYPERLINK("CSG1.html#group19A1", "19A¹"), =HYPERLINK("CSG0.html#group1A0", "1A⁰")</f>
        <v/>
      </c>
      <c r="N7059" t="inlineStr"/>
    </row>
    <row r="7060">
      <c r="A7060" t="inlineStr">
        <is>
          <t>249A²¹</t>
        </is>
      </c>
      <c r="B7060" t="inlineStr"/>
      <c r="C7060" t="inlineStr">
        <is>
          <t>252</t>
        </is>
      </c>
      <c r="D7060" t="inlineStr">
        <is>
          <t>1</t>
        </is>
      </c>
      <c r="E7060" t="inlineStr">
        <is>
          <t>84</t>
        </is>
      </c>
      <c r="F7060" t="inlineStr">
        <is>
          <t>0</t>
        </is>
      </c>
      <c r="G7060" t="inlineStr">
        <is>
          <t>0</t>
        </is>
      </c>
      <c r="H7060" t="inlineStr">
        <is>
          <t>3¹, 249¹</t>
        </is>
      </c>
      <c r="I7060" t="n">
        <v>2</v>
      </c>
      <c r="J7060" t="inlineStr">
        <is>
          <t>1², 82¹</t>
        </is>
      </c>
      <c r="K7060">
        <f>HYPERLINK("CSG0.html#group3A0", "3A⁰"), =HYPERLINK("CSG7.html#group83A7", "83A⁷")</f>
        <v/>
      </c>
      <c r="L7060" t="inlineStr"/>
      <c r="M7060">
        <f>HYPERLINK("CSG0.html#group3A0", "3A⁰"), =HYPERLINK("CSG0.html#group1A0", "1A⁰"), =HYPERLINK("CSG7.html#group83A7", "83A⁷")</f>
        <v/>
      </c>
      <c r="N7060" t="inlineStr"/>
    </row>
    <row r="7061">
      <c r="A7061" t="inlineStr">
        <is>
          <t>250A²¹</t>
        </is>
      </c>
      <c r="B7061" t="inlineStr"/>
      <c r="C7061" t="inlineStr">
        <is>
          <t>300</t>
        </is>
      </c>
      <c r="D7061" t="inlineStr">
        <is>
          <t>1</t>
        </is>
      </c>
      <c r="E7061" t="inlineStr">
        <is>
          <t>150</t>
        </is>
      </c>
      <c r="F7061" t="inlineStr">
        <is>
          <t>0</t>
        </is>
      </c>
      <c r="G7061" t="inlineStr">
        <is>
          <t>0</t>
        </is>
      </c>
      <c r="H7061" t="inlineStr">
        <is>
          <t>2⁵, 10⁴, 250¹</t>
        </is>
      </c>
      <c r="I7061" t="n">
        <v>10</v>
      </c>
      <c r="J7061" t="inlineStr">
        <is>
          <t>1², 4², 20², 100¹</t>
        </is>
      </c>
      <c r="K7061">
        <f>HYPERLINK("CSG3.html#group50A3", "50A³"), =HYPERLINK("CSG8.html#group125A8", "125A⁸")</f>
        <v/>
      </c>
      <c r="L7061" t="inlineStr"/>
      <c r="M7061">
        <f>HYPERLINK("CSG3.html#group50A3", "50A³"), =HYPERLINK("CSG0.html#group25A0", "25A⁰"), =HYPERLINK("CSG0.html#group5B0", "5B⁰"), =HYPERLINK("CSG1.html#group10A1", "10A¹"), =HYPERLINK("CSG0.html#group2A0", "2A⁰"), =HYPERLINK("CSG0.html#group1A0", "1A⁰"), =HYPERLINK("CSG8.html#group125A8", "125A⁸")</f>
        <v/>
      </c>
      <c r="N7061" t="inlineStr"/>
    </row>
    <row r="7062">
      <c r="A7062" t="inlineStr">
        <is>
          <t>251A²¹</t>
        </is>
      </c>
      <c r="B7062" t="inlineStr">
        <is>
          <t>Γ₀(251)</t>
        </is>
      </c>
      <c r="C7062" t="inlineStr">
        <is>
          <t>252</t>
        </is>
      </c>
      <c r="D7062" t="inlineStr">
        <is>
          <t>1</t>
        </is>
      </c>
      <c r="E7062" t="inlineStr">
        <is>
          <t>252</t>
        </is>
      </c>
      <c r="F7062" t="inlineStr">
        <is>
          <t>0</t>
        </is>
      </c>
      <c r="G7062" t="inlineStr">
        <is>
          <t>0</t>
        </is>
      </c>
      <c r="H7062" t="inlineStr">
        <is>
          <t>1¹, 251¹</t>
        </is>
      </c>
      <c r="I7062" t="n">
        <v>2</v>
      </c>
      <c r="J7062" t="inlineStr">
        <is>
          <t>1², 250¹</t>
        </is>
      </c>
      <c r="K7062">
        <f>HYPERLINK("CSG0.html#group1A0", "1A⁰")</f>
        <v/>
      </c>
      <c r="L7062" t="inlineStr"/>
      <c r="M7062">
        <f>HYPERLINK("CSG0.html#group1A0", "1A⁰")</f>
        <v/>
      </c>
      <c r="N7062" t="inlineStr"/>
    </row>
    <row r="7063">
      <c r="A7063" t="inlineStr">
        <is>
          <t>255A²¹</t>
        </is>
      </c>
      <c r="B7063" t="inlineStr"/>
      <c r="C7063" t="inlineStr">
        <is>
          <t>270</t>
        </is>
      </c>
      <c r="D7063" t="inlineStr">
        <is>
          <t>1</t>
        </is>
      </c>
      <c r="E7063" t="inlineStr">
        <is>
          <t>90</t>
        </is>
      </c>
      <c r="F7063" t="inlineStr">
        <is>
          <t>6</t>
        </is>
      </c>
      <c r="G7063" t="inlineStr">
        <is>
          <t>0</t>
        </is>
      </c>
      <c r="H7063" t="inlineStr">
        <is>
          <t>15¹, 255¹</t>
        </is>
      </c>
      <c r="I7063" t="n">
        <v>2</v>
      </c>
      <c r="J7063" t="inlineStr">
        <is>
          <t>1², 4², 16¹, 64¹</t>
        </is>
      </c>
      <c r="K7063">
        <f>HYPERLINK("CSG1.html#group15A1", "15A¹"), =HYPERLINK("CSG3.html#group51A3", "51A³"), =HYPERLINK("CSG7.html#group85A7", "85A⁷")</f>
        <v/>
      </c>
      <c r="L7063" t="inlineStr"/>
      <c r="M7063">
        <f>HYPERLINK("CSG7.html#group85A7", "85A⁷"), =HYPERLINK("CSG0.html#group5A0", "5A⁰"), =HYPERLINK("CSG3.html#group51A3", "51A³"), =HYPERLINK("CSG1.html#group17A1", "17A¹"), =HYPERLINK("CSG0.html#group3A0", "3A⁰"), =HYPERLINK("CSG0.html#group1A0", "1A⁰"), =HYPERLINK("CSG1.html#group15A1", "15A¹")</f>
        <v/>
      </c>
      <c r="N7063" t="inlineStr"/>
    </row>
    <row r="7064">
      <c r="A7064" t="inlineStr">
        <is>
          <t>255B²¹</t>
        </is>
      </c>
      <c r="B7064" t="inlineStr"/>
      <c r="C7064" t="inlineStr">
        <is>
          <t>270</t>
        </is>
      </c>
      <c r="D7064" t="inlineStr">
        <is>
          <t>2</t>
        </is>
      </c>
      <c r="E7064" t="inlineStr">
        <is>
          <t>90</t>
        </is>
      </c>
      <c r="F7064" t="inlineStr">
        <is>
          <t>6</t>
        </is>
      </c>
      <c r="G7064" t="inlineStr">
        <is>
          <t>0</t>
        </is>
      </c>
      <c r="H7064" t="inlineStr">
        <is>
          <t>15¹, 255¹</t>
        </is>
      </c>
      <c r="I7064" t="n">
        <v>2</v>
      </c>
      <c r="J7064" t="inlineStr">
        <is>
          <t>2², 8², 32¹, 128¹</t>
        </is>
      </c>
      <c r="K7064">
        <f>HYPERLINK("CSG0.html#group15A0", "15A⁰"), =HYPERLINK("CSG7.html#group85A7", "85A⁷")</f>
        <v/>
      </c>
      <c r="L7064" t="inlineStr"/>
      <c r="M7064">
        <f>HYPERLINK("CSG7.html#group85A7", "85A⁷"), =HYPERLINK("CSG1.html#group17A1", "17A¹"), =HYPERLINK("CSG0.html#group5A0", "5A⁰"), =HYPERLINK("CSG0.html#group1A0", "1A⁰"), =HYPERLINK("CSG0.html#group15A0", "15A⁰")</f>
        <v/>
      </c>
      <c r="N7064" t="inlineStr"/>
    </row>
    <row r="7065">
      <c r="A7065" t="inlineStr">
        <is>
          <t>256A²¹</t>
        </is>
      </c>
      <c r="B7065" t="inlineStr">
        <is>
          <t>Γ₀(256)</t>
        </is>
      </c>
      <c r="C7065" t="inlineStr">
        <is>
          <t>384</t>
        </is>
      </c>
      <c r="D7065" t="inlineStr">
        <is>
          <t>1</t>
        </is>
      </c>
      <c r="E7065" t="inlineStr">
        <is>
          <t>48</t>
        </is>
      </c>
      <c r="F7065" t="inlineStr">
        <is>
          <t>0</t>
        </is>
      </c>
      <c r="G7065" t="inlineStr">
        <is>
          <t>0</t>
        </is>
      </c>
      <c r="H7065" t="inlineStr">
        <is>
          <t>1¹⁶, 4⁴, 16², 64¹, 256¹</t>
        </is>
      </c>
      <c r="I7065" t="n">
        <v>24</v>
      </c>
      <c r="J7065" t="inlineStr">
        <is>
          <t>1⁴, 2², 4², 8², 16¹</t>
        </is>
      </c>
      <c r="K7065">
        <f>HYPERLINK("CSG9.html#group128A9", "128A⁹")</f>
        <v/>
      </c>
      <c r="L7065" t="inlineStr"/>
      <c r="M7065">
        <f>HYPERLINK("CSG1.html#group32A1", "32A¹"), =HYPERLINK("CSG0.html#group16C0", "16C⁰"), =HYPERLINK("CSG9.html#group128A9", "128A⁹"), =HYPERLINK("CSG3.html#group64B3", "64B³"), =HYPERLINK("CSG0.html#group8C0", "8C⁰"), =HYPERLINK("CSG0.html#group2B0", "2B⁰"), =HYPERLINK("CSG0.html#group4B0", "4B⁰"), =HYPERLINK("CSG0.html#group1A0", "1A⁰")</f>
        <v/>
      </c>
      <c r="N7065" t="inlineStr"/>
    </row>
    <row r="7066">
      <c r="A7066" t="inlineStr">
        <is>
          <t>256B²¹</t>
        </is>
      </c>
      <c r="B7066" t="inlineStr"/>
      <c r="C7066" t="inlineStr">
        <is>
          <t>384</t>
        </is>
      </c>
      <c r="D7066" t="inlineStr">
        <is>
          <t>1</t>
        </is>
      </c>
      <c r="E7066" t="inlineStr">
        <is>
          <t>48</t>
        </is>
      </c>
      <c r="F7066" t="inlineStr">
        <is>
          <t>0</t>
        </is>
      </c>
      <c r="G7066" t="inlineStr">
        <is>
          <t>0</t>
        </is>
      </c>
      <c r="H7066" t="inlineStr">
        <is>
          <t>1¹⁶, 4⁴, 16², 64¹, 256¹</t>
        </is>
      </c>
      <c r="I7066" t="n">
        <v>24</v>
      </c>
      <c r="J7066" t="inlineStr">
        <is>
          <t>1⁴, 2², 4², 8², 16¹</t>
        </is>
      </c>
      <c r="K7066">
        <f>HYPERLINK("CSG9.html#group128B9", "128B⁹")</f>
        <v/>
      </c>
      <c r="L7066" t="inlineStr"/>
      <c r="M7066">
        <f>HYPERLINK("CSG1.html#group32A1", "32A¹"), =HYPERLINK("CSG0.html#group4B0", "4B⁰"), =HYPERLINK("CSG0.html#group16C0", "16C⁰"), =HYPERLINK("CSG3.html#group64B3", "64B³"), =HYPERLINK("CSG0.html#group8C0", "8C⁰"), =HYPERLINK("CSG0.html#group2B0", "2B⁰"), =HYPERLINK("CSG9.html#group128B9", "128B⁹"), =HYPERLINK("CSG0.html#group1A0", "1A⁰")</f>
        <v/>
      </c>
      <c r="N7066" t="inlineStr"/>
    </row>
    <row r="7067">
      <c r="A7067" t="inlineStr">
        <is>
          <t>257A²¹</t>
        </is>
      </c>
      <c r="B7067" t="inlineStr">
        <is>
          <t>Γ₀(257)</t>
        </is>
      </c>
      <c r="C7067" t="inlineStr">
        <is>
          <t>258</t>
        </is>
      </c>
      <c r="D7067" t="inlineStr">
        <is>
          <t>1</t>
        </is>
      </c>
      <c r="E7067" t="inlineStr">
        <is>
          <t>258</t>
        </is>
      </c>
      <c r="F7067" t="inlineStr">
        <is>
          <t>2</t>
        </is>
      </c>
      <c r="G7067" t="inlineStr">
        <is>
          <t>0</t>
        </is>
      </c>
      <c r="H7067" t="inlineStr">
        <is>
          <t>1¹, 257¹</t>
        </is>
      </c>
      <c r="I7067" t="n">
        <v>2</v>
      </c>
      <c r="J7067" t="inlineStr">
        <is>
          <t>1², 256¹</t>
        </is>
      </c>
      <c r="K7067">
        <f>HYPERLINK("CSG0.html#group1A0", "1A⁰")</f>
        <v/>
      </c>
      <c r="L7067" t="inlineStr"/>
      <c r="M7067">
        <f>HYPERLINK("CSG0.html#group1A0", "1A⁰")</f>
        <v/>
      </c>
      <c r="N7067" t="inlineStr"/>
    </row>
    <row r="7068">
      <c r="A7068" t="inlineStr">
        <is>
          <t>258A²¹</t>
        </is>
      </c>
      <c r="B7068" t="inlineStr"/>
      <c r="C7068" t="inlineStr">
        <is>
          <t>264</t>
        </is>
      </c>
      <c r="D7068" t="inlineStr">
        <is>
          <t>2</t>
        </is>
      </c>
      <c r="E7068" t="inlineStr">
        <is>
          <t>88</t>
        </is>
      </c>
      <c r="F7068" t="inlineStr">
        <is>
          <t>0</t>
        </is>
      </c>
      <c r="G7068" t="inlineStr">
        <is>
          <t>3</t>
        </is>
      </c>
      <c r="H7068" t="inlineStr">
        <is>
          <t>6¹, 258¹</t>
        </is>
      </c>
      <c r="I7068" t="n">
        <v>2</v>
      </c>
      <c r="J7068" t="inlineStr">
        <is>
          <t>2⁴, 84²</t>
        </is>
      </c>
      <c r="K7068">
        <f>HYPERLINK("CSG6.html#group86A6", "86A⁶")</f>
        <v/>
      </c>
      <c r="L7068" t="inlineStr"/>
      <c r="M7068">
        <f>HYPERLINK("CSG3.html#group43A3", "43A³"), =HYPERLINK("CSG0.html#group2A0", "2A⁰"), =HYPERLINK("CSG6.html#group86A6", "86A⁶"), =HYPERLINK("CSG0.html#group1A0", "1A⁰")</f>
        <v/>
      </c>
      <c r="N7068" t="inlineStr"/>
    </row>
    <row r="7069">
      <c r="A7069" t="inlineStr">
        <is>
          <t>260A²¹</t>
        </is>
      </c>
      <c r="B7069" t="inlineStr"/>
      <c r="C7069" t="inlineStr">
        <is>
          <t>280</t>
        </is>
      </c>
      <c r="D7069" t="inlineStr">
        <is>
          <t>1</t>
        </is>
      </c>
      <c r="E7069" t="inlineStr">
        <is>
          <t>280</t>
        </is>
      </c>
      <c r="F7069" t="inlineStr">
        <is>
          <t>4</t>
        </is>
      </c>
      <c r="G7069" t="inlineStr">
        <is>
          <t>4</t>
        </is>
      </c>
      <c r="H7069" t="inlineStr">
        <is>
          <t>20¹, 260¹</t>
        </is>
      </c>
      <c r="I7069" t="n">
        <v>2</v>
      </c>
      <c r="J7069" t="inlineStr">
        <is>
          <t>2⁴, 8⁴, 24², 96²</t>
        </is>
      </c>
      <c r="K7069">
        <f>HYPERLINK("CSG1.html#group20A1", "20A¹"), =HYPERLINK("CSG3.html#group52A3", "52A³"), =HYPERLINK("CSG4.html#group65A4", "65A⁴")</f>
        <v/>
      </c>
      <c r="L7069" t="inlineStr"/>
      <c r="M7069">
        <f>HYPERLINK("CSG0.html#group5A0", "5A⁰"), =HYPERLINK("CSG3.html#group52A3", "52A³"), =HYPERLINK("CSG0.html#group4A0", "4A⁰"), =HYPERLINK("CSG0.html#group13A0", "13A⁰"), =HYPERLINK("CSG1.html#group20A1", "20A¹"), =HYPERLINK("CSG0.html#group1A0", "1A⁰"), =HYPERLINK("CSG4.html#group65A4", "65A⁴")</f>
        <v/>
      </c>
      <c r="N7069" t="inlineStr"/>
    </row>
    <row r="7070">
      <c r="A7070" t="inlineStr">
        <is>
          <t>267A²¹</t>
        </is>
      </c>
      <c r="B7070" t="inlineStr"/>
      <c r="C7070" t="inlineStr">
        <is>
          <t>270</t>
        </is>
      </c>
      <c r="D7070" t="inlineStr">
        <is>
          <t>1</t>
        </is>
      </c>
      <c r="E7070" t="inlineStr">
        <is>
          <t>90</t>
        </is>
      </c>
      <c r="F7070" t="inlineStr">
        <is>
          <t>6</t>
        </is>
      </c>
      <c r="G7070" t="inlineStr">
        <is>
          <t>0</t>
        </is>
      </c>
      <c r="H7070" t="inlineStr">
        <is>
          <t>3¹, 267¹</t>
        </is>
      </c>
      <c r="I7070" t="n">
        <v>2</v>
      </c>
      <c r="J7070" t="inlineStr">
        <is>
          <t>1², 88¹</t>
        </is>
      </c>
      <c r="K7070">
        <f>HYPERLINK("CSG0.html#group3A0", "3A⁰"), =HYPERLINK("CSG7.html#group89A7", "89A⁷")</f>
        <v/>
      </c>
      <c r="L7070" t="inlineStr"/>
      <c r="M7070">
        <f>HYPERLINK("CSG0.html#group3A0", "3A⁰"), =HYPERLINK("CSG7.html#group89A7", "89A⁷"), =HYPERLINK("CSG0.html#group1A0", "1A⁰")</f>
        <v/>
      </c>
      <c r="N7070" t="inlineStr"/>
    </row>
    <row r="7071">
      <c r="A7071" t="inlineStr">
        <is>
          <t>280A²¹</t>
        </is>
      </c>
      <c r="B7071" t="inlineStr"/>
      <c r="C7071" t="inlineStr">
        <is>
          <t>280</t>
        </is>
      </c>
      <c r="D7071" t="inlineStr">
        <is>
          <t>2</t>
        </is>
      </c>
      <c r="E7071" t="inlineStr">
        <is>
          <t>140</t>
        </is>
      </c>
      <c r="F7071" t="inlineStr">
        <is>
          <t>6</t>
        </is>
      </c>
      <c r="G7071" t="inlineStr">
        <is>
          <t>4</t>
        </is>
      </c>
      <c r="H7071" t="inlineStr">
        <is>
          <t>280¹</t>
        </is>
      </c>
      <c r="I7071" t="n">
        <v>1</v>
      </c>
      <c r="J7071" t="inlineStr">
        <is>
          <t>8², 24⁴, 32², 96⁴</t>
        </is>
      </c>
      <c r="K7071">
        <f>HYPERLINK("CSG3.html#group56A3", "56A³"), =HYPERLINK("CSG10.html#group140A10", "140A¹⁰")</f>
        <v/>
      </c>
      <c r="L7071" t="inlineStr"/>
      <c r="M7071">
        <f>HYPERLINK("CSG10.html#group140A10", "140A¹⁰"), =HYPERLINK("CSG0.html#group5A0", "5A⁰"), =HYPERLINK("CSG0.html#group4A0", "4A⁰"), =HYPERLINK("CSG1.html#group20A1", "20A¹"), =HYPERLINK("CSG1.html#group28A1", "28A¹"), =HYPERLINK("CSG0.html#group1A0", "1A⁰"), =HYPERLINK("CSG2.html#group35A2", "35A²"), =HYPERLINK("CSG0.html#group7A0", "7A⁰"), =HYPERLINK("CSG3.html#group56A3", "56A³")</f>
        <v/>
      </c>
      <c r="N7071" t="inlineStr"/>
    </row>
    <row r="7072">
      <c r="A7072" t="inlineStr">
        <is>
          <t>280B²¹</t>
        </is>
      </c>
      <c r="B7072" t="inlineStr"/>
      <c r="C7072" t="inlineStr">
        <is>
          <t>280</t>
        </is>
      </c>
      <c r="D7072" t="inlineStr">
        <is>
          <t>2</t>
        </is>
      </c>
      <c r="E7072" t="inlineStr">
        <is>
          <t>140</t>
        </is>
      </c>
      <c r="F7072" t="inlineStr">
        <is>
          <t>6</t>
        </is>
      </c>
      <c r="G7072" t="inlineStr">
        <is>
          <t>4</t>
        </is>
      </c>
      <c r="H7072" t="inlineStr">
        <is>
          <t>280¹</t>
        </is>
      </c>
      <c r="I7072" t="n">
        <v>1</v>
      </c>
      <c r="J7072" t="inlineStr">
        <is>
          <t>8², 24⁴, 32², 96⁴</t>
        </is>
      </c>
      <c r="K7072">
        <f>HYPERLINK("CSG3.html#group56B3", "56B³"), =HYPERLINK("CSG10.html#group140A10", "140A¹⁰")</f>
        <v/>
      </c>
      <c r="L7072" t="inlineStr"/>
      <c r="M7072">
        <f>HYPERLINK("CSG10.html#group140A10", "140A¹⁰"), =HYPERLINK("CSG0.html#group5A0", "5A⁰"), =HYPERLINK("CSG3.html#group56B3", "56B³"), =HYPERLINK("CSG0.html#group4A0", "4A⁰"), =HYPERLINK("CSG1.html#group20A1", "20A¹"), =HYPERLINK("CSG1.html#group28A1", "28A¹"), =HYPERLINK("CSG0.html#group1A0", "1A⁰"), =HYPERLINK("CSG2.html#group35A2", "35A²"), =HYPERLINK("CSG0.html#group7A0", "7A⁰")</f>
        <v/>
      </c>
      <c r="N7072" t="inlineStr"/>
    </row>
    <row r="7073">
      <c r="A7073" t="inlineStr">
        <is>
          <t>280C²¹</t>
        </is>
      </c>
      <c r="B7073" t="inlineStr"/>
      <c r="C7073" t="inlineStr">
        <is>
          <t>280</t>
        </is>
      </c>
      <c r="D7073" t="inlineStr">
        <is>
          <t>2</t>
        </is>
      </c>
      <c r="E7073" t="inlineStr">
        <is>
          <t>140</t>
        </is>
      </c>
      <c r="F7073" t="inlineStr">
        <is>
          <t>6</t>
        </is>
      </c>
      <c r="G7073" t="inlineStr">
        <is>
          <t>4</t>
        </is>
      </c>
      <c r="H7073" t="inlineStr">
        <is>
          <t>280¹</t>
        </is>
      </c>
      <c r="I7073" t="n">
        <v>1</v>
      </c>
      <c r="J7073" t="inlineStr">
        <is>
          <t>8², 24⁴, 32², 96⁴</t>
        </is>
      </c>
      <c r="K7073">
        <f>HYPERLINK("CSG2.html#group40A2", "40A²"), =HYPERLINK("CSG3.html#group56C3", "56C³"), =HYPERLINK("CSG10.html#group140A10", "140A¹⁰")</f>
        <v/>
      </c>
      <c r="L7073" t="inlineStr"/>
      <c r="M7073">
        <f>HYPERLINK("CSG10.html#group140A10", "140A¹⁰"), =HYPERLINK("CSG0.html#group5A0", "5A⁰"), =HYPERLINK("CSG0.html#group4A0", "4A⁰"), =HYPERLINK("CSG0.html#group8A0", "8A⁰"), =HYPERLINK("CSG1.html#group20A1", "20A¹"), =HYPERLINK("CSG0.html#group1A0", "1A⁰"), =HYPERLINK("CSG3.html#group56C3", "56C³"), =HYPERLINK("CSG1.html#group28A1", "28A¹"), =HYPERLINK("CSG2.html#group40A2", "40A²"), =HYPERLINK("CSG2.html#group35A2", "35A²"), =HYPERLINK("CSG0.html#group7A0", "7A⁰")</f>
        <v/>
      </c>
      <c r="N7073" t="inlineStr"/>
    </row>
    <row r="7074">
      <c r="A7074" t="inlineStr">
        <is>
          <t>280D²¹</t>
        </is>
      </c>
      <c r="B7074" t="inlineStr"/>
      <c r="C7074" t="inlineStr">
        <is>
          <t>280</t>
        </is>
      </c>
      <c r="D7074" t="inlineStr">
        <is>
          <t>2</t>
        </is>
      </c>
      <c r="E7074" t="inlineStr">
        <is>
          <t>140</t>
        </is>
      </c>
      <c r="F7074" t="inlineStr">
        <is>
          <t>6</t>
        </is>
      </c>
      <c r="G7074" t="inlineStr">
        <is>
          <t>4</t>
        </is>
      </c>
      <c r="H7074" t="inlineStr">
        <is>
          <t>280¹</t>
        </is>
      </c>
      <c r="I7074" t="n">
        <v>1</v>
      </c>
      <c r="J7074" t="inlineStr">
        <is>
          <t>8², 24⁴, 32², 96⁴</t>
        </is>
      </c>
      <c r="K7074">
        <f>HYPERLINK("CSG2.html#group40A2", "40A²"), =HYPERLINK("CSG3.html#group56D3", "56D³"), =HYPERLINK("CSG10.html#group140A10", "140A¹⁰")</f>
        <v/>
      </c>
      <c r="L7074" t="inlineStr"/>
      <c r="M7074">
        <f>HYPERLINK("CSG10.html#group140A10", "140A¹⁰"), =HYPERLINK("CSG0.html#group5A0", "5A⁰"), =HYPERLINK("CSG3.html#group56D3", "56D³"), =HYPERLINK("CSG0.html#group4A0", "4A⁰"), =HYPERLINK("CSG0.html#group8A0", "8A⁰"), =HYPERLINK("CSG1.html#group20A1", "20A¹"), =HYPERLINK("CSG0.html#group1A0", "1A⁰"), =HYPERLINK("CSG1.html#group28A1", "28A¹"), =HYPERLINK("CSG2.html#group40A2", "40A²"), =HYPERLINK("CSG2.html#group35A2", "35A²"), =HYPERLINK("CSG0.html#group7A0", "7A⁰")</f>
        <v/>
      </c>
      <c r="N7074" t="inlineStr"/>
    </row>
    <row r="7075">
      <c r="A7075" t="inlineStr">
        <is>
          <t>288A²¹</t>
        </is>
      </c>
      <c r="B7075" t="inlineStr"/>
      <c r="C7075" t="inlineStr">
        <is>
          <t>432</t>
        </is>
      </c>
      <c r="D7075" t="inlineStr">
        <is>
          <t>1</t>
        </is>
      </c>
      <c r="E7075" t="inlineStr">
        <is>
          <t>108</t>
        </is>
      </c>
      <c r="F7075" t="inlineStr">
        <is>
          <t>60</t>
        </is>
      </c>
      <c r="G7075" t="inlineStr">
        <is>
          <t>0</t>
        </is>
      </c>
      <c r="H7075" t="inlineStr">
        <is>
          <t>144¹, 288¹</t>
        </is>
      </c>
      <c r="I7075" t="n">
        <v>2</v>
      </c>
      <c r="J7075" t="inlineStr">
        <is>
          <t>2⁶, 4⁶, 12⁶</t>
        </is>
      </c>
      <c r="K7075">
        <f>HYPERLINK("CSG3.html#group96A3", "96A³"), =HYPERLINK("CSG8.html#group144A8", "144A⁸")</f>
        <v/>
      </c>
      <c r="L7075" t="inlineStr"/>
      <c r="M7075">
        <f>HYPERLINK("CSG0.html#group12C0", "12C⁰"), =HYPERLINK("CSG4.html#group72E4", "72E⁴"), =HYPERLINK("CSG0.html#group4C0", "4C⁰"), =HYPERLINK("CSG2.html#group36B2", "36B²"), =HYPERLINK("CSG0.html#group8B0", "8B⁰"), =HYPERLINK("CSG0.html#group48A0", "48A⁰"), =HYPERLINK("CSG0.html#group2B0", "2B⁰"), =HYPERLINK("CSG0.html#group1A0", "1A⁰"), =HYPERLINK("CSG0.html#group16B0", "16B⁰"), =HYPERLINK("CSG0.html#group24A0", "24A⁰"), =HYPERLINK("CSG0.html#group9A0", "9A⁰"), =HYPERLINK("CSG8.html#group144A8", "144A⁸"), =HYPERLINK("CSG1.html#group32B1", "32B¹"), =HYPERLINK("CSG1.html#group18E1", "18E¹"), =HYPERLINK("CSG0.html#group3A0", "3A⁰"), =HYPERLINK("CSG3.html#group96A3", "96A³"), =HYPERLINK("CSG0.html#group6D0", "6D⁰")</f>
        <v/>
      </c>
      <c r="N7075" t="inlineStr"/>
    </row>
    <row r="7076">
      <c r="A7076" t="inlineStr">
        <is>
          <t>308A²¹</t>
        </is>
      </c>
      <c r="B7076" t="inlineStr"/>
      <c r="C7076" t="inlineStr">
        <is>
          <t>308</t>
        </is>
      </c>
      <c r="D7076" t="inlineStr">
        <is>
          <t>2</t>
        </is>
      </c>
      <c r="E7076" t="inlineStr">
        <is>
          <t>308</t>
        </is>
      </c>
      <c r="F7076" t="inlineStr">
        <is>
          <t>18</t>
        </is>
      </c>
      <c r="G7076" t="inlineStr">
        <is>
          <t>2</t>
        </is>
      </c>
      <c r="H7076" t="inlineStr">
        <is>
          <t>308¹</t>
        </is>
      </c>
      <c r="I7076" t="n">
        <v>1</v>
      </c>
      <c r="J7076" t="inlineStr">
        <is>
          <t>8², 24⁴, 40⁴, 120⁸</t>
        </is>
      </c>
      <c r="K7076">
        <f>HYPERLINK("CSG2.html#group44A2", "44A²"), =HYPERLINK("CSG4.html#group77A4", "77A⁴")</f>
        <v/>
      </c>
      <c r="L7076" t="inlineStr"/>
      <c r="M7076">
        <f>HYPERLINK("CSG0.html#group11A0", "11A⁰"), =HYPERLINK("CSG2.html#group44A2", "44A²"), =HYPERLINK("CSG0.html#group1A0", "1A⁰"), =HYPERLINK("CSG0.html#group4A0", "4A⁰"), =HYPERLINK("CSG0.html#group7A0", "7A⁰"), =HYPERLINK("CSG4.html#group77A4", "77A⁴")</f>
        <v/>
      </c>
      <c r="N7076" t="inlineStr"/>
    </row>
    <row r="7077">
      <c r="A7077" t="inlineStr">
        <is>
          <t>308B²¹</t>
        </is>
      </c>
      <c r="B7077" t="inlineStr"/>
      <c r="C7077" t="inlineStr">
        <is>
          <t>308</t>
        </is>
      </c>
      <c r="D7077" t="inlineStr">
        <is>
          <t>2</t>
        </is>
      </c>
      <c r="E7077" t="inlineStr">
        <is>
          <t>308</t>
        </is>
      </c>
      <c r="F7077" t="inlineStr">
        <is>
          <t>18</t>
        </is>
      </c>
      <c r="G7077" t="inlineStr">
        <is>
          <t>2</t>
        </is>
      </c>
      <c r="H7077" t="inlineStr">
        <is>
          <t>308¹</t>
        </is>
      </c>
      <c r="I7077" t="n">
        <v>1</v>
      </c>
      <c r="J7077" t="inlineStr">
        <is>
          <t>8², 24⁴, 40⁴, 120⁸</t>
        </is>
      </c>
      <c r="K7077">
        <f>HYPERLINK("CSG2.html#group44A2", "44A²"), =HYPERLINK("CSG4.html#group77B4", "77B⁴")</f>
        <v/>
      </c>
      <c r="L7077" t="inlineStr"/>
      <c r="M7077">
        <f>HYPERLINK("CSG0.html#group11A0", "11A⁰"), =HYPERLINK("CSG2.html#group44A2", "44A²"), =HYPERLINK("CSG4.html#group77B4", "77B⁴"), =HYPERLINK("CSG0.html#group1A0", "1A⁰"), =HYPERLINK("CSG0.html#group4A0", "4A⁰"), =HYPERLINK("CSG0.html#group7A0", "7A⁰")</f>
        <v/>
      </c>
      <c r="N7077" t="inlineStr"/>
    </row>
    <row r="7078">
      <c r="A7078" t="inlineStr">
        <is>
          <t>18A²²</t>
        </is>
      </c>
      <c r="B7078" t="inlineStr"/>
      <c r="C7078" t="inlineStr">
        <is>
          <t>486</t>
        </is>
      </c>
      <c r="D7078" t="inlineStr">
        <is>
          <t>1</t>
        </is>
      </c>
      <c r="E7078" t="inlineStr">
        <is>
          <t>81</t>
        </is>
      </c>
      <c r="F7078" t="inlineStr">
        <is>
          <t>6</t>
        </is>
      </c>
      <c r="G7078" t="inlineStr">
        <is>
          <t>0</t>
        </is>
      </c>
      <c r="H7078" t="inlineStr">
        <is>
          <t>9¹⁸, 18¹⁸</t>
        </is>
      </c>
      <c r="I7078" t="n">
        <v>36</v>
      </c>
      <c r="J7078" t="inlineStr">
        <is>
          <t>3³, 6¹²</t>
        </is>
      </c>
      <c r="K7078">
        <f>HYPERLINK("CSG4.html#group9C4", "9C⁴"), =HYPERLINK("CSG7.html#group18I7", "18I⁷"), =HYPERLINK("CSG7.html#group18M7", "18M⁷"), =HYPERLINK("CSG8.html#group18A8", "18A⁸"), =HYPERLINK("CSG10.html#group18L10", "18L¹⁰")</f>
        <v/>
      </c>
      <c r="L7078" t="inlineStr"/>
      <c r="M7078">
        <f>HYPERLINK("CSG1.html#group18I1", "18I¹"), =HYPERLINK("CSG0.html#group9G0", "9G⁰"), =HYPERLINK("CSG7.html#group18M7", "18M⁷"), =HYPERLINK("CSG0.html#group6G0", "6G⁰"), =HYPERLINK("CSG1.html#group9E1", "9E¹"), =HYPERLINK("CSG7.html#group18I7", "18I⁷"), =HYPERLINK("CSG0.html#group2B0", "2B⁰"), =HYPERLINK("CSG2.html#group9B2", "9B²"), =HYPERLINK("CSG0.html#group9E0", "9E⁰"), =HYPERLINK("CSG4.html#group18K4", "18K⁴"), =HYPERLINK("CSG0.html#group1A0", "1A⁰"), =HYPERLINK("CSG1.html#group9B1", "9B¹"), =HYPERLINK("CSG3.html#group18E3", "18E³"), =HYPERLINK("CSG8.html#group18A8", "18A⁸"), =HYPERLINK("CSG10.html#group18L10", "18L¹⁰"), =HYPERLINK("CSG0.html#group9D0", "9D⁰"), =HYPERLINK("CSG4.html#group9C4", "9C⁴"), =HYPERLINK("CSG3.html#group18J3", "18J³"), =HYPERLINK("CSG0.html#group9A0", "9A⁰"), =HYPERLINK("CSG0.html#group3C0", "3C⁰"), =HYPERLINK("CSG1.html#group9G1", "9G¹"), =HYPERLINK("CSG1.html#group18E1", "18E¹"), =HYPERLINK("CSG0.html#group3A0", "3A⁰"), =HYPERLINK("CSG0.html#group9F0", "9F⁰"), =HYPERLINK("CSG2.html#group18I2", "18I²"), =HYPERLINK("CSG0.html#group6D0", "6D⁰"), =HYPERLINK("CSG1.html#group9F1", "9F¹")</f>
        <v/>
      </c>
      <c r="N7078" t="inlineStr"/>
    </row>
    <row r="7079">
      <c r="A7079" t="inlineStr">
        <is>
          <t>19A²²</t>
        </is>
      </c>
      <c r="B7079" t="inlineStr"/>
      <c r="C7079" t="inlineStr">
        <is>
          <t>380</t>
        </is>
      </c>
      <c r="D7079" t="inlineStr">
        <is>
          <t>1</t>
        </is>
      </c>
      <c r="E7079" t="inlineStr">
        <is>
          <t>190</t>
        </is>
      </c>
      <c r="F7079" t="inlineStr">
        <is>
          <t>0</t>
        </is>
      </c>
      <c r="G7079" t="inlineStr">
        <is>
          <t>2</t>
        </is>
      </c>
      <c r="H7079" t="inlineStr">
        <is>
          <t>19²⁰</t>
        </is>
      </c>
      <c r="I7079" t="n">
        <v>20</v>
      </c>
      <c r="J7079" t="inlineStr">
        <is>
          <t>1¹, 9¹, 18¹⁰</t>
        </is>
      </c>
      <c r="K7079">
        <f>HYPERLINK("CSG1.html#group19A1", "19A¹"), =HYPERLINK("CSG9.html#group19A9", "19A⁹")</f>
        <v/>
      </c>
      <c r="L7079" t="inlineStr"/>
      <c r="M7079">
        <f>HYPERLINK("CSG1.html#group19A1", "19A¹"), =HYPERLINK("CSG0.html#group1A0", "1A⁰"), =HYPERLINK("CSG9.html#group19A9", "19A⁹")</f>
        <v/>
      </c>
      <c r="N7079" t="inlineStr"/>
    </row>
    <row r="7080">
      <c r="A7080" t="inlineStr">
        <is>
          <t>20A²²</t>
        </is>
      </c>
      <c r="B7080" t="inlineStr"/>
      <c r="C7080" t="inlineStr">
        <is>
          <t>360</t>
        </is>
      </c>
      <c r="D7080" t="inlineStr">
        <is>
          <t>1</t>
        </is>
      </c>
      <c r="E7080" t="inlineStr">
        <is>
          <t>5</t>
        </is>
      </c>
      <c r="F7080" t="inlineStr">
        <is>
          <t>0</t>
        </is>
      </c>
      <c r="G7080" t="inlineStr">
        <is>
          <t>0</t>
        </is>
      </c>
      <c r="H7080" t="inlineStr">
        <is>
          <t>20¹⁸</t>
        </is>
      </c>
      <c r="I7080" t="n">
        <v>18</v>
      </c>
      <c r="J7080" t="inlineStr">
        <is>
          <t>1¹, 4¹</t>
        </is>
      </c>
      <c r="K7080">
        <f>HYPERLINK("CSG6.html#group20A6", "20A⁶"), =HYPERLINK("CSG8.html#group20A8", "20A⁸"), =HYPERLINK("CSG8.html#group20B8", "20B⁸"), =HYPERLINK("CSG10.html#group20A10", "20A¹⁰"), =HYPERLINK("CSG10.html#group20B10", "20B¹⁰")</f>
        <v/>
      </c>
      <c r="L7080" t="inlineStr"/>
      <c r="M7080">
        <f>HYPERLINK("CSG4.html#group20D4", "20D⁴"), =HYPERLINK("CSG0.html#group2A0", "2A⁰"), =HYPERLINK("CSG0.html#group5A0", "5A⁰"), =HYPERLINK("CSG2.html#group10A2", "10A²"), =HYPERLINK("CSG4.html#group20E4", "20E⁴"), =HYPERLINK("CSG0.html#group4C0", "4C⁰"), =HYPERLINK("CSG0.html#group4G0", "4G⁰"), =HYPERLINK("CSG0.html#group2B0", "2B⁰"), =HYPERLINK("CSG0.html#group4E0", "4E⁰"), =HYPERLINK("CSG1.html#group20A1", "20A¹"), =HYPERLINK("CSG0.html#group4B0", "4B⁰"), =HYPERLINK("CSG0.html#group1A0", "1A⁰"), =HYPERLINK("CSG10.html#group20A10", "20A¹⁰"), =HYPERLINK("CSG0.html#group10A0", "10A⁰"), =HYPERLINK("CSG1.html#group10I1", "10I¹"), =HYPERLINK("CSG2.html#group20D2", "20D²"), =HYPERLINK("CSG0.html#group4D0", "4D⁰"), =HYPERLINK("CSG10.html#group20B10", "20B¹⁰"), =HYPERLINK("CSG6.html#group20A6", "20A⁶"), =HYPERLINK("CSG2.html#group20A2", "20A²"), =HYPERLINK("CSG3.html#group20D3", "20D³"), =HYPERLINK("CSG4.html#group10A4", "10A⁴"), =HYPERLINK("CSG1.html#group10B1", "10B¹"), =HYPERLINK("CSG2.html#group20B2", "20B²"), =HYPERLINK("CSG4.html#group20C4", "20C⁴"), =HYPERLINK("CSG2.html#group10B2", "10B²"), =HYPERLINK("CSG8.html#group20B8", "20B⁸"), =HYPERLINK("CSG0.html#group10E0", "10E⁰"), =HYPERLINK("CSG0.html#group4A0", "4A⁰"), =HYPERLINK("CSG4.html#group20A4", "20A⁴"), =HYPERLINK("CSG0.html#group5E0", "5E⁰"), =HYPERLINK("CSG8.html#group20A8", "20A⁸"), =HYPERLINK("CSG0.html#group4F0", "4F⁰"), =HYPERLINK("CSG0.html#group2C0", "2C⁰")</f>
        <v/>
      </c>
      <c r="N7080" t="inlineStr"/>
    </row>
    <row r="7081">
      <c r="A7081" t="inlineStr">
        <is>
          <t>20B²²</t>
        </is>
      </c>
      <c r="B7081" t="inlineStr"/>
      <c r="C7081" t="inlineStr">
        <is>
          <t>360</t>
        </is>
      </c>
      <c r="D7081" t="inlineStr">
        <is>
          <t>1</t>
        </is>
      </c>
      <c r="E7081" t="inlineStr">
        <is>
          <t>30</t>
        </is>
      </c>
      <c r="F7081" t="inlineStr">
        <is>
          <t>0</t>
        </is>
      </c>
      <c r="G7081" t="inlineStr">
        <is>
          <t>0</t>
        </is>
      </c>
      <c r="H7081" t="inlineStr">
        <is>
          <t>20¹⁸</t>
        </is>
      </c>
      <c r="I7081" t="n">
        <v>18</v>
      </c>
      <c r="J7081" t="inlineStr">
        <is>
          <t>2³, 4⁶</t>
        </is>
      </c>
      <c r="K7081">
        <f>HYPERLINK("CSG6.html#group20C6", "20C⁶"), =HYPERLINK("CSG10.html#group20D10", "20D¹⁰")</f>
        <v/>
      </c>
      <c r="L7081" t="inlineStr"/>
      <c r="M7081">
        <f>HYPERLINK("CSG0.html#group2A0", "2A⁰"), =HYPERLINK("CSG0.html#group5A0", "5A⁰"), =HYPERLINK("CSG4.html#group10A4", "10A⁴"), =HYPERLINK("CSG2.html#group10A2", "10A²"), =HYPERLINK("CSG1.html#group10B1", "10B¹"), =HYPERLINK("CSG0.html#group2B0", "2B⁰"), =HYPERLINK("CSG2.html#group10B2", "10B²"), =HYPERLINK("CSG0.html#group1A0", "1A⁰"), =HYPERLINK("CSG0.html#group10A0", "10A⁰"), =HYPERLINK("CSG1.html#group10I1", "10I¹"), =HYPERLINK("CSG0.html#group10E0", "10E⁰"), =HYPERLINK("CSG10.html#group20D10", "20D¹⁰"), =HYPERLINK("CSG6.html#group20C6", "20C⁶"), =HYPERLINK("CSG5.html#group20C5", "20C⁵"), =HYPERLINK("CSG0.html#group5E0", "5E⁰"), =HYPERLINK("CSG3.html#group20P3", "20P³"), =HYPERLINK("CSG0.html#group2C0", "2C⁰")</f>
        <v/>
      </c>
      <c r="N7081" t="inlineStr"/>
    </row>
    <row r="7082">
      <c r="A7082" t="inlineStr">
        <is>
          <t>20C²²</t>
        </is>
      </c>
      <c r="B7082" t="inlineStr"/>
      <c r="C7082" t="inlineStr">
        <is>
          <t>360</t>
        </is>
      </c>
      <c r="D7082" t="inlineStr">
        <is>
          <t>1</t>
        </is>
      </c>
      <c r="E7082" t="inlineStr">
        <is>
          <t>45</t>
        </is>
      </c>
      <c r="F7082" t="inlineStr">
        <is>
          <t>0</t>
        </is>
      </c>
      <c r="G7082" t="inlineStr">
        <is>
          <t>0</t>
        </is>
      </c>
      <c r="H7082" t="inlineStr">
        <is>
          <t>20¹⁸</t>
        </is>
      </c>
      <c r="I7082" t="n">
        <v>18</v>
      </c>
      <c r="J7082" t="inlineStr">
        <is>
          <t>1³, 2³, 4⁹</t>
        </is>
      </c>
      <c r="K7082">
        <f>HYPERLINK("CSG10.html#group20A10", "20A¹⁰"), =HYPERLINK("CSG10.html#group20D10", "20D¹⁰"), =HYPERLINK("CSG10.html#group20F10", "20F¹⁰")</f>
        <v/>
      </c>
      <c r="L7082" t="inlineStr"/>
      <c r="M7082">
        <f>HYPERLINK("CSG4.html#group20D4", "20D⁴"), =HYPERLINK("CSG0.html#group2A0", "2A⁰"), =HYPERLINK("CSG0.html#group5A0", "5A⁰"), =HYPERLINK("CSG2.html#group10A2", "10A²"), =HYPERLINK("CSG4.html#group20E4", "20E⁴"), =HYPERLINK("CSG0.html#group4C0", "4C⁰"), =HYPERLINK("CSG0.html#group2B0", "2B⁰"), =HYPERLINK("CSG0.html#group4E0", "4E⁰"), =HYPERLINK("CSG0.html#group4B0", "4B⁰"), =HYPERLINK("CSG0.html#group1A0", "1A⁰"), =HYPERLINK("CSG10.html#group20F10", "20F¹⁰"), =HYPERLINK("CSG10.html#group20A10", "20A¹⁰"), =HYPERLINK("CSG0.html#group10A0", "10A⁰"), =HYPERLINK("CSG1.html#group10I1", "10I¹"), =HYPERLINK("CSG10.html#group20D10", "20D¹⁰"), =HYPERLINK("CSG5.html#group20C5", "20C⁵"), =HYPERLINK("CSG3.html#group20P3", "20P³"), =HYPERLINK("CSG2.html#group20A2", "20A²"), =HYPERLINK("CSG4.html#group10A4", "10A⁴"), =HYPERLINK("CSG1.html#group10B1", "10B¹"), =HYPERLINK("CSG2.html#group20B2", "20B²"), =HYPERLINK("CSG2.html#group10B2", "10B²"), =HYPERLINK("CSG0.html#group10E0", "10E⁰"), =HYPERLINK("CSG4.html#group20A4", "20A⁴"), =HYPERLINK("CSG0.html#group5E0", "5E⁰"), =HYPERLINK("CSG0.html#group2C0", "2C⁰")</f>
        <v/>
      </c>
      <c r="N7082" t="inlineStr"/>
    </row>
    <row r="7083">
      <c r="A7083" t="inlineStr">
        <is>
          <t>22A²²</t>
        </is>
      </c>
      <c r="B7083" t="inlineStr"/>
      <c r="C7083" t="inlineStr">
        <is>
          <t>396</t>
        </is>
      </c>
      <c r="D7083" t="inlineStr">
        <is>
          <t>1</t>
        </is>
      </c>
      <c r="E7083" t="inlineStr">
        <is>
          <t>198</t>
        </is>
      </c>
      <c r="F7083" t="inlineStr">
        <is>
          <t>0</t>
        </is>
      </c>
      <c r="G7083" t="inlineStr">
        <is>
          <t>0</t>
        </is>
      </c>
      <c r="H7083" t="inlineStr">
        <is>
          <t>11¹², 22¹²</t>
        </is>
      </c>
      <c r="I7083" t="n">
        <v>24</v>
      </c>
      <c r="J7083" t="inlineStr">
        <is>
          <t>1³, 5³, 10¹⁸</t>
        </is>
      </c>
      <c r="K7083">
        <f>HYPERLINK("CSG2.html#group22C2", "22C²"), =HYPERLINK("CSG6.html#group11A6", "11A⁶"), =HYPERLINK("CSG10.html#group22A10", "22A¹⁰")</f>
        <v/>
      </c>
      <c r="L7083" t="inlineStr"/>
      <c r="M7083">
        <f>HYPERLINK("CSG0.html#group11A0", "11A⁰"), =HYPERLINK("CSG6.html#group11A6", "11A⁶"), =HYPERLINK("CSG1.html#group11A1", "11A¹"), =HYPERLINK("CSG0.html#group2B0", "2B⁰"), =HYPERLINK("CSG2.html#group22B2", "22B²"), =HYPERLINK("CSG2.html#group22C2", "22C²"), =HYPERLINK("CSG0.html#group1A0", "1A⁰"), =HYPERLINK("CSG2.html#group11A2", "11A²"), =HYPERLINK("CSG10.html#group22A10", "22A¹⁰")</f>
        <v/>
      </c>
      <c r="N7083" t="inlineStr"/>
    </row>
    <row r="7084">
      <c r="A7084" t="inlineStr">
        <is>
          <t>22B²²</t>
        </is>
      </c>
      <c r="B7084" t="inlineStr"/>
      <c r="C7084" t="inlineStr">
        <is>
          <t>396</t>
        </is>
      </c>
      <c r="D7084" t="inlineStr">
        <is>
          <t>1</t>
        </is>
      </c>
      <c r="E7084" t="inlineStr">
        <is>
          <t>198</t>
        </is>
      </c>
      <c r="F7084" t="inlineStr">
        <is>
          <t>12</t>
        </is>
      </c>
      <c r="G7084" t="inlineStr">
        <is>
          <t>0</t>
        </is>
      </c>
      <c r="H7084" t="inlineStr">
        <is>
          <t>22¹⁸</t>
        </is>
      </c>
      <c r="I7084" t="n">
        <v>18</v>
      </c>
      <c r="J7084" t="inlineStr">
        <is>
          <t>1³, 5³, 10¹⁸</t>
        </is>
      </c>
      <c r="K7084">
        <f>HYPERLINK("CSG6.html#group22B6", "22B⁶"), =HYPERLINK("CSG10.html#group22A10", "22A¹⁰")</f>
        <v/>
      </c>
      <c r="L7084" t="inlineStr"/>
      <c r="M7084">
        <f>HYPERLINK("CSG0.html#group11A0", "11A⁰"), =HYPERLINK("CSG6.html#group22B6", "22B⁶"), =HYPERLINK("CSG0.html#group2B0", "2B⁰"), =HYPERLINK("CSG2.html#group22B2", "22B²"), =HYPERLINK("CSG0.html#group1A0", "1A⁰"), =HYPERLINK("CSG2.html#group11A2", "11A²"), =HYPERLINK("CSG10.html#group22A10", "22A¹⁰")</f>
        <v/>
      </c>
      <c r="N7084" t="inlineStr"/>
    </row>
    <row r="7085">
      <c r="A7085" t="inlineStr">
        <is>
          <t>25A²²</t>
        </is>
      </c>
      <c r="B7085" t="inlineStr"/>
      <c r="C7085" t="inlineStr">
        <is>
          <t>375</t>
        </is>
      </c>
      <c r="D7085" t="inlineStr">
        <is>
          <t>1</t>
        </is>
      </c>
      <c r="E7085" t="inlineStr">
        <is>
          <t>375</t>
        </is>
      </c>
      <c r="F7085" t="inlineStr">
        <is>
          <t>11</t>
        </is>
      </c>
      <c r="G7085" t="inlineStr">
        <is>
          <t>0</t>
        </is>
      </c>
      <c r="H7085" t="inlineStr">
        <is>
          <t>25¹⁵</t>
        </is>
      </c>
      <c r="I7085" t="n">
        <v>15</v>
      </c>
      <c r="J7085" t="inlineStr">
        <is>
          <t>1¹, 4⁶, 10¹, 20¹⁷</t>
        </is>
      </c>
      <c r="K7085">
        <f>HYPERLINK("CSG2.html#group25F2", "25F²")</f>
        <v/>
      </c>
      <c r="L7085" t="inlineStr"/>
      <c r="M7085">
        <f>HYPERLINK("CSG2.html#group25F2", "25F²"), =HYPERLINK("CSG0.html#group5E0", "5E⁰"), =HYPERLINK("CSG0.html#group1A0", "1A⁰"), =HYPERLINK("CSG0.html#group5A0", "5A⁰")</f>
        <v/>
      </c>
      <c r="N7085" t="inlineStr"/>
    </row>
    <row r="7086">
      <c r="A7086" t="inlineStr">
        <is>
          <t>26A²²</t>
        </is>
      </c>
      <c r="B7086" t="inlineStr"/>
      <c r="C7086" t="inlineStr">
        <is>
          <t>364</t>
        </is>
      </c>
      <c r="D7086" t="inlineStr">
        <is>
          <t>1</t>
        </is>
      </c>
      <c r="E7086" t="inlineStr">
        <is>
          <t>91</t>
        </is>
      </c>
      <c r="F7086" t="inlineStr">
        <is>
          <t>4</t>
        </is>
      </c>
      <c r="G7086" t="inlineStr">
        <is>
          <t>4</t>
        </is>
      </c>
      <c r="H7086" t="inlineStr">
        <is>
          <t>26¹⁴</t>
        </is>
      </c>
      <c r="I7086" t="n">
        <v>14</v>
      </c>
      <c r="J7086" t="inlineStr">
        <is>
          <t>1¹, 6¹, 12⁷</t>
        </is>
      </c>
      <c r="K7086">
        <f>HYPERLINK("CSG0.html#group26A0", "26A⁰"), =HYPERLINK("CSG8.html#group13B8", "13B⁸"), =HYPERLINK("CSG10.html#group26B10", "26B¹⁰"), =HYPERLINK("CSG10.html#group26C10", "26C¹⁰")</f>
        <v/>
      </c>
      <c r="L7086" t="inlineStr"/>
      <c r="M7086">
        <f>HYPERLINK("CSG10.html#group26C10", "26C¹⁰"), =HYPERLINK("CSG8.html#group13B8", "13B⁸"), =HYPERLINK("CSG10.html#group26B10", "26B¹⁰"), =HYPERLINK("CSG0.html#group13A0", "13A⁰"), =HYPERLINK("CSG3.html#group13C3", "13C³"), =HYPERLINK("CSG0.html#group26A0", "26A⁰"), =HYPERLINK("CSG0.html#group1A0", "1A⁰")</f>
        <v/>
      </c>
      <c r="N7086" t="inlineStr"/>
    </row>
    <row r="7087">
      <c r="A7087" t="inlineStr">
        <is>
          <t>27A²²</t>
        </is>
      </c>
      <c r="B7087" t="inlineStr"/>
      <c r="C7087" t="inlineStr">
        <is>
          <t>324</t>
        </is>
      </c>
      <c r="D7087" t="inlineStr">
        <is>
          <t>1</t>
        </is>
      </c>
      <c r="E7087" t="inlineStr">
        <is>
          <t>18</t>
        </is>
      </c>
      <c r="F7087" t="inlineStr">
        <is>
          <t>0</t>
        </is>
      </c>
      <c r="G7087" t="inlineStr">
        <is>
          <t>0</t>
        </is>
      </c>
      <c r="H7087" t="inlineStr">
        <is>
          <t>27¹²</t>
        </is>
      </c>
      <c r="I7087" t="n">
        <v>12</v>
      </c>
      <c r="J7087" t="inlineStr">
        <is>
          <t>1¹, 2¹, 3¹, 6²</t>
        </is>
      </c>
      <c r="K7087">
        <f>HYPERLINK("CSG4.html#group9B4", "9B⁴"), =HYPERLINK("CSG7.html#group27F7", "27F⁷")</f>
        <v/>
      </c>
      <c r="L7087" t="inlineStr"/>
      <c r="M7087">
        <f>HYPERLINK("CSG0.html#group3B0", "3B⁰"), =HYPERLINK("CSG0.html#group9B0", "9B⁰"), =HYPERLINK("CSG1.html#group9E1", "9E¹"), =HYPERLINK("CSG0.html#group9C0", "9C⁰"), =HYPERLINK("CSG0.html#group9E0", "9E⁰"), =HYPERLINK("CSG0.html#group1A0", "1A⁰"), =HYPERLINK("CSG1.html#group9B1", "9B¹"), =HYPERLINK("CSG0.html#group9D0", "9D⁰"), =HYPERLINK("CSG4.html#group9B4", "9B⁴"), =HYPERLINK("CSG2.html#group9A2", "9A²"), =HYPERLINK("CSG7.html#group27F7", "27F⁷"), =HYPERLINK("CSG0.html#group9A0", "9A⁰"), =HYPERLINK("CSG1.html#group9A1", "9A¹"), =HYPERLINK("CSG0.html#group3C0", "3C⁰"), =HYPERLINK("CSG1.html#group9C1", "9C¹"), =HYPERLINK("CSG0.html#group9H0", "9H⁰"), =HYPERLINK("CSG0.html#group3A0", "3A⁰"), =HYPERLINK("CSG0.html#group3D0", "3D⁰")</f>
        <v/>
      </c>
      <c r="N7087" t="inlineStr"/>
    </row>
    <row r="7088">
      <c r="A7088" t="inlineStr">
        <is>
          <t>27B²²</t>
        </is>
      </c>
      <c r="B7088" t="inlineStr"/>
      <c r="C7088" t="inlineStr">
        <is>
          <t>324</t>
        </is>
      </c>
      <c r="D7088" t="inlineStr">
        <is>
          <t>2</t>
        </is>
      </c>
      <c r="E7088" t="inlineStr">
        <is>
          <t>9</t>
        </is>
      </c>
      <c r="F7088" t="inlineStr">
        <is>
          <t>0</t>
        </is>
      </c>
      <c r="G7088" t="inlineStr">
        <is>
          <t>0</t>
        </is>
      </c>
      <c r="H7088" t="inlineStr">
        <is>
          <t>27¹²</t>
        </is>
      </c>
      <c r="I7088" t="n">
        <v>12</v>
      </c>
      <c r="J7088" t="inlineStr">
        <is>
          <t>2³, 6²</t>
        </is>
      </c>
      <c r="K7088">
        <f>HYPERLINK("CSG4.html#group9A4", "9A⁴"), =HYPERLINK("CSG7.html#group27H7", "27H⁷"), =HYPERLINK("CSG10.html#group27A10", "27A¹⁰"), =HYPERLINK("CSG11.html#group27A11", "27A¹¹")</f>
        <v/>
      </c>
      <c r="L7088" t="inlineStr"/>
      <c r="M7088">
        <f>HYPERLINK("CSG10.html#group27A10", "27A¹⁰"), =HYPERLINK("CSG0.html#group3B0", "3B⁰"), =HYPERLINK("CSG11.html#group27A11", "27A¹¹"), =HYPERLINK("CSG0.html#group9G0", "9G⁰"), =HYPERLINK("CSG3.html#group27B3", "27B³"), =HYPERLINK("CSG2.html#group9B2", "9B²"), =HYPERLINK("CSG0.html#group9E0", "9E⁰"), =HYPERLINK("CSG0.html#group1A0", "1A⁰"), =HYPERLINK("CSG1.html#group9B1", "9B¹"), =HYPERLINK("CSG0.html#group3D0", "3D⁰"), =HYPERLINK("CSG0.html#group9D0", "9D⁰"), =HYPERLINK("CSG2.html#group9A2", "9A²"), =HYPERLINK("CSG0.html#group9A0", "9A⁰"), =HYPERLINK("CSG0.html#group3C0", "3C⁰"), =HYPERLINK("CSG0.html#group9H0", "9H⁰"), =HYPERLINK("CSG4.html#group9A4", "9A⁴"), =HYPERLINK("CSG0.html#group3A0", "3A⁰"), =HYPERLINK("CSG7.html#group27H7", "27H⁷"), =HYPERLINK("CSG1.html#group9F1", "9F¹")</f>
        <v/>
      </c>
      <c r="N7088" t="inlineStr"/>
    </row>
    <row r="7089">
      <c r="A7089" t="inlineStr">
        <is>
          <t>27C²²</t>
        </is>
      </c>
      <c r="B7089" t="inlineStr"/>
      <c r="C7089" t="inlineStr">
        <is>
          <t>486</t>
        </is>
      </c>
      <c r="D7089" t="inlineStr">
        <is>
          <t>1</t>
        </is>
      </c>
      <c r="E7089" t="inlineStr">
        <is>
          <t>162</t>
        </is>
      </c>
      <c r="F7089" t="inlineStr">
        <is>
          <t>6</t>
        </is>
      </c>
      <c r="G7089" t="inlineStr">
        <is>
          <t>0</t>
        </is>
      </c>
      <c r="H7089" t="inlineStr">
        <is>
          <t>9²⁷, 27⁹</t>
        </is>
      </c>
      <c r="I7089" t="n">
        <v>36</v>
      </c>
      <c r="J7089" t="inlineStr">
        <is>
          <t>3¹, 6⁴, 9¹, 18⁷</t>
        </is>
      </c>
      <c r="K7089">
        <f>HYPERLINK("CSG4.html#group9C4", "9C⁴"), =HYPERLINK("CSG7.html#group27G7", "27G⁷"), =HYPERLINK("CSG8.html#group27A8", "27A⁸")</f>
        <v/>
      </c>
      <c r="L7089" t="inlineStr"/>
      <c r="M7089">
        <f>HYPERLINK("CSG7.html#group27G7", "27G⁷"), =HYPERLINK("CSG0.html#group9G0", "9G⁰"), =HYPERLINK("CSG8.html#group27A8", "27A⁸"), =HYPERLINK("CSG1.html#group9E1", "9E¹"), =HYPERLINK("CSG2.html#group9B2", "9B²"), =HYPERLINK("CSG0.html#group9E0", "9E⁰"), =HYPERLINK("CSG0.html#group1A0", "1A⁰"), =HYPERLINK("CSG1.html#group9B1", "9B¹"), =HYPERLINK("CSG0.html#group9D0", "9D⁰"), =HYPERLINK("CSG4.html#group9C4", "9C⁴"), =HYPERLINK("CSG0.html#group9A0", "9A⁰"), =HYPERLINK("CSG0.html#group3C0", "3C⁰"), =HYPERLINK("CSG1.html#group9G1", "9G¹"), =HYPERLINK("CSG0.html#group3A0", "3A⁰"), =HYPERLINK("CSG0.html#group9F0", "9F⁰"), =HYPERLINK("CSG1.html#group9F1", "9F¹")</f>
        <v/>
      </c>
      <c r="N7089" t="inlineStr"/>
    </row>
    <row r="7090">
      <c r="A7090" t="inlineStr">
        <is>
          <t>29A²²</t>
        </is>
      </c>
      <c r="B7090" t="inlineStr">
        <is>
          <t>Γ₁(29)</t>
        </is>
      </c>
      <c r="C7090" t="inlineStr">
        <is>
          <t>420</t>
        </is>
      </c>
      <c r="D7090" t="inlineStr">
        <is>
          <t>1</t>
        </is>
      </c>
      <c r="E7090" t="inlineStr">
        <is>
          <t>30</t>
        </is>
      </c>
      <c r="F7090" t="inlineStr">
        <is>
          <t>0</t>
        </is>
      </c>
      <c r="G7090" t="inlineStr">
        <is>
          <t>0</t>
        </is>
      </c>
      <c r="H7090" t="inlineStr">
        <is>
          <t>1¹⁴, 29¹⁴</t>
        </is>
      </c>
      <c r="I7090" t="n">
        <v>28</v>
      </c>
      <c r="J7090" t="inlineStr">
        <is>
          <t>1², 28¹</t>
        </is>
      </c>
      <c r="K7090">
        <f>HYPERLINK("CSG4.html#group29A4", "29A⁴"), =HYPERLINK("CSG8.html#group29A8", "29A⁸")</f>
        <v/>
      </c>
      <c r="L7090" t="inlineStr"/>
      <c r="M7090">
        <f>HYPERLINK("CSG8.html#group29A8", "29A⁸"), =HYPERLINK("CSG4.html#group29A4", "29A⁴"), =HYPERLINK("CSG0.html#group1A0", "1A⁰"), =HYPERLINK("CSG2.html#group29A2", "29A²")</f>
        <v/>
      </c>
      <c r="N7090" t="inlineStr"/>
    </row>
    <row r="7091">
      <c r="A7091" t="inlineStr">
        <is>
          <t>30A²²</t>
        </is>
      </c>
      <c r="B7091" t="inlineStr"/>
      <c r="C7091" t="inlineStr">
        <is>
          <t>360</t>
        </is>
      </c>
      <c r="D7091" t="inlineStr">
        <is>
          <t>1</t>
        </is>
      </c>
      <c r="E7091" t="inlineStr">
        <is>
          <t>20</t>
        </is>
      </c>
      <c r="F7091" t="inlineStr">
        <is>
          <t>0</t>
        </is>
      </c>
      <c r="G7091" t="inlineStr">
        <is>
          <t>0</t>
        </is>
      </c>
      <c r="H7091" t="inlineStr">
        <is>
          <t>10⁹, 30⁹</t>
        </is>
      </c>
      <c r="I7091" t="n">
        <v>18</v>
      </c>
      <c r="J7091" t="inlineStr">
        <is>
          <t>1², 2¹, 4², 8¹</t>
        </is>
      </c>
      <c r="K7091">
        <f>HYPERLINK("CSG4.html#group10A4", "10A⁴"), =HYPERLINK("CSG6.html#group30E6", "30E⁶"), =HYPERLINK("CSG8.html#group30A8", "30A⁸"), =HYPERLINK("CSG8.html#group30B8", "30B⁸"), =HYPERLINK("CSG10.html#group30F10", "30F¹⁰")</f>
        <v/>
      </c>
      <c r="L7091" t="inlineStr"/>
      <c r="M7091">
        <f>HYPERLINK("CSG0.html#group3B0", "3B⁰"), =HYPERLINK("CSG0.html#group2A0", "2A⁰"), =HYPERLINK("CSG0.html#group5A0", "5A⁰"), =HYPERLINK("CSG4.html#group10A4", "10A⁴"), =HYPERLINK("CSG6.html#group30E6", "30E⁶"), =HYPERLINK("CSG2.html#group10A2", "10A²"), =HYPERLINK("CSG10.html#group30F10", "30F¹⁰"), =HYPERLINK("CSG0.html#group6I0", "6I⁰"), =HYPERLINK("CSG1.html#group10B1", "10B¹"), =HYPERLINK("CSG2.html#group30D2", "30D²"), =HYPERLINK("CSG0.html#group6C0", "6C⁰"), =HYPERLINK("CSG0.html#group2B0", "2B⁰"), =HYPERLINK("CSG2.html#group10B2", "10B²"), =HYPERLINK("CSG0.html#group1A0", "1A⁰"), =HYPERLINK("CSG3.html#group15A3", "15A³"), =HYPERLINK("CSG8.html#group30A8", "30A⁸"), =HYPERLINK("CSG0.html#group10A0", "10A⁰"), =HYPERLINK("CSG8.html#group30B8", "30B⁸"), =HYPERLINK("CSG1.html#group10I1", "10I¹"), =HYPERLINK("CSG4.html#group30D4", "30D⁴"), =HYPERLINK("CSG0.html#group10E0", "10E⁰"), =HYPERLINK("CSG0.html#group5E0", "5E⁰"), =HYPERLINK("CSG1.html#group15B1", "15B¹"), =HYPERLINK("CSG0.html#group6F0", "6F⁰"), =HYPERLINK("CSG0.html#group2C0", "2C⁰")</f>
        <v/>
      </c>
      <c r="N7091" t="inlineStr"/>
    </row>
    <row r="7092">
      <c r="A7092" t="inlineStr">
        <is>
          <t>30B²²</t>
        </is>
      </c>
      <c r="B7092" t="inlineStr"/>
      <c r="C7092" t="inlineStr">
        <is>
          <t>360</t>
        </is>
      </c>
      <c r="D7092" t="inlineStr">
        <is>
          <t>1</t>
        </is>
      </c>
      <c r="E7092" t="inlineStr">
        <is>
          <t>40</t>
        </is>
      </c>
      <c r="F7092" t="inlineStr">
        <is>
          <t>0</t>
        </is>
      </c>
      <c r="G7092" t="inlineStr">
        <is>
          <t>9</t>
        </is>
      </c>
      <c r="H7092" t="inlineStr">
        <is>
          <t>30¹²</t>
        </is>
      </c>
      <c r="I7092" t="n">
        <v>12</v>
      </c>
      <c r="J7092" t="inlineStr">
        <is>
          <t>8⁵</t>
        </is>
      </c>
      <c r="K7092">
        <f>HYPERLINK("CSG3.html#group10D3", "10D³"), =HYPERLINK("CSG4.html#group30G4", "30G⁴"), =HYPERLINK("CSG7.html#group30G7", "30G⁷"), =HYPERLINK("CSG7.html#group30H7", "30H⁷"), =HYPERLINK("CSG8.html#group30C8", "30C⁸")</f>
        <v/>
      </c>
      <c r="L7092" t="inlineStr"/>
      <c r="M7092">
        <f>HYPERLINK("CSG1.html#group10H1", "10H¹"), =HYPERLINK("CSG0.html#group2A0", "2A⁰"), =HYPERLINK("CSG7.html#group30G7", "30G⁷"), =HYPERLINK("CSG0.html#group5A0", "5A⁰"), =HYPERLINK("CSG4.html#group30B4", "30B⁴"), =HYPERLINK("CSG3.html#group10D3", "10D³"), =HYPERLINK("CSG0.html#group10D0", "10D⁰"), =HYPERLINK("CSG0.html#group5F0", "5F⁰"), =HYPERLINK("CSG0.html#group1A0", "1A⁰"), =HYPERLINK("CSG8.html#group30C8", "30C⁸"), =HYPERLINK("CSG2.html#group30B2", "30B²"), =HYPERLINK("CSG1.html#group30A1", "30A¹"), =HYPERLINK("CSG0.html#group10A0", "10A⁰"), =HYPERLINK("CSG1.html#group10J1", "10J¹"), =HYPERLINK("CSG7.html#group30H7", "30H⁷"), =HYPERLINK("CSG0.html#group6A0", "6A⁰"), =HYPERLINK("CSG1.html#group30B1", "30B¹"), =HYPERLINK("CSG0.html#group10E0", "10E⁰"), =HYPERLINK("CSG4.html#group30G4", "30G⁴"), =HYPERLINK("CSG1.html#group10C1", "10C¹"), =HYPERLINK("CSG3.html#group15B3", "15B³"), =HYPERLINK("CSG0.html#group5C0", "5C⁰"), =HYPERLINK("CSG0.html#group15A0", "15A⁰")</f>
        <v/>
      </c>
      <c r="N7092" t="inlineStr"/>
    </row>
    <row r="7093">
      <c r="A7093" t="inlineStr">
        <is>
          <t>30C²²</t>
        </is>
      </c>
      <c r="B7093" t="inlineStr"/>
      <c r="C7093" t="inlineStr">
        <is>
          <t>360</t>
        </is>
      </c>
      <c r="D7093" t="inlineStr">
        <is>
          <t>1</t>
        </is>
      </c>
      <c r="E7093" t="inlineStr">
        <is>
          <t>180</t>
        </is>
      </c>
      <c r="F7093" t="inlineStr">
        <is>
          <t>0</t>
        </is>
      </c>
      <c r="G7093" t="inlineStr">
        <is>
          <t>0</t>
        </is>
      </c>
      <c r="H7093" t="inlineStr">
        <is>
          <t>10⁹, 30⁹</t>
        </is>
      </c>
      <c r="I7093" t="n">
        <v>18</v>
      </c>
      <c r="J7093" t="inlineStr">
        <is>
          <t>1⁶, 2⁹, 4²¹, 8⁹</t>
        </is>
      </c>
      <c r="K7093">
        <f>HYPERLINK("CSG3.html#group10C3", "10C³"), =HYPERLINK("CSG8.html#group30D8", "30D⁸"), =HYPERLINK("CSG10.html#group30F10", "30F¹⁰")</f>
        <v/>
      </c>
      <c r="L7093" t="inlineStr"/>
      <c r="M7093">
        <f>HYPERLINK("CSG0.html#group3B0", "3B⁰"), =HYPERLINK("CSG0.html#group5A0", "5A⁰"), =HYPERLINK("CSG8.html#group30D8", "30D⁸"), =HYPERLINK("CSG10.html#group30F10", "30F¹⁰"), =HYPERLINK("CSG1.html#group10B1", "10B¹"), =HYPERLINK("CSG0.html#group2B0", "2B⁰"), =HYPERLINK("CSG1.html#group10E1", "10E¹"), =HYPERLINK("CSG0.html#group1A0", "1A⁰"), =HYPERLINK("CSG3.html#group10C3", "10C³"), =HYPERLINK("CSG3.html#group15A3", "15A³"), =HYPERLINK("CSG1.html#group10I1", "10I¹"), =HYPERLINK("CSG4.html#group30D4", "30D⁴"), =HYPERLINK("CSG0.html#group5E0", "5E⁰"), =HYPERLINK("CSG1.html#group15B1", "15B¹"), =HYPERLINK("CSG0.html#group6F0", "6F⁰")</f>
        <v/>
      </c>
      <c r="N7093" t="inlineStr"/>
    </row>
    <row r="7094">
      <c r="A7094" t="inlineStr">
        <is>
          <t>30D²²</t>
        </is>
      </c>
      <c r="B7094" t="inlineStr"/>
      <c r="C7094" t="inlineStr">
        <is>
          <t>360</t>
        </is>
      </c>
      <c r="D7094" t="inlineStr">
        <is>
          <t>2</t>
        </is>
      </c>
      <c r="E7094" t="inlineStr">
        <is>
          <t>40</t>
        </is>
      </c>
      <c r="F7094" t="inlineStr">
        <is>
          <t>0</t>
        </is>
      </c>
      <c r="G7094" t="inlineStr">
        <is>
          <t>9</t>
        </is>
      </c>
      <c r="H7094" t="inlineStr">
        <is>
          <t>30¹²</t>
        </is>
      </c>
      <c r="I7094" t="n">
        <v>12</v>
      </c>
      <c r="J7094" t="inlineStr">
        <is>
          <t>4⁴, 8⁸</t>
        </is>
      </c>
      <c r="K7094">
        <f>HYPERLINK("CSG4.html#group30G4", "30G⁴"), =HYPERLINK("CSG6.html#group30E6", "30E⁶"), =HYPERLINK("CSG7.html#group30K7", "30K⁷"), =HYPERLINK("CSG7.html#group30M7", "30M⁷"), =HYPERLINK("CSG8.html#group30E8", "30E⁸")</f>
        <v/>
      </c>
      <c r="L7094" t="inlineStr"/>
      <c r="M7094">
        <f>HYPERLINK("CSG8.html#group30E8", "30E⁸"), =HYPERLINK("CSG0.html#group2A0", "2A⁰"), =HYPERLINK("CSG0.html#group5A0", "5A⁰"), =HYPERLINK("CSG0.html#group3B0", "3B⁰"), =HYPERLINK("CSG6.html#group30E6", "30E⁶"), =HYPERLINK("CSG3.html#group15D3", "15D³"), =HYPERLINK("CSG2.html#group30D2", "30D²"), =HYPERLINK("CSG7.html#group30K7", "30K⁷"), =HYPERLINK("CSG0.html#group6C0", "6C⁰"), =HYPERLINK("CSG0.html#group1A0", "1A⁰"), =HYPERLINK("CSG2.html#group30B2", "30B²"), =HYPERLINK("CSG1.html#group30A1", "30A¹"), =HYPERLINK("CSG0.html#group10A0", "10A⁰"), =HYPERLINK("CSG0.html#group6A0", "6A⁰"), =HYPERLINK("CSG1.html#group30B1", "30B¹"), =HYPERLINK("CSG0.html#group10E0", "10E⁰"), =HYPERLINK("CSG0.html#group6J0", "6J⁰"), =HYPERLINK("CSG1.html#group15B1", "15B¹"), =HYPERLINK("CSG7.html#group30M7", "30M⁷"), =HYPERLINK("CSG4.html#group30G4", "30G⁴"), =HYPERLINK("CSG0.html#group15A0", "15A⁰")</f>
        <v/>
      </c>
      <c r="N7094" t="inlineStr"/>
    </row>
    <row r="7095">
      <c r="A7095" t="inlineStr">
        <is>
          <t>30E²²</t>
        </is>
      </c>
      <c r="B7095" t="inlineStr"/>
      <c r="C7095" t="inlineStr">
        <is>
          <t>360</t>
        </is>
      </c>
      <c r="D7095" t="inlineStr">
        <is>
          <t>2</t>
        </is>
      </c>
      <c r="E7095" t="inlineStr">
        <is>
          <t>60</t>
        </is>
      </c>
      <c r="F7095" t="inlineStr">
        <is>
          <t>12</t>
        </is>
      </c>
      <c r="G7095" t="inlineStr">
        <is>
          <t>0</t>
        </is>
      </c>
      <c r="H7095" t="inlineStr">
        <is>
          <t>30¹²</t>
        </is>
      </c>
      <c r="I7095" t="n">
        <v>12</v>
      </c>
      <c r="J7095" t="inlineStr">
        <is>
          <t>8¹⁵</t>
        </is>
      </c>
      <c r="K7095">
        <f>HYPERLINK("CSG6.html#group30F6", "30F⁶"), =HYPERLINK("CSG7.html#group15C7", "15C⁷")</f>
        <v/>
      </c>
      <c r="L7095" t="inlineStr"/>
      <c r="M7095">
        <f>HYPERLINK("CSG7.html#group15C7", "15C⁷"), =HYPERLINK("CSG2.html#group15E2", "15E²"), =HYPERLINK("CSG0.html#group5A0", "5A⁰"), =HYPERLINK("CSG1.html#group15F1", "15F¹"), =HYPERLINK("CSG0.html#group5E0", "5E⁰"), =HYPERLINK("CSG3.html#group15H3", "15H³"), =HYPERLINK("CSG0.html#group3A0", "3A⁰"), =HYPERLINK("CSG0.html#group1A0", "1A⁰"), =HYPERLINK("CSG1.html#group15A1", "15A¹"), =HYPERLINK("CSG6.html#group30F6", "30F⁶"), =HYPERLINK("CSG0.html#group15A0", "15A⁰")</f>
        <v/>
      </c>
      <c r="N7095" t="inlineStr"/>
    </row>
    <row r="7096">
      <c r="A7096" t="inlineStr">
        <is>
          <t>30F²²</t>
        </is>
      </c>
      <c r="B7096" t="inlineStr"/>
      <c r="C7096" t="inlineStr">
        <is>
          <t>360</t>
        </is>
      </c>
      <c r="D7096" t="inlineStr">
        <is>
          <t>2</t>
        </is>
      </c>
      <c r="E7096" t="inlineStr">
        <is>
          <t>120</t>
        </is>
      </c>
      <c r="F7096" t="inlineStr">
        <is>
          <t>0</t>
        </is>
      </c>
      <c r="G7096" t="inlineStr">
        <is>
          <t>9</t>
        </is>
      </c>
      <c r="H7096" t="inlineStr">
        <is>
          <t>30¹²</t>
        </is>
      </c>
      <c r="I7096" t="n">
        <v>12</v>
      </c>
      <c r="J7096" t="inlineStr">
        <is>
          <t>8³⁰</t>
        </is>
      </c>
      <c r="K7096">
        <f>HYPERLINK("CSG4.html#group30G4", "30G⁴"), =HYPERLINK("CSG7.html#group30O7", "30O⁷")</f>
        <v/>
      </c>
      <c r="L7096" t="inlineStr"/>
      <c r="M7096">
        <f>HYPERLINK("CSG0.html#group2A0", "2A⁰"), =HYPERLINK("CSG2.html#group30B2", "30B²"), =HYPERLINK("CSG1.html#group30A1", "30A¹"), =HYPERLINK("CSG0.html#group5A0", "5A⁰"), =HYPERLINK("CSG0.html#group10A0", "10A⁰"), =HYPERLINK("CSG2.html#group15E2", "15E²"), =HYPERLINK("CSG0.html#group6A0", "6A⁰"), =HYPERLINK("CSG1.html#group30B1", "30B¹"), =HYPERLINK("CSG0.html#group10E0", "10E⁰"), =HYPERLINK("CSG4.html#group30G4", "30G⁴"), =HYPERLINK("CSG0.html#group1A0", "1A⁰"), =HYPERLINK("CSG7.html#group30O7", "30O⁷"), =HYPERLINK("CSG0.html#group15A0", "15A⁰")</f>
        <v/>
      </c>
      <c r="N7096" t="inlineStr"/>
    </row>
    <row r="7097">
      <c r="A7097" t="inlineStr">
        <is>
          <t>30G²²</t>
        </is>
      </c>
      <c r="B7097" t="inlineStr"/>
      <c r="C7097" t="inlineStr">
        <is>
          <t>360</t>
        </is>
      </c>
      <c r="D7097" t="inlineStr">
        <is>
          <t>2</t>
        </is>
      </c>
      <c r="E7097" t="inlineStr">
        <is>
          <t>180</t>
        </is>
      </c>
      <c r="F7097" t="inlineStr">
        <is>
          <t>4</t>
        </is>
      </c>
      <c r="G7097" t="inlineStr">
        <is>
          <t>0</t>
        </is>
      </c>
      <c r="H7097" t="inlineStr">
        <is>
          <t>15⁸, 30⁸</t>
        </is>
      </c>
      <c r="I7097" t="n">
        <v>16</v>
      </c>
      <c r="J7097" t="inlineStr">
        <is>
          <t>8⁴⁵</t>
        </is>
      </c>
      <c r="K7097">
        <f>HYPERLINK("CSG4.html#group15E4", "15E⁴"), =HYPERLINK("CSG11.html#group30F11", "30F¹¹")</f>
        <v/>
      </c>
      <c r="L7097" t="inlineStr"/>
      <c r="M7097">
        <f>HYPERLINK("CSG2.html#group15E2", "15E²"), =HYPERLINK("CSG11.html#group30F11", "30F¹¹"), =HYPERLINK("CSG4.html#group15E4", "15E⁴"), =HYPERLINK("CSG0.html#group5A0", "5A⁰"), =HYPERLINK("CSG3.html#group30E3", "30E³"), =HYPERLINK("CSG1.html#group10B1", "10B¹"), =HYPERLINK("CSG0.html#group2B0", "2B⁰"), =HYPERLINK("CSG0.html#group1A0", "1A⁰"), =HYPERLINK("CSG0.html#group15A0", "15A⁰")</f>
        <v/>
      </c>
      <c r="N7097" t="inlineStr"/>
    </row>
    <row r="7098">
      <c r="A7098" t="inlineStr">
        <is>
          <t>32A²²</t>
        </is>
      </c>
      <c r="B7098" t="inlineStr"/>
      <c r="C7098" t="inlineStr">
        <is>
          <t>384</t>
        </is>
      </c>
      <c r="D7098" t="inlineStr">
        <is>
          <t>1</t>
        </is>
      </c>
      <c r="E7098" t="inlineStr">
        <is>
          <t>96</t>
        </is>
      </c>
      <c r="F7098" t="inlineStr">
        <is>
          <t>4</t>
        </is>
      </c>
      <c r="G7098" t="inlineStr">
        <is>
          <t>0</t>
        </is>
      </c>
      <c r="H7098" t="inlineStr">
        <is>
          <t>16¹⁶, 32⁴</t>
        </is>
      </c>
      <c r="I7098" t="n">
        <v>20</v>
      </c>
      <c r="J7098" t="inlineStr">
        <is>
          <t>8², 16⁵</t>
        </is>
      </c>
      <c r="K7098">
        <f>HYPERLINK("CSG9.html#group32Q9", "32Q⁹"), =HYPERLINK("CSG9.html#group32R9", "32R⁹"), =HYPERLINK("CSG10.html#group16A10", "16A¹⁰")</f>
        <v/>
      </c>
      <c r="L7098" t="inlineStr"/>
      <c r="M7098">
        <f>HYPERLINK("CSG1.html#group16I1", "16I¹"), =HYPERLINK("CSG0.html#group8D0", "8D⁰"), =HYPERLINK("CSG0.html#group4C0", "4C⁰"), =HYPERLINK("CSG0.html#group8B0", "8B⁰"), =HYPERLINK("CSG9.html#group32R9", "32R⁹"), =HYPERLINK("CSG3.html#group16P3", "16P³"), =HYPERLINK("CSG0.html#group8A0", "8A⁰"), =HYPERLINK("CSG0.html#group2B0", "2B⁰"), =HYPERLINK("CSG0.html#group1A0", "1A⁰"), =HYPERLINK("CSG0.html#group8K0", "8K⁰"), =HYPERLINK("CSG1.html#group8D1", "8D¹"), =HYPERLINK("CSG1.html#group8H1", "8H¹"), =HYPERLINK("CSG2.html#group16E2", "16E²"), =HYPERLINK("CSG10.html#group16A10", "16A¹⁰"), =HYPERLINK("CSG0.html#group8H0", "8H⁰"), =HYPERLINK("CSG0.html#group16E0", "16E⁰"), =HYPERLINK("CSG4.html#group16B4", "16B⁴"), =HYPERLINK("CSG1.html#group16D1", "16D¹"), =HYPERLINK("CSG0.html#group4A0", "4A⁰"), =HYPERLINK("CSG5.html#group16I5", "16I⁵"), =HYPERLINK("CSG1.html#group16C1", "16C¹"), =HYPERLINK("CSG9.html#group32Q9", "32Q⁹"), =HYPERLINK("CSG0.html#group4F0", "4F⁰")</f>
        <v/>
      </c>
      <c r="N7098" t="inlineStr"/>
    </row>
    <row r="7099">
      <c r="A7099" t="inlineStr">
        <is>
          <t>32B²²</t>
        </is>
      </c>
      <c r="B7099" t="inlineStr"/>
      <c r="C7099" t="inlineStr">
        <is>
          <t>384</t>
        </is>
      </c>
      <c r="D7099" t="inlineStr">
        <is>
          <t>1</t>
        </is>
      </c>
      <c r="E7099" t="inlineStr">
        <is>
          <t>96</t>
        </is>
      </c>
      <c r="F7099" t="inlineStr">
        <is>
          <t>4</t>
        </is>
      </c>
      <c r="G7099" t="inlineStr">
        <is>
          <t>0</t>
        </is>
      </c>
      <c r="H7099" t="inlineStr">
        <is>
          <t>16¹⁶, 32⁴</t>
        </is>
      </c>
      <c r="I7099" t="n">
        <v>20</v>
      </c>
      <c r="J7099" t="inlineStr">
        <is>
          <t>8², 16⁵</t>
        </is>
      </c>
      <c r="K7099">
        <f>HYPERLINK("CSG9.html#group32Q9", "32Q⁹"), =HYPERLINK("CSG9.html#group32R9", "32R⁹"), =HYPERLINK("CSG10.html#group16A10", "16A¹⁰")</f>
        <v/>
      </c>
      <c r="L7099" t="inlineStr"/>
      <c r="M7099">
        <f>HYPERLINK("CSG1.html#group16I1", "16I¹"), =HYPERLINK("CSG0.html#group8D0", "8D⁰"), =HYPERLINK("CSG0.html#group4C0", "4C⁰"), =HYPERLINK("CSG0.html#group8B0", "8B⁰"), =HYPERLINK("CSG9.html#group32R9", "32R⁹"), =HYPERLINK("CSG3.html#group16P3", "16P³"), =HYPERLINK("CSG0.html#group8A0", "8A⁰"), =HYPERLINK("CSG0.html#group2B0", "2B⁰"), =HYPERLINK("CSG0.html#group1A0", "1A⁰"), =HYPERLINK("CSG0.html#group8K0", "8K⁰"), =HYPERLINK("CSG1.html#group8D1", "8D¹"), =HYPERLINK("CSG1.html#group8H1", "8H¹"), =HYPERLINK("CSG2.html#group16E2", "16E²"), =HYPERLINK("CSG10.html#group16A10", "16A¹⁰"), =HYPERLINK("CSG0.html#group8H0", "8H⁰"), =HYPERLINK("CSG0.html#group16E0", "16E⁰"), =HYPERLINK("CSG4.html#group16B4", "16B⁴"), =HYPERLINK("CSG1.html#group16D1", "16D¹"), =HYPERLINK("CSG0.html#group4A0", "4A⁰"), =HYPERLINK("CSG5.html#group16I5", "16I⁵"), =HYPERLINK("CSG1.html#group16C1", "16C¹"), =HYPERLINK("CSG9.html#group32Q9", "32Q⁹"), =HYPERLINK("CSG0.html#group4F0", "4F⁰")</f>
        <v/>
      </c>
      <c r="N7099" t="inlineStr"/>
    </row>
    <row r="7100">
      <c r="A7100" t="inlineStr">
        <is>
          <t>33A²²</t>
        </is>
      </c>
      <c r="B7100" t="inlineStr"/>
      <c r="C7100" t="inlineStr">
        <is>
          <t>330</t>
        </is>
      </c>
      <c r="D7100" t="inlineStr">
        <is>
          <t>1</t>
        </is>
      </c>
      <c r="E7100" t="inlineStr">
        <is>
          <t>55</t>
        </is>
      </c>
      <c r="F7100" t="inlineStr">
        <is>
          <t>6</t>
        </is>
      </c>
      <c r="G7100" t="inlineStr">
        <is>
          <t>0</t>
        </is>
      </c>
      <c r="H7100" t="inlineStr">
        <is>
          <t>33¹⁰</t>
        </is>
      </c>
      <c r="I7100" t="n">
        <v>10</v>
      </c>
      <c r="J7100" t="inlineStr">
        <is>
          <t>5¹, 10⁵</t>
        </is>
      </c>
      <c r="K7100">
        <f>HYPERLINK("CSG4.html#group11A4", "11A⁴"), =HYPERLINK("CSG7.html#group33A7", "33A⁷")</f>
        <v/>
      </c>
      <c r="L7100" t="inlineStr"/>
      <c r="M7100">
        <f>HYPERLINK("CSG1.html#group11C1", "11C¹"), =HYPERLINK("CSG0.html#group1A0", "1A⁰"), =HYPERLINK("CSG0.html#group3A0", "3A⁰"), =HYPERLINK("CSG4.html#group11A4", "11A⁴"), =HYPERLINK("CSG7.html#group33A7", "33A⁷")</f>
        <v/>
      </c>
      <c r="N7100" t="inlineStr"/>
    </row>
    <row r="7101">
      <c r="A7101" t="inlineStr">
        <is>
          <t>33B²²</t>
        </is>
      </c>
      <c r="B7101" t="inlineStr"/>
      <c r="C7101" t="inlineStr">
        <is>
          <t>330</t>
        </is>
      </c>
      <c r="D7101" t="inlineStr">
        <is>
          <t>1</t>
        </is>
      </c>
      <c r="E7101" t="inlineStr">
        <is>
          <t>165</t>
        </is>
      </c>
      <c r="F7101" t="inlineStr">
        <is>
          <t>6</t>
        </is>
      </c>
      <c r="G7101" t="inlineStr">
        <is>
          <t>0</t>
        </is>
      </c>
      <c r="H7101" t="inlineStr">
        <is>
          <t>33¹⁰</t>
        </is>
      </c>
      <c r="I7101" t="n">
        <v>10</v>
      </c>
      <c r="J7101" t="inlineStr">
        <is>
          <t>5¹, 10⁶, 20⁵</t>
        </is>
      </c>
      <c r="K7101">
        <f>HYPERLINK("CSG4.html#group33A4", "33A⁴"), =HYPERLINK("CSG10.html#group33B10", "33B¹⁰")</f>
        <v/>
      </c>
      <c r="L7101" t="inlineStr"/>
      <c r="M7101">
        <f>HYPERLINK("CSG0.html#group11A0", "11A⁰"), =HYPERLINK("CSG1.html#group33A1", "33A¹"), =HYPERLINK("CSG0.html#group3C0", "3C⁰"), =HYPERLINK("CSG10.html#group33B10", "33B¹⁰"), =HYPERLINK("CSG1.html#group11B1", "11B¹"), =HYPERLINK("CSG0.html#group3A0", "3A⁰"), =HYPERLINK("CSG0.html#group1A0", "1A⁰"), =HYPERLINK("CSG4.html#group33A4", "33A⁴")</f>
        <v/>
      </c>
      <c r="N7101" t="inlineStr"/>
    </row>
    <row r="7102">
      <c r="A7102" t="inlineStr">
        <is>
          <t>33C²²</t>
        </is>
      </c>
      <c r="B7102" t="inlineStr"/>
      <c r="C7102" t="inlineStr">
        <is>
          <t>396</t>
        </is>
      </c>
      <c r="D7102" t="inlineStr">
        <is>
          <t>1</t>
        </is>
      </c>
      <c r="E7102" t="inlineStr">
        <is>
          <t>198</t>
        </is>
      </c>
      <c r="F7102" t="inlineStr">
        <is>
          <t>24</t>
        </is>
      </c>
      <c r="G7102" t="inlineStr">
        <is>
          <t>0</t>
        </is>
      </c>
      <c r="H7102" t="inlineStr">
        <is>
          <t>33¹²</t>
        </is>
      </c>
      <c r="I7102" t="n">
        <v>12</v>
      </c>
      <c r="J7102" t="inlineStr">
        <is>
          <t>1¹, 2¹, 5¹, 10⁷, 20⁶</t>
        </is>
      </c>
      <c r="K7102">
        <f>HYPERLINK("CSG10.html#group33C10", "33C¹⁰")</f>
        <v/>
      </c>
      <c r="L7102" t="inlineStr"/>
      <c r="M7102">
        <f>HYPERLINK("CSG10.html#group33C10", "33C¹⁰"), =HYPERLINK("CSG0.html#group11A0", "11A⁰"), =HYPERLINK("CSG2.html#group11A2", "11A²"), =HYPERLINK("CSG0.html#group3A0", "3A⁰"), =HYPERLINK("CSG0.html#group1A0", "1A⁰"), =HYPERLINK("CSG1.html#group33A1", "33A¹")</f>
        <v/>
      </c>
      <c r="N7102" t="inlineStr"/>
    </row>
    <row r="7103">
      <c r="A7103" t="inlineStr">
        <is>
          <t>34A²²</t>
        </is>
      </c>
      <c r="B7103" t="inlineStr"/>
      <c r="C7103" t="inlineStr">
        <is>
          <t>306</t>
        </is>
      </c>
      <c r="D7103" t="inlineStr">
        <is>
          <t>1</t>
        </is>
      </c>
      <c r="E7103" t="inlineStr">
        <is>
          <t>153</t>
        </is>
      </c>
      <c r="F7103" t="inlineStr">
        <is>
          <t>0</t>
        </is>
      </c>
      <c r="G7103" t="inlineStr">
        <is>
          <t>0</t>
        </is>
      </c>
      <c r="H7103" t="inlineStr">
        <is>
          <t>34⁹</t>
        </is>
      </c>
      <c r="I7103" t="n">
        <v>9</v>
      </c>
      <c r="J7103" t="inlineStr">
        <is>
          <t>1¹, 8¹, 16⁹</t>
        </is>
      </c>
      <c r="K7103">
        <f>HYPERLINK("CSG0.html#group2A0", "2A⁰"), =HYPERLINK("CSG7.html#group17A7", "17A⁷")</f>
        <v/>
      </c>
      <c r="L7103" t="inlineStr"/>
      <c r="M7103">
        <f>HYPERLINK("CSG0.html#group2A0", "2A⁰"), =HYPERLINK("CSG0.html#group1A0", "1A⁰"), =HYPERLINK("CSG7.html#group17A7", "17A⁷")</f>
        <v/>
      </c>
      <c r="N7103" t="inlineStr"/>
    </row>
    <row r="7104">
      <c r="A7104" t="inlineStr">
        <is>
          <t>35A²²</t>
        </is>
      </c>
      <c r="B7104" t="inlineStr"/>
      <c r="C7104" t="inlineStr">
        <is>
          <t>360</t>
        </is>
      </c>
      <c r="D7104" t="inlineStr">
        <is>
          <t>1</t>
        </is>
      </c>
      <c r="E7104" t="inlineStr">
        <is>
          <t>40</t>
        </is>
      </c>
      <c r="F7104" t="inlineStr">
        <is>
          <t>0</t>
        </is>
      </c>
      <c r="G7104" t="inlineStr">
        <is>
          <t>0</t>
        </is>
      </c>
      <c r="H7104" t="inlineStr">
        <is>
          <t>5⁹, 35⁹</t>
        </is>
      </c>
      <c r="I7104" t="n">
        <v>18</v>
      </c>
      <c r="J7104" t="inlineStr">
        <is>
          <t>1², 4², 6¹, 24¹</t>
        </is>
      </c>
      <c r="K7104">
        <f>HYPERLINK("CSG6.html#group35C6", "35C⁶"), =HYPERLINK("CSG6.html#group35D6", "35D⁶"), =HYPERLINK("CSG8.html#group35A8", "35A⁸"), =HYPERLINK("CSG8.html#group35B8", "35B⁸")</f>
        <v/>
      </c>
      <c r="L7104" t="inlineStr"/>
      <c r="M7104">
        <f>HYPERLINK("CSG0.html#group5A0", "5A⁰"), =HYPERLINK("CSG8.html#group35B8", "35B⁸"), =HYPERLINK("CSG0.html#group7B0", "7B⁰"), =HYPERLINK("CSG6.html#group35D6", "35D⁶"), =HYPERLINK("CSG0.html#group5E0", "5E⁰"), =HYPERLINK("CSG0.html#group7E0", "7E⁰"), =HYPERLINK("CSG2.html#group35B2", "35B²"), =HYPERLINK("CSG8.html#group35A8", "35A⁸"), =HYPERLINK("CSG6.html#group35C6", "35C⁶"), =HYPERLINK("CSG0.html#group1A0", "1A⁰")</f>
        <v/>
      </c>
      <c r="N7104" t="inlineStr"/>
    </row>
    <row r="7105">
      <c r="A7105" t="inlineStr">
        <is>
          <t>36A²²</t>
        </is>
      </c>
      <c r="B7105" t="inlineStr"/>
      <c r="C7105" t="inlineStr">
        <is>
          <t>324</t>
        </is>
      </c>
      <c r="D7105" t="inlineStr">
        <is>
          <t>1</t>
        </is>
      </c>
      <c r="E7105" t="inlineStr">
        <is>
          <t>54</t>
        </is>
      </c>
      <c r="F7105" t="inlineStr">
        <is>
          <t>0</t>
        </is>
      </c>
      <c r="G7105" t="inlineStr">
        <is>
          <t>0</t>
        </is>
      </c>
      <c r="H7105" t="inlineStr">
        <is>
          <t>18⁶, 36⁶</t>
        </is>
      </c>
      <c r="I7105" t="n">
        <v>12</v>
      </c>
      <c r="J7105" t="inlineStr">
        <is>
          <t>1³, 2³, 3³, 6⁶</t>
        </is>
      </c>
      <c r="K7105">
        <f>HYPERLINK("CSG6.html#group36D6", "36D⁶"), =HYPERLINK("CSG7.html#group18I7", "18I⁷"), =HYPERLINK("CSG8.html#group36A8", "36A⁸")</f>
        <v/>
      </c>
      <c r="L7105" t="inlineStr"/>
      <c r="M7105">
        <f>HYPERLINK("CSG1.html#group18I1", "18I¹"), =HYPERLINK("CSG0.html#group6G0", "6G⁰"), =HYPERLINK("CSG4.html#group36E4", "36E⁴"), =HYPERLINK("CSG1.html#group9E1", "9E¹"), =HYPERLINK("CSG7.html#group18I7", "18I⁷"), =HYPERLINK("CSG0.html#group2B0", "2B⁰"), =HYPERLINK("CSG0.html#group9E0", "9E⁰"), =HYPERLINK("CSG6.html#group36D6", "36D⁶"), =HYPERLINK("CSG0.html#group1A0", "1A⁰"), =HYPERLINK("CSG8.html#group36A8", "36A⁸"), =HYPERLINK("CSG0.html#group9D0", "9D⁰"), =HYPERLINK("CSG1.html#group12C1", "12C¹"), =HYPERLINK("CSG0.html#group9A0", "9A⁰"), =HYPERLINK("CSG0.html#group3C0", "3C⁰"), =HYPERLINK("CSG1.html#group18E1", "18E¹"), =HYPERLINK("CSG0.html#group3A0", "3A⁰"), =HYPERLINK("CSG2.html#group12C2", "12C²"), =HYPERLINK("CSG2.html#group18I2", "18I²"), =HYPERLINK("CSG0.html#group6D0", "6D⁰")</f>
        <v/>
      </c>
      <c r="N7105" t="inlineStr"/>
    </row>
    <row r="7106">
      <c r="A7106" t="inlineStr">
        <is>
          <t>36B²²</t>
        </is>
      </c>
      <c r="B7106" t="inlineStr"/>
      <c r="C7106" t="inlineStr">
        <is>
          <t>324</t>
        </is>
      </c>
      <c r="D7106" t="inlineStr">
        <is>
          <t>1</t>
        </is>
      </c>
      <c r="E7106" t="inlineStr">
        <is>
          <t>81</t>
        </is>
      </c>
      <c r="F7106" t="inlineStr">
        <is>
          <t>0</t>
        </is>
      </c>
      <c r="G7106" t="inlineStr">
        <is>
          <t>0</t>
        </is>
      </c>
      <c r="H7106" t="inlineStr">
        <is>
          <t>18⁶, 36⁶</t>
        </is>
      </c>
      <c r="I7106" t="n">
        <v>12</v>
      </c>
      <c r="J7106" t="inlineStr">
        <is>
          <t>3³, 6¹²</t>
        </is>
      </c>
      <c r="K7106">
        <f>HYPERLINK("CSG0.html#group4E0", "4E⁰"), =HYPERLINK("CSG10.html#group18A10", "18A¹⁰"), =HYPERLINK("CSG10.html#group36M10", "36M¹⁰"), =HYPERLINK("CSG10.html#group36O10", "36O¹⁰")</f>
        <v/>
      </c>
      <c r="L7106" t="inlineStr"/>
      <c r="M7106">
        <f>HYPERLINK("CSG0.html#group2A0", "2A⁰"), =HYPERLINK("CSG0.html#group2C0", "2C⁰"), =HYPERLINK("CSG10.html#group36O10", "36O¹⁰"), =HYPERLINK("CSG10.html#group18A10", "18A¹⁰"), =HYPERLINK("CSG4.html#group18K4", "18K⁴"), =HYPERLINK("CSG0.html#group4C0", "4C⁰"), =HYPERLINK("CSG0.html#group2B0", "2B⁰"), =HYPERLINK("CSG0.html#group4E0", "4E⁰"), =HYPERLINK("CSG2.html#group18J2", "18J²"), =HYPERLINK("CSG0.html#group4B0", "4B⁰"), =HYPERLINK("CSG0.html#group9F0", "9F⁰"), =HYPERLINK("CSG0.html#group1A0", "1A⁰"), =HYPERLINK("CSG10.html#group36M10", "36M¹⁰")</f>
        <v/>
      </c>
      <c r="N7106" t="inlineStr"/>
    </row>
    <row r="7107">
      <c r="A7107" t="inlineStr">
        <is>
          <t>36C²²</t>
        </is>
      </c>
      <c r="B7107" t="inlineStr"/>
      <c r="C7107" t="inlineStr">
        <is>
          <t>324</t>
        </is>
      </c>
      <c r="D7107" t="inlineStr">
        <is>
          <t>1</t>
        </is>
      </c>
      <c r="E7107" t="inlineStr">
        <is>
          <t>81</t>
        </is>
      </c>
      <c r="F7107" t="inlineStr">
        <is>
          <t>0</t>
        </is>
      </c>
      <c r="G7107" t="inlineStr">
        <is>
          <t>0</t>
        </is>
      </c>
      <c r="H7107" t="inlineStr">
        <is>
          <t>18⁶, 36⁶</t>
        </is>
      </c>
      <c r="I7107" t="n">
        <v>12</v>
      </c>
      <c r="J7107" t="inlineStr">
        <is>
          <t>3³, 6¹²</t>
        </is>
      </c>
      <c r="K7107">
        <f>HYPERLINK("CSG6.html#group36D6", "36D⁶"), =HYPERLINK("CSG8.html#group18A8", "18A⁸"), =HYPERLINK("CSG8.html#group36E8", "36E⁸"), =HYPERLINK("CSG10.html#group36P10", "36P¹⁰")</f>
        <v/>
      </c>
      <c r="L7107" t="inlineStr"/>
      <c r="M7107">
        <f>HYPERLINK("CSG8.html#group36E8", "36E⁸"), =HYPERLINK("CSG3.html#group36E3", "36E³"), =HYPERLINK("CSG1.html#group18I1", "18I¹"), =HYPERLINK("CSG0.html#group9G0", "9G⁰"), =HYPERLINK("CSG0.html#group6G0", "6G⁰"), =HYPERLINK("CSG4.html#group36E4", "36E⁴"), =HYPERLINK("CSG0.html#group2B0", "2B⁰"), =HYPERLINK("CSG2.html#group9B2", "9B²"), =HYPERLINK("CSG0.html#group9E0", "9E⁰"), =HYPERLINK("CSG6.html#group36D6", "36D⁶"), =HYPERLINK("CSG0.html#group1A0", "1A⁰"), =HYPERLINK("CSG1.html#group9B1", "9B¹"), =HYPERLINK("CSG3.html#group18E3", "18E³"), =HYPERLINK("CSG8.html#group18A8", "18A⁸"), =HYPERLINK("CSG10.html#group36P10", "36P¹⁰"), =HYPERLINK("CSG1.html#group12C1", "12C¹"), =HYPERLINK("CSG3.html#group18J3", "18J³"), =HYPERLINK("CSG0.html#group9A0", "9A⁰"), =HYPERLINK("CSG0.html#group3C0", "3C⁰"), =HYPERLINK("CSG1.html#group18E1", "18E¹"), =HYPERLINK("CSG0.html#group3A0", "3A⁰"), =HYPERLINK("CSG2.html#group12C2", "12C²"), =HYPERLINK("CSG0.html#group6D0", "6D⁰")</f>
        <v/>
      </c>
      <c r="N7107" t="inlineStr"/>
    </row>
    <row r="7108">
      <c r="A7108" t="inlineStr">
        <is>
          <t>36D²²</t>
        </is>
      </c>
      <c r="B7108" t="inlineStr"/>
      <c r="C7108" t="inlineStr">
        <is>
          <t>324</t>
        </is>
      </c>
      <c r="D7108" t="inlineStr">
        <is>
          <t>1</t>
        </is>
      </c>
      <c r="E7108" t="inlineStr">
        <is>
          <t>81</t>
        </is>
      </c>
      <c r="F7108" t="inlineStr">
        <is>
          <t>0</t>
        </is>
      </c>
      <c r="G7108" t="inlineStr">
        <is>
          <t>0</t>
        </is>
      </c>
      <c r="H7108" t="inlineStr">
        <is>
          <t>18⁶, 36⁶</t>
        </is>
      </c>
      <c r="I7108" t="n">
        <v>12</v>
      </c>
      <c r="J7108" t="inlineStr">
        <is>
          <t>3³, 6¹²</t>
        </is>
      </c>
      <c r="K7108">
        <f>HYPERLINK("CSG7.html#group18K7", "18K⁷"), =HYPERLINK("CSG8.html#group36F8", "36F⁸"), =HYPERLINK("CSG10.html#group36N10", "36N¹⁰"), =HYPERLINK("CSG11.html#group36G11", "36G¹¹")</f>
        <v/>
      </c>
      <c r="L7108" t="inlineStr"/>
      <c r="M7108">
        <f>HYPERLINK("CSG0.html#group6B0", "6B⁰"), =HYPERLINK("CSG7.html#group18K7", "18K⁷"), =HYPERLINK("CSG10.html#group36N10", "36N¹⁰"), =HYPERLINK("CSG1.html#group18H1", "18H¹"), =HYPERLINK("CSG2.html#group12D2", "12D²"), =HYPERLINK("CSG0.html#group9G0", "9G⁰"), =HYPERLINK("CSG4.html#group36E4", "36E⁴"), =HYPERLINK("CSG0.html#group2B0", "2B⁰"), =HYPERLINK("CSG0.html#group4B0", "4B⁰"), =HYPERLINK("CSG0.html#group1A0", "1A⁰"), =HYPERLINK("CSG0.html#group18A0", "18A⁰"), =HYPERLINK("CSG2.html#group18L2", "18L²"), =HYPERLINK("CSG1.html#group12C1", "12C¹"), =HYPERLINK("CSG3.html#group18J3", "18J³"), =HYPERLINK("CSG0.html#group9A0", "9A⁰"), =HYPERLINK("CSG11.html#group36G11", "36G¹¹"), =HYPERLINK("CSG4.html#group36D4", "36D⁴"), =HYPERLINK("CSG1.html#group18E1", "18E¹"), =HYPERLINK("CSG8.html#group36F8", "36F⁸"), =HYPERLINK("CSG1.html#group12B1", "12B¹"), =HYPERLINK("CSG0.html#group6H0", "6H⁰"), =HYPERLINK("CSG0.html#group3A0", "3A⁰"), =HYPERLINK("CSG0.html#group6D0", "6D⁰")</f>
        <v/>
      </c>
      <c r="N7108" t="inlineStr"/>
    </row>
    <row r="7109">
      <c r="A7109" t="inlineStr">
        <is>
          <t>36E²²</t>
        </is>
      </c>
      <c r="B7109" t="inlineStr"/>
      <c r="C7109" t="inlineStr">
        <is>
          <t>324</t>
        </is>
      </c>
      <c r="D7109" t="inlineStr">
        <is>
          <t>1</t>
        </is>
      </c>
      <c r="E7109" t="inlineStr">
        <is>
          <t>81</t>
        </is>
      </c>
      <c r="F7109" t="inlineStr">
        <is>
          <t>0</t>
        </is>
      </c>
      <c r="G7109" t="inlineStr">
        <is>
          <t>0</t>
        </is>
      </c>
      <c r="H7109" t="inlineStr">
        <is>
          <t>18⁶, 36⁶</t>
        </is>
      </c>
      <c r="I7109" t="n">
        <v>12</v>
      </c>
      <c r="J7109" t="inlineStr">
        <is>
          <t>3³, 6¹²</t>
        </is>
      </c>
      <c r="K7109">
        <f>HYPERLINK("CSG7.html#group36L7", "36L⁷"), =HYPERLINK("CSG8.html#group36G8", "36G⁸"), =HYPERLINK("CSG10.html#group18C10", "18C¹⁰"), =HYPERLINK("CSG11.html#group36G11", "36G¹¹")</f>
        <v/>
      </c>
      <c r="L7109" t="inlineStr"/>
      <c r="M7109">
        <f>HYPERLINK("CSG0.html#group2A0", "2A⁰"), =HYPERLINK("CSG4.html#group18B4", "18B⁴"), =HYPERLINK("CSG0.html#group9G0", "9G⁰"), =HYPERLINK("CSG1.html#group6C1", "6C¹"), =HYPERLINK("CSG2.html#group12E2", "12E²"), =HYPERLINK("CSG4.html#group36E4", "36E⁴"), =HYPERLINK("CSG0.html#group2B0", "2B⁰"), =HYPERLINK("CSG2.html#group18A2", "18A²"), =HYPERLINK("CSG8.html#group36G8", "36G⁸"), =HYPERLINK("CSG0.html#group1A0", "1A⁰"), =HYPERLINK("CSG7.html#group36L7", "36L⁷"), =HYPERLINK("CSG1.html#group12C1", "12C¹"), =HYPERLINK("CSG0.html#group6A0", "6A⁰"), =HYPERLINK("CSG4.html#group18A4", "18A⁴"), =HYPERLINK("CSG0.html#group9A0", "9A⁰"), =HYPERLINK("CSG3.html#group18J3", "18J³"), =HYPERLINK("CSG11.html#group36G11", "36G¹¹"), =HYPERLINK("CSG1.html#group6A1", "6A¹"), =HYPERLINK("CSG0.html#group12D0", "12D⁰"), =HYPERLINK("CSG1.html#group18E1", "18E¹"), =HYPERLINK("CSG0.html#group3A0", "3A⁰"), =HYPERLINK("CSG0.html#group2C0", "2C⁰"), =HYPERLINK("CSG0.html#group6D0", "6D⁰"), =HYPERLINK("CSG2.html#group36C2", "36C²"), =HYPERLINK("CSG10.html#group18C10", "18C¹⁰")</f>
        <v/>
      </c>
      <c r="N7109" t="inlineStr"/>
    </row>
    <row r="7110">
      <c r="A7110" t="inlineStr">
        <is>
          <t>36F²²</t>
        </is>
      </c>
      <c r="B7110" t="inlineStr"/>
      <c r="C7110" t="inlineStr">
        <is>
          <t>324</t>
        </is>
      </c>
      <c r="D7110" t="inlineStr">
        <is>
          <t>1</t>
        </is>
      </c>
      <c r="E7110" t="inlineStr">
        <is>
          <t>81</t>
        </is>
      </c>
      <c r="F7110" t="inlineStr">
        <is>
          <t>0</t>
        </is>
      </c>
      <c r="G7110" t="inlineStr">
        <is>
          <t>0</t>
        </is>
      </c>
      <c r="H7110" t="inlineStr">
        <is>
          <t>18⁶, 36⁶</t>
        </is>
      </c>
      <c r="I7110" t="n">
        <v>12</v>
      </c>
      <c r="J7110" t="inlineStr">
        <is>
          <t>3³, 6¹²</t>
        </is>
      </c>
      <c r="K7110">
        <f>HYPERLINK("CSG8.html#group36B8", "36B⁸"), =HYPERLINK("CSG8.html#group36L8", "36L⁸"), =HYPERLINK("CSG10.html#group18C10", "18C¹⁰"), =HYPERLINK("CSG10.html#group36N10", "36N¹⁰")</f>
        <v/>
      </c>
      <c r="L7110" t="inlineStr"/>
      <c r="M7110">
        <f>HYPERLINK("CSG0.html#group2A0", "2A⁰"), =HYPERLINK("CSG0.html#group12C0", "12C⁰"), =HYPERLINK("CSG10.html#group36N10", "36N¹⁰"), =HYPERLINK("CSG8.html#group36L8", "36L⁸"), =HYPERLINK("CSG2.html#group36B2", "36B²"), =HYPERLINK("CSG1.html#group6C1", "6C¹"), =HYPERLINK("CSG2.html#group12B2", "12B²"), =HYPERLINK("CSG0.html#group4C0", "4C⁰"), =HYPERLINK("CSG0.html#group2B0", "2B⁰"), =HYPERLINK("CSG0.html#group4E0", "4E⁰"), =HYPERLINK("CSG0.html#group4B0", "4B⁰"), =HYPERLINK("CSG0.html#group1A0", "1A⁰"), =HYPERLINK("CSG4.html#group18A4", "18A⁴"), =HYPERLINK("CSG1.html#group12B1", "12B¹"), =HYPERLINK("CSG1.html#group6A1", "6A¹"), =HYPERLINK("CSG1.html#group18E1", "18E¹"), =HYPERLINK("CSG0.html#group3A0", "3A⁰"), =HYPERLINK("CSG4.html#group18B4", "18B⁴"), =HYPERLINK("CSG0.html#group9G0", "9G⁰"), =HYPERLINK("CSG8.html#group36B8", "36B⁸"), =HYPERLINK("CSG2.html#group18A2", "18A²"), =HYPERLINK("CSG0.html#group6A0", "6A⁰"), =HYPERLINK("CSG3.html#group18J3", "18J³"), =HYPERLINK("CSG0.html#group9A0", "9A⁰"), =HYPERLINK("CSG4.html#group36D4", "36D⁴"), =HYPERLINK("CSG0.html#group2C0", "2C⁰"), =HYPERLINK("CSG0.html#group6D0", "6D⁰"), =HYPERLINK("CSG10.html#group18C10", "18C¹⁰")</f>
        <v/>
      </c>
      <c r="N7110" t="inlineStr"/>
    </row>
    <row r="7111">
      <c r="A7111" t="inlineStr">
        <is>
          <t>36G²²</t>
        </is>
      </c>
      <c r="B7111" t="inlineStr"/>
      <c r="C7111" t="inlineStr">
        <is>
          <t>324</t>
        </is>
      </c>
      <c r="D7111" t="inlineStr">
        <is>
          <t>1</t>
        </is>
      </c>
      <c r="E7111" t="inlineStr">
        <is>
          <t>162</t>
        </is>
      </c>
      <c r="F7111" t="inlineStr">
        <is>
          <t>6</t>
        </is>
      </c>
      <c r="G7111" t="inlineStr">
        <is>
          <t>0</t>
        </is>
      </c>
      <c r="H7111" t="inlineStr">
        <is>
          <t>36⁹</t>
        </is>
      </c>
      <c r="I7111" t="n">
        <v>9</v>
      </c>
      <c r="J7111" t="inlineStr">
        <is>
          <t>3², 6¹⁰, 12⁸</t>
        </is>
      </c>
      <c r="K7111">
        <f>HYPERLINK("CSG0.html#group4F0", "4F⁰"), =HYPERLINK("CSG6.html#group36G6", "36G⁶"), =HYPERLINK("CSG10.html#group36O10", "36O¹⁰")</f>
        <v/>
      </c>
      <c r="L7111" t="inlineStr"/>
      <c r="M7111">
        <f>HYPERLINK("CSG0.html#group4A0", "4A⁰"), =HYPERLINK("CSG10.html#group36O10", "36O¹⁰"), =HYPERLINK("CSG4.html#group18K4", "18K⁴"), =HYPERLINK("CSG0.html#group4C0", "4C⁰"), =HYPERLINK("CSG0.html#group2B0", "2B⁰"), =HYPERLINK("CSG0.html#group4F0", "4F⁰"), =HYPERLINK("CSG0.html#group9F0", "9F⁰"), =HYPERLINK("CSG0.html#group1A0", "1A⁰"), =HYPERLINK("CSG6.html#group36G6", "36G⁶")</f>
        <v/>
      </c>
      <c r="N7111" t="inlineStr"/>
    </row>
    <row r="7112">
      <c r="A7112" t="inlineStr">
        <is>
          <t>36H²²</t>
        </is>
      </c>
      <c r="B7112" t="inlineStr"/>
      <c r="C7112" t="inlineStr">
        <is>
          <t>324</t>
        </is>
      </c>
      <c r="D7112" t="inlineStr">
        <is>
          <t>2</t>
        </is>
      </c>
      <c r="E7112" t="inlineStr">
        <is>
          <t>27</t>
        </is>
      </c>
      <c r="F7112" t="inlineStr">
        <is>
          <t>0</t>
        </is>
      </c>
      <c r="G7112" t="inlineStr">
        <is>
          <t>0</t>
        </is>
      </c>
      <c r="H7112" t="inlineStr">
        <is>
          <t>18⁶, 36⁶</t>
        </is>
      </c>
      <c r="I7112" t="n">
        <v>12</v>
      </c>
      <c r="J7112" t="inlineStr">
        <is>
          <t>2⁹, 6⁶</t>
        </is>
      </c>
      <c r="K7112">
        <f>HYPERLINK("CSG7.html#group18M7", "18M⁷"), =HYPERLINK("CSG8.html#group36A8", "36A⁸"), =HYPERLINK("CSG8.html#group36E8", "36E⁸"), =HYPERLINK("CSG10.html#group36P10", "36P¹⁰"), =HYPERLINK("CSG11.html#group36G11", "36G¹¹")</f>
        <v/>
      </c>
      <c r="L7112" t="inlineStr"/>
      <c r="M7112">
        <f>HYPERLINK("CSG8.html#group36E8", "36E⁸"), =HYPERLINK("CSG3.html#group36E3", "36E³"), =HYPERLINK("CSG0.html#group9G0", "9G⁰"), =HYPERLINK("CSG7.html#group18M7", "18M⁷"), =HYPERLINK("CSG0.html#group6G0", "6G⁰"), =HYPERLINK("CSG4.html#group36E4", "36E⁴"), =HYPERLINK("CSG0.html#group2B0", "2B⁰"), =HYPERLINK("CSG0.html#group1A0", "1A⁰"), =HYPERLINK("CSG1.html#group9B1", "9B¹"), =HYPERLINK("CSG3.html#group18E3", "18E³"), =HYPERLINK("CSG8.html#group36A8", "36A⁸"), =HYPERLINK("CSG10.html#group36P10", "36P¹⁰"), =HYPERLINK("CSG0.html#group9D0", "9D⁰"), =HYPERLINK("CSG1.html#group12C1", "12C¹"), =HYPERLINK("CSG3.html#group18J3", "18J³"), =HYPERLINK("CSG0.html#group9A0", "9A⁰"), =HYPERLINK("CSG11.html#group36G11", "36G¹¹"), =HYPERLINK("CSG0.html#group3C0", "3C⁰"), =HYPERLINK("CSG1.html#group18E1", "18E¹"), =HYPERLINK("CSG0.html#group3A0", "3A⁰"), =HYPERLINK("CSG2.html#group12C2", "12C²"), =HYPERLINK("CSG2.html#group18I2", "18I²"), =HYPERLINK("CSG0.html#group6D0", "6D⁰"), =HYPERLINK("CSG1.html#group9F1", "9F¹")</f>
        <v/>
      </c>
      <c r="N7112" t="inlineStr"/>
    </row>
    <row r="7113">
      <c r="A7113" t="inlineStr">
        <is>
          <t>36I²²</t>
        </is>
      </c>
      <c r="B7113" t="inlineStr"/>
      <c r="C7113" t="inlineStr">
        <is>
          <t>324</t>
        </is>
      </c>
      <c r="D7113" t="inlineStr">
        <is>
          <t>2</t>
        </is>
      </c>
      <c r="E7113" t="inlineStr">
        <is>
          <t>81</t>
        </is>
      </c>
      <c r="F7113" t="inlineStr">
        <is>
          <t>0</t>
        </is>
      </c>
      <c r="G7113" t="inlineStr">
        <is>
          <t>0</t>
        </is>
      </c>
      <c r="H7113" t="inlineStr">
        <is>
          <t>18⁶, 36⁶</t>
        </is>
      </c>
      <c r="I7113" t="n">
        <v>12</v>
      </c>
      <c r="J7113" t="inlineStr">
        <is>
          <t>6²⁷</t>
        </is>
      </c>
      <c r="K7113">
        <f>HYPERLINK("CSG8.html#group18B8", "18B⁸"), =HYPERLINK("CSG8.html#group36C8", "36C⁸"), =HYPERLINK("CSG8.html#group36F8", "36F⁸"), =HYPERLINK("CSG10.html#group36N10", "36N¹⁰"), =HYPERLINK("CSG10.html#group36P10", "36P¹⁰")</f>
        <v/>
      </c>
      <c r="L7113" t="inlineStr"/>
      <c r="M7113">
        <f>HYPERLINK("CSG0.html#group6B0", "6B⁰"), =HYPERLINK("CSG8.html#group36C8", "36C⁸"), =HYPERLINK("CSG10.html#group36N10", "36N¹⁰"), =HYPERLINK("CSG3.html#group36E3", "36E³"), =HYPERLINK("CSG2.html#group12D2", "12D²"), =HYPERLINK("CSG0.html#group9G0", "9G⁰"), =HYPERLINK("CSG0.html#group6H0", "6H⁰"), =HYPERLINK("CSG2.html#group18K2", "18K²"), =HYPERLINK("CSG1.html#group18B1", "18B¹"), =HYPERLINK("CSG4.html#group36E4", "36E⁴"), =HYPERLINK("CSG0.html#group2B0", "2B⁰"), =HYPERLINK("CSG0.html#group4B0", "4B⁰"), =HYPERLINK("CSG2.html#group18M2", "18M²"), =HYPERLINK("CSG0.html#group1A0", "1A⁰"), =HYPERLINK("CSG0.html#group18A0", "18A⁰"), =HYPERLINK("CSG2.html#group18L2", "18L²"), =HYPERLINK("CSG3.html#group18D3", "18D³"), =HYPERLINK("CSG10.html#group36P10", "36P¹⁰"), =HYPERLINK("CSG1.html#group12C1", "12C¹"), =HYPERLINK("CSG3.html#group18J3", "18J³"), =HYPERLINK("CSG0.html#group9A0", "9A⁰"), =HYPERLINK("CSG4.html#group36D4", "36D⁴"), =HYPERLINK("CSG8.html#group36F8", "36F⁸"), =HYPERLINK("CSG8.html#group18B8", "18B⁸"), =HYPERLINK("CSG1.html#group12B1", "12B¹"), =HYPERLINK("CSG1.html#group18E1", "18E¹"), =HYPERLINK("CSG0.html#group3A0", "3A⁰"), =HYPERLINK("CSG1.html#group18A1", "18A¹"), =HYPERLINK("CSG0.html#group6D0", "6D⁰")</f>
        <v/>
      </c>
      <c r="N7113" t="inlineStr"/>
    </row>
    <row r="7114">
      <c r="A7114" t="inlineStr">
        <is>
          <t>36J²²</t>
        </is>
      </c>
      <c r="B7114" t="inlineStr"/>
      <c r="C7114" t="inlineStr">
        <is>
          <t>324</t>
        </is>
      </c>
      <c r="D7114" t="inlineStr">
        <is>
          <t>2</t>
        </is>
      </c>
      <c r="E7114" t="inlineStr">
        <is>
          <t>81</t>
        </is>
      </c>
      <c r="F7114" t="inlineStr">
        <is>
          <t>0</t>
        </is>
      </c>
      <c r="G7114" t="inlineStr">
        <is>
          <t>0</t>
        </is>
      </c>
      <c r="H7114" t="inlineStr">
        <is>
          <t>18⁶, 36⁶</t>
        </is>
      </c>
      <c r="I7114" t="n">
        <v>12</v>
      </c>
      <c r="J7114" t="inlineStr">
        <is>
          <t>6²⁷</t>
        </is>
      </c>
      <c r="K7114">
        <f>HYPERLINK("CSG8.html#group36D8", "36D⁸"), =HYPERLINK("CSG8.html#group36G8", "36G⁸"), =HYPERLINK("CSG8.html#group36M8", "36M⁸"), =HYPERLINK("CSG10.html#group18C10", "18C¹⁰"), =HYPERLINK("CSG10.html#group36P10", "36P¹⁰")</f>
        <v/>
      </c>
      <c r="L7114" t="inlineStr"/>
      <c r="M7114">
        <f>HYPERLINK("CSG0.html#group2A0", "2A⁰"), =HYPERLINK("CSG4.html#group18B4", "18B⁴"), =HYPERLINK("CSG3.html#group36E3", "36E³"), =HYPERLINK("CSG0.html#group9G0", "9G⁰"), =HYPERLINK("CSG1.html#group6C1", "6C¹"), =HYPERLINK("CSG2.html#group12E2", "12E²"), =HYPERLINK("CSG4.html#group36E4", "36E⁴"), =HYPERLINK("CSG0.html#group2B0", "2B⁰"), =HYPERLINK("CSG2.html#group18A2", "18A²"), =HYPERLINK("CSG8.html#group36G8", "36G⁸"), =HYPERLINK("CSG0.html#group1A0", "1A⁰"), =HYPERLINK("CSG8.html#group36D8", "36D⁸"), =HYPERLINK("CSG8.html#group36M8", "36M⁸"), =HYPERLINK("CSG10.html#group36P10", "36P¹⁰"), =HYPERLINK("CSG1.html#group12C1", "12C¹"), =HYPERLINK("CSG0.html#group6A0", "6A⁰"), =HYPERLINK("CSG3.html#group18J3", "18J³"), =HYPERLINK("CSG0.html#group9A0", "9A⁰"), =HYPERLINK("CSG4.html#group18A4", "18A⁴"), =HYPERLINK("CSG3.html#group36D3", "36D³"), =HYPERLINK("CSG1.html#group6A1", "6A¹"), =HYPERLINK("CSG0.html#group12D0", "12D⁰"), =HYPERLINK("CSG1.html#group18E1", "18E¹"), =HYPERLINK("CSG0.html#group3A0", "3A⁰"), =HYPERLINK("CSG0.html#group2C0", "2C⁰"), =HYPERLINK("CSG0.html#group6D0", "6D⁰"), =HYPERLINK("CSG2.html#group36C2", "36C²"), =HYPERLINK("CSG10.html#group18C10", "18C¹⁰")</f>
        <v/>
      </c>
      <c r="N7114" t="inlineStr"/>
    </row>
    <row r="7115">
      <c r="A7115" t="inlineStr">
        <is>
          <t>36K²²</t>
        </is>
      </c>
      <c r="B7115" t="inlineStr"/>
      <c r="C7115" t="inlineStr">
        <is>
          <t>432</t>
        </is>
      </c>
      <c r="D7115" t="inlineStr">
        <is>
          <t>1</t>
        </is>
      </c>
      <c r="E7115" t="inlineStr">
        <is>
          <t>12</t>
        </is>
      </c>
      <c r="F7115" t="inlineStr">
        <is>
          <t>0</t>
        </is>
      </c>
      <c r="G7115" t="inlineStr">
        <is>
          <t>0</t>
        </is>
      </c>
      <c r="H7115" t="inlineStr">
        <is>
          <t>6¹², 12³, 18¹², 36³</t>
        </is>
      </c>
      <c r="I7115" t="n">
        <v>30</v>
      </c>
      <c r="J7115" t="inlineStr">
        <is>
          <t>1⁶, 2³</t>
        </is>
      </c>
      <c r="K7115">
        <f>HYPERLINK("CSG3.html#group12N3", "12N³"), =HYPERLINK("CSG3.html#group36J3", "36J³"), =HYPERLINK("CSG8.html#group36I8", "36I⁸"), =HYPERLINK("CSG8.html#group36H8", "36H⁸"), =HYPERLINK("CSG10.html#group18E10", "18E¹⁰")</f>
        <v/>
      </c>
      <c r="L7115" t="inlineStr"/>
      <c r="M7115">
        <f>HYPERLINK("CSG1.html#group6C1", "6C¹"), =HYPERLINK("CSG0.html#group12I0", "12I⁰"), =HYPERLINK("CSG2.html#group18D2", "18D²"), =HYPERLINK("CSG0.html#group2B0", "2B⁰"), =HYPERLINK("CSG3.html#group12N3", "12N³"), =HYPERLINK("CSG0.html#group1A0", "1A⁰"), =HYPERLINK("CSG0.html#group18C0", "18C⁰"), =HYPERLINK("CSG1.html#group18C1", "18C¹"), =HYPERLINK("CSG0.html#group3C0", "3C⁰"), =HYPERLINK("CSG4.html#group18E4", "18E⁴"), =HYPERLINK("CSG0.html#group6H0", "6H⁰"), =HYPERLINK("CSG1.html#group6E1", "6E¹"), =HYPERLINK("CSG0.html#group3B0", "3B⁰"), =HYPERLINK("CSG0.html#group18B0", "18B⁰"), =HYPERLINK("CSG10.html#group18E10", "18E¹⁰"), =HYPERLINK("CSG1.html#group18J1", "18J¹"), =HYPERLINK("CSG4.html#group18H4", "18H⁴"), =HYPERLINK("CSG0.html#group18E0", "18E⁰"), =HYPERLINK("CSG0.html#group6A0", "6A⁰"), =HYPERLINK("CSG1.html#group9A1", "9A¹"), =HYPERLINK("CSG1.html#group9C1", "9C¹"), =HYPERLINK("CSG0.html#group3D0", "3D⁰"), =HYPERLINK("CSG0.html#group2C0", "2C⁰"), =HYPERLINK("CSG0.html#group6D0", "6D⁰"), =HYPERLINK("CSG0.html#group2A0", "2A⁰"), =HYPERLINK("CSG1.html#group18D1", "18D¹"), =HYPERLINK("CSG2.html#group18E2", "18E²"), =HYPERLINK("CSG0.html#group6G0", "6G⁰"), =HYPERLINK("CSG8.html#group36I8", "36I⁸"), =HYPERLINK("CSG4.html#group18F4", "18F⁴"), =HYPERLINK("CSG0.html#group9C0", "9C⁰"), =HYPERLINK("CSG4.html#group18G4", "18G⁴"), =HYPERLINK("CSG1.html#group6B1", "6B¹"), =HYPERLINK("CSG2.html#group18C2", "18C²"), =HYPERLINK("CSG0.html#group6K0", "6K⁰"), =HYPERLINK("CSG1.html#group6A1", "6A¹"), =HYPERLINK("CSG0.html#group3A0", "3A⁰"), =HYPERLINK("CSG0.html#group6F0", "6F⁰"), =HYPERLINK("CSG1.html#group12U1", "12U¹"), =HYPERLINK("CSG0.html#group6B0", "6B⁰"), =HYPERLINK("CSG0.html#group6I0", "6I⁰"), =HYPERLINK("CSG1.html#group18K1", "18K¹"), =HYPERLINK("CSG1.html#group6F1", "6F¹"), =HYPERLINK("CSG0.html#group6C0", "6C⁰"), =HYPERLINK("CSG0.html#group9B0", "9B⁰"), =HYPERLINK("CSG2.html#group18B2", "18B²"), =HYPERLINK("CSG1.html#group6D1", "6D¹"), =HYPERLINK("CSG8.html#group36H8", "36H⁸"), =HYPERLINK("CSG0.html#group6E0", "6E⁰"), =HYPERLINK("CSG0.html#group6L0", "6L⁰"), =HYPERLINK("CSG0.html#group6J0", "6J⁰"), =HYPERLINK("CSG4.html#group18D4", "18D⁴"), =HYPERLINK("CSG4.html#group18M4", "18M⁴"), =HYPERLINK("CSG3.html#group36J3", "36J³"), =HYPERLINK("CSG4.html#group18C4", "18C⁴")</f>
        <v/>
      </c>
      <c r="N7115" t="inlineStr"/>
    </row>
    <row r="7116">
      <c r="A7116" t="inlineStr">
        <is>
          <t>36L²²</t>
        </is>
      </c>
      <c r="B7116" t="inlineStr"/>
      <c r="C7116" t="inlineStr">
        <is>
          <t>432</t>
        </is>
      </c>
      <c r="D7116" t="inlineStr">
        <is>
          <t>1</t>
        </is>
      </c>
      <c r="E7116" t="inlineStr">
        <is>
          <t>24</t>
        </is>
      </c>
      <c r="F7116" t="inlineStr">
        <is>
          <t>0</t>
        </is>
      </c>
      <c r="G7116" t="inlineStr">
        <is>
          <t>0</t>
        </is>
      </c>
      <c r="H7116" t="inlineStr">
        <is>
          <t>3⁶, 6³, 9⁶, 12⁶, 18³, 36⁶</t>
        </is>
      </c>
      <c r="I7116" t="n">
        <v>30</v>
      </c>
      <c r="J7116" t="inlineStr">
        <is>
          <t>1⁸, 2⁶, 4¹</t>
        </is>
      </c>
      <c r="K7116">
        <f>HYPERLINK("CSG3.html#group12O3", "12O³"), =HYPERLINK("CSG3.html#group36K3", "36K³"), =HYPERLINK("CSG8.html#group36J8", "36J⁸"), =HYPERLINK("CSG8.html#group36K8", "36K⁸"), =HYPERLINK("CSG10.html#group36Q10", "36Q¹⁰")</f>
        <v/>
      </c>
      <c r="L7116" t="inlineStr"/>
      <c r="M7116">
        <f>HYPERLINK("CSG1.html#group12K1", "12K¹"), =HYPERLINK("CSG2.html#group18E2", "18E²"), =HYPERLINK("CSG0.html#group12J0", "12J⁰"), =HYPERLINK("CSG0.html#group6G0", "6G⁰"), =HYPERLINK("CSG1.html#group12S1", "12S¹"), =HYPERLINK("CSG0.html#group2B0", "2B⁰"), =HYPERLINK("CSG2.html#group18D2", "18D²"), =HYPERLINK("CSG0.html#group9C0", "9C⁰"), =HYPERLINK("CSG0.html#group4B0", "4B⁰"), =HYPERLINK("CSG0.html#group1A0", "1A⁰"), =HYPERLINK("CSG8.html#group36K8", "36K⁸"), =HYPERLINK("CSG0.html#group6D0", "6D⁰"), =HYPERLINK("CSG0.html#group3C0", "3C⁰"), =HYPERLINK("CSG0.html#group6K0", "6K⁰"), =HYPERLINK("CSG1.html#group12B1", "12B¹"), =HYPERLINK("CSG0.html#group3A0", "3A⁰"), =HYPERLINK("CSG0.html#group6F0", "6F⁰"), =HYPERLINK("CSG8.html#group36J8", "36J⁸"), =HYPERLINK("CSG3.html#group12O3", "12O³"), =HYPERLINK("CSG0.html#group3B0", "3B⁰"), =HYPERLINK("CSG10.html#group36Q10", "36Q¹⁰"), =HYPERLINK("CSG4.html#group36G4", "36G⁴"), =HYPERLINK("CSG0.html#group9B0", "9B⁰"), =HYPERLINK("CSG4.html#group36F4", "36F⁴"), =HYPERLINK("CSG0.html#group12G0", "12G⁰"), =HYPERLINK("CSG0.html#group18E0", "18E⁰"), =HYPERLINK("CSG1.html#group9A1", "9A¹"), =HYPERLINK("CSG1.html#group9C1", "9C¹"), =HYPERLINK("CSG3.html#group36K3", "36K³"), =HYPERLINK("CSG0.html#group12D0", "12D⁰"), =HYPERLINK("CSG1.html#group36C1", "36C¹"), =HYPERLINK("CSG4.html#group18M4", "18M⁴"), =HYPERLINK("CSG0.html#group3D0", "3D⁰"), =HYPERLINK("CSG0.html#group12E0", "12E⁰")</f>
        <v/>
      </c>
      <c r="N7116" t="inlineStr"/>
    </row>
    <row r="7117">
      <c r="A7117" t="inlineStr">
        <is>
          <t>36M²²</t>
        </is>
      </c>
      <c r="B7117" t="inlineStr"/>
      <c r="C7117" t="inlineStr">
        <is>
          <t>432</t>
        </is>
      </c>
      <c r="D7117" t="inlineStr">
        <is>
          <t>1</t>
        </is>
      </c>
      <c r="E7117" t="inlineStr">
        <is>
          <t>24</t>
        </is>
      </c>
      <c r="F7117" t="inlineStr">
        <is>
          <t>0</t>
        </is>
      </c>
      <c r="G7117" t="inlineStr">
        <is>
          <t>18</t>
        </is>
      </c>
      <c r="H7117" t="inlineStr">
        <is>
          <t>12⁹, 36⁹</t>
        </is>
      </c>
      <c r="I7117" t="n">
        <v>18</v>
      </c>
      <c r="J7117" t="inlineStr">
        <is>
          <t>2⁶, 6²</t>
        </is>
      </c>
      <c r="K7117">
        <f>HYPERLINK("CSG4.html#group36S4", "36S⁴"), =HYPERLINK("CSG6.html#group36J6", "36J⁶"), =HYPERLINK("CSG6.html#group36K6", "36K⁶"), =HYPERLINK("CSG7.html#group18P7", "18P⁷")</f>
        <v/>
      </c>
      <c r="L7117" t="inlineStr"/>
      <c r="M7117">
        <f>HYPERLINK("CSG0.html#group3B0", "3B⁰"), =HYPERLINK("CSG0.html#group2A0", "2A⁰"), =HYPERLINK("CSG0.html#group9J0", "9J⁰"), =HYPERLINK("CSG0.html#group18B0", "18B⁰"), =HYPERLINK("CSG1.html#group18K1", "18K¹"), =HYPERLINK("CSG1.html#group18D1", "18D¹"), =HYPERLINK("CSG0.html#group6C0", "6C⁰"), =HYPERLINK("CSG2.html#group18O2", "18O²"), =HYPERLINK("CSG0.html#group9C0", "9C⁰"), =HYPERLINK("CSG0.html#group1A0", "1A⁰"), =HYPERLINK("CSG6.html#group36J6", "36J⁶"), =HYPERLINK("CSG0.html#group18C0", "18C⁰"), =HYPERLINK("CSG4.html#group36S4", "36S⁴"), =HYPERLINK("CSG0.html#group6A0", "6A⁰"), =HYPERLINK("CSG2.html#group18N2", "18N²"), =HYPERLINK("CSG1.html#group36B1", "36B¹"), =HYPERLINK("CSG6.html#group36K6", "36K⁶"), =HYPERLINK("CSG0.html#group6J0", "6J⁰"), =HYPERLINK("CSG7.html#group18P7", "18P⁷"), =HYPERLINK("CSG2.html#group36A2", "36A²"), =HYPERLINK("CSG1.html#group12O1", "12O¹"), =HYPERLINK("CSG0.html#group36A0", "36A⁰"), =HYPERLINK("CSG0.html#group12B0", "12B⁰")</f>
        <v/>
      </c>
      <c r="N7117" t="inlineStr"/>
    </row>
    <row r="7118">
      <c r="A7118" t="inlineStr">
        <is>
          <t>36N²²</t>
        </is>
      </c>
      <c r="B7118" t="inlineStr"/>
      <c r="C7118" t="inlineStr">
        <is>
          <t>432</t>
        </is>
      </c>
      <c r="D7118" t="inlineStr">
        <is>
          <t>1</t>
        </is>
      </c>
      <c r="E7118" t="inlineStr">
        <is>
          <t>36</t>
        </is>
      </c>
      <c r="F7118" t="inlineStr">
        <is>
          <t>0</t>
        </is>
      </c>
      <c r="G7118" t="inlineStr">
        <is>
          <t>0</t>
        </is>
      </c>
      <c r="H7118" t="inlineStr">
        <is>
          <t>6¹², 12³, 18¹², 36³</t>
        </is>
      </c>
      <c r="I7118" t="n">
        <v>30</v>
      </c>
      <c r="J7118" t="inlineStr">
        <is>
          <t>1⁶, 2⁶, 6³</t>
        </is>
      </c>
      <c r="K7118">
        <f>HYPERLINK("CSG8.html#group36H8", "36H⁸"), =HYPERLINK("CSG10.html#group18G10", "18G¹⁰")</f>
        <v/>
      </c>
      <c r="L7118" t="inlineStr"/>
      <c r="M7118">
        <f>HYPERLINK("CSG0.html#group3B0", "3B⁰"), =HYPERLINK("CSG0.html#group2A0", "2A⁰"), =HYPERLINK("CSG4.html#group18C4", "18C⁴"), =HYPERLINK("CSG0.html#group9J0", "9J⁰"), =HYPERLINK("CSG0.html#group18B0", "18B⁰"), =HYPERLINK("CSG10.html#group18G10", "18G¹⁰"), =HYPERLINK("CSG0.html#group6I0", "6I⁰"), =HYPERLINK("CSG0.html#group6C0", "6C⁰"), =HYPERLINK("CSG0.html#group12I0", "12I⁰"), =HYPERLINK("CSG2.html#group18D2", "18D²"), =HYPERLINK("CSG0.html#group2B0", "2B⁰"), =HYPERLINK("CSG0.html#group9C0", "9C⁰"), =HYPERLINK("CSG2.html#group18O2", "18O²"), =HYPERLINK("CSG0.html#group1A0", "1A⁰"), =HYPERLINK("CSG4.html#group18P4", "18P⁴"), =HYPERLINK("CSG8.html#group36H8", "36H⁸"), =HYPERLINK("CSG2.html#group18N2", "18N²"), =HYPERLINK("CSG0.html#group6F0", "6F⁰"), =HYPERLINK("CSG0.html#group2C0", "2C⁰"), =HYPERLINK("CSG2.html#group18C2", "18C²")</f>
        <v/>
      </c>
      <c r="N7118" t="inlineStr"/>
    </row>
    <row r="7119">
      <c r="A7119" t="inlineStr">
        <is>
          <t>36O²²</t>
        </is>
      </c>
      <c r="B7119" t="inlineStr"/>
      <c r="C7119" t="inlineStr">
        <is>
          <t>432</t>
        </is>
      </c>
      <c r="D7119" t="inlineStr">
        <is>
          <t>1</t>
        </is>
      </c>
      <c r="E7119" t="inlineStr">
        <is>
          <t>36</t>
        </is>
      </c>
      <c r="F7119" t="inlineStr">
        <is>
          <t>0</t>
        </is>
      </c>
      <c r="G7119" t="inlineStr">
        <is>
          <t>0</t>
        </is>
      </c>
      <c r="H7119" t="inlineStr">
        <is>
          <t>6¹², 12³, 18¹², 36³</t>
        </is>
      </c>
      <c r="I7119" t="n">
        <v>30</v>
      </c>
      <c r="J7119" t="inlineStr">
        <is>
          <t>1⁶, 2⁶, 6³</t>
        </is>
      </c>
      <c r="K7119">
        <f>HYPERLINK("CSG8.html#group36I8", "36I⁸"), =HYPERLINK("CSG10.html#group18H10", "18H¹⁰")</f>
        <v/>
      </c>
      <c r="L7119" t="inlineStr"/>
      <c r="M7119">
        <f>HYPERLINK("CSG0.html#group3B0", "3B⁰"), =HYPERLINK("CSG0.html#group2A0", "2A⁰"), =HYPERLINK("CSG0.html#group6I0", "6I⁰"), =HYPERLINK("CSG0.html#group6C0", "6C⁰"), =HYPERLINK("CSG0.html#group12I0", "12I⁰"), =HYPERLINK("CSG2.html#group18E2", "18E²"), =HYPERLINK("CSG8.html#group36I8", "36I⁸"), =HYPERLINK("CSG0.html#group2B0", "2B⁰"), =HYPERLINK("CSG0.html#group1A0", "1A⁰"), =HYPERLINK("CSG2.html#group18B2", "18B²"), =HYPERLINK("CSG4.html#group18J4", "18J⁴"), =HYPERLINK("CSG10.html#group18H10", "18H¹⁰"), =HYPERLINK("CSG1.html#group9A1", "9A¹"), =HYPERLINK("CSG4.html#group18Q4", "18Q⁴"), =HYPERLINK("CSG4.html#group18D4", "18D⁴"), =HYPERLINK("CSG4.html#group18I4", "18I⁴"), =HYPERLINK("CSG1.html#group9D1", "9D¹"), =HYPERLINK("CSG0.html#group6F0", "6F⁰"), =HYPERLINK("CSG0.html#group2C0", "2C⁰"), =HYPERLINK("CSG1.html#group18D1", "18D¹")</f>
        <v/>
      </c>
      <c r="N7119" t="inlineStr"/>
    </row>
    <row r="7120">
      <c r="A7120" t="inlineStr">
        <is>
          <t>36P²²</t>
        </is>
      </c>
      <c r="B7120" t="inlineStr"/>
      <c r="C7120" t="inlineStr">
        <is>
          <t>432</t>
        </is>
      </c>
      <c r="D7120" t="inlineStr">
        <is>
          <t>1</t>
        </is>
      </c>
      <c r="E7120" t="inlineStr">
        <is>
          <t>72</t>
        </is>
      </c>
      <c r="F7120" t="inlineStr">
        <is>
          <t>0</t>
        </is>
      </c>
      <c r="G7120" t="inlineStr">
        <is>
          <t>0</t>
        </is>
      </c>
      <c r="H7120" t="inlineStr">
        <is>
          <t>3⁶, 6³, 9⁶, 12⁶, 18³, 36⁶</t>
        </is>
      </c>
      <c r="I7120" t="n">
        <v>30</v>
      </c>
      <c r="J7120" t="inlineStr">
        <is>
          <t>1⁸, 2¹⁰, 4², 6⁴, 12¹</t>
        </is>
      </c>
      <c r="K7120">
        <f>HYPERLINK("CSG8.html#group36J8", "36J⁸"), =HYPERLINK("CSG10.html#group36R10", "36R¹⁰")</f>
        <v/>
      </c>
      <c r="L7120" t="inlineStr"/>
      <c r="M7120">
        <f>HYPERLINK("CSG0.html#group3B0", "3B⁰"), =HYPERLINK("CSG4.html#group18P4", "18P⁴"), =HYPERLINK("CSG0.html#group9J0", "9J⁰"), =HYPERLINK("CSG10.html#group36R10", "36R¹⁰"), =HYPERLINK("CSG0.html#group6F0", "6F⁰"), =HYPERLINK("CSG0.html#group12J0", "12J⁰"), =HYPERLINK("CSG2.html#group18D2", "18D²"), =HYPERLINK("CSG4.html#group36F4", "36F⁴"), =HYPERLINK("CSG0.html#group2B0", "2B⁰"), =HYPERLINK("CSG0.html#group9C0", "9C⁰"), =HYPERLINK("CSG0.html#group4B0", "4B⁰"), =HYPERLINK("CSG0.html#group1A0", "1A⁰"), =HYPERLINK("CSG0.html#group12E0", "12E⁰"), =HYPERLINK("CSG8.html#group36J8", "36J⁸")</f>
        <v/>
      </c>
      <c r="N7120" t="inlineStr"/>
    </row>
    <row r="7121">
      <c r="A7121" t="inlineStr">
        <is>
          <t>36Q²²</t>
        </is>
      </c>
      <c r="B7121" t="inlineStr"/>
      <c r="C7121" t="inlineStr">
        <is>
          <t>432</t>
        </is>
      </c>
      <c r="D7121" t="inlineStr">
        <is>
          <t>1</t>
        </is>
      </c>
      <c r="E7121" t="inlineStr">
        <is>
          <t>72</t>
        </is>
      </c>
      <c r="F7121" t="inlineStr">
        <is>
          <t>0</t>
        </is>
      </c>
      <c r="G7121" t="inlineStr">
        <is>
          <t>0</t>
        </is>
      </c>
      <c r="H7121" t="inlineStr">
        <is>
          <t>3⁶, 6³, 9⁶, 12⁶, 18³, 36⁶</t>
        </is>
      </c>
      <c r="I7121" t="n">
        <v>30</v>
      </c>
      <c r="J7121" t="inlineStr">
        <is>
          <t>1⁸, 2¹⁰, 4², 6⁴, 12¹</t>
        </is>
      </c>
      <c r="K7121">
        <f>HYPERLINK("CSG8.html#group36K8", "36K⁸"), =HYPERLINK("CSG10.html#group36S10", "36S¹⁰")</f>
        <v/>
      </c>
      <c r="L7121" t="inlineStr"/>
      <c r="M7121">
        <f>HYPERLINK("CSG0.html#group3B0", "3B⁰"), =HYPERLINK("CSG8.html#group36K8", "36K⁸"), =HYPERLINK("CSG1.html#group9A1", "9A¹"), =HYPERLINK("CSG2.html#group18E2", "18E²"), =HYPERLINK("CSG0.html#group6F0", "6F⁰"), =HYPERLINK("CSG0.html#group12J0", "12J⁰"), =HYPERLINK("CSG4.html#group36G4", "36G⁴"), =HYPERLINK("CSG4.html#group18Q4", "18Q⁴"), =HYPERLINK("CSG0.html#group2B0", "2B⁰"), =HYPERLINK("CSG10.html#group36S10", "36S¹⁰"), =HYPERLINK("CSG0.html#group4B0", "4B⁰"), =HYPERLINK("CSG1.html#group9D1", "9D¹"), =HYPERLINK("CSG0.html#group1A0", "1A⁰"), =HYPERLINK("CSG0.html#group12E0", "12E⁰")</f>
        <v/>
      </c>
      <c r="N7121" t="inlineStr"/>
    </row>
    <row r="7122">
      <c r="A7122" t="inlineStr">
        <is>
          <t>38A²²</t>
        </is>
      </c>
      <c r="B7122" t="inlineStr"/>
      <c r="C7122" t="inlineStr">
        <is>
          <t>342</t>
        </is>
      </c>
      <c r="D7122" t="inlineStr">
        <is>
          <t>2</t>
        </is>
      </c>
      <c r="E7122" t="inlineStr">
        <is>
          <t>171</t>
        </is>
      </c>
      <c r="F7122" t="inlineStr">
        <is>
          <t>12</t>
        </is>
      </c>
      <c r="G7122" t="inlineStr">
        <is>
          <t>0</t>
        </is>
      </c>
      <c r="H7122" t="inlineStr">
        <is>
          <t>38⁹</t>
        </is>
      </c>
      <c r="I7122" t="n">
        <v>9</v>
      </c>
      <c r="J7122" t="inlineStr">
        <is>
          <t>18¹⁹</t>
        </is>
      </c>
      <c r="K7122">
        <f>HYPERLINK("CSG8.html#group19A8", "19A⁸")</f>
        <v/>
      </c>
      <c r="L7122" t="inlineStr"/>
      <c r="M7122">
        <f>HYPERLINK("CSG0.html#group1A0", "1A⁰"), =HYPERLINK("CSG8.html#group19A8", "19A⁸")</f>
        <v/>
      </c>
      <c r="N7122" t="inlineStr"/>
    </row>
    <row r="7123">
      <c r="A7123" t="inlineStr">
        <is>
          <t>38B²²</t>
        </is>
      </c>
      <c r="B7123" t="inlineStr"/>
      <c r="C7123" t="inlineStr">
        <is>
          <t>360</t>
        </is>
      </c>
      <c r="D7123" t="inlineStr">
        <is>
          <t>1</t>
        </is>
      </c>
      <c r="E7123" t="inlineStr">
        <is>
          <t>20</t>
        </is>
      </c>
      <c r="F7123" t="inlineStr">
        <is>
          <t>0</t>
        </is>
      </c>
      <c r="G7123" t="inlineStr">
        <is>
          <t>0</t>
        </is>
      </c>
      <c r="H7123" t="inlineStr">
        <is>
          <t>2⁹, 38⁹</t>
        </is>
      </c>
      <c r="I7123" t="n">
        <v>18</v>
      </c>
      <c r="J7123" t="inlineStr">
        <is>
          <t>1², 18¹</t>
        </is>
      </c>
      <c r="K7123">
        <f>HYPERLINK("CSG4.html#group38B4", "38B⁴"), =HYPERLINK("CSG7.html#group19A7", "19A⁷")</f>
        <v/>
      </c>
      <c r="L7123" t="inlineStr"/>
      <c r="M7123">
        <f>HYPERLINK("CSG1.html#group19A1", "19A¹"), =HYPERLINK("CSG4.html#group38B4", "38B⁴"), =HYPERLINK("CSG0.html#group2A0", "2A⁰"), =HYPERLINK("CSG1.html#group19B1", "19B¹"), =HYPERLINK("CSG2.html#group38A2", "38A²"), =HYPERLINK("CSG0.html#group1A0", "1A⁰"), =HYPERLINK("CSG7.html#group19A7", "19A⁷")</f>
        <v/>
      </c>
      <c r="N7123" t="inlineStr"/>
    </row>
    <row r="7124">
      <c r="A7124" t="inlineStr">
        <is>
          <t>38C²²</t>
        </is>
      </c>
      <c r="B7124" t="inlineStr"/>
      <c r="C7124" t="inlineStr">
        <is>
          <t>360</t>
        </is>
      </c>
      <c r="D7124" t="inlineStr">
        <is>
          <t>1</t>
        </is>
      </c>
      <c r="E7124" t="inlineStr">
        <is>
          <t>20</t>
        </is>
      </c>
      <c r="F7124" t="inlineStr">
        <is>
          <t>0</t>
        </is>
      </c>
      <c r="G7124" t="inlineStr">
        <is>
          <t>0</t>
        </is>
      </c>
      <c r="H7124" t="inlineStr">
        <is>
          <t>2⁹, 38⁹</t>
        </is>
      </c>
      <c r="I7124" t="n">
        <v>18</v>
      </c>
      <c r="J7124" t="inlineStr">
        <is>
          <t>1², 18¹</t>
        </is>
      </c>
      <c r="K7124">
        <f>HYPERLINK("CSG4.html#group38B4", "38B⁴"), =HYPERLINK("CSG8.html#group38A8", "38A⁸"), =HYPERLINK("CSG8.html#group38B8", "38B⁸"), =HYPERLINK("CSG10.html#group38A10", "38A¹⁰")</f>
        <v/>
      </c>
      <c r="L7124" t="inlineStr"/>
      <c r="M7124">
        <f>HYPERLINK("CSG0.html#group2A0", "2A⁰"), =HYPERLINK("CSG1.html#group19A1", "19A¹"), =HYPERLINK("CSG8.html#group38A8", "38A⁸"), =HYPERLINK("CSG2.html#group38A2", "38A²"), =HYPERLINK("CSG0.html#group2C0", "2C⁰"), =HYPERLINK("CSG4.html#group38A4", "38A⁴"), =HYPERLINK("CSG4.html#group38B4", "38B⁴"), =HYPERLINK("CSG0.html#group2B0", "2B⁰"), =HYPERLINK("CSG1.html#group19B1", "19B¹"), =HYPERLINK("CSG8.html#group38B8", "38B⁸"), =HYPERLINK("CSG0.html#group1A0", "1A⁰"), =HYPERLINK("CSG10.html#group38A10", "38A¹⁰")</f>
        <v/>
      </c>
      <c r="N7124" t="inlineStr"/>
    </row>
    <row r="7125">
      <c r="A7125" t="inlineStr">
        <is>
          <t>38D²²</t>
        </is>
      </c>
      <c r="B7125" t="inlineStr"/>
      <c r="C7125" t="inlineStr">
        <is>
          <t>380</t>
        </is>
      </c>
      <c r="D7125" t="inlineStr">
        <is>
          <t>1</t>
        </is>
      </c>
      <c r="E7125" t="inlineStr">
        <is>
          <t>190</t>
        </is>
      </c>
      <c r="F7125" t="inlineStr">
        <is>
          <t>20</t>
        </is>
      </c>
      <c r="G7125" t="inlineStr">
        <is>
          <t>2</t>
        </is>
      </c>
      <c r="H7125" t="inlineStr">
        <is>
          <t>38¹⁰</t>
        </is>
      </c>
      <c r="I7125" t="n">
        <v>10</v>
      </c>
      <c r="J7125" t="inlineStr">
        <is>
          <t>1¹, 9¹, 18¹⁰</t>
        </is>
      </c>
      <c r="K7125">
        <f>HYPERLINK("CSG9.html#group19A9", "19A⁹")</f>
        <v/>
      </c>
      <c r="L7125" t="inlineStr"/>
      <c r="M7125">
        <f>HYPERLINK("CSG0.html#group1A0", "1A⁰"), =HYPERLINK("CSG9.html#group19A9", "19A⁹")</f>
        <v/>
      </c>
      <c r="N7125" t="inlineStr"/>
    </row>
    <row r="7126">
      <c r="A7126" t="inlineStr">
        <is>
          <t>40A²²</t>
        </is>
      </c>
      <c r="B7126" t="inlineStr"/>
      <c r="C7126" t="inlineStr">
        <is>
          <t>360</t>
        </is>
      </c>
      <c r="D7126" t="inlineStr">
        <is>
          <t>1</t>
        </is>
      </c>
      <c r="E7126" t="inlineStr">
        <is>
          <t>15</t>
        </is>
      </c>
      <c r="F7126" t="inlineStr">
        <is>
          <t>0</t>
        </is>
      </c>
      <c r="G7126" t="inlineStr">
        <is>
          <t>0</t>
        </is>
      </c>
      <c r="H7126" t="inlineStr">
        <is>
          <t>10¹², 40⁶</t>
        </is>
      </c>
      <c r="I7126" t="n">
        <v>18</v>
      </c>
      <c r="J7126" t="inlineStr">
        <is>
          <t>1³, 4³</t>
        </is>
      </c>
      <c r="K7126">
        <f>HYPERLINK("CSG8.html#group40A8", "40A⁸"), =HYPERLINK("CSG10.html#group20A10", "20A¹⁰"), =HYPERLINK("CSG10.html#group40D10", "40D¹⁰"), =HYPERLINK("CSG10.html#group40E10", "40E¹⁰")</f>
        <v/>
      </c>
      <c r="L7126" t="inlineStr"/>
      <c r="M7126">
        <f>HYPERLINK("CSG4.html#group20D4", "20D⁴"), =HYPERLINK("CSG0.html#group2A0", "2A⁰"), =HYPERLINK("CSG0.html#group5A0", "5A⁰"), =HYPERLINK("CSG2.html#group10A2", "10A²"), =HYPERLINK("CSG4.html#group20E4", "20E⁴"), =HYPERLINK("CSG0.html#group4C0", "4C⁰"), =HYPERLINK("CSG8.html#group40A8", "40A⁸"), =HYPERLINK("CSG0.html#group2B0", "2B⁰"), =HYPERLINK("CSG0.html#group8C0", "8C⁰"), =HYPERLINK("CSG0.html#group4E0", "4E⁰"), =HYPERLINK("CSG0.html#group4B0", "4B⁰"), =HYPERLINK("CSG0.html#group1A0", "1A⁰"), =HYPERLINK("CSG10.html#group20A10", "20A¹⁰"), =HYPERLINK("CSG4.html#group40C4", "40C⁴"), =HYPERLINK("CSG10.html#group40E10", "40E¹⁰"), =HYPERLINK("CSG0.html#group10A0", "10A⁰"), =HYPERLINK("CSG1.html#group10I1", "10I¹"), =HYPERLINK("CSG0.html#group8G0", "8G⁰"), =HYPERLINK("CSG2.html#group20A2", "20A²"), =HYPERLINK("CSG4.html#group10A4", "10A⁴"), =HYPERLINK("CSG0.html#group8D0", "8D⁰"), =HYPERLINK("CSG1.html#group10B1", "10B¹"), =HYPERLINK("CSG2.html#group20B2", "20B²"), =HYPERLINK("CSG2.html#group10B2", "10B²"), =HYPERLINK("CSG4.html#group40B4", "40B⁴"), =HYPERLINK("CSG0.html#group10E0", "10E⁰"), =HYPERLINK("CSG4.html#group20A4", "20A⁴"), =HYPERLINK("CSG0.html#group5E0", "5E⁰"), =HYPERLINK("CSG10.html#group40D10", "40D¹⁰"), =HYPERLINK("CSG0.html#group2C0", "2C⁰")</f>
        <v/>
      </c>
      <c r="N7126" t="inlineStr"/>
    </row>
    <row r="7127">
      <c r="A7127" t="inlineStr">
        <is>
          <t>40B²²</t>
        </is>
      </c>
      <c r="B7127" t="inlineStr"/>
      <c r="C7127" t="inlineStr">
        <is>
          <t>360</t>
        </is>
      </c>
      <c r="D7127" t="inlineStr">
        <is>
          <t>1</t>
        </is>
      </c>
      <c r="E7127" t="inlineStr">
        <is>
          <t>30</t>
        </is>
      </c>
      <c r="F7127" t="inlineStr">
        <is>
          <t>12</t>
        </is>
      </c>
      <c r="G7127" t="inlineStr">
        <is>
          <t>0</t>
        </is>
      </c>
      <c r="H7127" t="inlineStr">
        <is>
          <t>20⁶, 40⁶</t>
        </is>
      </c>
      <c r="I7127" t="n">
        <v>12</v>
      </c>
      <c r="J7127" t="inlineStr">
        <is>
          <t>1², 2², 4², 8²</t>
        </is>
      </c>
      <c r="K7127">
        <f>HYPERLINK("CSG8.html#group40B8", "40B⁸"), =HYPERLINK("CSG10.html#group20B10", "20B¹⁰"), =HYPERLINK("CSG10.html#group40C10", "40C¹⁰"), =HYPERLINK("CSG10.html#group40E10", "40E¹⁰")</f>
        <v/>
      </c>
      <c r="L7127" t="inlineStr"/>
      <c r="M7127">
        <f>HYPERLINK("CSG8.html#group40B8", "40B⁸"), =HYPERLINK("CSG0.html#group5A0", "5A⁰"), =HYPERLINK("CSG4.html#group40A4", "40A⁴"), =HYPERLINK("CSG4.html#group20E4", "20E⁴"), =HYPERLINK("CSG0.html#group8D0", "8D⁰"), =HYPERLINK("CSG1.html#group10B1", "10B¹"), =HYPERLINK("CSG2.html#group20B2", "20B²"), =HYPERLINK("CSG0.html#group4C0", "4C⁰"), =HYPERLINK("CSG0.html#group8B0", "8B⁰"), =HYPERLINK("CSG1.html#group20A1", "20A¹"), =HYPERLINK("CSG4.html#group20C4", "20C⁴"), =HYPERLINK("CSG0.html#group2B0", "2B⁰"), =HYPERLINK("CSG0.html#group1A0", "1A⁰"), =HYPERLINK("CSG0.html#group8H0", "8H⁰"), =HYPERLINK("CSG4.html#group40C4", "40C⁴"), =HYPERLINK("CSG10.html#group40E10", "40E¹⁰"), =HYPERLINK("CSG1.html#group10I1", "10I¹"), =HYPERLINK("CSG10.html#group40C10", "40C¹⁰"), =HYPERLINK("CSG0.html#group4A0", "4A⁰"), =HYPERLINK("CSG0.html#group5E0", "5E⁰"), =HYPERLINK("CSG0.html#group4F0", "4F⁰"), =HYPERLINK("CSG10.html#group20B10", "20B¹⁰"), =HYPERLINK("CSG3.html#group20D3", "20D³")</f>
        <v/>
      </c>
      <c r="N7127" t="inlineStr"/>
    </row>
    <row r="7128">
      <c r="A7128" t="inlineStr">
        <is>
          <t>40C²²</t>
        </is>
      </c>
      <c r="B7128" t="inlineStr"/>
      <c r="C7128" t="inlineStr">
        <is>
          <t>360</t>
        </is>
      </c>
      <c r="D7128" t="inlineStr">
        <is>
          <t>1</t>
        </is>
      </c>
      <c r="E7128" t="inlineStr">
        <is>
          <t>45</t>
        </is>
      </c>
      <c r="F7128" t="inlineStr">
        <is>
          <t>0</t>
        </is>
      </c>
      <c r="G7128" t="inlineStr">
        <is>
          <t>0</t>
        </is>
      </c>
      <c r="H7128" t="inlineStr">
        <is>
          <t>10¹², 40⁶</t>
        </is>
      </c>
      <c r="I7128" t="n">
        <v>18</v>
      </c>
      <c r="J7128" t="inlineStr">
        <is>
          <t>1³, 2³, 4⁹</t>
        </is>
      </c>
      <c r="K7128">
        <f>HYPERLINK("CSG10.html#group20A10", "20A¹⁰"), =HYPERLINK("CSG10.html#group40F10", "40F¹⁰"), =HYPERLINK("CSG10.html#group40G10", "40G¹⁰")</f>
        <v/>
      </c>
      <c r="L7128" t="inlineStr"/>
      <c r="M7128">
        <f>HYPERLINK("CSG4.html#group20D4", "20D⁴"), =HYPERLINK("CSG0.html#group2A0", "2A⁰"), =HYPERLINK("CSG0.html#group5A0", "5A⁰"), =HYPERLINK("CSG2.html#group10A2", "10A²"), =HYPERLINK("CSG4.html#group20E4", "20E⁴"), =HYPERLINK("CSG0.html#group4C0", "4C⁰"), =HYPERLINK("CSG0.html#group2B0", "2B⁰"), =HYPERLINK("CSG0.html#group4E0", "4E⁰"), =HYPERLINK("CSG0.html#group4B0", "4B⁰"), =HYPERLINK("CSG0.html#group1A0", "1A⁰"), =HYPERLINK("CSG10.html#group20A10", "20A¹⁰"), =HYPERLINK("CSG0.html#group10A0", "10A⁰"), =HYPERLINK("CSG1.html#group10I1", "10I¹"), =HYPERLINK("CSG10.html#group40G10", "40G¹⁰"), =HYPERLINK("CSG2.html#group20A2", "20A²"), =HYPERLINK("CSG4.html#group10A4", "10A⁴"), =HYPERLINK("CSG1.html#group10B1", "10B¹"), =HYPERLINK("CSG2.html#group20B2", "20B²"), =HYPERLINK("CSG2.html#group10B2", "10B²"), =HYPERLINK("CSG0.html#group10E0", "10E⁰"), =HYPERLINK("CSG4.html#group20A4", "20A⁴"), =HYPERLINK("CSG0.html#group5E0", "5E⁰"), =HYPERLINK("CSG10.html#group40F10", "40F¹⁰"), =HYPERLINK("CSG0.html#group2C0", "2C⁰")</f>
        <v/>
      </c>
      <c r="N7128" t="inlineStr"/>
    </row>
    <row r="7129">
      <c r="A7129" t="inlineStr">
        <is>
          <t>40D²²</t>
        </is>
      </c>
      <c r="B7129" t="inlineStr"/>
      <c r="C7129" t="inlineStr">
        <is>
          <t>360</t>
        </is>
      </c>
      <c r="D7129" t="inlineStr">
        <is>
          <t>1</t>
        </is>
      </c>
      <c r="E7129" t="inlineStr">
        <is>
          <t>60</t>
        </is>
      </c>
      <c r="F7129" t="inlineStr">
        <is>
          <t>0</t>
        </is>
      </c>
      <c r="G7129" t="inlineStr">
        <is>
          <t>0</t>
        </is>
      </c>
      <c r="H7129" t="inlineStr">
        <is>
          <t>5⁶, 10³, 20³, 40⁶</t>
        </is>
      </c>
      <c r="I7129" t="n">
        <v>18</v>
      </c>
      <c r="J7129" t="inlineStr">
        <is>
          <t>1⁴, 2², 4⁵, 8², 16¹</t>
        </is>
      </c>
      <c r="K7129">
        <f>HYPERLINK("CSG8.html#group40C8", "40C⁸"), =HYPERLINK("CSG10.html#group40D10", "40D¹⁰")</f>
        <v/>
      </c>
      <c r="L7129" t="inlineStr"/>
      <c r="M7129">
        <f>HYPERLINK("CSG2.html#group20A2", "20A²"), =HYPERLINK("CSG4.html#group20D4", "20D⁴"), =HYPERLINK("CSG0.html#group5A0", "5A⁰"), =HYPERLINK("CSG1.html#group10I1", "10I¹"), =HYPERLINK("CSG1.html#group10B1", "10B¹"), =HYPERLINK("CSG0.html#group5E0", "5E⁰"), =HYPERLINK("CSG0.html#group1A0", "1A⁰"), =HYPERLINK("CSG0.html#group2B0", "2B⁰"), =HYPERLINK("CSG0.html#group8C0", "8C⁰"), =HYPERLINK("CSG0.html#group8I0", "8I⁰"), =HYPERLINK("CSG0.html#group4B0", "4B⁰"), =HYPERLINK("CSG4.html#group40B4", "40B⁴"), =HYPERLINK("CSG10.html#group40D10", "40D¹⁰"), =HYPERLINK("CSG8.html#group40C8", "40C⁸")</f>
        <v/>
      </c>
      <c r="N7129" t="inlineStr"/>
    </row>
    <row r="7130">
      <c r="A7130" t="inlineStr">
        <is>
          <t>40E²²</t>
        </is>
      </c>
      <c r="B7130" t="inlineStr"/>
      <c r="C7130" t="inlineStr">
        <is>
          <t>360</t>
        </is>
      </c>
      <c r="D7130" t="inlineStr">
        <is>
          <t>1</t>
        </is>
      </c>
      <c r="E7130" t="inlineStr">
        <is>
          <t>60</t>
        </is>
      </c>
      <c r="F7130" t="inlineStr">
        <is>
          <t>0</t>
        </is>
      </c>
      <c r="G7130" t="inlineStr">
        <is>
          <t>0</t>
        </is>
      </c>
      <c r="H7130" t="inlineStr">
        <is>
          <t>10⁶, 20⁹, 40³</t>
        </is>
      </c>
      <c r="I7130" t="n">
        <v>18</v>
      </c>
      <c r="J7130" t="inlineStr">
        <is>
          <t>1⁸, 2², 4⁸, 8²</t>
        </is>
      </c>
      <c r="K7130">
        <f>HYPERLINK("CSG8.html#group40D8", "40D⁸"), =HYPERLINK("CSG10.html#group20A10", "20A¹⁰")</f>
        <v/>
      </c>
      <c r="L7130" t="inlineStr"/>
      <c r="M7130">
        <f>HYPERLINK("CSG2.html#group20A2", "20A²"), =HYPERLINK("CSG4.html#group20D4", "20D⁴"), =HYPERLINK("CSG0.html#group2A0", "2A⁰"), =HYPERLINK("CSG0.html#group5A0", "5A⁰"), =HYPERLINK("CSG4.html#group10A4", "10A⁴"), =HYPERLINK("CSG2.html#group10A2", "10A²"), =HYPERLINK("CSG4.html#group20E4", "20E⁴"), =HYPERLINK("CSG1.html#group10B1", "10B¹"), =HYPERLINK("CSG2.html#group20B2", "20B²"), =HYPERLINK("CSG8.html#group40D8", "40D⁸"), =HYPERLINK("CSG0.html#group4C0", "4C⁰"), =HYPERLINK("CSG0.html#group2B0", "2B⁰"), =HYPERLINK("CSG0.html#group4E0", "4E⁰"), =HYPERLINK("CSG2.html#group10B2", "10B²"), =HYPERLINK("CSG0.html#group4B0", "4B⁰"), =HYPERLINK("CSG0.html#group1A0", "1A⁰"), =HYPERLINK("CSG10.html#group20A10", "20A¹⁰"), =HYPERLINK("CSG0.html#group10A0", "10A⁰"), =HYPERLINK("CSG1.html#group10I1", "10I¹"), =HYPERLINK("CSG0.html#group10E0", "10E⁰"), =HYPERLINK("CSG4.html#group20A4", "20A⁴"), =HYPERLINK("CSG0.html#group5E0", "5E⁰"), =HYPERLINK("CSG0.html#group8J0", "8J⁰"), =HYPERLINK("CSG0.html#group2C0", "2C⁰")</f>
        <v/>
      </c>
      <c r="N7130" t="inlineStr"/>
    </row>
    <row r="7131">
      <c r="A7131" t="inlineStr">
        <is>
          <t>40F²²</t>
        </is>
      </c>
      <c r="B7131" t="inlineStr"/>
      <c r="C7131" t="inlineStr">
        <is>
          <t>360</t>
        </is>
      </c>
      <c r="D7131" t="inlineStr">
        <is>
          <t>1</t>
        </is>
      </c>
      <c r="E7131" t="inlineStr">
        <is>
          <t>60</t>
        </is>
      </c>
      <c r="F7131" t="inlineStr">
        <is>
          <t>6</t>
        </is>
      </c>
      <c r="G7131" t="inlineStr">
        <is>
          <t>0</t>
        </is>
      </c>
      <c r="H7131" t="inlineStr">
        <is>
          <t>20¹², 40³</t>
        </is>
      </c>
      <c r="I7131" t="n">
        <v>15</v>
      </c>
      <c r="J7131" t="inlineStr">
        <is>
          <t>2², 4², 8², 16²</t>
        </is>
      </c>
      <c r="K7131">
        <f>HYPERLINK("CSG8.html#group40E8", "40E⁸"), =HYPERLINK("CSG10.html#group20B10", "20B¹⁰")</f>
        <v/>
      </c>
      <c r="L7131" t="inlineStr"/>
      <c r="M7131">
        <f>HYPERLINK("CSG0.html#group5A0", "5A⁰"), =HYPERLINK("CSG4.html#group20E4", "20E⁴"), =HYPERLINK("CSG1.html#group10B1", "10B¹"), =HYPERLINK("CSG2.html#group20B2", "20B²"), =HYPERLINK("CSG0.html#group4C0", "4C⁰"), =HYPERLINK("CSG1.html#group20A1", "20A¹"), =HYPERLINK("CSG4.html#group20C4", "20C⁴"), =HYPERLINK("CSG0.html#group2B0", "2B⁰"), =HYPERLINK("CSG0.html#group8K0", "8K⁰"), =HYPERLINK("CSG0.html#group1A0", "1A⁰"), =HYPERLINK("CSG8.html#group40E8", "40E⁸"), =HYPERLINK("CSG1.html#group10I1", "10I¹"), =HYPERLINK("CSG0.html#group4A0", "4A⁰"), =HYPERLINK("CSG0.html#group5E0", "5E⁰"), =HYPERLINK("CSG0.html#group4F0", "4F⁰"), =HYPERLINK("CSG10.html#group20B10", "20B¹⁰"), =HYPERLINK("CSG3.html#group20D3", "20D³")</f>
        <v/>
      </c>
      <c r="N7131" t="inlineStr"/>
    </row>
    <row r="7132">
      <c r="A7132" t="inlineStr">
        <is>
          <t>40G²²</t>
        </is>
      </c>
      <c r="B7132" t="inlineStr"/>
      <c r="C7132" t="inlineStr">
        <is>
          <t>360</t>
        </is>
      </c>
      <c r="D7132" t="inlineStr">
        <is>
          <t>1</t>
        </is>
      </c>
      <c r="E7132" t="inlineStr">
        <is>
          <t>60</t>
        </is>
      </c>
      <c r="F7132" t="inlineStr">
        <is>
          <t>12</t>
        </is>
      </c>
      <c r="G7132" t="inlineStr">
        <is>
          <t>0</t>
        </is>
      </c>
      <c r="H7132" t="inlineStr">
        <is>
          <t>20⁶, 40⁶</t>
        </is>
      </c>
      <c r="I7132" t="n">
        <v>12</v>
      </c>
      <c r="J7132" t="inlineStr">
        <is>
          <t>1⁴, 2², 4⁵, 8², 16¹</t>
        </is>
      </c>
      <c r="K7132">
        <f>HYPERLINK("CSG8.html#group40F8", "40F⁸"), =HYPERLINK("CSG10.html#group40C10", "40C¹⁰")</f>
        <v/>
      </c>
      <c r="L7132" t="inlineStr"/>
      <c r="M7132">
        <f>HYPERLINK("CSG0.html#group5A0", "5A⁰"), =HYPERLINK("CSG4.html#group40A4", "40A⁴"), =HYPERLINK("CSG4.html#group20E4", "20E⁴"), =HYPERLINK("CSG1.html#group10I1", "10I¹"), =HYPERLINK("CSG10.html#group40C10", "40C¹⁰"), =HYPERLINK("CSG1.html#group10B1", "10B¹"), =HYPERLINK("CSG2.html#group20B2", "20B²"), =HYPERLINK("CSG0.html#group4C0", "4C⁰"), =HYPERLINK("CSG0.html#group8B0", "8B⁰"), =HYPERLINK("CSG0.html#group5E0", "5E⁰"), =HYPERLINK("CSG0.html#group8L0", "8L⁰"), =HYPERLINK("CSG0.html#group2B0", "2B⁰"), =HYPERLINK("CSG0.html#group1A0", "1A⁰"), =HYPERLINK("CSG8.html#group40F8", "40F⁸")</f>
        <v/>
      </c>
      <c r="N7132" t="inlineStr"/>
    </row>
    <row r="7133">
      <c r="A7133" t="inlineStr">
        <is>
          <t>40H²²</t>
        </is>
      </c>
      <c r="B7133" t="inlineStr"/>
      <c r="C7133" t="inlineStr">
        <is>
          <t>360</t>
        </is>
      </c>
      <c r="D7133" t="inlineStr">
        <is>
          <t>1</t>
        </is>
      </c>
      <c r="E7133" t="inlineStr">
        <is>
          <t>90</t>
        </is>
      </c>
      <c r="F7133" t="inlineStr">
        <is>
          <t>0</t>
        </is>
      </c>
      <c r="G7133" t="inlineStr">
        <is>
          <t>0</t>
        </is>
      </c>
      <c r="H7133" t="inlineStr">
        <is>
          <t>10¹², 40⁶</t>
        </is>
      </c>
      <c r="I7133" t="n">
        <v>18</v>
      </c>
      <c r="J7133" t="inlineStr">
        <is>
          <t>2⁷, 4¹³, 8³</t>
        </is>
      </c>
      <c r="K7133">
        <f>HYPERLINK("CSG10.html#group20C10", "20C¹⁰"), =HYPERLINK("CSG10.html#group40F10", "40F¹⁰")</f>
        <v/>
      </c>
      <c r="L7133" t="inlineStr"/>
      <c r="M7133">
        <f>HYPERLINK("CSG2.html#group20A2", "20A²"), =HYPERLINK("CSG4.html#group20D4", "20D⁴"), =HYPERLINK("CSG3.html#group10C3", "10C³"), =HYPERLINK("CSG0.html#group5A0", "5A⁰"), =HYPERLINK("CSG1.html#group10I1", "10I¹"), =HYPERLINK("CSG10.html#group20C10", "20C¹⁰"), =HYPERLINK("CSG1.html#group10B1", "10B¹"), =HYPERLINK("CSG5.html#group20C5", "20C⁵"), =HYPERLINK("CSG1.html#group10E1", "10E¹"), =HYPERLINK("CSG0.html#group5E0", "5E⁰"), =HYPERLINK("CSG0.html#group2B0", "2B⁰"), =HYPERLINK("CSG0.html#group4B0", "4B⁰"), =HYPERLINK("CSG10.html#group40F10", "40F¹⁰"), =HYPERLINK("CSG0.html#group1A0", "1A⁰")</f>
        <v/>
      </c>
      <c r="N7133" t="inlineStr"/>
    </row>
    <row r="7134">
      <c r="A7134" t="inlineStr">
        <is>
          <t>40I²²</t>
        </is>
      </c>
      <c r="B7134" t="inlineStr"/>
      <c r="C7134" t="inlineStr">
        <is>
          <t>360</t>
        </is>
      </c>
      <c r="D7134" t="inlineStr">
        <is>
          <t>1</t>
        </is>
      </c>
      <c r="E7134" t="inlineStr">
        <is>
          <t>90</t>
        </is>
      </c>
      <c r="F7134" t="inlineStr">
        <is>
          <t>0</t>
        </is>
      </c>
      <c r="G7134" t="inlineStr">
        <is>
          <t>0</t>
        </is>
      </c>
      <c r="H7134" t="inlineStr">
        <is>
          <t>10¹², 40⁶</t>
        </is>
      </c>
      <c r="I7134" t="n">
        <v>18</v>
      </c>
      <c r="J7134" t="inlineStr">
        <is>
          <t>1⁴, 2⁵, 4¹³, 8³</t>
        </is>
      </c>
      <c r="K7134">
        <f>HYPERLINK("CSG10.html#group20C10", "20C¹⁰"), =HYPERLINK("CSG10.html#group40D10", "40D¹⁰"), =HYPERLINK("CSG10.html#group40F10", "40F¹⁰")</f>
        <v/>
      </c>
      <c r="L7134" t="inlineStr"/>
      <c r="M7134">
        <f>HYPERLINK("CSG2.html#group20A2", "20A²"), =HYPERLINK("CSG4.html#group20D4", "20D⁴"), =HYPERLINK("CSG0.html#group5A0", "5A⁰"), =HYPERLINK("CSG1.html#group10B1", "10B¹"), =HYPERLINK("CSG0.html#group2B0", "2B⁰"), =HYPERLINK("CSG0.html#group8C0", "8C⁰"), =HYPERLINK("CSG0.html#group4B0", "4B⁰"), =HYPERLINK("CSG4.html#group40B4", "40B⁴"), =HYPERLINK("CSG0.html#group1A0", "1A⁰"), =HYPERLINK("CSG1.html#group10E1", "10E¹"), =HYPERLINK("CSG3.html#group10C3", "10C³"), =HYPERLINK("CSG1.html#group10I1", "10I¹"), =HYPERLINK("CSG10.html#group20C10", "20C¹⁰"), =HYPERLINK("CSG5.html#group20C5", "20C⁵"), =HYPERLINK("CSG0.html#group5E0", "5E⁰"), =HYPERLINK("CSG10.html#group40F10", "40F¹⁰"), =HYPERLINK("CSG10.html#group40D10", "40D¹⁰")</f>
        <v/>
      </c>
      <c r="N7134" t="inlineStr"/>
    </row>
    <row r="7135">
      <c r="A7135" t="inlineStr">
        <is>
          <t>40J²²</t>
        </is>
      </c>
      <c r="B7135" t="inlineStr"/>
      <c r="C7135" t="inlineStr">
        <is>
          <t>360</t>
        </is>
      </c>
      <c r="D7135" t="inlineStr">
        <is>
          <t>1</t>
        </is>
      </c>
      <c r="E7135" t="inlineStr">
        <is>
          <t>90</t>
        </is>
      </c>
      <c r="F7135" t="inlineStr">
        <is>
          <t>12</t>
        </is>
      </c>
      <c r="G7135" t="inlineStr">
        <is>
          <t>0</t>
        </is>
      </c>
      <c r="H7135" t="inlineStr">
        <is>
          <t>20⁶, 40⁶</t>
        </is>
      </c>
      <c r="I7135" t="n">
        <v>12</v>
      </c>
      <c r="J7135" t="inlineStr">
        <is>
          <t>1², 2⁴, 4⁸, 8⁶</t>
        </is>
      </c>
      <c r="K7135">
        <f>HYPERLINK("CSG10.html#group20F10", "20F¹⁰"), =HYPERLINK("CSG10.html#group40C10", "40C¹⁰"), =HYPERLINK("CSG10.html#group40G10", "40G¹⁰")</f>
        <v/>
      </c>
      <c r="L7135" t="inlineStr"/>
      <c r="M7135">
        <f>HYPERLINK("CSG10.html#group20F10", "20F¹⁰"), =HYPERLINK("CSG0.html#group5A0", "5A⁰"), =HYPERLINK("CSG1.html#group10I1", "10I¹"), =HYPERLINK("CSG4.html#group20E4", "20E⁴"), =HYPERLINK("CSG4.html#group40A4", "40A⁴"), =HYPERLINK("CSG10.html#group40C10", "40C¹⁰"), =HYPERLINK("CSG1.html#group10B1", "10B¹"), =HYPERLINK("CSG2.html#group20B2", "20B²"), =HYPERLINK("CSG0.html#group4C0", "4C⁰"), =HYPERLINK("CSG0.html#group8B0", "8B⁰"), =HYPERLINK("CSG0.html#group5E0", "5E⁰"), =HYPERLINK("CSG0.html#group1A0", "1A⁰"), =HYPERLINK("CSG0.html#group2B0", "2B⁰"), =HYPERLINK("CSG10.html#group40G10", "40G¹⁰")</f>
        <v/>
      </c>
      <c r="N7135" t="inlineStr"/>
    </row>
    <row r="7136">
      <c r="A7136" t="inlineStr">
        <is>
          <t>40K²²</t>
        </is>
      </c>
      <c r="B7136" t="inlineStr"/>
      <c r="C7136" t="inlineStr">
        <is>
          <t>360</t>
        </is>
      </c>
      <c r="D7136" t="inlineStr">
        <is>
          <t>1</t>
        </is>
      </c>
      <c r="E7136" t="inlineStr">
        <is>
          <t>180</t>
        </is>
      </c>
      <c r="F7136" t="inlineStr">
        <is>
          <t>0</t>
        </is>
      </c>
      <c r="G7136" t="inlineStr">
        <is>
          <t>0</t>
        </is>
      </c>
      <c r="H7136" t="inlineStr">
        <is>
          <t>5⁶, 10³, 20³, 40⁶</t>
        </is>
      </c>
      <c r="I7136" t="n">
        <v>18</v>
      </c>
      <c r="J7136" t="inlineStr">
        <is>
          <t>1⁴, 2⁶, 4¹⁵, 8⁷, 16³</t>
        </is>
      </c>
      <c r="K7136">
        <f>HYPERLINK("CSG10.html#group40D10", "40D¹⁰")</f>
        <v/>
      </c>
      <c r="L7136" t="inlineStr"/>
      <c r="M7136">
        <f>HYPERLINK("CSG2.html#group20A2", "20A²"), =HYPERLINK("CSG4.html#group20D4", "20D⁴"), =HYPERLINK("CSG0.html#group5A0", "5A⁰"), =HYPERLINK("CSG1.html#group10I1", "10I¹"), =HYPERLINK("CSG1.html#group10B1", "10B¹"), =HYPERLINK("CSG0.html#group5E0", "5E⁰"), =HYPERLINK("CSG0.html#group1A0", "1A⁰"), =HYPERLINK("CSG0.html#group2B0", "2B⁰"), =HYPERLINK("CSG0.html#group8C0", "8C⁰"), =HYPERLINK("CSG0.html#group4B0", "4B⁰"), =HYPERLINK("CSG4.html#group40B4", "40B⁴"), =HYPERLINK("CSG10.html#group40D10", "40D¹⁰")</f>
        <v/>
      </c>
      <c r="N7136" t="inlineStr"/>
    </row>
    <row r="7137">
      <c r="A7137" t="inlineStr">
        <is>
          <t>40L²²</t>
        </is>
      </c>
      <c r="B7137" t="inlineStr"/>
      <c r="C7137" t="inlineStr">
        <is>
          <t>360</t>
        </is>
      </c>
      <c r="D7137" t="inlineStr">
        <is>
          <t>1</t>
        </is>
      </c>
      <c r="E7137" t="inlineStr">
        <is>
          <t>180</t>
        </is>
      </c>
      <c r="F7137" t="inlineStr">
        <is>
          <t>0</t>
        </is>
      </c>
      <c r="G7137" t="inlineStr">
        <is>
          <t>0</t>
        </is>
      </c>
      <c r="H7137" t="inlineStr">
        <is>
          <t>10⁶, 20⁹, 40³</t>
        </is>
      </c>
      <c r="I7137" t="n">
        <v>18</v>
      </c>
      <c r="J7137" t="inlineStr">
        <is>
          <t>1⁸, 2¹⁰, 4²⁶, 8⁶</t>
        </is>
      </c>
      <c r="K7137">
        <f>HYPERLINK("CSG10.html#group20A10", "20A¹⁰")</f>
        <v/>
      </c>
      <c r="L7137" t="inlineStr"/>
      <c r="M7137">
        <f>HYPERLINK("CSG2.html#group20A2", "20A²"), =HYPERLINK("CSG4.html#group20D4", "20D⁴"), =HYPERLINK("CSG0.html#group2A0", "2A⁰"), =HYPERLINK("CSG0.html#group5A0", "5A⁰"), =HYPERLINK("CSG4.html#group10A4", "10A⁴"), =HYPERLINK("CSG2.html#group10A2", "10A²"), =HYPERLINK("CSG4.html#group20E4", "20E⁴"), =HYPERLINK("CSG1.html#group10B1", "10B¹"), =HYPERLINK("CSG2.html#group20B2", "20B²"), =HYPERLINK("CSG0.html#group4C0", "4C⁰"), =HYPERLINK("CSG0.html#group2B0", "2B⁰"), =HYPERLINK("CSG0.html#group4E0", "4E⁰"), =HYPERLINK("CSG2.html#group10B2", "10B²"), =HYPERLINK("CSG0.html#group4B0", "4B⁰"), =HYPERLINK("CSG0.html#group1A0", "1A⁰"), =HYPERLINK("CSG10.html#group20A10", "20A¹⁰"), =HYPERLINK("CSG0.html#group10A0", "10A⁰"), =HYPERLINK("CSG1.html#group10I1", "10I¹"), =HYPERLINK("CSG0.html#group10E0", "10E⁰"), =HYPERLINK("CSG4.html#group20A4", "20A⁴"), =HYPERLINK("CSG0.html#group5E0", "5E⁰"), =HYPERLINK("CSG0.html#group2C0", "2C⁰")</f>
        <v/>
      </c>
      <c r="N7137" t="inlineStr"/>
    </row>
    <row r="7138">
      <c r="A7138" t="inlineStr">
        <is>
          <t>40M²²</t>
        </is>
      </c>
      <c r="B7138" t="inlineStr"/>
      <c r="C7138" t="inlineStr">
        <is>
          <t>360</t>
        </is>
      </c>
      <c r="D7138" t="inlineStr">
        <is>
          <t>1</t>
        </is>
      </c>
      <c r="E7138" t="inlineStr">
        <is>
          <t>180</t>
        </is>
      </c>
      <c r="F7138" t="inlineStr">
        <is>
          <t>6</t>
        </is>
      </c>
      <c r="G7138" t="inlineStr">
        <is>
          <t>0</t>
        </is>
      </c>
      <c r="H7138" t="inlineStr">
        <is>
          <t>20¹², 40³</t>
        </is>
      </c>
      <c r="I7138" t="n">
        <v>15</v>
      </c>
      <c r="J7138" t="inlineStr">
        <is>
          <t>2², 4⁴, 8⁸, 16⁶</t>
        </is>
      </c>
      <c r="K7138">
        <f>HYPERLINK("CSG10.html#group20B10", "20B¹⁰")</f>
        <v/>
      </c>
      <c r="L7138" t="inlineStr"/>
      <c r="M7138">
        <f>HYPERLINK("CSG0.html#group5A0", "5A⁰"), =HYPERLINK("CSG1.html#group10I1", "10I¹"), =HYPERLINK("CSG4.html#group20E4", "20E⁴"), =HYPERLINK("CSG0.html#group4A0", "4A⁰"), =HYPERLINK("CSG1.html#group10B1", "10B¹"), =HYPERLINK("CSG2.html#group20B2", "20B²"), =HYPERLINK("CSG0.html#group4C0", "4C⁰"), =HYPERLINK("CSG0.html#group5E0", "5E⁰"), =HYPERLINK("CSG1.html#group20A1", "20A¹"), =HYPERLINK("CSG4.html#group20C4", "20C⁴"), =HYPERLINK("CSG0.html#group2B0", "2B⁰"), =HYPERLINK("CSG0.html#group4F0", "4F⁰"), =HYPERLINK("CSG0.html#group1A0", "1A⁰"), =HYPERLINK("CSG10.html#group20B10", "20B¹⁰"), =HYPERLINK("CSG3.html#group20D3", "20D³")</f>
        <v/>
      </c>
      <c r="N7138" t="inlineStr"/>
    </row>
    <row r="7139">
      <c r="A7139" t="inlineStr">
        <is>
          <t>40N²²</t>
        </is>
      </c>
      <c r="B7139" t="inlineStr"/>
      <c r="C7139" t="inlineStr">
        <is>
          <t>360</t>
        </is>
      </c>
      <c r="D7139" t="inlineStr">
        <is>
          <t>1</t>
        </is>
      </c>
      <c r="E7139" t="inlineStr">
        <is>
          <t>180</t>
        </is>
      </c>
      <c r="F7139" t="inlineStr">
        <is>
          <t>12</t>
        </is>
      </c>
      <c r="G7139" t="inlineStr">
        <is>
          <t>0</t>
        </is>
      </c>
      <c r="H7139" t="inlineStr">
        <is>
          <t>20⁶, 40⁶</t>
        </is>
      </c>
      <c r="I7139" t="n">
        <v>12</v>
      </c>
      <c r="J7139" t="inlineStr">
        <is>
          <t>1⁴, 2⁶, 4¹⁵, 8⁷, 16³</t>
        </is>
      </c>
      <c r="K7139">
        <f>HYPERLINK("CSG10.html#group40C10", "40C¹⁰")</f>
        <v/>
      </c>
      <c r="L7139" t="inlineStr"/>
      <c r="M7139">
        <f>HYPERLINK("CSG0.html#group5A0", "5A⁰"), =HYPERLINK("CSG4.html#group40A4", "40A⁴"), =HYPERLINK("CSG4.html#group20E4", "20E⁴"), =HYPERLINK("CSG1.html#group10I1", "10I¹"), =HYPERLINK("CSG10.html#group40C10", "40C¹⁰"), =HYPERLINK("CSG1.html#group10B1", "10B¹"), =HYPERLINK("CSG2.html#group20B2", "20B²"), =HYPERLINK("CSG0.html#group4C0", "4C⁰"), =HYPERLINK("CSG0.html#group8B0", "8B⁰"), =HYPERLINK("CSG0.html#group5E0", "5E⁰"), =HYPERLINK("CSG0.html#group2B0", "2B⁰"), =HYPERLINK("CSG0.html#group1A0", "1A⁰")</f>
        <v/>
      </c>
      <c r="N7139" t="inlineStr"/>
    </row>
    <row r="7140">
      <c r="A7140" t="inlineStr">
        <is>
          <t>42A²²</t>
        </is>
      </c>
      <c r="B7140" t="inlineStr"/>
      <c r="C7140" t="inlineStr">
        <is>
          <t>378</t>
        </is>
      </c>
      <c r="D7140" t="inlineStr">
        <is>
          <t>1</t>
        </is>
      </c>
      <c r="E7140" t="inlineStr">
        <is>
          <t>63</t>
        </is>
      </c>
      <c r="F7140" t="inlineStr">
        <is>
          <t>24</t>
        </is>
      </c>
      <c r="G7140" t="inlineStr">
        <is>
          <t>0</t>
        </is>
      </c>
      <c r="H7140" t="inlineStr">
        <is>
          <t>42⁹</t>
        </is>
      </c>
      <c r="I7140" t="n">
        <v>9</v>
      </c>
      <c r="J7140" t="inlineStr">
        <is>
          <t>3³, 6⁹</t>
        </is>
      </c>
      <c r="K7140">
        <f>HYPERLINK("CSG4.html#group42I4", "42I⁴"), =HYPERLINK("CSG5.html#group14G5", "14G⁵"), =HYPERLINK("CSG10.html#group42K10", "42K¹⁰")</f>
        <v/>
      </c>
      <c r="L7140" t="inlineStr"/>
      <c r="M7140">
        <f>HYPERLINK("CSG4.html#group42I4", "42I⁴"), =HYPERLINK("CSG0.html#group7D0", "7D⁰"), =HYPERLINK("CSG1.html#group14B1", "14B¹"), =HYPERLINK("CSG10.html#group42K10", "42K¹⁰"), =HYPERLINK("CSG0.html#group21A0", "21A⁰"), =HYPERLINK("CSG0.html#group2B0", "2B⁰"), =HYPERLINK("CSG0.html#group1A0", "1A⁰"), =HYPERLINK("CSG5.html#group14G5", "14G⁵"), =HYPERLINK("CSG1.html#group21E1", "21E¹"), =HYPERLINK("CSG2.html#group14F2", "14F²"), =HYPERLINK("CSG0.html#group3A0", "3A⁰"), =HYPERLINK("CSG1.html#group14E1", "14E¹"), =HYPERLINK("CSG3.html#group42C3", "42C³"), =HYPERLINK("CSG0.html#group6D0", "6D⁰"), =HYPERLINK("CSG0.html#group7A0", "7A⁰")</f>
        <v/>
      </c>
      <c r="N7140" t="inlineStr"/>
    </row>
    <row r="7141">
      <c r="A7141" t="inlineStr">
        <is>
          <t>42B²²</t>
        </is>
      </c>
      <c r="B7141" t="inlineStr"/>
      <c r="C7141" t="inlineStr">
        <is>
          <t>378</t>
        </is>
      </c>
      <c r="D7141" t="inlineStr">
        <is>
          <t>1</t>
        </is>
      </c>
      <c r="E7141" t="inlineStr">
        <is>
          <t>189</t>
        </is>
      </c>
      <c r="F7141" t="inlineStr">
        <is>
          <t>18</t>
        </is>
      </c>
      <c r="G7141" t="inlineStr">
        <is>
          <t>0</t>
        </is>
      </c>
      <c r="H7141" t="inlineStr">
        <is>
          <t>21⁶, 42⁶</t>
        </is>
      </c>
      <c r="I7141" t="n">
        <v>12</v>
      </c>
      <c r="J7141" t="inlineStr">
        <is>
          <t>3³, 6¹², 12⁹</t>
        </is>
      </c>
      <c r="K7141">
        <f>HYPERLINK("CSG4.html#group21D4", "21D⁴"), =HYPERLINK("CSG10.html#group42K10", "42K¹⁰")</f>
        <v/>
      </c>
      <c r="L7141" t="inlineStr"/>
      <c r="M7141">
        <f>HYPERLINK("CSG4.html#group21D4", "21D⁴"), =HYPERLINK("CSG0.html#group7D0", "7D⁰"), =HYPERLINK("CSG1.html#group14B1", "14B¹"), =HYPERLINK("CSG10.html#group42K10", "42K¹⁰"), =HYPERLINK("CSG0.html#group21A0", "21A⁰"), =HYPERLINK("CSG0.html#group2B0", "2B⁰"), =HYPERLINK("CSG0.html#group1A0", "1A⁰"), =HYPERLINK("CSG1.html#group21E1", "21E¹"), =HYPERLINK("CSG2.html#group14F2", "14F²"), =HYPERLINK("CSG0.html#group3A0", "3A⁰"), =HYPERLINK("CSG3.html#group42C3", "42C³"), =HYPERLINK("CSG0.html#group6D0", "6D⁰"), =HYPERLINK("CSG0.html#group7A0", "7A⁰")</f>
        <v/>
      </c>
      <c r="N7141" t="inlineStr"/>
    </row>
    <row r="7142">
      <c r="A7142" t="inlineStr">
        <is>
          <t>42C²²</t>
        </is>
      </c>
      <c r="B7142" t="inlineStr"/>
      <c r="C7142" t="inlineStr">
        <is>
          <t>378</t>
        </is>
      </c>
      <c r="D7142" t="inlineStr">
        <is>
          <t>2</t>
        </is>
      </c>
      <c r="E7142" t="inlineStr">
        <is>
          <t>21</t>
        </is>
      </c>
      <c r="F7142" t="inlineStr">
        <is>
          <t>18</t>
        </is>
      </c>
      <c r="G7142" t="inlineStr">
        <is>
          <t>0</t>
        </is>
      </c>
      <c r="H7142" t="inlineStr">
        <is>
          <t>21⁶, 42⁶</t>
        </is>
      </c>
      <c r="I7142" t="n">
        <v>12</v>
      </c>
      <c r="J7142" t="inlineStr">
        <is>
          <t>2³, 6⁶</t>
        </is>
      </c>
      <c r="K7142">
        <f>HYPERLINK("CSG4.html#group14A4", "14A⁴"), =HYPERLINK("CSG4.html#group21E4", "21E⁴"), =HYPERLINK("CSG8.html#group42A8", "42A⁸"), =HYPERLINK("CSG8.html#group42B8", "42B⁸"), =HYPERLINK("CSG10.html#group42K10", "42K¹⁰")</f>
        <v/>
      </c>
      <c r="L7142" t="inlineStr"/>
      <c r="M7142">
        <f>HYPERLINK("CSG4.html#group14A4", "14A⁴"), =HYPERLINK("CSG0.html#group7D0", "7D⁰"), =HYPERLINK("CSG8.html#group42B8", "42B⁸"), =HYPERLINK("CSG1.html#group14B1", "14B¹"), =HYPERLINK("CSG10.html#group42K10", "42K¹⁰"), =HYPERLINK("CSG2.html#group21C2", "21C²"), =HYPERLINK("CSG0.html#group21A0", "21A⁰"), =HYPERLINK("CSG0.html#group2B0", "2B⁰"), =HYPERLINK("CSG8.html#group42A8", "42A⁸"), =HYPERLINK("CSG0.html#group7G0", "7G⁰"), =HYPERLINK("CSG0.html#group1A0", "1A⁰"), =HYPERLINK("CSG2.html#group14A2", "14A²"), =HYPERLINK("CSG1.html#group21E1", "21E¹"), =HYPERLINK("CSG0.html#group7C0", "7C⁰"), =HYPERLINK("CSG1.html#group21C1", "21C¹"), =HYPERLINK("CSG2.html#group14F2", "14F²"), =HYPERLINK("CSG0.html#group3A0", "3A⁰"), =HYPERLINK("CSG3.html#group42C3", "42C³"), =HYPERLINK("CSG4.html#group21E4", "21E⁴"), =HYPERLINK("CSG0.html#group6D0", "6D⁰"), =HYPERLINK("CSG0.html#group7A0", "7A⁰")</f>
        <v/>
      </c>
      <c r="N7142" t="inlineStr"/>
    </row>
    <row r="7143">
      <c r="A7143" t="inlineStr">
        <is>
          <t>44A²²</t>
        </is>
      </c>
      <c r="B7143" t="inlineStr"/>
      <c r="C7143" t="inlineStr">
        <is>
          <t>330</t>
        </is>
      </c>
      <c r="D7143" t="inlineStr">
        <is>
          <t>1</t>
        </is>
      </c>
      <c r="E7143" t="inlineStr">
        <is>
          <t>165</t>
        </is>
      </c>
      <c r="F7143" t="inlineStr">
        <is>
          <t>6</t>
        </is>
      </c>
      <c r="G7143" t="inlineStr">
        <is>
          <t>0</t>
        </is>
      </c>
      <c r="H7143" t="inlineStr">
        <is>
          <t>22⁵, 44⁵</t>
        </is>
      </c>
      <c r="I7143" t="n">
        <v>10</v>
      </c>
      <c r="J7143" t="inlineStr">
        <is>
          <t>5³, 10¹⁵</t>
        </is>
      </c>
      <c r="K7143">
        <f>HYPERLINK("CSG4.html#group44C4", "44C⁴"), =HYPERLINK("CSG9.html#group22B9", "22B⁹")</f>
        <v/>
      </c>
      <c r="L7143" t="inlineStr"/>
      <c r="M7143">
        <f>HYPERLINK("CSG0.html#group11A0", "11A⁰"), =HYPERLINK("CSG4.html#group44C4", "44C⁴"), =HYPERLINK("CSG0.html#group4C0", "4C⁰"), =HYPERLINK("CSG0.html#group2B0", "2B⁰"), =HYPERLINK("CSG1.html#group11B1", "11B¹"), =HYPERLINK("CSG2.html#group22B2", "22B²"), =HYPERLINK("CSG0.html#group1A0", "1A⁰"), =HYPERLINK("CSG9.html#group22B9", "22B⁹")</f>
        <v/>
      </c>
      <c r="N7143" t="inlineStr"/>
    </row>
    <row r="7144">
      <c r="A7144" t="inlineStr">
        <is>
          <t>44B²²</t>
        </is>
      </c>
      <c r="B7144" t="inlineStr"/>
      <c r="C7144" t="inlineStr">
        <is>
          <t>330</t>
        </is>
      </c>
      <c r="D7144" t="inlineStr">
        <is>
          <t>2</t>
        </is>
      </c>
      <c r="E7144" t="inlineStr">
        <is>
          <t>165</t>
        </is>
      </c>
      <c r="F7144" t="inlineStr">
        <is>
          <t>6</t>
        </is>
      </c>
      <c r="G7144" t="inlineStr">
        <is>
          <t>0</t>
        </is>
      </c>
      <c r="H7144" t="inlineStr">
        <is>
          <t>22⁵, 44⁵</t>
        </is>
      </c>
      <c r="I7144" t="n">
        <v>10</v>
      </c>
      <c r="J7144" t="inlineStr">
        <is>
          <t>10³³</t>
        </is>
      </c>
      <c r="K7144">
        <f>HYPERLINK("CSG8.html#group22A8", "22A⁸")</f>
        <v/>
      </c>
      <c r="L7144" t="inlineStr"/>
      <c r="M7144">
        <f>HYPERLINK("CSG1.html#group11C1", "11C¹"), =HYPERLINK("CSG0.html#group1A0", "1A⁰"), =HYPERLINK("CSG8.html#group22A8", "22A⁸"), =HYPERLINK("CSG0.html#group2B0", "2B⁰")</f>
        <v/>
      </c>
      <c r="N7144" t="inlineStr"/>
    </row>
    <row r="7145">
      <c r="A7145" t="inlineStr">
        <is>
          <t>44C²²</t>
        </is>
      </c>
      <c r="B7145" t="inlineStr"/>
      <c r="C7145" t="inlineStr">
        <is>
          <t>396</t>
        </is>
      </c>
      <c r="D7145" t="inlineStr">
        <is>
          <t>1</t>
        </is>
      </c>
      <c r="E7145" t="inlineStr">
        <is>
          <t>198</t>
        </is>
      </c>
      <c r="F7145" t="inlineStr">
        <is>
          <t>12</t>
        </is>
      </c>
      <c r="G7145" t="inlineStr">
        <is>
          <t>0</t>
        </is>
      </c>
      <c r="H7145" t="inlineStr">
        <is>
          <t>11¹², 44⁶</t>
        </is>
      </c>
      <c r="I7145" t="n">
        <v>18</v>
      </c>
      <c r="J7145" t="inlineStr">
        <is>
          <t>1³, 5³, 10¹⁸</t>
        </is>
      </c>
      <c r="K7145">
        <f>HYPERLINK("CSG10.html#group22A10", "22A¹⁰")</f>
        <v/>
      </c>
      <c r="L7145" t="inlineStr"/>
      <c r="M7145">
        <f>HYPERLINK("CSG0.html#group11A0", "11A⁰"), =HYPERLINK("CSG0.html#group2B0", "2B⁰"), =HYPERLINK("CSG2.html#group22B2", "22B²"), =HYPERLINK("CSG0.html#group1A0", "1A⁰"), =HYPERLINK("CSG2.html#group11A2", "11A²"), =HYPERLINK("CSG10.html#group22A10", "22A¹⁰")</f>
        <v/>
      </c>
      <c r="N7145" t="inlineStr"/>
    </row>
    <row r="7146">
      <c r="A7146" t="inlineStr">
        <is>
          <t>45A²²</t>
        </is>
      </c>
      <c r="B7146" t="inlineStr"/>
      <c r="C7146" t="inlineStr">
        <is>
          <t>324</t>
        </is>
      </c>
      <c r="D7146" t="inlineStr">
        <is>
          <t>1</t>
        </is>
      </c>
      <c r="E7146" t="inlineStr">
        <is>
          <t>162</t>
        </is>
      </c>
      <c r="F7146" t="inlineStr">
        <is>
          <t>0</t>
        </is>
      </c>
      <c r="G7146" t="inlineStr">
        <is>
          <t>0</t>
        </is>
      </c>
      <c r="H7146" t="inlineStr">
        <is>
          <t>9⁶, 45⁶</t>
        </is>
      </c>
      <c r="I7146" t="n">
        <v>12</v>
      </c>
      <c r="J7146" t="inlineStr">
        <is>
          <t>3², 6⁸, 12¹, 24⁴</t>
        </is>
      </c>
      <c r="K7146">
        <f>HYPERLINK("CSG0.html#group5D0", "5D⁰"), =HYPERLINK("CSG10.html#group45A10", "45A¹⁰")</f>
        <v/>
      </c>
      <c r="L7146" t="inlineStr"/>
      <c r="M7146">
        <f>HYPERLINK("CSG0.html#group5B0", "5B⁰"), =HYPERLINK("CSG0.html#group5D0", "5D⁰"), =HYPERLINK("CSG0.html#group9F0", "9F⁰"), =HYPERLINK("CSG0.html#group1A0", "1A⁰"), =HYPERLINK("CSG10.html#group45A10", "45A¹⁰")</f>
        <v/>
      </c>
      <c r="N7146" t="inlineStr"/>
    </row>
    <row r="7147">
      <c r="A7147" t="inlineStr">
        <is>
          <t>45B²²</t>
        </is>
      </c>
      <c r="B7147" t="inlineStr"/>
      <c r="C7147" t="inlineStr">
        <is>
          <t>324</t>
        </is>
      </c>
      <c r="D7147" t="inlineStr">
        <is>
          <t>1</t>
        </is>
      </c>
      <c r="E7147" t="inlineStr">
        <is>
          <t>162</t>
        </is>
      </c>
      <c r="F7147" t="inlineStr">
        <is>
          <t>0</t>
        </is>
      </c>
      <c r="G7147" t="inlineStr">
        <is>
          <t>0</t>
        </is>
      </c>
      <c r="H7147" t="inlineStr">
        <is>
          <t>9⁶, 45⁶</t>
        </is>
      </c>
      <c r="I7147" t="n">
        <v>12</v>
      </c>
      <c r="J7147" t="inlineStr">
        <is>
          <t>3², 6⁸, 12¹, 24⁴</t>
        </is>
      </c>
      <c r="K7147">
        <f>HYPERLINK("CSG8.html#group45A8", "45A⁸"), =HYPERLINK("CSG8.html#group45D8", "45D⁸")</f>
        <v/>
      </c>
      <c r="L7147" t="inlineStr"/>
      <c r="M7147">
        <f>HYPERLINK("CSG2.html#group45A2", "45A²"), =HYPERLINK("CSG0.html#group15B0", "15B⁰"), =HYPERLINK("CSG8.html#group45D8", "45D⁸"), =HYPERLINK("CSG0.html#group9A0", "9A⁰"), =HYPERLINK("CSG8.html#group45A8", "45A⁸"), =HYPERLINK("CSG0.html#group5B0", "5B⁰"), =HYPERLINK("CSG0.html#group9G0", "9G⁰"), =HYPERLINK("CSG2.html#group15B2", "15B²"), =HYPERLINK("CSG0.html#group5D0", "5D⁰"), =HYPERLINK("CSG0.html#group3A0", "3A⁰"), =HYPERLINK("CSG0.html#group1A0", "1A⁰")</f>
        <v/>
      </c>
      <c r="N7147" t="inlineStr"/>
    </row>
    <row r="7148">
      <c r="A7148" t="inlineStr">
        <is>
          <t>48A²²</t>
        </is>
      </c>
      <c r="B7148" t="inlineStr"/>
      <c r="C7148" t="inlineStr">
        <is>
          <t>288</t>
        </is>
      </c>
      <c r="D7148" t="inlineStr">
        <is>
          <t>1</t>
        </is>
      </c>
      <c r="E7148" t="inlineStr">
        <is>
          <t>4</t>
        </is>
      </c>
      <c r="F7148" t="inlineStr">
        <is>
          <t>0</t>
        </is>
      </c>
      <c r="G7148" t="inlineStr">
        <is>
          <t>0</t>
        </is>
      </c>
      <c r="H7148" t="inlineStr">
        <is>
          <t>48⁶</t>
        </is>
      </c>
      <c r="I7148" t="n">
        <v>6</v>
      </c>
      <c r="J7148" t="inlineStr">
        <is>
          <t>2²</t>
        </is>
      </c>
      <c r="K7148">
        <f>HYPERLINK("CSG4.html#group48I4", "48I⁴"), =HYPERLINK("CSG6.html#group16A6", "16A⁶"), =HYPERLINK("CSG8.html#group48A8", "48A⁸"), =HYPERLINK("CSG10.html#group24A10", "24A¹⁰"), =HYPERLINK("CSG10.html#group48F10", "48F¹⁰")</f>
        <v/>
      </c>
      <c r="L7148" t="inlineStr"/>
      <c r="M7148">
        <f>HYPERLINK("CSG10.html#group24A10", "24A¹⁰"), =HYPERLINK("CSG0.html#group2A0", "2A⁰"), =HYPERLINK("CSG8.html#group48A8", "48A⁸"), =HYPERLINK("CSG0.html#group12C0", "12C⁰"), =HYPERLINK("CSG1.html#group6C1", "6C¹"), =HYPERLINK("CSG0.html#group4C0", "4C⁰"), =HYPERLINK("CSG2.html#group12B2", "12B²"), =HYPERLINK("CSG0.html#group8A0", "8A⁰"), =HYPERLINK("CSG0.html#group4G0", "4G⁰"), =HYPERLINK("CSG0.html#group2B0", "2B⁰"), =HYPERLINK("CSG10.html#group48F10", "48F¹⁰"), =HYPERLINK("CSG0.html#group4E0", "4E⁰"), =HYPERLINK("CSG0.html#group4B0", "4B⁰"), =HYPERLINK("CSG0.html#group1A0", "1A⁰"), =HYPERLINK("CSG4.html#group12A4", "12A⁴"), =HYPERLINK("CSG1.html#group24A1", "24A¹"), =HYPERLINK("CSG3.html#group48A3", "48A³"), =HYPERLINK("CSG0.html#group4D0", "4D⁰"), =HYPERLINK("CSG2.html#group12A2", "12A²"), =HYPERLINK("CSG1.html#group6A1", "6A¹"), =HYPERLINK("CSG1.html#group12B1", "12B¹"), =HYPERLINK("CSG4.html#group48I4", "48I⁴"), =HYPERLINK("CSG0.html#group3A0", "3A⁰"), =HYPERLINK("CSG0.html#group16A0", "16A⁰"), =HYPERLINK("CSG2.html#group24E2", "24E²"), =HYPERLINK("CSG1.html#group12E1", "12E¹"), =HYPERLINK("CSG4.html#group24A4", "24A⁴"), =HYPERLINK("CSG0.html#group8E0", "8E⁰"), =HYPERLINK("CSG3.html#group16G3", "16G³"), =HYPERLINK("CSG6.html#group16A6", "16A⁶"), =HYPERLINK("CSG1.html#group8D1", "8D¹"), =HYPERLINK("CSG2.html#group8A2", "8A²"), =HYPERLINK("CSG4.html#group24H4", "24H⁴"), =HYPERLINK("CSG0.html#group12A0", "12A⁰"), =HYPERLINK("CSG0.html#group6A0", "6A⁰"), =HYPERLINK("CSG0.html#group4A0", "4A⁰"), =HYPERLINK("CSG0.html#group16F0", "16F⁰"), =HYPERLINK("CSG1.html#group12J1", "12J¹"), =HYPERLINK("CSG0.html#group4F0", "4F⁰"), =HYPERLINK("CSG0.html#group2C0", "2C⁰"), =HYPERLINK("CSG0.html#group6D0", "6D⁰")</f>
        <v/>
      </c>
      <c r="N7148" t="inlineStr"/>
    </row>
    <row r="7149">
      <c r="A7149" t="inlineStr">
        <is>
          <t>48B²²</t>
        </is>
      </c>
      <c r="B7149" t="inlineStr"/>
      <c r="C7149" t="inlineStr">
        <is>
          <t>288</t>
        </is>
      </c>
      <c r="D7149" t="inlineStr">
        <is>
          <t>1</t>
        </is>
      </c>
      <c r="E7149" t="inlineStr">
        <is>
          <t>12</t>
        </is>
      </c>
      <c r="F7149" t="inlineStr">
        <is>
          <t>0</t>
        </is>
      </c>
      <c r="G7149" t="inlineStr">
        <is>
          <t>0</t>
        </is>
      </c>
      <c r="H7149" t="inlineStr">
        <is>
          <t>48⁶</t>
        </is>
      </c>
      <c r="I7149" t="n">
        <v>6</v>
      </c>
      <c r="J7149" t="inlineStr">
        <is>
          <t>2², 4²</t>
        </is>
      </c>
      <c r="K7149">
        <f>HYPERLINK("CSG8.html#group48B8", "48B⁸"), =HYPERLINK("CSG10.html#group24A10", "24A¹⁰"), =HYPERLINK("CSG10.html#group48G10", "48G¹⁰")</f>
        <v/>
      </c>
      <c r="L7149" t="inlineStr"/>
      <c r="M7149">
        <f>HYPERLINK("CSG10.html#group24A10", "24A¹⁰"), =HYPERLINK("CSG0.html#group2A0", "2A⁰"), =HYPERLINK("CSG0.html#group12C0", "12C⁰"), =HYPERLINK("CSG1.html#group6C1", "6C¹"), =HYPERLINK("CSG0.html#group4C0", "4C⁰"), =HYPERLINK("CSG2.html#group12B2", "12B²"), =HYPERLINK("CSG0.html#group8A0", "8A⁰"), =HYPERLINK("CSG0.html#group4G0", "4G⁰"), =HYPERLINK("CSG0.html#group2B0", "2B⁰"), =HYPERLINK("CSG0.html#group4E0", "4E⁰"), =HYPERLINK("CSG0.html#group4B0", "4B⁰"), =HYPERLINK("CSG0.html#group1A0", "1A⁰"), =HYPERLINK("CSG4.html#group12A4", "12A⁴"), =HYPERLINK("CSG1.html#group24A1", "24A¹"), =HYPERLINK("CSG0.html#group4D0", "4D⁰"), =HYPERLINK("CSG0.html#group6D0", "6D⁰"), =HYPERLINK("CSG2.html#group12A2", "12A²"), =HYPERLINK("CSG1.html#group6A1", "6A¹"), =HYPERLINK("CSG1.html#group12B1", "12B¹"), =HYPERLINK("CSG0.html#group3A0", "3A⁰"), =HYPERLINK("CSG3.html#group48B3", "48B³"), =HYPERLINK("CSG2.html#group24E2", "24E²"), =HYPERLINK("CSG1.html#group12E1", "12E¹"), =HYPERLINK("CSG4.html#group24A4", "24A⁴"), =HYPERLINK("CSG0.html#group8E0", "8E⁰"), =HYPERLINK("CSG1.html#group8D1", "8D¹"), =HYPERLINK("CSG10.html#group48G10", "48G¹⁰"), =HYPERLINK("CSG2.html#group8A2", "8A²"), =HYPERLINK("CSG4.html#group24H4", "24H⁴"), =HYPERLINK("CSG0.html#group12A0", "12A⁰"), =HYPERLINK("CSG0.html#group6A0", "6A⁰"), =HYPERLINK("CSG0.html#group4A0", "4A⁰"), =HYPERLINK("CSG1.html#group12J1", "12J¹"), =HYPERLINK("CSG0.html#group4F0", "4F⁰"), =HYPERLINK("CSG0.html#group2C0", "2C⁰"), =HYPERLINK("CSG8.html#group48B8", "48B⁸")</f>
        <v/>
      </c>
      <c r="N7149" t="inlineStr"/>
    </row>
    <row r="7150">
      <c r="A7150" t="inlineStr">
        <is>
          <t>48C²²</t>
        </is>
      </c>
      <c r="B7150" t="inlineStr"/>
      <c r="C7150" t="inlineStr">
        <is>
          <t>288</t>
        </is>
      </c>
      <c r="D7150" t="inlineStr">
        <is>
          <t>1</t>
        </is>
      </c>
      <c r="E7150" t="inlineStr">
        <is>
          <t>24</t>
        </is>
      </c>
      <c r="F7150" t="inlineStr">
        <is>
          <t>0</t>
        </is>
      </c>
      <c r="G7150" t="inlineStr">
        <is>
          <t>0</t>
        </is>
      </c>
      <c r="H7150" t="inlineStr">
        <is>
          <t>48⁶</t>
        </is>
      </c>
      <c r="I7150" t="n">
        <v>6</v>
      </c>
      <c r="J7150" t="inlineStr">
        <is>
          <t>4², 8²</t>
        </is>
      </c>
      <c r="K7150">
        <f>HYPERLINK("CSG6.html#group16B6", "16B⁶"), =HYPERLINK("CSG10.html#group24C10", "24C¹⁰"), =HYPERLINK("CSG10.html#group48F10", "48F¹⁰")</f>
        <v/>
      </c>
      <c r="L7150" t="inlineStr"/>
      <c r="M7150">
        <f>HYPERLINK("CSG10.html#group24C10", "24C¹⁰"), =HYPERLINK("CSG3.html#group24A3", "24A³"), =HYPERLINK("CSG6.html#group16B6", "16B⁶"), =HYPERLINK("CSG0.html#group12C0", "12C⁰"), =HYPERLINK("CSG1.html#group8A1", "8A¹"), =HYPERLINK("CSG0.html#group16A0", "16A⁰"), =HYPERLINK("CSG0.html#group8D0", "8D⁰"), =HYPERLINK("CSG0.html#group4C0", "4C⁰"), =HYPERLINK("CSG2.html#group8B2", "8B²"), =HYPERLINK("CSG0.html#group8A0", "8A⁰"), =HYPERLINK("CSG3.html#group16G3", "16G³"), =HYPERLINK("CSG0.html#group2B0", "2B⁰"), =HYPERLINK("CSG10.html#group48F10", "48F¹⁰"), =HYPERLINK("CSG0.html#group1A0", "1A⁰"), =HYPERLINK("CSG1.html#group8D1", "8D¹"), =HYPERLINK("CSG0.html#group8K0", "8K⁰"), =HYPERLINK("CSG3.html#group24J3", "24J³"), =HYPERLINK("CSG4.html#group24H4", "24H⁴"), =HYPERLINK("CSG0.html#group12A0", "12A⁰"), =HYPERLINK("CSG1.html#group8C1", "8C¹"), =HYPERLINK("CSG1.html#group24A1", "24A¹"), =HYPERLINK("CSG3.html#group48A3", "48A³"), =HYPERLINK("CSG0.html#group4A0", "4A⁰"), =HYPERLINK("CSG1.html#group24C1", "24C¹"), =HYPERLINK("CSG1.html#group12J1", "12J¹"), =HYPERLINK("CSG0.html#group4F0", "4F⁰"), =HYPERLINK("CSG0.html#group3A0", "3A⁰"), =HYPERLINK("CSG0.html#group6D0", "6D⁰"), =HYPERLINK("CSG5.html#group24B5", "24B⁵")</f>
        <v/>
      </c>
      <c r="N7150" t="inlineStr"/>
    </row>
    <row r="7151">
      <c r="A7151" t="inlineStr">
        <is>
          <t>48D²²</t>
        </is>
      </c>
      <c r="B7151" t="inlineStr"/>
      <c r="C7151" t="inlineStr">
        <is>
          <t>288</t>
        </is>
      </c>
      <c r="D7151" t="inlineStr">
        <is>
          <t>1</t>
        </is>
      </c>
      <c r="E7151" t="inlineStr">
        <is>
          <t>72</t>
        </is>
      </c>
      <c r="F7151" t="inlineStr">
        <is>
          <t>0</t>
        </is>
      </c>
      <c r="G7151" t="inlineStr">
        <is>
          <t>0</t>
        </is>
      </c>
      <c r="H7151" t="inlineStr">
        <is>
          <t>48⁶</t>
        </is>
      </c>
      <c r="I7151" t="n">
        <v>6</v>
      </c>
      <c r="J7151" t="inlineStr">
        <is>
          <t>4², 8⁴, 16²</t>
        </is>
      </c>
      <c r="K7151">
        <f>HYPERLINK("CSG10.html#group24C10", "24C¹⁰"), =HYPERLINK("CSG10.html#group48G10", "48G¹⁰")</f>
        <v/>
      </c>
      <c r="L7151" t="inlineStr"/>
      <c r="M7151">
        <f>HYPERLINK("CSG10.html#group24C10", "24C¹⁰"), =HYPERLINK("CSG3.html#group24A3", "24A³"), =HYPERLINK("CSG0.html#group12C0", "12C⁰"), =HYPERLINK("CSG1.html#group8A1", "8A¹"), =HYPERLINK("CSG0.html#group8D0", "8D⁰"), =HYPERLINK("CSG0.html#group4C0", "4C⁰"), =HYPERLINK("CSG2.html#group8B2", "8B²"), =HYPERLINK("CSG0.html#group8A0", "8A⁰"), =HYPERLINK("CSG0.html#group2B0", "2B⁰"), =HYPERLINK("CSG0.html#group1A0", "1A⁰"), =HYPERLINK("CSG1.html#group8D1", "8D¹"), =HYPERLINK("CSG0.html#group8K0", "8K⁰"), =HYPERLINK("CSG10.html#group48G10", "48G¹⁰"), =HYPERLINK("CSG3.html#group24J3", "24J³"), =HYPERLINK("CSG4.html#group24H4", "24H⁴"), =HYPERLINK("CSG0.html#group12A0", "12A⁰"), =HYPERLINK("CSG1.html#group8C1", "8C¹"), =HYPERLINK("CSG1.html#group24A1", "24A¹"), =HYPERLINK("CSG0.html#group4A0", "4A⁰"), =HYPERLINK("CSG1.html#group24C1", "24C¹"), =HYPERLINK("CSG1.html#group12J1", "12J¹"), =HYPERLINK("CSG0.html#group4F0", "4F⁰"), =HYPERLINK("CSG0.html#group3A0", "3A⁰"), =HYPERLINK("CSG0.html#group6D0", "6D⁰"), =HYPERLINK("CSG5.html#group24B5", "24B⁵"), =HYPERLINK("CSG3.html#group48B3", "48B³")</f>
        <v/>
      </c>
      <c r="N7151" t="inlineStr"/>
    </row>
    <row r="7152">
      <c r="A7152" t="inlineStr">
        <is>
          <t>50A²²</t>
        </is>
      </c>
      <c r="B7152" t="inlineStr"/>
      <c r="C7152" t="inlineStr">
        <is>
          <t>300</t>
        </is>
      </c>
      <c r="D7152" t="inlineStr">
        <is>
          <t>1</t>
        </is>
      </c>
      <c r="E7152" t="inlineStr">
        <is>
          <t>30</t>
        </is>
      </c>
      <c r="F7152" t="inlineStr">
        <is>
          <t>0</t>
        </is>
      </c>
      <c r="G7152" t="inlineStr">
        <is>
          <t>0</t>
        </is>
      </c>
      <c r="H7152" t="inlineStr">
        <is>
          <t>25⁴, 50⁴</t>
        </is>
      </c>
      <c r="I7152" t="n">
        <v>8</v>
      </c>
      <c r="J7152" t="inlineStr">
        <is>
          <t>2³, 4⁶</t>
        </is>
      </c>
      <c r="K7152">
        <f>HYPERLINK("CSG2.html#group10D2", "10D²"), =HYPERLINK("CSG4.html#group25E4", "25E⁴"), =HYPERLINK("CSG11.html#group50A11", "50A¹¹")</f>
        <v/>
      </c>
      <c r="L7152" t="inlineStr"/>
      <c r="M7152">
        <f>HYPERLINK("CSG0.html#group5A0", "5A⁰"), =HYPERLINK("CSG4.html#group25E4", "25E⁴"), =HYPERLINK("CSG1.html#group10B1", "10B¹"), =HYPERLINK("CSG0.html#group5C0", "5C⁰"), =HYPERLINK("CSG2.html#group25E2", "25E²"), =HYPERLINK("CSG0.html#group5F0", "5F⁰"), =HYPERLINK("CSG0.html#group1A0", "1A⁰"), =HYPERLINK("CSG0.html#group2B0", "2B⁰"), =HYPERLINK("CSG11.html#group50A11", "50A¹¹"), =HYPERLINK("CSG2.html#group10D2", "10D²"), =HYPERLINK("CSG1.html#group10F1", "10F¹")</f>
        <v/>
      </c>
      <c r="N7152" t="inlineStr"/>
    </row>
    <row r="7153">
      <c r="A7153" t="inlineStr">
        <is>
          <t>50B²²</t>
        </is>
      </c>
      <c r="B7153" t="inlineStr"/>
      <c r="C7153" t="inlineStr">
        <is>
          <t>300</t>
        </is>
      </c>
      <c r="D7153" t="inlineStr">
        <is>
          <t>1</t>
        </is>
      </c>
      <c r="E7153" t="inlineStr">
        <is>
          <t>150</t>
        </is>
      </c>
      <c r="F7153" t="inlineStr">
        <is>
          <t>4</t>
        </is>
      </c>
      <c r="G7153" t="inlineStr">
        <is>
          <t>0</t>
        </is>
      </c>
      <c r="H7153" t="inlineStr">
        <is>
          <t>50⁶</t>
        </is>
      </c>
      <c r="I7153" t="n">
        <v>6</v>
      </c>
      <c r="J7153" t="inlineStr">
        <is>
          <t>2¹, 4⁷, 20⁶</t>
        </is>
      </c>
      <c r="K7153">
        <f>HYPERLINK("CSG2.html#group10C2", "10C²"), =HYPERLINK("CSG4.html#group50E4", "50E⁴"), =HYPERLINK("CSG10.html#group25A10", "25A¹⁰")</f>
        <v/>
      </c>
      <c r="L7153" t="inlineStr"/>
      <c r="M7153">
        <f>HYPERLINK("CSG0.html#group5A0", "5A⁰"), =HYPERLINK("CSG10.html#group25A10", "25A¹⁰"), =HYPERLINK("CSG0.html#group10D0", "10D⁰"), =HYPERLINK("CSG2.html#group25E2", "25E²"), =HYPERLINK("CSG2.html#group10C2", "10C²"), =HYPERLINK("CSG0.html#group5B0", "5B⁰"), =HYPERLINK("CSG0.html#group5E0", "5E⁰"), =HYPERLINK("CSG4.html#group50E4", "50E⁴"), =HYPERLINK("CSG0.html#group1A0", "1A⁰"), =HYPERLINK("CSG1.html#group10E1", "10E¹"), =HYPERLINK("CSG0.html#group5C0", "5C⁰"), =HYPERLINK("CSG0.html#group5G0", "5G⁰"), =HYPERLINK("CSG0.html#group10B0", "10B⁰")</f>
        <v/>
      </c>
      <c r="N7153" t="inlineStr"/>
    </row>
    <row r="7154">
      <c r="A7154" t="inlineStr">
        <is>
          <t>50C²²</t>
        </is>
      </c>
      <c r="B7154" t="inlineStr"/>
      <c r="C7154" t="inlineStr">
        <is>
          <t>300</t>
        </is>
      </c>
      <c r="D7154" t="inlineStr">
        <is>
          <t>1</t>
        </is>
      </c>
      <c r="E7154" t="inlineStr">
        <is>
          <t>150</t>
        </is>
      </c>
      <c r="F7154" t="inlineStr">
        <is>
          <t>4</t>
        </is>
      </c>
      <c r="G7154" t="inlineStr">
        <is>
          <t>0</t>
        </is>
      </c>
      <c r="H7154" t="inlineStr">
        <is>
          <t>50⁶</t>
        </is>
      </c>
      <c r="I7154" t="n">
        <v>6</v>
      </c>
      <c r="J7154" t="inlineStr">
        <is>
          <t>2³, 4⁶, 20⁶</t>
        </is>
      </c>
      <c r="K7154">
        <f>HYPERLINK("CSG2.html#group10E2", "10E²"), =HYPERLINK("CSG4.html#group50E4", "50E⁴"), =HYPERLINK("CSG11.html#group50A11", "50A¹¹")</f>
        <v/>
      </c>
      <c r="L7154" t="inlineStr"/>
      <c r="M7154">
        <f>HYPERLINK("CSG2.html#group10E2", "10E²"), =HYPERLINK("CSG0.html#group10D0", "10D⁰"), =HYPERLINK("CSG0.html#group5C0", "5C⁰"), =HYPERLINK("CSG2.html#group25E2", "25E²"), =HYPERLINK("CSG4.html#group50E4", "50E⁴"), =HYPERLINK("CSG0.html#group2B0", "2B⁰"), =HYPERLINK("CSG11.html#group50A11", "50A¹¹"), =HYPERLINK("CSG0.html#group1A0", "1A⁰"), =HYPERLINK("CSG1.html#group10F1", "10F¹")</f>
        <v/>
      </c>
      <c r="N7154" t="inlineStr"/>
    </row>
    <row r="7155">
      <c r="A7155" t="inlineStr">
        <is>
          <t>50D²²</t>
        </is>
      </c>
      <c r="B7155" t="inlineStr"/>
      <c r="C7155" t="inlineStr">
        <is>
          <t>450</t>
        </is>
      </c>
      <c r="D7155" t="inlineStr">
        <is>
          <t>1</t>
        </is>
      </c>
      <c r="E7155" t="inlineStr">
        <is>
          <t>45</t>
        </is>
      </c>
      <c r="F7155" t="inlineStr">
        <is>
          <t>10</t>
        </is>
      </c>
      <c r="G7155" t="inlineStr">
        <is>
          <t>0</t>
        </is>
      </c>
      <c r="H7155" t="inlineStr">
        <is>
          <t>5¹⁰, 10¹⁰, 25⁴, 50⁴</t>
        </is>
      </c>
      <c r="I7155" t="n">
        <v>28</v>
      </c>
      <c r="J7155" t="inlineStr">
        <is>
          <t>1³, 2³, 4⁹</t>
        </is>
      </c>
      <c r="K7155">
        <f>HYPERLINK("CSG2.html#group10F2", "10F²"), =HYPERLINK("CSG4.html#group25F4", "25F⁴"), =HYPERLINK("CSG11.html#group50B11", "50B¹¹")</f>
        <v/>
      </c>
      <c r="L7155" t="inlineStr"/>
      <c r="M7155">
        <f>HYPERLINK("CSG2.html#group25F2", "25F²"), =HYPERLINK("CSG4.html#group25F4", "25F⁴"), =HYPERLINK("CSG0.html#group5A0", "5A⁰"), =HYPERLINK("CSG1.html#group10I1", "10I¹"), =HYPERLINK("CSG2.html#group10F2", "10F²"), =HYPERLINK("CSG1.html#group10B1", "10B¹"), =HYPERLINK("CSG0.html#group5B0", "5B⁰"), =HYPERLINK("CSG0.html#group10C0", "10C⁰"), =HYPERLINK("CSG0.html#group5E0", "5E⁰"), =HYPERLINK("CSG0.html#group1A0", "1A⁰"), =HYPERLINK("CSG0.html#group2B0", "2B⁰"), =HYPERLINK("CSG0.html#group5G0", "5G⁰"), =HYPERLINK("CSG0.html#group5C0", "5C⁰"), =HYPERLINK("CSG11.html#group50B11", "50B¹¹"), =HYPERLINK("CSG1.html#group10F1", "10F¹")</f>
        <v/>
      </c>
      <c r="N7155" t="inlineStr"/>
    </row>
    <row r="7156">
      <c r="A7156" t="inlineStr">
        <is>
          <t>50E²²</t>
        </is>
      </c>
      <c r="B7156" t="inlineStr"/>
      <c r="C7156" t="inlineStr">
        <is>
          <t>450</t>
        </is>
      </c>
      <c r="D7156" t="inlineStr">
        <is>
          <t>1</t>
        </is>
      </c>
      <c r="E7156" t="inlineStr">
        <is>
          <t>90</t>
        </is>
      </c>
      <c r="F7156" t="inlineStr">
        <is>
          <t>10</t>
        </is>
      </c>
      <c r="G7156" t="inlineStr">
        <is>
          <t>0</t>
        </is>
      </c>
      <c r="H7156" t="inlineStr">
        <is>
          <t>1⁵, 2⁵, 5⁴, 10⁴, 25⁵, 50⁵</t>
        </is>
      </c>
      <c r="I7156" t="n">
        <v>28</v>
      </c>
      <c r="J7156" t="inlineStr">
        <is>
          <t>1⁶, 4⁶, 20³</t>
        </is>
      </c>
      <c r="K7156">
        <f>HYPERLINK("CSG2.html#group50B2", "50B²"), =HYPERLINK("CSG4.html#group25G4", "25G⁴")</f>
        <v/>
      </c>
      <c r="L7156" t="inlineStr"/>
      <c r="M7156">
        <f>HYPERLINK("CSG0.html#group25A0", "25A⁰"), =HYPERLINK("CSG0.html#group10C0", "10C⁰"), =HYPERLINK("CSG0.html#group5B0", "5B⁰"), =HYPERLINK("CSG0.html#group2B0", "2B⁰"), =HYPERLINK("CSG2.html#group50B2", "50B²"), =HYPERLINK("CSG0.html#group1A0", "1A⁰"), =HYPERLINK("CSG4.html#group25G4", "25G⁴")</f>
        <v/>
      </c>
      <c r="N7156" t="inlineStr"/>
    </row>
    <row r="7157">
      <c r="A7157" t="inlineStr">
        <is>
          <t>54A²²</t>
        </is>
      </c>
      <c r="B7157" t="inlineStr"/>
      <c r="C7157" t="inlineStr">
        <is>
          <t>324</t>
        </is>
      </c>
      <c r="D7157" t="inlineStr">
        <is>
          <t>1</t>
        </is>
      </c>
      <c r="E7157" t="inlineStr">
        <is>
          <t>36</t>
        </is>
      </c>
      <c r="F7157" t="inlineStr">
        <is>
          <t>0</t>
        </is>
      </c>
      <c r="G7157" t="inlineStr">
        <is>
          <t>0</t>
        </is>
      </c>
      <c r="H7157" t="inlineStr">
        <is>
          <t>9³, 18³, 27³, 54³</t>
        </is>
      </c>
      <c r="I7157" t="n">
        <v>12</v>
      </c>
      <c r="J7157" t="inlineStr">
        <is>
          <t>1⁶, 2⁶, 6³</t>
        </is>
      </c>
      <c r="K7157">
        <f>HYPERLINK("CSG4.html#group18M4", "18M⁴"), =HYPERLINK("CSG7.html#group27A7", "27A⁷")</f>
        <v/>
      </c>
      <c r="L7157" t="inlineStr"/>
      <c r="M7157">
        <f>HYPERLINK("CSG7.html#group27A7", "27A⁷"), =HYPERLINK("CSG0.html#group3B0", "3B⁰"), =HYPERLINK("CSG2.html#group18E2", "18E²"), =HYPERLINK("CSG0.html#group9B0", "9B⁰"), =HYPERLINK("CSG2.html#group18D2", "18D²"), =HYPERLINK("CSG0.html#group6G0", "6G⁰"), =HYPERLINK("CSG0.html#group2B0", "2B⁰"), =HYPERLINK("CSG0.html#group9C0", "9C⁰"), =HYPERLINK("CSG0.html#group1A0", "1A⁰"), =HYPERLINK("CSG0.html#group18E0", "18E⁰"), =HYPERLINK("CSG1.html#group9A1", "9A¹"), =HYPERLINK("CSG0.html#group6F0", "6F⁰"), =HYPERLINK("CSG0.html#group3C0", "3C⁰"), =HYPERLINK("CSG1.html#group9C1", "9C¹"), =HYPERLINK("CSG0.html#group6K0", "6K⁰"), =HYPERLINK("CSG4.html#group18M4", "18M⁴"), =HYPERLINK("CSG0.html#group3A0", "3A⁰"), =HYPERLINK("CSG0.html#group3D0", "3D⁰"), =HYPERLINK("CSG0.html#group6D0", "6D⁰")</f>
        <v/>
      </c>
      <c r="N7157" t="inlineStr"/>
    </row>
    <row r="7158">
      <c r="A7158" t="inlineStr">
        <is>
          <t>54B²²</t>
        </is>
      </c>
      <c r="B7158" t="inlineStr"/>
      <c r="C7158" t="inlineStr">
        <is>
          <t>324</t>
        </is>
      </c>
      <c r="D7158" t="inlineStr">
        <is>
          <t>1</t>
        </is>
      </c>
      <c r="E7158" t="inlineStr">
        <is>
          <t>36</t>
        </is>
      </c>
      <c r="F7158" t="inlineStr">
        <is>
          <t>0</t>
        </is>
      </c>
      <c r="G7158" t="inlineStr">
        <is>
          <t>0</t>
        </is>
      </c>
      <c r="H7158" t="inlineStr">
        <is>
          <t>9³, 18³, 27³, 54³</t>
        </is>
      </c>
      <c r="I7158" t="n">
        <v>12</v>
      </c>
      <c r="J7158" t="inlineStr">
        <is>
          <t>1⁶, 2⁶, 6³</t>
        </is>
      </c>
      <c r="K7158">
        <f>HYPERLINK("CSG4.html#group18P4", "18P⁴"), =HYPERLINK("CSG4.html#group27D4", "27D⁴"), =HYPERLINK("CSG8.html#group54A8", "54A⁸"), =HYPERLINK("CSG8.html#group54B8", "54B⁸")</f>
        <v/>
      </c>
      <c r="L7158" t="inlineStr"/>
      <c r="M7158">
        <f>HYPERLINK("CSG0.html#group3B0", "3B⁰"), =HYPERLINK("CSG4.html#group18P4", "18P⁴"), =HYPERLINK("CSG0.html#group9J0", "9J⁰"), =HYPERLINK("CSG4.html#group27D4", "27D⁴"), =HYPERLINK("CSG2.html#group27B2", "27B²"), =HYPERLINK("CSG8.html#group54B8", "54B⁸"), =HYPERLINK("CSG2.html#group18D2", "18D²"), =HYPERLINK("CSG0.html#group2B0", "2B⁰"), =HYPERLINK("CSG0.html#group1A0", "1A⁰"), =HYPERLINK("CSG1.html#group27B1", "27B¹"), =HYPERLINK("CSG0.html#group9C0", "9C⁰"), =HYPERLINK("CSG0.html#group6F0", "6F⁰"), =HYPERLINK("CSG8.html#group54A8", "54A⁸")</f>
        <v/>
      </c>
      <c r="N7158" t="inlineStr"/>
    </row>
    <row r="7159">
      <c r="A7159" t="inlineStr">
        <is>
          <t>54C²²</t>
        </is>
      </c>
      <c r="B7159" t="inlineStr"/>
      <c r="C7159" t="inlineStr">
        <is>
          <t>324</t>
        </is>
      </c>
      <c r="D7159" t="inlineStr">
        <is>
          <t>1</t>
        </is>
      </c>
      <c r="E7159" t="inlineStr">
        <is>
          <t>36</t>
        </is>
      </c>
      <c r="F7159" t="inlineStr">
        <is>
          <t>0</t>
        </is>
      </c>
      <c r="G7159" t="inlineStr">
        <is>
          <t>0</t>
        </is>
      </c>
      <c r="H7159" t="inlineStr">
        <is>
          <t>9³, 18³, 27³, 54³</t>
        </is>
      </c>
      <c r="I7159" t="n">
        <v>12</v>
      </c>
      <c r="J7159" t="inlineStr">
        <is>
          <t>1⁶, 2⁶, 6³</t>
        </is>
      </c>
      <c r="K7159">
        <f>HYPERLINK("CSG4.html#group18P4", "18P⁴"), =HYPERLINK("CSG7.html#group27B7", "27B⁷"), =HYPERLINK("CSG8.html#group54A8", "54A⁸"), =HYPERLINK("CSG8.html#group54C8", "54C⁸")</f>
        <v/>
      </c>
      <c r="L7159" t="inlineStr"/>
      <c r="M7159">
        <f>HYPERLINK("CSG0.html#group3B0", "3B⁰"), =HYPERLINK("CSG4.html#group18P4", "18P⁴"), =HYPERLINK("CSG7.html#group27B7", "27B⁷"), =HYPERLINK("CSG0.html#group9J0", "9J⁰"), =HYPERLINK("CSG3.html#group27A3", "27A³"), =HYPERLINK("CSG8.html#group54C8", "54C⁸"), =HYPERLINK("CSG2.html#group18D2", "18D²"), =HYPERLINK("CSG0.html#group1A0", "1A⁰"), =HYPERLINK("CSG0.html#group2B0", "2B⁰"), =HYPERLINK("CSG1.html#group27B1", "27B¹"), =HYPERLINK("CSG0.html#group9C0", "9C⁰"), =HYPERLINK("CSG0.html#group6F0", "6F⁰"), =HYPERLINK("CSG8.html#group54A8", "54A⁸")</f>
        <v/>
      </c>
      <c r="N7159" t="inlineStr"/>
    </row>
    <row r="7160">
      <c r="A7160" t="inlineStr">
        <is>
          <t>54D²²</t>
        </is>
      </c>
      <c r="B7160" t="inlineStr"/>
      <c r="C7160" t="inlineStr">
        <is>
          <t>324</t>
        </is>
      </c>
      <c r="D7160" t="inlineStr">
        <is>
          <t>1</t>
        </is>
      </c>
      <c r="E7160" t="inlineStr">
        <is>
          <t>36</t>
        </is>
      </c>
      <c r="F7160" t="inlineStr">
        <is>
          <t>0</t>
        </is>
      </c>
      <c r="G7160" t="inlineStr">
        <is>
          <t>0</t>
        </is>
      </c>
      <c r="H7160" t="inlineStr">
        <is>
          <t>9³, 18³, 27³, 54³</t>
        </is>
      </c>
      <c r="I7160" t="n">
        <v>12</v>
      </c>
      <c r="J7160" t="inlineStr">
        <is>
          <t>1⁶, 2⁶, 6³</t>
        </is>
      </c>
      <c r="K7160">
        <f>HYPERLINK("CSG4.html#group18P4", "18P⁴"), =HYPERLINK("CSG7.html#group27C7", "27C⁷"), =HYPERLINK("CSG8.html#group54B8", "54B⁸"), =HYPERLINK("CSG8.html#group54C8", "54C⁸")</f>
        <v/>
      </c>
      <c r="L7160" t="inlineStr"/>
      <c r="M7160">
        <f>HYPERLINK("CSG0.html#group3B0", "3B⁰"), =HYPERLINK("CSG4.html#group18P4", "18P⁴"), =HYPERLINK("CSG0.html#group9J0", "9J⁰"), =HYPERLINK("CSG2.html#group27B2", "27B²"), =HYPERLINK("CSG0.html#group6F0", "6F⁰"), =HYPERLINK("CSG7.html#group27C7", "27C⁷"), =HYPERLINK("CSG8.html#group54C8", "54C⁸"), =HYPERLINK("CSG8.html#group54B8", "54B⁸"), =HYPERLINK("CSG2.html#group18D2", "18D²"), =HYPERLINK("CSG0.html#group2B0", "2B⁰"), =HYPERLINK("CSG0.html#group9C0", "9C⁰"), =HYPERLINK("CSG0.html#group1A0", "1A⁰"), =HYPERLINK("CSG3.html#group27A3", "27A³")</f>
        <v/>
      </c>
      <c r="N7160" t="inlineStr"/>
    </row>
    <row r="7161">
      <c r="A7161" t="inlineStr">
        <is>
          <t>54E²²</t>
        </is>
      </c>
      <c r="B7161" t="inlineStr"/>
      <c r="C7161" t="inlineStr">
        <is>
          <t>324</t>
        </is>
      </c>
      <c r="D7161" t="inlineStr">
        <is>
          <t>1</t>
        </is>
      </c>
      <c r="E7161" t="inlineStr">
        <is>
          <t>36</t>
        </is>
      </c>
      <c r="F7161" t="inlineStr">
        <is>
          <t>0</t>
        </is>
      </c>
      <c r="G7161" t="inlineStr">
        <is>
          <t>0</t>
        </is>
      </c>
      <c r="H7161" t="inlineStr">
        <is>
          <t>9³, 18³, 27³, 54³</t>
        </is>
      </c>
      <c r="I7161" t="n">
        <v>12</v>
      </c>
      <c r="J7161" t="inlineStr">
        <is>
          <t>1⁶, 2⁶, 6³</t>
        </is>
      </c>
      <c r="K7161">
        <f>HYPERLINK("CSG4.html#group18M4", "18M⁴"), =HYPERLINK("CSG7.html#group27D7", "27D⁷"), =HYPERLINK("CSG8.html#group54A8", "54A⁸"), =HYPERLINK("CSG8.html#group54B8", "54B⁸"), =HYPERLINK("CSG8.html#group54C8", "54C⁸")</f>
        <v/>
      </c>
      <c r="L7161" t="inlineStr"/>
      <c r="M7161">
        <f>HYPERLINK("CSG0.html#group3B0", "3B⁰"), =HYPERLINK("CSG2.html#group18E2", "18E²"), =HYPERLINK("CSG0.html#group9B0", "9B⁰"), =HYPERLINK("CSG2.html#group18D2", "18D²"), =HYPERLINK("CSG1.html#group27B1", "27B¹"), =HYPERLINK("CSG0.html#group2B0", "2B⁰"), =HYPERLINK("CSG0.html#group6G0", "6G⁰"), =HYPERLINK("CSG0.html#group9C0", "9C⁰"), =HYPERLINK("CSG0.html#group1A0", "1A⁰"), =HYPERLINK("CSG0.html#group3D0", "3D⁰"), =HYPERLINK("CSG0.html#group18E0", "18E⁰"), =HYPERLINK("CSG2.html#group27B2", "27B²"), =HYPERLINK("CSG0.html#group6D0", "6D⁰"), =HYPERLINK("CSG1.html#group9A1", "9A¹"), =HYPERLINK("CSG8.html#group54C8", "54C⁸"), =HYPERLINK("CSG7.html#group27D7", "27D⁷"), =HYPERLINK("CSG8.html#group54B8", "54B⁸"), =HYPERLINK("CSG0.html#group3C0", "3C⁰"), =HYPERLINK("CSG1.html#group9C1", "9C¹"), =HYPERLINK("CSG0.html#group6K0", "6K⁰"), =HYPERLINK("CSG4.html#group18M4", "18M⁴"), =HYPERLINK("CSG0.html#group3A0", "3A⁰"), =HYPERLINK("CSG8.html#group54A8", "54A⁸"), =HYPERLINK("CSG0.html#group6F0", "6F⁰"), =HYPERLINK("CSG3.html#group27A3", "27A³")</f>
        <v/>
      </c>
      <c r="N7161" t="inlineStr"/>
    </row>
    <row r="7162">
      <c r="A7162" t="inlineStr">
        <is>
          <t>54F²²</t>
        </is>
      </c>
      <c r="B7162" t="inlineStr"/>
      <c r="C7162" t="inlineStr">
        <is>
          <t>324</t>
        </is>
      </c>
      <c r="D7162" t="inlineStr">
        <is>
          <t>1</t>
        </is>
      </c>
      <c r="E7162" t="inlineStr">
        <is>
          <t>108</t>
        </is>
      </c>
      <c r="F7162" t="inlineStr">
        <is>
          <t>0</t>
        </is>
      </c>
      <c r="G7162" t="inlineStr">
        <is>
          <t>0</t>
        </is>
      </c>
      <c r="H7162" t="inlineStr">
        <is>
          <t>9³, 18³, 27³, 54³</t>
        </is>
      </c>
      <c r="I7162" t="n">
        <v>12</v>
      </c>
      <c r="J7162" t="inlineStr">
        <is>
          <t>3⁶, 6¹⁵</t>
        </is>
      </c>
      <c r="K7162">
        <f>HYPERLINK("CSG4.html#group18P4", "18P⁴"), =HYPERLINK("CSG6.html#group27A6", "27A⁶")</f>
        <v/>
      </c>
      <c r="L7162" t="inlineStr"/>
      <c r="M7162">
        <f>HYPERLINK("CSG0.html#group3B0", "3B⁰"), =HYPERLINK("CSG4.html#group18P4", "18P⁴"), =HYPERLINK("CSG0.html#group9J0", "9J⁰"), =HYPERLINK("CSG6.html#group27A6", "27A⁶"), =HYPERLINK("CSG2.html#group18D2", "18D²"), =HYPERLINK("CSG0.html#group1A0", "1A⁰"), =HYPERLINK("CSG0.html#group2B0", "2B⁰"), =HYPERLINK("CSG0.html#group9C0", "9C⁰"), =HYPERLINK("CSG0.html#group6F0", "6F⁰")</f>
        <v/>
      </c>
      <c r="N7162" t="inlineStr"/>
    </row>
    <row r="7163">
      <c r="A7163" t="inlineStr">
        <is>
          <t>54G²²</t>
        </is>
      </c>
      <c r="B7163" t="inlineStr"/>
      <c r="C7163" t="inlineStr">
        <is>
          <t>324</t>
        </is>
      </c>
      <c r="D7163" t="inlineStr">
        <is>
          <t>1</t>
        </is>
      </c>
      <c r="E7163" t="inlineStr">
        <is>
          <t>108</t>
        </is>
      </c>
      <c r="F7163" t="inlineStr">
        <is>
          <t>0</t>
        </is>
      </c>
      <c r="G7163" t="inlineStr">
        <is>
          <t>0</t>
        </is>
      </c>
      <c r="H7163" t="inlineStr">
        <is>
          <t>9³, 18³, 27³, 54³</t>
        </is>
      </c>
      <c r="I7163" t="n">
        <v>12</v>
      </c>
      <c r="J7163" t="inlineStr">
        <is>
          <t>3⁶, 6¹⁵</t>
        </is>
      </c>
      <c r="K7163">
        <f>HYPERLINK("CSG4.html#group18Q4", "18Q⁴"), =HYPERLINK("CSG7.html#group27E7", "27E⁷")</f>
        <v/>
      </c>
      <c r="L7163" t="inlineStr"/>
      <c r="M7163">
        <f>HYPERLINK("CSG0.html#group3B0", "3B⁰"), =HYPERLINK("CSG7.html#group27E7", "27E⁷"), =HYPERLINK("CSG1.html#group9A1", "9A¹"), =HYPERLINK("CSG2.html#group18E2", "18E²"), =HYPERLINK("CSG4.html#group18Q4", "18Q⁴"), =HYPERLINK("CSG0.html#group1A0", "1A⁰"), =HYPERLINK("CSG0.html#group2B0", "2B⁰"), =HYPERLINK("CSG1.html#group9D1", "9D¹"), =HYPERLINK("CSG0.html#group6F0", "6F⁰")</f>
        <v/>
      </c>
      <c r="N7163" t="inlineStr"/>
    </row>
    <row r="7164">
      <c r="A7164" t="inlineStr">
        <is>
          <t>54H²²</t>
        </is>
      </c>
      <c r="B7164" t="inlineStr"/>
      <c r="C7164" t="inlineStr">
        <is>
          <t>324</t>
        </is>
      </c>
      <c r="D7164" t="inlineStr">
        <is>
          <t>1</t>
        </is>
      </c>
      <c r="E7164" t="inlineStr">
        <is>
          <t>162</t>
        </is>
      </c>
      <c r="F7164" t="inlineStr">
        <is>
          <t>0</t>
        </is>
      </c>
      <c r="G7164" t="inlineStr">
        <is>
          <t>0</t>
        </is>
      </c>
      <c r="H7164" t="inlineStr">
        <is>
          <t>18⁹, 54³</t>
        </is>
      </c>
      <c r="I7164" t="n">
        <v>12</v>
      </c>
      <c r="J7164" t="inlineStr">
        <is>
          <t>3¹, 6⁴, 9¹, 18⁷</t>
        </is>
      </c>
      <c r="K7164">
        <f>HYPERLINK("CSG7.html#group18C7", "18C⁷"), =HYPERLINK("CSG8.html#group27A8", "27A⁸")</f>
        <v/>
      </c>
      <c r="L7164" t="inlineStr"/>
      <c r="M7164">
        <f>HYPERLINK("CSG2.html#group18F2", "18F²"), =HYPERLINK("CSG0.html#group2A0", "2A⁰"), =HYPERLINK("CSG0.html#group6B0", "6B⁰"), =HYPERLINK("CSG4.html#group18B4", "18B⁴"), =HYPERLINK("CSG1.html#group18H1", "18H¹"), =HYPERLINK("CSG0.html#group9G0", "9G⁰"), =HYPERLINK("CSG8.html#group27A8", "27A⁸"), =HYPERLINK("CSG2.html#group18A2", "18A²"), =HYPERLINK("CSG2.html#group9B2", "9B²"), =HYPERLINK("CSG0.html#group9E0", "9E⁰"), =HYPERLINK("CSG7.html#group18C7", "18C⁷"), =HYPERLINK("CSG0.html#group1A0", "1A⁰"), =HYPERLINK("CSG0.html#group18A0", "18A⁰"), =HYPERLINK("CSG1.html#group9B1", "9B¹"), =HYPERLINK("CSG1.html#group6B1", "6B¹"), =HYPERLINK("CSG0.html#group9A0", "9A⁰"), =HYPERLINK("CSG3.html#group18C3", "18C³"), =HYPERLINK("CSG0.html#group3C0", "3C⁰"), =HYPERLINK("CSG1.html#group6A1", "6A¹"), =HYPERLINK("CSG0.html#group3A0", "3A⁰")</f>
        <v/>
      </c>
      <c r="N7164" t="inlineStr"/>
    </row>
    <row r="7165">
      <c r="A7165" t="inlineStr">
        <is>
          <t>54I²²</t>
        </is>
      </c>
      <c r="B7165" t="inlineStr"/>
      <c r="C7165" t="inlineStr">
        <is>
          <t>324</t>
        </is>
      </c>
      <c r="D7165" t="inlineStr">
        <is>
          <t>1</t>
        </is>
      </c>
      <c r="E7165" t="inlineStr">
        <is>
          <t>162</t>
        </is>
      </c>
      <c r="F7165" t="inlineStr">
        <is>
          <t>0</t>
        </is>
      </c>
      <c r="G7165" t="inlineStr">
        <is>
          <t>0</t>
        </is>
      </c>
      <c r="H7165" t="inlineStr">
        <is>
          <t>18⁹, 54³</t>
        </is>
      </c>
      <c r="I7165" t="n">
        <v>12</v>
      </c>
      <c r="J7165" t="inlineStr">
        <is>
          <t>1¹, 2⁴, 6³, 9¹, 18⁷</t>
        </is>
      </c>
      <c r="K7165">
        <f>HYPERLINK("CSG7.html#group18B7", "18B⁷"), =HYPERLINK("CSG7.html#group27G7", "27G⁷")</f>
        <v/>
      </c>
      <c r="L7165" t="inlineStr"/>
      <c r="M7165">
        <f>HYPERLINK("CSG2.html#group18F2", "18F²"), =HYPERLINK("CSG0.html#group2A0", "2A⁰"), =HYPERLINK("CSG7.html#group27G7", "27G⁷"), =HYPERLINK("CSG0.html#group6B0", "6B⁰"), =HYPERLINK("CSG3.html#group18A3", "18A³"), =HYPERLINK("CSG7.html#group18B7", "18B⁷"), =HYPERLINK("CSG1.html#group9E1", "9E¹"), =HYPERLINK("CSG2.html#group18A2", "18A²"), =HYPERLINK("CSG0.html#group9E0", "9E⁰"), =HYPERLINK("CSG0.html#group1A0", "1A⁰"), =HYPERLINK("CSG0.html#group9D0", "9D⁰"), =HYPERLINK("CSG1.html#group6B1", "6B¹"), =HYPERLINK("CSG0.html#group9A0", "9A⁰"), =HYPERLINK("CSG0.html#group3C0", "3C⁰"), =HYPERLINK("CSG1.html#group6A1", "6A¹"), =HYPERLINK("CSG0.html#group3A0", "3A⁰"), =HYPERLINK("CSG1.html#group18A1", "18A¹")</f>
        <v/>
      </c>
      <c r="N7165" t="inlineStr"/>
    </row>
    <row r="7166">
      <c r="A7166" t="inlineStr">
        <is>
          <t>54J²²</t>
        </is>
      </c>
      <c r="B7166" t="inlineStr"/>
      <c r="C7166" t="inlineStr">
        <is>
          <t>324</t>
        </is>
      </c>
      <c r="D7166" t="inlineStr">
        <is>
          <t>2</t>
        </is>
      </c>
      <c r="E7166" t="inlineStr">
        <is>
          <t>81</t>
        </is>
      </c>
      <c r="F7166" t="inlineStr">
        <is>
          <t>12</t>
        </is>
      </c>
      <c r="G7166" t="inlineStr">
        <is>
          <t>0</t>
        </is>
      </c>
      <c r="H7166" t="inlineStr">
        <is>
          <t>54⁶</t>
        </is>
      </c>
      <c r="I7166" t="n">
        <v>6</v>
      </c>
      <c r="J7166" t="inlineStr">
        <is>
          <t>6⁹, 18⁶</t>
        </is>
      </c>
      <c r="K7166">
        <f>HYPERLINK("CSG4.html#group18S4", "18S⁴"), =HYPERLINK("CSG7.html#group54A7", "54A⁷"), =HYPERLINK("CSG10.html#group27A10", "27A¹⁰"), =HYPERLINK("CSG11.html#group54A11", "54A¹¹")</f>
        <v/>
      </c>
      <c r="L7166" t="inlineStr"/>
      <c r="M7166">
        <f>HYPERLINK("CSG10.html#group27A10", "27A¹⁰"), =HYPERLINK("CSG4.html#group18S4", "18S⁴"), =HYPERLINK("CSG0.html#group6B0", "6B⁰"), =HYPERLINK("CSG1.html#group18H1", "18H¹"), =HYPERLINK("CSG0.html#group9G0", "9G⁰"), =HYPERLINK("CSG2.html#group18K2", "18K²"), =HYPERLINK("CSG3.html#group27B3", "27B³"), =HYPERLINK("CSG7.html#group54A7", "54A⁷"), =HYPERLINK("CSG0.html#group1A0", "1A⁰"), =HYPERLINK("CSG1.html#group9B1", "9B¹"), =HYPERLINK("CSG0.html#group18A0", "18A⁰"), =HYPERLINK("CSG0.html#group9D0", "9D⁰"), =HYPERLINK("CSG0.html#group18D0", "18D⁰"), =HYPERLINK("CSG0.html#group6E0", "6E⁰"), =HYPERLINK("CSG0.html#group9A0", "9A⁰"), =HYPERLINK("CSG0.html#group3C0", "3C⁰"), =HYPERLINK("CSG2.html#group18G2", "18G²"), =HYPERLINK("CSG0.html#group3A0", "3A⁰"), =HYPERLINK("CSG1.html#group18A1", "18A¹"), =HYPERLINK("CSG11.html#group54A11", "54A¹¹"), =HYPERLINK("CSG1.html#group9F1", "9F¹")</f>
        <v/>
      </c>
      <c r="N7166" t="inlineStr"/>
    </row>
    <row r="7167">
      <c r="A7167" t="inlineStr">
        <is>
          <t>54K²²</t>
        </is>
      </c>
      <c r="B7167" t="inlineStr"/>
      <c r="C7167" t="inlineStr">
        <is>
          <t>324</t>
        </is>
      </c>
      <c r="D7167" t="inlineStr">
        <is>
          <t>2</t>
        </is>
      </c>
      <c r="E7167" t="inlineStr">
        <is>
          <t>162</t>
        </is>
      </c>
      <c r="F7167" t="inlineStr">
        <is>
          <t>12</t>
        </is>
      </c>
      <c r="G7167" t="inlineStr">
        <is>
          <t>0</t>
        </is>
      </c>
      <c r="H7167" t="inlineStr">
        <is>
          <t>54⁶</t>
        </is>
      </c>
      <c r="I7167" t="n">
        <v>6</v>
      </c>
      <c r="J7167" t="inlineStr">
        <is>
          <t>6¹⁸, 18¹²</t>
        </is>
      </c>
      <c r="K7167">
        <f>HYPERLINK("CSG4.html#group18S4", "18S⁴"), =HYPERLINK("CSG11.html#group54B11", "54B¹¹")</f>
        <v/>
      </c>
      <c r="L7167" t="inlineStr"/>
      <c r="M7167">
        <f>HYPERLINK("CSG4.html#group18S4", "18S⁴"), =HYPERLINK("CSG0.html#group6B0", "6B⁰"), =HYPERLINK("CSG1.html#group18H1", "18H¹"), =HYPERLINK("CSG0.html#group9G0", "9G⁰"), =HYPERLINK("CSG2.html#group18K2", "18K²"), =HYPERLINK("CSG1.html#group9F1", "9F¹"), =HYPERLINK("CSG0.html#group1A0", "1A⁰"), =HYPERLINK("CSG0.html#group18A0", "18A⁰"), =HYPERLINK("CSG1.html#group9B1", "9B¹"), =HYPERLINK("CSG0.html#group9D0", "9D⁰"), =HYPERLINK("CSG0.html#group18D0", "18D⁰"), =HYPERLINK("CSG0.html#group6E0", "6E⁰"), =HYPERLINK("CSG0.html#group9A0", "9A⁰"), =HYPERLINK("CSG0.html#group3C0", "3C⁰"), =HYPERLINK("CSG2.html#group18G2", "18G²"), =HYPERLINK("CSG0.html#group3A0", "3A⁰"), =HYPERLINK("CSG1.html#group18A1", "18A¹"), =HYPERLINK("CSG11.html#group54B11", "54B¹¹")</f>
        <v/>
      </c>
      <c r="N7167" t="inlineStr"/>
    </row>
    <row r="7168">
      <c r="A7168" t="inlineStr">
        <is>
          <t>55A²²</t>
        </is>
      </c>
      <c r="B7168" t="inlineStr"/>
      <c r="C7168" t="inlineStr">
        <is>
          <t>330</t>
        </is>
      </c>
      <c r="D7168" t="inlineStr">
        <is>
          <t>1</t>
        </is>
      </c>
      <c r="E7168" t="inlineStr">
        <is>
          <t>330</t>
        </is>
      </c>
      <c r="F7168" t="inlineStr">
        <is>
          <t>6</t>
        </is>
      </c>
      <c r="G7168" t="inlineStr">
        <is>
          <t>0</t>
        </is>
      </c>
      <c r="H7168" t="inlineStr">
        <is>
          <t>11⁵, 55⁵</t>
        </is>
      </c>
      <c r="I7168" t="n">
        <v>10</v>
      </c>
      <c r="J7168" t="inlineStr">
        <is>
          <t>5², 10¹⁰, 20¹, 40⁵</t>
        </is>
      </c>
      <c r="K7168">
        <f>HYPERLINK("CSG1.html#group11B1", "11B¹"), =HYPERLINK("CSG4.html#group55A4", "55A⁴")</f>
        <v/>
      </c>
      <c r="L7168" t="inlineStr"/>
      <c r="M7168">
        <f>HYPERLINK("CSG0.html#group5B0", "5B⁰"), =HYPERLINK("CSG0.html#group11A0", "11A⁰"), =HYPERLINK("CSG4.html#group55A4", "55A⁴"), =HYPERLINK("CSG1.html#group11B1", "11B¹"), =HYPERLINK("CSG0.html#group1A0", "1A⁰")</f>
        <v/>
      </c>
      <c r="N7168" t="inlineStr"/>
    </row>
    <row r="7169">
      <c r="A7169" t="inlineStr">
        <is>
          <t>56A²²</t>
        </is>
      </c>
      <c r="B7169" t="inlineStr"/>
      <c r="C7169" t="inlineStr">
        <is>
          <t>336</t>
        </is>
      </c>
      <c r="D7169" t="inlineStr">
        <is>
          <t>1</t>
        </is>
      </c>
      <c r="E7169" t="inlineStr">
        <is>
          <t>84</t>
        </is>
      </c>
      <c r="F7169" t="inlineStr">
        <is>
          <t>16</t>
        </is>
      </c>
      <c r="G7169" t="inlineStr">
        <is>
          <t>0</t>
        </is>
      </c>
      <c r="H7169" t="inlineStr">
        <is>
          <t>56⁶</t>
        </is>
      </c>
      <c r="I7169" t="n">
        <v>6</v>
      </c>
      <c r="J7169" t="inlineStr">
        <is>
          <t>12², 24⁶</t>
        </is>
      </c>
      <c r="K7169">
        <f>HYPERLINK("CSG8.html#group28B8", "28B⁸"), =HYPERLINK("CSG11.html#group56J11", "56J¹¹")</f>
        <v/>
      </c>
      <c r="L7169" t="inlineStr"/>
      <c r="M7169">
        <f>HYPERLINK("CSG11.html#group56J11", "56J¹¹"), =HYPERLINK("CSG0.html#group7D0", "7D⁰"), =HYPERLINK("CSG0.html#group4A0", "4A⁰"), =HYPERLINK("CSG8.html#group28B8", "28B⁸"), =HYPERLINK("CSG0.html#group1A0", "1A⁰"), =HYPERLINK("CSG4.html#group28B4", "28B⁴"), =HYPERLINK("CSG1.html#group28A1", "28A¹"), =HYPERLINK("CSG1.html#group14E1", "14E¹"), =HYPERLINK("CSG0.html#group7A0", "7A⁰"), =HYPERLINK("CSG3.html#group56A3", "56A³")</f>
        <v/>
      </c>
      <c r="N7169" t="inlineStr"/>
    </row>
    <row r="7170">
      <c r="A7170" t="inlineStr">
        <is>
          <t>56B²²</t>
        </is>
      </c>
      <c r="B7170" t="inlineStr"/>
      <c r="C7170" t="inlineStr">
        <is>
          <t>336</t>
        </is>
      </c>
      <c r="D7170" t="inlineStr">
        <is>
          <t>1</t>
        </is>
      </c>
      <c r="E7170" t="inlineStr">
        <is>
          <t>84</t>
        </is>
      </c>
      <c r="F7170" t="inlineStr">
        <is>
          <t>16</t>
        </is>
      </c>
      <c r="G7170" t="inlineStr">
        <is>
          <t>0</t>
        </is>
      </c>
      <c r="H7170" t="inlineStr">
        <is>
          <t>56⁶</t>
        </is>
      </c>
      <c r="I7170" t="n">
        <v>6</v>
      </c>
      <c r="J7170" t="inlineStr">
        <is>
          <t>12², 24⁶</t>
        </is>
      </c>
      <c r="K7170">
        <f>HYPERLINK("CSG8.html#group28B8", "28B⁸"), =HYPERLINK("CSG11.html#group56K11", "56K¹¹")</f>
        <v/>
      </c>
      <c r="L7170" t="inlineStr"/>
      <c r="M7170">
        <f>HYPERLINK("CSG1.html#group14E1", "14E¹"), =HYPERLINK("CSG3.html#group56B3", "56B³"), =HYPERLINK("CSG0.html#group7D0", "7D⁰"), =HYPERLINK("CSG11.html#group56K11", "56K¹¹"), =HYPERLINK("CSG0.html#group4A0", "4A⁰"), =HYPERLINK("CSG8.html#group28B8", "28B⁸"), =HYPERLINK("CSG4.html#group28B4", "28B⁴"), =HYPERLINK("CSG1.html#group28A1", "28A¹"), =HYPERLINK("CSG0.html#group1A0", "1A⁰"), =HYPERLINK("CSG0.html#group7A0", "7A⁰")</f>
        <v/>
      </c>
      <c r="N7170" t="inlineStr"/>
    </row>
    <row r="7171">
      <c r="A7171" t="inlineStr">
        <is>
          <t>56C²²</t>
        </is>
      </c>
      <c r="B7171" t="inlineStr"/>
      <c r="C7171" t="inlineStr">
        <is>
          <t>336</t>
        </is>
      </c>
      <c r="D7171" t="inlineStr">
        <is>
          <t>2</t>
        </is>
      </c>
      <c r="E7171" t="inlineStr">
        <is>
          <t>84</t>
        </is>
      </c>
      <c r="F7171" t="inlineStr">
        <is>
          <t>8</t>
        </is>
      </c>
      <c r="G7171" t="inlineStr">
        <is>
          <t>0</t>
        </is>
      </c>
      <c r="H7171" t="inlineStr">
        <is>
          <t>28⁸, 56²</t>
        </is>
      </c>
      <c r="I7171" t="n">
        <v>10</v>
      </c>
      <c r="J7171" t="inlineStr">
        <is>
          <t>4², 8², 12⁴, 24⁴</t>
        </is>
      </c>
      <c r="K7171">
        <f>HYPERLINK("CSG10.html#group28A10", "28A¹⁰"), =HYPERLINK("CSG11.html#group56F11", "56F¹¹"), =HYPERLINK("CSG11.html#group56G11", "56G¹¹")</f>
        <v/>
      </c>
      <c r="L7171" t="inlineStr"/>
      <c r="M7171">
        <f>HYPERLINK("CSG11.html#group56G11", "56G¹¹"), =HYPERLINK("CSG2.html#group28E2", "28E²"), =HYPERLINK("CSG0.html#group14A0", "14A⁰"), =HYPERLINK("CSG4.html#group28C4", "28C⁴"), =HYPERLINK("CSG1.html#group14B1", "14B¹"), =HYPERLINK("CSG0.html#group4C0", "4C⁰"), =HYPERLINK("CSG2.html#group14C2", "14C²"), =HYPERLINK("CSG5.html#group28C5", "28C⁵"), =HYPERLINK("CSG0.html#group2B0", "2B⁰"), =HYPERLINK("CSG0.html#group1A0", "1A⁰"), =HYPERLINK("CSG0.html#group8K0", "8K⁰"), =HYPERLINK("CSG10.html#group28A10", "28A¹⁰"), =HYPERLINK("CSG2.html#group28C2", "28C²"), =HYPERLINK("CSG11.html#group56F11", "56F¹¹"), =HYPERLINK("CSG0.html#group4A0", "4A⁰"), =HYPERLINK("CSG5.html#group28D5", "28D⁵"), =HYPERLINK("CSG0.html#group4F0", "4F⁰"), =HYPERLINK("CSG1.html#group28A1", "28A¹"), =HYPERLINK("CSG2.html#group28B2", "28B²"), =HYPERLINK("CSG0.html#group7A0", "7A⁰")</f>
        <v/>
      </c>
      <c r="N7171" t="inlineStr"/>
    </row>
    <row r="7172">
      <c r="A7172" t="inlineStr">
        <is>
          <t>56D²²</t>
        </is>
      </c>
      <c r="B7172" t="inlineStr"/>
      <c r="C7172" t="inlineStr">
        <is>
          <t>336</t>
        </is>
      </c>
      <c r="D7172" t="inlineStr">
        <is>
          <t>2</t>
        </is>
      </c>
      <c r="E7172" t="inlineStr">
        <is>
          <t>84</t>
        </is>
      </c>
      <c r="F7172" t="inlineStr">
        <is>
          <t>12</t>
        </is>
      </c>
      <c r="G7172" t="inlineStr">
        <is>
          <t>0</t>
        </is>
      </c>
      <c r="H7172" t="inlineStr">
        <is>
          <t>28⁴, 56⁴</t>
        </is>
      </c>
      <c r="I7172" t="n">
        <v>8</v>
      </c>
      <c r="J7172" t="inlineStr">
        <is>
          <t>4⁶, 12¹²</t>
        </is>
      </c>
      <c r="K7172">
        <f>HYPERLINK("CSG10.html#group56C10", "56C¹⁰"), =HYPERLINK("CSG10.html#group56D10", "56D¹⁰")</f>
        <v/>
      </c>
      <c r="L7172" t="inlineStr"/>
      <c r="M7172">
        <f>HYPERLINK("CSG5.html#group56C5", "56C⁵"), =HYPERLINK("CSG1.html#group14B1", "14B¹"), =HYPERLINK("CSG0.html#group8D0", "8D⁰"), =HYPERLINK("CSG0.html#group4C0", "4C⁰"), =HYPERLINK("CSG0.html#group8B0", "8B⁰"), =HYPERLINK("CSG0.html#group2B0", "2B⁰"), =HYPERLINK("CSG10.html#group56D10", "56D¹⁰"), =HYPERLINK("CSG0.html#group1A0", "1A⁰"), =HYPERLINK("CSG10.html#group56C10", "56C¹⁰"), =HYPERLINK("CSG0.html#group8H0", "8H⁰"), =HYPERLINK("CSG2.html#group28C2", "28C²"), =HYPERLINK("CSG0.html#group4A0", "4A⁰"), =HYPERLINK("CSG5.html#group28D5", "28D⁵"), =HYPERLINK("CSG0.html#group4F0", "4F⁰"), =HYPERLINK("CSG1.html#group28A1", "28A¹"), =HYPERLINK("CSG0.html#group7A0", "7A⁰"), =HYPERLINK("CSG4.html#group56B4", "56B⁴")</f>
        <v/>
      </c>
      <c r="N7172" t="inlineStr"/>
    </row>
    <row r="7173">
      <c r="A7173" t="inlineStr">
        <is>
          <t>56E²²</t>
        </is>
      </c>
      <c r="B7173" t="inlineStr"/>
      <c r="C7173" t="inlineStr">
        <is>
          <t>336</t>
        </is>
      </c>
      <c r="D7173" t="inlineStr">
        <is>
          <t>2</t>
        </is>
      </c>
      <c r="E7173" t="inlineStr">
        <is>
          <t>84</t>
        </is>
      </c>
      <c r="F7173" t="inlineStr">
        <is>
          <t>12</t>
        </is>
      </c>
      <c r="G7173" t="inlineStr">
        <is>
          <t>0</t>
        </is>
      </c>
      <c r="H7173" t="inlineStr">
        <is>
          <t>28⁴, 56⁴</t>
        </is>
      </c>
      <c r="I7173" t="n">
        <v>8</v>
      </c>
      <c r="J7173" t="inlineStr">
        <is>
          <t>4⁶, 12¹²</t>
        </is>
      </c>
      <c r="K7173">
        <f>HYPERLINK("CSG0.html#group8P0", "8P⁰"), =HYPERLINK("CSG10.html#group56C10", "56C¹⁰"), =HYPERLINK("CSG10.html#group56E10", "56E¹⁰")</f>
        <v/>
      </c>
      <c r="L7173" t="inlineStr"/>
      <c r="M7173">
        <f>HYPERLINK("CSG5.html#group56C5", "56C⁵"), =HYPERLINK("CSG10.html#group56E10", "56E¹⁰"), =HYPERLINK("CSG1.html#group14B1", "14B¹"), =HYPERLINK("CSG0.html#group8D0", "8D⁰"), =HYPERLINK("CSG0.html#group4C0", "4C⁰"), =HYPERLINK("CSG0.html#group8B0", "8B⁰"), =HYPERLINK("CSG0.html#group8L0", "8L⁰"), =HYPERLINK("CSG0.html#group2B0", "2B⁰"), =HYPERLINK("CSG0.html#group1A0", "1A⁰"), =HYPERLINK("CSG10.html#group56C10", "56C¹⁰"), =HYPERLINK("CSG0.html#group8H0", "8H⁰"), =HYPERLINK("CSG2.html#group28C2", "28C²"), =HYPERLINK("CSG0.html#group4A0", "4A⁰"), =HYPERLINK("CSG5.html#group28D5", "28D⁵"), =HYPERLINK("CSG0.html#group4F0", "4F⁰"), =HYPERLINK("CSG0.html#group8P0", "8P⁰"), =HYPERLINK("CSG1.html#group28A1", "28A¹"), =HYPERLINK("CSG0.html#group7A0", "7A⁰"), =HYPERLINK("CSG4.html#group56B4", "56B⁴")</f>
        <v/>
      </c>
      <c r="N7173" t="inlineStr"/>
    </row>
    <row r="7174">
      <c r="A7174" t="inlineStr">
        <is>
          <t>56F²²</t>
        </is>
      </c>
      <c r="B7174" t="inlineStr"/>
      <c r="C7174" t="inlineStr">
        <is>
          <t>336</t>
        </is>
      </c>
      <c r="D7174" t="inlineStr">
        <is>
          <t>2</t>
        </is>
      </c>
      <c r="E7174" t="inlineStr">
        <is>
          <t>84</t>
        </is>
      </c>
      <c r="F7174" t="inlineStr">
        <is>
          <t>12</t>
        </is>
      </c>
      <c r="G7174" t="inlineStr">
        <is>
          <t>0</t>
        </is>
      </c>
      <c r="H7174" t="inlineStr">
        <is>
          <t>28⁴, 56⁴</t>
        </is>
      </c>
      <c r="I7174" t="n">
        <v>8</v>
      </c>
      <c r="J7174" t="inlineStr">
        <is>
          <t>4⁸, 8², 12¹⁶, 24⁴</t>
        </is>
      </c>
      <c r="K7174">
        <f>HYPERLINK("CSG10.html#group56B10", "56B¹⁰"), =HYPERLINK("CSG10.html#group56D10", "56D¹⁰"), =HYPERLINK("CSG10.html#group56E10", "56E¹⁰")</f>
        <v/>
      </c>
      <c r="L7174" t="inlineStr"/>
      <c r="M7174">
        <f>HYPERLINK("CSG2.html#group28C2", "28C²"), =HYPERLINK("CSG5.html#group56B5", "56B⁵"), =HYPERLINK("CSG10.html#group56B10", "56B¹⁰"), =HYPERLINK("CSG10.html#group56E10", "56E¹⁰"), =HYPERLINK("CSG1.html#group14B1", "14B¹"), =HYPERLINK("CSG0.html#group4C0", "4C⁰"), =HYPERLINK("CSG0.html#group8B0", "8B⁰"), =HYPERLINK("CSG5.html#group28C5", "28C⁵"), =HYPERLINK("CSG0.html#group2B0", "2B⁰"), =HYPERLINK("CSG10.html#group56D10", "56D¹⁰"), =HYPERLINK("CSG0.html#group8L0", "8L⁰"), =HYPERLINK("CSG0.html#group1A0", "1A⁰"), =HYPERLINK("CSG0.html#group7A0", "7A⁰"), =HYPERLINK("CSG4.html#group56B4", "56B⁴")</f>
        <v/>
      </c>
      <c r="N7174" t="inlineStr"/>
    </row>
    <row r="7175">
      <c r="A7175" t="inlineStr">
        <is>
          <t>56G²²</t>
        </is>
      </c>
      <c r="B7175" t="inlineStr"/>
      <c r="C7175" t="inlineStr">
        <is>
          <t>336</t>
        </is>
      </c>
      <c r="D7175" t="inlineStr">
        <is>
          <t>2</t>
        </is>
      </c>
      <c r="E7175" t="inlineStr">
        <is>
          <t>84</t>
        </is>
      </c>
      <c r="F7175" t="inlineStr">
        <is>
          <t>12</t>
        </is>
      </c>
      <c r="G7175" t="inlineStr">
        <is>
          <t>0</t>
        </is>
      </c>
      <c r="H7175" t="inlineStr">
        <is>
          <t>28⁴, 56⁴</t>
        </is>
      </c>
      <c r="I7175" t="n">
        <v>8</v>
      </c>
      <c r="J7175" t="inlineStr">
        <is>
          <t>4⁸, 8², 12¹⁶, 24⁴</t>
        </is>
      </c>
      <c r="K7175">
        <f>HYPERLINK("CSG10.html#group56B10", "56B¹⁰"), =HYPERLINK("CSG10.html#group56D10", "56D¹⁰"), =HYPERLINK("CSG10.html#group56E10", "56E¹⁰")</f>
        <v/>
      </c>
      <c r="L7175" t="inlineStr"/>
      <c r="M7175">
        <f>HYPERLINK("CSG2.html#group28C2", "28C²"), =HYPERLINK("CSG5.html#group56B5", "56B⁵"), =HYPERLINK("CSG10.html#group56B10", "56B¹⁰"), =HYPERLINK("CSG10.html#group56E10", "56E¹⁰"), =HYPERLINK("CSG1.html#group14B1", "14B¹"), =HYPERLINK("CSG0.html#group4C0", "4C⁰"), =HYPERLINK("CSG0.html#group8B0", "8B⁰"), =HYPERLINK("CSG5.html#group28C5", "28C⁵"), =HYPERLINK("CSG0.html#group2B0", "2B⁰"), =HYPERLINK("CSG10.html#group56D10", "56D¹⁰"), =HYPERLINK("CSG0.html#group8L0", "8L⁰"), =HYPERLINK("CSG0.html#group1A0", "1A⁰"), =HYPERLINK("CSG0.html#group7A0", "7A⁰"), =HYPERLINK("CSG4.html#group56B4", "56B⁴")</f>
        <v/>
      </c>
      <c r="N7175" t="inlineStr"/>
    </row>
    <row r="7176">
      <c r="A7176" t="inlineStr">
        <is>
          <t>56H²²</t>
        </is>
      </c>
      <c r="B7176" t="inlineStr"/>
      <c r="C7176" t="inlineStr">
        <is>
          <t>336</t>
        </is>
      </c>
      <c r="D7176" t="inlineStr">
        <is>
          <t>2</t>
        </is>
      </c>
      <c r="E7176" t="inlineStr">
        <is>
          <t>84</t>
        </is>
      </c>
      <c r="F7176" t="inlineStr">
        <is>
          <t>16</t>
        </is>
      </c>
      <c r="G7176" t="inlineStr">
        <is>
          <t>0</t>
        </is>
      </c>
      <c r="H7176" t="inlineStr">
        <is>
          <t>56⁶</t>
        </is>
      </c>
      <c r="I7176" t="n">
        <v>6</v>
      </c>
      <c r="J7176" t="inlineStr">
        <is>
          <t>12², 24⁶</t>
        </is>
      </c>
      <c r="K7176">
        <f>HYPERLINK("CSG8.html#group28B8", "28B⁸"), =HYPERLINK("CSG11.html#group56H11", "56H¹¹"), =HYPERLINK("CSG11.html#group56I11", "56I¹¹")</f>
        <v/>
      </c>
      <c r="L7176" t="inlineStr"/>
      <c r="M7176">
        <f>HYPERLINK("CSG1.html#group14E1", "14E¹"), =HYPERLINK("CSG3.html#group56D3", "56D³"), =HYPERLINK("CSG0.html#group7D0", "7D⁰"), =HYPERLINK("CSG0.html#group4A0", "4A⁰"), =HYPERLINK("CSG11.html#group56I11", "56I¹¹"), =HYPERLINK("CSG8.html#group28B8", "28B⁸"), =HYPERLINK("CSG0.html#group8A0", "8A⁰"), =HYPERLINK("CSG3.html#group56C3", "56C³"), =HYPERLINK("CSG4.html#group28B4", "28B⁴"), =HYPERLINK("CSG1.html#group28A1", "28A¹"), =HYPERLINK("CSG0.html#group1A0", "1A⁰"), =HYPERLINK("CSG11.html#group56H11", "56H¹¹"), =HYPERLINK("CSG0.html#group7A0", "7A⁰")</f>
        <v/>
      </c>
      <c r="N7176" t="inlineStr"/>
    </row>
    <row r="7177">
      <c r="A7177" t="inlineStr">
        <is>
          <t>56I²²</t>
        </is>
      </c>
      <c r="B7177" t="inlineStr"/>
      <c r="C7177" t="inlineStr">
        <is>
          <t>336</t>
        </is>
      </c>
      <c r="D7177" t="inlineStr">
        <is>
          <t>2</t>
        </is>
      </c>
      <c r="E7177" t="inlineStr">
        <is>
          <t>168</t>
        </is>
      </c>
      <c r="F7177" t="inlineStr">
        <is>
          <t>8</t>
        </is>
      </c>
      <c r="G7177" t="inlineStr">
        <is>
          <t>6</t>
        </is>
      </c>
      <c r="H7177" t="inlineStr">
        <is>
          <t>56⁶</t>
        </is>
      </c>
      <c r="I7177" t="n">
        <v>6</v>
      </c>
      <c r="J7177" t="inlineStr">
        <is>
          <t>24²⁸</t>
        </is>
      </c>
      <c r="K7177">
        <f>HYPERLINK("CSG9.html#group28D9", "28D⁹")</f>
        <v/>
      </c>
      <c r="L7177" t="inlineStr"/>
      <c r="M7177">
        <f>HYPERLINK("CSG0.html#group14A0", "14A⁰"), =HYPERLINK("CSG9.html#group28D9", "28D⁹"), =HYPERLINK("CSG1.html#group14F1", "14F¹"), =HYPERLINK("CSG0.html#group1A0", "1A⁰"), =HYPERLINK("CSG0.html#group7A0", "7A⁰")</f>
        <v/>
      </c>
      <c r="N7177" t="inlineStr"/>
    </row>
    <row r="7178">
      <c r="A7178" t="inlineStr">
        <is>
          <t>56J²²</t>
        </is>
      </c>
      <c r="B7178" t="inlineStr"/>
      <c r="C7178" t="inlineStr">
        <is>
          <t>336</t>
        </is>
      </c>
      <c r="D7178" t="inlineStr">
        <is>
          <t>2</t>
        </is>
      </c>
      <c r="E7178" t="inlineStr">
        <is>
          <t>168</t>
        </is>
      </c>
      <c r="F7178" t="inlineStr">
        <is>
          <t>8</t>
        </is>
      </c>
      <c r="G7178" t="inlineStr">
        <is>
          <t>6</t>
        </is>
      </c>
      <c r="H7178" t="inlineStr">
        <is>
          <t>56⁶</t>
        </is>
      </c>
      <c r="I7178" t="n">
        <v>6</v>
      </c>
      <c r="J7178" t="inlineStr">
        <is>
          <t>24²⁸</t>
        </is>
      </c>
      <c r="K7178">
        <f>HYPERLINK("CSG9.html#group28D9", "28D⁹")</f>
        <v/>
      </c>
      <c r="L7178" t="inlineStr"/>
      <c r="M7178">
        <f>HYPERLINK("CSG0.html#group14A0", "14A⁰"), =HYPERLINK("CSG9.html#group28D9", "28D⁹"), =HYPERLINK("CSG1.html#group14F1", "14F¹"), =HYPERLINK("CSG0.html#group1A0", "1A⁰"), =HYPERLINK("CSG0.html#group7A0", "7A⁰")</f>
        <v/>
      </c>
      <c r="N7178" t="inlineStr"/>
    </row>
    <row r="7179">
      <c r="A7179" t="inlineStr">
        <is>
          <t>56K²²</t>
        </is>
      </c>
      <c r="B7179" t="inlineStr"/>
      <c r="C7179" t="inlineStr">
        <is>
          <t>336</t>
        </is>
      </c>
      <c r="D7179" t="inlineStr">
        <is>
          <t>2</t>
        </is>
      </c>
      <c r="E7179" t="inlineStr">
        <is>
          <t>168</t>
        </is>
      </c>
      <c r="F7179" t="inlineStr">
        <is>
          <t>8</t>
        </is>
      </c>
      <c r="G7179" t="inlineStr">
        <is>
          <t>6</t>
        </is>
      </c>
      <c r="H7179" t="inlineStr">
        <is>
          <t>56⁶</t>
        </is>
      </c>
      <c r="I7179" t="n">
        <v>6</v>
      </c>
      <c r="J7179" t="inlineStr">
        <is>
          <t>24²⁸</t>
        </is>
      </c>
      <c r="K7179">
        <f>HYPERLINK("CSG6.html#group56F6", "56F⁶"), =HYPERLINK("CSG9.html#group28E9", "28E⁹")</f>
        <v/>
      </c>
      <c r="L7179" t="inlineStr"/>
      <c r="M7179">
        <f>HYPERLINK("CSG2.html#group28E2", "28E²"), =HYPERLINK("CSG9.html#group28E9", "28E⁹"), =HYPERLINK("CSG0.html#group14A0", "14A⁰"), =HYPERLINK("CSG1.html#group14F1", "14F¹"), =HYPERLINK("CSG0.html#group4A0", "4A⁰"), =HYPERLINK("CSG0.html#group8A0", "8A⁰"), =HYPERLINK("CSG3.html#group56C3", "56C³"), =HYPERLINK("CSG1.html#group28A1", "28A¹"), =HYPERLINK("CSG0.html#group1A0", "1A⁰"), =HYPERLINK("CSG6.html#group56F6", "56F⁶"), =HYPERLINK("CSG0.html#group7A0", "7A⁰"), =HYPERLINK("CSG3.html#group56A3", "56A³")</f>
        <v/>
      </c>
      <c r="N7179" t="inlineStr"/>
    </row>
    <row r="7180">
      <c r="A7180" t="inlineStr">
        <is>
          <t>56L²²</t>
        </is>
      </c>
      <c r="B7180" t="inlineStr"/>
      <c r="C7180" t="inlineStr">
        <is>
          <t>336</t>
        </is>
      </c>
      <c r="D7180" t="inlineStr">
        <is>
          <t>2</t>
        </is>
      </c>
      <c r="E7180" t="inlineStr">
        <is>
          <t>168</t>
        </is>
      </c>
      <c r="F7180" t="inlineStr">
        <is>
          <t>8</t>
        </is>
      </c>
      <c r="G7180" t="inlineStr">
        <is>
          <t>6</t>
        </is>
      </c>
      <c r="H7180" t="inlineStr">
        <is>
          <t>56⁶</t>
        </is>
      </c>
      <c r="I7180" t="n">
        <v>6</v>
      </c>
      <c r="J7180" t="inlineStr">
        <is>
          <t>24²⁸</t>
        </is>
      </c>
      <c r="K7180">
        <f>HYPERLINK("CSG6.html#group56G6", "56G⁶"), =HYPERLINK("CSG9.html#group28E9", "28E⁹")</f>
        <v/>
      </c>
      <c r="L7180" t="inlineStr"/>
      <c r="M7180">
        <f>HYPERLINK("CSG2.html#group28E2", "28E²"), =HYPERLINK("CSG9.html#group28E9", "28E⁹"), =HYPERLINK("CSG0.html#group14A0", "14A⁰"), =HYPERLINK("CSG3.html#group56D3", "56D³"), =HYPERLINK("CSG1.html#group14F1", "14F¹"), =HYPERLINK("CSG3.html#group56B3", "56B³"), =HYPERLINK("CSG0.html#group4A0", "4A⁰"), =HYPERLINK("CSG0.html#group8A0", "8A⁰"), =HYPERLINK("CSG1.html#group28A1", "28A¹"), =HYPERLINK("CSG0.html#group1A0", "1A⁰"), =HYPERLINK("CSG6.html#group56G6", "56G⁶"), =HYPERLINK("CSG0.html#group7A0", "7A⁰")</f>
        <v/>
      </c>
      <c r="N7180" t="inlineStr"/>
    </row>
    <row r="7181">
      <c r="A7181" t="inlineStr">
        <is>
          <t>58A²²</t>
        </is>
      </c>
      <c r="B7181" t="inlineStr"/>
      <c r="C7181" t="inlineStr">
        <is>
          <t>420</t>
        </is>
      </c>
      <c r="D7181" t="inlineStr">
        <is>
          <t>1</t>
        </is>
      </c>
      <c r="E7181" t="inlineStr">
        <is>
          <t>30</t>
        </is>
      </c>
      <c r="F7181" t="inlineStr">
        <is>
          <t>28</t>
        </is>
      </c>
      <c r="G7181" t="inlineStr">
        <is>
          <t>0</t>
        </is>
      </c>
      <c r="H7181" t="inlineStr">
        <is>
          <t>2⁷, 58⁷</t>
        </is>
      </c>
      <c r="I7181" t="n">
        <v>14</v>
      </c>
      <c r="J7181" t="inlineStr">
        <is>
          <t>1², 28¹</t>
        </is>
      </c>
      <c r="K7181">
        <f>HYPERLINK("CSG4.html#group58A4", "58A⁴"), =HYPERLINK("CSG8.html#group29A8", "29A⁸")</f>
        <v/>
      </c>
      <c r="L7181" t="inlineStr"/>
      <c r="M7181">
        <f>HYPERLINK("CSG8.html#group29A8", "29A⁸"), =HYPERLINK("CSG4.html#group58A4", "58A⁴"), =HYPERLINK("CSG0.html#group1A0", "1A⁰"), =HYPERLINK("CSG2.html#group29A2", "29A²")</f>
        <v/>
      </c>
      <c r="N7181" t="inlineStr"/>
    </row>
    <row r="7182">
      <c r="A7182" t="inlineStr">
        <is>
          <t>60A²²</t>
        </is>
      </c>
      <c r="B7182" t="inlineStr"/>
      <c r="C7182" t="inlineStr">
        <is>
          <t>360</t>
        </is>
      </c>
      <c r="D7182" t="inlineStr">
        <is>
          <t>1</t>
        </is>
      </c>
      <c r="E7182" t="inlineStr">
        <is>
          <t>60</t>
        </is>
      </c>
      <c r="F7182" t="inlineStr">
        <is>
          <t>0</t>
        </is>
      </c>
      <c r="G7182" t="inlineStr">
        <is>
          <t>0</t>
        </is>
      </c>
      <c r="H7182" t="inlineStr">
        <is>
          <t>5⁶, 15⁶, 20³, 60³</t>
        </is>
      </c>
      <c r="I7182" t="n">
        <v>18</v>
      </c>
      <c r="J7182" t="inlineStr">
        <is>
          <t>1⁶, 2³, 4⁶, 8³</t>
        </is>
      </c>
      <c r="K7182">
        <f>HYPERLINK("CSG4.html#group20D4", "20D⁴"), =HYPERLINK("CSG8.html#group60C8", "60C⁸"), =HYPERLINK("CSG10.html#group30F10", "30F¹⁰")</f>
        <v/>
      </c>
      <c r="L7182" t="inlineStr"/>
      <c r="M7182">
        <f>HYPERLINK("CSG2.html#group20A2", "20A²"), =HYPERLINK("CSG4.html#group20D4", "20D⁴"), =HYPERLINK("CSG0.html#group3B0", "3B⁰"), =HYPERLINK("CSG0.html#group5A0", "5A⁰"), =HYPERLINK("CSG10.html#group30F10", "30F¹⁰"), =HYPERLINK("CSG1.html#group10B1", "10B¹"), =HYPERLINK("CSG0.html#group2B0", "2B⁰"), =HYPERLINK("CSG0.html#group4B0", "4B⁰"), =HYPERLINK("CSG0.html#group1A0", "1A⁰"), =HYPERLINK("CSG3.html#group15A3", "15A³"), =HYPERLINK("CSG1.html#group10I1", "10I¹"), =HYPERLINK("CSG4.html#group30D4", "30D⁴"), =HYPERLINK("CSG8.html#group60C8", "60C⁸"), =HYPERLINK("CSG0.html#group5E0", "5E⁰"), =HYPERLINK("CSG1.html#group15B1", "15B¹"), =HYPERLINK("CSG0.html#group6F0", "6F⁰"), =HYPERLINK("CSG0.html#group12E0", "12E⁰")</f>
        <v/>
      </c>
      <c r="N7182" t="inlineStr"/>
    </row>
    <row r="7183">
      <c r="A7183" t="inlineStr">
        <is>
          <t>60B²²</t>
        </is>
      </c>
      <c r="B7183" t="inlineStr"/>
      <c r="C7183" t="inlineStr">
        <is>
          <t>360</t>
        </is>
      </c>
      <c r="D7183" t="inlineStr">
        <is>
          <t>1</t>
        </is>
      </c>
      <c r="E7183" t="inlineStr">
        <is>
          <t>60</t>
        </is>
      </c>
      <c r="F7183" t="inlineStr">
        <is>
          <t>24</t>
        </is>
      </c>
      <c r="G7183" t="inlineStr">
        <is>
          <t>0</t>
        </is>
      </c>
      <c r="H7183" t="inlineStr">
        <is>
          <t>60⁶</t>
        </is>
      </c>
      <c r="I7183" t="n">
        <v>6</v>
      </c>
      <c r="J7183" t="inlineStr">
        <is>
          <t>2², 4², 8², 16²</t>
        </is>
      </c>
      <c r="K7183">
        <f>HYPERLINK("CSG4.html#group30E4", "30E⁴"), =HYPERLINK("CSG8.html#group60D8", "60D⁸"), =HYPERLINK("CSG10.html#group60B10", "60B¹⁰")</f>
        <v/>
      </c>
      <c r="L7183" t="inlineStr"/>
      <c r="M7183">
        <f>HYPERLINK("CSG0.html#group5A0", "5A⁰"), =HYPERLINK("CSG0.html#group6B0", "6B⁰"), =HYPERLINK("CSG8.html#group60D8", "60D⁸"), =HYPERLINK("CSG1.html#group15F1", "15F¹"), =HYPERLINK("CSG0.html#group12F0", "12F⁰"), =HYPERLINK("CSG1.html#group20A1", "20A¹"), =HYPERLINK("CSG0.html#group1A0", "1A⁰"), =HYPERLINK("CSG3.html#group60A3", "60A³"), =HYPERLINK("CSG0.html#group12A0", "12A⁰"), =HYPERLINK("CSG10.html#group60B10", "60B¹⁰"), =HYPERLINK("CSG4.html#group30E4", "30E⁴"), =HYPERLINK("CSG2.html#group30A2", "30A²"), =HYPERLINK("CSG0.html#group4A0", "4A⁰"), =HYPERLINK("CSG4.html#group60A4", "60A⁴"), =HYPERLINK("CSG0.html#group5E0", "5E⁰"), =HYPERLINK("CSG0.html#group15A0", "15A⁰"), =HYPERLINK("CSG0.html#group3A0", "3A⁰"), =HYPERLINK("CSG1.html#group15A1", "15A¹"), =HYPERLINK("CSG3.html#group20D3", "20D³")</f>
        <v/>
      </c>
      <c r="N7183" t="inlineStr"/>
    </row>
    <row r="7184">
      <c r="A7184" t="inlineStr">
        <is>
          <t>60C²²</t>
        </is>
      </c>
      <c r="B7184" t="inlineStr"/>
      <c r="C7184" t="inlineStr">
        <is>
          <t>360</t>
        </is>
      </c>
      <c r="D7184" t="inlineStr">
        <is>
          <t>1</t>
        </is>
      </c>
      <c r="E7184" t="inlineStr">
        <is>
          <t>60</t>
        </is>
      </c>
      <c r="F7184" t="inlineStr">
        <is>
          <t>24</t>
        </is>
      </c>
      <c r="G7184" t="inlineStr">
        <is>
          <t>0</t>
        </is>
      </c>
      <c r="H7184" t="inlineStr">
        <is>
          <t>60⁶</t>
        </is>
      </c>
      <c r="I7184" t="n">
        <v>6</v>
      </c>
      <c r="J7184" t="inlineStr">
        <is>
          <t>2², 4², 8⁶</t>
        </is>
      </c>
      <c r="K7184">
        <f>HYPERLINK("CSG4.html#group30F4", "30F⁴"), =HYPERLINK("CSG6.html#group20B6", "20B⁶"), =HYPERLINK("CSG10.html#group60B10", "60B¹⁰")</f>
        <v/>
      </c>
      <c r="L7184" t="inlineStr"/>
      <c r="M7184">
        <f>HYPERLINK("CSG0.html#group5A0", "5A⁰"), =HYPERLINK("CSG6.html#group20B6", "20B⁶"), =HYPERLINK("CSG1.html#group15F1", "15F¹"), =HYPERLINK("CSG1.html#group20A1", "20A¹"), =HYPERLINK("CSG1.html#group10E1", "10E¹"), =HYPERLINK("CSG0.html#group1A0", "1A⁰"), =HYPERLINK("CSG3.html#group60A3", "60A³"), =HYPERLINK("CSG4.html#group30F4", "30F⁴"), =HYPERLINK("CSG0.html#group12A0", "12A⁰"), =HYPERLINK("CSG10.html#group60B10", "60B¹⁰"), =HYPERLINK("CSG0.html#group4A0", "4A⁰"), =HYPERLINK("CSG4.html#group60A4", "60A⁴"), =HYPERLINK("CSG0.html#group5E0", "5E⁰"), =HYPERLINK("CSG3.html#group20D3", "20D³"), =HYPERLINK("CSG0.html#group3A0", "3A⁰"), =HYPERLINK("CSG1.html#group15A1", "15A¹"), =HYPERLINK("CSG0.html#group15A0", "15A⁰")</f>
        <v/>
      </c>
      <c r="N7184" t="inlineStr"/>
    </row>
    <row r="7185">
      <c r="A7185" t="inlineStr">
        <is>
          <t>60D²²</t>
        </is>
      </c>
      <c r="B7185" t="inlineStr"/>
      <c r="C7185" t="inlineStr">
        <is>
          <t>360</t>
        </is>
      </c>
      <c r="D7185" t="inlineStr">
        <is>
          <t>1</t>
        </is>
      </c>
      <c r="E7185" t="inlineStr">
        <is>
          <t>180</t>
        </is>
      </c>
      <c r="F7185" t="inlineStr">
        <is>
          <t>0</t>
        </is>
      </c>
      <c r="G7185" t="inlineStr">
        <is>
          <t>0</t>
        </is>
      </c>
      <c r="H7185" t="inlineStr">
        <is>
          <t>5⁶, 15⁶, 20³, 60³</t>
        </is>
      </c>
      <c r="I7185" t="n">
        <v>18</v>
      </c>
      <c r="J7185" t="inlineStr">
        <is>
          <t>1⁶, 2⁹, 4²¹, 8⁹</t>
        </is>
      </c>
      <c r="K7185">
        <f>HYPERLINK("CSG3.html#group20P3", "20P³"), =HYPERLINK("CSG10.html#group30F10", "30F¹⁰")</f>
        <v/>
      </c>
      <c r="L7185" t="inlineStr"/>
      <c r="M7185">
        <f>HYPERLINK("CSG0.html#group3B0", "3B⁰"), =HYPERLINK("CSG0.html#group5A0", "5A⁰"), =HYPERLINK("CSG10.html#group30F10", "30F¹⁰"), =HYPERLINK("CSG1.html#group10B1", "10B¹"), =HYPERLINK("CSG0.html#group2B0", "2B⁰"), =HYPERLINK("CSG0.html#group1A0", "1A⁰"), =HYPERLINK("CSG3.html#group15A3", "15A³"), =HYPERLINK("CSG1.html#group10I1", "10I¹"), =HYPERLINK("CSG4.html#group30D4", "30D⁴"), =HYPERLINK("CSG0.html#group5E0", "5E⁰"), =HYPERLINK("CSG3.html#group20P3", "20P³"), =HYPERLINK("CSG1.html#group15B1", "15B¹"), =HYPERLINK("CSG0.html#group6F0", "6F⁰")</f>
        <v/>
      </c>
      <c r="N7185" t="inlineStr"/>
    </row>
    <row r="7186">
      <c r="A7186" t="inlineStr">
        <is>
          <t>63A²²</t>
        </is>
      </c>
      <c r="B7186" t="inlineStr"/>
      <c r="C7186" t="inlineStr">
        <is>
          <t>378</t>
        </is>
      </c>
      <c r="D7186" t="inlineStr">
        <is>
          <t>1</t>
        </is>
      </c>
      <c r="E7186" t="inlineStr">
        <is>
          <t>63</t>
        </is>
      </c>
      <c r="F7186" t="inlineStr">
        <is>
          <t>30</t>
        </is>
      </c>
      <c r="G7186" t="inlineStr">
        <is>
          <t>0</t>
        </is>
      </c>
      <c r="H7186" t="inlineStr">
        <is>
          <t>63⁶</t>
        </is>
      </c>
      <c r="I7186" t="n">
        <v>6</v>
      </c>
      <c r="J7186" t="inlineStr">
        <is>
          <t>3¹, 6⁴, 12³</t>
        </is>
      </c>
      <c r="K7186">
        <f>HYPERLINK("CSG6.html#group21C6", "21C⁶"), =HYPERLINK("CSG6.html#group63E6", "63E⁶"), =HYPERLINK("CSG9.html#group63D9", "63D⁹")</f>
        <v/>
      </c>
      <c r="L7186" t="inlineStr"/>
      <c r="M7186">
        <f>HYPERLINK("CSG2.html#group21D2", "21D²"), =HYPERLINK("CSG9.html#group63D9", "63D⁹"), =HYPERLINK("CSG6.html#group21C6", "21C⁶"), =HYPERLINK("CSG0.html#group9D0", "9D⁰"), =HYPERLINK("CSG0.html#group7D0", "7D⁰"), =HYPERLINK("CSG1.html#group21E1", "21E¹"), =HYPERLINK("CSG0.html#group9A0", "9A⁰"), =HYPERLINK("CSG2.html#group63A2", "63A²"), =HYPERLINK("CSG6.html#group63E6", "63E⁶"), =HYPERLINK("CSG0.html#group21A0", "21A⁰"), =HYPERLINK("CSG0.html#group3C0", "3C⁰"), =HYPERLINK("CSG0.html#group3A0", "3A⁰"), =HYPERLINK("CSG0.html#group1A0", "1A⁰"), =HYPERLINK("CSG0.html#group7A0", "7A⁰")</f>
        <v/>
      </c>
      <c r="N7186" t="inlineStr"/>
    </row>
    <row r="7187">
      <c r="A7187" t="inlineStr">
        <is>
          <t>63B²²</t>
        </is>
      </c>
      <c r="B7187" t="inlineStr"/>
      <c r="C7187" t="inlineStr">
        <is>
          <t>378</t>
        </is>
      </c>
      <c r="D7187" t="inlineStr">
        <is>
          <t>2</t>
        </is>
      </c>
      <c r="E7187" t="inlineStr">
        <is>
          <t>63</t>
        </is>
      </c>
      <c r="F7187" t="inlineStr">
        <is>
          <t>30</t>
        </is>
      </c>
      <c r="G7187" t="inlineStr">
        <is>
          <t>0</t>
        </is>
      </c>
      <c r="H7187" t="inlineStr">
        <is>
          <t>63⁶</t>
        </is>
      </c>
      <c r="I7187" t="n">
        <v>6</v>
      </c>
      <c r="J7187" t="inlineStr">
        <is>
          <t>2¹, 4¹, 6², 12³, 36²</t>
        </is>
      </c>
      <c r="K7187">
        <f>HYPERLINK("CSG4.html#group21E4", "21E⁴"), =HYPERLINK("CSG8.html#group63A8", "63A⁸"), =HYPERLINK("CSG9.html#group63D9", "63D⁹")</f>
        <v/>
      </c>
      <c r="L7187" t="inlineStr"/>
      <c r="M7187">
        <f>HYPERLINK("CSG0.html#group7D0", "7D⁰"), =HYPERLINK("CSG2.html#group21C2", "21C²"), =HYPERLINK("CSG0.html#group21A0", "21A⁰"), =HYPERLINK("CSG0.html#group7G0", "7G⁰"), =HYPERLINK("CSG0.html#group1A0", "1A⁰"), =HYPERLINK("CSG2.html#group63A2", "63A²"), =HYPERLINK("CSG8.html#group63A8", "63A⁸"), =HYPERLINK("CSG9.html#group63D9", "63D⁹"), =HYPERLINK("CSG1.html#group21E1", "21E¹"), =HYPERLINK("CSG0.html#group9A0", "9A⁰"), =HYPERLINK("CSG0.html#group7C0", "7C⁰"), =HYPERLINK("CSG1.html#group21C1", "21C¹"), =HYPERLINK("CSG0.html#group3A0", "3A⁰"), =HYPERLINK("CSG4.html#group21E4", "21E⁴"), =HYPERLINK("CSG0.html#group7A0", "7A⁰")</f>
        <v/>
      </c>
      <c r="N7187" t="inlineStr"/>
    </row>
    <row r="7188">
      <c r="A7188" t="inlineStr">
        <is>
          <t>64A²²</t>
        </is>
      </c>
      <c r="B7188" t="inlineStr"/>
      <c r="C7188" t="inlineStr">
        <is>
          <t>384</t>
        </is>
      </c>
      <c r="D7188" t="inlineStr">
        <is>
          <t>1</t>
        </is>
      </c>
      <c r="E7188" t="inlineStr">
        <is>
          <t>96</t>
        </is>
      </c>
      <c r="F7188" t="inlineStr">
        <is>
          <t>4</t>
        </is>
      </c>
      <c r="G7188" t="inlineStr">
        <is>
          <t>0</t>
        </is>
      </c>
      <c r="H7188" t="inlineStr">
        <is>
          <t>8¹⁶, 64⁴</t>
        </is>
      </c>
      <c r="I7188" t="n">
        <v>20</v>
      </c>
      <c r="J7188" t="inlineStr">
        <is>
          <t>2², 4³, 8², 16⁴</t>
        </is>
      </c>
      <c r="K7188">
        <f>HYPERLINK("CSG9.html#group64G9", "64G⁹"), =HYPERLINK("CSG9.html#group64H9", "64H⁹"), =HYPERLINK("CSG10.html#group32B10", "32B¹⁰")</f>
        <v/>
      </c>
      <c r="L7188" t="inlineStr"/>
      <c r="M7188">
        <f>HYPERLINK("CSG5.html#group32I5", "32I⁵"), =HYPERLINK("CSG9.html#group64G9", "64G⁹"), =HYPERLINK("CSG1.html#group16I1", "16I¹"), =HYPERLINK("CSG0.html#group8D0", "8D⁰"), =HYPERLINK("CSG0.html#group4C0", "4C⁰"), =HYPERLINK("CSG0.html#group8B0", "8B⁰"), =HYPERLINK("CSG0.html#group8A0", "8A⁰"), =HYPERLINK("CSG0.html#group2B0", "2B⁰"), =HYPERLINK("CSG0.html#group1A0", "1A⁰"), =HYPERLINK("CSG0.html#group8K0", "8K⁰"), =HYPERLINK("CSG1.html#group8D1", "8D¹"), =HYPERLINK("CSG1.html#group8H1", "8H¹"), =HYPERLINK("CSG2.html#group16E2", "16E²"), =HYPERLINK("CSG0.html#group8H0", "8H⁰"), =HYPERLINK("CSG0.html#group16E0", "16E⁰"), =HYPERLINK("CSG4.html#group16B4", "16B⁴"), =HYPERLINK("CSG1.html#group16D1", "16D¹"), =HYPERLINK("CSG0.html#group4A0", "4A⁰"), =HYPERLINK("CSG10.html#group32B10", "32B¹⁰"), =HYPERLINK("CSG1.html#group16C1", "16C¹"), =HYPERLINK("CSG0.html#group4F0", "4F⁰"), =HYPERLINK("CSG9.html#group64H9", "64H⁹"), =HYPERLINK("CSG3.html#group32P3", "32P³")</f>
        <v/>
      </c>
      <c r="N7188" t="inlineStr"/>
    </row>
    <row r="7189">
      <c r="A7189" t="inlineStr">
        <is>
          <t>64B²²</t>
        </is>
      </c>
      <c r="B7189" t="inlineStr"/>
      <c r="C7189" t="inlineStr">
        <is>
          <t>384</t>
        </is>
      </c>
      <c r="D7189" t="inlineStr">
        <is>
          <t>1</t>
        </is>
      </c>
      <c r="E7189" t="inlineStr">
        <is>
          <t>96</t>
        </is>
      </c>
      <c r="F7189" t="inlineStr">
        <is>
          <t>4</t>
        </is>
      </c>
      <c r="G7189" t="inlineStr">
        <is>
          <t>0</t>
        </is>
      </c>
      <c r="H7189" t="inlineStr">
        <is>
          <t>8¹⁶, 64⁴</t>
        </is>
      </c>
      <c r="I7189" t="n">
        <v>20</v>
      </c>
      <c r="J7189" t="inlineStr">
        <is>
          <t>2², 4³, 8², 16⁴</t>
        </is>
      </c>
      <c r="K7189">
        <f>HYPERLINK("CSG9.html#group64G9", "64G⁹"), =HYPERLINK("CSG9.html#group64H9", "64H⁹"), =HYPERLINK("CSG10.html#group32B10", "32B¹⁰")</f>
        <v/>
      </c>
      <c r="L7189" t="inlineStr"/>
      <c r="M7189">
        <f>HYPERLINK("CSG5.html#group32I5", "32I⁵"), =HYPERLINK("CSG9.html#group64G9", "64G⁹"), =HYPERLINK("CSG1.html#group16I1", "16I¹"), =HYPERLINK("CSG0.html#group8D0", "8D⁰"), =HYPERLINK("CSG0.html#group4C0", "4C⁰"), =HYPERLINK("CSG0.html#group8B0", "8B⁰"), =HYPERLINK("CSG0.html#group8A0", "8A⁰"), =HYPERLINK("CSG0.html#group2B0", "2B⁰"), =HYPERLINK("CSG0.html#group1A0", "1A⁰"), =HYPERLINK("CSG0.html#group8K0", "8K⁰"), =HYPERLINK("CSG1.html#group8D1", "8D¹"), =HYPERLINK("CSG1.html#group8H1", "8H¹"), =HYPERLINK("CSG2.html#group16E2", "16E²"), =HYPERLINK("CSG0.html#group8H0", "8H⁰"), =HYPERLINK("CSG0.html#group16E0", "16E⁰"), =HYPERLINK("CSG4.html#group16B4", "16B⁴"), =HYPERLINK("CSG1.html#group16D1", "16D¹"), =HYPERLINK("CSG0.html#group4A0", "4A⁰"), =HYPERLINK("CSG10.html#group32B10", "32B¹⁰"), =HYPERLINK("CSG1.html#group16C1", "16C¹"), =HYPERLINK("CSG0.html#group4F0", "4F⁰"), =HYPERLINK("CSG9.html#group64H9", "64H⁹"), =HYPERLINK("CSG3.html#group32P3", "32P³")</f>
        <v/>
      </c>
      <c r="N7189" t="inlineStr"/>
    </row>
    <row r="7190">
      <c r="A7190" t="inlineStr">
        <is>
          <t>66A²²</t>
        </is>
      </c>
      <c r="B7190" t="inlineStr"/>
      <c r="C7190" t="inlineStr">
        <is>
          <t>330</t>
        </is>
      </c>
      <c r="D7190" t="inlineStr">
        <is>
          <t>1</t>
        </is>
      </c>
      <c r="E7190" t="inlineStr">
        <is>
          <t>55</t>
        </is>
      </c>
      <c r="F7190" t="inlineStr">
        <is>
          <t>0</t>
        </is>
      </c>
      <c r="G7190" t="inlineStr">
        <is>
          <t>12</t>
        </is>
      </c>
      <c r="H7190" t="inlineStr">
        <is>
          <t>66⁵</t>
        </is>
      </c>
      <c r="I7190" t="n">
        <v>5</v>
      </c>
      <c r="J7190" t="inlineStr">
        <is>
          <t>10¹, 20⁵</t>
        </is>
      </c>
      <c r="K7190">
        <f>HYPERLINK("CSG5.html#group22B5", "22B⁵"), =HYPERLINK("CSG8.html#group33A8", "33A⁸")</f>
        <v/>
      </c>
      <c r="L7190" t="inlineStr"/>
      <c r="M7190">
        <f>HYPERLINK("CSG0.html#group11A0", "11A⁰"), =HYPERLINK("CSG0.html#group2A0", "2A⁰"), =HYPERLINK("CSG0.html#group1A0", "1A⁰"), =HYPERLINK("CSG1.html#group22A1", "22A¹"), =HYPERLINK("CSG8.html#group33A8", "33A⁸"), =HYPERLINK("CSG1.html#group11B1", "11B¹"), =HYPERLINK("CSG5.html#group22B5", "22B⁵")</f>
        <v/>
      </c>
      <c r="N7190" t="inlineStr"/>
    </row>
    <row r="7191">
      <c r="A7191" t="inlineStr">
        <is>
          <t>66B²²</t>
        </is>
      </c>
      <c r="B7191" t="inlineStr"/>
      <c r="C7191" t="inlineStr">
        <is>
          <t>330</t>
        </is>
      </c>
      <c r="D7191" t="inlineStr">
        <is>
          <t>1</t>
        </is>
      </c>
      <c r="E7191" t="inlineStr">
        <is>
          <t>55</t>
        </is>
      </c>
      <c r="F7191" t="inlineStr">
        <is>
          <t>0</t>
        </is>
      </c>
      <c r="G7191" t="inlineStr">
        <is>
          <t>12</t>
        </is>
      </c>
      <c r="H7191" t="inlineStr">
        <is>
          <t>66⁵</t>
        </is>
      </c>
      <c r="I7191" t="n">
        <v>5</v>
      </c>
      <c r="J7191" t="inlineStr">
        <is>
          <t>10¹, 20⁵</t>
        </is>
      </c>
      <c r="K7191">
        <f>HYPERLINK("CSG5.html#group22B5", "22B⁵"), =HYPERLINK("CSG8.html#group33B8", "33B⁸")</f>
        <v/>
      </c>
      <c r="L7191" t="inlineStr"/>
      <c r="M7191">
        <f>HYPERLINK("CSG0.html#group11A0", "11A⁰"), =HYPERLINK("CSG0.html#group2A0", "2A⁰"), =HYPERLINK("CSG0.html#group1A0", "1A⁰"), =HYPERLINK("CSG1.html#group22A1", "22A¹"), =HYPERLINK("CSG1.html#group11B1", "11B¹"), =HYPERLINK("CSG5.html#group22B5", "22B⁵"), =HYPERLINK("CSG8.html#group33B8", "33B⁸")</f>
        <v/>
      </c>
      <c r="N7191" t="inlineStr"/>
    </row>
    <row r="7192">
      <c r="A7192" t="inlineStr">
        <is>
          <t>66C²²</t>
        </is>
      </c>
      <c r="B7192" t="inlineStr"/>
      <c r="C7192" t="inlineStr">
        <is>
          <t>330</t>
        </is>
      </c>
      <c r="D7192" t="inlineStr">
        <is>
          <t>1</t>
        </is>
      </c>
      <c r="E7192" t="inlineStr">
        <is>
          <t>110</t>
        </is>
      </c>
      <c r="F7192" t="inlineStr">
        <is>
          <t>0</t>
        </is>
      </c>
      <c r="G7192" t="inlineStr">
        <is>
          <t>12</t>
        </is>
      </c>
      <c r="H7192" t="inlineStr">
        <is>
          <t>66⁵</t>
        </is>
      </c>
      <c r="I7192" t="n">
        <v>5</v>
      </c>
      <c r="J7192" t="inlineStr">
        <is>
          <t>10¹, 20⁵</t>
        </is>
      </c>
      <c r="K7192">
        <f>HYPERLINK("CSG4.html#group66A4", "66A⁴"), =HYPERLINK("CSG5.html#group22B5", "22B⁵")</f>
        <v/>
      </c>
      <c r="L7192" t="inlineStr"/>
      <c r="M7192">
        <f>HYPERLINK("CSG0.html#group11A0", "11A⁰"), =HYPERLINK("CSG0.html#group2A0", "2A⁰"), =HYPERLINK("CSG1.html#group22A1", "22A¹"), =HYPERLINK("CSG0.html#group6A0", "6A⁰"), =HYPERLINK("CSG5.html#group22B5", "22B⁵"), =HYPERLINK("CSG4.html#group66A4", "66A⁴"), =HYPERLINK("CSG1.html#group11B1", "11B¹"), =HYPERLINK("CSG0.html#group1A0", "1A⁰")</f>
        <v/>
      </c>
      <c r="N7192" t="inlineStr"/>
    </row>
    <row r="7193">
      <c r="A7193" t="inlineStr">
        <is>
          <t>66D²²</t>
        </is>
      </c>
      <c r="B7193" t="inlineStr"/>
      <c r="C7193" t="inlineStr">
        <is>
          <t>330</t>
        </is>
      </c>
      <c r="D7193" t="inlineStr">
        <is>
          <t>1</t>
        </is>
      </c>
      <c r="E7193" t="inlineStr">
        <is>
          <t>165</t>
        </is>
      </c>
      <c r="F7193" t="inlineStr">
        <is>
          <t>16</t>
        </is>
      </c>
      <c r="G7193" t="inlineStr">
        <is>
          <t>0</t>
        </is>
      </c>
      <c r="H7193" t="inlineStr">
        <is>
          <t>66⁵</t>
        </is>
      </c>
      <c r="I7193" t="n">
        <v>5</v>
      </c>
      <c r="J7193" t="inlineStr">
        <is>
          <t>5¹, 10⁶, 20⁵</t>
        </is>
      </c>
      <c r="K7193">
        <f>HYPERLINK("CSG7.html#group33A7", "33A⁷")</f>
        <v/>
      </c>
      <c r="L7193" t="inlineStr"/>
      <c r="M7193">
        <f>HYPERLINK("CSG0.html#group3A0", "3A⁰"), =HYPERLINK("CSG1.html#group11C1", "11C¹"), =HYPERLINK("CSG7.html#group33A7", "33A⁷"), =HYPERLINK("CSG0.html#group1A0", "1A⁰")</f>
        <v/>
      </c>
      <c r="N7193" t="inlineStr"/>
    </row>
    <row r="7194">
      <c r="A7194" t="inlineStr">
        <is>
          <t>66E²²</t>
        </is>
      </c>
      <c r="B7194" t="inlineStr"/>
      <c r="C7194" t="inlineStr">
        <is>
          <t>396</t>
        </is>
      </c>
      <c r="D7194" t="inlineStr">
        <is>
          <t>1</t>
        </is>
      </c>
      <c r="E7194" t="inlineStr">
        <is>
          <t>66</t>
        </is>
      </c>
      <c r="F7194" t="inlineStr">
        <is>
          <t>36</t>
        </is>
      </c>
      <c r="G7194" t="inlineStr">
        <is>
          <t>0</t>
        </is>
      </c>
      <c r="H7194" t="inlineStr">
        <is>
          <t>66⁶</t>
        </is>
      </c>
      <c r="I7194" t="n">
        <v>6</v>
      </c>
      <c r="J7194" t="inlineStr">
        <is>
          <t>1¹, 5¹, 10⁶</t>
        </is>
      </c>
      <c r="K7194">
        <f>HYPERLINK("CSG6.html#group22B6", "22B⁶"), =HYPERLINK("CSG10.html#group33C10", "33C¹⁰")</f>
        <v/>
      </c>
      <c r="L7194" t="inlineStr"/>
      <c r="M7194">
        <f>HYPERLINK("CSG10.html#group33C10", "33C¹⁰"), =HYPERLINK("CSG0.html#group11A0", "11A⁰"), =HYPERLINK("CSG2.html#group11A2", "11A²"), =HYPERLINK("CSG6.html#group22B6", "22B⁶"), =HYPERLINK("CSG0.html#group3A0", "3A⁰"), =HYPERLINK("CSG0.html#group1A0", "1A⁰"), =HYPERLINK("CSG1.html#group33A1", "33A¹")</f>
        <v/>
      </c>
      <c r="N7194" t="inlineStr"/>
    </row>
    <row r="7195">
      <c r="A7195" t="inlineStr">
        <is>
          <t>70A²²</t>
        </is>
      </c>
      <c r="B7195" t="inlineStr"/>
      <c r="C7195" t="inlineStr">
        <is>
          <t>315</t>
        </is>
      </c>
      <c r="D7195" t="inlineStr">
        <is>
          <t>2</t>
        </is>
      </c>
      <c r="E7195" t="inlineStr">
        <is>
          <t>105</t>
        </is>
      </c>
      <c r="F7195" t="inlineStr">
        <is>
          <t>9</t>
        </is>
      </c>
      <c r="G7195" t="inlineStr">
        <is>
          <t>0</t>
        </is>
      </c>
      <c r="H7195" t="inlineStr">
        <is>
          <t>35³, 70³</t>
        </is>
      </c>
      <c r="I7195" t="n">
        <v>6</v>
      </c>
      <c r="J7195" t="inlineStr">
        <is>
          <t>2³, 6⁶, 8³, 24⁶</t>
        </is>
      </c>
      <c r="K7195">
        <f>HYPERLINK("CSG1.html#group10I1", "10I¹"), =HYPERLINK("CSG6.html#group35B6", "35B⁶"), =HYPERLINK("CSG8.html#group70A8", "70A⁸")</f>
        <v/>
      </c>
      <c r="L7195" t="inlineStr"/>
      <c r="M7195">
        <f>HYPERLINK("CSG0.html#group5A0", "5A⁰"), =HYPERLINK("CSG1.html#group10I1", "10I¹"), =HYPERLINK("CSG1.html#group14B1", "14B¹"), =HYPERLINK("CSG1.html#group10B1", "10B¹"), =HYPERLINK("CSG8.html#group70A8", "70A⁸"), =HYPERLINK("CSG0.html#group5E0", "5E⁰"), =HYPERLINK("CSG0.html#group2B0", "2B⁰"), =HYPERLINK("CSG6.html#group35B6", "35B⁶"), =HYPERLINK("CSG0.html#group1A0", "1A⁰"), =HYPERLINK("CSG2.html#group35A2", "35A²"), =HYPERLINK("CSG0.html#group7A0", "7A⁰")</f>
        <v/>
      </c>
      <c r="N7195" t="inlineStr"/>
    </row>
    <row r="7196">
      <c r="A7196" t="inlineStr">
        <is>
          <t>72A²²</t>
        </is>
      </c>
      <c r="B7196" t="inlineStr"/>
      <c r="C7196" t="inlineStr">
        <is>
          <t>288</t>
        </is>
      </c>
      <c r="D7196" t="inlineStr">
        <is>
          <t>1</t>
        </is>
      </c>
      <c r="E7196" t="inlineStr">
        <is>
          <t>48</t>
        </is>
      </c>
      <c r="F7196" t="inlineStr">
        <is>
          <t>0</t>
        </is>
      </c>
      <c r="G7196" t="inlineStr">
        <is>
          <t>0</t>
        </is>
      </c>
      <c r="H7196" t="inlineStr">
        <is>
          <t>24³, 72³</t>
        </is>
      </c>
      <c r="I7196" t="n">
        <v>6</v>
      </c>
      <c r="J7196" t="inlineStr">
        <is>
          <t>2⁴, 4⁶, 8²</t>
        </is>
      </c>
      <c r="K7196">
        <f>HYPERLINK("CSG6.html#group24B6", "24B⁶"), =HYPERLINK("CSG6.html#group72A6", "72A⁶"), =HYPERLINK("CSG10.html#group36J10", "36J¹⁰")</f>
        <v/>
      </c>
      <c r="L7196" t="inlineStr"/>
      <c r="M7196">
        <f>HYPERLINK("CSG0.html#group3B0", "3B⁰"), =HYPERLINK("CSG6.html#group72A6", "72A⁶"), =HYPERLINK("CSG10.html#group36J10", "36J¹⁰"), =HYPERLINK("CSG2.html#group24A2", "24A²"), =HYPERLINK("CSG1.html#group12F1", "12F¹"), =HYPERLINK("CSG0.html#group4C0", "4C⁰"), =HYPERLINK("CSG0.html#group8A0", "8A⁰"), =HYPERLINK("CSG2.html#group18D2", "18D²"), =HYPERLINK("CSG0.html#group2B0", "2B⁰"), =HYPERLINK("CSG0.html#group9C0", "9C⁰"), =HYPERLINK("CSG5.html#group36A5", "36A⁵"), =HYPERLINK("CSG0.html#group1A0", "1A⁰"), =HYPERLINK("CSG1.html#group8D1", "8D¹"), =HYPERLINK("CSG3.html#group36C3", "36C³"), =HYPERLINK("CSG0.html#group4A0", "4A⁰"), =HYPERLINK("CSG1.html#group12A1", "12A¹"), =HYPERLINK("CSG2.html#group12G2", "12G²"), =HYPERLINK("CSG6.html#group24B6", "24B⁶"), =HYPERLINK("CSG0.html#group4F0", "4F⁰"), =HYPERLINK("CSG0.html#group6F0", "6F⁰")</f>
        <v/>
      </c>
      <c r="N7196" t="inlineStr"/>
    </row>
    <row r="7197">
      <c r="A7197" t="inlineStr">
        <is>
          <t>72B²²</t>
        </is>
      </c>
      <c r="B7197" t="inlineStr"/>
      <c r="C7197" t="inlineStr">
        <is>
          <t>288</t>
        </is>
      </c>
      <c r="D7197" t="inlineStr">
        <is>
          <t>1</t>
        </is>
      </c>
      <c r="E7197" t="inlineStr">
        <is>
          <t>48</t>
        </is>
      </c>
      <c r="F7197" t="inlineStr">
        <is>
          <t>0</t>
        </is>
      </c>
      <c r="G7197" t="inlineStr">
        <is>
          <t>0</t>
        </is>
      </c>
      <c r="H7197" t="inlineStr">
        <is>
          <t>24³, 72³</t>
        </is>
      </c>
      <c r="I7197" t="n">
        <v>6</v>
      </c>
      <c r="J7197" t="inlineStr">
        <is>
          <t>2⁴, 4⁶, 8²</t>
        </is>
      </c>
      <c r="K7197">
        <f>HYPERLINK("CSG6.html#group24B6", "24B⁶"), =HYPERLINK("CSG8.html#group72A8", "72A⁸"), =HYPERLINK("CSG10.html#group36K10", "36K¹⁰")</f>
        <v/>
      </c>
      <c r="L7197" t="inlineStr"/>
      <c r="M7197">
        <f>HYPERLINK("CSG0.html#group3B0", "3B⁰"), =HYPERLINK("CSG2.html#group24A2", "24A²"), =HYPERLINK("CSG1.html#group12F1", "12F¹"), =HYPERLINK("CSG0.html#group4C0", "4C⁰"), =HYPERLINK("CSG2.html#group18E2", "18E²"), =HYPERLINK("CSG0.html#group8A0", "8A⁰"), =HYPERLINK("CSG8.html#group72A8", "72A⁸"), =HYPERLINK("CSG5.html#group36B5", "36B⁵"), =HYPERLINK("CSG0.html#group2B0", "2B⁰"), =HYPERLINK("CSG0.html#group1A0", "1A⁰"), =HYPERLINK("CSG10.html#group36K10", "36K¹⁰"), =HYPERLINK("CSG1.html#group8D1", "8D¹"), =HYPERLINK("CSG0.html#group4A0", "4A⁰"), =HYPERLINK("CSG1.html#group12A1", "12A¹"), =HYPERLINK("CSG1.html#group9A1", "9A¹"), =HYPERLINK("CSG4.html#group36C4", "36C⁴"), =HYPERLINK("CSG2.html#group12G2", "12G²"), =HYPERLINK("CSG6.html#group24B6", "24B⁶"), =HYPERLINK("CSG0.html#group4F0", "4F⁰"), =HYPERLINK("CSG0.html#group6F0", "6F⁰")</f>
        <v/>
      </c>
      <c r="N7197" t="inlineStr"/>
    </row>
    <row r="7198">
      <c r="A7198" t="inlineStr">
        <is>
          <t>72C²²</t>
        </is>
      </c>
      <c r="B7198" t="inlineStr"/>
      <c r="C7198" t="inlineStr">
        <is>
          <t>288</t>
        </is>
      </c>
      <c r="D7198" t="inlineStr">
        <is>
          <t>2</t>
        </is>
      </c>
      <c r="E7198" t="inlineStr">
        <is>
          <t>16</t>
        </is>
      </c>
      <c r="F7198" t="inlineStr">
        <is>
          <t>0</t>
        </is>
      </c>
      <c r="G7198" t="inlineStr">
        <is>
          <t>0</t>
        </is>
      </c>
      <c r="H7198" t="inlineStr">
        <is>
          <t>24³, 72³</t>
        </is>
      </c>
      <c r="I7198" t="n">
        <v>6</v>
      </c>
      <c r="J7198" t="inlineStr">
        <is>
          <t>4⁴, 8²</t>
        </is>
      </c>
      <c r="K7198">
        <f>HYPERLINK("CSG6.html#group72A6", "72A⁶"), =HYPERLINK("CSG7.html#group24D7", "24D⁷"), =HYPERLINK("CSG7.html#group72A7", "72A⁷"), =HYPERLINK("CSG8.html#group72A8", "72A⁸"), =HYPERLINK("CSG10.html#group36H10", "36H¹⁰")</f>
        <v/>
      </c>
      <c r="L7198" t="inlineStr"/>
      <c r="M7198">
        <f>HYPERLINK("CSG10.html#group36H10", "36H¹⁰"), =HYPERLINK("CSG2.html#group24A2", "24A²"), =HYPERLINK("CSG0.html#group8A0", "8A⁰"), =HYPERLINK("CSG8.html#group72A8", "72A⁸"), =HYPERLINK("CSG7.html#group24D7", "24D⁷"), =HYPERLINK("CSG0.html#group9C0", "9C⁰"), =HYPERLINK("CSG0.html#group1A0", "1A⁰"), =HYPERLINK("CSG7.html#group72A7", "72A⁷"), =HYPERLINK("CSG1.html#group24A1", "24A¹"), =HYPERLINK("CSG1.html#group12A1", "12A¹"), =HYPERLINK("CSG0.html#group3C0", "3C⁰"), =HYPERLINK("CSG0.html#group3A0", "3A⁰"), =HYPERLINK("CSG3.html#group36B3", "36B³"), =HYPERLINK("CSG1.html#group12G1", "12G¹"), =HYPERLINK("CSG0.html#group3B0", "3B⁰"), =HYPERLINK("CSG6.html#group72A6", "72A⁶"), =HYPERLINK("CSG3.html#group24D3", "24D³"), =HYPERLINK("CSG3.html#group12B3", "12B³"), =HYPERLINK("CSG0.html#group9B0", "9B⁰"), =HYPERLINK("CSG1.html#group24B1", "24B¹"), =HYPERLINK("CSG3.html#group36C3", "36C³"), =HYPERLINK("CSG3.html#group24E3", "24E³"), =HYPERLINK("CSG0.html#group12A0", "12A⁰"), =HYPERLINK("CSG0.html#group4A0", "4A⁰"), =HYPERLINK("CSG1.html#group9A1", "9A¹"), =HYPERLINK("CSG1.html#group9C1", "9C¹"), =HYPERLINK("CSG4.html#group36C4", "36C⁴"), =HYPERLINK("CSG0.html#group3D0", "3D⁰")</f>
        <v/>
      </c>
      <c r="N7198" t="inlineStr"/>
    </row>
    <row r="7199">
      <c r="A7199" t="inlineStr">
        <is>
          <t>72D²²</t>
        </is>
      </c>
      <c r="B7199" t="inlineStr"/>
      <c r="C7199" t="inlineStr">
        <is>
          <t>288</t>
        </is>
      </c>
      <c r="D7199" t="inlineStr">
        <is>
          <t>2</t>
        </is>
      </c>
      <c r="E7199" t="inlineStr">
        <is>
          <t>48</t>
        </is>
      </c>
      <c r="F7199" t="inlineStr">
        <is>
          <t>0</t>
        </is>
      </c>
      <c r="G7199" t="inlineStr">
        <is>
          <t>0</t>
        </is>
      </c>
      <c r="H7199" t="inlineStr">
        <is>
          <t>24³, 72³</t>
        </is>
      </c>
      <c r="I7199" t="n">
        <v>6</v>
      </c>
      <c r="J7199" t="inlineStr">
        <is>
          <t>4⁴, 8⁴, 24²</t>
        </is>
      </c>
      <c r="K7199">
        <f>HYPERLINK("CSG8.html#group72A8", "72A⁸"), =HYPERLINK("CSG10.html#group36L10", "36L¹⁰")</f>
        <v/>
      </c>
      <c r="L7199" t="inlineStr"/>
      <c r="M7199">
        <f>HYPERLINK("CSG0.html#group3B0", "3B⁰"), =HYPERLINK("CSG2.html#group24A2", "24A²"), =HYPERLINK("CSG0.html#group4A0", "4A⁰"), =HYPERLINK("CSG1.html#group12A1", "12A¹"), =HYPERLINK("CSG1.html#group9A1", "9A¹"), =HYPERLINK("CSG10.html#group36L10", "36L¹⁰"), =HYPERLINK("CSG0.html#group8A0", "8A⁰"), =HYPERLINK("CSG8.html#group72A8", "72A⁸"), =HYPERLINK("CSG4.html#group36C4", "36C⁴"), =HYPERLINK("CSG1.html#group9D1", "9D¹"), =HYPERLINK("CSG0.html#group1A0", "1A⁰")</f>
        <v/>
      </c>
      <c r="N7199" t="inlineStr"/>
    </row>
    <row r="7200">
      <c r="A7200" t="inlineStr">
        <is>
          <t>72E²²</t>
        </is>
      </c>
      <c r="B7200" t="inlineStr"/>
      <c r="C7200" t="inlineStr">
        <is>
          <t>324</t>
        </is>
      </c>
      <c r="D7200" t="inlineStr">
        <is>
          <t>1</t>
        </is>
      </c>
      <c r="E7200" t="inlineStr">
        <is>
          <t>81</t>
        </is>
      </c>
      <c r="F7200" t="inlineStr">
        <is>
          <t>12</t>
        </is>
      </c>
      <c r="G7200" t="inlineStr">
        <is>
          <t>0</t>
        </is>
      </c>
      <c r="H7200" t="inlineStr">
        <is>
          <t>36³, 72³</t>
        </is>
      </c>
      <c r="I7200" t="n">
        <v>6</v>
      </c>
      <c r="J7200" t="inlineStr">
        <is>
          <t>3³, 6¹²</t>
        </is>
      </c>
      <c r="K7200">
        <f>HYPERLINK("CSG0.html#group8B0", "8B⁰"), =HYPERLINK("CSG10.html#group36O10", "36O¹⁰")</f>
        <v/>
      </c>
      <c r="L7200" t="inlineStr"/>
      <c r="M7200">
        <f>HYPERLINK("CSG10.html#group36O10", "36O¹⁰"), =HYPERLINK("CSG0.html#group4C0", "4C⁰"), =HYPERLINK("CSG4.html#group18K4", "18K⁴"), =HYPERLINK("CSG0.html#group8B0", "8B⁰"), =HYPERLINK("CSG0.html#group2B0", "2B⁰"), =HYPERLINK("CSG0.html#group9F0", "9F⁰"), =HYPERLINK("CSG0.html#group1A0", "1A⁰")</f>
        <v/>
      </c>
      <c r="N7200" t="inlineStr"/>
    </row>
    <row r="7201">
      <c r="A7201" t="inlineStr">
        <is>
          <t>72F²²</t>
        </is>
      </c>
      <c r="B7201" t="inlineStr"/>
      <c r="C7201" t="inlineStr">
        <is>
          <t>324</t>
        </is>
      </c>
      <c r="D7201" t="inlineStr">
        <is>
          <t>1</t>
        </is>
      </c>
      <c r="E7201" t="inlineStr">
        <is>
          <t>162</t>
        </is>
      </c>
      <c r="F7201" t="inlineStr">
        <is>
          <t>0</t>
        </is>
      </c>
      <c r="G7201" t="inlineStr">
        <is>
          <t>0</t>
        </is>
      </c>
      <c r="H7201" t="inlineStr">
        <is>
          <t>9⁶, 18³, 72³</t>
        </is>
      </c>
      <c r="I7201" t="n">
        <v>12</v>
      </c>
      <c r="J7201" t="inlineStr">
        <is>
          <t>3⁴, 6¹⁷, 12⁴</t>
        </is>
      </c>
      <c r="K7201">
        <f>HYPERLINK("CSG0.html#group8C0", "8C⁰"), =HYPERLINK("CSG10.html#group36M10", "36M¹⁰")</f>
        <v/>
      </c>
      <c r="L7201" t="inlineStr"/>
      <c r="M7201">
        <f>HYPERLINK("CSG0.html#group8C0", "8C⁰"), =HYPERLINK("CSG0.html#group2B0", "2B⁰"), =HYPERLINK("CSG0.html#group4B0", "4B⁰"), =HYPERLINK("CSG0.html#group9F0", "9F⁰"), =HYPERLINK("CSG0.html#group1A0", "1A⁰"), =HYPERLINK("CSG10.html#group36M10", "36M¹⁰"), =HYPERLINK("CSG4.html#group18K4", "18K⁴")</f>
        <v/>
      </c>
      <c r="N7201" t="inlineStr"/>
    </row>
    <row r="7202">
      <c r="A7202" t="inlineStr">
        <is>
          <t>72G²²</t>
        </is>
      </c>
      <c r="B7202" t="inlineStr"/>
      <c r="C7202" t="inlineStr">
        <is>
          <t>324</t>
        </is>
      </c>
      <c r="D7202" t="inlineStr">
        <is>
          <t>1</t>
        </is>
      </c>
      <c r="E7202" t="inlineStr">
        <is>
          <t>162</t>
        </is>
      </c>
      <c r="F7202" t="inlineStr">
        <is>
          <t>0</t>
        </is>
      </c>
      <c r="G7202" t="inlineStr">
        <is>
          <t>0</t>
        </is>
      </c>
      <c r="H7202" t="inlineStr">
        <is>
          <t>9⁶, 18³, 72³</t>
        </is>
      </c>
      <c r="I7202" t="n">
        <v>12</v>
      </c>
      <c r="J7202" t="inlineStr">
        <is>
          <t>3⁴, 6¹⁷, 12⁴</t>
        </is>
      </c>
      <c r="K7202">
        <f>HYPERLINK("CSG8.html#group72B8", "72B⁸"), =HYPERLINK("CSG10.html#group36N10", "36N¹⁰")</f>
        <v/>
      </c>
      <c r="L7202" t="inlineStr"/>
      <c r="M7202">
        <f>HYPERLINK("CSG2.html#group24B2", "24B²"), =HYPERLINK("CSG10.html#group36N10", "36N¹⁰"), =HYPERLINK("CSG0.html#group4B0", "4B⁰"), =HYPERLINK("CSG3.html#group18J3", "18J³"), =HYPERLINK("CSG0.html#group9A0", "9A⁰"), =HYPERLINK("CSG8.html#group72B8", "72B⁸"), =HYPERLINK("CSG0.html#group9G0", "9G⁰"), =HYPERLINK("CSG4.html#group36D4", "36D⁴"), =HYPERLINK("CSG1.html#group12B1", "12B¹"), =HYPERLINK("CSG0.html#group2B0", "2B⁰"), =HYPERLINK("CSG0.html#group8C0", "8C⁰"), =HYPERLINK("CSG1.html#group18E1", "18E¹"), =HYPERLINK("CSG0.html#group3A0", "3A⁰"), =HYPERLINK("CSG0.html#group1A0", "1A⁰"), =HYPERLINK("CSG0.html#group6D0", "6D⁰")</f>
        <v/>
      </c>
      <c r="N7202" t="inlineStr"/>
    </row>
    <row r="7203">
      <c r="A7203" t="inlineStr">
        <is>
          <t>72H²²</t>
        </is>
      </c>
      <c r="B7203" t="inlineStr"/>
      <c r="C7203" t="inlineStr">
        <is>
          <t>324</t>
        </is>
      </c>
      <c r="D7203" t="inlineStr">
        <is>
          <t>1</t>
        </is>
      </c>
      <c r="E7203" t="inlineStr">
        <is>
          <t>162</t>
        </is>
      </c>
      <c r="F7203" t="inlineStr">
        <is>
          <t>0</t>
        </is>
      </c>
      <c r="G7203" t="inlineStr">
        <is>
          <t>0</t>
        </is>
      </c>
      <c r="H7203" t="inlineStr">
        <is>
          <t>9⁶, 18³, 72³</t>
        </is>
      </c>
      <c r="I7203" t="n">
        <v>12</v>
      </c>
      <c r="J7203" t="inlineStr">
        <is>
          <t>3⁴, 6¹⁷, 12⁴</t>
        </is>
      </c>
      <c r="K7203">
        <f>HYPERLINK("CSG8.html#group72E8", "72E⁸"), =HYPERLINK("CSG10.html#group36N10", "36N¹⁰")</f>
        <v/>
      </c>
      <c r="L7203" t="inlineStr"/>
      <c r="M7203">
        <f>HYPERLINK("CSG8.html#group72E8", "72E⁸"), =HYPERLINK("CSG10.html#group36N10", "36N¹⁰"), =HYPERLINK("CSG0.html#group4B0", "4B⁰"), =HYPERLINK("CSG3.html#group18J3", "18J³"), =HYPERLINK("CSG0.html#group9A0", "9A⁰"), =HYPERLINK("CSG0.html#group9G0", "9G⁰"), =HYPERLINK("CSG4.html#group36D4", "36D⁴"), =HYPERLINK("CSG2.html#group24D2", "24D²"), =HYPERLINK("CSG1.html#group12B1", "12B¹"), =HYPERLINK("CSG0.html#group2B0", "2B⁰"), =HYPERLINK("CSG1.html#group18E1", "18E¹"), =HYPERLINK("CSG0.html#group3A0", "3A⁰"), =HYPERLINK("CSG0.html#group1A0", "1A⁰"), =HYPERLINK("CSG0.html#group6D0", "6D⁰")</f>
        <v/>
      </c>
      <c r="N7203" t="inlineStr"/>
    </row>
    <row r="7204">
      <c r="A7204" t="inlineStr">
        <is>
          <t>72I²²</t>
        </is>
      </c>
      <c r="B7204" t="inlineStr"/>
      <c r="C7204" t="inlineStr">
        <is>
          <t>324</t>
        </is>
      </c>
      <c r="D7204" t="inlineStr">
        <is>
          <t>1</t>
        </is>
      </c>
      <c r="E7204" t="inlineStr">
        <is>
          <t>162</t>
        </is>
      </c>
      <c r="F7204" t="inlineStr">
        <is>
          <t>6</t>
        </is>
      </c>
      <c r="G7204" t="inlineStr">
        <is>
          <t>0</t>
        </is>
      </c>
      <c r="H7204" t="inlineStr">
        <is>
          <t>18⁶, 72³</t>
        </is>
      </c>
      <c r="I7204" t="n">
        <v>9</v>
      </c>
      <c r="J7204" t="inlineStr">
        <is>
          <t>3², 6¹⁰, 12⁸</t>
        </is>
      </c>
      <c r="K7204">
        <f>HYPERLINK("CSG0.html#group8D0", "8D⁰"), =HYPERLINK("CSG10.html#group36O10", "36O¹⁰")</f>
        <v/>
      </c>
      <c r="L7204" t="inlineStr"/>
      <c r="M7204">
        <f>HYPERLINK("CSG0.html#group8D0", "8D⁰"), =HYPERLINK("CSG10.html#group36O10", "36O¹⁰"), =HYPERLINK("CSG0.html#group4C0", "4C⁰"), =HYPERLINK("CSG4.html#group18K4", "18K⁴"), =HYPERLINK("CSG0.html#group2B0", "2B⁰"), =HYPERLINK("CSG0.html#group9F0", "9F⁰"), =HYPERLINK("CSG0.html#group1A0", "1A⁰")</f>
        <v/>
      </c>
      <c r="N7204" t="inlineStr"/>
    </row>
    <row r="7205">
      <c r="A7205" t="inlineStr">
        <is>
          <t>72J²²</t>
        </is>
      </c>
      <c r="B7205" t="inlineStr"/>
      <c r="C7205" t="inlineStr">
        <is>
          <t>324</t>
        </is>
      </c>
      <c r="D7205" t="inlineStr">
        <is>
          <t>2</t>
        </is>
      </c>
      <c r="E7205" t="inlineStr">
        <is>
          <t>81</t>
        </is>
      </c>
      <c r="F7205" t="inlineStr">
        <is>
          <t>12</t>
        </is>
      </c>
      <c r="G7205" t="inlineStr">
        <is>
          <t>0</t>
        </is>
      </c>
      <c r="H7205" t="inlineStr">
        <is>
          <t>36³, 72³</t>
        </is>
      </c>
      <c r="I7205" t="n">
        <v>6</v>
      </c>
      <c r="J7205" t="inlineStr">
        <is>
          <t>6²⁷</t>
        </is>
      </c>
      <c r="K7205">
        <f>HYPERLINK("CSG6.html#group72B6", "72B⁶"), =HYPERLINK("CSG8.html#group36L8", "36L⁸"), =HYPERLINK("CSG8.html#group72D8", "72D⁸")</f>
        <v/>
      </c>
      <c r="L7205" t="inlineStr"/>
      <c r="M7205">
        <f>HYPERLINK("CSG0.html#group12C0", "12C⁰"), =HYPERLINK("CSG8.html#group36L8", "36L⁸"), =HYPERLINK("CSG0.html#group9A0", "9A⁰"), =HYPERLINK("CSG2.html#group36B2", "36B²"), =HYPERLINK("CSG0.html#group4C0", "4C⁰"), =HYPERLINK("CSG3.html#group18J3", "18J³"), =HYPERLINK("CSG1.html#group18E1", "18E¹"), =HYPERLINK("CSG0.html#group9G0", "9G⁰"), =HYPERLINK("CSG8.html#group72D8", "72D⁸"), =HYPERLINK("CSG0.html#group2B0", "2B⁰"), =HYPERLINK("CSG2.html#group24C2", "24C²"), =HYPERLINK("CSG6.html#group72B6", "72B⁶"), =HYPERLINK("CSG0.html#group3A0", "3A⁰"), =HYPERLINK("CSG0.html#group1A0", "1A⁰"), =HYPERLINK("CSG0.html#group6D0", "6D⁰")</f>
        <v/>
      </c>
      <c r="N7205" t="inlineStr"/>
    </row>
    <row r="7206">
      <c r="A7206" t="inlineStr">
        <is>
          <t>72K²²</t>
        </is>
      </c>
      <c r="B7206" t="inlineStr"/>
      <c r="C7206" t="inlineStr">
        <is>
          <t>324</t>
        </is>
      </c>
      <c r="D7206" t="inlineStr">
        <is>
          <t>2</t>
        </is>
      </c>
      <c r="E7206" t="inlineStr">
        <is>
          <t>162</t>
        </is>
      </c>
      <c r="F7206" t="inlineStr">
        <is>
          <t>0</t>
        </is>
      </c>
      <c r="G7206" t="inlineStr">
        <is>
          <t>0</t>
        </is>
      </c>
      <c r="H7206" t="inlineStr">
        <is>
          <t>9⁶, 18³, 72³</t>
        </is>
      </c>
      <c r="I7206" t="n">
        <v>12</v>
      </c>
      <c r="J7206" t="inlineStr">
        <is>
          <t>6³⁶, 12⁹</t>
        </is>
      </c>
      <c r="K7206">
        <f>HYPERLINK("CSG8.html#group72C8", "72C⁸"), =HYPERLINK("CSG8.html#group72E8", "72E⁸"), =HYPERLINK("CSG10.html#group36N10", "36N¹⁰")</f>
        <v/>
      </c>
      <c r="L7206" t="inlineStr"/>
      <c r="M7206">
        <f>HYPERLINK("CSG8.html#group72E8", "72E⁸"), =HYPERLINK("CSG10.html#group36N10", "36N¹⁰"), =HYPERLINK("CSG0.html#group4B0", "4B⁰"), =HYPERLINK("CSG8.html#group72C8", "72C⁸"), =HYPERLINK("CSG3.html#group18J3", "18J³"), =HYPERLINK("CSG0.html#group9A0", "9A⁰"), =HYPERLINK("CSG0.html#group9G0", "9G⁰"), =HYPERLINK("CSG4.html#group36D4", "36D⁴"), =HYPERLINK("CSG2.html#group24D2", "24D²"), =HYPERLINK("CSG1.html#group12B1", "12B¹"), =HYPERLINK("CSG0.html#group2B0", "2B⁰"), =HYPERLINK("CSG1.html#group18E1", "18E¹"), =HYPERLINK("CSG0.html#group3A0", "3A⁰"), =HYPERLINK("CSG0.html#group1A0", "1A⁰"), =HYPERLINK("CSG0.html#group6D0", "6D⁰")</f>
        <v/>
      </c>
      <c r="N7206" t="inlineStr"/>
    </row>
    <row r="7207">
      <c r="A7207" t="inlineStr">
        <is>
          <t>72L²²</t>
        </is>
      </c>
      <c r="B7207" t="inlineStr"/>
      <c r="C7207" t="inlineStr">
        <is>
          <t>432</t>
        </is>
      </c>
      <c r="D7207" t="inlineStr">
        <is>
          <t>1</t>
        </is>
      </c>
      <c r="E7207" t="inlineStr">
        <is>
          <t>12</t>
        </is>
      </c>
      <c r="F7207" t="inlineStr">
        <is>
          <t>0</t>
        </is>
      </c>
      <c r="G7207" t="inlineStr">
        <is>
          <t>0</t>
        </is>
      </c>
      <c r="H7207" t="inlineStr">
        <is>
          <t>3¹², 9¹², 24³, 72³</t>
        </is>
      </c>
      <c r="I7207" t="n">
        <v>30</v>
      </c>
      <c r="J7207" t="inlineStr">
        <is>
          <t>1⁶, 2³</t>
        </is>
      </c>
      <c r="K7207">
        <f>HYPERLINK("CSG3.html#group24AC3", "24AC³"), =HYPERLINK("CSG3.html#group72A3", "72A³"), =HYPERLINK("CSG8.html#group72F8", "72F⁸"), =HYPERLINK("CSG8.html#group72G8", "72G⁸"), =HYPERLINK("CSG10.html#group36Q10", "36Q¹⁰")</f>
        <v/>
      </c>
      <c r="L7207" t="inlineStr"/>
      <c r="M7207">
        <f>HYPERLINK("CSG1.html#group12K1", "12K¹"), =HYPERLINK("CSG2.html#group18E2", "18E²"), =HYPERLINK("CSG0.html#group6G0", "6G⁰"), =HYPERLINK("CSG2.html#group18D2", "18D²"), =HYPERLINK("CSG1.html#group12S1", "12S¹"), =HYPERLINK("CSG0.html#group2B0", "2B⁰"), =HYPERLINK("CSG0.html#group9C0", "9C⁰"), =HYPERLINK("CSG0.html#group4B0", "4B⁰"), =HYPERLINK("CSG0.html#group1A0", "1A⁰"), =HYPERLINK("CSG3.html#group72A3", "72A³"), =HYPERLINK("CSG0.html#group6D0", "6D⁰"), =HYPERLINK("CSG0.html#group3C0", "3C⁰"), =HYPERLINK("CSG0.html#group6K0", "6K⁰"), =HYPERLINK("CSG1.html#group12B1", "12B¹"), =HYPERLINK("CSG0.html#group3A0", "3A⁰"), =HYPERLINK("CSG0.html#group6F0", "6F⁰"), =HYPERLINK("CSG8.html#group72G8", "72G⁸"), =HYPERLINK("CSG0.html#group3B0", "3B⁰"), =HYPERLINK("CSG10.html#group36Q10", "36Q¹⁰"), =HYPERLINK("CSG1.html#group24I1", "24I¹"), =HYPERLINK("CSG0.html#group9B0", "9B⁰"), =HYPERLINK("CSG4.html#group36G4", "36G⁴"), =HYPERLINK("CSG4.html#group36F4", "36F⁴"), =HYPERLINK("CSG3.html#group24AC3", "24AC³"), =HYPERLINK("CSG0.html#group12G0", "12G⁰"), =HYPERLINK("CSG0.html#group18E0", "18E⁰"), =HYPERLINK("CSG0.html#group24B0", "24B⁰"), =HYPERLINK("CSG1.html#group9A1", "9A¹"), =HYPERLINK("CSG1.html#group9C1", "9C¹"), =HYPERLINK("CSG0.html#group12D0", "12D⁰"), =HYPERLINK("CSG1.html#group36C1", "36C¹"), =HYPERLINK("CSG4.html#group18M4", "18M⁴"), =HYPERLINK("CSG0.html#group3D0", "3D⁰"), =HYPERLINK("CSG8.html#group72F8", "72F⁸"), =HYPERLINK("CSG0.html#group12E0", "12E⁰")</f>
        <v/>
      </c>
      <c r="N7207" t="inlineStr"/>
    </row>
    <row r="7208">
      <c r="A7208" t="inlineStr">
        <is>
          <t>72M²²</t>
        </is>
      </c>
      <c r="B7208" t="inlineStr"/>
      <c r="C7208" t="inlineStr">
        <is>
          <t>432</t>
        </is>
      </c>
      <c r="D7208" t="inlineStr">
        <is>
          <t>1</t>
        </is>
      </c>
      <c r="E7208" t="inlineStr">
        <is>
          <t>36</t>
        </is>
      </c>
      <c r="F7208" t="inlineStr">
        <is>
          <t>0</t>
        </is>
      </c>
      <c r="G7208" t="inlineStr">
        <is>
          <t>0</t>
        </is>
      </c>
      <c r="H7208" t="inlineStr">
        <is>
          <t>3¹², 9¹², 24³, 72³</t>
        </is>
      </c>
      <c r="I7208" t="n">
        <v>30</v>
      </c>
      <c r="J7208" t="inlineStr">
        <is>
          <t>1⁶, 2⁶, 6³</t>
        </is>
      </c>
      <c r="K7208">
        <f>HYPERLINK("CSG8.html#group72F8", "72F⁸"), =HYPERLINK("CSG10.html#group36R10", "36R¹⁰")</f>
        <v/>
      </c>
      <c r="L7208" t="inlineStr"/>
      <c r="M7208">
        <f>HYPERLINK("CSG0.html#group3B0", "3B⁰"), =HYPERLINK("CSG4.html#group18P4", "18P⁴"), =HYPERLINK("CSG0.html#group9J0", "9J⁰"), =HYPERLINK("CSG0.html#group24B0", "24B⁰"), =HYPERLINK("CSG10.html#group36R10", "36R¹⁰"), =HYPERLINK("CSG0.html#group6F0", "6F⁰"), =HYPERLINK("CSG2.html#group18D2", "18D²"), =HYPERLINK("CSG4.html#group36F4", "36F⁴"), =HYPERLINK("CSG0.html#group2B0", "2B⁰"), =HYPERLINK("CSG0.html#group9C0", "9C⁰"), =HYPERLINK("CSG0.html#group4B0", "4B⁰"), =HYPERLINK("CSG0.html#group1A0", "1A⁰"), =HYPERLINK("CSG8.html#group72F8", "72F⁸"), =HYPERLINK("CSG0.html#group12E0", "12E⁰")</f>
        <v/>
      </c>
      <c r="N7208" t="inlineStr"/>
    </row>
    <row r="7209">
      <c r="A7209" t="inlineStr">
        <is>
          <t>72N²²</t>
        </is>
      </c>
      <c r="B7209" t="inlineStr"/>
      <c r="C7209" t="inlineStr">
        <is>
          <t>432</t>
        </is>
      </c>
      <c r="D7209" t="inlineStr">
        <is>
          <t>1</t>
        </is>
      </c>
      <c r="E7209" t="inlineStr">
        <is>
          <t>36</t>
        </is>
      </c>
      <c r="F7209" t="inlineStr">
        <is>
          <t>0</t>
        </is>
      </c>
      <c r="G7209" t="inlineStr">
        <is>
          <t>0</t>
        </is>
      </c>
      <c r="H7209" t="inlineStr">
        <is>
          <t>3¹², 9¹², 24³, 72³</t>
        </is>
      </c>
      <c r="I7209" t="n">
        <v>30</v>
      </c>
      <c r="J7209" t="inlineStr">
        <is>
          <t>1⁶, 2⁶, 6³</t>
        </is>
      </c>
      <c r="K7209">
        <f>HYPERLINK("CSG8.html#group72G8", "72G⁸"), =HYPERLINK("CSG10.html#group36S10", "36S¹⁰")</f>
        <v/>
      </c>
      <c r="L7209" t="inlineStr"/>
      <c r="M7209">
        <f>HYPERLINK("CSG0.html#group3B0", "3B⁰"), =HYPERLINK("CSG0.html#group24B0", "24B⁰"), =HYPERLINK("CSG1.html#group9A1", "9A¹"), =HYPERLINK("CSG2.html#group18E2", "18E²"), =HYPERLINK("CSG0.html#group6F0", "6F⁰"), =HYPERLINK("CSG4.html#group36G4", "36G⁴"), =HYPERLINK("CSG4.html#group18Q4", "18Q⁴"), =HYPERLINK("CSG0.html#group1A0", "1A⁰"), =HYPERLINK("CSG0.html#group2B0", "2B⁰"), =HYPERLINK("CSG10.html#group36S10", "36S¹⁰"), =HYPERLINK("CSG0.html#group4B0", "4B⁰"), =HYPERLINK("CSG1.html#group9D1", "9D¹"), =HYPERLINK("CSG8.html#group72G8", "72G⁸"), =HYPERLINK("CSG0.html#group12E0", "12E⁰")</f>
        <v/>
      </c>
      <c r="N7209" t="inlineStr"/>
    </row>
    <row r="7210">
      <c r="A7210" t="inlineStr">
        <is>
          <t>74A²²</t>
        </is>
      </c>
      <c r="B7210" t="inlineStr"/>
      <c r="C7210" t="inlineStr">
        <is>
          <t>342</t>
        </is>
      </c>
      <c r="D7210" t="inlineStr">
        <is>
          <t>1</t>
        </is>
      </c>
      <c r="E7210" t="inlineStr">
        <is>
          <t>114</t>
        </is>
      </c>
      <c r="F7210" t="inlineStr">
        <is>
          <t>6</t>
        </is>
      </c>
      <c r="G7210" t="inlineStr">
        <is>
          <t>0</t>
        </is>
      </c>
      <c r="H7210" t="inlineStr">
        <is>
          <t>1³, 2³, 37³, 74³</t>
        </is>
      </c>
      <c r="I7210" t="n">
        <v>12</v>
      </c>
      <c r="J7210" t="inlineStr">
        <is>
          <t>1⁶, 36³</t>
        </is>
      </c>
      <c r="K7210">
        <f>HYPERLINK("CSG4.html#group37B4", "37B⁴"), =HYPERLINK("CSG8.html#group74A8", "74A⁸")</f>
        <v/>
      </c>
      <c r="L7210" t="inlineStr"/>
      <c r="M7210">
        <f>HYPERLINK("CSG2.html#group37A2", "37A²"), =HYPERLINK("CSG4.html#group37B4", "37B⁴"), =HYPERLINK("CSG0.html#group2B0", "2B⁰"), =HYPERLINK("CSG8.html#group74A8", "74A⁸"), =HYPERLINK("CSG0.html#group1A0", "1A⁰")</f>
        <v/>
      </c>
      <c r="N7210" t="inlineStr"/>
    </row>
    <row r="7211">
      <c r="A7211" t="inlineStr">
        <is>
          <t>75A²²</t>
        </is>
      </c>
      <c r="B7211" t="inlineStr"/>
      <c r="C7211" t="inlineStr">
        <is>
          <t>300</t>
        </is>
      </c>
      <c r="D7211" t="inlineStr">
        <is>
          <t>1</t>
        </is>
      </c>
      <c r="E7211" t="inlineStr">
        <is>
          <t>150</t>
        </is>
      </c>
      <c r="F7211" t="inlineStr">
        <is>
          <t>8</t>
        </is>
      </c>
      <c r="G7211" t="inlineStr">
        <is>
          <t>0</t>
        </is>
      </c>
      <c r="H7211" t="inlineStr">
        <is>
          <t>75⁴</t>
        </is>
      </c>
      <c r="I7211" t="n">
        <v>4</v>
      </c>
      <c r="J7211" t="inlineStr">
        <is>
          <t>2¹, 4³, 8², 20², 40²</t>
        </is>
      </c>
      <c r="K7211">
        <f>HYPERLINK("CSG2.html#group15D2", "15D²"), =HYPERLINK("CSG11.html#group75A11", "75A¹¹")</f>
        <v/>
      </c>
      <c r="L7211" t="inlineStr"/>
      <c r="M7211">
        <f>HYPERLINK("CSG1.html#group15D1", "15D¹"), =HYPERLINK("CSG0.html#group5C0", "5C⁰"), =HYPERLINK("CSG2.html#group25E2", "25E²"), =HYPERLINK("CSG2.html#group15D2", "15D²"), =HYPERLINK("CSG11.html#group75A11", "75A¹¹"), =HYPERLINK("CSG0.html#group3A0", "3A⁰"), =HYPERLINK("CSG0.html#group1A0", "1A⁰")</f>
        <v/>
      </c>
      <c r="N7211" t="inlineStr"/>
    </row>
    <row r="7212">
      <c r="A7212" t="inlineStr">
        <is>
          <t>76A²²</t>
        </is>
      </c>
      <c r="B7212" t="inlineStr"/>
      <c r="C7212" t="inlineStr">
        <is>
          <t>360</t>
        </is>
      </c>
      <c r="D7212" t="inlineStr">
        <is>
          <t>1</t>
        </is>
      </c>
      <c r="E7212" t="inlineStr">
        <is>
          <t>60</t>
        </is>
      </c>
      <c r="F7212" t="inlineStr">
        <is>
          <t>0</t>
        </is>
      </c>
      <c r="G7212" t="inlineStr">
        <is>
          <t>0</t>
        </is>
      </c>
      <c r="H7212" t="inlineStr">
        <is>
          <t>1⁶, 4³, 19⁶, 76³</t>
        </is>
      </c>
      <c r="I7212" t="n">
        <v>18</v>
      </c>
      <c r="J7212" t="inlineStr">
        <is>
          <t>1⁶, 18³</t>
        </is>
      </c>
      <c r="K7212">
        <f>HYPERLINK("CSG8.html#group76A8", "76A⁸"), =HYPERLINK("CSG10.html#group38A10", "38A¹⁰")</f>
        <v/>
      </c>
      <c r="L7212" t="inlineStr"/>
      <c r="M7212">
        <f>HYPERLINK("CSG1.html#group19A1", "19A¹"), =HYPERLINK("CSG4.html#group38A4", "38A⁴"), =HYPERLINK("CSG8.html#group76A8", "76A⁸"), =HYPERLINK("CSG0.html#group2B0", "2B⁰"), =HYPERLINK("CSG1.html#group19B1", "19B¹"), =HYPERLINK("CSG0.html#group4B0", "4B⁰"), =HYPERLINK("CSG0.html#group1A0", "1A⁰"), =HYPERLINK("CSG10.html#group38A10", "38A¹⁰")</f>
        <v/>
      </c>
      <c r="N7212" t="inlineStr"/>
    </row>
    <row r="7213">
      <c r="A7213" t="inlineStr">
        <is>
          <t>78A²²</t>
        </is>
      </c>
      <c r="B7213" t="inlineStr"/>
      <c r="C7213" t="inlineStr">
        <is>
          <t>378</t>
        </is>
      </c>
      <c r="D7213" t="inlineStr">
        <is>
          <t>1</t>
        </is>
      </c>
      <c r="E7213" t="inlineStr">
        <is>
          <t>42</t>
        </is>
      </c>
      <c r="F7213" t="inlineStr">
        <is>
          <t>18</t>
        </is>
      </c>
      <c r="G7213" t="inlineStr">
        <is>
          <t>0</t>
        </is>
      </c>
      <c r="H7213" t="inlineStr">
        <is>
          <t>3³, 6³, 39³, 78³</t>
        </is>
      </c>
      <c r="I7213" t="n">
        <v>12</v>
      </c>
      <c r="J7213" t="inlineStr">
        <is>
          <t>1⁶, 12³</t>
        </is>
      </c>
      <c r="K7213">
        <f>HYPERLINK("CSG4.html#group26C4", "26C⁴"), =HYPERLINK("CSG4.html#group39C4", "39C⁴"), =HYPERLINK("CSG8.html#group78A8", "78A⁸"), =HYPERLINK("CSG8.html#group78B8", "78B⁸")</f>
        <v/>
      </c>
      <c r="L7213" t="inlineStr"/>
      <c r="M7213">
        <f>HYPERLINK("CSG8.html#group78A8", "78A⁸"), =HYPERLINK("CSG2.html#group39A2", "39A²"), =HYPERLINK("CSG2.html#group26A2", "26A²"), =HYPERLINK("CSG0.html#group13A0", "13A⁰"), =HYPERLINK("CSG4.html#group26C4", "26C⁴"), =HYPERLINK("CSG4.html#group39C4", "39C⁴"), =HYPERLINK("CSG0.html#group2B0", "2B⁰"), =HYPERLINK("CSG0.html#group13C0", "13C⁰"), =HYPERLINK("CSG1.html#group39A1", "39A¹"), =HYPERLINK("CSG0.html#group3A0", "3A⁰"), =HYPERLINK("CSG0.html#group1A0", "1A⁰"), =HYPERLINK("CSG8.html#group78B8", "78B⁸"), =HYPERLINK("CSG0.html#group6D0", "6D⁰")</f>
        <v/>
      </c>
      <c r="N7213" t="inlineStr"/>
    </row>
    <row r="7214">
      <c r="A7214" t="inlineStr">
        <is>
          <t>80A²²</t>
        </is>
      </c>
      <c r="B7214" t="inlineStr"/>
      <c r="C7214" t="inlineStr">
        <is>
          <t>320</t>
        </is>
      </c>
      <c r="D7214" t="inlineStr">
        <is>
          <t>2</t>
        </is>
      </c>
      <c r="E7214" t="inlineStr">
        <is>
          <t>160</t>
        </is>
      </c>
      <c r="F7214" t="inlineStr">
        <is>
          <t>4</t>
        </is>
      </c>
      <c r="G7214" t="inlineStr">
        <is>
          <t>8</t>
        </is>
      </c>
      <c r="H7214" t="inlineStr">
        <is>
          <t>80⁴</t>
        </is>
      </c>
      <c r="I7214" t="n">
        <v>4</v>
      </c>
      <c r="J7214" t="inlineStr">
        <is>
          <t>8⁸, 32⁸</t>
        </is>
      </c>
      <c r="K7214">
        <f>HYPERLINK("CSG2.html#group16H2", "16H²"), =HYPERLINK("CSG4.html#group80A4", "80A⁴"), =HYPERLINK("CSG10.html#group40B10", "40B¹⁰")</f>
        <v/>
      </c>
      <c r="L7214" t="inlineStr"/>
      <c r="M7214">
        <f>HYPERLINK("CSG0.html#group5A0", "5A⁰"), =HYPERLINK("CSG4.html#group80A4", "80A⁴"), =HYPERLINK("CSG0.html#group8F0", "8F⁰"), =HYPERLINK("CSG0.html#group16A0", "16A⁰"), =HYPERLINK("CSG2.html#group16H2", "16H²"), =HYPERLINK("CSG0.html#group4A0", "4A⁰"), =HYPERLINK("CSG0.html#group8A0", "8A⁰"), =HYPERLINK("CSG5.html#group40D5", "40D⁵"), =HYPERLINK("CSG1.html#group20A1", "20A¹"), =HYPERLINK("CSG0.html#group8M0", "8M⁰"), =HYPERLINK("CSG0.html#group1A0", "1A⁰"), =HYPERLINK("CSG10.html#group40B10", "40B¹⁰"), =HYPERLINK("CSG2.html#group40A2", "40A²")</f>
        <v/>
      </c>
      <c r="N7214" t="inlineStr"/>
    </row>
    <row r="7215">
      <c r="A7215" t="inlineStr">
        <is>
          <t>80B²²</t>
        </is>
      </c>
      <c r="B7215" t="inlineStr"/>
      <c r="C7215" t="inlineStr">
        <is>
          <t>360</t>
        </is>
      </c>
      <c r="D7215" t="inlineStr">
        <is>
          <t>1</t>
        </is>
      </c>
      <c r="E7215" t="inlineStr">
        <is>
          <t>15</t>
        </is>
      </c>
      <c r="F7215" t="inlineStr">
        <is>
          <t>24</t>
        </is>
      </c>
      <c r="G7215" t="inlineStr">
        <is>
          <t>0</t>
        </is>
      </c>
      <c r="H7215" t="inlineStr">
        <is>
          <t>40³, 80³</t>
        </is>
      </c>
      <c r="I7215" t="n">
        <v>6</v>
      </c>
      <c r="J7215" t="inlineStr">
        <is>
          <t>1³, 4³</t>
        </is>
      </c>
      <c r="K7215">
        <f>HYPERLINK("CSG8.html#group80A8", "80A⁸"), =HYPERLINK("CSG10.html#group40C10", "40C¹⁰")</f>
        <v/>
      </c>
      <c r="L7215" t="inlineStr"/>
      <c r="M7215">
        <f>HYPERLINK("CSG0.html#group16B0", "16B⁰"), =HYPERLINK("CSG0.html#group5A0", "5A⁰"), =HYPERLINK("CSG4.html#group40A4", "40A⁴"), =HYPERLINK("CSG4.html#group20E4", "20E⁴"), =HYPERLINK("CSG1.html#group10I1", "10I¹"), =HYPERLINK("CSG10.html#group40C10", "40C¹⁰"), =HYPERLINK("CSG1.html#group10B1", "10B¹"), =HYPERLINK("CSG2.html#group20B2", "20B²"), =HYPERLINK("CSG0.html#group4C0", "4C⁰"), =HYPERLINK("CSG0.html#group8B0", "8B⁰"), =HYPERLINK("CSG0.html#group5E0", "5E⁰"), =HYPERLINK("CSG0.html#group2B0", "2B⁰"), =HYPERLINK("CSG0.html#group1A0", "1A⁰"), =HYPERLINK("CSG8.html#group80A8", "80A⁸")</f>
        <v/>
      </c>
      <c r="N7215" t="inlineStr"/>
    </row>
    <row r="7216">
      <c r="A7216" t="inlineStr">
        <is>
          <t>80C²²</t>
        </is>
      </c>
      <c r="B7216" t="inlineStr"/>
      <c r="C7216" t="inlineStr">
        <is>
          <t>360</t>
        </is>
      </c>
      <c r="D7216" t="inlineStr">
        <is>
          <t>1</t>
        </is>
      </c>
      <c r="E7216" t="inlineStr">
        <is>
          <t>30</t>
        </is>
      </c>
      <c r="F7216" t="inlineStr">
        <is>
          <t>0</t>
        </is>
      </c>
      <c r="G7216" t="inlineStr">
        <is>
          <t>0</t>
        </is>
      </c>
      <c r="H7216" t="inlineStr">
        <is>
          <t>5¹², 20³, 80³</t>
        </is>
      </c>
      <c r="I7216" t="n">
        <v>18</v>
      </c>
      <c r="J7216" t="inlineStr">
        <is>
          <t>1⁴, 2¹, 4⁴, 8¹</t>
        </is>
      </c>
      <c r="K7216">
        <f>HYPERLINK("CSG8.html#group80B8", "80B⁸"), =HYPERLINK("CSG10.html#group40D10", "40D¹⁰")</f>
        <v/>
      </c>
      <c r="L7216" t="inlineStr"/>
      <c r="M7216">
        <f>HYPERLINK("CSG2.html#group20A2", "20A²"), =HYPERLINK("CSG4.html#group20D4", "20D⁴"), =HYPERLINK("CSG0.html#group5A0", "5A⁰"), =HYPERLINK("CSG1.html#group10I1", "10I¹"), =HYPERLINK("CSG8.html#group80B8", "80B⁸"), =HYPERLINK("CSG0.html#group16C0", "16C⁰"), =HYPERLINK("CSG1.html#group10B1", "10B¹"), =HYPERLINK("CSG0.html#group5E0", "5E⁰"), =HYPERLINK("CSG0.html#group1A0", "1A⁰"), =HYPERLINK("CSG0.html#group8C0", "8C⁰"), =HYPERLINK("CSG0.html#group2B0", "2B⁰"), =HYPERLINK("CSG0.html#group4B0", "4B⁰"), =HYPERLINK("CSG4.html#group40B4", "40B⁴"), =HYPERLINK("CSG10.html#group40D10", "40D¹⁰")</f>
        <v/>
      </c>
      <c r="N7216" t="inlineStr"/>
    </row>
    <row r="7217">
      <c r="A7217" t="inlineStr">
        <is>
          <t>80D²²</t>
        </is>
      </c>
      <c r="B7217" t="inlineStr"/>
      <c r="C7217" t="inlineStr">
        <is>
          <t>360</t>
        </is>
      </c>
      <c r="D7217" t="inlineStr">
        <is>
          <t>1</t>
        </is>
      </c>
      <c r="E7217" t="inlineStr">
        <is>
          <t>60</t>
        </is>
      </c>
      <c r="F7217" t="inlineStr">
        <is>
          <t>0</t>
        </is>
      </c>
      <c r="G7217" t="inlineStr">
        <is>
          <t>0</t>
        </is>
      </c>
      <c r="H7217" t="inlineStr">
        <is>
          <t>5⁶, 10⁹, 80³</t>
        </is>
      </c>
      <c r="I7217" t="n">
        <v>18</v>
      </c>
      <c r="J7217" t="inlineStr">
        <is>
          <t>1⁴, 2², 4⁵, 8², 16¹</t>
        </is>
      </c>
      <c r="K7217">
        <f>HYPERLINK("CSG8.html#group80C8", "80C⁸"), =HYPERLINK("CSG10.html#group40D10", "40D¹⁰")</f>
        <v/>
      </c>
      <c r="L7217" t="inlineStr"/>
      <c r="M7217">
        <f>HYPERLINK("CSG8.html#group80C8", "80C⁸"), =HYPERLINK("CSG2.html#group20A2", "20A²"), =HYPERLINK("CSG4.html#group20D4", "20D⁴"), =HYPERLINK("CSG0.html#group5A0", "5A⁰"), =HYPERLINK("CSG1.html#group10I1", "10I¹"), =HYPERLINK("CSG1.html#group10B1", "10B¹"), =HYPERLINK("CSG0.html#group16D0", "16D⁰"), =HYPERLINK("CSG0.html#group5E0", "5E⁰"), =HYPERLINK("CSG0.html#group1A0", "1A⁰"), =HYPERLINK("CSG0.html#group8C0", "8C⁰"), =HYPERLINK("CSG0.html#group2B0", "2B⁰"), =HYPERLINK("CSG0.html#group4B0", "4B⁰"), =HYPERLINK("CSG4.html#group40B4", "40B⁴"), =HYPERLINK("CSG10.html#group40D10", "40D¹⁰")</f>
        <v/>
      </c>
      <c r="N7217" t="inlineStr"/>
    </row>
    <row r="7218">
      <c r="A7218" t="inlineStr">
        <is>
          <t>80E²²</t>
        </is>
      </c>
      <c r="B7218" t="inlineStr"/>
      <c r="C7218" t="inlineStr">
        <is>
          <t>360</t>
        </is>
      </c>
      <c r="D7218" t="inlineStr">
        <is>
          <t>1</t>
        </is>
      </c>
      <c r="E7218" t="inlineStr">
        <is>
          <t>60</t>
        </is>
      </c>
      <c r="F7218" t="inlineStr">
        <is>
          <t>6</t>
        </is>
      </c>
      <c r="G7218" t="inlineStr">
        <is>
          <t>0</t>
        </is>
      </c>
      <c r="H7218" t="inlineStr">
        <is>
          <t>10¹², 80³</t>
        </is>
      </c>
      <c r="I7218" t="n">
        <v>15</v>
      </c>
      <c r="J7218" t="inlineStr">
        <is>
          <t>1², 2¹, 4⁴, 8¹, 16²</t>
        </is>
      </c>
      <c r="K7218">
        <f>HYPERLINK("CSG8.html#group80D8", "80D⁸"), =HYPERLINK("CSG10.html#group40E10", "40E¹⁰")</f>
        <v/>
      </c>
      <c r="L7218" t="inlineStr"/>
      <c r="M7218">
        <f>HYPERLINK("CSG4.html#group40C4", "40C⁴"), =HYPERLINK("CSG0.html#group16E0", "16E⁰"), =HYPERLINK("CSG10.html#group40E10", "40E¹⁰"), =HYPERLINK("CSG0.html#group5A0", "5A⁰"), =HYPERLINK("CSG1.html#group10I1", "10I¹"), =HYPERLINK("CSG4.html#group20E4", "20E⁴"), =HYPERLINK("CSG0.html#group8D0", "8D⁰"), =HYPERLINK("CSG1.html#group10B1", "10B¹"), =HYPERLINK("CSG2.html#group20B2", "20B²"), =HYPERLINK("CSG0.html#group4C0", "4C⁰"), =HYPERLINK("CSG0.html#group5E0", "5E⁰"), =HYPERLINK("CSG8.html#group80D8", "80D⁸"), =HYPERLINK("CSG0.html#group2B0", "2B⁰"), =HYPERLINK("CSG0.html#group1A0", "1A⁰")</f>
        <v/>
      </c>
      <c r="N7218" t="inlineStr"/>
    </row>
    <row r="7219">
      <c r="A7219" t="inlineStr">
        <is>
          <t>80F²²</t>
        </is>
      </c>
      <c r="B7219" t="inlineStr"/>
      <c r="C7219" t="inlineStr">
        <is>
          <t>360</t>
        </is>
      </c>
      <c r="D7219" t="inlineStr">
        <is>
          <t>1</t>
        </is>
      </c>
      <c r="E7219" t="inlineStr">
        <is>
          <t>90</t>
        </is>
      </c>
      <c r="F7219" t="inlineStr">
        <is>
          <t>0</t>
        </is>
      </c>
      <c r="G7219" t="inlineStr">
        <is>
          <t>0</t>
        </is>
      </c>
      <c r="H7219" t="inlineStr">
        <is>
          <t>5¹², 20³, 80³</t>
        </is>
      </c>
      <c r="I7219" t="n">
        <v>18</v>
      </c>
      <c r="J7219" t="inlineStr">
        <is>
          <t>1⁴, 2⁵, 4¹³, 8³</t>
        </is>
      </c>
      <c r="K7219">
        <f>HYPERLINK("CSG10.html#group40D10", "40D¹⁰")</f>
        <v/>
      </c>
      <c r="L7219" t="inlineStr"/>
      <c r="M7219">
        <f>HYPERLINK("CSG2.html#group20A2", "20A²"), =HYPERLINK("CSG4.html#group20D4", "20D⁴"), =HYPERLINK("CSG0.html#group5A0", "5A⁰"), =HYPERLINK("CSG1.html#group10I1", "10I¹"), =HYPERLINK("CSG1.html#group10B1", "10B¹"), =HYPERLINK("CSG0.html#group5E0", "5E⁰"), =HYPERLINK("CSG0.html#group1A0", "1A⁰"), =HYPERLINK("CSG0.html#group2B0", "2B⁰"), =HYPERLINK("CSG0.html#group8C0", "8C⁰"), =HYPERLINK("CSG0.html#group4B0", "4B⁰"), =HYPERLINK("CSG4.html#group40B4", "40B⁴"), =HYPERLINK("CSG10.html#group40D10", "40D¹⁰")</f>
        <v/>
      </c>
      <c r="N7219" t="inlineStr"/>
    </row>
    <row r="7220">
      <c r="A7220" t="inlineStr">
        <is>
          <t>80G²²</t>
        </is>
      </c>
      <c r="B7220" t="inlineStr"/>
      <c r="C7220" t="inlineStr">
        <is>
          <t>360</t>
        </is>
      </c>
      <c r="D7220" t="inlineStr">
        <is>
          <t>1</t>
        </is>
      </c>
      <c r="E7220" t="inlineStr">
        <is>
          <t>180</t>
        </is>
      </c>
      <c r="F7220" t="inlineStr">
        <is>
          <t>0</t>
        </is>
      </c>
      <c r="G7220" t="inlineStr">
        <is>
          <t>0</t>
        </is>
      </c>
      <c r="H7220" t="inlineStr">
        <is>
          <t>5⁶, 10⁹, 80³</t>
        </is>
      </c>
      <c r="I7220" t="n">
        <v>18</v>
      </c>
      <c r="J7220" t="inlineStr">
        <is>
          <t>1⁴, 2⁶, 4¹⁵, 8⁷, 16³</t>
        </is>
      </c>
      <c r="K7220">
        <f>HYPERLINK("CSG10.html#group40D10", "40D¹⁰")</f>
        <v/>
      </c>
      <c r="L7220" t="inlineStr"/>
      <c r="M7220">
        <f>HYPERLINK("CSG2.html#group20A2", "20A²"), =HYPERLINK("CSG4.html#group20D4", "20D⁴"), =HYPERLINK("CSG0.html#group5A0", "5A⁰"), =HYPERLINK("CSG1.html#group10I1", "10I¹"), =HYPERLINK("CSG1.html#group10B1", "10B¹"), =HYPERLINK("CSG0.html#group5E0", "5E⁰"), =HYPERLINK("CSG0.html#group1A0", "1A⁰"), =HYPERLINK("CSG0.html#group2B0", "2B⁰"), =HYPERLINK("CSG0.html#group8C0", "8C⁰"), =HYPERLINK("CSG0.html#group4B0", "4B⁰"), =HYPERLINK("CSG4.html#group40B4", "40B⁴"), =HYPERLINK("CSG10.html#group40D10", "40D¹⁰")</f>
        <v/>
      </c>
      <c r="N7220" t="inlineStr"/>
    </row>
    <row r="7221">
      <c r="A7221" t="inlineStr">
        <is>
          <t>80H²²</t>
        </is>
      </c>
      <c r="B7221" t="inlineStr"/>
      <c r="C7221" t="inlineStr">
        <is>
          <t>360</t>
        </is>
      </c>
      <c r="D7221" t="inlineStr">
        <is>
          <t>1</t>
        </is>
      </c>
      <c r="E7221" t="inlineStr">
        <is>
          <t>180</t>
        </is>
      </c>
      <c r="F7221" t="inlineStr">
        <is>
          <t>6</t>
        </is>
      </c>
      <c r="G7221" t="inlineStr">
        <is>
          <t>0</t>
        </is>
      </c>
      <c r="H7221" t="inlineStr">
        <is>
          <t>10¹², 80³</t>
        </is>
      </c>
      <c r="I7221" t="n">
        <v>15</v>
      </c>
      <c r="J7221" t="inlineStr">
        <is>
          <t>1², 2³, 4⁹, 8⁵, 16⁶</t>
        </is>
      </c>
      <c r="K7221">
        <f>HYPERLINK("CSG10.html#group40E10", "40E¹⁰")</f>
        <v/>
      </c>
      <c r="L7221" t="inlineStr"/>
      <c r="M7221">
        <f>HYPERLINK("CSG4.html#group40C4", "40C⁴"), =HYPERLINK("CSG0.html#group5A0", "5A⁰"), =HYPERLINK("CSG10.html#group40E10", "40E¹⁰"), =HYPERLINK("CSG1.html#group10I1", "10I¹"), =HYPERLINK("CSG4.html#group20E4", "20E⁴"), =HYPERLINK("CSG0.html#group8D0", "8D⁰"), =HYPERLINK("CSG1.html#group10B1", "10B¹"), =HYPERLINK("CSG2.html#group20B2", "20B²"), =HYPERLINK("CSG0.html#group4C0", "4C⁰"), =HYPERLINK("CSG0.html#group5E0", "5E⁰"), =HYPERLINK("CSG0.html#group2B0", "2B⁰"), =HYPERLINK("CSG0.html#group1A0", "1A⁰")</f>
        <v/>
      </c>
      <c r="N7221" t="inlineStr"/>
    </row>
    <row r="7222">
      <c r="A7222" t="inlineStr">
        <is>
          <t>81A²²</t>
        </is>
      </c>
      <c r="B7222" t="inlineStr"/>
      <c r="C7222" t="inlineStr">
        <is>
          <t>324</t>
        </is>
      </c>
      <c r="D7222" t="inlineStr">
        <is>
          <t>1</t>
        </is>
      </c>
      <c r="E7222" t="inlineStr">
        <is>
          <t>36</t>
        </is>
      </c>
      <c r="F7222" t="inlineStr">
        <is>
          <t>0</t>
        </is>
      </c>
      <c r="G7222" t="inlineStr">
        <is>
          <t>0</t>
        </is>
      </c>
      <c r="H7222" t="inlineStr">
        <is>
          <t>9⁹, 81³</t>
        </is>
      </c>
      <c r="I7222" t="n">
        <v>12</v>
      </c>
      <c r="J7222" t="inlineStr">
        <is>
          <t>1², 2², 6², 18¹</t>
        </is>
      </c>
      <c r="K7222">
        <f>HYPERLINK("CSG4.html#group27C4", "27C⁴")</f>
        <v/>
      </c>
      <c r="L7222" t="inlineStr"/>
      <c r="M7222">
        <f>HYPERLINK("CSG0.html#group3B0", "3B⁰"), =HYPERLINK("CSG1.html#group27A1", "27A¹"), =HYPERLINK("CSG4.html#group27C4", "27C⁴"), =HYPERLINK("CSG2.html#group27A2", "27A²"), =HYPERLINK("CSG1.html#group9A1", "9A¹"), =HYPERLINK("CSG0.html#group27A0", "27A⁰"), =HYPERLINK("CSG0.html#group9B0", "9B⁰"), =HYPERLINK("CSG1.html#group9C1", "9C¹"), =HYPERLINK("CSG0.html#group3C0", "3C⁰"), =HYPERLINK("CSG0.html#group9C0", "9C⁰"), =HYPERLINK("CSG0.html#group3A0", "3A⁰"), =HYPERLINK("CSG0.html#group1A0", "1A⁰"), =HYPERLINK("CSG0.html#group3D0", "3D⁰")</f>
        <v/>
      </c>
      <c r="N7222" t="inlineStr"/>
    </row>
    <row r="7223">
      <c r="A7223" t="inlineStr">
        <is>
          <t>81B²²</t>
        </is>
      </c>
      <c r="B7223" t="inlineStr"/>
      <c r="C7223" t="inlineStr">
        <is>
          <t>324</t>
        </is>
      </c>
      <c r="D7223" t="inlineStr">
        <is>
          <t>1</t>
        </is>
      </c>
      <c r="E7223" t="inlineStr">
        <is>
          <t>36</t>
        </is>
      </c>
      <c r="F7223" t="inlineStr">
        <is>
          <t>0</t>
        </is>
      </c>
      <c r="G7223" t="inlineStr">
        <is>
          <t>0</t>
        </is>
      </c>
      <c r="H7223" t="inlineStr">
        <is>
          <t>9⁹, 81³</t>
        </is>
      </c>
      <c r="I7223" t="n">
        <v>12</v>
      </c>
      <c r="J7223" t="inlineStr">
        <is>
          <t>3², 6⁵</t>
        </is>
      </c>
      <c r="K7223">
        <f>HYPERLINK("CSG4.html#group27B4", "27B⁴")</f>
        <v/>
      </c>
      <c r="L7223" t="inlineStr"/>
      <c r="M7223">
        <f>HYPERLINK("CSG4.html#group27B4", "27B⁴"), =HYPERLINK("CSG0.html#group9I0", "9I⁰"), =HYPERLINK("CSG0.html#group3B0", "3B⁰"), =HYPERLINK("CSG0.html#group9B0", "9B⁰"), =HYPERLINK("CSG1.html#group27A1", "27A¹"), =HYPERLINK("CSG2.html#group27A2", "27A²"), =HYPERLINK("CSG0.html#group1A0", "1A⁰")</f>
        <v/>
      </c>
      <c r="N7223" t="inlineStr"/>
    </row>
    <row r="7224">
      <c r="A7224" t="inlineStr">
        <is>
          <t>81C²²</t>
        </is>
      </c>
      <c r="B7224" t="inlineStr"/>
      <c r="C7224" t="inlineStr">
        <is>
          <t>324</t>
        </is>
      </c>
      <c r="D7224" t="inlineStr">
        <is>
          <t>1</t>
        </is>
      </c>
      <c r="E7224" t="inlineStr">
        <is>
          <t>36</t>
        </is>
      </c>
      <c r="F7224" t="inlineStr">
        <is>
          <t>0</t>
        </is>
      </c>
      <c r="G7224" t="inlineStr">
        <is>
          <t>9</t>
        </is>
      </c>
      <c r="H7224" t="inlineStr">
        <is>
          <t>27³, 81³</t>
        </is>
      </c>
      <c r="I7224" t="n">
        <v>6</v>
      </c>
      <c r="J7224" t="inlineStr">
        <is>
          <t>3², 6⁵</t>
        </is>
      </c>
      <c r="K7224">
        <f>HYPERLINK("CSG4.html#group27D4", "27D⁴")</f>
        <v/>
      </c>
      <c r="L7224" t="inlineStr"/>
      <c r="M7224">
        <f>HYPERLINK("CSG0.html#group9C0", "9C⁰"), =HYPERLINK("CSG0.html#group3B0", "3B⁰"), =HYPERLINK("CSG1.html#group27B1", "27B¹"), =HYPERLINK("CSG0.html#group9J0", "9J⁰"), =HYPERLINK("CSG4.html#group27D4", "27D⁴"), =HYPERLINK("CSG2.html#group27B2", "27B²"), =HYPERLINK("CSG0.html#group1A0", "1A⁰")</f>
        <v/>
      </c>
      <c r="N7224" t="inlineStr"/>
    </row>
    <row r="7225">
      <c r="A7225" t="inlineStr">
        <is>
          <t>81D²²</t>
        </is>
      </c>
      <c r="B7225" t="inlineStr"/>
      <c r="C7225" t="inlineStr">
        <is>
          <t>324</t>
        </is>
      </c>
      <c r="D7225" t="inlineStr">
        <is>
          <t>2</t>
        </is>
      </c>
      <c r="E7225" t="inlineStr">
        <is>
          <t>36</t>
        </is>
      </c>
      <c r="F7225" t="inlineStr">
        <is>
          <t>0</t>
        </is>
      </c>
      <c r="G7225" t="inlineStr">
        <is>
          <t>0</t>
        </is>
      </c>
      <c r="H7225" t="inlineStr">
        <is>
          <t>9⁹, 81³</t>
        </is>
      </c>
      <c r="I7225" t="n">
        <v>12</v>
      </c>
      <c r="J7225" t="inlineStr">
        <is>
          <t>2⁶, 6⁴, 18²</t>
        </is>
      </c>
      <c r="K7225">
        <f>HYPERLINK("CSG4.html#group27A4", "27A⁴")</f>
        <v/>
      </c>
      <c r="L7225" t="inlineStr"/>
      <c r="M7225">
        <f>HYPERLINK("CSG0.html#group9I0", "9I⁰"), =HYPERLINK("CSG0.html#group27A0", "27A⁰"), =HYPERLINK("CSG0.html#group3B0", "3B⁰"), =HYPERLINK("CSG0.html#group9B0", "9B⁰"), =HYPERLINK("CSG2.html#group27A2", "27A²"), =HYPERLINK("CSG0.html#group1A0", "1A⁰"), =HYPERLINK("CSG4.html#group27A4", "27A⁴")</f>
        <v/>
      </c>
      <c r="N7225" t="inlineStr"/>
    </row>
    <row r="7226">
      <c r="A7226" t="inlineStr">
        <is>
          <t>84A²²</t>
        </is>
      </c>
      <c r="B7226" t="inlineStr"/>
      <c r="C7226" t="inlineStr">
        <is>
          <t>288</t>
        </is>
      </c>
      <c r="D7226" t="inlineStr">
        <is>
          <t>1</t>
        </is>
      </c>
      <c r="E7226" t="inlineStr">
        <is>
          <t>8</t>
        </is>
      </c>
      <c r="F7226" t="inlineStr">
        <is>
          <t>0</t>
        </is>
      </c>
      <c r="G7226" t="inlineStr">
        <is>
          <t>0</t>
        </is>
      </c>
      <c r="H7226" t="inlineStr">
        <is>
          <t>12³, 84³</t>
        </is>
      </c>
      <c r="I7226" t="n">
        <v>6</v>
      </c>
      <c r="J7226" t="inlineStr">
        <is>
          <t>1², 6¹</t>
        </is>
      </c>
      <c r="K7226">
        <f>HYPERLINK("CSG4.html#group84A4", "84A⁴"), =HYPERLINK("CSG6.html#group28E6", "28E⁶"), =HYPERLINK("CSG8.html#group84A8", "84A⁸"), =HYPERLINK("CSG10.html#group42E10", "42E¹⁰")</f>
        <v/>
      </c>
      <c r="L7226" t="inlineStr"/>
      <c r="M7226">
        <f>HYPERLINK("CSG0.html#group2A0", "2A⁰"), =HYPERLINK("CSG0.html#group28A0", "28A⁰"), =HYPERLINK("CSG1.html#group6C1", "6C¹"), =HYPERLINK("CSG10.html#group42E10", "42E¹⁰"), =HYPERLINK("CSG4.html#group84A4", "84A⁴"), =HYPERLINK("CSG6.html#group28E6", "28E⁶"), =HYPERLINK("CSG0.html#group2B0", "2B⁰"), =HYPERLINK("CSG2.html#group14E2", "14E²"), =HYPERLINK("CSG0.html#group1A0", "1A⁰"), =HYPERLINK("CSG2.html#group42B2", "42B²"), =HYPERLINK("CSG8.html#group84A8", "84A⁸"), =HYPERLINK("CSG0.html#group6A0", "6A⁰"), =HYPERLINK("CSG4.html#group42B4", "42B⁴"), =HYPERLINK("CSG2.html#group21A2", "21A²"), =HYPERLINK("CSG5.html#group42A5", "42A⁵"), =HYPERLINK("CSG0.html#group7B0", "7B⁰"), =HYPERLINK("CSG0.html#group14B0", "14B⁰"), =HYPERLINK("CSG1.html#group14C1", "14C¹"), =HYPERLINK("CSG1.html#group6A1", "6A¹"), =HYPERLINK("CSG0.html#group3A0", "3A⁰"), =HYPERLINK("CSG0.html#group2C0", "2C⁰"), =HYPERLINK("CSG0.html#group6D0", "6D⁰")</f>
        <v/>
      </c>
      <c r="N7226" t="inlineStr"/>
    </row>
    <row r="7227">
      <c r="A7227" t="inlineStr">
        <is>
          <t>84B²²</t>
        </is>
      </c>
      <c r="B7227" t="inlineStr"/>
      <c r="C7227" t="inlineStr">
        <is>
          <t>288</t>
        </is>
      </c>
      <c r="D7227" t="inlineStr">
        <is>
          <t>1</t>
        </is>
      </c>
      <c r="E7227" t="inlineStr">
        <is>
          <t>8</t>
        </is>
      </c>
      <c r="F7227" t="inlineStr">
        <is>
          <t>0</t>
        </is>
      </c>
      <c r="G7227" t="inlineStr">
        <is>
          <t>0</t>
        </is>
      </c>
      <c r="H7227" t="inlineStr">
        <is>
          <t>12³, 84³</t>
        </is>
      </c>
      <c r="I7227" t="n">
        <v>6</v>
      </c>
      <c r="J7227" t="inlineStr">
        <is>
          <t>1², 6¹</t>
        </is>
      </c>
      <c r="K7227">
        <f>HYPERLINK("CSG4.html#group84B4", "84B⁴"), =HYPERLINK("CSG6.html#group28D6", "28D⁶"), =HYPERLINK("CSG8.html#group84A8", "84A⁸"), =HYPERLINK("CSG10.html#group42D10", "42D¹⁰")</f>
        <v/>
      </c>
      <c r="L7227" t="inlineStr"/>
      <c r="M7227">
        <f>HYPERLINK("CSG0.html#group2A0", "2A⁰"), =HYPERLINK("CSG0.html#group28A0", "28A⁰"), =HYPERLINK("CSG6.html#group28D6", "28D⁶"), =HYPERLINK("CSG2.html#group14D2", "14D²"), =HYPERLINK("CSG4.html#group21A4", "21A⁴"), =HYPERLINK("CSG0.html#group7E0", "7E⁰"), =HYPERLINK("CSG0.html#group1A0", "1A⁰"), =HYPERLINK("CSG4.html#group84B4", "84B⁴"), =HYPERLINK("CSG8.html#group84A8", "84A⁸"), =HYPERLINK("CSG2.html#group21A2", "21A²"), =HYPERLINK("CSG4.html#group42B4", "42B⁴"), =HYPERLINK("CSG0.html#group7B0", "7B⁰"), =HYPERLINK("CSG10.html#group42D10", "42D¹⁰"), =HYPERLINK("CSG0.html#group14B0", "14B⁰"), =HYPERLINK("CSG2.html#group42C2", "42C²"), =HYPERLINK("CSG1.html#group6A1", "6A¹"), =HYPERLINK("CSG0.html#group3A0", "3A⁰"), =HYPERLINK("CSG1.html#group21A1", "21A¹")</f>
        <v/>
      </c>
      <c r="N7227" t="inlineStr"/>
    </row>
    <row r="7228">
      <c r="A7228" t="inlineStr">
        <is>
          <t>84C²²</t>
        </is>
      </c>
      <c r="B7228" t="inlineStr"/>
      <c r="C7228" t="inlineStr">
        <is>
          <t>288</t>
        </is>
      </c>
      <c r="D7228" t="inlineStr">
        <is>
          <t>1</t>
        </is>
      </c>
      <c r="E7228" t="inlineStr">
        <is>
          <t>16</t>
        </is>
      </c>
      <c r="F7228" t="inlineStr">
        <is>
          <t>0</t>
        </is>
      </c>
      <c r="G7228" t="inlineStr">
        <is>
          <t>0</t>
        </is>
      </c>
      <c r="H7228" t="inlineStr">
        <is>
          <t>12³, 84³</t>
        </is>
      </c>
      <c r="I7228" t="n">
        <v>6</v>
      </c>
      <c r="J7228" t="inlineStr">
        <is>
          <t>2², 12¹</t>
        </is>
      </c>
      <c r="K7228">
        <f>HYPERLINK("CSG4.html#group84A4", "84A⁴"), =HYPERLINK("CSG6.html#group28D6", "28D⁶"), =HYPERLINK("CSG6.html#group84A6", "84A⁶"), =HYPERLINK("CSG10.html#group42F10", "42F¹⁰")</f>
        <v/>
      </c>
      <c r="L7228" t="inlineStr"/>
      <c r="M7228">
        <f>HYPERLINK("CSG2.html#group42B2", "42B²"), =HYPERLINK("CSG0.html#group2A0", "2A⁰"), =HYPERLINK("CSG0.html#group6A0", "6A⁰"), =HYPERLINK("CSG0.html#group28A0", "28A⁰"), =HYPERLINK("CSG0.html#group7B0", "7B⁰"), =HYPERLINK("CSG6.html#group28D6", "28D⁶"), =HYPERLINK("CSG2.html#group14D2", "14D²"), =HYPERLINK("CSG0.html#group14B0", "14B⁰"), =HYPERLINK("CSG4.html#group84A4", "84A⁴"), =HYPERLINK("CSG6.html#group84A6", "84A⁶"), =HYPERLINK("CSG10.html#group42F10", "42F¹⁰"), =HYPERLINK("CSG0.html#group7E0", "7E⁰"), =HYPERLINK("CSG0.html#group1A0", "1A⁰"), =HYPERLINK("CSG3.html#group42B3", "42B³")</f>
        <v/>
      </c>
      <c r="N7228" t="inlineStr"/>
    </row>
    <row r="7229">
      <c r="A7229" t="inlineStr">
        <is>
          <t>84D²²</t>
        </is>
      </c>
      <c r="B7229" t="inlineStr"/>
      <c r="C7229" t="inlineStr">
        <is>
          <t>288</t>
        </is>
      </c>
      <c r="D7229" t="inlineStr">
        <is>
          <t>1</t>
        </is>
      </c>
      <c r="E7229" t="inlineStr">
        <is>
          <t>16</t>
        </is>
      </c>
      <c r="F7229" t="inlineStr">
        <is>
          <t>0</t>
        </is>
      </c>
      <c r="G7229" t="inlineStr">
        <is>
          <t>0</t>
        </is>
      </c>
      <c r="H7229" t="inlineStr">
        <is>
          <t>12³, 84³</t>
        </is>
      </c>
      <c r="I7229" t="n">
        <v>6</v>
      </c>
      <c r="J7229" t="inlineStr">
        <is>
          <t>1⁴, 6²</t>
        </is>
      </c>
      <c r="K7229">
        <f>HYPERLINK("CSG2.html#group28F2", "28F²"), =HYPERLINK("CSG6.html#group84A6", "84A⁶"), =HYPERLINK("CSG8.html#group84A8", "84A⁸"), =HYPERLINK("CSG10.html#group42G10", "42G¹⁰")</f>
        <v/>
      </c>
      <c r="L7229" t="inlineStr"/>
      <c r="M7229">
        <f>HYPERLINK("CSG0.html#group2A0", "2A⁰"), =HYPERLINK("CSG0.html#group3A0", "3A⁰"), =HYPERLINK("CSG10.html#group42G10", "42G¹⁰"), =HYPERLINK("CSG0.html#group28A0", "28A⁰"), =HYPERLINK("CSG6.html#group84A6", "84A⁶"), =HYPERLINK("CSG0.html#group1A0", "1A⁰"), =HYPERLINK("CSG8.html#group84A8", "84A⁸"), =HYPERLINK("CSG2.html#group21A2", "21A²"), =HYPERLINK("CSG4.html#group42B4", "42B⁴"), =HYPERLINK("CSG0.html#group7B0", "7B⁰"), =HYPERLINK("CSG0.html#group14B0", "14B⁰"), =HYPERLINK("CSG1.html#group6A1", "6A¹"), =HYPERLINK("CSG0.html#group14C0", "14C⁰"), =HYPERLINK("CSG2.html#group28F2", "28F²"), =HYPERLINK("CSG3.html#group42B3", "42B³")</f>
        <v/>
      </c>
      <c r="N7229" t="inlineStr"/>
    </row>
    <row r="7230">
      <c r="A7230" t="inlineStr">
        <is>
          <t>84E²²</t>
        </is>
      </c>
      <c r="B7230" t="inlineStr"/>
      <c r="C7230" t="inlineStr">
        <is>
          <t>288</t>
        </is>
      </c>
      <c r="D7230" t="inlineStr">
        <is>
          <t>1</t>
        </is>
      </c>
      <c r="E7230" t="inlineStr">
        <is>
          <t>24</t>
        </is>
      </c>
      <c r="F7230" t="inlineStr">
        <is>
          <t>0</t>
        </is>
      </c>
      <c r="G7230" t="inlineStr">
        <is>
          <t>0</t>
        </is>
      </c>
      <c r="H7230" t="inlineStr">
        <is>
          <t>12³, 84³</t>
        </is>
      </c>
      <c r="I7230" t="n">
        <v>6</v>
      </c>
      <c r="J7230" t="inlineStr">
        <is>
          <t>1², 2², 6¹, 12¹</t>
        </is>
      </c>
      <c r="K7230">
        <f>HYPERLINK("CSG8.html#group84B8", "84B⁸"), =HYPERLINK("CSG10.html#group42D10", "42D¹⁰")</f>
        <v/>
      </c>
      <c r="L7230" t="inlineStr"/>
      <c r="M7230">
        <f>HYPERLINK("CSG0.html#group2A0", "2A⁰"), =HYPERLINK("CSG2.html#group14D2", "14D²"), =HYPERLINK("CSG4.html#group21A4", "21A⁴"), =HYPERLINK("CSG0.html#group7E0", "7E⁰"), =HYPERLINK("CSG0.html#group1A0", "1A⁰"), =HYPERLINK("CSG2.html#group21A2", "21A²"), =HYPERLINK("CSG4.html#group42B4", "42B⁴"), =HYPERLINK("CSG8.html#group84B8", "84B⁸"), =HYPERLINK("CSG0.html#group7B0", "7B⁰"), =HYPERLINK("CSG10.html#group42D10", "42D¹⁰"), =HYPERLINK("CSG0.html#group14B0", "14B⁰"), =HYPERLINK("CSG2.html#group42C2", "42C²"), =HYPERLINK("CSG1.html#group6A1", "6A¹"), =HYPERLINK("CSG0.html#group3A0", "3A⁰"), =HYPERLINK("CSG1.html#group21A1", "21A¹")</f>
        <v/>
      </c>
      <c r="N7230" t="inlineStr"/>
    </row>
    <row r="7231">
      <c r="A7231" t="inlineStr">
        <is>
          <t>84F²²</t>
        </is>
      </c>
      <c r="B7231" t="inlineStr"/>
      <c r="C7231" t="inlineStr">
        <is>
          <t>288</t>
        </is>
      </c>
      <c r="D7231" t="inlineStr">
        <is>
          <t>1</t>
        </is>
      </c>
      <c r="E7231" t="inlineStr">
        <is>
          <t>24</t>
        </is>
      </c>
      <c r="F7231" t="inlineStr">
        <is>
          <t>0</t>
        </is>
      </c>
      <c r="G7231" t="inlineStr">
        <is>
          <t>0</t>
        </is>
      </c>
      <c r="H7231" t="inlineStr">
        <is>
          <t>12³, 84³</t>
        </is>
      </c>
      <c r="I7231" t="n">
        <v>6</v>
      </c>
      <c r="J7231" t="inlineStr">
        <is>
          <t>1², 2², 6¹, 12¹</t>
        </is>
      </c>
      <c r="K7231">
        <f>HYPERLINK("CSG8.html#group84B8", "84B⁸"), =HYPERLINK("CSG10.html#group42E10", "42E¹⁰")</f>
        <v/>
      </c>
      <c r="L7231" t="inlineStr"/>
      <c r="M7231">
        <f>HYPERLINK("CSG0.html#group2A0", "2A⁰"), =HYPERLINK("CSG1.html#group6C1", "6C¹"), =HYPERLINK("CSG10.html#group42E10", "42E¹⁰"), =HYPERLINK("CSG0.html#group2B0", "2B⁰"), =HYPERLINK("CSG2.html#group14E2", "14E²"), =HYPERLINK("CSG0.html#group1A0", "1A⁰"), =HYPERLINK("CSG2.html#group42B2", "42B²"), =HYPERLINK("CSG2.html#group21A2", "21A²"), =HYPERLINK("CSG4.html#group42B4", "42B⁴"), =HYPERLINK("CSG0.html#group6A0", "6A⁰"), =HYPERLINK("CSG8.html#group84B8", "84B⁸"), =HYPERLINK("CSG0.html#group7B0", "7B⁰"), =HYPERLINK("CSG5.html#group42A5", "42A⁵"), =HYPERLINK("CSG0.html#group14B0", "14B⁰"), =HYPERLINK("CSG1.html#group14C1", "14C¹"), =HYPERLINK("CSG1.html#group6A1", "6A¹"), =HYPERLINK("CSG0.html#group3A0", "3A⁰"), =HYPERLINK("CSG0.html#group2C0", "2C⁰"), =HYPERLINK("CSG0.html#group6D0", "6D⁰")</f>
        <v/>
      </c>
      <c r="N7231" t="inlineStr"/>
    </row>
    <row r="7232">
      <c r="A7232" t="inlineStr">
        <is>
          <t>84G²²</t>
        </is>
      </c>
      <c r="B7232" t="inlineStr"/>
      <c r="C7232" t="inlineStr">
        <is>
          <t>288</t>
        </is>
      </c>
      <c r="D7232" t="inlineStr">
        <is>
          <t>1</t>
        </is>
      </c>
      <c r="E7232" t="inlineStr">
        <is>
          <t>32</t>
        </is>
      </c>
      <c r="F7232" t="inlineStr">
        <is>
          <t>0</t>
        </is>
      </c>
      <c r="G7232" t="inlineStr">
        <is>
          <t>0</t>
        </is>
      </c>
      <c r="H7232" t="inlineStr">
        <is>
          <t>12³, 84³</t>
        </is>
      </c>
      <c r="I7232" t="n">
        <v>6</v>
      </c>
      <c r="J7232" t="inlineStr">
        <is>
          <t>2⁴, 12²</t>
        </is>
      </c>
      <c r="K7232">
        <f>HYPERLINK("CSG4.html#group21A4", "21A⁴"), =HYPERLINK("CSG6.html#group28F6", "28F⁶"), =HYPERLINK("CSG7.html#group84A7", "84A⁷"), =HYPERLINK("CSG8.html#group84C8", "84C⁸")</f>
        <v/>
      </c>
      <c r="L7232" t="inlineStr"/>
      <c r="M7232">
        <f>HYPERLINK("CSG6.html#group28F6", "28F⁶"), =HYPERLINK("CSG0.html#group12A0", "12A⁰"), =HYPERLINK("CSG2.html#group21A2", "21A²"), =HYPERLINK("CSG8.html#group84C8", "84C⁸"), =HYPERLINK("CSG0.html#group4A0", "4A⁰"), =HYPERLINK("CSG0.html#group7B0", "7B⁰"), =HYPERLINK("CSG4.html#group21A4", "21A⁴"), =HYPERLINK("CSG0.html#group7E0", "7E⁰"), =HYPERLINK("CSG7.html#group84A7", "84A⁷"), =HYPERLINK("CSG0.html#group3A0", "3A⁰"), =HYPERLINK("CSG0.html#group1A0", "1A⁰"), =HYPERLINK("CSG2.html#group28A2", "28A²"), =HYPERLINK("CSG1.html#group21A1", "21A¹")</f>
        <v/>
      </c>
      <c r="N7232" t="inlineStr"/>
    </row>
    <row r="7233">
      <c r="A7233" t="inlineStr">
        <is>
          <t>84H²²</t>
        </is>
      </c>
      <c r="B7233" t="inlineStr"/>
      <c r="C7233" t="inlineStr">
        <is>
          <t>288</t>
        </is>
      </c>
      <c r="D7233" t="inlineStr">
        <is>
          <t>1</t>
        </is>
      </c>
      <c r="E7233" t="inlineStr">
        <is>
          <t>48</t>
        </is>
      </c>
      <c r="F7233" t="inlineStr">
        <is>
          <t>0</t>
        </is>
      </c>
      <c r="G7233" t="inlineStr">
        <is>
          <t>0</t>
        </is>
      </c>
      <c r="H7233" t="inlineStr">
        <is>
          <t>12³, 84³</t>
        </is>
      </c>
      <c r="I7233" t="n">
        <v>6</v>
      </c>
      <c r="J7233" t="inlineStr">
        <is>
          <t>1⁴, 2⁴, 6², 12²</t>
        </is>
      </c>
      <c r="K7233">
        <f>HYPERLINK("CSG8.html#group84B8", "84B⁸"), =HYPERLINK("CSG10.html#group42G10", "42G¹⁰")</f>
        <v/>
      </c>
      <c r="L7233" t="inlineStr"/>
      <c r="M7233">
        <f>HYPERLINK("CSG0.html#group14C0", "14C⁰"), =HYPERLINK("CSG0.html#group2A0", "2A⁰"), =HYPERLINK("CSG0.html#group3A0", "3A⁰"), =HYPERLINK("CSG10.html#group42G10", "42G¹⁰"), =HYPERLINK("CSG2.html#group21A2", "21A²"), =HYPERLINK("CSG4.html#group42B4", "42B⁴"), =HYPERLINK("CSG0.html#group7B0", "7B⁰"), =HYPERLINK("CSG0.html#group14B0", "14B⁰"), =HYPERLINK("CSG1.html#group6A1", "6A¹"), =HYPERLINK("CSG8.html#group84B8", "84B⁸"), =HYPERLINK("CSG0.html#group1A0", "1A⁰"), =HYPERLINK("CSG3.html#group42B3", "42B³")</f>
        <v/>
      </c>
      <c r="N7233" t="inlineStr"/>
    </row>
    <row r="7234">
      <c r="A7234" t="inlineStr">
        <is>
          <t>84I²²</t>
        </is>
      </c>
      <c r="B7234" t="inlineStr"/>
      <c r="C7234" t="inlineStr">
        <is>
          <t>288</t>
        </is>
      </c>
      <c r="D7234" t="inlineStr">
        <is>
          <t>1</t>
        </is>
      </c>
      <c r="E7234" t="inlineStr">
        <is>
          <t>48</t>
        </is>
      </c>
      <c r="F7234" t="inlineStr">
        <is>
          <t>0</t>
        </is>
      </c>
      <c r="G7234" t="inlineStr">
        <is>
          <t>0</t>
        </is>
      </c>
      <c r="H7234" t="inlineStr">
        <is>
          <t>12³, 84³</t>
        </is>
      </c>
      <c r="I7234" t="n">
        <v>6</v>
      </c>
      <c r="J7234" t="inlineStr">
        <is>
          <t>1⁴, 2⁴, 6², 12²</t>
        </is>
      </c>
      <c r="K7234">
        <f>HYPERLINK("CSG1.html#group12J1", "12J¹"), =HYPERLINK("CSG6.html#group28G6", "28G⁶"), =HYPERLINK("CSG8.html#group84C8", "84C⁸"), =HYPERLINK("CSG11.html#group84A11", "84A¹¹")</f>
        <v/>
      </c>
      <c r="L7234" t="inlineStr"/>
      <c r="M7234">
        <f>HYPERLINK("CSG3.html#group28C3", "28C³"), =HYPERLINK("CSG0.html#group12C0", "12C⁰"), =HYPERLINK("CSG0.html#group4C0", "4C⁰"), =HYPERLINK("CSG0.html#group2B0", "2B⁰"), =HYPERLINK("CSG6.html#group28G6", "28G⁶"), =HYPERLINK("CSG0.html#group1A0", "1A⁰"), =HYPERLINK("CSG2.html#group28A2", "28A²"), =HYPERLINK("CSG0.html#group12A0", "12A⁰"), =HYPERLINK("CSG2.html#group21A2", "21A²"), =HYPERLINK("CSG8.html#group84C8", "84C⁸"), =HYPERLINK("CSG0.html#group4A0", "4A⁰"), =HYPERLINK("CSG0.html#group7B0", "7B⁰"), =HYPERLINK("CSG5.html#group42A5", "42A⁵"), =HYPERLINK("CSG1.html#group14C1", "14C¹"), =HYPERLINK("CSG1.html#group12J1", "12J¹"), =HYPERLINK("CSG0.html#group4F0", "4F⁰"), =HYPERLINK("CSG11.html#group84A11", "84A¹¹"), =HYPERLINK("CSG0.html#group3A0", "3A⁰"), =HYPERLINK("CSG0.html#group6D0", "6D⁰")</f>
        <v/>
      </c>
      <c r="N7234" t="inlineStr"/>
    </row>
    <row r="7235">
      <c r="A7235" t="inlineStr">
        <is>
          <t>84J²²</t>
        </is>
      </c>
      <c r="B7235" t="inlineStr"/>
      <c r="C7235" t="inlineStr">
        <is>
          <t>288</t>
        </is>
      </c>
      <c r="D7235" t="inlineStr">
        <is>
          <t>1</t>
        </is>
      </c>
      <c r="E7235" t="inlineStr">
        <is>
          <t>144</t>
        </is>
      </c>
      <c r="F7235" t="inlineStr">
        <is>
          <t>0</t>
        </is>
      </c>
      <c r="G7235" t="inlineStr">
        <is>
          <t>0</t>
        </is>
      </c>
      <c r="H7235" t="inlineStr">
        <is>
          <t>12³, 84³</t>
        </is>
      </c>
      <c r="I7235" t="n">
        <v>6</v>
      </c>
      <c r="J7235" t="inlineStr">
        <is>
          <t>1⁴, 2⁸, 4⁴, 6², 12⁴, 24²</t>
        </is>
      </c>
      <c r="K7235">
        <f>HYPERLINK("CSG1.html#group12M1", "12M¹"), =HYPERLINK("CSG11.html#group84A11", "84A¹¹")</f>
        <v/>
      </c>
      <c r="L7235" t="inlineStr"/>
      <c r="M7235">
        <f>HYPERLINK("CSG3.html#group28C3", "28C³"), =HYPERLINK("CSG0.html#group12C0", "12C⁰"), =HYPERLINK("CSG0.html#group4C0", "4C⁰"), =HYPERLINK("CSG1.html#group12M1", "12M¹"), =HYPERLINK("CSG0.html#group2B0", "2B⁰"), =HYPERLINK("CSG0.html#group1A0", "1A⁰"), =HYPERLINK("CSG2.html#group21A2", "21A²"), =HYPERLINK("CSG5.html#group42A5", "42A⁵"), =HYPERLINK("CSG0.html#group7B0", "7B⁰"), =HYPERLINK("CSG1.html#group14C1", "14C¹"), =HYPERLINK("CSG11.html#group84A11", "84A¹¹"), =HYPERLINK("CSG0.html#group3A0", "3A⁰"), =HYPERLINK("CSG0.html#group6D0", "6D⁰")</f>
        <v/>
      </c>
      <c r="N7235" t="inlineStr"/>
    </row>
    <row r="7236">
      <c r="A7236" t="inlineStr">
        <is>
          <t>84K²²</t>
        </is>
      </c>
      <c r="B7236" t="inlineStr"/>
      <c r="C7236" t="inlineStr">
        <is>
          <t>288</t>
        </is>
      </c>
      <c r="D7236" t="inlineStr">
        <is>
          <t>2</t>
        </is>
      </c>
      <c r="E7236" t="inlineStr">
        <is>
          <t>8</t>
        </is>
      </c>
      <c r="F7236" t="inlineStr">
        <is>
          <t>0</t>
        </is>
      </c>
      <c r="G7236" t="inlineStr">
        <is>
          <t>0</t>
        </is>
      </c>
      <c r="H7236" t="inlineStr">
        <is>
          <t>12³, 84³</t>
        </is>
      </c>
      <c r="I7236" t="n">
        <v>6</v>
      </c>
      <c r="J7236" t="inlineStr">
        <is>
          <t>2², 12¹</t>
        </is>
      </c>
      <c r="K7236">
        <f>HYPERLINK("CSG4.html#group84B4", "84B⁴"), =HYPERLINK("CSG6.html#group28E6", "28E⁶"), =HYPERLINK("CSG6.html#group84A6", "84A⁶"), =HYPERLINK("CSG10.html#group42J10", "42J¹⁰")</f>
        <v/>
      </c>
      <c r="L7236" t="inlineStr"/>
      <c r="M7236">
        <f>HYPERLINK("CSG0.html#group2A0", "2A⁰"), =HYPERLINK("CSG10.html#group42J10", "42J¹⁰"), =HYPERLINK("CSG0.html#group28A0", "28A⁰"), =HYPERLINK("CSG5.html#group42B5", "42B⁵"), =HYPERLINK("CSG0.html#group2B0", "2B⁰"), =HYPERLINK("CSG6.html#group84A6", "84A⁶"), =HYPERLINK("CSG6.html#group28E6", "28E⁶"), =HYPERLINK("CSG2.html#group14E2", "14E²"), =HYPERLINK("CSG0.html#group1A0", "1A⁰"), =HYPERLINK("CSG4.html#group84B4", "84B⁴"), =HYPERLINK("CSG0.html#group7B0", "7B⁰"), =HYPERLINK("CSG0.html#group14B0", "14B⁰"), =HYPERLINK("CSG2.html#group42C2", "42C²"), =HYPERLINK("CSG1.html#group14C1", "14C¹"), =HYPERLINK("CSG0.html#group2C0", "2C⁰"), =HYPERLINK("CSG3.html#group42B3", "42B³"), =HYPERLINK("CSG1.html#group21A1", "21A¹")</f>
        <v/>
      </c>
      <c r="N7236" t="inlineStr"/>
    </row>
    <row r="7237">
      <c r="A7237" t="inlineStr">
        <is>
          <t>84L²²</t>
        </is>
      </c>
      <c r="B7237" t="inlineStr"/>
      <c r="C7237" t="inlineStr">
        <is>
          <t>288</t>
        </is>
      </c>
      <c r="D7237" t="inlineStr">
        <is>
          <t>2</t>
        </is>
      </c>
      <c r="E7237" t="inlineStr">
        <is>
          <t>48</t>
        </is>
      </c>
      <c r="F7237" t="inlineStr">
        <is>
          <t>0</t>
        </is>
      </c>
      <c r="G7237" t="inlineStr">
        <is>
          <t>0</t>
        </is>
      </c>
      <c r="H7237" t="inlineStr">
        <is>
          <t>12³, 84³</t>
        </is>
      </c>
      <c r="I7237" t="n">
        <v>6</v>
      </c>
      <c r="J7237" t="inlineStr">
        <is>
          <t>2⁴, 4⁴, 12², 24²</t>
        </is>
      </c>
      <c r="K7237">
        <f>HYPERLINK("CSG6.html#group28G6", "28G⁶"), =HYPERLINK("CSG7.html#group84A7", "84A⁷"), =HYPERLINK("CSG11.html#group84C11", "84C¹¹")</f>
        <v/>
      </c>
      <c r="L7237" t="inlineStr"/>
      <c r="M7237">
        <f>HYPERLINK("CSG11.html#group84C11", "84C¹¹"), =HYPERLINK("CSG5.html#group42B5", "42B⁵"), =HYPERLINK("CSG0.html#group7B0", "7B⁰"), =HYPERLINK("CSG0.html#group4A0", "4A⁰"), =HYPERLINK("CSG0.html#group4C0", "4C⁰"), =HYPERLINK("CSG1.html#group14C1", "14C¹"), =HYPERLINK("CSG0.html#group2B0", "2B⁰"), =HYPERLINK("CSG7.html#group84A7", "84A⁷"), =HYPERLINK("CSG0.html#group4F0", "4F⁰"), =HYPERLINK("CSG6.html#group28G6", "28G⁶"), =HYPERLINK("CSG3.html#group28C3", "28C³"), =HYPERLINK("CSG0.html#group1A0", "1A⁰"), =HYPERLINK("CSG2.html#group28A2", "28A²"), =HYPERLINK("CSG1.html#group21A1", "21A¹")</f>
        <v/>
      </c>
      <c r="N7237" t="inlineStr"/>
    </row>
    <row r="7238">
      <c r="A7238" t="inlineStr">
        <is>
          <t>84M²²</t>
        </is>
      </c>
      <c r="B7238" t="inlineStr"/>
      <c r="C7238" t="inlineStr">
        <is>
          <t>378</t>
        </is>
      </c>
      <c r="D7238" t="inlineStr">
        <is>
          <t>1</t>
        </is>
      </c>
      <c r="E7238" t="inlineStr">
        <is>
          <t>63</t>
        </is>
      </c>
      <c r="F7238" t="inlineStr">
        <is>
          <t>24</t>
        </is>
      </c>
      <c r="G7238" t="inlineStr">
        <is>
          <t>0</t>
        </is>
      </c>
      <c r="H7238" t="inlineStr">
        <is>
          <t>21⁶, 84³</t>
        </is>
      </c>
      <c r="I7238" t="n">
        <v>9</v>
      </c>
      <c r="J7238" t="inlineStr">
        <is>
          <t>3³, 6⁹</t>
        </is>
      </c>
      <c r="K7238">
        <f>HYPERLINK("CSG5.html#group28H5", "28H⁵"), =HYPERLINK("CSG10.html#group42K10", "42K¹⁰")</f>
        <v/>
      </c>
      <c r="L7238" t="inlineStr"/>
      <c r="M7238">
        <f>HYPERLINK("CSG0.html#group7D0", "7D⁰"), =HYPERLINK("CSG1.html#group14B1", "14B¹"), =HYPERLINK("CSG10.html#group42K10", "42K¹⁰"), =HYPERLINK("CSG0.html#group21A0", "21A⁰"), =HYPERLINK("CSG0.html#group2B0", "2B⁰"), =HYPERLINK("CSG0.html#group1A0", "1A⁰"), =HYPERLINK("CSG1.html#group21E1", "21E¹"), =HYPERLINK("CSG5.html#group28H5", "28H⁵"), =HYPERLINK("CSG2.html#group14F2", "14F²"), =HYPERLINK("CSG0.html#group3A0", "3A⁰"), =HYPERLINK("CSG3.html#group42C3", "42C³"), =HYPERLINK("CSG0.html#group6D0", "6D⁰"), =HYPERLINK("CSG0.html#group7A0", "7A⁰")</f>
        <v/>
      </c>
      <c r="N7238" t="inlineStr"/>
    </row>
    <row r="7239">
      <c r="A7239" t="inlineStr">
        <is>
          <t>84N²²</t>
        </is>
      </c>
      <c r="B7239" t="inlineStr"/>
      <c r="C7239" t="inlineStr">
        <is>
          <t>378</t>
        </is>
      </c>
      <c r="D7239" t="inlineStr">
        <is>
          <t>1</t>
        </is>
      </c>
      <c r="E7239" t="inlineStr">
        <is>
          <t>63</t>
        </is>
      </c>
      <c r="F7239" t="inlineStr">
        <is>
          <t>30</t>
        </is>
      </c>
      <c r="G7239" t="inlineStr">
        <is>
          <t>0</t>
        </is>
      </c>
      <c r="H7239" t="inlineStr">
        <is>
          <t>42³, 84³</t>
        </is>
      </c>
      <c r="I7239" t="n">
        <v>6</v>
      </c>
      <c r="J7239" t="inlineStr">
        <is>
          <t>3³, 6⁹</t>
        </is>
      </c>
      <c r="K7239">
        <f>HYPERLINK("CSG6.html#group28I6", "28I⁶"), =HYPERLINK("CSG6.html#group84B6", "84B⁶"), =HYPERLINK("CSG10.html#group42K10", "42K¹⁰")</f>
        <v/>
      </c>
      <c r="L7239" t="inlineStr"/>
      <c r="M7239">
        <f>HYPERLINK("CSG0.html#group12C0", "12C⁰"), =HYPERLINK("CSG0.html#group7D0", "7D⁰"), =HYPERLINK("CSG1.html#group14B1", "14B¹"), =HYPERLINK("CSG10.html#group42K10", "42K¹⁰"), =HYPERLINK("CSG0.html#group4C0", "4C⁰"), =HYPERLINK("CSG0.html#group21A0", "21A⁰"), =HYPERLINK("CSG0.html#group2B0", "2B⁰"), =HYPERLINK("CSG6.html#group28I6", "28I⁶"), =HYPERLINK("CSG0.html#group1A0", "1A⁰"), =HYPERLINK("CSG2.html#group28C2", "28C²"), =HYPERLINK("CSG1.html#group21E1", "21E¹"), =HYPERLINK("CSG2.html#group14F2", "14F²"), =HYPERLINK("CSG0.html#group3A0", "3A⁰"), =HYPERLINK("CSG3.html#group42C3", "42C³"), =HYPERLINK("CSG6.html#group84B6", "84B⁶"), =HYPERLINK("CSG0.html#group6D0", "6D⁰"), =HYPERLINK("CSG0.html#group7A0", "7A⁰")</f>
        <v/>
      </c>
      <c r="N7239" t="inlineStr"/>
    </row>
    <row r="7240">
      <c r="A7240" t="inlineStr">
        <is>
          <t>88A²²</t>
        </is>
      </c>
      <c r="B7240" t="inlineStr"/>
      <c r="C7240" t="inlineStr">
        <is>
          <t>288</t>
        </is>
      </c>
      <c r="D7240" t="inlineStr">
        <is>
          <t>1</t>
        </is>
      </c>
      <c r="E7240" t="inlineStr">
        <is>
          <t>144</t>
        </is>
      </c>
      <c r="F7240" t="inlineStr">
        <is>
          <t>0</t>
        </is>
      </c>
      <c r="G7240" t="inlineStr">
        <is>
          <t>0</t>
        </is>
      </c>
      <c r="H7240" t="inlineStr">
        <is>
          <t>8³, 88³</t>
        </is>
      </c>
      <c r="I7240" t="n">
        <v>6</v>
      </c>
      <c r="J7240" t="inlineStr">
        <is>
          <t>2⁴, 4⁴, 20², 40²</t>
        </is>
      </c>
      <c r="K7240">
        <f>HYPERLINK("CSG1.html#group8D1", "8D¹"), =HYPERLINK("CSG8.html#group88A8", "88A⁸"), =HYPERLINK("CSG10.html#group44C10", "44C¹⁰")</f>
        <v/>
      </c>
      <c r="L7240" t="inlineStr"/>
      <c r="M7240">
        <f>HYPERLINK("CSG10.html#group44C10", "44C¹⁰"), =HYPERLINK("CSG0.html#group4A0", "4A⁰"), =HYPERLINK("CSG1.html#group11A1", "11A¹"), =HYPERLINK("CSG4.html#group44B4", "44B⁴"), =HYPERLINK("CSG0.html#group4C0", "4C⁰"), =HYPERLINK("CSG0.html#group8A0", "8A⁰"), =HYPERLINK("CSG5.html#group44B5", "44B⁵"), =HYPERLINK("CSG0.html#group2B0", "2B⁰"), =HYPERLINK("CSG0.html#group4F0", "4F⁰"), =HYPERLINK("CSG8.html#group88A8", "88A⁸"), =HYPERLINK("CSG2.html#group22C2", "22C²"), =HYPERLINK("CSG0.html#group1A0", "1A⁰"), =HYPERLINK("CSG1.html#group8D1", "8D¹")</f>
        <v/>
      </c>
      <c r="N7240" t="inlineStr"/>
    </row>
    <row r="7241">
      <c r="A7241" t="inlineStr">
        <is>
          <t>90A²²</t>
        </is>
      </c>
      <c r="B7241" t="inlineStr"/>
      <c r="C7241" t="inlineStr">
        <is>
          <t>270</t>
        </is>
      </c>
      <c r="D7241" t="inlineStr">
        <is>
          <t>1</t>
        </is>
      </c>
      <c r="E7241" t="inlineStr">
        <is>
          <t>45</t>
        </is>
      </c>
      <c r="F7241" t="inlineStr">
        <is>
          <t>0</t>
        </is>
      </c>
      <c r="G7241" t="inlineStr">
        <is>
          <t>0</t>
        </is>
      </c>
      <c r="H7241" t="inlineStr">
        <is>
          <t>90³</t>
        </is>
      </c>
      <c r="I7241" t="n">
        <v>3</v>
      </c>
      <c r="J7241" t="inlineStr">
        <is>
          <t>1¹, 2¹, 4¹, 6¹, 8¹, 24¹</t>
        </is>
      </c>
      <c r="K7241">
        <f>HYPERLINK("CSG7.html#group30A7", "30A⁷"), =HYPERLINK("CSG7.html#group45D7", "45D⁷"), =HYPERLINK("CSG8.html#group90A8", "90A⁸")</f>
        <v/>
      </c>
      <c r="L7241" t="inlineStr"/>
      <c r="M7241">
        <f>HYPERLINK("CSG0.html#group2A0", "2A⁰"), =HYPERLINK("CSG3.html#group30A3", "30A³"), =HYPERLINK("CSG0.html#group5A0", "5A⁰"), =HYPERLINK("CSG2.html#group10A2", "10A²"), =HYPERLINK("CSG7.html#group30A7", "30A⁷"), =HYPERLINK("CSG1.html#group15F1", "15F¹"), =HYPERLINK("CSG8.html#group90A8", "90A⁸"), =HYPERLINK("CSG2.html#group18A2", "18A²"), =HYPERLINK("CSG0.html#group1A0", "1A⁰"), =HYPERLINK("CSG7.html#group45D7", "45D⁷"), =HYPERLINK("CSG0.html#group10A0", "10A⁰"), =HYPERLINK("CSG1.html#group30B1", "30B¹"), =HYPERLINK("CSG0.html#group9A0", "9A⁰"), =HYPERLINK("CSG0.html#group5E0", "5E⁰"), =HYPERLINK("CSG3.html#group45A3", "45A³"), =HYPERLINK("CSG1.html#group6A1", "6A¹"), =HYPERLINK("CSG0.html#group3A0", "3A⁰"), =HYPERLINK("CSG1.html#group15A1", "15A¹"), =HYPERLINK("CSG0.html#group15A0", "15A⁰")</f>
        <v/>
      </c>
      <c r="N7241" t="inlineStr"/>
    </row>
    <row r="7242">
      <c r="A7242" t="inlineStr">
        <is>
          <t>90B²²</t>
        </is>
      </c>
      <c r="B7242" t="inlineStr"/>
      <c r="C7242" t="inlineStr">
        <is>
          <t>270</t>
        </is>
      </c>
      <c r="D7242" t="inlineStr">
        <is>
          <t>1</t>
        </is>
      </c>
      <c r="E7242" t="inlineStr">
        <is>
          <t>45</t>
        </is>
      </c>
      <c r="F7242" t="inlineStr">
        <is>
          <t>0</t>
        </is>
      </c>
      <c r="G7242" t="inlineStr">
        <is>
          <t>0</t>
        </is>
      </c>
      <c r="H7242" t="inlineStr">
        <is>
          <t>90³</t>
        </is>
      </c>
      <c r="I7242" t="n">
        <v>3</v>
      </c>
      <c r="J7242" t="inlineStr">
        <is>
          <t>1¹, 2¹, 4¹, 6¹, 8¹, 24¹</t>
        </is>
      </c>
      <c r="K7242">
        <f>HYPERLINK("CSG4.html#group18A4", "18A⁴"), =HYPERLINK("CSG7.html#group30B7", "30B⁷"), =HYPERLINK("CSG8.html#group90A8", "90A⁸"), =HYPERLINK("CSG10.html#group90D10", "90D¹⁰")</f>
        <v/>
      </c>
      <c r="L7242" t="inlineStr"/>
      <c r="M7242">
        <f>HYPERLINK("CSG0.html#group2A0", "2A⁰"), =HYPERLINK("CSG3.html#group30A3", "30A³"), =HYPERLINK("CSG0.html#group5A0", "5A⁰"), =HYPERLINK("CSG10.html#group90D10", "90D¹⁰"), =HYPERLINK("CSG1.html#group10B1", "10B¹"), =HYPERLINK("CSG1.html#group6C1", "6C¹"), =HYPERLINK("CSG8.html#group90A8", "90A⁸"), =HYPERLINK("CSG7.html#group30B7", "30B⁷"), =HYPERLINK("CSG2.html#group18A2", "18A²"), =HYPERLINK("CSG0.html#group2B0", "2B⁰"), =HYPERLINK("CSG2.html#group10B2", "10B²"), =HYPERLINK("CSG0.html#group1A0", "1A⁰"), =HYPERLINK("CSG3.html#group30D3", "30D³"), =HYPERLINK("CSG1.html#group30A1", "30A¹"), =HYPERLINK("CSG0.html#group10A0", "10A⁰"), =HYPERLINK("CSG0.html#group6A0", "6A⁰"), =HYPERLINK("CSG4.html#group18A4", "18A⁴"), =HYPERLINK("CSG0.html#group9A0", "9A⁰"), =HYPERLINK("CSG0.html#group6D0", "6D⁰"), =HYPERLINK("CSG1.html#group6A1", "6A¹"), =HYPERLINK("CSG1.html#group18E1", "18E¹"), =HYPERLINK("CSG0.html#group3A0", "3A⁰"), =HYPERLINK("CSG0.html#group2C0", "2C⁰"), =HYPERLINK("CSG1.html#group15A1", "15A¹"), =HYPERLINK("CSG3.html#group45A3", "45A³")</f>
        <v/>
      </c>
      <c r="N7242" t="inlineStr"/>
    </row>
    <row r="7243">
      <c r="A7243" t="inlineStr">
        <is>
          <t>90C²²</t>
        </is>
      </c>
      <c r="B7243" t="inlineStr"/>
      <c r="C7243" t="inlineStr">
        <is>
          <t>270</t>
        </is>
      </c>
      <c r="D7243" t="inlineStr">
        <is>
          <t>1</t>
        </is>
      </c>
      <c r="E7243" t="inlineStr">
        <is>
          <t>90</t>
        </is>
      </c>
      <c r="F7243" t="inlineStr">
        <is>
          <t>0</t>
        </is>
      </c>
      <c r="G7243" t="inlineStr">
        <is>
          <t>0</t>
        </is>
      </c>
      <c r="H7243" t="inlineStr">
        <is>
          <t>90³</t>
        </is>
      </c>
      <c r="I7243" t="n">
        <v>3</v>
      </c>
      <c r="J7243" t="inlineStr">
        <is>
          <t>2¹, 4³, 8², 12¹, 24²</t>
        </is>
      </c>
      <c r="K7243">
        <f>HYPERLINK("CSG7.html#group30D7", "30D⁷"), =HYPERLINK("CSG8.html#group90A8", "90A⁸")</f>
        <v/>
      </c>
      <c r="L7243" t="inlineStr"/>
      <c r="M7243">
        <f>HYPERLINK("CSG0.html#group2A0", "2A⁰"), =HYPERLINK("CSG3.html#group30A3", "30A³"), =HYPERLINK("CSG0.html#group5A0", "5A⁰"), =HYPERLINK("CSG2.html#group30B2", "30B²"), =HYPERLINK("CSG0.html#group10A0", "10A⁰"), =HYPERLINK("CSG0.html#group10E0", "10E⁰"), =HYPERLINK("CSG0.html#group9A0", "9A⁰"), =HYPERLINK("CSG7.html#group30D7", "30D⁷"), =HYPERLINK("CSG8.html#group90A8", "90A⁸"), =HYPERLINK("CSG1.html#group6A1", "6A¹"), =HYPERLINK("CSG2.html#group18A2", "18A²"), =HYPERLINK("CSG0.html#group3A0", "3A⁰"), =HYPERLINK("CSG0.html#group1A0", "1A⁰"), =HYPERLINK("CSG1.html#group15A1", "15A¹"), =HYPERLINK("CSG3.html#group45A3", "45A³")</f>
        <v/>
      </c>
      <c r="N7243" t="inlineStr"/>
    </row>
    <row r="7244">
      <c r="A7244" t="inlineStr">
        <is>
          <t>90D²²</t>
        </is>
      </c>
      <c r="B7244" t="inlineStr"/>
      <c r="C7244" t="inlineStr">
        <is>
          <t>270</t>
        </is>
      </c>
      <c r="D7244" t="inlineStr">
        <is>
          <t>1</t>
        </is>
      </c>
      <c r="E7244" t="inlineStr">
        <is>
          <t>135</t>
        </is>
      </c>
      <c r="F7244" t="inlineStr">
        <is>
          <t>0</t>
        </is>
      </c>
      <c r="G7244" t="inlineStr">
        <is>
          <t>0</t>
        </is>
      </c>
      <c r="H7244" t="inlineStr">
        <is>
          <t>90³</t>
        </is>
      </c>
      <c r="I7244" t="n">
        <v>3</v>
      </c>
      <c r="J7244" t="inlineStr">
        <is>
          <t>3¹, 6⁴, 12¹, 24⁴</t>
        </is>
      </c>
      <c r="K7244">
        <f>HYPERLINK("CSG4.html#group18B4", "18B⁴"), =HYPERLINK("CSG8.html#group90A8", "90A⁸"), =HYPERLINK("CSG9.html#group45B9", "45B⁹")</f>
        <v/>
      </c>
      <c r="L7244" t="inlineStr"/>
      <c r="M7244">
        <f>HYPERLINK("CSG0.html#group2A0", "2A⁰"), =HYPERLINK("CSG3.html#group30A3", "30A³"), =HYPERLINK("CSG0.html#group5A0", "5A⁰"), =HYPERLINK("CSG4.html#group18B4", "18B⁴"), =HYPERLINK("CSG0.html#group9G0", "9G⁰"), =HYPERLINK("CSG8.html#group90A8", "90A⁸"), =HYPERLINK("CSG2.html#group18A2", "18A²"), =HYPERLINK("CSG0.html#group1A0", "1A⁰"), =HYPERLINK("CSG9.html#group45B9", "45B⁹"), =HYPERLINK("CSG0.html#group10A0", "10A⁰"), =HYPERLINK("CSG0.html#group9A0", "9A⁰"), =HYPERLINK("CSG1.html#group6A1", "6A¹"), =HYPERLINK("CSG0.html#group3A0", "3A⁰"), =HYPERLINK("CSG1.html#group15A1", "15A¹"), =HYPERLINK("CSG3.html#group45A3", "45A³")</f>
        <v/>
      </c>
      <c r="N7244" t="inlineStr"/>
    </row>
    <row r="7245">
      <c r="A7245" t="inlineStr">
        <is>
          <t>90E²²</t>
        </is>
      </c>
      <c r="B7245" t="inlineStr"/>
      <c r="C7245" t="inlineStr">
        <is>
          <t>324</t>
        </is>
      </c>
      <c r="D7245" t="inlineStr">
        <is>
          <t>1</t>
        </is>
      </c>
      <c r="E7245" t="inlineStr">
        <is>
          <t>162</t>
        </is>
      </c>
      <c r="F7245" t="inlineStr">
        <is>
          <t>8</t>
        </is>
      </c>
      <c r="G7245" t="inlineStr">
        <is>
          <t>0</t>
        </is>
      </c>
      <c r="H7245" t="inlineStr">
        <is>
          <t>9², 18², 45², 90²</t>
        </is>
      </c>
      <c r="I7245" t="n">
        <v>8</v>
      </c>
      <c r="J7245" t="inlineStr">
        <is>
          <t>1⁶, 2⁶, 4³, 6⁶, 8³, 24³</t>
        </is>
      </c>
      <c r="K7245">
        <f>HYPERLINK("CSG4.html#group30I4", "30I⁴"), =HYPERLINK("CSG6.html#group45D6", "45D⁶"), =HYPERLINK("CSG10.html#group90E10", "90E¹⁰")</f>
        <v/>
      </c>
      <c r="L7245" t="inlineStr"/>
      <c r="M7245">
        <f>HYPERLINK("CSG2.html#group45A2", "45A²"), =HYPERLINK("CSG0.html#group15B0", "15B⁰"), =HYPERLINK("CSG2.html#group30E2", "30E²"), =HYPERLINK("CSG6.html#group45D6", "45D⁶"), =HYPERLINK("CSG0.html#group9A0", "9A⁰"), =HYPERLINK("CSG4.html#group30I4", "30I⁴"), =HYPERLINK("CSG10.html#group90E10", "90E¹⁰"), =HYPERLINK("CSG0.html#group5B0", "5B⁰"), =HYPERLINK("CSG0.html#group10C0", "10C⁰"), =HYPERLINK("CSG0.html#group2B0", "2B⁰"), =HYPERLINK("CSG1.html#group18E1", "18E¹"), =HYPERLINK("CSG0.html#group3A0", "3A⁰"), =HYPERLINK("CSG0.html#group1A0", "1A⁰"), =HYPERLINK("CSG0.html#group6D0", "6D⁰"), =HYPERLINK("CSG0.html#group15C0", "15C⁰")</f>
        <v/>
      </c>
      <c r="N7245" t="inlineStr"/>
    </row>
    <row r="7246">
      <c r="A7246" t="inlineStr">
        <is>
          <t>90F²²</t>
        </is>
      </c>
      <c r="B7246" t="inlineStr"/>
      <c r="C7246" t="inlineStr">
        <is>
          <t>324</t>
        </is>
      </c>
      <c r="D7246" t="inlineStr">
        <is>
          <t>1</t>
        </is>
      </c>
      <c r="E7246" t="inlineStr">
        <is>
          <t>162</t>
        </is>
      </c>
      <c r="F7246" t="inlineStr">
        <is>
          <t>12</t>
        </is>
      </c>
      <c r="G7246" t="inlineStr">
        <is>
          <t>0</t>
        </is>
      </c>
      <c r="H7246" t="inlineStr">
        <is>
          <t>18³, 90³</t>
        </is>
      </c>
      <c r="I7246" t="n">
        <v>6</v>
      </c>
      <c r="J7246" t="inlineStr">
        <is>
          <t>3², 6⁸, 12¹, 24⁴</t>
        </is>
      </c>
      <c r="K7246">
        <f>HYPERLINK("CSG0.html#group10B0", "10B⁰"), =HYPERLINK("CSG10.html#group45A10", "45A¹⁰")</f>
        <v/>
      </c>
      <c r="L7246" t="inlineStr"/>
      <c r="M7246">
        <f>HYPERLINK("CSG0.html#group5B0", "5B⁰"), =HYPERLINK("CSG0.html#group9F0", "9F⁰"), =HYPERLINK("CSG0.html#group1A0", "1A⁰"), =HYPERLINK("CSG10.html#group45A10", "45A¹⁰"), =HYPERLINK("CSG0.html#group10B0", "10B⁰")</f>
        <v/>
      </c>
      <c r="N7246" t="inlineStr"/>
    </row>
    <row r="7247">
      <c r="A7247" t="inlineStr">
        <is>
          <t>90G²²</t>
        </is>
      </c>
      <c r="B7247" t="inlineStr"/>
      <c r="C7247" t="inlineStr">
        <is>
          <t>324</t>
        </is>
      </c>
      <c r="D7247" t="inlineStr">
        <is>
          <t>1</t>
        </is>
      </c>
      <c r="E7247" t="inlineStr">
        <is>
          <t>162</t>
        </is>
      </c>
      <c r="F7247" t="inlineStr">
        <is>
          <t>12</t>
        </is>
      </c>
      <c r="G7247" t="inlineStr">
        <is>
          <t>0</t>
        </is>
      </c>
      <c r="H7247" t="inlineStr">
        <is>
          <t>18³, 90³</t>
        </is>
      </c>
      <c r="I7247" t="n">
        <v>6</v>
      </c>
      <c r="J7247" t="inlineStr">
        <is>
          <t>1⁶, 2⁶, 4³, 6⁶, 8³, 24³</t>
        </is>
      </c>
      <c r="K7247">
        <f>HYPERLINK("CSG6.html#group30D6", "30D⁶"), =HYPERLINK("CSG6.html#group90B6", "90B⁶"), =HYPERLINK("CSG10.html#group90E10", "90E¹⁰")</f>
        <v/>
      </c>
      <c r="L7247" t="inlineStr"/>
      <c r="M7247">
        <f>HYPERLINK("CSG2.html#group45A2", "45A²"), =HYPERLINK("CSG6.html#group90B6", "90B⁶"), =HYPERLINK("CSG0.html#group15B0", "15B⁰"), =HYPERLINK("CSG6.html#group30D6", "30D⁶"), =HYPERLINK("CSG2.html#group30E2", "30E²"), =HYPERLINK("CSG0.html#group9A0", "9A⁰"), =HYPERLINK("CSG10.html#group90E10", "90E¹⁰"), =HYPERLINK("CSG0.html#group5B0", "5B⁰"), =HYPERLINK("CSG0.html#group10C0", "10C⁰"), =HYPERLINK("CSG0.html#group2B0", "2B⁰"), =HYPERLINK("CSG1.html#group18E1", "18E¹"), =HYPERLINK("CSG0.html#group3A0", "3A⁰"), =HYPERLINK("CSG0.html#group1A0", "1A⁰"), =HYPERLINK("CSG0.html#group6D0", "6D⁰"), =HYPERLINK("CSG2.html#group30C2", "30C²")</f>
        <v/>
      </c>
      <c r="N7247" t="inlineStr"/>
    </row>
    <row r="7248">
      <c r="A7248" t="inlineStr">
        <is>
          <t>90H²²</t>
        </is>
      </c>
      <c r="B7248" t="inlineStr"/>
      <c r="C7248" t="inlineStr">
        <is>
          <t>324</t>
        </is>
      </c>
      <c r="D7248" t="inlineStr">
        <is>
          <t>2</t>
        </is>
      </c>
      <c r="E7248" t="inlineStr">
        <is>
          <t>162</t>
        </is>
      </c>
      <c r="F7248" t="inlineStr">
        <is>
          <t>12</t>
        </is>
      </c>
      <c r="G7248" t="inlineStr">
        <is>
          <t>0</t>
        </is>
      </c>
      <c r="H7248" t="inlineStr">
        <is>
          <t>18³, 90³</t>
        </is>
      </c>
      <c r="I7248" t="n">
        <v>6</v>
      </c>
      <c r="J7248" t="inlineStr">
        <is>
          <t>6¹⁸, 24⁹</t>
        </is>
      </c>
      <c r="K7248">
        <f>HYPERLINK("CSG6.html#group90B6", "90B⁶"), =HYPERLINK("CSG8.html#group45D8", "45D⁸"), =HYPERLINK("CSG8.html#group90B8", "90B⁸")</f>
        <v/>
      </c>
      <c r="L7248" t="inlineStr"/>
      <c r="M7248">
        <f>HYPERLINK("CSG2.html#group45A2", "45A²"), =HYPERLINK("CSG8.html#group90B8", "90B⁸"), =HYPERLINK("CSG6.html#group90B6", "90B⁶"), =HYPERLINK("CSG0.html#group15B0", "15B⁰"), =HYPERLINK("CSG8.html#group45D8", "45D⁸"), =HYPERLINK("CSG0.html#group9A0", "9A⁰"), =HYPERLINK("CSG0.html#group9G0", "9G⁰"), =HYPERLINK("CSG0.html#group5B0", "5B⁰"), =HYPERLINK("CSG0.html#group3A0", "3A⁰"), =HYPERLINK("CSG0.html#group1A0", "1A⁰"), =HYPERLINK("CSG2.html#group30C2", "30C²")</f>
        <v/>
      </c>
      <c r="N7248" t="inlineStr"/>
    </row>
    <row r="7249">
      <c r="A7249" t="inlineStr">
        <is>
          <t>90I²²</t>
        </is>
      </c>
      <c r="B7249" t="inlineStr"/>
      <c r="C7249" t="inlineStr">
        <is>
          <t>360</t>
        </is>
      </c>
      <c r="D7249" t="inlineStr">
        <is>
          <t>1</t>
        </is>
      </c>
      <c r="E7249" t="inlineStr">
        <is>
          <t>40</t>
        </is>
      </c>
      <c r="F7249" t="inlineStr">
        <is>
          <t>0</t>
        </is>
      </c>
      <c r="G7249" t="inlineStr">
        <is>
          <t>18</t>
        </is>
      </c>
      <c r="H7249" t="inlineStr">
        <is>
          <t>30³, 90³</t>
        </is>
      </c>
      <c r="I7249" t="n">
        <v>6</v>
      </c>
      <c r="J7249" t="inlineStr">
        <is>
          <t>2⁴, 8⁴</t>
        </is>
      </c>
      <c r="K7249">
        <f>HYPERLINK("CSG1.html#group18K1", "18K¹"), =HYPERLINK("CSG6.html#group90C6", "90C⁶"), =HYPERLINK("CSG7.html#group30K7", "30K⁷"), =HYPERLINK("CSG7.html#group90E7", "90E⁷"), =HYPERLINK("CSG8.html#group90C8", "90C⁸")</f>
        <v/>
      </c>
      <c r="L7249" t="inlineStr"/>
      <c r="M7249">
        <f>HYPERLINK("CSG0.html#group3B0", "3B⁰"), =HYPERLINK("CSG0.html#group2A0", "2A⁰"), =HYPERLINK("CSG0.html#group5A0", "5A⁰"), =HYPERLINK("CSG1.html#group18K1", "18K¹"), =HYPERLINK("CSG0.html#group18B0", "18B⁰"), =HYPERLINK("CSG0.html#group6C0", "6C⁰"), =HYPERLINK("CSG7.html#group30K7", "30K⁷"), =HYPERLINK("CSG2.html#group30D2", "30D²"), =HYPERLINK("CSG0.html#group9C0", "9C⁰"), =HYPERLINK("CSG0.html#group1A0", "1A⁰"), =HYPERLINK("CSG0.html#group18C0", "18C⁰"), =HYPERLINK("CSG7.html#group90E7", "90E⁷"), =HYPERLINK("CSG3.html#group45B3", "45B³"), =HYPERLINK("CSG0.html#group10A0", "10A⁰"), =HYPERLINK("CSG1.html#group30A1", "30A¹"), =HYPERLINK("CSG0.html#group6A0", "6A⁰"), =HYPERLINK("CSG6.html#group90C6", "90C⁶"), =HYPERLINK("CSG0.html#group6J0", "6J⁰"), =HYPERLINK("CSG1.html#group15B1", "15B¹"), =HYPERLINK("CSG8.html#group90C8", "90C⁸"), =HYPERLINK("CSG1.html#group18D1", "18D¹")</f>
        <v/>
      </c>
      <c r="N7249" t="inlineStr"/>
    </row>
    <row r="7250">
      <c r="A7250" t="inlineStr">
        <is>
          <t>90J²²</t>
        </is>
      </c>
      <c r="B7250" t="inlineStr"/>
      <c r="C7250" t="inlineStr">
        <is>
          <t>360</t>
        </is>
      </c>
      <c r="D7250" t="inlineStr">
        <is>
          <t>1</t>
        </is>
      </c>
      <c r="E7250" t="inlineStr">
        <is>
          <t>40</t>
        </is>
      </c>
      <c r="F7250" t="inlineStr">
        <is>
          <t>0</t>
        </is>
      </c>
      <c r="G7250" t="inlineStr">
        <is>
          <t>18</t>
        </is>
      </c>
      <c r="H7250" t="inlineStr">
        <is>
          <t>30³, 90³</t>
        </is>
      </c>
      <c r="I7250" t="n">
        <v>6</v>
      </c>
      <c r="J7250" t="inlineStr">
        <is>
          <t>2², 4⁵, 8²</t>
        </is>
      </c>
      <c r="K7250">
        <f>HYPERLINK("CSG6.html#group30E6", "30E⁶"), =HYPERLINK("CSG6.html#group90C6", "90C⁶"), =HYPERLINK("CSG8.html#group90F8", "90F⁸")</f>
        <v/>
      </c>
      <c r="L7250" t="inlineStr"/>
      <c r="M7250">
        <f>HYPERLINK("CSG8.html#group90F8", "90F⁸"), =HYPERLINK("CSG0.html#group3B0", "3B⁰"), =HYPERLINK("CSG0.html#group2A0", "2A⁰"), =HYPERLINK("CSG0.html#group5A0", "5A⁰"), =HYPERLINK("CSG3.html#group45B3", "45B³"), =HYPERLINK("CSG6.html#group30E6", "30E⁶"), =HYPERLINK("CSG0.html#group10A0", "10A⁰"), =HYPERLINK("CSG6.html#group90C6", "90C⁶"), =HYPERLINK("CSG0.html#group18B0", "18B⁰"), =HYPERLINK("CSG0.html#group10E0", "10E⁰"), =HYPERLINK("CSG2.html#group30D2", "30D²"), =HYPERLINK("CSG0.html#group6C0", "6C⁰"), =HYPERLINK("CSG1.html#group15B1", "15B¹"), =HYPERLINK("CSG0.html#group9C0", "9C⁰"), =HYPERLINK("CSG0.html#group1A0", "1A⁰")</f>
        <v/>
      </c>
      <c r="N7250" t="inlineStr"/>
    </row>
    <row r="7251">
      <c r="A7251" t="inlineStr">
        <is>
          <t>90K²²</t>
        </is>
      </c>
      <c r="B7251" t="inlineStr"/>
      <c r="C7251" t="inlineStr">
        <is>
          <t>360</t>
        </is>
      </c>
      <c r="D7251" t="inlineStr">
        <is>
          <t>2</t>
        </is>
      </c>
      <c r="E7251" t="inlineStr">
        <is>
          <t>20</t>
        </is>
      </c>
      <c r="F7251" t="inlineStr">
        <is>
          <t>0</t>
        </is>
      </c>
      <c r="G7251" t="inlineStr">
        <is>
          <t>18</t>
        </is>
      </c>
      <c r="H7251" t="inlineStr">
        <is>
          <t>30³, 90³</t>
        </is>
      </c>
      <c r="I7251" t="n">
        <v>6</v>
      </c>
      <c r="J7251" t="inlineStr">
        <is>
          <t>2², 4¹, 8⁴</t>
        </is>
      </c>
      <c r="K7251">
        <f>HYPERLINK("CSG6.html#group90C6", "90C⁶"), =HYPERLINK("CSG7.html#group30M7", "30M⁷"), =HYPERLINK("CSG7.html#group90F7", "90F⁷"), =HYPERLINK("CSG8.html#group90D8", "90D⁸"), =HYPERLINK("CSG10.html#group45C10", "45C¹⁰")</f>
        <v/>
      </c>
      <c r="L7251" t="inlineStr"/>
      <c r="M7251">
        <f>HYPERLINK("CSG0.html#group3B0", "3B⁰"), =HYPERLINK("CSG0.html#group2A0", "2A⁰"), =HYPERLINK("CSG0.html#group5A0", "5A⁰"), =HYPERLINK("CSG3.html#group45C3", "45C³"), =HYPERLINK("CSG3.html#group15D3", "15D³"), =HYPERLINK("CSG0.html#group18B0", "18B⁰"), =HYPERLINK("CSG2.html#group30D2", "30D²"), =HYPERLINK("CSG0.html#group6C0", "6C⁰"), =HYPERLINK("CSG4.html#group45B4", "45B⁴"), =HYPERLINK("CSG8.html#group90D8", "90D⁸"), =HYPERLINK("CSG0.html#group9C0", "9C⁰"), =HYPERLINK("CSG0.html#group1A0", "1A⁰"), =HYPERLINK("CSG7.html#group90F7", "90F⁷"), =HYPERLINK("CSG3.html#group45B3", "45B³"), =HYPERLINK("CSG0.html#group10A0", "10A⁰"), =HYPERLINK("CSG1.html#group30B1", "30B¹"), =HYPERLINK("CSG6.html#group90C6", "90C⁶"), =HYPERLINK("CSG1.html#group15B1", "15B¹"), =HYPERLINK("CSG7.html#group30M7", "30M⁷"), =HYPERLINK("CSG10.html#group45C10", "45C¹⁰"), =HYPERLINK("CSG0.html#group15A0", "15A⁰")</f>
        <v/>
      </c>
      <c r="N7251" t="inlineStr"/>
    </row>
    <row r="7252">
      <c r="A7252" t="inlineStr">
        <is>
          <t>90L²²</t>
        </is>
      </c>
      <c r="B7252" t="inlineStr"/>
      <c r="C7252" t="inlineStr">
        <is>
          <t>360</t>
        </is>
      </c>
      <c r="D7252" t="inlineStr">
        <is>
          <t>2</t>
        </is>
      </c>
      <c r="E7252" t="inlineStr">
        <is>
          <t>40</t>
        </is>
      </c>
      <c r="F7252" t="inlineStr">
        <is>
          <t>0</t>
        </is>
      </c>
      <c r="G7252" t="inlineStr">
        <is>
          <t>9</t>
        </is>
      </c>
      <c r="H7252" t="inlineStr">
        <is>
          <t>10⁹, 90³</t>
        </is>
      </c>
      <c r="I7252" t="n">
        <v>12</v>
      </c>
      <c r="J7252" t="inlineStr">
        <is>
          <t>4⁴, 8⁸</t>
        </is>
      </c>
      <c r="K7252">
        <f>HYPERLINK("CSG6.html#group30E6", "30E⁶"), =HYPERLINK("CSG7.html#group90E7", "90E⁷"), =HYPERLINK("CSG7.html#group90F7", "90F⁷"), =HYPERLINK("CSG8.html#group90E8", "90E⁸")</f>
        <v/>
      </c>
      <c r="L7252" t="inlineStr"/>
      <c r="M7252">
        <f>HYPERLINK("CSG0.html#group3B0", "3B⁰"), =HYPERLINK("CSG0.html#group2A0", "2A⁰"), =HYPERLINK("CSG7.html#group90E7", "90E⁷"), =HYPERLINK("CSG0.html#group5A0", "5A⁰"), =HYPERLINK("CSG6.html#group30E6", "30E⁶"), =HYPERLINK("CSG0.html#group10A0", "10A⁰"), =HYPERLINK("CSG0.html#group18C0", "18C⁰"), =HYPERLINK("CSG3.html#group45C3", "45C³"), =HYPERLINK("CSG8.html#group90E8", "90E⁸"), =HYPERLINK("CSG0.html#group10E0", "10E⁰"), =HYPERLINK("CSG2.html#group30D2", "30D²"), =HYPERLINK("CSG0.html#group6C0", "6C⁰"), =HYPERLINK("CSG1.html#group15B1", "15B¹"), =HYPERLINK("CSG0.html#group1A0", "1A⁰"), =HYPERLINK("CSG7.html#group90F7", "90F⁷")</f>
        <v/>
      </c>
      <c r="N7252" t="inlineStr"/>
    </row>
    <row r="7253">
      <c r="A7253" t="inlineStr">
        <is>
          <t>92A²²</t>
        </is>
      </c>
      <c r="B7253" t="inlineStr"/>
      <c r="C7253" t="inlineStr">
        <is>
          <t>288</t>
        </is>
      </c>
      <c r="D7253" t="inlineStr">
        <is>
          <t>1</t>
        </is>
      </c>
      <c r="E7253" t="inlineStr">
        <is>
          <t>24</t>
        </is>
      </c>
      <c r="F7253" t="inlineStr">
        <is>
          <t>0</t>
        </is>
      </c>
      <c r="G7253" t="inlineStr">
        <is>
          <t>0</t>
        </is>
      </c>
      <c r="H7253" t="inlineStr">
        <is>
          <t>4³, 92³</t>
        </is>
      </c>
      <c r="I7253" t="n">
        <v>6</v>
      </c>
      <c r="J7253" t="inlineStr">
        <is>
          <t>1², 22¹</t>
        </is>
      </c>
      <c r="K7253">
        <f>HYPERLINK("CSG8.html#group92A8", "92A⁸"), =HYPERLINK("CSG10.html#group46A10", "46A¹⁰")</f>
        <v/>
      </c>
      <c r="L7253" t="inlineStr"/>
      <c r="M7253">
        <f>HYPERLINK("CSG0.html#group2A0", "2A⁰"), =HYPERLINK("CSG5.html#group46A5", "46A⁵"), =HYPERLINK("CSG8.html#group92A8", "92A⁸"), =HYPERLINK("CSG2.html#group23A2", "23A²"), =HYPERLINK("CSG0.html#group2B0", "2B⁰"), =HYPERLINK("CSG10.html#group46A10", "46A¹⁰"), =HYPERLINK("CSG0.html#group1A0", "1A⁰"), =HYPERLINK("CSG0.html#group2C0", "2C⁰"), =HYPERLINK("CSG4.html#group46A4", "46A⁴")</f>
        <v/>
      </c>
      <c r="N7253" t="inlineStr"/>
    </row>
    <row r="7254">
      <c r="A7254" t="inlineStr">
        <is>
          <t>92B²²</t>
        </is>
      </c>
      <c r="B7254" t="inlineStr"/>
      <c r="C7254" t="inlineStr">
        <is>
          <t>288</t>
        </is>
      </c>
      <c r="D7254" t="inlineStr">
        <is>
          <t>1</t>
        </is>
      </c>
      <c r="E7254" t="inlineStr">
        <is>
          <t>144</t>
        </is>
      </c>
      <c r="F7254" t="inlineStr">
        <is>
          <t>0</t>
        </is>
      </c>
      <c r="G7254" t="inlineStr">
        <is>
          <t>0</t>
        </is>
      </c>
      <c r="H7254" t="inlineStr">
        <is>
          <t>4³, 92³</t>
        </is>
      </c>
      <c r="I7254" t="n">
        <v>6</v>
      </c>
      <c r="J7254" t="inlineStr">
        <is>
          <t>1⁴, 2⁴, 22², 44²</t>
        </is>
      </c>
      <c r="K7254">
        <f>HYPERLINK("CSG0.html#group4F0", "4F⁰"), =HYPERLINK("CSG8.html#group92B8", "92B⁸"), =HYPERLINK("CSG11.html#group92A11", "92A¹¹")</f>
        <v/>
      </c>
      <c r="L7254" t="inlineStr"/>
      <c r="M7254">
        <f>HYPERLINK("CSG11.html#group92A11", "92A¹¹"), =HYPERLINK("CSG0.html#group4A0", "4A⁰"), =HYPERLINK("CSG0.html#group4C0", "4C⁰"), =HYPERLINK("CSG5.html#group46A5", "46A⁵"), =HYPERLINK("CSG8.html#group92B8", "92B⁸"), =HYPERLINK("CSG2.html#group23A2", "23A²"), =HYPERLINK("CSG0.html#group2B0", "2B⁰"), =HYPERLINK("CSG0.html#group4F0", "4F⁰"), =HYPERLINK("CSG0.html#group1A0", "1A⁰")</f>
        <v/>
      </c>
      <c r="N7254" t="inlineStr"/>
    </row>
    <row r="7255">
      <c r="A7255" t="inlineStr">
        <is>
          <t>93A²²</t>
        </is>
      </c>
      <c r="B7255" t="inlineStr"/>
      <c r="C7255" t="inlineStr">
        <is>
          <t>288</t>
        </is>
      </c>
      <c r="D7255" t="inlineStr">
        <is>
          <t>1</t>
        </is>
      </c>
      <c r="E7255" t="inlineStr">
        <is>
          <t>32</t>
        </is>
      </c>
      <c r="F7255" t="inlineStr">
        <is>
          <t>0</t>
        </is>
      </c>
      <c r="G7255" t="inlineStr">
        <is>
          <t>0</t>
        </is>
      </c>
      <c r="H7255" t="inlineStr">
        <is>
          <t>3³, 93³</t>
        </is>
      </c>
      <c r="I7255" t="n">
        <v>6</v>
      </c>
      <c r="J7255" t="inlineStr">
        <is>
          <t>1², 30¹</t>
        </is>
      </c>
      <c r="K7255">
        <f>HYPERLINK("CSG6.html#group31A6", "31A⁶"), =HYPERLINK("CSG7.html#group93A7", "93A⁷"), =HYPERLINK("CSG8.html#group93A8", "93A⁸")</f>
        <v/>
      </c>
      <c r="L7255" t="inlineStr"/>
      <c r="M7255">
        <f>HYPERLINK("CSG7.html#group93A7", "93A⁷"), =HYPERLINK("CSG6.html#group31A6", "31A⁶"), =HYPERLINK("CSG2.html#group31A2", "31A²"), =HYPERLINK("CSG8.html#group93A8", "93A⁸"), =HYPERLINK("CSG0.html#group3A0", "3A⁰"), =HYPERLINK("CSG0.html#group1A0", "1A⁰")</f>
        <v/>
      </c>
      <c r="N7255" t="inlineStr"/>
    </row>
    <row r="7256">
      <c r="A7256" t="inlineStr">
        <is>
          <t>94A²²</t>
        </is>
      </c>
      <c r="B7256" t="inlineStr"/>
      <c r="C7256" t="inlineStr">
        <is>
          <t>288</t>
        </is>
      </c>
      <c r="D7256" t="inlineStr">
        <is>
          <t>1</t>
        </is>
      </c>
      <c r="E7256" t="inlineStr">
        <is>
          <t>48</t>
        </is>
      </c>
      <c r="F7256" t="inlineStr">
        <is>
          <t>0</t>
        </is>
      </c>
      <c r="G7256" t="inlineStr">
        <is>
          <t>0</t>
        </is>
      </c>
      <c r="H7256" t="inlineStr">
        <is>
          <t>2³, 94³</t>
        </is>
      </c>
      <c r="I7256" t="n">
        <v>6</v>
      </c>
      <c r="J7256" t="inlineStr">
        <is>
          <t>1², 46¹</t>
        </is>
      </c>
      <c r="K7256">
        <f>HYPERLINK("CSG0.html#group2C0", "2C⁰"), =HYPERLINK("CSG8.html#group94A8", "94A⁸"), =HYPERLINK("CSG11.html#group94A11", "94A¹¹")</f>
        <v/>
      </c>
      <c r="L7256" t="inlineStr"/>
      <c r="M7256">
        <f>HYPERLINK("CSG11.html#group94A11", "94A¹¹"), =HYPERLINK("CSG0.html#group2A0", "2A⁰"), =HYPERLINK("CSG4.html#group47A4", "47A⁴"), =HYPERLINK("CSG0.html#group2B0", "2B⁰"), =HYPERLINK("CSG8.html#group94A8", "94A⁸"), =HYPERLINK("CSG0.html#group1A0", "1A⁰"), =HYPERLINK("CSG0.html#group2C0", "2C⁰")</f>
        <v/>
      </c>
      <c r="N7256" t="inlineStr"/>
    </row>
    <row r="7257">
      <c r="A7257" t="inlineStr">
        <is>
          <t>96A²²</t>
        </is>
      </c>
      <c r="B7257" t="inlineStr"/>
      <c r="C7257" t="inlineStr">
        <is>
          <t>288</t>
        </is>
      </c>
      <c r="D7257" t="inlineStr">
        <is>
          <t>1</t>
        </is>
      </c>
      <c r="E7257" t="inlineStr">
        <is>
          <t>12</t>
        </is>
      </c>
      <c r="F7257" t="inlineStr">
        <is>
          <t>0</t>
        </is>
      </c>
      <c r="G7257" t="inlineStr">
        <is>
          <t>0</t>
        </is>
      </c>
      <c r="H7257" t="inlineStr">
        <is>
          <t>24⁴, 96²</t>
        </is>
      </c>
      <c r="I7257" t="n">
        <v>6</v>
      </c>
      <c r="J7257" t="inlineStr">
        <is>
          <t>2⁶</t>
        </is>
      </c>
      <c r="K7257">
        <f>HYPERLINK("CSG6.html#group32A6", "32A⁶"), =HYPERLINK("CSG10.html#group48A10", "48A¹⁰"), =HYPERLINK("CSG10.html#group96C10", "96C¹⁰")</f>
        <v/>
      </c>
      <c r="L7257" t="inlineStr"/>
      <c r="M7257">
        <f>HYPERLINK("CSG0.html#group2A0", "2A⁰"), =HYPERLINK("CSG10.html#group48A10", "48A¹⁰"), =HYPERLINK("CSG0.html#group12C0", "12C⁰"), =HYPERLINK("CSG2.html#group16C2", "16C²"), =HYPERLINK("CSG0.html#group8D0", "8D⁰"), =HYPERLINK("CSG1.html#group6C1", "6C¹"), =HYPERLINK("CSG0.html#group4C0", "4C⁰"), =HYPERLINK("CSG2.html#group12B2", "12B²"), =HYPERLINK("CSG0.html#group2B0", "2B⁰"), =HYPERLINK("CSG0.html#group4E0", "4E⁰"), =HYPERLINK("CSG0.html#group8C0", "8C⁰"), =HYPERLINK("CSG6.html#group32A6", "32A⁶"), =HYPERLINK("CSG0.html#group4B0", "4B⁰"), =HYPERLINK("CSG3.html#group32I3", "32I³"), =HYPERLINK("CSG0.html#group1A0", "1A⁰"), =HYPERLINK("CSG4.html#group24D4", "24D⁴"), =HYPERLINK("CSG2.html#group24B2", "24B²"), =HYPERLINK("CSG4.html#group48E4", "48E⁴"), =HYPERLINK("CSG0.html#group6A0", "6A⁰"), =HYPERLINK("CSG0.html#group8G0", "8G⁰"), =HYPERLINK("CSG1.html#group16C1", "16C¹"), =HYPERLINK("CSG1.html#group24C1", "24C¹"), =HYPERLINK("CSG1.html#group12B1", "12B¹"), =HYPERLINK("CSG1.html#group6A1", "6A¹"), =HYPERLINK("CSG0.html#group3A0", "3A⁰"), =HYPERLINK("CSG0.html#group2C0", "2C⁰"), =HYPERLINK("CSG0.html#group6D0", "6D⁰"), =HYPERLINK("CSG10.html#group96C10", "96C¹⁰")</f>
        <v/>
      </c>
      <c r="N7257" t="inlineStr"/>
    </row>
    <row r="7258">
      <c r="A7258" t="inlineStr">
        <is>
          <t>96B²²</t>
        </is>
      </c>
      <c r="B7258" t="inlineStr"/>
      <c r="C7258" t="inlineStr">
        <is>
          <t>288</t>
        </is>
      </c>
      <c r="D7258" t="inlineStr">
        <is>
          <t>1</t>
        </is>
      </c>
      <c r="E7258" t="inlineStr">
        <is>
          <t>24</t>
        </is>
      </c>
      <c r="F7258" t="inlineStr">
        <is>
          <t>0</t>
        </is>
      </c>
      <c r="G7258" t="inlineStr">
        <is>
          <t>0</t>
        </is>
      </c>
      <c r="H7258" t="inlineStr">
        <is>
          <t>24⁴, 96²</t>
        </is>
      </c>
      <c r="I7258" t="n">
        <v>6</v>
      </c>
      <c r="J7258" t="inlineStr">
        <is>
          <t>2⁴, 8²</t>
        </is>
      </c>
      <c r="K7258">
        <f>HYPERLINK("CSG6.html#group32B6", "32B⁶"), =HYPERLINK("CSG10.html#group48C10", "48C¹⁰"), =HYPERLINK("CSG10.html#group96C10", "96C¹⁰")</f>
        <v/>
      </c>
      <c r="L7258" t="inlineStr"/>
      <c r="M7258">
        <f>HYPERLINK("CSG2.html#group16D2", "16D²"), =HYPERLINK("CSG3.html#group24A3", "24A³"), =HYPERLINK("CSG0.html#group12C0", "12C⁰"), =HYPERLINK("CSG1.html#group8A1", "8A¹"), =HYPERLINK("CSG0.html#group8D0", "8D⁰"), =HYPERLINK("CSG0.html#group4C0", "4C⁰"), =HYPERLINK("CSG3.html#group32I3", "32I³"), =HYPERLINK("CSG0.html#group2B0", "2B⁰"), =HYPERLINK("CSG0.html#group1A0", "1A⁰"), =HYPERLINK("CSG0.html#group16E0", "16E⁰"), =HYPERLINK("CSG0.html#group12A0", "12A⁰"), =HYPERLINK("CSG4.html#group48E4", "48E⁴"), =HYPERLINK("CSG1.html#group8C1", "8C¹"), =HYPERLINK("CSG0.html#group4A0", "4A⁰"), =HYPERLINK("CSG1.html#group16C1", "16C¹"), =HYPERLINK("CSG1.html#group24C1", "24C¹"), =HYPERLINK("CSG1.html#group12J1", "12J¹"), =HYPERLINK("CSG6.html#group32B6", "32B⁶"), =HYPERLINK("CSG10.html#group48C10", "48C¹⁰"), =HYPERLINK("CSG0.html#group3A0", "3A⁰"), =HYPERLINK("CSG0.html#group4F0", "4F⁰"), =HYPERLINK("CSG3.html#group48D3", "48D³"), =HYPERLINK("CSG0.html#group6D0", "6D⁰"), =HYPERLINK("CSG5.html#group24B5", "24B⁵"), =HYPERLINK("CSG10.html#group96C10", "96C¹⁰")</f>
        <v/>
      </c>
      <c r="N7258" t="inlineStr"/>
    </row>
    <row r="7259">
      <c r="A7259" t="inlineStr">
        <is>
          <t>96C²²</t>
        </is>
      </c>
      <c r="B7259" t="inlineStr"/>
      <c r="C7259" t="inlineStr">
        <is>
          <t>288</t>
        </is>
      </c>
      <c r="D7259" t="inlineStr">
        <is>
          <t>1</t>
        </is>
      </c>
      <c r="E7259" t="inlineStr">
        <is>
          <t>36</t>
        </is>
      </c>
      <c r="F7259" t="inlineStr">
        <is>
          <t>0</t>
        </is>
      </c>
      <c r="G7259" t="inlineStr">
        <is>
          <t>0</t>
        </is>
      </c>
      <c r="H7259" t="inlineStr">
        <is>
          <t>24⁴, 96²</t>
        </is>
      </c>
      <c r="I7259" t="n">
        <v>6</v>
      </c>
      <c r="J7259" t="inlineStr">
        <is>
          <t>2⁶, 4⁶</t>
        </is>
      </c>
      <c r="K7259">
        <f>HYPERLINK("CSG10.html#group48A10", "48A¹⁰"), =HYPERLINK("CSG10.html#group96D10", "96D¹⁰")</f>
        <v/>
      </c>
      <c r="L7259" t="inlineStr"/>
      <c r="M7259">
        <f>HYPERLINK("CSG0.html#group2A0", "2A⁰"), =HYPERLINK("CSG10.html#group48A10", "48A¹⁰"), =HYPERLINK("CSG0.html#group12C0", "12C⁰"), =HYPERLINK("CSG2.html#group16C2", "16C²"), =HYPERLINK("CSG0.html#group8D0", "8D⁰"), =HYPERLINK("CSG1.html#group6C1", "6C¹"), =HYPERLINK("CSG0.html#group4C0", "4C⁰"), =HYPERLINK("CSG2.html#group12B2", "12B²"), =HYPERLINK("CSG0.html#group2B0", "2B⁰"), =HYPERLINK("CSG0.html#group4E0", "4E⁰"), =HYPERLINK("CSG0.html#group8C0", "8C⁰"), =HYPERLINK("CSG0.html#group4B0", "4B⁰"), =HYPERLINK("CSG0.html#group1A0", "1A⁰"), =HYPERLINK("CSG4.html#group24D4", "24D⁴"), =HYPERLINK("CSG2.html#group24B2", "24B²"), =HYPERLINK("CSG4.html#group48E4", "48E⁴"), =HYPERLINK("CSG0.html#group6A0", "6A⁰"), =HYPERLINK("CSG0.html#group8G0", "8G⁰"), =HYPERLINK("CSG1.html#group16C1", "16C¹"), =HYPERLINK("CSG1.html#group24C1", "24C¹"), =HYPERLINK("CSG1.html#group12B1", "12B¹"), =HYPERLINK("CSG1.html#group6A1", "6A¹"), =HYPERLINK("CSG0.html#group3A0", "3A⁰"), =HYPERLINK("CSG0.html#group2C0", "2C⁰"), =HYPERLINK("CSG0.html#group6D0", "6D⁰"), =HYPERLINK("CSG10.html#group96D10", "96D¹⁰")</f>
        <v/>
      </c>
      <c r="N7259" t="inlineStr"/>
    </row>
    <row r="7260">
      <c r="A7260" t="inlineStr">
        <is>
          <t>96D²²</t>
        </is>
      </c>
      <c r="B7260" t="inlineStr"/>
      <c r="C7260" t="inlineStr">
        <is>
          <t>288</t>
        </is>
      </c>
      <c r="D7260" t="inlineStr">
        <is>
          <t>1</t>
        </is>
      </c>
      <c r="E7260" t="inlineStr">
        <is>
          <t>72</t>
        </is>
      </c>
      <c r="F7260" t="inlineStr">
        <is>
          <t>0</t>
        </is>
      </c>
      <c r="G7260" t="inlineStr">
        <is>
          <t>0</t>
        </is>
      </c>
      <c r="H7260" t="inlineStr">
        <is>
          <t>24⁴, 96²</t>
        </is>
      </c>
      <c r="I7260" t="n">
        <v>6</v>
      </c>
      <c r="J7260" t="inlineStr">
        <is>
          <t>2⁴, 4⁴, 8², 16²</t>
        </is>
      </c>
      <c r="K7260">
        <f>HYPERLINK("CSG10.html#group48C10", "48C¹⁰"), =HYPERLINK("CSG10.html#group96D10", "96D¹⁰")</f>
        <v/>
      </c>
      <c r="L7260" t="inlineStr"/>
      <c r="M7260">
        <f>HYPERLINK("CSG2.html#group16D2", "16D²"), =HYPERLINK("CSG3.html#group24A3", "24A³"), =HYPERLINK("CSG0.html#group12C0", "12C⁰"), =HYPERLINK("CSG1.html#group8A1", "8A¹"), =HYPERLINK("CSG0.html#group8D0", "8D⁰"), =HYPERLINK("CSG0.html#group4C0", "4C⁰"), =HYPERLINK("CSG0.html#group2B0", "2B⁰"), =HYPERLINK("CSG0.html#group1A0", "1A⁰"), =HYPERLINK("CSG0.html#group16E0", "16E⁰"), =HYPERLINK("CSG0.html#group12A0", "12A⁰"), =HYPERLINK("CSG4.html#group48E4", "48E⁴"), =HYPERLINK("CSG1.html#group8C1", "8C¹"), =HYPERLINK("CSG0.html#group4A0", "4A⁰"), =HYPERLINK("CSG1.html#group16C1", "16C¹"), =HYPERLINK("CSG5.html#group24B5", "24B⁵"), =HYPERLINK("CSG1.html#group24C1", "24C¹"), =HYPERLINK("CSG1.html#group12J1", "12J¹"), =HYPERLINK("CSG3.html#group48D3", "48D³"), =HYPERLINK("CSG10.html#group48C10", "48C¹⁰"), =HYPERLINK("CSG0.html#group3A0", "3A⁰"), =HYPERLINK("CSG0.html#group4F0", "4F⁰"), =HYPERLINK("CSG0.html#group6D0", "6D⁰"), =HYPERLINK("CSG10.html#group96D10", "96D¹⁰")</f>
        <v/>
      </c>
      <c r="N7260" t="inlineStr"/>
    </row>
    <row r="7261">
      <c r="A7261" t="inlineStr">
        <is>
          <t>98A²²</t>
        </is>
      </c>
      <c r="B7261" t="inlineStr"/>
      <c r="C7261" t="inlineStr">
        <is>
          <t>294</t>
        </is>
      </c>
      <c r="D7261" t="inlineStr">
        <is>
          <t>1</t>
        </is>
      </c>
      <c r="E7261" t="inlineStr">
        <is>
          <t>147</t>
        </is>
      </c>
      <c r="F7261" t="inlineStr">
        <is>
          <t>8</t>
        </is>
      </c>
      <c r="G7261" t="inlineStr">
        <is>
          <t>0</t>
        </is>
      </c>
      <c r="H7261" t="inlineStr">
        <is>
          <t>98³</t>
        </is>
      </c>
      <c r="I7261" t="n">
        <v>3</v>
      </c>
      <c r="J7261" t="inlineStr">
        <is>
          <t>3¹, 6³, 42³</t>
        </is>
      </c>
      <c r="K7261">
        <f>HYPERLINK("CSG1.html#group14E1", "14E¹"), =HYPERLINK("CSG9.html#group49A9", "49A⁹")</f>
        <v/>
      </c>
      <c r="L7261" t="inlineStr"/>
      <c r="M7261">
        <f>HYPERLINK("CSG0.html#group1A0", "1A⁰"), =HYPERLINK("CSG0.html#group7D0", "7D⁰"), =HYPERLINK("CSG1.html#group14E1", "14E¹"), =HYPERLINK("CSG9.html#group49A9", "49A⁹"), =HYPERLINK("CSG0.html#group7A0", "7A⁰")</f>
        <v/>
      </c>
      <c r="N7261" t="inlineStr"/>
    </row>
    <row r="7262">
      <c r="A7262" t="inlineStr">
        <is>
          <t>98B²²</t>
        </is>
      </c>
      <c r="B7262" t="inlineStr"/>
      <c r="C7262" t="inlineStr">
        <is>
          <t>392</t>
        </is>
      </c>
      <c r="D7262" t="inlineStr">
        <is>
          <t>1</t>
        </is>
      </c>
      <c r="E7262" t="inlineStr">
        <is>
          <t>196</t>
        </is>
      </c>
      <c r="F7262" t="inlineStr">
        <is>
          <t>8</t>
        </is>
      </c>
      <c r="G7262" t="inlineStr">
        <is>
          <t>14</t>
        </is>
      </c>
      <c r="H7262" t="inlineStr">
        <is>
          <t>14⁷, 98³</t>
        </is>
      </c>
      <c r="I7262" t="n">
        <v>10</v>
      </c>
      <c r="J7262" t="inlineStr">
        <is>
          <t>3¹, 6³, 7¹, 42⁴</t>
        </is>
      </c>
      <c r="K7262">
        <f>HYPERLINK("CSG1.html#group14G1", "14G¹"), =HYPERLINK("CSG9.html#group49B9", "49B⁹")</f>
        <v/>
      </c>
      <c r="L7262" t="inlineStr"/>
      <c r="M7262">
        <f>HYPERLINK("CSG0.html#group7F0", "7F⁰"), =HYPERLINK("CSG0.html#group14A0", "14A⁰"), =HYPERLINK("CSG1.html#group14G1", "14G¹"), =HYPERLINK("CSG0.html#group7A0", "7A⁰"), =HYPERLINK("CSG0.html#group1A0", "1A⁰"), =HYPERLINK("CSG9.html#group49B9", "49B⁹")</f>
        <v/>
      </c>
      <c r="N7262" t="inlineStr"/>
    </row>
    <row r="7263">
      <c r="A7263" t="inlineStr">
        <is>
          <t>100A²²</t>
        </is>
      </c>
      <c r="B7263" t="inlineStr"/>
      <c r="C7263" t="inlineStr">
        <is>
          <t>300</t>
        </is>
      </c>
      <c r="D7263" t="inlineStr">
        <is>
          <t>1</t>
        </is>
      </c>
      <c r="E7263" t="inlineStr">
        <is>
          <t>150</t>
        </is>
      </c>
      <c r="F7263" t="inlineStr">
        <is>
          <t>4</t>
        </is>
      </c>
      <c r="G7263" t="inlineStr">
        <is>
          <t>0</t>
        </is>
      </c>
      <c r="H7263" t="inlineStr">
        <is>
          <t>25⁴, 100²</t>
        </is>
      </c>
      <c r="I7263" t="n">
        <v>6</v>
      </c>
      <c r="J7263" t="inlineStr">
        <is>
          <t>2³, 4⁶, 20⁶</t>
        </is>
      </c>
      <c r="K7263">
        <f>HYPERLINK("CSG2.html#group20F2", "20F²"), =HYPERLINK("CSG11.html#group50A11", "50A¹¹")</f>
        <v/>
      </c>
      <c r="L7263" t="inlineStr"/>
      <c r="M7263">
        <f>HYPERLINK("CSG0.html#group2B0", "2B⁰"), =HYPERLINK("CSG11.html#group50A11", "50A¹¹"), =HYPERLINK("CSG2.html#group20F2", "20F²"), =HYPERLINK("CSG0.html#group1A0", "1A⁰"), =HYPERLINK("CSG2.html#group25E2", "25E²"), =HYPERLINK("CSG0.html#group5C0", "5C⁰"), =HYPERLINK("CSG1.html#group10F1", "10F¹")</f>
        <v/>
      </c>
      <c r="N7263" t="inlineStr"/>
    </row>
    <row r="7264">
      <c r="A7264" t="inlineStr">
        <is>
          <t>105A²²</t>
        </is>
      </c>
      <c r="B7264" t="inlineStr"/>
      <c r="C7264" t="inlineStr">
        <is>
          <t>280</t>
        </is>
      </c>
      <c r="D7264" t="inlineStr">
        <is>
          <t>2</t>
        </is>
      </c>
      <c r="E7264" t="inlineStr">
        <is>
          <t>280</t>
        </is>
      </c>
      <c r="F7264" t="inlineStr">
        <is>
          <t>0</t>
        </is>
      </c>
      <c r="G7264" t="inlineStr">
        <is>
          <t>1</t>
        </is>
      </c>
      <c r="H7264" t="inlineStr">
        <is>
          <t>35², 105²</t>
        </is>
      </c>
      <c r="I7264" t="n">
        <v>4</v>
      </c>
      <c r="J7264" t="inlineStr">
        <is>
          <t>4², 8⁵, 12⁴, 16², 24¹⁰, 48⁴</t>
        </is>
      </c>
      <c r="K7264">
        <f>HYPERLINK("CSG2.html#group15C2", "15C²"), =HYPERLINK("CSG2.html#group21B2", "21B²"), =HYPERLINK("CSG4.html#group35B4", "35B⁴")</f>
        <v/>
      </c>
      <c r="L7264" t="inlineStr"/>
      <c r="M7264">
        <f>HYPERLINK("CSG0.html#group3B0", "3B⁰"), =HYPERLINK("CSG2.html#group21B2", "21B²"), =HYPERLINK("CSG4.html#group35B4", "35B⁴"), =HYPERLINK("CSG0.html#group5C0", "5C⁰"), =HYPERLINK("CSG2.html#group15C2", "15C²"), =HYPERLINK("CSG0.html#group1A0", "1A⁰"), =HYPERLINK("CSG0.html#group7A0", "7A⁰")</f>
        <v/>
      </c>
      <c r="N7264" t="inlineStr"/>
    </row>
    <row r="7265">
      <c r="A7265" t="inlineStr">
        <is>
          <t>105B²²</t>
        </is>
      </c>
      <c r="B7265" t="inlineStr"/>
      <c r="C7265" t="inlineStr">
        <is>
          <t>315</t>
        </is>
      </c>
      <c r="D7265" t="inlineStr">
        <is>
          <t>1</t>
        </is>
      </c>
      <c r="E7265" t="inlineStr">
        <is>
          <t>105</t>
        </is>
      </c>
      <c r="F7265" t="inlineStr">
        <is>
          <t>15</t>
        </is>
      </c>
      <c r="G7265" t="inlineStr">
        <is>
          <t>0</t>
        </is>
      </c>
      <c r="H7265" t="inlineStr">
        <is>
          <t>105³</t>
        </is>
      </c>
      <c r="I7265" t="n">
        <v>3</v>
      </c>
      <c r="J7265" t="inlineStr">
        <is>
          <t>3¹, 6³, 12¹, 24³</t>
        </is>
      </c>
      <c r="K7265">
        <f>HYPERLINK("CSG1.html#group21E1", "21E¹"), =HYPERLINK("CSG7.html#group35A7", "35A⁷"), =HYPERLINK("CSG7.html#group105A7", "105A⁷")</f>
        <v/>
      </c>
      <c r="L7265" t="inlineStr"/>
      <c r="M7265">
        <f>HYPERLINK("CSG0.html#group5A0", "5A⁰"), =HYPERLINK("CSG0.html#group7D0", "7D⁰"), =HYPERLINK("CSG1.html#group21E1", "21E¹"), =HYPERLINK("CSG7.html#group35A7", "35A⁷"), =HYPERLINK("CSG0.html#group21A0", "21A⁰"), =HYPERLINK("CSG2.html#group35A2", "35A²"), =HYPERLINK("CSG0.html#group3A0", "3A⁰"), =HYPERLINK("CSG0.html#group1A0", "1A⁰"), =HYPERLINK("CSG7.html#group105A7", "105A⁷"), =HYPERLINK("CSG1.html#group15A1", "15A¹"), =HYPERLINK("CSG0.html#group7A0", "7A⁰")</f>
        <v/>
      </c>
      <c r="N7265" t="inlineStr"/>
    </row>
    <row r="7266">
      <c r="A7266" t="inlineStr">
        <is>
          <t>105C²²</t>
        </is>
      </c>
      <c r="B7266" t="inlineStr"/>
      <c r="C7266" t="inlineStr">
        <is>
          <t>315</t>
        </is>
      </c>
      <c r="D7266" t="inlineStr">
        <is>
          <t>2</t>
        </is>
      </c>
      <c r="E7266" t="inlineStr">
        <is>
          <t>105</t>
        </is>
      </c>
      <c r="F7266" t="inlineStr">
        <is>
          <t>15</t>
        </is>
      </c>
      <c r="G7266" t="inlineStr">
        <is>
          <t>0</t>
        </is>
      </c>
      <c r="H7266" t="inlineStr">
        <is>
          <t>105³</t>
        </is>
      </c>
      <c r="I7266" t="n">
        <v>3</v>
      </c>
      <c r="J7266" t="inlineStr">
        <is>
          <t>6¹, 12³, 24¹, 48³</t>
        </is>
      </c>
      <c r="K7266">
        <f>HYPERLINK("CSG6.html#group105A6", "105A⁶"), =HYPERLINK("CSG6.html#group105B6", "105B⁶"), =HYPERLINK("CSG7.html#group35A7", "35A⁷")</f>
        <v/>
      </c>
      <c r="L7266" t="inlineStr"/>
      <c r="M7266">
        <f>HYPERLINK("CSG6.html#group105A6", "105A⁶"), =HYPERLINK("CSG0.html#group5A0", "5A⁰"), =HYPERLINK("CSG6.html#group105B6", "105B⁶"), =HYPERLINK("CSG0.html#group7D0", "7D⁰"), =HYPERLINK("CSG7.html#group35A7", "35A⁷"), =HYPERLINK("CSG0.html#group1A0", "1A⁰"), =HYPERLINK("CSG2.html#group35A2", "35A²"), =HYPERLINK("CSG0.html#group7A0", "7A⁰"), =HYPERLINK("CSG0.html#group15A0", "15A⁰")</f>
        <v/>
      </c>
      <c r="N7266" t="inlineStr"/>
    </row>
    <row r="7267">
      <c r="A7267" t="inlineStr">
        <is>
          <t>105D²²</t>
        </is>
      </c>
      <c r="B7267" t="inlineStr"/>
      <c r="C7267" t="inlineStr">
        <is>
          <t>378</t>
        </is>
      </c>
      <c r="D7267" t="inlineStr">
        <is>
          <t>1</t>
        </is>
      </c>
      <c r="E7267" t="inlineStr">
        <is>
          <t>126</t>
        </is>
      </c>
      <c r="F7267" t="inlineStr">
        <is>
          <t>30</t>
        </is>
      </c>
      <c r="G7267" t="inlineStr">
        <is>
          <t>0</t>
        </is>
      </c>
      <c r="H7267" t="inlineStr">
        <is>
          <t>21³, 105³</t>
        </is>
      </c>
      <c r="I7267" t="n">
        <v>6</v>
      </c>
      <c r="J7267" t="inlineStr">
        <is>
          <t>3², 6⁶, 12¹, 24³</t>
        </is>
      </c>
      <c r="K7267">
        <f>HYPERLINK("CSG1.html#group21E1", "21E¹"), =HYPERLINK("CSG6.html#group35E6", "35E⁶"), =HYPERLINK("CSG6.html#group105C6", "105C⁶")</f>
        <v/>
      </c>
      <c r="L7267" t="inlineStr"/>
      <c r="M7267">
        <f>HYPERLINK("CSG2.html#group35C2", "35C²"), =HYPERLINK("CSG0.html#group15B0", "15B⁰"), =HYPERLINK("CSG0.html#group7D0", "7D⁰"), =HYPERLINK("CSG6.html#group105C6", "105C⁶"), =HYPERLINK("CSG1.html#group21E1", "21E¹"), =HYPERLINK("CSG6.html#group35E6", "35E⁶"), =HYPERLINK("CSG0.html#group5B0", "5B⁰"), =HYPERLINK("CSG0.html#group21A0", "21A⁰"), =HYPERLINK("CSG0.html#group3A0", "3A⁰"), =HYPERLINK("CSG0.html#group1A0", "1A⁰"), =HYPERLINK("CSG0.html#group7A0", "7A⁰")</f>
        <v/>
      </c>
      <c r="N7267" t="inlineStr"/>
    </row>
    <row r="7268">
      <c r="A7268" t="inlineStr">
        <is>
          <t>108A²²</t>
        </is>
      </c>
      <c r="B7268" t="inlineStr"/>
      <c r="C7268" t="inlineStr">
        <is>
          <t>288</t>
        </is>
      </c>
      <c r="D7268" t="inlineStr">
        <is>
          <t>1</t>
        </is>
      </c>
      <c r="E7268" t="inlineStr">
        <is>
          <t>96</t>
        </is>
      </c>
      <c r="F7268" t="inlineStr">
        <is>
          <t>0</t>
        </is>
      </c>
      <c r="G7268" t="inlineStr">
        <is>
          <t>3</t>
        </is>
      </c>
      <c r="H7268" t="inlineStr">
        <is>
          <t>36², 108²</t>
        </is>
      </c>
      <c r="I7268" t="n">
        <v>4</v>
      </c>
      <c r="J7268" t="inlineStr">
        <is>
          <t>4¹², 12⁴</t>
        </is>
      </c>
      <c r="K7268">
        <f>HYPERLINK("CSG5.html#group36G5", "36G⁵"), =HYPERLINK("CSG5.html#group54C5", "54C⁵")</f>
        <v/>
      </c>
      <c r="L7268" t="inlineStr"/>
      <c r="M7268">
        <f>HYPERLINK("CSG0.html#group3B0", "3B⁰"), =HYPERLINK("CSG0.html#group2A0", "2A⁰"), =HYPERLINK("CSG1.html#group12I1", "12I¹"), =HYPERLINK("CSG0.html#group18B0", "18B⁰"), =HYPERLINK("CSG0.html#group4A0", "4A⁰"), =HYPERLINK("CSG0.html#group4D0", "4D⁰"), =HYPERLINK("CSG0.html#group6C0", "6C⁰"), =HYPERLINK("CSG1.html#group12A1", "12A¹"), =HYPERLINK("CSG5.html#group54C5", "54C⁵"), =HYPERLINK("CSG0.html#group9C0", "9C⁰"), =HYPERLINK("CSG0.html#group1A0", "1A⁰"), =HYPERLINK("CSG5.html#group36G5", "36G⁵"), =HYPERLINK("CSG3.html#group36C3", "36C³")</f>
        <v/>
      </c>
      <c r="N7268" t="inlineStr"/>
    </row>
    <row r="7269">
      <c r="A7269" t="inlineStr">
        <is>
          <t>108B²²</t>
        </is>
      </c>
      <c r="B7269" t="inlineStr"/>
      <c r="C7269" t="inlineStr">
        <is>
          <t>432</t>
        </is>
      </c>
      <c r="D7269" t="inlineStr">
        <is>
          <t>1</t>
        </is>
      </c>
      <c r="E7269" t="inlineStr">
        <is>
          <t>12</t>
        </is>
      </c>
      <c r="F7269" t="inlineStr">
        <is>
          <t>0</t>
        </is>
      </c>
      <c r="G7269" t="inlineStr">
        <is>
          <t>36</t>
        </is>
      </c>
      <c r="H7269" t="inlineStr">
        <is>
          <t>36³, 108³</t>
        </is>
      </c>
      <c r="I7269" t="n">
        <v>6</v>
      </c>
      <c r="J7269" t="inlineStr">
        <is>
          <t>1², 2², 6¹</t>
        </is>
      </c>
      <c r="K7269">
        <f>HYPERLINK("CSG4.html#group108A4", "108A⁴"), =HYPERLINK("CSG6.html#group36J6", "36J⁶"), =HYPERLINK("CSG8.html#group108A8", "108A⁸"), =HYPERLINK("CSG10.html#group54C10", "54C¹⁰")</f>
        <v/>
      </c>
      <c r="L7269" t="inlineStr"/>
      <c r="M7269">
        <f>HYPERLINK("CSG0.html#group3B0", "3B⁰"), =HYPERLINK("CSG0.html#group2A0", "2A⁰"), =HYPERLINK("CSG0.html#group9J0", "9J⁰"), =HYPERLINK("CSG0.html#group18B0", "18B⁰"), =HYPERLINK("CSG0.html#group6C0", "6C⁰"), =HYPERLINK("CSG4.html#group54B4", "54B⁴"), =HYPERLINK("CSG4.html#group108A4", "108A⁴"), =HYPERLINK("CSG1.html#group27B1", "27B¹"), =HYPERLINK("CSG2.html#group54A2", "54A²"), =HYPERLINK("CSG0.html#group9C0", "9C⁰"), =HYPERLINK("CSG0.html#group1A0", "1A⁰"), =HYPERLINK("CSG8.html#group108A8", "108A⁸"), =HYPERLINK("CSG10.html#group54C10", "54C¹⁰"), =HYPERLINK("CSG6.html#group36J6", "36J⁶"), =HYPERLINK("CSG4.html#group27D4", "27D⁴"), =HYPERLINK("CSG2.html#group27B2", "27B²"), =HYPERLINK("CSG2.html#group18N2", "18N²"), =HYPERLINK("CSG0.html#group36A0", "36A⁰"), =HYPERLINK("CSG0.html#group12B0", "12B⁰")</f>
        <v/>
      </c>
      <c r="N7269" t="inlineStr"/>
    </row>
    <row r="7270">
      <c r="A7270" t="inlineStr">
        <is>
          <t>108C²²</t>
        </is>
      </c>
      <c r="B7270" t="inlineStr"/>
      <c r="C7270" t="inlineStr">
        <is>
          <t>432</t>
        </is>
      </c>
      <c r="D7270" t="inlineStr">
        <is>
          <t>1</t>
        </is>
      </c>
      <c r="E7270" t="inlineStr">
        <is>
          <t>24</t>
        </is>
      </c>
      <c r="F7270" t="inlineStr">
        <is>
          <t>0</t>
        </is>
      </c>
      <c r="G7270" t="inlineStr">
        <is>
          <t>36</t>
        </is>
      </c>
      <c r="H7270" t="inlineStr">
        <is>
          <t>36³, 108³</t>
        </is>
      </c>
      <c r="I7270" t="n">
        <v>6</v>
      </c>
      <c r="J7270" t="inlineStr">
        <is>
          <t>2⁶, 6²</t>
        </is>
      </c>
      <c r="K7270">
        <f>HYPERLINK("CSG4.html#group36S4", "36S⁴"), =HYPERLINK("CSG4.html#group108A4", "108A⁴"), =HYPERLINK("CSG6.html#group108A6", "108A⁶"), =HYPERLINK("CSG8.html#group108B8", "108B⁸"), =HYPERLINK("CSG10.html#group54F10", "54F¹⁰")</f>
        <v/>
      </c>
      <c r="L7270" t="inlineStr"/>
      <c r="M7270">
        <f>HYPERLINK("CSG0.html#group3B0", "3B⁰"), =HYPERLINK("CSG0.html#group2A0", "2A⁰"), =HYPERLINK("CSG6.html#group108A6", "108A⁶"), =HYPERLINK("CSG1.html#group18K1", "18K¹"), =HYPERLINK("CSG0.html#group18B0", "18B⁰"), =HYPERLINK("CSG1.html#group18D1", "18D¹"), =HYPERLINK("CSG0.html#group6C0", "6C⁰"), =HYPERLINK("CSG4.html#group54D4", "54D⁴"), =HYPERLINK("CSG4.html#group108A4", "108A⁴"), =HYPERLINK("CSG1.html#group27B1", "27B¹"), =HYPERLINK("CSG2.html#group54A2", "54A²"), =HYPERLINK("CSG0.html#group9C0", "9C⁰"), =HYPERLINK("CSG0.html#group1A0", "1A⁰"), =HYPERLINK("CSG3.html#group54C3", "54C³"), =HYPERLINK("CSG0.html#group18C0", "18C⁰"), =HYPERLINK("CSG4.html#group36S4", "36S⁴"), =HYPERLINK("CSG10.html#group54F10", "54F¹⁰"), =HYPERLINK("CSG0.html#group6A0", "6A⁰"), =HYPERLINK("CSG1.html#group36B1", "36B¹"), =HYPERLINK("CSG0.html#group6J0", "6J⁰"), =HYPERLINK("CSG8.html#group108B8", "108B⁸"), =HYPERLINK("CSG2.html#group36A2", "36A²"), =HYPERLINK("CSG1.html#group12O1", "12O¹"), =HYPERLINK("CSG0.html#group36A0", "36A⁰"), =HYPERLINK("CSG0.html#group12B0", "12B⁰")</f>
        <v/>
      </c>
      <c r="N7270" t="inlineStr"/>
    </row>
    <row r="7271">
      <c r="A7271" t="inlineStr">
        <is>
          <t>108D²²</t>
        </is>
      </c>
      <c r="B7271" t="inlineStr"/>
      <c r="C7271" t="inlineStr">
        <is>
          <t>432</t>
        </is>
      </c>
      <c r="D7271" t="inlineStr">
        <is>
          <t>1</t>
        </is>
      </c>
      <c r="E7271" t="inlineStr">
        <is>
          <t>24</t>
        </is>
      </c>
      <c r="F7271" t="inlineStr">
        <is>
          <t>0</t>
        </is>
      </c>
      <c r="G7271" t="inlineStr">
        <is>
          <t>36</t>
        </is>
      </c>
      <c r="H7271" t="inlineStr">
        <is>
          <t>36³, 108³</t>
        </is>
      </c>
      <c r="I7271" t="n">
        <v>6</v>
      </c>
      <c r="J7271" t="inlineStr">
        <is>
          <t>1⁴, 2⁴, 6²</t>
        </is>
      </c>
      <c r="K7271">
        <f>HYPERLINK("CSG4.html#group108A4", "108A⁴"), =HYPERLINK("CSG6.html#group36K6", "36K⁶"), =HYPERLINK("CSG6.html#group108A6", "108A⁶"), =HYPERLINK("CSG10.html#group54G10", "54G¹⁰")</f>
        <v/>
      </c>
      <c r="L7271" t="inlineStr"/>
      <c r="M7271">
        <f>HYPERLINK("CSG0.html#group3B0", "3B⁰"), =HYPERLINK("CSG0.html#group2A0", "2A⁰"), =HYPERLINK("CSG10.html#group54G10", "54G¹⁰"), =HYPERLINK("CSG6.html#group108A6", "108A⁶"), =HYPERLINK("CSG0.html#group18B0", "18B⁰"), =HYPERLINK("CSG0.html#group6C0", "6C⁰"), =HYPERLINK("CSG4.html#group108A4", "108A⁴"), =HYPERLINK("CSG1.html#group27B1", "27B¹"), =HYPERLINK("CSG2.html#group54A2", "54A²"), =HYPERLINK("CSG2.html#group18O2", "18O²"), =HYPERLINK("CSG0.html#group9C0", "9C⁰"), =HYPERLINK("CSG0.html#group1A0", "1A⁰"), =HYPERLINK("CSG3.html#group54C3", "54C³"), =HYPERLINK("CSG6.html#group36K6", "36K⁶"), =HYPERLINK("CSG0.html#group36A0", "36A⁰"), =HYPERLINK("CSG0.html#group12B0", "12B⁰")</f>
        <v/>
      </c>
      <c r="N7271" t="inlineStr"/>
    </row>
    <row r="7272">
      <c r="A7272" t="inlineStr">
        <is>
          <t>108E²²</t>
        </is>
      </c>
      <c r="B7272" t="inlineStr"/>
      <c r="C7272" t="inlineStr">
        <is>
          <t>432</t>
        </is>
      </c>
      <c r="D7272" t="inlineStr">
        <is>
          <t>1</t>
        </is>
      </c>
      <c r="E7272" t="inlineStr">
        <is>
          <t>36</t>
        </is>
      </c>
      <c r="F7272" t="inlineStr">
        <is>
          <t>0</t>
        </is>
      </c>
      <c r="G7272" t="inlineStr">
        <is>
          <t>0</t>
        </is>
      </c>
      <c r="H7272" t="inlineStr">
        <is>
          <t>2¹², 4³, 6⁸, 12², 54⁴, 108¹</t>
        </is>
      </c>
      <c r="I7272" t="n">
        <v>30</v>
      </c>
      <c r="J7272" t="inlineStr">
        <is>
          <t>1⁶, 2⁶, 6³</t>
        </is>
      </c>
      <c r="K7272">
        <f>HYPERLINK("CSG3.html#group36J3", "36J³"), =HYPERLINK("CSG10.html#group54A10", "54A¹⁰")</f>
        <v/>
      </c>
      <c r="L7272" t="inlineStr"/>
      <c r="M7272">
        <f>HYPERLINK("CSG0.html#group3B0", "3B⁰"), =HYPERLINK("CSG0.html#group2A0", "2A⁰"), =HYPERLINK("CSG0.html#group6I0", "6I⁰"), =HYPERLINK("CSG0.html#group6C0", "6C⁰"), =HYPERLINK("CSG0.html#group12I0", "12I⁰"), =HYPERLINK("CSG0.html#group9B0", "9B⁰"), =HYPERLINK("CSG0.html#group2B0", "2B⁰"), =HYPERLINK("CSG1.html#group18J1", "18J¹"), =HYPERLINK("CSG0.html#group1A0", "1A⁰"), =HYPERLINK("CSG0.html#group18C0", "18C⁰"), =HYPERLINK("CSG0.html#group18E0", "18E⁰"), =HYPERLINK("CSG1.html#group27A1", "27A¹"), =HYPERLINK("CSG1.html#group18C1", "18C¹"), =HYPERLINK("CSG4.html#group54C4", "54C⁴"), =HYPERLINK("CSG10.html#group54A10", "54A¹⁰"), =HYPERLINK("CSG4.html#group54A4", "54A⁴"), =HYPERLINK("CSG3.html#group36J3", "36J³"), =HYPERLINK("CSG0.html#group6F0", "6F⁰"), =HYPERLINK("CSG0.html#group2C0", "2C⁰"), =HYPERLINK("CSG4.html#group54E4", "54E⁴")</f>
        <v/>
      </c>
      <c r="N7272" t="inlineStr"/>
    </row>
    <row r="7273">
      <c r="A7273" t="inlineStr">
        <is>
          <t>108F²²</t>
        </is>
      </c>
      <c r="B7273" t="inlineStr"/>
      <c r="C7273" t="inlineStr">
        <is>
          <t>432</t>
        </is>
      </c>
      <c r="D7273" t="inlineStr">
        <is>
          <t>1</t>
        </is>
      </c>
      <c r="E7273" t="inlineStr">
        <is>
          <t>72</t>
        </is>
      </c>
      <c r="F7273" t="inlineStr">
        <is>
          <t>0</t>
        </is>
      </c>
      <c r="G7273" t="inlineStr">
        <is>
          <t>0</t>
        </is>
      </c>
      <c r="H7273" t="inlineStr">
        <is>
          <t>1⁶, 2³, 3⁴, 4⁶, 6², 12⁴, 27², 54¹, 108²</t>
        </is>
      </c>
      <c r="I7273" t="n">
        <v>30</v>
      </c>
      <c r="J7273" t="inlineStr">
        <is>
          <t>1⁸, 2¹⁰, 4², 6⁴, 12¹</t>
        </is>
      </c>
      <c r="K7273">
        <f>HYPERLINK("CSG3.html#group36K3", "36K³"), =HYPERLINK("CSG10.html#group108F10", "108F¹⁰")</f>
        <v/>
      </c>
      <c r="L7273" t="inlineStr"/>
      <c r="M7273">
        <f>HYPERLINK("CSG0.html#group3B0", "3B⁰"), =HYPERLINK("CSG1.html#group27A1", "27A¹"), =HYPERLINK("CSG0.html#group18E0", "18E⁰"), =HYPERLINK("CSG10.html#group108F10", "108F¹⁰"), =HYPERLINK("CSG0.html#group6F0", "6F⁰"), =HYPERLINK("CSG0.html#group9B0", "9B⁰"), =HYPERLINK("CSG0.html#group12J0", "12J⁰"), =HYPERLINK("CSG3.html#group36K3", "36K³"), =HYPERLINK("CSG0.html#group2B0", "2B⁰"), =HYPERLINK("CSG1.html#group36C1", "36C¹"), =HYPERLINK("CSG0.html#group4B0", "4B⁰"), =HYPERLINK("CSG0.html#group1A0", "1A⁰"), =HYPERLINK("CSG0.html#group12E0", "12E⁰"), =HYPERLINK("CSG4.html#group54E4", "54E⁴")</f>
        <v/>
      </c>
      <c r="N7273" t="inlineStr"/>
    </row>
    <row r="7274">
      <c r="A7274" t="inlineStr">
        <is>
          <t>109A²²</t>
        </is>
      </c>
      <c r="B7274" t="inlineStr"/>
      <c r="C7274" t="inlineStr">
        <is>
          <t>330</t>
        </is>
      </c>
      <c r="D7274" t="inlineStr">
        <is>
          <t>1</t>
        </is>
      </c>
      <c r="E7274" t="inlineStr">
        <is>
          <t>110</t>
        </is>
      </c>
      <c r="F7274" t="inlineStr">
        <is>
          <t>6</t>
        </is>
      </c>
      <c r="G7274" t="inlineStr">
        <is>
          <t>6</t>
        </is>
      </c>
      <c r="H7274" t="inlineStr">
        <is>
          <t>1³, 109³</t>
        </is>
      </c>
      <c r="I7274" t="n">
        <v>6</v>
      </c>
      <c r="J7274" t="inlineStr">
        <is>
          <t>1², 108¹</t>
        </is>
      </c>
      <c r="K7274">
        <f>HYPERLINK("CSG8.html#group109A8", "109A⁸")</f>
        <v/>
      </c>
      <c r="L7274" t="inlineStr"/>
      <c r="M7274">
        <f>HYPERLINK("CSG0.html#group1A0", "1A⁰"), =HYPERLINK("CSG8.html#group109A8", "109A⁸")</f>
        <v/>
      </c>
      <c r="N7274" t="inlineStr"/>
    </row>
    <row r="7275">
      <c r="A7275" t="inlineStr">
        <is>
          <t>111A²²</t>
        </is>
      </c>
      <c r="B7275" t="inlineStr"/>
      <c r="C7275" t="inlineStr">
        <is>
          <t>342</t>
        </is>
      </c>
      <c r="D7275" t="inlineStr">
        <is>
          <t>1</t>
        </is>
      </c>
      <c r="E7275" t="inlineStr">
        <is>
          <t>38</t>
        </is>
      </c>
      <c r="F7275" t="inlineStr">
        <is>
          <t>18</t>
        </is>
      </c>
      <c r="G7275" t="inlineStr">
        <is>
          <t>0</t>
        </is>
      </c>
      <c r="H7275" t="inlineStr">
        <is>
          <t>3³, 111³</t>
        </is>
      </c>
      <c r="I7275" t="n">
        <v>6</v>
      </c>
      <c r="J7275" t="inlineStr">
        <is>
          <t>1², 36¹</t>
        </is>
      </c>
      <c r="K7275">
        <f>HYPERLINK("CSG4.html#group37B4", "37B⁴"), =HYPERLINK("CSG8.html#group111A8", "111A⁸"), =HYPERLINK("CSG8.html#group111B8", "111B⁸")</f>
        <v/>
      </c>
      <c r="L7275" t="inlineStr"/>
      <c r="M7275">
        <f>HYPERLINK("CSG2.html#group37A2", "37A²"), =HYPERLINK("CSG4.html#group37B4", "37B⁴"), =HYPERLINK("CSG8.html#group111A8", "111A⁸"), =HYPERLINK("CSG8.html#group111B8", "111B⁸"), =HYPERLINK("CSG0.html#group3A0", "3A⁰"), =HYPERLINK("CSG0.html#group1A0", "1A⁰")</f>
        <v/>
      </c>
      <c r="N7275" t="inlineStr"/>
    </row>
    <row r="7276">
      <c r="A7276" t="inlineStr">
        <is>
          <t>112A²²</t>
        </is>
      </c>
      <c r="B7276" t="inlineStr"/>
      <c r="C7276" t="inlineStr">
        <is>
          <t>336</t>
        </is>
      </c>
      <c r="D7276" t="inlineStr">
        <is>
          <t>2</t>
        </is>
      </c>
      <c r="E7276" t="inlineStr">
        <is>
          <t>84</t>
        </is>
      </c>
      <c r="F7276" t="inlineStr">
        <is>
          <t>8</t>
        </is>
      </c>
      <c r="G7276" t="inlineStr">
        <is>
          <t>0</t>
        </is>
      </c>
      <c r="H7276" t="inlineStr">
        <is>
          <t>14⁸, 112²</t>
        </is>
      </c>
      <c r="I7276" t="n">
        <v>10</v>
      </c>
      <c r="J7276" t="inlineStr">
        <is>
          <t>2², 4¹, 6⁴, 8², 12², 24⁴</t>
        </is>
      </c>
      <c r="K7276">
        <f>HYPERLINK("CSG10.html#group56A10", "56A¹⁰"), =HYPERLINK("CSG11.html#group112C11", "112C¹¹"), =HYPERLINK("CSG11.html#group112D11", "112D¹¹")</f>
        <v/>
      </c>
      <c r="L7276" t="inlineStr"/>
      <c r="M7276">
        <f>HYPERLINK("CSG5.html#group56B5", "56B⁵"), =HYPERLINK("CSG0.html#group14A0", "14A⁰"), =HYPERLINK("CSG5.html#group56C5", "56C⁵"), =HYPERLINK("CSG4.html#group28C4", "28C⁴"), =HYPERLINK("CSG11.html#group112D11", "112D¹¹"), =HYPERLINK("CSG1.html#group14B1", "14B¹"), =HYPERLINK("CSG0.html#group8D0", "8D⁰"), =HYPERLINK("CSG0.html#group4C0", "4C⁰"), =HYPERLINK("CSG2.html#group14C2", "14C²"), =HYPERLINK("CSG0.html#group2B0", "2B⁰"), =HYPERLINK("CSG0.html#group1A0", "1A⁰"), =HYPERLINK("CSG10.html#group56A10", "56A¹⁰"), =HYPERLINK("CSG2.html#group28C2", "28C²"), =HYPERLINK("CSG0.html#group16E0", "16E⁰"), =HYPERLINK("CSG11.html#group112C11", "112C¹¹"), =HYPERLINK("CSG2.html#group28B2", "28B²"), =HYPERLINK("CSG0.html#group7A0", "7A⁰")</f>
        <v/>
      </c>
      <c r="N7276" t="inlineStr"/>
    </row>
    <row r="7277">
      <c r="A7277" t="inlineStr">
        <is>
          <t>114A²²</t>
        </is>
      </c>
      <c r="B7277" t="inlineStr"/>
      <c r="C7277" t="inlineStr">
        <is>
          <t>360</t>
        </is>
      </c>
      <c r="D7277" t="inlineStr">
        <is>
          <t>1</t>
        </is>
      </c>
      <c r="E7277" t="inlineStr">
        <is>
          <t>40</t>
        </is>
      </c>
      <c r="F7277" t="inlineStr">
        <is>
          <t>0</t>
        </is>
      </c>
      <c r="G7277" t="inlineStr">
        <is>
          <t>18</t>
        </is>
      </c>
      <c r="H7277" t="inlineStr">
        <is>
          <t>6³, 114³</t>
        </is>
      </c>
      <c r="I7277" t="n">
        <v>6</v>
      </c>
      <c r="J7277" t="inlineStr">
        <is>
          <t>2², 36¹</t>
        </is>
      </c>
      <c r="K7277">
        <f>HYPERLINK("CSG4.html#group38B4", "38B⁴"), =HYPERLINK("CSG8.html#group114A8", "114A⁸"), =HYPERLINK("CSG8.html#group114B8", "114B⁸")</f>
        <v/>
      </c>
      <c r="L7277" t="inlineStr"/>
      <c r="M7277">
        <f>HYPERLINK("CSG8.html#group114A8", "114A⁸"), =HYPERLINK("CSG0.html#group2A0", "2A⁰"), =HYPERLINK("CSG1.html#group19A1", "19A¹"), =HYPERLINK("CSG2.html#group38A2", "38A²"), =HYPERLINK("CSG8.html#group114B8", "114B⁸"), =HYPERLINK("CSG0.html#group6A0", "6A⁰"), =HYPERLINK("CSG4.html#group38B4", "38B⁴"), =HYPERLINK("CSG1.html#group19B1", "19B¹"), =HYPERLINK("CSG0.html#group1A0", "1A⁰")</f>
        <v/>
      </c>
      <c r="N7277" t="inlineStr"/>
    </row>
    <row r="7278">
      <c r="A7278" t="inlineStr">
        <is>
          <t>114B²²</t>
        </is>
      </c>
      <c r="B7278" t="inlineStr"/>
      <c r="C7278" t="inlineStr">
        <is>
          <t>360</t>
        </is>
      </c>
      <c r="D7278" t="inlineStr">
        <is>
          <t>2</t>
        </is>
      </c>
      <c r="E7278" t="inlineStr">
        <is>
          <t>20</t>
        </is>
      </c>
      <c r="F7278" t="inlineStr">
        <is>
          <t>0</t>
        </is>
      </c>
      <c r="G7278" t="inlineStr">
        <is>
          <t>18</t>
        </is>
      </c>
      <c r="H7278" t="inlineStr">
        <is>
          <t>6³, 114³</t>
        </is>
      </c>
      <c r="I7278" t="n">
        <v>6</v>
      </c>
      <c r="J7278" t="inlineStr">
        <is>
          <t>2², 36¹</t>
        </is>
      </c>
      <c r="K7278">
        <f>HYPERLINK("CSG4.html#group38B4", "38B⁴"), =HYPERLINK("CSG10.html#group57B10", "57B¹⁰")</f>
        <v/>
      </c>
      <c r="L7278" t="inlineStr"/>
      <c r="M7278">
        <f>HYPERLINK("CSG1.html#group19A1", "19A¹"), =HYPERLINK("CSG4.html#group38B4", "38B⁴"), =HYPERLINK("CSG0.html#group2A0", "2A⁰"), =HYPERLINK("CSG1.html#group19B1", "19B¹"), =HYPERLINK("CSG10.html#group57B10", "57B¹⁰"), =HYPERLINK("CSG2.html#group38A2", "38A²"), =HYPERLINK("CSG0.html#group1A0", "1A⁰")</f>
        <v/>
      </c>
      <c r="N7278" t="inlineStr"/>
    </row>
    <row r="7279">
      <c r="A7279" t="inlineStr">
        <is>
          <t>117A²²</t>
        </is>
      </c>
      <c r="B7279" t="inlineStr"/>
      <c r="C7279" t="inlineStr">
        <is>
          <t>378</t>
        </is>
      </c>
      <c r="D7279" t="inlineStr">
        <is>
          <t>1</t>
        </is>
      </c>
      <c r="E7279" t="inlineStr">
        <is>
          <t>126</t>
        </is>
      </c>
      <c r="F7279" t="inlineStr">
        <is>
          <t>30</t>
        </is>
      </c>
      <c r="G7279" t="inlineStr">
        <is>
          <t>0</t>
        </is>
      </c>
      <c r="H7279" t="inlineStr">
        <is>
          <t>9³, 117³</t>
        </is>
      </c>
      <c r="I7279" t="n">
        <v>6</v>
      </c>
      <c r="J7279" t="inlineStr">
        <is>
          <t>1², 2², 6², 12¹, 24¹, 72¹</t>
        </is>
      </c>
      <c r="K7279">
        <f>HYPERLINK("CSG4.html#group39C4", "39C⁴"), =HYPERLINK("CSG8.html#group117A8", "117A⁸")</f>
        <v/>
      </c>
      <c r="L7279" t="inlineStr"/>
      <c r="M7279">
        <f>HYPERLINK("CSG8.html#group117A8", "117A⁸"), =HYPERLINK("CSG2.html#group39A2", "39A²"), =HYPERLINK("CSG0.html#group9A0", "9A⁰"), =HYPERLINK("CSG0.html#group13A0", "13A⁰"), =HYPERLINK("CSG4.html#group39C4", "39C⁴"), =HYPERLINK("CSG0.html#group13C0", "13C⁰"), =HYPERLINK("CSG1.html#group39A1", "39A¹"), =HYPERLINK("CSG0.html#group3A0", "3A⁰"), =HYPERLINK("CSG0.html#group1A0", "1A⁰")</f>
        <v/>
      </c>
      <c r="N7279" t="inlineStr"/>
    </row>
    <row r="7280">
      <c r="A7280" t="inlineStr">
        <is>
          <t>126A²²</t>
        </is>
      </c>
      <c r="B7280" t="inlineStr"/>
      <c r="C7280" t="inlineStr">
        <is>
          <t>378</t>
        </is>
      </c>
      <c r="D7280" t="inlineStr">
        <is>
          <t>2</t>
        </is>
      </c>
      <c r="E7280" t="inlineStr">
        <is>
          <t>189</t>
        </is>
      </c>
      <c r="F7280" t="inlineStr">
        <is>
          <t>36</t>
        </is>
      </c>
      <c r="G7280" t="inlineStr">
        <is>
          <t>0</t>
        </is>
      </c>
      <c r="H7280" t="inlineStr">
        <is>
          <t>126³</t>
        </is>
      </c>
      <c r="I7280" t="n">
        <v>3</v>
      </c>
      <c r="J7280" t="inlineStr">
        <is>
          <t>6¹, 12⁴, 18², 36⁸</t>
        </is>
      </c>
      <c r="K7280">
        <f>HYPERLINK("CSG1.html#group18H1", "18H¹"), =HYPERLINK("CSG5.html#group126A5", "126A⁵"), =HYPERLINK("CSG5.html#group126B5", "126B⁵"), =HYPERLINK("CSG10.html#group63B10", "63B¹⁰")</f>
        <v/>
      </c>
      <c r="L7280" t="inlineStr"/>
      <c r="M7280">
        <f>HYPERLINK("CSG0.html#group6B0", "6B⁰"), =HYPERLINK("CSG10.html#group63B10", "63B¹⁰"), =HYPERLINK("CSG0.html#group3A0", "3A⁰"), =HYPERLINK("CSG1.html#group18H1", "18H¹"), =HYPERLINK("CSG0.html#group9A0", "9A⁰"), =HYPERLINK("CSG0.html#group9G0", "9G⁰"), =HYPERLINK("CSG2.html#group63A2", "63A²"), =HYPERLINK("CSG5.html#group126B5", "126B⁵"), =HYPERLINK("CSG0.html#group21A0", "21A⁰"), =HYPERLINK("CSG1.html#group42B1", "42B¹"), =HYPERLINK("CSG5.html#group126A5", "126A⁵"), =HYPERLINK("CSG0.html#group1A0", "1A⁰"), =HYPERLINK("CSG0.html#group18A0", "18A⁰"), =HYPERLINK("CSG0.html#group7A0", "7A⁰")</f>
        <v/>
      </c>
      <c r="N7280" t="inlineStr"/>
    </row>
    <row r="7281">
      <c r="A7281" t="inlineStr">
        <is>
          <t>132A²²</t>
        </is>
      </c>
      <c r="B7281" t="inlineStr"/>
      <c r="C7281" t="inlineStr">
        <is>
          <t>264</t>
        </is>
      </c>
      <c r="D7281" t="inlineStr">
        <is>
          <t>2</t>
        </is>
      </c>
      <c r="E7281" t="inlineStr">
        <is>
          <t>44</t>
        </is>
      </c>
      <c r="F7281" t="inlineStr">
        <is>
          <t>0</t>
        </is>
      </c>
      <c r="G7281" t="inlineStr">
        <is>
          <t>0</t>
        </is>
      </c>
      <c r="H7281" t="inlineStr">
        <is>
          <t>132²</t>
        </is>
      </c>
      <c r="I7281" t="n">
        <v>2</v>
      </c>
      <c r="J7281" t="inlineStr">
        <is>
          <t>4², 20⁴</t>
        </is>
      </c>
      <c r="K7281">
        <f>HYPERLINK("CSG2.html#group12A2", "12A²"), =HYPERLINK("CSG6.html#group44A6", "44A⁶"), =HYPERLINK("CSG6.html#group66A6", "66A⁶"), =HYPERLINK("CSG7.html#group132A7", "132A⁷")</f>
        <v/>
      </c>
      <c r="L7281" t="inlineStr"/>
      <c r="M7281">
        <f>HYPERLINK("CSG0.html#group2A0", "2A⁰"), =HYPERLINK("CSG1.html#group22A1", "22A¹"), =HYPERLINK("CSG2.html#group44A2", "44A²"), =HYPERLINK("CSG1.html#group33A1", "33A¹"), =HYPERLINK("CSG0.html#group1A0", "1A⁰"), =HYPERLINK("CSG6.html#group44A6", "44A⁶"), =HYPERLINK("CSG0.html#group11A0", "11A⁰"), =HYPERLINK("CSG7.html#group132A7", "132A⁷"), =HYPERLINK("CSG0.html#group12A0", "12A⁰"), =HYPERLINK("CSG0.html#group4A0", "4A⁰"), =HYPERLINK("CSG0.html#group4D0", "4D⁰"), =HYPERLINK("CSG2.html#group12A2", "12A²"), =HYPERLINK("CSG1.html#group6A1", "6A¹"), =HYPERLINK("CSG0.html#group3A0", "3A⁰"), =HYPERLINK("CSG6.html#group66A6", "66A⁶")</f>
        <v/>
      </c>
      <c r="N7281" t="inlineStr"/>
    </row>
    <row r="7282">
      <c r="A7282" t="inlineStr">
        <is>
          <t>140A²²</t>
        </is>
      </c>
      <c r="B7282" t="inlineStr"/>
      <c r="C7282" t="inlineStr">
        <is>
          <t>280</t>
        </is>
      </c>
      <c r="D7282" t="inlineStr">
        <is>
          <t>2</t>
        </is>
      </c>
      <c r="E7282" t="inlineStr">
        <is>
          <t>140</t>
        </is>
      </c>
      <c r="F7282" t="inlineStr">
        <is>
          <t>0</t>
        </is>
      </c>
      <c r="G7282" t="inlineStr">
        <is>
          <t>4</t>
        </is>
      </c>
      <c r="H7282" t="inlineStr">
        <is>
          <t>140²</t>
        </is>
      </c>
      <c r="I7282" t="n">
        <v>2</v>
      </c>
      <c r="J7282" t="inlineStr">
        <is>
          <t>4², 12⁴, 16², 48⁴</t>
        </is>
      </c>
      <c r="K7282">
        <f>HYPERLINK("CSG2.html#group20D2", "20D²"), =HYPERLINK("CSG4.html#group28A4", "28A⁴"), =HYPERLINK("CSG5.html#group70A5", "70A⁵"), =HYPERLINK("CSG10.html#group140A10", "140A¹⁰")</f>
        <v/>
      </c>
      <c r="L7282" t="inlineStr"/>
      <c r="M7282">
        <f>HYPERLINK("CSG0.html#group2A0", "2A⁰"), =HYPERLINK("CSG10.html#group140A10", "140A¹⁰"), =HYPERLINK("CSG0.html#group5A0", "5A⁰"), =HYPERLINK("CSG1.html#group14A1", "14A¹"), =HYPERLINK("CSG1.html#group20A1", "20A¹"), =HYPERLINK("CSG0.html#group1A0", "1A⁰"), =HYPERLINK("CSG2.html#group35A2", "35A²"), =HYPERLINK("CSG0.html#group10A0", "10A⁰"), =HYPERLINK("CSG2.html#group20D2", "20D²"), =HYPERLINK("CSG0.html#group4A0", "4A⁰"), =HYPERLINK("CSG4.html#group28A4", "28A⁴"), =HYPERLINK("CSG0.html#group4D0", "4D⁰"), =HYPERLINK("CSG5.html#group70A5", "70A⁵"), =HYPERLINK("CSG1.html#group28A1", "28A¹"), =HYPERLINK("CSG0.html#group7A0", "7A⁰")</f>
        <v/>
      </c>
      <c r="N7282" t="inlineStr"/>
    </row>
    <row r="7283">
      <c r="A7283" t="inlineStr">
        <is>
          <t>143A²²</t>
        </is>
      </c>
      <c r="B7283" t="inlineStr"/>
      <c r="C7283" t="inlineStr">
        <is>
          <t>308</t>
        </is>
      </c>
      <c r="D7283" t="inlineStr">
        <is>
          <t>2</t>
        </is>
      </c>
      <c r="E7283" t="inlineStr">
        <is>
          <t>154</t>
        </is>
      </c>
      <c r="F7283" t="inlineStr">
        <is>
          <t>0</t>
        </is>
      </c>
      <c r="G7283" t="inlineStr">
        <is>
          <t>8</t>
        </is>
      </c>
      <c r="H7283" t="inlineStr">
        <is>
          <t>11², 143²</t>
        </is>
      </c>
      <c r="I7283" t="n">
        <v>4</v>
      </c>
      <c r="J7283" t="inlineStr">
        <is>
          <t>2², 10⁴, 24¹, 120²</t>
        </is>
      </c>
      <c r="K7283">
        <f>HYPERLINK("CSG0.html#group13B0", "13B⁰"), =HYPERLINK("CSG10.html#group143A10", "143A¹⁰")</f>
        <v/>
      </c>
      <c r="L7283" t="inlineStr"/>
      <c r="M7283">
        <f>HYPERLINK("CSG10.html#group143A10", "143A¹⁰"), =HYPERLINK("CSG0.html#group11A0", "11A⁰"), =HYPERLINK("CSG0.html#group13A0", "13A⁰"), =HYPERLINK("CSG0.html#group13B0", "13B⁰"), =HYPERLINK("CSG0.html#group1A0", "1A⁰")</f>
        <v/>
      </c>
      <c r="N7283" t="inlineStr"/>
    </row>
    <row r="7284">
      <c r="A7284" t="inlineStr">
        <is>
          <t>144A²²</t>
        </is>
      </c>
      <c r="B7284" t="inlineStr"/>
      <c r="C7284" t="inlineStr">
        <is>
          <t>288</t>
        </is>
      </c>
      <c r="D7284" t="inlineStr">
        <is>
          <t>1</t>
        </is>
      </c>
      <c r="E7284" t="inlineStr">
        <is>
          <t>48</t>
        </is>
      </c>
      <c r="F7284" t="inlineStr">
        <is>
          <t>0</t>
        </is>
      </c>
      <c r="G7284" t="inlineStr">
        <is>
          <t>0</t>
        </is>
      </c>
      <c r="H7284" t="inlineStr">
        <is>
          <t>12², 36², 48¹, 144¹</t>
        </is>
      </c>
      <c r="I7284" t="n">
        <v>6</v>
      </c>
      <c r="J7284" t="inlineStr">
        <is>
          <t>1⁴, 2⁴, 4⁵, 8²</t>
        </is>
      </c>
      <c r="K7284">
        <f>HYPERLINK("CSG6.html#group48D6", "48D⁶"), =HYPERLINK("CSG10.html#group72C10", "72C¹⁰")</f>
        <v/>
      </c>
      <c r="L7284" t="inlineStr"/>
      <c r="M7284">
        <f>HYPERLINK("CSG0.html#group3B0", "3B⁰"), =HYPERLINK("CSG2.html#group24I2", "24I²"), =HYPERLINK("CSG10.html#group72C10", "72C¹⁰"), =HYPERLINK("CSG0.html#group8D0", "8D⁰"), =HYPERLINK("CSG6.html#group48D6", "48D⁶"), =HYPERLINK("CSG1.html#group12F1", "12F¹"), =HYPERLINK("CSG0.html#group4C0", "4C⁰"), =HYPERLINK("CSG1.html#group16C1", "16C¹"), =HYPERLINK("CSG2.html#group18D2", "18D²"), =HYPERLINK("CSG0.html#group1A0", "1A⁰"), =HYPERLINK("CSG0.html#group2B0", "2B⁰"), =HYPERLINK("CSG0.html#group9C0", "9C⁰"), =HYPERLINK("CSG5.html#group36A5", "36A⁵"), =HYPERLINK("CSG0.html#group6F0", "6F⁰")</f>
        <v/>
      </c>
      <c r="N7284" t="inlineStr"/>
    </row>
    <row r="7285">
      <c r="A7285" t="inlineStr">
        <is>
          <t>144B²²</t>
        </is>
      </c>
      <c r="B7285" t="inlineStr"/>
      <c r="C7285" t="inlineStr">
        <is>
          <t>288</t>
        </is>
      </c>
      <c r="D7285" t="inlineStr">
        <is>
          <t>1</t>
        </is>
      </c>
      <c r="E7285" t="inlineStr">
        <is>
          <t>48</t>
        </is>
      </c>
      <c r="F7285" t="inlineStr">
        <is>
          <t>0</t>
        </is>
      </c>
      <c r="G7285" t="inlineStr">
        <is>
          <t>0</t>
        </is>
      </c>
      <c r="H7285" t="inlineStr">
        <is>
          <t>12², 36², 48¹, 144¹</t>
        </is>
      </c>
      <c r="I7285" t="n">
        <v>6</v>
      </c>
      <c r="J7285" t="inlineStr">
        <is>
          <t>1⁴, 2⁴, 4⁵, 8²</t>
        </is>
      </c>
      <c r="K7285">
        <f>HYPERLINK("CSG6.html#group48D6", "48D⁶"), =HYPERLINK("CSG10.html#group72D10", "72D¹⁰")</f>
        <v/>
      </c>
      <c r="L7285" t="inlineStr"/>
      <c r="M7285">
        <f>HYPERLINK("CSG0.html#group3B0", "3B⁰"), =HYPERLINK("CSG2.html#group24I2", "24I²"), =HYPERLINK("CSG0.html#group8D0", "8D⁰"), =HYPERLINK("CSG1.html#group12F1", "12F¹"), =HYPERLINK("CSG6.html#group48D6", "48D⁶"), =HYPERLINK("CSG1.html#group16C1", "16C¹"), =HYPERLINK("CSG0.html#group4C0", "4C⁰"), =HYPERLINK("CSG2.html#group18E2", "18E²"), =HYPERLINK("CSG10.html#group72D10", "72D¹⁰"), =HYPERLINK("CSG1.html#group9A1", "9A¹"), =HYPERLINK("CSG0.html#group1A0", "1A⁰"), =HYPERLINK("CSG5.html#group36B5", "36B⁵"), =HYPERLINK("CSG0.html#group2B0", "2B⁰"), =HYPERLINK("CSG0.html#group6F0", "6F⁰")</f>
        <v/>
      </c>
      <c r="N7285" t="inlineStr"/>
    </row>
    <row r="7286">
      <c r="A7286" t="inlineStr">
        <is>
          <t>144C²²</t>
        </is>
      </c>
      <c r="B7286" t="inlineStr"/>
      <c r="C7286" t="inlineStr">
        <is>
          <t>288</t>
        </is>
      </c>
      <c r="D7286" t="inlineStr">
        <is>
          <t>1</t>
        </is>
      </c>
      <c r="E7286" t="inlineStr">
        <is>
          <t>144</t>
        </is>
      </c>
      <c r="F7286" t="inlineStr">
        <is>
          <t>8</t>
        </is>
      </c>
      <c r="G7286" t="inlineStr">
        <is>
          <t>0</t>
        </is>
      </c>
      <c r="H7286" t="inlineStr">
        <is>
          <t>144²</t>
        </is>
      </c>
      <c r="I7286" t="n">
        <v>2</v>
      </c>
      <c r="J7286" t="inlineStr">
        <is>
          <t>16⁶, 48⁴</t>
        </is>
      </c>
      <c r="K7286">
        <f>HYPERLINK("CSG6.html#group48E6", "48E⁶"), =HYPERLINK("CSG10.html#group72E10", "72E¹⁰")</f>
        <v/>
      </c>
      <c r="L7286" t="inlineStr"/>
      <c r="M7286">
        <f>HYPERLINK("CSG0.html#group6B0", "6B⁰"), =HYPERLINK("CSG0.html#group12F0", "12F⁰"), =HYPERLINK("CSG6.html#group48E6", "48E⁶"), =HYPERLINK("CSG10.html#group72E10", "72E¹⁰"), =HYPERLINK("CSG1.html#group24B1", "24B¹"), =HYPERLINK("CSG4.html#group72D4", "72D⁴"), =HYPERLINK("CSG0.html#group1A0", "1A⁰"), =HYPERLINK("CSG1.html#group36A1", "36A¹"), =HYPERLINK("CSG0.html#group12A0", "12A⁰"), =HYPERLINK("CSG0.html#group4A0", "4A⁰"), =HYPERLINK("CSG0.html#group9A0", "9A⁰"), =HYPERLINK("CSG0.html#group3A0", "3A⁰"), =HYPERLINK("CSG2.html#group24G2", "24G²"), =HYPERLINK("CSG1.html#group18A1", "18A¹"), =HYPERLINK("CSG4.html#group36L4", "36L⁴")</f>
        <v/>
      </c>
      <c r="N7286" t="inlineStr"/>
    </row>
    <row r="7287">
      <c r="A7287" t="inlineStr">
        <is>
          <t>144D²²</t>
        </is>
      </c>
      <c r="B7287" t="inlineStr"/>
      <c r="C7287" t="inlineStr">
        <is>
          <t>288</t>
        </is>
      </c>
      <c r="D7287" t="inlineStr">
        <is>
          <t>1</t>
        </is>
      </c>
      <c r="E7287" t="inlineStr">
        <is>
          <t>144</t>
        </is>
      </c>
      <c r="F7287" t="inlineStr">
        <is>
          <t>8</t>
        </is>
      </c>
      <c r="G7287" t="inlineStr">
        <is>
          <t>0</t>
        </is>
      </c>
      <c r="H7287" t="inlineStr">
        <is>
          <t>144²</t>
        </is>
      </c>
      <c r="I7287" t="n">
        <v>2</v>
      </c>
      <c r="J7287" t="inlineStr">
        <is>
          <t>16⁶, 48⁴</t>
        </is>
      </c>
      <c r="K7287">
        <f>HYPERLINK("CSG6.html#group48E6", "48E⁶"), =HYPERLINK("CSG10.html#group72G10", "72G¹⁰")</f>
        <v/>
      </c>
      <c r="L7287" t="inlineStr"/>
      <c r="M7287">
        <f>HYPERLINK("CSG4.html#group36N4", "36N⁴"), =HYPERLINK("CSG0.html#group12A0", "12A⁰"), =HYPERLINK("CSG0.html#group6B0", "6B⁰"), =HYPERLINK("CSG0.html#group4A0", "4A⁰"), =HYPERLINK("CSG0.html#group12F0", "12F⁰"), =HYPERLINK("CSG1.html#group18B1", "18B¹"), =HYPERLINK("CSG6.html#group48E6", "48E⁶"), =HYPERLINK("CSG1.html#group24B1", "24B¹"), =HYPERLINK("CSG0.html#group3A0", "3A⁰"), =HYPERLINK("CSG0.html#group1A0", "1A⁰"), =HYPERLINK("CSG2.html#group24G2", "24G²"), =HYPERLINK("CSG10.html#group72G10", "72G¹⁰")</f>
        <v/>
      </c>
      <c r="N7287" t="inlineStr"/>
    </row>
    <row r="7288">
      <c r="A7288" t="inlineStr">
        <is>
          <t>144E²²</t>
        </is>
      </c>
      <c r="B7288" t="inlineStr"/>
      <c r="C7288" t="inlineStr">
        <is>
          <t>288</t>
        </is>
      </c>
      <c r="D7288" t="inlineStr">
        <is>
          <t>1</t>
        </is>
      </c>
      <c r="E7288" t="inlineStr">
        <is>
          <t>144</t>
        </is>
      </c>
      <c r="F7288" t="inlineStr">
        <is>
          <t>8</t>
        </is>
      </c>
      <c r="G7288" t="inlineStr">
        <is>
          <t>0</t>
        </is>
      </c>
      <c r="H7288" t="inlineStr">
        <is>
          <t>144²</t>
        </is>
      </c>
      <c r="I7288" t="n">
        <v>2</v>
      </c>
      <c r="J7288" t="inlineStr">
        <is>
          <t>16⁶, 48⁴</t>
        </is>
      </c>
      <c r="K7288">
        <f>HYPERLINK("CSG6.html#group48E6", "48E⁶"), =HYPERLINK("CSG10.html#group72G10", "72G¹⁰")</f>
        <v/>
      </c>
      <c r="L7288" t="inlineStr"/>
      <c r="M7288">
        <f>HYPERLINK("CSG4.html#group36N4", "36N⁴"), =HYPERLINK("CSG0.html#group12A0", "12A⁰"), =HYPERLINK("CSG0.html#group6B0", "6B⁰"), =HYPERLINK("CSG0.html#group4A0", "4A⁰"), =HYPERLINK("CSG0.html#group12F0", "12F⁰"), =HYPERLINK("CSG1.html#group18B1", "18B¹"), =HYPERLINK("CSG6.html#group48E6", "48E⁶"), =HYPERLINK("CSG1.html#group24B1", "24B¹"), =HYPERLINK("CSG0.html#group3A0", "3A⁰"), =HYPERLINK("CSG0.html#group1A0", "1A⁰"), =HYPERLINK("CSG2.html#group24G2", "24G²"), =HYPERLINK("CSG10.html#group72G10", "72G¹⁰")</f>
        <v/>
      </c>
      <c r="N7288" t="inlineStr"/>
    </row>
    <row r="7289">
      <c r="A7289" t="inlineStr">
        <is>
          <t>144F²²</t>
        </is>
      </c>
      <c r="B7289" t="inlineStr"/>
      <c r="C7289" t="inlineStr">
        <is>
          <t>288</t>
        </is>
      </c>
      <c r="D7289" t="inlineStr">
        <is>
          <t>1</t>
        </is>
      </c>
      <c r="E7289" t="inlineStr">
        <is>
          <t>144</t>
        </is>
      </c>
      <c r="F7289" t="inlineStr">
        <is>
          <t>8</t>
        </is>
      </c>
      <c r="G7289" t="inlineStr">
        <is>
          <t>0</t>
        </is>
      </c>
      <c r="H7289" t="inlineStr">
        <is>
          <t>144²</t>
        </is>
      </c>
      <c r="I7289" t="n">
        <v>2</v>
      </c>
      <c r="J7289" t="inlineStr">
        <is>
          <t>16⁶, 48⁴</t>
        </is>
      </c>
      <c r="K7289">
        <f>HYPERLINK("CSG6.html#group48F6", "48F⁶"), =HYPERLINK("CSG10.html#group72F10", "72F¹⁰")</f>
        <v/>
      </c>
      <c r="L7289" t="inlineStr"/>
      <c r="M7289">
        <f>HYPERLINK("CSG0.html#group6B0", "6B⁰"), =HYPERLINK("CSG10.html#group72F10", "72F¹⁰"), =HYPERLINK("CSG0.html#group12F0", "12F⁰"), =HYPERLINK("CSG4.html#group72C4", "72C⁴"), =HYPERLINK("CSG1.html#group24B1", "24B¹"), =HYPERLINK("CSG0.html#group1A0", "1A⁰"), =HYPERLINK("CSG6.html#group48F6", "48F⁶"), =HYPERLINK("CSG1.html#group36A1", "36A¹"), =HYPERLINK("CSG0.html#group12A0", "12A⁰"), =HYPERLINK("CSG0.html#group4A0", "4A⁰"), =HYPERLINK("CSG0.html#group9A0", "9A⁰"), =HYPERLINK("CSG0.html#group3A0", "3A⁰"), =HYPERLINK("CSG1.html#group18A1", "18A¹"), =HYPERLINK("CSG2.html#group24H2", "24H²"), =HYPERLINK("CSG4.html#group36L4", "36L⁴")</f>
        <v/>
      </c>
      <c r="N7289" t="inlineStr"/>
    </row>
    <row r="7290">
      <c r="A7290" t="inlineStr">
        <is>
          <t>144G²²</t>
        </is>
      </c>
      <c r="B7290" t="inlineStr"/>
      <c r="C7290" t="inlineStr">
        <is>
          <t>288</t>
        </is>
      </c>
      <c r="D7290" t="inlineStr">
        <is>
          <t>1</t>
        </is>
      </c>
      <c r="E7290" t="inlineStr">
        <is>
          <t>144</t>
        </is>
      </c>
      <c r="F7290" t="inlineStr">
        <is>
          <t>8</t>
        </is>
      </c>
      <c r="G7290" t="inlineStr">
        <is>
          <t>0</t>
        </is>
      </c>
      <c r="H7290" t="inlineStr">
        <is>
          <t>144²</t>
        </is>
      </c>
      <c r="I7290" t="n">
        <v>2</v>
      </c>
      <c r="J7290" t="inlineStr">
        <is>
          <t>16⁶, 48⁴</t>
        </is>
      </c>
      <c r="K7290">
        <f>HYPERLINK("CSG6.html#group48F6", "48F⁶"), =HYPERLINK("CSG10.html#group72H10", "72H¹⁰")</f>
        <v/>
      </c>
      <c r="L7290" t="inlineStr"/>
      <c r="M7290">
        <f>HYPERLINK("CSG6.html#group48F6", "48F⁶"), =HYPERLINK("CSG4.html#group36N4", "36N⁴"), =HYPERLINK("CSG10.html#group72H10", "72H¹⁰"), =HYPERLINK("CSG0.html#group12A0", "12A⁰"), =HYPERLINK("CSG0.html#group6B0", "6B⁰"), =HYPERLINK("CSG0.html#group4A0", "4A⁰"), =HYPERLINK("CSG0.html#group12F0", "12F⁰"), =HYPERLINK("CSG1.html#group18B1", "18B¹"), =HYPERLINK("CSG1.html#group24B1", "24B¹"), =HYPERLINK("CSG0.html#group3A0", "3A⁰"), =HYPERLINK("CSG0.html#group1A0", "1A⁰"), =HYPERLINK("CSG2.html#group24H2", "24H²")</f>
        <v/>
      </c>
      <c r="N7290" t="inlineStr"/>
    </row>
    <row r="7291">
      <c r="A7291" t="inlineStr">
        <is>
          <t>144H²²</t>
        </is>
      </c>
      <c r="B7291" t="inlineStr"/>
      <c r="C7291" t="inlineStr">
        <is>
          <t>288</t>
        </is>
      </c>
      <c r="D7291" t="inlineStr">
        <is>
          <t>1</t>
        </is>
      </c>
      <c r="E7291" t="inlineStr">
        <is>
          <t>144</t>
        </is>
      </c>
      <c r="F7291" t="inlineStr">
        <is>
          <t>8</t>
        </is>
      </c>
      <c r="G7291" t="inlineStr">
        <is>
          <t>0</t>
        </is>
      </c>
      <c r="H7291" t="inlineStr">
        <is>
          <t>144²</t>
        </is>
      </c>
      <c r="I7291" t="n">
        <v>2</v>
      </c>
      <c r="J7291" t="inlineStr">
        <is>
          <t>16⁶, 48⁴</t>
        </is>
      </c>
      <c r="K7291">
        <f>HYPERLINK("CSG6.html#group48F6", "48F⁶"), =HYPERLINK("CSG10.html#group72H10", "72H¹⁰")</f>
        <v/>
      </c>
      <c r="L7291" t="inlineStr"/>
      <c r="M7291">
        <f>HYPERLINK("CSG6.html#group48F6", "48F⁶"), =HYPERLINK("CSG4.html#group36N4", "36N⁴"), =HYPERLINK("CSG10.html#group72H10", "72H¹⁰"), =HYPERLINK("CSG0.html#group12A0", "12A⁰"), =HYPERLINK("CSG0.html#group6B0", "6B⁰"), =HYPERLINK("CSG0.html#group4A0", "4A⁰"), =HYPERLINK("CSG0.html#group12F0", "12F⁰"), =HYPERLINK("CSG1.html#group18B1", "18B¹"), =HYPERLINK("CSG1.html#group24B1", "24B¹"), =HYPERLINK("CSG0.html#group3A0", "3A⁰"), =HYPERLINK("CSG0.html#group1A0", "1A⁰"), =HYPERLINK("CSG2.html#group24H2", "24H²")</f>
        <v/>
      </c>
      <c r="N7291" t="inlineStr"/>
    </row>
    <row r="7292">
      <c r="A7292" t="inlineStr">
        <is>
          <t>144I²²</t>
        </is>
      </c>
      <c r="B7292" t="inlineStr"/>
      <c r="C7292" t="inlineStr">
        <is>
          <t>288</t>
        </is>
      </c>
      <c r="D7292" t="inlineStr">
        <is>
          <t>2</t>
        </is>
      </c>
      <c r="E7292" t="inlineStr">
        <is>
          <t>72</t>
        </is>
      </c>
      <c r="F7292" t="inlineStr">
        <is>
          <t>8</t>
        </is>
      </c>
      <c r="G7292" t="inlineStr">
        <is>
          <t>0</t>
        </is>
      </c>
      <c r="H7292" t="inlineStr">
        <is>
          <t>144²</t>
        </is>
      </c>
      <c r="I7292" t="n">
        <v>2</v>
      </c>
      <c r="J7292" t="inlineStr">
        <is>
          <t>8², 16², 48²</t>
        </is>
      </c>
      <c r="K7292">
        <f>HYPERLINK("CSG6.html#group48G6", "48G⁶"), =HYPERLINK("CSG10.html#group72I10", "72I¹⁰"), =HYPERLINK("CSG10.html#group144C10", "144C¹⁰"), =HYPERLINK("CSG10.html#group144D10", "144D¹⁰")</f>
        <v/>
      </c>
      <c r="L7292" t="inlineStr"/>
      <c r="M7292">
        <f>HYPERLINK("CSG0.html#group6B0", "6B⁰"), =HYPERLINK("CSG4.html#group72B4", "72B⁴"), =HYPERLINK("CSG10.html#group144C10", "144C¹⁰"), =HYPERLINK("CSG10.html#group144D10", "144D¹⁰"), =HYPERLINK("CSG0.html#group12F0", "12F⁰"), =HYPERLINK("CSG0.html#group8A0", "8A⁰"), =HYPERLINK("CSG1.html#group24B1", "24B¹"), =HYPERLINK("CSG10.html#group72I10", "72I¹⁰"), =HYPERLINK("CSG0.html#group1A0", "1A⁰"), =HYPERLINK("CSG6.html#group48G6", "48G⁶"), =HYPERLINK("CSG4.html#group72A4", "72A⁴"), =HYPERLINK("CSG1.html#group36A1", "36A¹"), =HYPERLINK("CSG0.html#group12A0", "12A⁰"), =HYPERLINK("CSG2.html#group24K2", "24K²"), =HYPERLINK("CSG1.html#group24A1", "24A¹"), =HYPERLINK("CSG0.html#group4A0", "4A⁰"), =HYPERLINK("CSG0.html#group9A0", "9A⁰"), =HYPERLINK("CSG0.html#group3A0", "3A⁰"), =HYPERLINK("CSG1.html#group18A1", "18A¹"), =HYPERLINK("CSG4.html#group36L4", "36L⁴"), =HYPERLINK("CSG3.html#group48B3", "48B³")</f>
        <v/>
      </c>
      <c r="N7292" t="inlineStr"/>
    </row>
    <row r="7293">
      <c r="A7293" t="inlineStr">
        <is>
          <t>144J²²</t>
        </is>
      </c>
      <c r="B7293" t="inlineStr"/>
      <c r="C7293" t="inlineStr">
        <is>
          <t>288</t>
        </is>
      </c>
      <c r="D7293" t="inlineStr">
        <is>
          <t>2</t>
        </is>
      </c>
      <c r="E7293" t="inlineStr">
        <is>
          <t>72</t>
        </is>
      </c>
      <c r="F7293" t="inlineStr">
        <is>
          <t>8</t>
        </is>
      </c>
      <c r="G7293" t="inlineStr">
        <is>
          <t>0</t>
        </is>
      </c>
      <c r="H7293" t="inlineStr">
        <is>
          <t>144²</t>
        </is>
      </c>
      <c r="I7293" t="n">
        <v>2</v>
      </c>
      <c r="J7293" t="inlineStr">
        <is>
          <t>8², 16², 48²</t>
        </is>
      </c>
      <c r="K7293">
        <f>HYPERLINK("CSG6.html#group48H6", "48H⁶"), =HYPERLINK("CSG10.html#group72I10", "72I¹⁰"), =HYPERLINK("CSG10.html#group144A10", "144A¹⁰"), =HYPERLINK("CSG10.html#group144B10", "144B¹⁰")</f>
        <v/>
      </c>
      <c r="L7293" t="inlineStr"/>
      <c r="M7293">
        <f>HYPERLINK("CSG0.html#group6B0", "6B⁰"), =HYPERLINK("CSG0.html#group16A0", "16A⁰"), =HYPERLINK("CSG4.html#group72B4", "72B⁴"), =HYPERLINK("CSG6.html#group48H6", "48H⁶"), =HYPERLINK("CSG0.html#group12F0", "12F⁰"), =HYPERLINK("CSG10.html#group144B10", "144B¹⁰"), =HYPERLINK("CSG0.html#group8A0", "8A⁰"), =HYPERLINK("CSG1.html#group24B1", "24B¹"), =HYPERLINK("CSG10.html#group72I10", "72I¹⁰"), =HYPERLINK("CSG0.html#group1A0", "1A⁰"), =HYPERLINK("CSG4.html#group72A4", "72A⁴"), =HYPERLINK("CSG1.html#group36A1", "36A¹"), =HYPERLINK("CSG10.html#group144A10", "144A¹⁰"), =HYPERLINK("CSG0.html#group12A0", "12A⁰"), =HYPERLINK("CSG2.html#group24K2", "24K²"), =HYPERLINK("CSG1.html#group24A1", "24A¹"), =HYPERLINK("CSG3.html#group48A3", "48A³"), =HYPERLINK("CSG0.html#group4A0", "4A⁰"), =HYPERLINK("CSG0.html#group9A0", "9A⁰"), =HYPERLINK("CSG0.html#group3A0", "3A⁰"), =HYPERLINK("CSG1.html#group18A1", "18A¹"), =HYPERLINK("CSG4.html#group36L4", "36L⁴"), =HYPERLINK("CSG3.html#group48B3", "48B³")</f>
        <v/>
      </c>
      <c r="N7293" t="inlineStr"/>
    </row>
    <row r="7294">
      <c r="A7294" t="inlineStr">
        <is>
          <t>144K²²</t>
        </is>
      </c>
      <c r="B7294" t="inlineStr"/>
      <c r="C7294" t="inlineStr">
        <is>
          <t>288</t>
        </is>
      </c>
      <c r="D7294" t="inlineStr">
        <is>
          <t>2</t>
        </is>
      </c>
      <c r="E7294" t="inlineStr">
        <is>
          <t>144</t>
        </is>
      </c>
      <c r="F7294" t="inlineStr">
        <is>
          <t>4</t>
        </is>
      </c>
      <c r="G7294" t="inlineStr">
        <is>
          <t>0</t>
        </is>
      </c>
      <c r="H7294" t="inlineStr">
        <is>
          <t>48³, 144¹</t>
        </is>
      </c>
      <c r="I7294" t="n">
        <v>4</v>
      </c>
      <c r="J7294" t="inlineStr">
        <is>
          <t>8², 16², 24², 48⁴</t>
        </is>
      </c>
      <c r="K7294">
        <f>HYPERLINK("CSG7.html#group48I7", "48I⁷"), =HYPERLINK("CSG10.html#group72K10", "72K¹⁰")</f>
        <v/>
      </c>
      <c r="L7294" t="inlineStr"/>
      <c r="M7294">
        <f>HYPERLINK("CSG7.html#group48I7", "48I⁷"), =HYPERLINK("CSG1.html#group12G1", "12G¹"), =HYPERLINK("CSG3.html#group24E3", "24E³"), =HYPERLINK("CSG0.html#group12A0", "12A⁰"), =HYPERLINK("CSG10.html#group72K10", "72K¹⁰"), =HYPERLINK("CSG1.html#group24A1", "24A¹"), =HYPERLINK("CSG0.html#group4A0", "4A⁰"), =HYPERLINK("CSG0.html#group8A0", "8A⁰"), =HYPERLINK("CSG4.html#group36M4", "36M⁴"), =HYPERLINK("CSG0.html#group3C0", "3C⁰"), =HYPERLINK("CSG1.html#group24B1", "24B¹"), =HYPERLINK("CSG0.html#group9E0", "9E⁰"), =HYPERLINK("CSG0.html#group3A0", "3A⁰"), =HYPERLINK("CSG0.html#group1A0", "1A⁰"), =HYPERLINK("CSG3.html#group48B3", "48B³")</f>
        <v/>
      </c>
      <c r="N7294" t="inlineStr"/>
    </row>
    <row r="7295">
      <c r="A7295" t="inlineStr">
        <is>
          <t>144L²²</t>
        </is>
      </c>
      <c r="B7295" t="inlineStr"/>
      <c r="C7295" t="inlineStr">
        <is>
          <t>288</t>
        </is>
      </c>
      <c r="D7295" t="inlineStr">
        <is>
          <t>2</t>
        </is>
      </c>
      <c r="E7295" t="inlineStr">
        <is>
          <t>144</t>
        </is>
      </c>
      <c r="F7295" t="inlineStr">
        <is>
          <t>4</t>
        </is>
      </c>
      <c r="G7295" t="inlineStr">
        <is>
          <t>0</t>
        </is>
      </c>
      <c r="H7295" t="inlineStr">
        <is>
          <t>48³, 144¹</t>
        </is>
      </c>
      <c r="I7295" t="n">
        <v>4</v>
      </c>
      <c r="J7295" t="inlineStr">
        <is>
          <t>8², 16², 24², 48⁴</t>
        </is>
      </c>
      <c r="K7295">
        <f>HYPERLINK("CSG7.html#group48J7", "48J⁷"), =HYPERLINK("CSG10.html#group72K10", "72K¹⁰")</f>
        <v/>
      </c>
      <c r="L7295" t="inlineStr"/>
      <c r="M7295">
        <f>HYPERLINK("CSG1.html#group12G1", "12G¹"), =HYPERLINK("CSG0.html#group16A0", "16A⁰"), =HYPERLINK("CSG0.html#group8A0", "8A⁰"), =HYPERLINK("CSG1.html#group24B1", "24B¹"), =HYPERLINK("CSG0.html#group9E0", "9E⁰"), =HYPERLINK("CSG0.html#group1A0", "1A⁰"), =HYPERLINK("CSG3.html#group24E3", "24E³"), =HYPERLINK("CSG0.html#group12A0", "12A⁰"), =HYPERLINK("CSG10.html#group72K10", "72K¹⁰"), =HYPERLINK("CSG3.html#group48A3", "48A³"), =HYPERLINK("CSG1.html#group24A1", "24A¹"), =HYPERLINK("CSG7.html#group48J7", "48J⁷"), =HYPERLINK("CSG0.html#group4A0", "4A⁰"), =HYPERLINK("CSG4.html#group36M4", "36M⁴"), =HYPERLINK("CSG0.html#group3C0", "3C⁰"), =HYPERLINK("CSG0.html#group3A0", "3A⁰"), =HYPERLINK("CSG3.html#group48B3", "48B³")</f>
        <v/>
      </c>
      <c r="N7295" t="inlineStr"/>
    </row>
    <row r="7296">
      <c r="A7296" t="inlineStr">
        <is>
          <t>144M²²</t>
        </is>
      </c>
      <c r="B7296" t="inlineStr"/>
      <c r="C7296" t="inlineStr">
        <is>
          <t>288</t>
        </is>
      </c>
      <c r="D7296" t="inlineStr">
        <is>
          <t>2</t>
        </is>
      </c>
      <c r="E7296" t="inlineStr">
        <is>
          <t>144</t>
        </is>
      </c>
      <c r="F7296" t="inlineStr">
        <is>
          <t>8</t>
        </is>
      </c>
      <c r="G7296" t="inlineStr">
        <is>
          <t>0</t>
        </is>
      </c>
      <c r="H7296" t="inlineStr">
        <is>
          <t>144²</t>
        </is>
      </c>
      <c r="I7296" t="n">
        <v>2</v>
      </c>
      <c r="J7296" t="inlineStr">
        <is>
          <t>16⁶, 48⁴</t>
        </is>
      </c>
      <c r="K7296">
        <f>HYPERLINK("CSG6.html#group48G6", "48G⁶"), =HYPERLINK("CSG10.html#group72L10", "72L¹⁰")</f>
        <v/>
      </c>
      <c r="L7296" t="inlineStr"/>
      <c r="M7296">
        <f>HYPERLINK("CSG4.html#group36N4", "36N⁴"), =HYPERLINK("CSG0.html#group12A0", "12A⁰"), =HYPERLINK("CSG2.html#group24K2", "24K²"), =HYPERLINK("CSG1.html#group24A1", "24A¹"), =HYPERLINK("CSG0.html#group6B0", "6B⁰"), =HYPERLINK("CSG0.html#group4A0", "4A⁰"), =HYPERLINK("CSG0.html#group12F0", "12F⁰"), =HYPERLINK("CSG0.html#group8A0", "8A⁰"), =HYPERLINK("CSG1.html#group18B1", "18B¹"), =HYPERLINK("CSG1.html#group24B1", "24B¹"), =HYPERLINK("CSG10.html#group72L10", "72L¹⁰"), =HYPERLINK("CSG0.html#group3A0", "3A⁰"), =HYPERLINK("CSG0.html#group1A0", "1A⁰"), =HYPERLINK("CSG6.html#group48G6", "48G⁶"), =HYPERLINK("CSG3.html#group48B3", "48B³")</f>
        <v/>
      </c>
      <c r="N7296" t="inlineStr"/>
    </row>
    <row r="7297">
      <c r="A7297" t="inlineStr">
        <is>
          <t>144N²²</t>
        </is>
      </c>
      <c r="B7297" t="inlineStr"/>
      <c r="C7297" t="inlineStr">
        <is>
          <t>288</t>
        </is>
      </c>
      <c r="D7297" t="inlineStr">
        <is>
          <t>2</t>
        </is>
      </c>
      <c r="E7297" t="inlineStr">
        <is>
          <t>144</t>
        </is>
      </c>
      <c r="F7297" t="inlineStr">
        <is>
          <t>8</t>
        </is>
      </c>
      <c r="G7297" t="inlineStr">
        <is>
          <t>0</t>
        </is>
      </c>
      <c r="H7297" t="inlineStr">
        <is>
          <t>144²</t>
        </is>
      </c>
      <c r="I7297" t="n">
        <v>2</v>
      </c>
      <c r="J7297" t="inlineStr">
        <is>
          <t>16⁶, 48⁴</t>
        </is>
      </c>
      <c r="K7297">
        <f>HYPERLINK("CSG6.html#group48H6", "48H⁶"), =HYPERLINK("CSG10.html#group72L10", "72L¹⁰")</f>
        <v/>
      </c>
      <c r="L7297" t="inlineStr"/>
      <c r="M7297">
        <f>HYPERLINK("CSG0.html#group6B0", "6B⁰"), =HYPERLINK("CSG0.html#group16A0", "16A⁰"), =HYPERLINK("CSG6.html#group48H6", "48H⁶"), =HYPERLINK("CSG0.html#group12F0", "12F⁰"), =HYPERLINK("CSG1.html#group18B1", "18B¹"), =HYPERLINK("CSG0.html#group8A0", "8A⁰"), =HYPERLINK("CSG1.html#group24B1", "24B¹"), =HYPERLINK("CSG0.html#group1A0", "1A⁰"), =HYPERLINK("CSG4.html#group36N4", "36N⁴"), =HYPERLINK("CSG0.html#group12A0", "12A⁰"), =HYPERLINK("CSG2.html#group24K2", "24K²"), =HYPERLINK("CSG1.html#group24A1", "24A¹"), =HYPERLINK("CSG3.html#group48A3", "48A³"), =HYPERLINK("CSG0.html#group4A0", "4A⁰"), =HYPERLINK("CSG10.html#group72L10", "72L¹⁰"), =HYPERLINK("CSG0.html#group3A0", "3A⁰"), =HYPERLINK("CSG3.html#group48B3", "48B³")</f>
        <v/>
      </c>
      <c r="N7297" t="inlineStr"/>
    </row>
    <row r="7298">
      <c r="A7298" t="inlineStr">
        <is>
          <t>150A²²</t>
        </is>
      </c>
      <c r="B7298" t="inlineStr"/>
      <c r="C7298" t="inlineStr">
        <is>
          <t>300</t>
        </is>
      </c>
      <c r="D7298" t="inlineStr">
        <is>
          <t>1</t>
        </is>
      </c>
      <c r="E7298" t="inlineStr">
        <is>
          <t>50</t>
        </is>
      </c>
      <c r="F7298" t="inlineStr">
        <is>
          <t>12</t>
        </is>
      </c>
      <c r="G7298" t="inlineStr">
        <is>
          <t>0</t>
        </is>
      </c>
      <c r="H7298" t="inlineStr">
        <is>
          <t>150²</t>
        </is>
      </c>
      <c r="I7298" t="n">
        <v>2</v>
      </c>
      <c r="J7298" t="inlineStr">
        <is>
          <t>2¹, 4², 20²</t>
        </is>
      </c>
      <c r="K7298">
        <f>HYPERLINK("CSG2.html#group30F2", "30F²"), =HYPERLINK("CSG4.html#group50E4", "50E⁴"), =HYPERLINK("CSG11.html#group75A11", "75A¹¹")</f>
        <v/>
      </c>
      <c r="L7298" t="inlineStr"/>
      <c r="M7298">
        <f>HYPERLINK("CSG1.html#group15D1", "15D¹"), =HYPERLINK("CSG0.html#group10D0", "10D⁰"), =HYPERLINK("CSG0.html#group5C0", "5C⁰"), =HYPERLINK("CSG2.html#group25E2", "25E²"), =HYPERLINK("CSG4.html#group50E4", "50E⁴"), =HYPERLINK("CSG11.html#group75A11", "75A¹¹"), =HYPERLINK("CSG0.html#group1A0", "1A⁰"), =HYPERLINK("CSG0.html#group3A0", "3A⁰"), =HYPERLINK("CSG2.html#group30F2", "30F²")</f>
        <v/>
      </c>
      <c r="N7298" t="inlineStr"/>
    </row>
    <row r="7299">
      <c r="A7299" t="inlineStr">
        <is>
          <t>162A²²</t>
        </is>
      </c>
      <c r="B7299" t="inlineStr"/>
      <c r="C7299" t="inlineStr">
        <is>
          <t>324</t>
        </is>
      </c>
      <c r="D7299" t="inlineStr">
        <is>
          <t>1</t>
        </is>
      </c>
      <c r="E7299" t="inlineStr">
        <is>
          <t>108</t>
        </is>
      </c>
      <c r="F7299" t="inlineStr">
        <is>
          <t>0</t>
        </is>
      </c>
      <c r="G7299" t="inlineStr">
        <is>
          <t>0</t>
        </is>
      </c>
      <c r="H7299" t="inlineStr">
        <is>
          <t>3³, 6³, 9², 18², 81¹, 162¹</t>
        </is>
      </c>
      <c r="I7299" t="n">
        <v>12</v>
      </c>
      <c r="J7299" t="inlineStr">
        <is>
          <t>1⁶, 2⁶, 6⁶, 18³</t>
        </is>
      </c>
      <c r="K7299">
        <f>HYPERLINK("CSG4.html#group54E4", "54E⁴"), =HYPERLINK("CSG7.html#group81A7", "81A⁷")</f>
        <v/>
      </c>
      <c r="L7299" t="inlineStr"/>
      <c r="M7299">
        <f>HYPERLINK("CSG0.html#group3B0", "3B⁰"), =HYPERLINK("CSG1.html#group27A1", "27A¹"), =HYPERLINK("CSG0.html#group18E0", "18E⁰"), =HYPERLINK("CSG0.html#group6F0", "6F⁰"), =HYPERLINK("CSG0.html#group9B0", "9B⁰"), =HYPERLINK("CSG0.html#group2B0", "2B⁰"), =HYPERLINK("CSG7.html#group81A7", "81A⁷"), =HYPERLINK("CSG0.html#group1A0", "1A⁰"), =HYPERLINK("CSG4.html#group54E4", "54E⁴")</f>
        <v/>
      </c>
      <c r="N7299" t="inlineStr"/>
    </row>
    <row r="7300">
      <c r="A7300" t="inlineStr">
        <is>
          <t>162B²²</t>
        </is>
      </c>
      <c r="B7300" t="inlineStr"/>
      <c r="C7300" t="inlineStr">
        <is>
          <t>324</t>
        </is>
      </c>
      <c r="D7300" t="inlineStr">
        <is>
          <t>1</t>
        </is>
      </c>
      <c r="E7300" t="inlineStr">
        <is>
          <t>108</t>
        </is>
      </c>
      <c r="F7300" t="inlineStr">
        <is>
          <t>0</t>
        </is>
      </c>
      <c r="G7300" t="inlineStr">
        <is>
          <t>0</t>
        </is>
      </c>
      <c r="H7300" t="inlineStr">
        <is>
          <t>3³, 6³, 9², 18², 81¹, 162¹</t>
        </is>
      </c>
      <c r="I7300" t="n">
        <v>12</v>
      </c>
      <c r="J7300" t="inlineStr">
        <is>
          <t>1⁶, 2⁶, 6⁶, 18³</t>
        </is>
      </c>
      <c r="K7300">
        <f>HYPERLINK("CSG4.html#group54E4", "54E⁴"), =HYPERLINK("CSG7.html#group81B7", "81B⁷")</f>
        <v/>
      </c>
      <c r="L7300" t="inlineStr"/>
      <c r="M7300">
        <f>HYPERLINK("CSG0.html#group3B0", "3B⁰"), =HYPERLINK("CSG1.html#group27A1", "27A¹"), =HYPERLINK("CSG0.html#group18E0", "18E⁰"), =HYPERLINK("CSG7.html#group81B7", "81B⁷"), =HYPERLINK("CSG0.html#group9B0", "9B⁰"), =HYPERLINK("CSG0.html#group1A0", "1A⁰"), =HYPERLINK("CSG0.html#group2B0", "2B⁰"), =HYPERLINK("CSG0.html#group6F0", "6F⁰"), =HYPERLINK("CSG4.html#group54E4", "54E⁴")</f>
        <v/>
      </c>
      <c r="N7300" t="inlineStr"/>
    </row>
    <row r="7301">
      <c r="A7301" t="inlineStr">
        <is>
          <t>168A²²</t>
        </is>
      </c>
      <c r="B7301" t="inlineStr"/>
      <c r="C7301" t="inlineStr">
        <is>
          <t>288</t>
        </is>
      </c>
      <c r="D7301" t="inlineStr">
        <is>
          <t>1</t>
        </is>
      </c>
      <c r="E7301" t="inlineStr">
        <is>
          <t>24</t>
        </is>
      </c>
      <c r="F7301" t="inlineStr">
        <is>
          <t>0</t>
        </is>
      </c>
      <c r="G7301" t="inlineStr">
        <is>
          <t>0</t>
        </is>
      </c>
      <c r="H7301" t="inlineStr">
        <is>
          <t>6², 24¹, 42², 168¹</t>
        </is>
      </c>
      <c r="I7301" t="n">
        <v>6</v>
      </c>
      <c r="J7301" t="inlineStr">
        <is>
          <t>1⁶, 6³</t>
        </is>
      </c>
      <c r="K7301">
        <f>HYPERLINK("CSG6.html#group56D6", "56D⁶"), =HYPERLINK("CSG10.html#group84B10", "84B¹⁰")</f>
        <v/>
      </c>
      <c r="L7301" t="inlineStr"/>
      <c r="M7301">
        <f>HYPERLINK("CSG0.html#group3A0", "3A⁰"), =HYPERLINK("CSG6.html#group56D6", "56D⁶"), =HYPERLINK("CSG10.html#group84B10", "84B¹⁰"), =HYPERLINK("CSG2.html#group21A2", "21A²"), =HYPERLINK("CSG5.html#group42A5", "42A⁵"), =HYPERLINK("CSG0.html#group7B0", "7B⁰"), =HYPERLINK("CSG2.html#group28D2", "28D²"), =HYPERLINK("CSG1.html#group14C1", "14C¹"), =HYPERLINK("CSG1.html#group12B1", "12B¹"), =HYPERLINK("CSG0.html#group2B0", "2B⁰"), =HYPERLINK("CSG0.html#group4B0", "4B⁰"), =HYPERLINK("CSG0.html#group1A0", "1A⁰"), =HYPERLINK("CSG0.html#group6D0", "6D⁰")</f>
        <v/>
      </c>
      <c r="N7301" t="inlineStr"/>
    </row>
    <row r="7302">
      <c r="A7302" t="inlineStr">
        <is>
          <t>168B²²</t>
        </is>
      </c>
      <c r="B7302" t="inlineStr"/>
      <c r="C7302" t="inlineStr">
        <is>
          <t>288</t>
        </is>
      </c>
      <c r="D7302" t="inlineStr">
        <is>
          <t>1</t>
        </is>
      </c>
      <c r="E7302" t="inlineStr">
        <is>
          <t>48</t>
        </is>
      </c>
      <c r="F7302" t="inlineStr">
        <is>
          <t>0</t>
        </is>
      </c>
      <c r="G7302" t="inlineStr">
        <is>
          <t>0</t>
        </is>
      </c>
      <c r="H7302" t="inlineStr">
        <is>
          <t>6², 24¹, 42², 168¹</t>
        </is>
      </c>
      <c r="I7302" t="n">
        <v>6</v>
      </c>
      <c r="J7302" t="inlineStr">
        <is>
          <t>1⁴, 2⁴, 6², 12²</t>
        </is>
      </c>
      <c r="K7302">
        <f>HYPERLINK("CSG1.html#group24C1", "24C¹"), =HYPERLINK("CSG6.html#group56E6", "56E⁶"), =HYPERLINK("CSG11.html#group84A11", "84A¹¹")</f>
        <v/>
      </c>
      <c r="L7302" t="inlineStr"/>
      <c r="M7302">
        <f>HYPERLINK("CSG0.html#group12C0", "12C⁰"), =HYPERLINK("CSG0.html#group3A0", "3A⁰"), =HYPERLINK("CSG0.html#group8D0", "8D⁰"), =HYPERLINK("CSG0.html#group4C0", "4C⁰"), =HYPERLINK("CSG0.html#group2B0", "2B⁰"), =HYPERLINK("CSG0.html#group1A0", "1A⁰"), =HYPERLINK("CSG2.html#group21A2", "21A²"), =HYPERLINK("CSG5.html#group42A5", "42A⁵"), =HYPERLINK("CSG0.html#group7B0", "7B⁰"), =HYPERLINK("CSG1.html#group14C1", "14C¹"), =HYPERLINK("CSG1.html#group24C1", "24C¹"), =HYPERLINK("CSG11.html#group84A11", "84A¹¹"), =HYPERLINK("CSG3.html#group28C3", "28C³"), =HYPERLINK("CSG6.html#group56E6", "56E⁶"), =HYPERLINK("CSG0.html#group6D0", "6D⁰")</f>
        <v/>
      </c>
      <c r="N7302" t="inlineStr"/>
    </row>
    <row r="7303">
      <c r="A7303" t="inlineStr">
        <is>
          <t>168C²²</t>
        </is>
      </c>
      <c r="B7303" t="inlineStr"/>
      <c r="C7303" t="inlineStr">
        <is>
          <t>288</t>
        </is>
      </c>
      <c r="D7303" t="inlineStr">
        <is>
          <t>1</t>
        </is>
      </c>
      <c r="E7303" t="inlineStr">
        <is>
          <t>72</t>
        </is>
      </c>
      <c r="F7303" t="inlineStr">
        <is>
          <t>0</t>
        </is>
      </c>
      <c r="G7303" t="inlineStr">
        <is>
          <t>0</t>
        </is>
      </c>
      <c r="H7303" t="inlineStr">
        <is>
          <t>6², 24¹, 42², 168¹</t>
        </is>
      </c>
      <c r="I7303" t="n">
        <v>6</v>
      </c>
      <c r="J7303" t="inlineStr">
        <is>
          <t>1⁶, 2⁶, 6³, 12³</t>
        </is>
      </c>
      <c r="K7303">
        <f>HYPERLINK("CSG10.html#group84B10", "84B¹⁰")</f>
        <v/>
      </c>
      <c r="L7303" t="inlineStr"/>
      <c r="M7303">
        <f>HYPERLINK("CSG0.html#group3A0", "3A⁰"), =HYPERLINK("CSG2.html#group21A2", "21A²"), =HYPERLINK("CSG10.html#group84B10", "84B¹⁰"), =HYPERLINK("CSG5.html#group42A5", "42A⁵"), =HYPERLINK("CSG0.html#group7B0", "7B⁰"), =HYPERLINK("CSG2.html#group28D2", "28D²"), =HYPERLINK("CSG1.html#group14C1", "14C¹"), =HYPERLINK("CSG1.html#group12B1", "12B¹"), =HYPERLINK("CSG0.html#group2B0", "2B⁰"), =HYPERLINK("CSG0.html#group4B0", "4B⁰"), =HYPERLINK("CSG0.html#group1A0", "1A⁰"), =HYPERLINK("CSG0.html#group6D0", "6D⁰")</f>
        <v/>
      </c>
      <c r="N7303" t="inlineStr"/>
    </row>
    <row r="7304">
      <c r="A7304" t="inlineStr">
        <is>
          <t>168D²²</t>
        </is>
      </c>
      <c r="B7304" t="inlineStr"/>
      <c r="C7304" t="inlineStr">
        <is>
          <t>288</t>
        </is>
      </c>
      <c r="D7304" t="inlineStr">
        <is>
          <t>1</t>
        </is>
      </c>
      <c r="E7304" t="inlineStr">
        <is>
          <t>144</t>
        </is>
      </c>
      <c r="F7304" t="inlineStr">
        <is>
          <t>0</t>
        </is>
      </c>
      <c r="G7304" t="inlineStr">
        <is>
          <t>0</t>
        </is>
      </c>
      <c r="H7304" t="inlineStr">
        <is>
          <t>6², 24¹, 42², 168¹</t>
        </is>
      </c>
      <c r="I7304" t="n">
        <v>6</v>
      </c>
      <c r="J7304" t="inlineStr">
        <is>
          <t>1⁴, 2⁸, 4⁴, 6², 12⁴, 24²</t>
        </is>
      </c>
      <c r="K7304">
        <f>HYPERLINK("CSG1.html#group24E1", "24E¹"), =HYPERLINK("CSG11.html#group84A11", "84A¹¹")</f>
        <v/>
      </c>
      <c r="L7304" t="inlineStr"/>
      <c r="M7304">
        <f>HYPERLINK("CSG1.html#group24E1", "24E¹"), =HYPERLINK("CSG3.html#group28C3", "28C³"), =HYPERLINK("CSG0.html#group12C0", "12C⁰"), =HYPERLINK("CSG0.html#group4C0", "4C⁰"), =HYPERLINK("CSG0.html#group2B0", "2B⁰"), =HYPERLINK("CSG0.html#group1A0", "1A⁰"), =HYPERLINK("CSG2.html#group21A2", "21A²"), =HYPERLINK("CSG5.html#group42A5", "42A⁵"), =HYPERLINK("CSG0.html#group7B0", "7B⁰"), =HYPERLINK("CSG1.html#group14C1", "14C¹"), =HYPERLINK("CSG11.html#group84A11", "84A¹¹"), =HYPERLINK("CSG0.html#group3A0", "3A⁰"), =HYPERLINK("CSG0.html#group6D0", "6D⁰")</f>
        <v/>
      </c>
      <c r="N7304" t="inlineStr"/>
    </row>
    <row r="7305">
      <c r="A7305" t="inlineStr">
        <is>
          <t>168E²²</t>
        </is>
      </c>
      <c r="B7305" t="inlineStr"/>
      <c r="C7305" t="inlineStr">
        <is>
          <t>288</t>
        </is>
      </c>
      <c r="D7305" t="inlineStr">
        <is>
          <t>2</t>
        </is>
      </c>
      <c r="E7305" t="inlineStr">
        <is>
          <t>24</t>
        </is>
      </c>
      <c r="F7305" t="inlineStr">
        <is>
          <t>0</t>
        </is>
      </c>
      <c r="G7305" t="inlineStr">
        <is>
          <t>0</t>
        </is>
      </c>
      <c r="H7305" t="inlineStr">
        <is>
          <t>6², 24¹, 42², 168¹</t>
        </is>
      </c>
      <c r="I7305" t="n">
        <v>6</v>
      </c>
      <c r="J7305" t="inlineStr">
        <is>
          <t>2⁶, 12³</t>
        </is>
      </c>
      <c r="K7305">
        <f>HYPERLINK("CSG6.html#group56D6", "56D⁶"), =HYPERLINK("CSG10.html#group84D10", "84D¹⁰")</f>
        <v/>
      </c>
      <c r="L7305" t="inlineStr"/>
      <c r="M7305">
        <f>HYPERLINK("CSG6.html#group56D6", "56D⁶"), =HYPERLINK("CSG5.html#group42B5", "42B⁵"), =HYPERLINK("CSG0.html#group7B0", "7B⁰"), =HYPERLINK("CSG2.html#group28D2", "28D²"), =HYPERLINK("CSG1.html#group14C1", "14C¹"), =HYPERLINK("CSG0.html#group2B0", "2B⁰"), =HYPERLINK("CSG0.html#group4B0", "4B⁰"), =HYPERLINK("CSG10.html#group84D10", "84D¹⁰"), =HYPERLINK("CSG0.html#group1A0", "1A⁰"), =HYPERLINK("CSG1.html#group21A1", "21A¹")</f>
        <v/>
      </c>
      <c r="N7305" t="inlineStr"/>
    </row>
    <row r="7306">
      <c r="A7306" t="inlineStr">
        <is>
          <t>168F²²</t>
        </is>
      </c>
      <c r="B7306" t="inlineStr"/>
      <c r="C7306" t="inlineStr">
        <is>
          <t>288</t>
        </is>
      </c>
      <c r="D7306" t="inlineStr">
        <is>
          <t>2</t>
        </is>
      </c>
      <c r="E7306" t="inlineStr">
        <is>
          <t>48</t>
        </is>
      </c>
      <c r="F7306" t="inlineStr">
        <is>
          <t>0</t>
        </is>
      </c>
      <c r="G7306" t="inlineStr">
        <is>
          <t>0</t>
        </is>
      </c>
      <c r="H7306" t="inlineStr">
        <is>
          <t>6², 24¹, 42², 168¹</t>
        </is>
      </c>
      <c r="I7306" t="n">
        <v>6</v>
      </c>
      <c r="J7306" t="inlineStr">
        <is>
          <t>2⁴, 4⁴, 12², 24²</t>
        </is>
      </c>
      <c r="K7306">
        <f>HYPERLINK("CSG6.html#group56E6", "56E⁶"), =HYPERLINK("CSG11.html#group84C11", "84C¹¹")</f>
        <v/>
      </c>
      <c r="L7306" t="inlineStr"/>
      <c r="M7306">
        <f>HYPERLINK("CSG11.html#group84C11", "84C¹¹"), =HYPERLINK("CSG5.html#group42B5", "42B⁵"), =HYPERLINK("CSG0.html#group8D0", "8D⁰"), =HYPERLINK("CSG0.html#group7B0", "7B⁰"), =HYPERLINK("CSG0.html#group4C0", "4C⁰"), =HYPERLINK("CSG1.html#group14C1", "14C¹"), =HYPERLINK("CSG0.html#group1A0", "1A⁰"), =HYPERLINK("CSG0.html#group2B0", "2B⁰"), =HYPERLINK("CSG3.html#group28C3", "28C³"), =HYPERLINK("CSG6.html#group56E6", "56E⁶"), =HYPERLINK("CSG1.html#group21A1", "21A¹")</f>
        <v/>
      </c>
      <c r="N7306" t="inlineStr"/>
    </row>
    <row r="7307">
      <c r="A7307" t="inlineStr">
        <is>
          <t>168G²²</t>
        </is>
      </c>
      <c r="B7307" t="inlineStr"/>
      <c r="C7307" t="inlineStr">
        <is>
          <t>336</t>
        </is>
      </c>
      <c r="D7307" t="inlineStr">
        <is>
          <t>2</t>
        </is>
      </c>
      <c r="E7307" t="inlineStr">
        <is>
          <t>28</t>
        </is>
      </c>
      <c r="F7307" t="inlineStr">
        <is>
          <t>24</t>
        </is>
      </c>
      <c r="G7307" t="inlineStr">
        <is>
          <t>0</t>
        </is>
      </c>
      <c r="H7307" t="inlineStr">
        <is>
          <t>168²</t>
        </is>
      </c>
      <c r="I7307" t="n">
        <v>2</v>
      </c>
      <c r="J7307" t="inlineStr">
        <is>
          <t>8², 24⁴</t>
        </is>
      </c>
      <c r="K7307">
        <f>HYPERLINK("CSG6.html#group56F6", "56F⁶"), =HYPERLINK("CSG8.html#group84H8", "84H⁸"), =HYPERLINK("CSG10.html#group168A10", "168A¹⁰"), =HYPERLINK("CSG10.html#group168C10", "168C¹⁰")</f>
        <v/>
      </c>
      <c r="L7307" t="inlineStr"/>
      <c r="M7307">
        <f>HYPERLINK("CSG2.html#group28E2", "28E²"), =HYPERLINK("CSG0.html#group14A0", "14A⁰"), =HYPERLINK("CSG1.html#group42A1", "42A¹"), =HYPERLINK("CSG0.html#group8A0", "8A⁰"), =HYPERLINK("CSG0.html#group21A0", "21A⁰"), =HYPERLINK("CSG0.html#group1A0", "1A⁰"), =HYPERLINK("CSG3.html#group84A3", "84A³"), =HYPERLINK("CSG0.html#group12A0", "12A⁰"), =HYPERLINK("CSG10.html#group168C10", "168C¹⁰"), =HYPERLINK("CSG8.html#group84H8", "84H⁸"), =HYPERLINK("CSG1.html#group24A1", "24A¹"), =HYPERLINK("CSG0.html#group4A0", "4A⁰"), =HYPERLINK("CSG10.html#group168A10", "168A¹⁰"), =HYPERLINK("CSG3.html#group56C3", "56C³"), =HYPERLINK("CSG0.html#group3A0", "3A⁰"), =HYPERLINK("CSG1.html#group28A1", "28A¹"), =HYPERLINK("CSG6.html#group56F6", "56F⁶"), =HYPERLINK("CSG0.html#group7A0", "7A⁰"), =HYPERLINK("CSG3.html#group56A3", "56A³")</f>
        <v/>
      </c>
      <c r="N7307" t="inlineStr"/>
    </row>
    <row r="7308">
      <c r="A7308" t="inlineStr">
        <is>
          <t>168H²²</t>
        </is>
      </c>
      <c r="B7308" t="inlineStr"/>
      <c r="C7308" t="inlineStr">
        <is>
          <t>336</t>
        </is>
      </c>
      <c r="D7308" t="inlineStr">
        <is>
          <t>2</t>
        </is>
      </c>
      <c r="E7308" t="inlineStr">
        <is>
          <t>28</t>
        </is>
      </c>
      <c r="F7308" t="inlineStr">
        <is>
          <t>24</t>
        </is>
      </c>
      <c r="G7308" t="inlineStr">
        <is>
          <t>0</t>
        </is>
      </c>
      <c r="H7308" t="inlineStr">
        <is>
          <t>168²</t>
        </is>
      </c>
      <c r="I7308" t="n">
        <v>2</v>
      </c>
      <c r="J7308" t="inlineStr">
        <is>
          <t>8², 24⁴</t>
        </is>
      </c>
      <c r="K7308">
        <f>HYPERLINK("CSG6.html#group56G6", "56G⁶"), =HYPERLINK("CSG8.html#group84H8", "84H⁸"), =HYPERLINK("CSG10.html#group168B10", "168B¹⁰"), =HYPERLINK("CSG10.html#group168D10", "168D¹⁰")</f>
        <v/>
      </c>
      <c r="L7308" t="inlineStr"/>
      <c r="M7308">
        <f>HYPERLINK("CSG2.html#group28E2", "28E²"), =HYPERLINK("CSG0.html#group14A0", "14A⁰"), =HYPERLINK("CSG3.html#group56D3", "56D³"), =HYPERLINK("CSG3.html#group56B3", "56B³"), =HYPERLINK("CSG1.html#group42A1", "42A¹"), =HYPERLINK("CSG0.html#group8A0", "8A⁰"), =HYPERLINK("CSG0.html#group21A0", "21A⁰"), =HYPERLINK("CSG10.html#group168B10", "168B¹⁰"), =HYPERLINK("CSG0.html#group1A0", "1A⁰"), =HYPERLINK("CSG6.html#group56G6", "56G⁶"), =HYPERLINK("CSG3.html#group84A3", "84A³"), =HYPERLINK("CSG0.html#group12A0", "12A⁰"), =HYPERLINK("CSG1.html#group24A1", "24A¹"), =HYPERLINK("CSG8.html#group84H8", "84H⁸"), =HYPERLINK("CSG0.html#group4A0", "4A⁰"), =HYPERLINK("CSG10.html#group168D10", "168D¹⁰"), =HYPERLINK("CSG0.html#group3A0", "3A⁰"), =HYPERLINK("CSG1.html#group28A1", "28A¹"), =HYPERLINK("CSG0.html#group7A0", "7A⁰")</f>
        <v/>
      </c>
      <c r="N7308" t="inlineStr"/>
    </row>
    <row r="7309">
      <c r="A7309" t="inlineStr">
        <is>
          <t>168I²²</t>
        </is>
      </c>
      <c r="B7309" t="inlineStr"/>
      <c r="C7309" t="inlineStr">
        <is>
          <t>336</t>
        </is>
      </c>
      <c r="D7309" t="inlineStr">
        <is>
          <t>2</t>
        </is>
      </c>
      <c r="E7309" t="inlineStr">
        <is>
          <t>84</t>
        </is>
      </c>
      <c r="F7309" t="inlineStr">
        <is>
          <t>24</t>
        </is>
      </c>
      <c r="G7309" t="inlineStr">
        <is>
          <t>0</t>
        </is>
      </c>
      <c r="H7309" t="inlineStr">
        <is>
          <t>168²</t>
        </is>
      </c>
      <c r="I7309" t="n">
        <v>2</v>
      </c>
      <c r="J7309" t="inlineStr">
        <is>
          <t>8², 16², 24⁴, 48⁴</t>
        </is>
      </c>
      <c r="K7309">
        <f>HYPERLINK("CSG8.html#group84H8", "84H⁸"), =HYPERLINK("CSG10.html#group168E10", "168E¹⁰"), =HYPERLINK("CSG10.html#group168G10", "168G¹⁰")</f>
        <v/>
      </c>
      <c r="L7309" t="inlineStr"/>
      <c r="M7309">
        <f>HYPERLINK("CSG2.html#group28E2", "28E²"), =HYPERLINK("CSG0.html#group14A0", "14A⁰"), =HYPERLINK("CSG1.html#group42A1", "42A¹"), =HYPERLINK("CSG0.html#group21A0", "21A⁰"), =HYPERLINK("CSG1.html#group24B1", "24B¹"), =HYPERLINK("CSG0.html#group1A0", "1A⁰"), =HYPERLINK("CSG10.html#group168G10", "168G¹⁰"), =HYPERLINK("CSG3.html#group84A3", "84A³"), =HYPERLINK("CSG10.html#group168E10", "168E¹⁰"), =HYPERLINK("CSG0.html#group12A0", "12A⁰"), =HYPERLINK("CSG8.html#group84H8", "84H⁸"), =HYPERLINK("CSG0.html#group4A0", "4A⁰"), =HYPERLINK("CSG0.html#group3A0", "3A⁰"), =HYPERLINK("CSG1.html#group28A1", "28A¹"), =HYPERLINK("CSG0.html#group7A0", "7A⁰")</f>
        <v/>
      </c>
      <c r="N7309" t="inlineStr"/>
    </row>
    <row r="7310">
      <c r="A7310" t="inlineStr">
        <is>
          <t>168J²²</t>
        </is>
      </c>
      <c r="B7310" t="inlineStr"/>
      <c r="C7310" t="inlineStr">
        <is>
          <t>336</t>
        </is>
      </c>
      <c r="D7310" t="inlineStr">
        <is>
          <t>2</t>
        </is>
      </c>
      <c r="E7310" t="inlineStr">
        <is>
          <t>84</t>
        </is>
      </c>
      <c r="F7310" t="inlineStr">
        <is>
          <t>24</t>
        </is>
      </c>
      <c r="G7310" t="inlineStr">
        <is>
          <t>0</t>
        </is>
      </c>
      <c r="H7310" t="inlineStr">
        <is>
          <t>168²</t>
        </is>
      </c>
      <c r="I7310" t="n">
        <v>2</v>
      </c>
      <c r="J7310" t="inlineStr">
        <is>
          <t>8², 16², 24⁴, 48⁴</t>
        </is>
      </c>
      <c r="K7310">
        <f>HYPERLINK("CSG8.html#group84H8", "84H⁸"), =HYPERLINK("CSG10.html#group168F10", "168F¹⁰"), =HYPERLINK("CSG10.html#group168H10", "168H¹⁰")</f>
        <v/>
      </c>
      <c r="L7310" t="inlineStr"/>
      <c r="M7310">
        <f>HYPERLINK("CSG2.html#group28E2", "28E²"), =HYPERLINK("CSG0.html#group14A0", "14A⁰"), =HYPERLINK("CSG1.html#group42A1", "42A¹"), =HYPERLINK("CSG0.html#group21A0", "21A⁰"), =HYPERLINK("CSG1.html#group24B1", "24B¹"), =HYPERLINK("CSG0.html#group1A0", "1A⁰"), =HYPERLINK("CSG10.html#group168F10", "168F¹⁰"), =HYPERLINK("CSG3.html#group84A3", "84A³"), =HYPERLINK("CSG10.html#group168H10", "168H¹⁰"), =HYPERLINK("CSG0.html#group12A0", "12A⁰"), =HYPERLINK("CSG8.html#group84H8", "84H⁸"), =HYPERLINK("CSG0.html#group4A0", "4A⁰"), =HYPERLINK("CSG0.html#group3A0", "3A⁰"), =HYPERLINK("CSG1.html#group28A1", "28A¹"), =HYPERLINK("CSG0.html#group7A0", "7A⁰")</f>
        <v/>
      </c>
      <c r="N7310" t="inlineStr"/>
    </row>
    <row r="7311">
      <c r="A7311" t="inlineStr">
        <is>
          <t>168K²²</t>
        </is>
      </c>
      <c r="B7311" t="inlineStr"/>
      <c r="C7311" t="inlineStr">
        <is>
          <t>336</t>
        </is>
      </c>
      <c r="D7311" t="inlineStr">
        <is>
          <t>2</t>
        </is>
      </c>
      <c r="E7311" t="inlineStr">
        <is>
          <t>84</t>
        </is>
      </c>
      <c r="F7311" t="inlineStr">
        <is>
          <t>24</t>
        </is>
      </c>
      <c r="G7311" t="inlineStr">
        <is>
          <t>0</t>
        </is>
      </c>
      <c r="H7311" t="inlineStr">
        <is>
          <t>168²</t>
        </is>
      </c>
      <c r="I7311" t="n">
        <v>2</v>
      </c>
      <c r="J7311" t="inlineStr">
        <is>
          <t>8², 16², 24⁴, 48⁴</t>
        </is>
      </c>
      <c r="K7311">
        <f>HYPERLINK("CSG8.html#group84I8", "84I⁸"), =HYPERLINK("CSG10.html#group168A10", "168A¹⁰"), =HYPERLINK("CSG10.html#group168E10", "168E¹⁰")</f>
        <v/>
      </c>
      <c r="L7311" t="inlineStr"/>
      <c r="M7311">
        <f>HYPERLINK("CSG0.html#group6B0", "6B⁰"), =HYPERLINK("CSG8.html#group84I8", "84I⁸"), =HYPERLINK("CSG0.html#group12F0", "12F⁰"), =HYPERLINK("CSG0.html#group21A0", "21A⁰"), =HYPERLINK("CSG0.html#group1A0", "1A⁰"), =HYPERLINK("CSG3.html#group84A3", "84A³"), =HYPERLINK("CSG10.html#group168E10", "168E¹⁰"), =HYPERLINK("CSG0.html#group12A0", "12A⁰"), =HYPERLINK("CSG0.html#group4A0", "4A⁰"), =HYPERLINK("CSG10.html#group168A10", "168A¹⁰"), =HYPERLINK("CSG1.html#group42B1", "42B¹"), =HYPERLINK("CSG0.html#group3A0", "3A⁰"), =HYPERLINK("CSG1.html#group28A1", "28A¹"), =HYPERLINK("CSG0.html#group7A0", "7A⁰"), =HYPERLINK("CSG3.html#group56A3", "56A³")</f>
        <v/>
      </c>
      <c r="N7311" t="inlineStr"/>
    </row>
    <row r="7312">
      <c r="A7312" t="inlineStr">
        <is>
          <t>168L²²</t>
        </is>
      </c>
      <c r="B7312" t="inlineStr"/>
      <c r="C7312" t="inlineStr">
        <is>
          <t>336</t>
        </is>
      </c>
      <c r="D7312" t="inlineStr">
        <is>
          <t>2</t>
        </is>
      </c>
      <c r="E7312" t="inlineStr">
        <is>
          <t>84</t>
        </is>
      </c>
      <c r="F7312" t="inlineStr">
        <is>
          <t>24</t>
        </is>
      </c>
      <c r="G7312" t="inlineStr">
        <is>
          <t>0</t>
        </is>
      </c>
      <c r="H7312" t="inlineStr">
        <is>
          <t>168²</t>
        </is>
      </c>
      <c r="I7312" t="n">
        <v>2</v>
      </c>
      <c r="J7312" t="inlineStr">
        <is>
          <t>8², 16², 24⁴, 48⁴</t>
        </is>
      </c>
      <c r="K7312">
        <f>HYPERLINK("CSG8.html#group84I8", "84I⁸"), =HYPERLINK("CSG10.html#group168B10", "168B¹⁰"), =HYPERLINK("CSG10.html#group168F10", "168F¹⁰")</f>
        <v/>
      </c>
      <c r="L7312" t="inlineStr"/>
      <c r="M7312">
        <f>HYPERLINK("CSG3.html#group56B3", "56B³"), =HYPERLINK("CSG0.html#group6B0", "6B⁰"), =HYPERLINK("CSG8.html#group84I8", "84I⁸"), =HYPERLINK("CSG0.html#group12F0", "12F⁰"), =HYPERLINK("CSG0.html#group21A0", "21A⁰"), =HYPERLINK("CSG10.html#group168B10", "168B¹⁰"), =HYPERLINK("CSG0.html#group1A0", "1A⁰"), =HYPERLINK("CSG10.html#group168F10", "168F¹⁰"), =HYPERLINK("CSG3.html#group84A3", "84A³"), =HYPERLINK("CSG0.html#group12A0", "12A⁰"), =HYPERLINK("CSG0.html#group4A0", "4A⁰"), =HYPERLINK("CSG1.html#group42B1", "42B¹"), =HYPERLINK("CSG0.html#group3A0", "3A⁰"), =HYPERLINK("CSG1.html#group28A1", "28A¹"), =HYPERLINK("CSG0.html#group7A0", "7A⁰")</f>
        <v/>
      </c>
      <c r="N7312" t="inlineStr"/>
    </row>
    <row r="7313">
      <c r="A7313" t="inlineStr">
        <is>
          <t>168M²²</t>
        </is>
      </c>
      <c r="B7313" t="inlineStr"/>
      <c r="C7313" t="inlineStr">
        <is>
          <t>336</t>
        </is>
      </c>
      <c r="D7313" t="inlineStr">
        <is>
          <t>2</t>
        </is>
      </c>
      <c r="E7313" t="inlineStr">
        <is>
          <t>84</t>
        </is>
      </c>
      <c r="F7313" t="inlineStr">
        <is>
          <t>24</t>
        </is>
      </c>
      <c r="G7313" t="inlineStr">
        <is>
          <t>0</t>
        </is>
      </c>
      <c r="H7313" t="inlineStr">
        <is>
          <t>168²</t>
        </is>
      </c>
      <c r="I7313" t="n">
        <v>2</v>
      </c>
      <c r="J7313" t="inlineStr">
        <is>
          <t>8², 16², 24⁴, 48⁴</t>
        </is>
      </c>
      <c r="K7313">
        <f>HYPERLINK("CSG8.html#group84I8", "84I⁸"), =HYPERLINK("CSG10.html#group168E10", "168E¹⁰"), =HYPERLINK("CSG10.html#group168F10", "168F¹⁰")</f>
        <v/>
      </c>
      <c r="L7313" t="inlineStr"/>
      <c r="M7313">
        <f>HYPERLINK("CSG10.html#group168F10", "168F¹⁰"), =HYPERLINK("CSG3.html#group84A3", "84A³"), =HYPERLINK("CSG10.html#group168E10", "168E¹⁰"), =HYPERLINK("CSG0.html#group12A0", "12A⁰"), =HYPERLINK("CSG0.html#group6B0", "6B⁰"), =HYPERLINK("CSG0.html#group4A0", "4A⁰"), =HYPERLINK("CSG8.html#group84I8", "84I⁸"), =HYPERLINK("CSG0.html#group12F0", "12F⁰"), =HYPERLINK("CSG0.html#group21A0", "21A⁰"), =HYPERLINK("CSG1.html#group42B1", "42B¹"), =HYPERLINK("CSG0.html#group3A0", "3A⁰"), =HYPERLINK("CSG1.html#group28A1", "28A¹"), =HYPERLINK("CSG0.html#group1A0", "1A⁰"), =HYPERLINK("CSG0.html#group7A0", "7A⁰")</f>
        <v/>
      </c>
      <c r="N7313" t="inlineStr"/>
    </row>
    <row r="7314">
      <c r="A7314" t="inlineStr">
        <is>
          <t>168N²²</t>
        </is>
      </c>
      <c r="B7314" t="inlineStr"/>
      <c r="C7314" t="inlineStr">
        <is>
          <t>336</t>
        </is>
      </c>
      <c r="D7314" t="inlineStr">
        <is>
          <t>2</t>
        </is>
      </c>
      <c r="E7314" t="inlineStr">
        <is>
          <t>84</t>
        </is>
      </c>
      <c r="F7314" t="inlineStr">
        <is>
          <t>24</t>
        </is>
      </c>
      <c r="G7314" t="inlineStr">
        <is>
          <t>0</t>
        </is>
      </c>
      <c r="H7314" t="inlineStr">
        <is>
          <t>168²</t>
        </is>
      </c>
      <c r="I7314" t="n">
        <v>2</v>
      </c>
      <c r="J7314" t="inlineStr">
        <is>
          <t>8², 16², 24⁴, 48⁴</t>
        </is>
      </c>
      <c r="K7314">
        <f>HYPERLINK("CSG8.html#group84I8", "84I⁸"), =HYPERLINK("CSG10.html#group168E10", "168E¹⁰"), =HYPERLINK("CSG10.html#group168F10", "168F¹⁰")</f>
        <v/>
      </c>
      <c r="L7314" t="inlineStr"/>
      <c r="M7314">
        <f>HYPERLINK("CSG10.html#group168F10", "168F¹⁰"), =HYPERLINK("CSG3.html#group84A3", "84A³"), =HYPERLINK("CSG10.html#group168E10", "168E¹⁰"), =HYPERLINK("CSG0.html#group12A0", "12A⁰"), =HYPERLINK("CSG0.html#group6B0", "6B⁰"), =HYPERLINK("CSG0.html#group4A0", "4A⁰"), =HYPERLINK("CSG8.html#group84I8", "84I⁸"), =HYPERLINK("CSG0.html#group12F0", "12F⁰"), =HYPERLINK("CSG0.html#group21A0", "21A⁰"), =HYPERLINK("CSG1.html#group42B1", "42B¹"), =HYPERLINK("CSG0.html#group3A0", "3A⁰"), =HYPERLINK("CSG1.html#group28A1", "28A¹"), =HYPERLINK("CSG0.html#group1A0", "1A⁰"), =HYPERLINK("CSG0.html#group7A0", "7A⁰")</f>
        <v/>
      </c>
      <c r="N7314" t="inlineStr"/>
    </row>
    <row r="7315">
      <c r="A7315" t="inlineStr">
        <is>
          <t>168O²²</t>
        </is>
      </c>
      <c r="B7315" t="inlineStr"/>
      <c r="C7315" t="inlineStr">
        <is>
          <t>336</t>
        </is>
      </c>
      <c r="D7315" t="inlineStr">
        <is>
          <t>2</t>
        </is>
      </c>
      <c r="E7315" t="inlineStr">
        <is>
          <t>84</t>
        </is>
      </c>
      <c r="F7315" t="inlineStr">
        <is>
          <t>24</t>
        </is>
      </c>
      <c r="G7315" t="inlineStr">
        <is>
          <t>0</t>
        </is>
      </c>
      <c r="H7315" t="inlineStr">
        <is>
          <t>168²</t>
        </is>
      </c>
      <c r="I7315" t="n">
        <v>2</v>
      </c>
      <c r="J7315" t="inlineStr">
        <is>
          <t>8², 16², 24⁴, 48⁴</t>
        </is>
      </c>
      <c r="K7315">
        <f>HYPERLINK("CSG2.html#group24G2", "24G²"), =HYPERLINK("CSG8.html#group84I8", "84I⁸"), =HYPERLINK("CSG10.html#group168G10", "168G¹⁰"), =HYPERLINK("CSG10.html#group168H10", "168H¹⁰")</f>
        <v/>
      </c>
      <c r="L7315" t="inlineStr"/>
      <c r="M7315">
        <f>HYPERLINK("CSG0.html#group6B0", "6B⁰"), =HYPERLINK("CSG8.html#group84I8", "84I⁸"), =HYPERLINK("CSG0.html#group12F0", "12F⁰"), =HYPERLINK("CSG0.html#group21A0", "21A⁰"), =HYPERLINK("CSG1.html#group24B1", "24B¹"), =HYPERLINK("CSG0.html#group1A0", "1A⁰"), =HYPERLINK("CSG10.html#group168G10", "168G¹⁰"), =HYPERLINK("CSG3.html#group84A3", "84A³"), =HYPERLINK("CSG10.html#group168H10", "168H¹⁰"), =HYPERLINK("CSG0.html#group12A0", "12A⁰"), =HYPERLINK("CSG0.html#group4A0", "4A⁰"), =HYPERLINK("CSG1.html#group42B1", "42B¹"), =HYPERLINK("CSG0.html#group3A0", "3A⁰"), =HYPERLINK("CSG1.html#group28A1", "28A¹"), =HYPERLINK("CSG2.html#group24G2", "24G²"), =HYPERLINK("CSG0.html#group7A0", "7A⁰")</f>
        <v/>
      </c>
      <c r="N7315" t="inlineStr"/>
    </row>
    <row r="7316">
      <c r="A7316" t="inlineStr">
        <is>
          <t>168P²²</t>
        </is>
      </c>
      <c r="B7316" t="inlineStr"/>
      <c r="C7316" t="inlineStr">
        <is>
          <t>336</t>
        </is>
      </c>
      <c r="D7316" t="inlineStr">
        <is>
          <t>2</t>
        </is>
      </c>
      <c r="E7316" t="inlineStr">
        <is>
          <t>84</t>
        </is>
      </c>
      <c r="F7316" t="inlineStr">
        <is>
          <t>24</t>
        </is>
      </c>
      <c r="G7316" t="inlineStr">
        <is>
          <t>0</t>
        </is>
      </c>
      <c r="H7316" t="inlineStr">
        <is>
          <t>168²</t>
        </is>
      </c>
      <c r="I7316" t="n">
        <v>2</v>
      </c>
      <c r="J7316" t="inlineStr">
        <is>
          <t>8², 16², 24⁴, 48⁴</t>
        </is>
      </c>
      <c r="K7316">
        <f>HYPERLINK("CSG2.html#group24H2", "24H²"), =HYPERLINK("CSG8.html#group84I8", "84I⁸"), =HYPERLINK("CSG10.html#group168G10", "168G¹⁰"), =HYPERLINK("CSG10.html#group168H10", "168H¹⁰")</f>
        <v/>
      </c>
      <c r="L7316" t="inlineStr"/>
      <c r="M7316">
        <f>HYPERLINK("CSG0.html#group6B0", "6B⁰"), =HYPERLINK("CSG8.html#group84I8", "84I⁸"), =HYPERLINK("CSG0.html#group12F0", "12F⁰"), =HYPERLINK("CSG0.html#group21A0", "21A⁰"), =HYPERLINK("CSG1.html#group24B1", "24B¹"), =HYPERLINK("CSG0.html#group1A0", "1A⁰"), =HYPERLINK("CSG10.html#group168G10", "168G¹⁰"), =HYPERLINK("CSG3.html#group84A3", "84A³"), =HYPERLINK("CSG10.html#group168H10", "168H¹⁰"), =HYPERLINK("CSG0.html#group12A0", "12A⁰"), =HYPERLINK("CSG0.html#group4A0", "4A⁰"), =HYPERLINK("CSG1.html#group42B1", "42B¹"), =HYPERLINK("CSG0.html#group3A0", "3A⁰"), =HYPERLINK("CSG1.html#group28A1", "28A¹"), =HYPERLINK("CSG2.html#group24H2", "24H²"), =HYPERLINK("CSG0.html#group7A0", "7A⁰")</f>
        <v/>
      </c>
      <c r="N7316" t="inlineStr"/>
    </row>
    <row r="7317">
      <c r="A7317" t="inlineStr">
        <is>
          <t>168Q²²</t>
        </is>
      </c>
      <c r="B7317" t="inlineStr"/>
      <c r="C7317" t="inlineStr">
        <is>
          <t>336</t>
        </is>
      </c>
      <c r="D7317" t="inlineStr">
        <is>
          <t>2</t>
        </is>
      </c>
      <c r="E7317" t="inlineStr">
        <is>
          <t>84</t>
        </is>
      </c>
      <c r="F7317" t="inlineStr">
        <is>
          <t>24</t>
        </is>
      </c>
      <c r="G7317" t="inlineStr">
        <is>
          <t>0</t>
        </is>
      </c>
      <c r="H7317" t="inlineStr">
        <is>
          <t>168²</t>
        </is>
      </c>
      <c r="I7317" t="n">
        <v>2</v>
      </c>
      <c r="J7317" t="inlineStr">
        <is>
          <t>8², 16², 24⁴, 48⁴</t>
        </is>
      </c>
      <c r="K7317">
        <f>HYPERLINK("CSG2.html#group24K2", "24K²"), =HYPERLINK("CSG8.html#group84I8", "84I⁸"), =HYPERLINK("CSG10.html#group168C10", "168C¹⁰"), =HYPERLINK("CSG10.html#group168G10", "168G¹⁰")</f>
        <v/>
      </c>
      <c r="L7317" t="inlineStr"/>
      <c r="M7317">
        <f>HYPERLINK("CSG0.html#group6B0", "6B⁰"), =HYPERLINK("CSG8.html#group84I8", "84I⁸"), =HYPERLINK("CSG0.html#group8A0", "8A⁰"), =HYPERLINK("CSG0.html#group21A0", "21A⁰"), =HYPERLINK("CSG0.html#group12F0", "12F⁰"), =HYPERLINK("CSG1.html#group24B1", "24B¹"), =HYPERLINK("CSG0.html#group1A0", "1A⁰"), =HYPERLINK("CSG10.html#group168G10", "168G¹⁰"), =HYPERLINK("CSG3.html#group84A3", "84A³"), =HYPERLINK("CSG0.html#group12A0", "12A⁰"), =HYPERLINK("CSG10.html#group168C10", "168C¹⁰"), =HYPERLINK("CSG2.html#group24K2", "24K²"), =HYPERLINK("CSG1.html#group24A1", "24A¹"), =HYPERLINK("CSG0.html#group4A0", "4A⁰"), =HYPERLINK("CSG3.html#group56C3", "56C³"), =HYPERLINK("CSG1.html#group42B1", "42B¹"), =HYPERLINK("CSG0.html#group3A0", "3A⁰"), =HYPERLINK("CSG1.html#group28A1", "28A¹"), =HYPERLINK("CSG0.html#group7A0", "7A⁰")</f>
        <v/>
      </c>
      <c r="N7317" t="inlineStr"/>
    </row>
    <row r="7318">
      <c r="A7318" t="inlineStr">
        <is>
          <t>168R²²</t>
        </is>
      </c>
      <c r="B7318" t="inlineStr"/>
      <c r="C7318" t="inlineStr">
        <is>
          <t>336</t>
        </is>
      </c>
      <c r="D7318" t="inlineStr">
        <is>
          <t>2</t>
        </is>
      </c>
      <c r="E7318" t="inlineStr">
        <is>
          <t>84</t>
        </is>
      </c>
      <c r="F7318" t="inlineStr">
        <is>
          <t>24</t>
        </is>
      </c>
      <c r="G7318" t="inlineStr">
        <is>
          <t>0</t>
        </is>
      </c>
      <c r="H7318" t="inlineStr">
        <is>
          <t>168²</t>
        </is>
      </c>
      <c r="I7318" t="n">
        <v>2</v>
      </c>
      <c r="J7318" t="inlineStr">
        <is>
          <t>8², 16², 24⁴, 48⁴</t>
        </is>
      </c>
      <c r="K7318">
        <f>HYPERLINK("CSG2.html#group24K2", "24K²"), =HYPERLINK("CSG8.html#group84I8", "84I⁸"), =HYPERLINK("CSG10.html#group168D10", "168D¹⁰"), =HYPERLINK("CSG10.html#group168H10", "168H¹⁰")</f>
        <v/>
      </c>
      <c r="L7318" t="inlineStr"/>
      <c r="M7318">
        <f>HYPERLINK("CSG3.html#group56D3", "56D³"), =HYPERLINK("CSG0.html#group6B0", "6B⁰"), =HYPERLINK("CSG8.html#group84I8", "84I⁸"), =HYPERLINK("CSG0.html#group8A0", "8A⁰"), =HYPERLINK("CSG0.html#group21A0", "21A⁰"), =HYPERLINK("CSG0.html#group12F0", "12F⁰"), =HYPERLINK("CSG1.html#group24B1", "24B¹"), =HYPERLINK("CSG0.html#group1A0", "1A⁰"), =HYPERLINK("CSG3.html#group84A3", "84A³"), =HYPERLINK("CSG10.html#group168H10", "168H¹⁰"), =HYPERLINK("CSG2.html#group24K2", "24K²"), =HYPERLINK("CSG1.html#group24A1", "24A¹"), =HYPERLINK("CSG0.html#group12A0", "12A⁰"), =HYPERLINK("CSG0.html#group4A0", "4A⁰"), =HYPERLINK("CSG10.html#group168D10", "168D¹⁰"), =HYPERLINK("CSG1.html#group42B1", "42B¹"), =HYPERLINK("CSG0.html#group3A0", "3A⁰"), =HYPERLINK("CSG1.html#group28A1", "28A¹"), =HYPERLINK("CSG0.html#group7A0", "7A⁰")</f>
        <v/>
      </c>
      <c r="N7318" t="inlineStr"/>
    </row>
    <row r="7319">
      <c r="A7319" t="inlineStr">
        <is>
          <t>176A²²</t>
        </is>
      </c>
      <c r="B7319" t="inlineStr"/>
      <c r="C7319" t="inlineStr">
        <is>
          <t>264</t>
        </is>
      </c>
      <c r="D7319" t="inlineStr">
        <is>
          <t>2</t>
        </is>
      </c>
      <c r="E7319" t="inlineStr">
        <is>
          <t>33</t>
        </is>
      </c>
      <c r="F7319" t="inlineStr">
        <is>
          <t>0</t>
        </is>
      </c>
      <c r="G7319" t="inlineStr">
        <is>
          <t>0</t>
        </is>
      </c>
      <c r="H7319" t="inlineStr">
        <is>
          <t>88¹, 176¹</t>
        </is>
      </c>
      <c r="I7319" t="n">
        <v>2</v>
      </c>
      <c r="J7319" t="inlineStr">
        <is>
          <t>2³, 10⁶</t>
        </is>
      </c>
      <c r="K7319">
        <f>HYPERLINK("CSG2.html#group16A2", "16A²"), =HYPERLINK("CSG8.html#group88B8", "88B⁸")</f>
        <v/>
      </c>
      <c r="L7319" t="inlineStr"/>
      <c r="M7319">
        <f>HYPERLINK("CSG0.html#group11A0", "11A⁰"), =HYPERLINK("CSG2.html#group16A2", "16A²"), =HYPERLINK("CSG4.html#group44C4", "44C⁴"), =HYPERLINK("CSG0.html#group4C0", "4C⁰"), =HYPERLINK("CSG0.html#group8B0", "8B⁰"), =HYPERLINK("CSG0.html#group2B0", "2B⁰"), =HYPERLINK("CSG2.html#group22B2", "22B²"), =HYPERLINK("CSG0.html#group1A0", "1A⁰"), =HYPERLINK("CSG8.html#group88B8", "88B⁸")</f>
        <v/>
      </c>
      <c r="N7319" t="inlineStr"/>
    </row>
    <row r="7320">
      <c r="A7320" t="inlineStr">
        <is>
          <t>176B²²</t>
        </is>
      </c>
      <c r="B7320" t="inlineStr"/>
      <c r="C7320" t="inlineStr">
        <is>
          <t>264</t>
        </is>
      </c>
      <c r="D7320" t="inlineStr">
        <is>
          <t>2</t>
        </is>
      </c>
      <c r="E7320" t="inlineStr">
        <is>
          <t>132</t>
        </is>
      </c>
      <c r="F7320" t="inlineStr">
        <is>
          <t>0</t>
        </is>
      </c>
      <c r="G7320" t="inlineStr">
        <is>
          <t>0</t>
        </is>
      </c>
      <c r="H7320" t="inlineStr">
        <is>
          <t>88¹, 176¹</t>
        </is>
      </c>
      <c r="I7320" t="n">
        <v>2</v>
      </c>
      <c r="J7320" t="inlineStr">
        <is>
          <t>2⁴, 4², 8¹, 10⁸, 20⁴, 40²</t>
        </is>
      </c>
      <c r="K7320">
        <f>HYPERLINK("CSG2.html#group16B2", "16B²"), =HYPERLINK("CSG11.html#group88A11", "88A¹¹")</f>
        <v/>
      </c>
      <c r="L7320" t="inlineStr"/>
      <c r="M7320">
        <f>HYPERLINK("CSG0.html#group11A0", "11A⁰"), =HYPERLINK("CSG2.html#group16B2", "16B²"), =HYPERLINK("CSG1.html#group8A1", "8A¹"), =HYPERLINK("CSG4.html#group44C4", "44C⁴"), =HYPERLINK("CSG11.html#group88A11", "88A¹¹"), =HYPERLINK("CSG0.html#group4C0", "4C⁰"), =HYPERLINK("CSG0.html#group2B0", "2B⁰"), =HYPERLINK("CSG2.html#group22B2", "22B²"), =HYPERLINK("CSG0.html#group1A0", "1A⁰")</f>
        <v/>
      </c>
      <c r="N7320" t="inlineStr"/>
    </row>
    <row r="7321">
      <c r="A7321" t="inlineStr">
        <is>
          <t>176C²²</t>
        </is>
      </c>
      <c r="B7321" t="inlineStr"/>
      <c r="C7321" t="inlineStr">
        <is>
          <t>288</t>
        </is>
      </c>
      <c r="D7321" t="inlineStr">
        <is>
          <t>1</t>
        </is>
      </c>
      <c r="E7321" t="inlineStr">
        <is>
          <t>144</t>
        </is>
      </c>
      <c r="F7321" t="inlineStr">
        <is>
          <t>0</t>
        </is>
      </c>
      <c r="G7321" t="inlineStr">
        <is>
          <t>0</t>
        </is>
      </c>
      <c r="H7321" t="inlineStr">
        <is>
          <t>4², 16¹, 44², 176¹</t>
        </is>
      </c>
      <c r="I7321" t="n">
        <v>6</v>
      </c>
      <c r="J7321" t="inlineStr">
        <is>
          <t>1⁴, 2², 4⁴, 10², 20¹, 40²</t>
        </is>
      </c>
      <c r="K7321">
        <f>HYPERLINK("CSG1.html#group16C1", "16C¹"), =HYPERLINK("CSG10.html#group88C10", "88C¹⁰")</f>
        <v/>
      </c>
      <c r="L7321" t="inlineStr"/>
      <c r="M7321">
        <f>HYPERLINK("CSG0.html#group8D0", "8D⁰"), =HYPERLINK("CSG1.html#group11A1", "11A¹"), =HYPERLINK("CSG1.html#group16C1", "16C¹"), =HYPERLINK("CSG0.html#group4C0", "4C⁰"), =HYPERLINK("CSG5.html#group44B5", "44B⁵"), =HYPERLINK("CSG0.html#group2B0", "2B⁰"), =HYPERLINK("CSG2.html#group22C2", "22C²"), =HYPERLINK("CSG0.html#group1A0", "1A⁰"), =HYPERLINK("CSG10.html#group88C10", "88C¹⁰")</f>
        <v/>
      </c>
      <c r="N7321" t="inlineStr"/>
    </row>
    <row r="7322">
      <c r="A7322" t="inlineStr">
        <is>
          <t>180A²²</t>
        </is>
      </c>
      <c r="B7322" t="inlineStr"/>
      <c r="C7322" t="inlineStr">
        <is>
          <t>270</t>
        </is>
      </c>
      <c r="D7322" t="inlineStr">
        <is>
          <t>1</t>
        </is>
      </c>
      <c r="E7322" t="inlineStr">
        <is>
          <t>135</t>
        </is>
      </c>
      <c r="F7322" t="inlineStr">
        <is>
          <t>0</t>
        </is>
      </c>
      <c r="G7322" t="inlineStr">
        <is>
          <t>0</t>
        </is>
      </c>
      <c r="H7322" t="inlineStr">
        <is>
          <t>45², 180¹</t>
        </is>
      </c>
      <c r="I7322" t="n">
        <v>3</v>
      </c>
      <c r="J7322" t="inlineStr">
        <is>
          <t>1³, 2³, 4³, 6³, 8³, 24³</t>
        </is>
      </c>
      <c r="K7322">
        <f>HYPERLINK("CSG4.html#group36D4", "36D⁴"), =HYPERLINK("CSG7.html#group60A7", "60A⁷"), =HYPERLINK("CSG10.html#group90D10", "90D¹⁰")</f>
        <v/>
      </c>
      <c r="L7322" t="inlineStr"/>
      <c r="M7322">
        <f>HYPERLINK("CSG2.html#group20A2", "20A²"), =HYPERLINK("CSG0.html#group5A0", "5A⁰"), =HYPERLINK("CSG1.html#group15A1", "15A¹"), =HYPERLINK("CSG10.html#group90D10", "90D¹⁰"), =HYPERLINK("CSG1.html#group10B1", "10B¹"), =HYPERLINK("CSG0.html#group2B0", "2B⁰"), =HYPERLINK("CSG0.html#group4B0", "4B⁰"), =HYPERLINK("CSG0.html#group1A0", "1A⁰"), =HYPERLINK("CSG7.html#group60A7", "60A⁷"), =HYPERLINK("CSG3.html#group30D3", "30D³"), =HYPERLINK("CSG0.html#group9A0", "9A⁰"), =HYPERLINK("CSG4.html#group36D4", "36D⁴"), =HYPERLINK("CSG1.html#group12B1", "12B¹"), =HYPERLINK("CSG1.html#group18E1", "18E¹"), =HYPERLINK("CSG0.html#group3A0", "3A⁰"), =HYPERLINK("CSG0.html#group6D0", "6D⁰"), =HYPERLINK("CSG3.html#group45A3", "45A³")</f>
        <v/>
      </c>
      <c r="N7322" t="inlineStr"/>
    </row>
    <row r="7323">
      <c r="A7323" t="inlineStr">
        <is>
          <t>180B²²</t>
        </is>
      </c>
      <c r="B7323" t="inlineStr"/>
      <c r="C7323" t="inlineStr">
        <is>
          <t>270</t>
        </is>
      </c>
      <c r="D7323" t="inlineStr">
        <is>
          <t>2</t>
        </is>
      </c>
      <c r="E7323" t="inlineStr">
        <is>
          <t>135</t>
        </is>
      </c>
      <c r="F7323" t="inlineStr">
        <is>
          <t>2</t>
        </is>
      </c>
      <c r="G7323" t="inlineStr">
        <is>
          <t>0</t>
        </is>
      </c>
      <c r="H7323" t="inlineStr">
        <is>
          <t>90¹, 180¹</t>
        </is>
      </c>
      <c r="I7323" t="n">
        <v>2</v>
      </c>
      <c r="J7323" t="inlineStr">
        <is>
          <t>2⁹, 6⁶, 8⁹, 24⁶</t>
        </is>
      </c>
      <c r="K7323">
        <f>HYPERLINK("CSG4.html#group36E4", "36E⁴"), =HYPERLINK("CSG7.html#group60B7", "60B⁷"), =HYPERLINK("CSG10.html#group90D10", "90D¹⁰")</f>
        <v/>
      </c>
      <c r="L7323" t="inlineStr"/>
      <c r="M7323">
        <f>HYPERLINK("CSG0.html#group5A0", "5A⁰"), =HYPERLINK("CSG10.html#group90D10", "90D¹⁰"), =HYPERLINK("CSG1.html#group10B1", "10B¹"), =HYPERLINK("CSG7.html#group60B7", "60B⁷"), =HYPERLINK("CSG4.html#group36E4", "36E⁴"), =HYPERLINK("CSG0.html#group2B0", "2B⁰"), =HYPERLINK("CSG0.html#group1A0", "1A⁰"), =HYPERLINK("CSG3.html#group30D3", "30D³"), =HYPERLINK("CSG1.html#group12C1", "12C¹"), =HYPERLINK("CSG0.html#group9A0", "9A⁰"), =HYPERLINK("CSG0.html#group6D0", "6D⁰"), =HYPERLINK("CSG1.html#group18E1", "18E¹"), =HYPERLINK("CSG0.html#group3A0", "3A⁰"), =HYPERLINK("CSG1.html#group15A1", "15A¹"), =HYPERLINK("CSG3.html#group45A3", "45A³")</f>
        <v/>
      </c>
      <c r="N7323" t="inlineStr"/>
    </row>
    <row r="7324">
      <c r="A7324" t="inlineStr">
        <is>
          <t>180C²²</t>
        </is>
      </c>
      <c r="B7324" t="inlineStr"/>
      <c r="C7324" t="inlineStr">
        <is>
          <t>324</t>
        </is>
      </c>
      <c r="D7324" t="inlineStr">
        <is>
          <t>1</t>
        </is>
      </c>
      <c r="E7324" t="inlineStr">
        <is>
          <t>162</t>
        </is>
      </c>
      <c r="F7324" t="inlineStr">
        <is>
          <t>12</t>
        </is>
      </c>
      <c r="G7324" t="inlineStr">
        <is>
          <t>0</t>
        </is>
      </c>
      <c r="H7324" t="inlineStr">
        <is>
          <t>9², 36¹, 45², 180¹</t>
        </is>
      </c>
      <c r="I7324" t="n">
        <v>6</v>
      </c>
      <c r="J7324" t="inlineStr">
        <is>
          <t>1⁶, 2⁶, 4³, 6⁶, 8³, 24³</t>
        </is>
      </c>
      <c r="K7324">
        <f>HYPERLINK("CSG6.html#group60E6", "60E⁶"), =HYPERLINK("CSG10.html#group90E10", "90E¹⁰")</f>
        <v/>
      </c>
      <c r="L7324" t="inlineStr"/>
      <c r="M7324">
        <f>HYPERLINK("CSG2.html#group45A2", "45A²"), =HYPERLINK("CSG0.html#group15B0", "15B⁰"), =HYPERLINK("CSG6.html#group60E6", "60E⁶"), =HYPERLINK("CSG2.html#group30E2", "30E²"), =HYPERLINK("CSG0.html#group9A0", "9A⁰"), =HYPERLINK("CSG10.html#group90E10", "90E¹⁰"), =HYPERLINK("CSG0.html#group5B0", "5B⁰"), =HYPERLINK("CSG0.html#group10C0", "10C⁰"), =HYPERLINK("CSG0.html#group2B0", "2B⁰"), =HYPERLINK("CSG1.html#group18E1", "18E¹"), =HYPERLINK("CSG0.html#group3A0", "3A⁰"), =HYPERLINK("CSG0.html#group1A0", "1A⁰"), =HYPERLINK("CSG0.html#group6D0", "6D⁰")</f>
        <v/>
      </c>
      <c r="N7324" t="inlineStr"/>
    </row>
    <row r="7325">
      <c r="A7325" t="inlineStr">
        <is>
          <t>180D²²</t>
        </is>
      </c>
      <c r="B7325" t="inlineStr"/>
      <c r="C7325" t="inlineStr">
        <is>
          <t>324</t>
        </is>
      </c>
      <c r="D7325" t="inlineStr">
        <is>
          <t>2</t>
        </is>
      </c>
      <c r="E7325" t="inlineStr">
        <is>
          <t>162</t>
        </is>
      </c>
      <c r="F7325" t="inlineStr">
        <is>
          <t>16</t>
        </is>
      </c>
      <c r="G7325" t="inlineStr">
        <is>
          <t>0</t>
        </is>
      </c>
      <c r="H7325" t="inlineStr">
        <is>
          <t>18¹, 36¹, 90¹, 180¹</t>
        </is>
      </c>
      <c r="I7325" t="n">
        <v>4</v>
      </c>
      <c r="J7325" t="inlineStr">
        <is>
          <t>2¹⁸, 6¹², 8⁹, 24⁶</t>
        </is>
      </c>
      <c r="K7325">
        <f>HYPERLINK("CSG6.html#group60F6", "60F⁶"), =HYPERLINK("CSG10.html#group90E10", "90E¹⁰")</f>
        <v/>
      </c>
      <c r="L7325" t="inlineStr"/>
      <c r="M7325">
        <f>HYPERLINK("CSG2.html#group45A2", "45A²"), =HYPERLINK("CSG0.html#group15B0", "15B⁰"), =HYPERLINK("CSG6.html#group60F6", "60F⁶"), =HYPERLINK("CSG2.html#group30E2", "30E²"), =HYPERLINK("CSG0.html#group9A0", "9A⁰"), =HYPERLINK("CSG10.html#group90E10", "90E¹⁰"), =HYPERLINK("CSG0.html#group5B0", "5B⁰"), =HYPERLINK("CSG0.html#group10C0", "10C⁰"), =HYPERLINK("CSG0.html#group2B0", "2B⁰"), =HYPERLINK("CSG1.html#group18E1", "18E¹"), =HYPERLINK("CSG0.html#group3A0", "3A⁰"), =HYPERLINK("CSG0.html#group1A0", "1A⁰"), =HYPERLINK("CSG0.html#group6D0", "6D⁰")</f>
        <v/>
      </c>
      <c r="N7325" t="inlineStr"/>
    </row>
    <row r="7326">
      <c r="A7326" t="inlineStr">
        <is>
          <t>182A²²</t>
        </is>
      </c>
      <c r="B7326" t="inlineStr"/>
      <c r="C7326" t="inlineStr">
        <is>
          <t>294</t>
        </is>
      </c>
      <c r="D7326" t="inlineStr">
        <is>
          <t>2</t>
        </is>
      </c>
      <c r="E7326" t="inlineStr">
        <is>
          <t>294</t>
        </is>
      </c>
      <c r="F7326" t="inlineStr">
        <is>
          <t>6</t>
        </is>
      </c>
      <c r="G7326" t="inlineStr">
        <is>
          <t>0</t>
        </is>
      </c>
      <c r="H7326" t="inlineStr">
        <is>
          <t>7¹, 14¹, 91¹, 182¹</t>
        </is>
      </c>
      <c r="I7326" t="n">
        <v>4</v>
      </c>
      <c r="J7326" t="inlineStr">
        <is>
          <t>2⁶, 6¹², 24³, 72⁶</t>
        </is>
      </c>
      <c r="K7326">
        <f>HYPERLINK("CSG1.html#group14B1", "14B¹"), =HYPERLINK("CSG2.html#group26A2", "26A²"), =HYPERLINK("CSG6.html#group91A6", "91A⁶")</f>
        <v/>
      </c>
      <c r="L7326" t="inlineStr"/>
      <c r="M7326">
        <f>HYPERLINK("CSG1.html#group14B1", "14B¹"), =HYPERLINK("CSG0.html#group13A0", "13A⁰"), =HYPERLINK("CSG0.html#group2B0", "2B⁰"), =HYPERLINK("CSG6.html#group91A6", "91A⁶"), =HYPERLINK("CSG0.html#group1A0", "1A⁰"), =HYPERLINK("CSG2.html#group26A2", "26A²"), =HYPERLINK("CSG0.html#group7A0", "7A⁰")</f>
        <v/>
      </c>
      <c r="N7326" t="inlineStr"/>
    </row>
    <row r="7327">
      <c r="A7327" t="inlineStr">
        <is>
          <t>184A²²</t>
        </is>
      </c>
      <c r="B7327" t="inlineStr"/>
      <c r="C7327" t="inlineStr">
        <is>
          <t>288</t>
        </is>
      </c>
      <c r="D7327" t="inlineStr">
        <is>
          <t>1</t>
        </is>
      </c>
      <c r="E7327" t="inlineStr">
        <is>
          <t>72</t>
        </is>
      </c>
      <c r="F7327" t="inlineStr">
        <is>
          <t>0</t>
        </is>
      </c>
      <c r="G7327" t="inlineStr">
        <is>
          <t>0</t>
        </is>
      </c>
      <c r="H7327" t="inlineStr">
        <is>
          <t>2², 8¹, 46², 184¹</t>
        </is>
      </c>
      <c r="I7327" t="n">
        <v>6</v>
      </c>
      <c r="J7327" t="inlineStr">
        <is>
          <t>1⁶, 22³</t>
        </is>
      </c>
      <c r="K7327">
        <f>HYPERLINK("CSG10.html#group92A10", "92A¹⁰")</f>
        <v/>
      </c>
      <c r="L7327" t="inlineStr"/>
      <c r="M7327">
        <f>HYPERLINK("CSG10.html#group92A10", "92A¹⁰"), =HYPERLINK("CSG0.html#group2B0", "2B⁰"), =HYPERLINK("CSG2.html#group23A2", "23A²"), =HYPERLINK("CSG0.html#group4B0", "4B⁰"), =HYPERLINK("CSG0.html#group1A0", "1A⁰"), =HYPERLINK("CSG5.html#group46A5", "46A⁵")</f>
        <v/>
      </c>
      <c r="N7327" t="inlineStr"/>
    </row>
    <row r="7328">
      <c r="A7328" t="inlineStr">
        <is>
          <t>184B²²</t>
        </is>
      </c>
      <c r="B7328" t="inlineStr"/>
      <c r="C7328" t="inlineStr">
        <is>
          <t>288</t>
        </is>
      </c>
      <c r="D7328" t="inlineStr">
        <is>
          <t>1</t>
        </is>
      </c>
      <c r="E7328" t="inlineStr">
        <is>
          <t>144</t>
        </is>
      </c>
      <c r="F7328" t="inlineStr">
        <is>
          <t>0</t>
        </is>
      </c>
      <c r="G7328" t="inlineStr">
        <is>
          <t>0</t>
        </is>
      </c>
      <c r="H7328" t="inlineStr">
        <is>
          <t>2², 8¹, 46², 184¹</t>
        </is>
      </c>
      <c r="I7328" t="n">
        <v>6</v>
      </c>
      <c r="J7328" t="inlineStr">
        <is>
          <t>1⁴, 2⁴, 22², 44²</t>
        </is>
      </c>
      <c r="K7328">
        <f>HYPERLINK("CSG0.html#group8D0", "8D⁰"), =HYPERLINK("CSG11.html#group92A11", "92A¹¹")</f>
        <v/>
      </c>
      <c r="L7328" t="inlineStr"/>
      <c r="M7328">
        <f>HYPERLINK("CSG11.html#group92A11", "92A¹¹"), =HYPERLINK("CSG0.html#group8D0", "8D⁰"), =HYPERLINK("CSG0.html#group4C0", "4C⁰"), =HYPERLINK("CSG5.html#group46A5", "46A⁵"), =HYPERLINK("CSG0.html#group2B0", "2B⁰"), =HYPERLINK("CSG2.html#group23A2", "23A²"), =HYPERLINK("CSG0.html#group1A0", "1A⁰")</f>
        <v/>
      </c>
      <c r="N7328" t="inlineStr"/>
    </row>
    <row r="7329">
      <c r="A7329" t="inlineStr">
        <is>
          <t>188A²²</t>
        </is>
      </c>
      <c r="B7329" t="inlineStr">
        <is>
          <t>Γ₀(188)</t>
        </is>
      </c>
      <c r="C7329" t="inlineStr">
        <is>
          <t>288</t>
        </is>
      </c>
      <c r="D7329" t="inlineStr">
        <is>
          <t>1</t>
        </is>
      </c>
      <c r="E7329" t="inlineStr">
        <is>
          <t>144</t>
        </is>
      </c>
      <c r="F7329" t="inlineStr">
        <is>
          <t>0</t>
        </is>
      </c>
      <c r="G7329" t="inlineStr">
        <is>
          <t>0</t>
        </is>
      </c>
      <c r="H7329" t="inlineStr">
        <is>
          <t>1², 4¹, 47², 188¹</t>
        </is>
      </c>
      <c r="I7329" t="n">
        <v>6</v>
      </c>
      <c r="J7329" t="inlineStr">
        <is>
          <t>1⁶, 46³</t>
        </is>
      </c>
      <c r="K7329">
        <f>HYPERLINK("CSG0.html#group4B0", "4B⁰"), =HYPERLINK("CSG11.html#group94A11", "94A¹¹")</f>
        <v/>
      </c>
      <c r="L7329" t="inlineStr"/>
      <c r="M7329">
        <f>HYPERLINK("CSG4.html#group47A4", "47A⁴"), =HYPERLINK("CSG11.html#group94A11", "94A¹¹"), =HYPERLINK("CSG0.html#group2B0", "2B⁰"), =HYPERLINK("CSG0.html#group4B0", "4B⁰"), =HYPERLINK("CSG0.html#group1A0", "1A⁰")</f>
        <v/>
      </c>
      <c r="N7329" t="inlineStr"/>
    </row>
    <row r="7330">
      <c r="A7330" t="inlineStr">
        <is>
          <t>189A²²</t>
        </is>
      </c>
      <c r="B7330" t="inlineStr"/>
      <c r="C7330" t="inlineStr">
        <is>
          <t>288</t>
        </is>
      </c>
      <c r="D7330" t="inlineStr">
        <is>
          <t>2</t>
        </is>
      </c>
      <c r="E7330" t="inlineStr">
        <is>
          <t>96</t>
        </is>
      </c>
      <c r="F7330" t="inlineStr">
        <is>
          <t>0</t>
        </is>
      </c>
      <c r="G7330" t="inlineStr">
        <is>
          <t>3</t>
        </is>
      </c>
      <c r="H7330" t="inlineStr">
        <is>
          <t>9¹, 27¹, 63¹, 189¹</t>
        </is>
      </c>
      <c r="I7330" t="n">
        <v>4</v>
      </c>
      <c r="J7330" t="inlineStr">
        <is>
          <t>2¹², 6⁴, 12⁶, 36²</t>
        </is>
      </c>
      <c r="K7330">
        <f>HYPERLINK("CSG5.html#group63B5", "63B⁵")</f>
        <v/>
      </c>
      <c r="L7330" t="inlineStr"/>
      <c r="M7330">
        <f>HYPERLINK("CSG0.html#group3B0", "3B⁰"), =HYPERLINK("CSG5.html#group63B5", "63B⁵"), =HYPERLINK("CSG1.html#group21B1", "21B¹"), =HYPERLINK("CSG0.html#group9C0", "9C⁰"), =HYPERLINK("CSG0.html#group1A0", "1A⁰"), =HYPERLINK("CSG0.html#group7B0", "7B⁰")</f>
        <v/>
      </c>
      <c r="N7330" t="inlineStr"/>
    </row>
    <row r="7331">
      <c r="A7331" t="inlineStr">
        <is>
          <t>192A²²</t>
        </is>
      </c>
      <c r="B7331" t="inlineStr"/>
      <c r="C7331" t="inlineStr">
        <is>
          <t>288</t>
        </is>
      </c>
      <c r="D7331" t="inlineStr">
        <is>
          <t>1</t>
        </is>
      </c>
      <c r="E7331" t="inlineStr">
        <is>
          <t>24</t>
        </is>
      </c>
      <c r="F7331" t="inlineStr">
        <is>
          <t>0</t>
        </is>
      </c>
      <c r="G7331" t="inlineStr">
        <is>
          <t>0</t>
        </is>
      </c>
      <c r="H7331" t="inlineStr">
        <is>
          <t>12⁴, 48¹, 192¹</t>
        </is>
      </c>
      <c r="I7331" t="n">
        <v>6</v>
      </c>
      <c r="J7331" t="inlineStr">
        <is>
          <t>2⁸, 8¹</t>
        </is>
      </c>
      <c r="K7331">
        <f>HYPERLINK("CSG6.html#group64A6", "64A⁶"), =HYPERLINK("CSG10.html#group96A10", "96A¹⁰")</f>
        <v/>
      </c>
      <c r="L7331" t="inlineStr"/>
      <c r="M7331">
        <f>HYPERLINK("CSG10.html#group96A10", "96A¹⁰"), =HYPERLINK("CSG0.html#group8C0", "8C⁰"), =HYPERLINK("CSG0.html#group2B0", "2B⁰"), =HYPERLINK("CSG0.html#group4B0", "4B⁰"), =HYPERLINK("CSG0.html#group1A0", "1A⁰"), =HYPERLINK("CSG6.html#group64A6", "64A⁶"), =HYPERLINK("CSG4.html#group48B4", "48B⁴"), =HYPERLINK("CSG2.html#group24B2", "24B²"), =HYPERLINK("CSG0.html#group16C0", "16C⁰"), =HYPERLINK("CSG2.html#group32A2", "32A²"), =HYPERLINK("CSG1.html#group12B1", "12B¹"), =HYPERLINK("CSG0.html#group3A0", "3A⁰"), =HYPERLINK("CSG0.html#group6D0", "6D⁰")</f>
        <v/>
      </c>
      <c r="N7331" t="inlineStr"/>
    </row>
    <row r="7332">
      <c r="A7332" t="inlineStr">
        <is>
          <t>192B²²</t>
        </is>
      </c>
      <c r="B7332" t="inlineStr"/>
      <c r="C7332" t="inlineStr">
        <is>
          <t>288</t>
        </is>
      </c>
      <c r="D7332" t="inlineStr">
        <is>
          <t>1</t>
        </is>
      </c>
      <c r="E7332" t="inlineStr">
        <is>
          <t>72</t>
        </is>
      </c>
      <c r="F7332" t="inlineStr">
        <is>
          <t>0</t>
        </is>
      </c>
      <c r="G7332" t="inlineStr">
        <is>
          <t>0</t>
        </is>
      </c>
      <c r="H7332" t="inlineStr">
        <is>
          <t>12⁴, 48¹, 192¹</t>
        </is>
      </c>
      <c r="I7332" t="n">
        <v>6</v>
      </c>
      <c r="J7332" t="inlineStr">
        <is>
          <t>2⁸, 4⁸, 8¹, 16¹</t>
        </is>
      </c>
      <c r="K7332">
        <f>HYPERLINK("CSG10.html#group96A10", "96A¹⁰")</f>
        <v/>
      </c>
      <c r="L7332" t="inlineStr"/>
      <c r="M7332">
        <f>HYPERLINK("CSG2.html#group24B2", "24B²"), =HYPERLINK("CSG0.html#group3A0", "3A⁰"), =HYPERLINK("CSG0.html#group16C0", "16C⁰"), =HYPERLINK("CSG10.html#group96A10", "96A¹⁰"), =HYPERLINK("CSG0.html#group8C0", "8C⁰"), =HYPERLINK("CSG0.html#group2B0", "2B⁰"), =HYPERLINK("CSG2.html#group32A2", "32A²"), =HYPERLINK("CSG0.html#group4B0", "4B⁰"), =HYPERLINK("CSG1.html#group12B1", "12B¹"), =HYPERLINK("CSG0.html#group1A0", "1A⁰"), =HYPERLINK("CSG0.html#group6D0", "6D⁰"), =HYPERLINK("CSG4.html#group48B4", "48B⁴")</f>
        <v/>
      </c>
      <c r="N7332" t="inlineStr"/>
    </row>
    <row r="7333">
      <c r="A7333" t="inlineStr">
        <is>
          <t>198A²²</t>
        </is>
      </c>
      <c r="B7333" t="inlineStr"/>
      <c r="C7333" t="inlineStr">
        <is>
          <t>264</t>
        </is>
      </c>
      <c r="D7333" t="inlineStr">
        <is>
          <t>2</t>
        </is>
      </c>
      <c r="E7333" t="inlineStr">
        <is>
          <t>44</t>
        </is>
      </c>
      <c r="F7333" t="inlineStr">
        <is>
          <t>0</t>
        </is>
      </c>
      <c r="G7333" t="inlineStr">
        <is>
          <t>0</t>
        </is>
      </c>
      <c r="H7333" t="inlineStr">
        <is>
          <t>66¹, 198¹</t>
        </is>
      </c>
      <c r="I7333" t="n">
        <v>2</v>
      </c>
      <c r="J7333" t="inlineStr">
        <is>
          <t>2², 4¹, 10⁴, 20²</t>
        </is>
      </c>
      <c r="K7333">
        <f>HYPERLINK("CSG2.html#group18B2", "18B²"), =HYPERLINK("CSG6.html#group66E6", "66E⁶"), =HYPERLINK("CSG11.html#group99A11", "99A¹¹")</f>
        <v/>
      </c>
      <c r="L7333" t="inlineStr"/>
      <c r="M7333">
        <f>HYPERLINK("CSG0.html#group11A0", "11A⁰"), =HYPERLINK("CSG0.html#group3B0", "3B⁰"), =HYPERLINK("CSG0.html#group2A0", "2A⁰"), =HYPERLINK("CSG2.html#group18B2", "18B²"), =HYPERLINK("CSG1.html#group22A1", "22A¹"), =HYPERLINK("CSG3.html#group33B3", "33B³"), =HYPERLINK("CSG1.html#group9A1", "9A¹"), =HYPERLINK("CSG0.html#group6C0", "6C⁰"), =HYPERLINK("CSG6.html#group66E6", "66E⁶"), =HYPERLINK("CSG11.html#group99A11", "99A¹¹"), =HYPERLINK("CSG0.html#group1A0", "1A⁰")</f>
        <v/>
      </c>
      <c r="N7333" t="inlineStr"/>
    </row>
    <row r="7334">
      <c r="A7334" t="inlineStr">
        <is>
          <t>198B²²</t>
        </is>
      </c>
      <c r="B7334" t="inlineStr"/>
      <c r="C7334" t="inlineStr">
        <is>
          <t>264</t>
        </is>
      </c>
      <c r="D7334" t="inlineStr">
        <is>
          <t>2</t>
        </is>
      </c>
      <c r="E7334" t="inlineStr">
        <is>
          <t>88</t>
        </is>
      </c>
      <c r="F7334" t="inlineStr">
        <is>
          <t>0</t>
        </is>
      </c>
      <c r="G7334" t="inlineStr">
        <is>
          <t>0</t>
        </is>
      </c>
      <c r="H7334" t="inlineStr">
        <is>
          <t>66¹, 198¹</t>
        </is>
      </c>
      <c r="I7334" t="n">
        <v>2</v>
      </c>
      <c r="J7334" t="inlineStr">
        <is>
          <t>4⁴, 20⁸</t>
        </is>
      </c>
      <c r="K7334">
        <f>HYPERLINK("CSG2.html#group18C2", "18C²"), =HYPERLINK("CSG6.html#group66E6", "66E⁶")</f>
        <v/>
      </c>
      <c r="L7334" t="inlineStr"/>
      <c r="M7334">
        <f>HYPERLINK("CSG0.html#group11A0", "11A⁰"), =HYPERLINK("CSG0.html#group3B0", "3B⁰"), =HYPERLINK("CSG0.html#group2A0", "2A⁰"), =HYPERLINK("CSG1.html#group22A1", "22A¹"), =HYPERLINK("CSG3.html#group33B3", "33B³"), =HYPERLINK("CSG0.html#group6C0", "6C⁰"), =HYPERLINK("CSG6.html#group66E6", "66E⁶"), =HYPERLINK("CSG0.html#group1A0", "1A⁰"), =HYPERLINK("CSG2.html#group18C2", "18C²")</f>
        <v/>
      </c>
      <c r="N7334" t="inlineStr"/>
    </row>
    <row r="7335">
      <c r="A7335" t="inlineStr">
        <is>
          <t>210A²²</t>
        </is>
      </c>
      <c r="B7335" t="inlineStr"/>
      <c r="C7335" t="inlineStr">
        <is>
          <t>280</t>
        </is>
      </c>
      <c r="D7335" t="inlineStr">
        <is>
          <t>2</t>
        </is>
      </c>
      <c r="E7335" t="inlineStr">
        <is>
          <t>140</t>
        </is>
      </c>
      <c r="F7335" t="inlineStr">
        <is>
          <t>0</t>
        </is>
      </c>
      <c r="G7335" t="inlineStr">
        <is>
          <t>4</t>
        </is>
      </c>
      <c r="H7335" t="inlineStr">
        <is>
          <t>70¹, 210¹</t>
        </is>
      </c>
      <c r="I7335" t="n">
        <v>2</v>
      </c>
      <c r="J7335" t="inlineStr">
        <is>
          <t>2², 4¹, 6⁴, 8², 12², 16¹, 24⁴, 48²</t>
        </is>
      </c>
      <c r="K7335">
        <f>HYPERLINK("CSG4.html#group42D4", "42D⁴"), =HYPERLINK("CSG4.html#group70A4", "70A⁴"), =HYPERLINK("CSG11.html#group105A11", "105A¹¹")</f>
        <v/>
      </c>
      <c r="L7335" t="inlineStr"/>
      <c r="M7335">
        <f>HYPERLINK("CSG0.html#group3B0", "3B⁰"), =HYPERLINK("CSG0.html#group14A0", "14A⁰"), =HYPERLINK("CSG0.html#group5A0", "5A⁰"), =HYPERLINK("CSG2.html#group21B2", "21B²"), =HYPERLINK("CSG4.html#group70A4", "70A⁴"), =HYPERLINK("CSG11.html#group105A11", "105A¹¹"), =HYPERLINK("CSG4.html#group42D4", "42D⁴"), =HYPERLINK("CSG1.html#group15B1", "15B¹"), =HYPERLINK("CSG0.html#group1A0", "1A⁰"), =HYPERLINK("CSG2.html#group35A2", "35A²"), =HYPERLINK("CSG0.html#group7A0", "7A⁰")</f>
        <v/>
      </c>
      <c r="N7335" t="inlineStr"/>
    </row>
    <row r="7336">
      <c r="A7336" t="inlineStr">
        <is>
          <t>210B²²</t>
        </is>
      </c>
      <c r="B7336" t="inlineStr"/>
      <c r="C7336" t="inlineStr">
        <is>
          <t>280</t>
        </is>
      </c>
      <c r="D7336" t="inlineStr">
        <is>
          <t>2</t>
        </is>
      </c>
      <c r="E7336" t="inlineStr">
        <is>
          <t>140</t>
        </is>
      </c>
      <c r="F7336" t="inlineStr">
        <is>
          <t>0</t>
        </is>
      </c>
      <c r="G7336" t="inlineStr">
        <is>
          <t>4</t>
        </is>
      </c>
      <c r="H7336" t="inlineStr">
        <is>
          <t>70¹, 210¹</t>
        </is>
      </c>
      <c r="I7336" t="n">
        <v>2</v>
      </c>
      <c r="J7336" t="inlineStr">
        <is>
          <t>2², 4¹, 6⁴, 8², 12², 16¹, 24⁴, 48²</t>
        </is>
      </c>
      <c r="K7336">
        <f>HYPERLINK("CSG2.html#group30D2", "30D²"), =HYPERLINK("CSG4.html#group42E4", "42E⁴"), =HYPERLINK("CSG5.html#group70A5", "70A⁵"), =HYPERLINK("CSG11.html#group105A11", "105A¹¹")</f>
        <v/>
      </c>
      <c r="L7336" t="inlineStr"/>
      <c r="M7336">
        <f>HYPERLINK("CSG0.html#group3B0", "3B⁰"), =HYPERLINK("CSG0.html#group2A0", "2A⁰"), =HYPERLINK("CSG0.html#group5A0", "5A⁰"), =HYPERLINK("CSG2.html#group30D2", "30D²"), =HYPERLINK("CSG0.html#group6C0", "6C⁰"), =HYPERLINK("CSG1.html#group14A1", "14A¹"), =HYPERLINK("CSG0.html#group1A0", "1A⁰"), =HYPERLINK("CSG2.html#group35A2", "35A²"), =HYPERLINK("CSG0.html#group10A0", "10A⁰"), =HYPERLINK("CSG2.html#group21B2", "21B²"), =HYPERLINK("CSG11.html#group105A11", "105A¹¹"), =HYPERLINK("CSG4.html#group42E4", "42E⁴"), =HYPERLINK("CSG5.html#group70A5", "70A⁵"), =HYPERLINK("CSG1.html#group15B1", "15B¹"), =HYPERLINK("CSG0.html#group7A0", "7A⁰")</f>
        <v/>
      </c>
      <c r="N7336" t="inlineStr"/>
    </row>
    <row r="7337">
      <c r="A7337" t="inlineStr">
        <is>
          <t>216A²²</t>
        </is>
      </c>
      <c r="B7337" t="inlineStr"/>
      <c r="C7337" t="inlineStr">
        <is>
          <t>288</t>
        </is>
      </c>
      <c r="D7337" t="inlineStr">
        <is>
          <t>2</t>
        </is>
      </c>
      <c r="E7337" t="inlineStr">
        <is>
          <t>48</t>
        </is>
      </c>
      <c r="F7337" t="inlineStr">
        <is>
          <t>0</t>
        </is>
      </c>
      <c r="G7337" t="inlineStr">
        <is>
          <t>0</t>
        </is>
      </c>
      <c r="H7337" t="inlineStr">
        <is>
          <t>8³, 24², 216¹</t>
        </is>
      </c>
      <c r="I7337" t="n">
        <v>6</v>
      </c>
      <c r="J7337" t="inlineStr">
        <is>
          <t>4⁴, 8⁴, 24²</t>
        </is>
      </c>
      <c r="K7337">
        <f>HYPERLINK("CSG7.html#group72A7", "72A⁷"), =HYPERLINK("CSG10.html#group108D10", "108D¹⁰")</f>
        <v/>
      </c>
      <c r="L7337" t="inlineStr"/>
      <c r="M7337">
        <f>HYPERLINK("CSG0.html#group3B0", "3B⁰"), =HYPERLINK("CSG7.html#group72A7", "72A⁷"), =HYPERLINK("CSG1.html#group27A1", "27A¹"), =HYPERLINK("CSG10.html#group108D10", "108D¹⁰"), =HYPERLINK("CSG2.html#group24A2", "24A²"), =HYPERLINK("CSG0.html#group4A0", "4A⁰"), =HYPERLINK("CSG1.html#group12A1", "12A¹"), =HYPERLINK("CSG0.html#group8A0", "8A⁰"), =HYPERLINK("CSG0.html#group9B0", "9B⁰"), =HYPERLINK("CSG3.html#group36B3", "36B³"), =HYPERLINK("CSG0.html#group1A0", "1A⁰")</f>
        <v/>
      </c>
      <c r="N7337" t="inlineStr"/>
    </row>
    <row r="7338">
      <c r="A7338" t="inlineStr">
        <is>
          <t>216B²²</t>
        </is>
      </c>
      <c r="B7338" t="inlineStr"/>
      <c r="C7338" t="inlineStr">
        <is>
          <t>288</t>
        </is>
      </c>
      <c r="D7338" t="inlineStr">
        <is>
          <t>2</t>
        </is>
      </c>
      <c r="E7338" t="inlineStr">
        <is>
          <t>48</t>
        </is>
      </c>
      <c r="F7338" t="inlineStr">
        <is>
          <t>0</t>
        </is>
      </c>
      <c r="G7338" t="inlineStr">
        <is>
          <t>6</t>
        </is>
      </c>
      <c r="H7338" t="inlineStr">
        <is>
          <t>72¹, 216¹</t>
        </is>
      </c>
      <c r="I7338" t="n">
        <v>2</v>
      </c>
      <c r="J7338" t="inlineStr">
        <is>
          <t>4⁴, 8⁴, 24²</t>
        </is>
      </c>
      <c r="K7338">
        <f>HYPERLINK("CSG6.html#group72A6", "72A⁶"), =HYPERLINK("CSG11.html#group108D11", "108D¹¹")</f>
        <v/>
      </c>
      <c r="L7338" t="inlineStr"/>
      <c r="M7338">
        <f>HYPERLINK("CSG0.html#group3B0", "3B⁰"), =HYPERLINK("CSG6.html#group72A6", "72A⁶"), =HYPERLINK("CSG2.html#group27B2", "27B²"), =HYPERLINK("CSG2.html#group24A2", "24A²"), =HYPERLINK("CSG0.html#group4A0", "4A⁰"), =HYPERLINK("CSG1.html#group12A1", "12A¹"), =HYPERLINK("CSG0.html#group8A0", "8A⁰"), =HYPERLINK("CSG11.html#group108D11", "108D¹¹"), =HYPERLINK("CSG0.html#group9C0", "9C⁰"), =HYPERLINK("CSG0.html#group1A0", "1A⁰"), =HYPERLINK("CSG3.html#group36C3", "36C³")</f>
        <v/>
      </c>
      <c r="N7338" t="inlineStr"/>
    </row>
    <row r="7339">
      <c r="A7339" t="inlineStr">
        <is>
          <t>216C²²</t>
        </is>
      </c>
      <c r="B7339" t="inlineStr"/>
      <c r="C7339" t="inlineStr">
        <is>
          <t>432</t>
        </is>
      </c>
      <c r="D7339" t="inlineStr">
        <is>
          <t>1</t>
        </is>
      </c>
      <c r="E7339" t="inlineStr">
        <is>
          <t>36</t>
        </is>
      </c>
      <c r="F7339" t="inlineStr">
        <is>
          <t>0</t>
        </is>
      </c>
      <c r="G7339" t="inlineStr">
        <is>
          <t>0</t>
        </is>
      </c>
      <c r="H7339" t="inlineStr">
        <is>
          <t>1¹², 3⁸, 8³, 24², 27⁴, 216¹</t>
        </is>
      </c>
      <c r="I7339" t="n">
        <v>30</v>
      </c>
      <c r="J7339" t="inlineStr">
        <is>
          <t>1⁶, 2⁶, 6³</t>
        </is>
      </c>
      <c r="K7339">
        <f>HYPERLINK("CSG3.html#group72A3", "72A³"), =HYPERLINK("CSG10.html#group108F10", "108F¹⁰")</f>
        <v/>
      </c>
      <c r="L7339" t="inlineStr"/>
      <c r="M7339">
        <f>HYPERLINK("CSG3.html#group72A3", "72A³"), =HYPERLINK("CSG0.html#group3B0", "3B⁰"), =HYPERLINK("CSG0.html#group18E0", "18E⁰"), =HYPERLINK("CSG1.html#group27A1", "27A¹"), =HYPERLINK("CSG10.html#group108F10", "108F¹⁰"), =HYPERLINK("CSG0.html#group24B0", "24B⁰"), =HYPERLINK("CSG0.html#group6F0", "6F⁰"), =HYPERLINK("CSG0.html#group9B0", "9B⁰"), =HYPERLINK("CSG0.html#group2B0", "2B⁰"), =HYPERLINK("CSG1.html#group36C1", "36C¹"), =HYPERLINK("CSG0.html#group4B0", "4B⁰"), =HYPERLINK("CSG0.html#group1A0", "1A⁰"), =HYPERLINK("CSG0.html#group12E0", "12E⁰"), =HYPERLINK("CSG4.html#group54E4", "54E⁴")</f>
        <v/>
      </c>
      <c r="N7339" t="inlineStr"/>
    </row>
    <row r="7340">
      <c r="A7340" t="inlineStr">
        <is>
          <t>231A²²</t>
        </is>
      </c>
      <c r="B7340" t="inlineStr"/>
      <c r="C7340" t="inlineStr">
        <is>
          <t>264</t>
        </is>
      </c>
      <c r="D7340" t="inlineStr">
        <is>
          <t>2</t>
        </is>
      </c>
      <c r="E7340" t="inlineStr">
        <is>
          <t>88</t>
        </is>
      </c>
      <c r="F7340" t="inlineStr">
        <is>
          <t>0</t>
        </is>
      </c>
      <c r="G7340" t="inlineStr">
        <is>
          <t>0</t>
        </is>
      </c>
      <c r="H7340" t="inlineStr">
        <is>
          <t>33¹, 231¹</t>
        </is>
      </c>
      <c r="I7340" t="n">
        <v>2</v>
      </c>
      <c r="J7340" t="inlineStr">
        <is>
          <t>2², 10⁴, 12¹, 60²</t>
        </is>
      </c>
      <c r="K7340">
        <f>HYPERLINK("CSG1.html#group33A1", "33A¹"), =HYPERLINK("CSG2.html#group21A2", "21A²"), =HYPERLINK("CSG6.html#group77A6", "77A⁶")</f>
        <v/>
      </c>
      <c r="L7340" t="inlineStr"/>
      <c r="M7340">
        <f>HYPERLINK("CSG0.html#group11A0", "11A⁰"), =HYPERLINK("CSG2.html#group21A2", "21A²"), =HYPERLINK("CSG0.html#group7B0", "7B⁰"), =HYPERLINK("CSG1.html#group33A1", "33A¹"), =HYPERLINK("CSG0.html#group3A0", "3A⁰"), =HYPERLINK("CSG0.html#group1A0", "1A⁰"), =HYPERLINK("CSG6.html#group77A6", "77A⁶")</f>
        <v/>
      </c>
      <c r="N7340" t="inlineStr"/>
    </row>
    <row r="7341">
      <c r="A7341" t="inlineStr">
        <is>
          <t>242A²²</t>
        </is>
      </c>
      <c r="B7341" t="inlineStr">
        <is>
          <t>Γ₀(242)</t>
        </is>
      </c>
      <c r="C7341" t="inlineStr">
        <is>
          <t>396</t>
        </is>
      </c>
      <c r="D7341" t="inlineStr">
        <is>
          <t>1</t>
        </is>
      </c>
      <c r="E7341" t="inlineStr">
        <is>
          <t>396</t>
        </is>
      </c>
      <c r="F7341" t="inlineStr">
        <is>
          <t>0</t>
        </is>
      </c>
      <c r="G7341" t="inlineStr">
        <is>
          <t>0</t>
        </is>
      </c>
      <c r="H7341" t="inlineStr">
        <is>
          <t>1¹¹, 2¹¹, 121¹, 242¹</t>
        </is>
      </c>
      <c r="I7341" t="n">
        <v>24</v>
      </c>
      <c r="J7341" t="inlineStr">
        <is>
          <t>1⁶, 10⁶, 110³</t>
        </is>
      </c>
      <c r="K7341">
        <f>HYPERLINK("CSG2.html#group22C2", "22C²"), =HYPERLINK("CSG6.html#group121A6", "121A⁶")</f>
        <v/>
      </c>
      <c r="L7341" t="inlineStr"/>
      <c r="M7341">
        <f>HYPERLINK("CSG0.html#group2B0", "2B⁰"), =HYPERLINK("CSG2.html#group22C2", "22C²"), =HYPERLINK("CSG0.html#group1A0", "1A⁰"), =HYPERLINK("CSG1.html#group11A1", "11A¹"), =HYPERLINK("CSG6.html#group121A6", "121A⁶")</f>
        <v/>
      </c>
      <c r="N7341" t="inlineStr"/>
    </row>
    <row r="7342">
      <c r="A7342" t="inlineStr">
        <is>
          <t>243A²²</t>
        </is>
      </c>
      <c r="B7342" t="inlineStr"/>
      <c r="C7342" t="inlineStr">
        <is>
          <t>324</t>
        </is>
      </c>
      <c r="D7342" t="inlineStr">
        <is>
          <t>1</t>
        </is>
      </c>
      <c r="E7342" t="inlineStr">
        <is>
          <t>108</t>
        </is>
      </c>
      <c r="F7342" t="inlineStr">
        <is>
          <t>0</t>
        </is>
      </c>
      <c r="G7342" t="inlineStr">
        <is>
          <t>0</t>
        </is>
      </c>
      <c r="H7342" t="inlineStr">
        <is>
          <t>3⁹, 27², 243¹</t>
        </is>
      </c>
      <c r="I7342" t="n">
        <v>12</v>
      </c>
      <c r="J7342" t="inlineStr">
        <is>
          <t>1², 2², 6², 18², 54¹</t>
        </is>
      </c>
      <c r="K7342">
        <f>HYPERLINK("CSG4.html#group81A4", "81A⁴")</f>
        <v/>
      </c>
      <c r="L7342" t="inlineStr"/>
      <c r="M7342">
        <f>HYPERLINK("CSG0.html#group3B0", "3B⁰"), =HYPERLINK("CSG4.html#group81A4", "81A⁴"), =HYPERLINK("CSG0.html#group9B0", "9B⁰"), =HYPERLINK("CSG1.html#group27A1", "27A¹"), =HYPERLINK("CSG0.html#group1A0", "1A⁰")</f>
        <v/>
      </c>
      <c r="N7342" t="inlineStr"/>
    </row>
    <row r="7343">
      <c r="A7343" t="inlineStr">
        <is>
          <t>250A²²</t>
        </is>
      </c>
      <c r="B7343" t="inlineStr"/>
      <c r="C7343" t="inlineStr">
        <is>
          <t>300</t>
        </is>
      </c>
      <c r="D7343" t="inlineStr">
        <is>
          <t>1</t>
        </is>
      </c>
      <c r="E7343" t="inlineStr">
        <is>
          <t>150</t>
        </is>
      </c>
      <c r="F7343" t="inlineStr">
        <is>
          <t>4</t>
        </is>
      </c>
      <c r="G7343" t="inlineStr">
        <is>
          <t>0</t>
        </is>
      </c>
      <c r="H7343" t="inlineStr">
        <is>
          <t>10⁵, 250¹</t>
        </is>
      </c>
      <c r="I7343" t="n">
        <v>6</v>
      </c>
      <c r="J7343" t="inlineStr">
        <is>
          <t>2², 4⁴, 20⁴, 100²</t>
        </is>
      </c>
      <c r="K7343">
        <f>HYPERLINK("CSG2.html#group50A2", "50A²"), =HYPERLINK("CSG10.html#group125A10", "125A¹⁰")</f>
        <v/>
      </c>
      <c r="L7343" t="inlineStr"/>
      <c r="M7343">
        <f>HYPERLINK("CSG0.html#group25A0", "25A⁰"), =HYPERLINK("CSG0.html#group5B0", "5B⁰"), =HYPERLINK("CSG0.html#group1A0", "1A⁰"), =HYPERLINK("CSG10.html#group125A10", "125A¹⁰"), =HYPERLINK("CSG2.html#group50A2", "50A²"), =HYPERLINK("CSG0.html#group10B0", "10B⁰")</f>
        <v/>
      </c>
      <c r="N7343" t="inlineStr"/>
    </row>
    <row r="7344">
      <c r="A7344" t="inlineStr">
        <is>
          <t>250B²²</t>
        </is>
      </c>
      <c r="B7344" t="inlineStr"/>
      <c r="C7344" t="inlineStr">
        <is>
          <t>300</t>
        </is>
      </c>
      <c r="D7344" t="inlineStr">
        <is>
          <t>1</t>
        </is>
      </c>
      <c r="E7344" t="inlineStr">
        <is>
          <t>150</t>
        </is>
      </c>
      <c r="F7344" t="inlineStr">
        <is>
          <t>4</t>
        </is>
      </c>
      <c r="G7344" t="inlineStr">
        <is>
          <t>0</t>
        </is>
      </c>
      <c r="H7344" t="inlineStr">
        <is>
          <t>10⁵, 250¹</t>
        </is>
      </c>
      <c r="I7344" t="n">
        <v>6</v>
      </c>
      <c r="J7344" t="inlineStr">
        <is>
          <t>2², 4⁴, 20⁴, 100²</t>
        </is>
      </c>
      <c r="K7344">
        <f>HYPERLINK("CSG2.html#group50A2", "50A²"), =HYPERLINK("CSG10.html#group125B10", "125B¹⁰")</f>
        <v/>
      </c>
      <c r="L7344" t="inlineStr"/>
      <c r="M7344">
        <f>HYPERLINK("CSG0.html#group25A0", "25A⁰"), =HYPERLINK("CSG0.html#group5B0", "5B⁰"), =HYPERLINK("CSG10.html#group125B10", "125B¹⁰"), =HYPERLINK("CSG0.html#group1A0", "1A⁰"), =HYPERLINK("CSG2.html#group50A2", "50A²"), =HYPERLINK("CSG0.html#group10B0", "10B⁰")</f>
        <v/>
      </c>
      <c r="N7344" t="inlineStr"/>
    </row>
    <row r="7345">
      <c r="A7345" t="inlineStr">
        <is>
          <t>253A²²</t>
        </is>
      </c>
      <c r="B7345" t="inlineStr"/>
      <c r="C7345" t="inlineStr">
        <is>
          <t>264</t>
        </is>
      </c>
      <c r="D7345" t="inlineStr">
        <is>
          <t>2</t>
        </is>
      </c>
      <c r="E7345" t="inlineStr">
        <is>
          <t>264</t>
        </is>
      </c>
      <c r="F7345" t="inlineStr">
        <is>
          <t>0</t>
        </is>
      </c>
      <c r="G7345" t="inlineStr">
        <is>
          <t>0</t>
        </is>
      </c>
      <c r="H7345" t="inlineStr">
        <is>
          <t>11¹, 253¹</t>
        </is>
      </c>
      <c r="I7345" t="n">
        <v>2</v>
      </c>
      <c r="J7345" t="inlineStr">
        <is>
          <t>2², 10⁴, 44¹, 220²</t>
        </is>
      </c>
      <c r="K7345">
        <f>HYPERLINK("CSG0.html#group11A0", "11A⁰"), =HYPERLINK("CSG2.html#group23A2", "23A²")</f>
        <v/>
      </c>
      <c r="L7345" t="inlineStr"/>
      <c r="M7345">
        <f>HYPERLINK("CSG0.html#group11A0", "11A⁰"), =HYPERLINK("CSG0.html#group1A0", "1A⁰"), =HYPERLINK("CSG2.html#group23A2", "23A²")</f>
        <v/>
      </c>
      <c r="N7345" t="inlineStr"/>
    </row>
    <row r="7346">
      <c r="A7346" t="inlineStr">
        <is>
          <t>258A²²</t>
        </is>
      </c>
      <c r="B7346" t="inlineStr"/>
      <c r="C7346" t="inlineStr">
        <is>
          <t>264</t>
        </is>
      </c>
      <c r="D7346" t="inlineStr">
        <is>
          <t>1</t>
        </is>
      </c>
      <c r="E7346" t="inlineStr">
        <is>
          <t>44</t>
        </is>
      </c>
      <c r="F7346" t="inlineStr">
        <is>
          <t>0</t>
        </is>
      </c>
      <c r="G7346" t="inlineStr">
        <is>
          <t>0</t>
        </is>
      </c>
      <c r="H7346" t="inlineStr">
        <is>
          <t>6¹, 258¹</t>
        </is>
      </c>
      <c r="I7346" t="n">
        <v>2</v>
      </c>
      <c r="J7346" t="inlineStr">
        <is>
          <t>1², 42¹</t>
        </is>
      </c>
      <c r="K7346">
        <f>HYPERLINK("CSG1.html#group6A1", "6A¹"), =HYPERLINK("CSG6.html#group86A6", "86A⁶"), =HYPERLINK("CSG11.html#group129A11", "129A¹¹")</f>
        <v/>
      </c>
      <c r="L7346" t="inlineStr"/>
      <c r="M7346">
        <f>HYPERLINK("CSG0.html#group2A0", "2A⁰"), =HYPERLINK("CSG3.html#group43A3", "43A³"), =HYPERLINK("CSG6.html#group86A6", "86A⁶"), =HYPERLINK("CSG1.html#group6A1", "6A¹"), =HYPERLINK("CSG0.html#group3A0", "3A⁰"), =HYPERLINK("CSG0.html#group1A0", "1A⁰"), =HYPERLINK("CSG11.html#group129A11", "129A¹¹")</f>
        <v/>
      </c>
      <c r="N7346" t="inlineStr"/>
    </row>
    <row r="7347">
      <c r="A7347" t="inlineStr">
        <is>
          <t>258B²²</t>
        </is>
      </c>
      <c r="B7347" t="inlineStr"/>
      <c r="C7347" t="inlineStr">
        <is>
          <t>264</t>
        </is>
      </c>
      <c r="D7347" t="inlineStr">
        <is>
          <t>1</t>
        </is>
      </c>
      <c r="E7347" t="inlineStr">
        <is>
          <t>132</t>
        </is>
      </c>
      <c r="F7347" t="inlineStr">
        <is>
          <t>0</t>
        </is>
      </c>
      <c r="G7347" t="inlineStr">
        <is>
          <t>0</t>
        </is>
      </c>
      <c r="H7347" t="inlineStr">
        <is>
          <t>6¹, 258¹</t>
        </is>
      </c>
      <c r="I7347" t="n">
        <v>2</v>
      </c>
      <c r="J7347" t="inlineStr">
        <is>
          <t>1², 2², 42¹, 84¹</t>
        </is>
      </c>
      <c r="K7347">
        <f>HYPERLINK("CSG0.html#group6B0", "6B⁰"), =HYPERLINK("CSG11.html#group129A11", "129A¹¹")</f>
        <v/>
      </c>
      <c r="L7347" t="inlineStr"/>
      <c r="M7347">
        <f>HYPERLINK("CSG3.html#group43A3", "43A³"), =HYPERLINK("CSG0.html#group6B0", "6B⁰"), =HYPERLINK("CSG0.html#group3A0", "3A⁰"), =HYPERLINK("CSG0.html#group1A0", "1A⁰"), =HYPERLINK("CSG11.html#group129A11", "129A¹¹")</f>
        <v/>
      </c>
      <c r="N7347" t="inlineStr"/>
    </row>
    <row r="7348">
      <c r="A7348" t="inlineStr">
        <is>
          <t>262A²²</t>
        </is>
      </c>
      <c r="B7348" t="inlineStr"/>
      <c r="C7348" t="inlineStr">
        <is>
          <t>264</t>
        </is>
      </c>
      <c r="D7348" t="inlineStr">
        <is>
          <t>1</t>
        </is>
      </c>
      <c r="E7348" t="inlineStr">
        <is>
          <t>132</t>
        </is>
      </c>
      <c r="F7348" t="inlineStr">
        <is>
          <t>0</t>
        </is>
      </c>
      <c r="G7348" t="inlineStr">
        <is>
          <t>0</t>
        </is>
      </c>
      <c r="H7348" t="inlineStr">
        <is>
          <t>2¹, 262¹</t>
        </is>
      </c>
      <c r="I7348" t="n">
        <v>2</v>
      </c>
      <c r="J7348" t="inlineStr">
        <is>
          <t>1², 130¹</t>
        </is>
      </c>
      <c r="K7348">
        <f>HYPERLINK("CSG0.html#group2A0", "2A⁰"), =HYPERLINK("CSG11.html#group131A11", "131A¹¹")</f>
        <v/>
      </c>
      <c r="L7348" t="inlineStr"/>
      <c r="M7348">
        <f>HYPERLINK("CSG0.html#group2A0", "2A⁰"), =HYPERLINK("CSG0.html#group1A0", "1A⁰"), =HYPERLINK("CSG11.html#group131A11", "131A¹¹")</f>
        <v/>
      </c>
      <c r="N7348" t="inlineStr"/>
    </row>
    <row r="7349">
      <c r="A7349" t="inlineStr">
        <is>
          <t>263A²²</t>
        </is>
      </c>
      <c r="B7349" t="inlineStr">
        <is>
          <t>Γ₀(263)</t>
        </is>
      </c>
      <c r="C7349" t="inlineStr">
        <is>
          <t>264</t>
        </is>
      </c>
      <c r="D7349" t="inlineStr">
        <is>
          <t>1</t>
        </is>
      </c>
      <c r="E7349" t="inlineStr">
        <is>
          <t>264</t>
        </is>
      </c>
      <c r="F7349" t="inlineStr">
        <is>
          <t>0</t>
        </is>
      </c>
      <c r="G7349" t="inlineStr">
        <is>
          <t>0</t>
        </is>
      </c>
      <c r="H7349" t="inlineStr">
        <is>
          <t>1¹, 263¹</t>
        </is>
      </c>
      <c r="I7349" t="n">
        <v>2</v>
      </c>
      <c r="J7349" t="inlineStr">
        <is>
          <t>1², 262¹</t>
        </is>
      </c>
      <c r="K7349">
        <f>HYPERLINK("CSG0.html#group1A0", "1A⁰")</f>
        <v/>
      </c>
      <c r="L7349" t="inlineStr"/>
      <c r="M7349">
        <f>HYPERLINK("CSG0.html#group1A0", "1A⁰")</f>
        <v/>
      </c>
      <c r="N7349" t="inlineStr"/>
    </row>
    <row r="7350">
      <c r="A7350" t="inlineStr">
        <is>
          <t>265A²²</t>
        </is>
      </c>
      <c r="B7350" t="inlineStr"/>
      <c r="C7350" t="inlineStr">
        <is>
          <t>270</t>
        </is>
      </c>
      <c r="D7350" t="inlineStr">
        <is>
          <t>1</t>
        </is>
      </c>
      <c r="E7350" t="inlineStr">
        <is>
          <t>270</t>
        </is>
      </c>
      <c r="F7350" t="inlineStr">
        <is>
          <t>2</t>
        </is>
      </c>
      <c r="G7350" t="inlineStr">
        <is>
          <t>0</t>
        </is>
      </c>
      <c r="H7350" t="inlineStr">
        <is>
          <t>5¹, 265¹</t>
        </is>
      </c>
      <c r="I7350" t="n">
        <v>2</v>
      </c>
      <c r="J7350" t="inlineStr">
        <is>
          <t>1², 4², 52¹, 208¹</t>
        </is>
      </c>
      <c r="K7350">
        <f>HYPERLINK("CSG0.html#group5A0", "5A⁰"), =HYPERLINK("CSG4.html#group53A4", "53A⁴")</f>
        <v/>
      </c>
      <c r="L7350" t="inlineStr"/>
      <c r="M7350">
        <f>HYPERLINK("CSG0.html#group1A0", "1A⁰"), =HYPERLINK("CSG0.html#group5A0", "5A⁰"), =HYPERLINK("CSG4.html#group53A4", "53A⁴")</f>
        <v/>
      </c>
      <c r="N7350" t="inlineStr"/>
    </row>
    <row r="7351">
      <c r="A7351" t="inlineStr">
        <is>
          <t>266A²²</t>
        </is>
      </c>
      <c r="B7351" t="inlineStr"/>
      <c r="C7351" t="inlineStr">
        <is>
          <t>280</t>
        </is>
      </c>
      <c r="D7351" t="inlineStr">
        <is>
          <t>2</t>
        </is>
      </c>
      <c r="E7351" t="inlineStr">
        <is>
          <t>140</t>
        </is>
      </c>
      <c r="F7351" t="inlineStr">
        <is>
          <t>0</t>
        </is>
      </c>
      <c r="G7351" t="inlineStr">
        <is>
          <t>4</t>
        </is>
      </c>
      <c r="H7351" t="inlineStr">
        <is>
          <t>14¹, 266¹</t>
        </is>
      </c>
      <c r="I7351" t="n">
        <v>2</v>
      </c>
      <c r="J7351" t="inlineStr">
        <is>
          <t>2², 6⁴, 36¹, 108²</t>
        </is>
      </c>
      <c r="K7351">
        <f>HYPERLINK("CSG0.html#group14A0", "14A⁰"), =HYPERLINK("CSG11.html#group133A11", "133A¹¹")</f>
        <v/>
      </c>
      <c r="L7351" t="inlineStr"/>
      <c r="M7351">
        <f>HYPERLINK("CSG1.html#group19A1", "19A¹"), =HYPERLINK("CSG0.html#group14A0", "14A⁰"), =HYPERLINK("CSG11.html#group133A11", "133A¹¹"), =HYPERLINK("CSG0.html#group1A0", "1A⁰"), =HYPERLINK("CSG0.html#group7A0", "7A⁰")</f>
        <v/>
      </c>
      <c r="N7351" t="inlineStr"/>
    </row>
    <row r="7352">
      <c r="A7352" t="inlineStr">
        <is>
          <t>266B²²</t>
        </is>
      </c>
      <c r="B7352" t="inlineStr"/>
      <c r="C7352" t="inlineStr">
        <is>
          <t>280</t>
        </is>
      </c>
      <c r="D7352" t="inlineStr">
        <is>
          <t>2</t>
        </is>
      </c>
      <c r="E7352" t="inlineStr">
        <is>
          <t>140</t>
        </is>
      </c>
      <c r="F7352" t="inlineStr">
        <is>
          <t>0</t>
        </is>
      </c>
      <c r="G7352" t="inlineStr">
        <is>
          <t>4</t>
        </is>
      </c>
      <c r="H7352" t="inlineStr">
        <is>
          <t>14¹, 266¹</t>
        </is>
      </c>
      <c r="I7352" t="n">
        <v>2</v>
      </c>
      <c r="J7352" t="inlineStr">
        <is>
          <t>2², 6⁴, 36¹, 108²</t>
        </is>
      </c>
      <c r="K7352">
        <f>HYPERLINK("CSG1.html#group14A1", "14A¹"), =HYPERLINK("CSG2.html#group38A2", "38A²"), =HYPERLINK("CSG11.html#group133A11", "133A¹¹")</f>
        <v/>
      </c>
      <c r="L7352" t="inlineStr"/>
      <c r="M7352">
        <f>HYPERLINK("CSG1.html#group19A1", "19A¹"), =HYPERLINK("CSG0.html#group2A0", "2A⁰"), =HYPERLINK("CSG2.html#group38A2", "38A²"), =HYPERLINK("CSG1.html#group14A1", "14A¹"), =HYPERLINK("CSG11.html#group133A11", "133A¹¹"), =HYPERLINK("CSG0.html#group1A0", "1A⁰"), =HYPERLINK("CSG0.html#group7A0", "7A⁰")</f>
        <v/>
      </c>
      <c r="N7352" t="inlineStr"/>
    </row>
    <row r="7353">
      <c r="A7353" t="inlineStr">
        <is>
          <t>268A²²</t>
        </is>
      </c>
      <c r="B7353" t="inlineStr"/>
      <c r="C7353" t="inlineStr">
        <is>
          <t>272</t>
        </is>
      </c>
      <c r="D7353" t="inlineStr">
        <is>
          <t>1</t>
        </is>
      </c>
      <c r="E7353" t="inlineStr">
        <is>
          <t>272</t>
        </is>
      </c>
      <c r="F7353" t="inlineStr">
        <is>
          <t>0</t>
        </is>
      </c>
      <c r="G7353" t="inlineStr">
        <is>
          <t>2</t>
        </is>
      </c>
      <c r="H7353" t="inlineStr">
        <is>
          <t>4¹, 268¹</t>
        </is>
      </c>
      <c r="I7353" t="n">
        <v>2</v>
      </c>
      <c r="J7353" t="inlineStr">
        <is>
          <t>2⁴, 132²</t>
        </is>
      </c>
      <c r="K7353">
        <f>HYPERLINK("CSG0.html#group4A0", "4A⁰"), =HYPERLINK("CSG5.html#group67A5", "67A⁵")</f>
        <v/>
      </c>
      <c r="L7353" t="inlineStr"/>
      <c r="M7353">
        <f>HYPERLINK("CSG0.html#group1A0", "1A⁰"), =HYPERLINK("CSG0.html#group4A0", "4A⁰"), =HYPERLINK("CSG5.html#group67A5", "67A⁵")</f>
        <v/>
      </c>
      <c r="N7353" t="inlineStr"/>
    </row>
    <row r="7354">
      <c r="A7354" t="inlineStr">
        <is>
          <t>269A²²</t>
        </is>
      </c>
      <c r="B7354" t="inlineStr">
        <is>
          <t>Γ₀(269)</t>
        </is>
      </c>
      <c r="C7354" t="inlineStr">
        <is>
          <t>270</t>
        </is>
      </c>
      <c r="D7354" t="inlineStr">
        <is>
          <t>1</t>
        </is>
      </c>
      <c r="E7354" t="inlineStr">
        <is>
          <t>270</t>
        </is>
      </c>
      <c r="F7354" t="inlineStr">
        <is>
          <t>2</t>
        </is>
      </c>
      <c r="G7354" t="inlineStr">
        <is>
          <t>0</t>
        </is>
      </c>
      <c r="H7354" t="inlineStr">
        <is>
          <t>1¹, 269¹</t>
        </is>
      </c>
      <c r="I7354" t="n">
        <v>2</v>
      </c>
      <c r="J7354" t="inlineStr">
        <is>
          <t>1², 268¹</t>
        </is>
      </c>
      <c r="K7354">
        <f>HYPERLINK("CSG0.html#group1A0", "1A⁰")</f>
        <v/>
      </c>
      <c r="L7354" t="inlineStr"/>
      <c r="M7354">
        <f>HYPERLINK("CSG0.html#group1A0", "1A⁰")</f>
        <v/>
      </c>
      <c r="N7354" t="inlineStr"/>
    </row>
    <row r="7355">
      <c r="A7355" t="inlineStr">
        <is>
          <t>270A²²</t>
        </is>
      </c>
      <c r="B7355" t="inlineStr"/>
      <c r="C7355" t="inlineStr">
        <is>
          <t>360</t>
        </is>
      </c>
      <c r="D7355" t="inlineStr">
        <is>
          <t>1</t>
        </is>
      </c>
      <c r="E7355" t="inlineStr">
        <is>
          <t>60</t>
        </is>
      </c>
      <c r="F7355" t="inlineStr">
        <is>
          <t>0</t>
        </is>
      </c>
      <c r="G7355" t="inlineStr">
        <is>
          <t>24</t>
        </is>
      </c>
      <c r="H7355" t="inlineStr">
        <is>
          <t>90¹, 270¹</t>
        </is>
      </c>
      <c r="I7355" t="n">
        <v>2</v>
      </c>
      <c r="J7355" t="inlineStr">
        <is>
          <t>1², 2², 4², 6¹, 8², 24¹</t>
        </is>
      </c>
      <c r="K7355">
        <f>HYPERLINK("CSG2.html#group54A2", "54A²"), =HYPERLINK("CSG6.html#group90C6", "90C⁶"), =HYPERLINK("CSG11.html#group135A11", "135A¹¹")</f>
        <v/>
      </c>
      <c r="L7355" t="inlineStr"/>
      <c r="M7355">
        <f>HYPERLINK("CSG0.html#group3B0", "3B⁰"), =HYPERLINK("CSG0.html#group2A0", "2A⁰"), =HYPERLINK("CSG0.html#group5A0", "5A⁰"), =HYPERLINK("CSG3.html#group45B3", "45B³"), =HYPERLINK("CSG0.html#group10A0", "10A⁰"), =HYPERLINK("CSG11.html#group135A11", "135A¹¹"), =HYPERLINK("CSG6.html#group90C6", "90C⁶"), =HYPERLINK("CSG0.html#group18B0", "18B⁰"), =HYPERLINK("CSG2.html#group30D2", "30D²"), =HYPERLINK("CSG0.html#group6C0", "6C⁰"), =HYPERLINK("CSG1.html#group15B1", "15B¹"), =HYPERLINK("CSG1.html#group27B1", "27B¹"), =HYPERLINK("CSG2.html#group54A2", "54A²"), =HYPERLINK("CSG0.html#group9C0", "9C⁰"), =HYPERLINK("CSG0.html#group1A0", "1A⁰")</f>
        <v/>
      </c>
      <c r="N7355" t="inlineStr"/>
    </row>
    <row r="7356">
      <c r="A7356" t="inlineStr">
        <is>
          <t>271A²²</t>
        </is>
      </c>
      <c r="B7356" t="inlineStr">
        <is>
          <t>Γ₀(271)</t>
        </is>
      </c>
      <c r="C7356" t="inlineStr">
        <is>
          <t>272</t>
        </is>
      </c>
      <c r="D7356" t="inlineStr">
        <is>
          <t>1</t>
        </is>
      </c>
      <c r="E7356" t="inlineStr">
        <is>
          <t>272</t>
        </is>
      </c>
      <c r="F7356" t="inlineStr">
        <is>
          <t>0</t>
        </is>
      </c>
      <c r="G7356" t="inlineStr">
        <is>
          <t>2</t>
        </is>
      </c>
      <c r="H7356" t="inlineStr">
        <is>
          <t>1¹, 271¹</t>
        </is>
      </c>
      <c r="I7356" t="n">
        <v>2</v>
      </c>
      <c r="J7356" t="inlineStr">
        <is>
          <t>1², 270¹</t>
        </is>
      </c>
      <c r="K7356">
        <f>HYPERLINK("CSG0.html#group1A0", "1A⁰")</f>
        <v/>
      </c>
      <c r="L7356" t="inlineStr"/>
      <c r="M7356">
        <f>HYPERLINK("CSG0.html#group1A0", "1A⁰")</f>
        <v/>
      </c>
      <c r="N7356" t="inlineStr"/>
    </row>
    <row r="7357">
      <c r="A7357" t="inlineStr">
        <is>
          <t>277A²²</t>
        </is>
      </c>
      <c r="B7357" t="inlineStr">
        <is>
          <t>Γ₀(277)</t>
        </is>
      </c>
      <c r="C7357" t="inlineStr">
        <is>
          <t>278</t>
        </is>
      </c>
      <c r="D7357" t="inlineStr">
        <is>
          <t>1</t>
        </is>
      </c>
      <c r="E7357" t="inlineStr">
        <is>
          <t>278</t>
        </is>
      </c>
      <c r="F7357" t="inlineStr">
        <is>
          <t>2</t>
        </is>
      </c>
      <c r="G7357" t="inlineStr">
        <is>
          <t>2</t>
        </is>
      </c>
      <c r="H7357" t="inlineStr">
        <is>
          <t>1¹, 277¹</t>
        </is>
      </c>
      <c r="I7357" t="n">
        <v>2</v>
      </c>
      <c r="J7357" t="inlineStr">
        <is>
          <t>1², 276¹</t>
        </is>
      </c>
      <c r="K7357">
        <f>HYPERLINK("CSG0.html#group1A0", "1A⁰")</f>
        <v/>
      </c>
      <c r="L7357" t="inlineStr"/>
      <c r="M7357">
        <f>HYPERLINK("CSG0.html#group1A0", "1A⁰")</f>
        <v/>
      </c>
      <c r="N7357" t="inlineStr"/>
    </row>
    <row r="7358">
      <c r="A7358" t="inlineStr">
        <is>
          <t>278A²²</t>
        </is>
      </c>
      <c r="B7358" t="inlineStr"/>
      <c r="C7358" t="inlineStr">
        <is>
          <t>280</t>
        </is>
      </c>
      <c r="D7358" t="inlineStr">
        <is>
          <t>1</t>
        </is>
      </c>
      <c r="E7358" t="inlineStr">
        <is>
          <t>140</t>
        </is>
      </c>
      <c r="F7358" t="inlineStr">
        <is>
          <t>0</t>
        </is>
      </c>
      <c r="G7358" t="inlineStr">
        <is>
          <t>4</t>
        </is>
      </c>
      <c r="H7358" t="inlineStr">
        <is>
          <t>2¹, 278¹</t>
        </is>
      </c>
      <c r="I7358" t="n">
        <v>2</v>
      </c>
      <c r="J7358" t="inlineStr">
        <is>
          <t>1², 138¹</t>
        </is>
      </c>
      <c r="K7358">
        <f>HYPERLINK("CSG0.html#group2A0", "2A⁰"), =HYPERLINK("CSG11.html#group139A11", "139A¹¹")</f>
        <v/>
      </c>
      <c r="L7358" t="inlineStr"/>
      <c r="M7358">
        <f>HYPERLINK("CSG11.html#group139A11", "139A¹¹"), =HYPERLINK("CSG0.html#group2A0", "2A⁰"), =HYPERLINK("CSG0.html#group1A0", "1A⁰")</f>
        <v/>
      </c>
      <c r="N7358" t="inlineStr"/>
    </row>
    <row r="7359">
      <c r="A7359" t="inlineStr">
        <is>
          <t>291A²²</t>
        </is>
      </c>
      <c r="B7359" t="inlineStr"/>
      <c r="C7359" t="inlineStr">
        <is>
          <t>294</t>
        </is>
      </c>
      <c r="D7359" t="inlineStr">
        <is>
          <t>2</t>
        </is>
      </c>
      <c r="E7359" t="inlineStr">
        <is>
          <t>98</t>
        </is>
      </c>
      <c r="F7359" t="inlineStr">
        <is>
          <t>6</t>
        </is>
      </c>
      <c r="G7359" t="inlineStr">
        <is>
          <t>3</t>
        </is>
      </c>
      <c r="H7359" t="inlineStr">
        <is>
          <t>3¹, 291¹</t>
        </is>
      </c>
      <c r="I7359" t="n">
        <v>2</v>
      </c>
      <c r="J7359" t="inlineStr">
        <is>
          <t>2², 192¹</t>
        </is>
      </c>
      <c r="K7359">
        <f>HYPERLINK("CSG7.html#group97A7", "97A⁷")</f>
        <v/>
      </c>
      <c r="L7359" t="inlineStr"/>
      <c r="M7359">
        <f>HYPERLINK("CSG0.html#group1A0", "1A⁰"), =HYPERLINK("CSG7.html#group97A7", "97A⁷")</f>
        <v/>
      </c>
      <c r="N7359" t="inlineStr"/>
    </row>
    <row r="7360">
      <c r="A7360" t="inlineStr">
        <is>
          <t>338A²²</t>
        </is>
      </c>
      <c r="B7360" t="inlineStr"/>
      <c r="C7360" t="inlineStr">
        <is>
          <t>364</t>
        </is>
      </c>
      <c r="D7360" t="inlineStr">
        <is>
          <t>1</t>
        </is>
      </c>
      <c r="E7360" t="inlineStr">
        <is>
          <t>182</t>
        </is>
      </c>
      <c r="F7360" t="inlineStr">
        <is>
          <t>4</t>
        </is>
      </c>
      <c r="G7360" t="inlineStr">
        <is>
          <t>4</t>
        </is>
      </c>
      <c r="H7360" t="inlineStr">
        <is>
          <t>2¹³, 338¹</t>
        </is>
      </c>
      <c r="I7360" t="n">
        <v>14</v>
      </c>
      <c r="J7360" t="inlineStr">
        <is>
          <t>1², 12², 156¹</t>
        </is>
      </c>
      <c r="K7360">
        <f>HYPERLINK("CSG0.html#group26A0", "26A⁰"), =HYPERLINK("CSG8.html#group169A8", "169A⁸")</f>
        <v/>
      </c>
      <c r="L7360" t="inlineStr"/>
      <c r="M7360">
        <f>HYPERLINK("CSG0.html#group13A0", "13A⁰"), =HYPERLINK("CSG0.html#group26A0", "26A⁰"), =HYPERLINK("CSG0.html#group1A0", "1A⁰"), =HYPERLINK("CSG8.html#group169A8", "169A⁸")</f>
        <v/>
      </c>
      <c r="N7360" t="inlineStr"/>
    </row>
    <row r="7361">
      <c r="A7361" t="inlineStr">
        <is>
          <t>361A²²</t>
        </is>
      </c>
      <c r="B7361" t="inlineStr">
        <is>
          <t>Γ₀(361)</t>
        </is>
      </c>
      <c r="C7361" t="inlineStr">
        <is>
          <t>380</t>
        </is>
      </c>
      <c r="D7361" t="inlineStr">
        <is>
          <t>1</t>
        </is>
      </c>
      <c r="E7361" t="inlineStr">
        <is>
          <t>380</t>
        </is>
      </c>
      <c r="F7361" t="inlineStr">
        <is>
          <t>0</t>
        </is>
      </c>
      <c r="G7361" t="inlineStr">
        <is>
          <t>2</t>
        </is>
      </c>
      <c r="H7361" t="inlineStr">
        <is>
          <t>1¹⁹, 361¹</t>
        </is>
      </c>
      <c r="I7361" t="n">
        <v>20</v>
      </c>
      <c r="J7361" t="inlineStr">
        <is>
          <t>1², 18², 342¹</t>
        </is>
      </c>
      <c r="K7361">
        <f>HYPERLINK("CSG1.html#group19A1", "19A¹")</f>
        <v/>
      </c>
      <c r="L7361" t="inlineStr"/>
      <c r="M7361">
        <f>HYPERLINK("CSG1.html#group19A1", "19A¹"), =HYPERLINK("CSG0.html#group1A0", "1A⁰")</f>
        <v/>
      </c>
      <c r="N7361" t="inlineStr"/>
    </row>
    <row r="7362">
      <c r="A7362" t="inlineStr">
        <is>
          <t>14A²³</t>
        </is>
      </c>
      <c r="B7362" t="inlineStr"/>
      <c r="C7362" t="inlineStr">
        <is>
          <t>504</t>
        </is>
      </c>
      <c r="D7362" t="inlineStr">
        <is>
          <t>1</t>
        </is>
      </c>
      <c r="E7362" t="inlineStr">
        <is>
          <t>63</t>
        </is>
      </c>
      <c r="F7362" t="inlineStr">
        <is>
          <t>8</t>
        </is>
      </c>
      <c r="G7362" t="inlineStr">
        <is>
          <t>0</t>
        </is>
      </c>
      <c r="H7362" t="inlineStr">
        <is>
          <t>14³⁶</t>
        </is>
      </c>
      <c r="I7362" t="n">
        <v>36</v>
      </c>
      <c r="J7362" t="inlineStr">
        <is>
          <t>3³, 6⁹</t>
        </is>
      </c>
      <c r="K7362">
        <f>HYPERLINK("CSG6.html#group14B6", "14B⁶"), =HYPERLINK("CSG7.html#group14B7", "14B⁷"), =HYPERLINK("CSG7.html#group14D7", "14D⁷"), =HYPERLINK("CSG9.html#group14C9", "14C⁹"), =HYPERLINK("CSG11.html#group14A11", "14A¹¹")</f>
        <v/>
      </c>
      <c r="L7362" t="inlineStr"/>
      <c r="M7362">
        <f>HYPERLINK("CSG0.html#group14A0", "14A⁰"), =HYPERLINK("CSG4.html#group14A4", "14A⁴"), =HYPERLINK("CSG2.html#group14B2", "14B²"), =HYPERLINK("CSG7.html#group14B7", "14B⁷"), =HYPERLINK("CSG0.html#group7D0", "7D⁰"), =HYPERLINK("CSG1.html#group14B1", "14B¹"), =HYPERLINK("CSG9.html#group14C9", "14C⁹"), =HYPERLINK("CSG2.html#group14C2", "14C²"), =HYPERLINK("CSG7.html#group14D7", "14D⁷"), =HYPERLINK("CSG0.html#group2B0", "2B⁰"), =HYPERLINK("CSG0.html#group7G0", "7G⁰"), =HYPERLINK("CSG1.html#group7C1", "7C¹"), =HYPERLINK("CSG6.html#group14B6", "14B⁶"), =HYPERLINK("CSG1.html#group14G1", "14G¹"), =HYPERLINK("CSG0.html#group1A0", "1A⁰"), =HYPERLINK("CSG5.html#group14F5", "14F⁵"), =HYPERLINK("CSG6.html#group14A6", "14A⁶"), =HYPERLINK("CSG3.html#group14D3", "14D³"), =HYPERLINK("CSG11.html#group14A11", "14A¹¹"), =HYPERLINK("CSG5.html#group14G5", "14G⁵"), =HYPERLINK("CSG2.html#group14A2", "14A²"), =HYPERLINK("CSG1.html#group14F1", "14F¹"), =HYPERLINK("CSG0.html#group7C0", "7C⁰"), =HYPERLINK("CSG1.html#group7A1", "7A¹"), =HYPERLINK("CSG0.html#group7F0", "7F⁰"), =HYPERLINK("CSG3.html#group14F3", "14F³"), =HYPERLINK("CSG2.html#group14F2", "14F²"), =HYPERLINK("CSG1.html#group14E1", "14E¹"), =HYPERLINK("CSG0.html#group7A0", "7A⁰")</f>
        <v/>
      </c>
      <c r="N7362" t="inlineStr"/>
    </row>
    <row r="7363">
      <c r="A7363" t="inlineStr">
        <is>
          <t>15A²³</t>
        </is>
      </c>
      <c r="B7363" t="inlineStr"/>
      <c r="C7363" t="inlineStr">
        <is>
          <t>480</t>
        </is>
      </c>
      <c r="D7363" t="inlineStr">
        <is>
          <t>1</t>
        </is>
      </c>
      <c r="E7363" t="inlineStr">
        <is>
          <t>80</t>
        </is>
      </c>
      <c r="F7363" t="inlineStr">
        <is>
          <t>0</t>
        </is>
      </c>
      <c r="G7363" t="inlineStr">
        <is>
          <t>6</t>
        </is>
      </c>
      <c r="H7363" t="inlineStr">
        <is>
          <t>15³²</t>
        </is>
      </c>
      <c r="I7363" t="n">
        <v>32</v>
      </c>
      <c r="J7363" t="inlineStr">
        <is>
          <t>4², 8⁹</t>
        </is>
      </c>
      <c r="K7363">
        <f>HYPERLINK("CSG4.html#group15E4", "15E⁴"), =HYPERLINK("CSG5.html#group15D5", "15D⁵"), =HYPERLINK("CSG12.html#group15A12", "15A¹²")</f>
        <v/>
      </c>
      <c r="L7363" t="inlineStr"/>
      <c r="M7363">
        <f>HYPERLINK("CSG0.html#group3B0", "3B⁰"), =HYPERLINK("CSG2.html#group15E2", "15E²"), =HYPERLINK("CSG0.html#group5A0", "5A⁰"), =HYPERLINK("CSG4.html#group15E4", "15E⁴"), =HYPERLINK("CSG3.html#group15D3", "15D³"), =HYPERLINK("CSG5.html#group15D5", "15D⁵"), =HYPERLINK("CSG3.html#group15G3", "15G³"), =HYPERLINK("CSG12.html#group15A12", "15A¹²"), =HYPERLINK("CSG1.html#group15B1", "15B¹"), =HYPERLINK("CSG0.html#group5F0", "5F⁰"), =HYPERLINK("CSG3.html#group15B3", "15B³"), =HYPERLINK("CSG2.html#group15C2", "15C²"), =HYPERLINK("CSG0.html#group1A0", "1A⁰"), =HYPERLINK("CSG0.html#group5C0", "5C⁰"), =HYPERLINK("CSG0.html#group15A0", "15A⁰")</f>
        <v/>
      </c>
      <c r="N7363" t="inlineStr"/>
    </row>
    <row r="7364">
      <c r="A7364" t="inlineStr">
        <is>
          <t>26A²³</t>
        </is>
      </c>
      <c r="B7364" t="inlineStr"/>
      <c r="C7364" t="inlineStr">
        <is>
          <t>364</t>
        </is>
      </c>
      <c r="D7364" t="inlineStr">
        <is>
          <t>1</t>
        </is>
      </c>
      <c r="E7364" t="inlineStr">
        <is>
          <t>91</t>
        </is>
      </c>
      <c r="F7364" t="inlineStr">
        <is>
          <t>0</t>
        </is>
      </c>
      <c r="G7364" t="inlineStr">
        <is>
          <t>4</t>
        </is>
      </c>
      <c r="H7364" t="inlineStr">
        <is>
          <t>26¹⁴</t>
        </is>
      </c>
      <c r="I7364" t="n">
        <v>14</v>
      </c>
      <c r="J7364" t="inlineStr">
        <is>
          <t>1¹, 6¹, 12⁷</t>
        </is>
      </c>
      <c r="K7364">
        <f>HYPERLINK("CSG1.html#group26A1", "26A¹"), =HYPERLINK("CSG8.html#group13B8", "13B⁸"), =HYPERLINK("CSG9.html#group26C9", "26C⁹"), =HYPERLINK("CSG12.html#group26A12", "26A¹²")</f>
        <v/>
      </c>
      <c r="L7364" t="inlineStr"/>
      <c r="M7364">
        <f>HYPERLINK("CSG0.html#group2A0", "2A⁰"), =HYPERLINK("CSG1.html#group26A1", "26A¹"), =HYPERLINK("CSG8.html#group13B8", "13B⁸"), =HYPERLINK("CSG9.html#group26C9", "26C⁹"), =HYPERLINK("CSG0.html#group13A0", "13A⁰"), =HYPERLINK("CSG3.html#group13C3", "13C³"), =HYPERLINK("CSG12.html#group26A12", "26A¹²"), =HYPERLINK("CSG0.html#group1A0", "1A⁰")</f>
        <v/>
      </c>
      <c r="N7364" t="inlineStr"/>
    </row>
    <row r="7365">
      <c r="A7365" t="inlineStr">
        <is>
          <t>26B²³</t>
        </is>
      </c>
      <c r="B7365" t="inlineStr"/>
      <c r="C7365" t="inlineStr">
        <is>
          <t>364</t>
        </is>
      </c>
      <c r="D7365" t="inlineStr">
        <is>
          <t>1</t>
        </is>
      </c>
      <c r="E7365" t="inlineStr">
        <is>
          <t>91</t>
        </is>
      </c>
      <c r="F7365" t="inlineStr">
        <is>
          <t>0</t>
        </is>
      </c>
      <c r="G7365" t="inlineStr">
        <is>
          <t>4</t>
        </is>
      </c>
      <c r="H7365" t="inlineStr">
        <is>
          <t>26¹⁴</t>
        </is>
      </c>
      <c r="I7365" t="n">
        <v>14</v>
      </c>
      <c r="J7365" t="inlineStr">
        <is>
          <t>2¹, 6², 12¹⁴</t>
        </is>
      </c>
      <c r="K7365">
        <f>HYPERLINK("CSG7.html#group13A7", "13A⁷"), =HYPERLINK("CSG10.html#group26C10", "26C¹⁰"), =HYPERLINK("CSG12.html#group26A12", "26A¹²")</f>
        <v/>
      </c>
      <c r="L7365" t="inlineStr"/>
      <c r="M7365">
        <f>HYPERLINK("CSG3.html#group13C3", "13C³"), =HYPERLINK("CSG12.html#group26A12", "26A¹²"), =HYPERLINK("CSG10.html#group26C10", "26C¹⁰"), =HYPERLINK("CSG0.html#group2A0", "2A⁰"), =HYPERLINK("CSG0.html#group1A0", "1A⁰"), =HYPERLINK("CSG7.html#group13A7", "13A⁷")</f>
        <v/>
      </c>
      <c r="N7365" t="inlineStr"/>
    </row>
    <row r="7366">
      <c r="A7366" t="inlineStr">
        <is>
          <t>26C²³</t>
        </is>
      </c>
      <c r="B7366" t="inlineStr"/>
      <c r="C7366" t="inlineStr">
        <is>
          <t>364</t>
        </is>
      </c>
      <c r="D7366" t="inlineStr">
        <is>
          <t>1</t>
        </is>
      </c>
      <c r="E7366" t="inlineStr">
        <is>
          <t>91</t>
        </is>
      </c>
      <c r="F7366" t="inlineStr">
        <is>
          <t>0</t>
        </is>
      </c>
      <c r="G7366" t="inlineStr">
        <is>
          <t>4</t>
        </is>
      </c>
      <c r="H7366" t="inlineStr">
        <is>
          <t>26¹⁴</t>
        </is>
      </c>
      <c r="I7366" t="n">
        <v>14</v>
      </c>
      <c r="J7366" t="inlineStr">
        <is>
          <t>2¹, 6², 12¹⁴</t>
        </is>
      </c>
      <c r="K7366">
        <f>HYPERLINK("CSG7.html#group13B7", "13B⁷"), =HYPERLINK("CSG10.html#group26B10", "26B¹⁰"), =HYPERLINK("CSG12.html#group26A12", "26A¹²")</f>
        <v/>
      </c>
      <c r="L7366" t="inlineStr"/>
      <c r="M7366">
        <f>HYPERLINK("CSG0.html#group2A0", "2A⁰"), =HYPERLINK("CSG12.html#group26A12", "26A¹²"), =HYPERLINK("CSG7.html#group13B7", "13B⁷"), =HYPERLINK("CSG3.html#group13C3", "13C³"), =HYPERLINK("CSG0.html#group1A0", "1A⁰"), =HYPERLINK("CSG10.html#group26B10", "26B¹⁰")</f>
        <v/>
      </c>
      <c r="N7366" t="inlineStr"/>
    </row>
    <row r="7367">
      <c r="A7367" t="inlineStr">
        <is>
          <t>28A²³</t>
        </is>
      </c>
      <c r="B7367" t="inlineStr"/>
      <c r="C7367" t="inlineStr">
        <is>
          <t>336</t>
        </is>
      </c>
      <c r="D7367" t="inlineStr">
        <is>
          <t>1</t>
        </is>
      </c>
      <c r="E7367" t="inlineStr">
        <is>
          <t>84</t>
        </is>
      </c>
      <c r="F7367" t="inlineStr">
        <is>
          <t>0</t>
        </is>
      </c>
      <c r="G7367" t="inlineStr">
        <is>
          <t>0</t>
        </is>
      </c>
      <c r="H7367" t="inlineStr">
        <is>
          <t>28¹²</t>
        </is>
      </c>
      <c r="I7367" t="n">
        <v>12</v>
      </c>
      <c r="J7367" t="inlineStr">
        <is>
          <t>6², 12⁶</t>
        </is>
      </c>
      <c r="K7367">
        <f>HYPERLINK("CSG5.html#group14A5", "14A⁵"), =HYPERLINK("CSG10.html#group28B10", "28B¹⁰"), =HYPERLINK("CSG11.html#group28B11", "28B¹¹")</f>
        <v/>
      </c>
      <c r="L7367" t="inlineStr"/>
      <c r="M7367">
        <f>HYPERLINK("CSG0.html#group14A0", "14A⁰"), =HYPERLINK("CSG2.html#group28E2", "28E²"), =HYPERLINK("CSG10.html#group28B10", "28B¹⁰"), =HYPERLINK("CSG2.html#group14B2", "14B²"), =HYPERLINK("CSG5.html#group14A5", "14A⁵"), =HYPERLINK("CSG0.html#group7D0", "7D⁰"), =HYPERLINK("CSG0.html#group4A0", "4A⁰"), =HYPERLINK("CSG1.html#group7A1", "7A¹"), =HYPERLINK("CSG4.html#group28B4", "28B⁴"), =HYPERLINK("CSG1.html#group28A1", "28A¹"), =HYPERLINK("CSG0.html#group1A0", "1A⁰"), =HYPERLINK("CSG11.html#group28B11", "28B¹¹"), =HYPERLINK("CSG0.html#group7A0", "7A⁰")</f>
        <v/>
      </c>
      <c r="N7367" t="inlineStr"/>
    </row>
    <row r="7368">
      <c r="A7368" t="inlineStr">
        <is>
          <t>28B²³</t>
        </is>
      </c>
      <c r="B7368" t="inlineStr"/>
      <c r="C7368" t="inlineStr">
        <is>
          <t>336</t>
        </is>
      </c>
      <c r="D7368" t="inlineStr">
        <is>
          <t>1</t>
        </is>
      </c>
      <c r="E7368" t="inlineStr">
        <is>
          <t>84</t>
        </is>
      </c>
      <c r="F7368" t="inlineStr">
        <is>
          <t>0</t>
        </is>
      </c>
      <c r="G7368" t="inlineStr">
        <is>
          <t>0</t>
        </is>
      </c>
      <c r="H7368" t="inlineStr">
        <is>
          <t>28¹²</t>
        </is>
      </c>
      <c r="I7368" t="n">
        <v>12</v>
      </c>
      <c r="J7368" t="inlineStr">
        <is>
          <t>6², 12⁶</t>
        </is>
      </c>
      <c r="K7368">
        <f>HYPERLINK("CSG5.html#group14B5", "14B⁵"), =HYPERLINK("CSG8.html#group28B8", "28B⁸"), =HYPERLINK("CSG11.html#group28B11", "28B¹¹"), =HYPERLINK("CSG12.html#group28A12", "28A¹²")</f>
        <v/>
      </c>
      <c r="L7368" t="inlineStr"/>
      <c r="M7368">
        <f>HYPERLINK("CSG0.html#group2A0", "2A⁰"), =HYPERLINK("CSG0.html#group7D0", "7D⁰"), =HYPERLINK("CSG1.html#group14A1", "14A¹"), =HYPERLINK("CSG12.html#group28A12", "28A¹²"), =HYPERLINK("CSG5.html#group14B5", "14B⁵"), =HYPERLINK("CSG4.html#group28B4", "28B⁴"), =HYPERLINK("CSG0.html#group1A0", "1A⁰"), =HYPERLINK("CSG3.html#group14A3", "14A³"), =HYPERLINK("CSG4.html#group28A4", "28A⁴"), =HYPERLINK("CSG8.html#group28B8", "28B⁸"), =HYPERLINK("CSG0.html#group4A0", "4A⁰"), =HYPERLINK("CSG0.html#group4D0", "4D⁰"), =HYPERLINK("CSG1.html#group7A1", "7A¹"), =HYPERLINK("CSG1.html#group28A1", "28A¹"), =HYPERLINK("CSG1.html#group14E1", "14E¹"), =HYPERLINK("CSG11.html#group28B11", "28B¹¹"), =HYPERLINK("CSG0.html#group7A0", "7A⁰")</f>
        <v/>
      </c>
      <c r="N7368" t="inlineStr"/>
    </row>
    <row r="7369">
      <c r="A7369" t="inlineStr">
        <is>
          <t>28C²³</t>
        </is>
      </c>
      <c r="B7369" t="inlineStr"/>
      <c r="C7369" t="inlineStr">
        <is>
          <t>336</t>
        </is>
      </c>
      <c r="D7369" t="inlineStr">
        <is>
          <t>2</t>
        </is>
      </c>
      <c r="E7369" t="inlineStr">
        <is>
          <t>7</t>
        </is>
      </c>
      <c r="F7369" t="inlineStr">
        <is>
          <t>0</t>
        </is>
      </c>
      <c r="G7369" t="inlineStr">
        <is>
          <t>0</t>
        </is>
      </c>
      <c r="H7369" t="inlineStr">
        <is>
          <t>28¹²</t>
        </is>
      </c>
      <c r="I7369" t="n">
        <v>12</v>
      </c>
      <c r="J7369" t="inlineStr">
        <is>
          <t>2¹, 6²</t>
        </is>
      </c>
      <c r="K7369">
        <f>HYPERLINK("CSG7.html#group28A7", "28A⁷"), =HYPERLINK("CSG10.html#group28A10", "28A¹⁰"), =HYPERLINK("CSG11.html#group28C11", "28C¹¹"), =HYPERLINK("CSG11.html#group28D11", "28D¹¹"), =HYPERLINK("CSG12.html#group28B12", "28B¹²"), =HYPERLINK("CSG12.html#group28C12", "28C¹²")</f>
        <v/>
      </c>
      <c r="L7369" t="inlineStr"/>
      <c r="M7369">
        <f>HYPERLINK("CSG0.html#group2A0", "2A⁰"), =HYPERLINK("CSG2.html#group28E2", "28E²"), =HYPERLINK("CSG0.html#group14A0", "14A⁰"), =HYPERLINK("CSG6.html#group28B6", "28B⁶"), =HYPERLINK("CSG4.html#group28C4", "28C⁴"), =HYPERLINK("CSG1.html#group14B1", "14B¹"), =HYPERLINK("CSG12.html#group28B12", "28B¹²"), =HYPERLINK("CSG3.html#group14B3", "14B³"), =HYPERLINK("CSG0.html#group4C0", "4C⁰"), =HYPERLINK("CSG1.html#group14A1", "14A¹"), =HYPERLINK("CSG2.html#group14C2", "14C²"), =HYPERLINK("CSG3.html#group28A3", "28A³"), =HYPERLINK("CSG5.html#group28C5", "28C⁵"), =HYPERLINK("CSG0.html#group2B0", "2B⁰"), =HYPERLINK("CSG0.html#group4G0", "4G⁰"), =HYPERLINK("CSG0.html#group4E0", "4E⁰"), =HYPERLINK("CSG0.html#group4B0", "4B⁰"), =HYPERLINK("CSG0.html#group1A0", "1A⁰"), =HYPERLINK("CSG1.html#group14D1", "14D¹"), =HYPERLINK("CSG2.html#group14A2", "14A²"), =HYPERLINK("CSG4.html#group28A4", "28A⁴"), =HYPERLINK("CSG0.html#group7C0", "7C⁰"), =HYPERLINK("CSG0.html#group4D0", "4D⁰"), =HYPERLINK("CSG6.html#group28C6", "28C⁶"), =HYPERLINK("CSG3.html#group28B3", "28B³"), =HYPERLINK("CSG0.html#group7A0", "7A⁰"), =HYPERLINK("CSG3.html#group28D3", "28D³"), =HYPERLINK("CSG5.html#group14D5", "14D⁵"), =HYPERLINK("CSG11.html#group28C11", "28C¹¹"), =HYPERLINK("CSG5.html#group28A5", "28A⁵"), =HYPERLINK("CSG5.html#group28B5", "28B⁵"), =HYPERLINK("CSG10.html#group28A10", "28A¹⁰"), =HYPERLINK("CSG2.html#group28C2", "28C²"), =HYPERLINK("CSG11.html#group28D11", "28D¹¹"), =HYPERLINK("CSG0.html#group4A0", "4A⁰"), =HYPERLINK("CSG5.html#group28D5", "28D⁵"), =HYPERLINK("CSG12.html#group28C12", "28C¹²"), =HYPERLINK("CSG6.html#group28A6", "28A⁶"), =HYPERLINK("CSG7.html#group28A7", "28A⁷"), =HYPERLINK("CSG0.html#group4F0", "4F⁰"), =HYPERLINK("CSG1.html#group28A1", "28A¹"), =HYPERLINK("CSG0.html#group2C0", "2C⁰"), =HYPERLINK("CSG2.html#group28B2", "28B²")</f>
        <v/>
      </c>
      <c r="N7369" t="inlineStr"/>
    </row>
    <row r="7370">
      <c r="A7370" t="inlineStr">
        <is>
          <t>28D²³</t>
        </is>
      </c>
      <c r="B7370" t="inlineStr"/>
      <c r="C7370" t="inlineStr">
        <is>
          <t>336</t>
        </is>
      </c>
      <c r="D7370" t="inlineStr">
        <is>
          <t>2</t>
        </is>
      </c>
      <c r="E7370" t="inlineStr">
        <is>
          <t>28</t>
        </is>
      </c>
      <c r="F7370" t="inlineStr">
        <is>
          <t>0</t>
        </is>
      </c>
      <c r="G7370" t="inlineStr">
        <is>
          <t>0</t>
        </is>
      </c>
      <c r="H7370" t="inlineStr">
        <is>
          <t>28¹²</t>
        </is>
      </c>
      <c r="I7370" t="n">
        <v>12</v>
      </c>
      <c r="J7370" t="inlineStr">
        <is>
          <t>4², 12⁴</t>
        </is>
      </c>
      <c r="K7370">
        <f>HYPERLINK("CSG5.html#group14C5", "14C⁵"), =HYPERLINK("CSG7.html#group28A7", "28A⁷"), =HYPERLINK("CSG9.html#group28C9", "28C⁹"), =HYPERLINK("CSG10.html#group28B10", "28B¹⁰"), =HYPERLINK("CSG12.html#group28A12", "28A¹²")</f>
        <v/>
      </c>
      <c r="L7370" t="inlineStr"/>
      <c r="M7370">
        <f>HYPERLINK("CSG0.html#group2A0", "2A⁰"), =HYPERLINK("CSG2.html#group28E2", "28E²"), =HYPERLINK("CSG0.html#group14A0", "14A⁰"), =HYPERLINK("CSG10.html#group28B10", "28B¹⁰"), =HYPERLINK("CSG3.html#group28D3", "28D³"), =HYPERLINK("CSG2.html#group14B2", "14B²"), =HYPERLINK("CSG0.html#group7D0", "7D⁰"), =HYPERLINK("CSG1.html#group14A1", "14A¹"), =HYPERLINK("CSG5.html#group14C5", "14C⁵"), =HYPERLINK("CSG12.html#group28A12", "28A¹²"), =HYPERLINK("CSG4.html#group28B4", "28B⁴"), =HYPERLINK("CSG0.html#group7G0", "7G⁰"), =HYPERLINK("CSG0.html#group1A0", "1A⁰"), =HYPERLINK("CSG1.html#group14D1", "14D¹"), =HYPERLINK("CSG0.html#group4A0", "4A⁰"), =HYPERLINK("CSG3.html#group14A3", "14A³"), =HYPERLINK("CSG0.html#group7C0", "7C⁰"), =HYPERLINK("CSG4.html#group28A4", "28A⁴"), =HYPERLINK("CSG0.html#group4D0", "4D⁰"), =HYPERLINK("CSG7.html#group28A7", "28A⁷"), =HYPERLINK("CSG1.html#group28A1", "28A¹"), =HYPERLINK("CSG9.html#group28C9", "28C⁹"), =HYPERLINK("CSG0.html#group7A0", "7A⁰")</f>
        <v/>
      </c>
      <c r="N7370" t="inlineStr"/>
    </row>
    <row r="7371">
      <c r="A7371" t="inlineStr">
        <is>
          <t>28E²³</t>
        </is>
      </c>
      <c r="B7371" t="inlineStr"/>
      <c r="C7371" t="inlineStr">
        <is>
          <t>504</t>
        </is>
      </c>
      <c r="D7371" t="inlineStr">
        <is>
          <t>1</t>
        </is>
      </c>
      <c r="E7371" t="inlineStr">
        <is>
          <t>63</t>
        </is>
      </c>
      <c r="F7371" t="inlineStr">
        <is>
          <t>8</t>
        </is>
      </c>
      <c r="G7371" t="inlineStr">
        <is>
          <t>0</t>
        </is>
      </c>
      <c r="H7371" t="inlineStr">
        <is>
          <t>7²⁴, 28¹²</t>
        </is>
      </c>
      <c r="I7371" t="n">
        <v>36</v>
      </c>
      <c r="J7371" t="inlineStr">
        <is>
          <t>3³, 6⁹</t>
        </is>
      </c>
      <c r="K7371">
        <f>HYPERLINK("CSG7.html#group28E7", "28E⁷"), =HYPERLINK("CSG9.html#group14C9", "14C⁹"), =HYPERLINK("CSG11.html#group28I11", "28I¹¹")</f>
        <v/>
      </c>
      <c r="L7371" t="inlineStr"/>
      <c r="M7371">
        <f>HYPERLINK("CSG4.html#group14A4", "14A⁴"), =HYPERLINK("CSG7.html#group28E7", "28E⁷"), =HYPERLINK("CSG0.html#group7D0", "7D⁰"), =HYPERLINK("CSG1.html#group14B1", "14B¹"), =HYPERLINK("CSG9.html#group14C9", "14C⁹"), =HYPERLINK("CSG0.html#group2B0", "2B⁰"), =HYPERLINK("CSG0.html#group7G0", "7G⁰"), =HYPERLINK("CSG1.html#group7C1", "7C¹"), =HYPERLINK("CSG5.html#group14F5", "14F⁵"), =HYPERLINK("CSG0.html#group1A0", "1A⁰"), =HYPERLINK("CSG3.html#group14D3", "14D³"), =HYPERLINK("CSG6.html#group28J6", "28J⁶"), =HYPERLINK("CSG2.html#group14A2", "14A²"), =HYPERLINK("CSG5.html#group28H5", "28H⁵"), =HYPERLINK("CSG0.html#group7C0", "7C⁰"), =HYPERLINK("CSG11.html#group28I11", "28I¹¹"), =HYPERLINK("CSG1.html#group7A1", "7A¹"), =HYPERLINK("CSG0.html#group7F0", "7F⁰"), =HYPERLINK("CSG2.html#group14F2", "14F²"), =HYPERLINK("CSG2.html#group28B2", "28B²"), =HYPERLINK("CSG0.html#group7A0", "7A⁰")</f>
        <v/>
      </c>
      <c r="N7371" t="inlineStr"/>
    </row>
    <row r="7372">
      <c r="A7372" t="inlineStr">
        <is>
          <t>30A²³</t>
        </is>
      </c>
      <c r="B7372" t="inlineStr"/>
      <c r="C7372" t="inlineStr">
        <is>
          <t>360</t>
        </is>
      </c>
      <c r="D7372" t="inlineStr">
        <is>
          <t>1</t>
        </is>
      </c>
      <c r="E7372" t="inlineStr">
        <is>
          <t>30</t>
        </is>
      </c>
      <c r="F7372" t="inlineStr">
        <is>
          <t>0</t>
        </is>
      </c>
      <c r="G7372" t="inlineStr">
        <is>
          <t>0</t>
        </is>
      </c>
      <c r="H7372" t="inlineStr">
        <is>
          <t>15⁸, 30⁸</t>
        </is>
      </c>
      <c r="I7372" t="n">
        <v>16</v>
      </c>
      <c r="J7372" t="inlineStr">
        <is>
          <t>2³, 4⁶</t>
        </is>
      </c>
      <c r="K7372">
        <f>HYPERLINK("CSG0.html#group6K0", "6K⁰"), =HYPERLINK("CSG7.html#group15A7", "15A⁷"), =HYPERLINK("CSG7.html#group30L7", "30L⁷"), =HYPERLINK("CSG11.html#group30C11", "30C¹¹")</f>
        <v/>
      </c>
      <c r="L7372" t="inlineStr"/>
      <c r="M7372">
        <f>HYPERLINK("CSG0.html#group3B0", "3B⁰"), =HYPERLINK("CSG0.html#group6G0", "6G⁰"), =HYPERLINK("CSG7.html#group15A7", "15A⁷"), =HYPERLINK("CSG0.html#group2B0", "2B⁰"), =HYPERLINK("CSG7.html#group30L7", "30L⁷"), =HYPERLINK("CSG3.html#group15C3", "15C³"), =HYPERLINK("CSG0.html#group1A0", "1A⁰"), =HYPERLINK("CSG0.html#group3D0", "3D⁰"), =HYPERLINK("CSG1.html#group10F1", "10F¹"), =HYPERLINK("CSG5.html#group30K5", "30K⁵"), =HYPERLINK("CSG11.html#group30C11", "30C¹¹"), =HYPERLINK("CSG1.html#group15D1", "15D¹"), =HYPERLINK("CSG0.html#group6F0", "6F⁰"), =HYPERLINK("CSG0.html#group3C0", "3C⁰"), =HYPERLINK("CSG0.html#group6K0", "6K⁰"), =HYPERLINK("CSG2.html#group15C2", "15C²"), =HYPERLINK("CSG0.html#group3A0", "3A⁰"), =HYPERLINK("CSG0.html#group5C0", "5C⁰"), =HYPERLINK("CSG0.html#group6D0", "6D⁰")</f>
        <v/>
      </c>
      <c r="N7372" t="inlineStr"/>
    </row>
    <row r="7373">
      <c r="A7373" t="inlineStr">
        <is>
          <t>30B²³</t>
        </is>
      </c>
      <c r="B7373" t="inlineStr"/>
      <c r="C7373" t="inlineStr">
        <is>
          <t>360</t>
        </is>
      </c>
      <c r="D7373" t="inlineStr">
        <is>
          <t>1</t>
        </is>
      </c>
      <c r="E7373" t="inlineStr">
        <is>
          <t>45</t>
        </is>
      </c>
      <c r="F7373" t="inlineStr">
        <is>
          <t>8</t>
        </is>
      </c>
      <c r="G7373" t="inlineStr">
        <is>
          <t>0</t>
        </is>
      </c>
      <c r="H7373" t="inlineStr">
        <is>
          <t>30¹²</t>
        </is>
      </c>
      <c r="I7373" t="n">
        <v>12</v>
      </c>
      <c r="J7373" t="inlineStr">
        <is>
          <t>1¹, 2², 4⁴, 8³</t>
        </is>
      </c>
      <c r="K7373">
        <f>HYPERLINK("CSG3.html#group30I3", "30I³"), =HYPERLINK("CSG7.html#group30I7", "30I⁷"), =HYPERLINK("CSG9.html#group15A9", "15A⁹"), =HYPERLINK("CSG10.html#group30A10", "30A¹⁰"), =HYPERLINK("CSG10.html#group30I10", "30I¹⁰"), =HYPERLINK("CSG11.html#group30B11", "30B¹¹"), =HYPERLINK("CSG12.html#group30C12", "30C¹²")</f>
        <v/>
      </c>
      <c r="L7373" t="inlineStr"/>
      <c r="M7373">
        <f>HYPERLINK("CSG0.html#group5A0", "5A⁰"), =HYPERLINK("CSG10.html#group30I10", "30I¹⁰"), =HYPERLINK("CSG1.html#group15F1", "15F¹"), =HYPERLINK("CSG0.html#group5B0", "5B⁰"), =HYPERLINK("CSG4.html#group30A4", "30A⁴"), =HYPERLINK("CSG3.html#group15C3", "15C³"), =HYPERLINK("CSG3.html#group30H3", "30H³"), =HYPERLINK("CSG0.html#group1A0", "1A⁰"), =HYPERLINK("CSG9.html#group15A9", "15A⁹"), =HYPERLINK("CSG5.html#group30L5", "30L⁵"), =HYPERLINK("CSG4.html#group30E4", "30E⁴"), =HYPERLINK("CSG0.html#group3C0", "3C⁰"), =HYPERLINK("CSG0.html#group3A0", "3A⁰"), =HYPERLINK("CSG11.html#group30B11", "30B¹¹"), =HYPERLINK("CSG0.html#group5G0", "5G⁰"), =HYPERLINK("CSG3.html#group15H3", "15H³"), =HYPERLINK("CSG1.html#group15A1", "15A¹"), =HYPERLINK("CSG4.html#group15D4", "15D⁴"), =HYPERLINK("CSG0.html#group6B0", "6B⁰"), =HYPERLINK("CSG10.html#group30A10", "30A¹⁰"), =HYPERLINK("CSG3.html#group30I3", "30I³"), =HYPERLINK("CSG7.html#group30I7", "30I⁷"), =HYPERLINK("CSG4.html#group15C4", "15C⁴"), =HYPERLINK("CSG1.html#group15D1", "15D¹"), =HYPERLINK("CSG0.html#group15B0", "15B⁰"), =HYPERLINK("CSG2.html#group30A2", "30A²"), =HYPERLINK("CSG2.html#group15A2", "15A²"), =HYPERLINK("CSG0.html#group6E0", "6E⁰"), =HYPERLINK("CSG1.html#group15E1", "15E¹"), =HYPERLINK("CSG0.html#group5E0", "5E⁰"), =HYPERLINK("CSG12.html#group30C12", "30C¹²"), =HYPERLINK("CSG0.html#group5C0", "5C⁰"), =HYPERLINK("CSG1.html#group30C1", "30C¹"), =HYPERLINK("CSG0.html#group15A0", "15A⁰")</f>
        <v/>
      </c>
      <c r="N7373" t="inlineStr"/>
    </row>
    <row r="7374">
      <c r="A7374" t="inlineStr">
        <is>
          <t>30C²³</t>
        </is>
      </c>
      <c r="B7374" t="inlineStr"/>
      <c r="C7374" t="inlineStr">
        <is>
          <t>360</t>
        </is>
      </c>
      <c r="D7374" t="inlineStr">
        <is>
          <t>1</t>
        </is>
      </c>
      <c r="E7374" t="inlineStr">
        <is>
          <t>45</t>
        </is>
      </c>
      <c r="F7374" t="inlineStr">
        <is>
          <t>8</t>
        </is>
      </c>
      <c r="G7374" t="inlineStr">
        <is>
          <t>0</t>
        </is>
      </c>
      <c r="H7374" t="inlineStr">
        <is>
          <t>30¹²</t>
        </is>
      </c>
      <c r="I7374" t="n">
        <v>12</v>
      </c>
      <c r="J7374" t="inlineStr">
        <is>
          <t>1¹, 2², 4⁴, 8³</t>
        </is>
      </c>
      <c r="K7374">
        <f>HYPERLINK("CSG3.html#group30J3", "30J³"), =HYPERLINK("CSG7.html#group30J7", "30J⁷"), =HYPERLINK("CSG9.html#group15A9", "15A⁹"), =HYPERLINK("CSG10.html#group30B10", "30B¹⁰"), =HYPERLINK("CSG10.html#group30D10", "30D¹⁰"), =HYPERLINK("CSG10.html#group30E10", "30E¹⁰"), =HYPERLINK("CSG11.html#group30A11", "30A¹¹"), =HYPERLINK("CSG12.html#group30D12", "30D¹²")</f>
        <v/>
      </c>
      <c r="L7374" t="inlineStr"/>
      <c r="M7374">
        <f>HYPERLINK("CSG0.html#group30A0", "30A⁰"), =HYPERLINK("CSG11.html#group30A11", "30A¹¹"), =HYPERLINK("CSG0.html#group5A0", "5A⁰"), =HYPERLINK("CSG3.html#group30J3", "30J³"), =HYPERLINK("CSG0.html#group10D0", "10D⁰"), =HYPERLINK("CSG10.html#group30B10", "30B¹⁰"), =HYPERLINK("CSG1.html#group15F1", "15F¹"), =HYPERLINK("CSG0.html#group5B0", "5B⁰"), =HYPERLINK("CSG3.html#group15C3", "15C³"), =HYPERLINK("CSG0.html#group1A0", "1A⁰"), =HYPERLINK("CSG7.html#group30J7", "30J⁷"), =HYPERLINK("CSG10.html#group30D10", "30D¹⁰"), =HYPERLINK("CSG9.html#group15A9", "15A⁹"), =HYPERLINK("CSG4.html#group30C4", "30C⁴"), =HYPERLINK("CSG4.html#group30F4", "30F⁴"), =HYPERLINK("CSG5.html#group30L5", "30L⁵"), =HYPERLINK("CSG12.html#group30D12", "30D¹²"), =HYPERLINK("CSG2.html#group10C2", "10C²"), =HYPERLINK("CSG0.html#group3C0", "3C⁰"), =HYPERLINK("CSG0.html#group15A0", "15A⁰"), =HYPERLINK("CSG0.html#group3A0", "3A⁰"), =HYPERLINK("CSG0.html#group5G0", "5G⁰"), =HYPERLINK("CSG1.html#group15A1", "15A¹"), =HYPERLINK("CSG3.html#group15H3", "15H³"), =HYPERLINK("CSG4.html#group15D4", "15D⁴"), =HYPERLINK("CSG10.html#group30E10", "30E¹⁰"), =HYPERLINK("CSG1.html#group10E1", "10E¹"), =HYPERLINK("CSG2.html#group30F2", "30F²"), =HYPERLINK("CSG0.html#group10B0", "10B⁰"), =HYPERLINK("CSG4.html#group15C4", "15C⁴"), =HYPERLINK("CSG1.html#group15D1", "15D¹"), =HYPERLINK("CSG0.html#group15B0", "15B⁰"), =HYPERLINK("CSG2.html#group15A2", "15A²"), =HYPERLINK("CSG0.html#group5E0", "5E⁰"), =HYPERLINK("CSG0.html#group5C0", "5C⁰"), =HYPERLINK("CSG1.html#group15E1", "15E¹"), =HYPERLINK("CSG2.html#group30C2", "30C²")</f>
        <v/>
      </c>
      <c r="N7374" t="inlineStr"/>
    </row>
    <row r="7375">
      <c r="A7375" t="inlineStr">
        <is>
          <t>30D²³</t>
        </is>
      </c>
      <c r="B7375" t="inlineStr"/>
      <c r="C7375" t="inlineStr">
        <is>
          <t>360</t>
        </is>
      </c>
      <c r="D7375" t="inlineStr">
        <is>
          <t>1</t>
        </is>
      </c>
      <c r="E7375" t="inlineStr">
        <is>
          <t>45</t>
        </is>
      </c>
      <c r="F7375" t="inlineStr">
        <is>
          <t>8</t>
        </is>
      </c>
      <c r="G7375" t="inlineStr">
        <is>
          <t>0</t>
        </is>
      </c>
      <c r="H7375" t="inlineStr">
        <is>
          <t>30¹²</t>
        </is>
      </c>
      <c r="I7375" t="n">
        <v>12</v>
      </c>
      <c r="J7375" t="inlineStr">
        <is>
          <t>2³, 4⁹, 8⁶</t>
        </is>
      </c>
      <c r="K7375">
        <f>HYPERLINK("CSG8.html#group15A8", "15A⁸"), =HYPERLINK("CSG10.html#group30D10", "30D¹⁰"), =HYPERLINK("CSG11.html#group30A11", "30A¹¹"), =HYPERLINK("CSG11.html#group30E11", "30E¹¹"), =HYPERLINK("CSG12.html#group30C12", "30C¹²")</f>
        <v/>
      </c>
      <c r="L7375" t="inlineStr"/>
      <c r="M7375">
        <f>HYPERLINK("CSG8.html#group15A8", "15A⁸"), =HYPERLINK("CSG11.html#group30A11", "30A¹¹"), =HYPERLINK("CSG0.html#group5A0", "5A⁰"), =HYPERLINK("CSG1.html#group15F1", "15F¹"), =HYPERLINK("CSG11.html#group30E11", "30E¹¹"), =HYPERLINK("CSG3.html#group15H3", "15H³"), =HYPERLINK("CSG1.html#group10E1", "10E¹"), =HYPERLINK("CSG0.html#group1A0", "1A⁰"), =HYPERLINK("CSG10.html#group30D10", "30D¹⁰"), =HYPERLINK("CSG4.html#group15C4", "15C⁴"), =HYPERLINK("CSG4.html#group30F4", "30F⁴"), =HYPERLINK("CSG5.html#group30L5", "30L⁵"), =HYPERLINK("CSG2.html#group15A2", "15A²"), =HYPERLINK("CSG0.html#group5E0", "5E⁰"), =HYPERLINK("CSG12.html#group30C12", "30C¹²"), =HYPERLINK("CSG0.html#group3C0", "3C⁰"), =HYPERLINK("CSG0.html#group3A0", "3A⁰"), =HYPERLINK("CSG1.html#group15A1", "15A¹"), =HYPERLINK("CSG0.html#group15A0", "15A⁰")</f>
        <v/>
      </c>
      <c r="N7375" t="inlineStr"/>
    </row>
    <row r="7376">
      <c r="A7376" t="inlineStr">
        <is>
          <t>30E²³</t>
        </is>
      </c>
      <c r="B7376" t="inlineStr"/>
      <c r="C7376" t="inlineStr">
        <is>
          <t>360</t>
        </is>
      </c>
      <c r="D7376" t="inlineStr">
        <is>
          <t>1</t>
        </is>
      </c>
      <c r="E7376" t="inlineStr">
        <is>
          <t>45</t>
        </is>
      </c>
      <c r="F7376" t="inlineStr">
        <is>
          <t>8</t>
        </is>
      </c>
      <c r="G7376" t="inlineStr">
        <is>
          <t>0</t>
        </is>
      </c>
      <c r="H7376" t="inlineStr">
        <is>
          <t>30¹²</t>
        </is>
      </c>
      <c r="I7376" t="n">
        <v>12</v>
      </c>
      <c r="J7376" t="inlineStr">
        <is>
          <t>2³, 4⁹, 8⁶</t>
        </is>
      </c>
      <c r="K7376">
        <f>HYPERLINK("CSG8.html#group15A8", "15A⁸"), =HYPERLINK("CSG10.html#group30E10", "30E¹⁰"), =HYPERLINK("CSG11.html#group30A11", "30A¹¹"), =HYPERLINK("CSG11.html#group30E11", "30E¹¹"), =HYPERLINK("CSG12.html#group30C12", "30C¹²")</f>
        <v/>
      </c>
      <c r="L7376" t="inlineStr"/>
      <c r="M7376">
        <f>HYPERLINK("CSG8.html#group15A8", "15A⁸"), =HYPERLINK("CSG11.html#group30A11", "30A¹¹"), =HYPERLINK("CSG0.html#group5A0", "5A⁰"), =HYPERLINK("CSG10.html#group30E10", "30E¹⁰"), =HYPERLINK("CSG1.html#group15F1", "15F¹"), =HYPERLINK("CSG11.html#group30E11", "30E¹¹"), =HYPERLINK("CSG3.html#group15H3", "15H³"), =HYPERLINK("CSG1.html#group10E1", "10E¹"), =HYPERLINK("CSG0.html#group1A0", "1A⁰"), =HYPERLINK("CSG4.html#group15C4", "15C⁴"), =HYPERLINK("CSG4.html#group30F4", "30F⁴"), =HYPERLINK("CSG5.html#group30L5", "30L⁵"), =HYPERLINK("CSG2.html#group15A2", "15A²"), =HYPERLINK("CSG0.html#group5E0", "5E⁰"), =HYPERLINK("CSG12.html#group30C12", "30C¹²"), =HYPERLINK("CSG0.html#group3C0", "3C⁰"), =HYPERLINK("CSG0.html#group3A0", "3A⁰"), =HYPERLINK("CSG1.html#group15A1", "15A¹"), =HYPERLINK("CSG0.html#group15A0", "15A⁰")</f>
        <v/>
      </c>
      <c r="N7376" t="inlineStr"/>
    </row>
    <row r="7377">
      <c r="A7377" t="inlineStr">
        <is>
          <t>30F²³</t>
        </is>
      </c>
      <c r="B7377" t="inlineStr"/>
      <c r="C7377" t="inlineStr">
        <is>
          <t>360</t>
        </is>
      </c>
      <c r="D7377" t="inlineStr">
        <is>
          <t>1</t>
        </is>
      </c>
      <c r="E7377" t="inlineStr">
        <is>
          <t>90</t>
        </is>
      </c>
      <c r="F7377" t="inlineStr">
        <is>
          <t>0</t>
        </is>
      </c>
      <c r="G7377" t="inlineStr">
        <is>
          <t>0</t>
        </is>
      </c>
      <c r="H7377" t="inlineStr">
        <is>
          <t>15⁸, 30⁸</t>
        </is>
      </c>
      <c r="I7377" t="n">
        <v>16</v>
      </c>
      <c r="J7377" t="inlineStr">
        <is>
          <t>2³, 4⁹, 8⁶</t>
        </is>
      </c>
      <c r="K7377">
        <f>HYPERLINK("CSG6.html#group30A6", "30A⁶"), =HYPERLINK("CSG7.html#group15B7", "15B⁷"), =HYPERLINK("CSG10.html#group30H10", "30H¹⁰"), =HYPERLINK("CSG11.html#group30C11", "30C¹¹"), =HYPERLINK("CSG12.html#group30B12", "30B¹²")</f>
        <v/>
      </c>
      <c r="L7377" t="inlineStr"/>
      <c r="M7377">
        <f>HYPERLINK("CSG0.html#group5A0", "5A⁰"), =HYPERLINK("CSG7.html#group15B7", "15B⁷"), =HYPERLINK("CSG10.html#group30H10", "30H¹⁰"), =HYPERLINK("CSG1.html#group15A1", "15A¹"), =HYPERLINK("CSG1.html#group10B1", "10B¹"), =HYPERLINK("CSG4.html#group15B4", "15B⁴"), =HYPERLINK("CSG0.html#group6G0", "6G⁰"), =HYPERLINK("CSG2.html#group15D2", "15D²"), =HYPERLINK("CSG0.html#group5F0", "5F⁰"), =HYPERLINK("CSG0.html#group2B0", "2B⁰"), =HYPERLINK("CSG12.html#group30B12", "30B¹²"), =HYPERLINK("CSG3.html#group15C3", "15C³"), =HYPERLINK("CSG0.html#group1A0", "1A⁰"), =HYPERLINK("CSG2.html#group10D2", "10D²"), =HYPERLINK("CSG1.html#group10F1", "10F¹"), =HYPERLINK("CSG5.html#group30K5", "30K⁵"), =HYPERLINK("CSG11.html#group30C11", "30C¹¹"), =HYPERLINK("CSG3.html#group30D3", "30D³"), =HYPERLINK("CSG1.html#group15D1", "15D¹"), =HYPERLINK("CSG2.html#group15A2", "15A²"), =HYPERLINK("CSG0.html#group3C0", "3C⁰"), =HYPERLINK("CSG6.html#group30A6", "30A⁶"), =HYPERLINK("CSG0.html#group3A0", "3A⁰"), =HYPERLINK("CSG0.html#group5C0", "5C⁰"), =HYPERLINK("CSG0.html#group6D0", "6D⁰")</f>
        <v/>
      </c>
      <c r="N7377" t="inlineStr"/>
    </row>
    <row r="7378">
      <c r="A7378" t="inlineStr">
        <is>
          <t>30G²³</t>
        </is>
      </c>
      <c r="B7378" t="inlineStr"/>
      <c r="C7378" t="inlineStr">
        <is>
          <t>360</t>
        </is>
      </c>
      <c r="D7378" t="inlineStr">
        <is>
          <t>1</t>
        </is>
      </c>
      <c r="E7378" t="inlineStr">
        <is>
          <t>90</t>
        </is>
      </c>
      <c r="F7378" t="inlineStr">
        <is>
          <t>8</t>
        </is>
      </c>
      <c r="G7378" t="inlineStr">
        <is>
          <t>0</t>
        </is>
      </c>
      <c r="H7378" t="inlineStr">
        <is>
          <t>30¹²</t>
        </is>
      </c>
      <c r="I7378" t="n">
        <v>12</v>
      </c>
      <c r="J7378" t="inlineStr">
        <is>
          <t>2³, 4⁹, 8⁶</t>
        </is>
      </c>
      <c r="K7378">
        <f>HYPERLINK("CSG0.html#group6L0", "6L⁰"), =HYPERLINK("CSG7.html#group30I7", "30I⁷"), =HYPERLINK("CSG11.html#group30C11", "30C¹¹"), =HYPERLINK("CSG11.html#group30D11", "30D¹¹")</f>
        <v/>
      </c>
      <c r="L7378" t="inlineStr"/>
      <c r="M7378">
        <f>HYPERLINK("CSG11.html#group30D11", "30D¹¹"), =HYPERLINK("CSG0.html#group6B0", "6B⁰"), =HYPERLINK("CSG7.html#group30I7", "30I⁷"), =HYPERLINK("CSG0.html#group6G0", "6G⁰"), =HYPERLINK("CSG0.html#group2B0", "2B⁰"), =HYPERLINK("CSG3.html#group15C3", "15C³"), =HYPERLINK("CSG3.html#group30H3", "30H³"), =HYPERLINK("CSG0.html#group1A0", "1A⁰"), =HYPERLINK("CSG1.html#group10F1", "10F¹"), =HYPERLINK("CSG5.html#group30K5", "30K⁵"), =HYPERLINK("CSG11.html#group30C11", "30C¹¹"), =HYPERLINK("CSG1.html#group15D1", "15D¹"), =HYPERLINK("CSG0.html#group6E0", "6E⁰"), =HYPERLINK("CSG0.html#group6L0", "6L⁰"), =HYPERLINK("CSG0.html#group3C0", "3C⁰"), =HYPERLINK("CSG0.html#group6H0", "6H⁰"), =HYPERLINK("CSG0.html#group3A0", "3A⁰"), =HYPERLINK("CSG0.html#group5C0", "5C⁰"), =HYPERLINK("CSG0.html#group6D0", "6D⁰")</f>
        <v/>
      </c>
      <c r="N7378" t="inlineStr"/>
    </row>
    <row r="7379">
      <c r="A7379" t="inlineStr">
        <is>
          <t>30H²³</t>
        </is>
      </c>
      <c r="B7379" t="inlineStr"/>
      <c r="C7379" t="inlineStr">
        <is>
          <t>360</t>
        </is>
      </c>
      <c r="D7379" t="inlineStr">
        <is>
          <t>1</t>
        </is>
      </c>
      <c r="E7379" t="inlineStr">
        <is>
          <t>90</t>
        </is>
      </c>
      <c r="F7379" t="inlineStr">
        <is>
          <t>8</t>
        </is>
      </c>
      <c r="G7379" t="inlineStr">
        <is>
          <t>0</t>
        </is>
      </c>
      <c r="H7379" t="inlineStr">
        <is>
          <t>30¹²</t>
        </is>
      </c>
      <c r="I7379" t="n">
        <v>12</v>
      </c>
      <c r="J7379" t="inlineStr">
        <is>
          <t>2³, 4⁹, 8⁶</t>
        </is>
      </c>
      <c r="K7379">
        <f>HYPERLINK("CSG7.html#group30J7", "30J⁷"), =HYPERLINK("CSG10.html#group30C10", "30C¹⁰"), =HYPERLINK("CSG11.html#group30C11", "30C¹¹"), =HYPERLINK("CSG12.html#group30G12", "30G¹²")</f>
        <v/>
      </c>
      <c r="L7379" t="inlineStr"/>
      <c r="M7379">
        <f>HYPERLINK("CSG0.html#group10D0", "10D⁰"), =HYPERLINK("CSG0.html#group6G0", "6G⁰"), =HYPERLINK("CSG0.html#group2B0", "2B⁰"), =HYPERLINK("CSG12.html#group30G12", "30G¹²"), =HYPERLINK("CSG3.html#group15C3", "15C³"), =HYPERLINK("CSG0.html#group1A0", "1A⁰"), =HYPERLINK("CSG10.html#group30C10", "30C¹⁰"), =HYPERLINK("CSG7.html#group30J7", "30J⁷"), =HYPERLINK("CSG2.html#group30F2", "30F²"), =HYPERLINK("CSG1.html#group10F1", "10F¹"), =HYPERLINK("CSG5.html#group30K5", "30K⁵"), =HYPERLINK("CSG11.html#group30C11", "30C¹¹"), =HYPERLINK("CSG4.html#group30C4", "30C⁴"), =HYPERLINK("CSG1.html#group15D1", "15D¹"), =HYPERLINK("CSG2.html#group10E2", "10E²"), =HYPERLINK("CSG0.html#group3C0", "3C⁰"), =HYPERLINK("CSG0.html#group3A0", "3A⁰"), =HYPERLINK("CSG0.html#group5C0", "5C⁰"), =HYPERLINK("CSG0.html#group6D0", "6D⁰")</f>
        <v/>
      </c>
      <c r="N7379" t="inlineStr"/>
    </row>
    <row r="7380">
      <c r="A7380" t="inlineStr">
        <is>
          <t>30I²³</t>
        </is>
      </c>
      <c r="B7380" t="inlineStr"/>
      <c r="C7380" t="inlineStr">
        <is>
          <t>360</t>
        </is>
      </c>
      <c r="D7380" t="inlineStr">
        <is>
          <t>1</t>
        </is>
      </c>
      <c r="E7380" t="inlineStr">
        <is>
          <t>180</t>
        </is>
      </c>
      <c r="F7380" t="inlineStr">
        <is>
          <t>8</t>
        </is>
      </c>
      <c r="G7380" t="inlineStr">
        <is>
          <t>0</t>
        </is>
      </c>
      <c r="H7380" t="inlineStr">
        <is>
          <t>30¹²</t>
        </is>
      </c>
      <c r="I7380" t="n">
        <v>12</v>
      </c>
      <c r="J7380" t="inlineStr">
        <is>
          <t>4¹⁵, 8¹⁵</t>
        </is>
      </c>
      <c r="K7380">
        <f>HYPERLINK("CSG7.html#group30J7", "30J⁷"), =HYPERLINK("CSG10.html#group30G10", "30G¹⁰")</f>
        <v/>
      </c>
      <c r="L7380" t="inlineStr"/>
      <c r="M7380">
        <f>HYPERLINK("CSG4.html#group30C4", "30C⁴"), =HYPERLINK("CSG1.html#group15D1", "15D¹"), =HYPERLINK("CSG2.html#group30F2", "30F²"), =HYPERLINK("CSG1.html#group10J1", "10J¹"), =HYPERLINK("CSG0.html#group10D0", "10D⁰"), =HYPERLINK("CSG0.html#group3C0", "3C⁰"), =HYPERLINK("CSG0.html#group1A0", "1A⁰"), =HYPERLINK("CSG10.html#group30G10", "30G¹⁰"), =HYPERLINK("CSG3.html#group15C3", "15C³"), =HYPERLINK("CSG0.html#group3A0", "3A⁰"), =HYPERLINK("CSG0.html#group5C0", "5C⁰"), =HYPERLINK("CSG7.html#group30J7", "30J⁷")</f>
        <v/>
      </c>
      <c r="N7380" t="inlineStr"/>
    </row>
    <row r="7381">
      <c r="A7381" t="inlineStr">
        <is>
          <t>30J²³</t>
        </is>
      </c>
      <c r="B7381" t="inlineStr"/>
      <c r="C7381" t="inlineStr">
        <is>
          <t>360</t>
        </is>
      </c>
      <c r="D7381" t="inlineStr">
        <is>
          <t>2</t>
        </is>
      </c>
      <c r="E7381" t="inlineStr">
        <is>
          <t>45</t>
        </is>
      </c>
      <c r="F7381" t="inlineStr">
        <is>
          <t>8</t>
        </is>
      </c>
      <c r="G7381" t="inlineStr">
        <is>
          <t>0</t>
        </is>
      </c>
      <c r="H7381" t="inlineStr">
        <is>
          <t>30¹²</t>
        </is>
      </c>
      <c r="I7381" t="n">
        <v>12</v>
      </c>
      <c r="J7381" t="inlineStr">
        <is>
          <t>2³, 4³, 8⁹</t>
        </is>
      </c>
      <c r="K7381">
        <f>HYPERLINK("CSG3.html#group30L3", "30L³"), =HYPERLINK("CSG7.html#group30N7", "30N⁷"), =HYPERLINK("CSG8.html#group15B8", "15B⁸"), =HYPERLINK("CSG10.html#group30I10", "30I¹⁰"), =HYPERLINK("CSG11.html#group30B11", "30B¹¹"), =HYPERLINK("CSG11.html#group30E11", "30E¹¹"), =HYPERLINK("CSG12.html#group30D12", "30D¹²")</f>
        <v/>
      </c>
      <c r="L7381" t="inlineStr"/>
      <c r="M7381">
        <f>HYPERLINK("CSG8.html#group15B8", "15B⁸"), =HYPERLINK("CSG0.html#group5A0", "5A⁰"), =HYPERLINK("CSG3.html#group30L3", "30L³"), =HYPERLINK("CSG0.html#group6B0", "6B⁰"), =HYPERLINK("CSG10.html#group30I10", "30I¹⁰"), =HYPERLINK("CSG4.html#group15D4", "15D⁴"), =HYPERLINK("CSG0.html#group5C0", "5C⁰"), =HYPERLINK("CSG0.html#group5B0", "5B⁰"), =HYPERLINK("CSG1.html#group15F1", "15F¹"), =HYPERLINK("CSG2.html#group15D2", "15D²"), =HYPERLINK("CSG11.html#group30E11", "30E¹¹"), =HYPERLINK("CSG3.html#group15H3", "15H³"), =HYPERLINK("CSG3.html#group30H3", "30H³"), =HYPERLINK("CSG0.html#group1A0", "1A⁰"), =HYPERLINK("CSG4.html#group30C4", "30C⁴"), =HYPERLINK("CSG0.html#group15B0", "15B⁰"), =HYPERLINK("CSG2.html#group30A2", "30A²"), =HYPERLINK("CSG5.html#group30L5", "30L⁵"), =HYPERLINK("CSG4.html#group30E4", "30E⁴"), =HYPERLINK("CSG12.html#group30D12", "30D¹²"), =HYPERLINK("CSG1.html#group15D1", "15D¹"), =HYPERLINK("CSG7.html#group30N7", "30N⁷"), =HYPERLINK("CSG0.html#group5E0", "5E⁰"), =HYPERLINK("CSG0.html#group15C0", "15C⁰"), =HYPERLINK("CSG0.html#group15A0", "15A⁰"), =HYPERLINK("CSG0.html#group3A0", "3A⁰"), =HYPERLINK("CSG11.html#group30B11", "30B¹¹"), =HYPERLINK("CSG0.html#group5G0", "5G⁰"), =HYPERLINK("CSG1.html#group15A1", "15A¹"), =HYPERLINK("CSG1.html#group30C1", "30C¹"), =HYPERLINK("CSG2.html#group30C2", "30C²")</f>
        <v/>
      </c>
      <c r="N7381" t="inlineStr"/>
    </row>
    <row r="7382">
      <c r="A7382" t="inlineStr">
        <is>
          <t>30K²³</t>
        </is>
      </c>
      <c r="B7382" t="inlineStr"/>
      <c r="C7382" t="inlineStr">
        <is>
          <t>360</t>
        </is>
      </c>
      <c r="D7382" t="inlineStr">
        <is>
          <t>2</t>
        </is>
      </c>
      <c r="E7382" t="inlineStr">
        <is>
          <t>90</t>
        </is>
      </c>
      <c r="F7382" t="inlineStr">
        <is>
          <t>8</t>
        </is>
      </c>
      <c r="G7382" t="inlineStr">
        <is>
          <t>0</t>
        </is>
      </c>
      <c r="H7382" t="inlineStr">
        <is>
          <t>30¹²</t>
        </is>
      </c>
      <c r="I7382" t="n">
        <v>12</v>
      </c>
      <c r="J7382" t="inlineStr">
        <is>
          <t>4⁹, 8¹⁸</t>
        </is>
      </c>
      <c r="K7382">
        <f>HYPERLINK("CSG7.html#group30N7", "30N⁷"), =HYPERLINK("CSG10.html#group30H10", "30H¹⁰"), =HYPERLINK("CSG11.html#group30D11", "30D¹¹"), =HYPERLINK("CSG12.html#group30G12", "30G¹²")</f>
        <v/>
      </c>
      <c r="L7382" t="inlineStr"/>
      <c r="M7382">
        <f>HYPERLINK("CSG11.html#group30D11", "30D¹¹"), =HYPERLINK("CSG0.html#group6B0", "6B⁰"), =HYPERLINK("CSG10.html#group30H10", "30H¹⁰"), =HYPERLINK("CSG2.html#group15D2", "15D²"), =HYPERLINK("CSG0.html#group2B0", "2B⁰"), =HYPERLINK("CSG12.html#group30G12", "30G¹²"), =HYPERLINK("CSG3.html#group30H3", "30H³"), =HYPERLINK("CSG0.html#group1A0", "1A⁰"), =HYPERLINK("CSG1.html#group10F1", "10F¹"), =HYPERLINK("CSG5.html#group30K5", "30K⁵"), =HYPERLINK("CSG4.html#group30C4", "30C⁴"), =HYPERLINK("CSG1.html#group15D1", "15D¹"), =HYPERLINK("CSG7.html#group30N7", "30N⁷"), =HYPERLINK("CSG0.html#group6H0", "6H⁰"), =HYPERLINK("CSG0.html#group3A0", "3A⁰"), =HYPERLINK("CSG0.html#group5C0", "5C⁰"), =HYPERLINK("CSG0.html#group6D0", "6D⁰")</f>
        <v/>
      </c>
      <c r="N7382" t="inlineStr"/>
    </row>
    <row r="7383">
      <c r="A7383" t="inlineStr">
        <is>
          <t>30L²³</t>
        </is>
      </c>
      <c r="B7383" t="inlineStr"/>
      <c r="C7383" t="inlineStr">
        <is>
          <t>432</t>
        </is>
      </c>
      <c r="D7383" t="inlineStr">
        <is>
          <t>1</t>
        </is>
      </c>
      <c r="E7383" t="inlineStr">
        <is>
          <t>108</t>
        </is>
      </c>
      <c r="F7383" t="inlineStr">
        <is>
          <t>8</t>
        </is>
      </c>
      <c r="G7383" t="inlineStr">
        <is>
          <t>0</t>
        </is>
      </c>
      <c r="H7383" t="inlineStr">
        <is>
          <t>6¹², 30¹²</t>
        </is>
      </c>
      <c r="I7383" t="n">
        <v>24</v>
      </c>
      <c r="J7383" t="inlineStr">
        <is>
          <t>2¹⁸, 8⁹</t>
        </is>
      </c>
      <c r="K7383">
        <f>HYPERLINK("CSG7.html#group30R7", "30R⁷"), =HYPERLINK("CSG9.html#group30Q9", "30Q⁹")</f>
        <v/>
      </c>
      <c r="L7383" t="inlineStr"/>
      <c r="M7383">
        <f>HYPERLINK("CSG0.html#group5B0", "5B⁰"), =HYPERLINK("CSG0.html#group6G0", "6G⁰"), =HYPERLINK("CSG0.html#group2B0", "2B⁰"), =HYPERLINK("CSG5.html#group30O5", "30O⁵"), =HYPERLINK("CSG1.html#group15H1", "15H¹"), =HYPERLINK("CSG0.html#group1A0", "1A⁰"), =HYPERLINK("CSG7.html#group30R7", "30R⁷"), =HYPERLINK("CSG0.html#group15B0", "15B⁰"), =HYPERLINK("CSG2.html#group30E2", "30E²"), =HYPERLINK("CSG1.html#group15E1", "15E¹"), =HYPERLINK("CSG9.html#group30Q9", "30Q⁹"), =HYPERLINK("CSG4.html#group30I4", "30I⁴"), =HYPERLINK("CSG0.html#group10C0", "10C⁰"), =HYPERLINK("CSG0.html#group3C0", "3C⁰"), =HYPERLINK("CSG0.html#group3A0", "3A⁰"), =HYPERLINK("CSG0.html#group6D0", "6D⁰"), =HYPERLINK("CSG0.html#group15C0", "15C⁰")</f>
        <v/>
      </c>
      <c r="N7383" t="inlineStr"/>
    </row>
    <row r="7384">
      <c r="A7384" t="inlineStr">
        <is>
          <t>32A²³</t>
        </is>
      </c>
      <c r="B7384" t="inlineStr"/>
      <c r="C7384" t="inlineStr">
        <is>
          <t>384</t>
        </is>
      </c>
      <c r="D7384" t="inlineStr">
        <is>
          <t>1</t>
        </is>
      </c>
      <c r="E7384" t="inlineStr">
        <is>
          <t>48</t>
        </is>
      </c>
      <c r="F7384" t="inlineStr">
        <is>
          <t>8</t>
        </is>
      </c>
      <c r="G7384" t="inlineStr">
        <is>
          <t>0</t>
        </is>
      </c>
      <c r="H7384" t="inlineStr">
        <is>
          <t>16⁸, 32⁸</t>
        </is>
      </c>
      <c r="I7384" t="n">
        <v>16</v>
      </c>
      <c r="J7384" t="inlineStr">
        <is>
          <t>4², 8⁵</t>
        </is>
      </c>
      <c r="K7384">
        <f>HYPERLINK("CSG9.html#group16I9", "16I⁹"), =HYPERLINK("CSG9.html#group32L9", "32L⁹"), =HYPERLINK("CSG11.html#group32E11", "32E¹¹")</f>
        <v/>
      </c>
      <c r="L7384" t="inlineStr"/>
      <c r="M7384">
        <f>HYPERLINK("CSG5.html#group32F5", "32F⁵"), =HYPERLINK("CSG0.html#group16A0", "16A⁰"), =HYPERLINK("CSG0.html#group8D0", "8D⁰"), =HYPERLINK("CSG0.html#group4C0", "4C⁰"), =HYPERLINK("CSG0.html#group8B0", "8B⁰"), =HYPERLINK("CSG3.html#group16P3", "16P³"), =HYPERLINK("CSG0.html#group8A0", "8A⁰"), =HYPERLINK("CSG1.html#group16B1", "16B¹"), =HYPERLINK("CSG0.html#group2B0", "2B⁰"), =HYPERLINK("CSG3.html#group16G3", "16G³"), =HYPERLINK("CSG1.html#group16F1", "16F¹"), =HYPERLINK("CSG5.html#group32G5", "32G⁵"), =HYPERLINK("CSG0.html#group1A0", "1A⁰"), =HYPERLINK("CSG1.html#group8D1", "8D¹"), =HYPERLINK("CSG0.html#group8K0", "8K⁰"), =HYPERLINK("CSG1.html#group8H1", "8H¹"), =HYPERLINK("CSG0.html#group8H0", "8H⁰"), =HYPERLINK("CSG0.html#group16B0", "16B⁰"), =HYPERLINK("CSG3.html#group16K3", "16K³"), =HYPERLINK("CSG11.html#group32E11", "32E¹¹"), =HYPERLINK("CSG0.html#group4A0", "4A⁰"), =HYPERLINK("CSG3.html#group32D3", "32D³"), =HYPERLINK("CSG1.html#group32B1", "32B¹"), =HYPERLINK("CSG0.html#group4F0", "4F⁰"), =HYPERLINK("CSG9.html#group32L9", "32L⁹"), =HYPERLINK("CSG1.html#group16H1", "16H¹"), =HYPERLINK("CSG5.html#group16J5", "16J⁵"), =HYPERLINK("CSG9.html#group16I9", "16I⁹")</f>
        <v/>
      </c>
      <c r="N7384" t="inlineStr"/>
    </row>
    <row r="7385">
      <c r="A7385" t="inlineStr">
        <is>
          <t>32B²³</t>
        </is>
      </c>
      <c r="B7385" t="inlineStr"/>
      <c r="C7385" t="inlineStr">
        <is>
          <t>384</t>
        </is>
      </c>
      <c r="D7385" t="inlineStr">
        <is>
          <t>1</t>
        </is>
      </c>
      <c r="E7385" t="inlineStr">
        <is>
          <t>48</t>
        </is>
      </c>
      <c r="F7385" t="inlineStr">
        <is>
          <t>8</t>
        </is>
      </c>
      <c r="G7385" t="inlineStr">
        <is>
          <t>0</t>
        </is>
      </c>
      <c r="H7385" t="inlineStr">
        <is>
          <t>16⁸, 32⁸</t>
        </is>
      </c>
      <c r="I7385" t="n">
        <v>16</v>
      </c>
      <c r="J7385" t="inlineStr">
        <is>
          <t>4², 8⁵</t>
        </is>
      </c>
      <c r="K7385">
        <f>HYPERLINK("CSG9.html#group16J9", "16J⁹"), =HYPERLINK("CSG9.html#group32K9", "32K⁹"), =HYPERLINK("CSG11.html#group32E11", "32E¹¹")</f>
        <v/>
      </c>
      <c r="L7385" t="inlineStr"/>
      <c r="M7385">
        <f>HYPERLINK("CSG5.html#group32F5", "32F⁵"), =HYPERLINK("CSG0.html#group8D0", "8D⁰"), =HYPERLINK("CSG0.html#group4C0", "4C⁰"), =HYPERLINK("CSG0.html#group8B0", "8B⁰"), =HYPERLINK("CSG0.html#group8A0", "8A⁰"), =HYPERLINK("CSG1.html#group16B1", "16B¹"), =HYPERLINK("CSG0.html#group2B0", "2B⁰"), =HYPERLINK("CSG5.html#group32G5", "32G⁵"), =HYPERLINK("CSG0.html#group8K0", "8K⁰"), =HYPERLINK("CSG9.html#group16J9", "16J⁹"), =HYPERLINK("CSG0.html#group1A0", "1A⁰"), =HYPERLINK("CSG1.html#group8D1", "8D¹"), =HYPERLINK("CSG1.html#group8H1", "8H¹"), =HYPERLINK("CSG0.html#group8H0", "8H⁰"), =HYPERLINK("CSG9.html#group32K9", "32K⁹"), =HYPERLINK("CSG0.html#group16B0", "16B⁰"), =HYPERLINK("CSG3.html#group16K3", "16K³"), =HYPERLINK("CSG1.html#group16L1", "16L¹"), =HYPERLINK("CSG11.html#group32E11", "32E¹¹"), =HYPERLINK("CSG0.html#group4A0", "4A⁰"), =HYPERLINK("CSG5.html#group16I5", "16I⁵"), =HYPERLINK("CSG3.html#group32D3", "32D³"), =HYPERLINK("CSG1.html#group32B1", "32B¹"), =HYPERLINK("CSG0.html#group4F0", "4F⁰"), =HYPERLINK("CSG1.html#group16F1", "16F¹"), =HYPERLINK("CSG3.html#group16Q3", "16Q³"), =HYPERLINK("CSG1.html#group16H1", "16H¹"), =HYPERLINK("CSG1.html#group16K1", "16K¹")</f>
        <v/>
      </c>
      <c r="N7385" t="inlineStr"/>
    </row>
    <row r="7386">
      <c r="A7386" t="inlineStr">
        <is>
          <t>32C²³</t>
        </is>
      </c>
      <c r="B7386" t="inlineStr"/>
      <c r="C7386" t="inlineStr">
        <is>
          <t>384</t>
        </is>
      </c>
      <c r="D7386" t="inlineStr">
        <is>
          <t>1</t>
        </is>
      </c>
      <c r="E7386" t="inlineStr">
        <is>
          <t>48</t>
        </is>
      </c>
      <c r="F7386" t="inlineStr">
        <is>
          <t>8</t>
        </is>
      </c>
      <c r="G7386" t="inlineStr">
        <is>
          <t>0</t>
        </is>
      </c>
      <c r="H7386" t="inlineStr">
        <is>
          <t>16⁸, 32⁸</t>
        </is>
      </c>
      <c r="I7386" t="n">
        <v>16</v>
      </c>
      <c r="J7386" t="inlineStr">
        <is>
          <t>2², 4³, 8⁴</t>
        </is>
      </c>
      <c r="K7386">
        <f>HYPERLINK("CSG9.html#group16K9", "16K⁹"), =HYPERLINK("CSG9.html#group32N9", "32N⁹"), =HYPERLINK("CSG11.html#group32F11", "32F¹¹")</f>
        <v/>
      </c>
      <c r="L7386" t="inlineStr"/>
      <c r="M7386">
        <f>HYPERLINK("CSG5.html#group32I5", "32I⁵"), =HYPERLINK("CSG5.html#group32E5", "32E⁵"), =HYPERLINK("CSG1.html#group16I1", "16I¹"), =HYPERLINK("CSG0.html#group8D0", "8D⁰"), =HYPERLINK("CSG0.html#group4C0", "4C⁰"), =HYPERLINK("CSG0.html#group8B0", "8B⁰"), =HYPERLINK("CSG1.html#group16B1", "16B¹"), =HYPERLINK("CSG1.html#group32D1", "32D¹"), =HYPERLINK("CSG0.html#group2B0", "2B⁰"), =HYPERLINK("CSG9.html#group16K9", "16K⁹"), =HYPERLINK("CSG5.html#group32G5", "32G⁵"), =HYPERLINK("CSG0.html#group1A0", "1A⁰"), =HYPERLINK("CSG11.html#group32F11", "32F¹¹"), =HYPERLINK("CSG3.html#group32Q3", "32Q³"), =HYPERLINK("CSG0.html#group8H0", "8H⁰"), =HYPERLINK("CSG0.html#group16B0", "16B⁰"), =HYPERLINK("CSG0.html#group16E0", "16E⁰"), =HYPERLINK("CSG0.html#group8F0", "8F⁰"), =HYPERLINK("CSG3.html#group16L3", "16L³"), =HYPERLINK("CSG1.html#group32C1", "32C¹"), =HYPERLINK("CSG0.html#group4A0", "4A⁰"), =HYPERLINK("CSG1.html#group8I1", "8I¹"), =HYPERLINK("CSG1.html#group16C1", "16C¹"), =HYPERLINK("CSG3.html#group32D3", "32D³"), =HYPERLINK("CSG1.html#group32B1", "32B¹"), =HYPERLINK("CSG0.html#group4F0", "4F⁰"), =HYPERLINK("CSG1.html#group16F1", "16F¹"), =HYPERLINK("CSG9.html#group32N9", "32N⁹")</f>
        <v/>
      </c>
      <c r="N7386" t="inlineStr"/>
    </row>
    <row r="7387">
      <c r="A7387" t="inlineStr">
        <is>
          <t>32D²³</t>
        </is>
      </c>
      <c r="B7387" t="inlineStr"/>
      <c r="C7387" t="inlineStr">
        <is>
          <t>384</t>
        </is>
      </c>
      <c r="D7387" t="inlineStr">
        <is>
          <t>1</t>
        </is>
      </c>
      <c r="E7387" t="inlineStr">
        <is>
          <t>48</t>
        </is>
      </c>
      <c r="F7387" t="inlineStr">
        <is>
          <t>8</t>
        </is>
      </c>
      <c r="G7387" t="inlineStr">
        <is>
          <t>0</t>
        </is>
      </c>
      <c r="H7387" t="inlineStr">
        <is>
          <t>16⁸, 32⁸</t>
        </is>
      </c>
      <c r="I7387" t="n">
        <v>16</v>
      </c>
      <c r="J7387" t="inlineStr">
        <is>
          <t>2², 4³, 8⁴</t>
        </is>
      </c>
      <c r="K7387">
        <f>HYPERLINK("CSG9.html#group16L9", "16L⁹"), =HYPERLINK("CSG9.html#group32M9", "32M⁹"), =HYPERLINK("CSG11.html#group32F11", "32F¹¹")</f>
        <v/>
      </c>
      <c r="L7387" t="inlineStr"/>
      <c r="M7387">
        <f>HYPERLINK("CSG5.html#group32E5", "32E⁵"), =HYPERLINK("CSG1.html#group16I1", "16I¹"), =HYPERLINK("CSG9.html#group32M9", "32M⁹"), =HYPERLINK("CSG0.html#group8D0", "8D⁰"), =HYPERLINK("CSG0.html#group4C0", "4C⁰"), =HYPERLINK("CSG0.html#group8B0", "8B⁰"), =HYPERLINK("CSG5.html#group32H5", "32H⁵"), =HYPERLINK("CSG1.html#group16B1", "16B¹"), =HYPERLINK("CSG0.html#group2B0", "2B⁰"), =HYPERLINK("CSG3.html#group32I3", "32I³"), =HYPERLINK("CSG5.html#group32G5", "32G⁵"), =HYPERLINK("CSG0.html#group1A0", "1A⁰"), =HYPERLINK("CSG11.html#group32F11", "32F¹¹"), =HYPERLINK("CSG9.html#group16L9", "16L⁹"), =HYPERLINK("CSG0.html#group8H0", "8H⁰"), =HYPERLINK("CSG0.html#group16B0", "16B⁰"), =HYPERLINK("CSG0.html#group16E0", "16E⁰"), =HYPERLINK("CSG0.html#group8F0", "8F⁰"), =HYPERLINK("CSG3.html#group16L3", "16L³"), =HYPERLINK("CSG0.html#group4A0", "4A⁰"), =HYPERLINK("CSG1.html#group8I1", "8I¹"), =HYPERLINK("CSG1.html#group16C1", "16C¹"), =HYPERLINK("CSG3.html#group32D3", "32D³"), =HYPERLINK("CSG1.html#group32B1", "32B¹"), =HYPERLINK("CSG2.html#group16G2", "16G²"), =HYPERLINK("CSG0.html#group4F0", "4F⁰"), =HYPERLINK("CSG1.html#group16F1", "16F¹"), =HYPERLINK("CSG3.html#group32P3", "32P³")</f>
        <v/>
      </c>
      <c r="N7387" t="inlineStr"/>
    </row>
    <row r="7388">
      <c r="A7388" t="inlineStr">
        <is>
          <t>32E²³</t>
        </is>
      </c>
      <c r="B7388" t="inlineStr"/>
      <c r="C7388" t="inlineStr">
        <is>
          <t>384</t>
        </is>
      </c>
      <c r="D7388" t="inlineStr">
        <is>
          <t>1</t>
        </is>
      </c>
      <c r="E7388" t="inlineStr">
        <is>
          <t>48</t>
        </is>
      </c>
      <c r="F7388" t="inlineStr">
        <is>
          <t>8</t>
        </is>
      </c>
      <c r="G7388" t="inlineStr">
        <is>
          <t>0</t>
        </is>
      </c>
      <c r="H7388" t="inlineStr">
        <is>
          <t>16⁸, 32⁸</t>
        </is>
      </c>
      <c r="I7388" t="n">
        <v>16</v>
      </c>
      <c r="J7388" t="inlineStr">
        <is>
          <t>4¹⁰, 8¹</t>
        </is>
      </c>
      <c r="K7388">
        <f>HYPERLINK("CSG7.html#group16D7", "16D⁷"), =HYPERLINK("CSG11.html#group32K11", "32K¹¹"), =HYPERLINK("CSG12.html#group32A12", "32A¹²"), =HYPERLINK("CSG12.html#group32B12", "32B¹²"), =HYPERLINK("CSG12.html#group32C12", "32C¹²")</f>
        <v/>
      </c>
      <c r="L7388" t="inlineStr"/>
      <c r="M7388">
        <f>HYPERLINK("CSG6.html#group32F6", "32F⁶"), =HYPERLINK("CSG5.html#group32J5", "32J⁵"), =HYPERLINK("CSG1.html#group16I1", "16I¹"), =HYPERLINK("CSG5.html#group32K5", "32K⁵"), =HYPERLINK("CSG0.html#group4C0", "4C⁰"), =HYPERLINK("CSG2.html#group8C2", "8C²"), =HYPERLINK("CSG0.html#group8A0", "8A⁰"), =HYPERLINK("CSG0.html#group8L0", "8L⁰"), =HYPERLINK("CSG0.html#group2B0", "2B⁰"), =HYPERLINK("CSG3.html#group32G3", "32G³"), =HYPERLINK("CSG3.html#group32F3", "32F³"), =HYPERLINK("CSG0.html#group1A0", "1A⁰"), =HYPERLINK("CSG0.html#group8K0", "8K⁰"), =HYPERLINK("CSG2.html#group16E2", "16E²"), =HYPERLINK("CSG1.html#group8H1", "8H¹"), =HYPERLINK("CSG0.html#group16B0", "16B⁰"), =HYPERLINK("CSG0.html#group16E0", "16E⁰"), =HYPERLINK("CSG1.html#group16D1", "16D¹"), =HYPERLINK("CSG12.html#group32C12", "32C¹²"), =HYPERLINK("CSG4.html#group16B4", "16B⁴"), =HYPERLINK("CSG7.html#group16D7", "16D⁷"), =HYPERLINK("CSG1.html#group16F1", "16F¹"), =HYPERLINK("CSG0.html#group8P0", "8P⁰"), =HYPERLINK("CSG0.html#group8M0", "8M⁰"), =HYPERLINK("CSG1.html#group16H1", "16H¹"), =HYPERLINK("CSG11.html#group32K11", "32K¹¹"), =HYPERLINK("CSG0.html#group8D0", "8D⁰"), =HYPERLINK("CSG6.html#group32D6", "32D⁶"), =HYPERLINK("CSG3.html#group16M3", "16M³"), =HYPERLINK("CSG0.html#group8B0", "8B⁰"), =HYPERLINK("CSG1.html#group16B1", "16B¹"), =HYPERLINK("CSG12.html#group32A12", "32A¹²"), =HYPERLINK("CSG1.html#group16J1", "16J¹"), =HYPERLINK("CSG2.html#group16L2", "16L²"), =HYPERLINK("CSG1.html#group8D1", "8D¹"), =HYPERLINK("CSG0.html#group8H0", "8H⁰"), =HYPERLINK("CSG3.html#group16K3", "16K³"), =HYPERLINK("CSG0.html#group8F0", "8F⁰"), =HYPERLINK("CSG6.html#group32E6", "32E⁶"), =HYPERLINK("CSG6.html#group32C6", "32C⁶"), =HYPERLINK("CSG3.html#group16L3", "16L³"), =HYPERLINK("CSG2.html#group16F2", "16F²"), =HYPERLINK("CSG12.html#group32B12", "32B¹²"), =HYPERLINK("CSG0.html#group4A0", "4A⁰"), =HYPERLINK("CSG1.html#group8I1", "8I¹"), =HYPERLINK("CSG1.html#group16C1", "16C¹"), =HYPERLINK("CSG4.html#group16C4", "16C⁴"), =HYPERLINK("CSG3.html#group32E3", "32E³"), =HYPERLINK("CSG0.html#group4F0", "4F⁰"), =HYPERLINK("CSG3.html#group32H3", "32H³")</f>
        <v/>
      </c>
      <c r="N7388" t="inlineStr"/>
    </row>
    <row r="7389">
      <c r="A7389" t="inlineStr">
        <is>
          <t>32F²³</t>
        </is>
      </c>
      <c r="B7389" t="inlineStr"/>
      <c r="C7389" t="inlineStr">
        <is>
          <t>384</t>
        </is>
      </c>
      <c r="D7389" t="inlineStr">
        <is>
          <t>1</t>
        </is>
      </c>
      <c r="E7389" t="inlineStr">
        <is>
          <t>96</t>
        </is>
      </c>
      <c r="F7389" t="inlineStr">
        <is>
          <t>0</t>
        </is>
      </c>
      <c r="G7389" t="inlineStr">
        <is>
          <t>0</t>
        </is>
      </c>
      <c r="H7389" t="inlineStr">
        <is>
          <t>16¹⁶, 32⁴</t>
        </is>
      </c>
      <c r="I7389" t="n">
        <v>20</v>
      </c>
      <c r="J7389" t="inlineStr">
        <is>
          <t>8², 16⁵</t>
        </is>
      </c>
      <c r="K7389">
        <f>HYPERLINK("CSG11.html#group16D11", "16D¹¹")</f>
        <v/>
      </c>
      <c r="L7389" t="inlineStr"/>
      <c r="M7389">
        <f>HYPERLINK("CSG2.html#group16D2", "16D²"), =HYPERLINK("CSG4.html#group16A4", "16A⁴"), =HYPERLINK("CSG6.html#group16B6", "16B⁶"), =HYPERLINK("CSG1.html#group8A1", "8A¹"), =HYPERLINK("CSG0.html#group16A0", "16A⁰"), =HYPERLINK("CSG5.html#group16H5", "16H⁵"), =HYPERLINK("CSG0.html#group8D0", "8D⁰"), =HYPERLINK("CSG0.html#group4C0", "4C⁰"), =HYPERLINK("CSG2.html#group8B2", "8B²"), =HYPERLINK("CSG0.html#group8A0", "8A⁰"), =HYPERLINK("CSG3.html#group16G3", "16G³"), =HYPERLINK("CSG0.html#group2B0", "2B⁰"), =HYPERLINK("CSG0.html#group1A0", "1A⁰"), =HYPERLINK("CSG0.html#group8K0", "8K⁰"), =HYPERLINK("CSG1.html#group8D1", "8D¹"), =HYPERLINK("CSG0.html#group16E0", "16E⁰"), =HYPERLINK("CSG1.html#group16L1", "16L¹"), =HYPERLINK("CSG1.html#group8C1", "8C¹"), =HYPERLINK("CSG2.html#group16B2", "16B²"), =HYPERLINK("CSG0.html#group4A0", "4A⁰"), =HYPERLINK("CSG1.html#group16C1", "16C¹"), =HYPERLINK("CSG0.html#group4F0", "4F⁰"), =HYPERLINK("CSG1.html#group16K1", "16K¹"), =HYPERLINK("CSG11.html#group16D11", "16D¹¹"), =HYPERLINK("CSG3.html#group16E3", "16E³")</f>
        <v/>
      </c>
      <c r="N7389" t="inlineStr"/>
    </row>
    <row r="7390">
      <c r="A7390" t="inlineStr">
        <is>
          <t>32G²³</t>
        </is>
      </c>
      <c r="B7390" t="inlineStr"/>
      <c r="C7390" t="inlineStr">
        <is>
          <t>384</t>
        </is>
      </c>
      <c r="D7390" t="inlineStr">
        <is>
          <t>1</t>
        </is>
      </c>
      <c r="E7390" t="inlineStr">
        <is>
          <t>96</t>
        </is>
      </c>
      <c r="F7390" t="inlineStr">
        <is>
          <t>0</t>
        </is>
      </c>
      <c r="G7390" t="inlineStr">
        <is>
          <t>0</t>
        </is>
      </c>
      <c r="H7390" t="inlineStr">
        <is>
          <t>16¹⁶, 32⁴</t>
        </is>
      </c>
      <c r="I7390" t="n">
        <v>20</v>
      </c>
      <c r="J7390" t="inlineStr">
        <is>
          <t>8², 16⁵</t>
        </is>
      </c>
      <c r="K7390">
        <f>HYPERLINK("CSG9.html#group32Q9", "32Q⁹"), =HYPERLINK("CSG9.html#group32R9", "32R⁹"), =HYPERLINK("CSG11.html#group16B11", "16B¹¹")</f>
        <v/>
      </c>
      <c r="L7390" t="inlineStr"/>
      <c r="M7390">
        <f>HYPERLINK("CSG0.html#group16A0", "16A⁰"), =HYPERLINK("CSG3.html#group16C3", "16C³"), =HYPERLINK("CSG0.html#group8D0", "8D⁰"), =HYPERLINK("CSG0.html#group4C0", "4C⁰"), =HYPERLINK("CSG0.html#group8B0", "8B⁰"), =HYPERLINK("CSG9.html#group32R9", "32R⁹"), =HYPERLINK("CSG3.html#group16P3", "16P³"), =HYPERLINK("CSG0.html#group8A0", "8A⁰"), =HYPERLINK("CSG0.html#group2B0", "2B⁰"), =HYPERLINK("CSG1.html#group16B1", "16B¹"), =HYPERLINK("CSG3.html#group16G3", "16G³"), =HYPERLINK("CSG0.html#group1A0", "1A⁰"), =HYPERLINK("CSG0.html#group8K0", "8K⁰"), =HYPERLINK("CSG1.html#group8D1", "8D¹"), =HYPERLINK("CSG1.html#group8H1", "8H¹"), =HYPERLINK("CSG2.html#group16A2", "16A²"), =HYPERLINK("CSG0.html#group8H0", "8H⁰"), =HYPERLINK("CSG5.html#group16E5", "16E⁵"), =HYPERLINK("CSG0.html#group4A0", "4A⁰"), =HYPERLINK("CSG9.html#group32Q9", "32Q⁹"), =HYPERLINK("CSG0.html#group4F0", "4F⁰"), =HYPERLINK("CSG1.html#group16H1", "16H¹"), =HYPERLINK("CSG5.html#group16J5", "16J⁵"), =HYPERLINK("CSG11.html#group16B11", "16B¹¹")</f>
        <v/>
      </c>
      <c r="N7390" t="inlineStr"/>
    </row>
    <row r="7391">
      <c r="A7391" t="inlineStr">
        <is>
          <t>32H²³</t>
        </is>
      </c>
      <c r="B7391" t="inlineStr"/>
      <c r="C7391" t="inlineStr">
        <is>
          <t>384</t>
        </is>
      </c>
      <c r="D7391" t="inlineStr">
        <is>
          <t>2</t>
        </is>
      </c>
      <c r="E7391" t="inlineStr">
        <is>
          <t>48</t>
        </is>
      </c>
      <c r="F7391" t="inlineStr">
        <is>
          <t>8</t>
        </is>
      </c>
      <c r="G7391" t="inlineStr">
        <is>
          <t>0</t>
        </is>
      </c>
      <c r="H7391" t="inlineStr">
        <is>
          <t>16⁸, 32⁸</t>
        </is>
      </c>
      <c r="I7391" t="n">
        <v>16</v>
      </c>
      <c r="J7391" t="inlineStr">
        <is>
          <t>4¹⁶, 8⁴</t>
        </is>
      </c>
      <c r="K7391">
        <f>HYPERLINK("CSG7.html#group16E7", "16E⁷"), =HYPERLINK("CSG11.html#group32G11", "32G¹¹"), =HYPERLINK("CSG11.html#group32K11", "32K¹¹")</f>
        <v/>
      </c>
      <c r="L7391" t="inlineStr"/>
      <c r="M7391">
        <f>HYPERLINK("CSG5.html#group32F5", "32F⁵"), =HYPERLINK("CSG6.html#group32F6", "32F⁶"), =HYPERLINK("CSG3.html#group16R3", "16R³"), =HYPERLINK("CSG11.html#group32K11", "32K¹¹"), =HYPERLINK("CSG5.html#group32J5", "32J⁵"), =HYPERLINK("CSG5.html#group32E5", "32E⁵"), =HYPERLINK("CSG5.html#group32K5", "32K⁵"), =HYPERLINK("CSG0.html#group8D0", "8D⁰"), =HYPERLINK("CSG3.html#group16M3", "16M³"), =HYPERLINK("CSG6.html#group32D6", "32D⁶"), =HYPERLINK("CSG0.html#group4C0", "4C⁰"), =HYPERLINK("CSG0.html#group8B0", "8B⁰"), =HYPERLINK("CSG1.html#group16B1", "16B¹"), =HYPERLINK("CSG0.html#group8L0", "8L⁰"), =HYPERLINK("CSG0.html#group2B0", "2B⁰"), =HYPERLINK("CSG3.html#group16S3", "16S³"), =HYPERLINK("CSG7.html#group16E7", "16E⁷"), =HYPERLINK("CSG3.html#group32G3", "32G³"), =HYPERLINK("CSG3.html#group32F3", "32F³"), =HYPERLINK("CSG1.html#group16J1", "16J¹"), =HYPERLINK("CSG0.html#group1A0", "1A⁰"), =HYPERLINK("CSG2.html#group16E2", "16E²"), =HYPERLINK("CSG0.html#group8H0", "8H⁰"), =HYPERLINK("CSG0.html#group16B0", "16B⁰"), =HYPERLINK("CSG1.html#group16D1", "16D¹"), =HYPERLINK("CSG6.html#group32E6", "32E⁶"), =HYPERLINK("CSG6.html#group32C6", "32C⁶"), =HYPERLINK("CSG2.html#group16F2", "16F²"), =HYPERLINK("CSG0.html#group4A0", "4A⁰"), =HYPERLINK("CSG11.html#group32G11", "32G¹¹"), =HYPERLINK("CSG3.html#group32E3", "32E³"), =HYPERLINK("CSG0.html#group4F0", "4F⁰"), =HYPERLINK("CSG1.html#group16F1", "16F¹"), =HYPERLINK("CSG0.html#group8P0", "8P⁰"), =HYPERLINK("CSG3.html#group32H3", "32H³")</f>
        <v/>
      </c>
      <c r="N7391" t="inlineStr"/>
    </row>
    <row r="7392">
      <c r="A7392" t="inlineStr">
        <is>
          <t>36A²³</t>
        </is>
      </c>
      <c r="B7392" t="inlineStr"/>
      <c r="C7392" t="inlineStr">
        <is>
          <t>432</t>
        </is>
      </c>
      <c r="D7392" t="inlineStr">
        <is>
          <t>1</t>
        </is>
      </c>
      <c r="E7392" t="inlineStr">
        <is>
          <t>18</t>
        </is>
      </c>
      <c r="F7392" t="inlineStr">
        <is>
          <t>24</t>
        </is>
      </c>
      <c r="G7392" t="inlineStr">
        <is>
          <t>0</t>
        </is>
      </c>
      <c r="H7392" t="inlineStr">
        <is>
          <t>18⁸, 36⁸</t>
        </is>
      </c>
      <c r="I7392" t="n">
        <v>16</v>
      </c>
      <c r="J7392" t="inlineStr">
        <is>
          <t>2⁷, 4¹</t>
        </is>
      </c>
      <c r="K7392">
        <f>HYPERLINK("CSG3.html#group12P3", "12P³"), =HYPERLINK("CSG9.html#group36O9", "36O⁹")</f>
        <v/>
      </c>
      <c r="L7392" t="inlineStr"/>
      <c r="M7392">
        <f>HYPERLINK("CSG1.html#group12T1", "12T¹"), =HYPERLINK("CSG0.html#group12C0", "12C⁰"), =HYPERLINK("CSG3.html#group36E3", "36E³"), =HYPERLINK("CSG0.html#group4C0", "4C⁰"), =HYPERLINK("CSG2.html#group36B2", "36B²"), =HYPERLINK("CSG4.html#group36R4", "36R⁴"), =HYPERLINK("CSG0.html#group6G0", "6G⁰"), =HYPERLINK("CSG0.html#group2B0", "2B⁰"), =HYPERLINK("CSG1.html#group12N1", "12N¹"), =HYPERLINK("CSG0.html#group1A0", "1A⁰"), =HYPERLINK("CSG0.html#group18A0", "18A⁰"), =HYPERLINK("CSG2.html#group18L2", "18L²"), =HYPERLINK("CSG0.html#group3C0", "3C⁰"), =HYPERLINK("CSG0.html#group6H0", "6H⁰"), =HYPERLINK("CSG0.html#group3A0", "3A⁰"), =HYPERLINK("CSG1.html#group18E1", "18E¹"), =HYPERLINK("CSG0.html#group6B0", "6B⁰"), =HYPERLINK("CSG4.html#group18L4", "18L⁴"), =HYPERLINK("CSG5.html#group36K5", "36K⁵"), =HYPERLINK("CSG4.html#group36P4", "36P⁴"), =HYPERLINK("CSG9.html#group36O9", "36O⁹"), =HYPERLINK("CSG5.html#group36H5", "36H⁵"), =HYPERLINK("CSG1.html#group12L1", "12L¹"), =HYPERLINK("CSG0.html#group12G0", "12G⁰"), =HYPERLINK("CSG0.html#group9D0", "9D⁰"), =HYPERLINK("CSG1.html#group12C1", "12C¹"), =HYPERLINK("CSG0.html#group18D0", "18D⁰"), =HYPERLINK("CSG0.html#group6E0", "6E⁰"), =HYPERLINK("CSG0.html#group6L0", "6L⁰"), =HYPERLINK("CSG3.html#group12P3", "12P³"), =HYPERLINK("CSG0.html#group9A0", "9A⁰"), =HYPERLINK("CSG0.html#group12D0", "12D⁰"), =HYPERLINK("CSG0.html#group12H0", "12H⁰"), =HYPERLINK("CSG2.html#group18I2", "18I²"), =HYPERLINK("CSG0.html#group6D0", "6D⁰"), =HYPERLINK("CSG2.html#group36C2", "36C²")</f>
        <v/>
      </c>
      <c r="N7392" t="inlineStr"/>
    </row>
    <row r="7393">
      <c r="A7393" t="inlineStr">
        <is>
          <t>36B²³</t>
        </is>
      </c>
      <c r="B7393" t="inlineStr"/>
      <c r="C7393" t="inlineStr">
        <is>
          <t>432</t>
        </is>
      </c>
      <c r="D7393" t="inlineStr">
        <is>
          <t>1</t>
        </is>
      </c>
      <c r="E7393" t="inlineStr">
        <is>
          <t>54</t>
        </is>
      </c>
      <c r="F7393" t="inlineStr">
        <is>
          <t>8</t>
        </is>
      </c>
      <c r="G7393" t="inlineStr">
        <is>
          <t>0</t>
        </is>
      </c>
      <c r="H7393" t="inlineStr">
        <is>
          <t>12¹⁸, 36⁶</t>
        </is>
      </c>
      <c r="I7393" t="n">
        <v>24</v>
      </c>
      <c r="J7393" t="inlineStr">
        <is>
          <t>2³, 4³, 6³, 12⁶</t>
        </is>
      </c>
      <c r="K7393">
        <f>HYPERLINK("CSG5.html#group12C5", "12C⁵"), =HYPERLINK("CSG8.html#group36N8", "36N⁸"), =HYPERLINK("CSG9.html#group36P9", "36P⁹"), =HYPERLINK("CSG12.html#group36B12", "36B¹²")</f>
        <v/>
      </c>
      <c r="L7393" t="inlineStr"/>
      <c r="M7393">
        <f>HYPERLINK("CSG1.html#group12T1", "12T¹"), =HYPERLINK("CSG4.html#group36K4", "36K⁴"), =HYPERLINK("CSG5.html#group36I5", "36I⁵"), =HYPERLINK("CSG1.html#group12D1", "12D¹"), =HYPERLINK("CSG0.html#group12C0", "12C⁰"), =HYPERLINK("CSG0.html#group4C0", "4C⁰"), =HYPERLINK("CSG0.html#group6G0", "6G⁰"), =HYPERLINK("CSG0.html#group2B0", "2B⁰"), =HYPERLINK("CSG1.html#group12N1", "12N¹"), =HYPERLINK("CSG0.html#group9E0", "9E⁰"), =HYPERLINK("CSG0.html#group1A0", "1A⁰"), =HYPERLINK("CSG5.html#group12C5", "12C⁵"), =HYPERLINK("CSG8.html#group36N8", "36N⁸"), =HYPERLINK("CSG0.html#group3C0", "3C⁰"), =HYPERLINK("CSG3.html#group18K3", "18K³"), =HYPERLINK("CSG1.html#group18G1", "18G¹"), =HYPERLINK("CSG3.html#group36I3", "36I³"), =HYPERLINK("CSG0.html#group6H0", "6H⁰"), =HYPERLINK("CSG0.html#group3A0", "3A⁰"), =HYPERLINK("CSG3.html#group12H3", "12H³"), =HYPERLINK("CSG1.html#group12U1", "12U¹"), =HYPERLINK("CSG0.html#group6B0", "6B⁰"), =HYPERLINK("CSG4.html#group36I4", "36I⁴"), =HYPERLINK("CSG1.html#group18I1", "18I¹"), =HYPERLINK("CSG1.html#group12L1", "12L¹"), =HYPERLINK("CSG9.html#group36P9", "36P⁹"), =HYPERLINK("CSG12.html#group36B12", "36B¹²"), =HYPERLINK("CSG0.html#group12G0", "12G⁰"), =HYPERLINK("CSG1.html#group12C1", "12C¹"), =HYPERLINK("CSG0.html#group6E0", "6E⁰"), =HYPERLINK("CSG0.html#group6L0", "6L⁰"), =HYPERLINK("CSG0.html#group12D0", "12D⁰"), =HYPERLINK("CSG1.html#group18F1", "18F¹"), =HYPERLINK("CSG0.html#group12H0", "12H⁰"), =HYPERLINK("CSG0.html#group6D0", "6D⁰")</f>
        <v/>
      </c>
      <c r="N7393" t="inlineStr"/>
    </row>
    <row r="7394">
      <c r="A7394" t="inlineStr">
        <is>
          <t>36C²³</t>
        </is>
      </c>
      <c r="B7394" t="inlineStr"/>
      <c r="C7394" t="inlineStr">
        <is>
          <t>432</t>
        </is>
      </c>
      <c r="D7394" t="inlineStr">
        <is>
          <t>1</t>
        </is>
      </c>
      <c r="E7394" t="inlineStr">
        <is>
          <t>54</t>
        </is>
      </c>
      <c r="F7394" t="inlineStr">
        <is>
          <t>8</t>
        </is>
      </c>
      <c r="G7394" t="inlineStr">
        <is>
          <t>0</t>
        </is>
      </c>
      <c r="H7394" t="inlineStr">
        <is>
          <t>12¹⁸, 36⁶</t>
        </is>
      </c>
      <c r="I7394" t="n">
        <v>24</v>
      </c>
      <c r="J7394" t="inlineStr">
        <is>
          <t>2³, 4³, 6³, 12⁶</t>
        </is>
      </c>
      <c r="K7394">
        <f>HYPERLINK("CSG5.html#group12C5", "12C⁵"), =HYPERLINK("CSG8.html#group36O8", "36O⁸"), =HYPERLINK("CSG9.html#group36P9", "36P⁹"), =HYPERLINK("CSG12.html#group36A12", "36A¹²")</f>
        <v/>
      </c>
      <c r="L7394" t="inlineStr"/>
      <c r="M7394">
        <f>HYPERLINK("CSG1.html#group12T1", "12T¹"), =HYPERLINK("CSG5.html#group36I5", "36I⁵"), =HYPERLINK("CSG1.html#group12D1", "12D¹"), =HYPERLINK("CSG0.html#group12C0", "12C⁰"), =HYPERLINK("CSG0.html#group4C0", "4C⁰"), =HYPERLINK("CSG0.html#group6G0", "6G⁰"), =HYPERLINK("CSG0.html#group2B0", "2B⁰"), =HYPERLINK("CSG1.html#group12N1", "12N¹"), =HYPERLINK("CSG0.html#group9E0", "9E⁰"), =HYPERLINK("CSG0.html#group1A0", "1A⁰"), =HYPERLINK("CSG5.html#group12C5", "12C⁵"), =HYPERLINK("CSG8.html#group36O8", "36O⁸"), =HYPERLINK("CSG0.html#group3C0", "3C⁰"), =HYPERLINK("CSG3.html#group18K3", "18K³"), =HYPERLINK("CSG1.html#group18G1", "18G¹"), =HYPERLINK("CSG3.html#group36I3", "36I³"), =HYPERLINK("CSG0.html#group6H0", "6H⁰"), =HYPERLINK("CSG0.html#group3A0", "3A⁰"), =HYPERLINK("CSG3.html#group12H3", "12H³"), =HYPERLINK("CSG1.html#group12U1", "12U¹"), =HYPERLINK("CSG4.html#group36J4", "36J⁴"), =HYPERLINK("CSG0.html#group6B0", "6B⁰"), =HYPERLINK("CSG1.html#group18I1", "18I¹"), =HYPERLINK("CSG4.html#group36H4", "36H⁴"), =HYPERLINK("CSG1.html#group12L1", "12L¹"), =HYPERLINK("CSG9.html#group36P9", "36P⁹"), =HYPERLINK("CSG12.html#group36A12", "36A¹²"), =HYPERLINK("CSG0.html#group12G0", "12G⁰"), =HYPERLINK("CSG1.html#group12C1", "12C¹"), =HYPERLINK("CSG0.html#group6E0", "6E⁰"), =HYPERLINK("CSG0.html#group6L0", "6L⁰"), =HYPERLINK("CSG0.html#group12D0", "12D⁰"), =HYPERLINK("CSG1.html#group18F1", "18F¹"), =HYPERLINK("CSG0.html#group12H0", "12H⁰"), =HYPERLINK("CSG0.html#group6D0", "6D⁰")</f>
        <v/>
      </c>
      <c r="N7394" t="inlineStr"/>
    </row>
    <row r="7395">
      <c r="A7395" t="inlineStr">
        <is>
          <t>36D²³</t>
        </is>
      </c>
      <c r="B7395" t="inlineStr"/>
      <c r="C7395" t="inlineStr">
        <is>
          <t>432</t>
        </is>
      </c>
      <c r="D7395" t="inlineStr">
        <is>
          <t>1</t>
        </is>
      </c>
      <c r="E7395" t="inlineStr">
        <is>
          <t>108</t>
        </is>
      </c>
      <c r="F7395" t="inlineStr">
        <is>
          <t>8</t>
        </is>
      </c>
      <c r="G7395" t="inlineStr">
        <is>
          <t>0</t>
        </is>
      </c>
      <c r="H7395" t="inlineStr">
        <is>
          <t>12¹⁸, 36⁶</t>
        </is>
      </c>
      <c r="I7395" t="n">
        <v>24</v>
      </c>
      <c r="J7395" t="inlineStr">
        <is>
          <t>1², 2⁴, 3², 4², 6⁶, 12⁴</t>
        </is>
      </c>
      <c r="K7395">
        <f>HYPERLINK("CSG5.html#group12D5", "12D⁵"), =HYPERLINK("CSG7.html#group36J7", "36J⁷"), =HYPERLINK("CSG7.html#group36K7", "36K⁷"), =HYPERLINK("CSG9.html#group36P9", "36P⁹"), =HYPERLINK("CSG12.html#group36C12", "36C¹²"), =HYPERLINK("CSG12.html#group36D12", "36D¹²")</f>
        <v/>
      </c>
      <c r="L7395" t="inlineStr"/>
      <c r="M7395">
        <f>HYPERLINK("CSG5.html#group36I5", "36I⁵"), =HYPERLINK("CSG1.html#group12T1", "12T¹"), =HYPERLINK("CSG2.html#group12I2", "12I²"), =HYPERLINK("CSG0.html#group12C0", "12C⁰"), =HYPERLINK("CSG0.html#group4C0", "4C⁰"), =HYPERLINK("CSG12.html#group36D12", "36D¹²"), =HYPERLINK("CSG0.html#group6G0", "6G⁰"), =HYPERLINK("CSG0.html#group2B0", "2B⁰"), =HYPERLINK("CSG1.html#group12M1", "12M¹"), =HYPERLINK("CSG0.html#group9E0", "9E⁰"), =HYPERLINK("CSG1.html#group12N1", "12N¹"), =HYPERLINK("CSG0.html#group1A0", "1A⁰"), =HYPERLINK("CSG2.html#group12H2", "12H²"), =HYPERLINK("CSG4.html#group36M4", "36M⁴"), =HYPERLINK("CSG12.html#group36C12", "36C¹²"), =HYPERLINK("CSG7.html#group36K7", "36K⁷"), =HYPERLINK("CSG1.html#group12Q1", "12Q¹"), =HYPERLINK("CSG0.html#group3C0", "3C⁰"), =HYPERLINK("CSG1.html#group18G1", "18G¹"), =HYPERLINK("CSG0.html#group6H0", "6H⁰"), =HYPERLINK("CSG0.html#group3A0", "3A⁰"), =HYPERLINK("CSG3.html#group18K3", "18K³"), =HYPERLINK("CSG3.html#group36I3", "36I³"), =HYPERLINK("CSG1.html#group12G1", "12G¹"), =HYPERLINK("CSG0.html#group6B0", "6B⁰"), =HYPERLINK("CSG7.html#group36J7", "36J⁷"), =HYPERLINK("CSG1.html#group18I1", "18I¹"), =HYPERLINK("CSG0.html#group12F0", "12F⁰"), =HYPERLINK("CSG5.html#group12D5", "12D⁵"), =HYPERLINK("CSG1.html#group12L1", "12L¹"), =HYPERLINK("CSG3.html#group12J3", "12J³"), =HYPERLINK("CSG9.html#group36P9", "36P⁹"), =HYPERLINK("CSG0.html#group12G0", "12G⁰"), =HYPERLINK("CSG0.html#group12A0", "12A⁰"), =HYPERLINK("CSG1.html#group12C1", "12C¹"), =HYPERLINK("CSG0.html#group6E0", "6E⁰"), =HYPERLINK("CSG3.html#group12I3", "12I³"), =HYPERLINK("CSG0.html#group4A0", "4A⁰"), =HYPERLINK("CSG0.html#group6L0", "6L⁰"), =HYPERLINK("CSG1.html#group12J1", "12J¹"), =HYPERLINK("CSG1.html#group18F1", "18F¹"), =HYPERLINK("CSG0.html#group4F0", "4F⁰"), =HYPERLINK("CSG0.html#group12D0", "12D⁰"), =HYPERLINK("CSG0.html#group12H0", "12H⁰"), =HYPERLINK("CSG0.html#group6D0", "6D⁰")</f>
        <v/>
      </c>
      <c r="N7395" t="inlineStr"/>
    </row>
    <row r="7396">
      <c r="A7396" t="inlineStr">
        <is>
          <t>39A²³</t>
        </is>
      </c>
      <c r="B7396" t="inlineStr"/>
      <c r="C7396" t="inlineStr">
        <is>
          <t>364</t>
        </is>
      </c>
      <c r="D7396" t="inlineStr">
        <is>
          <t>1</t>
        </is>
      </c>
      <c r="E7396" t="inlineStr">
        <is>
          <t>364</t>
        </is>
      </c>
      <c r="F7396" t="inlineStr">
        <is>
          <t>0</t>
        </is>
      </c>
      <c r="G7396" t="inlineStr">
        <is>
          <t>4</t>
        </is>
      </c>
      <c r="H7396" t="inlineStr">
        <is>
          <t>13⁷, 39⁷</t>
        </is>
      </c>
      <c r="I7396" t="n">
        <v>14</v>
      </c>
      <c r="J7396" t="inlineStr">
        <is>
          <t>3², 4², 6¹, 8¹, 12¹⁴, 24⁷</t>
        </is>
      </c>
      <c r="K7396">
        <f>HYPERLINK("CSG0.html#group3B0", "3B⁰"), =HYPERLINK("CSG3.html#group13B3", "13B³")</f>
        <v/>
      </c>
      <c r="L7396" t="inlineStr"/>
      <c r="M7396">
        <f>HYPERLINK("CSG0.html#group3B0", "3B⁰"), =HYPERLINK("CSG0.html#group1A0", "1A⁰"), =HYPERLINK("CSG3.html#group13B3", "13B³")</f>
        <v/>
      </c>
      <c r="N7396" t="inlineStr"/>
    </row>
    <row r="7397">
      <c r="A7397" t="inlineStr">
        <is>
          <t>40A²³</t>
        </is>
      </c>
      <c r="B7397" t="inlineStr"/>
      <c r="C7397" t="inlineStr">
        <is>
          <t>320</t>
        </is>
      </c>
      <c r="D7397" t="inlineStr">
        <is>
          <t>1</t>
        </is>
      </c>
      <c r="E7397" t="inlineStr">
        <is>
          <t>160</t>
        </is>
      </c>
      <c r="F7397" t="inlineStr">
        <is>
          <t>0</t>
        </is>
      </c>
      <c r="G7397" t="inlineStr">
        <is>
          <t>2</t>
        </is>
      </c>
      <c r="H7397" t="inlineStr">
        <is>
          <t>40⁸</t>
        </is>
      </c>
      <c r="I7397" t="n">
        <v>8</v>
      </c>
      <c r="J7397" t="inlineStr">
        <is>
          <t>8⁴, 16⁸</t>
        </is>
      </c>
      <c r="K7397">
        <f>HYPERLINK("CSG1.html#group8E1", "8E¹"), =HYPERLINK("CSG5.html#group20A5", "20A⁵"), =HYPERLINK("CSG10.html#group40A10", "40A¹⁰")</f>
        <v/>
      </c>
      <c r="L7397" t="inlineStr"/>
      <c r="M7397">
        <f>HYPERLINK("CSG0.html#group2A0", "2A⁰"), =HYPERLINK("CSG0.html#group8F0", "8F⁰"), =HYPERLINK("CSG0.html#group4A0", "4A⁰"), =HYPERLINK("CSG5.html#group20A5", "20A⁵"), =HYPERLINK("CSG0.html#group4D0", "4D⁰"), =HYPERLINK("CSG0.html#group5C0", "5C⁰"), =HYPERLINK("CSG1.html#group10C1", "10C¹"), =HYPERLINK("CSG1.html#group8E1", "8E¹"), =HYPERLINK("CSG10.html#group40A10", "40A¹⁰"), =HYPERLINK("CSG0.html#group1A0", "1A⁰"), =HYPERLINK("CSG2.html#group20E2", "20E²")</f>
        <v/>
      </c>
      <c r="N7397" t="inlineStr"/>
    </row>
    <row r="7398">
      <c r="A7398" t="inlineStr">
        <is>
          <t>40B²³</t>
        </is>
      </c>
      <c r="B7398" t="inlineStr"/>
      <c r="C7398" t="inlineStr">
        <is>
          <t>320</t>
        </is>
      </c>
      <c r="D7398" t="inlineStr">
        <is>
          <t>1</t>
        </is>
      </c>
      <c r="E7398" t="inlineStr">
        <is>
          <t>160</t>
        </is>
      </c>
      <c r="F7398" t="inlineStr">
        <is>
          <t>0</t>
        </is>
      </c>
      <c r="G7398" t="inlineStr">
        <is>
          <t>2</t>
        </is>
      </c>
      <c r="H7398" t="inlineStr">
        <is>
          <t>40⁸</t>
        </is>
      </c>
      <c r="I7398" t="n">
        <v>8</v>
      </c>
      <c r="J7398" t="inlineStr">
        <is>
          <t>8⁴, 16⁸</t>
        </is>
      </c>
      <c r="K7398">
        <f>HYPERLINK("CSG5.html#group20B5", "20B⁵"), =HYPERLINK("CSG5.html#group40D5", "40D⁵"), =HYPERLINK("CSG10.html#group40A10", "40A¹⁰")</f>
        <v/>
      </c>
      <c r="L7398" t="inlineStr"/>
      <c r="M7398">
        <f>HYPERLINK("CSG0.html#group5A0", "5A⁰"), =HYPERLINK("CSG0.html#group8F0", "8F⁰"), =HYPERLINK("CSG0.html#group4A0", "4A⁰"), =HYPERLINK("CSG2.html#group20E2", "20E²"), =HYPERLINK("CSG0.html#group5C0", "5C⁰"), =HYPERLINK("CSG5.html#group20B5", "20B⁵"), =HYPERLINK("CSG0.html#group5F0", "5F⁰"), =HYPERLINK("CSG1.html#group20A1", "20A¹"), =HYPERLINK("CSG10.html#group40A10", "40A¹⁰"), =HYPERLINK("CSG0.html#group1A0", "1A⁰"), =HYPERLINK("CSG5.html#group40D5", "40D⁵")</f>
        <v/>
      </c>
      <c r="N7398" t="inlineStr"/>
    </row>
    <row r="7399">
      <c r="A7399" t="inlineStr">
        <is>
          <t>40C²³</t>
        </is>
      </c>
      <c r="B7399" t="inlineStr"/>
      <c r="C7399" t="inlineStr">
        <is>
          <t>360</t>
        </is>
      </c>
      <c r="D7399" t="inlineStr">
        <is>
          <t>1</t>
        </is>
      </c>
      <c r="E7399" t="inlineStr">
        <is>
          <t>45</t>
        </is>
      </c>
      <c r="F7399" t="inlineStr">
        <is>
          <t>8</t>
        </is>
      </c>
      <c r="G7399" t="inlineStr">
        <is>
          <t>0</t>
        </is>
      </c>
      <c r="H7399" t="inlineStr">
        <is>
          <t>20⁶, 40⁶</t>
        </is>
      </c>
      <c r="I7399" t="n">
        <v>12</v>
      </c>
      <c r="J7399" t="inlineStr">
        <is>
          <t>1³, 2³, 4⁹</t>
        </is>
      </c>
      <c r="K7399">
        <f>HYPERLINK("CSG3.html#group40C3", "40C³"), =HYPERLINK("CSG7.html#group40D7", "40D⁷"), =HYPERLINK("CSG9.html#group20B9", "20B⁹"), =HYPERLINK("CSG11.html#group40E11", "40E¹¹")</f>
        <v/>
      </c>
      <c r="L7399" t="inlineStr"/>
      <c r="M7399">
        <f>HYPERLINK("CSG1.html#group20E1", "20E¹"), =HYPERLINK("CSG0.html#group5A0", "5A⁰"), =HYPERLINK("CSG4.html#group20E4", "20E⁴"), =HYPERLINK("CSG1.html#group10B1", "10B¹"), =HYPERLINK("CSG2.html#group20B2", "20B²"), =HYPERLINK("CSG0.html#group4C0", "4C⁰"), =HYPERLINK("CSG9.html#group20B9", "20B⁹"), =HYPERLINK("CSG0.html#group5B0", "5B⁰"), =HYPERLINK("CSG0.html#group2B0", "2B⁰"), =HYPERLINK("CSG0.html#group1A0", "1A⁰"), =HYPERLINK("CSG3.html#group20F3", "20F³"), =HYPERLINK("CSG11.html#group40E11", "40E¹¹"), =HYPERLINK("CSG3.html#group40C3", "40C³"), =HYPERLINK("CSG1.html#group10F1", "10F¹"), =HYPERLINK("CSG1.html#group10I1", "10I¹"), =HYPERLINK("CSG2.html#group10F2", "10F²"), =HYPERLINK("CSG5.html#group20C5", "20C⁵"), =HYPERLINK("CSG0.html#group10C0", "10C⁰"), =HYPERLINK("CSG0.html#group5E0", "5E⁰"), =HYPERLINK("CSG0.html#group5C0", "5C⁰"), =HYPERLINK("CSG0.html#group5G0", "5G⁰"), =HYPERLINK("CSG7.html#group40D7", "40D⁷")</f>
        <v/>
      </c>
      <c r="N7399" t="inlineStr"/>
    </row>
    <row r="7400">
      <c r="A7400" t="inlineStr">
        <is>
          <t>40D²³</t>
        </is>
      </c>
      <c r="B7400" t="inlineStr"/>
      <c r="C7400" t="inlineStr">
        <is>
          <t>360</t>
        </is>
      </c>
      <c r="D7400" t="inlineStr">
        <is>
          <t>1</t>
        </is>
      </c>
      <c r="E7400" t="inlineStr">
        <is>
          <t>45</t>
        </is>
      </c>
      <c r="F7400" t="inlineStr">
        <is>
          <t>8</t>
        </is>
      </c>
      <c r="G7400" t="inlineStr">
        <is>
          <t>0</t>
        </is>
      </c>
      <c r="H7400" t="inlineStr">
        <is>
          <t>20⁶, 40⁶</t>
        </is>
      </c>
      <c r="I7400" t="n">
        <v>12</v>
      </c>
      <c r="J7400" t="inlineStr">
        <is>
          <t>1³, 2³, 4⁹</t>
        </is>
      </c>
      <c r="K7400">
        <f>HYPERLINK("CSG3.html#group40D3", "40D³"), =HYPERLINK("CSG7.html#group40E7", "40E⁷"), =HYPERLINK("CSG9.html#group20B9", "20B⁹"), =HYPERLINK("CSG10.html#group40C10", "40C¹⁰"), =HYPERLINK("CSG12.html#group40A12", "40A¹²")</f>
        <v/>
      </c>
      <c r="L7400" t="inlineStr"/>
      <c r="M7400">
        <f>HYPERLINK("CSG1.html#group20E1", "20E¹"), =HYPERLINK("CSG3.html#group40D3", "40D³"), =HYPERLINK("CSG0.html#group5A0", "5A⁰"), =HYPERLINK("CSG4.html#group40A4", "40A⁴"), =HYPERLINK("CSG4.html#group20E4", "20E⁴"), =HYPERLINK("CSG1.html#group10B1", "10B¹"), =HYPERLINK("CSG2.html#group20B2", "20B²"), =HYPERLINK("CSG0.html#group4C0", "4C⁰"), =HYPERLINK("CSG9.html#group20B9", "20B⁹"), =HYPERLINK("CSG0.html#group8B0", "8B⁰"), =HYPERLINK("CSG0.html#group5B0", "5B⁰"), =HYPERLINK("CSG0.html#group2B0", "2B⁰"), =HYPERLINK("CSG0.html#group1A0", "1A⁰"), =HYPERLINK("CSG3.html#group20F3", "20F³"), =HYPERLINK("CSG1.html#group10F1", "10F¹"), =HYPERLINK("CSG7.html#group40E7", "40E⁷"), =HYPERLINK("CSG12.html#group40A12", "40A¹²"), =HYPERLINK("CSG1.html#group10I1", "10I¹"), =HYPERLINK("CSG2.html#group10F2", "10F²"), =HYPERLINK("CSG10.html#group40C10", "40C¹⁰"), =HYPERLINK("CSG5.html#group20C5", "20C⁵"), =HYPERLINK("CSG0.html#group5E0", "5E⁰"), =HYPERLINK("CSG0.html#group10C0", "10C⁰"), =HYPERLINK("CSG0.html#group5C0", "5C⁰"), =HYPERLINK("CSG0.html#group5G0", "5G⁰")</f>
        <v/>
      </c>
      <c r="N7400" t="inlineStr"/>
    </row>
    <row r="7401">
      <c r="A7401" t="inlineStr">
        <is>
          <t>40E²³</t>
        </is>
      </c>
      <c r="B7401" t="inlineStr"/>
      <c r="C7401" t="inlineStr">
        <is>
          <t>360</t>
        </is>
      </c>
      <c r="D7401" t="inlineStr">
        <is>
          <t>1</t>
        </is>
      </c>
      <c r="E7401" t="inlineStr">
        <is>
          <t>45</t>
        </is>
      </c>
      <c r="F7401" t="inlineStr">
        <is>
          <t>8</t>
        </is>
      </c>
      <c r="G7401" t="inlineStr">
        <is>
          <t>0</t>
        </is>
      </c>
      <c r="H7401" t="inlineStr">
        <is>
          <t>20⁶, 40⁶</t>
        </is>
      </c>
      <c r="I7401" t="n">
        <v>12</v>
      </c>
      <c r="J7401" t="inlineStr">
        <is>
          <t>2⁹, 4¹⁸</t>
        </is>
      </c>
      <c r="K7401">
        <f>HYPERLINK("CSG8.html#group20C8", "20C⁸"), =HYPERLINK("CSG11.html#group40E11", "40E¹¹"), =HYPERLINK("CSG12.html#group40A12", "40A¹²")</f>
        <v/>
      </c>
      <c r="L7401" t="inlineStr"/>
      <c r="M7401">
        <f>HYPERLINK("CSG3.html#group10C3", "10C³"), =HYPERLINK("CSG0.html#group5A0", "5A⁰"), =HYPERLINK("CSG1.html#group10I1", "10I¹"), =HYPERLINK("CSG12.html#group40A12", "40A¹²"), =HYPERLINK("CSG4.html#group20E4", "20E⁴"), =HYPERLINK("CSG1.html#group10B1", "10B¹"), =HYPERLINK("CSG2.html#group20B2", "20B²"), =HYPERLINK("CSG0.html#group4C0", "4C⁰"), =HYPERLINK("CSG0.html#group5E0", "5E⁰"), =HYPERLINK("CSG3.html#group20P3", "20P³"), =HYPERLINK("CSG0.html#group2B0", "2B⁰"), =HYPERLINK("CSG1.html#group10E1", "10E¹"), =HYPERLINK("CSG0.html#group1A0", "1A⁰"), =HYPERLINK("CSG8.html#group20C8", "20C⁸"), =HYPERLINK("CSG11.html#group40E11", "40E¹¹")</f>
        <v/>
      </c>
      <c r="N7401" t="inlineStr"/>
    </row>
    <row r="7402">
      <c r="A7402" t="inlineStr">
        <is>
          <t>40F²³</t>
        </is>
      </c>
      <c r="B7402" t="inlineStr"/>
      <c r="C7402" t="inlineStr">
        <is>
          <t>360</t>
        </is>
      </c>
      <c r="D7402" t="inlineStr">
        <is>
          <t>1</t>
        </is>
      </c>
      <c r="E7402" t="inlineStr">
        <is>
          <t>45</t>
        </is>
      </c>
      <c r="F7402" t="inlineStr">
        <is>
          <t>8</t>
        </is>
      </c>
      <c r="G7402" t="inlineStr">
        <is>
          <t>0</t>
        </is>
      </c>
      <c r="H7402" t="inlineStr">
        <is>
          <t>20⁶, 40⁶</t>
        </is>
      </c>
      <c r="I7402" t="n">
        <v>12</v>
      </c>
      <c r="J7402" t="inlineStr">
        <is>
          <t>2⁹, 4¹⁸</t>
        </is>
      </c>
      <c r="K7402">
        <f>HYPERLINK("CSG8.html#group20C8", "20C⁸"), =HYPERLINK("CSG11.html#group40E11", "40E¹¹"), =HYPERLINK("CSG12.html#group40A12", "40A¹²")</f>
        <v/>
      </c>
      <c r="L7402" t="inlineStr"/>
      <c r="M7402">
        <f>HYPERLINK("CSG3.html#group10C3", "10C³"), =HYPERLINK("CSG0.html#group5A0", "5A⁰"), =HYPERLINK("CSG1.html#group10I1", "10I¹"), =HYPERLINK("CSG12.html#group40A12", "40A¹²"), =HYPERLINK("CSG4.html#group20E4", "20E⁴"), =HYPERLINK("CSG1.html#group10B1", "10B¹"), =HYPERLINK("CSG2.html#group20B2", "20B²"), =HYPERLINK("CSG0.html#group4C0", "4C⁰"), =HYPERLINK("CSG0.html#group5E0", "5E⁰"), =HYPERLINK("CSG3.html#group20P3", "20P³"), =HYPERLINK("CSG0.html#group2B0", "2B⁰"), =HYPERLINK("CSG1.html#group10E1", "10E¹"), =HYPERLINK("CSG0.html#group1A0", "1A⁰"), =HYPERLINK("CSG8.html#group20C8", "20C⁸"), =HYPERLINK("CSG11.html#group40E11", "40E¹¹")</f>
        <v/>
      </c>
      <c r="N7402" t="inlineStr"/>
    </row>
    <row r="7403">
      <c r="A7403" t="inlineStr">
        <is>
          <t>40G²³</t>
        </is>
      </c>
      <c r="B7403" t="inlineStr"/>
      <c r="C7403" t="inlineStr">
        <is>
          <t>360</t>
        </is>
      </c>
      <c r="D7403" t="inlineStr">
        <is>
          <t>1</t>
        </is>
      </c>
      <c r="E7403" t="inlineStr">
        <is>
          <t>90</t>
        </is>
      </c>
      <c r="F7403" t="inlineStr">
        <is>
          <t>8</t>
        </is>
      </c>
      <c r="G7403" t="inlineStr">
        <is>
          <t>0</t>
        </is>
      </c>
      <c r="H7403" t="inlineStr">
        <is>
          <t>20⁶, 40⁶</t>
        </is>
      </c>
      <c r="I7403" t="n">
        <v>12</v>
      </c>
      <c r="J7403" t="inlineStr">
        <is>
          <t>1², 2⁴, 4⁸, 8⁶</t>
        </is>
      </c>
      <c r="K7403">
        <f>HYPERLINK("CSG10.html#group20B10", "20B¹⁰"), =HYPERLINK("CSG10.html#group40G10", "40G¹⁰"), =HYPERLINK("CSG11.html#group40E11", "40E¹¹")</f>
        <v/>
      </c>
      <c r="L7403" t="inlineStr"/>
      <c r="M7403">
        <f>HYPERLINK("CSG0.html#group5A0", "5A⁰"), =HYPERLINK("CSG4.html#group20E4", "20E⁴"), =HYPERLINK("CSG1.html#group10B1", "10B¹"), =HYPERLINK("CSG2.html#group20B2", "20B²"), =HYPERLINK("CSG0.html#group4C0", "4C⁰"), =HYPERLINK("CSG1.html#group20A1", "20A¹"), =HYPERLINK("CSG0.html#group2B0", "2B⁰"), =HYPERLINK("CSG4.html#group20C4", "20C⁴"), =HYPERLINK("CSG0.html#group1A0", "1A⁰"), =HYPERLINK("CSG11.html#group40E11", "40E¹¹"), =HYPERLINK("CSG1.html#group10I1", "10I¹"), =HYPERLINK("CSG0.html#group4A0", "4A⁰"), =HYPERLINK("CSG0.html#group5E0", "5E⁰"), =HYPERLINK("CSG0.html#group4F0", "4F⁰"), =HYPERLINK("CSG10.html#group40G10", "40G¹⁰"), =HYPERLINK("CSG10.html#group20B10", "20B¹⁰"), =HYPERLINK("CSG3.html#group20D3", "20D³")</f>
        <v/>
      </c>
      <c r="N7403" t="inlineStr"/>
    </row>
    <row r="7404">
      <c r="A7404" t="inlineStr">
        <is>
          <t>40H²³</t>
        </is>
      </c>
      <c r="B7404" t="inlineStr"/>
      <c r="C7404" t="inlineStr">
        <is>
          <t>360</t>
        </is>
      </c>
      <c r="D7404" t="inlineStr">
        <is>
          <t>1</t>
        </is>
      </c>
      <c r="E7404" t="inlineStr">
        <is>
          <t>90</t>
        </is>
      </c>
      <c r="F7404" t="inlineStr">
        <is>
          <t>8</t>
        </is>
      </c>
      <c r="G7404" t="inlineStr">
        <is>
          <t>0</t>
        </is>
      </c>
      <c r="H7404" t="inlineStr">
        <is>
          <t>20⁶, 40⁶</t>
        </is>
      </c>
      <c r="I7404" t="n">
        <v>12</v>
      </c>
      <c r="J7404" t="inlineStr">
        <is>
          <t>1², 2⁴, 4⁸, 8⁶</t>
        </is>
      </c>
      <c r="K7404">
        <f>HYPERLINK("CSG10.html#group20F10", "20F¹⁰"), =HYPERLINK("CSG10.html#group40E10", "40E¹⁰"), =HYPERLINK("CSG11.html#group40E11", "40E¹¹")</f>
        <v/>
      </c>
      <c r="L7404" t="inlineStr"/>
      <c r="M7404">
        <f>HYPERLINK("CSG10.html#group20F10", "20F¹⁰"), =HYPERLINK("CSG4.html#group40C4", "40C⁴"), =HYPERLINK("CSG0.html#group5A0", "5A⁰"), =HYPERLINK("CSG10.html#group40E10", "40E¹⁰"), =HYPERLINK("CSG1.html#group10I1", "10I¹"), =HYPERLINK("CSG4.html#group20E4", "20E⁴"), =HYPERLINK("CSG0.html#group8D0", "8D⁰"), =HYPERLINK("CSG1.html#group10B1", "10B¹"), =HYPERLINK("CSG2.html#group20B2", "20B²"), =HYPERLINK("CSG0.html#group4C0", "4C⁰"), =HYPERLINK("CSG0.html#group5E0", "5E⁰"), =HYPERLINK("CSG0.html#group2B0", "2B⁰"), =HYPERLINK("CSG0.html#group1A0", "1A⁰"), =HYPERLINK("CSG11.html#group40E11", "40E¹¹")</f>
        <v/>
      </c>
      <c r="N7404" t="inlineStr"/>
    </row>
    <row r="7405">
      <c r="A7405" t="inlineStr">
        <is>
          <t>40I²³</t>
        </is>
      </c>
      <c r="B7405" t="inlineStr"/>
      <c r="C7405" t="inlineStr">
        <is>
          <t>360</t>
        </is>
      </c>
      <c r="D7405" t="inlineStr">
        <is>
          <t>1</t>
        </is>
      </c>
      <c r="E7405" t="inlineStr">
        <is>
          <t>90</t>
        </is>
      </c>
      <c r="F7405" t="inlineStr">
        <is>
          <t>8</t>
        </is>
      </c>
      <c r="G7405" t="inlineStr">
        <is>
          <t>0</t>
        </is>
      </c>
      <c r="H7405" t="inlineStr">
        <is>
          <t>20⁶, 40⁶</t>
        </is>
      </c>
      <c r="I7405" t="n">
        <v>12</v>
      </c>
      <c r="J7405" t="inlineStr">
        <is>
          <t>2⁶, 4¹⁸, 8¹²</t>
        </is>
      </c>
      <c r="K7405">
        <f>HYPERLINK("CSG10.html#group20F10", "20F¹⁰"), =HYPERLINK("CSG10.html#group40G10", "40G¹⁰"), =HYPERLINK("CSG11.html#group40E11", "40E¹¹")</f>
        <v/>
      </c>
      <c r="L7405" t="inlineStr"/>
      <c r="M7405">
        <f>HYPERLINK("CSG10.html#group20F10", "20F¹⁰"), =HYPERLINK("CSG0.html#group5A0", "5A⁰"), =HYPERLINK("CSG1.html#group10I1", "10I¹"), =HYPERLINK("CSG4.html#group20E4", "20E⁴"), =HYPERLINK("CSG1.html#group10B1", "10B¹"), =HYPERLINK("CSG2.html#group20B2", "20B²"), =HYPERLINK("CSG0.html#group4C0", "4C⁰"), =HYPERLINK("CSG0.html#group5E0", "5E⁰"), =HYPERLINK("CSG0.html#group1A0", "1A⁰"), =HYPERLINK("CSG0.html#group2B0", "2B⁰"), =HYPERLINK("CSG10.html#group40G10", "40G¹⁰"), =HYPERLINK("CSG11.html#group40E11", "40E¹¹")</f>
        <v/>
      </c>
      <c r="N7405" t="inlineStr"/>
    </row>
    <row r="7406">
      <c r="A7406" t="inlineStr">
        <is>
          <t>40J²³</t>
        </is>
      </c>
      <c r="B7406" t="inlineStr"/>
      <c r="C7406" t="inlineStr">
        <is>
          <t>360</t>
        </is>
      </c>
      <c r="D7406" t="inlineStr">
        <is>
          <t>1</t>
        </is>
      </c>
      <c r="E7406" t="inlineStr">
        <is>
          <t>90</t>
        </is>
      </c>
      <c r="F7406" t="inlineStr">
        <is>
          <t>8</t>
        </is>
      </c>
      <c r="G7406" t="inlineStr">
        <is>
          <t>0</t>
        </is>
      </c>
      <c r="H7406" t="inlineStr">
        <is>
          <t>20⁶, 40⁶</t>
        </is>
      </c>
      <c r="I7406" t="n">
        <v>12</v>
      </c>
      <c r="J7406" t="inlineStr">
        <is>
          <t>2⁶, 4¹⁸, 8¹²</t>
        </is>
      </c>
      <c r="K7406">
        <f>HYPERLINK("CSG10.html#group20F10", "20F¹⁰"), =HYPERLINK("CSG10.html#group40G10", "40G¹⁰"), =HYPERLINK("CSG11.html#group40E11", "40E¹¹")</f>
        <v/>
      </c>
      <c r="L7406" t="inlineStr"/>
      <c r="M7406">
        <f>HYPERLINK("CSG10.html#group20F10", "20F¹⁰"), =HYPERLINK("CSG0.html#group5A0", "5A⁰"), =HYPERLINK("CSG1.html#group10I1", "10I¹"), =HYPERLINK("CSG4.html#group20E4", "20E⁴"), =HYPERLINK("CSG1.html#group10B1", "10B¹"), =HYPERLINK("CSG2.html#group20B2", "20B²"), =HYPERLINK("CSG0.html#group4C0", "4C⁰"), =HYPERLINK("CSG0.html#group5E0", "5E⁰"), =HYPERLINK("CSG0.html#group1A0", "1A⁰"), =HYPERLINK("CSG0.html#group2B0", "2B⁰"), =HYPERLINK("CSG10.html#group40G10", "40G¹⁰"), =HYPERLINK("CSG11.html#group40E11", "40E¹¹")</f>
        <v/>
      </c>
      <c r="N7406" t="inlineStr"/>
    </row>
    <row r="7407">
      <c r="A7407" t="inlineStr">
        <is>
          <t>42A²³</t>
        </is>
      </c>
      <c r="B7407" t="inlineStr"/>
      <c r="C7407" t="inlineStr">
        <is>
          <t>336</t>
        </is>
      </c>
      <c r="D7407" t="inlineStr">
        <is>
          <t>1</t>
        </is>
      </c>
      <c r="E7407" t="inlineStr">
        <is>
          <t>56</t>
        </is>
      </c>
      <c r="F7407" t="inlineStr">
        <is>
          <t>0</t>
        </is>
      </c>
      <c r="G7407" t="inlineStr">
        <is>
          <t>6</t>
        </is>
      </c>
      <c r="H7407" t="inlineStr">
        <is>
          <t>42⁸</t>
        </is>
      </c>
      <c r="I7407" t="n">
        <v>8</v>
      </c>
      <c r="J7407" t="inlineStr">
        <is>
          <t>2¹, 6¹, 12⁴</t>
        </is>
      </c>
      <c r="K7407">
        <f>HYPERLINK("CSG2.html#group42B2", "42B²"), =HYPERLINK("CSG5.html#group14E5", "14E⁵"), =HYPERLINK("CSG5.html#group42D5", "42D⁵"), =HYPERLINK("CSG12.html#group42A12", "42A¹²")</f>
        <v/>
      </c>
      <c r="L7407" t="inlineStr"/>
      <c r="M7407">
        <f>HYPERLINK("CSG0.html#group2A0", "2A⁰"), =HYPERLINK("CSG0.html#group14A0", "14A⁰"), =HYPERLINK("CSG1.html#group14A1", "14A¹"), =HYPERLINK("CSG1.html#group14G1", "14G¹"), =HYPERLINK("CSG0.html#group1A0", "1A⁰"), =HYPERLINK("CSG1.html#group14D1", "14D¹"), =HYPERLINK("CSG5.html#group14E5", "14E⁵"), =HYPERLINK("CSG2.html#group42B2", "42B²"), =HYPERLINK("CSG0.html#group6A0", "6A⁰"), =HYPERLINK("CSG12.html#group42A12", "42A¹²"), =HYPERLINK("CSG0.html#group7B0", "7B⁰"), =HYPERLINK("CSG3.html#group42A3", "42A³"), =HYPERLINK("CSG0.html#group7C0", "7C⁰"), =HYPERLINK("CSG3.html#group14C3", "14C³"), =HYPERLINK("CSG0.html#group14B0", "14B⁰"), =HYPERLINK("CSG0.html#group7F0", "7F⁰"), =HYPERLINK("CSG5.html#group42D5", "42D⁵"), =HYPERLINK("CSG1.html#group7B1", "7B¹"), =HYPERLINK("CSG0.html#group7A0", "7A⁰")</f>
        <v/>
      </c>
      <c r="N7407" t="inlineStr"/>
    </row>
    <row r="7408">
      <c r="A7408" t="inlineStr">
        <is>
          <t>42B²³</t>
        </is>
      </c>
      <c r="B7408" t="inlineStr"/>
      <c r="C7408" t="inlineStr">
        <is>
          <t>336</t>
        </is>
      </c>
      <c r="D7408" t="inlineStr">
        <is>
          <t>1</t>
        </is>
      </c>
      <c r="E7408" t="inlineStr">
        <is>
          <t>56</t>
        </is>
      </c>
      <c r="F7408" t="inlineStr">
        <is>
          <t>0</t>
        </is>
      </c>
      <c r="G7408" t="inlineStr">
        <is>
          <t>6</t>
        </is>
      </c>
      <c r="H7408" t="inlineStr">
        <is>
          <t>42⁸</t>
        </is>
      </c>
      <c r="I7408" t="n">
        <v>8</v>
      </c>
      <c r="J7408" t="inlineStr">
        <is>
          <t>2¹, 6¹, 12⁴</t>
        </is>
      </c>
      <c r="K7408">
        <f>HYPERLINK("CSG2.html#group42C2", "42C²"), =HYPERLINK("CSG5.html#group14E5", "14E⁵"), =HYPERLINK("CSG5.html#group42C5", "42C⁵"), =HYPERLINK("CSG10.html#group21A10", "21A¹⁰")</f>
        <v/>
      </c>
      <c r="L7408" t="inlineStr"/>
      <c r="M7408">
        <f>HYPERLINK("CSG0.html#group2A0", "2A⁰"), =HYPERLINK("CSG0.html#group14A0", "14A⁰"), =HYPERLINK("CSG10.html#group21A10", "21A¹⁰"), =HYPERLINK("CSG1.html#group14A1", "14A¹"), =HYPERLINK("CSG1.html#group14G1", "14G¹"), =HYPERLINK("CSG1.html#group14D1", "14D¹"), =HYPERLINK("CSG0.html#group1A0", "1A⁰"), =HYPERLINK("CSG5.html#group42C5", "42C⁵"), =HYPERLINK("CSG5.html#group14E5", "14E⁵"), =HYPERLINK("CSG0.html#group7B0", "7B⁰"), =HYPERLINK("CSG0.html#group7C0", "7C⁰"), =HYPERLINK("CSG3.html#group14C3", "14C³"), =HYPERLINK("CSG0.html#group14B0", "14B⁰"), =HYPERLINK("CSG2.html#group42C2", "42C²"), =HYPERLINK("CSG1.html#group21C1", "21C¹"), =HYPERLINK("CSG0.html#group7F0", "7F⁰"), =HYPERLINK("CSG1.html#group7B1", "7B¹"), =HYPERLINK("CSG0.html#group7A0", "7A⁰"), =HYPERLINK("CSG1.html#group21A1", "21A¹")</f>
        <v/>
      </c>
      <c r="N7408" t="inlineStr"/>
    </row>
    <row r="7409">
      <c r="A7409" t="inlineStr">
        <is>
          <t>42C²³</t>
        </is>
      </c>
      <c r="B7409" t="inlineStr"/>
      <c r="C7409" t="inlineStr">
        <is>
          <t>336</t>
        </is>
      </c>
      <c r="D7409" t="inlineStr">
        <is>
          <t>1</t>
        </is>
      </c>
      <c r="E7409" t="inlineStr">
        <is>
          <t>84</t>
        </is>
      </c>
      <c r="F7409" t="inlineStr">
        <is>
          <t>0</t>
        </is>
      </c>
      <c r="G7409" t="inlineStr">
        <is>
          <t>0</t>
        </is>
      </c>
      <c r="H7409" t="inlineStr">
        <is>
          <t>14⁶, 42⁶</t>
        </is>
      </c>
      <c r="I7409" t="n">
        <v>12</v>
      </c>
      <c r="J7409" t="inlineStr">
        <is>
          <t>3², 6⁷, 12³</t>
        </is>
      </c>
      <c r="K7409">
        <f>HYPERLINK("CSG5.html#group14A5", "14A⁵"), =HYPERLINK("CSG9.html#group21A9", "21A⁹"), =HYPERLINK("CSG12.html#group42F12", "42F¹²")</f>
        <v/>
      </c>
      <c r="L7409" t="inlineStr"/>
      <c r="M7409">
        <f>HYPERLINK("CSG0.html#group3B0", "3B⁰"), =HYPERLINK("CSG0.html#group14A0", "14A⁰"), =HYPERLINK("CSG2.html#group14B2", "14B²"), =HYPERLINK("CSG2.html#group21B2", "21B²"), =HYPERLINK("CSG5.html#group14A5", "14A⁵"), =HYPERLINK("CSG9.html#group21A9", "21A⁹"), =HYPERLINK("CSG0.html#group7D0", "7D⁰"), =HYPERLINK("CSG4.html#group42D4", "42D⁴"), =HYPERLINK("CSG1.html#group7A1", "7A¹"), =HYPERLINK("CSG12.html#group42F12", "42F¹²"), =HYPERLINK("CSG5.html#group21A5", "21A⁵"), =HYPERLINK("CSG0.html#group1A0", "1A⁰"), =HYPERLINK("CSG0.html#group7A0", "7A⁰")</f>
        <v/>
      </c>
      <c r="N7409" t="inlineStr"/>
    </row>
    <row r="7410">
      <c r="A7410" t="inlineStr">
        <is>
          <t>42D²³</t>
        </is>
      </c>
      <c r="B7410" t="inlineStr"/>
      <c r="C7410" t="inlineStr">
        <is>
          <t>336</t>
        </is>
      </c>
      <c r="D7410" t="inlineStr">
        <is>
          <t>1</t>
        </is>
      </c>
      <c r="E7410" t="inlineStr">
        <is>
          <t>84</t>
        </is>
      </c>
      <c r="F7410" t="inlineStr">
        <is>
          <t>0</t>
        </is>
      </c>
      <c r="G7410" t="inlineStr">
        <is>
          <t>0</t>
        </is>
      </c>
      <c r="H7410" t="inlineStr">
        <is>
          <t>14⁶, 42⁶</t>
        </is>
      </c>
      <c r="I7410" t="n">
        <v>12</v>
      </c>
      <c r="J7410" t="inlineStr">
        <is>
          <t>3², 6⁷, 12³</t>
        </is>
      </c>
      <c r="K7410">
        <f>HYPERLINK("CSG5.html#group14B5", "14B⁵"), =HYPERLINK("CSG9.html#group21A9", "21A⁹"), =HYPERLINK("CSG12.html#group42B12", "42B¹²"), =HYPERLINK("CSG12.html#group42C12", "42C¹²")</f>
        <v/>
      </c>
      <c r="L7410" t="inlineStr"/>
      <c r="M7410">
        <f>HYPERLINK("CSG0.html#group3B0", "3B⁰"), =HYPERLINK("CSG0.html#group2A0", "2A⁰"), =HYPERLINK("CSG12.html#group42B12", "42B¹²"), =HYPERLINK("CSG0.html#group7D0", "7D⁰"), =HYPERLINK("CSG9.html#group21A9", "21A⁹"), =HYPERLINK("CSG1.html#group14A1", "14A¹"), =HYPERLINK("CSG0.html#group6C0", "6C⁰"), =HYPERLINK("CSG5.html#group14B5", "14B⁵"), =HYPERLINK("CSG5.html#group21A5", "21A⁵"), =HYPERLINK("CSG0.html#group1A0", "1A⁰"), =HYPERLINK("CSG2.html#group21B2", "21B²"), =HYPERLINK("CSG3.html#group14A3", "14A³"), =HYPERLINK("CSG4.html#group42E4", "42E⁴"), =HYPERLINK("CSG1.html#group7A1", "7A¹"), =HYPERLINK("CSG12.html#group42C12", "42C¹²"), =HYPERLINK("CSG1.html#group14E1", "14E¹"), =HYPERLINK("CSG0.html#group7A0", "7A⁰")</f>
        <v/>
      </c>
      <c r="N7410" t="inlineStr"/>
    </row>
    <row r="7411">
      <c r="A7411" t="inlineStr">
        <is>
          <t>42E²³</t>
        </is>
      </c>
      <c r="B7411" t="inlineStr"/>
      <c r="C7411" t="inlineStr">
        <is>
          <t>336</t>
        </is>
      </c>
      <c r="D7411" t="inlineStr">
        <is>
          <t>2</t>
        </is>
      </c>
      <c r="E7411" t="inlineStr">
        <is>
          <t>28</t>
        </is>
      </c>
      <c r="F7411" t="inlineStr">
        <is>
          <t>0</t>
        </is>
      </c>
      <c r="G7411" t="inlineStr">
        <is>
          <t>0</t>
        </is>
      </c>
      <c r="H7411" t="inlineStr">
        <is>
          <t>14⁶, 42⁶</t>
        </is>
      </c>
      <c r="I7411" t="n">
        <v>12</v>
      </c>
      <c r="J7411" t="inlineStr">
        <is>
          <t>2², 4¹, 6⁴, 12²</t>
        </is>
      </c>
      <c r="K7411">
        <f>HYPERLINK("CSG5.html#group14C5", "14C⁵"), =HYPERLINK("CSG7.html#group42F7", "42F⁷"), =HYPERLINK("CSG9.html#group21C9", "21C⁹"), =HYPERLINK("CSG12.html#group42C12", "42C¹²"), =HYPERLINK("CSG12.html#group42F12", "42F¹²")</f>
        <v/>
      </c>
      <c r="L7411" t="inlineStr"/>
      <c r="M7411">
        <f>HYPERLINK("CSG3.html#group21B3", "21B³"), =HYPERLINK("CSG0.html#group3B0", "3B⁰"), =HYPERLINK("CSG0.html#group2A0", "2A⁰"), =HYPERLINK("CSG0.html#group14A0", "14A⁰"), =HYPERLINK("CSG2.html#group14B2", "14B²"), =HYPERLINK("CSG0.html#group7D0", "7D⁰"), =HYPERLINK("CSG0.html#group6C0", "6C⁰"), =HYPERLINK("CSG7.html#group42F7", "42F⁷"), =HYPERLINK("CSG1.html#group14A1", "14A¹"), =HYPERLINK("CSG5.html#group14C5", "14C⁵"), =HYPERLINK("CSG0.html#group7G0", "7G⁰"), =HYPERLINK("CSG5.html#group21A5", "21A⁵"), =HYPERLINK("CSG0.html#group1A0", "1A⁰"), =HYPERLINK("CSG1.html#group14D1", "14D¹"), =HYPERLINK("CSG2.html#group21B2", "21B²"), =HYPERLINK("CSG3.html#group14A3", "14A³"), =HYPERLINK("CSG4.html#group42E4", "42E⁴"), =HYPERLINK("CSG4.html#group42D4", "42D⁴"), =HYPERLINK("CSG0.html#group7C0", "7C⁰"), =HYPERLINK("CSG12.html#group42F12", "42F¹²"), =HYPERLINK("CSG12.html#group42C12", "42C¹²"), =HYPERLINK("CSG9.html#group21C9", "21C⁹"), =HYPERLINK("CSG0.html#group7A0", "7A⁰")</f>
        <v/>
      </c>
      <c r="N7411" t="inlineStr"/>
    </row>
    <row r="7412">
      <c r="A7412" t="inlineStr">
        <is>
          <t>42F²³</t>
        </is>
      </c>
      <c r="B7412" t="inlineStr"/>
      <c r="C7412" t="inlineStr">
        <is>
          <t>336</t>
        </is>
      </c>
      <c r="D7412" t="inlineStr">
        <is>
          <t>2</t>
        </is>
      </c>
      <c r="E7412" t="inlineStr">
        <is>
          <t>28</t>
        </is>
      </c>
      <c r="F7412" t="inlineStr">
        <is>
          <t>0</t>
        </is>
      </c>
      <c r="G7412" t="inlineStr">
        <is>
          <t>0</t>
        </is>
      </c>
      <c r="H7412" t="inlineStr">
        <is>
          <t>14⁶, 42⁶</t>
        </is>
      </c>
      <c r="I7412" t="n">
        <v>12</v>
      </c>
      <c r="J7412" t="inlineStr">
        <is>
          <t>2², 4¹, 6⁴, 12²</t>
        </is>
      </c>
      <c r="K7412">
        <f>HYPERLINK("CSG5.html#group14D5", "14D⁵"), =HYPERLINK("CSG7.html#group42F7", "42F⁷"), =HYPERLINK("CSG11.html#group42C11", "42C¹¹"), =HYPERLINK("CSG12.html#group42D12", "42D¹²"), =HYPERLINK("CSG12.html#group42G12", "42G¹²")</f>
        <v/>
      </c>
      <c r="L7412" t="inlineStr"/>
      <c r="M7412">
        <f>HYPERLINK("CSG3.html#group21B3", "21B³"), =HYPERLINK("CSG0.html#group2A0", "2A⁰"), =HYPERLINK("CSG0.html#group3B0", "3B⁰"), =HYPERLINK("CSG0.html#group14A0", "14A⁰"), =HYPERLINK("CSG3.html#group14B3", "14B³"), =HYPERLINK("CSG1.html#group14B1", "14B¹"), =HYPERLINK("CSG0.html#group6I0", "6I⁰"), =HYPERLINK("CSG5.html#group14D5", "14D⁵"), =HYPERLINK("CSG1.html#group14A1", "14A¹"), =HYPERLINK("CSG7.html#group42F7", "42F⁷"), =HYPERLINK("CSG0.html#group6C0", "6C⁰"), =HYPERLINK("CSG2.html#group14C2", "14C²"), =HYPERLINK("CSG11.html#group42C11", "42C¹¹"), =HYPERLINK("CSG0.html#group2B0", "2B⁰"), =HYPERLINK("CSG0.html#group1A0", "1A⁰"), =HYPERLINK("CSG1.html#group14D1", "14D¹"), =HYPERLINK("CSG12.html#group42G12", "42G¹²"), =HYPERLINK("CSG2.html#group21B2", "21B²"), =HYPERLINK("CSG2.html#group14A2", "14A²"), =HYPERLINK("CSG6.html#group42C6", "42C⁶"), =HYPERLINK("CSG12.html#group42D12", "42D¹²"), =HYPERLINK("CSG4.html#group42E4", "42E⁴"), =HYPERLINK("CSG0.html#group7C0", "7C⁰"), =HYPERLINK("CSG4.html#group42D4", "42D⁴"), =HYPERLINK("CSG0.html#group6F0", "6F⁰"), =HYPERLINK("CSG0.html#group2C0", "2C⁰"), =HYPERLINK("CSG0.html#group7A0", "7A⁰")</f>
        <v/>
      </c>
      <c r="N7412" t="inlineStr"/>
    </row>
    <row r="7413">
      <c r="A7413" t="inlineStr">
        <is>
          <t>42G²³</t>
        </is>
      </c>
      <c r="B7413" t="inlineStr"/>
      <c r="C7413" t="inlineStr">
        <is>
          <t>336</t>
        </is>
      </c>
      <c r="D7413" t="inlineStr">
        <is>
          <t>2</t>
        </is>
      </c>
      <c r="E7413" t="inlineStr">
        <is>
          <t>56</t>
        </is>
      </c>
      <c r="F7413" t="inlineStr">
        <is>
          <t>0</t>
        </is>
      </c>
      <c r="G7413" t="inlineStr">
        <is>
          <t>6</t>
        </is>
      </c>
      <c r="H7413" t="inlineStr">
        <is>
          <t>42⁸</t>
        </is>
      </c>
      <c r="I7413" t="n">
        <v>8</v>
      </c>
      <c r="J7413" t="inlineStr">
        <is>
          <t>4⁴, 12⁸</t>
        </is>
      </c>
      <c r="K7413">
        <f>HYPERLINK("CSG5.html#group42C5", "42C⁵"), =HYPERLINK("CSG7.html#group42F7", "42F⁷"), =HYPERLINK("CSG10.html#group21B10", "21B¹⁰")</f>
        <v/>
      </c>
      <c r="L7413" t="inlineStr"/>
      <c r="M7413">
        <f>HYPERLINK("CSG3.html#group21B3", "21B³"), =HYPERLINK("CSG0.html#group2A0", "2A⁰"), =HYPERLINK("CSG0.html#group14A0", "14A⁰"), =HYPERLINK("CSG0.html#group3B0", "3B⁰"), =HYPERLINK("CSG1.html#group14A1", "14A¹"), =HYPERLINK("CSG7.html#group42F7", "42F⁷"), =HYPERLINK("CSG0.html#group6C0", "6C⁰"), =HYPERLINK("CSG10.html#group21B10", "21B¹⁰"), =HYPERLINK("CSG1.html#group14D1", "14D¹"), =HYPERLINK("CSG0.html#group1A0", "1A⁰"), =HYPERLINK("CSG5.html#group42C5", "42C⁵"), =HYPERLINK("CSG2.html#group21B2", "21B²"), =HYPERLINK("CSG0.html#group7C0", "7C⁰"), =HYPERLINK("CSG4.html#group42E4", "42E⁴"), =HYPERLINK("CSG1.html#group21C1", "21C¹"), =HYPERLINK("CSG4.html#group42D4", "42D⁴"), =HYPERLINK("CSG0.html#group7A0", "7A⁰")</f>
        <v/>
      </c>
      <c r="N7413" t="inlineStr"/>
    </row>
    <row r="7414">
      <c r="A7414" t="inlineStr">
        <is>
          <t>42H²³</t>
        </is>
      </c>
      <c r="B7414" t="inlineStr"/>
      <c r="C7414" t="inlineStr">
        <is>
          <t>336</t>
        </is>
      </c>
      <c r="D7414" t="inlineStr">
        <is>
          <t>2</t>
        </is>
      </c>
      <c r="E7414" t="inlineStr">
        <is>
          <t>56</t>
        </is>
      </c>
      <c r="F7414" t="inlineStr">
        <is>
          <t>0</t>
        </is>
      </c>
      <c r="G7414" t="inlineStr">
        <is>
          <t>6</t>
        </is>
      </c>
      <c r="H7414" t="inlineStr">
        <is>
          <t>42⁸</t>
        </is>
      </c>
      <c r="I7414" t="n">
        <v>8</v>
      </c>
      <c r="J7414" t="inlineStr">
        <is>
          <t>4⁴, 12⁸</t>
        </is>
      </c>
      <c r="K7414">
        <f>HYPERLINK("CSG5.html#group42D5", "42D⁵"), =HYPERLINK("CSG7.html#group42F7", "42F⁷"), =HYPERLINK("CSG12.html#group42E12", "42E¹²")</f>
        <v/>
      </c>
      <c r="L7414" t="inlineStr"/>
      <c r="M7414">
        <f>HYPERLINK("CSG3.html#group21B3", "21B³"), =HYPERLINK("CSG0.html#group2A0", "2A⁰"), =HYPERLINK("CSG0.html#group14A0", "14A⁰"), =HYPERLINK("CSG0.html#group3B0", "3B⁰"), =HYPERLINK("CSG1.html#group14A1", "14A¹"), =HYPERLINK("CSG7.html#group42F7", "42F⁷"), =HYPERLINK("CSG0.html#group6C0", "6C⁰"), =HYPERLINK("CSG12.html#group42E12", "42E¹²"), =HYPERLINK("CSG1.html#group14D1", "14D¹"), =HYPERLINK("CSG0.html#group1A0", "1A⁰"), =HYPERLINK("CSG2.html#group21B2", "21B²"), =HYPERLINK("CSG0.html#group6A0", "6A⁰"), =HYPERLINK("CSG3.html#group42A3", "42A³"), =HYPERLINK("CSG0.html#group7C0", "7C⁰"), =HYPERLINK("CSG4.html#group42E4", "42E⁴"), =HYPERLINK("CSG4.html#group42D4", "42D⁴"), =HYPERLINK("CSG0.html#group6J0", "6J⁰"), =HYPERLINK("CSG5.html#group42D5", "42D⁵"), =HYPERLINK("CSG0.html#group7A0", "7A⁰")</f>
        <v/>
      </c>
      <c r="N7414" t="inlineStr"/>
    </row>
    <row r="7415">
      <c r="A7415" t="inlineStr">
        <is>
          <t>42I²³</t>
        </is>
      </c>
      <c r="B7415" t="inlineStr"/>
      <c r="C7415" t="inlineStr">
        <is>
          <t>336</t>
        </is>
      </c>
      <c r="D7415" t="inlineStr">
        <is>
          <t>2</t>
        </is>
      </c>
      <c r="E7415" t="inlineStr">
        <is>
          <t>84</t>
        </is>
      </c>
      <c r="F7415" t="inlineStr">
        <is>
          <t>0</t>
        </is>
      </c>
      <c r="G7415" t="inlineStr">
        <is>
          <t>0</t>
        </is>
      </c>
      <c r="H7415" t="inlineStr">
        <is>
          <t>14⁶, 42⁶</t>
        </is>
      </c>
      <c r="I7415" t="n">
        <v>12</v>
      </c>
      <c r="J7415" t="inlineStr">
        <is>
          <t>6¹⁴, 12⁷</t>
        </is>
      </c>
      <c r="K7415">
        <f>HYPERLINK("CSG3.html#group14F3", "14F³"), =HYPERLINK("CSG9.html#group21C9", "21C⁹"), =HYPERLINK("CSG12.html#group42B12", "42B¹²"), =HYPERLINK("CSG12.html#group42F12", "42F¹²")</f>
        <v/>
      </c>
      <c r="L7415" t="inlineStr"/>
      <c r="M7415">
        <f>HYPERLINK("CSG3.html#group21B3", "21B³"), =HYPERLINK("CSG0.html#group3B0", "3B⁰"), =HYPERLINK("CSG0.html#group14A0", "14A⁰"), =HYPERLINK("CSG2.html#group14B2", "14B²"), =HYPERLINK("CSG12.html#group42B12", "42B¹²"), =HYPERLINK("CSG0.html#group7D0", "7D⁰"), =HYPERLINK("CSG0.html#group7G0", "7G⁰"), =HYPERLINK("CSG5.html#group21A5", "21A⁵"), =HYPERLINK("CSG0.html#group1A0", "1A⁰"), =HYPERLINK("CSG2.html#group21B2", "21B²"), =HYPERLINK("CSG0.html#group7C0", "7C⁰"), =HYPERLINK("CSG4.html#group42D4", "42D⁴"), =HYPERLINK("CSG3.html#group14F3", "14F³"), =HYPERLINK("CSG12.html#group42F12", "42F¹²"), =HYPERLINK("CSG9.html#group21C9", "21C⁹"), =HYPERLINK("CSG1.html#group14E1", "14E¹"), =HYPERLINK("CSG0.html#group7A0", "7A⁰")</f>
        <v/>
      </c>
      <c r="N7415" t="inlineStr"/>
    </row>
    <row r="7416">
      <c r="A7416" t="inlineStr">
        <is>
          <t>42J²³</t>
        </is>
      </c>
      <c r="B7416" t="inlineStr"/>
      <c r="C7416" t="inlineStr">
        <is>
          <t>336</t>
        </is>
      </c>
      <c r="D7416" t="inlineStr">
        <is>
          <t>2</t>
        </is>
      </c>
      <c r="E7416" t="inlineStr">
        <is>
          <t>168</t>
        </is>
      </c>
      <c r="F7416" t="inlineStr">
        <is>
          <t>0</t>
        </is>
      </c>
      <c r="G7416" t="inlineStr">
        <is>
          <t>6</t>
        </is>
      </c>
      <c r="H7416" t="inlineStr">
        <is>
          <t>42⁸</t>
        </is>
      </c>
      <c r="I7416" t="n">
        <v>8</v>
      </c>
      <c r="J7416" t="inlineStr">
        <is>
          <t>12²⁸</t>
        </is>
      </c>
      <c r="K7416">
        <f>HYPERLINK("CSG5.html#group42C5", "42C⁵"), =HYPERLINK("CSG8.html#group21A8", "21A⁸")</f>
        <v/>
      </c>
      <c r="L7416" t="inlineStr"/>
      <c r="M7416">
        <f>HYPERLINK("CSG0.html#group2A0", "2A⁰"), =HYPERLINK("CSG8.html#group21A8", "21A⁸"), =HYPERLINK("CSG0.html#group14A0", "14A⁰"), =HYPERLINK("CSG1.html#group14D1", "14D¹"), =HYPERLINK("CSG0.html#group7C0", "7C⁰"), =HYPERLINK("CSG1.html#group14A1", "14A¹"), =HYPERLINK("CSG1.html#group21C1", "21C¹"), =HYPERLINK("CSG0.html#group1A0", "1A⁰"), =HYPERLINK("CSG5.html#group42C5", "42C⁵"), =HYPERLINK("CSG0.html#group7A0", "7A⁰")</f>
        <v/>
      </c>
      <c r="N7416" t="inlineStr"/>
    </row>
    <row r="7417">
      <c r="A7417" t="inlineStr">
        <is>
          <t>42K²³</t>
        </is>
      </c>
      <c r="B7417" t="inlineStr"/>
      <c r="C7417" t="inlineStr">
        <is>
          <t>378</t>
        </is>
      </c>
      <c r="D7417" t="inlineStr">
        <is>
          <t>1</t>
        </is>
      </c>
      <c r="E7417" t="inlineStr">
        <is>
          <t>189</t>
        </is>
      </c>
      <c r="F7417" t="inlineStr">
        <is>
          <t>20</t>
        </is>
      </c>
      <c r="G7417" t="inlineStr">
        <is>
          <t>0</t>
        </is>
      </c>
      <c r="H7417" t="inlineStr">
        <is>
          <t>42⁹</t>
        </is>
      </c>
      <c r="I7417" t="n">
        <v>9</v>
      </c>
      <c r="J7417" t="inlineStr">
        <is>
          <t>3³, 6¹², 12⁹</t>
        </is>
      </c>
      <c r="K7417">
        <f>HYPERLINK("CSG5.html#group42H5", "42H⁵"), =HYPERLINK("CSG7.html#group42L7", "42L⁷"), =HYPERLINK("CSG10.html#group42K10", "42K¹⁰")</f>
        <v/>
      </c>
      <c r="L7417" t="inlineStr"/>
      <c r="M7417">
        <f>HYPERLINK("CSG0.html#group6B0", "6B⁰"), =HYPERLINK("CSG0.html#group7D0", "7D⁰"), =HYPERLINK("CSG1.html#group14B1", "14B¹"), =HYPERLINK("CSG0.html#group6H0", "6H⁰"), =HYPERLINK("CSG10.html#group42K10", "42K¹⁰"), =HYPERLINK("CSG0.html#group21A0", "21A⁰"), =HYPERLINK("CSG0.html#group2B0", "2B⁰"), =HYPERLINK("CSG0.html#group1A0", "1A⁰"), =HYPERLINK("CSG1.html#group21E1", "21E¹"), =HYPERLINK("CSG7.html#group42L7", "42L⁷"), =HYPERLINK("CSG5.html#group42H5", "42H⁵"), =HYPERLINK("CSG2.html#group14F2", "14F²"), =HYPERLINK("CSG1.html#group42B1", "42B¹"), =HYPERLINK("CSG0.html#group3A0", "3A⁰"), =HYPERLINK("CSG3.html#group42C3", "42C³"), =HYPERLINK("CSG0.html#group6D0", "6D⁰"), =HYPERLINK("CSG0.html#group7A0", "7A⁰")</f>
        <v/>
      </c>
      <c r="N7417" t="inlineStr"/>
    </row>
    <row r="7418">
      <c r="A7418" t="inlineStr">
        <is>
          <t>42L²³</t>
        </is>
      </c>
      <c r="B7418" t="inlineStr"/>
      <c r="C7418" t="inlineStr">
        <is>
          <t>378</t>
        </is>
      </c>
      <c r="D7418" t="inlineStr">
        <is>
          <t>2</t>
        </is>
      </c>
      <c r="E7418" t="inlineStr">
        <is>
          <t>189</t>
        </is>
      </c>
      <c r="F7418" t="inlineStr">
        <is>
          <t>14</t>
        </is>
      </c>
      <c r="G7418" t="inlineStr">
        <is>
          <t>0</t>
        </is>
      </c>
      <c r="H7418" t="inlineStr">
        <is>
          <t>21⁶, 42⁶</t>
        </is>
      </c>
      <c r="I7418" t="n">
        <v>12</v>
      </c>
      <c r="J7418" t="inlineStr">
        <is>
          <t>6²¹, 12²¹</t>
        </is>
      </c>
      <c r="K7418">
        <f>HYPERLINK("CSG5.html#group21D5", "21D⁵"), =HYPERLINK("CSG7.html#group42K7", "42K⁷"), =HYPERLINK("CSG10.html#group42K10", "42K¹⁰")</f>
        <v/>
      </c>
      <c r="L7418" t="inlineStr"/>
      <c r="M7418">
        <f>HYPERLINK("CSG0.html#group7D0", "7D⁰"), =HYPERLINK("CSG1.html#group14B1", "14B¹"), =HYPERLINK("CSG1.html#group21D1", "21D¹"), =HYPERLINK("CSG10.html#group42K10", "42K¹⁰"), =HYPERLINK("CSG0.html#group21A0", "21A⁰"), =HYPERLINK("CSG7.html#group42K7", "42K⁷"), =HYPERLINK("CSG0.html#group2B0", "2B⁰"), =HYPERLINK("CSG0.html#group1A0", "1A⁰"), =HYPERLINK("CSG5.html#group21D5", "21D⁵"), =HYPERLINK("CSG1.html#group21E1", "21E¹"), =HYPERLINK("CSG2.html#group14F2", "14F²"), =HYPERLINK("CSG0.html#group3A0", "3A⁰"), =HYPERLINK("CSG3.html#group42C3", "42C³"), =HYPERLINK("CSG0.html#group6D0", "6D⁰"), =HYPERLINK("CSG0.html#group7A0", "7A⁰")</f>
        <v/>
      </c>
      <c r="N7418" t="inlineStr"/>
    </row>
    <row r="7419">
      <c r="A7419" t="inlineStr">
        <is>
          <t>42M²³</t>
        </is>
      </c>
      <c r="B7419" t="inlineStr"/>
      <c r="C7419" t="inlineStr">
        <is>
          <t>384</t>
        </is>
      </c>
      <c r="D7419" t="inlineStr">
        <is>
          <t>2</t>
        </is>
      </c>
      <c r="E7419" t="inlineStr">
        <is>
          <t>64</t>
        </is>
      </c>
      <c r="F7419" t="inlineStr">
        <is>
          <t>0</t>
        </is>
      </c>
      <c r="G7419" t="inlineStr">
        <is>
          <t>6</t>
        </is>
      </c>
      <c r="H7419" t="inlineStr">
        <is>
          <t>6⁸, 42⁸</t>
        </is>
      </c>
      <c r="I7419" t="n">
        <v>16</v>
      </c>
      <c r="J7419" t="inlineStr">
        <is>
          <t>2¹⁶, 12⁸</t>
        </is>
      </c>
      <c r="K7419">
        <f>HYPERLINK("CSG5.html#group42I5", "42I⁵"), =HYPERLINK("CSG12.html#group42H12", "42H¹²")</f>
        <v/>
      </c>
      <c r="L7419" t="inlineStr"/>
      <c r="M7419">
        <f>HYPERLINK("CSG0.html#group3B0", "3B⁰"), =HYPERLINK("CSG5.html#group42I5", "42I⁵"), =HYPERLINK("CSG0.html#group2A0", "2A⁰"), =HYPERLINK("CSG1.html#group21B1", "21B¹"), =HYPERLINK("CSG0.html#group7B0", "7B⁰"), =HYPERLINK("CSG3.html#group42E3", "42E³"), =HYPERLINK("CSG0.html#group6C0", "6C⁰"), =HYPERLINK("CSG0.html#group14B0", "14B⁰"), =HYPERLINK("CSG12.html#group42H12", "42H¹²"), =HYPERLINK("CSG3.html#group42D3", "42D³"), =HYPERLINK("CSG0.html#group1A0", "1A⁰"), =HYPERLINK("CSG1.html#group21F1", "21F¹"), =HYPERLINK("CSG3.html#group42B3", "42B³")</f>
        <v/>
      </c>
      <c r="N7419" t="inlineStr"/>
    </row>
    <row r="7420">
      <c r="A7420" t="inlineStr">
        <is>
          <t>44A²³</t>
        </is>
      </c>
      <c r="B7420" t="inlineStr"/>
      <c r="C7420" t="inlineStr">
        <is>
          <t>330</t>
        </is>
      </c>
      <c r="D7420" t="inlineStr">
        <is>
          <t>1</t>
        </is>
      </c>
      <c r="E7420" t="inlineStr">
        <is>
          <t>165</t>
        </is>
      </c>
      <c r="F7420" t="inlineStr">
        <is>
          <t>2</t>
        </is>
      </c>
      <c r="G7420" t="inlineStr">
        <is>
          <t>0</t>
        </is>
      </c>
      <c r="H7420" t="inlineStr">
        <is>
          <t>22⁵, 44⁵</t>
        </is>
      </c>
      <c r="I7420" t="n">
        <v>10</v>
      </c>
      <c r="J7420" t="inlineStr">
        <is>
          <t>5³, 10¹⁵</t>
        </is>
      </c>
      <c r="K7420">
        <f>HYPERLINK("CSG8.html#group22A8", "22A⁸")</f>
        <v/>
      </c>
      <c r="L7420" t="inlineStr"/>
      <c r="M7420">
        <f>HYPERLINK("CSG1.html#group11C1", "11C¹"), =HYPERLINK("CSG0.html#group1A0", "1A⁰"), =HYPERLINK("CSG8.html#group22A8", "22A⁸"), =HYPERLINK("CSG0.html#group2B0", "2B⁰")</f>
        <v/>
      </c>
      <c r="N7420" t="inlineStr"/>
    </row>
    <row r="7421">
      <c r="A7421" t="inlineStr">
        <is>
          <t>45A²³</t>
        </is>
      </c>
      <c r="B7421" t="inlineStr"/>
      <c r="C7421" t="inlineStr">
        <is>
          <t>360</t>
        </is>
      </c>
      <c r="D7421" t="inlineStr">
        <is>
          <t>1</t>
        </is>
      </c>
      <c r="E7421" t="inlineStr">
        <is>
          <t>60</t>
        </is>
      </c>
      <c r="F7421" t="inlineStr">
        <is>
          <t>0</t>
        </is>
      </c>
      <c r="G7421" t="inlineStr">
        <is>
          <t>0</t>
        </is>
      </c>
      <c r="H7421" t="inlineStr">
        <is>
          <t>15¹², 45⁴</t>
        </is>
      </c>
      <c r="I7421" t="n">
        <v>16</v>
      </c>
      <c r="J7421" t="inlineStr">
        <is>
          <t>2², 4⁶, 8⁴</t>
        </is>
      </c>
      <c r="K7421">
        <f>HYPERLINK("CSG0.html#group9H0", "9H⁰"), =HYPERLINK("CSG7.html#group15A7", "15A⁷"), =HYPERLINK("CSG11.html#group45E11", "45E¹¹")</f>
        <v/>
      </c>
      <c r="L7421" t="inlineStr"/>
      <c r="M7421">
        <f>HYPERLINK("CSG0.html#group3B0", "3B⁰"), =HYPERLINK("CSG1.html#group15D1", "15D¹"), =HYPERLINK("CSG0.html#group5C0", "5C⁰"), =HYPERLINK("CSG0.html#group3C0", "3C⁰"), =HYPERLINK("CSG7.html#group15A7", "15A⁷"), =HYPERLINK("CSG0.html#group9H0", "9H⁰"), =HYPERLINK("CSG3.html#group15C3", "15C³"), =HYPERLINK("CSG0.html#group9E0", "9E⁰"), =HYPERLINK("CSG0.html#group3A0", "3A⁰"), =HYPERLINK("CSG2.html#group15C2", "15C²"), =HYPERLINK("CSG0.html#group1A0", "1A⁰"), =HYPERLINK("CSG11.html#group45E11", "45E¹¹"), =HYPERLINK("CSG0.html#group3D0", "3D⁰")</f>
        <v/>
      </c>
      <c r="N7421" t="inlineStr"/>
    </row>
    <row r="7422">
      <c r="A7422" t="inlineStr">
        <is>
          <t>45B²³</t>
        </is>
      </c>
      <c r="B7422" t="inlineStr"/>
      <c r="C7422" t="inlineStr">
        <is>
          <t>360</t>
        </is>
      </c>
      <c r="D7422" t="inlineStr">
        <is>
          <t>1</t>
        </is>
      </c>
      <c r="E7422" t="inlineStr">
        <is>
          <t>120</t>
        </is>
      </c>
      <c r="F7422" t="inlineStr">
        <is>
          <t>0</t>
        </is>
      </c>
      <c r="G7422" t="inlineStr">
        <is>
          <t>0</t>
        </is>
      </c>
      <c r="H7422" t="inlineStr">
        <is>
          <t>5⁶, 15⁴, 45⁶</t>
        </is>
      </c>
      <c r="I7422" t="n">
        <v>16</v>
      </c>
      <c r="J7422" t="inlineStr">
        <is>
          <t>2², 4⁶, 8⁴, 12¹, 24²</t>
        </is>
      </c>
      <c r="K7422">
        <f>HYPERLINK("CSG0.html#group9I0", "9I⁰"), =HYPERLINK("CSG7.html#group45C7", "45C⁷")</f>
        <v/>
      </c>
      <c r="L7422" t="inlineStr"/>
      <c r="M7422">
        <f>HYPERLINK("CSG0.html#group3B0", "3B⁰"), =HYPERLINK("CSG0.html#group5C0", "5C⁰"), =HYPERLINK("CSG0.html#group9I0", "9I⁰"), =HYPERLINK("CSG0.html#group9B0", "9B⁰"), =HYPERLINK("CSG7.html#group45C7", "45C⁷"), =HYPERLINK("CSG2.html#group15C2", "15C²"), =HYPERLINK("CSG0.html#group1A0", "1A⁰")</f>
        <v/>
      </c>
      <c r="N7422" t="inlineStr"/>
    </row>
    <row r="7423">
      <c r="A7423" t="inlineStr">
        <is>
          <t>45C²³</t>
        </is>
      </c>
      <c r="B7423" t="inlineStr"/>
      <c r="C7423" t="inlineStr">
        <is>
          <t>360</t>
        </is>
      </c>
      <c r="D7423" t="inlineStr">
        <is>
          <t>1</t>
        </is>
      </c>
      <c r="E7423" t="inlineStr">
        <is>
          <t>180</t>
        </is>
      </c>
      <c r="F7423" t="inlineStr">
        <is>
          <t>0</t>
        </is>
      </c>
      <c r="G7423" t="inlineStr">
        <is>
          <t>0</t>
        </is>
      </c>
      <c r="H7423" t="inlineStr">
        <is>
          <t>15¹², 45⁴</t>
        </is>
      </c>
      <c r="I7423" t="n">
        <v>16</v>
      </c>
      <c r="J7423" t="inlineStr">
        <is>
          <t>2¹, 4³, 6¹, 8², 12⁴, 24⁴</t>
        </is>
      </c>
      <c r="K7423">
        <f>HYPERLINK("CSG6.html#group45C6", "45C⁶"), =HYPERLINK("CSG7.html#group15B7", "15B⁷"), =HYPERLINK("CSG11.html#group45E11", "45E¹¹")</f>
        <v/>
      </c>
      <c r="L7423" t="inlineStr"/>
      <c r="M7423">
        <f>HYPERLINK("CSG6.html#group45C6", "45C⁶"), =HYPERLINK("CSG0.html#group5A0", "5A⁰"), =HYPERLINK("CSG7.html#group15B7", "15B⁷"), =HYPERLINK("CSG4.html#group15B4", "15B⁴"), =HYPERLINK("CSG2.html#group15D2", "15D²"), =HYPERLINK("CSG0.html#group5F0", "5F⁰"), =HYPERLINK("CSG3.html#group15C3", "15C³"), =HYPERLINK("CSG0.html#group9E0", "9E⁰"), =HYPERLINK("CSG0.html#group1A0", "1A⁰"), =HYPERLINK("CSG11.html#group45E11", "45E¹¹"), =HYPERLINK("CSG1.html#group15D1", "15D¹"), =HYPERLINK("CSG2.html#group15A2", "15A²"), =HYPERLINK("CSG0.html#group3C0", "3C⁰"), =HYPERLINK("CSG0.html#group3A0", "3A⁰"), =HYPERLINK("CSG0.html#group5C0", "5C⁰"), =HYPERLINK("CSG1.html#group15A1", "15A¹")</f>
        <v/>
      </c>
      <c r="N7423" t="inlineStr"/>
    </row>
    <row r="7424">
      <c r="A7424" t="inlineStr">
        <is>
          <t>45D²³</t>
        </is>
      </c>
      <c r="B7424" t="inlineStr"/>
      <c r="C7424" t="inlineStr">
        <is>
          <t>432</t>
        </is>
      </c>
      <c r="D7424" t="inlineStr">
        <is>
          <t>1</t>
        </is>
      </c>
      <c r="E7424" t="inlineStr">
        <is>
          <t>36</t>
        </is>
      </c>
      <c r="F7424" t="inlineStr">
        <is>
          <t>24</t>
        </is>
      </c>
      <c r="G7424" t="inlineStr">
        <is>
          <t>0</t>
        </is>
      </c>
      <c r="H7424" t="inlineStr">
        <is>
          <t>9⁸, 45⁸</t>
        </is>
      </c>
      <c r="I7424" t="n">
        <v>16</v>
      </c>
      <c r="J7424" t="inlineStr">
        <is>
          <t>2⁶, 8³</t>
        </is>
      </c>
      <c r="K7424">
        <f>HYPERLINK("CSG3.html#group15I3", "15I³"), =HYPERLINK("CSG9.html#group45E9", "45E⁹")</f>
        <v/>
      </c>
      <c r="L7424" t="inlineStr"/>
      <c r="M7424">
        <f>HYPERLINK("CSG2.html#group45A2", "45A²"), =HYPERLINK("CSG0.html#group15B0", "15B⁰"), =HYPERLINK("CSG5.html#group45F5", "45F⁵"), =HYPERLINK("CSG0.html#group9D0", "9D⁰"), =HYPERLINK("CSG0.html#group9A0", "9A⁰"), =HYPERLINK("CSG4.html#group45C4", "45C⁴"), =HYPERLINK("CSG0.html#group5B0", "5B⁰"), =HYPERLINK("CSG9.html#group45E9", "45E⁹"), =HYPERLINK("CSG0.html#group3C0", "3C⁰"), =HYPERLINK("CSG0.html#group15C0", "15C⁰"), =HYPERLINK("CSG0.html#group3A0", "3A⁰"), =HYPERLINK("CSG1.html#group15H1", "15H¹"), =HYPERLINK("CSG0.html#group1A0", "1A⁰"), =HYPERLINK("CSG3.html#group15I3", "15I³"), =HYPERLINK("CSG1.html#group15E1", "15E¹")</f>
        <v/>
      </c>
      <c r="N7424" t="inlineStr"/>
    </row>
    <row r="7425">
      <c r="A7425" t="inlineStr">
        <is>
          <t>45E²³</t>
        </is>
      </c>
      <c r="B7425" t="inlineStr"/>
      <c r="C7425" t="inlineStr">
        <is>
          <t>480</t>
        </is>
      </c>
      <c r="D7425" t="inlineStr">
        <is>
          <t>1</t>
        </is>
      </c>
      <c r="E7425" t="inlineStr">
        <is>
          <t>80</t>
        </is>
      </c>
      <c r="F7425" t="inlineStr">
        <is>
          <t>0</t>
        </is>
      </c>
      <c r="G7425" t="inlineStr">
        <is>
          <t>6</t>
        </is>
      </c>
      <c r="H7425" t="inlineStr">
        <is>
          <t>5²⁴, 45⁸</t>
        </is>
      </c>
      <c r="I7425" t="n">
        <v>32</v>
      </c>
      <c r="J7425" t="inlineStr">
        <is>
          <t>4², 8⁹</t>
        </is>
      </c>
      <c r="K7425">
        <f>HYPERLINK("CSG5.html#group15D5", "15D⁵"), =HYPERLINK("CSG12.html#group45H12", "45H¹²")</f>
        <v/>
      </c>
      <c r="L7425" t="inlineStr"/>
      <c r="M7425">
        <f>HYPERLINK("CSG12.html#group45H12", "45H¹²"), =HYPERLINK("CSG0.html#group3B0", "3B⁰"), =HYPERLINK("CSG3.html#group45C3", "45C³"), =HYPERLINK("CSG0.html#group5A0", "5A⁰"), =HYPERLINK("CSG5.html#group15D5", "15D⁵"), =HYPERLINK("CSG3.html#group15G3", "15G³"), =HYPERLINK("CSG1.html#group15B1", "15B¹"), =HYPERLINK("CSG0.html#group5F0", "5F⁰"), =HYPERLINK("CSG0.html#group1A0", "1A⁰"), =HYPERLINK("CSG2.html#group15C2", "15C²"), =HYPERLINK("CSG0.html#group5C0", "5C⁰")</f>
        <v/>
      </c>
      <c r="N7425" t="inlineStr"/>
    </row>
    <row r="7426">
      <c r="A7426" t="inlineStr">
        <is>
          <t>48A²³</t>
        </is>
      </c>
      <c r="B7426" t="inlineStr"/>
      <c r="C7426" t="inlineStr">
        <is>
          <t>384</t>
        </is>
      </c>
      <c r="D7426" t="inlineStr">
        <is>
          <t>1</t>
        </is>
      </c>
      <c r="E7426" t="inlineStr">
        <is>
          <t>96</t>
        </is>
      </c>
      <c r="F7426" t="inlineStr">
        <is>
          <t>0</t>
        </is>
      </c>
      <c r="G7426" t="inlineStr">
        <is>
          <t>0</t>
        </is>
      </c>
      <c r="H7426" t="inlineStr">
        <is>
          <t>8⁸, 16², 24⁸, 48²</t>
        </is>
      </c>
      <c r="I7426" t="n">
        <v>20</v>
      </c>
      <c r="J7426" t="inlineStr">
        <is>
          <t>4⁴, 8⁶, 16²</t>
        </is>
      </c>
      <c r="K7426">
        <f>HYPERLINK("CSG11.html#group24G11", "24G¹¹")</f>
        <v/>
      </c>
      <c r="L7426" t="inlineStr"/>
      <c r="M7426">
        <f>HYPERLINK("CSG0.html#group3B0", "3B⁰"), =HYPERLINK("CSG5.html#group24K5", "24K⁵"), =HYPERLINK("CSG1.html#group8A1", "8A¹"), =HYPERLINK("CSG2.html#group24A2", "24A²"), =HYPERLINK("CSG1.html#group12F1", "12F¹"), =HYPERLINK("CSG0.html#group8D0", "8D⁰"), =HYPERLINK("CSG0.html#group4C0", "4C⁰"), =HYPERLINK("CSG2.html#group8B2", "8B²"), =HYPERLINK("CSG0.html#group8A0", "8A⁰"), =HYPERLINK("CSG0.html#group2B0", "2B⁰"), =HYPERLINK("CSG0.html#group1A0", "1A⁰"), =HYPERLINK("CSG1.html#group8D1", "8D¹"), =HYPERLINK("CSG0.html#group8K0", "8K⁰"), =HYPERLINK("CSG3.html#group24C3", "24C³"), =HYPERLINK("CSG1.html#group8C1", "8C¹"), =HYPERLINK("CSG2.html#group24I2", "24I²"), =HYPERLINK("CSG0.html#group4A0", "4A⁰"), =HYPERLINK("CSG11.html#group24G11", "24G¹¹"), =HYPERLINK("CSG1.html#group12A1", "12A¹"), =HYPERLINK("CSG4.html#group24R4", "24R⁴"), =HYPERLINK("CSG2.html#group12G2", "12G²"), =HYPERLINK("CSG6.html#group24B6", "24B⁶"), =HYPERLINK("CSG0.html#group4F0", "4F⁰"), =HYPERLINK("CSG0.html#group6F0", "6F⁰")</f>
        <v/>
      </c>
      <c r="N7426" t="inlineStr"/>
    </row>
    <row r="7427">
      <c r="A7427" t="inlineStr">
        <is>
          <t>48B²³</t>
        </is>
      </c>
      <c r="B7427" t="inlineStr"/>
      <c r="C7427" t="inlineStr">
        <is>
          <t>384</t>
        </is>
      </c>
      <c r="D7427" t="inlineStr">
        <is>
          <t>1</t>
        </is>
      </c>
      <c r="E7427" t="inlineStr">
        <is>
          <t>96</t>
        </is>
      </c>
      <c r="F7427" t="inlineStr">
        <is>
          <t>0</t>
        </is>
      </c>
      <c r="G7427" t="inlineStr">
        <is>
          <t>0</t>
        </is>
      </c>
      <c r="H7427" t="inlineStr">
        <is>
          <t>8⁸, 16², 24⁸, 48²</t>
        </is>
      </c>
      <c r="I7427" t="n">
        <v>20</v>
      </c>
      <c r="J7427" t="inlineStr">
        <is>
          <t>4⁴, 8⁶, 16²</t>
        </is>
      </c>
      <c r="K7427">
        <f>HYPERLINK("CSG3.html#group16P3", "16P³"), =HYPERLINK("CSG11.html#group24F11", "24F¹¹")</f>
        <v/>
      </c>
      <c r="L7427" t="inlineStr"/>
      <c r="M7427">
        <f>HYPERLINK("CSG2.html#group24A2", "24A²"), =HYPERLINK("CSG0.html#group4C0", "4C⁰"), =HYPERLINK("CSG0.html#group8A0", "8A⁰"), =HYPERLINK("CSG3.html#group16P3", "16P³"), =HYPERLINK("CSG0.html#group2B0", "2B⁰"), =HYPERLINK("CSG0.html#group1A0", "1A⁰"), =HYPERLINK("CSG0.html#group8K0", "8K⁰"), =HYPERLINK("CSG1.html#group8H1", "8H¹"), =HYPERLINK("CSG11.html#group24F11", "24F¹¹"), =HYPERLINK("CSG1.html#group12A1", "12A¹"), =HYPERLINK("CSG6.html#group24B6", "24B⁶"), =HYPERLINK("CSG0.html#group6F0", "6F⁰"), =HYPERLINK("CSG0.html#group3B0", "3B⁰"), =HYPERLINK("CSG3.html#group24B3", "24B³"), =HYPERLINK("CSG0.html#group8D0", "8D⁰"), =HYPERLINK("CSG1.html#group12F1", "12F¹"), =HYPERLINK("CSG0.html#group8B0", "8B⁰"), =HYPERLINK("CSG1.html#group8D1", "8D¹"), =HYPERLINK("CSG0.html#group8H0", "8H⁰"), =HYPERLINK("CSG2.html#group24I2", "24I²"), =HYPERLINK("CSG0.html#group4A0", "4A⁰"), =HYPERLINK("CSG4.html#group24R4", "24R⁴"), =HYPERLINK("CSG2.html#group12G2", "12G²"), =HYPERLINK("CSG0.html#group4F0", "4F⁰"), =HYPERLINK("CSG5.html#group24J5", "24J⁵")</f>
        <v/>
      </c>
      <c r="N7427" t="inlineStr"/>
    </row>
    <row r="7428">
      <c r="A7428" t="inlineStr">
        <is>
          <t>48C²³</t>
        </is>
      </c>
      <c r="B7428" t="inlineStr"/>
      <c r="C7428" t="inlineStr">
        <is>
          <t>384</t>
        </is>
      </c>
      <c r="D7428" t="inlineStr">
        <is>
          <t>1</t>
        </is>
      </c>
      <c r="E7428" t="inlineStr">
        <is>
          <t>96</t>
        </is>
      </c>
      <c r="F7428" t="inlineStr">
        <is>
          <t>0</t>
        </is>
      </c>
      <c r="G7428" t="inlineStr">
        <is>
          <t>0</t>
        </is>
      </c>
      <c r="H7428" t="inlineStr">
        <is>
          <t>8⁸, 16², 24⁸, 48²</t>
        </is>
      </c>
      <c r="I7428" t="n">
        <v>20</v>
      </c>
      <c r="J7428" t="inlineStr">
        <is>
          <t>4⁴, 8⁶, 16²</t>
        </is>
      </c>
      <c r="K7428">
        <f>HYPERLINK("CSG3.html#group16Q3", "16Q³"), =HYPERLINK("CSG10.html#group48H10", "48H¹⁰"), =HYPERLINK("CSG10.html#group48I10", "48I¹⁰"), =HYPERLINK("CSG11.html#group24F11", "24F¹¹")</f>
        <v/>
      </c>
      <c r="L7428" t="inlineStr"/>
      <c r="M7428">
        <f>HYPERLINK("CSG2.html#group24A2", "24A²"), =HYPERLINK("CSG0.html#group4C0", "4C⁰"), =HYPERLINK("CSG0.html#group8A0", "8A⁰"), =HYPERLINK("CSG0.html#group2B0", "2B⁰"), =HYPERLINK("CSG0.html#group8K0", "8K⁰"), =HYPERLINK("CSG0.html#group1A0", "1A⁰"), =HYPERLINK("CSG1.html#group8H1", "8H¹"), =HYPERLINK("CSG11.html#group24F11", "24F¹¹"), =HYPERLINK("CSG10.html#group48I10", "48I¹⁰"), =HYPERLINK("CSG10.html#group48H10", "48H¹⁰"), =HYPERLINK("CSG1.html#group12A1", "12A¹"), =HYPERLINK("CSG6.html#group24B6", "24B⁶"), =HYPERLINK("CSG3.html#group16Q3", "16Q³"), =HYPERLINK("CSG0.html#group6F0", "6F⁰"), =HYPERLINK("CSG1.html#group16K1", "16K¹"), =HYPERLINK("CSG0.html#group3B0", "3B⁰"), =HYPERLINK("CSG3.html#group24B3", "24B³"), =HYPERLINK("CSG0.html#group8D0", "8D⁰"), =HYPERLINK("CSG1.html#group12F1", "12F¹"), =HYPERLINK("CSG0.html#group8B0", "8B⁰"), =HYPERLINK("CSG1.html#group8D1", "8D¹"), =HYPERLINK("CSG0.html#group8H0", "8H⁰"), =HYPERLINK("CSG1.html#group16L1", "16L¹"), =HYPERLINK("CSG2.html#group24I2", "24I²"), =HYPERLINK("CSG0.html#group4A0", "4A⁰"), =HYPERLINK("CSG4.html#group24R4", "24R⁴"), =HYPERLINK("CSG2.html#group12G2", "12G²"), =HYPERLINK("CSG0.html#group4F0", "4F⁰"), =HYPERLINK("CSG5.html#group24J5", "24J⁵")</f>
        <v/>
      </c>
      <c r="N7428" t="inlineStr"/>
    </row>
    <row r="7429">
      <c r="A7429" t="inlineStr">
        <is>
          <t>48D²³</t>
        </is>
      </c>
      <c r="B7429" t="inlineStr"/>
      <c r="C7429" t="inlineStr">
        <is>
          <t>384</t>
        </is>
      </c>
      <c r="D7429" t="inlineStr">
        <is>
          <t>1</t>
        </is>
      </c>
      <c r="E7429" t="inlineStr">
        <is>
          <t>96</t>
        </is>
      </c>
      <c r="F7429" t="inlineStr">
        <is>
          <t>0</t>
        </is>
      </c>
      <c r="G7429" t="inlineStr">
        <is>
          <t>0</t>
        </is>
      </c>
      <c r="H7429" t="inlineStr">
        <is>
          <t>8⁸, 16², 24⁸, 48²</t>
        </is>
      </c>
      <c r="I7429" t="n">
        <v>20</v>
      </c>
      <c r="J7429" t="inlineStr">
        <is>
          <t>4⁴, 8⁶, 16²</t>
        </is>
      </c>
      <c r="K7429">
        <f>HYPERLINK("CSG4.html#group16A4", "16A⁴"), =HYPERLINK("CSG10.html#group48H10", "48H¹⁰"), =HYPERLINK("CSG10.html#group48I10", "48I¹⁰"), =HYPERLINK("CSG11.html#group24G11", "24G¹¹")</f>
        <v/>
      </c>
      <c r="L7429" t="inlineStr"/>
      <c r="M7429">
        <f>HYPERLINK("CSG4.html#group16A4", "16A⁴"), =HYPERLINK("CSG2.html#group24A2", "24A²"), =HYPERLINK("CSG0.html#group4C0", "4C⁰"), =HYPERLINK("CSG0.html#group8A0", "8A⁰"), =HYPERLINK("CSG0.html#group2B0", "2B⁰"), =HYPERLINK("CSG0.html#group8K0", "8K⁰"), =HYPERLINK("CSG0.html#group1A0", "1A⁰"), =HYPERLINK("CSG10.html#group48I10", "48I¹⁰"), =HYPERLINK("CSG10.html#group48H10", "48H¹⁰"), =HYPERLINK("CSG11.html#group24G11", "24G¹¹"), =HYPERLINK("CSG1.html#group12A1", "12A¹"), =HYPERLINK("CSG6.html#group24B6", "24B⁶"), =HYPERLINK("CSG0.html#group6F0", "6F⁰"), =HYPERLINK("CSG1.html#group16K1", "16K¹"), =HYPERLINK("CSG0.html#group3B0", "3B⁰"), =HYPERLINK("CSG5.html#group24K5", "24K⁵"), =HYPERLINK("CSG1.html#group8A1", "8A¹"), =HYPERLINK("CSG0.html#group8D0", "8D⁰"), =HYPERLINK("CSG1.html#group12F1", "12F¹"), =HYPERLINK("CSG2.html#group8B2", "8B²"), =HYPERLINK("CSG1.html#group8D1", "8D¹"), =HYPERLINK("CSG3.html#group24C3", "24C³"), =HYPERLINK("CSG1.html#group16L1", "16L¹"), =HYPERLINK("CSG1.html#group8C1", "8C¹"), =HYPERLINK("CSG2.html#group24I2", "24I²"), =HYPERLINK("CSG0.html#group4A0", "4A⁰"), =HYPERLINK("CSG4.html#group24R4", "24R⁴"), =HYPERLINK("CSG2.html#group12G2", "12G²"), =HYPERLINK("CSG0.html#group4F0", "4F⁰")</f>
        <v/>
      </c>
      <c r="N7429" t="inlineStr"/>
    </row>
    <row r="7430">
      <c r="A7430" t="inlineStr">
        <is>
          <t>48E²³</t>
        </is>
      </c>
      <c r="B7430" t="inlineStr"/>
      <c r="C7430" t="inlineStr">
        <is>
          <t>384</t>
        </is>
      </c>
      <c r="D7430" t="inlineStr">
        <is>
          <t>2</t>
        </is>
      </c>
      <c r="E7430" t="inlineStr">
        <is>
          <t>64</t>
        </is>
      </c>
      <c r="F7430" t="inlineStr">
        <is>
          <t>24</t>
        </is>
      </c>
      <c r="G7430" t="inlineStr">
        <is>
          <t>0</t>
        </is>
      </c>
      <c r="H7430" t="inlineStr">
        <is>
          <t>48⁸</t>
        </is>
      </c>
      <c r="I7430" t="n">
        <v>8</v>
      </c>
      <c r="J7430" t="inlineStr">
        <is>
          <t>8¹⁶</t>
        </is>
      </c>
      <c r="K7430">
        <f>HYPERLINK("CSG4.html#group24S4", "24S⁴"), =HYPERLINK("CSG5.html#group16L5", "16L⁵"), =HYPERLINK("CSG9.html#group48AP9", "48AP⁹")</f>
        <v/>
      </c>
      <c r="L7430" t="inlineStr"/>
      <c r="M7430">
        <f>HYPERLINK("CSG1.html#group24F1", "24F¹"), =HYPERLINK("CSG0.html#group12A0", "12A⁰"), =HYPERLINK("CSG0.html#group8F0", "8F⁰"), =HYPERLINK("CSG4.html#group24S4", "24S⁴"), =HYPERLINK("CSG1.html#group24A1", "24A¹"), =HYPERLINK("CSG0.html#group4A0", "4A⁰"), =HYPERLINK("CSG9.html#group48AP9", "48AP⁹"), =HYPERLINK("CSG5.html#group16L5", "16L⁵"), =HYPERLINK("CSG0.html#group8A0", "8A⁰"), =HYPERLINK("CSG0.html#group8M0", "8M⁰"), =HYPERLINK("CSG2.html#group16G2", "16G²"), =HYPERLINK("CSG0.html#group3A0", "3A⁰"), =HYPERLINK("CSG0.html#group1A0", "1A⁰")</f>
        <v/>
      </c>
      <c r="N7430" t="inlineStr"/>
    </row>
    <row r="7431">
      <c r="A7431" t="inlineStr">
        <is>
          <t>48F²³</t>
        </is>
      </c>
      <c r="B7431" t="inlineStr"/>
      <c r="C7431" t="inlineStr">
        <is>
          <t>384</t>
        </is>
      </c>
      <c r="D7431" t="inlineStr">
        <is>
          <t>2</t>
        </is>
      </c>
      <c r="E7431" t="inlineStr">
        <is>
          <t>192</t>
        </is>
      </c>
      <c r="F7431" t="inlineStr">
        <is>
          <t>24</t>
        </is>
      </c>
      <c r="G7431" t="inlineStr">
        <is>
          <t>0</t>
        </is>
      </c>
      <c r="H7431" t="inlineStr">
        <is>
          <t>48⁸</t>
        </is>
      </c>
      <c r="I7431" t="n">
        <v>8</v>
      </c>
      <c r="J7431" t="inlineStr">
        <is>
          <t>8¹⁶, 16¹⁶</t>
        </is>
      </c>
      <c r="K7431">
        <f>HYPERLINK("CSG4.html#group24T4", "24T⁴"), =HYPERLINK("CSG9.html#group48AP9", "48AP⁹")</f>
        <v/>
      </c>
      <c r="L7431" t="inlineStr"/>
      <c r="M7431">
        <f>HYPERLINK("CSG1.html#group24F1", "24F¹"), =HYPERLINK("CSG0.html#group12A0", "12A⁰"), =HYPERLINK("CSG0.html#group8F0", "8F⁰"), =HYPERLINK("CSG0.html#group4A0", "4A⁰"), =HYPERLINK("CSG9.html#group48AP9", "48AP⁹"), =HYPERLINK("CSG1.html#group24B1", "24B¹"), =HYPERLINK("CSG2.html#group16G2", "16G²"), =HYPERLINK("CSG0.html#group3A0", "3A⁰"), =HYPERLINK("CSG0.html#group1A0", "1A⁰"), =HYPERLINK("CSG4.html#group24T4", "24T⁴")</f>
        <v/>
      </c>
      <c r="N7431" t="inlineStr"/>
    </row>
    <row r="7432">
      <c r="A7432" t="inlineStr">
        <is>
          <t>50A²³</t>
        </is>
      </c>
      <c r="B7432" t="inlineStr"/>
      <c r="C7432" t="inlineStr">
        <is>
          <t>300</t>
        </is>
      </c>
      <c r="D7432" t="inlineStr">
        <is>
          <t>1</t>
        </is>
      </c>
      <c r="E7432" t="inlineStr">
        <is>
          <t>50</t>
        </is>
      </c>
      <c r="F7432" t="inlineStr">
        <is>
          <t>0</t>
        </is>
      </c>
      <c r="G7432" t="inlineStr">
        <is>
          <t>0</t>
        </is>
      </c>
      <c r="H7432" t="inlineStr">
        <is>
          <t>50⁶</t>
        </is>
      </c>
      <c r="I7432" t="n">
        <v>6</v>
      </c>
      <c r="J7432" t="inlineStr">
        <is>
          <t>2¹, 4², 20²</t>
        </is>
      </c>
      <c r="K7432">
        <f>HYPERLINK("CSG3.html#group10A3", "10A³"), =HYPERLINK("CSG5.html#group50E5", "50E⁵"), =HYPERLINK("CSG11.html#group50A11", "50A¹¹")</f>
        <v/>
      </c>
      <c r="L7432" t="inlineStr"/>
      <c r="M7432">
        <f>HYPERLINK("CSG0.html#group2A0", "2A⁰"), =HYPERLINK("CSG5.html#group50E5", "50E⁵"), =HYPERLINK("CSG0.html#group5C0", "5C⁰"), =HYPERLINK("CSG2.html#group25E2", "25E²"), =HYPERLINK("CSG3.html#group10A3", "10A³"), =HYPERLINK("CSG1.html#group10C1", "10C¹"), =HYPERLINK("CSG0.html#group2B0", "2B⁰"), =HYPERLINK("CSG11.html#group50A11", "50A¹¹"), =HYPERLINK("CSG0.html#group1A0", "1A⁰"), =HYPERLINK("CSG0.html#group2C0", "2C⁰"), =HYPERLINK("CSG1.html#group10F1", "10F¹")</f>
        <v/>
      </c>
      <c r="N7432" t="inlineStr"/>
    </row>
    <row r="7433">
      <c r="A7433" t="inlineStr">
        <is>
          <t>50B²³</t>
        </is>
      </c>
      <c r="B7433" t="inlineStr"/>
      <c r="C7433" t="inlineStr">
        <is>
          <t>300</t>
        </is>
      </c>
      <c r="D7433" t="inlineStr">
        <is>
          <t>1</t>
        </is>
      </c>
      <c r="E7433" t="inlineStr">
        <is>
          <t>150</t>
        </is>
      </c>
      <c r="F7433" t="inlineStr">
        <is>
          <t>0</t>
        </is>
      </c>
      <c r="G7433" t="inlineStr">
        <is>
          <t>0</t>
        </is>
      </c>
      <c r="H7433" t="inlineStr">
        <is>
          <t>50⁶</t>
        </is>
      </c>
      <c r="I7433" t="n">
        <v>6</v>
      </c>
      <c r="J7433" t="inlineStr">
        <is>
          <t>2¹, 4⁷, 20⁶</t>
        </is>
      </c>
      <c r="K7433">
        <f>HYPERLINK("CSG3.html#group10B3", "10B³"), =HYPERLINK("CSG5.html#group50E5", "50E⁵"), =HYPERLINK("CSG10.html#group25A10", "25A¹⁰")</f>
        <v/>
      </c>
      <c r="L7433" t="inlineStr"/>
      <c r="M7433">
        <f>HYPERLINK("CSG0.html#group2A0", "2A⁰"), =HYPERLINK("CSG0.html#group5A0", "5A⁰"), =HYPERLINK("CSG2.html#group10A2", "10A²"), =HYPERLINK("CSG0.html#group5B0", "5B⁰"), =HYPERLINK("CSG1.html#group10A1", "10A¹"), =HYPERLINK("CSG1.html#group10E1", "10E¹"), =HYPERLINK("CSG0.html#group1A0", "1A⁰"), =HYPERLINK("CSG0.html#group10A0", "10A⁰"), =HYPERLINK("CSG5.html#group50E5", "50E⁵"), =HYPERLINK("CSG10.html#group25A10", "25A¹⁰"), =HYPERLINK("CSG3.html#group10B3", "10B³"), =HYPERLINK("CSG2.html#group25E2", "25E²"), =HYPERLINK("CSG0.html#group5E0", "5E⁰"), =HYPERLINK("CSG1.html#group10C1", "10C¹"), =HYPERLINK("CSG0.html#group5C0", "5C⁰"), =HYPERLINK("CSG0.html#group5G0", "5G⁰")</f>
        <v/>
      </c>
      <c r="N7433" t="inlineStr"/>
    </row>
    <row r="7434">
      <c r="A7434" t="inlineStr">
        <is>
          <t>52A²³</t>
        </is>
      </c>
      <c r="B7434" t="inlineStr"/>
      <c r="C7434" t="inlineStr">
        <is>
          <t>336</t>
        </is>
      </c>
      <c r="D7434" t="inlineStr">
        <is>
          <t>1</t>
        </is>
      </c>
      <c r="E7434" t="inlineStr">
        <is>
          <t>14</t>
        </is>
      </c>
      <c r="F7434" t="inlineStr">
        <is>
          <t>0</t>
        </is>
      </c>
      <c r="G7434" t="inlineStr">
        <is>
          <t>0</t>
        </is>
      </c>
      <c r="H7434" t="inlineStr">
        <is>
          <t>4⁶, 52⁶</t>
        </is>
      </c>
      <c r="I7434" t="n">
        <v>12</v>
      </c>
      <c r="J7434" t="inlineStr">
        <is>
          <t>1², 12¹</t>
        </is>
      </c>
      <c r="K7434">
        <f>HYPERLINK("CSG3.html#group52B3", "52B³"), =HYPERLINK("CSG9.html#group26A9", "26A⁹"), =HYPERLINK("CSG9.html#group52D9", "52D⁹")</f>
        <v/>
      </c>
      <c r="L7434" t="inlineStr"/>
      <c r="M7434">
        <f>HYPERLINK("CSG3.html#group52B3", "52B³"), =HYPERLINK("CSG0.html#group2A0", "2A⁰"), =HYPERLINK("CSG1.html#group26A1", "26A¹"), =HYPERLINK("CSG5.html#group26A5", "26A⁵"), =HYPERLINK("CSG0.html#group13A0", "13A⁰"), =HYPERLINK("CSG9.html#group26A9", "26A⁹"), =HYPERLINK("CSG9.html#group52D9", "52D⁹"), =HYPERLINK("CSG0.html#group26A0", "26A⁰"), =HYPERLINK("CSG2.html#group26B2", "26B²"), =HYPERLINK("CSG0.html#group1A0", "1A⁰"), =HYPERLINK("CSG1.html#group26B1", "26B¹"), =HYPERLINK("CSG2.html#group13A2", "13A²"), =HYPERLINK("CSG0.html#group13C0", "13C⁰"), =HYPERLINK("CSG0.html#group13B0", "13B⁰"), =HYPERLINK("CSG1.html#group52A1", "52A¹")</f>
        <v/>
      </c>
      <c r="N7434" t="inlineStr"/>
    </row>
    <row r="7435">
      <c r="A7435" t="inlineStr">
        <is>
          <t>52B²³</t>
        </is>
      </c>
      <c r="B7435" t="inlineStr"/>
      <c r="C7435" t="inlineStr">
        <is>
          <t>336</t>
        </is>
      </c>
      <c r="D7435" t="inlineStr">
        <is>
          <t>1</t>
        </is>
      </c>
      <c r="E7435" t="inlineStr">
        <is>
          <t>14</t>
        </is>
      </c>
      <c r="F7435" t="inlineStr">
        <is>
          <t>0</t>
        </is>
      </c>
      <c r="G7435" t="inlineStr">
        <is>
          <t>0</t>
        </is>
      </c>
      <c r="H7435" t="inlineStr">
        <is>
          <t>4⁶, 52⁶</t>
        </is>
      </c>
      <c r="I7435" t="n">
        <v>12</v>
      </c>
      <c r="J7435" t="inlineStr">
        <is>
          <t>1², 12¹</t>
        </is>
      </c>
      <c r="K7435">
        <f>HYPERLINK("CSG3.html#group52B3", "52B³"), =HYPERLINK("CSG9.html#group26B9", "26B⁹"), =HYPERLINK("CSG11.html#group52G11", "52G¹¹")</f>
        <v/>
      </c>
      <c r="L7435" t="inlineStr"/>
      <c r="M7435">
        <f>HYPERLINK("CSG3.html#group52B3", "52B³"), =HYPERLINK("CSG0.html#group2A0", "2A⁰"), =HYPERLINK("CSG1.html#group26A1", "26A¹"), =HYPERLINK("CSG0.html#group13A0", "13A⁰"), =HYPERLINK("CSG0.html#group2B0", "2B⁰"), =HYPERLINK("CSG0.html#group26A0", "26A⁰"), =HYPERLINK("CSG0.html#group1A0", "1A⁰"), =HYPERLINK("CSG2.html#group26A2", "26A²"), =HYPERLINK("CSG4.html#group26A4", "26A⁴"), =HYPERLINK("CSG5.html#group26B5", "26B⁵"), =HYPERLINK("CSG1.html#group26B1", "26B¹"), =HYPERLINK("CSG11.html#group52G11", "52G¹¹"), =HYPERLINK("CSG9.html#group26B9", "26B⁹"), =HYPERLINK("CSG4.html#group26B4", "26B⁴"), =HYPERLINK("CSG0.html#group13B0", "13B⁰"), =HYPERLINK("CSG1.html#group52A1", "52A¹"), =HYPERLINK("CSG0.html#group2C0", "2C⁰")</f>
        <v/>
      </c>
      <c r="N7435" t="inlineStr"/>
    </row>
    <row r="7436">
      <c r="A7436" t="inlineStr">
        <is>
          <t>52C²³</t>
        </is>
      </c>
      <c r="B7436" t="inlineStr"/>
      <c r="C7436" t="inlineStr">
        <is>
          <t>336</t>
        </is>
      </c>
      <c r="D7436" t="inlineStr">
        <is>
          <t>1</t>
        </is>
      </c>
      <c r="E7436" t="inlineStr">
        <is>
          <t>14</t>
        </is>
      </c>
      <c r="F7436" t="inlineStr">
        <is>
          <t>0</t>
        </is>
      </c>
      <c r="G7436" t="inlineStr">
        <is>
          <t>0</t>
        </is>
      </c>
      <c r="H7436" t="inlineStr">
        <is>
          <t>4⁶, 52⁶</t>
        </is>
      </c>
      <c r="I7436" t="n">
        <v>12</v>
      </c>
      <c r="J7436" t="inlineStr">
        <is>
          <t>1², 12¹</t>
        </is>
      </c>
      <c r="K7436">
        <f>HYPERLINK("CSG0.html#group4G0", "4G⁰"), =HYPERLINK("CSG7.html#group52B7", "52B⁷"), =HYPERLINK("CSG11.html#group52D11", "52D¹¹"), =HYPERLINK("CSG11.html#group52F11", "52F¹¹")</f>
        <v/>
      </c>
      <c r="L7436" t="inlineStr"/>
      <c r="M7436">
        <f>HYPERLINK("CSG0.html#group2A0", "2A⁰"), =HYPERLINK("CSG1.html#group26A1", "26A¹"), =HYPERLINK("CSG0.html#group4C0", "4C⁰"), =HYPERLINK("CSG0.html#group13A0", "13A⁰"), =HYPERLINK("CSG5.html#group52A5", "52A⁵"), =HYPERLINK("CSG0.html#group4G0", "4G⁰"), =HYPERLINK("CSG7.html#group52B7", "52B⁷"), =HYPERLINK("CSG0.html#group2B0", "2B⁰"), =HYPERLINK("CSG0.html#group4E0", "4E⁰"), =HYPERLINK("CSG0.html#group4B0", "4B⁰"), =HYPERLINK("CSG0.html#group1A0", "1A⁰"), =HYPERLINK("CSG2.html#group26A2", "26A²"), =HYPERLINK("CSG5.html#group26B5", "26B⁵"), =HYPERLINK("CSG11.html#group52F11", "52F¹¹"), =HYPERLINK("CSG3.html#group52A3", "52A³"), =HYPERLINK("CSG0.html#group4A0", "4A⁰"), =HYPERLINK("CSG0.html#group4D0", "4D⁰"), =HYPERLINK("CSG5.html#group52B5", "52B⁵"), =HYPERLINK("CSG0.html#group4F0", "4F⁰"), =HYPERLINK("CSG11.html#group52D11", "52D¹¹"), =HYPERLINK("CSG0.html#group2C0", "2C⁰")</f>
        <v/>
      </c>
      <c r="N7436" t="inlineStr"/>
    </row>
    <row r="7437">
      <c r="A7437" t="inlineStr">
        <is>
          <t>52D²³</t>
        </is>
      </c>
      <c r="B7437" t="inlineStr"/>
      <c r="C7437" t="inlineStr">
        <is>
          <t>336</t>
        </is>
      </c>
      <c r="D7437" t="inlineStr">
        <is>
          <t>1</t>
        </is>
      </c>
      <c r="E7437" t="inlineStr">
        <is>
          <t>42</t>
        </is>
      </c>
      <c r="F7437" t="inlineStr">
        <is>
          <t>0</t>
        </is>
      </c>
      <c r="G7437" t="inlineStr">
        <is>
          <t>0</t>
        </is>
      </c>
      <c r="H7437" t="inlineStr">
        <is>
          <t>4⁶, 52⁶</t>
        </is>
      </c>
      <c r="I7437" t="n">
        <v>12</v>
      </c>
      <c r="J7437" t="inlineStr">
        <is>
          <t>1⁶, 12³</t>
        </is>
      </c>
      <c r="K7437">
        <f>HYPERLINK("CSG11.html#group52C11", "52C¹¹"), =HYPERLINK("CSG11.html#group52D11", "52D¹¹"), =HYPERLINK("CSG11.html#group52E11", "52E¹¹")</f>
        <v/>
      </c>
      <c r="L7437" t="inlineStr"/>
      <c r="M7437">
        <f>HYPERLINK("CSG11.html#group52C11", "52C¹¹"), =HYPERLINK("CSG0.html#group2A0", "2A⁰"), =HYPERLINK("CSG11.html#group52E11", "52E¹¹"), =HYPERLINK("CSG1.html#group26A1", "26A¹"), =HYPERLINK("CSG0.html#group4C0", "4C⁰"), =HYPERLINK("CSG0.html#group13A0", "13A⁰"), =HYPERLINK("CSG5.html#group52A5", "52A⁵"), =HYPERLINK("CSG0.html#group2B0", "2B⁰"), =HYPERLINK("CSG4.html#group52A4", "52A⁴"), =HYPERLINK("CSG0.html#group4E0", "4E⁰"), =HYPERLINK("CSG0.html#group4B0", "4B⁰"), =HYPERLINK("CSG0.html#group1A0", "1A⁰"), =HYPERLINK("CSG2.html#group26A2", "26A²"), =HYPERLINK("CSG5.html#group26B5", "26B⁵"), =HYPERLINK("CSG6.html#group52A6", "52A⁶"), =HYPERLINK("CSG5.html#group52B5", "52B⁵"), =HYPERLINK("CSG11.html#group52D11", "52D¹¹"), =HYPERLINK("CSG0.html#group2C0", "2C⁰")</f>
        <v/>
      </c>
      <c r="N7437" t="inlineStr"/>
    </row>
    <row r="7438">
      <c r="A7438" t="inlineStr">
        <is>
          <t>52E²³</t>
        </is>
      </c>
      <c r="B7438" t="inlineStr"/>
      <c r="C7438" t="inlineStr">
        <is>
          <t>336</t>
        </is>
      </c>
      <c r="D7438" t="inlineStr">
        <is>
          <t>1</t>
        </is>
      </c>
      <c r="E7438" t="inlineStr">
        <is>
          <t>56</t>
        </is>
      </c>
      <c r="F7438" t="inlineStr">
        <is>
          <t>0</t>
        </is>
      </c>
      <c r="G7438" t="inlineStr">
        <is>
          <t>0</t>
        </is>
      </c>
      <c r="H7438" t="inlineStr">
        <is>
          <t>4⁶, 52⁶</t>
        </is>
      </c>
      <c r="I7438" t="n">
        <v>12</v>
      </c>
      <c r="J7438" t="inlineStr">
        <is>
          <t>2⁴, 24²</t>
        </is>
      </c>
      <c r="K7438">
        <f>HYPERLINK("CSG2.html#group13A2", "13A²"), =HYPERLINK("CSG7.html#group52A7", "52A⁷"), =HYPERLINK("CSG9.html#group52C9", "52C⁹")</f>
        <v/>
      </c>
      <c r="L7438" t="inlineStr"/>
      <c r="M7438">
        <f>HYPERLINK("CSG7.html#group52A7", "52A⁷"), =HYPERLINK("CSG3.html#group52A3", "52A³"), =HYPERLINK("CSG0.html#group4A0", "4A⁰"), =HYPERLINK("CSG2.html#group13A2", "13A²"), =HYPERLINK("CSG0.html#group13A0", "13A⁰"), =HYPERLINK("CSG0.html#group13C0", "13C⁰"), =HYPERLINK("CSG0.html#group13B0", "13B⁰"), =HYPERLINK("CSG9.html#group52C9", "52C⁹"), =HYPERLINK("CSG0.html#group1A0", "1A⁰")</f>
        <v/>
      </c>
      <c r="N7438" t="inlineStr"/>
    </row>
    <row r="7439">
      <c r="A7439" t="inlineStr">
        <is>
          <t>52F²³</t>
        </is>
      </c>
      <c r="B7439" t="inlineStr"/>
      <c r="C7439" t="inlineStr">
        <is>
          <t>336</t>
        </is>
      </c>
      <c r="D7439" t="inlineStr">
        <is>
          <t>1</t>
        </is>
      </c>
      <c r="E7439" t="inlineStr">
        <is>
          <t>56</t>
        </is>
      </c>
      <c r="F7439" t="inlineStr">
        <is>
          <t>0</t>
        </is>
      </c>
      <c r="G7439" t="inlineStr">
        <is>
          <t>0</t>
        </is>
      </c>
      <c r="H7439" t="inlineStr">
        <is>
          <t>4⁶, 52⁶</t>
        </is>
      </c>
      <c r="I7439" t="n">
        <v>12</v>
      </c>
      <c r="J7439" t="inlineStr">
        <is>
          <t>2⁴, 24²</t>
        </is>
      </c>
      <c r="K7439">
        <f>HYPERLINK("CSG5.html#group26A5", "26A⁵"), =HYPERLINK("CSG7.html#group52B7", "52B⁷"), =HYPERLINK("CSG9.html#group52C9", "52C⁹")</f>
        <v/>
      </c>
      <c r="L7439" t="inlineStr"/>
      <c r="M7439">
        <f>HYPERLINK("CSG0.html#group2A0", "2A⁰"), =HYPERLINK("CSG5.html#group26A5", "26A⁵"), =HYPERLINK("CSG1.html#group26A1", "26A¹"), =HYPERLINK("CSG3.html#group52A3", "52A³"), =HYPERLINK("CSG0.html#group4A0", "4A⁰"), =HYPERLINK("CSG0.html#group4D0", "4D⁰"), =HYPERLINK("CSG0.html#group13A0", "13A⁰"), =HYPERLINK("CSG7.html#group52B7", "52B⁷"), =HYPERLINK("CSG0.html#group13C0", "13C⁰"), =HYPERLINK("CSG9.html#group52C9", "52C⁹"), =HYPERLINK("CSG0.html#group1A0", "1A⁰")</f>
        <v/>
      </c>
      <c r="N7439" t="inlineStr"/>
    </row>
    <row r="7440">
      <c r="A7440" t="inlineStr">
        <is>
          <t>52G²³</t>
        </is>
      </c>
      <c r="B7440" t="inlineStr"/>
      <c r="C7440" t="inlineStr">
        <is>
          <t>336</t>
        </is>
      </c>
      <c r="D7440" t="inlineStr">
        <is>
          <t>1</t>
        </is>
      </c>
      <c r="E7440" t="inlineStr">
        <is>
          <t>84</t>
        </is>
      </c>
      <c r="F7440" t="inlineStr">
        <is>
          <t>0</t>
        </is>
      </c>
      <c r="G7440" t="inlineStr">
        <is>
          <t>0</t>
        </is>
      </c>
      <c r="H7440" t="inlineStr">
        <is>
          <t>4⁶, 52⁶</t>
        </is>
      </c>
      <c r="I7440" t="n">
        <v>12</v>
      </c>
      <c r="J7440" t="inlineStr">
        <is>
          <t>1⁴, 2⁴, 12², 24²</t>
        </is>
      </c>
      <c r="K7440">
        <f>HYPERLINK("CSG7.html#group52A7", "52A⁷"), =HYPERLINK("CSG11.html#group52A11", "52A¹¹"), =HYPERLINK("CSG11.html#group52E11", "52E¹¹"), =HYPERLINK("CSG11.html#group52F11", "52F¹¹")</f>
        <v/>
      </c>
      <c r="L7440" t="inlineStr"/>
      <c r="M7440">
        <f>HYPERLINK("CSG7.html#group52A7", "52A⁷"), =HYPERLINK("CSG11.html#group52E11", "52E¹¹"), =HYPERLINK("CSG0.html#group4C0", "4C⁰"), =HYPERLINK("CSG0.html#group13A0", "13A⁰"), =HYPERLINK("CSG0.html#group2B0", "2B⁰"), =HYPERLINK("CSG0.html#group1A0", "1A⁰"), =HYPERLINK("CSG11.html#group52A11", "52A¹¹"), =HYPERLINK("CSG2.html#group26A2", "26A²"), =HYPERLINK("CSG4.html#group26A4", "26A⁴"), =HYPERLINK("CSG11.html#group52F11", "52F¹¹"), =HYPERLINK("CSG6.html#group52A6", "52A⁶"), =HYPERLINK("CSG3.html#group52A3", "52A³"), =HYPERLINK("CSG0.html#group4A0", "4A⁰"), =HYPERLINK("CSG5.html#group52B5", "52B⁵"), =HYPERLINK("CSG0.html#group13B0", "13B⁰"), =HYPERLINK("CSG0.html#group4F0", "4F⁰")</f>
        <v/>
      </c>
      <c r="N7440" t="inlineStr"/>
    </row>
    <row r="7441">
      <c r="A7441" t="inlineStr">
        <is>
          <t>52H²³</t>
        </is>
      </c>
      <c r="B7441" t="inlineStr"/>
      <c r="C7441" t="inlineStr">
        <is>
          <t>336</t>
        </is>
      </c>
      <c r="D7441" t="inlineStr">
        <is>
          <t>2</t>
        </is>
      </c>
      <c r="E7441" t="inlineStr">
        <is>
          <t>42</t>
        </is>
      </c>
      <c r="F7441" t="inlineStr">
        <is>
          <t>0</t>
        </is>
      </c>
      <c r="G7441" t="inlineStr">
        <is>
          <t>0</t>
        </is>
      </c>
      <c r="H7441" t="inlineStr">
        <is>
          <t>4⁶, 52⁶</t>
        </is>
      </c>
      <c r="I7441" t="n">
        <v>12</v>
      </c>
      <c r="J7441" t="inlineStr">
        <is>
          <t>2⁶, 24³</t>
        </is>
      </c>
      <c r="K7441">
        <f>HYPERLINK("CSG9.html#group52E9", "52E⁹"), =HYPERLINK("CSG11.html#group52B11", "52B¹¹"), =HYPERLINK("CSG11.html#group52G11", "52G¹¹")</f>
        <v/>
      </c>
      <c r="L7441" t="inlineStr"/>
      <c r="M7441">
        <f>HYPERLINK("CSG6.html#group52A6", "52A⁶"), =HYPERLINK("CSG11.html#group52B11", "52B¹¹"), =HYPERLINK("CSG11.html#group52G11", "52G¹¹"), =HYPERLINK("CSG5.html#group52A5", "52A⁵"), =HYPERLINK("CSG0.html#group13A0", "13A⁰"), =HYPERLINK("CSG4.html#group26B4", "26B⁴"), =HYPERLINK("CSG0.html#group2B0", "2B⁰"), =HYPERLINK("CSG0.html#group26A0", "26A⁰"), =HYPERLINK("CSG1.html#group52A1", "52A¹"), =HYPERLINK("CSG9.html#group52E9", "52E⁹"), =HYPERLINK("CSG0.html#group4B0", "4B⁰"), =HYPERLINK("CSG0.html#group1A0", "1A⁰"), =HYPERLINK("CSG2.html#group26A2", "26A²")</f>
        <v/>
      </c>
      <c r="N7441" t="inlineStr"/>
    </row>
    <row r="7442">
      <c r="A7442" t="inlineStr">
        <is>
          <t>56A²³</t>
        </is>
      </c>
      <c r="B7442" t="inlineStr"/>
      <c r="C7442" t="inlineStr">
        <is>
          <t>336</t>
        </is>
      </c>
      <c r="D7442" t="inlineStr">
        <is>
          <t>2</t>
        </is>
      </c>
      <c r="E7442" t="inlineStr">
        <is>
          <t>21</t>
        </is>
      </c>
      <c r="F7442" t="inlineStr">
        <is>
          <t>0</t>
        </is>
      </c>
      <c r="G7442" t="inlineStr">
        <is>
          <t>0</t>
        </is>
      </c>
      <c r="H7442" t="inlineStr">
        <is>
          <t>14⁸, 56⁴</t>
        </is>
      </c>
      <c r="I7442" t="n">
        <v>12</v>
      </c>
      <c r="J7442" t="inlineStr">
        <is>
          <t>2³, 6⁶</t>
        </is>
      </c>
      <c r="K7442">
        <f>HYPERLINK("CSG10.html#group56A10", "56A¹⁰"), =HYPERLINK("CSG11.html#group28C11", "28C¹¹"), =HYPERLINK("CSG11.html#group56B11", "56B¹¹"), =HYPERLINK("CSG11.html#group56C11", "56C¹¹"), =HYPERLINK("CSG12.html#group56A12", "56A¹²"), =HYPERLINK("CSG12.html#group56B12", "56B¹²"), =HYPERLINK("CSG12.html#group56C12", "56C¹²")</f>
        <v/>
      </c>
      <c r="L7442" t="inlineStr"/>
      <c r="M7442">
        <f>HYPERLINK("CSG0.html#group2A0", "2A⁰"), =HYPERLINK("CSG5.html#group56B5", "56B⁵"), =HYPERLINK("CSG0.html#group14A0", "14A⁰"), =HYPERLINK("CSG5.html#group56C5", "56C⁵"), =HYPERLINK("CSG6.html#group56C6", "56C⁶"), =HYPERLINK("CSG6.html#group28B6", "28B⁶"), =HYPERLINK("CSG4.html#group28C4", "28C⁴"), =HYPERLINK("CSG1.html#group14B1", "14B¹"), =HYPERLINK("CSG3.html#group14B3", "14B³"), =HYPERLINK("CSG0.html#group4C0", "4C⁰"), =HYPERLINK("CSG1.html#group14A1", "14A¹"), =HYPERLINK("CSG2.html#group14C2", "14C²"), =HYPERLINK("CSG3.html#group28A3", "28A³"), =HYPERLINK("CSG0.html#group2B0", "2B⁰"), =HYPERLINK("CSG0.html#group4E0", "4E⁰"), =HYPERLINK("CSG0.html#group8C0", "8C⁰"), =HYPERLINK("CSG0.html#group4B0", "4B⁰"), =HYPERLINK("CSG0.html#group1A0", "1A⁰"), =HYPERLINK("CSG10.html#group56A10", "56A¹⁰"), =HYPERLINK("CSG1.html#group14D1", "14D¹"), =HYPERLINK("CSG2.html#group14A2", "14A²"), =HYPERLINK("CSG0.html#group8G0", "8G⁰"), =HYPERLINK("CSG0.html#group7C0", "7C⁰"), =HYPERLINK("CSG12.html#group56C12", "56C¹²"), =HYPERLINK("CSG6.html#group28C6", "28C⁶"), =HYPERLINK("CSG3.html#group28B3", "28B³"), =HYPERLINK("CSG0.html#group7A0", "7A⁰"), =HYPERLINK("CSG12.html#group56A12", "56A¹²"), =HYPERLINK("CSG11.html#group56C11", "56C¹¹"), =HYPERLINK("CSG0.html#group8D0", "8D⁰"), =HYPERLINK("CSG5.html#group14D5", "14D⁵"), =HYPERLINK("CSG12.html#group56B12", "56B¹²"), =HYPERLINK("CSG11.html#group28C11", "28C¹¹"), =HYPERLINK("CSG5.html#group28A5", "28A⁵"), =HYPERLINK("CSG5.html#group28B5", "28B⁵"), =HYPERLINK("CSG11.html#group56B11", "56B¹¹"), =HYPERLINK("CSG2.html#group28C2", "28C²"), =HYPERLINK("CSG6.html#group56B6", "56B⁶"), =HYPERLINK("CSG6.html#group28A6", "28A⁶"), =HYPERLINK("CSG0.html#group2C0", "2C⁰"), =HYPERLINK("CSG2.html#group28B2", "28B²")</f>
        <v/>
      </c>
      <c r="N7442" t="inlineStr"/>
    </row>
    <row r="7443">
      <c r="A7443" t="inlineStr">
        <is>
          <t>56B²³</t>
        </is>
      </c>
      <c r="B7443" t="inlineStr"/>
      <c r="C7443" t="inlineStr">
        <is>
          <t>336</t>
        </is>
      </c>
      <c r="D7443" t="inlineStr">
        <is>
          <t>2</t>
        </is>
      </c>
      <c r="E7443" t="inlineStr">
        <is>
          <t>28</t>
        </is>
      </c>
      <c r="F7443" t="inlineStr">
        <is>
          <t>12</t>
        </is>
      </c>
      <c r="G7443" t="inlineStr">
        <is>
          <t>0</t>
        </is>
      </c>
      <c r="H7443" t="inlineStr">
        <is>
          <t>56⁶</t>
        </is>
      </c>
      <c r="I7443" t="n">
        <v>6</v>
      </c>
      <c r="J7443" t="inlineStr">
        <is>
          <t>8², 24⁴</t>
        </is>
      </c>
      <c r="K7443">
        <f>HYPERLINK("CSG7.html#group56D7", "56D⁷"), =HYPERLINK("CSG9.html#group28C9", "28C⁹"), =HYPERLINK("CSG11.html#group56I11", "56I¹¹"), =HYPERLINK("CSG11.html#group56J11", "56J¹¹")</f>
        <v/>
      </c>
      <c r="L7443" t="inlineStr"/>
      <c r="M7443">
        <f>HYPERLINK("CSG3.html#group28D3", "28D³"), =HYPERLINK("CSG3.html#group56D3", "56D³"), =HYPERLINK("CSG0.html#group7D0", "7D⁰"), =HYPERLINK("CSG11.html#group56I11", "56I¹¹"), =HYPERLINK("CSG0.html#group8A0", "8A⁰"), =HYPERLINK("CSG4.html#group28B4", "28B⁴"), =HYPERLINK("CSG0.html#group7G0", "7G⁰"), =HYPERLINK("CSG0.html#group1A0", "1A⁰"), =HYPERLINK("CSG11.html#group56J11", "56J¹¹"), =HYPERLINK("CSG7.html#group56D7", "56D⁷"), =HYPERLINK("CSG0.html#group4A0", "4A⁰"), =HYPERLINK("CSG0.html#group7C0", "7C⁰"), =HYPERLINK("CSG3.html#group56C3", "56C³"), =HYPERLINK("CSG1.html#group28A1", "28A¹"), =HYPERLINK("CSG9.html#group28C9", "28C⁹"), =HYPERLINK("CSG0.html#group7A0", "7A⁰"), =HYPERLINK("CSG3.html#group56A3", "56A³")</f>
        <v/>
      </c>
      <c r="N7443" t="inlineStr"/>
    </row>
    <row r="7444">
      <c r="A7444" t="inlineStr">
        <is>
          <t>56C²³</t>
        </is>
      </c>
      <c r="B7444" t="inlineStr"/>
      <c r="C7444" t="inlineStr">
        <is>
          <t>336</t>
        </is>
      </c>
      <c r="D7444" t="inlineStr">
        <is>
          <t>2</t>
        </is>
      </c>
      <c r="E7444" t="inlineStr">
        <is>
          <t>28</t>
        </is>
      </c>
      <c r="F7444" t="inlineStr">
        <is>
          <t>12</t>
        </is>
      </c>
      <c r="G7444" t="inlineStr">
        <is>
          <t>0</t>
        </is>
      </c>
      <c r="H7444" t="inlineStr">
        <is>
          <t>56⁶</t>
        </is>
      </c>
      <c r="I7444" t="n">
        <v>6</v>
      </c>
      <c r="J7444" t="inlineStr">
        <is>
          <t>8², 24⁴</t>
        </is>
      </c>
      <c r="K7444">
        <f>HYPERLINK("CSG7.html#group56E7", "56E⁷"), =HYPERLINK("CSG9.html#group28C9", "28C⁹"), =HYPERLINK("CSG11.html#group56I11", "56I¹¹"), =HYPERLINK("CSG11.html#group56K11", "56K¹¹")</f>
        <v/>
      </c>
      <c r="L7444" t="inlineStr"/>
      <c r="M7444">
        <f>HYPERLINK("CSG3.html#group28D3", "28D³"), =HYPERLINK("CSG3.html#group56D3", "56D³"), =HYPERLINK("CSG3.html#group56B3", "56B³"), =HYPERLINK("CSG0.html#group7D0", "7D⁰"), =HYPERLINK("CSG11.html#group56I11", "56I¹¹"), =HYPERLINK("CSG0.html#group8A0", "8A⁰"), =HYPERLINK("CSG4.html#group28B4", "28B⁴"), =HYPERLINK("CSG0.html#group7G0", "7G⁰"), =HYPERLINK("CSG0.html#group1A0", "1A⁰"), =HYPERLINK("CSG7.html#group56E7", "56E⁷"), =HYPERLINK("CSG11.html#group56K11", "56K¹¹"), =HYPERLINK("CSG0.html#group4A0", "4A⁰"), =HYPERLINK("CSG0.html#group7C0", "7C⁰"), =HYPERLINK("CSG3.html#group56C3", "56C³"), =HYPERLINK("CSG1.html#group28A1", "28A¹"), =HYPERLINK("CSG9.html#group28C9", "28C⁹"), =HYPERLINK("CSG0.html#group7A0", "7A⁰")</f>
        <v/>
      </c>
      <c r="N7444" t="inlineStr"/>
    </row>
    <row r="7445">
      <c r="A7445" t="inlineStr">
        <is>
          <t>56D²³</t>
        </is>
      </c>
      <c r="B7445" t="inlineStr"/>
      <c r="C7445" t="inlineStr">
        <is>
          <t>336</t>
        </is>
      </c>
      <c r="D7445" t="inlineStr">
        <is>
          <t>2</t>
        </is>
      </c>
      <c r="E7445" t="inlineStr">
        <is>
          <t>42</t>
        </is>
      </c>
      <c r="F7445" t="inlineStr">
        <is>
          <t>8</t>
        </is>
      </c>
      <c r="G7445" t="inlineStr">
        <is>
          <t>0</t>
        </is>
      </c>
      <c r="H7445" t="inlineStr">
        <is>
          <t>28⁴, 56⁴</t>
        </is>
      </c>
      <c r="I7445" t="n">
        <v>8</v>
      </c>
      <c r="J7445" t="inlineStr">
        <is>
          <t>2², 4², 6⁴, 12⁴</t>
        </is>
      </c>
      <c r="K7445">
        <f>HYPERLINK("CSG10.html#group56B10", "56B¹⁰"), =HYPERLINK("CSG10.html#group56C10", "56C¹⁰"), =HYPERLINK("CSG11.html#group28D11", "28D¹¹"), =HYPERLINK("CSG11.html#group56A11", "56A¹¹"), =HYPERLINK("CSG11.html#group56C11", "56C¹¹"), =HYPERLINK("CSG12.html#group56E12", "56E¹²"), =HYPERLINK("CSG12.html#group56D12", "56D¹²")</f>
        <v/>
      </c>
      <c r="L7445" t="inlineStr"/>
      <c r="M7445">
        <f>HYPERLINK("CSG3.html#group28D3", "28D³"), =HYPERLINK("CSG5.html#group56B5", "56B⁵"), =HYPERLINK("CSG5.html#group56C5", "56C⁵"), =HYPERLINK("CSG11.html#group56A11", "56A¹¹"), =HYPERLINK("CSG11.html#group56C11", "56C¹¹"), =HYPERLINK("CSG10.html#group56B10", "56B¹⁰"), =HYPERLINK("CSG1.html#group14B1", "14B¹"), =HYPERLINK("CSG0.html#group8D0", "8D⁰"), =HYPERLINK("CSG0.html#group4C0", "4C⁰"), =HYPERLINK("CSG0.html#group8B0", "8B⁰"), =HYPERLINK("CSG5.html#group28C5", "28C⁵"), =HYPERLINK("CSG0.html#group2B0", "2B⁰"), =HYPERLINK("CSG5.html#group28B5", "28B⁵"), =HYPERLINK("CSG0.html#group1A0", "1A⁰"), =HYPERLINK("CSG6.html#group56A6", "56A⁶"), =HYPERLINK("CSG10.html#group56C10", "56C¹⁰"), =HYPERLINK("CSG0.html#group8H0", "8H⁰"), =HYPERLINK("CSG11.html#group28D11", "28D¹¹"), =HYPERLINK("CSG2.html#group28C2", "28C²"), =HYPERLINK("CSG2.html#group14A2", "14A²"), =HYPERLINK("CSG0.html#group4A0", "4A⁰"), =HYPERLINK("CSG0.html#group7C0", "7C⁰"), =HYPERLINK("CSG12.html#group56E12", "56E¹²"), =HYPERLINK("CSG5.html#group28D5", "28D⁵"), =HYPERLINK("CSG12.html#group56D12", "56D¹²"), =HYPERLINK("CSG0.html#group4F0", "4F⁰"), =HYPERLINK("CSG3.html#group28B3", "28B³"), =HYPERLINK("CSG1.html#group28A1", "28A¹"), =HYPERLINK("CSG0.html#group7A0", "7A⁰"), =HYPERLINK("CSG4.html#group56B4", "56B⁴")</f>
        <v/>
      </c>
      <c r="N7445" t="inlineStr"/>
    </row>
    <row r="7446">
      <c r="A7446" t="inlineStr">
        <is>
          <t>56E²³</t>
        </is>
      </c>
      <c r="B7446" t="inlineStr"/>
      <c r="C7446" t="inlineStr">
        <is>
          <t>336</t>
        </is>
      </c>
      <c r="D7446" t="inlineStr">
        <is>
          <t>2</t>
        </is>
      </c>
      <c r="E7446" t="inlineStr">
        <is>
          <t>84</t>
        </is>
      </c>
      <c r="F7446" t="inlineStr">
        <is>
          <t>0</t>
        </is>
      </c>
      <c r="G7446" t="inlineStr">
        <is>
          <t>0</t>
        </is>
      </c>
      <c r="H7446" t="inlineStr">
        <is>
          <t>7⁴, 14², 28², 56⁴</t>
        </is>
      </c>
      <c r="I7446" t="n">
        <v>12</v>
      </c>
      <c r="J7446" t="inlineStr">
        <is>
          <t>2⁴, 4², 6⁸, 8¹, 12⁴, 24²</t>
        </is>
      </c>
      <c r="K7446">
        <f>HYPERLINK("CSG11.html#group56B11", "56B¹¹"), =HYPERLINK("CSG12.html#group56F12", "56F¹²"), =HYPERLINK("CSG12.html#group56G12", "56G¹²")</f>
        <v/>
      </c>
      <c r="L7446" t="inlineStr"/>
      <c r="M7446">
        <f>HYPERLINK("CSG6.html#group56C6", "56C⁶"), =HYPERLINK("CSG1.html#group14B1", "14B¹"), =HYPERLINK("CSG3.html#group28A3", "28A³"), =HYPERLINK("CSG12.html#group56G12", "56G¹²"), =HYPERLINK("CSG0.html#group8C0", "8C⁰"), =HYPERLINK("CSG0.html#group2B0", "2B⁰"), =HYPERLINK("CSG0.html#group8I0", "8I⁰"), =HYPERLINK("CSG0.html#group4B0", "4B⁰"), =HYPERLINK("CSG5.html#group28A5", "28A⁵"), =HYPERLINK("CSG0.html#group1A0", "1A⁰"), =HYPERLINK("CSG11.html#group56B11", "56B¹¹"), =HYPERLINK("CSG2.html#group14A2", "14A²"), =HYPERLINK("CSG12.html#group56F12", "56F¹²"), =HYPERLINK("CSG6.html#group56B6", "56B⁶"), =HYPERLINK("CSG0.html#group7C0", "7C⁰"), =HYPERLINK("CSG2.html#group28B2", "28B²"), =HYPERLINK("CSG0.html#group7A0", "7A⁰")</f>
        <v/>
      </c>
      <c r="N7446" t="inlineStr"/>
    </row>
    <row r="7447">
      <c r="A7447" t="inlineStr">
        <is>
          <t>56F²³</t>
        </is>
      </c>
      <c r="B7447" t="inlineStr"/>
      <c r="C7447" t="inlineStr">
        <is>
          <t>336</t>
        </is>
      </c>
      <c r="D7447" t="inlineStr">
        <is>
          <t>2</t>
        </is>
      </c>
      <c r="E7447" t="inlineStr">
        <is>
          <t>84</t>
        </is>
      </c>
      <c r="F7447" t="inlineStr">
        <is>
          <t>0</t>
        </is>
      </c>
      <c r="G7447" t="inlineStr">
        <is>
          <t>0</t>
        </is>
      </c>
      <c r="H7447" t="inlineStr">
        <is>
          <t>14⁴, 28⁶, 56²</t>
        </is>
      </c>
      <c r="I7447" t="n">
        <v>12</v>
      </c>
      <c r="J7447" t="inlineStr">
        <is>
          <t>2⁸, 4², 6¹⁶, 12⁴</t>
        </is>
      </c>
      <c r="K7447">
        <f>HYPERLINK("CSG11.html#group28C11", "28C¹¹"), =HYPERLINK("CSG12.html#group56H12", "56H¹²"), =HYPERLINK("CSG12.html#group56I12", "56I¹²")</f>
        <v/>
      </c>
      <c r="L7447" t="inlineStr"/>
      <c r="M7447">
        <f>HYPERLINK("CSG0.html#group2A0", "2A⁰"), =HYPERLINK("CSG0.html#group14A0", "14A⁰"), =HYPERLINK("CSG6.html#group28B6", "28B⁶"), =HYPERLINK("CSG4.html#group28C4", "28C⁴"), =HYPERLINK("CSG3.html#group14B3", "14B³"), =HYPERLINK("CSG1.html#group14B1", "14B¹"), =HYPERLINK("CSG12.html#group56I12", "56I¹²"), =HYPERLINK("CSG0.html#group4C0", "4C⁰"), =HYPERLINK("CSG1.html#group14A1", "14A¹"), =HYPERLINK("CSG2.html#group14C2", "14C²"), =HYPERLINK("CSG3.html#group28A3", "28A³"), =HYPERLINK("CSG0.html#group2B0", "2B⁰"), =HYPERLINK("CSG0.html#group4E0", "4E⁰"), =HYPERLINK("CSG0.html#group4B0", "4B⁰"), =HYPERLINK("CSG0.html#group1A0", "1A⁰"), =HYPERLINK("CSG1.html#group14D1", "14D¹"), =HYPERLINK("CSG12.html#group56H12", "56H¹²"), =HYPERLINK("CSG2.html#group14A2", "14A²"), =HYPERLINK("CSG0.html#group7C0", "7C⁰"), =HYPERLINK("CSG6.html#group28C6", "28C⁶"), =HYPERLINK("CSG3.html#group28B3", "28B³"), =HYPERLINK("CSG0.html#group7A0", "7A⁰"), =HYPERLINK("CSG5.html#group14D5", "14D⁵"), =HYPERLINK("CSG11.html#group28C11", "28C¹¹"), =HYPERLINK("CSG5.html#group28A5", "28A⁵"), =HYPERLINK("CSG5.html#group28B5", "28B⁵"), =HYPERLINK("CSG2.html#group28C2", "28C²"), =HYPERLINK("CSG6.html#group28A6", "28A⁶"), =HYPERLINK("CSG0.html#group8J0", "8J⁰"), =HYPERLINK("CSG0.html#group2C0", "2C⁰"), =HYPERLINK("CSG2.html#group28B2", "28B²")</f>
        <v/>
      </c>
      <c r="N7447" t="inlineStr"/>
    </row>
    <row r="7448">
      <c r="A7448" t="inlineStr">
        <is>
          <t>56G²³</t>
        </is>
      </c>
      <c r="B7448" t="inlineStr"/>
      <c r="C7448" t="inlineStr">
        <is>
          <t>336</t>
        </is>
      </c>
      <c r="D7448" t="inlineStr">
        <is>
          <t>2</t>
        </is>
      </c>
      <c r="E7448" t="inlineStr">
        <is>
          <t>84</t>
        </is>
      </c>
      <c r="F7448" t="inlineStr">
        <is>
          <t>4</t>
        </is>
      </c>
      <c r="G7448" t="inlineStr">
        <is>
          <t>0</t>
        </is>
      </c>
      <c r="H7448" t="inlineStr">
        <is>
          <t>28⁸, 56²</t>
        </is>
      </c>
      <c r="I7448" t="n">
        <v>10</v>
      </c>
      <c r="J7448" t="inlineStr">
        <is>
          <t>4², 8², 12⁴, 24⁴</t>
        </is>
      </c>
      <c r="K7448">
        <f>HYPERLINK("CSG11.html#group28D11", "28D¹¹"), =HYPERLINK("CSG11.html#group56F11", "56F¹¹"), =HYPERLINK("CSG11.html#group56G11", "56G¹¹")</f>
        <v/>
      </c>
      <c r="L7448" t="inlineStr"/>
      <c r="M7448">
        <f>HYPERLINK("CSG3.html#group28D3", "28D³"), =HYPERLINK("CSG11.html#group56G11", "56G¹¹"), =HYPERLINK("CSG1.html#group14B1", "14B¹"), =HYPERLINK("CSG0.html#group4C0", "4C⁰"), =HYPERLINK("CSG5.html#group28C5", "28C⁵"), =HYPERLINK("CSG0.html#group2B0", "2B⁰"), =HYPERLINK("CSG5.html#group28B5", "28B⁵"), =HYPERLINK("CSG0.html#group1A0", "1A⁰"), =HYPERLINK("CSG0.html#group8K0", "8K⁰"), =HYPERLINK("CSG2.html#group28C2", "28C²"), =HYPERLINK("CSG11.html#group28D11", "28D¹¹"), =HYPERLINK("CSG2.html#group14A2", "14A²"), =HYPERLINK("CSG11.html#group56F11", "56F¹¹"), =HYPERLINK("CSG0.html#group4A0", "4A⁰"), =HYPERLINK("CSG0.html#group7C0", "7C⁰"), =HYPERLINK("CSG5.html#group28D5", "28D⁵"), =HYPERLINK("CSG0.html#group4F0", "4F⁰"), =HYPERLINK("CSG3.html#group28B3", "28B³"), =HYPERLINK("CSG1.html#group28A1", "28A¹"), =HYPERLINK("CSG0.html#group7A0", "7A⁰")</f>
        <v/>
      </c>
      <c r="N7448" t="inlineStr"/>
    </row>
    <row r="7449">
      <c r="A7449" t="inlineStr">
        <is>
          <t>56H²³</t>
        </is>
      </c>
      <c r="B7449" t="inlineStr"/>
      <c r="C7449" t="inlineStr">
        <is>
          <t>336</t>
        </is>
      </c>
      <c r="D7449" t="inlineStr">
        <is>
          <t>2</t>
        </is>
      </c>
      <c r="E7449" t="inlineStr">
        <is>
          <t>84</t>
        </is>
      </c>
      <c r="F7449" t="inlineStr">
        <is>
          <t>8</t>
        </is>
      </c>
      <c r="G7449" t="inlineStr">
        <is>
          <t>0</t>
        </is>
      </c>
      <c r="H7449" t="inlineStr">
        <is>
          <t>28⁴, 56⁴</t>
        </is>
      </c>
      <c r="I7449" t="n">
        <v>8</v>
      </c>
      <c r="J7449" t="inlineStr">
        <is>
          <t>2⁴, 4², 6⁸, 8¹, 12⁴, 24²</t>
        </is>
      </c>
      <c r="K7449">
        <f>HYPERLINK("CSG10.html#group56D10", "56D¹⁰"), =HYPERLINK("CSG10.html#group56E10", "56E¹⁰"), =HYPERLINK("CSG11.html#group56A11", "56A¹¹")</f>
        <v/>
      </c>
      <c r="L7449" t="inlineStr"/>
      <c r="M7449">
        <f>HYPERLINK("CSG11.html#group56A11", "56A¹¹"), =HYPERLINK("CSG10.html#group56E10", "56E¹⁰"), =HYPERLINK("CSG1.html#group14B1", "14B¹"), =HYPERLINK("CSG0.html#group4C0", "4C⁰"), =HYPERLINK("CSG0.html#group8B0", "8B⁰"), =HYPERLINK("CSG0.html#group8L0", "8L⁰"), =HYPERLINK("CSG0.html#group2B0", "2B⁰"), =HYPERLINK("CSG10.html#group56D10", "56D¹⁰"), =HYPERLINK("CSG5.html#group28B5", "28B⁵"), =HYPERLINK("CSG0.html#group1A0", "1A⁰"), =HYPERLINK("CSG6.html#group56A6", "56A⁶"), =HYPERLINK("CSG2.html#group28C2", "28C²"), =HYPERLINK("CSG2.html#group14A2", "14A²"), =HYPERLINK("CSG0.html#group7C0", "7C⁰"), =HYPERLINK("CSG3.html#group28B3", "28B³"), =HYPERLINK("CSG0.html#group7A0", "7A⁰"), =HYPERLINK("CSG4.html#group56B4", "56B⁴")</f>
        <v/>
      </c>
      <c r="N7449" t="inlineStr"/>
    </row>
    <row r="7450">
      <c r="A7450" t="inlineStr">
        <is>
          <t>56I²³</t>
        </is>
      </c>
      <c r="B7450" t="inlineStr"/>
      <c r="C7450" t="inlineStr">
        <is>
          <t>336</t>
        </is>
      </c>
      <c r="D7450" t="inlineStr">
        <is>
          <t>2</t>
        </is>
      </c>
      <c r="E7450" t="inlineStr">
        <is>
          <t>84</t>
        </is>
      </c>
      <c r="F7450" t="inlineStr">
        <is>
          <t>12</t>
        </is>
      </c>
      <c r="G7450" t="inlineStr">
        <is>
          <t>0</t>
        </is>
      </c>
      <c r="H7450" t="inlineStr">
        <is>
          <t>56⁶</t>
        </is>
      </c>
      <c r="I7450" t="n">
        <v>6</v>
      </c>
      <c r="J7450" t="inlineStr">
        <is>
          <t>4², 8², 12⁴, 24⁴</t>
        </is>
      </c>
      <c r="K7450">
        <f>HYPERLINK("CSG10.html#group56C10", "56C¹⁰"), =HYPERLINK("CSG11.html#group56F11", "56F¹¹"), =HYPERLINK("CSG12.html#group56J12", "56J¹²")</f>
        <v/>
      </c>
      <c r="L7450" t="inlineStr"/>
      <c r="M7450">
        <f>HYPERLINK("CSG5.html#group56C5", "56C⁵"), =HYPERLINK("CSG3.html#group56B3", "56B³"), =HYPERLINK("CSG1.html#group14B1", "14B¹"), =HYPERLINK("CSG0.html#group8D0", "8D⁰"), =HYPERLINK("CSG0.html#group4C0", "4C⁰"), =HYPERLINK("CSG0.html#group8B0", "8B⁰"), =HYPERLINK("CSG12.html#group56J12", "56J¹²"), =HYPERLINK("CSG0.html#group2B0", "2B⁰"), =HYPERLINK("CSG0.html#group1A0", "1A⁰"), =HYPERLINK("CSG10.html#group56C10", "56C¹⁰"), =HYPERLINK("CSG0.html#group8H0", "8H⁰"), =HYPERLINK("CSG2.html#group28C2", "28C²"), =HYPERLINK("CSG3.html#group56A3", "56A³"), =HYPERLINK("CSG11.html#group56F11", "56F¹¹"), =HYPERLINK("CSG0.html#group4A0", "4A⁰"), =HYPERLINK("CSG5.html#group28D5", "28D⁵"), =HYPERLINK("CSG0.html#group4F0", "4F⁰"), =HYPERLINK("CSG1.html#group28A1", "28A¹"), =HYPERLINK("CSG0.html#group7A0", "7A⁰"), =HYPERLINK("CSG4.html#group56B4", "56B⁴")</f>
        <v/>
      </c>
      <c r="N7450" t="inlineStr"/>
    </row>
    <row r="7451">
      <c r="A7451" t="inlineStr">
        <is>
          <t>56J²³</t>
        </is>
      </c>
      <c r="B7451" t="inlineStr"/>
      <c r="C7451" t="inlineStr">
        <is>
          <t>336</t>
        </is>
      </c>
      <c r="D7451" t="inlineStr">
        <is>
          <t>2</t>
        </is>
      </c>
      <c r="E7451" t="inlineStr">
        <is>
          <t>84</t>
        </is>
      </c>
      <c r="F7451" t="inlineStr">
        <is>
          <t>12</t>
        </is>
      </c>
      <c r="G7451" t="inlineStr">
        <is>
          <t>0</t>
        </is>
      </c>
      <c r="H7451" t="inlineStr">
        <is>
          <t>56⁶</t>
        </is>
      </c>
      <c r="I7451" t="n">
        <v>6</v>
      </c>
      <c r="J7451" t="inlineStr">
        <is>
          <t>4², 8², 12⁴, 24⁴</t>
        </is>
      </c>
      <c r="K7451">
        <f>HYPERLINK("CSG1.html#group8H1", "8H¹"), =HYPERLINK("CSG10.html#group56C10", "56C¹⁰"), =HYPERLINK("CSG11.html#group56G11", "56G¹¹"), =HYPERLINK("CSG12.html#group56K12", "56K¹²")</f>
        <v/>
      </c>
      <c r="L7451" t="inlineStr"/>
      <c r="M7451">
        <f>HYPERLINK("CSG11.html#group56G11", "56G¹¹"), =HYPERLINK("CSG5.html#group56C5", "56C⁵"), =HYPERLINK("CSG3.html#group56D3", "56D³"), =HYPERLINK("CSG1.html#group14B1", "14B¹"), =HYPERLINK("CSG0.html#group8D0", "8D⁰"), =HYPERLINK("CSG0.html#group4C0", "4C⁰"), =HYPERLINK("CSG0.html#group8B0", "8B⁰"), =HYPERLINK("CSG0.html#group8A0", "8A⁰"), =HYPERLINK("CSG0.html#group2B0", "2B⁰"), =HYPERLINK("CSG0.html#group1A0", "1A⁰"), =HYPERLINK("CSG0.html#group8K0", "8K⁰"), =HYPERLINK("CSG1.html#group8H1", "8H¹"), =HYPERLINK("CSG1.html#group8D1", "8D¹"), =HYPERLINK("CSG10.html#group56C10", "56C¹⁰"), =HYPERLINK("CSG0.html#group8H0", "8H⁰"), =HYPERLINK("CSG2.html#group28C2", "28C²"), =HYPERLINK("CSG0.html#group4A0", "4A⁰"), =HYPERLINK("CSG5.html#group28D5", "28D⁵"), =HYPERLINK("CSG3.html#group56C3", "56C³"), =HYPERLINK("CSG0.html#group4F0", "4F⁰"), =HYPERLINK("CSG1.html#group28A1", "28A¹"), =HYPERLINK("CSG12.html#group56K12", "56K¹²"), =HYPERLINK("CSG0.html#group7A0", "7A⁰"), =HYPERLINK("CSG4.html#group56B4", "56B⁴")</f>
        <v/>
      </c>
      <c r="N7451" t="inlineStr"/>
    </row>
    <row r="7452">
      <c r="A7452" t="inlineStr">
        <is>
          <t>56K²³</t>
        </is>
      </c>
      <c r="B7452" t="inlineStr"/>
      <c r="C7452" t="inlineStr">
        <is>
          <t>336</t>
        </is>
      </c>
      <c r="D7452" t="inlineStr">
        <is>
          <t>2</t>
        </is>
      </c>
      <c r="E7452" t="inlineStr">
        <is>
          <t>84</t>
        </is>
      </c>
      <c r="F7452" t="inlineStr">
        <is>
          <t>12</t>
        </is>
      </c>
      <c r="G7452" t="inlineStr">
        <is>
          <t>0</t>
        </is>
      </c>
      <c r="H7452" t="inlineStr">
        <is>
          <t>56⁶</t>
        </is>
      </c>
      <c r="I7452" t="n">
        <v>6</v>
      </c>
      <c r="J7452" t="inlineStr">
        <is>
          <t>24¹⁴</t>
        </is>
      </c>
      <c r="K7452">
        <f>HYPERLINK("CSG9.html#group28C9", "28C⁹"), =HYPERLINK("CSG11.html#group56H11", "56H¹¹"), =HYPERLINK("CSG11.html#group56J11", "56J¹¹")</f>
        <v/>
      </c>
      <c r="L7452" t="inlineStr"/>
      <c r="M7452">
        <f>HYPERLINK("CSG3.html#group28D3", "28D³"), =HYPERLINK("CSG11.html#group56J11", "56J¹¹"), =HYPERLINK("CSG0.html#group7D0", "7D⁰"), =HYPERLINK("CSG0.html#group4A0", "4A⁰"), =HYPERLINK("CSG0.html#group7C0", "7C⁰"), =HYPERLINK("CSG0.html#group7G0", "7G⁰"), =HYPERLINK("CSG4.html#group28B4", "28B⁴"), =HYPERLINK("CSG1.html#group28A1", "28A¹"), =HYPERLINK("CSG0.html#group1A0", "1A⁰"), =HYPERLINK("CSG9.html#group28C9", "28C⁹"), =HYPERLINK("CSG11.html#group56H11", "56H¹¹"), =HYPERLINK("CSG0.html#group7A0", "7A⁰"), =HYPERLINK("CSG3.html#group56A3", "56A³")</f>
        <v/>
      </c>
      <c r="N7452" t="inlineStr"/>
    </row>
    <row r="7453">
      <c r="A7453" t="inlineStr">
        <is>
          <t>56L²³</t>
        </is>
      </c>
      <c r="B7453" t="inlineStr"/>
      <c r="C7453" t="inlineStr">
        <is>
          <t>336</t>
        </is>
      </c>
      <c r="D7453" t="inlineStr">
        <is>
          <t>2</t>
        </is>
      </c>
      <c r="E7453" t="inlineStr">
        <is>
          <t>84</t>
        </is>
      </c>
      <c r="F7453" t="inlineStr">
        <is>
          <t>12</t>
        </is>
      </c>
      <c r="G7453" t="inlineStr">
        <is>
          <t>0</t>
        </is>
      </c>
      <c r="H7453" t="inlineStr">
        <is>
          <t>56⁶</t>
        </is>
      </c>
      <c r="I7453" t="n">
        <v>6</v>
      </c>
      <c r="J7453" t="inlineStr">
        <is>
          <t>24¹⁴</t>
        </is>
      </c>
      <c r="K7453">
        <f>HYPERLINK("CSG9.html#group28C9", "28C⁹"), =HYPERLINK("CSG11.html#group56H11", "56H¹¹"), =HYPERLINK("CSG11.html#group56K11", "56K¹¹")</f>
        <v/>
      </c>
      <c r="L7453" t="inlineStr"/>
      <c r="M7453">
        <f>HYPERLINK("CSG3.html#group28D3", "28D³"), =HYPERLINK("CSG3.html#group56B3", "56B³"), =HYPERLINK("CSG0.html#group7D0", "7D⁰"), =HYPERLINK("CSG11.html#group56K11", "56K¹¹"), =HYPERLINK("CSG0.html#group4A0", "4A⁰"), =HYPERLINK("CSG0.html#group7C0", "7C⁰"), =HYPERLINK("CSG0.html#group7G0", "7G⁰"), =HYPERLINK("CSG4.html#group28B4", "28B⁴"), =HYPERLINK("CSG1.html#group28A1", "28A¹"), =HYPERLINK("CSG0.html#group1A0", "1A⁰"), =HYPERLINK("CSG9.html#group28C9", "28C⁹"), =HYPERLINK("CSG11.html#group56H11", "56H¹¹"), =HYPERLINK("CSG0.html#group7A0", "7A⁰")</f>
        <v/>
      </c>
      <c r="N7453" t="inlineStr"/>
    </row>
    <row r="7454">
      <c r="A7454" t="inlineStr">
        <is>
          <t>56M²³</t>
        </is>
      </c>
      <c r="B7454" t="inlineStr"/>
      <c r="C7454" t="inlineStr">
        <is>
          <t>336</t>
        </is>
      </c>
      <c r="D7454" t="inlineStr">
        <is>
          <t>2</t>
        </is>
      </c>
      <c r="E7454" t="inlineStr">
        <is>
          <t>84</t>
        </is>
      </c>
      <c r="F7454" t="inlineStr">
        <is>
          <t>12</t>
        </is>
      </c>
      <c r="G7454" t="inlineStr">
        <is>
          <t>0</t>
        </is>
      </c>
      <c r="H7454" t="inlineStr">
        <is>
          <t>56⁶</t>
        </is>
      </c>
      <c r="I7454" t="n">
        <v>6</v>
      </c>
      <c r="J7454" t="inlineStr">
        <is>
          <t>2², 4¹, 6⁴, 8², 12², 24⁴</t>
        </is>
      </c>
      <c r="K7454">
        <f>HYPERLINK("CSG10.html#group56C10", "56C¹⁰")</f>
        <v/>
      </c>
      <c r="L7454" t="inlineStr"/>
      <c r="M7454">
        <f>HYPERLINK("CSG5.html#group56C5", "56C⁵"), =HYPERLINK("CSG1.html#group14B1", "14B¹"), =HYPERLINK("CSG0.html#group8D0", "8D⁰"), =HYPERLINK("CSG0.html#group4C0", "4C⁰"), =HYPERLINK("CSG0.html#group8B0", "8B⁰"), =HYPERLINK("CSG0.html#group2B0", "2B⁰"), =HYPERLINK("CSG0.html#group1A0", "1A⁰"), =HYPERLINK("CSG10.html#group56C10", "56C¹⁰"), =HYPERLINK("CSG0.html#group8H0", "8H⁰"), =HYPERLINK("CSG2.html#group28C2", "28C²"), =HYPERLINK("CSG0.html#group4A0", "4A⁰"), =HYPERLINK("CSG5.html#group28D5", "28D⁵"), =HYPERLINK("CSG0.html#group4F0", "4F⁰"), =HYPERLINK("CSG1.html#group28A1", "28A¹"), =HYPERLINK("CSG0.html#group7A0", "7A⁰"), =HYPERLINK("CSG4.html#group56B4", "56B⁴")</f>
        <v/>
      </c>
      <c r="N7454" t="inlineStr"/>
    </row>
    <row r="7455">
      <c r="A7455" t="inlineStr">
        <is>
          <t>56N²³</t>
        </is>
      </c>
      <c r="B7455" t="inlineStr"/>
      <c r="C7455" t="inlineStr">
        <is>
          <t>336</t>
        </is>
      </c>
      <c r="D7455" t="inlineStr">
        <is>
          <t>2</t>
        </is>
      </c>
      <c r="E7455" t="inlineStr">
        <is>
          <t>84</t>
        </is>
      </c>
      <c r="F7455" t="inlineStr">
        <is>
          <t>12</t>
        </is>
      </c>
      <c r="G7455" t="inlineStr">
        <is>
          <t>0</t>
        </is>
      </c>
      <c r="H7455" t="inlineStr">
        <is>
          <t>56⁶</t>
        </is>
      </c>
      <c r="I7455" t="n">
        <v>6</v>
      </c>
      <c r="J7455" t="inlineStr">
        <is>
          <t>2², 4¹, 6⁴, 8², 12², 24⁴</t>
        </is>
      </c>
      <c r="K7455">
        <f>HYPERLINK("CSG1.html#group8I1", "8I¹"), =HYPERLINK("CSG6.html#group56H6", "56H⁶"), =HYPERLINK("CSG10.html#group56C10", "56C¹⁰")</f>
        <v/>
      </c>
      <c r="L7455" t="inlineStr"/>
      <c r="M7455">
        <f>HYPERLINK("CSG5.html#group56C5", "56C⁵"), =HYPERLINK("CSG1.html#group14B1", "14B¹"), =HYPERLINK("CSG0.html#group8D0", "8D⁰"), =HYPERLINK("CSG0.html#group4C0", "4C⁰"), =HYPERLINK("CSG6.html#group56H6", "56H⁶"), =HYPERLINK("CSG0.html#group8B0", "8B⁰"), =HYPERLINK("CSG0.html#group2B0", "2B⁰"), =HYPERLINK("CSG0.html#group1A0", "1A⁰"), =HYPERLINK("CSG10.html#group56C10", "56C¹⁰"), =HYPERLINK("CSG0.html#group8H0", "8H⁰"), =HYPERLINK("CSG2.html#group28C2", "28C²"), =HYPERLINK("CSG0.html#group8F0", "8F⁰"), =HYPERLINK("CSG0.html#group4A0", "4A⁰"), =HYPERLINK("CSG1.html#group8I1", "8I¹"), =HYPERLINK("CSG5.html#group28D5", "28D⁵"), =HYPERLINK("CSG0.html#group4F0", "4F⁰"), =HYPERLINK("CSG1.html#group28A1", "28A¹"), =HYPERLINK("CSG0.html#group7A0", "7A⁰"), =HYPERLINK("CSG4.html#group56B4", "56B⁴")</f>
        <v/>
      </c>
      <c r="N7455" t="inlineStr"/>
    </row>
    <row r="7456">
      <c r="A7456" t="inlineStr">
        <is>
          <t>56O²³</t>
        </is>
      </c>
      <c r="B7456" t="inlineStr"/>
      <c r="C7456" t="inlineStr">
        <is>
          <t>384</t>
        </is>
      </c>
      <c r="D7456" t="inlineStr">
        <is>
          <t>1</t>
        </is>
      </c>
      <c r="E7456" t="inlineStr">
        <is>
          <t>24</t>
        </is>
      </c>
      <c r="F7456" t="inlineStr">
        <is>
          <t>0</t>
        </is>
      </c>
      <c r="G7456" t="inlineStr">
        <is>
          <t>0</t>
        </is>
      </c>
      <c r="H7456" t="inlineStr">
        <is>
          <t>4⁸, 8², 28⁸, 56²</t>
        </is>
      </c>
      <c r="I7456" t="n">
        <v>20</v>
      </c>
      <c r="J7456" t="inlineStr">
        <is>
          <t>1⁶, 6³</t>
        </is>
      </c>
      <c r="K7456">
        <f>HYPERLINK("CSG11.html#group28E11", "28E¹¹"), =HYPERLINK("CSG11.html#group56Q11", "56Q¹¹")</f>
        <v/>
      </c>
      <c r="L7456" t="inlineStr"/>
      <c r="M7456">
        <f>HYPERLINK("CSG0.html#group2A0", "2A⁰"), =HYPERLINK("CSG2.html#group28D2", "28D²"), =HYPERLINK("CSG0.html#group4C0", "4C⁰"), =HYPERLINK("CSG0.html#group4G0", "4G⁰"), =HYPERLINK("CSG0.html#group2B0", "2B⁰"), =HYPERLINK("CSG0.html#group4E0", "4E⁰"), =HYPERLINK("CSG2.html#group14E2", "14E²"), =HYPERLINK("CSG3.html#group28E3", "28E³"), =HYPERLINK("CSG0.html#group4B0", "4B⁰"), =HYPERLINK("CSG6.html#group28G6", "28G⁶"), =HYPERLINK("CSG0.html#group1A0", "1A⁰"), =HYPERLINK("CSG2.html#group28A2", "28A²"), =HYPERLINK("CSG11.html#group56Q11", "56Q¹¹"), =HYPERLINK("CSG5.html#group28E5", "28E⁵"), =HYPERLINK("CSG11.html#group28E11", "28E¹¹"), =HYPERLINK("CSG0.html#group7B0", "7B⁰"), =HYPERLINK("CSG0.html#group4A0", "4A⁰"), =HYPERLINK("CSG0.html#group4D0", "4D⁰"), =HYPERLINK("CSG1.html#group14C1", "14C¹"), =HYPERLINK("CSG0.html#group14B0", "14B⁰"), =HYPERLINK("CSG0.html#group4F0", "4F⁰"), =HYPERLINK("CSG3.html#group28C3", "28C³"), =HYPERLINK("CSG0.html#group2C0", "2C⁰")</f>
        <v/>
      </c>
      <c r="N7456" t="inlineStr"/>
    </row>
    <row r="7457">
      <c r="A7457" t="inlineStr">
        <is>
          <t>56P²³</t>
        </is>
      </c>
      <c r="B7457" t="inlineStr"/>
      <c r="C7457" t="inlineStr">
        <is>
          <t>384</t>
        </is>
      </c>
      <c r="D7457" t="inlineStr">
        <is>
          <t>1</t>
        </is>
      </c>
      <c r="E7457" t="inlineStr">
        <is>
          <t>24</t>
        </is>
      </c>
      <c r="F7457" t="inlineStr">
        <is>
          <t>0</t>
        </is>
      </c>
      <c r="G7457" t="inlineStr">
        <is>
          <t>0</t>
        </is>
      </c>
      <c r="H7457" t="inlineStr">
        <is>
          <t>4⁸, 8², 28⁸, 56²</t>
        </is>
      </c>
      <c r="I7457" t="n">
        <v>20</v>
      </c>
      <c r="J7457" t="inlineStr">
        <is>
          <t>1⁶, 6³</t>
        </is>
      </c>
      <c r="K7457">
        <f>HYPERLINK("CSG0.html#group8N0", "8N⁰"), =HYPERLINK("CSG11.html#group28E11", "28E¹¹"), =HYPERLINK("CSG11.html#group56R11", "56R¹¹"), =HYPERLINK("CSG12.html#group56L12", "56L¹²")</f>
        <v/>
      </c>
      <c r="L7457" t="inlineStr"/>
      <c r="M7457">
        <f>HYPERLINK("CSG0.html#group2A0", "2A⁰"), =HYPERLINK("CSG0.html#group8N0", "8N⁰"), =HYPERLINK("CSG0.html#group4C0", "4C⁰"), =HYPERLINK("CSG12.html#group56L12", "56L¹²"), =HYPERLINK("CSG2.html#group28D2", "28D²"), =HYPERLINK("CSG0.html#group4G0", "4G⁰"), =HYPERLINK("CSG0.html#group2B0", "2B⁰"), =HYPERLINK("CSG0.html#group4E0", "4E⁰"), =HYPERLINK("CSG2.html#group14E2", "14E²"), =HYPERLINK("CSG6.html#group28G6", "28G⁶"), =HYPERLINK("CSG0.html#group4B0", "4B⁰"), =HYPERLINK("CSG3.html#group28E3", "28E³"), =HYPERLINK("CSG0.html#group8K0", "8K⁰"), =HYPERLINK("CSG0.html#group1A0", "1A⁰"), =HYPERLINK("CSG2.html#group28A2", "28A²"), =HYPERLINK("CSG5.html#group28E5", "28E⁵"), =HYPERLINK("CSG11.html#group28E11", "28E¹¹"), =HYPERLINK("CSG0.html#group4A0", "4A⁰"), =HYPERLINK("CSG0.html#group7B0", "7B⁰"), =HYPERLINK("CSG0.html#group4D0", "4D⁰"), =HYPERLINK("CSG1.html#group14C1", "14C¹"), =HYPERLINK("CSG0.html#group14B0", "14B⁰"), =HYPERLINK("CSG11.html#group56R11", "56R¹¹"), =HYPERLINK("CSG0.html#group4F0", "4F⁰"), =HYPERLINK("CSG3.html#group28C3", "28C³"), =HYPERLINK("CSG0.html#group8J0", "8J⁰"), =HYPERLINK("CSG0.html#group2C0", "2C⁰")</f>
        <v/>
      </c>
      <c r="N7457" t="inlineStr"/>
    </row>
    <row r="7458">
      <c r="A7458" t="inlineStr">
        <is>
          <t>56Q²³</t>
        </is>
      </c>
      <c r="B7458" t="inlineStr"/>
      <c r="C7458" t="inlineStr">
        <is>
          <t>384</t>
        </is>
      </c>
      <c r="D7458" t="inlineStr">
        <is>
          <t>1</t>
        </is>
      </c>
      <c r="E7458" t="inlineStr">
        <is>
          <t>48</t>
        </is>
      </c>
      <c r="F7458" t="inlineStr">
        <is>
          <t>0</t>
        </is>
      </c>
      <c r="G7458" t="inlineStr">
        <is>
          <t>0</t>
        </is>
      </c>
      <c r="H7458" t="inlineStr">
        <is>
          <t>2⁴, 4², 8⁴, 14⁴, 28², 56⁴</t>
        </is>
      </c>
      <c r="I7458" t="n">
        <v>20</v>
      </c>
      <c r="J7458" t="inlineStr">
        <is>
          <t>1⁸, 2², 6⁴, 12¹</t>
        </is>
      </c>
      <c r="K7458">
        <f>HYPERLINK("CSG11.html#group56M11", "56M¹¹"), =HYPERLINK("CSG11.html#group56O11", "56O¹¹"), =HYPERLINK("CSG11.html#group56Q11", "56Q¹¹")</f>
        <v/>
      </c>
      <c r="L7458" t="inlineStr"/>
      <c r="M7458">
        <f>HYPERLINK("CSG0.html#group2A0", "2A⁰"), =HYPERLINK("CSG0.html#group8D0", "8D⁰"), =HYPERLINK("CSG2.html#group28D2", "28D²"), =HYPERLINK("CSG0.html#group4C0", "4C⁰"), =HYPERLINK("CSG11.html#group56O11", "56O¹¹"), =HYPERLINK("CSG0.html#group8C0", "8C⁰"), =HYPERLINK("CSG0.html#group2B0", "2B⁰"), =HYPERLINK("CSG0.html#group4E0", "4E⁰"), =HYPERLINK("CSG2.html#group14E2", "14E²"), =HYPERLINK("CSG0.html#group4B0", "4B⁰"), =HYPERLINK("CSG5.html#group56D5", "56D⁵"), =HYPERLINK("CSG0.html#group1A0", "1A⁰"), =HYPERLINK("CSG11.html#group56M11", "56M¹¹"), =HYPERLINK("CSG11.html#group56Q11", "56Q¹¹"), =HYPERLINK("CSG5.html#group28E5", "28E⁵"), =HYPERLINK("CSG0.html#group8G0", "8G⁰"), =HYPERLINK("CSG0.html#group7B0", "7B⁰"), =HYPERLINK("CSG1.html#group14C1", "14C¹"), =HYPERLINK("CSG0.html#group14B0", "14B⁰"), =HYPERLINK("CSG3.html#group28C3", "28C³"), =HYPERLINK("CSG6.html#group56E6", "56E⁶"), =HYPERLINK("CSG0.html#group2C0", "2C⁰")</f>
        <v/>
      </c>
      <c r="N7458" t="inlineStr"/>
    </row>
    <row r="7459">
      <c r="A7459" t="inlineStr">
        <is>
          <t>56R²³</t>
        </is>
      </c>
      <c r="B7459" t="inlineStr"/>
      <c r="C7459" t="inlineStr">
        <is>
          <t>384</t>
        </is>
      </c>
      <c r="D7459" t="inlineStr">
        <is>
          <t>1</t>
        </is>
      </c>
      <c r="E7459" t="inlineStr">
        <is>
          <t>48</t>
        </is>
      </c>
      <c r="F7459" t="inlineStr">
        <is>
          <t>0</t>
        </is>
      </c>
      <c r="G7459" t="inlineStr">
        <is>
          <t>0</t>
        </is>
      </c>
      <c r="H7459" t="inlineStr">
        <is>
          <t>2⁴, 4², 8⁴, 14⁴, 28², 56⁴</t>
        </is>
      </c>
      <c r="I7459" t="n">
        <v>20</v>
      </c>
      <c r="J7459" t="inlineStr">
        <is>
          <t>1⁸, 2², 6⁴, 12¹</t>
        </is>
      </c>
      <c r="K7459">
        <f>HYPERLINK("CSG0.html#group8O0", "8O⁰"), =HYPERLINK("CSG11.html#group56M11", "56M¹¹"), =HYPERLINK("CSG11.html#group56P11", "56P¹¹"), =HYPERLINK("CSG11.html#group56R11", "56R¹¹")</f>
        <v/>
      </c>
      <c r="L7459" t="inlineStr"/>
      <c r="M7459">
        <f>HYPERLINK("CSG0.html#group2A0", "2A⁰"), =HYPERLINK("CSG3.html#group28C3", "28C³"), =HYPERLINK("CSG0.html#group8D0", "8D⁰"), =HYPERLINK("CSG2.html#group28D2", "28D²"), =HYPERLINK("CSG0.html#group4C0", "4C⁰"), =HYPERLINK("CSG0.html#group8C0", "8C⁰"), =HYPERLINK("CSG0.html#group2B0", "2B⁰"), =HYPERLINK("CSG0.html#group8I0", "8I⁰"), =HYPERLINK("CSG0.html#group4E0", "4E⁰"), =HYPERLINK("CSG0.html#group4B0", "4B⁰"), =HYPERLINK("CSG5.html#group56D5", "56D⁵"), =HYPERLINK("CSG0.html#group1A0", "1A⁰"), =HYPERLINK("CSG2.html#group14E2", "14E²"), =HYPERLINK("CSG11.html#group56M11", "56M¹¹"), =HYPERLINK("CSG5.html#group28E5", "28E⁵"), =HYPERLINK("CSG0.html#group8G0", "8G⁰"), =HYPERLINK("CSG0.html#group7B0", "7B⁰"), =HYPERLINK("CSG6.html#group56E6", "56E⁶"), =HYPERLINK("CSG1.html#group14C1", "14C¹"), =HYPERLINK("CSG0.html#group14B0", "14B⁰"), =HYPERLINK("CSG11.html#group56R11", "56R¹¹"), =HYPERLINK("CSG11.html#group56P11", "56P¹¹"), =HYPERLINK("CSG0.html#group8J0", "8J⁰"), =HYPERLINK("CSG0.html#group2C0", "2C⁰"), =HYPERLINK("CSG0.html#group8O0", "8O⁰")</f>
        <v/>
      </c>
      <c r="N7459" t="inlineStr"/>
    </row>
    <row r="7460">
      <c r="A7460" t="inlineStr">
        <is>
          <t>56S²³</t>
        </is>
      </c>
      <c r="B7460" t="inlineStr"/>
      <c r="C7460" t="inlineStr">
        <is>
          <t>384</t>
        </is>
      </c>
      <c r="D7460" t="inlineStr">
        <is>
          <t>1</t>
        </is>
      </c>
      <c r="E7460" t="inlineStr">
        <is>
          <t>64</t>
        </is>
      </c>
      <c r="F7460" t="inlineStr">
        <is>
          <t>0</t>
        </is>
      </c>
      <c r="G7460" t="inlineStr">
        <is>
          <t>12</t>
        </is>
      </c>
      <c r="H7460" t="inlineStr">
        <is>
          <t>8⁶, 56⁶</t>
        </is>
      </c>
      <c r="I7460" t="n">
        <v>12</v>
      </c>
      <c r="J7460" t="inlineStr">
        <is>
          <t>2⁸, 12⁴</t>
        </is>
      </c>
      <c r="K7460">
        <f>HYPERLINK("CSG7.html#group56F7", "56F⁷"), =HYPERLINK("CSG9.html#group28G9", "28G⁹")</f>
        <v/>
      </c>
      <c r="L7460" t="inlineStr"/>
      <c r="M7460">
        <f>HYPERLINK("CSG9.html#group28G9", "28G⁹"), =HYPERLINK("CSG0.html#group2A0", "2A⁰"), =HYPERLINK("CSG7.html#group56F7", "56F⁷"), =HYPERLINK("CSG0.html#group4A0", "4A⁰"), =HYPERLINK("CSG0.html#group4D0", "4D⁰"), =HYPERLINK("CSG0.html#group7B0", "7B⁰"), =HYPERLINK("CSG0.html#group14B0", "14B⁰"), =HYPERLINK("CSG3.html#group28E3", "28E³"), =HYPERLINK("CSG0.html#group14C0", "14C⁰"), =HYPERLINK("CSG0.html#group1A0", "1A⁰"), =HYPERLINK("CSG2.html#group28A2", "28A²")</f>
        <v/>
      </c>
      <c r="N7460" t="inlineStr"/>
    </row>
    <row r="7461">
      <c r="A7461" t="inlineStr">
        <is>
          <t>56T²³</t>
        </is>
      </c>
      <c r="B7461" t="inlineStr"/>
      <c r="C7461" t="inlineStr">
        <is>
          <t>384</t>
        </is>
      </c>
      <c r="D7461" t="inlineStr">
        <is>
          <t>1</t>
        </is>
      </c>
      <c r="E7461" t="inlineStr">
        <is>
          <t>64</t>
        </is>
      </c>
      <c r="F7461" t="inlineStr">
        <is>
          <t>0</t>
        </is>
      </c>
      <c r="G7461" t="inlineStr">
        <is>
          <t>12</t>
        </is>
      </c>
      <c r="H7461" t="inlineStr">
        <is>
          <t>8⁶, 56⁶</t>
        </is>
      </c>
      <c r="I7461" t="n">
        <v>12</v>
      </c>
      <c r="J7461" t="inlineStr">
        <is>
          <t>2⁸, 12⁴</t>
        </is>
      </c>
      <c r="K7461">
        <f>HYPERLINK("CSG7.html#group56G7", "56G⁷"), =HYPERLINK("CSG9.html#group28G9", "28G⁹")</f>
        <v/>
      </c>
      <c r="L7461" t="inlineStr"/>
      <c r="M7461">
        <f>HYPERLINK("CSG7.html#group56G7", "56G⁷"), =HYPERLINK("CSG9.html#group28G9", "28G⁹"), =HYPERLINK("CSG4.html#group56A4", "56A⁴"), =HYPERLINK("CSG0.html#group2A0", "2A⁰"), =HYPERLINK("CSG0.html#group7B0", "7B⁰"), =HYPERLINK("CSG0.html#group4A0", "4A⁰"), =HYPERLINK("CSG0.html#group4D0", "4D⁰"), =HYPERLINK("CSG0.html#group14B0", "14B⁰"), =HYPERLINK("CSG0.html#group8A0", "8A⁰"), =HYPERLINK("CSG0.html#group8E0", "8E⁰"), =HYPERLINK("CSG3.html#group28E3", "28E³"), =HYPERLINK("CSG0.html#group14C0", "14C⁰"), =HYPERLINK("CSG0.html#group1A0", "1A⁰"), =HYPERLINK("CSG2.html#group28A2", "28A²")</f>
        <v/>
      </c>
      <c r="N7461" t="inlineStr"/>
    </row>
    <row r="7462">
      <c r="A7462" t="inlineStr">
        <is>
          <t>56U²³</t>
        </is>
      </c>
      <c r="B7462" t="inlineStr"/>
      <c r="C7462" t="inlineStr">
        <is>
          <t>384</t>
        </is>
      </c>
      <c r="D7462" t="inlineStr">
        <is>
          <t>1</t>
        </is>
      </c>
      <c r="E7462" t="inlineStr">
        <is>
          <t>96</t>
        </is>
      </c>
      <c r="F7462" t="inlineStr">
        <is>
          <t>0</t>
        </is>
      </c>
      <c r="G7462" t="inlineStr">
        <is>
          <t>0</t>
        </is>
      </c>
      <c r="H7462" t="inlineStr">
        <is>
          <t>2⁴, 4², 8⁴, 14⁴, 28², 56⁴</t>
        </is>
      </c>
      <c r="I7462" t="n">
        <v>20</v>
      </c>
      <c r="J7462" t="inlineStr">
        <is>
          <t>1⁸, 2⁴, 4², 6⁴, 12², 24¹</t>
        </is>
      </c>
      <c r="K7462">
        <f>HYPERLINK("CSG11.html#group56N11", "56N¹¹"), =HYPERLINK("CSG11.html#group56O11", "56O¹¹"), =HYPERLINK("CSG11.html#group56P11", "56P¹¹")</f>
        <v/>
      </c>
      <c r="L7462" t="inlineStr"/>
      <c r="M7462">
        <f>HYPERLINK("CSG4.html#group28E4", "28E⁴"), =HYPERLINK("CSG6.html#group56D6", "56D⁶"), =HYPERLINK("CSG0.html#group4B0", "4B⁰"), =HYPERLINK("CSG0.html#group7B0", "7B⁰"), =HYPERLINK("CSG2.html#group28D2", "28D²"), =HYPERLINK("CSG1.html#group14C1", "14C¹"), =HYPERLINK("CSG11.html#group56O11", "56O¹¹"), =HYPERLINK("CSG0.html#group1A0", "1A⁰"), =HYPERLINK("CSG0.html#group8C0", "8C⁰"), =HYPERLINK("CSG0.html#group2B0", "2B⁰"), =HYPERLINK("CSG0.html#group8I0", "8I⁰"), =HYPERLINK("CSG11.html#group56P11", "56P¹¹"), =HYPERLINK("CSG11.html#group56N11", "56N¹¹"), =HYPERLINK("CSG5.html#group56D5", "56D⁵")</f>
        <v/>
      </c>
      <c r="N7462" t="inlineStr"/>
    </row>
    <row r="7463">
      <c r="A7463" t="inlineStr">
        <is>
          <t>56V²³</t>
        </is>
      </c>
      <c r="B7463" t="inlineStr"/>
      <c r="C7463" t="inlineStr">
        <is>
          <t>384</t>
        </is>
      </c>
      <c r="D7463" t="inlineStr">
        <is>
          <t>1</t>
        </is>
      </c>
      <c r="E7463" t="inlineStr">
        <is>
          <t>96</t>
        </is>
      </c>
      <c r="F7463" t="inlineStr">
        <is>
          <t>0</t>
        </is>
      </c>
      <c r="G7463" t="inlineStr">
        <is>
          <t>0</t>
        </is>
      </c>
      <c r="H7463" t="inlineStr">
        <is>
          <t>2⁴, 4², 8⁴, 14⁴, 28², 56⁴</t>
        </is>
      </c>
      <c r="I7463" t="n">
        <v>20</v>
      </c>
      <c r="J7463" t="inlineStr">
        <is>
          <t>1¹⁶, 2⁴, 6⁸, 12²</t>
        </is>
      </c>
      <c r="K7463">
        <f>HYPERLINK("CSG11.html#group56L11", "56L¹¹"), =HYPERLINK("CSG11.html#group56Q11", "56Q¹¹"), =HYPERLINK("CSG11.html#group56R11", "56R¹¹")</f>
        <v/>
      </c>
      <c r="L7463" t="inlineStr"/>
      <c r="M7463">
        <f>HYPERLINK("CSG0.html#group2A0", "2A⁰"), =HYPERLINK("CSG2.html#group28D2", "28D²"), =HYPERLINK("CSG0.html#group4C0", "4C⁰"), =HYPERLINK("CSG11.html#group56L11", "56L¹¹"), =HYPERLINK("CSG0.html#group2B0", "2B⁰"), =HYPERLINK("CSG0.html#group4E0", "4E⁰"), =HYPERLINK("CSG2.html#group14E2", "14E²"), =HYPERLINK("CSG0.html#group4B0", "4B⁰"), =HYPERLINK("CSG0.html#group1A0", "1A⁰"), =HYPERLINK("CSG11.html#group56Q11", "56Q¹¹"), =HYPERLINK("CSG5.html#group28E5", "28E⁵"), =HYPERLINK("CSG4.html#group56C4", "56C⁴"), =HYPERLINK("CSG6.html#group56D6", "56D⁶"), =HYPERLINK("CSG0.html#group7B0", "7B⁰"), =HYPERLINK("CSG1.html#group14C1", "14C¹"), =HYPERLINK("CSG0.html#group14B0", "14B⁰"), =HYPERLINK("CSG11.html#group56R11", "56R¹¹"), =HYPERLINK("CSG3.html#group28C3", "28C³"), =HYPERLINK("CSG0.html#group8J0", "8J⁰"), =HYPERLINK("CSG0.html#group2C0", "2C⁰")</f>
        <v/>
      </c>
      <c r="N7463" t="inlineStr"/>
    </row>
    <row r="7464">
      <c r="A7464" t="inlineStr">
        <is>
          <t>56W²³</t>
        </is>
      </c>
      <c r="B7464" t="inlineStr"/>
      <c r="C7464" t="inlineStr">
        <is>
          <t>384</t>
        </is>
      </c>
      <c r="D7464" t="inlineStr">
        <is>
          <t>1</t>
        </is>
      </c>
      <c r="E7464" t="inlineStr">
        <is>
          <t>96</t>
        </is>
      </c>
      <c r="F7464" t="inlineStr">
        <is>
          <t>0</t>
        </is>
      </c>
      <c r="G7464" t="inlineStr">
        <is>
          <t>0</t>
        </is>
      </c>
      <c r="H7464" t="inlineStr">
        <is>
          <t>4⁸, 8², 28⁸, 56²</t>
        </is>
      </c>
      <c r="I7464" t="n">
        <v>20</v>
      </c>
      <c r="J7464" t="inlineStr">
        <is>
          <t>1¹⁶, 2⁴, 6⁸, 12²</t>
        </is>
      </c>
      <c r="K7464">
        <f>HYPERLINK("CSG11.html#group28F11", "28F¹¹"), =HYPERLINK("CSG11.html#group56Q11", "56Q¹¹"), =HYPERLINK("CSG11.html#group56R11", "56R¹¹")</f>
        <v/>
      </c>
      <c r="L7464" t="inlineStr"/>
      <c r="M7464">
        <f>HYPERLINK("CSG0.html#group2A0", "2A⁰"), =HYPERLINK("CSG0.html#group28A0", "28A⁰"), =HYPERLINK("CSG11.html#group28F11", "28F¹¹"), =HYPERLINK("CSG2.html#group28D2", "28D²"), =HYPERLINK("CSG0.html#group4C0", "4C⁰"), =HYPERLINK("CSG0.html#group2B0", "2B⁰"), =HYPERLINK("CSG0.html#group4E0", "4E⁰"), =HYPERLINK("CSG2.html#group14E2", "14E²"), =HYPERLINK("CSG6.html#group28E6", "28E⁶"), =HYPERLINK("CSG0.html#group4B0", "4B⁰"), =HYPERLINK("CSG0.html#group1A0", "1A⁰"), =HYPERLINK("CSG4.html#group28D4", "28D⁴"), =HYPERLINK("CSG11.html#group56Q11", "56Q¹¹"), =HYPERLINK("CSG5.html#group28E5", "28E⁵"), =HYPERLINK("CSG0.html#group7B0", "7B⁰"), =HYPERLINK("CSG1.html#group14C1", "14C¹"), =HYPERLINK("CSG0.html#group14B0", "14B⁰"), =HYPERLINK("CSG11.html#group56R11", "56R¹¹"), =HYPERLINK("CSG3.html#group28C3", "28C³"), =HYPERLINK("CSG0.html#group8J0", "8J⁰"), =HYPERLINK("CSG0.html#group2C0", "2C⁰")</f>
        <v/>
      </c>
      <c r="N7464" t="inlineStr"/>
    </row>
    <row r="7465">
      <c r="A7465" t="inlineStr">
        <is>
          <t>60A²³</t>
        </is>
      </c>
      <c r="B7465" t="inlineStr"/>
      <c r="C7465" t="inlineStr">
        <is>
          <t>320</t>
        </is>
      </c>
      <c r="D7465" t="inlineStr">
        <is>
          <t>1</t>
        </is>
      </c>
      <c r="E7465" t="inlineStr">
        <is>
          <t>160</t>
        </is>
      </c>
      <c r="F7465" t="inlineStr">
        <is>
          <t>0</t>
        </is>
      </c>
      <c r="G7465" t="inlineStr">
        <is>
          <t>2</t>
        </is>
      </c>
      <c r="H7465" t="inlineStr">
        <is>
          <t>20⁴, 60⁴</t>
        </is>
      </c>
      <c r="I7465" t="n">
        <v>8</v>
      </c>
      <c r="J7465" t="inlineStr">
        <is>
          <t>4⁴, 8¹⁰, 16⁴</t>
        </is>
      </c>
      <c r="K7465">
        <f>HYPERLINK("CSG3.html#group20O3", "20O³"), =HYPERLINK("CSG5.html#group30I5", "30I⁵"), =HYPERLINK("CSG12.html#group60A12", "60A¹²")</f>
        <v/>
      </c>
      <c r="L7465" t="inlineStr"/>
      <c r="M7465">
        <f>HYPERLINK("CSG0.html#group3B0", "3B⁰"), =HYPERLINK("CSG3.html#group20O3", "20O³"), =HYPERLINK("CSG0.html#group4A0", "4A⁰"), =HYPERLINK("CSG0.html#group10D0", "10D⁰"), =HYPERLINK("CSG1.html#group12A1", "12A¹"), =HYPERLINK("CSG0.html#group5C0", "5C⁰"), =HYPERLINK("CSG0.html#group1A0", "1A⁰"), =HYPERLINK("CSG12.html#group60A12", "60A¹²"), =HYPERLINK("CSG2.html#group15C2", "15C²"), =HYPERLINK("CSG5.html#group30I5", "30I⁵"), =HYPERLINK("CSG2.html#group20E2", "20E²")</f>
        <v/>
      </c>
      <c r="N7465" t="inlineStr"/>
    </row>
    <row r="7466">
      <c r="A7466" t="inlineStr">
        <is>
          <t>60B²³</t>
        </is>
      </c>
      <c r="B7466" t="inlineStr"/>
      <c r="C7466" t="inlineStr">
        <is>
          <t>320</t>
        </is>
      </c>
      <c r="D7466" t="inlineStr">
        <is>
          <t>1</t>
        </is>
      </c>
      <c r="E7466" t="inlineStr">
        <is>
          <t>160</t>
        </is>
      </c>
      <c r="F7466" t="inlineStr">
        <is>
          <t>0</t>
        </is>
      </c>
      <c r="G7466" t="inlineStr">
        <is>
          <t>2</t>
        </is>
      </c>
      <c r="H7466" t="inlineStr">
        <is>
          <t>20⁴, 60⁴</t>
        </is>
      </c>
      <c r="I7466" t="n">
        <v>8</v>
      </c>
      <c r="J7466" t="inlineStr">
        <is>
          <t>4⁴, 8¹⁰, 16⁴</t>
        </is>
      </c>
      <c r="K7466">
        <f>HYPERLINK("CSG1.html#group12I1", "12I¹"), =HYPERLINK("CSG5.html#group20A5", "20A⁵"), =HYPERLINK("CSG5.html#group30J5", "30J⁵"), =HYPERLINK("CSG12.html#group60A12", "60A¹²")</f>
        <v/>
      </c>
      <c r="L7466" t="inlineStr"/>
      <c r="M7466">
        <f>HYPERLINK("CSG5.html#group30J5", "30J⁵"), =HYPERLINK("CSG0.html#group2A0", "2A⁰"), =HYPERLINK("CSG0.html#group3B0", "3B⁰"), =HYPERLINK("CSG1.html#group12I1", "12I¹"), =HYPERLINK("CSG0.html#group6C0", "6C⁰"), =HYPERLINK("CSG12.html#group60A12", "60A¹²"), =HYPERLINK("CSG5.html#group20A5", "20A⁵"), =HYPERLINK("CSG0.html#group1A0", "1A⁰"), =HYPERLINK("CSG0.html#group4A0", "4A⁰"), =HYPERLINK("CSG0.html#group4D0", "4D⁰"), =HYPERLINK("CSG1.html#group12A1", "12A¹"), =HYPERLINK("CSG1.html#group10C1", "10C¹"), =HYPERLINK("CSG2.html#group15C2", "15C²"), =HYPERLINK("CSG0.html#group5C0", "5C⁰"), =HYPERLINK("CSG2.html#group20E2", "20E²")</f>
        <v/>
      </c>
      <c r="N7466" t="inlineStr"/>
    </row>
    <row r="7467">
      <c r="A7467" t="inlineStr">
        <is>
          <t>60C²³</t>
        </is>
      </c>
      <c r="B7467" t="inlineStr"/>
      <c r="C7467" t="inlineStr">
        <is>
          <t>320</t>
        </is>
      </c>
      <c r="D7467" t="inlineStr">
        <is>
          <t>1</t>
        </is>
      </c>
      <c r="E7467" t="inlineStr">
        <is>
          <t>160</t>
        </is>
      </c>
      <c r="F7467" t="inlineStr">
        <is>
          <t>0</t>
        </is>
      </c>
      <c r="G7467" t="inlineStr">
        <is>
          <t>2</t>
        </is>
      </c>
      <c r="H7467" t="inlineStr">
        <is>
          <t>20⁴, 60⁴</t>
        </is>
      </c>
      <c r="I7467" t="n">
        <v>8</v>
      </c>
      <c r="J7467" t="inlineStr">
        <is>
          <t>4⁴, 8¹⁰, 16⁴</t>
        </is>
      </c>
      <c r="K7467">
        <f>HYPERLINK("CSG3.html#group15G3", "15G³"), =HYPERLINK("CSG5.html#group20B5", "20B⁵"), =HYPERLINK("CSG6.html#group60A6", "60A⁶"), =HYPERLINK("CSG12.html#group60A12", "60A¹²")</f>
        <v/>
      </c>
      <c r="L7467" t="inlineStr"/>
      <c r="M7467">
        <f>HYPERLINK("CSG0.html#group3B0", "3B⁰"), =HYPERLINK("CSG0.html#group5A0", "5A⁰"), =HYPERLINK("CSG5.html#group20B5", "20B⁵"), =HYPERLINK("CSG1.html#group20A1", "20A¹"), =HYPERLINK("CSG0.html#group5F0", "5F⁰"), =HYPERLINK("CSG12.html#group60A12", "60A¹²"), =HYPERLINK("CSG6.html#group60A6", "60A⁶"), =HYPERLINK("CSG0.html#group1A0", "1A⁰"), =HYPERLINK("CSG0.html#group4A0", "4A⁰"), =HYPERLINK("CSG1.html#group12A1", "12A¹"), =HYPERLINK("CSG3.html#group15G3", "15G³"), =HYPERLINK("CSG1.html#group15B1", "15B¹"), =HYPERLINK("CSG2.html#group15C2", "15C²"), =HYPERLINK("CSG0.html#group5C0", "5C⁰"), =HYPERLINK("CSG2.html#group20E2", "20E²")</f>
        <v/>
      </c>
      <c r="N7467" t="inlineStr"/>
    </row>
    <row r="7468">
      <c r="A7468" t="inlineStr">
        <is>
          <t>60D²³</t>
        </is>
      </c>
      <c r="B7468" t="inlineStr"/>
      <c r="C7468" t="inlineStr">
        <is>
          <t>360</t>
        </is>
      </c>
      <c r="D7468" t="inlineStr">
        <is>
          <t>1</t>
        </is>
      </c>
      <c r="E7468" t="inlineStr">
        <is>
          <t>90</t>
        </is>
      </c>
      <c r="F7468" t="inlineStr">
        <is>
          <t>8</t>
        </is>
      </c>
      <c r="G7468" t="inlineStr">
        <is>
          <t>0</t>
        </is>
      </c>
      <c r="H7468" t="inlineStr">
        <is>
          <t>15⁸, 60⁴</t>
        </is>
      </c>
      <c r="I7468" t="n">
        <v>12</v>
      </c>
      <c r="J7468" t="inlineStr">
        <is>
          <t>2³, 4⁹, 8⁶</t>
        </is>
      </c>
      <c r="K7468">
        <f>HYPERLINK("CSG0.html#group12G0", "12G⁰"), =HYPERLINK("CSG11.html#group30C11", "30C¹¹"), =HYPERLINK("CSG11.html#group60M11", "60M¹¹")</f>
        <v/>
      </c>
      <c r="L7468" t="inlineStr"/>
      <c r="M7468">
        <f>HYPERLINK("CSG5.html#group30K5", "30K⁵"), =HYPERLINK("CSG11.html#group30C11", "30C¹¹"), =HYPERLINK("CSG1.html#group15D1", "15D¹"), =HYPERLINK("CSG0.html#group12G0", "12G⁰"), =HYPERLINK("CSG11.html#group60M11", "60M¹¹"), =HYPERLINK("CSG0.html#group5C0", "5C⁰"), =HYPERLINK("CSG0.html#group6G0", "6G⁰"), =HYPERLINK("CSG0.html#group3C0", "3C⁰"), =HYPERLINK("CSG0.html#group2B0", "2B⁰"), =HYPERLINK("CSG0.html#group12D0", "12D⁰"), =HYPERLINK("CSG3.html#group15C3", "15C³"), =HYPERLINK("CSG0.html#group3A0", "3A⁰"), =HYPERLINK("CSG0.html#group1A0", "1A⁰"), =HYPERLINK("CSG0.html#group6D0", "6D⁰"), =HYPERLINK("CSG1.html#group10F1", "10F¹")</f>
        <v/>
      </c>
      <c r="N7468" t="inlineStr"/>
    </row>
    <row r="7469">
      <c r="A7469" t="inlineStr">
        <is>
          <t>60E²³</t>
        </is>
      </c>
      <c r="B7469" t="inlineStr"/>
      <c r="C7469" t="inlineStr">
        <is>
          <t>360</t>
        </is>
      </c>
      <c r="D7469" t="inlineStr">
        <is>
          <t>1</t>
        </is>
      </c>
      <c r="E7469" t="inlineStr">
        <is>
          <t>90</t>
        </is>
      </c>
      <c r="F7469" t="inlineStr">
        <is>
          <t>8</t>
        </is>
      </c>
      <c r="G7469" t="inlineStr">
        <is>
          <t>0</t>
        </is>
      </c>
      <c r="H7469" t="inlineStr">
        <is>
          <t>15⁸, 60⁴</t>
        </is>
      </c>
      <c r="I7469" t="n">
        <v>12</v>
      </c>
      <c r="J7469" t="inlineStr">
        <is>
          <t>2³, 4⁹, 8⁶</t>
        </is>
      </c>
      <c r="K7469">
        <f>HYPERLINK("CSG10.html#group60C10", "60C¹⁰"), =HYPERLINK("CSG11.html#group30C11", "30C¹¹"), =HYPERLINK("CSG12.html#group60D12", "60D¹²")</f>
        <v/>
      </c>
      <c r="L7469" t="inlineStr"/>
      <c r="M7469">
        <f>HYPERLINK("CSG0.html#group6G0", "6G⁰"), =HYPERLINK("CSG0.html#group2B0", "2B⁰"), =HYPERLINK("CSG3.html#group15C3", "15C³"), =HYPERLINK("CSG2.html#group20F2", "20F²"), =HYPERLINK("CSG0.html#group1A0", "1A⁰"), =HYPERLINK("CSG12.html#group60D12", "60D¹²"), =HYPERLINK("CSG1.html#group10F1", "10F¹"), =HYPERLINK("CSG5.html#group30K5", "30K⁵"), =HYPERLINK("CSG11.html#group30C11", "30C¹¹"), =HYPERLINK("CSG1.html#group15D1", "15D¹"), =HYPERLINK("CSG0.html#group3C0", "3C⁰"), =HYPERLINK("CSG0.html#group3A0", "3A⁰"), =HYPERLINK("CSG10.html#group60C10", "60C¹⁰"), =HYPERLINK("CSG0.html#group5C0", "5C⁰"), =HYPERLINK("CSG0.html#group6D0", "6D⁰")</f>
        <v/>
      </c>
      <c r="N7469" t="inlineStr"/>
    </row>
    <row r="7470">
      <c r="A7470" t="inlineStr">
        <is>
          <t>60F²³</t>
        </is>
      </c>
      <c r="B7470" t="inlineStr"/>
      <c r="C7470" t="inlineStr">
        <is>
          <t>360</t>
        </is>
      </c>
      <c r="D7470" t="inlineStr">
        <is>
          <t>1</t>
        </is>
      </c>
      <c r="E7470" t="inlineStr">
        <is>
          <t>90</t>
        </is>
      </c>
      <c r="F7470" t="inlineStr">
        <is>
          <t>16</t>
        </is>
      </c>
      <c r="G7470" t="inlineStr">
        <is>
          <t>0</t>
        </is>
      </c>
      <c r="H7470" t="inlineStr">
        <is>
          <t>30⁴, 60⁴</t>
        </is>
      </c>
      <c r="I7470" t="n">
        <v>8</v>
      </c>
      <c r="J7470" t="inlineStr">
        <is>
          <t>2³, 4⁹, 8⁶</t>
        </is>
      </c>
      <c r="K7470">
        <f>HYPERLINK("CSG10.html#group30C10", "30C¹⁰"), =HYPERLINK("CSG11.html#group60M11", "60M¹¹"), =HYPERLINK("CSG12.html#group60E12", "60E¹²")</f>
        <v/>
      </c>
      <c r="L7470" t="inlineStr"/>
      <c r="M7470">
        <f>HYPERLINK("CSG11.html#group60M11", "60M¹¹"), =HYPERLINK("CSG0.html#group10D0", "10D⁰"), =HYPERLINK("CSG0.html#group2B0", "2B⁰"), =HYPERLINK("CSG0.html#group1A0", "1A⁰"), =HYPERLINK("CSG10.html#group30C10", "30C¹⁰"), =HYPERLINK("CSG2.html#group30F2", "30F²"), =HYPERLINK("CSG1.html#group10F1", "10F¹"), =HYPERLINK("CSG5.html#group30K5", "30K⁵"), =HYPERLINK("CSG1.html#group15D1", "15D¹"), =HYPERLINK("CSG2.html#group10E2", "10E²"), =HYPERLINK("CSG12.html#group60E12", "60E¹²"), =HYPERLINK("CSG0.html#group12D0", "12D⁰"), =HYPERLINK("CSG0.html#group3A0", "3A⁰"), =HYPERLINK("CSG0.html#group5C0", "5C⁰"), =HYPERLINK("CSG0.html#group6D0", "6D⁰")</f>
        <v/>
      </c>
      <c r="N7470" t="inlineStr"/>
    </row>
    <row r="7471">
      <c r="A7471" t="inlineStr">
        <is>
          <t>60G²³</t>
        </is>
      </c>
      <c r="B7471" t="inlineStr"/>
      <c r="C7471" t="inlineStr">
        <is>
          <t>360</t>
        </is>
      </c>
      <c r="D7471" t="inlineStr">
        <is>
          <t>1</t>
        </is>
      </c>
      <c r="E7471" t="inlineStr">
        <is>
          <t>90</t>
        </is>
      </c>
      <c r="F7471" t="inlineStr">
        <is>
          <t>16</t>
        </is>
      </c>
      <c r="G7471" t="inlineStr">
        <is>
          <t>0</t>
        </is>
      </c>
      <c r="H7471" t="inlineStr">
        <is>
          <t>30⁴, 60⁴</t>
        </is>
      </c>
      <c r="I7471" t="n">
        <v>8</v>
      </c>
      <c r="J7471" t="inlineStr">
        <is>
          <t>2³, 4⁹, 8⁶</t>
        </is>
      </c>
      <c r="K7471">
        <f>HYPERLINK("CSG10.html#group30H10", "30H¹⁰"), =HYPERLINK("CSG11.html#group60L11", "60L¹¹"), =HYPERLINK("CSG12.html#group60E12", "60E¹²")</f>
        <v/>
      </c>
      <c r="L7471" t="inlineStr"/>
      <c r="M7471">
        <f>HYPERLINK("CSG0.html#group12C0", "12C⁰"), =HYPERLINK("CSG10.html#group30H10", "30H¹⁰"), =HYPERLINK("CSG0.html#group4C0", "4C⁰"), =HYPERLINK("CSG2.html#group15D2", "15D²"), =HYPERLINK("CSG0.html#group2B0", "2B⁰"), =HYPERLINK("CSG0.html#group1A0", "1A⁰"), =HYPERLINK("CSG3.html#group20F3", "20F³"), =HYPERLINK("CSG1.html#group10F1", "10F¹"), =HYPERLINK("CSG5.html#group30K5", "30K⁵"), =HYPERLINK("CSG1.html#group15D1", "15D¹"), =HYPERLINK("CSG12.html#group60E12", "60E¹²"), =HYPERLINK("CSG11.html#group60L11", "60L¹¹"), =HYPERLINK("CSG0.html#group3A0", "3A⁰"), =HYPERLINK("CSG0.html#group5C0", "5C⁰"), =HYPERLINK("CSG0.html#group6D0", "6D⁰")</f>
        <v/>
      </c>
      <c r="N7471" t="inlineStr"/>
    </row>
    <row r="7472">
      <c r="A7472" t="inlineStr">
        <is>
          <t>60H²³</t>
        </is>
      </c>
      <c r="B7472" t="inlineStr"/>
      <c r="C7472" t="inlineStr">
        <is>
          <t>360</t>
        </is>
      </c>
      <c r="D7472" t="inlineStr">
        <is>
          <t>1</t>
        </is>
      </c>
      <c r="E7472" t="inlineStr">
        <is>
          <t>90</t>
        </is>
      </c>
      <c r="F7472" t="inlineStr">
        <is>
          <t>16</t>
        </is>
      </c>
      <c r="G7472" t="inlineStr">
        <is>
          <t>0</t>
        </is>
      </c>
      <c r="H7472" t="inlineStr">
        <is>
          <t>30⁴, 60⁴</t>
        </is>
      </c>
      <c r="I7472" t="n">
        <v>8</v>
      </c>
      <c r="J7472" t="inlineStr">
        <is>
          <t>2³, 4⁹, 8⁶</t>
        </is>
      </c>
      <c r="K7472">
        <f>HYPERLINK("CSG10.html#group60C10", "60C¹⁰"), =HYPERLINK("CSG11.html#group30D11", "30D¹¹"), =HYPERLINK("CSG12.html#group60E12", "60E¹²")</f>
        <v/>
      </c>
      <c r="L7472" t="inlineStr"/>
      <c r="M7472">
        <f>HYPERLINK("CSG11.html#group30D11", "30D¹¹"), =HYPERLINK("CSG0.html#group6B0", "6B⁰"), =HYPERLINK("CSG0.html#group2B0", "2B⁰"), =HYPERLINK("CSG2.html#group20F2", "20F²"), =HYPERLINK("CSG3.html#group30H3", "30H³"), =HYPERLINK("CSG0.html#group1A0", "1A⁰"), =HYPERLINK("CSG1.html#group10F1", "10F¹"), =HYPERLINK("CSG5.html#group30K5", "30K⁵"), =HYPERLINK("CSG1.html#group15D1", "15D¹"), =HYPERLINK("CSG12.html#group60E12", "60E¹²"), =HYPERLINK("CSG0.html#group6H0", "6H⁰"), =HYPERLINK("CSG0.html#group3A0", "3A⁰"), =HYPERLINK("CSG10.html#group60C10", "60C¹⁰"), =HYPERLINK("CSG0.html#group5C0", "5C⁰"), =HYPERLINK("CSG0.html#group6D0", "6D⁰")</f>
        <v/>
      </c>
      <c r="N7472" t="inlineStr"/>
    </row>
    <row r="7473">
      <c r="A7473" t="inlineStr">
        <is>
          <t>60I²³</t>
        </is>
      </c>
      <c r="B7473" t="inlineStr"/>
      <c r="C7473" t="inlineStr">
        <is>
          <t>360</t>
        </is>
      </c>
      <c r="D7473" t="inlineStr">
        <is>
          <t>1</t>
        </is>
      </c>
      <c r="E7473" t="inlineStr">
        <is>
          <t>90</t>
        </is>
      </c>
      <c r="F7473" t="inlineStr">
        <is>
          <t>16</t>
        </is>
      </c>
      <c r="G7473" t="inlineStr">
        <is>
          <t>0</t>
        </is>
      </c>
      <c r="H7473" t="inlineStr">
        <is>
          <t>30⁴, 60⁴</t>
        </is>
      </c>
      <c r="I7473" t="n">
        <v>8</v>
      </c>
      <c r="J7473" t="inlineStr">
        <is>
          <t>2³, 4⁹, 8⁶</t>
        </is>
      </c>
      <c r="K7473">
        <f>HYPERLINK("CSG0.html#group12H0", "12H⁰"), =HYPERLINK("CSG11.html#group30D11", "30D¹¹"), =HYPERLINK("CSG11.html#group60L11", "60L¹¹"), =HYPERLINK("CSG11.html#group60M11", "60M¹¹")</f>
        <v/>
      </c>
      <c r="L7473" t="inlineStr"/>
      <c r="M7473">
        <f>HYPERLINK("CSG11.html#group30D11", "30D¹¹"), =HYPERLINK("CSG0.html#group6B0", "6B⁰"), =HYPERLINK("CSG0.html#group12C0", "12C⁰"), =HYPERLINK("CSG11.html#group60M11", "60M¹¹"), =HYPERLINK("CSG0.html#group4C0", "4C⁰"), =HYPERLINK("CSG0.html#group2B0", "2B⁰"), =HYPERLINK("CSG0.html#group12H0", "12H⁰"), =HYPERLINK("CSG3.html#group30H3", "30H³"), =HYPERLINK("CSG0.html#group1A0", "1A⁰"), =HYPERLINK("CSG3.html#group20F3", "20F³"), =HYPERLINK("CSG1.html#group10F1", "10F¹"), =HYPERLINK("CSG5.html#group30K5", "30K⁵"), =HYPERLINK("CSG1.html#group15D1", "15D¹"), =HYPERLINK("CSG11.html#group60L11", "60L¹¹"), =HYPERLINK("CSG0.html#group12D0", "12D⁰"), =HYPERLINK("CSG0.html#group6H0", "6H⁰"), =HYPERLINK("CSG0.html#group3A0", "3A⁰"), =HYPERLINK("CSG0.html#group5C0", "5C⁰"), =HYPERLINK("CSG0.html#group6D0", "6D⁰")</f>
        <v/>
      </c>
      <c r="N7473" t="inlineStr"/>
    </row>
    <row r="7474">
      <c r="A7474" t="inlineStr">
        <is>
          <t>60J²³</t>
        </is>
      </c>
      <c r="B7474" t="inlineStr"/>
      <c r="C7474" t="inlineStr">
        <is>
          <t>360</t>
        </is>
      </c>
      <c r="D7474" t="inlineStr">
        <is>
          <t>1</t>
        </is>
      </c>
      <c r="E7474" t="inlineStr">
        <is>
          <t>180</t>
        </is>
      </c>
      <c r="F7474" t="inlineStr">
        <is>
          <t>20</t>
        </is>
      </c>
      <c r="G7474" t="inlineStr">
        <is>
          <t>0</t>
        </is>
      </c>
      <c r="H7474" t="inlineStr">
        <is>
          <t>60⁶</t>
        </is>
      </c>
      <c r="I7474" t="n">
        <v>6</v>
      </c>
      <c r="J7474" t="inlineStr">
        <is>
          <t>2², 4⁴, 8⁸, 16⁶</t>
        </is>
      </c>
      <c r="K7474">
        <f>HYPERLINK("CSG3.html#group15H3", "15H³"), =HYPERLINK("CSG10.html#group60B10", "60B¹⁰")</f>
        <v/>
      </c>
      <c r="L7474" t="inlineStr"/>
      <c r="M7474">
        <f>HYPERLINK("CSG0.html#group5A0", "5A⁰"), =HYPERLINK("CSG1.html#group15F1", "15F¹"), =HYPERLINK("CSG1.html#group20A1", "20A¹"), =HYPERLINK("CSG3.html#group15H3", "15H³"), =HYPERLINK("CSG0.html#group1A0", "1A⁰"), =HYPERLINK("CSG3.html#group60A3", "60A³"), =HYPERLINK("CSG0.html#group12A0", "12A⁰"), =HYPERLINK("CSG10.html#group60B10", "60B¹⁰"), =HYPERLINK("CSG0.html#group4A0", "4A⁰"), =HYPERLINK("CSG4.html#group60A4", "60A⁴"), =HYPERLINK("CSG0.html#group5E0", "5E⁰"), =HYPERLINK("CSG3.html#group20D3", "20D³"), =HYPERLINK("CSG0.html#group3A0", "3A⁰"), =HYPERLINK("CSG1.html#group15A1", "15A¹"), =HYPERLINK("CSG0.html#group15A0", "15A⁰")</f>
        <v/>
      </c>
      <c r="N7474" t="inlineStr"/>
    </row>
    <row r="7475">
      <c r="A7475" t="inlineStr">
        <is>
          <t>60K²³</t>
        </is>
      </c>
      <c r="B7475" t="inlineStr"/>
      <c r="C7475" t="inlineStr">
        <is>
          <t>360</t>
        </is>
      </c>
      <c r="D7475" t="inlineStr">
        <is>
          <t>2</t>
        </is>
      </c>
      <c r="E7475" t="inlineStr">
        <is>
          <t>30</t>
        </is>
      </c>
      <c r="F7475" t="inlineStr">
        <is>
          <t>12</t>
        </is>
      </c>
      <c r="G7475" t="inlineStr">
        <is>
          <t>0</t>
        </is>
      </c>
      <c r="H7475" t="inlineStr">
        <is>
          <t>30⁸, 60²</t>
        </is>
      </c>
      <c r="I7475" t="n">
        <v>10</v>
      </c>
      <c r="J7475" t="inlineStr">
        <is>
          <t>4³, 8⁶</t>
        </is>
      </c>
      <c r="K7475">
        <f>HYPERLINK("CSG5.html#group20G5", "20G⁵"), =HYPERLINK("CSG10.html#group30C10", "30C¹⁰")</f>
        <v/>
      </c>
      <c r="L7475" t="inlineStr"/>
      <c r="M7475">
        <f>HYPERLINK("CSG5.html#group30K5", "30K⁵"), =HYPERLINK("CSG1.html#group15D1", "15D¹"), =HYPERLINK("CSG2.html#group30F2", "30F²"), =HYPERLINK("CSG2.html#group10E2", "10E²"), =HYPERLINK("CSG5.html#group20G5", "20G⁵"), =HYPERLINK("CSG0.html#group10D0", "10D⁰"), =HYPERLINK("CSG0.html#group5C0", "5C⁰"), =HYPERLINK("CSG0.html#group1A0", "1A⁰"), =HYPERLINK("CSG0.html#group2B0", "2B⁰"), =HYPERLINK("CSG0.html#group3A0", "3A⁰"), =HYPERLINK("CSG10.html#group30C10", "30C¹⁰"), =HYPERLINK("CSG0.html#group6D0", "6D⁰"), =HYPERLINK("CSG1.html#group10F1", "10F¹")</f>
        <v/>
      </c>
      <c r="N7475" t="inlineStr"/>
    </row>
    <row r="7476">
      <c r="A7476" t="inlineStr">
        <is>
          <t>60L²³</t>
        </is>
      </c>
      <c r="B7476" t="inlineStr"/>
      <c r="C7476" t="inlineStr">
        <is>
          <t>360</t>
        </is>
      </c>
      <c r="D7476" t="inlineStr">
        <is>
          <t>2</t>
        </is>
      </c>
      <c r="E7476" t="inlineStr">
        <is>
          <t>90</t>
        </is>
      </c>
      <c r="F7476" t="inlineStr">
        <is>
          <t>8</t>
        </is>
      </c>
      <c r="G7476" t="inlineStr">
        <is>
          <t>0</t>
        </is>
      </c>
      <c r="H7476" t="inlineStr">
        <is>
          <t>15⁸, 60⁴</t>
        </is>
      </c>
      <c r="I7476" t="n">
        <v>12</v>
      </c>
      <c r="J7476" t="inlineStr">
        <is>
          <t>4⁹, 8¹⁸</t>
        </is>
      </c>
      <c r="K7476">
        <f>HYPERLINK("CSG10.html#group30H10", "30H¹⁰"), =HYPERLINK("CSG11.html#group60M11", "60M¹¹"), =HYPERLINK("CSG12.html#group60D12", "60D¹²")</f>
        <v/>
      </c>
      <c r="L7476" t="inlineStr"/>
      <c r="M7476">
        <f>HYPERLINK("CSG5.html#group30K5", "30K⁵"), =HYPERLINK("CSG1.html#group15D1", "15D¹"), =HYPERLINK("CSG11.html#group60M11", "60M¹¹"), =HYPERLINK("CSG10.html#group30H10", "30H¹⁰"), =HYPERLINK("CSG0.html#group5C0", "5C⁰"), =HYPERLINK("CSG2.html#group15D2", "15D²"), =HYPERLINK("CSG0.html#group2B0", "2B⁰"), =HYPERLINK("CSG0.html#group12D0", "12D⁰"), =HYPERLINK("CSG0.html#group3A0", "3A⁰"), =HYPERLINK("CSG0.html#group1A0", "1A⁰"), =HYPERLINK("CSG12.html#group60D12", "60D¹²"), =HYPERLINK("CSG0.html#group6D0", "6D⁰"), =HYPERLINK("CSG1.html#group10F1", "10F¹")</f>
        <v/>
      </c>
      <c r="N7476" t="inlineStr"/>
    </row>
    <row r="7477">
      <c r="A7477" t="inlineStr">
        <is>
          <t>60M²³</t>
        </is>
      </c>
      <c r="B7477" t="inlineStr"/>
      <c r="C7477" t="inlineStr">
        <is>
          <t>360</t>
        </is>
      </c>
      <c r="D7477" t="inlineStr">
        <is>
          <t>2</t>
        </is>
      </c>
      <c r="E7477" t="inlineStr">
        <is>
          <t>90</t>
        </is>
      </c>
      <c r="F7477" t="inlineStr">
        <is>
          <t>12</t>
        </is>
      </c>
      <c r="G7477" t="inlineStr">
        <is>
          <t>0</t>
        </is>
      </c>
      <c r="H7477" t="inlineStr">
        <is>
          <t>30⁸, 60²</t>
        </is>
      </c>
      <c r="I7477" t="n">
        <v>10</v>
      </c>
      <c r="J7477" t="inlineStr">
        <is>
          <t>4³, 8⁹, 16⁶</t>
        </is>
      </c>
      <c r="K7477">
        <f>HYPERLINK("CSG10.html#group30C10", "30C¹⁰")</f>
        <v/>
      </c>
      <c r="L7477" t="inlineStr"/>
      <c r="M7477">
        <f>HYPERLINK("CSG5.html#group30K5", "30K⁵"), =HYPERLINK("CSG1.html#group15D1", "15D¹"), =HYPERLINK("CSG2.html#group30F2", "30F²"), =HYPERLINK("CSG2.html#group10E2", "10E²"), =HYPERLINK("CSG0.html#group10D0", "10D⁰"), =HYPERLINK("CSG0.html#group5C0", "5C⁰"), =HYPERLINK("CSG0.html#group1A0", "1A⁰"), =HYPERLINK("CSG0.html#group2B0", "2B⁰"), =HYPERLINK("CSG0.html#group3A0", "3A⁰"), =HYPERLINK("CSG10.html#group30C10", "30C¹⁰"), =HYPERLINK("CSG0.html#group6D0", "6D⁰"), =HYPERLINK("CSG1.html#group10F1", "10F¹")</f>
        <v/>
      </c>
      <c r="N7477" t="inlineStr"/>
    </row>
    <row r="7478">
      <c r="A7478" t="inlineStr">
        <is>
          <t>60N²³</t>
        </is>
      </c>
      <c r="B7478" t="inlineStr"/>
      <c r="C7478" t="inlineStr">
        <is>
          <t>432</t>
        </is>
      </c>
      <c r="D7478" t="inlineStr">
        <is>
          <t>1</t>
        </is>
      </c>
      <c r="E7478" t="inlineStr">
        <is>
          <t>36</t>
        </is>
      </c>
      <c r="F7478" t="inlineStr">
        <is>
          <t>24</t>
        </is>
      </c>
      <c r="G7478" t="inlineStr">
        <is>
          <t>0</t>
        </is>
      </c>
      <c r="H7478" t="inlineStr">
        <is>
          <t>6⁴, 12⁴, 30⁴, 60⁴</t>
        </is>
      </c>
      <c r="I7478" t="n">
        <v>16</v>
      </c>
      <c r="J7478" t="inlineStr">
        <is>
          <t>1⁸, 2², 4⁴, 8¹</t>
        </is>
      </c>
      <c r="K7478">
        <f>HYPERLINK("CSG3.html#group20T3", "20T³"), =HYPERLINK("CSG9.html#group60M9", "60M⁹")</f>
        <v/>
      </c>
      <c r="L7478" t="inlineStr"/>
      <c r="M7478">
        <f>HYPERLINK("CSG0.html#group30A0", "30A⁰"), =HYPERLINK("CSG1.html#group20E1", "20E¹"), =HYPERLINK("CSG0.html#group10G0", "10G⁰"), =HYPERLINK("CSG0.html#group12C0", "12C⁰"), =HYPERLINK("CSG0.html#group4C0", "4C⁰"), =HYPERLINK("CSG0.html#group5B0", "5B⁰"), =HYPERLINK("CSG4.html#group60C4", "60C⁴"), =HYPERLINK("CSG0.html#group2B0", "2B⁰"), =HYPERLINK("CSG0.html#group1A0", "1A⁰"), =HYPERLINK("CSG3.html#group20T3", "20T³"), =HYPERLINK("CSG0.html#group10B0", "10B⁰"), =HYPERLINK("CSG0.html#group20A0", "20A⁰"), =HYPERLINK("CSG0.html#group15B0", "15B⁰"), =HYPERLINK("CSG2.html#group30E2", "30E²"), =HYPERLINK("CSG1.html#group20I1", "20I¹"), =HYPERLINK("CSG5.html#group60A5", "60A⁵"), =HYPERLINK("CSG9.html#group60M9", "60M⁹"), =HYPERLINK("CSG0.html#group10C0", "10C⁰"), =HYPERLINK("CSG4.html#group30H4", "30H⁴"), =HYPERLINK("CSG0.html#group3A0", "3A⁰"), =HYPERLINK("CSG0.html#group6D0", "6D⁰")</f>
        <v/>
      </c>
      <c r="N7478" t="inlineStr"/>
    </row>
    <row r="7479">
      <c r="A7479" t="inlineStr">
        <is>
          <t>60O²³</t>
        </is>
      </c>
      <c r="B7479" t="inlineStr"/>
      <c r="C7479" t="inlineStr">
        <is>
          <t>432</t>
        </is>
      </c>
      <c r="D7479" t="inlineStr">
        <is>
          <t>1</t>
        </is>
      </c>
      <c r="E7479" t="inlineStr">
        <is>
          <t>54</t>
        </is>
      </c>
      <c r="F7479" t="inlineStr">
        <is>
          <t>16</t>
        </is>
      </c>
      <c r="G7479" t="inlineStr">
        <is>
          <t>0</t>
        </is>
      </c>
      <c r="H7479" t="inlineStr">
        <is>
          <t>6⁸, 12², 30⁸, 60²</t>
        </is>
      </c>
      <c r="I7479" t="n">
        <v>20</v>
      </c>
      <c r="J7479" t="inlineStr">
        <is>
          <t>2⁶, 4⁶, 8³, 16³</t>
        </is>
      </c>
      <c r="K7479">
        <f>HYPERLINK("CSG9.html#group30R9", "30R⁹"), =HYPERLINK("CSG11.html#group60V11", "60V¹¹")</f>
        <v/>
      </c>
      <c r="L7479" t="inlineStr"/>
      <c r="M7479">
        <f>HYPERLINK("CSG0.html#group30A0", "30A⁰"), =HYPERLINK("CSG0.html#group6B0", "6B⁰"), =HYPERLINK("CSG0.html#group10G0", "10G⁰"), =HYPERLINK("CSG1.html#group30C1", "30C¹"), =HYPERLINK("CSG9.html#group30R9", "30R⁹"), =HYPERLINK("CSG0.html#group5B0", "5B⁰"), =HYPERLINK("CSG0.html#group2B0", "2B⁰"), =HYPERLINK("CSG0.html#group1A0", "1A⁰"), =HYPERLINK("CSG5.html#group30P5", "30P⁵"), =HYPERLINK("CSG0.html#group10B0", "10B⁰"), =HYPERLINK("CSG1.html#group30D1", "30D¹"), =HYPERLINK("CSG0.html#group15B0", "15B⁰"), =HYPERLINK("CSG2.html#group30E2", "30E²"), =HYPERLINK("CSG11.html#group60V11", "60V¹¹"), =HYPERLINK("CSG4.html#group30I4", "30I⁴"), =HYPERLINK("CSG0.html#group10C0", "10C⁰"), =HYPERLINK("CSG4.html#group30H4", "30H⁴"), =HYPERLINK("CSG0.html#group6H0", "6H⁰"), =HYPERLINK("CSG0.html#group3A0", "3A⁰"), =HYPERLINK("CSG0.html#group6D0", "6D⁰"), =HYPERLINK("CSG0.html#group15C0", "15C⁰")</f>
        <v/>
      </c>
      <c r="N7479" t="inlineStr"/>
    </row>
    <row r="7480">
      <c r="A7480" t="inlineStr">
        <is>
          <t>60P²³</t>
        </is>
      </c>
      <c r="B7480" t="inlineStr"/>
      <c r="C7480" t="inlineStr">
        <is>
          <t>432</t>
        </is>
      </c>
      <c r="D7480" t="inlineStr">
        <is>
          <t>1</t>
        </is>
      </c>
      <c r="E7480" t="inlineStr">
        <is>
          <t>54</t>
        </is>
      </c>
      <c r="F7480" t="inlineStr">
        <is>
          <t>16</t>
        </is>
      </c>
      <c r="G7480" t="inlineStr">
        <is>
          <t>0</t>
        </is>
      </c>
      <c r="H7480" t="inlineStr">
        <is>
          <t>6⁸, 12², 30⁸, 60²</t>
        </is>
      </c>
      <c r="I7480" t="n">
        <v>20</v>
      </c>
      <c r="J7480" t="inlineStr">
        <is>
          <t>2⁶, 4⁶, 8³, 16³</t>
        </is>
      </c>
      <c r="K7480">
        <f>HYPERLINK("CSG9.html#group30R9", "30R⁹"), =HYPERLINK("CSG11.html#group60V11", "60V¹¹")</f>
        <v/>
      </c>
      <c r="L7480" t="inlineStr"/>
      <c r="M7480">
        <f>HYPERLINK("CSG0.html#group30A0", "30A⁰"), =HYPERLINK("CSG0.html#group6B0", "6B⁰"), =HYPERLINK("CSG0.html#group10G0", "10G⁰"), =HYPERLINK("CSG1.html#group30C1", "30C¹"), =HYPERLINK("CSG9.html#group30R9", "30R⁹"), =HYPERLINK("CSG0.html#group5B0", "5B⁰"), =HYPERLINK("CSG0.html#group2B0", "2B⁰"), =HYPERLINK("CSG0.html#group1A0", "1A⁰"), =HYPERLINK("CSG5.html#group30P5", "30P⁵"), =HYPERLINK("CSG0.html#group10B0", "10B⁰"), =HYPERLINK("CSG1.html#group30D1", "30D¹"), =HYPERLINK("CSG0.html#group15B0", "15B⁰"), =HYPERLINK("CSG2.html#group30E2", "30E²"), =HYPERLINK("CSG11.html#group60V11", "60V¹¹"), =HYPERLINK("CSG4.html#group30I4", "30I⁴"), =HYPERLINK("CSG0.html#group10C0", "10C⁰"), =HYPERLINK("CSG4.html#group30H4", "30H⁴"), =HYPERLINK("CSG0.html#group6H0", "6H⁰"), =HYPERLINK("CSG0.html#group3A0", "3A⁰"), =HYPERLINK("CSG0.html#group6D0", "6D⁰"), =HYPERLINK("CSG0.html#group15C0", "15C⁰")</f>
        <v/>
      </c>
      <c r="N7480" t="inlineStr"/>
    </row>
    <row r="7481">
      <c r="A7481" t="inlineStr">
        <is>
          <t>60Q²³</t>
        </is>
      </c>
      <c r="B7481" t="inlineStr"/>
      <c r="C7481" t="inlineStr">
        <is>
          <t>432</t>
        </is>
      </c>
      <c r="D7481" t="inlineStr">
        <is>
          <t>1</t>
        </is>
      </c>
      <c r="E7481" t="inlineStr">
        <is>
          <t>108</t>
        </is>
      </c>
      <c r="F7481" t="inlineStr">
        <is>
          <t>8</t>
        </is>
      </c>
      <c r="G7481" t="inlineStr">
        <is>
          <t>0</t>
        </is>
      </c>
      <c r="H7481" t="inlineStr">
        <is>
          <t>3⁸, 12⁴, 15⁸, 60⁴</t>
        </is>
      </c>
      <c r="I7481" t="n">
        <v>24</v>
      </c>
      <c r="J7481" t="inlineStr">
        <is>
          <t>2¹⁸, 8⁹</t>
        </is>
      </c>
      <c r="K7481">
        <f>HYPERLINK("CSG9.html#group30Q9", "30Q⁹")</f>
        <v/>
      </c>
      <c r="L7481" t="inlineStr"/>
      <c r="M7481">
        <f>HYPERLINK("CSG0.html#group5B0", "5B⁰"), =HYPERLINK("CSG0.html#group6G0", "6G⁰"), =HYPERLINK("CSG0.html#group2B0", "2B⁰"), =HYPERLINK("CSG5.html#group30O5", "30O⁵"), =HYPERLINK("CSG1.html#group15H1", "15H¹"), =HYPERLINK("CSG0.html#group1A0", "1A⁰"), =HYPERLINK("CSG0.html#group15B0", "15B⁰"), =HYPERLINK("CSG2.html#group30E2", "30E²"), =HYPERLINK("CSG1.html#group15E1", "15E¹"), =HYPERLINK("CSG9.html#group30Q9", "30Q⁹"), =HYPERLINK("CSG4.html#group30I4", "30I⁴"), =HYPERLINK("CSG0.html#group10C0", "10C⁰"), =HYPERLINK("CSG0.html#group3C0", "3C⁰"), =HYPERLINK("CSG0.html#group3A0", "3A⁰"), =HYPERLINK("CSG0.html#group6D0", "6D⁰"), =HYPERLINK("CSG0.html#group15C0", "15C⁰")</f>
        <v/>
      </c>
      <c r="N7481" t="inlineStr"/>
    </row>
    <row r="7482">
      <c r="A7482" t="inlineStr">
        <is>
          <t>60R²³</t>
        </is>
      </c>
      <c r="B7482" t="inlineStr"/>
      <c r="C7482" t="inlineStr">
        <is>
          <t>432</t>
        </is>
      </c>
      <c r="D7482" t="inlineStr">
        <is>
          <t>1</t>
        </is>
      </c>
      <c r="E7482" t="inlineStr">
        <is>
          <t>108</t>
        </is>
      </c>
      <c r="F7482" t="inlineStr">
        <is>
          <t>24</t>
        </is>
      </c>
      <c r="G7482" t="inlineStr">
        <is>
          <t>0</t>
        </is>
      </c>
      <c r="H7482" t="inlineStr">
        <is>
          <t>6⁴, 12⁴, 30⁴, 60⁴</t>
        </is>
      </c>
      <c r="I7482" t="n">
        <v>16</v>
      </c>
      <c r="J7482" t="inlineStr">
        <is>
          <t>1⁸, 2¹⁰, 4⁶, 8⁵, 16¹</t>
        </is>
      </c>
      <c r="K7482">
        <f>HYPERLINK("CSG9.html#group60M9", "60M⁹")</f>
        <v/>
      </c>
      <c r="L7482" t="inlineStr"/>
      <c r="M7482">
        <f>HYPERLINK("CSG0.html#group30A0", "30A⁰"), =HYPERLINK("CSG1.html#group20E1", "20E¹"), =HYPERLINK("CSG0.html#group10G0", "10G⁰"), =HYPERLINK("CSG0.html#group12C0", "12C⁰"), =HYPERLINK("CSG0.html#group4C0", "4C⁰"), =HYPERLINK("CSG0.html#group5B0", "5B⁰"), =HYPERLINK("CSG4.html#group60C4", "60C⁴"), =HYPERLINK("CSG0.html#group2B0", "2B⁰"), =HYPERLINK("CSG0.html#group1A0", "1A⁰"), =HYPERLINK("CSG0.html#group10B0", "10B⁰"), =HYPERLINK("CSG0.html#group20A0", "20A⁰"), =HYPERLINK("CSG0.html#group15B0", "15B⁰"), =HYPERLINK("CSG2.html#group30E2", "30E²"), =HYPERLINK("CSG1.html#group20I1", "20I¹"), =HYPERLINK("CSG5.html#group60A5", "60A⁵"), =HYPERLINK("CSG9.html#group60M9", "60M⁹"), =HYPERLINK("CSG0.html#group10C0", "10C⁰"), =HYPERLINK("CSG4.html#group30H4", "30H⁴"), =HYPERLINK("CSG0.html#group3A0", "3A⁰"), =HYPERLINK("CSG0.html#group6D0", "6D⁰")</f>
        <v/>
      </c>
      <c r="N7482" t="inlineStr"/>
    </row>
    <row r="7483">
      <c r="A7483" t="inlineStr">
        <is>
          <t>60S²³</t>
        </is>
      </c>
      <c r="B7483" t="inlineStr"/>
      <c r="C7483" t="inlineStr">
        <is>
          <t>432</t>
        </is>
      </c>
      <c r="D7483" t="inlineStr">
        <is>
          <t>2</t>
        </is>
      </c>
      <c r="E7483" t="inlineStr">
        <is>
          <t>54</t>
        </is>
      </c>
      <c r="F7483" t="inlineStr">
        <is>
          <t>16</t>
        </is>
      </c>
      <c r="G7483" t="inlineStr">
        <is>
          <t>0</t>
        </is>
      </c>
      <c r="H7483" t="inlineStr">
        <is>
          <t>6⁸, 12², 30⁸, 60²</t>
        </is>
      </c>
      <c r="I7483" t="n">
        <v>20</v>
      </c>
      <c r="J7483" t="inlineStr">
        <is>
          <t>2⁶, 4⁶, 8³, 16³</t>
        </is>
      </c>
      <c r="K7483">
        <f>HYPERLINK("CSG9.html#group30R9", "30R⁹"), =HYPERLINK("CSG11.html#group60T11", "60T¹¹"), =HYPERLINK("CSG11.html#group60V11", "60V¹¹")</f>
        <v/>
      </c>
      <c r="L7483" t="inlineStr"/>
      <c r="M7483">
        <f>HYPERLINK("CSG0.html#group30A0", "30A⁰"), =HYPERLINK("CSG0.html#group6B0", "6B⁰"), =HYPERLINK("CSG0.html#group10G0", "10G⁰"), =HYPERLINK("CSG1.html#group30C1", "30C¹"), =HYPERLINK("CSG9.html#group30R9", "30R⁹"), =HYPERLINK("CSG0.html#group5B0", "5B⁰"), =HYPERLINK("CSG0.html#group2B0", "2B⁰"), =HYPERLINK("CSG1.html#group20J1", "20J¹"), =HYPERLINK("CSG0.html#group1A0", "1A⁰"), =HYPERLINK("CSG11.html#group60T11", "60T¹¹"), =HYPERLINK("CSG5.html#group30P5", "30P⁵"), =HYPERLINK("CSG0.html#group10B0", "10B⁰"), =HYPERLINK("CSG1.html#group30D1", "30D¹"), =HYPERLINK("CSG0.html#group15B0", "15B⁰"), =HYPERLINK("CSG2.html#group30E2", "30E²"), =HYPERLINK("CSG11.html#group60V11", "60V¹¹"), =HYPERLINK("CSG4.html#group30I4", "30I⁴"), =HYPERLINK("CSG0.html#group10C0", "10C⁰"), =HYPERLINK("CSG4.html#group30H4", "30H⁴"), =HYPERLINK("CSG0.html#group6H0", "6H⁰"), =HYPERLINK("CSG0.html#group3A0", "3A⁰"), =HYPERLINK("CSG0.html#group6D0", "6D⁰"), =HYPERLINK("CSG0.html#group15C0", "15C⁰")</f>
        <v/>
      </c>
      <c r="N7483" t="inlineStr"/>
    </row>
    <row r="7484">
      <c r="A7484" t="inlineStr">
        <is>
          <t>63A²³</t>
        </is>
      </c>
      <c r="B7484" t="inlineStr"/>
      <c r="C7484" t="inlineStr">
        <is>
          <t>378</t>
        </is>
      </c>
      <c r="D7484" t="inlineStr">
        <is>
          <t>2</t>
        </is>
      </c>
      <c r="E7484" t="inlineStr">
        <is>
          <t>189</t>
        </is>
      </c>
      <c r="F7484" t="inlineStr">
        <is>
          <t>26</t>
        </is>
      </c>
      <c r="G7484" t="inlineStr">
        <is>
          <t>0</t>
        </is>
      </c>
      <c r="H7484" t="inlineStr">
        <is>
          <t>63⁶</t>
        </is>
      </c>
      <c r="I7484" t="n">
        <v>6</v>
      </c>
      <c r="J7484" t="inlineStr">
        <is>
          <t>6¹, 12⁴, 18², 36⁸</t>
        </is>
      </c>
      <c r="K7484">
        <f>HYPERLINK("CSG6.html#group63F6", "63F⁶"), =HYPERLINK("CSG6.html#group63G6", "63G⁶"), =HYPERLINK("CSG10.html#group63B10", "63B¹⁰")</f>
        <v/>
      </c>
      <c r="L7484" t="inlineStr"/>
      <c r="M7484">
        <f>HYPERLINK("CSG10.html#group63B10", "63B¹⁰"), =HYPERLINK("CSG6.html#group63F6", "63F⁶"), =HYPERLINK("CSG1.html#group21D1", "21D¹"), =HYPERLINK("CSG0.html#group9A0", "9A⁰"), =HYPERLINK("CSG0.html#group9G0", "9G⁰"), =HYPERLINK("CSG0.html#group21A0", "21A⁰"), =HYPERLINK("CSG6.html#group63G6", "63G⁶"), =HYPERLINK("CSG0.html#group7A0", "7A⁰"), =HYPERLINK("CSG0.html#group3A0", "3A⁰"), =HYPERLINK("CSG0.html#group1A0", "1A⁰"), =HYPERLINK("CSG2.html#group63A2", "63A²")</f>
        <v/>
      </c>
      <c r="N7484" t="inlineStr"/>
    </row>
    <row r="7485">
      <c r="A7485" t="inlineStr">
        <is>
          <t>63B²³</t>
        </is>
      </c>
      <c r="B7485" t="inlineStr"/>
      <c r="C7485" t="inlineStr">
        <is>
          <t>378</t>
        </is>
      </c>
      <c r="D7485" t="inlineStr">
        <is>
          <t>2</t>
        </is>
      </c>
      <c r="E7485" t="inlineStr">
        <is>
          <t>189</t>
        </is>
      </c>
      <c r="F7485" t="inlineStr">
        <is>
          <t>26</t>
        </is>
      </c>
      <c r="G7485" t="inlineStr">
        <is>
          <t>0</t>
        </is>
      </c>
      <c r="H7485" t="inlineStr">
        <is>
          <t>63⁶</t>
        </is>
      </c>
      <c r="I7485" t="n">
        <v>6</v>
      </c>
      <c r="J7485" t="inlineStr">
        <is>
          <t>6⁷, 12⁷, 36⁷</t>
        </is>
      </c>
      <c r="K7485">
        <f>HYPERLINK("CSG5.html#group21D5", "21D⁵"), =HYPERLINK("CSG7.html#group63D7", "63D⁷"), =HYPERLINK("CSG7.html#group63E7", "63E⁷"), =HYPERLINK("CSG9.html#group63D9", "63D⁹")</f>
        <v/>
      </c>
      <c r="L7485" t="inlineStr"/>
      <c r="M7485">
        <f>HYPERLINK("CSG5.html#group21D5", "21D⁵"), =HYPERLINK("CSG9.html#group63D9", "63D⁹"), =HYPERLINK("CSG0.html#group7D0", "7D⁰"), =HYPERLINK("CSG1.html#group21E1", "21E¹"), =HYPERLINK("CSG1.html#group21D1", "21D¹"), =HYPERLINK("CSG0.html#group9A0", "9A⁰"), =HYPERLINK("CSG2.html#group63A2", "63A²"), =HYPERLINK("CSG0.html#group21A0", "21A⁰"), =HYPERLINK("CSG0.html#group7A0", "7A⁰"), =HYPERLINK("CSG0.html#group3A0", "3A⁰"), =HYPERLINK("CSG0.html#group1A0", "1A⁰"), =HYPERLINK("CSG7.html#group63D7", "63D⁷"), =HYPERLINK("CSG7.html#group63E7", "63E⁷")</f>
        <v/>
      </c>
      <c r="N7485" t="inlineStr"/>
    </row>
    <row r="7486">
      <c r="A7486" t="inlineStr">
        <is>
          <t>64A²³</t>
        </is>
      </c>
      <c r="B7486" t="inlineStr"/>
      <c r="C7486" t="inlineStr">
        <is>
          <t>384</t>
        </is>
      </c>
      <c r="D7486" t="inlineStr">
        <is>
          <t>1</t>
        </is>
      </c>
      <c r="E7486" t="inlineStr">
        <is>
          <t>96</t>
        </is>
      </c>
      <c r="F7486" t="inlineStr">
        <is>
          <t>0</t>
        </is>
      </c>
      <c r="G7486" t="inlineStr">
        <is>
          <t>0</t>
        </is>
      </c>
      <c r="H7486" t="inlineStr">
        <is>
          <t>8¹⁶, 64⁴</t>
        </is>
      </c>
      <c r="I7486" t="n">
        <v>20</v>
      </c>
      <c r="J7486" t="inlineStr">
        <is>
          <t>2², 4³, 8², 16⁴</t>
        </is>
      </c>
      <c r="K7486">
        <f>HYPERLINK("CSG11.html#group32H11", "32H¹¹")</f>
        <v/>
      </c>
      <c r="L7486" t="inlineStr"/>
      <c r="M7486">
        <f>HYPERLINK("CSG2.html#group16D2", "16D²"), =HYPERLINK("CSG1.html#group8A1", "8A¹"), =HYPERLINK("CSG4.html#group32C4", "32C⁴"), =HYPERLINK("CSG5.html#group16H5", "16H⁵"), =HYPERLINK("CSG0.html#group8D0", "8D⁰"), =HYPERLINK("CSG0.html#group4C0", "4C⁰"), =HYPERLINK("CSG2.html#group8B2", "8B²"), =HYPERLINK("CSG0.html#group8A0", "8A⁰"), =HYPERLINK("CSG11.html#group32H11", "32H¹¹"), =HYPERLINK("CSG1.html#group32D1", "32D¹"), =HYPERLINK("CSG0.html#group2B0", "2B⁰"), =HYPERLINK("CSG3.html#group32I3", "32I³"), =HYPERLINK("CSG0.html#group1A0", "1A⁰"), =HYPERLINK("CSG0.html#group8K0", "8K⁰"), =HYPERLINK("CSG1.html#group8D1", "8D¹"), =HYPERLINK("CSG0.html#group16E0", "16E⁰"), =HYPERLINK("CSG1.html#group8C1", "8C¹"), =HYPERLINK("CSG2.html#group16B2", "16B²"), =HYPERLINK("CSG1.html#group32C1", "32C¹"), =HYPERLINK("CSG0.html#group4A0", "4A⁰"), =HYPERLINK("CSG1.html#group16C1", "16C¹"), =HYPERLINK("CSG6.html#group32B6", "32B⁶"), =HYPERLINK("CSG0.html#group4F0", "4F⁰"), =HYPERLINK("CSG3.html#group16E3", "16E³")</f>
        <v/>
      </c>
      <c r="N7486" t="inlineStr"/>
    </row>
    <row r="7487">
      <c r="A7487" t="inlineStr">
        <is>
          <t>64B²³</t>
        </is>
      </c>
      <c r="B7487" t="inlineStr"/>
      <c r="C7487" t="inlineStr">
        <is>
          <t>384</t>
        </is>
      </c>
      <c r="D7487" t="inlineStr">
        <is>
          <t>1</t>
        </is>
      </c>
      <c r="E7487" t="inlineStr">
        <is>
          <t>96</t>
        </is>
      </c>
      <c r="F7487" t="inlineStr">
        <is>
          <t>0</t>
        </is>
      </c>
      <c r="G7487" t="inlineStr">
        <is>
          <t>0</t>
        </is>
      </c>
      <c r="H7487" t="inlineStr">
        <is>
          <t>8¹⁶, 64⁴</t>
        </is>
      </c>
      <c r="I7487" t="n">
        <v>20</v>
      </c>
      <c r="J7487" t="inlineStr">
        <is>
          <t>1², 2⁵, 4¹, 8², 16⁴</t>
        </is>
      </c>
      <c r="K7487">
        <f>HYPERLINK("CSG9.html#group64G9", "64G⁹"), =HYPERLINK("CSG9.html#group64H9", "64H⁹"), =HYPERLINK("CSG11.html#group32C11", "32C¹¹")</f>
        <v/>
      </c>
      <c r="L7487" t="inlineStr"/>
      <c r="M7487">
        <f>HYPERLINK("CSG9.html#group64G9", "64G⁹"), =HYPERLINK("CSG11.html#group32C11", "32C¹¹"), =HYPERLINK("CSG5.html#group16F5", "16F⁵"), =HYPERLINK("CSG1.html#group16I1", "16I¹"), =HYPERLINK("CSG3.html#group16C3", "16C³"), =HYPERLINK("CSG0.html#group8D0", "8D⁰"), =HYPERLINK("CSG0.html#group4C0", "4C⁰"), =HYPERLINK("CSG0.html#group8B0", "8B⁰"), =HYPERLINK("CSG5.html#group32H5", "32H⁵"), =HYPERLINK("CSG1.html#group16B1", "16B¹"), =HYPERLINK("CSG0.html#group2B0", "2B⁰"), =HYPERLINK("CSG3.html#group32I3", "32I³"), =HYPERLINK("CSG0.html#group1A0", "1A⁰"), =HYPERLINK("CSG2.html#group16A2", "16A²"), =HYPERLINK("CSG0.html#group8H0", "8H⁰"), =HYPERLINK("CSG0.html#group16E0", "16E⁰"), =HYPERLINK("CSG0.html#group8F0", "8F⁰"), =HYPERLINK("CSG0.html#group4A0", "4A⁰"), =HYPERLINK("CSG1.html#group8I1", "8I¹"), =HYPERLINK("CSG1.html#group16C1", "16C¹"), =HYPERLINK("CSG0.html#group4F0", "4F⁰"), =HYPERLINK("CSG9.html#group64H9", "64H⁹"), =HYPERLINK("CSG3.html#group32P3", "32P³")</f>
        <v/>
      </c>
      <c r="N7487" t="inlineStr"/>
    </row>
    <row r="7488">
      <c r="A7488" t="inlineStr">
        <is>
          <t>66A²³</t>
        </is>
      </c>
      <c r="B7488" t="inlineStr"/>
      <c r="C7488" t="inlineStr">
        <is>
          <t>330</t>
        </is>
      </c>
      <c r="D7488" t="inlineStr">
        <is>
          <t>1</t>
        </is>
      </c>
      <c r="E7488" t="inlineStr">
        <is>
          <t>165</t>
        </is>
      </c>
      <c r="F7488" t="inlineStr">
        <is>
          <t>12</t>
        </is>
      </c>
      <c r="G7488" t="inlineStr">
        <is>
          <t>0</t>
        </is>
      </c>
      <c r="H7488" t="inlineStr">
        <is>
          <t>66⁵</t>
        </is>
      </c>
      <c r="I7488" t="n">
        <v>5</v>
      </c>
      <c r="J7488" t="inlineStr">
        <is>
          <t>5¹, 10⁶, 20⁵</t>
        </is>
      </c>
      <c r="K7488">
        <f>HYPERLINK("CSG3.html#group66A3", "66A³"), =HYPERLINK("CSG10.html#group33B10", "33B¹⁰")</f>
        <v/>
      </c>
      <c r="L7488" t="inlineStr"/>
      <c r="M7488">
        <f>HYPERLINK("CSG0.html#group11A0", "11A⁰"), =HYPERLINK("CSG0.html#group6B0", "6B⁰"), =HYPERLINK("CSG3.html#group66A3", "66A³"), =HYPERLINK("CSG1.html#group33A1", "33A¹"), =HYPERLINK("CSG10.html#group33B10", "33B¹⁰"), =HYPERLINK("CSG1.html#group11B1", "11B¹"), =HYPERLINK("CSG0.html#group3A0", "3A⁰"), =HYPERLINK("CSG0.html#group1A0", "1A⁰")</f>
        <v/>
      </c>
      <c r="N7488" t="inlineStr"/>
    </row>
    <row r="7489">
      <c r="A7489" t="inlineStr">
        <is>
          <t>70A²³</t>
        </is>
      </c>
      <c r="B7489" t="inlineStr"/>
      <c r="C7489" t="inlineStr">
        <is>
          <t>315</t>
        </is>
      </c>
      <c r="D7489" t="inlineStr">
        <is>
          <t>1</t>
        </is>
      </c>
      <c r="E7489" t="inlineStr">
        <is>
          <t>315</t>
        </is>
      </c>
      <c r="F7489" t="inlineStr">
        <is>
          <t>5</t>
        </is>
      </c>
      <c r="G7489" t="inlineStr">
        <is>
          <t>0</t>
        </is>
      </c>
      <c r="H7489" t="inlineStr">
        <is>
          <t>35³, 70³</t>
        </is>
      </c>
      <c r="I7489" t="n">
        <v>6</v>
      </c>
      <c r="J7489" t="inlineStr">
        <is>
          <t>3³, 6⁹, 12³, 24⁹</t>
        </is>
      </c>
      <c r="K7489">
        <f>HYPERLINK("CSG2.html#group14F2", "14F²"), =HYPERLINK("CSG7.html#group35A7", "35A⁷"), =HYPERLINK("CSG8.html#group70A8", "70A⁸")</f>
        <v/>
      </c>
      <c r="L7489" t="inlineStr"/>
      <c r="M7489">
        <f>HYPERLINK("CSG0.html#group5A0", "5A⁰"), =HYPERLINK("CSG0.html#group7D0", "7D⁰"), =HYPERLINK("CSG1.html#group14B1", "14B¹"), =HYPERLINK("CSG1.html#group10B1", "10B¹"), =HYPERLINK("CSG7.html#group35A7", "35A⁷"), =HYPERLINK("CSG8.html#group70A8", "70A⁸"), =HYPERLINK("CSG2.html#group14F2", "14F²"), =HYPERLINK("CSG0.html#group2B0", "2B⁰"), =HYPERLINK("CSG0.html#group1A0", "1A⁰"), =HYPERLINK("CSG2.html#group35A2", "35A²"), =HYPERLINK("CSG0.html#group7A0", "7A⁰")</f>
        <v/>
      </c>
      <c r="N7489" t="inlineStr"/>
    </row>
    <row r="7490">
      <c r="A7490" t="inlineStr">
        <is>
          <t>72A²³</t>
        </is>
      </c>
      <c r="B7490" t="inlineStr"/>
      <c r="C7490" t="inlineStr">
        <is>
          <t>288</t>
        </is>
      </c>
      <c r="D7490" t="inlineStr">
        <is>
          <t>1</t>
        </is>
      </c>
      <c r="E7490" t="inlineStr">
        <is>
          <t>12</t>
        </is>
      </c>
      <c r="F7490" t="inlineStr">
        <is>
          <t>0</t>
        </is>
      </c>
      <c r="G7490" t="inlineStr">
        <is>
          <t>0</t>
        </is>
      </c>
      <c r="H7490" t="inlineStr">
        <is>
          <t>72⁴</t>
        </is>
      </c>
      <c r="I7490" t="n">
        <v>4</v>
      </c>
      <c r="J7490" t="inlineStr">
        <is>
          <t>2², 4²</t>
        </is>
      </c>
      <c r="K7490">
        <f>HYPERLINK("CSG7.html#group24A7", "24A⁷"), =HYPERLINK("CSG9.html#group72F9", "72F⁹"), =HYPERLINK("CSG10.html#group72E10", "72E¹⁰"), =HYPERLINK("CSG10.html#group72F10", "72F¹⁰"), =HYPERLINK("CSG11.html#group36D11", "36D¹¹"), =HYPERLINK("CSG12.html#group72C12", "72C¹²")</f>
        <v/>
      </c>
      <c r="L7490" t="inlineStr"/>
      <c r="M7490">
        <f>HYPERLINK("CSG0.html#group2A0", "2A⁰"), =HYPERLINK("CSG10.html#group72F10", "72F¹⁰"), =HYPERLINK("CSG3.html#group18A3", "18A³"), =HYPERLINK("CSG4.html#group72C4", "72C⁴"), =HYPERLINK("CSG10.html#group72E10", "72E¹⁰"), =HYPERLINK("CSG4.html#group72D4", "72D⁴"), =HYPERLINK("CSG6.html#group36A6", "36A⁶"), =HYPERLINK("CSG0.html#group1A0", "1A⁰"), =HYPERLINK("CSG1.html#group6B1", "6B¹"), =HYPERLINK("CSG0.html#group4D0", "4D⁰"), =HYPERLINK("CSG4.html#group24B4", "24B⁴"), =HYPERLINK("CSG2.html#group12A2", "12A²"), =HYPERLINK("CSG0.html#group3C0", "3C⁰"), =HYPERLINK("CSG11.html#group36D11", "36D¹¹"), =HYPERLINK("CSG1.html#group6A1", "6A¹"), =HYPERLINK("CSG0.html#group3A0", "3A⁰"), =HYPERLINK("CSG12.html#group72C12", "72C¹²"), =HYPERLINK("CSG2.html#group24G2", "24G²"), =HYPERLINK("CSG1.html#group12G1", "12G¹"), =HYPERLINK("CSG0.html#group6B0", "6B⁰"), =HYPERLINK("CSG3.html#group24D3", "24D³"), =HYPERLINK("CSG9.html#group72F9", "72F⁹"), =HYPERLINK("CSG3.html#group36H3", "36H³"), =HYPERLINK("CSG0.html#group12F0", "12F⁰"), =HYPERLINK("CSG3.html#group12C3", "12C³"), =HYPERLINK("CSG1.html#group24B1", "24B¹"), =HYPERLINK("CSG2.html#group18A2", "18A²"), =HYPERLINK("CSG7.html#group24A7", "24A⁷"), =HYPERLINK("CSG1.html#group36A1", "36A¹"), =HYPERLINK("CSG0.html#group12A0", "12A⁰"), =HYPERLINK("CSG0.html#group9D0", "9D⁰"), =HYPERLINK("CSG0.html#group4A0", "4A⁰"), =HYPERLINK("CSG0.html#group9A0", "9A⁰"), =HYPERLINK("CSG1.html#group18A1", "18A¹"), =HYPERLINK("CSG2.html#group24H2", "24H²"), =HYPERLINK("CSG4.html#group36L4", "36L⁴")</f>
        <v/>
      </c>
      <c r="N7490" t="inlineStr"/>
    </row>
    <row r="7491">
      <c r="A7491" t="inlineStr">
        <is>
          <t>72B²³</t>
        </is>
      </c>
      <c r="B7491" t="inlineStr"/>
      <c r="C7491" t="inlineStr">
        <is>
          <t>288</t>
        </is>
      </c>
      <c r="D7491" t="inlineStr">
        <is>
          <t>1</t>
        </is>
      </c>
      <c r="E7491" t="inlineStr">
        <is>
          <t>12</t>
        </is>
      </c>
      <c r="F7491" t="inlineStr">
        <is>
          <t>0</t>
        </is>
      </c>
      <c r="G7491" t="inlineStr">
        <is>
          <t>0</t>
        </is>
      </c>
      <c r="H7491" t="inlineStr">
        <is>
          <t>72⁴</t>
        </is>
      </c>
      <c r="I7491" t="n">
        <v>4</v>
      </c>
      <c r="J7491" t="inlineStr">
        <is>
          <t>2², 4²</t>
        </is>
      </c>
      <c r="K7491">
        <f>HYPERLINK("CSG7.html#group24B7", "24B⁷"), =HYPERLINK("CSG9.html#group72G9", "72G⁹"), =HYPERLINK("CSG10.html#group72I10", "72I¹⁰"), =HYPERLINK("CSG11.html#group36D11", "36D¹¹"), =HYPERLINK("CSG12.html#group72A12", "72A¹²"), =HYPERLINK("CSG12.html#group72B12", "72B¹²")</f>
        <v/>
      </c>
      <c r="L7491" t="inlineStr"/>
      <c r="M7491">
        <f>HYPERLINK("CSG0.html#group2A0", "2A⁰"), =HYPERLINK("CSG0.html#group8A0", "8A⁰"), =HYPERLINK("CSG3.html#group18A3", "18A³"), =HYPERLINK("CSG10.html#group72I10", "72I¹⁰"), =HYPERLINK("CSG6.html#group36A6", "36A⁶"), =HYPERLINK("CSG0.html#group1A0", "1A⁰"), =HYPERLINK("CSG4.html#group72A4", "72A⁴"), =HYPERLINK("CSG1.html#group24A1", "24A¹"), =HYPERLINK("CSG1.html#group6B1", "6B¹"), =HYPERLINK("CSG0.html#group4D0", "4D⁰"), =HYPERLINK("CSG4.html#group24B4", "24B⁴"), =HYPERLINK("CSG2.html#group12A2", "12A²"), =HYPERLINK("CSG0.html#group3C0", "3C⁰"), =HYPERLINK("CSG11.html#group36D11", "36D¹¹"), =HYPERLINK("CSG12.html#group72B12", "72B¹²"), =HYPERLINK("CSG1.html#group6A1", "6A¹"), =HYPERLINK("CSG4.html#group36L4", "36L⁴"), =HYPERLINK("CSG0.html#group3A0", "3A⁰"), =HYPERLINK("CSG1.html#group12G1", "12G¹"), =HYPERLINK("CSG0.html#group6B0", "6B⁰"), =HYPERLINK("CSG4.html#group72B4", "72B⁴"), =HYPERLINK("CSG3.html#group36H3", "36H³"), =HYPERLINK("CSG3.html#group12C3", "12C³"), =HYPERLINK("CSG4.html#group24A4", "24A⁴"), =HYPERLINK("CSG0.html#group8E0", "8E⁰"), =HYPERLINK("CSG0.html#group12F0", "12F⁰"), =HYPERLINK("CSG2.html#group18A2", "18A²"), =HYPERLINK("CSG1.html#group24B1", "24B¹"), =HYPERLINK("CSG1.html#group36A1", "36A¹"), =HYPERLINK("CSG3.html#group24E3", "24E³"), =HYPERLINK("CSG0.html#group12A0", "12A⁰"), =HYPERLINK("CSG0.html#group9D0", "9D⁰"), =HYPERLINK("CSG2.html#group24K2", "24K²"), =HYPERLINK("CSG0.html#group4A0", "4A⁰"), =HYPERLINK("CSG0.html#group9A0", "9A⁰"), =HYPERLINK("CSG12.html#group72A12", "72A¹²"), =HYPERLINK("CSG9.html#group72G9", "72G⁹"), =HYPERLINK("CSG1.html#group18A1", "18A¹"), =HYPERLINK("CSG7.html#group24B7", "24B⁷")</f>
        <v/>
      </c>
      <c r="N7491" t="inlineStr"/>
    </row>
    <row r="7492">
      <c r="A7492" t="inlineStr">
        <is>
          <t>72C²³</t>
        </is>
      </c>
      <c r="B7492" t="inlineStr"/>
      <c r="C7492" t="inlineStr">
        <is>
          <t>288</t>
        </is>
      </c>
      <c r="D7492" t="inlineStr">
        <is>
          <t>1</t>
        </is>
      </c>
      <c r="E7492" t="inlineStr">
        <is>
          <t>24</t>
        </is>
      </c>
      <c r="F7492" t="inlineStr">
        <is>
          <t>0</t>
        </is>
      </c>
      <c r="G7492" t="inlineStr">
        <is>
          <t>0</t>
        </is>
      </c>
      <c r="H7492" t="inlineStr">
        <is>
          <t>72⁴</t>
        </is>
      </c>
      <c r="I7492" t="n">
        <v>4</v>
      </c>
      <c r="J7492" t="inlineStr">
        <is>
          <t>4⁶</t>
        </is>
      </c>
      <c r="K7492">
        <f>HYPERLINK("CSG7.html#group24B7", "24B⁷"), =HYPERLINK("CSG10.html#group72L10", "72L¹⁰"), =HYPERLINK("CSG11.html#group36E11", "36E¹¹")</f>
        <v/>
      </c>
      <c r="L7492" t="inlineStr"/>
      <c r="M7492">
        <f>HYPERLINK("CSG1.html#group12G1", "12G¹"), =HYPERLINK("CSG0.html#group2A0", "2A⁰"), =HYPERLINK("CSG0.html#group6B0", "6B⁰"), =HYPERLINK("CSG3.html#group12C3", "12C³"), =HYPERLINK("CSG0.html#group12F0", "12F⁰"), =HYPERLINK("CSG1.html#group18B1", "18B¹"), =HYPERLINK("CSG4.html#group24A4", "24A⁴"), =HYPERLINK("CSG0.html#group8A0", "8A⁰"), =HYPERLINK("CSG1.html#group24B1", "24B¹"), =HYPERLINK("CSG0.html#group8E0", "8E⁰"), =HYPERLINK("CSG0.html#group1A0", "1A⁰"), =HYPERLINK("CSG3.html#group24E3", "24E³"), =HYPERLINK("CSG4.html#group36N4", "36N⁴"), =HYPERLINK("CSG0.html#group12A0", "12A⁰"), =HYPERLINK("CSG2.html#group24K2", "24K²"), =HYPERLINK("CSG1.html#group24A1", "24A¹"), =HYPERLINK("CSG1.html#group6B1", "6B¹"), =HYPERLINK("CSG0.html#group4A0", "4A⁰"), =HYPERLINK("CSG3.html#group18B3", "18B³"), =HYPERLINK("CSG0.html#group4D0", "4D⁰"), =HYPERLINK("CSG4.html#group24B4", "24B⁴"), =HYPERLINK("CSG2.html#group12A2", "12A²"), =HYPERLINK("CSG0.html#group3C0", "3C⁰"), =HYPERLINK("CSG1.html#group6A1", "6A¹"), =HYPERLINK("CSG10.html#group72L10", "72L¹⁰"), =HYPERLINK("CSG0.html#group3A0", "3A⁰"), =HYPERLINK("CSG11.html#group36E11", "36E¹¹"), =HYPERLINK("CSG7.html#group24B7", "24B⁷")</f>
        <v/>
      </c>
      <c r="N7492" t="inlineStr"/>
    </row>
    <row r="7493">
      <c r="A7493" t="inlineStr">
        <is>
          <t>72D²³</t>
        </is>
      </c>
      <c r="B7493" t="inlineStr"/>
      <c r="C7493" t="inlineStr">
        <is>
          <t>288</t>
        </is>
      </c>
      <c r="D7493" t="inlineStr">
        <is>
          <t>1</t>
        </is>
      </c>
      <c r="E7493" t="inlineStr">
        <is>
          <t>24</t>
        </is>
      </c>
      <c r="F7493" t="inlineStr">
        <is>
          <t>0</t>
        </is>
      </c>
      <c r="G7493" t="inlineStr">
        <is>
          <t>0</t>
        </is>
      </c>
      <c r="H7493" t="inlineStr">
        <is>
          <t>72⁴</t>
        </is>
      </c>
      <c r="I7493" t="n">
        <v>4</v>
      </c>
      <c r="J7493" t="inlineStr">
        <is>
          <t>4⁶</t>
        </is>
      </c>
      <c r="K7493">
        <f>HYPERLINK("CSG7.html#group24A7", "24A⁷"), =HYPERLINK("CSG10.html#group72G10", "72G¹⁰"), =HYPERLINK("CSG10.html#group72H10", "72H¹⁰"), =HYPERLINK("CSG11.html#group36E11", "36E¹¹")</f>
        <v/>
      </c>
      <c r="L7493" t="inlineStr"/>
      <c r="M7493">
        <f>HYPERLINK("CSG1.html#group12G1", "12G¹"), =HYPERLINK("CSG0.html#group2A0", "2A⁰"), =HYPERLINK("CSG10.html#group72H10", "72H¹⁰"), =HYPERLINK("CSG0.html#group6B0", "6B⁰"), =HYPERLINK("CSG3.html#group24D3", "24D³"), =HYPERLINK("CSG3.html#group12C3", "12C³"), =HYPERLINK("CSG0.html#group12F0", "12F⁰"), =HYPERLINK("CSG1.html#group18B1", "18B¹"), =HYPERLINK("CSG1.html#group24B1", "24B¹"), =HYPERLINK("CSG7.html#group24A7", "24A⁷"), =HYPERLINK("CSG0.html#group1A0", "1A⁰"), =HYPERLINK("CSG10.html#group72G10", "72G¹⁰"), =HYPERLINK("CSG4.html#group36N4", "36N⁴"), =HYPERLINK("CSG0.html#group12A0", "12A⁰"), =HYPERLINK("CSG1.html#group6B1", "6B¹"), =HYPERLINK("CSG0.html#group4A0", "4A⁰"), =HYPERLINK("CSG3.html#group18B3", "18B³"), =HYPERLINK("CSG0.html#group4D0", "4D⁰"), =HYPERLINK("CSG4.html#group24B4", "24B⁴"), =HYPERLINK("CSG2.html#group12A2", "12A²"), =HYPERLINK("CSG0.html#group3C0", "3C⁰"), =HYPERLINK("CSG1.html#group6A1", "6A¹"), =HYPERLINK("CSG0.html#group3A0", "3A⁰"), =HYPERLINK("CSG11.html#group36E11", "36E¹¹"), =HYPERLINK("CSG2.html#group24G2", "24G²"), =HYPERLINK("CSG2.html#group24H2", "24H²")</f>
        <v/>
      </c>
      <c r="N7493" t="inlineStr"/>
    </row>
    <row r="7494">
      <c r="A7494" t="inlineStr">
        <is>
          <t>72E²³</t>
        </is>
      </c>
      <c r="B7494" t="inlineStr"/>
      <c r="C7494" t="inlineStr">
        <is>
          <t>288</t>
        </is>
      </c>
      <c r="D7494" t="inlineStr">
        <is>
          <t>1</t>
        </is>
      </c>
      <c r="E7494" t="inlineStr">
        <is>
          <t>144</t>
        </is>
      </c>
      <c r="F7494" t="inlineStr">
        <is>
          <t>0</t>
        </is>
      </c>
      <c r="G7494" t="inlineStr">
        <is>
          <t>0</t>
        </is>
      </c>
      <c r="H7494" t="inlineStr">
        <is>
          <t>72⁴</t>
        </is>
      </c>
      <c r="I7494" t="n">
        <v>4</v>
      </c>
      <c r="J7494" t="inlineStr">
        <is>
          <t>4⁴, 8⁴, 24⁴</t>
        </is>
      </c>
      <c r="K7494">
        <f>HYPERLINK("CSG6.html#group36A6", "36A⁶"), =HYPERLINK("CSG7.html#group24C7", "24C⁷"), =HYPERLINK("CSG7.html#group72E7", "72E⁷")</f>
        <v/>
      </c>
      <c r="L7494" t="inlineStr"/>
      <c r="M7494">
        <f>HYPERLINK("CSG0.html#group2A0", "2A⁰"), =HYPERLINK("CSG2.html#group18A2", "18A²"), =HYPERLINK("CSG1.html#group8E1", "8E¹"), =HYPERLINK("CSG6.html#group36A6", "36A⁶"), =HYPERLINK("CSG0.html#group1A0", "1A⁰"), =HYPERLINK("CSG7.html#group72E7", "72E⁷"), =HYPERLINK("CSG1.html#group36A1", "36A¹"), =HYPERLINK("CSG1.html#group24F1", "24F¹"), =HYPERLINK("CSG7.html#group24C7", "24C⁷"), =HYPERLINK("CSG0.html#group12A0", "12A⁰"), =HYPERLINK("CSG0.html#group8F0", "8F⁰"), =HYPERLINK("CSG0.html#group4A0", "4A⁰"), =HYPERLINK("CSG0.html#group4D0", "4D⁰"), =HYPERLINK("CSG0.html#group9A0", "9A⁰"), =HYPERLINK("CSG2.html#group12A2", "12A²"), =HYPERLINK("CSG1.html#group6A1", "6A¹"), =HYPERLINK("CSG0.html#group3A0", "3A⁰")</f>
        <v/>
      </c>
      <c r="N7494" t="inlineStr"/>
    </row>
    <row r="7495">
      <c r="A7495" t="inlineStr">
        <is>
          <t>72F²³</t>
        </is>
      </c>
      <c r="B7495" t="inlineStr"/>
      <c r="C7495" t="inlineStr">
        <is>
          <t>288</t>
        </is>
      </c>
      <c r="D7495" t="inlineStr">
        <is>
          <t>2</t>
        </is>
      </c>
      <c r="E7495" t="inlineStr">
        <is>
          <t>12</t>
        </is>
      </c>
      <c r="F7495" t="inlineStr">
        <is>
          <t>0</t>
        </is>
      </c>
      <c r="G7495" t="inlineStr">
        <is>
          <t>0</t>
        </is>
      </c>
      <c r="H7495" t="inlineStr">
        <is>
          <t>72⁴</t>
        </is>
      </c>
      <c r="I7495" t="n">
        <v>4</v>
      </c>
      <c r="J7495" t="inlineStr">
        <is>
          <t>4², 8²</t>
        </is>
      </c>
      <c r="K7495">
        <f>HYPERLINK("CSG7.html#group24D7", "24D⁷"), =HYPERLINK("CSG9.html#group72G9", "72G⁹"), =HYPERLINK("CSG9.html#group72F9", "72F⁹"), =HYPERLINK("CSG11.html#group36C11", "36C¹¹"), =HYPERLINK("CSG11.html#group72G11", "72G¹¹"), =HYPERLINK("CSG11.html#group72H11", "72H¹¹"), =HYPERLINK("CSG11.html#group72E11", "72E¹¹"), =HYPERLINK("CSG11.html#group72F11", "72F¹¹")</f>
        <v/>
      </c>
      <c r="L7495" t="inlineStr"/>
      <c r="M7495">
        <f>HYPERLINK("CSG11.html#group36C11", "36C¹¹"), =HYPERLINK("CSG2.html#group24A2", "24A²"), =HYPERLINK("CSG11.html#group72E11", "72E¹¹"), =HYPERLINK("CSG0.html#group8A0", "8A⁰"), =HYPERLINK("CSG4.html#group72C4", "72C⁴"), =HYPERLINK("CSG7.html#group24D7", "24D⁷"), =HYPERLINK("CSG4.html#group72D4", "72D⁴"), =HYPERLINK("CSG0.html#group1A0", "1A⁰"), =HYPERLINK("CSG1.html#group9B1", "9B¹"), =HYPERLINK("CSG11.html#group72H11", "72H¹¹"), =HYPERLINK("CSG4.html#group72A4", "72A⁴"), =HYPERLINK("CSG1.html#group24A1", "24A¹"), =HYPERLINK("CSG2.html#group9A2", "9A²"), =HYPERLINK("CSG5.html#group36E5", "36E⁵"), =HYPERLINK("CSG1.html#group12A1", "12A¹"), =HYPERLINK("CSG0.html#group3C0", "3C⁰"), =HYPERLINK("CSG0.html#group3A0", "3A⁰"), =HYPERLINK("CSG11.html#group72F11", "72F¹¹"), =HYPERLINK("CSG1.html#group12G1", "12G¹"), =HYPERLINK("CSG0.html#group3B0", "3B⁰"), =HYPERLINK("CSG3.html#group24D3", "24D³"), =HYPERLINK("CSG11.html#group72G11", "72G¹¹"), =HYPERLINK("CSG3.html#group12B3", "12B³"), =HYPERLINK("CSG9.html#group72F9", "72F⁹"), =HYPERLINK("CSG4.html#group72B4", "72B⁴"), =HYPERLINK("CSG3.html#group36H3", "36H³"), =HYPERLINK("CSG1.html#group24B1", "24B¹"), =HYPERLINK("CSG1.html#group36A1", "36A¹"), =HYPERLINK("CSG3.html#group24E3", "24E³"), =HYPERLINK("CSG0.html#group12A0", "12A⁰"), =HYPERLINK("CSG0.html#group9D0", "9D⁰"), =HYPERLINK("CSG0.html#group4A0", "4A⁰"), =HYPERLINK("CSG0.html#group9A0", "9A⁰"), =HYPERLINK("CSG0.html#group3D0", "3D⁰"), =HYPERLINK("CSG9.html#group72G9", "72G⁹")</f>
        <v/>
      </c>
      <c r="N7495" t="inlineStr"/>
    </row>
    <row r="7496">
      <c r="A7496" t="inlineStr">
        <is>
          <t>72G²³</t>
        </is>
      </c>
      <c r="B7496" t="inlineStr"/>
      <c r="C7496" t="inlineStr">
        <is>
          <t>288</t>
        </is>
      </c>
      <c r="D7496" t="inlineStr">
        <is>
          <t>2</t>
        </is>
      </c>
      <c r="E7496" t="inlineStr">
        <is>
          <t>36</t>
        </is>
      </c>
      <c r="F7496" t="inlineStr">
        <is>
          <t>0</t>
        </is>
      </c>
      <c r="G7496" t="inlineStr">
        <is>
          <t>0</t>
        </is>
      </c>
      <c r="H7496" t="inlineStr">
        <is>
          <t>72⁴</t>
        </is>
      </c>
      <c r="I7496" t="n">
        <v>4</v>
      </c>
      <c r="J7496" t="inlineStr">
        <is>
          <t>4⁶, 12⁴</t>
        </is>
      </c>
      <c r="K7496">
        <f>HYPERLINK("CSG7.html#group24A7", "24A⁷"), =HYPERLINK("CSG8.html#group72H8", "72H⁸"), =HYPERLINK("CSG8.html#group72I8", "72I⁸"), =HYPERLINK("CSG11.html#group36F11", "36F¹¹"), =HYPERLINK("CSG11.html#group72E11", "72E¹¹"), =HYPERLINK("CSG11.html#group72F11", "72F¹¹"), =HYPERLINK("CSG12.html#group72B12", "72B¹²"), =HYPERLINK("CSG12.html#group72C12", "72C¹²")</f>
        <v/>
      </c>
      <c r="L7496" t="inlineStr"/>
      <c r="M7496">
        <f>HYPERLINK("CSG0.html#group2A0", "2A⁰"), =HYPERLINK("CSG11.html#group72E11", "72E¹¹"), =HYPERLINK("CSG4.html#group72C4", "72C⁴"), =HYPERLINK("CSG4.html#group72D4", "72D⁴"), =HYPERLINK("CSG6.html#group36A6", "36A⁶"), =HYPERLINK("CSG0.html#group1A0", "1A⁰"), =HYPERLINK("CSG0.html#group18A0", "18A⁰"), =HYPERLINK("CSG1.html#group9B1", "9B¹"), =HYPERLINK("CSG1.html#group6B1", "6B¹"), =HYPERLINK("CSG0.html#group4D0", "4D⁰"), =HYPERLINK("CSG5.html#group36E5", "36E⁵"), =HYPERLINK("CSG4.html#group24B4", "24B⁴"), =HYPERLINK("CSG2.html#group12A2", "12A²"), =HYPERLINK("CSG0.html#group3C0", "3C⁰"), =HYPERLINK("CSG1.html#group6A1", "6A¹"), =HYPERLINK("CSG12.html#group72B12", "72B¹²"), =HYPERLINK("CSG0.html#group3A0", "3A⁰"), =HYPERLINK("CSG12.html#group72C12", "72C¹²"), =HYPERLINK("CSG2.html#group24G2", "24G²"), =HYPERLINK("CSG11.html#group72F11", "72F¹¹"), =HYPERLINK("CSG1.html#group12G1", "12G¹"), =HYPERLINK("CSG2.html#group36D2", "36D²"), =HYPERLINK("CSG0.html#group6B0", "6B⁰"), =HYPERLINK("CSG3.html#group24D3", "24D³"), =HYPERLINK("CSG11.html#group36F11", "36F¹¹"), =HYPERLINK("CSG4.html#group72B4", "72B⁴"), =HYPERLINK("CSG8.html#group72H8", "72H⁸"), =HYPERLINK("CSG0.html#group12F0", "12F⁰"), =HYPERLINK("CSG3.html#group12C3", "12C³"), =HYPERLINK("CSG1.html#group24B1", "24B¹"), =HYPERLINK("CSG2.html#group18A2", "18A²"), =HYPERLINK("CSG7.html#group24A7", "24A⁷"), =HYPERLINK("CSG1.html#group36A1", "36A¹"), =HYPERLINK("CSG8.html#group72I8", "72I⁸"), =HYPERLINK("CSG0.html#group12A0", "12A⁰"), =HYPERLINK("CSG0.html#group4A0", "4A⁰"), =HYPERLINK("CSG0.html#group9A0", "9A⁰"), =HYPERLINK("CSG3.html#group18C3", "18C³"), =HYPERLINK("CSG2.html#group24H2", "24H²")</f>
        <v/>
      </c>
      <c r="N7496" t="inlineStr"/>
    </row>
    <row r="7497">
      <c r="A7497" t="inlineStr">
        <is>
          <t>72H²³</t>
        </is>
      </c>
      <c r="B7497" t="inlineStr"/>
      <c r="C7497" t="inlineStr">
        <is>
          <t>288</t>
        </is>
      </c>
      <c r="D7497" t="inlineStr">
        <is>
          <t>2</t>
        </is>
      </c>
      <c r="E7497" t="inlineStr">
        <is>
          <t>36</t>
        </is>
      </c>
      <c r="F7497" t="inlineStr">
        <is>
          <t>0</t>
        </is>
      </c>
      <c r="G7497" t="inlineStr">
        <is>
          <t>0</t>
        </is>
      </c>
      <c r="H7497" t="inlineStr">
        <is>
          <t>72⁴</t>
        </is>
      </c>
      <c r="I7497" t="n">
        <v>4</v>
      </c>
      <c r="J7497" t="inlineStr">
        <is>
          <t>4⁶, 12⁴</t>
        </is>
      </c>
      <c r="K7497">
        <f>HYPERLINK("CSG7.html#group24B7", "24B⁷"), =HYPERLINK("CSG8.html#group72J8", "72J⁸"), =HYPERLINK("CSG8.html#group72K8", "72K⁸"), =HYPERLINK("CSG11.html#group36F11", "36F¹¹"), =HYPERLINK("CSG11.html#group72G11", "72G¹¹"), =HYPERLINK("CSG11.html#group72H11", "72H¹¹"), =HYPERLINK("CSG12.html#group72A12", "72A¹²"), =HYPERLINK("CSG12.html#group72C12", "72C¹²")</f>
        <v/>
      </c>
      <c r="L7497" t="inlineStr"/>
      <c r="M7497">
        <f>HYPERLINK("CSG0.html#group2A0", "2A⁰"), =HYPERLINK("CSG0.html#group8A0", "8A⁰"), =HYPERLINK("CSG4.html#group72C4", "72C⁴"), =HYPERLINK("CSG4.html#group72D4", "72D⁴"), =HYPERLINK("CSG6.html#group36A6", "36A⁶"), =HYPERLINK("CSG0.html#group1A0", "1A⁰"), =HYPERLINK("CSG0.html#group18A0", "18A⁰"), =HYPERLINK("CSG1.html#group9B1", "9B¹"), =HYPERLINK("CSG11.html#group72H11", "72H¹¹"), =HYPERLINK("CSG4.html#group72A4", "72A⁴"), =HYPERLINK("CSG8.html#group72K8", "72K⁸"), =HYPERLINK("CSG1.html#group24A1", "24A¹"), =HYPERLINK("CSG1.html#group6B1", "6B¹"), =HYPERLINK("CSG0.html#group4D0", "4D⁰"), =HYPERLINK("CSG5.html#group36E5", "36E⁵"), =HYPERLINK("CSG4.html#group24B4", "24B⁴"), =HYPERLINK("CSG2.html#group12A2", "12A²"), =HYPERLINK("CSG0.html#group3C0", "3C⁰"), =HYPERLINK("CSG1.html#group6A1", "6A¹"), =HYPERLINK("CSG0.html#group3A0", "3A⁰"), =HYPERLINK("CSG12.html#group72C12", "72C¹²"), =HYPERLINK("CSG1.html#group12G1", "12G¹"), =HYPERLINK("CSG8.html#group72J8", "72J⁸"), =HYPERLINK("CSG2.html#group36D2", "36D²"), =HYPERLINK("CSG0.html#group6B0", "6B⁰"), =HYPERLINK("CSG11.html#group36F11", "36F¹¹"), =HYPERLINK("CSG11.html#group72G11", "72G¹¹"), =HYPERLINK("CSG0.html#group12F0", "12F⁰"), =HYPERLINK("CSG3.html#group12C3", "12C³"), =HYPERLINK("CSG4.html#group24A4", "24A⁴"), =HYPERLINK("CSG0.html#group8E0", "8E⁰"), =HYPERLINK("CSG1.html#group24B1", "24B¹"), =HYPERLINK("CSG2.html#group18A2", "18A²"), =HYPERLINK("CSG1.html#group36A1", "36A¹"), =HYPERLINK("CSG3.html#group24E3", "24E³"), =HYPERLINK("CSG0.html#group12A0", "12A⁰"), =HYPERLINK("CSG2.html#group24K2", "24K²"), =HYPERLINK("CSG0.html#group4A0", "4A⁰"), =HYPERLINK("CSG0.html#group9A0", "9A⁰"), =HYPERLINK("CSG12.html#group72A12", "72A¹²"), =HYPERLINK("CSG3.html#group18C3", "18C³"), =HYPERLINK("CSG7.html#group24B7", "24B⁷")</f>
        <v/>
      </c>
      <c r="N7497" t="inlineStr"/>
    </row>
    <row r="7498">
      <c r="A7498" t="inlineStr">
        <is>
          <t>72I²³</t>
        </is>
      </c>
      <c r="B7498" t="inlineStr"/>
      <c r="C7498" t="inlineStr">
        <is>
          <t>432</t>
        </is>
      </c>
      <c r="D7498" t="inlineStr">
        <is>
          <t>1</t>
        </is>
      </c>
      <c r="E7498" t="inlineStr">
        <is>
          <t>54</t>
        </is>
      </c>
      <c r="F7498" t="inlineStr">
        <is>
          <t>8</t>
        </is>
      </c>
      <c r="G7498" t="inlineStr">
        <is>
          <t>0</t>
        </is>
      </c>
      <c r="H7498" t="inlineStr">
        <is>
          <t>6¹², 18⁴, 24⁶, 72²</t>
        </is>
      </c>
      <c r="I7498" t="n">
        <v>24</v>
      </c>
      <c r="J7498" t="inlineStr">
        <is>
          <t>2³, 4³, 6³, 12⁶</t>
        </is>
      </c>
      <c r="K7498">
        <f>HYPERLINK("CSG5.html#group24T5", "24T⁵"), =HYPERLINK("CSG8.html#group72L8", "72L⁸"), =HYPERLINK("CSG9.html#group36P9", "36P⁹"), =HYPERLINK("CSG12.html#group72D12", "72D¹²")</f>
        <v/>
      </c>
      <c r="L7498" t="inlineStr"/>
      <c r="M7498">
        <f>HYPERLINK("CSG1.html#group12T1", "12T¹"), =HYPERLINK("CSG5.html#group36I5", "36I⁵"), =HYPERLINK("CSG0.html#group12C0", "12C⁰"), =HYPERLINK("CSG0.html#group4C0", "4C⁰"), =HYPERLINK("CSG0.html#group6G0", "6G⁰"), =HYPERLINK("CSG3.html#group24M3", "24M³"), =HYPERLINK("CSG0.html#group2B0", "2B⁰"), =HYPERLINK("CSG0.html#group9E0", "9E⁰"), =HYPERLINK("CSG1.html#group12N1", "12N¹"), =HYPERLINK("CSG0.html#group1A0", "1A⁰"), =HYPERLINK("CSG8.html#group72L8", "72L⁸"), =HYPERLINK("CSG0.html#group3C0", "3C⁰"), =HYPERLINK("CSG3.html#group18K3", "18K³"), =HYPERLINK("CSG1.html#group18G1", "18G¹"), =HYPERLINK("CSG3.html#group36I3", "36I³"), =HYPERLINK("CSG0.html#group6H0", "6H⁰"), =HYPERLINK("CSG0.html#group3A0", "3A⁰"), =HYPERLINK("CSG1.html#group24I1", "24I¹"), =HYPERLINK("CSG0.html#group6B0", "6B⁰"), =HYPERLINK("CSG1.html#group18I1", "18I¹"), =HYPERLINK("CSG12.html#group72D12", "72D¹²"), =HYPERLINK("CSG1.html#group12L1", "12L¹"), =HYPERLINK("CSG9.html#group36P9", "36P⁹"), =HYPERLINK("CSG0.html#group12G0", "12G⁰"), =HYPERLINK("CSG1.html#group12C1", "12C¹"), =HYPERLINK("CSG0.html#group6E0", "6E⁰"), =HYPERLINK("CSG0.html#group6L0", "6L⁰"), =HYPERLINK("CSG5.html#group24T5", "24T⁵"), =HYPERLINK("CSG0.html#group12D0", "12D⁰"), =HYPERLINK("CSG1.html#group18F1", "18F¹"), =HYPERLINK("CSG0.html#group12H0", "12H⁰"), =HYPERLINK("CSG0.html#group6D0", "6D⁰")</f>
        <v/>
      </c>
      <c r="N7498" t="inlineStr"/>
    </row>
    <row r="7499">
      <c r="A7499" t="inlineStr">
        <is>
          <t>72J²³</t>
        </is>
      </c>
      <c r="B7499" t="inlineStr"/>
      <c r="C7499" t="inlineStr">
        <is>
          <t>432</t>
        </is>
      </c>
      <c r="D7499" t="inlineStr">
        <is>
          <t>1</t>
        </is>
      </c>
      <c r="E7499" t="inlineStr">
        <is>
          <t>54</t>
        </is>
      </c>
      <c r="F7499" t="inlineStr">
        <is>
          <t>8</t>
        </is>
      </c>
      <c r="G7499" t="inlineStr">
        <is>
          <t>0</t>
        </is>
      </c>
      <c r="H7499" t="inlineStr">
        <is>
          <t>6¹², 18⁴, 24⁶, 72²</t>
        </is>
      </c>
      <c r="I7499" t="n">
        <v>24</v>
      </c>
      <c r="J7499" t="inlineStr">
        <is>
          <t>2³, 4³, 6³, 12⁶</t>
        </is>
      </c>
      <c r="K7499">
        <f>HYPERLINK("CSG5.html#group24T5", "24T⁵"), =HYPERLINK("CSG8.html#group72M8", "72M⁸"), =HYPERLINK("CSG9.html#group36P9", "36P⁹"), =HYPERLINK("CSG12.html#group72E12", "72E¹²")</f>
        <v/>
      </c>
      <c r="L7499" t="inlineStr"/>
      <c r="M7499">
        <f>HYPERLINK("CSG1.html#group12T1", "12T¹"), =HYPERLINK("CSG5.html#group36I5", "36I⁵"), =HYPERLINK("CSG0.html#group12C0", "12C⁰"), =HYPERLINK("CSG0.html#group4C0", "4C⁰"), =HYPERLINK("CSG0.html#group6G0", "6G⁰"), =HYPERLINK("CSG3.html#group24M3", "24M³"), =HYPERLINK("CSG0.html#group2B0", "2B⁰"), =HYPERLINK("CSG0.html#group9E0", "9E⁰"), =HYPERLINK("CSG1.html#group12N1", "12N¹"), =HYPERLINK("CSG0.html#group1A0", "1A⁰"), =HYPERLINK("CSG12.html#group72E12", "72E¹²"), =HYPERLINK("CSG0.html#group3C0", "3C⁰"), =HYPERLINK("CSG3.html#group18K3", "18K³"), =HYPERLINK("CSG1.html#group18G1", "18G¹"), =HYPERLINK("CSG3.html#group36I3", "36I³"), =HYPERLINK("CSG0.html#group6H0", "6H⁰"), =HYPERLINK("CSG0.html#group3A0", "3A⁰"), =HYPERLINK("CSG1.html#group24I1", "24I¹"), =HYPERLINK("CSG0.html#group6B0", "6B⁰"), =HYPERLINK("CSG1.html#group18I1", "18I¹"), =HYPERLINK("CSG8.html#group72M8", "72M⁸"), =HYPERLINK("CSG1.html#group12L1", "12L¹"), =HYPERLINK("CSG9.html#group36P9", "36P⁹"), =HYPERLINK("CSG0.html#group12G0", "12G⁰"), =HYPERLINK("CSG1.html#group12C1", "12C¹"), =HYPERLINK("CSG0.html#group6E0", "6E⁰"), =HYPERLINK("CSG0.html#group6L0", "6L⁰"), =HYPERLINK("CSG5.html#group24T5", "24T⁵"), =HYPERLINK("CSG0.html#group12D0", "12D⁰"), =HYPERLINK("CSG1.html#group18F1", "18F¹"), =HYPERLINK("CSG0.html#group12H0", "12H⁰"), =HYPERLINK("CSG0.html#group6D0", "6D⁰")</f>
        <v/>
      </c>
      <c r="N7499" t="inlineStr"/>
    </row>
    <row r="7500">
      <c r="A7500" t="inlineStr">
        <is>
          <t>72K²³</t>
        </is>
      </c>
      <c r="B7500" t="inlineStr"/>
      <c r="C7500" t="inlineStr">
        <is>
          <t>432</t>
        </is>
      </c>
      <c r="D7500" t="inlineStr">
        <is>
          <t>1</t>
        </is>
      </c>
      <c r="E7500" t="inlineStr">
        <is>
          <t>108</t>
        </is>
      </c>
      <c r="F7500" t="inlineStr">
        <is>
          <t>8</t>
        </is>
      </c>
      <c r="G7500" t="inlineStr">
        <is>
          <t>0</t>
        </is>
      </c>
      <c r="H7500" t="inlineStr">
        <is>
          <t>6¹², 18⁴, 24⁶, 72²</t>
        </is>
      </c>
      <c r="I7500" t="n">
        <v>24</v>
      </c>
      <c r="J7500" t="inlineStr">
        <is>
          <t>1², 2⁴, 3², 4², 6⁶, 12⁴</t>
        </is>
      </c>
      <c r="K7500">
        <f>HYPERLINK("CSG5.html#group24U5", "24U⁵"), =HYPERLINK("CSG9.html#group36P9", "36P⁹"), =HYPERLINK("CSG12.html#group72I12", "72I¹²"), =HYPERLINK("CSG12.html#group72H12", "72H¹²")</f>
        <v/>
      </c>
      <c r="L7500" t="inlineStr"/>
      <c r="M7500">
        <f>HYPERLINK("CSG5.html#group36I5", "36I⁵"), =HYPERLINK("CSG1.html#group12T1", "12T¹"), =HYPERLINK("CSG1.html#group24E1", "24E¹"), =HYPERLINK("CSG2.html#group24O2", "24O²"), =HYPERLINK("CSG0.html#group12C0", "12C⁰"), =HYPERLINK("CSG0.html#group4C0", "4C⁰"), =HYPERLINK("CSG0.html#group6G0", "6G⁰"), =HYPERLINK("CSG0.html#group2B0", "2B⁰"), =HYPERLINK("CSG0.html#group9E0", "9E⁰"), =HYPERLINK("CSG1.html#group12N1", "12N¹"), =HYPERLINK("CSG0.html#group1A0", "1A⁰"), =HYPERLINK("CSG3.html#group24O3", "24O³"), =HYPERLINK("CSG3.html#group24N3", "24N³"), =HYPERLINK("CSG5.html#group24U5", "24U⁵"), =HYPERLINK("CSG12.html#group72H12", "72H¹²"), =HYPERLINK("CSG0.html#group3C0", "3C⁰"), =HYPERLINK("CSG3.html#group18K3", "18K³"), =HYPERLINK("CSG1.html#group18G1", "18G¹"), =HYPERLINK("CSG3.html#group36I3", "36I³"), =HYPERLINK("CSG0.html#group6H0", "6H⁰"), =HYPERLINK("CSG0.html#group3A0", "3A⁰"), =HYPERLINK("CSG0.html#group6B0", "6B⁰"), =HYPERLINK("CSG2.html#group24N2", "24N²"), =HYPERLINK("CSG0.html#group8D0", "8D⁰"), =HYPERLINK("CSG1.html#group18I1", "18I¹"), =HYPERLINK("CSG1.html#group12L1", "12L¹"), =HYPERLINK("CSG9.html#group36P9", "36P⁹"), =HYPERLINK("CSG12.html#group72I12", "72I¹²"), =HYPERLINK("CSG0.html#group12G0", "12G⁰"), =HYPERLINK("CSG1.html#group12C1", "12C¹"), =HYPERLINK("CSG0.html#group6E0", "6E⁰"), =HYPERLINK("CSG0.html#group6L0", "6L⁰"), =HYPERLINK("CSG1.html#group24C1", "24C¹"), =HYPERLINK("CSG0.html#group12D0", "12D⁰"), =HYPERLINK("CSG1.html#group18F1", "18F¹"), =HYPERLINK("CSG0.html#group12H0", "12H⁰"), =HYPERLINK("CSG0.html#group6D0", "6D⁰")</f>
        <v/>
      </c>
      <c r="N7500" t="inlineStr"/>
    </row>
    <row r="7501">
      <c r="A7501" t="inlineStr">
        <is>
          <t>75A²³</t>
        </is>
      </c>
      <c r="B7501" t="inlineStr"/>
      <c r="C7501" t="inlineStr">
        <is>
          <t>300</t>
        </is>
      </c>
      <c r="D7501" t="inlineStr">
        <is>
          <t>1</t>
        </is>
      </c>
      <c r="E7501" t="inlineStr">
        <is>
          <t>150</t>
        </is>
      </c>
      <c r="F7501" t="inlineStr">
        <is>
          <t>4</t>
        </is>
      </c>
      <c r="G7501" t="inlineStr">
        <is>
          <t>0</t>
        </is>
      </c>
      <c r="H7501" t="inlineStr">
        <is>
          <t>75⁴</t>
        </is>
      </c>
      <c r="I7501" t="n">
        <v>4</v>
      </c>
      <c r="J7501" t="inlineStr">
        <is>
          <t>2¹, 4³, 8², 20², 40²</t>
        </is>
      </c>
      <c r="K7501">
        <f>HYPERLINK("CSG3.html#group15C3", "15C³"), =HYPERLINK("CSG11.html#group75A11", "75A¹¹")</f>
        <v/>
      </c>
      <c r="L7501" t="inlineStr"/>
      <c r="M7501">
        <f>HYPERLINK("CSG1.html#group15D1", "15D¹"), =HYPERLINK("CSG0.html#group5C0", "5C⁰"), =HYPERLINK("CSG2.html#group25E2", "25E²"), =HYPERLINK("CSG0.html#group3C0", "3C⁰"), =HYPERLINK("CSG11.html#group75A11", "75A¹¹"), =HYPERLINK("CSG3.html#group15C3", "15C³"), =HYPERLINK("CSG0.html#group3A0", "3A⁰"), =HYPERLINK("CSG0.html#group1A0", "1A⁰")</f>
        <v/>
      </c>
      <c r="N7501" t="inlineStr"/>
    </row>
    <row r="7502">
      <c r="A7502" t="inlineStr">
        <is>
          <t>78A²³</t>
        </is>
      </c>
      <c r="B7502" t="inlineStr"/>
      <c r="C7502" t="inlineStr">
        <is>
          <t>336</t>
        </is>
      </c>
      <c r="D7502" t="inlineStr">
        <is>
          <t>1</t>
        </is>
      </c>
      <c r="E7502" t="inlineStr">
        <is>
          <t>56</t>
        </is>
      </c>
      <c r="F7502" t="inlineStr">
        <is>
          <t>0</t>
        </is>
      </c>
      <c r="G7502" t="inlineStr">
        <is>
          <t>0</t>
        </is>
      </c>
      <c r="H7502" t="inlineStr">
        <is>
          <t>2³, 6³, 26³, 78³</t>
        </is>
      </c>
      <c r="I7502" t="n">
        <v>12</v>
      </c>
      <c r="J7502" t="inlineStr">
        <is>
          <t>1⁴, 2², 12², 24¹</t>
        </is>
      </c>
      <c r="K7502">
        <f>HYPERLINK("CSG2.html#group26B2", "26B²"), =HYPERLINK("CSG7.html#group78B7", "78B⁷"), =HYPERLINK("CSG9.html#group39B9", "39B⁹")</f>
        <v/>
      </c>
      <c r="L7502" t="inlineStr"/>
      <c r="M7502">
        <f>HYPERLINK("CSG0.html#group3B0", "3B⁰"), =HYPERLINK("CSG3.html#group39A3", "39A³"), =HYPERLINK("CSG9.html#group39B9", "39B⁹"), =HYPERLINK("CSG0.html#group13A0", "13A⁰"), =HYPERLINK("CSG7.html#group78B7", "78B⁷"), =HYPERLINK("CSG0.html#group13C0", "13C⁰"), =HYPERLINK("CSG0.html#group26A0", "26A⁰"), =HYPERLINK("CSG2.html#group26B2", "26B²"), =HYPERLINK("CSG0.html#group1A0", "1A⁰")</f>
        <v/>
      </c>
      <c r="N7502" t="inlineStr"/>
    </row>
    <row r="7503">
      <c r="A7503" t="inlineStr">
        <is>
          <t>78B²³</t>
        </is>
      </c>
      <c r="B7503" t="inlineStr"/>
      <c r="C7503" t="inlineStr">
        <is>
          <t>336</t>
        </is>
      </c>
      <c r="D7503" t="inlineStr">
        <is>
          <t>1</t>
        </is>
      </c>
      <c r="E7503" t="inlineStr">
        <is>
          <t>56</t>
        </is>
      </c>
      <c r="F7503" t="inlineStr">
        <is>
          <t>0</t>
        </is>
      </c>
      <c r="G7503" t="inlineStr">
        <is>
          <t>0</t>
        </is>
      </c>
      <c r="H7503" t="inlineStr">
        <is>
          <t>2³, 6³, 26³, 78³</t>
        </is>
      </c>
      <c r="I7503" t="n">
        <v>12</v>
      </c>
      <c r="J7503" t="inlineStr">
        <is>
          <t>1⁴, 2², 12², 24¹</t>
        </is>
      </c>
      <c r="K7503">
        <f>HYPERLINK("CSG5.html#group26A5", "26A⁵"), =HYPERLINK("CSG7.html#group78C7", "78C⁷"), =HYPERLINK("CSG9.html#group39B9", "39B⁹")</f>
        <v/>
      </c>
      <c r="L7503" t="inlineStr"/>
      <c r="M7503">
        <f>HYPERLINK("CSG0.html#group2A0", "2A⁰"), =HYPERLINK("CSG0.html#group3B0", "3B⁰"), =HYPERLINK("CSG5.html#group26A5", "26A⁵"), =HYPERLINK("CSG1.html#group26A1", "26A¹"), =HYPERLINK("CSG3.html#group39A3", "39A³"), =HYPERLINK("CSG7.html#group78C7", "78C⁷"), =HYPERLINK("CSG9.html#group39B9", "39B⁹"), =HYPERLINK("CSG0.html#group13A0", "13A⁰"), =HYPERLINK("CSG0.html#group6C0", "6C⁰"), =HYPERLINK("CSG0.html#group13C0", "13C⁰"), =HYPERLINK("CSG0.html#group1A0", "1A⁰")</f>
        <v/>
      </c>
      <c r="N7503" t="inlineStr"/>
    </row>
    <row r="7504">
      <c r="A7504" t="inlineStr">
        <is>
          <t>78C²³</t>
        </is>
      </c>
      <c r="B7504" t="inlineStr"/>
      <c r="C7504" t="inlineStr">
        <is>
          <t>336</t>
        </is>
      </c>
      <c r="D7504" t="inlineStr">
        <is>
          <t>1</t>
        </is>
      </c>
      <c r="E7504" t="inlineStr">
        <is>
          <t>56</t>
        </is>
      </c>
      <c r="F7504" t="inlineStr">
        <is>
          <t>0</t>
        </is>
      </c>
      <c r="G7504" t="inlineStr">
        <is>
          <t>0</t>
        </is>
      </c>
      <c r="H7504" t="inlineStr">
        <is>
          <t>2³, 6³, 26³, 78³</t>
        </is>
      </c>
      <c r="I7504" t="n">
        <v>12</v>
      </c>
      <c r="J7504" t="inlineStr">
        <is>
          <t>1⁴, 2², 12², 24¹</t>
        </is>
      </c>
      <c r="K7504">
        <f>HYPERLINK("CSG0.html#group6I0", "6I⁰"), =HYPERLINK("CSG5.html#group26B5", "26B⁵"), =HYPERLINK("CSG7.html#group78C7", "78C⁷"), =HYPERLINK("CSG11.html#group78C11", "78C¹¹")</f>
        <v/>
      </c>
      <c r="L7504" t="inlineStr"/>
      <c r="M7504">
        <f>HYPERLINK("CSG0.html#group2A0", "2A⁰"), =HYPERLINK("CSG0.html#group3B0", "3B⁰"), =HYPERLINK("CSG1.html#group26A1", "26A¹"), =HYPERLINK("CSG3.html#group39A3", "39A³"), =HYPERLINK("CSG0.html#group6I0", "6I⁰"), =HYPERLINK("CSG7.html#group78C7", "78C⁷"), =HYPERLINK("CSG0.html#group6C0", "6C⁰"), =HYPERLINK("CSG0.html#group13A0", "13A⁰"), =HYPERLINK("CSG0.html#group2B0", "2B⁰"), =HYPERLINK("CSG0.html#group1A0", "1A⁰"), =HYPERLINK("CSG2.html#group26A2", "26A²"), =HYPERLINK("CSG5.html#group26B5", "26B⁵"), =HYPERLINK("CSG0.html#group6F0", "6F⁰"), =HYPERLINK("CSG0.html#group2C0", "2C⁰"), =HYPERLINK("CSG11.html#group78C11", "78C¹¹")</f>
        <v/>
      </c>
      <c r="N7504" t="inlineStr"/>
    </row>
    <row r="7505">
      <c r="A7505" t="inlineStr">
        <is>
          <t>78D²³</t>
        </is>
      </c>
      <c r="B7505" t="inlineStr"/>
      <c r="C7505" t="inlineStr">
        <is>
          <t>336</t>
        </is>
      </c>
      <c r="D7505" t="inlineStr">
        <is>
          <t>1</t>
        </is>
      </c>
      <c r="E7505" t="inlineStr">
        <is>
          <t>84</t>
        </is>
      </c>
      <c r="F7505" t="inlineStr">
        <is>
          <t>8</t>
        </is>
      </c>
      <c r="G7505" t="inlineStr">
        <is>
          <t>0</t>
        </is>
      </c>
      <c r="H7505" t="inlineStr">
        <is>
          <t>6⁴, 78⁴</t>
        </is>
      </c>
      <c r="I7505" t="n">
        <v>8</v>
      </c>
      <c r="J7505" t="inlineStr">
        <is>
          <t>2⁶, 24³</t>
        </is>
      </c>
      <c r="K7505">
        <f>HYPERLINK("CSG9.html#group39A9", "39A⁹")</f>
        <v/>
      </c>
      <c r="L7505" t="inlineStr"/>
      <c r="M7505">
        <f>HYPERLINK("CSG2.html#group39A2", "39A²"), =HYPERLINK("CSG5.html#group39A5", "39A⁵"), =HYPERLINK("CSG9.html#group39A9", "39A⁹"), =HYPERLINK("CSG0.html#group13A0", "13A⁰"), =HYPERLINK("CSG0.html#group3C0", "3C⁰"), =HYPERLINK("CSG4.html#group39A4", "39A⁴"), =HYPERLINK("CSG0.html#group3A0", "3A⁰"), =HYPERLINK("CSG0.html#group1A0", "1A⁰")</f>
        <v/>
      </c>
      <c r="N7505" t="inlineStr"/>
    </row>
    <row r="7506">
      <c r="A7506" t="inlineStr">
        <is>
          <t>78E²³</t>
        </is>
      </c>
      <c r="B7506" t="inlineStr"/>
      <c r="C7506" t="inlineStr">
        <is>
          <t>336</t>
        </is>
      </c>
      <c r="D7506" t="inlineStr">
        <is>
          <t>1</t>
        </is>
      </c>
      <c r="E7506" t="inlineStr">
        <is>
          <t>112</t>
        </is>
      </c>
      <c r="F7506" t="inlineStr">
        <is>
          <t>0</t>
        </is>
      </c>
      <c r="G7506" t="inlineStr">
        <is>
          <t>6</t>
        </is>
      </c>
      <c r="H7506" t="inlineStr">
        <is>
          <t>6⁴, 78⁴</t>
        </is>
      </c>
      <c r="I7506" t="n">
        <v>8</v>
      </c>
      <c r="J7506" t="inlineStr">
        <is>
          <t>2⁸, 24⁴</t>
        </is>
      </c>
      <c r="K7506">
        <f>HYPERLINK("CSG0.html#group6J0", "6J⁰"), =HYPERLINK("CSG5.html#group78A5", "78A⁵"), =HYPERLINK("CSG7.html#group78C7", "78C⁷")</f>
        <v/>
      </c>
      <c r="L7506" t="inlineStr"/>
      <c r="M7506">
        <f>HYPERLINK("CSG0.html#group3B0", "3B⁰"), =HYPERLINK("CSG0.html#group2A0", "2A⁰"), =HYPERLINK("CSG1.html#group26A1", "26A¹"), =HYPERLINK("CSG3.html#group39A3", "39A³"), =HYPERLINK("CSG0.html#group6A0", "6A⁰"), =HYPERLINK("CSG7.html#group78C7", "78C⁷"), =HYPERLINK("CSG0.html#group6C0", "6C⁰"), =HYPERLINK("CSG0.html#group6J0", "6J⁰"), =HYPERLINK("CSG0.html#group13A0", "13A⁰"), =HYPERLINK("CSG5.html#group78A5", "78A⁵"), =HYPERLINK("CSG0.html#group1A0", "1A⁰")</f>
        <v/>
      </c>
      <c r="N7506" t="inlineStr"/>
    </row>
    <row r="7507">
      <c r="A7507" t="inlineStr">
        <is>
          <t>78F²³</t>
        </is>
      </c>
      <c r="B7507" t="inlineStr"/>
      <c r="C7507" t="inlineStr">
        <is>
          <t>336</t>
        </is>
      </c>
      <c r="D7507" t="inlineStr">
        <is>
          <t>1</t>
        </is>
      </c>
      <c r="E7507" t="inlineStr">
        <is>
          <t>168</t>
        </is>
      </c>
      <c r="F7507" t="inlineStr">
        <is>
          <t>0</t>
        </is>
      </c>
      <c r="G7507" t="inlineStr">
        <is>
          <t>0</t>
        </is>
      </c>
      <c r="H7507" t="inlineStr">
        <is>
          <t>2³, 6³, 26³, 78³</t>
        </is>
      </c>
      <c r="I7507" t="n">
        <v>12</v>
      </c>
      <c r="J7507" t="inlineStr">
        <is>
          <t>1¹², 2⁶, 12⁶, 24³</t>
        </is>
      </c>
      <c r="K7507">
        <f>HYPERLINK("CSG4.html#group26B4", "26B⁴"), =HYPERLINK("CSG7.html#group78B7", "78B⁷"), =HYPERLINK("CSG11.html#group78C11", "78C¹¹")</f>
        <v/>
      </c>
      <c r="L7507" t="inlineStr"/>
      <c r="M7507">
        <f>HYPERLINK("CSG0.html#group3B0", "3B⁰"), =HYPERLINK("CSG2.html#group26A2", "26A²"), =HYPERLINK("CSG3.html#group39A3", "39A³"), =HYPERLINK("CSG0.html#group13A0", "13A⁰"), =HYPERLINK("CSG7.html#group78B7", "78B⁷"), =HYPERLINK("CSG4.html#group26B4", "26B⁴"), =HYPERLINK("CSG0.html#group6F0", "6F⁰"), =HYPERLINK("CSG0.html#group2B0", "2B⁰"), =HYPERLINK("CSG0.html#group26A0", "26A⁰"), =HYPERLINK("CSG0.html#group1A0", "1A⁰"), =HYPERLINK("CSG11.html#group78C11", "78C¹¹")</f>
        <v/>
      </c>
      <c r="N7507" t="inlineStr"/>
    </row>
    <row r="7508">
      <c r="A7508" t="inlineStr">
        <is>
          <t>78G²³</t>
        </is>
      </c>
      <c r="B7508" t="inlineStr"/>
      <c r="C7508" t="inlineStr">
        <is>
          <t>336</t>
        </is>
      </c>
      <c r="D7508" t="inlineStr">
        <is>
          <t>2</t>
        </is>
      </c>
      <c r="E7508" t="inlineStr">
        <is>
          <t>56</t>
        </is>
      </c>
      <c r="F7508" t="inlineStr">
        <is>
          <t>0</t>
        </is>
      </c>
      <c r="G7508" t="inlineStr">
        <is>
          <t>6</t>
        </is>
      </c>
      <c r="H7508" t="inlineStr">
        <is>
          <t>6⁴, 78⁴</t>
        </is>
      </c>
      <c r="I7508" t="n">
        <v>8</v>
      </c>
      <c r="J7508" t="inlineStr">
        <is>
          <t>2⁸, 24⁴</t>
        </is>
      </c>
      <c r="K7508">
        <f>HYPERLINK("CSG2.html#group78A2", "78A²"), =HYPERLINK("CSG7.html#group78B7", "78B⁷"), =HYPERLINK("CSG10.html#group39A10", "39A¹⁰")</f>
        <v/>
      </c>
      <c r="L7508" t="inlineStr"/>
      <c r="M7508">
        <f>HYPERLINK("CSG0.html#group3B0", "3B⁰"), =HYPERLINK("CSG3.html#group39A3", "39A³"), =HYPERLINK("CSG10.html#group39A10", "39A¹⁰"), =HYPERLINK("CSG2.html#group78A2", "78A²"), =HYPERLINK("CSG0.html#group13A0", "13A⁰"), =HYPERLINK("CSG7.html#group78B7", "78B⁷"), =HYPERLINK("CSG0.html#group26A0", "26A⁰"), =HYPERLINK("CSG1.html#group39A1", "39A¹"), =HYPERLINK("CSG0.html#group1A0", "1A⁰")</f>
        <v/>
      </c>
      <c r="N7508" t="inlineStr"/>
    </row>
    <row r="7509">
      <c r="A7509" t="inlineStr">
        <is>
          <t>78H²³</t>
        </is>
      </c>
      <c r="B7509" t="inlineStr"/>
      <c r="C7509" t="inlineStr">
        <is>
          <t>336</t>
        </is>
      </c>
      <c r="D7509" t="inlineStr">
        <is>
          <t>2</t>
        </is>
      </c>
      <c r="E7509" t="inlineStr">
        <is>
          <t>56</t>
        </is>
      </c>
      <c r="F7509" t="inlineStr">
        <is>
          <t>0</t>
        </is>
      </c>
      <c r="G7509" t="inlineStr">
        <is>
          <t>6</t>
        </is>
      </c>
      <c r="H7509" t="inlineStr">
        <is>
          <t>6⁴, 78⁴</t>
        </is>
      </c>
      <c r="I7509" t="n">
        <v>8</v>
      </c>
      <c r="J7509" t="inlineStr">
        <is>
          <t>2⁸, 24⁴</t>
        </is>
      </c>
      <c r="K7509">
        <f>HYPERLINK("CSG5.html#group78C5", "78C⁵"), =HYPERLINK("CSG7.html#group78C7", "78C⁷"), =HYPERLINK("CSG10.html#group39A10", "39A¹⁰")</f>
        <v/>
      </c>
      <c r="L7509" t="inlineStr"/>
      <c r="M7509">
        <f>HYPERLINK("CSG0.html#group3B0", "3B⁰"), =HYPERLINK("CSG0.html#group2A0", "2A⁰"), =HYPERLINK("CSG1.html#group26A1", "26A¹"), =HYPERLINK("CSG3.html#group39A3", "39A³"), =HYPERLINK("CSG10.html#group39A10", "39A¹⁰"), =HYPERLINK("CSG7.html#group78C7", "78C⁷"), =HYPERLINK("CSG0.html#group6C0", "6C⁰"), =HYPERLINK("CSG0.html#group13A0", "13A⁰"), =HYPERLINK("CSG1.html#group39A1", "39A¹"), =HYPERLINK("CSG0.html#group1A0", "1A⁰"), =HYPERLINK("CSG5.html#group78C5", "78C⁵")</f>
        <v/>
      </c>
      <c r="N7509" t="inlineStr"/>
    </row>
    <row r="7510">
      <c r="A7510" t="inlineStr">
        <is>
          <t>80A²³</t>
        </is>
      </c>
      <c r="B7510" t="inlineStr"/>
      <c r="C7510" t="inlineStr">
        <is>
          <t>320</t>
        </is>
      </c>
      <c r="D7510" t="inlineStr">
        <is>
          <t>1</t>
        </is>
      </c>
      <c r="E7510" t="inlineStr">
        <is>
          <t>40</t>
        </is>
      </c>
      <c r="F7510" t="inlineStr">
        <is>
          <t>0</t>
        </is>
      </c>
      <c r="G7510" t="inlineStr">
        <is>
          <t>8</t>
        </is>
      </c>
      <c r="H7510" t="inlineStr">
        <is>
          <t>80⁴</t>
        </is>
      </c>
      <c r="I7510" t="n">
        <v>4</v>
      </c>
      <c r="J7510" t="inlineStr">
        <is>
          <t>4², 8⁴</t>
        </is>
      </c>
      <c r="K7510">
        <f>HYPERLINK("CSG11.html#group40B11", "40B¹¹"), =HYPERLINK("CSG11.html#group80E11", "80E¹¹")</f>
        <v/>
      </c>
      <c r="L7510" t="inlineStr"/>
      <c r="M7510">
        <f>HYPERLINK("CSG5.html#group40F5", "40F⁵"), =HYPERLINK("CSG0.html#group2A0", "2A⁰"), =HYPERLINK("CSG11.html#group40B11", "40B¹¹"), =HYPERLINK("CSG11.html#group80E11", "80E¹¹"), =HYPERLINK("CSG0.html#group4A0", "4A⁰"), =HYPERLINK("CSG0.html#group4D0", "4D⁰"), =HYPERLINK("CSG0.html#group8A0", "8A⁰"), =HYPERLINK("CSG0.html#group8E0", "8E⁰"), =HYPERLINK("CSG1.html#group10C1", "10C¹"), =HYPERLINK("CSG0.html#group1A0", "1A⁰"), =HYPERLINK("CSG5.html#group20A5", "20A⁵"), =HYPERLINK("CSG0.html#group5C0", "5C⁰"), =HYPERLINK("CSG2.html#group20E2", "20E²")</f>
        <v/>
      </c>
      <c r="N7510" t="inlineStr"/>
    </row>
    <row r="7511">
      <c r="A7511" t="inlineStr">
        <is>
          <t>80B²³</t>
        </is>
      </c>
      <c r="B7511" t="inlineStr"/>
      <c r="C7511" t="inlineStr">
        <is>
          <t>320</t>
        </is>
      </c>
      <c r="D7511" t="inlineStr">
        <is>
          <t>1</t>
        </is>
      </c>
      <c r="E7511" t="inlineStr">
        <is>
          <t>40</t>
        </is>
      </c>
      <c r="F7511" t="inlineStr">
        <is>
          <t>0</t>
        </is>
      </c>
      <c r="G7511" t="inlineStr">
        <is>
          <t>8</t>
        </is>
      </c>
      <c r="H7511" t="inlineStr">
        <is>
          <t>80⁴</t>
        </is>
      </c>
      <c r="I7511" t="n">
        <v>4</v>
      </c>
      <c r="J7511" t="inlineStr">
        <is>
          <t>4², 8⁴</t>
        </is>
      </c>
      <c r="K7511">
        <f>HYPERLINK("CSG0.html#group16F0", "16F⁰"), =HYPERLINK("CSG11.html#group40B11", "40B¹¹"), =HYPERLINK("CSG11.html#group80F11", "80F¹¹")</f>
        <v/>
      </c>
      <c r="L7511" t="inlineStr"/>
      <c r="M7511">
        <f>HYPERLINK("CSG5.html#group40F5", "40F⁵"), =HYPERLINK("CSG0.html#group2A0", "2A⁰"), =HYPERLINK("CSG11.html#group40B11", "40B¹¹"), =HYPERLINK("CSG0.html#group16A0", "16A⁰"), =HYPERLINK("CSG0.html#group4A0", "4A⁰"), =HYPERLINK("CSG0.html#group4D0", "4D⁰"), =HYPERLINK("CSG0.html#group16F0", "16F⁰"), =HYPERLINK("CSG0.html#group8A0", "8A⁰"), =HYPERLINK("CSG0.html#group8E0", "8E⁰"), =HYPERLINK("CSG1.html#group10C1", "10C¹"), =HYPERLINK("CSG0.html#group1A0", "1A⁰"), =HYPERLINK("CSG5.html#group20A5", "20A⁵"), =HYPERLINK("CSG0.html#group5C0", "5C⁰"), =HYPERLINK("CSG2.html#group20E2", "20E²"), =HYPERLINK("CSG11.html#group80F11", "80F¹¹")</f>
        <v/>
      </c>
      <c r="N7511" t="inlineStr"/>
    </row>
    <row r="7512">
      <c r="A7512" t="inlineStr">
        <is>
          <t>80C²³</t>
        </is>
      </c>
      <c r="B7512" t="inlineStr"/>
      <c r="C7512" t="inlineStr">
        <is>
          <t>320</t>
        </is>
      </c>
      <c r="D7512" t="inlineStr">
        <is>
          <t>1</t>
        </is>
      </c>
      <c r="E7512" t="inlineStr">
        <is>
          <t>80</t>
        </is>
      </c>
      <c r="F7512" t="inlineStr">
        <is>
          <t>0</t>
        </is>
      </c>
      <c r="G7512" t="inlineStr">
        <is>
          <t>8</t>
        </is>
      </c>
      <c r="H7512" t="inlineStr">
        <is>
          <t>80⁴</t>
        </is>
      </c>
      <c r="I7512" t="n">
        <v>4</v>
      </c>
      <c r="J7512" t="inlineStr">
        <is>
          <t>4⁴, 8⁸</t>
        </is>
      </c>
      <c r="K7512">
        <f>HYPERLINK("CSG11.html#group40A11", "40A¹¹")</f>
        <v/>
      </c>
      <c r="L7512" t="inlineStr"/>
      <c r="M7512">
        <f>HYPERLINK("CSG0.html#group2A0", "2A⁰"), =HYPERLINK("CSG5.html#group40E5", "40E⁵"), =HYPERLINK("CSG0.html#group4A0", "4A⁰"), =HYPERLINK("CSG0.html#group4D0", "4D⁰"), =HYPERLINK("CSG0.html#group5C0", "5C⁰"), =HYPERLINK("CSG1.html#group10C1", "10C¹"), =HYPERLINK("CSG11.html#group40A11", "40A¹¹"), =HYPERLINK("CSG5.html#group20A5", "20A⁵"), =HYPERLINK("CSG0.html#group1A0", "1A⁰"), =HYPERLINK("CSG2.html#group20E2", "20E²")</f>
        <v/>
      </c>
      <c r="N7512" t="inlineStr"/>
    </row>
    <row r="7513">
      <c r="A7513" t="inlineStr">
        <is>
          <t>80D²³</t>
        </is>
      </c>
      <c r="B7513" t="inlineStr"/>
      <c r="C7513" t="inlineStr">
        <is>
          <t>320</t>
        </is>
      </c>
      <c r="D7513" t="inlineStr">
        <is>
          <t>1</t>
        </is>
      </c>
      <c r="E7513" t="inlineStr">
        <is>
          <t>320</t>
        </is>
      </c>
      <c r="F7513" t="inlineStr">
        <is>
          <t>8</t>
        </is>
      </c>
      <c r="G7513" t="inlineStr">
        <is>
          <t>2</t>
        </is>
      </c>
      <c r="H7513" t="inlineStr">
        <is>
          <t>80⁴</t>
        </is>
      </c>
      <c r="I7513" t="n">
        <v>4</v>
      </c>
      <c r="J7513" t="inlineStr">
        <is>
          <t>8⁸, 32⁸</t>
        </is>
      </c>
      <c r="K7513">
        <f>HYPERLINK("CSG2.html#group16G2", "16G²"), =HYPERLINK("CSG5.html#group40D5", "40D⁵")</f>
        <v/>
      </c>
      <c r="L7513" t="inlineStr"/>
      <c r="M7513">
        <f>HYPERLINK("CSG1.html#group20A1", "20A¹"), =HYPERLINK("CSG0.html#group5A0", "5A⁰"), =HYPERLINK("CSG2.html#group16G2", "16G²"), =HYPERLINK("CSG0.html#group8F0", "8F⁰"), =HYPERLINK("CSG0.html#group4A0", "4A⁰"), =HYPERLINK("CSG0.html#group1A0", "1A⁰"), =HYPERLINK("CSG5.html#group40D5", "40D⁵")</f>
        <v/>
      </c>
      <c r="N7513" t="inlineStr"/>
    </row>
    <row r="7514">
      <c r="A7514" t="inlineStr">
        <is>
          <t>80E²³</t>
        </is>
      </c>
      <c r="B7514" t="inlineStr"/>
      <c r="C7514" t="inlineStr">
        <is>
          <t>320</t>
        </is>
      </c>
      <c r="D7514" t="inlineStr">
        <is>
          <t>2</t>
        </is>
      </c>
      <c r="E7514" t="inlineStr">
        <is>
          <t>80</t>
        </is>
      </c>
      <c r="F7514" t="inlineStr">
        <is>
          <t>0</t>
        </is>
      </c>
      <c r="G7514" t="inlineStr">
        <is>
          <t>8</t>
        </is>
      </c>
      <c r="H7514" t="inlineStr">
        <is>
          <t>80⁴</t>
        </is>
      </c>
      <c r="I7514" t="n">
        <v>4</v>
      </c>
      <c r="J7514" t="inlineStr">
        <is>
          <t>16², 32⁴</t>
        </is>
      </c>
      <c r="K7514">
        <f>HYPERLINK("CSG4.html#group80A4", "80A⁴"), =HYPERLINK("CSG11.html#group40D11", "40D¹¹"), =HYPERLINK("CSG11.html#group80E11", "80E¹¹"), =HYPERLINK("CSG11.html#group80F11", "80F¹¹")</f>
        <v/>
      </c>
      <c r="L7514" t="inlineStr"/>
      <c r="M7514">
        <f>HYPERLINK("CSG5.html#group40F5", "40F⁵"), =HYPERLINK("CSG0.html#group5A0", "5A⁰"), =HYPERLINK("CSG11.html#group80E11", "80E¹¹"), =HYPERLINK("CSG4.html#group80A4", "80A⁴"), =HYPERLINK("CSG0.html#group16A0", "16A⁰"), =HYPERLINK("CSG2.html#group40A2", "40A²"), =HYPERLINK("CSG11.html#group40D11", "40D¹¹"), =HYPERLINK("CSG0.html#group8A0", "8A⁰"), =HYPERLINK("CSG5.html#group20B5", "20B⁵"), =HYPERLINK("CSG1.html#group20A1", "20A¹"), =HYPERLINK("CSG0.html#group5F0", "5F⁰"), =HYPERLINK("CSG0.html#group1A0", "1A⁰"), =HYPERLINK("CSG5.html#group40E5", "40E⁵"), =HYPERLINK("CSG0.html#group4A0", "4A⁰"), =HYPERLINK("CSG0.html#group5C0", "5C⁰"), =HYPERLINK("CSG2.html#group20E2", "20E²"), =HYPERLINK("CSG11.html#group80F11", "80F¹¹")</f>
        <v/>
      </c>
      <c r="N7514" t="inlineStr"/>
    </row>
    <row r="7515">
      <c r="A7515" t="inlineStr">
        <is>
          <t>84A²³</t>
        </is>
      </c>
      <c r="B7515" t="inlineStr"/>
      <c r="C7515" t="inlineStr">
        <is>
          <t>336</t>
        </is>
      </c>
      <c r="D7515" t="inlineStr">
        <is>
          <t>2</t>
        </is>
      </c>
      <c r="E7515" t="inlineStr">
        <is>
          <t>42</t>
        </is>
      </c>
      <c r="F7515" t="inlineStr">
        <is>
          <t>16</t>
        </is>
      </c>
      <c r="G7515" t="inlineStr">
        <is>
          <t>0</t>
        </is>
      </c>
      <c r="H7515" t="inlineStr">
        <is>
          <t>84⁴</t>
        </is>
      </c>
      <c r="I7515" t="n">
        <v>4</v>
      </c>
      <c r="J7515" t="inlineStr">
        <is>
          <t>4¹, 8¹, 12², 24²</t>
        </is>
      </c>
      <c r="K7515">
        <f>HYPERLINK("CSG9.html#group42C9", "42C⁹"), =HYPERLINK("CSG11.html#group84E11", "84E¹¹"), =HYPERLINK("CSG11.html#group84F11", "84F¹¹")</f>
        <v/>
      </c>
      <c r="L7515" t="inlineStr"/>
      <c r="M7515">
        <f>HYPERLINK("CSG0.html#group14A0", "14A⁰"), =HYPERLINK("CSG2.html#group21D2", "21D²"), =HYPERLINK("CSG1.html#group12D1", "12D¹"), =HYPERLINK("CSG0.html#group6B0", "6B⁰"), =HYPERLINK("CSG4.html#group42F4", "42F⁴"), =HYPERLINK("CSG1.html#group42A1", "42A¹"), =HYPERLINK("CSG4.html#group42H4", "42H⁴"), =HYPERLINK("CSG1.html#group21D1", "21D¹"), =HYPERLINK("CSG0.html#group21A0", "21A⁰"), =HYPERLINK("CSG0.html#group7A0", "7A⁰"), =HYPERLINK("CSG0.html#group1A0", "1A⁰"), =HYPERLINK("CSG11.html#group84F11", "84F¹¹"), =HYPERLINK("CSG2.html#group42A2", "42A²"), =HYPERLINK("CSG0.html#group6E0", "6E⁰"), =HYPERLINK("CSG9.html#group42C9", "42C⁹"), =HYPERLINK("CSG5.html#group42E5", "42E⁵"), =HYPERLINK("CSG4.html#group42G4", "42G⁴"), =HYPERLINK("CSG0.html#group3C0", "3C⁰"), =HYPERLINK("CSG1.html#group42B1", "42B¹"), =HYPERLINK("CSG0.html#group3A0", "3A⁰"), =HYPERLINK("CSG11.html#group84E11", "84E¹¹"), =HYPERLINK("CSG3.html#group42F3", "42F³"), =HYPERLINK("CSG4.html#group21B4", "21B⁴")</f>
        <v/>
      </c>
      <c r="N7515" t="inlineStr"/>
    </row>
    <row r="7516">
      <c r="A7516" t="inlineStr">
        <is>
          <t>84B²³</t>
        </is>
      </c>
      <c r="B7516" t="inlineStr"/>
      <c r="C7516" t="inlineStr">
        <is>
          <t>336</t>
        </is>
      </c>
      <c r="D7516" t="inlineStr">
        <is>
          <t>2</t>
        </is>
      </c>
      <c r="E7516" t="inlineStr">
        <is>
          <t>84</t>
        </is>
      </c>
      <c r="F7516" t="inlineStr">
        <is>
          <t>0</t>
        </is>
      </c>
      <c r="G7516" t="inlineStr">
        <is>
          <t>0</t>
        </is>
      </c>
      <c r="H7516" t="inlineStr">
        <is>
          <t>7⁴, 21⁴, 28², 84²</t>
        </is>
      </c>
      <c r="I7516" t="n">
        <v>12</v>
      </c>
      <c r="J7516" t="inlineStr">
        <is>
          <t>2⁶, 4³, 6¹², 12⁶</t>
        </is>
      </c>
      <c r="K7516">
        <f>HYPERLINK("CSG5.html#group28A5", "28A⁵"), =HYPERLINK("CSG11.html#group42C11", "42C¹¹"), =HYPERLINK("CSG12.html#group84A12", "84A¹²"), =HYPERLINK("CSG12.html#group84B12", "84B¹²")</f>
        <v/>
      </c>
      <c r="L7516" t="inlineStr"/>
      <c r="M7516">
        <f>HYPERLINK("CSG3.html#group21B3", "21B³"), =HYPERLINK("CSG0.html#group3B0", "3B⁰"), =HYPERLINK("CSG12.html#group84B12", "84B¹²"), =HYPERLINK("CSG1.html#group14B1", "14B¹"), =HYPERLINK("CSG3.html#group28A3", "28A³"), =HYPERLINK("CSG11.html#group42C11", "42C¹¹"), =HYPERLINK("CSG0.html#group2B0", "2B⁰"), =HYPERLINK("CSG0.html#group4B0", "4B⁰"), =HYPERLINK("CSG5.html#group28A5", "28A⁵"), =HYPERLINK("CSG12.html#group84A12", "84A¹²"), =HYPERLINK("CSG0.html#group1A0", "1A⁰"), =HYPERLINK("CSG2.html#group14A2", "14A²"), =HYPERLINK("CSG2.html#group21B2", "21B²"), =HYPERLINK("CSG6.html#group42C6", "42C⁶"), =HYPERLINK("CSG0.html#group7C0", "7C⁰"), =HYPERLINK("CSG0.html#group12E0", "12E⁰"), =HYPERLINK("CSG0.html#group6F0", "6F⁰"), =HYPERLINK("CSG2.html#group28B2", "28B²"), =HYPERLINK("CSG0.html#group7A0", "7A⁰")</f>
        <v/>
      </c>
      <c r="N7516" t="inlineStr"/>
    </row>
    <row r="7517">
      <c r="A7517" t="inlineStr">
        <is>
          <t>84C²³</t>
        </is>
      </c>
      <c r="B7517" t="inlineStr"/>
      <c r="C7517" t="inlineStr">
        <is>
          <t>336</t>
        </is>
      </c>
      <c r="D7517" t="inlineStr">
        <is>
          <t>2</t>
        </is>
      </c>
      <c r="E7517" t="inlineStr">
        <is>
          <t>84</t>
        </is>
      </c>
      <c r="F7517" t="inlineStr">
        <is>
          <t>16</t>
        </is>
      </c>
      <c r="G7517" t="inlineStr">
        <is>
          <t>0</t>
        </is>
      </c>
      <c r="H7517" t="inlineStr">
        <is>
          <t>84⁴</t>
        </is>
      </c>
      <c r="I7517" t="n">
        <v>4</v>
      </c>
      <c r="J7517" t="inlineStr">
        <is>
          <t>4², 8², 12⁴, 24⁴</t>
        </is>
      </c>
      <c r="K7517">
        <f>HYPERLINK("CSG4.html#group21B4", "21B⁴"), =HYPERLINK("CSG9.html#group84E9", "84E⁹"), =HYPERLINK("CSG11.html#group84G11", "84G¹¹")</f>
        <v/>
      </c>
      <c r="L7517" t="inlineStr"/>
      <c r="M7517">
        <f>HYPERLINK("CSG1.html#group12G1", "12G¹"), =HYPERLINK("CSG2.html#group21D2", "21D²"), =HYPERLINK("CSG3.html#group84A3", "84A³"), =HYPERLINK("CSG0.html#group12A0", "12A⁰"), =HYPERLINK("CSG0.html#group4A0", "4A⁰"), =HYPERLINK("CSG1.html#group21D1", "21D¹"), =HYPERLINK("CSG0.html#group21A0", "21A⁰"), =HYPERLINK("CSG0.html#group3C0", "3C⁰"), =HYPERLINK("CSG11.html#group84G11", "84G¹¹"), =HYPERLINK("CSG9.html#group84E9", "84E⁹"), =HYPERLINK("CSG0.html#group7A0", "7A⁰"), =HYPERLINK("CSG0.html#group3A0", "3A⁰"), =HYPERLINK("CSG1.html#group28A1", "28A¹"), =HYPERLINK("CSG0.html#group1A0", "1A⁰"), =HYPERLINK("CSG4.html#group21B4", "21B⁴")</f>
        <v/>
      </c>
      <c r="N7517" t="inlineStr"/>
    </row>
    <row r="7518">
      <c r="A7518" t="inlineStr">
        <is>
          <t>84D²³</t>
        </is>
      </c>
      <c r="B7518" t="inlineStr"/>
      <c r="C7518" t="inlineStr">
        <is>
          <t>336</t>
        </is>
      </c>
      <c r="D7518" t="inlineStr">
        <is>
          <t>2</t>
        </is>
      </c>
      <c r="E7518" t="inlineStr">
        <is>
          <t>84</t>
        </is>
      </c>
      <c r="F7518" t="inlineStr">
        <is>
          <t>16</t>
        </is>
      </c>
      <c r="G7518" t="inlineStr">
        <is>
          <t>0</t>
        </is>
      </c>
      <c r="H7518" t="inlineStr">
        <is>
          <t>84⁴</t>
        </is>
      </c>
      <c r="I7518" t="n">
        <v>4</v>
      </c>
      <c r="J7518" t="inlineStr">
        <is>
          <t>4², 8², 12⁴, 24⁴</t>
        </is>
      </c>
      <c r="K7518">
        <f>HYPERLINK("CSG5.html#group42E5", "42E⁵"), =HYPERLINK("CSG8.html#group84H8", "84H⁸"), =HYPERLINK("CSG10.html#group84F10", "84F¹⁰"), =HYPERLINK("CSG11.html#group84G11", "84G¹¹")</f>
        <v/>
      </c>
      <c r="L7518" t="inlineStr"/>
      <c r="M7518">
        <f>HYPERLINK("CSG1.html#group12G1", "12G¹"), =HYPERLINK("CSG0.html#group14A0", "14A⁰"), =HYPERLINK("CSG2.html#group21D2", "21D²"), =HYPERLINK("CSG2.html#group28E2", "28E²"), =HYPERLINK("CSG1.html#group42A1", "42A¹"), =HYPERLINK("CSG0.html#group21A0", "21A⁰"), =HYPERLINK("CSG11.html#group84G11", "84G¹¹"), =HYPERLINK("CSG0.html#group1A0", "1A⁰"), =HYPERLINK("CSG3.html#group84A3", "84A³"), =HYPERLINK("CSG0.html#group12A0", "12A⁰"), =HYPERLINK("CSG2.html#group42A2", "42A²"), =HYPERLINK("CSG10.html#group84F10", "84F¹⁰"), =HYPERLINK("CSG8.html#group84H8", "84H⁸"), =HYPERLINK("CSG5.html#group42E5", "42E⁵"), =HYPERLINK("CSG0.html#group4A0", "4A⁰"), =HYPERLINK("CSG0.html#group3C0", "3C⁰"), =HYPERLINK("CSG0.html#group3A0", "3A⁰"), =HYPERLINK("CSG1.html#group28A1", "28A¹"), =HYPERLINK("CSG0.html#group7A0", "7A⁰")</f>
        <v/>
      </c>
      <c r="N7518" t="inlineStr"/>
    </row>
    <row r="7519">
      <c r="A7519" t="inlineStr">
        <is>
          <t>84E²³</t>
        </is>
      </c>
      <c r="B7519" t="inlineStr"/>
      <c r="C7519" t="inlineStr">
        <is>
          <t>336</t>
        </is>
      </c>
      <c r="D7519" t="inlineStr">
        <is>
          <t>2</t>
        </is>
      </c>
      <c r="E7519" t="inlineStr">
        <is>
          <t>84</t>
        </is>
      </c>
      <c r="F7519" t="inlineStr">
        <is>
          <t>16</t>
        </is>
      </c>
      <c r="G7519" t="inlineStr">
        <is>
          <t>0</t>
        </is>
      </c>
      <c r="H7519" t="inlineStr">
        <is>
          <t>84⁴</t>
        </is>
      </c>
      <c r="I7519" t="n">
        <v>4</v>
      </c>
      <c r="J7519" t="inlineStr">
        <is>
          <t>4², 8², 12⁴, 24⁴</t>
        </is>
      </c>
      <c r="K7519">
        <f>HYPERLINK("CSG5.html#group42F5", "42F⁵"), =HYPERLINK("CSG8.html#group84I8", "84I⁸"), =HYPERLINK("CSG10.html#group84F10", "84F¹⁰"), =HYPERLINK("CSG11.html#group84D11", "84D¹¹")</f>
        <v/>
      </c>
      <c r="L7519" t="inlineStr"/>
      <c r="M7519">
        <f>HYPERLINK("CSG3.html#group28D3", "28D³"), =HYPERLINK("CSG5.html#group42F5", "42F⁵"), =HYPERLINK("CSG0.html#group6B0", "6B⁰"), =HYPERLINK("CSG8.html#group84I8", "84I⁸"), =HYPERLINK("CSG2.html#group21C2", "21C²"), =HYPERLINK("CSG0.html#group21A0", "21A⁰"), =HYPERLINK("CSG0.html#group12F0", "12F⁰"), =HYPERLINK("CSG11.html#group84D11", "84D¹¹"), =HYPERLINK("CSG0.html#group1A0", "1A⁰"), =HYPERLINK("CSG3.html#group84A3", "84A³"), =HYPERLINK("CSG0.html#group12A0", "12A⁰"), =HYPERLINK("CSG2.html#group42A2", "42A²"), =HYPERLINK("CSG10.html#group84F10", "84F¹⁰"), =HYPERLINK("CSG0.html#group4A0", "4A⁰"), =HYPERLINK("CSG0.html#group7C0", "7C⁰"), =HYPERLINK("CSG1.html#group42B1", "42B¹"), =HYPERLINK("CSG0.html#group3A0", "3A⁰"), =HYPERLINK("CSG1.html#group28A1", "28A¹"), =HYPERLINK("CSG0.html#group7A0", "7A⁰")</f>
        <v/>
      </c>
      <c r="N7519" t="inlineStr"/>
    </row>
    <row r="7520">
      <c r="A7520" t="inlineStr">
        <is>
          <t>84F²³</t>
        </is>
      </c>
      <c r="B7520" t="inlineStr"/>
      <c r="C7520" t="inlineStr">
        <is>
          <t>378</t>
        </is>
      </c>
      <c r="D7520" t="inlineStr">
        <is>
          <t>1</t>
        </is>
      </c>
      <c r="E7520" t="inlineStr">
        <is>
          <t>189</t>
        </is>
      </c>
      <c r="F7520" t="inlineStr">
        <is>
          <t>20</t>
        </is>
      </c>
      <c r="G7520" t="inlineStr">
        <is>
          <t>0</t>
        </is>
      </c>
      <c r="H7520" t="inlineStr">
        <is>
          <t>21⁶, 84³</t>
        </is>
      </c>
      <c r="I7520" t="n">
        <v>9</v>
      </c>
      <c r="J7520" t="inlineStr">
        <is>
          <t>3³, 6¹², 12⁹</t>
        </is>
      </c>
      <c r="K7520">
        <f>HYPERLINK("CSG7.html#group84C7", "84C⁷"), =HYPERLINK("CSG10.html#group42K10", "42K¹⁰")</f>
        <v/>
      </c>
      <c r="L7520" t="inlineStr"/>
      <c r="M7520">
        <f>HYPERLINK("CSG0.html#group7D0", "7D⁰"), =HYPERLINK("CSG1.html#group14B1", "14B¹"), =HYPERLINK("CSG1.html#group21E1", "21E¹"), =HYPERLINK("CSG7.html#group84C7", "84C⁷"), =HYPERLINK("CSG10.html#group42K10", "42K¹⁰"), =HYPERLINK("CSG0.html#group21A0", "21A⁰"), =HYPERLINK("CSG2.html#group14F2", "14F²"), =HYPERLINK("CSG0.html#group2B0", "2B⁰"), =HYPERLINK("CSG0.html#group12D0", "12D⁰"), =HYPERLINK("CSG0.html#group3A0", "3A⁰"), =HYPERLINK("CSG0.html#group1A0", "1A⁰"), =HYPERLINK("CSG3.html#group42C3", "42C³"), =HYPERLINK("CSG0.html#group6D0", "6D⁰"), =HYPERLINK("CSG0.html#group7A0", "7A⁰")</f>
        <v/>
      </c>
      <c r="N7520" t="inlineStr"/>
    </row>
    <row r="7521">
      <c r="A7521" t="inlineStr">
        <is>
          <t>84G²³</t>
        </is>
      </c>
      <c r="B7521" t="inlineStr"/>
      <c r="C7521" t="inlineStr">
        <is>
          <t>384</t>
        </is>
      </c>
      <c r="D7521" t="inlineStr">
        <is>
          <t>1</t>
        </is>
      </c>
      <c r="E7521" t="inlineStr">
        <is>
          <t>64</t>
        </is>
      </c>
      <c r="F7521" t="inlineStr">
        <is>
          <t>0</t>
        </is>
      </c>
      <c r="G7521" t="inlineStr">
        <is>
          <t>12</t>
        </is>
      </c>
      <c r="H7521" t="inlineStr">
        <is>
          <t>4³, 12³, 28³, 84³</t>
        </is>
      </c>
      <c r="I7521" t="n">
        <v>12</v>
      </c>
      <c r="J7521" t="inlineStr">
        <is>
          <t>1⁸, 2⁴, 6⁴, 12²</t>
        </is>
      </c>
      <c r="K7521">
        <f>HYPERLINK("CSG7.html#group84D7", "84D⁷"), =HYPERLINK("CSG9.html#group42D9", "42D⁹")</f>
        <v/>
      </c>
      <c r="L7521" t="inlineStr"/>
      <c r="M7521">
        <f>HYPERLINK("CSG0.html#group3B0", "3B⁰"), =HYPERLINK("CSG0.html#group2A0", "2A⁰"), =HYPERLINK("CSG9.html#group42D9", "42D⁹"), =HYPERLINK("CSG1.html#group21B1", "21B¹"), =HYPERLINK("CSG0.html#group7B0", "7B⁰"), =HYPERLINK("CSG3.html#group42E3", "42E³"), =HYPERLINK("CSG0.html#group6C0", "6C⁰"), =HYPERLINK("CSG0.html#group14B0", "14B⁰"), =HYPERLINK("CSG0.html#group14C0", "14C⁰"), =HYPERLINK("CSG7.html#group84D7", "84D⁷"), =HYPERLINK("CSG0.html#group1A0", "1A⁰"), =HYPERLINK("CSG0.html#group12B0", "12B⁰")</f>
        <v/>
      </c>
      <c r="N7521" t="inlineStr"/>
    </row>
    <row r="7522">
      <c r="A7522" t="inlineStr">
        <is>
          <t>84H²³</t>
        </is>
      </c>
      <c r="B7522" t="inlineStr"/>
      <c r="C7522" t="inlineStr">
        <is>
          <t>384</t>
        </is>
      </c>
      <c r="D7522" t="inlineStr">
        <is>
          <t>1</t>
        </is>
      </c>
      <c r="E7522" t="inlineStr">
        <is>
          <t>64</t>
        </is>
      </c>
      <c r="F7522" t="inlineStr">
        <is>
          <t>0</t>
        </is>
      </c>
      <c r="G7522" t="inlineStr">
        <is>
          <t>12</t>
        </is>
      </c>
      <c r="H7522" t="inlineStr">
        <is>
          <t>4³, 12³, 28³, 84³</t>
        </is>
      </c>
      <c r="I7522" t="n">
        <v>12</v>
      </c>
      <c r="J7522" t="inlineStr">
        <is>
          <t>1⁸, 2⁴, 6⁴, 12²</t>
        </is>
      </c>
      <c r="K7522">
        <f>HYPERLINK("CSG2.html#group28F2", "28F²"), =HYPERLINK("CSG7.html#group84E7", "84E⁷"), =HYPERLINK("CSG9.html#group42D9", "42D⁹")</f>
        <v/>
      </c>
      <c r="L7522" t="inlineStr"/>
      <c r="M7522">
        <f>HYPERLINK("CSG0.html#group2A0", "2A⁰"), =HYPERLINK("CSG0.html#group3B0", "3B⁰"), =HYPERLINK("CSG9.html#group42D9", "42D⁹"), =HYPERLINK("CSG0.html#group28A0", "28A⁰"), =HYPERLINK("CSG1.html#group21B1", "21B¹"), =HYPERLINK("CSG0.html#group7B0", "7B⁰"), =HYPERLINK("CSG3.html#group42E3", "42E³"), =HYPERLINK("CSG0.html#group6C0", "6C⁰"), =HYPERLINK("CSG0.html#group14B0", "14B⁰"), =HYPERLINK("CSG0.html#group1A0", "1A⁰"), =HYPERLINK("CSG7.html#group84E7", "84E⁷"), =HYPERLINK("CSG0.html#group14C0", "14C⁰"), =HYPERLINK("CSG2.html#group28F2", "28F²")</f>
        <v/>
      </c>
      <c r="N7522" t="inlineStr"/>
    </row>
    <row r="7523">
      <c r="A7523" t="inlineStr">
        <is>
          <t>84I²³</t>
        </is>
      </c>
      <c r="B7523" t="inlineStr"/>
      <c r="C7523" t="inlineStr">
        <is>
          <t>384</t>
        </is>
      </c>
      <c r="D7523" t="inlineStr">
        <is>
          <t>1</t>
        </is>
      </c>
      <c r="E7523" t="inlineStr">
        <is>
          <t>96</t>
        </is>
      </c>
      <c r="F7523" t="inlineStr">
        <is>
          <t>0</t>
        </is>
      </c>
      <c r="G7523" t="inlineStr">
        <is>
          <t>0</t>
        </is>
      </c>
      <c r="H7523" t="inlineStr">
        <is>
          <t>2⁴, 4¹, 6⁴, 12¹, 14⁴, 28¹, 42⁴, 84¹</t>
        </is>
      </c>
      <c r="I7523" t="n">
        <v>20</v>
      </c>
      <c r="J7523" t="inlineStr">
        <is>
          <t>1¹², 2⁶, 6⁶, 12³</t>
        </is>
      </c>
      <c r="K7523">
        <f>HYPERLINK("CSG0.html#group12I0", "12I⁰"), =HYPERLINK("CSG11.html#group42G11", "42G¹¹")</f>
        <v/>
      </c>
      <c r="L7523" t="inlineStr"/>
      <c r="M7523">
        <f>HYPERLINK("CSG0.html#group3B0", "3B⁰"), =HYPERLINK("CSG0.html#group2A0", "2A⁰"), =HYPERLINK("CSG0.html#group6I0", "6I⁰"), =HYPERLINK("CSG0.html#group6C0", "6C⁰"), =HYPERLINK("CSG0.html#group12I0", "12I⁰"), =HYPERLINK("CSG0.html#group2B0", "2B⁰"), =HYPERLINK("CSG2.html#group14E2", "14E²"), =HYPERLINK("CSG5.html#group42G5", "42G⁵"), =HYPERLINK("CSG0.html#group1A0", "1A⁰"), =HYPERLINK("CSG1.html#group21B1", "21B¹"), =HYPERLINK("CSG0.html#group7B0", "7B⁰"), =HYPERLINK("CSG3.html#group42E3", "42E³"), =HYPERLINK("CSG1.html#group14C1", "14C¹"), =HYPERLINK("CSG0.html#group14B0", "14B⁰"), =HYPERLINK("CSG0.html#group6F0", "6F⁰"), =HYPERLINK("CSG0.html#group2C0", "2C⁰"), =HYPERLINK("CSG11.html#group42G11", "42G¹¹")</f>
        <v/>
      </c>
      <c r="N7523" t="inlineStr"/>
    </row>
    <row r="7524">
      <c r="A7524" t="inlineStr">
        <is>
          <t>84J²³</t>
        </is>
      </c>
      <c r="B7524" t="inlineStr"/>
      <c r="C7524" t="inlineStr">
        <is>
          <t>384</t>
        </is>
      </c>
      <c r="D7524" t="inlineStr">
        <is>
          <t>1</t>
        </is>
      </c>
      <c r="E7524" t="inlineStr">
        <is>
          <t>96</t>
        </is>
      </c>
      <c r="F7524" t="inlineStr">
        <is>
          <t>0</t>
        </is>
      </c>
      <c r="G7524" t="inlineStr">
        <is>
          <t>0</t>
        </is>
      </c>
      <c r="H7524" t="inlineStr">
        <is>
          <t>2⁴, 4¹, 6⁴, 12¹, 14⁴, 28¹, 42⁴, 84¹</t>
        </is>
      </c>
      <c r="I7524" t="n">
        <v>20</v>
      </c>
      <c r="J7524" t="inlineStr">
        <is>
          <t>1¹², 2⁶, 6⁶, 12³</t>
        </is>
      </c>
      <c r="K7524">
        <f>HYPERLINK("CSG4.html#group28D4", "28D⁴"), =HYPERLINK("CSG11.html#group42G11", "42G¹¹")</f>
        <v/>
      </c>
      <c r="L7524" t="inlineStr"/>
      <c r="M7524">
        <f>HYPERLINK("CSG0.html#group2A0", "2A⁰"), =HYPERLINK("CSG0.html#group3B0", "3B⁰"), =HYPERLINK("CSG0.html#group6I0", "6I⁰"), =HYPERLINK("CSG0.html#group6C0", "6C⁰"), =HYPERLINK("CSG0.html#group2B0", "2B⁰"), =HYPERLINK("CSG2.html#group14E2", "14E²"), =HYPERLINK("CSG5.html#group42G5", "42G⁵"), =HYPERLINK("CSG0.html#group1A0", "1A⁰"), =HYPERLINK("CSG4.html#group28D4", "28D⁴"), =HYPERLINK("CSG1.html#group21B1", "21B¹"), =HYPERLINK("CSG0.html#group7B0", "7B⁰"), =HYPERLINK("CSG3.html#group42E3", "42E³"), =HYPERLINK("CSG0.html#group14B0", "14B⁰"), =HYPERLINK("CSG1.html#group14C1", "14C¹"), =HYPERLINK("CSG0.html#group6F0", "6F⁰"), =HYPERLINK("CSG0.html#group2C0", "2C⁰"), =HYPERLINK("CSG11.html#group42G11", "42G¹¹")</f>
        <v/>
      </c>
      <c r="N7524" t="inlineStr"/>
    </row>
    <row r="7525">
      <c r="A7525" t="inlineStr">
        <is>
          <t>84K²³</t>
        </is>
      </c>
      <c r="B7525" t="inlineStr"/>
      <c r="C7525" t="inlineStr">
        <is>
          <t>384</t>
        </is>
      </c>
      <c r="D7525" t="inlineStr">
        <is>
          <t>1</t>
        </is>
      </c>
      <c r="E7525" t="inlineStr">
        <is>
          <t>192</t>
        </is>
      </c>
      <c r="F7525" t="inlineStr">
        <is>
          <t>0</t>
        </is>
      </c>
      <c r="G7525" t="inlineStr">
        <is>
          <t>0</t>
        </is>
      </c>
      <c r="H7525" t="inlineStr">
        <is>
          <t>1², 2¹, 3², 4², 6¹, 7², 12², 14¹, 21², 28², 42¹, 84²</t>
        </is>
      </c>
      <c r="I7525" t="n">
        <v>20</v>
      </c>
      <c r="J7525" t="inlineStr">
        <is>
          <t>1¹⁶, 2¹², 4², 6⁸, 12⁶, 24¹</t>
        </is>
      </c>
      <c r="K7525">
        <f>HYPERLINK("CSG0.html#group12J0", "12J⁰"), =HYPERLINK("CSG11.html#group84I11", "84I¹¹")</f>
        <v/>
      </c>
      <c r="L7525" t="inlineStr"/>
      <c r="M7525">
        <f>HYPERLINK("CSG0.html#group3B0", "3B⁰"), =HYPERLINK("CSG2.html#group28D2", "28D²"), =HYPERLINK("CSG0.html#group12J0", "12J⁰"), =HYPERLINK("CSG0.html#group2B0", "2B⁰"), =HYPERLINK("CSG0.html#group4B0", "4B⁰"), =HYPERLINK("CSG5.html#group42G5", "42G⁵"), =HYPERLINK("CSG0.html#group1A0", "1A⁰"), =HYPERLINK("CSG11.html#group84I11", "84I¹¹"), =HYPERLINK("CSG1.html#group21B1", "21B¹"), =HYPERLINK("CSG0.html#group7B0", "7B⁰"), =HYPERLINK("CSG1.html#group14C1", "14C¹"), =HYPERLINK("CSG0.html#group6F0", "6F⁰"), =HYPERLINK("CSG0.html#group12E0", "12E⁰")</f>
        <v/>
      </c>
      <c r="N7525" t="inlineStr"/>
    </row>
    <row r="7526">
      <c r="A7526" t="inlineStr">
        <is>
          <t>84L²³</t>
        </is>
      </c>
      <c r="B7526" t="inlineStr"/>
      <c r="C7526" t="inlineStr">
        <is>
          <t>384</t>
        </is>
      </c>
      <c r="D7526" t="inlineStr">
        <is>
          <t>1</t>
        </is>
      </c>
      <c r="E7526" t="inlineStr">
        <is>
          <t>192</t>
        </is>
      </c>
      <c r="F7526" t="inlineStr">
        <is>
          <t>0</t>
        </is>
      </c>
      <c r="G7526" t="inlineStr">
        <is>
          <t>0</t>
        </is>
      </c>
      <c r="H7526" t="inlineStr">
        <is>
          <t>1², 2¹, 3², 4², 6¹, 7², 12², 14¹, 21², 28², 42¹, 84²</t>
        </is>
      </c>
      <c r="I7526" t="n">
        <v>20</v>
      </c>
      <c r="J7526" t="inlineStr">
        <is>
          <t>1¹⁶, 2¹², 4², 6⁸, 12⁶, 24¹</t>
        </is>
      </c>
      <c r="K7526">
        <f>HYPERLINK("CSG4.html#group28E4", "28E⁴"), =HYPERLINK("CSG11.html#group84I11", "84I¹¹")</f>
        <v/>
      </c>
      <c r="L7526" t="inlineStr"/>
      <c r="M7526">
        <f>HYPERLINK("CSG0.html#group3B0", "3B⁰"), =HYPERLINK("CSG4.html#group28E4", "28E⁴"), =HYPERLINK("CSG1.html#group21B1", "21B¹"), =HYPERLINK("CSG0.html#group7B0", "7B⁰"), =HYPERLINK("CSG2.html#group28D2", "28D²"), =HYPERLINK("CSG1.html#group14C1", "14C¹"), =HYPERLINK("CSG5.html#group42G5", "42G⁵"), =HYPERLINK("CSG0.html#group6F0", "6F⁰"), =HYPERLINK("CSG0.html#group1A0", "1A⁰"), =HYPERLINK("CSG0.html#group2B0", "2B⁰"), =HYPERLINK("CSG0.html#group4B0", "4B⁰"), =HYPERLINK("CSG11.html#group84I11", "84I¹¹"), =HYPERLINK("CSG0.html#group12E0", "12E⁰")</f>
        <v/>
      </c>
      <c r="N7526" t="inlineStr"/>
    </row>
    <row r="7527">
      <c r="A7527" t="inlineStr">
        <is>
          <t>90A²³</t>
        </is>
      </c>
      <c r="B7527" t="inlineStr"/>
      <c r="C7527" t="inlineStr">
        <is>
          <t>324</t>
        </is>
      </c>
      <c r="D7527" t="inlineStr">
        <is>
          <t>1</t>
        </is>
      </c>
      <c r="E7527" t="inlineStr">
        <is>
          <t>162</t>
        </is>
      </c>
      <c r="F7527" t="inlineStr">
        <is>
          <t>8</t>
        </is>
      </c>
      <c r="G7527" t="inlineStr">
        <is>
          <t>0</t>
        </is>
      </c>
      <c r="H7527" t="inlineStr">
        <is>
          <t>18³, 90³</t>
        </is>
      </c>
      <c r="I7527" t="n">
        <v>6</v>
      </c>
      <c r="J7527" t="inlineStr">
        <is>
          <t>1⁶, 2⁶, 4³, 6⁶, 8³, 24³</t>
        </is>
      </c>
      <c r="K7527">
        <f>HYPERLINK("CSG3.html#group18D3", "18D³"), =HYPERLINK("CSG5.html#group30P5", "30P⁵"), =HYPERLINK("CSG7.html#group90C7", "90C⁷"), =HYPERLINK("CSG7.html#group90D7", "90D⁷"), =HYPERLINK("CSG10.html#group90E10", "90E¹⁰")</f>
        <v/>
      </c>
      <c r="L7527" t="inlineStr"/>
      <c r="M7527">
        <f>HYPERLINK("CSG2.html#group45A2", "45A²"), =HYPERLINK("CSG0.html#group6B0", "6B⁰"), =HYPERLINK("CSG0.html#group6H0", "6H⁰"), =HYPERLINK("CSG10.html#group90E10", "90E¹⁰"), =HYPERLINK("CSG1.html#group18B1", "18B¹"), =HYPERLINK("CSG0.html#group5B0", "5B⁰"), =HYPERLINK("CSG0.html#group2B0", "2B⁰"), =HYPERLINK("CSG0.html#group1A0", "1A⁰"), =HYPERLINK("CSG5.html#group30P5", "30P⁵"), =HYPERLINK("CSG3.html#group18D3", "18D³"), =HYPERLINK("CSG7.html#group90D7", "90D⁷"), =HYPERLINK("CSG0.html#group15B0", "15B⁰"), =HYPERLINK("CSG2.html#group30E2", "30E²"), =HYPERLINK("CSG7.html#group90C7", "90C⁷"), =HYPERLINK("CSG0.html#group9A0", "9A⁰"), =HYPERLINK("CSG0.html#group10C0", "10C⁰"), =HYPERLINK("CSG1.html#group18E1", "18E¹"), =HYPERLINK("CSG0.html#group3A0", "3A⁰"), =HYPERLINK("CSG1.html#group18A1", "18A¹"), =HYPERLINK("CSG0.html#group6D0", "6D⁰"), =HYPERLINK("CSG1.html#group30C1", "30C¹")</f>
        <v/>
      </c>
      <c r="N7527" t="inlineStr"/>
    </row>
    <row r="7528">
      <c r="A7528" t="inlineStr">
        <is>
          <t>90B²³</t>
        </is>
      </c>
      <c r="B7528" t="inlineStr"/>
      <c r="C7528" t="inlineStr">
        <is>
          <t>324</t>
        </is>
      </c>
      <c r="D7528" t="inlineStr">
        <is>
          <t>2</t>
        </is>
      </c>
      <c r="E7528" t="inlineStr">
        <is>
          <t>162</t>
        </is>
      </c>
      <c r="F7528" t="inlineStr">
        <is>
          <t>4</t>
        </is>
      </c>
      <c r="G7528" t="inlineStr">
        <is>
          <t>0</t>
        </is>
      </c>
      <c r="H7528" t="inlineStr">
        <is>
          <t>9², 18², 45², 90²</t>
        </is>
      </c>
      <c r="I7528" t="n">
        <v>8</v>
      </c>
      <c r="J7528" t="inlineStr">
        <is>
          <t>2¹⁸, 6¹², 8⁹, 24⁶</t>
        </is>
      </c>
      <c r="K7528">
        <f>HYPERLINK("CSG3.html#group18E3", "18E³"), =HYPERLINK("CSG5.html#group30O5", "30O⁵"), =HYPERLINK("CSG7.html#group45B7", "45B⁷"), =HYPERLINK("CSG10.html#group90E10", "90E¹⁰")</f>
        <v/>
      </c>
      <c r="L7528" t="inlineStr"/>
      <c r="M7528">
        <f>HYPERLINK("CSG2.html#group45A2", "45A²"), =HYPERLINK("CSG10.html#group90E10", "90E¹⁰"), =HYPERLINK("CSG0.html#group5B0", "5B⁰"), =HYPERLINK("CSG0.html#group6G0", "6G⁰"), =HYPERLINK("CSG0.html#group2B0", "2B⁰"), =HYPERLINK("CSG5.html#group30O5", "30O⁵"), =HYPERLINK("CSG0.html#group1A0", "1A⁰"), =HYPERLINK("CSG1.html#group9B1", "9B¹"), =HYPERLINK("CSG3.html#group18E3", "18E³"), =HYPERLINK("CSG0.html#group15B0", "15B⁰"), =HYPERLINK("CSG2.html#group30E2", "30E²"), =HYPERLINK("CSG0.html#group9A0", "9A⁰"), =HYPERLINK("CSG7.html#group45B7", "45B⁷"), =HYPERLINK("CSG0.html#group10C0", "10C⁰"), =HYPERLINK("CSG0.html#group3C0", "3C⁰"), =HYPERLINK("CSG1.html#group18E1", "18E¹"), =HYPERLINK("CSG0.html#group3A0", "3A⁰"), =HYPERLINK("CSG0.html#group6D0", "6D⁰"), =HYPERLINK("CSG1.html#group15E1", "15E¹")</f>
        <v/>
      </c>
      <c r="N7528" t="inlineStr"/>
    </row>
    <row r="7529">
      <c r="A7529" t="inlineStr">
        <is>
          <t>90C²³</t>
        </is>
      </c>
      <c r="B7529" t="inlineStr"/>
      <c r="C7529" t="inlineStr">
        <is>
          <t>360</t>
        </is>
      </c>
      <c r="D7529" t="inlineStr">
        <is>
          <t>1</t>
        </is>
      </c>
      <c r="E7529" t="inlineStr">
        <is>
          <t>30</t>
        </is>
      </c>
      <c r="F7529" t="inlineStr">
        <is>
          <t>24</t>
        </is>
      </c>
      <c r="G7529" t="inlineStr">
        <is>
          <t>0</t>
        </is>
      </c>
      <c r="H7529" t="inlineStr">
        <is>
          <t>90⁴</t>
        </is>
      </c>
      <c r="I7529" t="n">
        <v>4</v>
      </c>
      <c r="J7529" t="inlineStr">
        <is>
          <t>2¹, 4³, 8²</t>
        </is>
      </c>
      <c r="K7529">
        <f>HYPERLINK("CSG0.html#group18D0", "18D⁰"), =HYPERLINK("CSG7.html#group30I7", "30I⁷"), =HYPERLINK("CSG11.html#group45A11", "45A¹¹"), =HYPERLINK("CSG11.html#group90G11", "90G¹¹")</f>
        <v/>
      </c>
      <c r="L7529" t="inlineStr"/>
      <c r="M7529">
        <f>HYPERLINK("CSG0.html#group6B0", "6B⁰"), =HYPERLINK("CSG7.html#group30I7", "30I⁷"), =HYPERLINK("CSG5.html#group45E5", "45E⁵"), =HYPERLINK("CSG3.html#group15C3", "15C³"), =HYPERLINK("CSG3.html#group30H3", "30H³"), =HYPERLINK("CSG0.html#group1A0", "1A⁰"), =HYPERLINK("CSG0.html#group18A0", "18A⁰"), =HYPERLINK("CSG11.html#group45A11", "45A¹¹"), =HYPERLINK("CSG11.html#group90G11", "90G¹¹"), =HYPERLINK("CSG1.html#group15D1", "15D¹"), =HYPERLINK("CSG0.html#group9D0", "9D⁰"), =HYPERLINK("CSG0.html#group18D0", "18D⁰"), =HYPERLINK("CSG0.html#group6E0", "6E⁰"), =HYPERLINK("CSG0.html#group9A0", "9A⁰"), =HYPERLINK("CSG0.html#group3C0", "3C⁰"), =HYPERLINK("CSG0.html#group3A0", "3A⁰"), =HYPERLINK("CSG0.html#group5C0", "5C⁰")</f>
        <v/>
      </c>
      <c r="N7529" t="inlineStr"/>
    </row>
    <row r="7530">
      <c r="A7530" t="inlineStr">
        <is>
          <t>90D²³</t>
        </is>
      </c>
      <c r="B7530" t="inlineStr"/>
      <c r="C7530" t="inlineStr">
        <is>
          <t>360</t>
        </is>
      </c>
      <c r="D7530" t="inlineStr">
        <is>
          <t>1</t>
        </is>
      </c>
      <c r="E7530" t="inlineStr">
        <is>
          <t>30</t>
        </is>
      </c>
      <c r="F7530" t="inlineStr">
        <is>
          <t>24</t>
        </is>
      </c>
      <c r="G7530" t="inlineStr">
        <is>
          <t>0</t>
        </is>
      </c>
      <c r="H7530" t="inlineStr">
        <is>
          <t>90⁴</t>
        </is>
      </c>
      <c r="I7530" t="n">
        <v>4</v>
      </c>
      <c r="J7530" t="inlineStr">
        <is>
          <t>2¹, 4³, 8²</t>
        </is>
      </c>
      <c r="K7530">
        <f>HYPERLINK("CSG7.html#group30J7", "30J⁷"), =HYPERLINK("CSG10.html#group90F10", "90F¹⁰"), =HYPERLINK("CSG11.html#group45A11", "45A¹¹"), =HYPERLINK("CSG12.html#group90D12", "90D¹²")</f>
        <v/>
      </c>
      <c r="L7530" t="inlineStr"/>
      <c r="M7530">
        <f>HYPERLINK("CSG5.html#group45E5", "45E⁵"), =HYPERLINK("CSG0.html#group10D0", "10D⁰"), =HYPERLINK("CSG3.html#group15C3", "15C³"), =HYPERLINK("CSG2.html#group30F2", "30F²"), =HYPERLINK("CSG0.html#group1A0", "1A⁰"), =HYPERLINK("CSG7.html#group30J7", "30J⁷"), =HYPERLINK("CSG11.html#group45A11", "45A¹¹"), =HYPERLINK("CSG1.html#group15D1", "15D¹"), =HYPERLINK("CSG4.html#group30C4", "30C⁴"), =HYPERLINK("CSG0.html#group9D0", "9D⁰"), =HYPERLINK("CSG0.html#group9A0", "9A⁰"), =HYPERLINK("CSG12.html#group90D12", "90D¹²"), =HYPERLINK("CSG0.html#group3C0", "3C⁰"), =HYPERLINK("CSG10.html#group90F10", "90F¹⁰"), =HYPERLINK("CSG0.html#group3A0", "3A⁰"), =HYPERLINK("CSG0.html#group5C0", "5C⁰")</f>
        <v/>
      </c>
      <c r="N7530" t="inlineStr"/>
    </row>
    <row r="7531">
      <c r="A7531" t="inlineStr">
        <is>
          <t>90E²³</t>
        </is>
      </c>
      <c r="B7531" t="inlineStr"/>
      <c r="C7531" t="inlineStr">
        <is>
          <t>360</t>
        </is>
      </c>
      <c r="D7531" t="inlineStr">
        <is>
          <t>1</t>
        </is>
      </c>
      <c r="E7531" t="inlineStr">
        <is>
          <t>120</t>
        </is>
      </c>
      <c r="F7531" t="inlineStr">
        <is>
          <t>0</t>
        </is>
      </c>
      <c r="G7531" t="inlineStr">
        <is>
          <t>0</t>
        </is>
      </c>
      <c r="H7531" t="inlineStr">
        <is>
          <t>5⁶, 10⁶, 45², 90²</t>
        </is>
      </c>
      <c r="I7531" t="n">
        <v>16</v>
      </c>
      <c r="J7531" t="inlineStr">
        <is>
          <t>2⁶, 4¹⁵, 8⁶</t>
        </is>
      </c>
      <c r="K7531">
        <f>HYPERLINK("CSG0.html#group18E0", "18E⁰"), =HYPERLINK("CSG7.html#group30L7", "30L⁷"), =HYPERLINK("CSG7.html#group45C7", "45C⁷")</f>
        <v/>
      </c>
      <c r="L7531" t="inlineStr"/>
      <c r="M7531">
        <f>HYPERLINK("CSG0.html#group3B0", "3B⁰"), =HYPERLINK("CSG0.html#group18E0", "18E⁰"), =HYPERLINK("CSG0.html#group5C0", "5C⁰"), =HYPERLINK("CSG0.html#group6F0", "6F⁰"), =HYPERLINK("CSG0.html#group9B0", "9B⁰"), =HYPERLINK("CSG7.html#group45C7", "45C⁷"), =HYPERLINK("CSG2.html#group15C2", "15C²"), =HYPERLINK("CSG7.html#group30L7", "30L⁷"), =HYPERLINK("CSG0.html#group2B0", "2B⁰"), =HYPERLINK("CSG0.html#group1A0", "1A⁰"), =HYPERLINK("CSG1.html#group10F1", "10F¹")</f>
        <v/>
      </c>
      <c r="N7531" t="inlineStr"/>
    </row>
    <row r="7532">
      <c r="A7532" t="inlineStr">
        <is>
          <t>90F²³</t>
        </is>
      </c>
      <c r="B7532" t="inlineStr"/>
      <c r="C7532" t="inlineStr">
        <is>
          <t>360</t>
        </is>
      </c>
      <c r="D7532" t="inlineStr">
        <is>
          <t>2</t>
        </is>
      </c>
      <c r="E7532" t="inlineStr">
        <is>
          <t>90</t>
        </is>
      </c>
      <c r="F7532" t="inlineStr">
        <is>
          <t>24</t>
        </is>
      </c>
      <c r="G7532" t="inlineStr">
        <is>
          <t>0</t>
        </is>
      </c>
      <c r="H7532" t="inlineStr">
        <is>
          <t>90⁴</t>
        </is>
      </c>
      <c r="I7532" t="n">
        <v>4</v>
      </c>
      <c r="J7532" t="inlineStr">
        <is>
          <t>4³, 8⁶, 12², 24⁴</t>
        </is>
      </c>
      <c r="K7532">
        <f>HYPERLINK("CSG7.html#group30N7", "30N⁷"), =HYPERLINK("CSG10.html#group45D10", "45D¹⁰"), =HYPERLINK("CSG11.html#group90G11", "90G¹¹"), =HYPERLINK("CSG12.html#group90D12", "90D¹²")</f>
        <v/>
      </c>
      <c r="L7532" t="inlineStr"/>
      <c r="M7532">
        <f>HYPERLINK("CSG4.html#group30C4", "30C⁴"), =HYPERLINK("CSG1.html#group15D1", "15D¹"), =HYPERLINK("CSG0.html#group6B0", "6B⁰"), =HYPERLINK("CSG3.html#group30H3", "30H³"), =HYPERLINK("CSG5.html#group45E5", "45E⁵"), =HYPERLINK("CSG0.html#group9A0", "9A⁰"), =HYPERLINK("CSG0.html#group5C0", "5C⁰"), =HYPERLINK("CSG7.html#group30N7", "30N⁷"), =HYPERLINK("CSG12.html#group90D12", "90D¹²"), =HYPERLINK("CSG2.html#group15D2", "15D²"), =HYPERLINK("CSG0.html#group1A0", "1A⁰"), =HYPERLINK("CSG0.html#group3A0", "3A⁰"), =HYPERLINK("CSG11.html#group90G11", "90G¹¹"), =HYPERLINK("CSG0.html#group18A0", "18A⁰"), =HYPERLINK("CSG10.html#group45D10", "45D¹⁰")</f>
        <v/>
      </c>
      <c r="N7532" t="inlineStr"/>
    </row>
    <row r="7533">
      <c r="A7533" t="inlineStr">
        <is>
          <t>91A²³</t>
        </is>
      </c>
      <c r="B7533" t="inlineStr"/>
      <c r="C7533" t="inlineStr">
        <is>
          <t>336</t>
        </is>
      </c>
      <c r="D7533" t="inlineStr">
        <is>
          <t>1</t>
        </is>
      </c>
      <c r="E7533" t="inlineStr">
        <is>
          <t>112</t>
        </is>
      </c>
      <c r="F7533" t="inlineStr">
        <is>
          <t>0</t>
        </is>
      </c>
      <c r="G7533" t="inlineStr">
        <is>
          <t>0</t>
        </is>
      </c>
      <c r="H7533" t="inlineStr">
        <is>
          <t>1³, 7³, 13³, 91³</t>
        </is>
      </c>
      <c r="I7533" t="n">
        <v>12</v>
      </c>
      <c r="J7533" t="inlineStr">
        <is>
          <t>1⁴, 6², 12², 72¹</t>
        </is>
      </c>
      <c r="K7533">
        <f>HYPERLINK("CSG0.html#group7E0", "7E⁰"), =HYPERLINK("CSG7.html#group91A7", "91A⁷")</f>
        <v/>
      </c>
      <c r="L7533" t="inlineStr"/>
      <c r="M7533">
        <f>HYPERLINK("CSG0.html#group13A0", "13A⁰"), =HYPERLINK("CSG0.html#group7E0", "7E⁰"), =HYPERLINK("CSG7.html#group91A7", "91A⁷"), =HYPERLINK("CSG0.html#group1A0", "1A⁰"), =HYPERLINK("CSG0.html#group7B0", "7B⁰")</f>
        <v/>
      </c>
      <c r="N7533" t="inlineStr"/>
    </row>
    <row r="7534">
      <c r="A7534" t="inlineStr">
        <is>
          <t>91B²³</t>
        </is>
      </c>
      <c r="B7534" t="inlineStr"/>
      <c r="C7534" t="inlineStr">
        <is>
          <t>336</t>
        </is>
      </c>
      <c r="D7534" t="inlineStr">
        <is>
          <t>1</t>
        </is>
      </c>
      <c r="E7534" t="inlineStr">
        <is>
          <t>112</t>
        </is>
      </c>
      <c r="F7534" t="inlineStr">
        <is>
          <t>0</t>
        </is>
      </c>
      <c r="G7534" t="inlineStr">
        <is>
          <t>0</t>
        </is>
      </c>
      <c r="H7534" t="inlineStr">
        <is>
          <t>1³, 7³, 13³, 91³</t>
        </is>
      </c>
      <c r="I7534" t="n">
        <v>12</v>
      </c>
      <c r="J7534" t="inlineStr">
        <is>
          <t>1⁴, 6², 12², 72¹</t>
        </is>
      </c>
      <c r="K7534">
        <f>HYPERLINK("CSG0.html#group13C0", "13C⁰"), =HYPERLINK("CSG7.html#group91A7", "91A⁷")</f>
        <v/>
      </c>
      <c r="L7534" t="inlineStr"/>
      <c r="M7534">
        <f>HYPERLINK("CSG0.html#group13A0", "13A⁰"), =HYPERLINK("CSG0.html#group13C0", "13C⁰"), =HYPERLINK("CSG7.html#group91A7", "91A⁷"), =HYPERLINK("CSG0.html#group1A0", "1A⁰"), =HYPERLINK("CSG0.html#group7B0", "7B⁰")</f>
        <v/>
      </c>
      <c r="N7534" t="inlineStr"/>
    </row>
    <row r="7535">
      <c r="A7535" t="inlineStr">
        <is>
          <t>95A²³</t>
        </is>
      </c>
      <c r="B7535" t="inlineStr"/>
      <c r="C7535" t="inlineStr">
        <is>
          <t>300</t>
        </is>
      </c>
      <c r="D7535" t="inlineStr">
        <is>
          <t>1</t>
        </is>
      </c>
      <c r="E7535" t="inlineStr">
        <is>
          <t>100</t>
        </is>
      </c>
      <c r="F7535" t="inlineStr">
        <is>
          <t>0</t>
        </is>
      </c>
      <c r="G7535" t="inlineStr">
        <is>
          <t>0</t>
        </is>
      </c>
      <c r="H7535" t="inlineStr">
        <is>
          <t>5³, 95³</t>
        </is>
      </c>
      <c r="I7535" t="n">
        <v>6</v>
      </c>
      <c r="J7535" t="inlineStr">
        <is>
          <t>1², 4², 18¹, 72¹</t>
        </is>
      </c>
      <c r="K7535">
        <f>HYPERLINK("CSG0.html#group5E0", "5E⁰"), =HYPERLINK("CSG7.html#group95A7", "95A⁷")</f>
        <v/>
      </c>
      <c r="L7535" t="inlineStr"/>
      <c r="M7535">
        <f>HYPERLINK("CSG0.html#group5E0", "5E⁰"), =HYPERLINK("CSG1.html#group19A1", "19A¹"), =HYPERLINK("CSG0.html#group5A0", "5A⁰"), =HYPERLINK("CSG7.html#group95A7", "95A⁷"), =HYPERLINK("CSG0.html#group1A0", "1A⁰")</f>
        <v/>
      </c>
      <c r="N7535" t="inlineStr"/>
    </row>
    <row r="7536">
      <c r="A7536" t="inlineStr">
        <is>
          <t>95B²³</t>
        </is>
      </c>
      <c r="B7536" t="inlineStr"/>
      <c r="C7536" t="inlineStr">
        <is>
          <t>300</t>
        </is>
      </c>
      <c r="D7536" t="inlineStr">
        <is>
          <t>1</t>
        </is>
      </c>
      <c r="E7536" t="inlineStr">
        <is>
          <t>100</t>
        </is>
      </c>
      <c r="F7536" t="inlineStr">
        <is>
          <t>0</t>
        </is>
      </c>
      <c r="G7536" t="inlineStr">
        <is>
          <t>0</t>
        </is>
      </c>
      <c r="H7536" t="inlineStr">
        <is>
          <t>5³, 95³</t>
        </is>
      </c>
      <c r="I7536" t="n">
        <v>6</v>
      </c>
      <c r="J7536" t="inlineStr">
        <is>
          <t>2², 4⁴, 36¹, 72²</t>
        </is>
      </c>
      <c r="K7536">
        <f>HYPERLINK("CSG7.html#group95A7", "95A⁷")</f>
        <v/>
      </c>
      <c r="L7536" t="inlineStr"/>
      <c r="M7536">
        <f>HYPERLINK("CSG1.html#group19A1", "19A¹"), =HYPERLINK("CSG0.html#group1A0", "1A⁰"), =HYPERLINK("CSG0.html#group5A0", "5A⁰"), =HYPERLINK("CSG7.html#group95A7", "95A⁷")</f>
        <v/>
      </c>
      <c r="N7536" t="inlineStr"/>
    </row>
    <row r="7537">
      <c r="A7537" t="inlineStr">
        <is>
          <t>95C²³</t>
        </is>
      </c>
      <c r="B7537" t="inlineStr"/>
      <c r="C7537" t="inlineStr">
        <is>
          <t>300</t>
        </is>
      </c>
      <c r="D7537" t="inlineStr">
        <is>
          <t>1</t>
        </is>
      </c>
      <c r="E7537" t="inlineStr">
        <is>
          <t>100</t>
        </is>
      </c>
      <c r="F7537" t="inlineStr">
        <is>
          <t>0</t>
        </is>
      </c>
      <c r="G7537" t="inlineStr">
        <is>
          <t>0</t>
        </is>
      </c>
      <c r="H7537" t="inlineStr">
        <is>
          <t>5³, 95³</t>
        </is>
      </c>
      <c r="I7537" t="n">
        <v>6</v>
      </c>
      <c r="J7537" t="inlineStr">
        <is>
          <t>2², 4⁴, 36¹, 72²</t>
        </is>
      </c>
      <c r="K7537">
        <f>HYPERLINK("CSG7.html#group95A7", "95A⁷")</f>
        <v/>
      </c>
      <c r="L7537" t="inlineStr"/>
      <c r="M7537">
        <f>HYPERLINK("CSG1.html#group19A1", "19A¹"), =HYPERLINK("CSG0.html#group1A0", "1A⁰"), =HYPERLINK("CSG0.html#group5A0", "5A⁰"), =HYPERLINK("CSG7.html#group95A7", "95A⁷")</f>
        <v/>
      </c>
      <c r="N7537" t="inlineStr"/>
    </row>
    <row r="7538">
      <c r="A7538" t="inlineStr">
        <is>
          <t>96A²³</t>
        </is>
      </c>
      <c r="B7538" t="inlineStr"/>
      <c r="C7538" t="inlineStr">
        <is>
          <t>288</t>
        </is>
      </c>
      <c r="D7538" t="inlineStr">
        <is>
          <t>1</t>
        </is>
      </c>
      <c r="E7538" t="inlineStr">
        <is>
          <t>6</t>
        </is>
      </c>
      <c r="F7538" t="inlineStr">
        <is>
          <t>0</t>
        </is>
      </c>
      <c r="G7538" t="inlineStr">
        <is>
          <t>0</t>
        </is>
      </c>
      <c r="H7538" t="inlineStr">
        <is>
          <t>48², 96²</t>
        </is>
      </c>
      <c r="I7538" t="n">
        <v>4</v>
      </c>
      <c r="J7538" t="inlineStr">
        <is>
          <t>1², 2²</t>
        </is>
      </c>
      <c r="K7538">
        <f>HYPERLINK("CSG5.html#group48E5", "48E⁵"), =HYPERLINK("CSG7.html#group32A7", "32A⁷"), =HYPERLINK("CSG9.html#group96B9", "96B⁹")</f>
        <v/>
      </c>
      <c r="L7538" t="inlineStr"/>
      <c r="M7538">
        <f>HYPERLINK("CSG7.html#group32A7", "32A⁷"), =HYPERLINK("CSG5.html#group48E5", "48E⁵"), =HYPERLINK("CSG0.html#group12C0", "12C⁰"), =HYPERLINK("CSG9.html#group96B9", "96B⁹"), =HYPERLINK("CSG0.html#group8D0", "8D⁰"), =HYPERLINK("CSG0.html#group4C0", "4C⁰"), =HYPERLINK("CSG0.html#group8B0", "8B⁰"), =HYPERLINK("CSG1.html#group16B1", "16B¹"), =HYPERLINK("CSG0.html#group48A0", "48A⁰"), =HYPERLINK("CSG0.html#group2B0", "2B⁰"), =HYPERLINK("CSG2.html#group24L2", "24L²"), =HYPERLINK("CSG0.html#group1A0", "1A⁰"), =HYPERLINK("CSG0.html#group16B0", "16B⁰"), =HYPERLINK("CSG0.html#group8H0", "8H⁰"), =HYPERLINK("CSG3.html#group48C3", "48C³"), =HYPERLINK("CSG0.html#group12A0", "12A⁰"), =HYPERLINK("CSG0.html#group24A0", "24A⁰"), =HYPERLINK("CSG0.html#group4A0", "4A⁰"), =HYPERLINK("CSG1.html#group24C1", "24C¹"), =HYPERLINK("CSG3.html#group32D3", "32D³"), =HYPERLINK("CSG1.html#group12J1", "12J¹"), =HYPERLINK("CSG0.html#group4F0", "4F⁰"), =HYPERLINK("CSG1.html#group16F1", "16F¹"), =HYPERLINK("CSG0.html#group3A0", "3A⁰"), =HYPERLINK("CSG0.html#group6D0", "6D⁰")</f>
        <v/>
      </c>
      <c r="N7538" t="inlineStr"/>
    </row>
    <row r="7539">
      <c r="A7539" t="inlineStr">
        <is>
          <t>96B²³</t>
        </is>
      </c>
      <c r="B7539" t="inlineStr"/>
      <c r="C7539" t="inlineStr">
        <is>
          <t>288</t>
        </is>
      </c>
      <c r="D7539" t="inlineStr">
        <is>
          <t>1</t>
        </is>
      </c>
      <c r="E7539" t="inlineStr">
        <is>
          <t>6</t>
        </is>
      </c>
      <c r="F7539" t="inlineStr">
        <is>
          <t>0</t>
        </is>
      </c>
      <c r="G7539" t="inlineStr">
        <is>
          <t>0</t>
        </is>
      </c>
      <c r="H7539" t="inlineStr">
        <is>
          <t>48², 96²</t>
        </is>
      </c>
      <c r="I7539" t="n">
        <v>4</v>
      </c>
      <c r="J7539" t="inlineStr">
        <is>
          <t>1⁴, 2¹</t>
        </is>
      </c>
      <c r="K7539">
        <f>HYPERLINK("CSG7.html#group32B7", "32B⁷"), =HYPERLINK("CSG9.html#group96C9", "96C⁹"), =HYPERLINK("CSG11.html#group48D11", "48D¹¹")</f>
        <v/>
      </c>
      <c r="L7539" t="inlineStr"/>
      <c r="M7539">
        <f>HYPERLINK("CSG0.html#group2A0", "2A⁰"), =HYPERLINK("CSG3.html#group24A3", "24A³"), =HYPERLINK("CSG0.html#group12C0", "12C⁰"), =HYPERLINK("CSG0.html#group4C0", "4C⁰"), =HYPERLINK("CSG5.html#group24A5", "24A⁵"), =HYPERLINK("CSG1.html#group6C1", "6C¹"), =HYPERLINK("CSG2.html#group12B2", "12B²"), =HYPERLINK("CSG0.html#group2B0", "2B⁰"), =HYPERLINK("CSG0.html#group4E0", "4E⁰"), =HYPERLINK("CSG0.html#group4B0", "4B⁰"), =HYPERLINK("CSG0.html#group1A0", "1A⁰"), =HYPERLINK("CSG1.html#group16D1", "16D¹"), =HYPERLINK("CSG2.html#group16B2", "16B²"), =HYPERLINK("CSG6.html#group48B6", "48B⁶"), =HYPERLINK("CSG0.html#group24A0", "24A⁰"), =HYPERLINK("CSG11.html#group48D11", "48D¹¹"), =HYPERLINK("CSG1.html#group12B1", "12B¹"), =HYPERLINK("CSG1.html#group6A1", "6A¹"), =HYPERLINK("CSG0.html#group3A0", "3A⁰"), =HYPERLINK("CSG3.html#group16D3", "16D³"), =HYPERLINK("CSG1.html#group8A1", "8A¹"), =HYPERLINK("CSG0.html#group8B0", "8B⁰"), =HYPERLINK("CSG1.html#group8B1", "8B¹"), =HYPERLINK("CSG0.html#group6A0", "6A⁰"), =HYPERLINK("CSG3.html#group48E3", "48E³"), =HYPERLINK("CSG3.html#group32E3", "32E³"), =HYPERLINK("CSG9.html#group96C9", "96C⁹"), =HYPERLINK("CSG7.html#group32B7", "32B⁷"), =HYPERLINK("CSG0.html#group2C0", "2C⁰"), =HYPERLINK("CSG0.html#group6D0", "6D⁰")</f>
        <v/>
      </c>
      <c r="N7539" t="inlineStr"/>
    </row>
    <row r="7540">
      <c r="A7540" t="inlineStr">
        <is>
          <t>96C²³</t>
        </is>
      </c>
      <c r="B7540" t="inlineStr"/>
      <c r="C7540" t="inlineStr">
        <is>
          <t>288</t>
        </is>
      </c>
      <c r="D7540" t="inlineStr">
        <is>
          <t>1</t>
        </is>
      </c>
      <c r="E7540" t="inlineStr">
        <is>
          <t>6</t>
        </is>
      </c>
      <c r="F7540" t="inlineStr">
        <is>
          <t>0</t>
        </is>
      </c>
      <c r="G7540" t="inlineStr">
        <is>
          <t>0</t>
        </is>
      </c>
      <c r="H7540" t="inlineStr">
        <is>
          <t>48², 96²</t>
        </is>
      </c>
      <c r="I7540" t="n">
        <v>4</v>
      </c>
      <c r="J7540" t="inlineStr">
        <is>
          <t>1⁴, 2¹</t>
        </is>
      </c>
      <c r="K7540">
        <f>HYPERLINK("CSG7.html#group32C7", "32C⁷"), =HYPERLINK("CSG9.html#group96E9", "96E⁹"), =HYPERLINK("CSG11.html#group48D11", "48D¹¹")</f>
        <v/>
      </c>
      <c r="L7540" t="inlineStr"/>
      <c r="M7540">
        <f>HYPERLINK("CSG0.html#group2A0", "2A⁰"), =HYPERLINK("CSG3.html#group24A3", "24A³"), =HYPERLINK("CSG3.html#group16D3", "16D³"), =HYPERLINK("CSG1.html#group8A1", "8A¹"), =HYPERLINK("CSG0.html#group12C0", "12C⁰"), =HYPERLINK("CSG0.html#group4C0", "4C⁰"), =HYPERLINK("CSG5.html#group24A5", "24A⁵"), =HYPERLINK("CSG0.html#group8B0", "8B⁰"), =HYPERLINK("CSG1.html#group6C1", "6C¹"), =HYPERLINK("CSG2.html#group12B2", "12B²"), =HYPERLINK("CSG7.html#group32C7", "32C⁷"), =HYPERLINK("CSG0.html#group2B0", "2B⁰"), =HYPERLINK("CSG1.html#group8B1", "8B¹"), =HYPERLINK("CSG0.html#group4E0", "4E⁰"), =HYPERLINK("CSG0.html#group4B0", "4B⁰"), =HYPERLINK("CSG3.html#group32G3", "32G³"), =HYPERLINK("CSG0.html#group1A0", "1A⁰"), =HYPERLINK("CSG9.html#group96E9", "96E⁹"), =HYPERLINK("CSG1.html#group16D1", "16D¹"), =HYPERLINK("CSG2.html#group16B2", "16B²"), =HYPERLINK("CSG0.html#group6A0", "6A⁰"), =HYPERLINK("CSG6.html#group48B6", "48B⁶"), =HYPERLINK("CSG3.html#group48E3", "48E³"), =HYPERLINK("CSG11.html#group48D11", "48D¹¹"), =HYPERLINK("CSG0.html#group24A0", "24A⁰"), =HYPERLINK("CSG1.html#group12B1", "12B¹"), =HYPERLINK("CSG1.html#group6A1", "6A¹"), =HYPERLINK("CSG0.html#group3A0", "3A⁰"), =HYPERLINK("CSG0.html#group2C0", "2C⁰"), =HYPERLINK("CSG0.html#group6D0", "6D⁰")</f>
        <v/>
      </c>
      <c r="N7540" t="inlineStr"/>
    </row>
    <row r="7541">
      <c r="A7541" t="inlineStr">
        <is>
          <t>96D²³</t>
        </is>
      </c>
      <c r="B7541" t="inlineStr"/>
      <c r="C7541" t="inlineStr">
        <is>
          <t>288</t>
        </is>
      </c>
      <c r="D7541" t="inlineStr">
        <is>
          <t>1</t>
        </is>
      </c>
      <c r="E7541" t="inlineStr">
        <is>
          <t>6</t>
        </is>
      </c>
      <c r="F7541" t="inlineStr">
        <is>
          <t>0</t>
        </is>
      </c>
      <c r="G7541" t="inlineStr">
        <is>
          <t>0</t>
        </is>
      </c>
      <c r="H7541" t="inlineStr">
        <is>
          <t>48², 96²</t>
        </is>
      </c>
      <c r="I7541" t="n">
        <v>4</v>
      </c>
      <c r="J7541" t="inlineStr">
        <is>
          <t>1⁴, 2¹</t>
        </is>
      </c>
      <c r="K7541">
        <f>HYPERLINK("CSG7.html#group32D7", "32D⁷"), =HYPERLINK("CSG9.html#group96D9", "96D⁹"), =HYPERLINK("CSG11.html#group48D11", "48D¹¹"), =HYPERLINK("CSG12.html#group96A12", "96A¹²")</f>
        <v/>
      </c>
      <c r="L7541" t="inlineStr"/>
      <c r="M7541">
        <f>HYPERLINK("CSG0.html#group2A0", "2A⁰"), =HYPERLINK("CSG3.html#group24A3", "24A³"), =HYPERLINK("CSG0.html#group12C0", "12C⁰"), =HYPERLINK("CSG0.html#group4C0", "4C⁰"), =HYPERLINK("CSG5.html#group24A5", "24A⁵"), =HYPERLINK("CSG1.html#group6C1", "6C¹"), =HYPERLINK("CSG2.html#group12B2", "12B²"), =HYPERLINK("CSG0.html#group2B0", "2B⁰"), =HYPERLINK("CSG0.html#group4E0", "4E⁰"), =HYPERLINK("CSG3.html#group32F3", "32F³"), =HYPERLINK("CSG4.html#group32A4", "32A⁴"), =HYPERLINK("CSG0.html#group4B0", "4B⁰"), =HYPERLINK("CSG0.html#group1A0", "1A⁰"), =HYPERLINK("CSG1.html#group16D1", "16D¹"), =HYPERLINK("CSG2.html#group16B2", "16B²"), =HYPERLINK("CSG6.html#group48B6", "48B⁶"), =HYPERLINK("CSG0.html#group24A0", "24A⁰"), =HYPERLINK("CSG11.html#group48D11", "48D¹¹"), =HYPERLINK("CSG1.html#group12B1", "12B¹"), =HYPERLINK("CSG1.html#group6A1", "6A¹"), =HYPERLINK("CSG0.html#group3A0", "3A⁰"), =HYPERLINK("CSG3.html#group16D3", "16D³"), =HYPERLINK("CSG1.html#group8A1", "8A¹"), =HYPERLINK("CSG0.html#group8B0", "8B⁰"), =HYPERLINK("CSG1.html#group8B1", "8B¹"), =HYPERLINK("CSG12.html#group96A12", "96A¹²"), =HYPERLINK("CSG0.html#group6A0", "6A⁰"), =HYPERLINK("CSG3.html#group48E3", "48E³"), =HYPERLINK("CSG9.html#group96D9", "96D⁹"), =HYPERLINK("CSG7.html#group32D7", "32D⁷"), =HYPERLINK("CSG0.html#group2C0", "2C⁰"), =HYPERLINK("CSG0.html#group6D0", "6D⁰")</f>
        <v/>
      </c>
      <c r="N7541" t="inlineStr"/>
    </row>
    <row r="7542">
      <c r="A7542" t="inlineStr">
        <is>
          <t>96E²³</t>
        </is>
      </c>
      <c r="B7542" t="inlineStr"/>
      <c r="C7542" t="inlineStr">
        <is>
          <t>288</t>
        </is>
      </c>
      <c r="D7542" t="inlineStr">
        <is>
          <t>1</t>
        </is>
      </c>
      <c r="E7542" t="inlineStr">
        <is>
          <t>6</t>
        </is>
      </c>
      <c r="F7542" t="inlineStr">
        <is>
          <t>0</t>
        </is>
      </c>
      <c r="G7542" t="inlineStr">
        <is>
          <t>0</t>
        </is>
      </c>
      <c r="H7542" t="inlineStr">
        <is>
          <t>48², 96²</t>
        </is>
      </c>
      <c r="I7542" t="n">
        <v>4</v>
      </c>
      <c r="J7542" t="inlineStr">
        <is>
          <t>1⁴, 2¹</t>
        </is>
      </c>
      <c r="K7542">
        <f>HYPERLINK("CSG7.html#group32E7", "32E⁷"), =HYPERLINK("CSG9.html#group96F9", "96F⁹"), =HYPERLINK("CSG11.html#group48D11", "48D¹¹"), =HYPERLINK("CSG12.html#group96B12", "96B¹²")</f>
        <v/>
      </c>
      <c r="L7542" t="inlineStr"/>
      <c r="M7542">
        <f>HYPERLINK("CSG0.html#group2A0", "2A⁰"), =HYPERLINK("CSG3.html#group24A3", "24A³"), =HYPERLINK("CSG3.html#group16D3", "16D³"), =HYPERLINK("CSG1.html#group8A1", "8A¹"), =HYPERLINK("CSG0.html#group12C0", "12C⁰"), =HYPERLINK("CSG9.html#group96F9", "96F⁹"), =HYPERLINK("CSG7.html#group32E7", "32E⁷"), =HYPERLINK("CSG0.html#group4C0", "4C⁰"), =HYPERLINK("CSG5.html#group24A5", "24A⁵"), =HYPERLINK("CSG0.html#group8B0", "8B⁰"), =HYPERLINK("CSG1.html#group6C1", "6C¹"), =HYPERLINK("CSG2.html#group12B2", "12B²"), =HYPERLINK("CSG0.html#group2B0", "2B⁰"), =HYPERLINK("CSG1.html#group8B1", "8B¹"), =HYPERLINK("CSG0.html#group4E0", "4E⁰"), =HYPERLINK("CSG3.html#group32H3", "32H³"), =HYPERLINK("CSG0.html#group4B0", "4B⁰"), =HYPERLINK("CSG0.html#group1A0", "1A⁰"), =HYPERLINK("CSG4.html#group32B4", "32B⁴"), =HYPERLINK("CSG12.html#group96B12", "96B¹²"), =HYPERLINK("CSG1.html#group16D1", "16D¹"), =HYPERLINK("CSG2.html#group16B2", "16B²"), =HYPERLINK("CSG0.html#group6A0", "6A⁰"), =HYPERLINK("CSG6.html#group48B6", "48B⁶"), =HYPERLINK("CSG3.html#group48E3", "48E³"), =HYPERLINK("CSG11.html#group48D11", "48D¹¹"), =HYPERLINK("CSG0.html#group24A0", "24A⁰"), =HYPERLINK("CSG1.html#group12B1", "12B¹"), =HYPERLINK("CSG1.html#group6A1", "6A¹"), =HYPERLINK("CSG0.html#group3A0", "3A⁰"), =HYPERLINK("CSG0.html#group2C0", "2C⁰"), =HYPERLINK("CSG0.html#group6D0", "6D⁰")</f>
        <v/>
      </c>
      <c r="N7542" t="inlineStr"/>
    </row>
    <row r="7543">
      <c r="A7543" t="inlineStr">
        <is>
          <t>96F²³</t>
        </is>
      </c>
      <c r="B7543" t="inlineStr"/>
      <c r="C7543" t="inlineStr">
        <is>
          <t>288</t>
        </is>
      </c>
      <c r="D7543" t="inlineStr">
        <is>
          <t>1</t>
        </is>
      </c>
      <c r="E7543" t="inlineStr">
        <is>
          <t>12</t>
        </is>
      </c>
      <c r="F7543" t="inlineStr">
        <is>
          <t>0</t>
        </is>
      </c>
      <c r="G7543" t="inlineStr">
        <is>
          <t>0</t>
        </is>
      </c>
      <c r="H7543" t="inlineStr">
        <is>
          <t>48², 96²</t>
        </is>
      </c>
      <c r="I7543" t="n">
        <v>4</v>
      </c>
      <c r="J7543" t="inlineStr">
        <is>
          <t>2⁶</t>
        </is>
      </c>
      <c r="K7543">
        <f>HYPERLINK("CSG7.html#group32F7", "32F⁷"), =HYPERLINK("CSG11.html#group48A11", "48A¹¹")</f>
        <v/>
      </c>
      <c r="L7543" t="inlineStr"/>
      <c r="M7543">
        <f>HYPERLINK("CSG0.html#group2A0", "2A⁰"), =HYPERLINK("CSG3.html#group24A3", "24A³"), =HYPERLINK("CSG7.html#group32F7", "32F⁷"), =HYPERLINK("CSG0.html#group12C0", "12C⁰"), =HYPERLINK("CSG0.html#group4C0", "4C⁰"), =HYPERLINK("CSG5.html#group24A5", "24A⁵"), =HYPERLINK("CSG3.html#group16A3", "16A³"), =HYPERLINK("CSG1.html#group6C1", "6C¹"), =HYPERLINK("CSG2.html#group12B2", "12B²"), =HYPERLINK("CSG0.html#group2B0", "2B⁰"), =HYPERLINK("CSG0.html#group4E0", "4E⁰"), =HYPERLINK("CSG0.html#group4B0", "4B⁰"), =HYPERLINK("CSG0.html#group1A0", "1A⁰"), =HYPERLINK("CSG0.html#group24A0", "24A⁰"), =HYPERLINK("CSG1.html#group12B1", "12B¹"), =HYPERLINK("CSG1.html#group6A1", "6A¹"), =HYPERLINK("CSG0.html#group3A0", "3A⁰"), =HYPERLINK("CSG1.html#group8A1", "8A¹"), =HYPERLINK("CSG0.html#group8B0", "8B⁰"), =HYPERLINK("CSG1.html#group16B1", "16B¹"), =HYPERLINK("CSG1.html#group8B1", "8B¹"), =HYPERLINK("CSG3.html#group48C3", "48C³"), =HYPERLINK("CSG11.html#group48A11", "48A¹¹"), =HYPERLINK("CSG0.html#group6A0", "6A⁰"), =HYPERLINK("CSG0.html#group2C0", "2C⁰"), =HYPERLINK("CSG0.html#group6D0", "6D⁰")</f>
        <v/>
      </c>
      <c r="N7543" t="inlineStr"/>
    </row>
    <row r="7544">
      <c r="A7544" t="inlineStr">
        <is>
          <t>96G²³</t>
        </is>
      </c>
      <c r="B7544" t="inlineStr"/>
      <c r="C7544" t="inlineStr">
        <is>
          <t>288</t>
        </is>
      </c>
      <c r="D7544" t="inlineStr">
        <is>
          <t>1</t>
        </is>
      </c>
      <c r="E7544" t="inlineStr">
        <is>
          <t>12</t>
        </is>
      </c>
      <c r="F7544" t="inlineStr">
        <is>
          <t>0</t>
        </is>
      </c>
      <c r="G7544" t="inlineStr">
        <is>
          <t>0</t>
        </is>
      </c>
      <c r="H7544" t="inlineStr">
        <is>
          <t>48², 96²</t>
        </is>
      </c>
      <c r="I7544" t="n">
        <v>4</v>
      </c>
      <c r="J7544" t="inlineStr">
        <is>
          <t>2⁶</t>
        </is>
      </c>
      <c r="K7544">
        <f>HYPERLINK("CSG3.html#group96A3", "96A³"), =HYPERLINK("CSG7.html#group32G7", "32G⁷"), =HYPERLINK("CSG9.html#group96B9", "96B⁹"), =HYPERLINK("CSG11.html#group48B11", "48B¹¹")</f>
        <v/>
      </c>
      <c r="L7544" t="inlineStr"/>
      <c r="M7544">
        <f>HYPERLINK("CSG7.html#group32G7", "32G⁷"), =HYPERLINK("CSG0.html#group2A0", "2A⁰"), =HYPERLINK("CSG3.html#group24A3", "24A³"), =HYPERLINK("CSG0.html#group12C0", "12C⁰"), =HYPERLINK("CSG9.html#group96B9", "96B⁹"), =HYPERLINK("CSG0.html#group4C0", "4C⁰"), =HYPERLINK("CSG1.html#group6C1", "6C¹"), =HYPERLINK("CSG5.html#group24A5", "24A⁵"), =HYPERLINK("CSG2.html#group12B2", "12B²"), =HYPERLINK("CSG0.html#group2B0", "2B⁰"), =HYPERLINK("CSG0.html#group4E0", "4E⁰"), =HYPERLINK("CSG0.html#group4B0", "4B⁰"), =HYPERLINK("CSG0.html#group1A0", "1A⁰"), =HYPERLINK("CSG2.html#group16A2", "16A²"), =HYPERLINK("CSG0.html#group16B0", "16B⁰"), =HYPERLINK("CSG11.html#group48B11", "48B¹¹"), =HYPERLINK("CSG0.html#group24A0", "24A⁰"), =HYPERLINK("CSG3.html#group32D3", "32D³"), =HYPERLINK("CSG1.html#group32B1", "32B¹"), =HYPERLINK("CSG1.html#group12B1", "12B¹"), =HYPERLINK("CSG1.html#group6A1", "6A¹"), =HYPERLINK("CSG0.html#group3A0", "3A⁰"), =HYPERLINK("CSG3.html#group96A3", "96A³"), =HYPERLINK("CSG1.html#group8A1", "8A¹"), =HYPERLINK("CSG3.html#group16B3", "16B³"), =HYPERLINK("CSG0.html#group8B0", "8B⁰"), =HYPERLINK("CSG0.html#group48A0", "48A⁰"), =HYPERLINK("CSG1.html#group8B1", "8B¹"), =HYPERLINK("CSG0.html#group6A0", "6A⁰"), =HYPERLINK("CSG6.html#group48A6", "48A⁶"), =HYPERLINK("CSG0.html#group2C0", "2C⁰"), =HYPERLINK("CSG0.html#group6D0", "6D⁰")</f>
        <v/>
      </c>
      <c r="N7544" t="inlineStr"/>
    </row>
    <row r="7545">
      <c r="A7545" t="inlineStr">
        <is>
          <t>96H²³</t>
        </is>
      </c>
      <c r="B7545" t="inlineStr"/>
      <c r="C7545" t="inlineStr">
        <is>
          <t>288</t>
        </is>
      </c>
      <c r="D7545" t="inlineStr">
        <is>
          <t>1</t>
        </is>
      </c>
      <c r="E7545" t="inlineStr">
        <is>
          <t>12</t>
        </is>
      </c>
      <c r="F7545" t="inlineStr">
        <is>
          <t>0</t>
        </is>
      </c>
      <c r="G7545" t="inlineStr">
        <is>
          <t>0</t>
        </is>
      </c>
      <c r="H7545" t="inlineStr">
        <is>
          <t>48², 96²</t>
        </is>
      </c>
      <c r="I7545" t="n">
        <v>4</v>
      </c>
      <c r="J7545" t="inlineStr">
        <is>
          <t>1⁴, 2², 4¹</t>
        </is>
      </c>
      <c r="K7545">
        <f>HYPERLINK("CSG5.html#group48F5", "48F⁵"), =HYPERLINK("CSG7.html#group32H7", "32H⁷"), =HYPERLINK("CSG9.html#group96B9", "96B⁹")</f>
        <v/>
      </c>
      <c r="L7545" t="inlineStr"/>
      <c r="M7545">
        <f>HYPERLINK("CSG5.html#group48F5", "48F⁵"), =HYPERLINK("CSG0.html#group12C0", "12C⁰"), =HYPERLINK("CSG9.html#group96B9", "96B⁹"), =HYPERLINK("CSG0.html#group4C0", "4C⁰"), =HYPERLINK("CSG0.html#group8B0", "8B⁰"), =HYPERLINK("CSG0.html#group48A0", "48A⁰"), =HYPERLINK("CSG0.html#group8L0", "8L⁰"), =HYPERLINK("CSG0.html#group2B0", "2B⁰"), =HYPERLINK("CSG1.html#group16J1", "16J¹"), =HYPERLINK("CSG0.html#group1A0", "1A⁰"), =HYPERLINK("CSG0.html#group16B0", "16B⁰"), =HYPERLINK("CSG1.html#group16D1", "16D¹"), =HYPERLINK("CSG3.html#group48E3", "48E³"), =HYPERLINK("CSG0.html#group24A0", "24A⁰"), =HYPERLINK("CSG2.html#group24M2", "24M²"), =HYPERLINK("CSG3.html#group32D3", "32D³"), =HYPERLINK("CSG7.html#group32H7", "32H⁷"), =HYPERLINK("CSG0.html#group3A0", "3A⁰"), =HYPERLINK("CSG0.html#group6D0", "6D⁰")</f>
        <v/>
      </c>
      <c r="N7545" t="inlineStr"/>
    </row>
    <row r="7546">
      <c r="A7546" t="inlineStr">
        <is>
          <t>96I²³</t>
        </is>
      </c>
      <c r="B7546" t="inlineStr"/>
      <c r="C7546" t="inlineStr">
        <is>
          <t>288</t>
        </is>
      </c>
      <c r="D7546" t="inlineStr">
        <is>
          <t>1</t>
        </is>
      </c>
      <c r="E7546" t="inlineStr">
        <is>
          <t>18</t>
        </is>
      </c>
      <c r="F7546" t="inlineStr">
        <is>
          <t>0</t>
        </is>
      </c>
      <c r="G7546" t="inlineStr">
        <is>
          <t>0</t>
        </is>
      </c>
      <c r="H7546" t="inlineStr">
        <is>
          <t>48², 96²</t>
        </is>
      </c>
      <c r="I7546" t="n">
        <v>4</v>
      </c>
      <c r="J7546" t="inlineStr">
        <is>
          <t>1⁴, 2⁵, 4¹</t>
        </is>
      </c>
      <c r="K7546">
        <f>HYPERLINK("CSG9.html#group96I9", "96I⁹"), =HYPERLINK("CSG11.html#group48D11", "48D¹¹")</f>
        <v/>
      </c>
      <c r="L7546" t="inlineStr"/>
      <c r="M7546">
        <f>HYPERLINK("CSG0.html#group2A0", "2A⁰"), =HYPERLINK("CSG3.html#group24A3", "24A³"), =HYPERLINK("CSG3.html#group16D3", "16D³"), =HYPERLINK("CSG1.html#group8A1", "8A¹"), =HYPERLINK("CSG0.html#group12C0", "12C⁰"), =HYPERLINK("CSG0.html#group4C0", "4C⁰"), =HYPERLINK("CSG5.html#group24A5", "24A⁵"), =HYPERLINK("CSG0.html#group8B0", "8B⁰"), =HYPERLINK("CSG1.html#group6C1", "6C¹"), =HYPERLINK("CSG2.html#group12B2", "12B²"), =HYPERLINK("CSG0.html#group2B0", "2B⁰"), =HYPERLINK("CSG1.html#group8B1", "8B¹"), =HYPERLINK("CSG0.html#group4E0", "4E⁰"), =HYPERLINK("CSG0.html#group4B0", "4B⁰"), =HYPERLINK("CSG0.html#group1A0", "1A⁰"), =HYPERLINK("CSG9.html#group96I9", "96I⁹"), =HYPERLINK("CSG1.html#group16D1", "16D¹"), =HYPERLINK("CSG2.html#group16B2", "16B²"), =HYPERLINK("CSG0.html#group6A0", "6A⁰"), =HYPERLINK("CSG6.html#group48B6", "48B⁶"), =HYPERLINK("CSG11.html#group48D11", "48D¹¹"), =HYPERLINK("CSG3.html#group48E3", "48E³"), =HYPERLINK("CSG0.html#group24A0", "24A⁰"), =HYPERLINK("CSG1.html#group12B1", "12B¹"), =HYPERLINK("CSG1.html#group6A1", "6A¹"), =HYPERLINK("CSG0.html#group3A0", "3A⁰"), =HYPERLINK("CSG0.html#group2C0", "2C⁰"), =HYPERLINK("CSG0.html#group6D0", "6D⁰")</f>
        <v/>
      </c>
      <c r="N7546" t="inlineStr"/>
    </row>
    <row r="7547">
      <c r="A7547" t="inlineStr">
        <is>
          <t>96J²³</t>
        </is>
      </c>
      <c r="B7547" t="inlineStr"/>
      <c r="C7547" t="inlineStr">
        <is>
          <t>288</t>
        </is>
      </c>
      <c r="D7547" t="inlineStr">
        <is>
          <t>1</t>
        </is>
      </c>
      <c r="E7547" t="inlineStr">
        <is>
          <t>18</t>
        </is>
      </c>
      <c r="F7547" t="inlineStr">
        <is>
          <t>0</t>
        </is>
      </c>
      <c r="G7547" t="inlineStr">
        <is>
          <t>0</t>
        </is>
      </c>
      <c r="H7547" t="inlineStr">
        <is>
          <t>48², 96²</t>
        </is>
      </c>
      <c r="I7547" t="n">
        <v>4</v>
      </c>
      <c r="J7547" t="inlineStr">
        <is>
          <t>1⁴, 2⁵, 4¹</t>
        </is>
      </c>
      <c r="K7547">
        <f>HYPERLINK("CSG9.html#group96J9", "96J⁹"), =HYPERLINK("CSG11.html#group48D11", "48D¹¹")</f>
        <v/>
      </c>
      <c r="L7547" t="inlineStr"/>
      <c r="M7547">
        <f>HYPERLINK("CSG0.html#group2A0", "2A⁰"), =HYPERLINK("CSG3.html#group24A3", "24A³"), =HYPERLINK("CSG0.html#group12C0", "12C⁰"), =HYPERLINK("CSG0.html#group4C0", "4C⁰"), =HYPERLINK("CSG5.html#group24A5", "24A⁵"), =HYPERLINK("CSG1.html#group6C1", "6C¹"), =HYPERLINK("CSG2.html#group12B2", "12B²"), =HYPERLINK("CSG0.html#group2B0", "2B⁰"), =HYPERLINK("CSG0.html#group4E0", "4E⁰"), =HYPERLINK("CSG9.html#group96J9", "96J⁹"), =HYPERLINK("CSG0.html#group4B0", "4B⁰"), =HYPERLINK("CSG0.html#group1A0", "1A⁰"), =HYPERLINK("CSG1.html#group16D1", "16D¹"), =HYPERLINK("CSG2.html#group16B2", "16B²"), =HYPERLINK("CSG6.html#group48B6", "48B⁶"), =HYPERLINK("CSG0.html#group24A0", "24A⁰"), =HYPERLINK("CSG11.html#group48D11", "48D¹¹"), =HYPERLINK("CSG1.html#group12B1", "12B¹"), =HYPERLINK("CSG1.html#group6A1", "6A¹"), =HYPERLINK("CSG0.html#group3A0", "3A⁰"), =HYPERLINK("CSG3.html#group16D3", "16D³"), =HYPERLINK("CSG1.html#group8A1", "8A¹"), =HYPERLINK("CSG0.html#group8B0", "8B⁰"), =HYPERLINK("CSG1.html#group8B1", "8B¹"), =HYPERLINK("CSG0.html#group6A0", "6A⁰"), =HYPERLINK("CSG3.html#group48E3", "48E³"), =HYPERLINK("CSG0.html#group2C0", "2C⁰"), =HYPERLINK("CSG0.html#group6D0", "6D⁰")</f>
        <v/>
      </c>
      <c r="N7547" t="inlineStr"/>
    </row>
    <row r="7548">
      <c r="A7548" t="inlineStr">
        <is>
          <t>96K²³</t>
        </is>
      </c>
      <c r="B7548" t="inlineStr"/>
      <c r="C7548" t="inlineStr">
        <is>
          <t>288</t>
        </is>
      </c>
      <c r="D7548" t="inlineStr">
        <is>
          <t>1</t>
        </is>
      </c>
      <c r="E7548" t="inlineStr">
        <is>
          <t>18</t>
        </is>
      </c>
      <c r="F7548" t="inlineStr">
        <is>
          <t>0</t>
        </is>
      </c>
      <c r="G7548" t="inlineStr">
        <is>
          <t>0</t>
        </is>
      </c>
      <c r="H7548" t="inlineStr">
        <is>
          <t>48², 96²</t>
        </is>
      </c>
      <c r="I7548" t="n">
        <v>4</v>
      </c>
      <c r="J7548" t="inlineStr">
        <is>
          <t>1⁴, 2⁵, 4¹</t>
        </is>
      </c>
      <c r="K7548">
        <f>HYPERLINK("CSG9.html#group96H9", "96H⁹"), =HYPERLINK("CSG11.html#group48D11", "48D¹¹"), =HYPERLINK("CSG12.html#group96C12", "96C¹²")</f>
        <v/>
      </c>
      <c r="L7548" t="inlineStr"/>
      <c r="M7548">
        <f>HYPERLINK("CSG0.html#group2A0", "2A⁰"), =HYPERLINK("CSG3.html#group24A3", "24A³"), =HYPERLINK("CSG3.html#group16D3", "16D³"), =HYPERLINK("CSG1.html#group8A1", "8A¹"), =HYPERLINK("CSG0.html#group12C0", "12C⁰"), =HYPERLINK("CSG0.html#group4C0", "4C⁰"), =HYPERLINK("CSG5.html#group24A5", "24A⁵"), =HYPERLINK("CSG0.html#group8B0", "8B⁰"), =HYPERLINK("CSG1.html#group6C1", "6C¹"), =HYPERLINK("CSG2.html#group12B2", "12B²"), =HYPERLINK("CSG0.html#group2B0", "2B⁰"), =HYPERLINK("CSG1.html#group8B1", "8B¹"), =HYPERLINK("CSG0.html#group4E0", "4E⁰"), =HYPERLINK("CSG0.html#group4B0", "4B⁰"), =HYPERLINK("CSG0.html#group1A0", "1A⁰"), =HYPERLINK("CSG1.html#group16D1", "16D¹"), =HYPERLINK("CSG2.html#group16B2", "16B²"), =HYPERLINK("CSG0.html#group6A0", "6A⁰"), =HYPERLINK("CSG6.html#group48B6", "48B⁶"), =HYPERLINK("CSG3.html#group48E3", "48E³"), =HYPERLINK("CSG11.html#group48D11", "48D¹¹"), =HYPERLINK("CSG0.html#group24A0", "24A⁰"), =HYPERLINK("CSG9.html#group96H9", "96H⁹"), =HYPERLINK("CSG1.html#group12B1", "12B¹"), =HYPERLINK("CSG1.html#group6A1", "6A¹"), =HYPERLINK("CSG0.html#group3A0", "3A⁰"), =HYPERLINK("CSG0.html#group2C0", "2C⁰"), =HYPERLINK("CSG0.html#group6D0", "6D⁰"), =HYPERLINK("CSG12.html#group96C12", "96C¹²")</f>
        <v/>
      </c>
      <c r="N7548" t="inlineStr"/>
    </row>
    <row r="7549">
      <c r="A7549" t="inlineStr">
        <is>
          <t>96L²³</t>
        </is>
      </c>
      <c r="B7549" t="inlineStr"/>
      <c r="C7549" t="inlineStr">
        <is>
          <t>288</t>
        </is>
      </c>
      <c r="D7549" t="inlineStr">
        <is>
          <t>1</t>
        </is>
      </c>
      <c r="E7549" t="inlineStr">
        <is>
          <t>18</t>
        </is>
      </c>
      <c r="F7549" t="inlineStr">
        <is>
          <t>0</t>
        </is>
      </c>
      <c r="G7549" t="inlineStr">
        <is>
          <t>0</t>
        </is>
      </c>
      <c r="H7549" t="inlineStr">
        <is>
          <t>48², 96²</t>
        </is>
      </c>
      <c r="I7549" t="n">
        <v>4</v>
      </c>
      <c r="J7549" t="inlineStr">
        <is>
          <t>1⁴, 2⁵, 4¹</t>
        </is>
      </c>
      <c r="K7549">
        <f>HYPERLINK("CSG9.html#group96K9", "96K⁹"), =HYPERLINK("CSG11.html#group48D11", "48D¹¹"), =HYPERLINK("CSG12.html#group96D12", "96D¹²")</f>
        <v/>
      </c>
      <c r="L7549" t="inlineStr"/>
      <c r="M7549">
        <f>HYPERLINK("CSG0.html#group2A0", "2A⁰"), =HYPERLINK("CSG3.html#group24A3", "24A³"), =HYPERLINK("CSG3.html#group16D3", "16D³"), =HYPERLINK("CSG1.html#group8A1", "8A¹"), =HYPERLINK("CSG0.html#group12C0", "12C⁰"), =HYPERLINK("CSG0.html#group4C0", "4C⁰"), =HYPERLINK("CSG5.html#group24A5", "24A⁵"), =HYPERLINK("CSG0.html#group8B0", "8B⁰"), =HYPERLINK("CSG1.html#group6C1", "6C¹"), =HYPERLINK("CSG2.html#group12B2", "12B²"), =HYPERLINK("CSG0.html#group2B0", "2B⁰"), =HYPERLINK("CSG1.html#group8B1", "8B¹"), =HYPERLINK("CSG0.html#group4E0", "4E⁰"), =HYPERLINK("CSG0.html#group4B0", "4B⁰"), =HYPERLINK("CSG0.html#group1A0", "1A⁰"), =HYPERLINK("CSG1.html#group16D1", "16D¹"), =HYPERLINK("CSG2.html#group16B2", "16B²"), =HYPERLINK("CSG0.html#group6A0", "6A⁰"), =HYPERLINK("CSG6.html#group48B6", "48B⁶"), =HYPERLINK("CSG3.html#group48E3", "48E³"), =HYPERLINK("CSG11.html#group48D11", "48D¹¹"), =HYPERLINK("CSG12.html#group96D12", "96D¹²"), =HYPERLINK("CSG9.html#group96K9", "96K⁹"), =HYPERLINK("CSG0.html#group24A0", "24A⁰"), =HYPERLINK("CSG1.html#group12B1", "12B¹"), =HYPERLINK("CSG1.html#group6A1", "6A¹"), =HYPERLINK("CSG0.html#group3A0", "3A⁰"), =HYPERLINK("CSG0.html#group2C0", "2C⁰"), =HYPERLINK("CSG0.html#group6D0", "6D⁰")</f>
        <v/>
      </c>
      <c r="N7549" t="inlineStr"/>
    </row>
    <row r="7550">
      <c r="A7550" t="inlineStr">
        <is>
          <t>96M²³</t>
        </is>
      </c>
      <c r="B7550" t="inlineStr"/>
      <c r="C7550" t="inlineStr">
        <is>
          <t>288</t>
        </is>
      </c>
      <c r="D7550" t="inlineStr">
        <is>
          <t>1</t>
        </is>
      </c>
      <c r="E7550" t="inlineStr">
        <is>
          <t>24</t>
        </is>
      </c>
      <c r="F7550" t="inlineStr">
        <is>
          <t>0</t>
        </is>
      </c>
      <c r="G7550" t="inlineStr">
        <is>
          <t>0</t>
        </is>
      </c>
      <c r="H7550" t="inlineStr">
        <is>
          <t>48², 96²</t>
        </is>
      </c>
      <c r="I7550" t="n">
        <v>4</v>
      </c>
      <c r="J7550" t="inlineStr">
        <is>
          <t>2⁸, 8¹</t>
        </is>
      </c>
      <c r="K7550">
        <f>HYPERLINK("CSG7.html#group32I7", "32I⁷"), =HYPERLINK("CSG9.html#group96C9", "96C⁹"), =HYPERLINK("CSG9.html#group96D9", "96D⁹"), =HYPERLINK("CSG11.html#group48K11", "48K¹¹")</f>
        <v/>
      </c>
      <c r="L7550" t="inlineStr"/>
      <c r="M7550">
        <f>HYPERLINK("CSG0.html#group12C0", "12C⁰"), =HYPERLINK("CSG11.html#group48K11", "48K¹¹"), =HYPERLINK("CSG0.html#group4C0", "4C⁰"), =HYPERLINK("CSG0.html#group8B0", "8B⁰"), =HYPERLINK("CSG0.html#group8L0", "8L⁰"), =HYPERLINK("CSG0.html#group2B0", "2B⁰"), =HYPERLINK("CSG3.html#group32F3", "32F³"), =HYPERLINK("CSG0.html#group1A0", "1A⁰"), =HYPERLINK("CSG2.html#group16A2", "16A²"), =HYPERLINK("CSG1.html#group16D1", "16D¹"), =HYPERLINK("CSG7.html#group32I7", "32I⁷"), =HYPERLINK("CSG3.html#group48E3", "48E³"), =HYPERLINK("CSG0.html#group24A0", "24A⁰"), =HYPERLINK("CSG9.html#group96D9", "96D⁹"), =HYPERLINK("CSG3.html#group16F3", "16F³"), =HYPERLINK("CSG2.html#group24M2", "24M²"), =HYPERLINK("CSG3.html#group32E3", "32E³"), =HYPERLINK("CSG9.html#group96C9", "96C⁹"), =HYPERLINK("CSG6.html#group48A6", "48A⁶"), =HYPERLINK("CSG0.html#group3A0", "3A⁰"), =HYPERLINK("CSG0.html#group6D0", "6D⁰")</f>
        <v/>
      </c>
      <c r="N7550" t="inlineStr"/>
    </row>
    <row r="7551">
      <c r="A7551" t="inlineStr">
        <is>
          <t>96N²³</t>
        </is>
      </c>
      <c r="B7551" t="inlineStr"/>
      <c r="C7551" t="inlineStr">
        <is>
          <t>288</t>
        </is>
      </c>
      <c r="D7551" t="inlineStr">
        <is>
          <t>1</t>
        </is>
      </c>
      <c r="E7551" t="inlineStr">
        <is>
          <t>24</t>
        </is>
      </c>
      <c r="F7551" t="inlineStr">
        <is>
          <t>0</t>
        </is>
      </c>
      <c r="G7551" t="inlineStr">
        <is>
          <t>0</t>
        </is>
      </c>
      <c r="H7551" t="inlineStr">
        <is>
          <t>48², 96²</t>
        </is>
      </c>
      <c r="I7551" t="n">
        <v>4</v>
      </c>
      <c r="J7551" t="inlineStr">
        <is>
          <t>2⁸, 8¹</t>
        </is>
      </c>
      <c r="K7551">
        <f>HYPERLINK("CSG7.html#group32J7", "32J⁷"), =HYPERLINK("CSG9.html#group96F9", "96F⁹"), =HYPERLINK("CSG9.html#group96E9", "96E⁹"), =HYPERLINK("CSG11.html#group48K11", "48K¹¹")</f>
        <v/>
      </c>
      <c r="L7551" t="inlineStr"/>
      <c r="M7551">
        <f>HYPERLINK("CSG0.html#group12C0", "12C⁰"), =HYPERLINK("CSG9.html#group96F9", "96F⁹"), =HYPERLINK("CSG11.html#group48K11", "48K¹¹"), =HYPERLINK("CSG0.html#group4C0", "4C⁰"), =HYPERLINK("CSG0.html#group8B0", "8B⁰"), =HYPERLINK("CSG7.html#group32J7", "32J⁷"), =HYPERLINK("CSG0.html#group8L0", "8L⁰"), =HYPERLINK("CSG0.html#group2B0", "2B⁰"), =HYPERLINK("CSG3.html#group32G3", "32G³"), =HYPERLINK("CSG0.html#group1A0", "1A⁰"), =HYPERLINK("CSG9.html#group96E9", "96E⁹"), =HYPERLINK("CSG2.html#group16A2", "16A²"), =HYPERLINK("CSG1.html#group16D1", "16D¹"), =HYPERLINK("CSG3.html#group48E3", "48E³"), =HYPERLINK("CSG0.html#group24A0", "24A⁰"), =HYPERLINK("CSG3.html#group16F3", "16F³"), =HYPERLINK("CSG0.html#group6D0", "6D⁰"), =HYPERLINK("CSG2.html#group24M2", "24M²"), =HYPERLINK("CSG6.html#group48A6", "48A⁶"), =HYPERLINK("CSG0.html#group3A0", "3A⁰"), =HYPERLINK("CSG3.html#group32H3", "32H³")</f>
        <v/>
      </c>
      <c r="N7551" t="inlineStr"/>
    </row>
    <row r="7552">
      <c r="A7552" t="inlineStr">
        <is>
          <t>96O²³</t>
        </is>
      </c>
      <c r="B7552" t="inlineStr"/>
      <c r="C7552" t="inlineStr">
        <is>
          <t>288</t>
        </is>
      </c>
      <c r="D7552" t="inlineStr">
        <is>
          <t>1</t>
        </is>
      </c>
      <c r="E7552" t="inlineStr">
        <is>
          <t>36</t>
        </is>
      </c>
      <c r="F7552" t="inlineStr">
        <is>
          <t>0</t>
        </is>
      </c>
      <c r="G7552" t="inlineStr">
        <is>
          <t>0</t>
        </is>
      </c>
      <c r="H7552" t="inlineStr">
        <is>
          <t>48², 96²</t>
        </is>
      </c>
      <c r="I7552" t="n">
        <v>4</v>
      </c>
      <c r="J7552" t="inlineStr">
        <is>
          <t>2⁶, 4⁶</t>
        </is>
      </c>
      <c r="K7552">
        <f>HYPERLINK("CSG11.html#group48A11", "48A¹¹")</f>
        <v/>
      </c>
      <c r="L7552" t="inlineStr"/>
      <c r="M7552">
        <f>HYPERLINK("CSG0.html#group2A0", "2A⁰"), =HYPERLINK("CSG3.html#group24A3", "24A³"), =HYPERLINK("CSG1.html#group8A1", "8A¹"), =HYPERLINK("CSG0.html#group12C0", "12C⁰"), =HYPERLINK("CSG0.html#group4C0", "4C⁰"), =HYPERLINK("CSG5.html#group24A5", "24A⁵"), =HYPERLINK("CSG3.html#group16A3", "16A³"), =HYPERLINK("CSG0.html#group8B0", "8B⁰"), =HYPERLINK("CSG1.html#group16B1", "16B¹"), =HYPERLINK("CSG1.html#group6C1", "6C¹"), =HYPERLINK("CSG0.html#group2B0", "2B⁰"), =HYPERLINK("CSG1.html#group8B1", "8B¹"), =HYPERLINK("CSG0.html#group4E0", "4E⁰"), =HYPERLINK("CSG2.html#group12B2", "12B²"), =HYPERLINK("CSG0.html#group4B0", "4B⁰"), =HYPERLINK("CSG0.html#group1A0", "1A⁰"), =HYPERLINK("CSG3.html#group48C3", "48C³"), =HYPERLINK("CSG11.html#group48A11", "48A¹¹"), =HYPERLINK("CSG0.html#group6A0", "6A⁰"), =HYPERLINK("CSG0.html#group24A0", "24A⁰"), =HYPERLINK("CSG1.html#group12B1", "12B¹"), =HYPERLINK("CSG1.html#group6A1", "6A¹"), =HYPERLINK("CSG0.html#group3A0", "3A⁰"), =HYPERLINK("CSG0.html#group2C0", "2C⁰"), =HYPERLINK("CSG0.html#group6D0", "6D⁰")</f>
        <v/>
      </c>
      <c r="N7552" t="inlineStr"/>
    </row>
    <row r="7553">
      <c r="A7553" t="inlineStr">
        <is>
          <t>96P²³</t>
        </is>
      </c>
      <c r="B7553" t="inlineStr"/>
      <c r="C7553" t="inlineStr">
        <is>
          <t>288</t>
        </is>
      </c>
      <c r="D7553" t="inlineStr">
        <is>
          <t>1</t>
        </is>
      </c>
      <c r="E7553" t="inlineStr">
        <is>
          <t>36</t>
        </is>
      </c>
      <c r="F7553" t="inlineStr">
        <is>
          <t>0</t>
        </is>
      </c>
      <c r="G7553" t="inlineStr">
        <is>
          <t>0</t>
        </is>
      </c>
      <c r="H7553" t="inlineStr">
        <is>
          <t>48², 96²</t>
        </is>
      </c>
      <c r="I7553" t="n">
        <v>4</v>
      </c>
      <c r="J7553" t="inlineStr">
        <is>
          <t>2⁶, 4⁶</t>
        </is>
      </c>
      <c r="K7553">
        <f>HYPERLINK("CSG5.html#group96A5", "96A⁵"), =HYPERLINK("CSG7.html#group96A7", "96A⁷"), =HYPERLINK("CSG11.html#group48B11", "48B¹¹")</f>
        <v/>
      </c>
      <c r="L7553" t="inlineStr"/>
      <c r="M7553">
        <f>HYPERLINK("CSG0.html#group2A0", "2A⁰"), =HYPERLINK("CSG3.html#group24A3", "24A³"), =HYPERLINK("CSG0.html#group12C0", "12C⁰"), =HYPERLINK("CSG5.html#group96A5", "96A⁵"), =HYPERLINK("CSG0.html#group4C0", "4C⁰"), =HYPERLINK("CSG5.html#group24A5", "24A⁵"), =HYPERLINK("CSG1.html#group6C1", "6C¹"), =HYPERLINK("CSG2.html#group12B2", "12B²"), =HYPERLINK("CSG0.html#group2B0", "2B⁰"), =HYPERLINK("CSG0.html#group4E0", "4E⁰"), =HYPERLINK("CSG0.html#group4B0", "4B⁰"), =HYPERLINK("CSG0.html#group1A0", "1A⁰"), =HYPERLINK("CSG2.html#group16A2", "16A²"), =HYPERLINK("CSG0.html#group16B0", "16B⁰"), =HYPERLINK("CSG11.html#group48B11", "48B¹¹"), =HYPERLINK("CSG0.html#group24A0", "24A⁰"), =HYPERLINK("CSG7.html#group96A7", "96A⁷"), =HYPERLINK("CSG1.html#group12B1", "12B¹"), =HYPERLINK("CSG1.html#group6A1", "6A¹"), =HYPERLINK("CSG0.html#group3A0", "3A⁰"), =HYPERLINK("CSG1.html#group8A1", "8A¹"), =HYPERLINK("CSG0.html#group8B0", "8B⁰"), =HYPERLINK("CSG3.html#group16B3", "16B³"), =HYPERLINK("CSG0.html#group48A0", "48A⁰"), =HYPERLINK("CSG1.html#group8B1", "8B¹"), =HYPERLINK("CSG0.html#group6A0", "6A⁰"), =HYPERLINK("CSG6.html#group48A6", "48A⁶"), =HYPERLINK("CSG0.html#group2C0", "2C⁰"), =HYPERLINK("CSG0.html#group6D0", "6D⁰")</f>
        <v/>
      </c>
      <c r="N7553" t="inlineStr"/>
    </row>
    <row r="7554">
      <c r="A7554" t="inlineStr">
        <is>
          <t>96Q²³</t>
        </is>
      </c>
      <c r="B7554" t="inlineStr"/>
      <c r="C7554" t="inlineStr">
        <is>
          <t>288</t>
        </is>
      </c>
      <c r="D7554" t="inlineStr">
        <is>
          <t>1</t>
        </is>
      </c>
      <c r="E7554" t="inlineStr">
        <is>
          <t>72</t>
        </is>
      </c>
      <c r="F7554" t="inlineStr">
        <is>
          <t>0</t>
        </is>
      </c>
      <c r="G7554" t="inlineStr">
        <is>
          <t>0</t>
        </is>
      </c>
      <c r="H7554" t="inlineStr">
        <is>
          <t>48², 96²</t>
        </is>
      </c>
      <c r="I7554" t="n">
        <v>4</v>
      </c>
      <c r="J7554" t="inlineStr">
        <is>
          <t>2⁴, 4¹⁰, 8¹, 16¹</t>
        </is>
      </c>
      <c r="K7554">
        <f>HYPERLINK("CSG11.html#group48R11", "48R¹¹"), =HYPERLINK("CSG12.html#group96C12", "96C¹²")</f>
        <v/>
      </c>
      <c r="L7554" t="inlineStr"/>
      <c r="M7554">
        <f>HYPERLINK("CSG3.html#group24A3", "24A³"), =HYPERLINK("CSG0.html#group6B0", "6B⁰"), =HYPERLINK("CSG1.html#group8A1", "8A¹"), =HYPERLINK("CSG0.html#group12C0", "12C⁰"), =HYPERLINK("CSG11.html#group48R11", "48R¹¹"), =HYPERLINK("CSG0.html#group4C0", "4C⁰"), =HYPERLINK("CSG0.html#group2B0", "2B⁰"), =HYPERLINK("CSG2.html#group24C2", "24C²"), =HYPERLINK("CSG0.html#group12H0", "12H⁰"), =HYPERLINK("CSG0.html#group1A0", "1A⁰"), =HYPERLINK("CSG5.html#group24D5", "24D⁵"), =HYPERLINK("CSG2.html#group16B2", "16B²"), =HYPERLINK("CSG6.html#group48B6", "48B⁶"), =HYPERLINK("CSG6.html#group48C6", "48C⁶"), =HYPERLINK("CSG0.html#group12D0", "12D⁰"), =HYPERLINK("CSG0.html#group6H0", "6H⁰"), =HYPERLINK("CSG0.html#group3A0", "3A⁰"), =HYPERLINK("CSG0.html#group6D0", "6D⁰"), =HYPERLINK("CSG12.html#group96C12", "96C¹²")</f>
        <v/>
      </c>
      <c r="N7554" t="inlineStr"/>
    </row>
    <row r="7555">
      <c r="A7555" t="inlineStr">
        <is>
          <t>96R²³</t>
        </is>
      </c>
      <c r="B7555" t="inlineStr"/>
      <c r="C7555" t="inlineStr">
        <is>
          <t>288</t>
        </is>
      </c>
      <c r="D7555" t="inlineStr">
        <is>
          <t>1</t>
        </is>
      </c>
      <c r="E7555" t="inlineStr">
        <is>
          <t>72</t>
        </is>
      </c>
      <c r="F7555" t="inlineStr">
        <is>
          <t>0</t>
        </is>
      </c>
      <c r="G7555" t="inlineStr">
        <is>
          <t>0</t>
        </is>
      </c>
      <c r="H7555" t="inlineStr">
        <is>
          <t>48², 96²</t>
        </is>
      </c>
      <c r="I7555" t="n">
        <v>4</v>
      </c>
      <c r="J7555" t="inlineStr">
        <is>
          <t>2⁴, 4¹⁰, 8¹, 16¹</t>
        </is>
      </c>
      <c r="K7555">
        <f>HYPERLINK("CSG11.html#group48R11", "48R¹¹"), =HYPERLINK("CSG12.html#group96D12", "96D¹²")</f>
        <v/>
      </c>
      <c r="L7555" t="inlineStr"/>
      <c r="M7555">
        <f>HYPERLINK("CSG3.html#group24A3", "24A³"), =HYPERLINK("CSG0.html#group6B0", "6B⁰"), =HYPERLINK("CSG1.html#group8A1", "8A¹"), =HYPERLINK("CSG0.html#group12C0", "12C⁰"), =HYPERLINK("CSG11.html#group48R11", "48R¹¹"), =HYPERLINK("CSG0.html#group4C0", "4C⁰"), =HYPERLINK("CSG0.html#group2B0", "2B⁰"), =HYPERLINK("CSG2.html#group24C2", "24C²"), =HYPERLINK("CSG0.html#group12H0", "12H⁰"), =HYPERLINK("CSG0.html#group1A0", "1A⁰"), =HYPERLINK("CSG5.html#group24D5", "24D⁵"), =HYPERLINK("CSG2.html#group16B2", "16B²"), =HYPERLINK("CSG6.html#group48B6", "48B⁶"), =HYPERLINK("CSG6.html#group48C6", "48C⁶"), =HYPERLINK("CSG12.html#group96D12", "96D¹²"), =HYPERLINK("CSG0.html#group12D0", "12D⁰"), =HYPERLINK("CSG0.html#group6H0", "6H⁰"), =HYPERLINK("CSG0.html#group3A0", "3A⁰"), =HYPERLINK("CSG0.html#group6D0", "6D⁰")</f>
        <v/>
      </c>
      <c r="N7555" t="inlineStr"/>
    </row>
    <row r="7556">
      <c r="A7556" t="inlineStr">
        <is>
          <t>96S²³</t>
        </is>
      </c>
      <c r="B7556" t="inlineStr"/>
      <c r="C7556" t="inlineStr">
        <is>
          <t>288</t>
        </is>
      </c>
      <c r="D7556" t="inlineStr">
        <is>
          <t>1</t>
        </is>
      </c>
      <c r="E7556" t="inlineStr">
        <is>
          <t>72</t>
        </is>
      </c>
      <c r="F7556" t="inlineStr">
        <is>
          <t>0</t>
        </is>
      </c>
      <c r="G7556" t="inlineStr">
        <is>
          <t>0</t>
        </is>
      </c>
      <c r="H7556" t="inlineStr">
        <is>
          <t>48², 96²</t>
        </is>
      </c>
      <c r="I7556" t="n">
        <v>4</v>
      </c>
      <c r="J7556" t="inlineStr">
        <is>
          <t>2⁸, 4⁸, 8¹, 16¹</t>
        </is>
      </c>
      <c r="K7556">
        <f>HYPERLINK("CSG11.html#group48S11", "48S¹¹"), =HYPERLINK("CSG12.html#group96C12", "96C¹²")</f>
        <v/>
      </c>
      <c r="L7556" t="inlineStr"/>
      <c r="M7556">
        <f>HYPERLINK("CSG3.html#group24A3", "24A³"), =HYPERLINK("CSG1.html#group8A1", "8A¹"), =HYPERLINK("CSG0.html#group12C0", "12C⁰"), =HYPERLINK("CSG0.html#group4C0", "4C⁰"), =HYPERLINK("CSG1.html#group24D1", "24D¹"), =HYPERLINK("CSG0.html#group6G0", "6G⁰"), =HYPERLINK("CSG0.html#group2B0", "2B⁰"), =HYPERLINK("CSG5.html#group24E5", "24E⁵"), =HYPERLINK("CSG0.html#group1A0", "1A⁰"), =HYPERLINK("CSG1.html#group12L1", "12L¹"), =HYPERLINK("CSG2.html#group16B2", "16B²"), =HYPERLINK("CSG1.html#group12C1", "12C¹"), =HYPERLINK("CSG6.html#group48B6", "48B⁶"), =HYPERLINK("CSG6.html#group48C6", "48C⁶"), =HYPERLINK("CSG0.html#group3C0", "3C⁰"), =HYPERLINK("CSG0.html#group3A0", "3A⁰"), =HYPERLINK("CSG11.html#group48S11", "48S¹¹"), =HYPERLINK("CSG0.html#group6D0", "6D⁰"), =HYPERLINK("CSG12.html#group96C12", "96C¹²")</f>
        <v/>
      </c>
      <c r="N7556" t="inlineStr"/>
    </row>
    <row r="7557">
      <c r="A7557" t="inlineStr">
        <is>
          <t>96T²³</t>
        </is>
      </c>
      <c r="B7557" t="inlineStr"/>
      <c r="C7557" t="inlineStr">
        <is>
          <t>288</t>
        </is>
      </c>
      <c r="D7557" t="inlineStr">
        <is>
          <t>1</t>
        </is>
      </c>
      <c r="E7557" t="inlineStr">
        <is>
          <t>72</t>
        </is>
      </c>
      <c r="F7557" t="inlineStr">
        <is>
          <t>0</t>
        </is>
      </c>
      <c r="G7557" t="inlineStr">
        <is>
          <t>0</t>
        </is>
      </c>
      <c r="H7557" t="inlineStr">
        <is>
          <t>48², 96²</t>
        </is>
      </c>
      <c r="I7557" t="n">
        <v>4</v>
      </c>
      <c r="J7557" t="inlineStr">
        <is>
          <t>2⁸, 4⁸, 8¹, 16¹</t>
        </is>
      </c>
      <c r="K7557">
        <f>HYPERLINK("CSG11.html#group48S11", "48S¹¹"), =HYPERLINK("CSG12.html#group96D12", "96D¹²")</f>
        <v/>
      </c>
      <c r="L7557" t="inlineStr"/>
      <c r="M7557">
        <f>HYPERLINK("CSG3.html#group24A3", "24A³"), =HYPERLINK("CSG1.html#group8A1", "8A¹"), =HYPERLINK("CSG0.html#group12C0", "12C⁰"), =HYPERLINK("CSG0.html#group4C0", "4C⁰"), =HYPERLINK("CSG1.html#group24D1", "24D¹"), =HYPERLINK("CSG0.html#group6G0", "6G⁰"), =HYPERLINK("CSG0.html#group2B0", "2B⁰"), =HYPERLINK("CSG5.html#group24E5", "24E⁵"), =HYPERLINK("CSG0.html#group1A0", "1A⁰"), =HYPERLINK("CSG1.html#group12L1", "12L¹"), =HYPERLINK("CSG2.html#group16B2", "16B²"), =HYPERLINK("CSG1.html#group12C1", "12C¹"), =HYPERLINK("CSG6.html#group48B6", "48B⁶"), =HYPERLINK("CSG6.html#group48C6", "48C⁶"), =HYPERLINK("CSG12.html#group96D12", "96D¹²"), =HYPERLINK("CSG0.html#group3C0", "3C⁰"), =HYPERLINK("CSG0.html#group3A0", "3A⁰"), =HYPERLINK("CSG11.html#group48S11", "48S¹¹"), =HYPERLINK("CSG0.html#group6D0", "6D⁰")</f>
        <v/>
      </c>
      <c r="N7557" t="inlineStr"/>
    </row>
    <row r="7558">
      <c r="A7558" t="inlineStr">
        <is>
          <t>96U²³</t>
        </is>
      </c>
      <c r="B7558" t="inlineStr"/>
      <c r="C7558" t="inlineStr">
        <is>
          <t>288</t>
        </is>
      </c>
      <c r="D7558" t="inlineStr">
        <is>
          <t>1</t>
        </is>
      </c>
      <c r="E7558" t="inlineStr">
        <is>
          <t>72</t>
        </is>
      </c>
      <c r="F7558" t="inlineStr">
        <is>
          <t>0</t>
        </is>
      </c>
      <c r="G7558" t="inlineStr">
        <is>
          <t>0</t>
        </is>
      </c>
      <c r="H7558" t="inlineStr">
        <is>
          <t>48², 96²</t>
        </is>
      </c>
      <c r="I7558" t="n">
        <v>4</v>
      </c>
      <c r="J7558" t="inlineStr">
        <is>
          <t>2⁸, 4⁸, 8¹, 16¹</t>
        </is>
      </c>
      <c r="K7558">
        <f>HYPERLINK("CSG9.html#group96H9", "96H⁹"), =HYPERLINK("CSG9.html#group96I9", "96I⁹"), =HYPERLINK("CSG11.html#group48K11", "48K¹¹")</f>
        <v/>
      </c>
      <c r="L7558" t="inlineStr"/>
      <c r="M7558">
        <f>HYPERLINK("CSG0.html#group12C0", "12C⁰"), =HYPERLINK("CSG11.html#group48K11", "48K¹¹"), =HYPERLINK("CSG0.html#group4C0", "4C⁰"), =HYPERLINK("CSG0.html#group8B0", "8B⁰"), =HYPERLINK("CSG0.html#group8L0", "8L⁰"), =HYPERLINK("CSG0.html#group2B0", "2B⁰"), =HYPERLINK("CSG0.html#group1A0", "1A⁰"), =HYPERLINK("CSG2.html#group16A2", "16A²"), =HYPERLINK("CSG9.html#group96I9", "96I⁹"), =HYPERLINK("CSG1.html#group16D1", "16D¹"), =HYPERLINK("CSG3.html#group48E3", "48E³"), =HYPERLINK("CSG0.html#group24A0", "24A⁰"), =HYPERLINK("CSG3.html#group16F3", "16F³"), =HYPERLINK("CSG2.html#group24M2", "24M²"), =HYPERLINK("CSG9.html#group96H9", "96H⁹"), =HYPERLINK("CSG6.html#group48A6", "48A⁶"), =HYPERLINK("CSG0.html#group3A0", "3A⁰"), =HYPERLINK("CSG0.html#group6D0", "6D⁰")</f>
        <v/>
      </c>
      <c r="N7558" t="inlineStr"/>
    </row>
    <row r="7559">
      <c r="A7559" t="inlineStr">
        <is>
          <t>96V²³</t>
        </is>
      </c>
      <c r="B7559" t="inlineStr"/>
      <c r="C7559" t="inlineStr">
        <is>
          <t>288</t>
        </is>
      </c>
      <c r="D7559" t="inlineStr">
        <is>
          <t>1</t>
        </is>
      </c>
      <c r="E7559" t="inlineStr">
        <is>
          <t>72</t>
        </is>
      </c>
      <c r="F7559" t="inlineStr">
        <is>
          <t>0</t>
        </is>
      </c>
      <c r="G7559" t="inlineStr">
        <is>
          <t>0</t>
        </is>
      </c>
      <c r="H7559" t="inlineStr">
        <is>
          <t>48², 96²</t>
        </is>
      </c>
      <c r="I7559" t="n">
        <v>4</v>
      </c>
      <c r="J7559" t="inlineStr">
        <is>
          <t>2⁸, 4⁸, 8¹, 16¹</t>
        </is>
      </c>
      <c r="K7559">
        <f>HYPERLINK("CSG9.html#group96J9", "96J⁹"), =HYPERLINK("CSG9.html#group96K9", "96K⁹"), =HYPERLINK("CSG11.html#group48K11", "48K¹¹")</f>
        <v/>
      </c>
      <c r="L7559" t="inlineStr"/>
      <c r="M7559">
        <f>HYPERLINK("CSG0.html#group12C0", "12C⁰"), =HYPERLINK("CSG11.html#group48K11", "48K¹¹"), =HYPERLINK("CSG0.html#group4C0", "4C⁰"), =HYPERLINK("CSG0.html#group8B0", "8B⁰"), =HYPERLINK("CSG0.html#group8L0", "8L⁰"), =HYPERLINK("CSG0.html#group2B0", "2B⁰"), =HYPERLINK("CSG9.html#group96J9", "96J⁹"), =HYPERLINK("CSG0.html#group1A0", "1A⁰"), =HYPERLINK("CSG2.html#group16A2", "16A²"), =HYPERLINK("CSG1.html#group16D1", "16D¹"), =HYPERLINK("CSG3.html#group48E3", "48E³"), =HYPERLINK("CSG0.html#group24A0", "24A⁰"), =HYPERLINK("CSG9.html#group96K9", "96K⁹"), =HYPERLINK("CSG3.html#group16F3", "16F³"), =HYPERLINK("CSG2.html#group24M2", "24M²"), =HYPERLINK("CSG6.html#group48A6", "48A⁶"), =HYPERLINK("CSG0.html#group3A0", "3A⁰"), =HYPERLINK("CSG0.html#group6D0", "6D⁰")</f>
        <v/>
      </c>
      <c r="N7559" t="inlineStr"/>
    </row>
    <row r="7560">
      <c r="A7560" t="inlineStr">
        <is>
          <t>96W²³</t>
        </is>
      </c>
      <c r="B7560" t="inlineStr"/>
      <c r="C7560" t="inlineStr">
        <is>
          <t>288</t>
        </is>
      </c>
      <c r="D7560" t="inlineStr">
        <is>
          <t>1</t>
        </is>
      </c>
      <c r="E7560" t="inlineStr">
        <is>
          <t>72</t>
        </is>
      </c>
      <c r="F7560" t="inlineStr">
        <is>
          <t>0</t>
        </is>
      </c>
      <c r="G7560" t="inlineStr">
        <is>
          <t>0</t>
        </is>
      </c>
      <c r="H7560" t="inlineStr">
        <is>
          <t>48², 96²</t>
        </is>
      </c>
      <c r="I7560" t="n">
        <v>4</v>
      </c>
      <c r="J7560" t="inlineStr">
        <is>
          <t>2⁸, 4⁸, 8¹, 16¹</t>
        </is>
      </c>
      <c r="K7560">
        <f>HYPERLINK("CSG11.html#group48R11", "48R¹¹"), =HYPERLINK("CSG12.html#group96A12", "96A¹²"), =HYPERLINK("CSG12.html#group96C12", "96C¹²")</f>
        <v/>
      </c>
      <c r="L7560" t="inlineStr"/>
      <c r="M7560">
        <f>HYPERLINK("CSG3.html#group24A3", "24A³"), =HYPERLINK("CSG0.html#group6B0", "6B⁰"), =HYPERLINK("CSG1.html#group8A1", "8A¹"), =HYPERLINK("CSG0.html#group12C0", "12C⁰"), =HYPERLINK("CSG11.html#group48R11", "48R¹¹"), =HYPERLINK("CSG0.html#group4C0", "4C⁰"), =HYPERLINK("CSG0.html#group2B0", "2B⁰"), =HYPERLINK("CSG2.html#group24C2", "24C²"), =HYPERLINK("CSG4.html#group32A4", "32A⁴"), =HYPERLINK("CSG0.html#group12H0", "12H⁰"), =HYPERLINK("CSG0.html#group1A0", "1A⁰"), =HYPERLINK("CSG12.html#group96A12", "96A¹²"), =HYPERLINK("CSG5.html#group24D5", "24D⁵"), =HYPERLINK("CSG2.html#group16B2", "16B²"), =HYPERLINK("CSG6.html#group48B6", "48B⁶"), =HYPERLINK("CSG6.html#group48C6", "48C⁶"), =HYPERLINK("CSG0.html#group12D0", "12D⁰"), =HYPERLINK("CSG0.html#group6H0", "6H⁰"), =HYPERLINK("CSG0.html#group3A0", "3A⁰"), =HYPERLINK("CSG0.html#group6D0", "6D⁰"), =HYPERLINK("CSG12.html#group96C12", "96C¹²")</f>
        <v/>
      </c>
      <c r="N7560" t="inlineStr"/>
    </row>
    <row r="7561">
      <c r="A7561" t="inlineStr">
        <is>
          <t>96X²³</t>
        </is>
      </c>
      <c r="B7561" t="inlineStr"/>
      <c r="C7561" t="inlineStr">
        <is>
          <t>288</t>
        </is>
      </c>
      <c r="D7561" t="inlineStr">
        <is>
          <t>1</t>
        </is>
      </c>
      <c r="E7561" t="inlineStr">
        <is>
          <t>72</t>
        </is>
      </c>
      <c r="F7561" t="inlineStr">
        <is>
          <t>0</t>
        </is>
      </c>
      <c r="G7561" t="inlineStr">
        <is>
          <t>0</t>
        </is>
      </c>
      <c r="H7561" t="inlineStr">
        <is>
          <t>48², 96²</t>
        </is>
      </c>
      <c r="I7561" t="n">
        <v>4</v>
      </c>
      <c r="J7561" t="inlineStr">
        <is>
          <t>2⁸, 4⁸, 8¹, 16¹</t>
        </is>
      </c>
      <c r="K7561">
        <f>HYPERLINK("CSG11.html#group48R11", "48R¹¹"), =HYPERLINK("CSG12.html#group96B12", "96B¹²"), =HYPERLINK("CSG12.html#group96D12", "96D¹²")</f>
        <v/>
      </c>
      <c r="L7561" t="inlineStr"/>
      <c r="M7561">
        <f>HYPERLINK("CSG3.html#group24A3", "24A³"), =HYPERLINK("CSG0.html#group6B0", "6B⁰"), =HYPERLINK("CSG1.html#group8A1", "8A¹"), =HYPERLINK("CSG0.html#group12C0", "12C⁰"), =HYPERLINK("CSG11.html#group48R11", "48R¹¹"), =HYPERLINK("CSG0.html#group4C0", "4C⁰"), =HYPERLINK("CSG0.html#group2B0", "2B⁰"), =HYPERLINK("CSG2.html#group24C2", "24C²"), =HYPERLINK("CSG0.html#group12H0", "12H⁰"), =HYPERLINK("CSG0.html#group1A0", "1A⁰"), =HYPERLINK("CSG4.html#group32B4", "32B⁴"), =HYPERLINK("CSG12.html#group96B12", "96B¹²"), =HYPERLINK("CSG5.html#group24D5", "24D⁵"), =HYPERLINK("CSG2.html#group16B2", "16B²"), =HYPERLINK("CSG6.html#group48B6", "48B⁶"), =HYPERLINK("CSG6.html#group48C6", "48C⁶"), =HYPERLINK("CSG12.html#group96D12", "96D¹²"), =HYPERLINK("CSG0.html#group12D0", "12D⁰"), =HYPERLINK("CSG0.html#group6H0", "6H⁰"), =HYPERLINK("CSG0.html#group3A0", "3A⁰"), =HYPERLINK("CSG0.html#group6D0", "6D⁰")</f>
        <v/>
      </c>
      <c r="N7561" t="inlineStr"/>
    </row>
    <row r="7562">
      <c r="A7562" t="inlineStr">
        <is>
          <t>96Y²³</t>
        </is>
      </c>
      <c r="B7562" t="inlineStr"/>
      <c r="C7562" t="inlineStr">
        <is>
          <t>288</t>
        </is>
      </c>
      <c r="D7562" t="inlineStr">
        <is>
          <t>1</t>
        </is>
      </c>
      <c r="E7562" t="inlineStr">
        <is>
          <t>72</t>
        </is>
      </c>
      <c r="F7562" t="inlineStr">
        <is>
          <t>0</t>
        </is>
      </c>
      <c r="G7562" t="inlineStr">
        <is>
          <t>0</t>
        </is>
      </c>
      <c r="H7562" t="inlineStr">
        <is>
          <t>48², 96²</t>
        </is>
      </c>
      <c r="I7562" t="n">
        <v>4</v>
      </c>
      <c r="J7562" t="inlineStr">
        <is>
          <t>2⁸, 4⁸, 8¹, 16¹</t>
        </is>
      </c>
      <c r="K7562">
        <f>HYPERLINK("CSG11.html#group48S11", "48S¹¹"), =HYPERLINK("CSG12.html#group96A12", "96A¹²"), =HYPERLINK("CSG12.html#group96C12", "96C¹²")</f>
        <v/>
      </c>
      <c r="L7562" t="inlineStr"/>
      <c r="M7562">
        <f>HYPERLINK("CSG3.html#group24A3", "24A³"), =HYPERLINK("CSG1.html#group8A1", "8A¹"), =HYPERLINK("CSG0.html#group12C0", "12C⁰"), =HYPERLINK("CSG0.html#group4C0", "4C⁰"), =HYPERLINK("CSG1.html#group24D1", "24D¹"), =HYPERLINK("CSG0.html#group6G0", "6G⁰"), =HYPERLINK("CSG0.html#group2B0", "2B⁰"), =HYPERLINK("CSG4.html#group32A4", "32A⁴"), =HYPERLINK("CSG5.html#group24E5", "24E⁵"), =HYPERLINK("CSG0.html#group1A0", "1A⁰"), =HYPERLINK("CSG1.html#group12L1", "12L¹"), =HYPERLINK("CSG12.html#group96A12", "96A¹²"), =HYPERLINK("CSG2.html#group16B2", "16B²"), =HYPERLINK("CSG1.html#group12C1", "12C¹"), =HYPERLINK("CSG6.html#group48B6", "48B⁶"), =HYPERLINK("CSG6.html#group48C6", "48C⁶"), =HYPERLINK("CSG0.html#group3C0", "3C⁰"), =HYPERLINK("CSG0.html#group3A0", "3A⁰"), =HYPERLINK("CSG11.html#group48S11", "48S¹¹"), =HYPERLINK("CSG0.html#group6D0", "6D⁰"), =HYPERLINK("CSG12.html#group96C12", "96C¹²")</f>
        <v/>
      </c>
      <c r="N7562" t="inlineStr"/>
    </row>
    <row r="7563">
      <c r="A7563" t="inlineStr">
        <is>
          <t>96Z²³</t>
        </is>
      </c>
      <c r="B7563" t="inlineStr"/>
      <c r="C7563" t="inlineStr">
        <is>
          <t>288</t>
        </is>
      </c>
      <c r="D7563" t="inlineStr">
        <is>
          <t>1</t>
        </is>
      </c>
      <c r="E7563" t="inlineStr">
        <is>
          <t>72</t>
        </is>
      </c>
      <c r="F7563" t="inlineStr">
        <is>
          <t>0</t>
        </is>
      </c>
      <c r="G7563" t="inlineStr">
        <is>
          <t>0</t>
        </is>
      </c>
      <c r="H7563" t="inlineStr">
        <is>
          <t>48², 96²</t>
        </is>
      </c>
      <c r="I7563" t="n">
        <v>4</v>
      </c>
      <c r="J7563" t="inlineStr">
        <is>
          <t>2⁸, 4⁸, 8¹, 16¹</t>
        </is>
      </c>
      <c r="K7563">
        <f>HYPERLINK("CSG11.html#group48S11", "48S¹¹"), =HYPERLINK("CSG12.html#group96B12", "96B¹²"), =HYPERLINK("CSG12.html#group96D12", "96D¹²")</f>
        <v/>
      </c>
      <c r="L7563" t="inlineStr"/>
      <c r="M7563">
        <f>HYPERLINK("CSG3.html#group24A3", "24A³"), =HYPERLINK("CSG1.html#group8A1", "8A¹"), =HYPERLINK("CSG0.html#group12C0", "12C⁰"), =HYPERLINK("CSG0.html#group4C0", "4C⁰"), =HYPERLINK("CSG1.html#group24D1", "24D¹"), =HYPERLINK("CSG0.html#group6G0", "6G⁰"), =HYPERLINK("CSG0.html#group2B0", "2B⁰"), =HYPERLINK("CSG5.html#group24E5", "24E⁵"), =HYPERLINK("CSG0.html#group1A0", "1A⁰"), =HYPERLINK("CSG1.html#group12L1", "12L¹"), =HYPERLINK("CSG4.html#group32B4", "32B⁴"), =HYPERLINK("CSG12.html#group96B12", "96B¹²"), =HYPERLINK("CSG2.html#group16B2", "16B²"), =HYPERLINK("CSG1.html#group12C1", "12C¹"), =HYPERLINK("CSG6.html#group48B6", "48B⁶"), =HYPERLINK("CSG6.html#group48C6", "48C⁶"), =HYPERLINK("CSG12.html#group96D12", "96D¹²"), =HYPERLINK("CSG0.html#group3C0", "3C⁰"), =HYPERLINK("CSG0.html#group3A0", "3A⁰"), =HYPERLINK("CSG11.html#group48S11", "48S¹¹"), =HYPERLINK("CSG0.html#group6D0", "6D⁰")</f>
        <v/>
      </c>
      <c r="N7563" t="inlineStr"/>
    </row>
    <row r="7564">
      <c r="A7564" t="inlineStr">
        <is>
          <t>96AA²³</t>
        </is>
      </c>
      <c r="B7564" t="inlineStr"/>
      <c r="C7564" t="inlineStr">
        <is>
          <t>288</t>
        </is>
      </c>
      <c r="D7564" t="inlineStr">
        <is>
          <t>1</t>
        </is>
      </c>
      <c r="E7564" t="inlineStr">
        <is>
          <t>144</t>
        </is>
      </c>
      <c r="F7564" t="inlineStr">
        <is>
          <t>0</t>
        </is>
      </c>
      <c r="G7564" t="inlineStr">
        <is>
          <t>0</t>
        </is>
      </c>
      <c r="H7564" t="inlineStr">
        <is>
          <t>48², 96²</t>
        </is>
      </c>
      <c r="I7564" t="n">
        <v>4</v>
      </c>
      <c r="J7564" t="inlineStr">
        <is>
          <t>2⁴, 4¹⁰, 8⁶, 16³</t>
        </is>
      </c>
      <c r="K7564">
        <f>HYPERLINK("CSG11.html#group48N11", "48N¹¹")</f>
        <v/>
      </c>
      <c r="L7564" t="inlineStr"/>
      <c r="M7564">
        <f>HYPERLINK("CSG3.html#group24A3", "24A³"), =HYPERLINK("CSG0.html#group6B0", "6B⁰"), =HYPERLINK("CSG1.html#group8A1", "8A¹"), =HYPERLINK("CSG0.html#group12C0", "12C⁰"), =HYPERLINK("CSG0.html#group3A0", "3A⁰"), =HYPERLINK("CSG0.html#group4C0", "4C⁰"), =HYPERLINK("CSG0.html#group2B0", "2B⁰"), =HYPERLINK("CSG2.html#group24C2", "24C²"), =HYPERLINK("CSG0.html#group1A0", "1A⁰"), =HYPERLINK("CSG5.html#group24D5", "24D⁵"), =HYPERLINK("CSG6.html#group48C6", "48C⁶"), =HYPERLINK("CSG0.html#group12D0", "12D⁰"), =HYPERLINK("CSG0.html#group6H0", "6H⁰"), =HYPERLINK("CSG0.html#group12H0", "12H⁰"), =HYPERLINK("CSG0.html#group6D0", "6D⁰"), =HYPERLINK("CSG11.html#group48N11", "48N¹¹")</f>
        <v/>
      </c>
      <c r="N7564" t="inlineStr"/>
    </row>
    <row r="7565">
      <c r="A7565" t="inlineStr">
        <is>
          <t>96AB²³</t>
        </is>
      </c>
      <c r="B7565" t="inlineStr"/>
      <c r="C7565" t="inlineStr">
        <is>
          <t>288</t>
        </is>
      </c>
      <c r="D7565" t="inlineStr">
        <is>
          <t>1</t>
        </is>
      </c>
      <c r="E7565" t="inlineStr">
        <is>
          <t>144</t>
        </is>
      </c>
      <c r="F7565" t="inlineStr">
        <is>
          <t>0</t>
        </is>
      </c>
      <c r="G7565" t="inlineStr">
        <is>
          <t>0</t>
        </is>
      </c>
      <c r="H7565" t="inlineStr">
        <is>
          <t>48², 96²</t>
        </is>
      </c>
      <c r="I7565" t="n">
        <v>4</v>
      </c>
      <c r="J7565" t="inlineStr">
        <is>
          <t>2⁴, 4¹⁰, 8⁶, 16³</t>
        </is>
      </c>
      <c r="K7565">
        <f>HYPERLINK("CSG11.html#group48N11", "48N¹¹")</f>
        <v/>
      </c>
      <c r="L7565" t="inlineStr"/>
      <c r="M7565">
        <f>HYPERLINK("CSG3.html#group24A3", "24A³"), =HYPERLINK("CSG0.html#group6B0", "6B⁰"), =HYPERLINK("CSG1.html#group8A1", "8A¹"), =HYPERLINK("CSG0.html#group12C0", "12C⁰"), =HYPERLINK("CSG0.html#group3A0", "3A⁰"), =HYPERLINK("CSG0.html#group4C0", "4C⁰"), =HYPERLINK("CSG0.html#group2B0", "2B⁰"), =HYPERLINK("CSG2.html#group24C2", "24C²"), =HYPERLINK("CSG0.html#group1A0", "1A⁰"), =HYPERLINK("CSG5.html#group24D5", "24D⁵"), =HYPERLINK("CSG6.html#group48C6", "48C⁶"), =HYPERLINK("CSG0.html#group12D0", "12D⁰"), =HYPERLINK("CSG0.html#group6H0", "6H⁰"), =HYPERLINK("CSG0.html#group12H0", "12H⁰"), =HYPERLINK("CSG0.html#group6D0", "6D⁰"), =HYPERLINK("CSG11.html#group48N11", "48N¹¹")</f>
        <v/>
      </c>
      <c r="N7565" t="inlineStr"/>
    </row>
    <row r="7566">
      <c r="A7566" t="inlineStr">
        <is>
          <t>96AC²³</t>
        </is>
      </c>
      <c r="B7566" t="inlineStr"/>
      <c r="C7566" t="inlineStr">
        <is>
          <t>288</t>
        </is>
      </c>
      <c r="D7566" t="inlineStr">
        <is>
          <t>2</t>
        </is>
      </c>
      <c r="E7566" t="inlineStr">
        <is>
          <t>24</t>
        </is>
      </c>
      <c r="F7566" t="inlineStr">
        <is>
          <t>0</t>
        </is>
      </c>
      <c r="G7566" t="inlineStr">
        <is>
          <t>0</t>
        </is>
      </c>
      <c r="H7566" t="inlineStr">
        <is>
          <t>48², 96²</t>
        </is>
      </c>
      <c r="I7566" t="n">
        <v>4</v>
      </c>
      <c r="J7566" t="inlineStr">
        <is>
          <t>2⁸, 4⁴, 8²</t>
        </is>
      </c>
      <c r="K7566">
        <f>HYPERLINK("CSG7.html#group32K7", "32K⁷"), =HYPERLINK("CSG11.html#group48J11", "48J¹¹"), =HYPERLINK("CSG12.html#group96B12", "96B¹²"), =HYPERLINK("CSG12.html#group96A12", "96A¹²")</f>
        <v/>
      </c>
      <c r="L7566" t="inlineStr"/>
      <c r="M7566">
        <f>HYPERLINK("CSG3.html#group24A3", "24A³"), =HYPERLINK("CSG1.html#group8A1", "8A¹"), =HYPERLINK("CSG11.html#group48J11", "48J¹¹"), =HYPERLINK("CSG0.html#group12C0", "12C⁰"), =HYPERLINK("CSG0.html#group8D0", "8D⁰"), =HYPERLINK("CSG7.html#group32K7", "32K⁷"), =HYPERLINK("CSG0.html#group4C0", "4C⁰"), =HYPERLINK("CSG0.html#group2B0", "2B⁰"), =HYPERLINK("CSG4.html#group32A4", "32A⁴"), =HYPERLINK("CSG0.html#group1A0", "1A⁰"), =HYPERLINK("CSG12.html#group96A12", "96A¹²"), =HYPERLINK("CSG4.html#group32B4", "32B⁴"), =HYPERLINK("CSG12.html#group96B12", "96B¹²"), =HYPERLINK("CSG0.html#group12A0", "12A⁰"), =HYPERLINK("CSG2.html#group16B2", "16B²"), =HYPERLINK("CSG1.html#group8C1", "8C¹"), =HYPERLINK("CSG6.html#group48B6", "48B⁶"), =HYPERLINK("CSG0.html#group4A0", "4A⁰"), =HYPERLINK("CSG1.html#group24C1", "24C¹"), =HYPERLINK("CSG1.html#group12J1", "12J¹"), =HYPERLINK("CSG0.html#group4F0", "4F⁰"), =HYPERLINK("CSG0.html#group3A0", "3A⁰"), =HYPERLINK("CSG0.html#group6D0", "6D⁰"), =HYPERLINK("CSG5.html#group24B5", "24B⁵"), =HYPERLINK("CSG3.html#group16E3", "16E³")</f>
        <v/>
      </c>
      <c r="N7566" t="inlineStr"/>
    </row>
    <row r="7567">
      <c r="A7567" t="inlineStr">
        <is>
          <t>96AD²³</t>
        </is>
      </c>
      <c r="B7567" t="inlineStr"/>
      <c r="C7567" t="inlineStr">
        <is>
          <t>288</t>
        </is>
      </c>
      <c r="D7567" t="inlineStr">
        <is>
          <t>2</t>
        </is>
      </c>
      <c r="E7567" t="inlineStr">
        <is>
          <t>72</t>
        </is>
      </c>
      <c r="F7567" t="inlineStr">
        <is>
          <t>0</t>
        </is>
      </c>
      <c r="G7567" t="inlineStr">
        <is>
          <t>0</t>
        </is>
      </c>
      <c r="H7567" t="inlineStr">
        <is>
          <t>48², 96²</t>
        </is>
      </c>
      <c r="I7567" t="n">
        <v>4</v>
      </c>
      <c r="J7567" t="inlineStr">
        <is>
          <t>2⁸, 4¹², 8⁶, 16²</t>
        </is>
      </c>
      <c r="K7567">
        <f>HYPERLINK("CSG11.html#group48J11", "48J¹¹"), =HYPERLINK("CSG12.html#group96C12", "96C¹²"), =HYPERLINK("CSG12.html#group96D12", "96D¹²")</f>
        <v/>
      </c>
      <c r="L7567" t="inlineStr"/>
      <c r="M7567">
        <f>HYPERLINK("CSG3.html#group24A3", "24A³"), =HYPERLINK("CSG1.html#group8A1", "8A¹"), =HYPERLINK("CSG11.html#group48J11", "48J¹¹"), =HYPERLINK("CSG0.html#group12C0", "12C⁰"), =HYPERLINK("CSG0.html#group8D0", "8D⁰"), =HYPERLINK("CSG0.html#group4C0", "4C⁰"), =HYPERLINK("CSG0.html#group2B0", "2B⁰"), =HYPERLINK("CSG0.html#group1A0", "1A⁰"), =HYPERLINK("CSG0.html#group12A0", "12A⁰"), =HYPERLINK("CSG2.html#group16B2", "16B²"), =HYPERLINK("CSG1.html#group8C1", "8C¹"), =HYPERLINK("CSG6.html#group48B6", "48B⁶"), =HYPERLINK("CSG12.html#group96D12", "96D¹²"), =HYPERLINK("CSG0.html#group4A0", "4A⁰"), =HYPERLINK("CSG5.html#group24B5", "24B⁵"), =HYPERLINK("CSG1.html#group24C1", "24C¹"), =HYPERLINK("CSG1.html#group12J1", "12J¹"), =HYPERLINK("CSG0.html#group4F0", "4F⁰"), =HYPERLINK("CSG0.html#group3A0", "3A⁰"), =HYPERLINK("CSG0.html#group6D0", "6D⁰"), =HYPERLINK("CSG12.html#group96C12", "96C¹²"), =HYPERLINK("CSG3.html#group16E3", "16E³")</f>
        <v/>
      </c>
      <c r="N7567" t="inlineStr"/>
    </row>
    <row r="7568">
      <c r="A7568" t="inlineStr">
        <is>
          <t>96AE²³</t>
        </is>
      </c>
      <c r="B7568" t="inlineStr"/>
      <c r="C7568" t="inlineStr">
        <is>
          <t>288</t>
        </is>
      </c>
      <c r="D7568" t="inlineStr">
        <is>
          <t>2</t>
        </is>
      </c>
      <c r="E7568" t="inlineStr">
        <is>
          <t>72</t>
        </is>
      </c>
      <c r="F7568" t="inlineStr">
        <is>
          <t>0</t>
        </is>
      </c>
      <c r="G7568" t="inlineStr">
        <is>
          <t>0</t>
        </is>
      </c>
      <c r="H7568" t="inlineStr">
        <is>
          <t>48², 96²</t>
        </is>
      </c>
      <c r="I7568" t="n">
        <v>4</v>
      </c>
      <c r="J7568" t="inlineStr">
        <is>
          <t>2⁸, 4¹², 8⁶, 16²</t>
        </is>
      </c>
      <c r="K7568">
        <f>HYPERLINK("CSG11.html#group48V11", "48V¹¹"), =HYPERLINK("CSG12.html#group96A12", "96A¹²"), =HYPERLINK("CSG12.html#group96D12", "96D¹²")</f>
        <v/>
      </c>
      <c r="L7568" t="inlineStr"/>
      <c r="M7568">
        <f>HYPERLINK("CSG5.html#group24G5", "24G⁵"), =HYPERLINK("CSG1.html#group24E1", "24E¹"), =HYPERLINK("CSG3.html#group24A3", "24A³"), =HYPERLINK("CSG0.html#group12C0", "12C⁰"), =HYPERLINK("CSG1.html#group8A1", "8A¹"), =HYPERLINK("CSG0.html#group4C0", "4C⁰"), =HYPERLINK("CSG1.html#group12M1", "12M¹"), =HYPERLINK("CSG0.html#group2B0", "2B⁰"), =HYPERLINK("CSG4.html#group32A4", "32A⁴"), =HYPERLINK("CSG0.html#group1A0", "1A⁰"), =HYPERLINK("CSG12.html#group96A12", "96A¹²"), =HYPERLINK("CSG2.html#group16B2", "16B²"), =HYPERLINK("CSG6.html#group48B6", "48B⁶"), =HYPERLINK("CSG6.html#group48C6", "48C⁶"), =HYPERLINK("CSG11.html#group48V11", "48V¹¹"), =HYPERLINK("CSG12.html#group96D12", "96D¹²"), =HYPERLINK("CSG0.html#group3A0", "3A⁰"), =HYPERLINK("CSG0.html#group6D0", "6D⁰")</f>
        <v/>
      </c>
      <c r="N7568" t="inlineStr"/>
    </row>
    <row r="7569">
      <c r="A7569" t="inlineStr">
        <is>
          <t>96AF²³</t>
        </is>
      </c>
      <c r="B7569" t="inlineStr"/>
      <c r="C7569" t="inlineStr">
        <is>
          <t>288</t>
        </is>
      </c>
      <c r="D7569" t="inlineStr">
        <is>
          <t>2</t>
        </is>
      </c>
      <c r="E7569" t="inlineStr">
        <is>
          <t>72</t>
        </is>
      </c>
      <c r="F7569" t="inlineStr">
        <is>
          <t>0</t>
        </is>
      </c>
      <c r="G7569" t="inlineStr">
        <is>
          <t>0</t>
        </is>
      </c>
      <c r="H7569" t="inlineStr">
        <is>
          <t>48², 96²</t>
        </is>
      </c>
      <c r="I7569" t="n">
        <v>4</v>
      </c>
      <c r="J7569" t="inlineStr">
        <is>
          <t>2⁸, 4¹², 8⁶, 16²</t>
        </is>
      </c>
      <c r="K7569">
        <f>HYPERLINK("CSG11.html#group48V11", "48V¹¹"), =HYPERLINK("CSG12.html#group96B12", "96B¹²"), =HYPERLINK("CSG12.html#group96C12", "96C¹²")</f>
        <v/>
      </c>
      <c r="L7569" t="inlineStr"/>
      <c r="M7569">
        <f>HYPERLINK("CSG5.html#group24G5", "24G⁵"), =HYPERLINK("CSG3.html#group24A3", "24A³"), =HYPERLINK("CSG1.html#group24E1", "24E¹"), =HYPERLINK("CSG1.html#group8A1", "8A¹"), =HYPERLINK("CSG0.html#group12C0", "12C⁰"), =HYPERLINK("CSG0.html#group4C0", "4C⁰"), =HYPERLINK("CSG0.html#group2B0", "2B⁰"), =HYPERLINK("CSG1.html#group12M1", "12M¹"), =HYPERLINK("CSG0.html#group1A0", "1A⁰"), =HYPERLINK("CSG4.html#group32B4", "32B⁴"), =HYPERLINK("CSG12.html#group96B12", "96B¹²"), =HYPERLINK("CSG2.html#group16B2", "16B²"), =HYPERLINK("CSG6.html#group48B6", "48B⁶"), =HYPERLINK("CSG6.html#group48C6", "48C⁶"), =HYPERLINK("CSG11.html#group48V11", "48V¹¹"), =HYPERLINK("CSG0.html#group3A0", "3A⁰"), =HYPERLINK("CSG0.html#group6D0", "6D⁰"), =HYPERLINK("CSG12.html#group96C12", "96C¹²")</f>
        <v/>
      </c>
      <c r="N7569" t="inlineStr"/>
    </row>
    <row r="7570">
      <c r="A7570" t="inlineStr">
        <is>
          <t>96AG²³</t>
        </is>
      </c>
      <c r="B7570" t="inlineStr"/>
      <c r="C7570" t="inlineStr">
        <is>
          <t>288</t>
        </is>
      </c>
      <c r="D7570" t="inlineStr">
        <is>
          <t>2</t>
        </is>
      </c>
      <c r="E7570" t="inlineStr">
        <is>
          <t>72</t>
        </is>
      </c>
      <c r="F7570" t="inlineStr">
        <is>
          <t>0</t>
        </is>
      </c>
      <c r="G7570" t="inlineStr">
        <is>
          <t>0</t>
        </is>
      </c>
      <c r="H7570" t="inlineStr">
        <is>
          <t>48², 96²</t>
        </is>
      </c>
      <c r="I7570" t="n">
        <v>4</v>
      </c>
      <c r="J7570" t="inlineStr">
        <is>
          <t>4²⁴, 8¹², 16⁶</t>
        </is>
      </c>
      <c r="K7570">
        <f>HYPERLINK("CSG11.html#group48V11", "48V¹¹"), =HYPERLINK("CSG12.html#group96C12", "96C¹²"), =HYPERLINK("CSG12.html#group96D12", "96D¹²")</f>
        <v/>
      </c>
      <c r="L7570" t="inlineStr"/>
      <c r="M7570">
        <f>HYPERLINK("CSG5.html#group24G5", "24G⁵"), =HYPERLINK("CSG1.html#group24E1", "24E¹"), =HYPERLINK("CSG3.html#group24A3", "24A³"), =HYPERLINK("CSG0.html#group12C0", "12C⁰"), =HYPERLINK("CSG1.html#group8A1", "8A¹"), =HYPERLINK("CSG0.html#group4C0", "4C⁰"), =HYPERLINK("CSG1.html#group12M1", "12M¹"), =HYPERLINK("CSG0.html#group2B0", "2B⁰"), =HYPERLINK("CSG0.html#group1A0", "1A⁰"), =HYPERLINK("CSG2.html#group16B2", "16B²"), =HYPERLINK("CSG6.html#group48B6", "48B⁶"), =HYPERLINK("CSG6.html#group48C6", "48C⁶"), =HYPERLINK("CSG11.html#group48V11", "48V¹¹"), =HYPERLINK("CSG12.html#group96D12", "96D¹²"), =HYPERLINK("CSG0.html#group3A0", "3A⁰"), =HYPERLINK("CSG0.html#group6D0", "6D⁰"), =HYPERLINK("CSG12.html#group96C12", "96C¹²")</f>
        <v/>
      </c>
      <c r="N7570" t="inlineStr"/>
    </row>
    <row r="7571">
      <c r="A7571" t="inlineStr">
        <is>
          <t>96AH²³</t>
        </is>
      </c>
      <c r="B7571" t="inlineStr"/>
      <c r="C7571" t="inlineStr">
        <is>
          <t>288</t>
        </is>
      </c>
      <c r="D7571" t="inlineStr">
        <is>
          <t>2</t>
        </is>
      </c>
      <c r="E7571" t="inlineStr">
        <is>
          <t>72</t>
        </is>
      </c>
      <c r="F7571" t="inlineStr">
        <is>
          <t>0</t>
        </is>
      </c>
      <c r="G7571" t="inlineStr">
        <is>
          <t>0</t>
        </is>
      </c>
      <c r="H7571" t="inlineStr">
        <is>
          <t>48², 96²</t>
        </is>
      </c>
      <c r="I7571" t="n">
        <v>4</v>
      </c>
      <c r="J7571" t="inlineStr">
        <is>
          <t>4²⁴, 8¹², 16⁶</t>
        </is>
      </c>
      <c r="K7571">
        <f>HYPERLINK("CSG11.html#group48V11", "48V¹¹"), =HYPERLINK("CSG12.html#group96C12", "96C¹²"), =HYPERLINK("CSG12.html#group96D12", "96D¹²")</f>
        <v/>
      </c>
      <c r="L7571" t="inlineStr"/>
      <c r="M7571">
        <f>HYPERLINK("CSG5.html#group24G5", "24G⁵"), =HYPERLINK("CSG1.html#group24E1", "24E¹"), =HYPERLINK("CSG3.html#group24A3", "24A³"), =HYPERLINK("CSG0.html#group12C0", "12C⁰"), =HYPERLINK("CSG1.html#group8A1", "8A¹"), =HYPERLINK("CSG0.html#group4C0", "4C⁰"), =HYPERLINK("CSG1.html#group12M1", "12M¹"), =HYPERLINK("CSG0.html#group2B0", "2B⁰"), =HYPERLINK("CSG0.html#group1A0", "1A⁰"), =HYPERLINK("CSG2.html#group16B2", "16B²"), =HYPERLINK("CSG6.html#group48B6", "48B⁶"), =HYPERLINK("CSG6.html#group48C6", "48C⁶"), =HYPERLINK("CSG11.html#group48V11", "48V¹¹"), =HYPERLINK("CSG12.html#group96D12", "96D¹²"), =HYPERLINK("CSG0.html#group3A0", "3A⁰"), =HYPERLINK("CSG0.html#group6D0", "6D⁰"), =HYPERLINK("CSG12.html#group96C12", "96C¹²")</f>
        <v/>
      </c>
      <c r="N7571" t="inlineStr"/>
    </row>
    <row r="7572">
      <c r="A7572" t="inlineStr">
        <is>
          <t>96AI²³</t>
        </is>
      </c>
      <c r="B7572" t="inlineStr"/>
      <c r="C7572" t="inlineStr">
        <is>
          <t>384</t>
        </is>
      </c>
      <c r="D7572" t="inlineStr">
        <is>
          <t>1</t>
        </is>
      </c>
      <c r="E7572" t="inlineStr">
        <is>
          <t>96</t>
        </is>
      </c>
      <c r="F7572" t="inlineStr">
        <is>
          <t>0</t>
        </is>
      </c>
      <c r="G7572" t="inlineStr">
        <is>
          <t>0</t>
        </is>
      </c>
      <c r="H7572" t="inlineStr">
        <is>
          <t>4⁸, 12⁸, 32², 96²</t>
        </is>
      </c>
      <c r="I7572" t="n">
        <v>20</v>
      </c>
      <c r="J7572" t="inlineStr">
        <is>
          <t>1⁴, 2⁴, 4³, 8⁵, 16²</t>
        </is>
      </c>
      <c r="K7572">
        <f>HYPERLINK("CSG3.html#group32P3", "32P³"), =HYPERLINK("CSG11.html#group48AA11", "48AA¹¹")</f>
        <v/>
      </c>
      <c r="L7572" t="inlineStr"/>
      <c r="M7572">
        <f>HYPERLINK("CSG0.html#group3B0", "3B⁰"), =HYPERLINK("CSG1.html#group16I1", "16I¹"), =HYPERLINK("CSG3.html#group24B3", "24B³"), =HYPERLINK("CSG11.html#group48AA11", "48AA¹¹"), =HYPERLINK("CSG0.html#group8D0", "8D⁰"), =HYPERLINK("CSG1.html#group12F1", "12F¹"), =HYPERLINK("CSG6.html#group48D6", "48D⁶"), =HYPERLINK("CSG0.html#group4C0", "4C⁰"), =HYPERLINK("CSG0.html#group8B0", "8B⁰"), =HYPERLINK("CSG0.html#group2B0", "2B⁰"), =HYPERLINK("CSG0.html#group1A0", "1A⁰"), =HYPERLINK("CSG0.html#group8H0", "8H⁰"), =HYPERLINK("CSG0.html#group16E0", "16E⁰"), =HYPERLINK("CSG2.html#group24I2", "24I²"), =HYPERLINK("CSG0.html#group4A0", "4A⁰"), =HYPERLINK("CSG4.html#group48J4", "48J⁴"), =HYPERLINK("CSG1.html#group16C1", "16C¹"), =HYPERLINK("CSG1.html#group12A1", "12A¹"), =HYPERLINK("CSG0.html#group6F0", "6F⁰"), =HYPERLINK("CSG2.html#group12G2", "12G²"), =HYPERLINK("CSG5.html#group24J5", "24J⁵"), =HYPERLINK("CSG0.html#group4F0", "4F⁰"), =HYPERLINK("CSG3.html#group32P3", "32P³")</f>
        <v/>
      </c>
      <c r="N7572" t="inlineStr"/>
    </row>
    <row r="7573">
      <c r="A7573" t="inlineStr">
        <is>
          <t>96AJ²³</t>
        </is>
      </c>
      <c r="B7573" t="inlineStr"/>
      <c r="C7573" t="inlineStr">
        <is>
          <t>384</t>
        </is>
      </c>
      <c r="D7573" t="inlineStr">
        <is>
          <t>1</t>
        </is>
      </c>
      <c r="E7573" t="inlineStr">
        <is>
          <t>96</t>
        </is>
      </c>
      <c r="F7573" t="inlineStr">
        <is>
          <t>0</t>
        </is>
      </c>
      <c r="G7573" t="inlineStr">
        <is>
          <t>0</t>
        </is>
      </c>
      <c r="H7573" t="inlineStr">
        <is>
          <t>4⁸, 12⁸, 32², 96²</t>
        </is>
      </c>
      <c r="I7573" t="n">
        <v>20</v>
      </c>
      <c r="J7573" t="inlineStr">
        <is>
          <t>1⁴, 2⁴, 4³, 8⁵, 16²</t>
        </is>
      </c>
      <c r="K7573">
        <f>HYPERLINK("CSG4.html#group32C4", "32C⁴"), =HYPERLINK("CSG10.html#group96E10", "96E¹⁰"), =HYPERLINK("CSG10.html#group96F10", "96F¹⁰"), =HYPERLINK("CSG11.html#group48AB11", "48AB¹¹")</f>
        <v/>
      </c>
      <c r="L7573" t="inlineStr"/>
      <c r="M7573">
        <f>HYPERLINK("CSG2.html#group16D2", "16D²"), =HYPERLINK("CSG0.html#group3B0", "3B⁰"), =HYPERLINK("CSG5.html#group24K5", "24K⁵"), =HYPERLINK("CSG1.html#group8A1", "8A¹"), =HYPERLINK("CSG4.html#group32C4", "32C⁴"), =HYPERLINK("CSG0.html#group8D0", "8D⁰"), =HYPERLINK("CSG1.html#group12F1", "12F¹"), =HYPERLINK("CSG6.html#group48D6", "48D⁶"), =HYPERLINK("CSG0.html#group4C0", "4C⁰"), =HYPERLINK("CSG1.html#group32D1", "32D¹"), =HYPERLINK("CSG0.html#group2B0", "2B⁰"), =HYPERLINK("CSG0.html#group1A0", "1A⁰"), =HYPERLINK("CSG10.html#group96F10", "96F¹⁰"), =HYPERLINK("CSG3.html#group24C3", "24C³"), =HYPERLINK("CSG0.html#group16E0", "16E⁰"), =HYPERLINK("CSG1.html#group8C1", "8C¹"), =HYPERLINK("CSG2.html#group24I2", "24I²"), =HYPERLINK("CSG1.html#group32C1", "32C¹"), =HYPERLINK("CSG0.html#group4A0", "4A⁰"), =HYPERLINK("CSG4.html#group48J4", "48J⁴"), =HYPERLINK("CSG1.html#group16C1", "16C¹"), =HYPERLINK("CSG1.html#group12A1", "12A¹"), =HYPERLINK("CSG10.html#group96E10", "96E¹⁰"), =HYPERLINK("CSG2.html#group12G2", "12G²"), =HYPERLINK("CSG0.html#group4F0", "4F⁰"), =HYPERLINK("CSG11.html#group48AB11", "48AB¹¹"), =HYPERLINK("CSG0.html#group6F0", "6F⁰")</f>
        <v/>
      </c>
      <c r="N7573" t="inlineStr"/>
    </row>
    <row r="7574">
      <c r="A7574" t="inlineStr">
        <is>
          <t>96AK²³</t>
        </is>
      </c>
      <c r="B7574" t="inlineStr"/>
      <c r="C7574" t="inlineStr">
        <is>
          <t>384</t>
        </is>
      </c>
      <c r="D7574" t="inlineStr">
        <is>
          <t>1</t>
        </is>
      </c>
      <c r="E7574" t="inlineStr">
        <is>
          <t>96</t>
        </is>
      </c>
      <c r="F7574" t="inlineStr">
        <is>
          <t>0</t>
        </is>
      </c>
      <c r="G7574" t="inlineStr">
        <is>
          <t>0</t>
        </is>
      </c>
      <c r="H7574" t="inlineStr">
        <is>
          <t>4⁸, 12⁸, 32², 96²</t>
        </is>
      </c>
      <c r="I7574" t="n">
        <v>20</v>
      </c>
      <c r="J7574" t="inlineStr">
        <is>
          <t>2⁸, 4⁴, 8⁴, 16²</t>
        </is>
      </c>
      <c r="K7574">
        <f>HYPERLINK("CSG11.html#group48AB11", "48AB¹¹")</f>
        <v/>
      </c>
      <c r="L7574" t="inlineStr"/>
      <c r="M7574">
        <f>HYPERLINK("CSG2.html#group16D2", "16D²"), =HYPERLINK("CSG0.html#group3B0", "3B⁰"), =HYPERLINK("CSG5.html#group24K5", "24K⁵"), =HYPERLINK("CSG1.html#group8A1", "8A¹"), =HYPERLINK("CSG0.html#group8D0", "8D⁰"), =HYPERLINK("CSG1.html#group12F1", "12F¹"), =HYPERLINK("CSG6.html#group48D6", "48D⁶"), =HYPERLINK("CSG0.html#group4C0", "4C⁰"), =HYPERLINK("CSG0.html#group2B0", "2B⁰"), =HYPERLINK("CSG0.html#group1A0", "1A⁰"), =HYPERLINK("CSG3.html#group24C3", "24C³"), =HYPERLINK("CSG0.html#group16E0", "16E⁰"), =HYPERLINK("CSG1.html#group8C1", "8C¹"), =HYPERLINK("CSG2.html#group24I2", "24I²"), =HYPERLINK("CSG0.html#group4A0", "4A⁰"), =HYPERLINK("CSG4.html#group48J4", "48J⁴"), =HYPERLINK("CSG1.html#group16C1", "16C¹"), =HYPERLINK("CSG1.html#group12A1", "12A¹"), =HYPERLINK("CSG2.html#group12G2", "12G²"), =HYPERLINK("CSG0.html#group4F0", "4F⁰"), =HYPERLINK("CSG11.html#group48AB11", "48AB¹¹"), =HYPERLINK("CSG0.html#group6F0", "6F⁰")</f>
        <v/>
      </c>
      <c r="N7574" t="inlineStr"/>
    </row>
    <row r="7575">
      <c r="A7575" t="inlineStr">
        <is>
          <t>96AL²³</t>
        </is>
      </c>
      <c r="B7575" t="inlineStr"/>
      <c r="C7575" t="inlineStr">
        <is>
          <t>384</t>
        </is>
      </c>
      <c r="D7575" t="inlineStr">
        <is>
          <t>1</t>
        </is>
      </c>
      <c r="E7575" t="inlineStr">
        <is>
          <t>96</t>
        </is>
      </c>
      <c r="F7575" t="inlineStr">
        <is>
          <t>0</t>
        </is>
      </c>
      <c r="G7575" t="inlineStr">
        <is>
          <t>0</t>
        </is>
      </c>
      <c r="H7575" t="inlineStr">
        <is>
          <t>4⁸, 12⁸, 32², 96²</t>
        </is>
      </c>
      <c r="I7575" t="n">
        <v>20</v>
      </c>
      <c r="J7575" t="inlineStr">
        <is>
          <t>2⁸, 4⁴, 8⁴, 16²</t>
        </is>
      </c>
      <c r="K7575">
        <f>HYPERLINK("CSG3.html#group32Q3", "32Q³"), =HYPERLINK("CSG10.html#group96E10", "96E¹⁰"), =HYPERLINK("CSG10.html#group96F10", "96F¹⁰"), =HYPERLINK("CSG11.html#group48AA11", "48AA¹¹")</f>
        <v/>
      </c>
      <c r="L7575" t="inlineStr"/>
      <c r="M7575">
        <f>HYPERLINK("CSG0.html#group3B0", "3B⁰"), =HYPERLINK("CSG1.html#group16I1", "16I¹"), =HYPERLINK("CSG3.html#group24B3", "24B³"), =HYPERLINK("CSG11.html#group48AA11", "48AA¹¹"), =HYPERLINK("CSG0.html#group8D0", "8D⁰"), =HYPERLINK("CSG1.html#group12F1", "12F¹"), =HYPERLINK("CSG6.html#group48D6", "48D⁶"), =HYPERLINK("CSG0.html#group4C0", "4C⁰"), =HYPERLINK("CSG0.html#group8B0", "8B⁰"), =HYPERLINK("CSG1.html#group32D1", "32D¹"), =HYPERLINK("CSG0.html#group2B0", "2B⁰"), =HYPERLINK("CSG0.html#group1A0", "1A⁰"), =HYPERLINK("CSG3.html#group32Q3", "32Q³"), =HYPERLINK("CSG10.html#group96F10", "96F¹⁰"), =HYPERLINK("CSG0.html#group8H0", "8H⁰"), =HYPERLINK("CSG0.html#group16E0", "16E⁰"), =HYPERLINK("CSG2.html#group24I2", "24I²"), =HYPERLINK("CSG1.html#group32C1", "32C¹"), =HYPERLINK("CSG0.html#group4A0", "4A⁰"), =HYPERLINK("CSG4.html#group48J4", "48J⁴"), =HYPERLINK("CSG1.html#group16C1", "16C¹"), =HYPERLINK("CSG1.html#group12A1", "12A¹"), =HYPERLINK("CSG10.html#group96E10", "96E¹⁰"), =HYPERLINK("CSG2.html#group12G2", "12G²"), =HYPERLINK("CSG5.html#group24J5", "24J⁵"), =HYPERLINK("CSG0.html#group4F0", "4F⁰"), =HYPERLINK("CSG0.html#group6F0", "6F⁰")</f>
        <v/>
      </c>
      <c r="N7575" t="inlineStr"/>
    </row>
    <row r="7576">
      <c r="A7576" t="inlineStr">
        <is>
          <t>98A²³</t>
        </is>
      </c>
      <c r="B7576" t="inlineStr"/>
      <c r="C7576" t="inlineStr">
        <is>
          <t>294</t>
        </is>
      </c>
      <c r="D7576" t="inlineStr">
        <is>
          <t>2</t>
        </is>
      </c>
      <c r="E7576" t="inlineStr">
        <is>
          <t>147</t>
        </is>
      </c>
      <c r="F7576" t="inlineStr">
        <is>
          <t>4</t>
        </is>
      </c>
      <c r="G7576" t="inlineStr">
        <is>
          <t>0</t>
        </is>
      </c>
      <c r="H7576" t="inlineStr">
        <is>
          <t>98³</t>
        </is>
      </c>
      <c r="I7576" t="n">
        <v>3</v>
      </c>
      <c r="J7576" t="inlineStr">
        <is>
          <t>6⁷, 42⁶</t>
        </is>
      </c>
      <c r="K7576">
        <f>HYPERLINK("CSG2.html#group14B2", "14B²"), =HYPERLINK("CSG9.html#group49A9", "49A⁹")</f>
        <v/>
      </c>
      <c r="L7576" t="inlineStr"/>
      <c r="M7576">
        <f>HYPERLINK("CSG0.html#group14A0", "14A⁰"), =HYPERLINK("CSG2.html#group14B2", "14B²"), =HYPERLINK("CSG0.html#group7D0", "7D⁰"), =HYPERLINK("CSG0.html#group1A0", "1A⁰"), =HYPERLINK("CSG9.html#group49A9", "49A⁹"), =HYPERLINK("CSG0.html#group7A0", "7A⁰")</f>
        <v/>
      </c>
      <c r="N7576" t="inlineStr"/>
    </row>
    <row r="7577">
      <c r="A7577" t="inlineStr">
        <is>
          <t>100A²³</t>
        </is>
      </c>
      <c r="B7577" t="inlineStr"/>
      <c r="C7577" t="inlineStr">
        <is>
          <t>300</t>
        </is>
      </c>
      <c r="D7577" t="inlineStr">
        <is>
          <t>1</t>
        </is>
      </c>
      <c r="E7577" t="inlineStr">
        <is>
          <t>150</t>
        </is>
      </c>
      <c r="F7577" t="inlineStr">
        <is>
          <t>0</t>
        </is>
      </c>
      <c r="G7577" t="inlineStr">
        <is>
          <t>0</t>
        </is>
      </c>
      <c r="H7577" t="inlineStr">
        <is>
          <t>25⁴, 100²</t>
        </is>
      </c>
      <c r="I7577" t="n">
        <v>6</v>
      </c>
      <c r="J7577" t="inlineStr">
        <is>
          <t>2³, 4⁶, 20⁶</t>
        </is>
      </c>
      <c r="K7577">
        <f>HYPERLINK("CSG3.html#group20E3", "20E³"), =HYPERLINK("CSG11.html#group50A11", "50A¹¹")</f>
        <v/>
      </c>
      <c r="L7577" t="inlineStr"/>
      <c r="M7577">
        <f>HYPERLINK("CSG3.html#group20E3", "20E³"), =HYPERLINK("CSG0.html#group5C0", "5C⁰"), =HYPERLINK("CSG2.html#group25E2", "25E²"), =HYPERLINK("CSG0.html#group2B0", "2B⁰"), =HYPERLINK("CSG11.html#group50A11", "50A¹¹"), =HYPERLINK("CSG0.html#group4B0", "4B⁰"), =HYPERLINK("CSG0.html#group1A0", "1A⁰"), =HYPERLINK("CSG1.html#group10F1", "10F¹")</f>
        <v/>
      </c>
      <c r="N7577" t="inlineStr"/>
    </row>
    <row r="7578">
      <c r="A7578" t="inlineStr">
        <is>
          <t>100B²³</t>
        </is>
      </c>
      <c r="B7578" t="inlineStr"/>
      <c r="C7578" t="inlineStr">
        <is>
          <t>300</t>
        </is>
      </c>
      <c r="D7578" t="inlineStr">
        <is>
          <t>1</t>
        </is>
      </c>
      <c r="E7578" t="inlineStr">
        <is>
          <t>150</t>
        </is>
      </c>
      <c r="F7578" t="inlineStr">
        <is>
          <t>4</t>
        </is>
      </c>
      <c r="G7578" t="inlineStr">
        <is>
          <t>0</t>
        </is>
      </c>
      <c r="H7578" t="inlineStr">
        <is>
          <t>50², 100²</t>
        </is>
      </c>
      <c r="I7578" t="n">
        <v>4</v>
      </c>
      <c r="J7578" t="inlineStr">
        <is>
          <t>2³, 4⁶, 20⁶</t>
        </is>
      </c>
      <c r="K7578">
        <f>HYPERLINK("CSG3.html#group20F3", "20F³"), =HYPERLINK("CSG11.html#group50A11", "50A¹¹")</f>
        <v/>
      </c>
      <c r="L7578" t="inlineStr"/>
      <c r="M7578">
        <f>HYPERLINK("CSG0.html#group5C0", "5C⁰"), =HYPERLINK("CSG0.html#group4C0", "4C⁰"), =HYPERLINK("CSG2.html#group25E2", "25E²"), =HYPERLINK("CSG0.html#group2B0", "2B⁰"), =HYPERLINK("CSG11.html#group50A11", "50A¹¹"), =HYPERLINK("CSG0.html#group1A0", "1A⁰"), =HYPERLINK("CSG3.html#group20F3", "20F³"), =HYPERLINK("CSG1.html#group10F1", "10F¹")</f>
        <v/>
      </c>
      <c r="N7578" t="inlineStr"/>
    </row>
    <row r="7579">
      <c r="A7579" t="inlineStr">
        <is>
          <t>102A²³</t>
        </is>
      </c>
      <c r="B7579" t="inlineStr"/>
      <c r="C7579" t="inlineStr">
        <is>
          <t>324</t>
        </is>
      </c>
      <c r="D7579" t="inlineStr">
        <is>
          <t>1</t>
        </is>
      </c>
      <c r="E7579" t="inlineStr">
        <is>
          <t>162</t>
        </is>
      </c>
      <c r="F7579" t="inlineStr">
        <is>
          <t>4</t>
        </is>
      </c>
      <c r="G7579" t="inlineStr">
        <is>
          <t>0</t>
        </is>
      </c>
      <c r="H7579" t="inlineStr">
        <is>
          <t>3², 6², 51², 102²</t>
        </is>
      </c>
      <c r="I7579" t="n">
        <v>8</v>
      </c>
      <c r="J7579" t="inlineStr">
        <is>
          <t>1⁶, 2⁶, 16³, 32³</t>
        </is>
      </c>
      <c r="K7579">
        <f>HYPERLINK("CSG7.html#group51A7", "51A⁷"), =HYPERLINK("CSG11.html#group102C11", "102C¹¹")</f>
        <v/>
      </c>
      <c r="L7579" t="inlineStr"/>
      <c r="M7579">
        <f>HYPERLINK("CSG11.html#group102C11", "102C¹¹"), =HYPERLINK("CSG3.html#group34C3", "34C³"), =HYPERLINK("CSG3.html#group51A3", "51A³"), =HYPERLINK("CSG7.html#group51A7", "51A⁷"), =HYPERLINK("CSG1.html#group17A1", "17A¹"), =HYPERLINK("CSG0.html#group2B0", "2B⁰"), =HYPERLINK("CSG0.html#group3A0", "3A⁰"), =HYPERLINK("CSG0.html#group1A0", "1A⁰"), =HYPERLINK("CSG0.html#group6D0", "6D⁰")</f>
        <v/>
      </c>
      <c r="N7579" t="inlineStr"/>
    </row>
    <row r="7580">
      <c r="A7580" t="inlineStr">
        <is>
          <t>102B²³</t>
        </is>
      </c>
      <c r="B7580" t="inlineStr"/>
      <c r="C7580" t="inlineStr">
        <is>
          <t>324</t>
        </is>
      </c>
      <c r="D7580" t="inlineStr">
        <is>
          <t>1</t>
        </is>
      </c>
      <c r="E7580" t="inlineStr">
        <is>
          <t>162</t>
        </is>
      </c>
      <c r="F7580" t="inlineStr">
        <is>
          <t>4</t>
        </is>
      </c>
      <c r="G7580" t="inlineStr">
        <is>
          <t>0</t>
        </is>
      </c>
      <c r="H7580" t="inlineStr">
        <is>
          <t>3², 6², 51², 102²</t>
        </is>
      </c>
      <c r="I7580" t="n">
        <v>8</v>
      </c>
      <c r="J7580" t="inlineStr">
        <is>
          <t>1⁶, 2⁶, 16³, 32³</t>
        </is>
      </c>
      <c r="K7580">
        <f>HYPERLINK("CSG0.html#group6G0", "6G⁰"), =HYPERLINK("CSG7.html#group51B7", "51B⁷"), =HYPERLINK("CSG11.html#group102C11", "102C¹¹")</f>
        <v/>
      </c>
      <c r="L7580" t="inlineStr"/>
      <c r="M7580">
        <f>HYPERLINK("CSG11.html#group102C11", "102C¹¹"), =HYPERLINK("CSG3.html#group34C3", "34C³"), =HYPERLINK("CSG3.html#group51A3", "51A³"), =HYPERLINK("CSG7.html#group51B7", "51B⁷"), =HYPERLINK("CSG0.html#group6G0", "6G⁰"), =HYPERLINK("CSG0.html#group3C0", "3C⁰"), =HYPERLINK("CSG1.html#group17A1", "17A¹"), =HYPERLINK("CSG0.html#group2B0", "2B⁰"), =HYPERLINK("CSG0.html#group3A0", "3A⁰"), =HYPERLINK("CSG0.html#group1A0", "1A⁰"), =HYPERLINK("CSG0.html#group6D0", "6D⁰")</f>
        <v/>
      </c>
      <c r="N7580" t="inlineStr"/>
    </row>
    <row r="7581">
      <c r="A7581" t="inlineStr">
        <is>
          <t>102C²³</t>
        </is>
      </c>
      <c r="B7581" t="inlineStr"/>
      <c r="C7581" t="inlineStr">
        <is>
          <t>324</t>
        </is>
      </c>
      <c r="D7581" t="inlineStr">
        <is>
          <t>1</t>
        </is>
      </c>
      <c r="E7581" t="inlineStr">
        <is>
          <t>162</t>
        </is>
      </c>
      <c r="F7581" t="inlineStr">
        <is>
          <t>8</t>
        </is>
      </c>
      <c r="G7581" t="inlineStr">
        <is>
          <t>0</t>
        </is>
      </c>
      <c r="H7581" t="inlineStr">
        <is>
          <t>6³, 102³</t>
        </is>
      </c>
      <c r="I7581" t="n">
        <v>6</v>
      </c>
      <c r="J7581" t="inlineStr">
        <is>
          <t>1⁶, 2⁶, 16³, 32³</t>
        </is>
      </c>
      <c r="K7581">
        <f>HYPERLINK("CSG7.html#group102A7", "102A⁷"), =HYPERLINK("CSG11.html#group102C11", "102C¹¹")</f>
        <v/>
      </c>
      <c r="L7581" t="inlineStr"/>
      <c r="M7581">
        <f>HYPERLINK("CSG11.html#group102C11", "102C¹¹"), =HYPERLINK("CSG3.html#group34C3", "34C³"), =HYPERLINK("CSG3.html#group51A3", "51A³"), =HYPERLINK("CSG1.html#group17A1", "17A¹"), =HYPERLINK("CSG0.html#group2B0", "2B⁰"), =HYPERLINK("CSG7.html#group102A7", "102A⁷"), =HYPERLINK("CSG0.html#group3A0", "3A⁰"), =HYPERLINK("CSG0.html#group1A0", "1A⁰"), =HYPERLINK("CSG0.html#group6D0", "6D⁰")</f>
        <v/>
      </c>
      <c r="N7581" t="inlineStr"/>
    </row>
    <row r="7582">
      <c r="A7582" t="inlineStr">
        <is>
          <t>102D²³</t>
        </is>
      </c>
      <c r="B7582" t="inlineStr"/>
      <c r="C7582" t="inlineStr">
        <is>
          <t>324</t>
        </is>
      </c>
      <c r="D7582" t="inlineStr">
        <is>
          <t>1</t>
        </is>
      </c>
      <c r="E7582" t="inlineStr">
        <is>
          <t>162</t>
        </is>
      </c>
      <c r="F7582" t="inlineStr">
        <is>
          <t>8</t>
        </is>
      </c>
      <c r="G7582" t="inlineStr">
        <is>
          <t>0</t>
        </is>
      </c>
      <c r="H7582" t="inlineStr">
        <is>
          <t>6³, 102³</t>
        </is>
      </c>
      <c r="I7582" t="n">
        <v>6</v>
      </c>
      <c r="J7582" t="inlineStr">
        <is>
          <t>1⁶, 2⁶, 16³, 32³</t>
        </is>
      </c>
      <c r="K7582">
        <f>HYPERLINK("CSG0.html#group6H0", "6H⁰"), =HYPERLINK("CSG7.html#group102B7", "102B⁷"), =HYPERLINK("CSG11.html#group102C11", "102C¹¹")</f>
        <v/>
      </c>
      <c r="L7582" t="inlineStr"/>
      <c r="M7582">
        <f>HYPERLINK("CSG11.html#group102C11", "102C¹¹"), =HYPERLINK("CSG0.html#group6B0", "6B⁰"), =HYPERLINK("CSG3.html#group34C3", "34C³"), =HYPERLINK("CSG3.html#group51A3", "51A³"), =HYPERLINK("CSG7.html#group102B7", "102B⁷"), =HYPERLINK("CSG1.html#group17A1", "17A¹"), =HYPERLINK("CSG0.html#group2B0", "2B⁰"), =HYPERLINK("CSG0.html#group6H0", "6H⁰"), =HYPERLINK("CSG0.html#group3A0", "3A⁰"), =HYPERLINK("CSG0.html#group1A0", "1A⁰"), =HYPERLINK("CSG0.html#group6D0", "6D⁰")</f>
        <v/>
      </c>
      <c r="N7582" t="inlineStr"/>
    </row>
    <row r="7583">
      <c r="A7583" t="inlineStr">
        <is>
          <t>104A²³</t>
        </is>
      </c>
      <c r="B7583" t="inlineStr"/>
      <c r="C7583" t="inlineStr">
        <is>
          <t>336</t>
        </is>
      </c>
      <c r="D7583" t="inlineStr">
        <is>
          <t>1</t>
        </is>
      </c>
      <c r="E7583" t="inlineStr">
        <is>
          <t>42</t>
        </is>
      </c>
      <c r="F7583" t="inlineStr">
        <is>
          <t>0</t>
        </is>
      </c>
      <c r="G7583" t="inlineStr">
        <is>
          <t>0</t>
        </is>
      </c>
      <c r="H7583" t="inlineStr">
        <is>
          <t>2⁴, 8², 26⁴, 104²</t>
        </is>
      </c>
      <c r="I7583" t="n">
        <v>12</v>
      </c>
      <c r="J7583" t="inlineStr">
        <is>
          <t>1⁶, 12³</t>
        </is>
      </c>
      <c r="K7583">
        <f>HYPERLINK("CSG9.html#group52A9", "52A⁹"), =HYPERLINK("CSG11.html#group104G11", "104G¹¹")</f>
        <v/>
      </c>
      <c r="L7583" t="inlineStr"/>
      <c r="M7583">
        <f>HYPERLINK("CSG11.html#group104G11", "104G¹¹"), =HYPERLINK("CSG0.html#group13A0", "13A⁰"), =HYPERLINK("CSG9.html#group52A9", "52A⁹"), =HYPERLINK("CSG5.html#group52A5", "52A⁵"), =HYPERLINK("CSG0.html#group2B0", "2B⁰"), =HYPERLINK("CSG0.html#group13B0", "13B⁰"), =HYPERLINK("CSG4.html#group52A4", "52A⁴"), =HYPERLINK("CSG0.html#group4B0", "4B⁰"), =HYPERLINK("CSG0.html#group1A0", "1A⁰"), =HYPERLINK("CSG2.html#group26A2", "26A²"), =HYPERLINK("CSG4.html#group26A4", "26A⁴")</f>
        <v/>
      </c>
      <c r="N7583" t="inlineStr"/>
    </row>
    <row r="7584">
      <c r="A7584" t="inlineStr">
        <is>
          <t>104B²³</t>
        </is>
      </c>
      <c r="B7584" t="inlineStr"/>
      <c r="C7584" t="inlineStr">
        <is>
          <t>336</t>
        </is>
      </c>
      <c r="D7584" t="inlineStr">
        <is>
          <t>1</t>
        </is>
      </c>
      <c r="E7584" t="inlineStr">
        <is>
          <t>42</t>
        </is>
      </c>
      <c r="F7584" t="inlineStr">
        <is>
          <t>0</t>
        </is>
      </c>
      <c r="G7584" t="inlineStr">
        <is>
          <t>0</t>
        </is>
      </c>
      <c r="H7584" t="inlineStr">
        <is>
          <t>2⁴, 8², 26⁴, 104²</t>
        </is>
      </c>
      <c r="I7584" t="n">
        <v>12</v>
      </c>
      <c r="J7584" t="inlineStr">
        <is>
          <t>1⁶, 12³</t>
        </is>
      </c>
      <c r="K7584">
        <f>HYPERLINK("CSG11.html#group52D11", "52D¹¹"), =HYPERLINK("CSG11.html#group104C11", "104C¹¹"), =HYPERLINK("CSG11.html#group104E11", "104E¹¹")</f>
        <v/>
      </c>
      <c r="L7584" t="inlineStr"/>
      <c r="M7584">
        <f>HYPERLINK("CSG0.html#group2A0", "2A⁰"), =HYPERLINK("CSG1.html#group26A1", "26A¹"), =HYPERLINK("CSG11.html#group104E11", "104E¹¹"), =HYPERLINK("CSG0.html#group4C0", "4C⁰"), =HYPERLINK("CSG0.html#group13A0", "13A⁰"), =HYPERLINK("CSG5.html#group52A5", "52A⁵"), =HYPERLINK("CSG0.html#group2B0", "2B⁰"), =HYPERLINK("CSG0.html#group4E0", "4E⁰"), =HYPERLINK("CSG0.html#group4B0", "4B⁰"), =HYPERLINK("CSG0.html#group1A0", "1A⁰"), =HYPERLINK("CSG2.html#group26A2", "26A²"), =HYPERLINK("CSG11.html#group104C11", "104C¹¹"), =HYPERLINK("CSG5.html#group26B5", "26B⁵"), =HYPERLINK("CSG5.html#group52B5", "52B⁵"), =HYPERLINK("CSG11.html#group52D11", "52D¹¹"), =HYPERLINK("CSG0.html#group2C0", "2C⁰")</f>
        <v/>
      </c>
      <c r="N7584" t="inlineStr"/>
    </row>
    <row r="7585">
      <c r="A7585" t="inlineStr">
        <is>
          <t>104C²³</t>
        </is>
      </c>
      <c r="B7585" t="inlineStr"/>
      <c r="C7585" t="inlineStr">
        <is>
          <t>336</t>
        </is>
      </c>
      <c r="D7585" t="inlineStr">
        <is>
          <t>1</t>
        </is>
      </c>
      <c r="E7585" t="inlineStr">
        <is>
          <t>42</t>
        </is>
      </c>
      <c r="F7585" t="inlineStr">
        <is>
          <t>0</t>
        </is>
      </c>
      <c r="G7585" t="inlineStr">
        <is>
          <t>0</t>
        </is>
      </c>
      <c r="H7585" t="inlineStr">
        <is>
          <t>2⁴, 8², 26⁴, 104²</t>
        </is>
      </c>
      <c r="I7585" t="n">
        <v>12</v>
      </c>
      <c r="J7585" t="inlineStr">
        <is>
          <t>1⁶, 12³</t>
        </is>
      </c>
      <c r="K7585">
        <f>HYPERLINK("CSG0.html#group8G0", "8G⁰"), =HYPERLINK("CSG11.html#group52D11", "52D¹¹"), =HYPERLINK("CSG11.html#group104D11", "104D¹¹"), =HYPERLINK("CSG11.html#group104F11", "104F¹¹")</f>
        <v/>
      </c>
      <c r="L7585" t="inlineStr"/>
      <c r="M7585">
        <f>HYPERLINK("CSG0.html#group2A0", "2A⁰"), =HYPERLINK("CSG1.html#group26A1", "26A¹"), =HYPERLINK("CSG11.html#group104D11", "104D¹¹"), =HYPERLINK("CSG0.html#group8D0", "8D⁰"), =HYPERLINK("CSG0.html#group4C0", "4C⁰"), =HYPERLINK("CSG5.html#group52A5", "52A⁵"), =HYPERLINK("CSG0.html#group13A0", "13A⁰"), =HYPERLINK("CSG0.html#group8C0", "8C⁰"), =HYPERLINK("CSG0.html#group2B0", "2B⁰"), =HYPERLINK("CSG0.html#group4E0", "4E⁰"), =HYPERLINK("CSG0.html#group4B0", "4B⁰"), =HYPERLINK("CSG0.html#group1A0", "1A⁰"), =HYPERLINK("CSG2.html#group26A2", "26A²"), =HYPERLINK("CSG5.html#group26B5", "26B⁵"), =HYPERLINK("CSG11.html#group104F11", "104F¹¹"), =HYPERLINK("CSG0.html#group8G0", "8G⁰"), =HYPERLINK("CSG5.html#group52B5", "52B⁵"), =HYPERLINK("CSG11.html#group52D11", "52D¹¹"), =HYPERLINK("CSG0.html#group2C0", "2C⁰")</f>
        <v/>
      </c>
      <c r="N7585" t="inlineStr"/>
    </row>
    <row r="7586">
      <c r="A7586" t="inlineStr">
        <is>
          <t>104D²³</t>
        </is>
      </c>
      <c r="B7586" t="inlineStr"/>
      <c r="C7586" t="inlineStr">
        <is>
          <t>336</t>
        </is>
      </c>
      <c r="D7586" t="inlineStr">
        <is>
          <t>1</t>
        </is>
      </c>
      <c r="E7586" t="inlineStr">
        <is>
          <t>84</t>
        </is>
      </c>
      <c r="F7586" t="inlineStr">
        <is>
          <t>0</t>
        </is>
      </c>
      <c r="G7586" t="inlineStr">
        <is>
          <t>0</t>
        </is>
      </c>
      <c r="H7586" t="inlineStr">
        <is>
          <t>2⁴, 8², 26⁴, 104²</t>
        </is>
      </c>
      <c r="I7586" t="n">
        <v>12</v>
      </c>
      <c r="J7586" t="inlineStr">
        <is>
          <t>1⁴, 2⁴, 12², 24²</t>
        </is>
      </c>
      <c r="K7586">
        <f>HYPERLINK("CSG11.html#group52A11", "52A¹¹"), =HYPERLINK("CSG11.html#group104E11", "104E¹¹"), =HYPERLINK("CSG11.html#group104F11", "104F¹¹")</f>
        <v/>
      </c>
      <c r="L7586" t="inlineStr"/>
      <c r="M7586">
        <f>HYPERLINK("CSG11.html#group104F11", "104F¹¹"), =HYPERLINK("CSG6.html#group52A6", "52A⁶"), =HYPERLINK("CSG11.html#group104E11", "104E¹¹"), =HYPERLINK("CSG0.html#group8D0", "8D⁰"), =HYPERLINK("CSG0.html#group4C0", "4C⁰"), =HYPERLINK("CSG0.html#group13A0", "13A⁰"), =HYPERLINK("CSG5.html#group52B5", "52B⁵"), =HYPERLINK("CSG0.html#group2B0", "2B⁰"), =HYPERLINK("CSG0.html#group13B0", "13B⁰"), =HYPERLINK("CSG0.html#group1A0", "1A⁰"), =HYPERLINK("CSG11.html#group52A11", "52A¹¹"), =HYPERLINK("CSG2.html#group26A2", "26A²"), =HYPERLINK("CSG4.html#group26A4", "26A⁴")</f>
        <v/>
      </c>
      <c r="N7586" t="inlineStr"/>
    </row>
    <row r="7587">
      <c r="A7587" t="inlineStr">
        <is>
          <t>104E²³</t>
        </is>
      </c>
      <c r="B7587" t="inlineStr"/>
      <c r="C7587" t="inlineStr">
        <is>
          <t>336</t>
        </is>
      </c>
      <c r="D7587" t="inlineStr">
        <is>
          <t>1</t>
        </is>
      </c>
      <c r="E7587" t="inlineStr">
        <is>
          <t>84</t>
        </is>
      </c>
      <c r="F7587" t="inlineStr">
        <is>
          <t>0</t>
        </is>
      </c>
      <c r="G7587" t="inlineStr">
        <is>
          <t>0</t>
        </is>
      </c>
      <c r="H7587" t="inlineStr">
        <is>
          <t>2⁴, 8², 26⁴, 104²</t>
        </is>
      </c>
      <c r="I7587" t="n">
        <v>12</v>
      </c>
      <c r="J7587" t="inlineStr">
        <is>
          <t>1⁸, 2², 12⁴, 24¹</t>
        </is>
      </c>
      <c r="K7587">
        <f>HYPERLINK("CSG11.html#group52B11", "52B¹¹"), =HYPERLINK("CSG11.html#group104C11", "104C¹¹"), =HYPERLINK("CSG11.html#group104D11", "104D¹¹")</f>
        <v/>
      </c>
      <c r="L7587" t="inlineStr"/>
      <c r="M7587">
        <f>HYPERLINK("CSG6.html#group52A6", "52A⁶"), =HYPERLINK("CSG11.html#group52B11", "52B¹¹"), =HYPERLINK("CSG11.html#group104D11", "104D¹¹"), =HYPERLINK("CSG5.html#group52A5", "52A⁵"), =HYPERLINK("CSG0.html#group13A0", "13A⁰"), =HYPERLINK("CSG4.html#group26B4", "26B⁴"), =HYPERLINK("CSG0.html#group8C0", "8C⁰"), =HYPERLINK("CSG0.html#group2B0", "2B⁰"), =HYPERLINK("CSG0.html#group26A0", "26A⁰"), =HYPERLINK("CSG0.html#group4B0", "4B⁰"), =HYPERLINK("CSG0.html#group1A0", "1A⁰"), =HYPERLINK("CSG2.html#group26A2", "26A²"), =HYPERLINK("CSG11.html#group104C11", "104C¹¹")</f>
        <v/>
      </c>
      <c r="N7587" t="inlineStr"/>
    </row>
    <row r="7588">
      <c r="A7588" t="inlineStr">
        <is>
          <t>104F²³</t>
        </is>
      </c>
      <c r="B7588" t="inlineStr"/>
      <c r="C7588" t="inlineStr">
        <is>
          <t>336</t>
        </is>
      </c>
      <c r="D7588" t="inlineStr">
        <is>
          <t>1</t>
        </is>
      </c>
      <c r="E7588" t="inlineStr">
        <is>
          <t>84</t>
        </is>
      </c>
      <c r="F7588" t="inlineStr">
        <is>
          <t>8</t>
        </is>
      </c>
      <c r="G7588" t="inlineStr">
        <is>
          <t>0</t>
        </is>
      </c>
      <c r="H7588" t="inlineStr">
        <is>
          <t>4², 8², 52², 104²</t>
        </is>
      </c>
      <c r="I7588" t="n">
        <v>8</v>
      </c>
      <c r="J7588" t="inlineStr">
        <is>
          <t>1⁴, 2⁴, 12², 24²</t>
        </is>
      </c>
      <c r="K7588">
        <f>HYPERLINK("CSG11.html#group52E11", "52E¹¹"), =HYPERLINK("CSG11.html#group104A11", "104A¹¹"), =HYPERLINK("CSG11.html#group104F11", "104F¹¹")</f>
        <v/>
      </c>
      <c r="L7588" t="inlineStr"/>
      <c r="M7588">
        <f>HYPERLINK("CSG11.html#group52E11", "52E¹¹"), =HYPERLINK("CSG11.html#group104F11", "104F¹¹"), =HYPERLINK("CSG0.html#group8D0", "8D⁰"), =HYPERLINK("CSG11.html#group104A11", "104A¹¹"), =HYPERLINK("CSG0.html#group4C0", "4C⁰"), =HYPERLINK("CSG0.html#group13A0", "13A⁰"), =HYPERLINK("CSG5.html#group52B5", "52B⁵"), =HYPERLINK("CSG0.html#group2B0", "2B⁰"), =HYPERLINK("CSG0.html#group1A0", "1A⁰"), =HYPERLINK("CSG2.html#group26A2", "26A²")</f>
        <v/>
      </c>
      <c r="N7588" t="inlineStr"/>
    </row>
    <row r="7589">
      <c r="A7589" t="inlineStr">
        <is>
          <t>104G²³</t>
        </is>
      </c>
      <c r="B7589" t="inlineStr"/>
      <c r="C7589" t="inlineStr">
        <is>
          <t>336</t>
        </is>
      </c>
      <c r="D7589" t="inlineStr">
        <is>
          <t>1</t>
        </is>
      </c>
      <c r="E7589" t="inlineStr">
        <is>
          <t>84</t>
        </is>
      </c>
      <c r="F7589" t="inlineStr">
        <is>
          <t>8</t>
        </is>
      </c>
      <c r="G7589" t="inlineStr">
        <is>
          <t>0</t>
        </is>
      </c>
      <c r="H7589" t="inlineStr">
        <is>
          <t>4², 8², 52², 104²</t>
        </is>
      </c>
      <c r="I7589" t="n">
        <v>8</v>
      </c>
      <c r="J7589" t="inlineStr">
        <is>
          <t>1⁴, 2⁴, 12², 24²</t>
        </is>
      </c>
      <c r="K7589">
        <f>HYPERLINK("CSG11.html#group52E11", "52E¹¹"), =HYPERLINK("CSG11.html#group104B11", "104B¹¹"), =HYPERLINK("CSG11.html#group104E11", "104E¹¹")</f>
        <v/>
      </c>
      <c r="L7589" t="inlineStr"/>
      <c r="M7589">
        <f>HYPERLINK("CSG11.html#group52E11", "52E¹¹"), =HYPERLINK("CSG11.html#group104E11", "104E¹¹"), =HYPERLINK("CSG0.html#group4C0", "4C⁰"), =HYPERLINK("CSG11.html#group104B11", "104B¹¹"), =HYPERLINK("CSG0.html#group8B0", "8B⁰"), =HYPERLINK("CSG0.html#group13A0", "13A⁰"), =HYPERLINK("CSG5.html#group52B5", "52B⁵"), =HYPERLINK("CSG0.html#group2B0", "2B⁰"), =HYPERLINK("CSG0.html#group1A0", "1A⁰"), =HYPERLINK("CSG2.html#group26A2", "26A²")</f>
        <v/>
      </c>
      <c r="N7589" t="inlineStr"/>
    </row>
    <row r="7590">
      <c r="A7590" t="inlineStr">
        <is>
          <t>104H²³</t>
        </is>
      </c>
      <c r="B7590" t="inlineStr"/>
      <c r="C7590" t="inlineStr">
        <is>
          <t>336</t>
        </is>
      </c>
      <c r="D7590" t="inlineStr">
        <is>
          <t>1</t>
        </is>
      </c>
      <c r="E7590" t="inlineStr">
        <is>
          <t>84</t>
        </is>
      </c>
      <c r="F7590" t="inlineStr">
        <is>
          <t>8</t>
        </is>
      </c>
      <c r="G7590" t="inlineStr">
        <is>
          <t>0</t>
        </is>
      </c>
      <c r="H7590" t="inlineStr">
        <is>
          <t>4², 8², 52², 104²</t>
        </is>
      </c>
      <c r="I7590" t="n">
        <v>8</v>
      </c>
      <c r="J7590" t="inlineStr">
        <is>
          <t>1⁴, 2⁴, 12², 24²</t>
        </is>
      </c>
      <c r="K7590">
        <f>HYPERLINK("CSG11.html#group52F11", "52F¹¹"), =HYPERLINK("CSG11.html#group104A11", "104A¹¹"), =HYPERLINK("CSG11.html#group104E11", "104E¹¹")</f>
        <v/>
      </c>
      <c r="L7590" t="inlineStr"/>
      <c r="M7590">
        <f>HYPERLINK("CSG11.html#group52F11", "52F¹¹"), =HYPERLINK("CSG3.html#group52A3", "52A³"), =HYPERLINK("CSG11.html#group104E11", "104E¹¹"), =HYPERLINK("CSG11.html#group104A11", "104A¹¹"), =HYPERLINK("CSG0.html#group4A0", "4A⁰"), =HYPERLINK("CSG0.html#group4C0", "4C⁰"), =HYPERLINK("CSG0.html#group13A0", "13A⁰"), =HYPERLINK("CSG5.html#group52B5", "52B⁵"), =HYPERLINK("CSG0.html#group2B0", "2B⁰"), =HYPERLINK("CSG0.html#group4F0", "4F⁰"), =HYPERLINK("CSG0.html#group1A0", "1A⁰"), =HYPERLINK("CSG2.html#group26A2", "26A²")</f>
        <v/>
      </c>
      <c r="N7590" t="inlineStr"/>
    </row>
    <row r="7591">
      <c r="A7591" t="inlineStr">
        <is>
          <t>104I²³</t>
        </is>
      </c>
      <c r="B7591" t="inlineStr"/>
      <c r="C7591" t="inlineStr">
        <is>
          <t>336</t>
        </is>
      </c>
      <c r="D7591" t="inlineStr">
        <is>
          <t>1</t>
        </is>
      </c>
      <c r="E7591" t="inlineStr">
        <is>
          <t>84</t>
        </is>
      </c>
      <c r="F7591" t="inlineStr">
        <is>
          <t>8</t>
        </is>
      </c>
      <c r="G7591" t="inlineStr">
        <is>
          <t>0</t>
        </is>
      </c>
      <c r="H7591" t="inlineStr">
        <is>
          <t>4², 8², 52², 104²</t>
        </is>
      </c>
      <c r="I7591" t="n">
        <v>8</v>
      </c>
      <c r="J7591" t="inlineStr">
        <is>
          <t>1⁴, 2⁴, 12², 24²</t>
        </is>
      </c>
      <c r="K7591">
        <f>HYPERLINK("CSG0.html#group8H0", "8H⁰"), =HYPERLINK("CSG11.html#group52F11", "52F¹¹"), =HYPERLINK("CSG11.html#group104B11", "104B¹¹"), =HYPERLINK("CSG11.html#group104F11", "104F¹¹")</f>
        <v/>
      </c>
      <c r="L7591" t="inlineStr"/>
      <c r="M7591">
        <f>HYPERLINK("CSG0.html#group8D0", "8D⁰"), =HYPERLINK("CSG0.html#group4C0", "4C⁰"), =HYPERLINK("CSG11.html#group104B11", "104B¹¹"), =HYPERLINK("CSG0.html#group8B0", "8B⁰"), =HYPERLINK("CSG0.html#group13A0", "13A⁰"), =HYPERLINK("CSG0.html#group2B0", "2B⁰"), =HYPERLINK("CSG0.html#group1A0", "1A⁰"), =HYPERLINK("CSG2.html#group26A2", "26A²"), =HYPERLINK("CSG0.html#group8H0", "8H⁰"), =HYPERLINK("CSG11.html#group52F11", "52F¹¹"), =HYPERLINK("CSG11.html#group104F11", "104F¹¹"), =HYPERLINK("CSG3.html#group52A3", "52A³"), =HYPERLINK("CSG0.html#group4A0", "4A⁰"), =HYPERLINK("CSG5.html#group52B5", "52B⁵"), =HYPERLINK("CSG0.html#group4F0", "4F⁰")</f>
        <v/>
      </c>
      <c r="N7591" t="inlineStr"/>
    </row>
    <row r="7592">
      <c r="A7592" t="inlineStr">
        <is>
          <t>104J²³</t>
        </is>
      </c>
      <c r="B7592" t="inlineStr"/>
      <c r="C7592" t="inlineStr">
        <is>
          <t>336</t>
        </is>
      </c>
      <c r="D7592" t="inlineStr">
        <is>
          <t>1</t>
        </is>
      </c>
      <c r="E7592" t="inlineStr">
        <is>
          <t>84</t>
        </is>
      </c>
      <c r="F7592" t="inlineStr">
        <is>
          <t>8</t>
        </is>
      </c>
      <c r="G7592" t="inlineStr">
        <is>
          <t>0</t>
        </is>
      </c>
      <c r="H7592" t="inlineStr">
        <is>
          <t>4², 8², 52², 104²</t>
        </is>
      </c>
      <c r="I7592" t="n">
        <v>8</v>
      </c>
      <c r="J7592" t="inlineStr">
        <is>
          <t>1⁸, 2², 12⁴, 24¹</t>
        </is>
      </c>
      <c r="K7592">
        <f>HYPERLINK("CSG9.html#group52B9", "52B⁹")</f>
        <v/>
      </c>
      <c r="L7592" t="inlineStr"/>
      <c r="M7592">
        <f>HYPERLINK("CSG9.html#group52B9", "52B⁹"), =HYPERLINK("CSG0.html#group4C0", "4C⁰"), =HYPERLINK("CSG0.html#group13A0", "13A⁰"), =HYPERLINK("CSG4.html#group26B4", "26B⁴"), =HYPERLINK("CSG5.html#group52B5", "52B⁵"), =HYPERLINK("CSG0.html#group2B0", "2B⁰"), =HYPERLINK("CSG0.html#group26A0", "26A⁰"), =HYPERLINK("CSG4.html#group52A4", "52A⁴"), =HYPERLINK("CSG0.html#group1A0", "1A⁰"), =HYPERLINK("CSG2.html#group26A2", "26A²")</f>
        <v/>
      </c>
      <c r="N7592" t="inlineStr"/>
    </row>
    <row r="7593">
      <c r="A7593" t="inlineStr">
        <is>
          <t>104K²³</t>
        </is>
      </c>
      <c r="B7593" t="inlineStr"/>
      <c r="C7593" t="inlineStr">
        <is>
          <t>336</t>
        </is>
      </c>
      <c r="D7593" t="inlineStr">
        <is>
          <t>1</t>
        </is>
      </c>
      <c r="E7593" t="inlineStr">
        <is>
          <t>168</t>
        </is>
      </c>
      <c r="F7593" t="inlineStr">
        <is>
          <t>0</t>
        </is>
      </c>
      <c r="G7593" t="inlineStr">
        <is>
          <t>0</t>
        </is>
      </c>
      <c r="H7593" t="inlineStr">
        <is>
          <t>1², 2¹, 4¹, 8², 13², 26¹, 52¹, 104²</t>
        </is>
      </c>
      <c r="I7593" t="n">
        <v>12</v>
      </c>
      <c r="J7593" t="inlineStr">
        <is>
          <t>1⁸, 2⁴, 4², 12⁴, 24², 48¹</t>
        </is>
      </c>
      <c r="K7593">
        <f>HYPERLINK("CSG11.html#group104D11", "104D¹¹")</f>
        <v/>
      </c>
      <c r="L7593" t="inlineStr"/>
      <c r="M7593">
        <f>HYPERLINK("CSG11.html#group104D11", "104D¹¹"), =HYPERLINK("CSG5.html#group52A5", "52A⁵"), =HYPERLINK("CSG0.html#group13A0", "13A⁰"), =HYPERLINK("CSG0.html#group8C0", "8C⁰"), =HYPERLINK("CSG0.html#group2B0", "2B⁰"), =HYPERLINK("CSG0.html#group4B0", "4B⁰"), =HYPERLINK("CSG0.html#group1A0", "1A⁰"), =HYPERLINK("CSG2.html#group26A2", "26A²")</f>
        <v/>
      </c>
      <c r="N7593" t="inlineStr"/>
    </row>
    <row r="7594">
      <c r="A7594" t="inlineStr">
        <is>
          <t>104L²³</t>
        </is>
      </c>
      <c r="B7594" t="inlineStr"/>
      <c r="C7594" t="inlineStr">
        <is>
          <t>336</t>
        </is>
      </c>
      <c r="D7594" t="inlineStr">
        <is>
          <t>1</t>
        </is>
      </c>
      <c r="E7594" t="inlineStr">
        <is>
          <t>168</t>
        </is>
      </c>
      <c r="F7594" t="inlineStr">
        <is>
          <t>0</t>
        </is>
      </c>
      <c r="G7594" t="inlineStr">
        <is>
          <t>0</t>
        </is>
      </c>
      <c r="H7594" t="inlineStr">
        <is>
          <t>1², 2¹, 4¹, 8², 13², 26¹, 52¹, 104²</t>
        </is>
      </c>
      <c r="I7594" t="n">
        <v>12</v>
      </c>
      <c r="J7594" t="inlineStr">
        <is>
          <t>1⁸, 2⁴, 4², 12⁴, 24², 48¹</t>
        </is>
      </c>
      <c r="K7594">
        <f>HYPERLINK("CSG0.html#group8I0", "8I⁰"), =HYPERLINK("CSG11.html#group104D11", "104D¹¹")</f>
        <v/>
      </c>
      <c r="L7594" t="inlineStr"/>
      <c r="M7594">
        <f>HYPERLINK("CSG11.html#group104D11", "104D¹¹"), =HYPERLINK("CSG5.html#group52A5", "52A⁵"), =HYPERLINK("CSG0.html#group13A0", "13A⁰"), =HYPERLINK("CSG0.html#group8C0", "8C⁰"), =HYPERLINK("CSG0.html#group2B0", "2B⁰"), =HYPERLINK("CSG0.html#group8I0", "8I⁰"), =HYPERLINK("CSG0.html#group4B0", "4B⁰"), =HYPERLINK("CSG0.html#group1A0", "1A⁰"), =HYPERLINK("CSG2.html#group26A2", "26A²")</f>
        <v/>
      </c>
      <c r="N7594" t="inlineStr"/>
    </row>
    <row r="7595">
      <c r="A7595" t="inlineStr">
        <is>
          <t>104M²³</t>
        </is>
      </c>
      <c r="B7595" t="inlineStr"/>
      <c r="C7595" t="inlineStr">
        <is>
          <t>336</t>
        </is>
      </c>
      <c r="D7595" t="inlineStr">
        <is>
          <t>1</t>
        </is>
      </c>
      <c r="E7595" t="inlineStr">
        <is>
          <t>168</t>
        </is>
      </c>
      <c r="F7595" t="inlineStr">
        <is>
          <t>0</t>
        </is>
      </c>
      <c r="G7595" t="inlineStr">
        <is>
          <t>0</t>
        </is>
      </c>
      <c r="H7595" t="inlineStr">
        <is>
          <t>2², 4³, 8¹, 26², 52³, 104¹</t>
        </is>
      </c>
      <c r="I7595" t="n">
        <v>12</v>
      </c>
      <c r="J7595" t="inlineStr">
        <is>
          <t>1¹⁶, 2⁴, 12⁸, 24²</t>
        </is>
      </c>
      <c r="K7595">
        <f>HYPERLINK("CSG11.html#group52D11", "52D¹¹")</f>
        <v/>
      </c>
      <c r="L7595" t="inlineStr"/>
      <c r="M7595">
        <f>HYPERLINK("CSG5.html#group26B5", "26B⁵"), =HYPERLINK("CSG0.html#group2A0", "2A⁰"), =HYPERLINK("CSG1.html#group26A1", "26A¹"), =HYPERLINK("CSG0.html#group4C0", "4C⁰"), =HYPERLINK("CSG5.html#group52A5", "52A⁵"), =HYPERLINK("CSG0.html#group13A0", "13A⁰"), =HYPERLINK("CSG5.html#group52B5", "52B⁵"), =HYPERLINK("CSG0.html#group2B0", "2B⁰"), =HYPERLINK("CSG0.html#group4E0", "4E⁰"), =HYPERLINK("CSG11.html#group52D11", "52D¹¹"), =HYPERLINK("CSG0.html#group4B0", "4B⁰"), =HYPERLINK("CSG0.html#group1A0", "1A⁰"), =HYPERLINK("CSG0.html#group2C0", "2C⁰"), =HYPERLINK("CSG2.html#group26A2", "26A²")</f>
        <v/>
      </c>
      <c r="N7595" t="inlineStr"/>
    </row>
    <row r="7596">
      <c r="A7596" t="inlineStr">
        <is>
          <t>104N²³</t>
        </is>
      </c>
      <c r="B7596" t="inlineStr"/>
      <c r="C7596" t="inlineStr">
        <is>
          <t>336</t>
        </is>
      </c>
      <c r="D7596" t="inlineStr">
        <is>
          <t>1</t>
        </is>
      </c>
      <c r="E7596" t="inlineStr">
        <is>
          <t>168</t>
        </is>
      </c>
      <c r="F7596" t="inlineStr">
        <is>
          <t>0</t>
        </is>
      </c>
      <c r="G7596" t="inlineStr">
        <is>
          <t>0</t>
        </is>
      </c>
      <c r="H7596" t="inlineStr">
        <is>
          <t>2², 4³, 8¹, 26², 52³, 104¹</t>
        </is>
      </c>
      <c r="I7596" t="n">
        <v>12</v>
      </c>
      <c r="J7596" t="inlineStr">
        <is>
          <t>1¹⁶, 2⁴, 12⁸, 24²</t>
        </is>
      </c>
      <c r="K7596">
        <f>HYPERLINK("CSG0.html#group8J0", "8J⁰"), =HYPERLINK("CSG11.html#group52D11", "52D¹¹")</f>
        <v/>
      </c>
      <c r="L7596" t="inlineStr"/>
      <c r="M7596">
        <f>HYPERLINK("CSG0.html#group2A0", "2A⁰"), =HYPERLINK("CSG1.html#group26A1", "26A¹"), =HYPERLINK("CSG0.html#group4C0", "4C⁰"), =HYPERLINK("CSG5.html#group52A5", "52A⁵"), =HYPERLINK("CSG0.html#group13A0", "13A⁰"), =HYPERLINK("CSG0.html#group2B0", "2B⁰"), =HYPERLINK("CSG0.html#group4E0", "4E⁰"), =HYPERLINK("CSG0.html#group4B0", "4B⁰"), =HYPERLINK("CSG0.html#group1A0", "1A⁰"), =HYPERLINK("CSG2.html#group26A2", "26A²"), =HYPERLINK("CSG5.html#group26B5", "26B⁵"), =HYPERLINK("CSG5.html#group52B5", "52B⁵"), =HYPERLINK("CSG11.html#group52D11", "52D¹¹"), =HYPERLINK("CSG0.html#group8J0", "8J⁰"), =HYPERLINK("CSG0.html#group2C0", "2C⁰")</f>
        <v/>
      </c>
      <c r="N7596" t="inlineStr"/>
    </row>
    <row r="7597">
      <c r="A7597" t="inlineStr">
        <is>
          <t>104O²³</t>
        </is>
      </c>
      <c r="B7597" t="inlineStr"/>
      <c r="C7597" t="inlineStr">
        <is>
          <t>336</t>
        </is>
      </c>
      <c r="D7597" t="inlineStr">
        <is>
          <t>1</t>
        </is>
      </c>
      <c r="E7597" t="inlineStr">
        <is>
          <t>168</t>
        </is>
      </c>
      <c r="F7597" t="inlineStr">
        <is>
          <t>4</t>
        </is>
      </c>
      <c r="G7597" t="inlineStr">
        <is>
          <t>0</t>
        </is>
      </c>
      <c r="H7597" t="inlineStr">
        <is>
          <t>4⁴, 8¹, 52⁴, 104¹</t>
        </is>
      </c>
      <c r="I7597" t="n">
        <v>10</v>
      </c>
      <c r="J7597" t="inlineStr">
        <is>
          <t>2⁴, 4⁴, 24², 48²</t>
        </is>
      </c>
      <c r="K7597">
        <f>HYPERLINK("CSG11.html#group52F11", "52F¹¹")</f>
        <v/>
      </c>
      <c r="L7597" t="inlineStr"/>
      <c r="M7597">
        <f>HYPERLINK("CSG11.html#group52F11", "52F¹¹"), =HYPERLINK("CSG3.html#group52A3", "52A³"), =HYPERLINK("CSG0.html#group4A0", "4A⁰"), =HYPERLINK("CSG0.html#group4C0", "4C⁰"), =HYPERLINK("CSG0.html#group13A0", "13A⁰"), =HYPERLINK("CSG5.html#group52B5", "52B⁵"), =HYPERLINK("CSG0.html#group2B0", "2B⁰"), =HYPERLINK("CSG0.html#group4F0", "4F⁰"), =HYPERLINK("CSG0.html#group1A0", "1A⁰"), =HYPERLINK("CSG2.html#group26A2", "26A²")</f>
        <v/>
      </c>
      <c r="N7597" t="inlineStr"/>
    </row>
    <row r="7598">
      <c r="A7598" t="inlineStr">
        <is>
          <t>104P²³</t>
        </is>
      </c>
      <c r="B7598" t="inlineStr"/>
      <c r="C7598" t="inlineStr">
        <is>
          <t>336</t>
        </is>
      </c>
      <c r="D7598" t="inlineStr">
        <is>
          <t>1</t>
        </is>
      </c>
      <c r="E7598" t="inlineStr">
        <is>
          <t>168</t>
        </is>
      </c>
      <c r="F7598" t="inlineStr">
        <is>
          <t>4</t>
        </is>
      </c>
      <c r="G7598" t="inlineStr">
        <is>
          <t>0</t>
        </is>
      </c>
      <c r="H7598" t="inlineStr">
        <is>
          <t>4⁴, 8¹, 52⁴, 104¹</t>
        </is>
      </c>
      <c r="I7598" t="n">
        <v>10</v>
      </c>
      <c r="J7598" t="inlineStr">
        <is>
          <t>2⁴, 4⁴, 24², 48²</t>
        </is>
      </c>
      <c r="K7598">
        <f>HYPERLINK("CSG0.html#group8K0", "8K⁰"), =HYPERLINK("CSG11.html#group52F11", "52F¹¹")</f>
        <v/>
      </c>
      <c r="L7598" t="inlineStr"/>
      <c r="M7598">
        <f>HYPERLINK("CSG0.html#group4C0", "4C⁰"), =HYPERLINK("CSG0.html#group13A0", "13A⁰"), =HYPERLINK("CSG0.html#group2B0", "2B⁰"), =HYPERLINK("CSG0.html#group1A0", "1A⁰"), =HYPERLINK("CSG0.html#group8K0", "8K⁰"), =HYPERLINK("CSG2.html#group26A2", "26A²"), =HYPERLINK("CSG11.html#group52F11", "52F¹¹"), =HYPERLINK("CSG3.html#group52A3", "52A³"), =HYPERLINK("CSG0.html#group4A0", "4A⁰"), =HYPERLINK("CSG5.html#group52B5", "52B⁵"), =HYPERLINK("CSG0.html#group4F0", "4F⁰")</f>
        <v/>
      </c>
      <c r="N7598" t="inlineStr"/>
    </row>
    <row r="7599">
      <c r="A7599" t="inlineStr">
        <is>
          <t>104Q²³</t>
        </is>
      </c>
      <c r="B7599" t="inlineStr"/>
      <c r="C7599" t="inlineStr">
        <is>
          <t>336</t>
        </is>
      </c>
      <c r="D7599" t="inlineStr">
        <is>
          <t>1</t>
        </is>
      </c>
      <c r="E7599" t="inlineStr">
        <is>
          <t>168</t>
        </is>
      </c>
      <c r="F7599" t="inlineStr">
        <is>
          <t>8</t>
        </is>
      </c>
      <c r="G7599" t="inlineStr">
        <is>
          <t>0</t>
        </is>
      </c>
      <c r="H7599" t="inlineStr">
        <is>
          <t>4², 8², 52², 104²</t>
        </is>
      </c>
      <c r="I7599" t="n">
        <v>8</v>
      </c>
      <c r="J7599" t="inlineStr">
        <is>
          <t>1⁸, 2⁴, 4², 12⁴, 24², 48¹</t>
        </is>
      </c>
      <c r="K7599">
        <f>HYPERLINK("CSG11.html#group104B11", "104B¹¹")</f>
        <v/>
      </c>
      <c r="L7599" t="inlineStr"/>
      <c r="M7599">
        <f>HYPERLINK("CSG0.html#group4C0", "4C⁰"), =HYPERLINK("CSG11.html#group104B11", "104B¹¹"), =HYPERLINK("CSG0.html#group8B0", "8B⁰"), =HYPERLINK("CSG0.html#group13A0", "13A⁰"), =HYPERLINK("CSG5.html#group52B5", "52B⁵"), =HYPERLINK("CSG0.html#group2B0", "2B⁰"), =HYPERLINK("CSG0.html#group1A0", "1A⁰"), =HYPERLINK("CSG2.html#group26A2", "26A²")</f>
        <v/>
      </c>
      <c r="N7599" t="inlineStr"/>
    </row>
    <row r="7600">
      <c r="A7600" t="inlineStr">
        <is>
          <t>104R²³</t>
        </is>
      </c>
      <c r="B7600" t="inlineStr"/>
      <c r="C7600" t="inlineStr">
        <is>
          <t>336</t>
        </is>
      </c>
      <c r="D7600" t="inlineStr">
        <is>
          <t>1</t>
        </is>
      </c>
      <c r="E7600" t="inlineStr">
        <is>
          <t>168</t>
        </is>
      </c>
      <c r="F7600" t="inlineStr">
        <is>
          <t>8</t>
        </is>
      </c>
      <c r="G7600" t="inlineStr">
        <is>
          <t>0</t>
        </is>
      </c>
      <c r="H7600" t="inlineStr">
        <is>
          <t>4², 8², 52², 104²</t>
        </is>
      </c>
      <c r="I7600" t="n">
        <v>8</v>
      </c>
      <c r="J7600" t="inlineStr">
        <is>
          <t>1⁸, 2⁴, 4², 12⁴, 24², 48¹</t>
        </is>
      </c>
      <c r="K7600">
        <f>HYPERLINK("CSG0.html#group8L0", "8L⁰"), =HYPERLINK("CSG11.html#group104B11", "104B¹¹")</f>
        <v/>
      </c>
      <c r="L7600" t="inlineStr"/>
      <c r="M7600">
        <f>HYPERLINK("CSG0.html#group4C0", "4C⁰"), =HYPERLINK("CSG11.html#group104B11", "104B¹¹"), =HYPERLINK("CSG0.html#group8B0", "8B⁰"), =HYPERLINK("CSG0.html#group13A0", "13A⁰"), =HYPERLINK("CSG0.html#group8L0", "8L⁰"), =HYPERLINK("CSG5.html#group52B5", "52B⁵"), =HYPERLINK("CSG0.html#group2B0", "2B⁰"), =HYPERLINK("CSG0.html#group1A0", "1A⁰"), =HYPERLINK("CSG2.html#group26A2", "26A²")</f>
        <v/>
      </c>
      <c r="N7600" t="inlineStr"/>
    </row>
    <row r="7601">
      <c r="A7601" t="inlineStr">
        <is>
          <t>104S²³</t>
        </is>
      </c>
      <c r="B7601" t="inlineStr"/>
      <c r="C7601" t="inlineStr">
        <is>
          <t>336</t>
        </is>
      </c>
      <c r="D7601" t="inlineStr">
        <is>
          <t>2</t>
        </is>
      </c>
      <c r="E7601" t="inlineStr">
        <is>
          <t>42</t>
        </is>
      </c>
      <c r="F7601" t="inlineStr">
        <is>
          <t>0</t>
        </is>
      </c>
      <c r="G7601" t="inlineStr">
        <is>
          <t>0</t>
        </is>
      </c>
      <c r="H7601" t="inlineStr">
        <is>
          <t>2⁴, 8², 26⁴, 104²</t>
        </is>
      </c>
      <c r="I7601" t="n">
        <v>12</v>
      </c>
      <c r="J7601" t="inlineStr">
        <is>
          <t>2⁶, 24³</t>
        </is>
      </c>
      <c r="K7601">
        <f>HYPERLINK("CSG9.html#group104A9", "104A⁹"), =HYPERLINK("CSG11.html#group52C11", "52C¹¹"), =HYPERLINK("CSG11.html#group104G11", "104G¹¹")</f>
        <v/>
      </c>
      <c r="L7601" t="inlineStr"/>
      <c r="M7601">
        <f>HYPERLINK("CSG11.html#group52C11", "52C¹¹"), =HYPERLINK("CSG11.html#group104G11", "104G¹¹"), =HYPERLINK("CSG5.html#group26B5", "26B⁵"), =HYPERLINK("CSG0.html#group2A0", "2A⁰"), =HYPERLINK("CSG1.html#group26A1", "26A¹"), =HYPERLINK("CSG6.html#group52A6", "52A⁶"), =HYPERLINK("CSG9.html#group104A9", "104A⁹"), =HYPERLINK("CSG0.html#group13A0", "13A⁰"), =HYPERLINK("CSG0.html#group2B0", "2B⁰"), =HYPERLINK("CSG4.html#group52A4", "52A⁴"), =HYPERLINK("CSG0.html#group1A0", "1A⁰"), =HYPERLINK("CSG0.html#group2C0", "2C⁰"), =HYPERLINK("CSG2.html#group26A2", "26A²")</f>
        <v/>
      </c>
      <c r="N7601" t="inlineStr"/>
    </row>
    <row r="7602">
      <c r="A7602" t="inlineStr">
        <is>
          <t>104T²³</t>
        </is>
      </c>
      <c r="B7602" t="inlineStr"/>
      <c r="C7602" t="inlineStr">
        <is>
          <t>336</t>
        </is>
      </c>
      <c r="D7602" t="inlineStr">
        <is>
          <t>2</t>
        </is>
      </c>
      <c r="E7602" t="inlineStr">
        <is>
          <t>56</t>
        </is>
      </c>
      <c r="F7602" t="inlineStr">
        <is>
          <t>12</t>
        </is>
      </c>
      <c r="G7602" t="inlineStr">
        <is>
          <t>0</t>
        </is>
      </c>
      <c r="H7602" t="inlineStr">
        <is>
          <t>8³, 104³</t>
        </is>
      </c>
      <c r="I7602" t="n">
        <v>6</v>
      </c>
      <c r="J7602" t="inlineStr">
        <is>
          <t>4⁴, 48²</t>
        </is>
      </c>
      <c r="K7602">
        <f>HYPERLINK("CSG7.html#group104A7", "104A⁷"), =HYPERLINK("CSG9.html#group52C9", "52C⁹")</f>
        <v/>
      </c>
      <c r="L7602" t="inlineStr"/>
      <c r="M7602">
        <f>HYPERLINK("CSG0.html#group13A0", "13A⁰"), =HYPERLINK("CSG7.html#group104A7", "104A⁷"), =HYPERLINK("CSG0.html#group13C0", "13C⁰"), =HYPERLINK("CSG9.html#group52C9", "52C⁹"), =HYPERLINK("CSG0.html#group1A0", "1A⁰"), =HYPERLINK("CSG0.html#group4A0", "4A⁰"), =HYPERLINK("CSG3.html#group52A3", "52A³")</f>
        <v/>
      </c>
      <c r="N7602" t="inlineStr"/>
    </row>
    <row r="7603">
      <c r="A7603" t="inlineStr">
        <is>
          <t>104U²³</t>
        </is>
      </c>
      <c r="B7603" t="inlineStr"/>
      <c r="C7603" t="inlineStr">
        <is>
          <t>336</t>
        </is>
      </c>
      <c r="D7603" t="inlineStr">
        <is>
          <t>2</t>
        </is>
      </c>
      <c r="E7603" t="inlineStr">
        <is>
          <t>56</t>
        </is>
      </c>
      <c r="F7603" t="inlineStr">
        <is>
          <t>12</t>
        </is>
      </c>
      <c r="G7603" t="inlineStr">
        <is>
          <t>0</t>
        </is>
      </c>
      <c r="H7603" t="inlineStr">
        <is>
          <t>8³, 104³</t>
        </is>
      </c>
      <c r="I7603" t="n">
        <v>6</v>
      </c>
      <c r="J7603" t="inlineStr">
        <is>
          <t>4⁴, 48²</t>
        </is>
      </c>
      <c r="K7603">
        <f>HYPERLINK("CSG7.html#group104B7", "104B⁷"), =HYPERLINK("CSG9.html#group52C9", "52C⁹")</f>
        <v/>
      </c>
      <c r="L7603" t="inlineStr"/>
      <c r="M7603">
        <f>HYPERLINK("CSG3.html#group52A3", "52A³"), =HYPERLINK("CSG7.html#group104B7", "104B⁷"), =HYPERLINK("CSG0.html#group4A0", "4A⁰"), =HYPERLINK("CSG0.html#group13A0", "13A⁰"), =HYPERLINK("CSG0.html#group8A0", "8A⁰"), =HYPERLINK("CSG0.html#group13C0", "13C⁰"), =HYPERLINK("CSG9.html#group52C9", "52C⁹"), =HYPERLINK("CSG0.html#group1A0", "1A⁰")</f>
        <v/>
      </c>
      <c r="N7603" t="inlineStr"/>
    </row>
    <row r="7604">
      <c r="A7604" t="inlineStr">
        <is>
          <t>105A²³</t>
        </is>
      </c>
      <c r="B7604" t="inlineStr"/>
      <c r="C7604" t="inlineStr">
        <is>
          <t>320</t>
        </is>
      </c>
      <c r="D7604" t="inlineStr">
        <is>
          <t>1</t>
        </is>
      </c>
      <c r="E7604" t="inlineStr">
        <is>
          <t>320</t>
        </is>
      </c>
      <c r="F7604" t="inlineStr">
        <is>
          <t>0</t>
        </is>
      </c>
      <c r="G7604" t="inlineStr">
        <is>
          <t>2</t>
        </is>
      </c>
      <c r="H7604" t="inlineStr">
        <is>
          <t>5², 15², 35², 105²</t>
        </is>
      </c>
      <c r="I7604" t="n">
        <v>8</v>
      </c>
      <c r="J7604" t="inlineStr">
        <is>
          <t>2⁴, 4¹⁰, 8⁴, 12², 24⁵, 48²</t>
        </is>
      </c>
      <c r="K7604">
        <f>HYPERLINK("CSG1.html#group21B1", "21B¹"), =HYPERLINK("CSG2.html#group15C2", "15C²"), =HYPERLINK("CSG5.html#group35A5", "35A⁵")</f>
        <v/>
      </c>
      <c r="L7604" t="inlineStr"/>
      <c r="M7604">
        <f>HYPERLINK("CSG0.html#group3B0", "3B⁰"), =HYPERLINK("CSG5.html#group35A5", "35A⁵"), =HYPERLINK("CSG1.html#group21B1", "21B¹"), =HYPERLINK("CSG0.html#group7B0", "7B⁰"), =HYPERLINK("CSG0.html#group5C0", "5C⁰"), =HYPERLINK("CSG2.html#group15C2", "15C²"), =HYPERLINK("CSG0.html#group1A0", "1A⁰")</f>
        <v/>
      </c>
      <c r="N7604" t="inlineStr"/>
    </row>
    <row r="7605">
      <c r="A7605" t="inlineStr">
        <is>
          <t>108A²³</t>
        </is>
      </c>
      <c r="B7605" t="inlineStr"/>
      <c r="C7605" t="inlineStr">
        <is>
          <t>288</t>
        </is>
      </c>
      <c r="D7605" t="inlineStr">
        <is>
          <t>1</t>
        </is>
      </c>
      <c r="E7605" t="inlineStr">
        <is>
          <t>48</t>
        </is>
      </c>
      <c r="F7605" t="inlineStr">
        <is>
          <t>0</t>
        </is>
      </c>
      <c r="G7605" t="inlineStr">
        <is>
          <t>0</t>
        </is>
      </c>
      <c r="H7605" t="inlineStr">
        <is>
          <t>36², 108²</t>
        </is>
      </c>
      <c r="I7605" t="n">
        <v>4</v>
      </c>
      <c r="J7605" t="inlineStr">
        <is>
          <t>2⁴, 4⁴, 12²</t>
        </is>
      </c>
      <c r="K7605">
        <f>HYPERLINK("CSG5.html#group36G5", "36G⁵"), =HYPERLINK("CSG6.html#group54A6", "54A⁶"), =HYPERLINK("CSG12.html#group108B12", "108B¹²")</f>
        <v/>
      </c>
      <c r="L7605" t="inlineStr"/>
      <c r="M7605">
        <f>HYPERLINK("CSG0.html#group3B0", "3B⁰"), =HYPERLINK("CSG0.html#group2A0", "2A⁰"), =HYPERLINK("CSG1.html#group12I1", "12I¹"), =HYPERLINK("CSG0.html#group18B0", "18B⁰"), =HYPERLINK("CSG6.html#group54A6", "54A⁶"), =HYPERLINK("CSG0.html#group6C0", "6C⁰"), =HYPERLINK("CSG0.html#group9C0", "9C⁰"), =HYPERLINK("CSG0.html#group1A0", "1A⁰"), =HYPERLINK("CSG5.html#group36G5", "36G⁵"), =HYPERLINK("CSG12.html#group108B12", "108B¹²"), =HYPERLINK("CSG3.html#group36C3", "36C³"), =HYPERLINK("CSG0.html#group4A0", "4A⁰"), =HYPERLINK("CSG0.html#group4D0", "4D⁰"), =HYPERLINK("CSG1.html#group12A1", "12A¹"), =HYPERLINK("CSG3.html#group27A3", "27A³")</f>
        <v/>
      </c>
      <c r="N7605" t="inlineStr"/>
    </row>
    <row r="7606">
      <c r="A7606" t="inlineStr">
        <is>
          <t>110A²³</t>
        </is>
      </c>
      <c r="B7606" t="inlineStr"/>
      <c r="C7606" t="inlineStr">
        <is>
          <t>330</t>
        </is>
      </c>
      <c r="D7606" t="inlineStr">
        <is>
          <t>2</t>
        </is>
      </c>
      <c r="E7606" t="inlineStr">
        <is>
          <t>110</t>
        </is>
      </c>
      <c r="F7606" t="inlineStr">
        <is>
          <t>0</t>
        </is>
      </c>
      <c r="G7606" t="inlineStr">
        <is>
          <t>12</t>
        </is>
      </c>
      <c r="H7606" t="inlineStr">
        <is>
          <t>110³</t>
        </is>
      </c>
      <c r="I7606" t="n">
        <v>3</v>
      </c>
      <c r="J7606" t="inlineStr">
        <is>
          <t>4¹, 8², 20², 40⁴</t>
        </is>
      </c>
      <c r="K7606">
        <f>HYPERLINK("CSG0.html#group10E0", "10E⁰"), =HYPERLINK("CSG7.html#group110A7", "110A⁷")</f>
        <v/>
      </c>
      <c r="L7606" t="inlineStr"/>
      <c r="M7606">
        <f>HYPERLINK("CSG0.html#group11A0", "11A⁰"), =HYPERLINK("CSG0.html#group2A0", "2A⁰"), =HYPERLINK("CSG0.html#group5A0", "5A⁰"), =HYPERLINK("CSG3.html#group55A3", "55A³"), =HYPERLINK("CSG0.html#group10A0", "10A⁰"), =HYPERLINK("CSG1.html#group22A1", "22A¹"), =HYPERLINK("CSG0.html#group10E0", "10E⁰"), =HYPERLINK("CSG7.html#group110A7", "110A⁷"), =HYPERLINK("CSG0.html#group1A0", "1A⁰")</f>
        <v/>
      </c>
      <c r="N7606" t="inlineStr"/>
    </row>
    <row r="7607">
      <c r="A7607" t="inlineStr">
        <is>
          <t>112A²³</t>
        </is>
      </c>
      <c r="B7607" t="inlineStr"/>
      <c r="C7607" t="inlineStr">
        <is>
          <t>336</t>
        </is>
      </c>
      <c r="D7607" t="inlineStr">
        <is>
          <t>2</t>
        </is>
      </c>
      <c r="E7607" t="inlineStr">
        <is>
          <t>21</t>
        </is>
      </c>
      <c r="F7607" t="inlineStr">
        <is>
          <t>16</t>
        </is>
      </c>
      <c r="G7607" t="inlineStr">
        <is>
          <t>0</t>
        </is>
      </c>
      <c r="H7607" t="inlineStr">
        <is>
          <t>56², 112²</t>
        </is>
      </c>
      <c r="I7607" t="n">
        <v>4</v>
      </c>
      <c r="J7607" t="inlineStr">
        <is>
          <t>2³, 6⁶</t>
        </is>
      </c>
      <c r="K7607">
        <f>HYPERLINK("CSG8.html#group112B8", "112B⁸"), =HYPERLINK("CSG11.html#group56A11", "56A¹¹"), =HYPERLINK("CSG12.html#group112A12", "112A¹²")</f>
        <v/>
      </c>
      <c r="L7607" t="inlineStr"/>
      <c r="M7607">
        <f>HYPERLINK("CSG11.html#group56A11", "56A¹¹"), =HYPERLINK("CSG1.html#group14B1", "14B¹"), =HYPERLINK("CSG3.html#group28B3", "28B³"), =HYPERLINK("CSG0.html#group4C0", "4C⁰"), =HYPERLINK("CSG12.html#group112A12", "112A¹²"), =HYPERLINK("CSG0.html#group8B0", "8B⁰"), =HYPERLINK("CSG0.html#group2B0", "2B⁰"), =HYPERLINK("CSG5.html#group28B5", "28B⁵"), =HYPERLINK("CSG0.html#group1A0", "1A⁰"), =HYPERLINK("CSG6.html#group56A6", "56A⁶"), =HYPERLINK("CSG0.html#group16B0", "16B⁰"), =HYPERLINK("CSG2.html#group28C2", "28C²"), =HYPERLINK("CSG2.html#group14A2", "14A²"), =HYPERLINK("CSG0.html#group7C0", "7C⁰"), =HYPERLINK("CSG8.html#group112B8", "112B⁸"), =HYPERLINK("CSG0.html#group7A0", "7A⁰"), =HYPERLINK("CSG4.html#group56B4", "56B⁴")</f>
        <v/>
      </c>
      <c r="N7607" t="inlineStr"/>
    </row>
    <row r="7608">
      <c r="A7608" t="inlineStr">
        <is>
          <t>112B²³</t>
        </is>
      </c>
      <c r="B7608" t="inlineStr"/>
      <c r="C7608" t="inlineStr">
        <is>
          <t>336</t>
        </is>
      </c>
      <c r="D7608" t="inlineStr">
        <is>
          <t>2</t>
        </is>
      </c>
      <c r="E7608" t="inlineStr">
        <is>
          <t>42</t>
        </is>
      </c>
      <c r="F7608" t="inlineStr">
        <is>
          <t>0</t>
        </is>
      </c>
      <c r="G7608" t="inlineStr">
        <is>
          <t>0</t>
        </is>
      </c>
      <c r="H7608" t="inlineStr">
        <is>
          <t>7⁸, 28², 112²</t>
        </is>
      </c>
      <c r="I7608" t="n">
        <v>12</v>
      </c>
      <c r="J7608" t="inlineStr">
        <is>
          <t>2⁴, 4¹, 6⁸, 12²</t>
        </is>
      </c>
      <c r="K7608">
        <f>HYPERLINK("CSG11.html#group56B11", "56B¹¹"), =HYPERLINK("CSG12.html#group112B12", "112B¹²"), =HYPERLINK("CSG12.html#group112C12", "112C¹²")</f>
        <v/>
      </c>
      <c r="L7608" t="inlineStr"/>
      <c r="M7608">
        <f>HYPERLINK("CSG6.html#group56C6", "56C⁶"), =HYPERLINK("CSG1.html#group14B1", "14B¹"), =HYPERLINK("CSG3.html#group28A3", "28A³"), =HYPERLINK("CSG0.html#group2B0", "2B⁰"), =HYPERLINK("CSG0.html#group8C0", "8C⁰"), =HYPERLINK("CSG0.html#group4B0", "4B⁰"), =HYPERLINK("CSG5.html#group28A5", "28A⁵"), =HYPERLINK("CSG0.html#group1A0", "1A⁰"), =HYPERLINK("CSG11.html#group56B11", "56B¹¹"), =HYPERLINK("CSG2.html#group14A2", "14A²"), =HYPERLINK("CSG6.html#group56B6", "56B⁶"), =HYPERLINK("CSG12.html#group112B12", "112B¹²"), =HYPERLINK("CSG0.html#group7C0", "7C⁰"), =HYPERLINK("CSG0.html#group16C0", "16C⁰"), =HYPERLINK("CSG12.html#group112C12", "112C¹²"), =HYPERLINK("CSG2.html#group28B2", "28B²"), =HYPERLINK("CSG0.html#group7A0", "7A⁰")</f>
        <v/>
      </c>
      <c r="N7608" t="inlineStr"/>
    </row>
    <row r="7609">
      <c r="A7609" t="inlineStr">
        <is>
          <t>112C²³</t>
        </is>
      </c>
      <c r="B7609" t="inlineStr"/>
      <c r="C7609" t="inlineStr">
        <is>
          <t>336</t>
        </is>
      </c>
      <c r="D7609" t="inlineStr">
        <is>
          <t>2</t>
        </is>
      </c>
      <c r="E7609" t="inlineStr">
        <is>
          <t>42</t>
        </is>
      </c>
      <c r="F7609" t="inlineStr">
        <is>
          <t>16</t>
        </is>
      </c>
      <c r="G7609" t="inlineStr">
        <is>
          <t>0</t>
        </is>
      </c>
      <c r="H7609" t="inlineStr">
        <is>
          <t>56², 112²</t>
        </is>
      </c>
      <c r="I7609" t="n">
        <v>4</v>
      </c>
      <c r="J7609" t="inlineStr">
        <is>
          <t>2², 4², 6⁴, 12⁴</t>
        </is>
      </c>
      <c r="K7609">
        <f>HYPERLINK("CSG9.html#group56B9", "56B⁹"), =HYPERLINK("CSG11.html#group112A11", "112A¹¹"), =HYPERLINK("CSG11.html#group112B11", "112B¹¹")</f>
        <v/>
      </c>
      <c r="L7609" t="inlineStr"/>
      <c r="M7609">
        <f>HYPERLINK("CSG11.html#group112A11", "112A¹¹"), =HYPERLINK("CSG0.html#group14A0", "14A⁰"), =HYPERLINK("CSG4.html#group28C4", "28C⁴"), =HYPERLINK("CSG1.html#group14B1", "14B¹"), =HYPERLINK("CSG2.html#group14C2", "14C²"), =HYPERLINK("CSG0.html#group4C0", "4C⁰"), =HYPERLINK("CSG0.html#group8B0", "8B⁰"), =HYPERLINK("CSG1.html#group16B1", "16B¹"), =HYPERLINK("CSG0.html#group2B0", "2B⁰"), =HYPERLINK("CSG9.html#group56B9", "56B⁹"), =HYPERLINK("CSG0.html#group1A0", "1A⁰"), =HYPERLINK("CSG2.html#group28C2", "28C²"), =HYPERLINK("CSG11.html#group112B11", "112B¹¹"), =HYPERLINK("CSG5.html#group56A5", "56A⁵"), =HYPERLINK("CSG2.html#group28B2", "28B²"), =HYPERLINK("CSG0.html#group7A0", "7A⁰"), =HYPERLINK("CSG4.html#group56B4", "56B⁴")</f>
        <v/>
      </c>
      <c r="N7609" t="inlineStr"/>
    </row>
    <row r="7610">
      <c r="A7610" t="inlineStr">
        <is>
          <t>112D²³</t>
        </is>
      </c>
      <c r="B7610" t="inlineStr"/>
      <c r="C7610" t="inlineStr">
        <is>
          <t>336</t>
        </is>
      </c>
      <c r="D7610" t="inlineStr">
        <is>
          <t>2</t>
        </is>
      </c>
      <c r="E7610" t="inlineStr">
        <is>
          <t>42</t>
        </is>
      </c>
      <c r="F7610" t="inlineStr">
        <is>
          <t>16</t>
        </is>
      </c>
      <c r="G7610" t="inlineStr">
        <is>
          <t>0</t>
        </is>
      </c>
      <c r="H7610" t="inlineStr">
        <is>
          <t>56², 112²</t>
        </is>
      </c>
      <c r="I7610" t="n">
        <v>4</v>
      </c>
      <c r="J7610" t="inlineStr">
        <is>
          <t>2², 4², 6⁴, 12⁴</t>
        </is>
      </c>
      <c r="K7610">
        <f>HYPERLINK("CSG10.html#group56B10", "56B¹⁰"), =HYPERLINK("CSG10.html#group112A10", "112A¹⁰"), =HYPERLINK("CSG11.html#group112B11", "112B¹¹")</f>
        <v/>
      </c>
      <c r="L7610" t="inlineStr"/>
      <c r="M7610">
        <f>HYPERLINK("CSG2.html#group28C2", "28C²"), =HYPERLINK("CSG5.html#group56B5", "56B⁵"), =HYPERLINK("CSG10.html#group56B10", "56B¹⁰"), =HYPERLINK("CSG1.html#group14B1", "14B¹"), =HYPERLINK("CSG11.html#group112B11", "112B¹¹"), =HYPERLINK("CSG0.html#group4C0", "4C⁰"), =HYPERLINK("CSG10.html#group112A10", "112A¹⁰"), =HYPERLINK("CSG0.html#group8B0", "8B⁰"), =HYPERLINK("CSG1.html#group16B1", "16B¹"), =HYPERLINK("CSG5.html#group28C5", "28C⁵"), =HYPERLINK("CSG0.html#group2B0", "2B⁰"), =HYPERLINK("CSG0.html#group1A0", "1A⁰"), =HYPERLINK("CSG0.html#group7A0", "7A⁰"), =HYPERLINK("CSG4.html#group56B4", "56B⁴")</f>
        <v/>
      </c>
      <c r="N7610" t="inlineStr"/>
    </row>
    <row r="7611">
      <c r="A7611" t="inlineStr">
        <is>
          <t>112E²³</t>
        </is>
      </c>
      <c r="B7611" t="inlineStr"/>
      <c r="C7611" t="inlineStr">
        <is>
          <t>336</t>
        </is>
      </c>
      <c r="D7611" t="inlineStr">
        <is>
          <t>2</t>
        </is>
      </c>
      <c r="E7611" t="inlineStr">
        <is>
          <t>42</t>
        </is>
      </c>
      <c r="F7611" t="inlineStr">
        <is>
          <t>16</t>
        </is>
      </c>
      <c r="G7611" t="inlineStr">
        <is>
          <t>0</t>
        </is>
      </c>
      <c r="H7611" t="inlineStr">
        <is>
          <t>56², 112²</t>
        </is>
      </c>
      <c r="I7611" t="n">
        <v>4</v>
      </c>
      <c r="J7611" t="inlineStr">
        <is>
          <t>2², 4², 6⁴, 12⁴</t>
        </is>
      </c>
      <c r="K7611">
        <f>HYPERLINK("CSG10.html#group56C10", "56C¹⁰"), =HYPERLINK("CSG10.html#group112A10", "112A¹⁰"), =HYPERLINK("CSG11.html#group112A11", "112A¹¹")</f>
        <v/>
      </c>
      <c r="L7611" t="inlineStr"/>
      <c r="M7611">
        <f>HYPERLINK("CSG11.html#group112A11", "112A¹¹"), =HYPERLINK("CSG5.html#group56C5", "56C⁵"), =HYPERLINK("CSG1.html#group14B1", "14B¹"), =HYPERLINK("CSG0.html#group8D0", "8D⁰"), =HYPERLINK("CSG0.html#group4C0", "4C⁰"), =HYPERLINK("CSG0.html#group8B0", "8B⁰"), =HYPERLINK("CSG0.html#group2B0", "2B⁰"), =HYPERLINK("CSG0.html#group1A0", "1A⁰"), =HYPERLINK("CSG10.html#group56C10", "56C¹⁰"), =HYPERLINK("CSG0.html#group8H0", "8H⁰"), =HYPERLINK("CSG2.html#group28C2", "28C²"), =HYPERLINK("CSG0.html#group4A0", "4A⁰"), =HYPERLINK("CSG5.html#group28D5", "28D⁵"), =HYPERLINK("CSG10.html#group112A10", "112A¹⁰"), =HYPERLINK("CSG0.html#group4F0", "4F⁰"), =HYPERLINK("CSG1.html#group28A1", "28A¹"), =HYPERLINK("CSG0.html#group7A0", "7A⁰"), =HYPERLINK("CSG4.html#group56B4", "56B⁴")</f>
        <v/>
      </c>
      <c r="N7611" t="inlineStr"/>
    </row>
    <row r="7612">
      <c r="A7612" t="inlineStr">
        <is>
          <t>112F²³</t>
        </is>
      </c>
      <c r="B7612" t="inlineStr"/>
      <c r="C7612" t="inlineStr">
        <is>
          <t>336</t>
        </is>
      </c>
      <c r="D7612" t="inlineStr">
        <is>
          <t>2</t>
        </is>
      </c>
      <c r="E7612" t="inlineStr">
        <is>
          <t>84</t>
        </is>
      </c>
      <c r="F7612" t="inlineStr">
        <is>
          <t>0</t>
        </is>
      </c>
      <c r="G7612" t="inlineStr">
        <is>
          <t>0</t>
        </is>
      </c>
      <c r="H7612" t="inlineStr">
        <is>
          <t>7⁴, 14⁶, 112²</t>
        </is>
      </c>
      <c r="I7612" t="n">
        <v>12</v>
      </c>
      <c r="J7612" t="inlineStr">
        <is>
          <t>2⁴, 4², 6⁸, 8¹, 12⁴, 24²</t>
        </is>
      </c>
      <c r="K7612">
        <f>HYPERLINK("CSG11.html#group56B11", "56B¹¹"), =HYPERLINK("CSG12.html#group112D12", "112D¹²"), =HYPERLINK("CSG12.html#group112E12", "112E¹²")</f>
        <v/>
      </c>
      <c r="L7612" t="inlineStr"/>
      <c r="M7612">
        <f>HYPERLINK("CSG6.html#group56C6", "56C⁶"), =HYPERLINK("CSG1.html#group14B1", "14B¹"), =HYPERLINK("CSG3.html#group28A3", "28A³"), =HYPERLINK("CSG0.html#group8C0", "8C⁰"), =HYPERLINK("CSG0.html#group2B0", "2B⁰"), =HYPERLINK("CSG0.html#group4B0", "4B⁰"), =HYPERLINK("CSG5.html#group28A5", "28A⁵"), =HYPERLINK("CSG0.html#group1A0", "1A⁰"), =HYPERLINK("CSG11.html#group56B11", "56B¹¹"), =HYPERLINK("CSG12.html#group112E12", "112E¹²"), =HYPERLINK("CSG2.html#group14A2", "14A²"), =HYPERLINK("CSG6.html#group56B6", "56B⁶"), =HYPERLINK("CSG0.html#group16D0", "16D⁰"), =HYPERLINK("CSG0.html#group7C0", "7C⁰"), =HYPERLINK("CSG12.html#group112D12", "112D¹²"), =HYPERLINK("CSG2.html#group28B2", "28B²"), =HYPERLINK("CSG0.html#group7A0", "7A⁰")</f>
        <v/>
      </c>
      <c r="N7612" t="inlineStr"/>
    </row>
    <row r="7613">
      <c r="A7613" t="inlineStr">
        <is>
          <t>112G²³</t>
        </is>
      </c>
      <c r="B7613" t="inlineStr"/>
      <c r="C7613" t="inlineStr">
        <is>
          <t>336</t>
        </is>
      </c>
      <c r="D7613" t="inlineStr">
        <is>
          <t>2</t>
        </is>
      </c>
      <c r="E7613" t="inlineStr">
        <is>
          <t>84</t>
        </is>
      </c>
      <c r="F7613" t="inlineStr">
        <is>
          <t>4</t>
        </is>
      </c>
      <c r="G7613" t="inlineStr">
        <is>
          <t>0</t>
        </is>
      </c>
      <c r="H7613" t="inlineStr">
        <is>
          <t>14⁸, 112²</t>
        </is>
      </c>
      <c r="I7613" t="n">
        <v>10</v>
      </c>
      <c r="J7613" t="inlineStr">
        <is>
          <t>2², 4¹, 6⁴, 8², 12², 24⁴</t>
        </is>
      </c>
      <c r="K7613">
        <f>HYPERLINK("CSG11.html#group56C11", "56C¹¹"), =HYPERLINK("CSG11.html#group112C11", "112C¹¹"), =HYPERLINK("CSG11.html#group112D11", "112D¹¹")</f>
        <v/>
      </c>
      <c r="L7613" t="inlineStr"/>
      <c r="M7613">
        <f>HYPERLINK("CSG5.html#group56B5", "56B⁵"), =HYPERLINK("CSG5.html#group56C5", "56C⁵"), =HYPERLINK("CSG11.html#group56C11", "56C¹¹"), =HYPERLINK("CSG11.html#group112D11", "112D¹¹"), =HYPERLINK("CSG1.html#group14B1", "14B¹"), =HYPERLINK("CSG0.html#group8D0", "8D⁰"), =HYPERLINK("CSG0.html#group4C0", "4C⁰"), =HYPERLINK("CSG0.html#group2B0", "2B⁰"), =HYPERLINK("CSG5.html#group28B5", "28B⁵"), =HYPERLINK("CSG0.html#group1A0", "1A⁰"), =HYPERLINK("CSG2.html#group28C2", "28C²"), =HYPERLINK("CSG0.html#group16E0", "16E⁰"), =HYPERLINK("CSG2.html#group14A2", "14A²"), =HYPERLINK("CSG0.html#group7C0", "7C⁰"), =HYPERLINK("CSG11.html#group112C11", "112C¹¹"), =HYPERLINK("CSG3.html#group28B3", "28B³"), =HYPERLINK("CSG0.html#group7A0", "7A⁰")</f>
        <v/>
      </c>
      <c r="N7613" t="inlineStr"/>
    </row>
    <row r="7614">
      <c r="A7614" t="inlineStr">
        <is>
          <t>112H²³</t>
        </is>
      </c>
      <c r="B7614" t="inlineStr"/>
      <c r="C7614" t="inlineStr">
        <is>
          <t>336</t>
        </is>
      </c>
      <c r="D7614" t="inlineStr">
        <is>
          <t>2</t>
        </is>
      </c>
      <c r="E7614" t="inlineStr">
        <is>
          <t>84</t>
        </is>
      </c>
      <c r="F7614" t="inlineStr">
        <is>
          <t>12</t>
        </is>
      </c>
      <c r="G7614" t="inlineStr">
        <is>
          <t>0</t>
        </is>
      </c>
      <c r="H7614" t="inlineStr">
        <is>
          <t>28⁴, 112²</t>
        </is>
      </c>
      <c r="I7614" t="n">
        <v>6</v>
      </c>
      <c r="J7614" t="inlineStr">
        <is>
          <t>4², 8², 12⁴, 24⁴</t>
        </is>
      </c>
      <c r="K7614">
        <f>HYPERLINK("CSG10.html#group56C10", "56C¹⁰")</f>
        <v/>
      </c>
      <c r="L7614" t="inlineStr"/>
      <c r="M7614">
        <f>HYPERLINK("CSG5.html#group56C5", "56C⁵"), =HYPERLINK("CSG1.html#group14B1", "14B¹"), =HYPERLINK("CSG0.html#group8D0", "8D⁰"), =HYPERLINK("CSG0.html#group4C0", "4C⁰"), =HYPERLINK("CSG0.html#group8B0", "8B⁰"), =HYPERLINK("CSG0.html#group2B0", "2B⁰"), =HYPERLINK("CSG0.html#group1A0", "1A⁰"), =HYPERLINK("CSG10.html#group56C10", "56C¹⁰"), =HYPERLINK("CSG0.html#group8H0", "8H⁰"), =HYPERLINK("CSG2.html#group28C2", "28C²"), =HYPERLINK("CSG0.html#group4A0", "4A⁰"), =HYPERLINK("CSG5.html#group28D5", "28D⁵"), =HYPERLINK("CSG0.html#group4F0", "4F⁰"), =HYPERLINK("CSG1.html#group28A1", "28A¹"), =HYPERLINK("CSG0.html#group7A0", "7A⁰"), =HYPERLINK("CSG4.html#group56B4", "56B⁴")</f>
        <v/>
      </c>
      <c r="N7614" t="inlineStr"/>
    </row>
    <row r="7615">
      <c r="A7615" t="inlineStr">
        <is>
          <t>112I²³</t>
        </is>
      </c>
      <c r="B7615" t="inlineStr"/>
      <c r="C7615" t="inlineStr">
        <is>
          <t>336</t>
        </is>
      </c>
      <c r="D7615" t="inlineStr">
        <is>
          <t>2</t>
        </is>
      </c>
      <c r="E7615" t="inlineStr">
        <is>
          <t>84</t>
        </is>
      </c>
      <c r="F7615" t="inlineStr">
        <is>
          <t>12</t>
        </is>
      </c>
      <c r="G7615" t="inlineStr">
        <is>
          <t>0</t>
        </is>
      </c>
      <c r="H7615" t="inlineStr">
        <is>
          <t>28⁴, 112²</t>
        </is>
      </c>
      <c r="I7615" t="n">
        <v>6</v>
      </c>
      <c r="J7615" t="inlineStr">
        <is>
          <t>4², 8², 12⁴, 24⁴</t>
        </is>
      </c>
      <c r="K7615">
        <f>HYPERLINK("CSG1.html#group16H1", "16H¹"), =HYPERLINK("CSG10.html#group56C10", "56C¹⁰")</f>
        <v/>
      </c>
      <c r="L7615" t="inlineStr"/>
      <c r="M7615">
        <f>HYPERLINK("CSG5.html#group56C5", "56C⁵"), =HYPERLINK("CSG1.html#group14B1", "14B¹"), =HYPERLINK("CSG0.html#group8D0", "8D⁰"), =HYPERLINK("CSG0.html#group4C0", "4C⁰"), =HYPERLINK("CSG0.html#group8B0", "8B⁰"), =HYPERLINK("CSG0.html#group2B0", "2B⁰"), =HYPERLINK("CSG0.html#group1A0", "1A⁰"), =HYPERLINK("CSG10.html#group56C10", "56C¹⁰"), =HYPERLINK("CSG0.html#group8H0", "8H⁰"), =HYPERLINK("CSG2.html#group28C2", "28C²"), =HYPERLINK("CSG0.html#group4A0", "4A⁰"), =HYPERLINK("CSG5.html#group28D5", "28D⁵"), =HYPERLINK("CSG0.html#group4F0", "4F⁰"), =HYPERLINK("CSG1.html#group28A1", "28A¹"), =HYPERLINK("CSG1.html#group16H1", "16H¹"), =HYPERLINK("CSG0.html#group7A0", "7A⁰"), =HYPERLINK("CSG4.html#group56B4", "56B⁴")</f>
        <v/>
      </c>
      <c r="N7615" t="inlineStr"/>
    </row>
    <row r="7616">
      <c r="A7616" t="inlineStr">
        <is>
          <t>112J²³</t>
        </is>
      </c>
      <c r="B7616" t="inlineStr"/>
      <c r="C7616" t="inlineStr">
        <is>
          <t>336</t>
        </is>
      </c>
      <c r="D7616" t="inlineStr">
        <is>
          <t>2</t>
        </is>
      </c>
      <c r="E7616" t="inlineStr">
        <is>
          <t>84</t>
        </is>
      </c>
      <c r="F7616" t="inlineStr">
        <is>
          <t>12</t>
        </is>
      </c>
      <c r="G7616" t="inlineStr">
        <is>
          <t>0</t>
        </is>
      </c>
      <c r="H7616" t="inlineStr">
        <is>
          <t>28⁴, 112²</t>
        </is>
      </c>
      <c r="I7616" t="n">
        <v>6</v>
      </c>
      <c r="J7616" t="inlineStr">
        <is>
          <t>2², 4¹, 6⁴, 8², 12², 24⁴</t>
        </is>
      </c>
      <c r="K7616">
        <f>HYPERLINK("CSG10.html#group56C10", "56C¹⁰"), =HYPERLINK("CSG11.html#group112C11", "112C¹¹"), =HYPERLINK("CSG12.html#group112F12", "112F¹²")</f>
        <v/>
      </c>
      <c r="L7616" t="inlineStr"/>
      <c r="M7616">
        <f>HYPERLINK("CSG5.html#group56C5", "56C⁵"), =HYPERLINK("CSG1.html#group14B1", "14B¹"), =HYPERLINK("CSG0.html#group8D0", "8D⁰"), =HYPERLINK("CSG0.html#group4C0", "4C⁰"), =HYPERLINK("CSG0.html#group8B0", "8B⁰"), =HYPERLINK("CSG0.html#group2B0", "2B⁰"), =HYPERLINK("CSG0.html#group1A0", "1A⁰"), =HYPERLINK("CSG10.html#group56C10", "56C¹⁰"), =HYPERLINK("CSG0.html#group8H0", "8H⁰"), =HYPERLINK("CSG2.html#group28C2", "28C²"), =HYPERLINK("CSG0.html#group4A0", "4A⁰"), =HYPERLINK("CSG12.html#group112F12", "112F¹²"), =HYPERLINK("CSG5.html#group28D5", "28D⁵"), =HYPERLINK("CSG11.html#group112C11", "112C¹¹"), =HYPERLINK("CSG0.html#group4F0", "4F⁰"), =HYPERLINK("CSG1.html#group28A1", "28A¹"), =HYPERLINK("CSG0.html#group7A0", "7A⁰"), =HYPERLINK("CSG4.html#group56B4", "56B⁴")</f>
        <v/>
      </c>
      <c r="N7616" t="inlineStr"/>
    </row>
    <row r="7617">
      <c r="A7617" t="inlineStr">
        <is>
          <t>112K²³</t>
        </is>
      </c>
      <c r="B7617" t="inlineStr"/>
      <c r="C7617" t="inlineStr">
        <is>
          <t>336</t>
        </is>
      </c>
      <c r="D7617" t="inlineStr">
        <is>
          <t>2</t>
        </is>
      </c>
      <c r="E7617" t="inlineStr">
        <is>
          <t>84</t>
        </is>
      </c>
      <c r="F7617" t="inlineStr">
        <is>
          <t>12</t>
        </is>
      </c>
      <c r="G7617" t="inlineStr">
        <is>
          <t>0</t>
        </is>
      </c>
      <c r="H7617" t="inlineStr">
        <is>
          <t>28⁴, 112²</t>
        </is>
      </c>
      <c r="I7617" t="n">
        <v>6</v>
      </c>
      <c r="J7617" t="inlineStr">
        <is>
          <t>2², 4¹, 6⁴, 8², 12², 24⁴</t>
        </is>
      </c>
      <c r="K7617">
        <f>HYPERLINK("CSG1.html#group16I1", "16I¹"), =HYPERLINK("CSG10.html#group56C10", "56C¹⁰"), =HYPERLINK("CSG11.html#group112D11", "112D¹¹"), =HYPERLINK("CSG12.html#group112G12", "112G¹²")</f>
        <v/>
      </c>
      <c r="L7617" t="inlineStr"/>
      <c r="M7617">
        <f>HYPERLINK("CSG5.html#group56C5", "56C⁵"), =HYPERLINK("CSG1.html#group16I1", "16I¹"), =HYPERLINK("CSG11.html#group112D11", "112D¹¹"), =HYPERLINK("CSG0.html#group8D0", "8D⁰"), =HYPERLINK("CSG1.html#group14B1", "14B¹"), =HYPERLINK("CSG0.html#group4C0", "4C⁰"), =HYPERLINK("CSG0.html#group8B0", "8B⁰"), =HYPERLINK("CSG0.html#group2B0", "2B⁰"), =HYPERLINK("CSG0.html#group1A0", "1A⁰"), =HYPERLINK("CSG10.html#group56C10", "56C¹⁰"), =HYPERLINK("CSG0.html#group8H0", "8H⁰"), =HYPERLINK("CSG0.html#group16E0", "16E⁰"), =HYPERLINK("CSG2.html#group28C2", "28C²"), =HYPERLINK("CSG0.html#group4A0", "4A⁰"), =HYPERLINK("CSG1.html#group16C1", "16C¹"), =HYPERLINK("CSG12.html#group112G12", "112G¹²"), =HYPERLINK("CSG5.html#group28D5", "28D⁵"), =HYPERLINK("CSG0.html#group4F0", "4F⁰"), =HYPERLINK("CSG1.html#group28A1", "28A¹"), =HYPERLINK("CSG0.html#group7A0", "7A⁰"), =HYPERLINK("CSG4.html#group56B4", "56B⁴")</f>
        <v/>
      </c>
      <c r="N7617" t="inlineStr"/>
    </row>
    <row r="7618">
      <c r="A7618" t="inlineStr">
        <is>
          <t>112L²³</t>
        </is>
      </c>
      <c r="B7618" t="inlineStr"/>
      <c r="C7618" t="inlineStr">
        <is>
          <t>336</t>
        </is>
      </c>
      <c r="D7618" t="inlineStr">
        <is>
          <t>2</t>
        </is>
      </c>
      <c r="E7618" t="inlineStr">
        <is>
          <t>84</t>
        </is>
      </c>
      <c r="F7618" t="inlineStr">
        <is>
          <t>16</t>
        </is>
      </c>
      <c r="G7618" t="inlineStr">
        <is>
          <t>0</t>
        </is>
      </c>
      <c r="H7618" t="inlineStr">
        <is>
          <t>56², 112²</t>
        </is>
      </c>
      <c r="I7618" t="n">
        <v>4</v>
      </c>
      <c r="J7618" t="inlineStr">
        <is>
          <t>2⁴, 4², 6⁸, 8¹, 12⁴, 24²</t>
        </is>
      </c>
      <c r="K7618">
        <f>HYPERLINK("CSG9.html#group56B9", "56B⁹"), =HYPERLINK("CSG11.html#group112E11", "112E¹¹"), =HYPERLINK("CSG11.html#group112F11", "112F¹¹")</f>
        <v/>
      </c>
      <c r="L7618" t="inlineStr"/>
      <c r="M7618">
        <f>HYPERLINK("CSG0.html#group14A0", "14A⁰"), =HYPERLINK("CSG4.html#group28C4", "28C⁴"), =HYPERLINK("CSG1.html#group14B1", "14B¹"), =HYPERLINK("CSG2.html#group14C2", "14C²"), =HYPERLINK("CSG0.html#group4C0", "4C⁰"), =HYPERLINK("CSG0.html#group8B0", "8B⁰"), =HYPERLINK("CSG0.html#group2B0", "2B⁰"), =HYPERLINK("CSG9.html#group56B9", "56B⁹"), =HYPERLINK("CSG0.html#group1A0", "1A⁰"), =HYPERLINK("CSG2.html#group28C2", "28C²"), =HYPERLINK("CSG1.html#group16D1", "16D¹"), =HYPERLINK("CSG11.html#group112E11", "112E¹¹"), =HYPERLINK("CSG11.html#group112F11", "112F¹¹"), =HYPERLINK("CSG5.html#group56A5", "56A⁵"), =HYPERLINK("CSG2.html#group28B2", "28B²"), =HYPERLINK("CSG0.html#group7A0", "7A⁰"), =HYPERLINK("CSG4.html#group56B4", "56B⁴")</f>
        <v/>
      </c>
      <c r="N7618" t="inlineStr"/>
    </row>
    <row r="7619">
      <c r="A7619" t="inlineStr">
        <is>
          <t>112M²³</t>
        </is>
      </c>
      <c r="B7619" t="inlineStr"/>
      <c r="C7619" t="inlineStr">
        <is>
          <t>336</t>
        </is>
      </c>
      <c r="D7619" t="inlineStr">
        <is>
          <t>2</t>
        </is>
      </c>
      <c r="E7619" t="inlineStr">
        <is>
          <t>84</t>
        </is>
      </c>
      <c r="F7619" t="inlineStr">
        <is>
          <t>16</t>
        </is>
      </c>
      <c r="G7619" t="inlineStr">
        <is>
          <t>0</t>
        </is>
      </c>
      <c r="H7619" t="inlineStr">
        <is>
          <t>56², 112²</t>
        </is>
      </c>
      <c r="I7619" t="n">
        <v>4</v>
      </c>
      <c r="J7619" t="inlineStr">
        <is>
          <t>2⁴, 4², 6⁸, 8¹, 12⁴, 24²</t>
        </is>
      </c>
      <c r="K7619">
        <f>HYPERLINK("CSG10.html#group56D10", "56D¹⁰"), =HYPERLINK("CSG10.html#group112A10", "112A¹⁰"), =HYPERLINK("CSG11.html#group112F11", "112F¹¹")</f>
        <v/>
      </c>
      <c r="L7619" t="inlineStr"/>
      <c r="M7619">
        <f>HYPERLINK("CSG2.html#group28C2", "28C²"), =HYPERLINK("CSG1.html#group16D1", "16D¹"), =HYPERLINK("CSG1.html#group14B1", "14B¹"), =HYPERLINK("CSG0.html#group4C0", "4C⁰"), =HYPERLINK("CSG10.html#group112A10", "112A¹⁰"), =HYPERLINK("CSG0.html#group8B0", "8B⁰"), =HYPERLINK("CSG11.html#group112F11", "112F¹¹"), =HYPERLINK("CSG0.html#group2B0", "2B⁰"), =HYPERLINK("CSG10.html#group56D10", "56D¹⁰"), =HYPERLINK("CSG0.html#group1A0", "1A⁰"), =HYPERLINK("CSG0.html#group7A0", "7A⁰"), =HYPERLINK("CSG4.html#group56B4", "56B⁴")</f>
        <v/>
      </c>
      <c r="N7619" t="inlineStr"/>
    </row>
    <row r="7620">
      <c r="A7620" t="inlineStr">
        <is>
          <t>112N²³</t>
        </is>
      </c>
      <c r="B7620" t="inlineStr"/>
      <c r="C7620" t="inlineStr">
        <is>
          <t>336</t>
        </is>
      </c>
      <c r="D7620" t="inlineStr">
        <is>
          <t>2</t>
        </is>
      </c>
      <c r="E7620" t="inlineStr">
        <is>
          <t>84</t>
        </is>
      </c>
      <c r="F7620" t="inlineStr">
        <is>
          <t>16</t>
        </is>
      </c>
      <c r="G7620" t="inlineStr">
        <is>
          <t>0</t>
        </is>
      </c>
      <c r="H7620" t="inlineStr">
        <is>
          <t>56², 112²</t>
        </is>
      </c>
      <c r="I7620" t="n">
        <v>4</v>
      </c>
      <c r="J7620" t="inlineStr">
        <is>
          <t>2⁴, 4², 6⁸, 8¹, 12⁴, 24²</t>
        </is>
      </c>
      <c r="K7620">
        <f>HYPERLINK("CSG10.html#group56E10", "56E¹⁰"), =HYPERLINK("CSG10.html#group112A10", "112A¹⁰"), =HYPERLINK("CSG11.html#group112E11", "112E¹¹")</f>
        <v/>
      </c>
      <c r="L7620" t="inlineStr"/>
      <c r="M7620">
        <f>HYPERLINK("CSG2.html#group28C2", "28C²"), =HYPERLINK("CSG11.html#group112E11", "112E¹¹"), =HYPERLINK("CSG10.html#group56E10", "56E¹⁰"), =HYPERLINK("CSG1.html#group14B1", "14B¹"), =HYPERLINK("CSG0.html#group4C0", "4C⁰"), =HYPERLINK("CSG10.html#group112A10", "112A¹⁰"), =HYPERLINK("CSG0.html#group8B0", "8B⁰"), =HYPERLINK("CSG0.html#group8L0", "8L⁰"), =HYPERLINK("CSG0.html#group2B0", "2B⁰"), =HYPERLINK("CSG0.html#group1A0", "1A⁰"), =HYPERLINK("CSG0.html#group7A0", "7A⁰"), =HYPERLINK("CSG4.html#group56B4", "56B⁴")</f>
        <v/>
      </c>
      <c r="N7620" t="inlineStr"/>
    </row>
    <row r="7621">
      <c r="A7621" t="inlineStr">
        <is>
          <t>112O²³</t>
        </is>
      </c>
      <c r="B7621" t="inlineStr"/>
      <c r="C7621" t="inlineStr">
        <is>
          <t>384</t>
        </is>
      </c>
      <c r="D7621" t="inlineStr">
        <is>
          <t>1</t>
        </is>
      </c>
      <c r="E7621" t="inlineStr">
        <is>
          <t>24</t>
        </is>
      </c>
      <c r="F7621" t="inlineStr">
        <is>
          <t>0</t>
        </is>
      </c>
      <c r="G7621" t="inlineStr">
        <is>
          <t>0</t>
        </is>
      </c>
      <c r="H7621" t="inlineStr">
        <is>
          <t>2⁸, 14⁸, 16², 112²</t>
        </is>
      </c>
      <c r="I7621" t="n">
        <v>20</v>
      </c>
      <c r="J7621" t="inlineStr">
        <is>
          <t>1⁶, 6³</t>
        </is>
      </c>
      <c r="K7621">
        <f>HYPERLINK("CSG11.html#group56M11", "56M¹¹"), =HYPERLINK("CSG11.html#group112I11", "112I¹¹")</f>
        <v/>
      </c>
      <c r="L7621" t="inlineStr"/>
      <c r="M7621">
        <f>HYPERLINK("CSG0.html#group2A0", "2A⁰"), =HYPERLINK("CSG0.html#group8D0", "8D⁰"), =HYPERLINK("CSG2.html#group28D2", "28D²"), =HYPERLINK("CSG0.html#group4C0", "4C⁰"), =HYPERLINK("CSG0.html#group8C0", "8C⁰"), =HYPERLINK("CSG0.html#group2B0", "2B⁰"), =HYPERLINK("CSG0.html#group4E0", "4E⁰"), =HYPERLINK("CSG2.html#group14E2", "14E²"), =HYPERLINK("CSG0.html#group4B0", "4B⁰"), =HYPERLINK("CSG5.html#group56D5", "56D⁵"), =HYPERLINK("CSG0.html#group1A0", "1A⁰"), =HYPERLINK("CSG11.html#group56M11", "56M¹¹"), =HYPERLINK("CSG5.html#group28E5", "28E⁵"), =HYPERLINK("CSG0.html#group8G0", "8G⁰"), =HYPERLINK("CSG0.html#group7B0", "7B⁰"), =HYPERLINK("CSG1.html#group14C1", "14C¹"), =HYPERLINK("CSG0.html#group14B0", "14B⁰"), =HYPERLINK("CSG3.html#group28C3", "28C³"), =HYPERLINK("CSG6.html#group56E6", "56E⁶"), =HYPERLINK("CSG0.html#group2C0", "2C⁰"), =HYPERLINK("CSG11.html#group112I11", "112I¹¹")</f>
        <v/>
      </c>
      <c r="N7621" t="inlineStr"/>
    </row>
    <row r="7622">
      <c r="A7622" t="inlineStr">
        <is>
          <t>112P²³</t>
        </is>
      </c>
      <c r="B7622" t="inlineStr"/>
      <c r="C7622" t="inlineStr">
        <is>
          <t>384</t>
        </is>
      </c>
      <c r="D7622" t="inlineStr">
        <is>
          <t>1</t>
        </is>
      </c>
      <c r="E7622" t="inlineStr">
        <is>
          <t>24</t>
        </is>
      </c>
      <c r="F7622" t="inlineStr">
        <is>
          <t>0</t>
        </is>
      </c>
      <c r="G7622" t="inlineStr">
        <is>
          <t>0</t>
        </is>
      </c>
      <c r="H7622" t="inlineStr">
        <is>
          <t>2⁸, 14⁸, 16², 112²</t>
        </is>
      </c>
      <c r="I7622" t="n">
        <v>20</v>
      </c>
      <c r="J7622" t="inlineStr">
        <is>
          <t>1⁶, 6³</t>
        </is>
      </c>
      <c r="K7622">
        <f>HYPERLINK("CSG0.html#group16G0", "16G⁰"), =HYPERLINK("CSG11.html#group56M11", "56M¹¹"), =HYPERLINK("CSG11.html#group112J11", "112J¹¹"), =HYPERLINK("CSG12.html#group112H12", "112H¹²")</f>
        <v/>
      </c>
      <c r="L7622" t="inlineStr"/>
      <c r="M7622">
        <f>HYPERLINK("CSG0.html#group16G0", "16G⁰"), =HYPERLINK("CSG0.html#group2A0", "2A⁰"), =HYPERLINK("CSG11.html#group112J11", "112J¹¹"), =HYPERLINK("CSG0.html#group8D0", "8D⁰"), =HYPERLINK("CSG0.html#group4C0", "4C⁰"), =HYPERLINK("CSG2.html#group28D2", "28D²"), =HYPERLINK("CSG0.html#group8C0", "8C⁰"), =HYPERLINK("CSG0.html#group4E0", "4E⁰"), =HYPERLINK("CSG0.html#group2B0", "2B⁰"), =HYPERLINK("CSG2.html#group14E2", "14E²"), =HYPERLINK("CSG0.html#group4B0", "4B⁰"), =HYPERLINK("CSG5.html#group56D5", "56D⁵"), =HYPERLINK("CSG0.html#group1A0", "1A⁰"), =HYPERLINK("CSG11.html#group56M11", "56M¹¹"), =HYPERLINK("CSG0.html#group16E0", "16E⁰"), =HYPERLINK("CSG5.html#group28E5", "28E⁵"), =HYPERLINK("CSG0.html#group8G0", "8G⁰"), =HYPERLINK("CSG0.html#group7B0", "7B⁰"), =HYPERLINK("CSG0.html#group16D0", "16D⁰"), =HYPERLINK("CSG1.html#group14C1", "14C¹"), =HYPERLINK("CSG0.html#group14B0", "14B⁰"), =HYPERLINK("CSG3.html#group28C3", "28C³"), =HYPERLINK("CSG6.html#group56E6", "56E⁶"), =HYPERLINK("CSG0.html#group2C0", "2C⁰"), =HYPERLINK("CSG12.html#group112H12", "112H¹²")</f>
        <v/>
      </c>
      <c r="N7622" t="inlineStr"/>
    </row>
    <row r="7623">
      <c r="A7623" t="inlineStr">
        <is>
          <t>112Q²³</t>
        </is>
      </c>
      <c r="B7623" t="inlineStr"/>
      <c r="C7623" t="inlineStr">
        <is>
          <t>384</t>
        </is>
      </c>
      <c r="D7623" t="inlineStr">
        <is>
          <t>1</t>
        </is>
      </c>
      <c r="E7623" t="inlineStr">
        <is>
          <t>96</t>
        </is>
      </c>
      <c r="F7623" t="inlineStr">
        <is>
          <t>0</t>
        </is>
      </c>
      <c r="G7623" t="inlineStr">
        <is>
          <t>0</t>
        </is>
      </c>
      <c r="H7623" t="inlineStr">
        <is>
          <t>1⁴, 2², 4², 7⁴, 14², 16², 28², 112²</t>
        </is>
      </c>
      <c r="I7623" t="n">
        <v>20</v>
      </c>
      <c r="J7623" t="inlineStr">
        <is>
          <t>1⁸, 2⁴, 4², 6⁴, 12², 24¹</t>
        </is>
      </c>
      <c r="K7623">
        <f>HYPERLINK("CSG11.html#group56O11", "56O¹¹"), =HYPERLINK("CSG11.html#group112G11", "112G¹¹"), =HYPERLINK("CSG11.html#group112J11", "112J¹¹")</f>
        <v/>
      </c>
      <c r="L7623" t="inlineStr"/>
      <c r="M7623">
        <f>HYPERLINK("CSG11.html#group112J11", "112J¹¹"), =HYPERLINK("CSG0.html#group7B0", "7B⁰"), =HYPERLINK("CSG0.html#group16D0", "16D⁰"), =HYPERLINK("CSG2.html#group28D2", "28D²"), =HYPERLINK("CSG1.html#group14C1", "14C¹"), =HYPERLINK("CSG11.html#group56O11", "56O¹¹"), =HYPERLINK("CSG0.html#group8C0", "8C⁰"), =HYPERLINK("CSG0.html#group2B0", "2B⁰"), =HYPERLINK("CSG0.html#group4B0", "4B⁰"), =HYPERLINK("CSG5.html#group56D5", "56D⁵"), =HYPERLINK("CSG0.html#group1A0", "1A⁰"), =HYPERLINK("CSG11.html#group112G11", "112G¹¹")</f>
        <v/>
      </c>
      <c r="N7623" t="inlineStr"/>
    </row>
    <row r="7624">
      <c r="A7624" t="inlineStr">
        <is>
          <t>112R²³</t>
        </is>
      </c>
      <c r="B7624" t="inlineStr"/>
      <c r="C7624" t="inlineStr">
        <is>
          <t>384</t>
        </is>
      </c>
      <c r="D7624" t="inlineStr">
        <is>
          <t>1</t>
        </is>
      </c>
      <c r="E7624" t="inlineStr">
        <is>
          <t>96</t>
        </is>
      </c>
      <c r="F7624" t="inlineStr">
        <is>
          <t>0</t>
        </is>
      </c>
      <c r="G7624" t="inlineStr">
        <is>
          <t>0</t>
        </is>
      </c>
      <c r="H7624" t="inlineStr">
        <is>
          <t>1⁴, 2², 4², 7⁴, 14², 16², 28², 112²</t>
        </is>
      </c>
      <c r="I7624" t="n">
        <v>20</v>
      </c>
      <c r="J7624" t="inlineStr">
        <is>
          <t>1⁸, 2⁴, 4², 6⁴, 12², 24¹</t>
        </is>
      </c>
      <c r="K7624">
        <f>HYPERLINK("CSG11.html#group56O11", "56O¹¹"), =HYPERLINK("CSG11.html#group112H11", "112H¹¹"), =HYPERLINK("CSG11.html#group112I11", "112I¹¹")</f>
        <v/>
      </c>
      <c r="L7624" t="inlineStr"/>
      <c r="M7624">
        <f>HYPERLINK("CSG0.html#group7B0", "7B⁰"), =HYPERLINK("CSG0.html#group16C0", "16C⁰"), =HYPERLINK("CSG2.html#group28D2", "28D²"), =HYPERLINK("CSG1.html#group14C1", "14C¹"), =HYPERLINK("CSG11.html#group56O11", "56O¹¹"), =HYPERLINK("CSG0.html#group8C0", "8C⁰"), =HYPERLINK("CSG0.html#group2B0", "2B⁰"), =HYPERLINK("CSG0.html#group4B0", "4B⁰"), =HYPERLINK("CSG5.html#group56D5", "56D⁵"), =HYPERLINK("CSG0.html#group1A0", "1A⁰"), =HYPERLINK("CSG11.html#group112H11", "112H¹¹"), =HYPERLINK("CSG11.html#group112I11", "112I¹¹")</f>
        <v/>
      </c>
      <c r="N7624" t="inlineStr"/>
    </row>
    <row r="7625">
      <c r="A7625" t="inlineStr">
        <is>
          <t>112S²³</t>
        </is>
      </c>
      <c r="B7625" t="inlineStr"/>
      <c r="C7625" t="inlineStr">
        <is>
          <t>384</t>
        </is>
      </c>
      <c r="D7625" t="inlineStr">
        <is>
          <t>1</t>
        </is>
      </c>
      <c r="E7625" t="inlineStr">
        <is>
          <t>96</t>
        </is>
      </c>
      <c r="F7625" t="inlineStr">
        <is>
          <t>0</t>
        </is>
      </c>
      <c r="G7625" t="inlineStr">
        <is>
          <t>0</t>
        </is>
      </c>
      <c r="H7625" t="inlineStr">
        <is>
          <t>1⁴, 2², 4², 7⁴, 14², 16², 28², 112²</t>
        </is>
      </c>
      <c r="I7625" t="n">
        <v>20</v>
      </c>
      <c r="J7625" t="inlineStr">
        <is>
          <t>1⁸, 2⁴, 4², 6⁴, 12², 24¹</t>
        </is>
      </c>
      <c r="K7625">
        <f>HYPERLINK("CSG11.html#group56P11", "56P¹¹"), =HYPERLINK("CSG11.html#group112G11", "112G¹¹"), =HYPERLINK("CSG11.html#group112I11", "112I¹¹")</f>
        <v/>
      </c>
      <c r="L7625" t="inlineStr"/>
      <c r="M7625">
        <f>HYPERLINK("CSG0.html#group4B0", "4B⁰"), =HYPERLINK("CSG0.html#group7B0", "7B⁰"), =HYPERLINK("CSG2.html#group28D2", "28D²"), =HYPERLINK("CSG1.html#group14C1", "14C¹"), =HYPERLINK("CSG0.html#group8C0", "8C⁰"), =HYPERLINK("CSG0.html#group2B0", "2B⁰"), =HYPERLINK("CSG0.html#group8I0", "8I⁰"), =HYPERLINK("CSG11.html#group56P11", "56P¹¹"), =HYPERLINK("CSG5.html#group56D5", "56D⁵"), =HYPERLINK("CSG0.html#group1A0", "1A⁰"), =HYPERLINK("CSG11.html#group112G11", "112G¹¹"), =HYPERLINK("CSG11.html#group112I11", "112I¹¹")</f>
        <v/>
      </c>
      <c r="N7625" t="inlineStr"/>
    </row>
    <row r="7626">
      <c r="A7626" t="inlineStr">
        <is>
          <t>112T²³</t>
        </is>
      </c>
      <c r="B7626" t="inlineStr"/>
      <c r="C7626" t="inlineStr">
        <is>
          <t>384</t>
        </is>
      </c>
      <c r="D7626" t="inlineStr">
        <is>
          <t>1</t>
        </is>
      </c>
      <c r="E7626" t="inlineStr">
        <is>
          <t>96</t>
        </is>
      </c>
      <c r="F7626" t="inlineStr">
        <is>
          <t>0</t>
        </is>
      </c>
      <c r="G7626" t="inlineStr">
        <is>
          <t>0</t>
        </is>
      </c>
      <c r="H7626" t="inlineStr">
        <is>
          <t>1⁴, 2², 4², 7⁴, 14², 16², 28², 112²</t>
        </is>
      </c>
      <c r="I7626" t="n">
        <v>20</v>
      </c>
      <c r="J7626" t="inlineStr">
        <is>
          <t>1⁸, 2⁴, 4², 6⁴, 12², 24¹</t>
        </is>
      </c>
      <c r="K7626">
        <f>HYPERLINK("CSG0.html#group16H0", "16H⁰"), =HYPERLINK("CSG11.html#group56P11", "56P¹¹"), =HYPERLINK("CSG11.html#group112H11", "112H¹¹"), =HYPERLINK("CSG11.html#group112J11", "112J¹¹")</f>
        <v/>
      </c>
      <c r="L7626" t="inlineStr"/>
      <c r="M7626">
        <f>HYPERLINK("CSG11.html#group112J11", "112J¹¹"), =HYPERLINK("CSG0.html#group4B0", "4B⁰"), =HYPERLINK("CSG0.html#group7B0", "7B⁰"), =HYPERLINK("CSG0.html#group16C0", "16C⁰"), =HYPERLINK("CSG0.html#group16D0", "16D⁰"), =HYPERLINK("CSG2.html#group28D2", "28D²"), =HYPERLINK("CSG1.html#group14C1", "14C¹"), =HYPERLINK("CSG0.html#group8C0", "8C⁰"), =HYPERLINK("CSG0.html#group2B0", "2B⁰"), =HYPERLINK("CSG0.html#group8I0", "8I⁰"), =HYPERLINK("CSG11.html#group56P11", "56P¹¹"), =HYPERLINK("CSG5.html#group56D5", "56D⁵"), =HYPERLINK("CSG0.html#group1A0", "1A⁰"), =HYPERLINK("CSG11.html#group112H11", "112H¹¹"), =HYPERLINK("CSG0.html#group16H0", "16H⁰")</f>
        <v/>
      </c>
      <c r="N7626" t="inlineStr"/>
    </row>
    <row r="7627">
      <c r="A7627" t="inlineStr">
        <is>
          <t>112U²³</t>
        </is>
      </c>
      <c r="B7627" t="inlineStr"/>
      <c r="C7627" t="inlineStr">
        <is>
          <t>384</t>
        </is>
      </c>
      <c r="D7627" t="inlineStr">
        <is>
          <t>1</t>
        </is>
      </c>
      <c r="E7627" t="inlineStr">
        <is>
          <t>96</t>
        </is>
      </c>
      <c r="F7627" t="inlineStr">
        <is>
          <t>0</t>
        </is>
      </c>
      <c r="G7627" t="inlineStr">
        <is>
          <t>0</t>
        </is>
      </c>
      <c r="H7627" t="inlineStr">
        <is>
          <t>2⁸, 14⁸, 16², 112²</t>
        </is>
      </c>
      <c r="I7627" t="n">
        <v>20</v>
      </c>
      <c r="J7627" t="inlineStr">
        <is>
          <t>1⁸, 2⁴, 4², 6⁴, 12², 24¹</t>
        </is>
      </c>
      <c r="K7627">
        <f>HYPERLINK("CSG11.html#group56N11", "56N¹¹"), =HYPERLINK("CSG11.html#group112I11", "112I¹¹"), =HYPERLINK("CSG11.html#group112J11", "112J¹¹")</f>
        <v/>
      </c>
      <c r="L7627" t="inlineStr"/>
      <c r="M7627">
        <f>HYPERLINK("CSG4.html#group28E4", "28E⁴"), =HYPERLINK("CSG11.html#group112J11", "112J¹¹"), =HYPERLINK("CSG6.html#group56D6", "56D⁶"), =HYPERLINK("CSG0.html#group7B0", "7B⁰"), =HYPERLINK("CSG0.html#group16D0", "16D⁰"), =HYPERLINK("CSG2.html#group28D2", "28D²"), =HYPERLINK("CSG1.html#group14C1", "14C¹"), =HYPERLINK("CSG0.html#group1A0", "1A⁰"), =HYPERLINK("CSG0.html#group8C0", "8C⁰"), =HYPERLINK("CSG0.html#group2B0", "2B⁰"), =HYPERLINK("CSG0.html#group4B0", "4B⁰"), =HYPERLINK("CSG11.html#group56N11", "56N¹¹"), =HYPERLINK("CSG5.html#group56D5", "56D⁵"), =HYPERLINK("CSG11.html#group112I11", "112I¹¹")</f>
        <v/>
      </c>
      <c r="N7627" t="inlineStr"/>
    </row>
    <row r="7628">
      <c r="A7628" t="inlineStr">
        <is>
          <t>114A²³</t>
        </is>
      </c>
      <c r="B7628" t="inlineStr"/>
      <c r="C7628" t="inlineStr">
        <is>
          <t>342</t>
        </is>
      </c>
      <c r="D7628" t="inlineStr">
        <is>
          <t>2</t>
        </is>
      </c>
      <c r="E7628" t="inlineStr">
        <is>
          <t>171</t>
        </is>
      </c>
      <c r="F7628" t="inlineStr">
        <is>
          <t>20</t>
        </is>
      </c>
      <c r="G7628" t="inlineStr">
        <is>
          <t>0</t>
        </is>
      </c>
      <c r="H7628" t="inlineStr">
        <is>
          <t>114³</t>
        </is>
      </c>
      <c r="I7628" t="n">
        <v>3</v>
      </c>
      <c r="J7628" t="inlineStr">
        <is>
          <t>6¹, 12¹, 18⁶, 36⁶</t>
        </is>
      </c>
      <c r="K7628">
        <f>HYPERLINK("CSG0.html#group6B0", "6B⁰"), =HYPERLINK("CSG10.html#group57A10", "57A¹⁰")</f>
        <v/>
      </c>
      <c r="L7628" t="inlineStr"/>
      <c r="M7628">
        <f>HYPERLINK("CSG10.html#group57A10", "57A¹⁰"), =HYPERLINK("CSG0.html#group6B0", "6B⁰"), =HYPERLINK("CSG0.html#group3A0", "3A⁰"), =HYPERLINK("CSG0.html#group1A0", "1A⁰"), =HYPERLINK("CSG2.html#group19A2", "19A²")</f>
        <v/>
      </c>
      <c r="N7628" t="inlineStr"/>
    </row>
    <row r="7629">
      <c r="A7629" t="inlineStr">
        <is>
          <t>117A²³</t>
        </is>
      </c>
      <c r="B7629" t="inlineStr"/>
      <c r="C7629" t="inlineStr">
        <is>
          <t>336</t>
        </is>
      </c>
      <c r="D7629" t="inlineStr">
        <is>
          <t>2</t>
        </is>
      </c>
      <c r="E7629" t="inlineStr">
        <is>
          <t>56</t>
        </is>
      </c>
      <c r="F7629" t="inlineStr">
        <is>
          <t>0</t>
        </is>
      </c>
      <c r="G7629" t="inlineStr">
        <is>
          <t>6</t>
        </is>
      </c>
      <c r="H7629" t="inlineStr">
        <is>
          <t>3², 9², 39², 117²</t>
        </is>
      </c>
      <c r="I7629" t="n">
        <v>8</v>
      </c>
      <c r="J7629" t="inlineStr">
        <is>
          <t>2⁸, 24⁴</t>
        </is>
      </c>
      <c r="K7629">
        <f>HYPERLINK("CSG5.html#group39B5", "39B⁵"), =HYPERLINK("CSG12.html#group117A12", "117A¹²")</f>
        <v/>
      </c>
      <c r="L7629" t="inlineStr"/>
      <c r="M7629">
        <f>HYPERLINK("CSG0.html#group3B0", "3B⁰"), =HYPERLINK("CSG3.html#group39A3", "39A³"), =HYPERLINK("CSG0.html#group13A0", "13A⁰"), =HYPERLINK("CSG0.html#group13B0", "13B⁰"), =HYPERLINK("CSG0.html#group1A0", "1A⁰"), =HYPERLINK("CSG12.html#group117A12", "117A¹²"), =HYPERLINK("CSG5.html#group39B5", "39B⁵")</f>
        <v/>
      </c>
      <c r="N7629" t="inlineStr"/>
    </row>
    <row r="7630">
      <c r="A7630" t="inlineStr">
        <is>
          <t>120A²³</t>
        </is>
      </c>
      <c r="B7630" t="inlineStr"/>
      <c r="C7630" t="inlineStr">
        <is>
          <t>288</t>
        </is>
      </c>
      <c r="D7630" t="inlineStr">
        <is>
          <t>1</t>
        </is>
      </c>
      <c r="E7630" t="inlineStr">
        <is>
          <t>24</t>
        </is>
      </c>
      <c r="F7630" t="inlineStr">
        <is>
          <t>0</t>
        </is>
      </c>
      <c r="G7630" t="inlineStr">
        <is>
          <t>0</t>
        </is>
      </c>
      <c r="H7630" t="inlineStr">
        <is>
          <t>24², 120²</t>
        </is>
      </c>
      <c r="I7630" t="n">
        <v>4</v>
      </c>
      <c r="J7630" t="inlineStr">
        <is>
          <t>2⁴, 8²</t>
        </is>
      </c>
      <c r="K7630">
        <f>HYPERLINK("CSG7.html#group40A7", "40A⁷"), =HYPERLINK("CSG9.html#group120C9", "120C⁹"), =HYPERLINK("CSG11.html#group60E11", "60E¹¹")</f>
        <v/>
      </c>
      <c r="L7630" t="inlineStr"/>
      <c r="M7630">
        <f>HYPERLINK("CSG11.html#group60E11", "60E¹¹"), =HYPERLINK("CSG0.html#group2A0", "2A⁰"), =HYPERLINK("CSG3.html#group40A3", "40A³"), =HYPERLINK("CSG3.html#group20C3", "20C³"), =HYPERLINK("CSG0.html#group5B0", "5B⁰"), =HYPERLINK("CSG1.html#group10A1", "10A¹"), =HYPERLINK("CSG0.html#group1A0", "1A⁰"), =HYPERLINK("CSG9.html#group120C9", "120C⁹"), =HYPERLINK("CSG1.html#group20B1", "20B¹"), =HYPERLINK("CSG3.html#group30B3", "30B³"), =HYPERLINK("CSG7.html#group40A7", "40A⁷"), =HYPERLINK("CSG0.html#group15B0", "15B⁰"), =HYPERLINK("CSG0.html#group12A0", "12A⁰"), =HYPERLINK("CSG0.html#group4A0", "4A⁰"), =HYPERLINK("CSG0.html#group4D0", "4D⁰"), =HYPERLINK("CSG2.html#group12A2", "12A²"), =HYPERLINK("CSG3.html#group60B3", "60B³"), =HYPERLINK("CSG1.html#group6A1", "6A¹"), =HYPERLINK("CSG0.html#group3A0", "3A⁰")</f>
        <v/>
      </c>
      <c r="N7630" t="inlineStr"/>
    </row>
    <row r="7631">
      <c r="A7631" t="inlineStr">
        <is>
          <t>120B²³</t>
        </is>
      </c>
      <c r="B7631" t="inlineStr"/>
      <c r="C7631" t="inlineStr">
        <is>
          <t>288</t>
        </is>
      </c>
      <c r="D7631" t="inlineStr">
        <is>
          <t>1</t>
        </is>
      </c>
      <c r="E7631" t="inlineStr">
        <is>
          <t>24</t>
        </is>
      </c>
      <c r="F7631" t="inlineStr">
        <is>
          <t>0</t>
        </is>
      </c>
      <c r="G7631" t="inlineStr">
        <is>
          <t>0</t>
        </is>
      </c>
      <c r="H7631" t="inlineStr">
        <is>
          <t>24², 120²</t>
        </is>
      </c>
      <c r="I7631" t="n">
        <v>4</v>
      </c>
      <c r="J7631" t="inlineStr">
        <is>
          <t>2⁴, 8²</t>
        </is>
      </c>
      <c r="K7631">
        <f>HYPERLINK("CSG4.html#group24A4", "24A⁴"), =HYPERLINK("CSG7.html#group40B7", "40B⁷"), =HYPERLINK("CSG9.html#group120D9", "120D⁹"), =HYPERLINK("CSG11.html#group60E11", "60E¹¹")</f>
        <v/>
      </c>
      <c r="L7631" t="inlineStr"/>
      <c r="M7631">
        <f>HYPERLINK("CSG11.html#group60E11", "60E¹¹"), =HYPERLINK("CSG0.html#group2A0", "2A⁰"), =HYPERLINK("CSG3.html#group20C3", "20C³"), =HYPERLINK("CSG0.html#group8A0", "8A⁰"), =HYPERLINK("CSG4.html#group24A4", "24A⁴"), =HYPERLINK("CSG0.html#group5B0", "5B⁰"), =HYPERLINK("CSG0.html#group8E0", "8E⁰"), =HYPERLINK("CSG1.html#group10A1", "10A¹"), =HYPERLINK("CSG9.html#group120D9", "120D⁹"), =HYPERLINK("CSG0.html#group1A0", "1A⁰"), =HYPERLINK("CSG1.html#group20B1", "20B¹"), =HYPERLINK("CSG3.html#group30B3", "30B³"), =HYPERLINK("CSG0.html#group15B0", "15B⁰"), =HYPERLINK("CSG0.html#group12A0", "12A⁰"), =HYPERLINK("CSG1.html#group24A1", "24A¹"), =HYPERLINK("CSG0.html#group4A0", "4A⁰"), =HYPERLINK("CSG0.html#group4D0", "4D⁰"), =HYPERLINK("CSG7.html#group40B7", "40B⁷"), =HYPERLINK("CSG3.html#group40B3", "40B³"), =HYPERLINK("CSG2.html#group12A2", "12A²"), =HYPERLINK("CSG3.html#group60B3", "60B³"), =HYPERLINK("CSG1.html#group6A1", "6A¹"), =HYPERLINK("CSG0.html#group3A0", "3A⁰")</f>
        <v/>
      </c>
      <c r="N7631" t="inlineStr"/>
    </row>
    <row r="7632">
      <c r="A7632" t="inlineStr">
        <is>
          <t>120C²³</t>
        </is>
      </c>
      <c r="B7632" t="inlineStr"/>
      <c r="C7632" t="inlineStr">
        <is>
          <t>288</t>
        </is>
      </c>
      <c r="D7632" t="inlineStr">
        <is>
          <t>1</t>
        </is>
      </c>
      <c r="E7632" t="inlineStr">
        <is>
          <t>48</t>
        </is>
      </c>
      <c r="F7632" t="inlineStr">
        <is>
          <t>0</t>
        </is>
      </c>
      <c r="G7632" t="inlineStr">
        <is>
          <t>0</t>
        </is>
      </c>
      <c r="H7632" t="inlineStr">
        <is>
          <t>24², 120²</t>
        </is>
      </c>
      <c r="I7632" t="n">
        <v>4</v>
      </c>
      <c r="J7632" t="inlineStr">
        <is>
          <t>4⁴, 16²</t>
        </is>
      </c>
      <c r="K7632">
        <f>HYPERLINK("CSG7.html#group40A7", "40A⁷"), =HYPERLINK("CSG11.html#group60F11", "60F¹¹")</f>
        <v/>
      </c>
      <c r="L7632" t="inlineStr"/>
      <c r="M7632">
        <f>HYPERLINK("CSG7.html#group40A7", "40A⁷"), =HYPERLINK("CSG0.html#group2A0", "2A⁰"), =HYPERLINK("CSG3.html#group40A3", "40A³"), =HYPERLINK("CSG0.html#group6A0", "6A⁰"), =HYPERLINK("CSG3.html#group30C3", "30C³"), =HYPERLINK("CSG0.html#group4A0", "4A⁰"), =HYPERLINK("CSG0.html#group4D0", "4D⁰"), =HYPERLINK("CSG3.html#group20C3", "20C³"), =HYPERLINK("CSG0.html#group5B0", "5B⁰"), =HYPERLINK("CSG1.html#group12E1", "12E¹"), =HYPERLINK("CSG1.html#group10A1", "10A¹"), =HYPERLINK("CSG11.html#group60F11", "60F¹¹"), =HYPERLINK("CSG0.html#group1A0", "1A⁰"), =HYPERLINK("CSG1.html#group20B1", "20B¹")</f>
        <v/>
      </c>
      <c r="N7632" t="inlineStr"/>
    </row>
    <row r="7633">
      <c r="A7633" t="inlineStr">
        <is>
          <t>120D²³</t>
        </is>
      </c>
      <c r="B7633" t="inlineStr"/>
      <c r="C7633" t="inlineStr">
        <is>
          <t>288</t>
        </is>
      </c>
      <c r="D7633" t="inlineStr">
        <is>
          <t>1</t>
        </is>
      </c>
      <c r="E7633" t="inlineStr">
        <is>
          <t>48</t>
        </is>
      </c>
      <c r="F7633" t="inlineStr">
        <is>
          <t>0</t>
        </is>
      </c>
      <c r="G7633" t="inlineStr">
        <is>
          <t>0</t>
        </is>
      </c>
      <c r="H7633" t="inlineStr">
        <is>
          <t>24², 120²</t>
        </is>
      </c>
      <c r="I7633" t="n">
        <v>4</v>
      </c>
      <c r="J7633" t="inlineStr">
        <is>
          <t>4⁴, 16²</t>
        </is>
      </c>
      <c r="K7633">
        <f>HYPERLINK("CSG2.html#group24E2", "24E²"), =HYPERLINK("CSG7.html#group40B7", "40B⁷"), =HYPERLINK("CSG11.html#group60F11", "60F¹¹")</f>
        <v/>
      </c>
      <c r="L7633" t="inlineStr"/>
      <c r="M7633">
        <f>HYPERLINK("CSG0.html#group2A0", "2A⁰"), =HYPERLINK("CSG3.html#group30C3", "30C³"), =HYPERLINK("CSG2.html#group24E2", "24E²"), =HYPERLINK("CSG1.html#group12E1", "12E¹"), =HYPERLINK("CSG0.html#group8A0", "8A⁰"), =HYPERLINK("CSG3.html#group20C3", "20C³"), =HYPERLINK("CSG0.html#group8E0", "8E⁰"), =HYPERLINK("CSG0.html#group5B0", "5B⁰"), =HYPERLINK("CSG1.html#group10A1", "10A¹"), =HYPERLINK("CSG11.html#group60F11", "60F¹¹"), =HYPERLINK("CSG0.html#group1A0", "1A⁰"), =HYPERLINK("CSG1.html#group20B1", "20B¹"), =HYPERLINK("CSG0.html#group6A0", "6A⁰"), =HYPERLINK("CSG0.html#group4A0", "4A⁰"), =HYPERLINK("CSG0.html#group4D0", "4D⁰"), =HYPERLINK("CSG7.html#group40B7", "40B⁷"), =HYPERLINK("CSG3.html#group40B3", "40B³")</f>
        <v/>
      </c>
      <c r="N7633" t="inlineStr"/>
    </row>
    <row r="7634">
      <c r="A7634" t="inlineStr">
        <is>
          <t>120E²³</t>
        </is>
      </c>
      <c r="B7634" t="inlineStr"/>
      <c r="C7634" t="inlineStr">
        <is>
          <t>288</t>
        </is>
      </c>
      <c r="D7634" t="inlineStr">
        <is>
          <t>1</t>
        </is>
      </c>
      <c r="E7634" t="inlineStr">
        <is>
          <t>72</t>
        </is>
      </c>
      <c r="F7634" t="inlineStr">
        <is>
          <t>0</t>
        </is>
      </c>
      <c r="G7634" t="inlineStr">
        <is>
          <t>0</t>
        </is>
      </c>
      <c r="H7634" t="inlineStr">
        <is>
          <t>24², 120²</t>
        </is>
      </c>
      <c r="I7634" t="n">
        <v>4</v>
      </c>
      <c r="J7634" t="inlineStr">
        <is>
          <t>2⁴, 4⁴, 8², 16²</t>
        </is>
      </c>
      <c r="K7634">
        <f>HYPERLINK("CSG9.html#group120E9", "120E⁹"), =HYPERLINK("CSG11.html#group60E11", "60E¹¹")</f>
        <v/>
      </c>
      <c r="L7634" t="inlineStr"/>
      <c r="M7634">
        <f>HYPERLINK("CSG11.html#group60E11", "60E¹¹"), =HYPERLINK("CSG0.html#group2A0", "2A⁰"), =HYPERLINK("CSG3.html#group20C3", "20C³"), =HYPERLINK("CSG0.html#group5B0", "5B⁰"), =HYPERLINK("CSG9.html#group120E9", "120E⁹"), =HYPERLINK("CSG1.html#group10A1", "10A¹"), =HYPERLINK("CSG0.html#group1A0", "1A⁰"), =HYPERLINK("CSG1.html#group20B1", "20B¹"), =HYPERLINK("CSG3.html#group30B3", "30B³"), =HYPERLINK("CSG0.html#group15B0", "15B⁰"), =HYPERLINK("CSG0.html#group12A0", "12A⁰"), =HYPERLINK("CSG0.html#group4A0", "4A⁰"), =HYPERLINK("CSG0.html#group4D0", "4D⁰"), =HYPERLINK("CSG2.html#group12A2", "12A²"), =HYPERLINK("CSG3.html#group60B3", "60B³"), =HYPERLINK("CSG1.html#group6A1", "6A¹"), =HYPERLINK("CSG0.html#group3A0", "3A⁰")</f>
        <v/>
      </c>
      <c r="N7634" t="inlineStr"/>
    </row>
    <row r="7635">
      <c r="A7635" t="inlineStr">
        <is>
          <t>120F²³</t>
        </is>
      </c>
      <c r="B7635" t="inlineStr"/>
      <c r="C7635" t="inlineStr">
        <is>
          <t>288</t>
        </is>
      </c>
      <c r="D7635" t="inlineStr">
        <is>
          <t>1</t>
        </is>
      </c>
      <c r="E7635" t="inlineStr">
        <is>
          <t>72</t>
        </is>
      </c>
      <c r="F7635" t="inlineStr">
        <is>
          <t>0</t>
        </is>
      </c>
      <c r="G7635" t="inlineStr">
        <is>
          <t>0</t>
        </is>
      </c>
      <c r="H7635" t="inlineStr">
        <is>
          <t>24², 120²</t>
        </is>
      </c>
      <c r="I7635" t="n">
        <v>4</v>
      </c>
      <c r="J7635" t="inlineStr">
        <is>
          <t>2⁴, 4⁴, 8², 16²</t>
        </is>
      </c>
      <c r="K7635">
        <f>HYPERLINK("CSG4.html#group24B4", "24B⁴"), =HYPERLINK("CSG9.html#group120F9", "120F⁹"), =HYPERLINK("CSG11.html#group60E11", "60E¹¹")</f>
        <v/>
      </c>
      <c r="L7635" t="inlineStr"/>
      <c r="M7635">
        <f>HYPERLINK("CSG11.html#group60E11", "60E¹¹"), =HYPERLINK("CSG0.html#group2A0", "2A⁰"), =HYPERLINK("CSG3.html#group20C3", "20C³"), =HYPERLINK("CSG0.html#group5B0", "5B⁰"), =HYPERLINK("CSG1.html#group10A1", "10A¹"), =HYPERLINK("CSG1.html#group24B1", "24B¹"), =HYPERLINK("CSG0.html#group1A0", "1A⁰"), =HYPERLINK("CSG1.html#group20B1", "20B¹"), =HYPERLINK("CSG3.html#group30B3", "30B³"), =HYPERLINK("CSG0.html#group15B0", "15B⁰"), =HYPERLINK("CSG0.html#group12A0", "12A⁰"), =HYPERLINK("CSG9.html#group120F9", "120F⁹"), =HYPERLINK("CSG0.html#group4A0", "4A⁰"), =HYPERLINK("CSG0.html#group4D0", "4D⁰"), =HYPERLINK("CSG4.html#group24B4", "24B⁴"), =HYPERLINK("CSG2.html#group12A2", "12A²"), =HYPERLINK("CSG3.html#group60B3", "60B³"), =HYPERLINK("CSG1.html#group6A1", "6A¹"), =HYPERLINK("CSG0.html#group3A0", "3A⁰")</f>
        <v/>
      </c>
      <c r="N7635" t="inlineStr"/>
    </row>
    <row r="7636">
      <c r="A7636" t="inlineStr">
        <is>
          <t>120G²³</t>
        </is>
      </c>
      <c r="B7636" t="inlineStr"/>
      <c r="C7636" t="inlineStr">
        <is>
          <t>288</t>
        </is>
      </c>
      <c r="D7636" t="inlineStr">
        <is>
          <t>1</t>
        </is>
      </c>
      <c r="E7636" t="inlineStr">
        <is>
          <t>144</t>
        </is>
      </c>
      <c r="F7636" t="inlineStr">
        <is>
          <t>0</t>
        </is>
      </c>
      <c r="G7636" t="inlineStr">
        <is>
          <t>0</t>
        </is>
      </c>
      <c r="H7636" t="inlineStr">
        <is>
          <t>24², 120²</t>
        </is>
      </c>
      <c r="I7636" t="n">
        <v>4</v>
      </c>
      <c r="J7636" t="inlineStr">
        <is>
          <t>4¹², 16⁶</t>
        </is>
      </c>
      <c r="K7636">
        <f>HYPERLINK("CSG11.html#group60G11", "60G¹¹")</f>
        <v/>
      </c>
      <c r="L7636" t="inlineStr"/>
      <c r="M7636">
        <f>HYPERLINK("CSG0.html#group2A0", "2A⁰"), =HYPERLINK("CSG1.html#group12H1", "12H¹"), =HYPERLINK("CSG0.html#group6A0", "6A⁰"), =HYPERLINK("CSG3.html#group30C3", "30C³"), =HYPERLINK("CSG0.html#group5B0", "5B⁰"), =HYPERLINK("CSG1.html#group10A1", "10A¹"), =HYPERLINK("CSG11.html#group60G11", "60G¹¹"), =HYPERLINK("CSG0.html#group1A0", "1A⁰")</f>
        <v/>
      </c>
      <c r="N7636" t="inlineStr"/>
    </row>
    <row r="7637">
      <c r="A7637" t="inlineStr">
        <is>
          <t>120H²³</t>
        </is>
      </c>
      <c r="B7637" t="inlineStr"/>
      <c r="C7637" t="inlineStr">
        <is>
          <t>288</t>
        </is>
      </c>
      <c r="D7637" t="inlineStr">
        <is>
          <t>1</t>
        </is>
      </c>
      <c r="E7637" t="inlineStr">
        <is>
          <t>144</t>
        </is>
      </c>
      <c r="F7637" t="inlineStr">
        <is>
          <t>0</t>
        </is>
      </c>
      <c r="G7637" t="inlineStr">
        <is>
          <t>0</t>
        </is>
      </c>
      <c r="H7637" t="inlineStr">
        <is>
          <t>24², 120²</t>
        </is>
      </c>
      <c r="I7637" t="n">
        <v>4</v>
      </c>
      <c r="J7637" t="inlineStr">
        <is>
          <t>4¹², 16⁶</t>
        </is>
      </c>
      <c r="K7637">
        <f>HYPERLINK("CSG2.html#group24J2", "24J²"), =HYPERLINK("CSG11.html#group60G11", "60G¹¹")</f>
        <v/>
      </c>
      <c r="L7637" t="inlineStr"/>
      <c r="M7637">
        <f>HYPERLINK("CSG0.html#group2A0", "2A⁰"), =HYPERLINK("CSG1.html#group12H1", "12H¹"), =HYPERLINK("CSG0.html#group6A0", "6A⁰"), =HYPERLINK("CSG3.html#group30C3", "30C³"), =HYPERLINK("CSG0.html#group5B0", "5B⁰"), =HYPERLINK("CSG1.html#group10A1", "10A¹"), =HYPERLINK("CSG11.html#group60G11", "60G¹¹"), =HYPERLINK("CSG0.html#group1A0", "1A⁰"), =HYPERLINK("CSG2.html#group24J2", "24J²")</f>
        <v/>
      </c>
      <c r="N7637" t="inlineStr"/>
    </row>
    <row r="7638">
      <c r="A7638" t="inlineStr">
        <is>
          <t>120I²³</t>
        </is>
      </c>
      <c r="B7638" t="inlineStr"/>
      <c r="C7638" t="inlineStr">
        <is>
          <t>288</t>
        </is>
      </c>
      <c r="D7638" t="inlineStr">
        <is>
          <t>2</t>
        </is>
      </c>
      <c r="E7638" t="inlineStr">
        <is>
          <t>24</t>
        </is>
      </c>
      <c r="F7638" t="inlineStr">
        <is>
          <t>0</t>
        </is>
      </c>
      <c r="G7638" t="inlineStr">
        <is>
          <t>0</t>
        </is>
      </c>
      <c r="H7638" t="inlineStr">
        <is>
          <t>24², 120²</t>
        </is>
      </c>
      <c r="I7638" t="n">
        <v>4</v>
      </c>
      <c r="J7638" t="inlineStr">
        <is>
          <t>4⁴, 16²</t>
        </is>
      </c>
      <c r="K7638">
        <f>HYPERLINK("CSG7.html#group40C7", "40C⁷"), =HYPERLINK("CSG9.html#group120C9", "120C⁹"), =HYPERLINK("CSG9.html#group120D9", "120D⁹"), =HYPERLINK("CSG11.html#group60D11", "60D¹¹")</f>
        <v/>
      </c>
      <c r="L7638" t="inlineStr"/>
      <c r="M7638">
        <f>HYPERLINK("CSG11.html#group60D11", "60D¹¹"), =HYPERLINK("CSG3.html#group40A3", "40A³"), =HYPERLINK("CSG7.html#group40C7", "40C⁷"), =HYPERLINK("CSG0.html#group5B0", "5B⁰"), =HYPERLINK("CSG0.html#group8A0", "8A⁰"), =HYPERLINK("CSG0.html#group5D0", "5D⁰"), =HYPERLINK("CSG9.html#group120D9", "120D⁹"), =HYPERLINK("CSG0.html#group1A0", "1A⁰"), =HYPERLINK("CSG3.html#group20B3", "20B³"), =HYPERLINK("CSG9.html#group120C9", "120C⁹"), =HYPERLINK("CSG1.html#group20B1", "20B¹"), =HYPERLINK("CSG0.html#group15B0", "15B⁰"), =HYPERLINK("CSG0.html#group12A0", "12A⁰"), =HYPERLINK("CSG1.html#group24A1", "24A¹"), =HYPERLINK("CSG0.html#group4A0", "4A⁰"), =HYPERLINK("CSG3.html#group40B3", "40B³"), =HYPERLINK("CSG2.html#group15B2", "15B²"), =HYPERLINK("CSG3.html#group60B3", "60B³"), =HYPERLINK("CSG0.html#group3A0", "3A⁰")</f>
        <v/>
      </c>
      <c r="N7638" t="inlineStr"/>
    </row>
    <row r="7639">
      <c r="A7639" t="inlineStr">
        <is>
          <t>120J²³</t>
        </is>
      </c>
      <c r="B7639" t="inlineStr"/>
      <c r="C7639" t="inlineStr">
        <is>
          <t>288</t>
        </is>
      </c>
      <c r="D7639" t="inlineStr">
        <is>
          <t>2</t>
        </is>
      </c>
      <c r="E7639" t="inlineStr">
        <is>
          <t>72</t>
        </is>
      </c>
      <c r="F7639" t="inlineStr">
        <is>
          <t>0</t>
        </is>
      </c>
      <c r="G7639" t="inlineStr">
        <is>
          <t>0</t>
        </is>
      </c>
      <c r="H7639" t="inlineStr">
        <is>
          <t>24², 120²</t>
        </is>
      </c>
      <c r="I7639" t="n">
        <v>4</v>
      </c>
      <c r="J7639" t="inlineStr">
        <is>
          <t>4⁴, 8⁴, 16², 32²</t>
        </is>
      </c>
      <c r="K7639">
        <f>HYPERLINK("CSG9.html#group120E9", "120E⁹"), =HYPERLINK("CSG9.html#group120F9", "120F⁹"), =HYPERLINK("CSG11.html#group60D11", "60D¹¹")</f>
        <v/>
      </c>
      <c r="L7639" t="inlineStr"/>
      <c r="M7639">
        <f>HYPERLINK("CSG11.html#group60D11", "60D¹¹"), =HYPERLINK("CSG0.html#group15B0", "15B⁰"), =HYPERLINK("CSG0.html#group12A0", "12A⁰"), =HYPERLINK("CSG9.html#group120F9", "120F⁹"), =HYPERLINK("CSG0.html#group4A0", "4A⁰"), =HYPERLINK("CSG2.html#group15B2", "15B²"), =HYPERLINK("CSG9.html#group120E9", "120E⁹"), =HYPERLINK("CSG0.html#group5B0", "5B⁰"), =HYPERLINK("CSG0.html#group5D0", "5D⁰"), =HYPERLINK("CSG3.html#group60B3", "60B³"), =HYPERLINK("CSG1.html#group24B1", "24B¹"), =HYPERLINK("CSG0.html#group3A0", "3A⁰"), =HYPERLINK("CSG0.html#group1A0", "1A⁰"), =HYPERLINK("CSG3.html#group20B3", "20B³"), =HYPERLINK("CSG1.html#group20B1", "20B¹")</f>
        <v/>
      </c>
      <c r="N7639" t="inlineStr"/>
    </row>
    <row r="7640">
      <c r="A7640" t="inlineStr">
        <is>
          <t>120K²³</t>
        </is>
      </c>
      <c r="B7640" t="inlineStr"/>
      <c r="C7640" t="inlineStr">
        <is>
          <t>320</t>
        </is>
      </c>
      <c r="D7640" t="inlineStr">
        <is>
          <t>1</t>
        </is>
      </c>
      <c r="E7640" t="inlineStr">
        <is>
          <t>80</t>
        </is>
      </c>
      <c r="F7640" t="inlineStr">
        <is>
          <t>0</t>
        </is>
      </c>
      <c r="G7640" t="inlineStr">
        <is>
          <t>8</t>
        </is>
      </c>
      <c r="H7640" t="inlineStr">
        <is>
          <t>40², 120²</t>
        </is>
      </c>
      <c r="I7640" t="n">
        <v>4</v>
      </c>
      <c r="J7640" t="inlineStr">
        <is>
          <t>2⁴, 4², 8⁴, 16²</t>
        </is>
      </c>
      <c r="K7640">
        <f>HYPERLINK("CSG3.html#group24F3", "24F³"), =HYPERLINK("CSG11.html#group60J11", "60J¹¹")</f>
        <v/>
      </c>
      <c r="L7640" t="inlineStr"/>
      <c r="M7640">
        <f>HYPERLINK("CSG0.html#group3B0", "3B⁰"), =HYPERLINK("CSG0.html#group2A0", "2A⁰"), =HYPERLINK("CSG0.html#group5A0", "5A⁰"), =HYPERLINK("CSG1.html#group12I1", "12I¹"), =HYPERLINK("CSG2.html#group30D2", "30D²"), =HYPERLINK("CSG0.html#group6C0", "6C⁰"), =HYPERLINK("CSG1.html#group20A1", "20A¹"), =HYPERLINK("CSG6.html#group60A6", "60A⁶"), =HYPERLINK("CSG0.html#group1A0", "1A⁰"), =HYPERLINK("CSG3.html#group24F3", "24F³"), =HYPERLINK("CSG0.html#group10A0", "10A⁰"), =HYPERLINK("CSG2.html#group20D2", "20D²"), =HYPERLINK("CSG0.html#group4A0", "4A⁰"), =HYPERLINK("CSG0.html#group4D0", "4D⁰"), =HYPERLINK("CSG1.html#group12A1", "12A¹"), =HYPERLINK("CSG1.html#group15B1", "15B¹"), =HYPERLINK("CSG11.html#group60J11", "60J¹¹")</f>
        <v/>
      </c>
      <c r="N7640" t="inlineStr"/>
    </row>
    <row r="7641">
      <c r="A7641" t="inlineStr">
        <is>
          <t>120L²³</t>
        </is>
      </c>
      <c r="B7641" t="inlineStr"/>
      <c r="C7641" t="inlineStr">
        <is>
          <t>320</t>
        </is>
      </c>
      <c r="D7641" t="inlineStr">
        <is>
          <t>1</t>
        </is>
      </c>
      <c r="E7641" t="inlineStr">
        <is>
          <t>80</t>
        </is>
      </c>
      <c r="F7641" t="inlineStr">
        <is>
          <t>0</t>
        </is>
      </c>
      <c r="G7641" t="inlineStr">
        <is>
          <t>8</t>
        </is>
      </c>
      <c r="H7641" t="inlineStr">
        <is>
          <t>40², 120²</t>
        </is>
      </c>
      <c r="I7641" t="n">
        <v>4</v>
      </c>
      <c r="J7641" t="inlineStr">
        <is>
          <t>2⁴, 4², 8⁴, 16²</t>
        </is>
      </c>
      <c r="K7641">
        <f>HYPERLINK("CSG3.html#group24G3", "24G³"), =HYPERLINK("CSG4.html#group40D4", "40D⁴"), =HYPERLINK("CSG11.html#group60J11", "60J¹¹"), =HYPERLINK("CSG12.html#group120A12", "120A¹²")</f>
        <v/>
      </c>
      <c r="L7641" t="inlineStr"/>
      <c r="M7641">
        <f>HYPERLINK("CSG0.html#group3B0", "3B⁰"), =HYPERLINK("CSG0.html#group2A0", "2A⁰"), =HYPERLINK("CSG4.html#group40D4", "40D⁴"), =HYPERLINK("CSG0.html#group5A0", "5A⁰"), =HYPERLINK("CSG1.html#group12I1", "12I¹"), =HYPERLINK("CSG2.html#group24A2", "24A²"), =HYPERLINK("CSG2.html#group30D2", "30D²"), =HYPERLINK("CSG0.html#group6C0", "6C⁰"), =HYPERLINK("CSG0.html#group8A0", "8A⁰"), =HYPERLINK("CSG0.html#group8E0", "8E⁰"), =HYPERLINK("CSG1.html#group20A1", "20A¹"), =HYPERLINK("CSG3.html#group24G3", "24G³"), =HYPERLINK("CSG6.html#group60A6", "60A⁶"), =HYPERLINK("CSG0.html#group1A0", "1A⁰"), =HYPERLINK("CSG12.html#group120A12", "120A¹²"), =HYPERLINK("CSG0.html#group10A0", "10A⁰"), =HYPERLINK("CSG2.html#group20D2", "20D²"), =HYPERLINK("CSG0.html#group4A0", "4A⁰"), =HYPERLINK("CSG0.html#group4D0", "4D⁰"), =HYPERLINK("CSG1.html#group12A1", "12A¹"), =HYPERLINK("CSG1.html#group15B1", "15B¹"), =HYPERLINK("CSG11.html#group60J11", "60J¹¹"), =HYPERLINK("CSG2.html#group40A2", "40A²")</f>
        <v/>
      </c>
      <c r="N7641" t="inlineStr"/>
    </row>
    <row r="7642">
      <c r="A7642" t="inlineStr">
        <is>
          <t>120M²³</t>
        </is>
      </c>
      <c r="B7642" t="inlineStr"/>
      <c r="C7642" t="inlineStr">
        <is>
          <t>360</t>
        </is>
      </c>
      <c r="D7642" t="inlineStr">
        <is>
          <t>1</t>
        </is>
      </c>
      <c r="E7642" t="inlineStr">
        <is>
          <t>30</t>
        </is>
      </c>
      <c r="F7642" t="inlineStr">
        <is>
          <t>24</t>
        </is>
      </c>
      <c r="G7642" t="inlineStr">
        <is>
          <t>0</t>
        </is>
      </c>
      <c r="H7642" t="inlineStr">
        <is>
          <t>60², 120²</t>
        </is>
      </c>
      <c r="I7642" t="n">
        <v>4</v>
      </c>
      <c r="J7642" t="inlineStr">
        <is>
          <t>2³, 4⁶</t>
        </is>
      </c>
      <c r="K7642">
        <f>HYPERLINK("CSG7.html#group40D7", "40D⁷"), =HYPERLINK("CSG11.html#group60L11", "60L¹¹")</f>
        <v/>
      </c>
      <c r="L7642" t="inlineStr"/>
      <c r="M7642">
        <f>HYPERLINK("CSG5.html#group30K5", "30K⁵"), =HYPERLINK("CSG1.html#group15D1", "15D¹"), =HYPERLINK("CSG0.html#group12C0", "12C⁰"), =HYPERLINK("CSG0.html#group4C0", "4C⁰"), =HYPERLINK("CSG0.html#group5C0", "5C⁰"), =HYPERLINK("CSG1.html#group10F1", "10F¹"), =HYPERLINK("CSG11.html#group60L11", "60L¹¹"), =HYPERLINK("CSG0.html#group2B0", "2B⁰"), =HYPERLINK("CSG0.html#group3A0", "3A⁰"), =HYPERLINK("CSG0.html#group1A0", "1A⁰"), =HYPERLINK("CSG3.html#group20F3", "20F³"), =HYPERLINK("CSG0.html#group6D0", "6D⁰"), =HYPERLINK("CSG7.html#group40D7", "40D⁷")</f>
        <v/>
      </c>
      <c r="N7642" t="inlineStr"/>
    </row>
    <row r="7643">
      <c r="A7643" t="inlineStr">
        <is>
          <t>120N²³</t>
        </is>
      </c>
      <c r="B7643" t="inlineStr"/>
      <c r="C7643" t="inlineStr">
        <is>
          <t>360</t>
        </is>
      </c>
      <c r="D7643" t="inlineStr">
        <is>
          <t>1</t>
        </is>
      </c>
      <c r="E7643" t="inlineStr">
        <is>
          <t>30</t>
        </is>
      </c>
      <c r="F7643" t="inlineStr">
        <is>
          <t>24</t>
        </is>
      </c>
      <c r="G7643" t="inlineStr">
        <is>
          <t>0</t>
        </is>
      </c>
      <c r="H7643" t="inlineStr">
        <is>
          <t>60², 120²</t>
        </is>
      </c>
      <c r="I7643" t="n">
        <v>4</v>
      </c>
      <c r="J7643" t="inlineStr">
        <is>
          <t>2³, 4⁶</t>
        </is>
      </c>
      <c r="K7643">
        <f>HYPERLINK("CSG0.html#group24A0", "24A⁰"), =HYPERLINK("CSG7.html#group40E7", "40E⁷"), =HYPERLINK("CSG11.html#group60L11", "60L¹¹")</f>
        <v/>
      </c>
      <c r="L7643" t="inlineStr"/>
      <c r="M7643">
        <f>HYPERLINK("CSG0.html#group12C0", "12C⁰"), =HYPERLINK("CSG0.html#group4C0", "4C⁰"), =HYPERLINK("CSG0.html#group8B0", "8B⁰"), =HYPERLINK("CSG0.html#group2B0", "2B⁰"), =HYPERLINK("CSG0.html#group1A0", "1A⁰"), =HYPERLINK("CSG3.html#group20F3", "20F³"), =HYPERLINK("CSG1.html#group10F1", "10F¹"), =HYPERLINK("CSG5.html#group30K5", "30K⁵"), =HYPERLINK("CSG1.html#group15D1", "15D¹"), =HYPERLINK("CSG7.html#group40E7", "40E⁷"), =HYPERLINK("CSG0.html#group24A0", "24A⁰"), =HYPERLINK("CSG11.html#group60L11", "60L¹¹"), =HYPERLINK("CSG0.html#group3A0", "3A⁰"), =HYPERLINK("CSG0.html#group5C0", "5C⁰"), =HYPERLINK("CSG0.html#group6D0", "6D⁰")</f>
        <v/>
      </c>
      <c r="N7643" t="inlineStr"/>
    </row>
    <row r="7644">
      <c r="A7644" t="inlineStr">
        <is>
          <t>120O²³</t>
        </is>
      </c>
      <c r="B7644" t="inlineStr"/>
      <c r="C7644" t="inlineStr">
        <is>
          <t>360</t>
        </is>
      </c>
      <c r="D7644" t="inlineStr">
        <is>
          <t>2</t>
        </is>
      </c>
      <c r="E7644" t="inlineStr">
        <is>
          <t>30</t>
        </is>
      </c>
      <c r="F7644" t="inlineStr">
        <is>
          <t>12</t>
        </is>
      </c>
      <c r="G7644" t="inlineStr">
        <is>
          <t>0</t>
        </is>
      </c>
      <c r="H7644" t="inlineStr">
        <is>
          <t>15⁸, 120²</t>
        </is>
      </c>
      <c r="I7644" t="n">
        <v>10</v>
      </c>
      <c r="J7644" t="inlineStr">
        <is>
          <t>4³, 8⁶</t>
        </is>
      </c>
      <c r="K7644">
        <f>HYPERLINK("CSG5.html#group40K5", "40K⁵"), =HYPERLINK("CSG10.html#group60C10", "60C¹⁰")</f>
        <v/>
      </c>
      <c r="L7644" t="inlineStr"/>
      <c r="M7644">
        <f>HYPERLINK("CSG5.html#group30K5", "30K⁵"), =HYPERLINK("CSG1.html#group15D1", "15D¹"), =HYPERLINK("CSG0.html#group5C0", "5C⁰"), =HYPERLINK("CSG0.html#group2B0", "2B⁰"), =HYPERLINK("CSG2.html#group20F2", "20F²"), =HYPERLINK("CSG0.html#group3A0", "3A⁰"), =HYPERLINK("CSG10.html#group60C10", "60C¹⁰"), =HYPERLINK("CSG0.html#group1A0", "1A⁰"), =HYPERLINK("CSG5.html#group40K5", "40K⁵"), =HYPERLINK("CSG0.html#group6D0", "6D⁰"), =HYPERLINK("CSG1.html#group10F1", "10F¹")</f>
        <v/>
      </c>
      <c r="N7644" t="inlineStr"/>
    </row>
    <row r="7645">
      <c r="A7645" t="inlineStr">
        <is>
          <t>120P²³</t>
        </is>
      </c>
      <c r="B7645" t="inlineStr"/>
      <c r="C7645" t="inlineStr">
        <is>
          <t>360</t>
        </is>
      </c>
      <c r="D7645" t="inlineStr">
        <is>
          <t>2</t>
        </is>
      </c>
      <c r="E7645" t="inlineStr">
        <is>
          <t>90</t>
        </is>
      </c>
      <c r="F7645" t="inlineStr">
        <is>
          <t>12</t>
        </is>
      </c>
      <c r="G7645" t="inlineStr">
        <is>
          <t>0</t>
        </is>
      </c>
      <c r="H7645" t="inlineStr">
        <is>
          <t>15⁸, 120²</t>
        </is>
      </c>
      <c r="I7645" t="n">
        <v>10</v>
      </c>
      <c r="J7645" t="inlineStr">
        <is>
          <t>4³, 8⁹, 16⁶</t>
        </is>
      </c>
      <c r="K7645">
        <f>HYPERLINK("CSG10.html#group60C10", "60C¹⁰")</f>
        <v/>
      </c>
      <c r="L7645" t="inlineStr"/>
      <c r="M7645">
        <f>HYPERLINK("CSG5.html#group30K5", "30K⁵"), =HYPERLINK("CSG1.html#group15D1", "15D¹"), =HYPERLINK("CSG0.html#group5C0", "5C⁰"), =HYPERLINK("CSG0.html#group2B0", "2B⁰"), =HYPERLINK("CSG2.html#group20F2", "20F²"), =HYPERLINK("CSG0.html#group3A0", "3A⁰"), =HYPERLINK("CSG10.html#group60C10", "60C¹⁰"), =HYPERLINK("CSG0.html#group1A0", "1A⁰"), =HYPERLINK("CSG0.html#group6D0", "6D⁰"), =HYPERLINK("CSG1.html#group10F1", "10F¹")</f>
        <v/>
      </c>
      <c r="N7645" t="inlineStr"/>
    </row>
    <row r="7646">
      <c r="A7646" t="inlineStr">
        <is>
          <t>120Q²³</t>
        </is>
      </c>
      <c r="B7646" t="inlineStr"/>
      <c r="C7646" t="inlineStr">
        <is>
          <t>432</t>
        </is>
      </c>
      <c r="D7646" t="inlineStr">
        <is>
          <t>1</t>
        </is>
      </c>
      <c r="E7646" t="inlineStr">
        <is>
          <t>54</t>
        </is>
      </c>
      <c r="F7646" t="inlineStr">
        <is>
          <t>16</t>
        </is>
      </c>
      <c r="G7646" t="inlineStr">
        <is>
          <t>0</t>
        </is>
      </c>
      <c r="H7646" t="inlineStr">
        <is>
          <t>3⁸, 15⁸, 24², 120²</t>
        </is>
      </c>
      <c r="I7646" t="n">
        <v>20</v>
      </c>
      <c r="J7646" t="inlineStr">
        <is>
          <t>2⁶, 4⁶, 8³, 16³</t>
        </is>
      </c>
      <c r="K7646">
        <f>HYPERLINK("CSG9.html#group60N9", "60N⁹"), =HYPERLINK("CSG11.html#group120D11", "120D¹¹")</f>
        <v/>
      </c>
      <c r="L7646" t="inlineStr"/>
      <c r="M7646">
        <f>HYPERLINK("CSG0.html#group5B0", "5B⁰"), =HYPERLINK("CSG5.html#group60B5", "60B⁵"), =HYPERLINK("CSG4.html#group60C4", "60C⁴"), =HYPERLINK("CSG0.html#group2B0", "2B⁰"), =HYPERLINK("CSG9.html#group60N9", "60N⁹"), =HYPERLINK("CSG11.html#group120D11", "120D¹¹"), =HYPERLINK("CSG0.html#group1A0", "1A⁰"), =HYPERLINK("CSG0.html#group20A0", "20A⁰"), =HYPERLINK("CSG0.html#group15B0", "15B⁰"), =HYPERLINK("CSG2.html#group30E2", "30E²"), =HYPERLINK("CSG4.html#group30I4", "30I⁴"), =HYPERLINK("CSG0.html#group10C0", "10C⁰"), =HYPERLINK("CSG0.html#group12D0", "12D⁰"), =HYPERLINK("CSG0.html#group3A0", "3A⁰"), =HYPERLINK("CSG0.html#group6D0", "6D⁰"), =HYPERLINK("CSG0.html#group15C0", "15C⁰")</f>
        <v/>
      </c>
      <c r="N7646" t="inlineStr"/>
    </row>
    <row r="7647">
      <c r="A7647" t="inlineStr">
        <is>
          <t>120R²³</t>
        </is>
      </c>
      <c r="B7647" t="inlineStr"/>
      <c r="C7647" t="inlineStr">
        <is>
          <t>432</t>
        </is>
      </c>
      <c r="D7647" t="inlineStr">
        <is>
          <t>1</t>
        </is>
      </c>
      <c r="E7647" t="inlineStr">
        <is>
          <t>54</t>
        </is>
      </c>
      <c r="F7647" t="inlineStr">
        <is>
          <t>16</t>
        </is>
      </c>
      <c r="G7647" t="inlineStr">
        <is>
          <t>0</t>
        </is>
      </c>
      <c r="H7647" t="inlineStr">
        <is>
          <t>3⁸, 15⁸, 24², 120²</t>
        </is>
      </c>
      <c r="I7647" t="n">
        <v>20</v>
      </c>
      <c r="J7647" t="inlineStr">
        <is>
          <t>2⁶, 4⁶, 8³, 16³</t>
        </is>
      </c>
      <c r="K7647">
        <f>HYPERLINK("CSG9.html#group60N9", "60N⁹"), =HYPERLINK("CSG11.html#group120D11", "120D¹¹")</f>
        <v/>
      </c>
      <c r="L7647" t="inlineStr"/>
      <c r="M7647">
        <f>HYPERLINK("CSG0.html#group5B0", "5B⁰"), =HYPERLINK("CSG5.html#group60B5", "60B⁵"), =HYPERLINK("CSG4.html#group60C4", "60C⁴"), =HYPERLINK("CSG0.html#group2B0", "2B⁰"), =HYPERLINK("CSG9.html#group60N9", "60N⁹"), =HYPERLINK("CSG11.html#group120D11", "120D¹¹"), =HYPERLINK("CSG0.html#group1A0", "1A⁰"), =HYPERLINK("CSG0.html#group20A0", "20A⁰"), =HYPERLINK("CSG0.html#group15B0", "15B⁰"), =HYPERLINK("CSG2.html#group30E2", "30E²"), =HYPERLINK("CSG4.html#group30I4", "30I⁴"), =HYPERLINK("CSG0.html#group10C0", "10C⁰"), =HYPERLINK("CSG0.html#group12D0", "12D⁰"), =HYPERLINK("CSG0.html#group3A0", "3A⁰"), =HYPERLINK("CSG0.html#group6D0", "6D⁰"), =HYPERLINK("CSG0.html#group15C0", "15C⁰")</f>
        <v/>
      </c>
      <c r="N7647" t="inlineStr"/>
    </row>
    <row r="7648">
      <c r="A7648" t="inlineStr">
        <is>
          <t>120S²³</t>
        </is>
      </c>
      <c r="B7648" t="inlineStr"/>
      <c r="C7648" t="inlineStr">
        <is>
          <t>432</t>
        </is>
      </c>
      <c r="D7648" t="inlineStr">
        <is>
          <t>2</t>
        </is>
      </c>
      <c r="E7648" t="inlineStr">
        <is>
          <t>54</t>
        </is>
      </c>
      <c r="F7648" t="inlineStr">
        <is>
          <t>16</t>
        </is>
      </c>
      <c r="G7648" t="inlineStr">
        <is>
          <t>0</t>
        </is>
      </c>
      <c r="H7648" t="inlineStr">
        <is>
          <t>3⁸, 15⁸, 24², 120²</t>
        </is>
      </c>
      <c r="I7648" t="n">
        <v>20</v>
      </c>
      <c r="J7648" t="inlineStr">
        <is>
          <t>2⁶, 4⁶, 8³, 16³</t>
        </is>
      </c>
      <c r="K7648">
        <f>HYPERLINK("CSG9.html#group60N9", "60N⁹"), =HYPERLINK("CSG11.html#group120C11", "120C¹¹"), =HYPERLINK("CSG11.html#group120D11", "120D¹¹")</f>
        <v/>
      </c>
      <c r="L7648" t="inlineStr"/>
      <c r="M7648">
        <f>HYPERLINK("CSG1.html#group40A1", "40A¹"), =HYPERLINK("CSG11.html#group120C11", "120C¹¹"), =HYPERLINK("CSG0.html#group5B0", "5B⁰"), =HYPERLINK("CSG5.html#group60B5", "60B⁵"), =HYPERLINK("CSG4.html#group60C4", "60C⁴"), =HYPERLINK("CSG0.html#group2B0", "2B⁰"), =HYPERLINK("CSG9.html#group60N9", "60N⁹"), =HYPERLINK("CSG11.html#group120D11", "120D¹¹"), =HYPERLINK("CSG0.html#group1A0", "1A⁰"), =HYPERLINK("CSG0.html#group20A0", "20A⁰"), =HYPERLINK("CSG0.html#group15B0", "15B⁰"), =HYPERLINK("CSG2.html#group30E2", "30E²"), =HYPERLINK("CSG4.html#group30I4", "30I⁴"), =HYPERLINK("CSG0.html#group10C0", "10C⁰"), =HYPERLINK("CSG0.html#group12D0", "12D⁰"), =HYPERLINK("CSG0.html#group3A0", "3A⁰"), =HYPERLINK("CSG0.html#group6D0", "6D⁰"), =HYPERLINK("CSG0.html#group15C0", "15C⁰")</f>
        <v/>
      </c>
      <c r="N7648" t="inlineStr"/>
    </row>
    <row r="7649">
      <c r="A7649" t="inlineStr">
        <is>
          <t>126A²³</t>
        </is>
      </c>
      <c r="B7649" t="inlineStr"/>
      <c r="C7649" t="inlineStr">
        <is>
          <t>288</t>
        </is>
      </c>
      <c r="D7649" t="inlineStr">
        <is>
          <t>1</t>
        </is>
      </c>
      <c r="E7649" t="inlineStr">
        <is>
          <t>24</t>
        </is>
      </c>
      <c r="F7649" t="inlineStr">
        <is>
          <t>0</t>
        </is>
      </c>
      <c r="G7649" t="inlineStr">
        <is>
          <t>0</t>
        </is>
      </c>
      <c r="H7649" t="inlineStr">
        <is>
          <t>18², 126²</t>
        </is>
      </c>
      <c r="I7649" t="n">
        <v>4</v>
      </c>
      <c r="J7649" t="inlineStr">
        <is>
          <t>1², 2², 6¹, 12¹</t>
        </is>
      </c>
      <c r="K7649">
        <f>HYPERLINK("CSG0.html#group18D0", "18D⁰"), =HYPERLINK("CSG7.html#group42D7", "42D⁷"), =HYPERLINK("CSG11.html#group63A11", "63A¹¹"), =HYPERLINK("CSG12.html#group126D12", "126D¹²")</f>
        <v/>
      </c>
      <c r="L7649" t="inlineStr"/>
      <c r="M7649">
        <f>HYPERLINK("CSG7.html#group42D7", "42D⁷"), =HYPERLINK("CSG0.html#group6B0", "6B⁰"), =HYPERLINK("CSG6.html#group63A6", "63A⁶"), =HYPERLINK("CSG12.html#group126D12", "126D¹²"), =HYPERLINK("CSG4.html#group42C4", "42C⁴"), =HYPERLINK("CSG0.html#group1A0", "1A⁰"), =HYPERLINK("CSG0.html#group18A0", "18A⁰"), =HYPERLINK("CSG3.html#group21A3", "21A³"), =HYPERLINK("CSG0.html#group9D0", "9D⁰"), =HYPERLINK("CSG0.html#group18D0", "18D⁰"), =HYPERLINK("CSG2.html#group21A2", "21A²"), =HYPERLINK("CSG0.html#group6E0", "6E⁰"), =HYPERLINK("CSG0.html#group7B0", "7B⁰"), =HYPERLINK("CSG0.html#group9A0", "9A⁰"), =HYPERLINK("CSG11.html#group63A11", "63A¹¹"), =HYPERLINK("CSG0.html#group3C0", "3C⁰"), =HYPERLINK("CSG0.html#group3A0", "3A⁰")</f>
        <v/>
      </c>
      <c r="N7649" t="inlineStr"/>
    </row>
    <row r="7650">
      <c r="A7650" t="inlineStr">
        <is>
          <t>126B²³</t>
        </is>
      </c>
      <c r="B7650" t="inlineStr"/>
      <c r="C7650" t="inlineStr">
        <is>
          <t>288</t>
        </is>
      </c>
      <c r="D7650" t="inlineStr">
        <is>
          <t>1</t>
        </is>
      </c>
      <c r="E7650" t="inlineStr">
        <is>
          <t>24</t>
        </is>
      </c>
      <c r="F7650" t="inlineStr">
        <is>
          <t>0</t>
        </is>
      </c>
      <c r="G7650" t="inlineStr">
        <is>
          <t>0</t>
        </is>
      </c>
      <c r="H7650" t="inlineStr">
        <is>
          <t>18², 126²</t>
        </is>
      </c>
      <c r="I7650" t="n">
        <v>4</v>
      </c>
      <c r="J7650" t="inlineStr">
        <is>
          <t>1², 2², 6¹, 12¹</t>
        </is>
      </c>
      <c r="K7650">
        <f>HYPERLINK("CSG3.html#group18A3", "18A³"), =HYPERLINK("CSG7.html#group42E7", "42E⁷"), =HYPERLINK("CSG11.html#group63A11", "63A¹¹"), =HYPERLINK("CSG12.html#group126A12", "126A¹²"), =HYPERLINK("CSG12.html#group126B12", "126B¹²")</f>
        <v/>
      </c>
      <c r="L7650" t="inlineStr"/>
      <c r="M7650">
        <f>HYPERLINK("CSG7.html#group42E7", "42E⁷"), =HYPERLINK("CSG12.html#group126A12", "126A¹²"), =HYPERLINK("CSG0.html#group2A0", "2A⁰"), =HYPERLINK("CSG0.html#group6B0", "6B⁰"), =HYPERLINK("CSG6.html#group63A6", "63A⁶"), =HYPERLINK("CSG3.html#group18A3", "18A³"), =HYPERLINK("CSG2.html#group18A2", "18A²"), =HYPERLINK("CSG4.html#group42C4", "42C⁴"), =HYPERLINK("CSG0.html#group1A0", "1A⁰"), =HYPERLINK("CSG3.html#group21A3", "21A³"), =HYPERLINK("CSG12.html#group126B12", "126B¹²"), =HYPERLINK("CSG0.html#group9D0", "9D⁰"), =HYPERLINK("CSG2.html#group21A2", "21A²"), =HYPERLINK("CSG4.html#group42B4", "42B⁴"), =HYPERLINK("CSG1.html#group6B1", "6B¹"), =HYPERLINK("CSG0.html#group7B0", "7B⁰"), =HYPERLINK("CSG0.html#group9A0", "9A⁰"), =HYPERLINK("CSG11.html#group63A11", "63A¹¹"), =HYPERLINK("CSG0.html#group14B0", "14B⁰"), =HYPERLINK("CSG0.html#group3C0", "3C⁰"), =HYPERLINK("CSG1.html#group6A1", "6A¹"), =HYPERLINK("CSG0.html#group3A0", "3A⁰"), =HYPERLINK("CSG1.html#group18A1", "18A¹")</f>
        <v/>
      </c>
      <c r="N7650" t="inlineStr"/>
    </row>
    <row r="7651">
      <c r="A7651" t="inlineStr">
        <is>
          <t>126C²³</t>
        </is>
      </c>
      <c r="B7651" t="inlineStr"/>
      <c r="C7651" t="inlineStr">
        <is>
          <t>288</t>
        </is>
      </c>
      <c r="D7651" t="inlineStr">
        <is>
          <t>1</t>
        </is>
      </c>
      <c r="E7651" t="inlineStr">
        <is>
          <t>48</t>
        </is>
      </c>
      <c r="F7651" t="inlineStr">
        <is>
          <t>0</t>
        </is>
      </c>
      <c r="G7651" t="inlineStr">
        <is>
          <t>0</t>
        </is>
      </c>
      <c r="H7651" t="inlineStr">
        <is>
          <t>18², 126²</t>
        </is>
      </c>
      <c r="I7651" t="n">
        <v>4</v>
      </c>
      <c r="J7651" t="inlineStr">
        <is>
          <t>2⁶, 12³</t>
        </is>
      </c>
      <c r="K7651">
        <f>HYPERLINK("CSG7.html#group42D7", "42D⁷"), =HYPERLINK("CSG11.html#group63B11", "63B¹¹")</f>
        <v/>
      </c>
      <c r="L7651" t="inlineStr"/>
      <c r="M7651">
        <f>HYPERLINK("CSG7.html#group42D7", "42D⁷"), =HYPERLINK("CSG0.html#group6B0", "6B⁰"), =HYPERLINK("CSG2.html#group21A2", "21A²"), =HYPERLINK("CSG11.html#group63B11", "63B¹¹"), =HYPERLINK("CSG0.html#group6E0", "6E⁰"), =HYPERLINK("CSG0.html#group7B0", "7B⁰"), =HYPERLINK("CSG0.html#group3C0", "3C⁰"), =HYPERLINK("CSG4.html#group42C4", "42C⁴"), =HYPERLINK("CSG0.html#group3A0", "3A⁰"), =HYPERLINK("CSG0.html#group1A0", "1A⁰"), =HYPERLINK("CSG3.html#group21A3", "21A³")</f>
        <v/>
      </c>
      <c r="N7651" t="inlineStr"/>
    </row>
    <row r="7652">
      <c r="A7652" t="inlineStr">
        <is>
          <t>126D²³</t>
        </is>
      </c>
      <c r="B7652" t="inlineStr"/>
      <c r="C7652" t="inlineStr">
        <is>
          <t>288</t>
        </is>
      </c>
      <c r="D7652" t="inlineStr">
        <is>
          <t>1</t>
        </is>
      </c>
      <c r="E7652" t="inlineStr">
        <is>
          <t>48</t>
        </is>
      </c>
      <c r="F7652" t="inlineStr">
        <is>
          <t>0</t>
        </is>
      </c>
      <c r="G7652" t="inlineStr">
        <is>
          <t>0</t>
        </is>
      </c>
      <c r="H7652" t="inlineStr">
        <is>
          <t>18², 126²</t>
        </is>
      </c>
      <c r="I7652" t="n">
        <v>4</v>
      </c>
      <c r="J7652" t="inlineStr">
        <is>
          <t>2⁶, 12³</t>
        </is>
      </c>
      <c r="K7652">
        <f>HYPERLINK("CSG7.html#group42E7", "42E⁷"), =HYPERLINK("CSG11.html#group63B11", "63B¹¹")</f>
        <v/>
      </c>
      <c r="L7652" t="inlineStr"/>
      <c r="M7652">
        <f>HYPERLINK("CSG7.html#group42E7", "42E⁷"), =HYPERLINK("CSG0.html#group2A0", "2A⁰"), =HYPERLINK("CSG0.html#group6B0", "6B⁰"), =HYPERLINK("CSG2.html#group21A2", "21A²"), =HYPERLINK("CSG4.html#group42B4", "42B⁴"), =HYPERLINK("CSG11.html#group63B11", "63B¹¹"), =HYPERLINK("CSG1.html#group6B1", "6B¹"), =HYPERLINK("CSG0.html#group7B0", "7B⁰"), =HYPERLINK("CSG0.html#group14B0", "14B⁰"), =HYPERLINK("CSG0.html#group3C0", "3C⁰"), =HYPERLINK("CSG1.html#group6A1", "6A¹"), =HYPERLINK("CSG4.html#group42C4", "42C⁴"), =HYPERLINK("CSG0.html#group3A0", "3A⁰"), =HYPERLINK("CSG0.html#group1A0", "1A⁰"), =HYPERLINK("CSG3.html#group21A3", "21A³")</f>
        <v/>
      </c>
      <c r="N7652" t="inlineStr"/>
    </row>
    <row r="7653">
      <c r="A7653" t="inlineStr">
        <is>
          <t>126E²³</t>
        </is>
      </c>
      <c r="B7653" t="inlineStr"/>
      <c r="C7653" t="inlineStr">
        <is>
          <t>288</t>
        </is>
      </c>
      <c r="D7653" t="inlineStr">
        <is>
          <t>1</t>
        </is>
      </c>
      <c r="E7653" t="inlineStr">
        <is>
          <t>48</t>
        </is>
      </c>
      <c r="F7653" t="inlineStr">
        <is>
          <t>0</t>
        </is>
      </c>
      <c r="G7653" t="inlineStr">
        <is>
          <t>0</t>
        </is>
      </c>
      <c r="H7653" t="inlineStr">
        <is>
          <t>18², 126²</t>
        </is>
      </c>
      <c r="I7653" t="n">
        <v>4</v>
      </c>
      <c r="J7653" t="inlineStr">
        <is>
          <t>2⁶, 12³</t>
        </is>
      </c>
      <c r="K7653">
        <f>HYPERLINK("CSG3.html#group18B3", "18B³"), =HYPERLINK("CSG7.html#group42E7", "42E⁷"), =HYPERLINK("CSG12.html#group126C12", "126C¹²")</f>
        <v/>
      </c>
      <c r="L7653" t="inlineStr"/>
      <c r="M7653">
        <f>HYPERLINK("CSG7.html#group42E7", "42E⁷"), =HYPERLINK("CSG0.html#group2A0", "2A⁰"), =HYPERLINK("CSG0.html#group6B0", "6B⁰"), =HYPERLINK("CSG1.html#group18B1", "18B¹"), =HYPERLINK("CSG4.html#group42C4", "42C⁴"), =HYPERLINK("CSG0.html#group1A0", "1A⁰"), =HYPERLINK("CSG3.html#group21A3", "21A³"), =HYPERLINK("CSG2.html#group21A2", "21A²"), =HYPERLINK("CSG4.html#group42B4", "42B⁴"), =HYPERLINK("CSG1.html#group6B1", "6B¹"), =HYPERLINK("CSG0.html#group7B0", "7B⁰"), =HYPERLINK("CSG3.html#group18B3", "18B³"), =HYPERLINK("CSG12.html#group126C12", "126C¹²"), =HYPERLINK("CSG0.html#group14B0", "14B⁰"), =HYPERLINK("CSG0.html#group3C0", "3C⁰"), =HYPERLINK("CSG1.html#group6A1", "6A¹"), =HYPERLINK("CSG0.html#group3A0", "3A⁰")</f>
        <v/>
      </c>
      <c r="N7653" t="inlineStr"/>
    </row>
    <row r="7654">
      <c r="A7654" t="inlineStr">
        <is>
          <t>126F²³</t>
        </is>
      </c>
      <c r="B7654" t="inlineStr"/>
      <c r="C7654" t="inlineStr">
        <is>
          <t>288</t>
        </is>
      </c>
      <c r="D7654" t="inlineStr">
        <is>
          <t>1</t>
        </is>
      </c>
      <c r="E7654" t="inlineStr">
        <is>
          <t>96</t>
        </is>
      </c>
      <c r="F7654" t="inlineStr">
        <is>
          <t>0</t>
        </is>
      </c>
      <c r="G7654" t="inlineStr">
        <is>
          <t>0</t>
        </is>
      </c>
      <c r="H7654" t="inlineStr">
        <is>
          <t>18², 126²</t>
        </is>
      </c>
      <c r="I7654" t="n">
        <v>4</v>
      </c>
      <c r="J7654" t="inlineStr">
        <is>
          <t>2¹², 12⁶</t>
        </is>
      </c>
      <c r="K7654">
        <f>HYPERLINK("CSG7.html#group42E7", "42E⁷")</f>
        <v/>
      </c>
      <c r="L7654" t="inlineStr"/>
      <c r="M7654">
        <f>HYPERLINK("CSG7.html#group42E7", "42E⁷"), =HYPERLINK("CSG0.html#group2A0", "2A⁰"), =HYPERLINK("CSG0.html#group6B0", "6B⁰"), =HYPERLINK("CSG2.html#group21A2", "21A²"), =HYPERLINK("CSG4.html#group42B4", "42B⁴"), =HYPERLINK("CSG1.html#group6B1", "6B¹"), =HYPERLINK("CSG0.html#group7B0", "7B⁰"), =HYPERLINK("CSG0.html#group14B0", "14B⁰"), =HYPERLINK("CSG0.html#group3C0", "3C⁰"), =HYPERLINK("CSG1.html#group6A1", "6A¹"), =HYPERLINK("CSG4.html#group42C4", "42C⁴"), =HYPERLINK("CSG0.html#group3A0", "3A⁰"), =HYPERLINK("CSG0.html#group1A0", "1A⁰"), =HYPERLINK("CSG3.html#group21A3", "21A³")</f>
        <v/>
      </c>
      <c r="N7654" t="inlineStr"/>
    </row>
    <row r="7655">
      <c r="A7655" t="inlineStr">
        <is>
          <t>126G²³</t>
        </is>
      </c>
      <c r="B7655" t="inlineStr"/>
      <c r="C7655" t="inlineStr">
        <is>
          <t>288</t>
        </is>
      </c>
      <c r="D7655" t="inlineStr">
        <is>
          <t>2</t>
        </is>
      </c>
      <c r="E7655" t="inlineStr">
        <is>
          <t>72</t>
        </is>
      </c>
      <c r="F7655" t="inlineStr">
        <is>
          <t>0</t>
        </is>
      </c>
      <c r="G7655" t="inlineStr">
        <is>
          <t>0</t>
        </is>
      </c>
      <c r="H7655" t="inlineStr">
        <is>
          <t>18², 126²</t>
        </is>
      </c>
      <c r="I7655" t="n">
        <v>4</v>
      </c>
      <c r="J7655" t="inlineStr">
        <is>
          <t>2⁶, 6⁴, 12³, 36²</t>
        </is>
      </c>
      <c r="K7655">
        <f>HYPERLINK("CSG2.html#group18G2", "18G²"), =HYPERLINK("CSG7.html#group42D7", "42D⁷"), =HYPERLINK("CSG11.html#group63C11", "63C¹¹"), =HYPERLINK("CSG12.html#group126A12", "126A¹²"), =HYPERLINK("CSG12.html#group126D12", "126D¹²")</f>
        <v/>
      </c>
      <c r="L7655" t="inlineStr"/>
      <c r="M7655">
        <f>HYPERLINK("CSG12.html#group126A12", "126A¹²"), =HYPERLINK("CSG7.html#group42D7", "42D⁷"), =HYPERLINK("CSG0.html#group6B0", "6B⁰"), =HYPERLINK("CSG6.html#group63A6", "63A⁶"), =HYPERLINK("CSG12.html#group126D12", "126D¹²"), =HYPERLINK("CSG4.html#group42C4", "42C⁴"), =HYPERLINK("CSG0.html#group1A0", "1A⁰"), =HYPERLINK("CSG0.html#group18A0", "18A⁰"), =HYPERLINK("CSG3.html#group21A3", "21A³"), =HYPERLINK("CSG1.html#group9B1", "9B¹"), =HYPERLINK("CSG2.html#group21A2", "21A²"), =HYPERLINK("CSG0.html#group6E0", "6E⁰"), =HYPERLINK("CSG0.html#group7B0", "7B⁰"), =HYPERLINK("CSG0.html#group9A0", "9A⁰"), =HYPERLINK("CSG0.html#group3C0", "3C⁰"), =HYPERLINK("CSG11.html#group63C11", "63C¹¹"), =HYPERLINK("CSG2.html#group18G2", "18G²"), =HYPERLINK("CSG0.html#group3A0", "3A⁰"), =HYPERLINK("CSG1.html#group18A1", "18A¹")</f>
        <v/>
      </c>
      <c r="N7655" t="inlineStr"/>
    </row>
    <row r="7656">
      <c r="A7656" t="inlineStr">
        <is>
          <t>126H²³</t>
        </is>
      </c>
      <c r="B7656" t="inlineStr"/>
      <c r="C7656" t="inlineStr">
        <is>
          <t>288</t>
        </is>
      </c>
      <c r="D7656" t="inlineStr">
        <is>
          <t>2</t>
        </is>
      </c>
      <c r="E7656" t="inlineStr">
        <is>
          <t>72</t>
        </is>
      </c>
      <c r="F7656" t="inlineStr">
        <is>
          <t>0</t>
        </is>
      </c>
      <c r="G7656" t="inlineStr">
        <is>
          <t>0</t>
        </is>
      </c>
      <c r="H7656" t="inlineStr">
        <is>
          <t>18², 126²</t>
        </is>
      </c>
      <c r="I7656" t="n">
        <v>4</v>
      </c>
      <c r="J7656" t="inlineStr">
        <is>
          <t>2⁶, 6⁴, 12³, 36²</t>
        </is>
      </c>
      <c r="K7656">
        <f>HYPERLINK("CSG3.html#group18C3", "18C³"), =HYPERLINK("CSG7.html#group42E7", "42E⁷"), =HYPERLINK("CSG11.html#group63C11", "63C¹¹"), =HYPERLINK("CSG12.html#group126B12", "126B¹²"), =HYPERLINK("CSG12.html#group126D12", "126D¹²")</f>
        <v/>
      </c>
      <c r="L7656" t="inlineStr"/>
      <c r="M7656">
        <f>HYPERLINK("CSG7.html#group42E7", "42E⁷"), =HYPERLINK("CSG0.html#group2A0", "2A⁰"), =HYPERLINK("CSG0.html#group6B0", "6B⁰"), =HYPERLINK("CSG6.html#group63A6", "63A⁶"), =HYPERLINK("CSG12.html#group126D12", "126D¹²"), =HYPERLINK("CSG2.html#group18A2", "18A²"), =HYPERLINK("CSG4.html#group42C4", "42C⁴"), =HYPERLINK("CSG0.html#group1A0", "1A⁰"), =HYPERLINK("CSG0.html#group18A0", "18A⁰"), =HYPERLINK("CSG3.html#group21A3", "21A³"), =HYPERLINK("CSG1.html#group9B1", "9B¹"), =HYPERLINK("CSG12.html#group126B12", "126B¹²"), =HYPERLINK("CSG2.html#group21A2", "21A²"), =HYPERLINK("CSG4.html#group42B4", "42B⁴"), =HYPERLINK("CSG1.html#group6B1", "6B¹"), =HYPERLINK("CSG0.html#group7B0", "7B⁰"), =HYPERLINK("CSG0.html#group9A0", "9A⁰"), =HYPERLINK("CSG0.html#group14B0", "14B⁰"), =HYPERLINK("CSG3.html#group18C3", "18C³"), =HYPERLINK("CSG0.html#group3C0", "3C⁰"), =HYPERLINK("CSG1.html#group6A1", "6A¹"), =HYPERLINK("CSG11.html#group63C11", "63C¹¹"), =HYPERLINK("CSG0.html#group3A0", "3A⁰")</f>
        <v/>
      </c>
      <c r="N7656" t="inlineStr"/>
    </row>
    <row r="7657">
      <c r="A7657" t="inlineStr">
        <is>
          <t>126I²³</t>
        </is>
      </c>
      <c r="B7657" t="inlineStr"/>
      <c r="C7657" t="inlineStr">
        <is>
          <t>288</t>
        </is>
      </c>
      <c r="D7657" t="inlineStr">
        <is>
          <t>2</t>
        </is>
      </c>
      <c r="E7657" t="inlineStr">
        <is>
          <t>144</t>
        </is>
      </c>
      <c r="F7657" t="inlineStr">
        <is>
          <t>0</t>
        </is>
      </c>
      <c r="G7657" t="inlineStr">
        <is>
          <t>0</t>
        </is>
      </c>
      <c r="H7657" t="inlineStr">
        <is>
          <t>18², 126²</t>
        </is>
      </c>
      <c r="I7657" t="n">
        <v>4</v>
      </c>
      <c r="J7657" t="inlineStr">
        <is>
          <t>2¹², 6⁸, 12⁶, 36⁴</t>
        </is>
      </c>
      <c r="K7657">
        <f>HYPERLINK("CSG2.html#group18H2", "18H²"), =HYPERLINK("CSG7.html#group42D7", "42D⁷"), =HYPERLINK("CSG12.html#group126C12", "126C¹²")</f>
        <v/>
      </c>
      <c r="L7657" t="inlineStr"/>
      <c r="M7657">
        <f>HYPERLINK("CSG7.html#group42D7", "42D⁷"), =HYPERLINK("CSG0.html#group6B0", "6B⁰"), =HYPERLINK("CSG2.html#group21A2", "21A²"), =HYPERLINK("CSG2.html#group18H2", "18H²"), =HYPERLINK("CSG0.html#group6E0", "6E⁰"), =HYPERLINK("CSG0.html#group7B0", "7B⁰"), =HYPERLINK("CSG12.html#group126C12", "126C¹²"), =HYPERLINK("CSG1.html#group18B1", "18B¹"), =HYPERLINK("CSG0.html#group3C0", "3C⁰"), =HYPERLINK("CSG4.html#group42C4", "42C⁴"), =HYPERLINK("CSG0.html#group3A0", "3A⁰"), =HYPERLINK("CSG0.html#group1A0", "1A⁰"), =HYPERLINK("CSG3.html#group21A3", "21A³")</f>
        <v/>
      </c>
      <c r="N7657" t="inlineStr"/>
    </row>
    <row r="7658">
      <c r="A7658" t="inlineStr">
        <is>
          <t>126J²³</t>
        </is>
      </c>
      <c r="B7658" t="inlineStr"/>
      <c r="C7658" t="inlineStr">
        <is>
          <t>336</t>
        </is>
      </c>
      <c r="D7658" t="inlineStr">
        <is>
          <t>2</t>
        </is>
      </c>
      <c r="E7658" t="inlineStr">
        <is>
          <t>28</t>
        </is>
      </c>
      <c r="F7658" t="inlineStr">
        <is>
          <t>0</t>
        </is>
      </c>
      <c r="G7658" t="inlineStr">
        <is>
          <t>12</t>
        </is>
      </c>
      <c r="H7658" t="inlineStr">
        <is>
          <t>42², 126²</t>
        </is>
      </c>
      <c r="I7658" t="n">
        <v>4</v>
      </c>
      <c r="J7658" t="inlineStr">
        <is>
          <t>2², 4¹, 6⁴, 12²</t>
        </is>
      </c>
      <c r="K7658">
        <f>HYPERLINK("CSG7.html#group42F7", "42F⁷"), =HYPERLINK("CSG11.html#group63E11", "63E¹¹"), =HYPERLINK("CSG12.html#group126E12", "126E¹²"), =HYPERLINK("CSG12.html#group126F12", "126F¹²")</f>
        <v/>
      </c>
      <c r="L7658" t="inlineStr"/>
      <c r="M7658">
        <f>HYPERLINK("CSG12.html#group126E12", "126E¹²"), =HYPERLINK("CSG3.html#group21B3", "21B³"), =HYPERLINK("CSG0.html#group3B0", "3B⁰"), =HYPERLINK("CSG0.html#group2A0", "2A⁰"), =HYPERLINK("CSG0.html#group14A0", "14A⁰"), =HYPERLINK("CSG0.html#group18B0", "18B⁰"), =HYPERLINK("CSG0.html#group6C0", "6C⁰"), =HYPERLINK("CSG7.html#group42F7", "42F⁷"), =HYPERLINK("CSG1.html#group14A1", "14A¹"), =HYPERLINK("CSG0.html#group9C0", "9C⁰"), =HYPERLINK("CSG0.html#group1A0", "1A⁰"), =HYPERLINK("CSG1.html#group14D1", "14D¹"), =HYPERLINK("CSG11.html#group63E11", "63E¹¹"), =HYPERLINK("CSG2.html#group21B2", "21B²"), =HYPERLINK("CSG6.html#group63C6", "63C⁶"), =HYPERLINK("CSG0.html#group7C0", "7C⁰"), =HYPERLINK("CSG4.html#group42E4", "42E⁴"), =HYPERLINK("CSG12.html#group126F12", "126F¹²"), =HYPERLINK("CSG4.html#group42D4", "42D⁴"), =HYPERLINK("CSG0.html#group7A0", "7A⁰")</f>
        <v/>
      </c>
      <c r="N7658" t="inlineStr"/>
    </row>
    <row r="7659">
      <c r="A7659" t="inlineStr">
        <is>
          <t>126K²³</t>
        </is>
      </c>
      <c r="B7659" t="inlineStr"/>
      <c r="C7659" t="inlineStr">
        <is>
          <t>336</t>
        </is>
      </c>
      <c r="D7659" t="inlineStr">
        <is>
          <t>2</t>
        </is>
      </c>
      <c r="E7659" t="inlineStr">
        <is>
          <t>56</t>
        </is>
      </c>
      <c r="F7659" t="inlineStr">
        <is>
          <t>0</t>
        </is>
      </c>
      <c r="G7659" t="inlineStr">
        <is>
          <t>6</t>
        </is>
      </c>
      <c r="H7659" t="inlineStr">
        <is>
          <t>14⁶, 126²</t>
        </is>
      </c>
      <c r="I7659" t="n">
        <v>8</v>
      </c>
      <c r="J7659" t="inlineStr">
        <is>
          <t>4⁴, 12⁸</t>
        </is>
      </c>
      <c r="K7659">
        <f>HYPERLINK("CSG7.html#group42F7", "42F⁷"), =HYPERLINK("CSG10.html#group63A10", "63A¹⁰")</f>
        <v/>
      </c>
      <c r="L7659" t="inlineStr"/>
      <c r="M7659">
        <f>HYPERLINK("CSG3.html#group21B3", "21B³"), =HYPERLINK("CSG0.html#group3B0", "3B⁰"), =HYPERLINK("CSG0.html#group2A0", "2A⁰"), =HYPERLINK("CSG0.html#group14A0", "14A⁰"), =HYPERLINK("CSG10.html#group63A10", "63A¹⁰"), =HYPERLINK("CSG0.html#group6C0", "6C⁰"), =HYPERLINK("CSG7.html#group42F7", "42F⁷"), =HYPERLINK("CSG1.html#group14A1", "14A¹"), =HYPERLINK("CSG0.html#group1A0", "1A⁰"), =HYPERLINK("CSG1.html#group14D1", "14D¹"), =HYPERLINK("CSG2.html#group21B2", "21B²"), =HYPERLINK("CSG0.html#group7C0", "7C⁰"), =HYPERLINK("CSG4.html#group42E4", "42E⁴"), =HYPERLINK("CSG4.html#group42D4", "42D⁴"), =HYPERLINK("CSG0.html#group7A0", "7A⁰")</f>
        <v/>
      </c>
      <c r="N7659" t="inlineStr"/>
    </row>
    <row r="7660">
      <c r="A7660" t="inlineStr">
        <is>
          <t>126L²³</t>
        </is>
      </c>
      <c r="B7660" t="inlineStr"/>
      <c r="C7660" t="inlineStr">
        <is>
          <t>336</t>
        </is>
      </c>
      <c r="D7660" t="inlineStr">
        <is>
          <t>2</t>
        </is>
      </c>
      <c r="E7660" t="inlineStr">
        <is>
          <t>56</t>
        </is>
      </c>
      <c r="F7660" t="inlineStr">
        <is>
          <t>0</t>
        </is>
      </c>
      <c r="G7660" t="inlineStr">
        <is>
          <t>6</t>
        </is>
      </c>
      <c r="H7660" t="inlineStr">
        <is>
          <t>14⁶, 126²</t>
        </is>
      </c>
      <c r="I7660" t="n">
        <v>8</v>
      </c>
      <c r="J7660" t="inlineStr">
        <is>
          <t>4⁴, 12⁸</t>
        </is>
      </c>
      <c r="K7660">
        <f>HYPERLINK("CSG7.html#group42F7", "42F⁷"), =HYPERLINK("CSG12.html#group126G12", "126G¹²")</f>
        <v/>
      </c>
      <c r="L7660" t="inlineStr"/>
      <c r="M7660">
        <f>HYPERLINK("CSG12.html#group126G12", "126G¹²"), =HYPERLINK("CSG0.html#group3B0", "3B⁰"), =HYPERLINK("CSG0.html#group2A0", "2A⁰"), =HYPERLINK("CSG3.html#group21B3", "21B³"), =HYPERLINK("CSG0.html#group14A0", "14A⁰"), =HYPERLINK("CSG0.html#group6C0", "6C⁰"), =HYPERLINK("CSG7.html#group42F7", "42F⁷"), =HYPERLINK("CSG1.html#group14A1", "14A¹"), =HYPERLINK("CSG0.html#group1A0", "1A⁰"), =HYPERLINK("CSG1.html#group14D1", "14D¹"), =HYPERLINK("CSG0.html#group18C0", "18C⁰"), =HYPERLINK("CSG2.html#group21B2", "21B²"), =HYPERLINK("CSG4.html#group42E4", "42E⁴"), =HYPERLINK("CSG0.html#group7C0", "7C⁰"), =HYPERLINK("CSG4.html#group42D4", "42D⁴"), =HYPERLINK("CSG0.html#group7A0", "7A⁰")</f>
        <v/>
      </c>
      <c r="N7660" t="inlineStr"/>
    </row>
    <row r="7661">
      <c r="A7661" t="inlineStr">
        <is>
          <t>126M²³</t>
        </is>
      </c>
      <c r="B7661" t="inlineStr"/>
      <c r="C7661" t="inlineStr">
        <is>
          <t>384</t>
        </is>
      </c>
      <c r="D7661" t="inlineStr">
        <is>
          <t>2</t>
        </is>
      </c>
      <c r="E7661" t="inlineStr">
        <is>
          <t>64</t>
        </is>
      </c>
      <c r="F7661" t="inlineStr">
        <is>
          <t>0</t>
        </is>
      </c>
      <c r="G7661" t="inlineStr">
        <is>
          <t>6</t>
        </is>
      </c>
      <c r="H7661" t="inlineStr">
        <is>
          <t>2⁶, 14⁶, 18², 126²</t>
        </is>
      </c>
      <c r="I7661" t="n">
        <v>16</v>
      </c>
      <c r="J7661" t="inlineStr">
        <is>
          <t>2¹⁶, 12⁸</t>
        </is>
      </c>
      <c r="K7661">
        <f>HYPERLINK("CSG5.html#group42I5", "42I⁵"), =HYPERLINK("CSG12.html#group126I12", "126I¹²")</f>
        <v/>
      </c>
      <c r="L7661" t="inlineStr"/>
      <c r="M7661">
        <f>HYPERLINK("CSG0.html#group3B0", "3B⁰"), =HYPERLINK("CSG5.html#group42I5", "42I⁵"), =HYPERLINK("CSG0.html#group2A0", "2A⁰"), =HYPERLINK("CSG1.html#group21B1", "21B¹"), =HYPERLINK("CSG0.html#group7B0", "7B⁰"), =HYPERLINK("CSG3.html#group42E3", "42E³"), =HYPERLINK("CSG0.html#group6C0", "6C⁰"), =HYPERLINK("CSG0.html#group14B0", "14B⁰"), =HYPERLINK("CSG3.html#group42D3", "42D³"), =HYPERLINK("CSG12.html#group126I12", "126I¹²"), =HYPERLINK("CSG0.html#group1A0", "1A⁰"), =HYPERLINK("CSG1.html#group21F1", "21F¹")</f>
        <v/>
      </c>
      <c r="N7661" t="inlineStr"/>
    </row>
    <row r="7662">
      <c r="A7662" t="inlineStr">
        <is>
          <t>130A²³</t>
        </is>
      </c>
      <c r="B7662" t="inlineStr"/>
      <c r="C7662" t="inlineStr">
        <is>
          <t>336</t>
        </is>
      </c>
      <c r="D7662" t="inlineStr">
        <is>
          <t>1</t>
        </is>
      </c>
      <c r="E7662" t="inlineStr">
        <is>
          <t>84</t>
        </is>
      </c>
      <c r="F7662" t="inlineStr">
        <is>
          <t>8</t>
        </is>
      </c>
      <c r="G7662" t="inlineStr">
        <is>
          <t>0</t>
        </is>
      </c>
      <c r="H7662" t="inlineStr">
        <is>
          <t>2², 10², 26², 130²</t>
        </is>
      </c>
      <c r="I7662" t="n">
        <v>8</v>
      </c>
      <c r="J7662" t="inlineStr">
        <is>
          <t>1⁴, 4², 12², 48¹</t>
        </is>
      </c>
      <c r="K7662">
        <f>HYPERLINK("CSG9.html#group65B9", "65B⁹")</f>
        <v/>
      </c>
      <c r="L7662" t="inlineStr"/>
      <c r="M7662">
        <f>HYPERLINK("CSG9.html#group65B9", "65B⁹"), =HYPERLINK("CSG0.html#group5B0", "5B⁰"), =HYPERLINK("CSG0.html#group13A0", "13A⁰"), =HYPERLINK("CSG5.html#group65A5", "65A⁵"), =HYPERLINK("CSG0.html#group1A0", "1A⁰")</f>
        <v/>
      </c>
      <c r="N7662" t="inlineStr"/>
    </row>
    <row r="7663">
      <c r="A7663" t="inlineStr">
        <is>
          <t>130B²³</t>
        </is>
      </c>
      <c r="B7663" t="inlineStr"/>
      <c r="C7663" t="inlineStr">
        <is>
          <t>336</t>
        </is>
      </c>
      <c r="D7663" t="inlineStr">
        <is>
          <t>1</t>
        </is>
      </c>
      <c r="E7663" t="inlineStr">
        <is>
          <t>84</t>
        </is>
      </c>
      <c r="F7663" t="inlineStr">
        <is>
          <t>8</t>
        </is>
      </c>
      <c r="G7663" t="inlineStr">
        <is>
          <t>0</t>
        </is>
      </c>
      <c r="H7663" t="inlineStr">
        <is>
          <t>2², 10², 26², 130²</t>
        </is>
      </c>
      <c r="I7663" t="n">
        <v>8</v>
      </c>
      <c r="J7663" t="inlineStr">
        <is>
          <t>1⁴, 4², 12², 48¹</t>
        </is>
      </c>
      <c r="K7663">
        <f>HYPERLINK("CSG9.html#group65B9", "65B⁹")</f>
        <v/>
      </c>
      <c r="L7663" t="inlineStr"/>
      <c r="M7663">
        <f>HYPERLINK("CSG9.html#group65B9", "65B⁹"), =HYPERLINK("CSG0.html#group5B0", "5B⁰"), =HYPERLINK("CSG0.html#group13A0", "13A⁰"), =HYPERLINK("CSG5.html#group65A5", "65A⁵"), =HYPERLINK("CSG0.html#group1A0", "1A⁰")</f>
        <v/>
      </c>
      <c r="N7663" t="inlineStr"/>
    </row>
    <row r="7664">
      <c r="A7664" t="inlineStr">
        <is>
          <t>132A²³</t>
        </is>
      </c>
      <c r="B7664" t="inlineStr"/>
      <c r="C7664" t="inlineStr">
        <is>
          <t>288</t>
        </is>
      </c>
      <c r="D7664" t="inlineStr">
        <is>
          <t>1</t>
        </is>
      </c>
      <c r="E7664" t="inlineStr">
        <is>
          <t>36</t>
        </is>
      </c>
      <c r="F7664" t="inlineStr">
        <is>
          <t>0</t>
        </is>
      </c>
      <c r="G7664" t="inlineStr">
        <is>
          <t>0</t>
        </is>
      </c>
      <c r="H7664" t="inlineStr">
        <is>
          <t>12², 132²</t>
        </is>
      </c>
      <c r="I7664" t="n">
        <v>4</v>
      </c>
      <c r="J7664" t="inlineStr">
        <is>
          <t>1², 2², 10¹, 20¹</t>
        </is>
      </c>
      <c r="K7664">
        <f>HYPERLINK("CSG11.html#group66C11", "66C¹¹"), =HYPERLINK("CSG12.html#group132C12", "132C¹²")</f>
        <v/>
      </c>
      <c r="L7664" t="inlineStr"/>
      <c r="M7664">
        <f>HYPERLINK("CSG0.html#group2A0", "2A⁰"), =HYPERLINK("CSG0.html#group6B0", "6B⁰"), =HYPERLINK("CSG6.html#group66D6", "66D⁶"), =HYPERLINK("CSG3.html#group33A3", "33A³"), =HYPERLINK("CSG0.html#group1A0", "1A⁰"), =HYPERLINK("CSG12.html#group132C12", "132C¹²"), =HYPERLINK("CSG1.html#group6B1", "6B¹"), =HYPERLINK("CSG1.html#group11A1", "11A¹"), =HYPERLINK("CSG2.html#group22A2", "22A²"), =HYPERLINK("CSG5.html#group33A5", "33A⁵"), =HYPERLINK("CSG0.html#group3C0", "3C⁰"), =HYPERLINK("CSG6.html#group66B6", "66B⁶"), =HYPERLINK("CSG11.html#group66C11", "66C¹¹"), =HYPERLINK("CSG1.html#group6A1", "6A¹"), =HYPERLINK("CSG0.html#group3A0", "3A⁰")</f>
        <v/>
      </c>
      <c r="N7664" t="inlineStr"/>
    </row>
    <row r="7665">
      <c r="A7665" t="inlineStr">
        <is>
          <t>132B²³</t>
        </is>
      </c>
      <c r="B7665" t="inlineStr"/>
      <c r="C7665" t="inlineStr">
        <is>
          <t>288</t>
        </is>
      </c>
      <c r="D7665" t="inlineStr">
        <is>
          <t>1</t>
        </is>
      </c>
      <c r="E7665" t="inlineStr">
        <is>
          <t>36</t>
        </is>
      </c>
      <c r="F7665" t="inlineStr">
        <is>
          <t>0</t>
        </is>
      </c>
      <c r="G7665" t="inlineStr">
        <is>
          <t>0</t>
        </is>
      </c>
      <c r="H7665" t="inlineStr">
        <is>
          <t>12², 132²</t>
        </is>
      </c>
      <c r="I7665" t="n">
        <v>4</v>
      </c>
      <c r="J7665" t="inlineStr">
        <is>
          <t>1², 2², 10¹, 20¹</t>
        </is>
      </c>
      <c r="K7665">
        <f>HYPERLINK("CSG11.html#group66C11", "66C¹¹"), =HYPERLINK("CSG12.html#group132A12", "132A¹²"), =HYPERLINK("CSG12.html#group132C12", "132C¹²")</f>
        <v/>
      </c>
      <c r="L7665" t="inlineStr"/>
      <c r="M7665">
        <f>HYPERLINK("CSG0.html#group2A0", "2A⁰"), =HYPERLINK("CSG0.html#group6B0", "6B⁰"), =HYPERLINK("CSG6.html#group66D6", "66D⁶"), =HYPERLINK("CSG3.html#group33A3", "33A³"), =HYPERLINK("CSG0.html#group1A0", "1A⁰"), =HYPERLINK("CSG12.html#group132C12", "132C¹²"), =HYPERLINK("CSG4.html#group44A4", "44A⁴"), =HYPERLINK("CSG1.html#group6B1", "6B¹"), =HYPERLINK("CSG1.html#group11A1", "11A¹"), =HYPERLINK("CSG2.html#group22A2", "22A²"), =HYPERLINK("CSG5.html#group33A5", "33A⁵"), =HYPERLINK("CSG12.html#group132A12", "132A¹²"), =HYPERLINK("CSG0.html#group3C0", "3C⁰"), =HYPERLINK("CSG6.html#group66B6", "66B⁶"), =HYPERLINK("CSG11.html#group66C11", "66C¹¹"), =HYPERLINK("CSG1.html#group6A1", "6A¹"), =HYPERLINK("CSG0.html#group3A0", "3A⁰")</f>
        <v/>
      </c>
      <c r="N7665" t="inlineStr"/>
    </row>
    <row r="7666">
      <c r="A7666" t="inlineStr">
        <is>
          <t>132C²³</t>
        </is>
      </c>
      <c r="B7666" t="inlineStr"/>
      <c r="C7666" t="inlineStr">
        <is>
          <t>288</t>
        </is>
      </c>
      <c r="D7666" t="inlineStr">
        <is>
          <t>1</t>
        </is>
      </c>
      <c r="E7666" t="inlineStr">
        <is>
          <t>48</t>
        </is>
      </c>
      <c r="F7666" t="inlineStr">
        <is>
          <t>0</t>
        </is>
      </c>
      <c r="G7666" t="inlineStr">
        <is>
          <t>0</t>
        </is>
      </c>
      <c r="H7666" t="inlineStr">
        <is>
          <t>12², 132²</t>
        </is>
      </c>
      <c r="I7666" t="n">
        <v>4</v>
      </c>
      <c r="J7666" t="inlineStr">
        <is>
          <t>2⁴, 20²</t>
        </is>
      </c>
      <c r="K7666">
        <f>HYPERLINK("CSG2.html#group12A2", "12A²"), =HYPERLINK("CSG6.html#group66B6", "66B⁶"), =HYPERLINK("CSG7.html#group44A7", "44A⁷"), =HYPERLINK("CSG12.html#group132D12", "132D¹²")</f>
        <v/>
      </c>
      <c r="L7666" t="inlineStr"/>
      <c r="M7666">
        <f>HYPERLINK("CSG0.html#group2A0", "2A⁰"), =HYPERLINK("CSG4.html#group44B4", "44B⁴"), =HYPERLINK("CSG12.html#group132D12", "132D¹²"), =HYPERLINK("CSG3.html#group33A3", "33A³"), =HYPERLINK("CSG0.html#group1A0", "1A⁰"), =HYPERLINK("CSG0.html#group12A0", "12A⁰"), =HYPERLINK("CSG0.html#group4A0", "4A⁰"), =HYPERLINK("CSG0.html#group4D0", "4D⁰"), =HYPERLINK("CSG1.html#group11A1", "11A¹"), =HYPERLINK("CSG2.html#group22A2", "22A²"), =HYPERLINK("CSG2.html#group12A2", "12A²"), =HYPERLINK("CSG6.html#group66B6", "66B⁶"), =HYPERLINK("CSG1.html#group6A1", "6A¹"), =HYPERLINK("CSG7.html#group44A7", "44A⁷"), =HYPERLINK("CSG0.html#group3A0", "3A⁰")</f>
        <v/>
      </c>
      <c r="N7666" t="inlineStr"/>
    </row>
    <row r="7667">
      <c r="A7667" t="inlineStr">
        <is>
          <t>132D²³</t>
        </is>
      </c>
      <c r="B7667" t="inlineStr"/>
      <c r="C7667" t="inlineStr">
        <is>
          <t>288</t>
        </is>
      </c>
      <c r="D7667" t="inlineStr">
        <is>
          <t>1</t>
        </is>
      </c>
      <c r="E7667" t="inlineStr">
        <is>
          <t>72</t>
        </is>
      </c>
      <c r="F7667" t="inlineStr">
        <is>
          <t>0</t>
        </is>
      </c>
      <c r="G7667" t="inlineStr">
        <is>
          <t>0</t>
        </is>
      </c>
      <c r="H7667" t="inlineStr">
        <is>
          <t>12², 132²</t>
        </is>
      </c>
      <c r="I7667" t="n">
        <v>4</v>
      </c>
      <c r="J7667" t="inlineStr">
        <is>
          <t>2², 4², 20¹, 40¹</t>
        </is>
      </c>
      <c r="K7667">
        <f>HYPERLINK("CSG1.html#group12D1", "12D¹"), =HYPERLINK("CSG11.html#group66B11", "66B¹¹")</f>
        <v/>
      </c>
      <c r="L7667" t="inlineStr"/>
      <c r="M7667">
        <f>HYPERLINK("CSG1.html#group12D1", "12D¹"), =HYPERLINK("CSG0.html#group6B0", "6B⁰"), =HYPERLINK("CSG0.html#group6E0", "6E⁰"), =HYPERLINK("CSG6.html#group66D6", "66D⁶"), =HYPERLINK("CSG11.html#group66B11", "66B¹¹"), =HYPERLINK("CSG1.html#group11A1", "11A¹"), =HYPERLINK("CSG5.html#group33A5", "33A⁵"), =HYPERLINK("CSG0.html#group3C0", "3C⁰"), =HYPERLINK("CSG0.html#group3A0", "3A⁰"), =HYPERLINK("CSG3.html#group33A3", "33A³"), =HYPERLINK("CSG0.html#group1A0", "1A⁰")</f>
        <v/>
      </c>
      <c r="N7667" t="inlineStr"/>
    </row>
    <row r="7668">
      <c r="A7668" t="inlineStr">
        <is>
          <t>132E²³</t>
        </is>
      </c>
      <c r="B7668" t="inlineStr"/>
      <c r="C7668" t="inlineStr">
        <is>
          <t>288</t>
        </is>
      </c>
      <c r="D7668" t="inlineStr">
        <is>
          <t>1</t>
        </is>
      </c>
      <c r="E7668" t="inlineStr">
        <is>
          <t>96</t>
        </is>
      </c>
      <c r="F7668" t="inlineStr">
        <is>
          <t>0</t>
        </is>
      </c>
      <c r="G7668" t="inlineStr">
        <is>
          <t>0</t>
        </is>
      </c>
      <c r="H7668" t="inlineStr">
        <is>
          <t>12², 132²</t>
        </is>
      </c>
      <c r="I7668" t="n">
        <v>4</v>
      </c>
      <c r="J7668" t="inlineStr">
        <is>
          <t>4⁴, 40²</t>
        </is>
      </c>
      <c r="K7668">
        <f>HYPERLINK("CSG1.html#group12E1", "12E¹"), =HYPERLINK("CSG6.html#group66C6", "66C⁶"), =HYPERLINK("CSG7.html#group44A7", "44A⁷")</f>
        <v/>
      </c>
      <c r="L7668" t="inlineStr"/>
      <c r="M7668">
        <f>HYPERLINK("CSG0.html#group2A0", "2A⁰"), =HYPERLINK("CSG0.html#group6A0", "6A⁰"), =HYPERLINK("CSG1.html#group11A1", "11A¹"), =HYPERLINK("CSG2.html#group22A2", "22A²"), =HYPERLINK("CSG0.html#group4A0", "4A⁰"), =HYPERLINK("CSG4.html#group44B4", "44B⁴"), =HYPERLINK("CSG1.html#group12E1", "12E¹"), =HYPERLINK("CSG0.html#group4D0", "4D⁰"), =HYPERLINK("CSG6.html#group66C6", "66C⁶"), =HYPERLINK("CSG7.html#group44A7", "44A⁷"), =HYPERLINK("CSG0.html#group1A0", "1A⁰")</f>
        <v/>
      </c>
      <c r="N7668" t="inlineStr"/>
    </row>
    <row r="7669">
      <c r="A7669" t="inlineStr">
        <is>
          <t>132F²³</t>
        </is>
      </c>
      <c r="B7669" t="inlineStr"/>
      <c r="C7669" t="inlineStr">
        <is>
          <t>288</t>
        </is>
      </c>
      <c r="D7669" t="inlineStr">
        <is>
          <t>1</t>
        </is>
      </c>
      <c r="E7669" t="inlineStr">
        <is>
          <t>144</t>
        </is>
      </c>
      <c r="F7669" t="inlineStr">
        <is>
          <t>0</t>
        </is>
      </c>
      <c r="G7669" t="inlineStr">
        <is>
          <t>0</t>
        </is>
      </c>
      <c r="H7669" t="inlineStr">
        <is>
          <t>12², 132²</t>
        </is>
      </c>
      <c r="I7669" t="n">
        <v>4</v>
      </c>
      <c r="J7669" t="inlineStr">
        <is>
          <t>2⁴, 4⁴, 20², 40²</t>
        </is>
      </c>
      <c r="K7669">
        <f>HYPERLINK("CSG0.html#group12F0", "12F⁰"), =HYPERLINK("CSG6.html#group66D6", "66D⁶"), =HYPERLINK("CSG12.html#group132D12", "132D¹²")</f>
        <v/>
      </c>
      <c r="L7669" t="inlineStr"/>
      <c r="M7669">
        <f>HYPERLINK("CSG0.html#group12A0", "12A⁰"), =HYPERLINK("CSG0.html#group6B0", "6B⁰"), =HYPERLINK("CSG6.html#group66D6", "66D⁶"), =HYPERLINK("CSG0.html#group4A0", "4A⁰"), =HYPERLINK("CSG1.html#group11A1", "11A¹"), =HYPERLINK("CSG4.html#group44B4", "44B⁴"), =HYPERLINK("CSG0.html#group12F0", "12F⁰"), =HYPERLINK("CSG12.html#group132D12", "132D¹²"), =HYPERLINK("CSG0.html#group3A0", "3A⁰"), =HYPERLINK("CSG3.html#group33A3", "33A³"), =HYPERLINK("CSG0.html#group1A0", "1A⁰")</f>
        <v/>
      </c>
      <c r="N7669" t="inlineStr"/>
    </row>
    <row r="7670">
      <c r="A7670" t="inlineStr">
        <is>
          <t>132G²³</t>
        </is>
      </c>
      <c r="B7670" t="inlineStr"/>
      <c r="C7670" t="inlineStr">
        <is>
          <t>288</t>
        </is>
      </c>
      <c r="D7670" t="inlineStr">
        <is>
          <t>1</t>
        </is>
      </c>
      <c r="E7670" t="inlineStr">
        <is>
          <t>144</t>
        </is>
      </c>
      <c r="F7670" t="inlineStr">
        <is>
          <t>0</t>
        </is>
      </c>
      <c r="G7670" t="inlineStr">
        <is>
          <t>0</t>
        </is>
      </c>
      <c r="H7670" t="inlineStr">
        <is>
          <t>12², 132²</t>
        </is>
      </c>
      <c r="I7670" t="n">
        <v>4</v>
      </c>
      <c r="J7670" t="inlineStr">
        <is>
          <t>2⁴, 4⁴, 20², 40²</t>
        </is>
      </c>
      <c r="K7670">
        <f>HYPERLINK("CSG1.html#group12G1", "12G¹"), =HYPERLINK("CSG5.html#group33A5", "33A⁵"), =HYPERLINK("CSG12.html#group132D12", "132D¹²")</f>
        <v/>
      </c>
      <c r="L7670" t="inlineStr"/>
      <c r="M7670">
        <f>HYPERLINK("CSG1.html#group12G1", "12G¹"), =HYPERLINK("CSG0.html#group12A0", "12A⁰"), =HYPERLINK("CSG0.html#group4A0", "4A⁰"), =HYPERLINK("CSG1.html#group11A1", "11A¹"), =HYPERLINK("CSG4.html#group44B4", "44B⁴"), =HYPERLINK("CSG5.html#group33A5", "33A⁵"), =HYPERLINK("CSG0.html#group3C0", "3C⁰"), =HYPERLINK("CSG12.html#group132D12", "132D¹²"), =HYPERLINK("CSG0.html#group3A0", "3A⁰"), =HYPERLINK("CSG3.html#group33A3", "33A³"), =HYPERLINK("CSG0.html#group1A0", "1A⁰")</f>
        <v/>
      </c>
      <c r="N7670" t="inlineStr"/>
    </row>
    <row r="7671">
      <c r="A7671" t="inlineStr">
        <is>
          <t>132H²³</t>
        </is>
      </c>
      <c r="B7671" t="inlineStr"/>
      <c r="C7671" t="inlineStr">
        <is>
          <t>288</t>
        </is>
      </c>
      <c r="D7671" t="inlineStr">
        <is>
          <t>1</t>
        </is>
      </c>
      <c r="E7671" t="inlineStr">
        <is>
          <t>288</t>
        </is>
      </c>
      <c r="F7671" t="inlineStr">
        <is>
          <t>0</t>
        </is>
      </c>
      <c r="G7671" t="inlineStr">
        <is>
          <t>0</t>
        </is>
      </c>
      <c r="H7671" t="inlineStr">
        <is>
          <t>12², 132²</t>
        </is>
      </c>
      <c r="I7671" t="n">
        <v>4</v>
      </c>
      <c r="J7671" t="inlineStr">
        <is>
          <t>4¹², 40⁶</t>
        </is>
      </c>
      <c r="K7671">
        <f>HYPERLINK("CSG1.html#group12H1", "12H¹"), =HYPERLINK("CSG6.html#group66C6", "66C⁶")</f>
        <v/>
      </c>
      <c r="L7671" t="inlineStr"/>
      <c r="M7671">
        <f>HYPERLINK("CSG0.html#group2A0", "2A⁰"), =HYPERLINK("CSG6.html#group66C6", "66C⁶"), =HYPERLINK("CSG1.html#group12H1", "12H¹"), =HYPERLINK("CSG0.html#group6A0", "6A⁰"), =HYPERLINK("CSG0.html#group1A0", "1A⁰"), =HYPERLINK("CSG1.html#group11A1", "11A¹"), =HYPERLINK("CSG2.html#group22A2", "22A²")</f>
        <v/>
      </c>
      <c r="N7671" t="inlineStr"/>
    </row>
    <row r="7672">
      <c r="A7672" t="inlineStr">
        <is>
          <t>135A²³</t>
        </is>
      </c>
      <c r="B7672" t="inlineStr"/>
      <c r="C7672" t="inlineStr">
        <is>
          <t>360</t>
        </is>
      </c>
      <c r="D7672" t="inlineStr">
        <is>
          <t>1</t>
        </is>
      </c>
      <c r="E7672" t="inlineStr">
        <is>
          <t>120</t>
        </is>
      </c>
      <c r="F7672" t="inlineStr">
        <is>
          <t>0</t>
        </is>
      </c>
      <c r="G7672" t="inlineStr">
        <is>
          <t>0</t>
        </is>
      </c>
      <c r="H7672" t="inlineStr">
        <is>
          <t>5¹², 15², 135²</t>
        </is>
      </c>
      <c r="I7672" t="n">
        <v>16</v>
      </c>
      <c r="J7672" t="inlineStr">
        <is>
          <t>2², 4⁶, 8⁴, 12¹, 24²</t>
        </is>
      </c>
      <c r="K7672">
        <f>HYPERLINK("CSG0.html#group27A0", "27A⁰"), =HYPERLINK("CSG7.html#group45C7", "45C⁷")</f>
        <v/>
      </c>
      <c r="L7672" t="inlineStr"/>
      <c r="M7672">
        <f>HYPERLINK("CSG0.html#group3B0", "3B⁰"), =HYPERLINK("CSG0.html#group5C0", "5C⁰"), =HYPERLINK("CSG0.html#group27A0", "27A⁰"), =HYPERLINK("CSG0.html#group9B0", "9B⁰"), =HYPERLINK("CSG7.html#group45C7", "45C⁷"), =HYPERLINK("CSG2.html#group15C2", "15C²"), =HYPERLINK("CSG0.html#group1A0", "1A⁰")</f>
        <v/>
      </c>
      <c r="N7672" t="inlineStr"/>
    </row>
    <row r="7673">
      <c r="A7673" t="inlineStr">
        <is>
          <t>136A²³</t>
        </is>
      </c>
      <c r="B7673" t="inlineStr"/>
      <c r="C7673" t="inlineStr">
        <is>
          <t>288</t>
        </is>
      </c>
      <c r="D7673" t="inlineStr">
        <is>
          <t>1</t>
        </is>
      </c>
      <c r="E7673" t="inlineStr">
        <is>
          <t>72</t>
        </is>
      </c>
      <c r="F7673" t="inlineStr">
        <is>
          <t>0</t>
        </is>
      </c>
      <c r="G7673" t="inlineStr">
        <is>
          <t>0</t>
        </is>
      </c>
      <c r="H7673" t="inlineStr">
        <is>
          <t>8², 136²</t>
        </is>
      </c>
      <c r="I7673" t="n">
        <v>4</v>
      </c>
      <c r="J7673" t="inlineStr">
        <is>
          <t>2⁴, 32²</t>
        </is>
      </c>
      <c r="K7673">
        <f>HYPERLINK("CSG11.html#group68B11", "68B¹¹"), =HYPERLINK("CSG11.html#group136A11", "136A¹¹")</f>
        <v/>
      </c>
      <c r="L7673" t="inlineStr"/>
      <c r="M7673">
        <f>HYPERLINK("CSG0.html#group2A0", "2A⁰"), =HYPERLINK("CSG11.html#group136A11", "136A¹¹"), =HYPERLINK("CSG0.html#group4A0", "4A⁰"), =HYPERLINK("CSG0.html#group4D0", "4D⁰"), =HYPERLINK("CSG5.html#group68A5", "68A⁵"), =HYPERLINK("CSG1.html#group17A1", "17A¹"), =HYPERLINK("CSG3.html#group34B3", "34B³"), =HYPERLINK("CSG0.html#group1A0", "1A⁰"), =HYPERLINK("CSG11.html#group68B11", "68B¹¹")</f>
        <v/>
      </c>
      <c r="N7673" t="inlineStr"/>
    </row>
    <row r="7674">
      <c r="A7674" t="inlineStr">
        <is>
          <t>136B²³</t>
        </is>
      </c>
      <c r="B7674" t="inlineStr"/>
      <c r="C7674" t="inlineStr">
        <is>
          <t>288</t>
        </is>
      </c>
      <c r="D7674" t="inlineStr">
        <is>
          <t>1</t>
        </is>
      </c>
      <c r="E7674" t="inlineStr">
        <is>
          <t>72</t>
        </is>
      </c>
      <c r="F7674" t="inlineStr">
        <is>
          <t>0</t>
        </is>
      </c>
      <c r="G7674" t="inlineStr">
        <is>
          <t>0</t>
        </is>
      </c>
      <c r="H7674" t="inlineStr">
        <is>
          <t>8², 136²</t>
        </is>
      </c>
      <c r="I7674" t="n">
        <v>4</v>
      </c>
      <c r="J7674" t="inlineStr">
        <is>
          <t>2⁴, 32²</t>
        </is>
      </c>
      <c r="K7674">
        <f>HYPERLINK("CSG0.html#group8E0", "8E⁰"), =HYPERLINK("CSG11.html#group68B11", "68B¹¹"), =HYPERLINK("CSG11.html#group136B11", "136B¹¹")</f>
        <v/>
      </c>
      <c r="L7674" t="inlineStr"/>
      <c r="M7674">
        <f>HYPERLINK("CSG0.html#group2A0", "2A⁰"), =HYPERLINK("CSG0.html#group4A0", "4A⁰"), =HYPERLINK("CSG0.html#group4D0", "4D⁰"), =HYPERLINK("CSG0.html#group8A0", "8A⁰"), =HYPERLINK("CSG5.html#group68A5", "68A⁵"), =HYPERLINK("CSG0.html#group8E0", "8E⁰"), =HYPERLINK("CSG1.html#group17A1", "17A¹"), =HYPERLINK("CSG11.html#group136B11", "136B¹¹"), =HYPERLINK("CSG3.html#group34B3", "34B³"), =HYPERLINK("CSG0.html#group1A0", "1A⁰"), =HYPERLINK("CSG11.html#group68B11", "68B¹¹")</f>
        <v/>
      </c>
      <c r="N7674" t="inlineStr"/>
    </row>
    <row r="7675">
      <c r="A7675" t="inlineStr">
        <is>
          <t>136C²³</t>
        </is>
      </c>
      <c r="B7675" t="inlineStr"/>
      <c r="C7675" t="inlineStr">
        <is>
          <t>288</t>
        </is>
      </c>
      <c r="D7675" t="inlineStr">
        <is>
          <t>2</t>
        </is>
      </c>
      <c r="E7675" t="inlineStr">
        <is>
          <t>72</t>
        </is>
      </c>
      <c r="F7675" t="inlineStr">
        <is>
          <t>0</t>
        </is>
      </c>
      <c r="G7675" t="inlineStr">
        <is>
          <t>0</t>
        </is>
      </c>
      <c r="H7675" t="inlineStr">
        <is>
          <t>8², 136²</t>
        </is>
      </c>
      <c r="I7675" t="n">
        <v>4</v>
      </c>
      <c r="J7675" t="inlineStr">
        <is>
          <t>4⁴, 64²</t>
        </is>
      </c>
      <c r="K7675">
        <f>HYPERLINK("CSG11.html#group68A11", "68A¹¹"), =HYPERLINK("CSG11.html#group136A11", "136A¹¹"), =HYPERLINK("CSG11.html#group136B11", "136B¹¹")</f>
        <v/>
      </c>
      <c r="L7675" t="inlineStr"/>
      <c r="M7675">
        <f>HYPERLINK("CSG11.html#group136A11", "136A¹¹"), =HYPERLINK("CSG0.html#group4A0", "4A⁰"), =HYPERLINK("CSG5.html#group68A5", "68A⁵"), =HYPERLINK("CSG0.html#group8A0", "8A⁰"), =HYPERLINK("CSG11.html#group68A11", "68A¹¹"), =HYPERLINK("CSG1.html#group17A1", "17A¹"), =HYPERLINK("CSG11.html#group136B11", "136B¹¹"), =HYPERLINK("CSG0.html#group1A0", "1A⁰"), =HYPERLINK("CSG3.html#group34A3", "34A³")</f>
        <v/>
      </c>
      <c r="N7675" t="inlineStr"/>
    </row>
    <row r="7676">
      <c r="A7676" t="inlineStr">
        <is>
          <t>138A²³</t>
        </is>
      </c>
      <c r="B7676" t="inlineStr"/>
      <c r="C7676" t="inlineStr">
        <is>
          <t>288</t>
        </is>
      </c>
      <c r="D7676" t="inlineStr">
        <is>
          <t>1</t>
        </is>
      </c>
      <c r="E7676" t="inlineStr">
        <is>
          <t>72</t>
        </is>
      </c>
      <c r="F7676" t="inlineStr">
        <is>
          <t>0</t>
        </is>
      </c>
      <c r="G7676" t="inlineStr">
        <is>
          <t>0</t>
        </is>
      </c>
      <c r="H7676" t="inlineStr">
        <is>
          <t>6², 138²</t>
        </is>
      </c>
      <c r="I7676" t="n">
        <v>4</v>
      </c>
      <c r="J7676" t="inlineStr">
        <is>
          <t>1², 2², 22¹, 44¹</t>
        </is>
      </c>
      <c r="K7676">
        <f>HYPERLINK("CSG0.html#group6E0", "6E⁰"), =HYPERLINK("CSG11.html#group69A11", "69A¹¹"), =HYPERLINK("CSG12.html#group138C12", "138C¹²")</f>
        <v/>
      </c>
      <c r="L7676" t="inlineStr"/>
      <c r="M7676">
        <f>HYPERLINK("CSG0.html#group6B0", "6B⁰"), =HYPERLINK("CSG6.html#group69A6", "69A⁶"), =HYPERLINK("CSG0.html#group6E0", "6E⁰"), =HYPERLINK("CSG12.html#group138C12", "138C¹²"), =HYPERLINK("CSG0.html#group3C0", "3C⁰"), =HYPERLINK("CSG2.html#group23A2", "23A²"), =HYPERLINK("CSG0.html#group3A0", "3A⁰"), =HYPERLINK("CSG0.html#group1A0", "1A⁰"), =HYPERLINK("CSG11.html#group69A11", "69A¹¹")</f>
        <v/>
      </c>
      <c r="N7676" t="inlineStr"/>
    </row>
    <row r="7677">
      <c r="A7677" t="inlineStr">
        <is>
          <t>138B²³</t>
        </is>
      </c>
      <c r="B7677" t="inlineStr"/>
      <c r="C7677" t="inlineStr">
        <is>
          <t>288</t>
        </is>
      </c>
      <c r="D7677" t="inlineStr">
        <is>
          <t>1</t>
        </is>
      </c>
      <c r="E7677" t="inlineStr">
        <is>
          <t>72</t>
        </is>
      </c>
      <c r="F7677" t="inlineStr">
        <is>
          <t>0</t>
        </is>
      </c>
      <c r="G7677" t="inlineStr">
        <is>
          <t>0</t>
        </is>
      </c>
      <c r="H7677" t="inlineStr">
        <is>
          <t>6², 138²</t>
        </is>
      </c>
      <c r="I7677" t="n">
        <v>4</v>
      </c>
      <c r="J7677" t="inlineStr">
        <is>
          <t>1², 2², 22¹, 44¹</t>
        </is>
      </c>
      <c r="K7677">
        <f>HYPERLINK("CSG1.html#group6B1", "6B¹"), =HYPERLINK("CSG11.html#group69A11", "69A¹¹"), =HYPERLINK("CSG12.html#group138A12", "138A¹²"), =HYPERLINK("CSG12.html#group138C12", "138C¹²")</f>
        <v/>
      </c>
      <c r="L7677" t="inlineStr"/>
      <c r="M7677">
        <f>HYPERLINK("CSG0.html#group2A0", "2A⁰"), =HYPERLINK("CSG12.html#group138A12", "138A¹²"), =HYPERLINK("CSG0.html#group6B0", "6B⁰"), =HYPERLINK("CSG6.html#group69A6", "69A⁶"), =HYPERLINK("CSG1.html#group6B1", "6B¹"), =HYPERLINK("CSG12.html#group138C12", "138C¹²"), =HYPERLINK("CSG0.html#group3C0", "3C⁰"), =HYPERLINK("CSG2.html#group23A2", "23A²"), =HYPERLINK("CSG1.html#group6A1", "6A¹"), =HYPERLINK("CSG0.html#group3A0", "3A⁰"), =HYPERLINK("CSG0.html#group1A0", "1A⁰"), =HYPERLINK("CSG11.html#group69A11", "69A¹¹"), =HYPERLINK("CSG4.html#group46A4", "46A⁴")</f>
        <v/>
      </c>
      <c r="N7677" t="inlineStr"/>
    </row>
    <row r="7678">
      <c r="A7678" t="inlineStr">
        <is>
          <t>140A²³</t>
        </is>
      </c>
      <c r="B7678" t="inlineStr"/>
      <c r="C7678" t="inlineStr">
        <is>
          <t>320</t>
        </is>
      </c>
      <c r="D7678" t="inlineStr">
        <is>
          <t>1</t>
        </is>
      </c>
      <c r="E7678" t="inlineStr">
        <is>
          <t>80</t>
        </is>
      </c>
      <c r="F7678" t="inlineStr">
        <is>
          <t>0</t>
        </is>
      </c>
      <c r="G7678" t="inlineStr">
        <is>
          <t>8</t>
        </is>
      </c>
      <c r="H7678" t="inlineStr">
        <is>
          <t>20², 140²</t>
        </is>
      </c>
      <c r="I7678" t="n">
        <v>4</v>
      </c>
      <c r="J7678" t="inlineStr">
        <is>
          <t>2², 4⁴, 12¹, 24²</t>
        </is>
      </c>
      <c r="K7678">
        <f>HYPERLINK("CSG11.html#group70C11", "70C¹¹")</f>
        <v/>
      </c>
      <c r="L7678" t="inlineStr"/>
      <c r="M7678">
        <f>HYPERLINK("CSG0.html#group2A0", "2A⁰"), =HYPERLINK("CSG5.html#group35A5", "35A⁵"), =HYPERLINK("CSG11.html#group70C11", "70C¹¹"), =HYPERLINK("CSG0.html#group7B0", "7B⁰"), =HYPERLINK("CSG0.html#group14B0", "14B⁰"), =HYPERLINK("CSG1.html#group10C1", "10C¹"), =HYPERLINK("CSG0.html#group1A0", "1A⁰"), =HYPERLINK("CSG0.html#group5C0", "5C⁰")</f>
        <v/>
      </c>
      <c r="N7678" t="inlineStr"/>
    </row>
    <row r="7679">
      <c r="A7679" t="inlineStr">
        <is>
          <t>140B²³</t>
        </is>
      </c>
      <c r="B7679" t="inlineStr"/>
      <c r="C7679" t="inlineStr">
        <is>
          <t>320</t>
        </is>
      </c>
      <c r="D7679" t="inlineStr">
        <is>
          <t>1</t>
        </is>
      </c>
      <c r="E7679" t="inlineStr">
        <is>
          <t>80</t>
        </is>
      </c>
      <c r="F7679" t="inlineStr">
        <is>
          <t>0</t>
        </is>
      </c>
      <c r="G7679" t="inlineStr">
        <is>
          <t>8</t>
        </is>
      </c>
      <c r="H7679" t="inlineStr">
        <is>
          <t>20², 140²</t>
        </is>
      </c>
      <c r="I7679" t="n">
        <v>4</v>
      </c>
      <c r="J7679" t="inlineStr">
        <is>
          <t>2², 4⁴, 12¹, 24²</t>
        </is>
      </c>
      <c r="K7679">
        <f>HYPERLINK("CSG0.html#group28A0", "28A⁰"), =HYPERLINK("CSG11.html#group70C11", "70C¹¹")</f>
        <v/>
      </c>
      <c r="L7679" t="inlineStr"/>
      <c r="M7679">
        <f>HYPERLINK("CSG0.html#group2A0", "2A⁰"), =HYPERLINK("CSG5.html#group35A5", "35A⁵"), =HYPERLINK("CSG0.html#group28A0", "28A⁰"), =HYPERLINK("CSG11.html#group70C11", "70C¹¹"), =HYPERLINK("CSG0.html#group7B0", "7B⁰"), =HYPERLINK("CSG0.html#group14B0", "14B⁰"), =HYPERLINK("CSG1.html#group10C1", "10C¹"), =HYPERLINK("CSG0.html#group1A0", "1A⁰"), =HYPERLINK("CSG0.html#group5C0", "5C⁰")</f>
        <v/>
      </c>
      <c r="N7679" t="inlineStr"/>
    </row>
    <row r="7680">
      <c r="A7680" t="inlineStr">
        <is>
          <t>140C²³</t>
        </is>
      </c>
      <c r="B7680" t="inlineStr"/>
      <c r="C7680" t="inlineStr">
        <is>
          <t>320</t>
        </is>
      </c>
      <c r="D7680" t="inlineStr">
        <is>
          <t>1</t>
        </is>
      </c>
      <c r="E7680" t="inlineStr">
        <is>
          <t>160</t>
        </is>
      </c>
      <c r="F7680" t="inlineStr">
        <is>
          <t>0</t>
        </is>
      </c>
      <c r="G7680" t="inlineStr">
        <is>
          <t>8</t>
        </is>
      </c>
      <c r="H7680" t="inlineStr">
        <is>
          <t>20², 140²</t>
        </is>
      </c>
      <c r="I7680" t="n">
        <v>4</v>
      </c>
      <c r="J7680" t="inlineStr">
        <is>
          <t>2⁴, 8⁴, 12², 48²</t>
        </is>
      </c>
      <c r="K7680">
        <f>HYPERLINK("CSG2.html#group20D2", "20D²"), =HYPERLINK("CSG3.html#group28E3", "28E³"), =HYPERLINK("CSG4.html#group70B4", "70B⁴"), =HYPERLINK("CSG12.html#group140A12", "140A¹²")</f>
        <v/>
      </c>
      <c r="L7680" t="inlineStr"/>
      <c r="M7680">
        <f>HYPERLINK("CSG0.html#group2A0", "2A⁰"), =HYPERLINK("CSG0.html#group5A0", "5A⁰"), =HYPERLINK("CSG1.html#group20A1", "20A¹"), =HYPERLINK("CSG3.html#group28E3", "28E³"), =HYPERLINK("CSG12.html#group140A12", "140A¹²"), =HYPERLINK("CSG0.html#group1A0", "1A⁰"), =HYPERLINK("CSG2.html#group28A2", "28A²"), =HYPERLINK("CSG0.html#group10A0", "10A⁰"), =HYPERLINK("CSG2.html#group20D2", "20D²"), =HYPERLINK("CSG4.html#group70B4", "70B⁴"), =HYPERLINK("CSG0.html#group7B0", "7B⁰"), =HYPERLINK("CSG0.html#group4A0", "4A⁰"), =HYPERLINK("CSG0.html#group4D0", "4D⁰"), =HYPERLINK("CSG0.html#group14B0", "14B⁰"), =HYPERLINK("CSG2.html#group35B2", "35B²")</f>
        <v/>
      </c>
      <c r="N7680" t="inlineStr"/>
    </row>
    <row r="7681">
      <c r="A7681" t="inlineStr">
        <is>
          <t>140D²³</t>
        </is>
      </c>
      <c r="B7681" t="inlineStr"/>
      <c r="C7681" t="inlineStr">
        <is>
          <t>320</t>
        </is>
      </c>
      <c r="D7681" t="inlineStr">
        <is>
          <t>2</t>
        </is>
      </c>
      <c r="E7681" t="inlineStr">
        <is>
          <t>80</t>
        </is>
      </c>
      <c r="F7681" t="inlineStr">
        <is>
          <t>0</t>
        </is>
      </c>
      <c r="G7681" t="inlineStr">
        <is>
          <t>8</t>
        </is>
      </c>
      <c r="H7681" t="inlineStr">
        <is>
          <t>20², 140²</t>
        </is>
      </c>
      <c r="I7681" t="n">
        <v>4</v>
      </c>
      <c r="J7681" t="inlineStr">
        <is>
          <t>4², 8⁴, 24¹, 48²</t>
        </is>
      </c>
      <c r="K7681">
        <f>HYPERLINK("CSG1.html#group20F1", "20F¹"), =HYPERLINK("CSG11.html#group70B11", "70B¹¹")</f>
        <v/>
      </c>
      <c r="L7681" t="inlineStr"/>
      <c r="M7681">
        <f>HYPERLINK("CSG0.html#group5C0", "5C⁰"), =HYPERLINK("CSG5.html#group35A5", "35A⁵"), =HYPERLINK("CSG0.html#group1A0", "1A⁰"), =HYPERLINK("CSG0.html#group7B0", "7B⁰"), =HYPERLINK("CSG0.html#group10D0", "10D⁰"), =HYPERLINK("CSG11.html#group70B11", "70B¹¹"), =HYPERLINK("CSG1.html#group20F1", "20F¹")</f>
        <v/>
      </c>
      <c r="N7681" t="inlineStr"/>
    </row>
    <row r="7682">
      <c r="A7682" t="inlineStr">
        <is>
          <t>140E²³</t>
        </is>
      </c>
      <c r="B7682" t="inlineStr"/>
      <c r="C7682" t="inlineStr">
        <is>
          <t>336</t>
        </is>
      </c>
      <c r="D7682" t="inlineStr">
        <is>
          <t>2</t>
        </is>
      </c>
      <c r="E7682" t="inlineStr">
        <is>
          <t>42</t>
        </is>
      </c>
      <c r="F7682" t="inlineStr">
        <is>
          <t>16</t>
        </is>
      </c>
      <c r="G7682" t="inlineStr">
        <is>
          <t>0</t>
        </is>
      </c>
      <c r="H7682" t="inlineStr">
        <is>
          <t>28², 140²</t>
        </is>
      </c>
      <c r="I7682" t="n">
        <v>4</v>
      </c>
      <c r="J7682" t="inlineStr">
        <is>
          <t>4², 12⁴, 16¹, 48²</t>
        </is>
      </c>
      <c r="K7682">
        <f>HYPERLINK("CSG9.html#group70E9", "70E⁹"), =HYPERLINK("CSG11.html#group140A11", "140A¹¹"), =HYPERLINK("CSG11.html#group140C11", "140C¹¹")</f>
        <v/>
      </c>
      <c r="L7682" t="inlineStr"/>
      <c r="M7682">
        <f>HYPERLINK("CSG2.html#group35C2", "35C²"), =HYPERLINK("CSG0.html#group14A0", "14A⁰"), =HYPERLINK("CSG1.html#group20C1", "20C¹"), =HYPERLINK("CSG4.html#group35C4", "35C⁴"), =HYPERLINK("CSG4.html#group70C4", "70C⁴"), =HYPERLINK("CSG0.html#group5B0", "5B⁰"), =HYPERLINK("CSG5.html#group70B5", "70B⁵"), =HYPERLINK("CSG0.html#group7A0", "7A⁰"), =HYPERLINK("CSG9.html#group70E9", "70E⁹"), =HYPERLINK("CSG0.html#group1A0", "1A⁰"), =HYPERLINK("CSG11.html#group140A11", "140A¹¹"), =HYPERLINK("CSG11.html#group140C11", "140C¹¹"), =HYPERLINK("CSG0.html#group10B0", "10B⁰")</f>
        <v/>
      </c>
      <c r="N7682" t="inlineStr"/>
    </row>
    <row r="7683">
      <c r="A7683" t="inlineStr">
        <is>
          <t>140F²³</t>
        </is>
      </c>
      <c r="B7683" t="inlineStr"/>
      <c r="C7683" t="inlineStr">
        <is>
          <t>336</t>
        </is>
      </c>
      <c r="D7683" t="inlineStr">
        <is>
          <t>2</t>
        </is>
      </c>
      <c r="E7683" t="inlineStr">
        <is>
          <t>42</t>
        </is>
      </c>
      <c r="F7683" t="inlineStr">
        <is>
          <t>16</t>
        </is>
      </c>
      <c r="G7683" t="inlineStr">
        <is>
          <t>0</t>
        </is>
      </c>
      <c r="H7683" t="inlineStr">
        <is>
          <t>28², 140²</t>
        </is>
      </c>
      <c r="I7683" t="n">
        <v>4</v>
      </c>
      <c r="J7683" t="inlineStr">
        <is>
          <t>4², 12⁴, 16¹, 48²</t>
        </is>
      </c>
      <c r="K7683">
        <f>HYPERLINK("CSG9.html#group70E9", "70E⁹"), =HYPERLINK("CSG11.html#group140B11", "140B¹¹"), =HYPERLINK("CSG11.html#group140D11", "140D¹¹")</f>
        <v/>
      </c>
      <c r="L7683" t="inlineStr"/>
      <c r="M7683">
        <f>HYPERLINK("CSG2.html#group35C2", "35C²"), =HYPERLINK("CSG0.html#group14A0", "14A⁰"), =HYPERLINK("CSG1.html#group20C1", "20C¹"), =HYPERLINK("CSG4.html#group35C4", "35C⁴"), =HYPERLINK("CSG4.html#group70C4", "70C⁴"), =HYPERLINK("CSG0.html#group5B0", "5B⁰"), =HYPERLINK("CSG11.html#group140B11", "140B¹¹"), =HYPERLINK("CSG5.html#group70B5", "70B⁵"), =HYPERLINK("CSG11.html#group140D11", "140D¹¹"), =HYPERLINK("CSG9.html#group70E9", "70E⁹"), =HYPERLINK("CSG0.html#group1A0", "1A⁰"), =HYPERLINK("CSG0.html#group7A0", "7A⁰"), =HYPERLINK("CSG0.html#group10B0", "10B⁰")</f>
        <v/>
      </c>
      <c r="N7683" t="inlineStr"/>
    </row>
    <row r="7684">
      <c r="A7684" t="inlineStr">
        <is>
          <t>140G²³</t>
        </is>
      </c>
      <c r="B7684" t="inlineStr"/>
      <c r="C7684" t="inlineStr">
        <is>
          <t>336</t>
        </is>
      </c>
      <c r="D7684" t="inlineStr">
        <is>
          <t>2</t>
        </is>
      </c>
      <c r="E7684" t="inlineStr">
        <is>
          <t>168</t>
        </is>
      </c>
      <c r="F7684" t="inlineStr">
        <is>
          <t>16</t>
        </is>
      </c>
      <c r="G7684" t="inlineStr">
        <is>
          <t>0</t>
        </is>
      </c>
      <c r="H7684" t="inlineStr">
        <is>
          <t>28², 140²</t>
        </is>
      </c>
      <c r="I7684" t="n">
        <v>4</v>
      </c>
      <c r="J7684" t="inlineStr">
        <is>
          <t>4⁴, 12⁸, 16², 48⁴</t>
        </is>
      </c>
      <c r="K7684">
        <f>HYPERLINK("CSG4.html#group35C4", "35C⁴"), =HYPERLINK("CSG11.html#group140E11", "140E¹¹")</f>
        <v/>
      </c>
      <c r="L7684" t="inlineStr"/>
      <c r="M7684">
        <f>HYPERLINK("CSG2.html#group35C2", "35C²"), =HYPERLINK("CSG4.html#group35C4", "35C⁴"), =HYPERLINK("CSG0.html#group4A0", "4A⁰"), =HYPERLINK("CSG0.html#group5B0", "5B⁰"), =HYPERLINK("CSG1.html#group28A1", "28A¹"), =HYPERLINK("CSG0.html#group1A0", "1A⁰"), =HYPERLINK("CSG1.html#group20B1", "20B¹"), =HYPERLINK("CSG0.html#group7A0", "7A⁰"), =HYPERLINK("CSG11.html#group140E11", "140E¹¹")</f>
        <v/>
      </c>
      <c r="N7684" t="inlineStr"/>
    </row>
    <row r="7685">
      <c r="A7685" t="inlineStr">
        <is>
          <t>140H²³</t>
        </is>
      </c>
      <c r="B7685" t="inlineStr"/>
      <c r="C7685" t="inlineStr">
        <is>
          <t>336</t>
        </is>
      </c>
      <c r="D7685" t="inlineStr">
        <is>
          <t>2</t>
        </is>
      </c>
      <c r="E7685" t="inlineStr">
        <is>
          <t>168</t>
        </is>
      </c>
      <c r="F7685" t="inlineStr">
        <is>
          <t>16</t>
        </is>
      </c>
      <c r="G7685" t="inlineStr">
        <is>
          <t>0</t>
        </is>
      </c>
      <c r="H7685" t="inlineStr">
        <is>
          <t>28², 140²</t>
        </is>
      </c>
      <c r="I7685" t="n">
        <v>4</v>
      </c>
      <c r="J7685" t="inlineStr">
        <is>
          <t>4⁴, 12⁸, 16², 48⁴</t>
        </is>
      </c>
      <c r="K7685">
        <f>HYPERLINK("CSG2.html#group28E2", "28E²"), =HYPERLINK("CSG5.html#group70B5", "70B⁵"), =HYPERLINK("CSG11.html#group140E11", "140E¹¹")</f>
        <v/>
      </c>
      <c r="L7685" t="inlineStr"/>
      <c r="M7685">
        <f>HYPERLINK("CSG2.html#group35C2", "35C²"), =HYPERLINK("CSG2.html#group28E2", "28E²"), =HYPERLINK("CSG0.html#group14A0", "14A⁰"), =HYPERLINK("CSG0.html#group4A0", "4A⁰"), =HYPERLINK("CSG0.html#group5B0", "5B⁰"), =HYPERLINK("CSG5.html#group70B5", "70B⁵"), =HYPERLINK("CSG0.html#group7A0", "7A⁰"), =HYPERLINK("CSG1.html#group28A1", "28A¹"), =HYPERLINK("CSG0.html#group1A0", "1A⁰"), =HYPERLINK("CSG1.html#group20B1", "20B¹"), =HYPERLINK("CSG11.html#group140E11", "140E¹¹")</f>
        <v/>
      </c>
      <c r="N7685" t="inlineStr"/>
    </row>
    <row r="7686">
      <c r="A7686" t="inlineStr">
        <is>
          <t>141A²³</t>
        </is>
      </c>
      <c r="B7686" t="inlineStr"/>
      <c r="C7686" t="inlineStr">
        <is>
          <t>288</t>
        </is>
      </c>
      <c r="D7686" t="inlineStr">
        <is>
          <t>1</t>
        </is>
      </c>
      <c r="E7686" t="inlineStr">
        <is>
          <t>144</t>
        </is>
      </c>
      <c r="F7686" t="inlineStr">
        <is>
          <t>0</t>
        </is>
      </c>
      <c r="G7686" t="inlineStr">
        <is>
          <t>0</t>
        </is>
      </c>
      <c r="H7686" t="inlineStr">
        <is>
          <t>3², 141²</t>
        </is>
      </c>
      <c r="I7686" t="n">
        <v>4</v>
      </c>
      <c r="J7686" t="inlineStr">
        <is>
          <t>1², 2², 46¹, 92¹</t>
        </is>
      </c>
      <c r="K7686">
        <f>HYPERLINK("CSG0.html#group3C0", "3C⁰"), =HYPERLINK("CSG12.html#group141A12", "141A¹²")</f>
        <v/>
      </c>
      <c r="L7686" t="inlineStr"/>
      <c r="M7686">
        <f>HYPERLINK("CSG4.html#group47A4", "47A⁴"), =HYPERLINK("CSG0.html#group3C0", "3C⁰"), =HYPERLINK("CSG12.html#group141A12", "141A¹²"), =HYPERLINK("CSG0.html#group3A0", "3A⁰"), =HYPERLINK("CSG0.html#group1A0", "1A⁰")</f>
        <v/>
      </c>
      <c r="N7686" t="inlineStr"/>
    </row>
    <row r="7687">
      <c r="A7687" t="inlineStr">
        <is>
          <t>144A²³</t>
        </is>
      </c>
      <c r="B7687" t="inlineStr"/>
      <c r="C7687" t="inlineStr">
        <is>
          <t>288</t>
        </is>
      </c>
      <c r="D7687" t="inlineStr">
        <is>
          <t>1</t>
        </is>
      </c>
      <c r="E7687" t="inlineStr">
        <is>
          <t>12</t>
        </is>
      </c>
      <c r="F7687" t="inlineStr">
        <is>
          <t>0</t>
        </is>
      </c>
      <c r="G7687" t="inlineStr">
        <is>
          <t>0</t>
        </is>
      </c>
      <c r="H7687" t="inlineStr">
        <is>
          <t>24¹, 48¹, 72¹, 144¹</t>
        </is>
      </c>
      <c r="I7687" t="n">
        <v>4</v>
      </c>
      <c r="J7687" t="inlineStr">
        <is>
          <t>1⁶, 2³</t>
        </is>
      </c>
      <c r="K7687">
        <f>HYPERLINK("CSG7.html#group48A7", "48A⁷"), =HYPERLINK("CSG11.html#group72C11", "72C¹¹")</f>
        <v/>
      </c>
      <c r="L7687" t="inlineStr"/>
      <c r="M7687">
        <f>HYPERLINK("CSG3.html#group24C3", "24C³"), =HYPERLINK("CSG0.html#group3B0", "3B⁰"), =HYPERLINK("CSG1.html#group8A1", "8A¹"), =HYPERLINK("CSG11.html#group72C11", "72C¹¹"), =HYPERLINK("CSG1.html#group12F1", "12F¹"), =HYPERLINK("CSG7.html#group48A7", "48A⁷"), =HYPERLINK("CSG0.html#group4C0", "4C⁰"), =HYPERLINK("CSG0.html#group6F0", "6F⁰"), =HYPERLINK("CSG2.html#group18D2", "18D²"), =HYPERLINK("CSG0.html#group2B0", "2B⁰"), =HYPERLINK("CSG0.html#group9C0", "9C⁰"), =HYPERLINK("CSG5.html#group36A5", "36A⁵"), =HYPERLINK("CSG0.html#group1A0", "1A⁰")</f>
        <v/>
      </c>
      <c r="N7687" t="inlineStr"/>
    </row>
    <row r="7688">
      <c r="A7688" t="inlineStr">
        <is>
          <t>144B²³</t>
        </is>
      </c>
      <c r="B7688" t="inlineStr"/>
      <c r="C7688" t="inlineStr">
        <is>
          <t>288</t>
        </is>
      </c>
      <c r="D7688" t="inlineStr">
        <is>
          <t>1</t>
        </is>
      </c>
      <c r="E7688" t="inlineStr">
        <is>
          <t>12</t>
        </is>
      </c>
      <c r="F7688" t="inlineStr">
        <is>
          <t>0</t>
        </is>
      </c>
      <c r="G7688" t="inlineStr">
        <is>
          <t>0</t>
        </is>
      </c>
      <c r="H7688" t="inlineStr">
        <is>
          <t>24¹, 48¹, 72¹, 144¹</t>
        </is>
      </c>
      <c r="I7688" t="n">
        <v>4</v>
      </c>
      <c r="J7688" t="inlineStr">
        <is>
          <t>1⁶, 2³</t>
        </is>
      </c>
      <c r="K7688">
        <f>HYPERLINK("CSG7.html#group48A7", "48A⁷"), =HYPERLINK("CSG11.html#group72D11", "72D¹¹")</f>
        <v/>
      </c>
      <c r="L7688" t="inlineStr"/>
      <c r="M7688">
        <f>HYPERLINK("CSG3.html#group24C3", "24C³"), =HYPERLINK("CSG0.html#group3B0", "3B⁰"), =HYPERLINK("CSG1.html#group8A1", "8A¹"), =HYPERLINK("CSG11.html#group72D11", "72D¹¹"), =HYPERLINK("CSG1.html#group12F1", "12F¹"), =HYPERLINK("CSG7.html#group48A7", "48A⁷"), =HYPERLINK("CSG0.html#group4C0", "4C⁰"), =HYPERLINK("CSG1.html#group9A1", "9A¹"), =HYPERLINK("CSG2.html#group18E2", "18E²"), =HYPERLINK("CSG0.html#group6F0", "6F⁰"), =HYPERLINK("CSG5.html#group36B5", "36B⁵"), =HYPERLINK("CSG0.html#group2B0", "2B⁰"), =HYPERLINK("CSG0.html#group1A0", "1A⁰")</f>
        <v/>
      </c>
      <c r="N7688" t="inlineStr"/>
    </row>
    <row r="7689">
      <c r="A7689" t="inlineStr">
        <is>
          <t>144C²³</t>
        </is>
      </c>
      <c r="B7689" t="inlineStr"/>
      <c r="C7689" t="inlineStr">
        <is>
          <t>288</t>
        </is>
      </c>
      <c r="D7689" t="inlineStr">
        <is>
          <t>1</t>
        </is>
      </c>
      <c r="E7689" t="inlineStr">
        <is>
          <t>12</t>
        </is>
      </c>
      <c r="F7689" t="inlineStr">
        <is>
          <t>0</t>
        </is>
      </c>
      <c r="G7689" t="inlineStr">
        <is>
          <t>0</t>
        </is>
      </c>
      <c r="H7689" t="inlineStr">
        <is>
          <t>24¹, 48¹, 72¹, 144¹</t>
        </is>
      </c>
      <c r="I7689" t="n">
        <v>4</v>
      </c>
      <c r="J7689" t="inlineStr">
        <is>
          <t>1⁶, 2³</t>
        </is>
      </c>
      <c r="K7689">
        <f>HYPERLINK("CSG7.html#group48B7", "48B⁷"), =HYPERLINK("CSG11.html#group72C11", "72C¹¹")</f>
        <v/>
      </c>
      <c r="L7689" t="inlineStr"/>
      <c r="M7689">
        <f>HYPERLINK("CSG3.html#group24C3", "24C³"), =HYPERLINK("CSG0.html#group3B0", "3B⁰"), =HYPERLINK("CSG1.html#group8A1", "8A¹"), =HYPERLINK("CSG11.html#group72C11", "72C¹¹"), =HYPERLINK("CSG1.html#group12F1", "12F¹"), =HYPERLINK("CSG0.html#group4C0", "4C⁰"), =HYPERLINK("CSG0.html#group6F0", "6F⁰"), =HYPERLINK("CSG2.html#group18D2", "18D²"), =HYPERLINK("CSG0.html#group2B0", "2B⁰"), =HYPERLINK("CSG0.html#group9C0", "9C⁰"), =HYPERLINK("CSG5.html#group36A5", "36A⁵"), =HYPERLINK("CSG0.html#group1A0", "1A⁰"), =HYPERLINK("CSG7.html#group48B7", "48B⁷")</f>
        <v/>
      </c>
      <c r="N7689" t="inlineStr"/>
    </row>
    <row r="7690">
      <c r="A7690" t="inlineStr">
        <is>
          <t>144D²³</t>
        </is>
      </c>
      <c r="B7690" t="inlineStr"/>
      <c r="C7690" t="inlineStr">
        <is>
          <t>288</t>
        </is>
      </c>
      <c r="D7690" t="inlineStr">
        <is>
          <t>1</t>
        </is>
      </c>
      <c r="E7690" t="inlineStr">
        <is>
          <t>12</t>
        </is>
      </c>
      <c r="F7690" t="inlineStr">
        <is>
          <t>0</t>
        </is>
      </c>
      <c r="G7690" t="inlineStr">
        <is>
          <t>0</t>
        </is>
      </c>
      <c r="H7690" t="inlineStr">
        <is>
          <t>24¹, 48¹, 72¹, 144¹</t>
        </is>
      </c>
      <c r="I7690" t="n">
        <v>4</v>
      </c>
      <c r="J7690" t="inlineStr">
        <is>
          <t>1⁶, 2³</t>
        </is>
      </c>
      <c r="K7690">
        <f>HYPERLINK("CSG7.html#group48B7", "48B⁷"), =HYPERLINK("CSG11.html#group72D11", "72D¹¹")</f>
        <v/>
      </c>
      <c r="L7690" t="inlineStr"/>
      <c r="M7690">
        <f>HYPERLINK("CSG3.html#group24C3", "24C³"), =HYPERLINK("CSG0.html#group3B0", "3B⁰"), =HYPERLINK("CSG1.html#group8A1", "8A¹"), =HYPERLINK("CSG11.html#group72D11", "72D¹¹"), =HYPERLINK("CSG1.html#group12F1", "12F¹"), =HYPERLINK("CSG0.html#group4C0", "4C⁰"), =HYPERLINK("CSG1.html#group9A1", "9A¹"), =HYPERLINK("CSG2.html#group18E2", "18E²"), =HYPERLINK("CSG0.html#group6F0", "6F⁰"), =HYPERLINK("CSG5.html#group36B5", "36B⁵"), =HYPERLINK("CSG0.html#group2B0", "2B⁰"), =HYPERLINK("CSG0.html#group1A0", "1A⁰"), =HYPERLINK("CSG7.html#group48B7", "48B⁷")</f>
        <v/>
      </c>
      <c r="N7690" t="inlineStr"/>
    </row>
    <row r="7691">
      <c r="A7691" t="inlineStr">
        <is>
          <t>144E²³</t>
        </is>
      </c>
      <c r="B7691" t="inlineStr"/>
      <c r="C7691" t="inlineStr">
        <is>
          <t>288</t>
        </is>
      </c>
      <c r="D7691" t="inlineStr">
        <is>
          <t>1</t>
        </is>
      </c>
      <c r="E7691" t="inlineStr">
        <is>
          <t>12</t>
        </is>
      </c>
      <c r="F7691" t="inlineStr">
        <is>
          <t>0</t>
        </is>
      </c>
      <c r="G7691" t="inlineStr">
        <is>
          <t>0</t>
        </is>
      </c>
      <c r="H7691" t="inlineStr">
        <is>
          <t>24¹, 48¹, 72¹, 144¹</t>
        </is>
      </c>
      <c r="I7691" t="n">
        <v>4</v>
      </c>
      <c r="J7691" t="inlineStr">
        <is>
          <t>1⁶, 2³</t>
        </is>
      </c>
      <c r="K7691">
        <f>HYPERLINK("CSG7.html#group48C7", "48C⁷"), =HYPERLINK("CSG11.html#group72A11", "72A¹¹")</f>
        <v/>
      </c>
      <c r="L7691" t="inlineStr"/>
      <c r="M7691">
        <f>HYPERLINK("CSG0.html#group16B0", "16B⁰"), =HYPERLINK("CSG0.html#group3B0", "3B⁰"), =HYPERLINK("CSG3.html#group24B3", "24B³"), =HYPERLINK("CSG1.html#group12F1", "12F¹"), =HYPERLINK("CSG0.html#group4C0", "4C⁰"), =HYPERLINK("CSG11.html#group72A11", "72A¹¹"), =HYPERLINK("CSG0.html#group8B0", "8B⁰"), =HYPERLINK("CSG2.html#group18D2", "18D²"), =HYPERLINK("CSG0.html#group1A0", "1A⁰"), =HYPERLINK("CSG0.html#group2B0", "2B⁰"), =HYPERLINK("CSG0.html#group9C0", "9C⁰"), =HYPERLINK("CSG5.html#group36A5", "36A⁵"), =HYPERLINK("CSG7.html#group48C7", "48C⁷"), =HYPERLINK("CSG0.html#group6F0", "6F⁰")</f>
        <v/>
      </c>
      <c r="N7691" t="inlineStr"/>
    </row>
    <row r="7692">
      <c r="A7692" t="inlineStr">
        <is>
          <t>144F²³</t>
        </is>
      </c>
      <c r="B7692" t="inlineStr"/>
      <c r="C7692" t="inlineStr">
        <is>
          <t>288</t>
        </is>
      </c>
      <c r="D7692" t="inlineStr">
        <is>
          <t>1</t>
        </is>
      </c>
      <c r="E7692" t="inlineStr">
        <is>
          <t>12</t>
        </is>
      </c>
      <c r="F7692" t="inlineStr">
        <is>
          <t>0</t>
        </is>
      </c>
      <c r="G7692" t="inlineStr">
        <is>
          <t>0</t>
        </is>
      </c>
      <c r="H7692" t="inlineStr">
        <is>
          <t>24¹, 48¹, 72¹, 144¹</t>
        </is>
      </c>
      <c r="I7692" t="n">
        <v>4</v>
      </c>
      <c r="J7692" t="inlineStr">
        <is>
          <t>1⁶, 2³</t>
        </is>
      </c>
      <c r="K7692">
        <f>HYPERLINK("CSG7.html#group48C7", "48C⁷"), =HYPERLINK("CSG11.html#group72B11", "72B¹¹")</f>
        <v/>
      </c>
      <c r="L7692" t="inlineStr"/>
      <c r="M7692">
        <f>HYPERLINK("CSG0.html#group16B0", "16B⁰"), =HYPERLINK("CSG0.html#group3B0", "3B⁰"), =HYPERLINK("CSG3.html#group24B3", "24B³"), =HYPERLINK("CSG1.html#group12F1", "12F¹"), =HYPERLINK("CSG0.html#group4C0", "4C⁰"), =HYPERLINK("CSG1.html#group9A1", "9A¹"), =HYPERLINK("CSG0.html#group8B0", "8B⁰"), =HYPERLINK("CSG2.html#group18E2", "18E²"), =HYPERLINK("CSG0.html#group1A0", "1A⁰"), =HYPERLINK("CSG0.html#group2B0", "2B⁰"), =HYPERLINK("CSG5.html#group36B5", "36B⁵"), =HYPERLINK("CSG7.html#group48C7", "48C⁷"), =HYPERLINK("CSG0.html#group6F0", "6F⁰"), =HYPERLINK("CSG11.html#group72B11", "72B¹¹")</f>
        <v/>
      </c>
      <c r="N7692" t="inlineStr"/>
    </row>
    <row r="7693">
      <c r="A7693" t="inlineStr">
        <is>
          <t>144G²³</t>
        </is>
      </c>
      <c r="B7693" t="inlineStr"/>
      <c r="C7693" t="inlineStr">
        <is>
          <t>288</t>
        </is>
      </c>
      <c r="D7693" t="inlineStr">
        <is>
          <t>1</t>
        </is>
      </c>
      <c r="E7693" t="inlineStr">
        <is>
          <t>12</t>
        </is>
      </c>
      <c r="F7693" t="inlineStr">
        <is>
          <t>0</t>
        </is>
      </c>
      <c r="G7693" t="inlineStr">
        <is>
          <t>0</t>
        </is>
      </c>
      <c r="H7693" t="inlineStr">
        <is>
          <t>24¹, 48¹, 72¹, 144¹</t>
        </is>
      </c>
      <c r="I7693" t="n">
        <v>4</v>
      </c>
      <c r="J7693" t="inlineStr">
        <is>
          <t>1⁶, 2³</t>
        </is>
      </c>
      <c r="K7693">
        <f>HYPERLINK("CSG7.html#group48D7", "48D⁷"), =HYPERLINK("CSG11.html#group72A11", "72A¹¹")</f>
        <v/>
      </c>
      <c r="L7693" t="inlineStr"/>
      <c r="M7693">
        <f>HYPERLINK("CSG7.html#group48D7", "48D⁷"), =HYPERLINK("CSG0.html#group3B0", "3B⁰"), =HYPERLINK("CSG3.html#group24B3", "24B³"), =HYPERLINK("CSG1.html#group12F1", "12F¹"), =HYPERLINK("CSG0.html#group4C0", "4C⁰"), =HYPERLINK("CSG11.html#group72A11", "72A¹¹"), =HYPERLINK("CSG0.html#group8B0", "8B⁰"), =HYPERLINK("CSG0.html#group6F0", "6F⁰"), =HYPERLINK("CSG2.html#group18D2", "18D²"), =HYPERLINK("CSG0.html#group2B0", "2B⁰"), =HYPERLINK("CSG0.html#group9C0", "9C⁰"), =HYPERLINK("CSG5.html#group36A5", "36A⁵"), =HYPERLINK("CSG0.html#group1A0", "1A⁰"), =HYPERLINK("CSG2.html#group16A2", "16A²")</f>
        <v/>
      </c>
      <c r="N7693" t="inlineStr"/>
    </row>
    <row r="7694">
      <c r="A7694" t="inlineStr">
        <is>
          <t>144H²³</t>
        </is>
      </c>
      <c r="B7694" t="inlineStr"/>
      <c r="C7694" t="inlineStr">
        <is>
          <t>288</t>
        </is>
      </c>
      <c r="D7694" t="inlineStr">
        <is>
          <t>1</t>
        </is>
      </c>
      <c r="E7694" t="inlineStr">
        <is>
          <t>12</t>
        </is>
      </c>
      <c r="F7694" t="inlineStr">
        <is>
          <t>0</t>
        </is>
      </c>
      <c r="G7694" t="inlineStr">
        <is>
          <t>0</t>
        </is>
      </c>
      <c r="H7694" t="inlineStr">
        <is>
          <t>24¹, 48¹, 72¹, 144¹</t>
        </is>
      </c>
      <c r="I7694" t="n">
        <v>4</v>
      </c>
      <c r="J7694" t="inlineStr">
        <is>
          <t>1⁶, 2³</t>
        </is>
      </c>
      <c r="K7694">
        <f>HYPERLINK("CSG7.html#group48D7", "48D⁷"), =HYPERLINK("CSG11.html#group72B11", "72B¹¹")</f>
        <v/>
      </c>
      <c r="L7694" t="inlineStr"/>
      <c r="M7694">
        <f>HYPERLINK("CSG7.html#group48D7", "48D⁷"), =HYPERLINK("CSG0.html#group3B0", "3B⁰"), =HYPERLINK("CSG2.html#group16A2", "16A²"), =HYPERLINK("CSG3.html#group24B3", "24B³"), =HYPERLINK("CSG1.html#group12F1", "12F¹"), =HYPERLINK("CSG0.html#group4C0", "4C⁰"), =HYPERLINK("CSG1.html#group9A1", "9A¹"), =HYPERLINK("CSG0.html#group8B0", "8B⁰"), =HYPERLINK("CSG0.html#group6F0", "6F⁰"), =HYPERLINK("CSG2.html#group18E2", "18E²"), =HYPERLINK("CSG0.html#group2B0", "2B⁰"), =HYPERLINK("CSG5.html#group36B5", "36B⁵"), =HYPERLINK("CSG0.html#group1A0", "1A⁰"), =HYPERLINK("CSG11.html#group72B11", "72B¹¹")</f>
        <v/>
      </c>
      <c r="N7694" t="inlineStr"/>
    </row>
    <row r="7695">
      <c r="A7695" t="inlineStr">
        <is>
          <t>144I²³</t>
        </is>
      </c>
      <c r="B7695" t="inlineStr"/>
      <c r="C7695" t="inlineStr">
        <is>
          <t>288</t>
        </is>
      </c>
      <c r="D7695" t="inlineStr">
        <is>
          <t>1</t>
        </is>
      </c>
      <c r="E7695" t="inlineStr">
        <is>
          <t>24</t>
        </is>
      </c>
      <c r="F7695" t="inlineStr">
        <is>
          <t>0</t>
        </is>
      </c>
      <c r="G7695" t="inlineStr">
        <is>
          <t>0</t>
        </is>
      </c>
      <c r="H7695" t="inlineStr">
        <is>
          <t>24¹, 48¹, 72¹, 144¹</t>
        </is>
      </c>
      <c r="I7695" t="n">
        <v>4</v>
      </c>
      <c r="J7695" t="inlineStr">
        <is>
          <t>1⁴, 2⁶, 4²</t>
        </is>
      </c>
      <c r="K7695">
        <f>HYPERLINK("CSG7.html#group48E7", "48E⁷"), =HYPERLINK("CSG11.html#group72C11", "72C¹¹")</f>
        <v/>
      </c>
      <c r="L7695" t="inlineStr"/>
      <c r="M7695">
        <f>HYPERLINK("CSG3.html#group24C3", "24C³"), =HYPERLINK("CSG0.html#group3B0", "3B⁰"), =HYPERLINK("CSG7.html#group48E7", "48E⁷"), =HYPERLINK("CSG1.html#group8A1", "8A¹"), =HYPERLINK("CSG11.html#group72C11", "72C¹¹"), =HYPERLINK("CSG1.html#group12F1", "12F¹"), =HYPERLINK("CSG0.html#group4C0", "4C⁰"), =HYPERLINK("CSG0.html#group6F0", "6F⁰"), =HYPERLINK("CSG2.html#group18D2", "18D²"), =HYPERLINK("CSG0.html#group2B0", "2B⁰"), =HYPERLINK("CSG0.html#group9C0", "9C⁰"), =HYPERLINK("CSG5.html#group36A5", "36A⁵"), =HYPERLINK("CSG0.html#group1A0", "1A⁰")</f>
        <v/>
      </c>
      <c r="N7695" t="inlineStr"/>
    </row>
    <row r="7696">
      <c r="A7696" t="inlineStr">
        <is>
          <t>144J²³</t>
        </is>
      </c>
      <c r="B7696" t="inlineStr"/>
      <c r="C7696" t="inlineStr">
        <is>
          <t>288</t>
        </is>
      </c>
      <c r="D7696" t="inlineStr">
        <is>
          <t>1</t>
        </is>
      </c>
      <c r="E7696" t="inlineStr">
        <is>
          <t>24</t>
        </is>
      </c>
      <c r="F7696" t="inlineStr">
        <is>
          <t>0</t>
        </is>
      </c>
      <c r="G7696" t="inlineStr">
        <is>
          <t>0</t>
        </is>
      </c>
      <c r="H7696" t="inlineStr">
        <is>
          <t>24¹, 48¹, 72¹, 144¹</t>
        </is>
      </c>
      <c r="I7696" t="n">
        <v>4</v>
      </c>
      <c r="J7696" t="inlineStr">
        <is>
          <t>1⁴, 2⁶, 4²</t>
        </is>
      </c>
      <c r="K7696">
        <f>HYPERLINK("CSG7.html#group48E7", "48E⁷"), =HYPERLINK("CSG11.html#group72D11", "72D¹¹")</f>
        <v/>
      </c>
      <c r="L7696" t="inlineStr"/>
      <c r="M7696">
        <f>HYPERLINK("CSG3.html#group24C3", "24C³"), =HYPERLINK("CSG0.html#group3B0", "3B⁰"), =HYPERLINK("CSG7.html#group48E7", "48E⁷"), =HYPERLINK("CSG1.html#group8A1", "8A¹"), =HYPERLINK("CSG11.html#group72D11", "72D¹¹"), =HYPERLINK("CSG1.html#group12F1", "12F¹"), =HYPERLINK("CSG0.html#group4C0", "4C⁰"), =HYPERLINK("CSG1.html#group9A1", "9A¹"), =HYPERLINK("CSG2.html#group18E2", "18E²"), =HYPERLINK("CSG0.html#group6F0", "6F⁰"), =HYPERLINK("CSG5.html#group36B5", "36B⁵"), =HYPERLINK("CSG0.html#group2B0", "2B⁰"), =HYPERLINK("CSG0.html#group1A0", "1A⁰")</f>
        <v/>
      </c>
      <c r="N7696" t="inlineStr"/>
    </row>
    <row r="7697">
      <c r="A7697" t="inlineStr">
        <is>
          <t>144K²³</t>
        </is>
      </c>
      <c r="B7697" t="inlineStr"/>
      <c r="C7697" t="inlineStr">
        <is>
          <t>288</t>
        </is>
      </c>
      <c r="D7697" t="inlineStr">
        <is>
          <t>1</t>
        </is>
      </c>
      <c r="E7697" t="inlineStr">
        <is>
          <t>24</t>
        </is>
      </c>
      <c r="F7697" t="inlineStr">
        <is>
          <t>0</t>
        </is>
      </c>
      <c r="G7697" t="inlineStr">
        <is>
          <t>0</t>
        </is>
      </c>
      <c r="H7697" t="inlineStr">
        <is>
          <t>24¹, 48¹, 72¹, 144¹</t>
        </is>
      </c>
      <c r="I7697" t="n">
        <v>4</v>
      </c>
      <c r="J7697" t="inlineStr">
        <is>
          <t>1⁴, 2⁶, 4²</t>
        </is>
      </c>
      <c r="K7697">
        <f>HYPERLINK("CSG7.html#group48F7", "48F⁷"), =HYPERLINK("CSG11.html#group72A11", "72A¹¹")</f>
        <v/>
      </c>
      <c r="L7697" t="inlineStr"/>
      <c r="M7697">
        <f>HYPERLINK("CSG0.html#group3B0", "3B⁰"), =HYPERLINK("CSG3.html#group24B3", "24B³"), =HYPERLINK("CSG1.html#group12F1", "12F¹"), =HYPERLINK("CSG0.html#group4C0", "4C⁰"), =HYPERLINK("CSG11.html#group72A11", "72A¹¹"), =HYPERLINK("CSG0.html#group8B0", "8B⁰"), =HYPERLINK("CSG0.html#group6F0", "6F⁰"), =HYPERLINK("CSG1.html#group16B1", "16B¹"), =HYPERLINK("CSG2.html#group18D2", "18D²"), =HYPERLINK("CSG0.html#group2B0", "2B⁰"), =HYPERLINK("CSG7.html#group48F7", "48F⁷"), =HYPERLINK("CSG0.html#group9C0", "9C⁰"), =HYPERLINK("CSG5.html#group36A5", "36A⁵"), =HYPERLINK("CSG0.html#group1A0", "1A⁰")</f>
        <v/>
      </c>
      <c r="N7697" t="inlineStr"/>
    </row>
    <row r="7698">
      <c r="A7698" t="inlineStr">
        <is>
          <t>144L²³</t>
        </is>
      </c>
      <c r="B7698" t="inlineStr"/>
      <c r="C7698" t="inlineStr">
        <is>
          <t>288</t>
        </is>
      </c>
      <c r="D7698" t="inlineStr">
        <is>
          <t>1</t>
        </is>
      </c>
      <c r="E7698" t="inlineStr">
        <is>
          <t>24</t>
        </is>
      </c>
      <c r="F7698" t="inlineStr">
        <is>
          <t>0</t>
        </is>
      </c>
      <c r="G7698" t="inlineStr">
        <is>
          <t>0</t>
        </is>
      </c>
      <c r="H7698" t="inlineStr">
        <is>
          <t>24¹, 48¹, 72¹, 144¹</t>
        </is>
      </c>
      <c r="I7698" t="n">
        <v>4</v>
      </c>
      <c r="J7698" t="inlineStr">
        <is>
          <t>1⁴, 2⁶, 4²</t>
        </is>
      </c>
      <c r="K7698">
        <f>HYPERLINK("CSG7.html#group48F7", "48F⁷"), =HYPERLINK("CSG11.html#group72B11", "72B¹¹")</f>
        <v/>
      </c>
      <c r="L7698" t="inlineStr"/>
      <c r="M7698">
        <f>HYPERLINK("CSG0.html#group3B0", "3B⁰"), =HYPERLINK("CSG3.html#group24B3", "24B³"), =HYPERLINK("CSG1.html#group12F1", "12F¹"), =HYPERLINK("CSG0.html#group4C0", "4C⁰"), =HYPERLINK("CSG1.html#group9A1", "9A¹"), =HYPERLINK("CSG0.html#group8B0", "8B⁰"), =HYPERLINK("CSG0.html#group6F0", "6F⁰"), =HYPERLINK("CSG1.html#group16B1", "16B¹"), =HYPERLINK("CSG2.html#group18E2", "18E²"), =HYPERLINK("CSG0.html#group2B0", "2B⁰"), =HYPERLINK("CSG5.html#group36B5", "36B⁵"), =HYPERLINK("CSG7.html#group48F7", "48F⁷"), =HYPERLINK("CSG0.html#group1A0", "1A⁰"), =HYPERLINK("CSG11.html#group72B11", "72B¹¹")</f>
        <v/>
      </c>
      <c r="N7698" t="inlineStr"/>
    </row>
    <row r="7699">
      <c r="A7699" t="inlineStr">
        <is>
          <t>144M²³</t>
        </is>
      </c>
      <c r="B7699" t="inlineStr"/>
      <c r="C7699" t="inlineStr">
        <is>
          <t>288</t>
        </is>
      </c>
      <c r="D7699" t="inlineStr">
        <is>
          <t>1</t>
        </is>
      </c>
      <c r="E7699" t="inlineStr">
        <is>
          <t>48</t>
        </is>
      </c>
      <c r="F7699" t="inlineStr">
        <is>
          <t>0</t>
        </is>
      </c>
      <c r="G7699" t="inlineStr">
        <is>
          <t>0</t>
        </is>
      </c>
      <c r="H7699" t="inlineStr">
        <is>
          <t>24¹, 48¹, 72¹, 144¹</t>
        </is>
      </c>
      <c r="I7699" t="n">
        <v>4</v>
      </c>
      <c r="J7699" t="inlineStr">
        <is>
          <t>1⁸, 2⁸, 4⁴, 8¹</t>
        </is>
      </c>
      <c r="K7699">
        <f>HYPERLINK("CSG7.html#group48G7", "48G⁷"), =HYPERLINK("CSG11.html#group72A11", "72A¹¹")</f>
        <v/>
      </c>
      <c r="L7699" t="inlineStr"/>
      <c r="M7699">
        <f>HYPERLINK("CSG0.html#group3B0", "3B⁰"), =HYPERLINK("CSG1.html#group16D1", "16D¹"), =HYPERLINK("CSG3.html#group24B3", "24B³"), =HYPERLINK("CSG7.html#group48G7", "48G⁷"), =HYPERLINK("CSG1.html#group12F1", "12F¹"), =HYPERLINK("CSG0.html#group4C0", "4C⁰"), =HYPERLINK("CSG11.html#group72A11", "72A¹¹"), =HYPERLINK("CSG0.html#group8B0", "8B⁰"), =HYPERLINK("CSG0.html#group6F0", "6F⁰"), =HYPERLINK("CSG2.html#group18D2", "18D²"), =HYPERLINK("CSG0.html#group2B0", "2B⁰"), =HYPERLINK("CSG0.html#group9C0", "9C⁰"), =HYPERLINK("CSG5.html#group36A5", "36A⁵"), =HYPERLINK("CSG0.html#group1A0", "1A⁰")</f>
        <v/>
      </c>
      <c r="N7699" t="inlineStr"/>
    </row>
    <row r="7700">
      <c r="A7700" t="inlineStr">
        <is>
          <t>144N²³</t>
        </is>
      </c>
      <c r="B7700" t="inlineStr"/>
      <c r="C7700" t="inlineStr">
        <is>
          <t>288</t>
        </is>
      </c>
      <c r="D7700" t="inlineStr">
        <is>
          <t>1</t>
        </is>
      </c>
      <c r="E7700" t="inlineStr">
        <is>
          <t>48</t>
        </is>
      </c>
      <c r="F7700" t="inlineStr">
        <is>
          <t>0</t>
        </is>
      </c>
      <c r="G7700" t="inlineStr">
        <is>
          <t>0</t>
        </is>
      </c>
      <c r="H7700" t="inlineStr">
        <is>
          <t>24¹, 48¹, 72¹, 144¹</t>
        </is>
      </c>
      <c r="I7700" t="n">
        <v>4</v>
      </c>
      <c r="J7700" t="inlineStr">
        <is>
          <t>1⁸, 2⁸, 4⁴, 8¹</t>
        </is>
      </c>
      <c r="K7700">
        <f>HYPERLINK("CSG7.html#group48G7", "48G⁷"), =HYPERLINK("CSG11.html#group72B11", "72B¹¹")</f>
        <v/>
      </c>
      <c r="L7700" t="inlineStr"/>
      <c r="M7700">
        <f>HYPERLINK("CSG0.html#group3B0", "3B⁰"), =HYPERLINK("CSG1.html#group16D1", "16D¹"), =HYPERLINK("CSG3.html#group24B3", "24B³"), =HYPERLINK("CSG7.html#group48G7", "48G⁷"), =HYPERLINK("CSG1.html#group12F1", "12F¹"), =HYPERLINK("CSG0.html#group4C0", "4C⁰"), =HYPERLINK("CSG1.html#group9A1", "9A¹"), =HYPERLINK("CSG0.html#group8B0", "8B⁰"), =HYPERLINK("CSG0.html#group6F0", "6F⁰"), =HYPERLINK("CSG2.html#group18E2", "18E²"), =HYPERLINK("CSG0.html#group2B0", "2B⁰"), =HYPERLINK("CSG5.html#group36B5", "36B⁵"), =HYPERLINK("CSG0.html#group1A0", "1A⁰"), =HYPERLINK("CSG11.html#group72B11", "72B¹¹")</f>
        <v/>
      </c>
      <c r="N7700" t="inlineStr"/>
    </row>
    <row r="7701">
      <c r="A7701" t="inlineStr">
        <is>
          <t>144O²³</t>
        </is>
      </c>
      <c r="B7701" t="inlineStr"/>
      <c r="C7701" t="inlineStr">
        <is>
          <t>288</t>
        </is>
      </c>
      <c r="D7701" t="inlineStr">
        <is>
          <t>1</t>
        </is>
      </c>
      <c r="E7701" t="inlineStr">
        <is>
          <t>48</t>
        </is>
      </c>
      <c r="F7701" t="inlineStr">
        <is>
          <t>0</t>
        </is>
      </c>
      <c r="G7701" t="inlineStr">
        <is>
          <t>0</t>
        </is>
      </c>
      <c r="H7701" t="inlineStr">
        <is>
          <t>24¹, 48¹, 72¹, 144¹</t>
        </is>
      </c>
      <c r="I7701" t="n">
        <v>4</v>
      </c>
      <c r="J7701" t="inlineStr">
        <is>
          <t>1⁸, 2⁸, 4⁴, 8¹</t>
        </is>
      </c>
      <c r="K7701">
        <f>HYPERLINK("CSG7.html#group48H7", "48H⁷"), =HYPERLINK("CSG11.html#group72C11", "72C¹¹")</f>
        <v/>
      </c>
      <c r="L7701" t="inlineStr"/>
      <c r="M7701">
        <f>HYPERLINK("CSG3.html#group24C3", "24C³"), =HYPERLINK("CSG0.html#group3B0", "3B⁰"), =HYPERLINK("CSG2.html#group16B2", "16B²"), =HYPERLINK("CSG1.html#group8A1", "8A¹"), =HYPERLINK("CSG7.html#group48H7", "48H⁷"), =HYPERLINK("CSG11.html#group72C11", "72C¹¹"), =HYPERLINK("CSG1.html#group12F1", "12F¹"), =HYPERLINK("CSG0.html#group4C0", "4C⁰"), =HYPERLINK("CSG0.html#group6F0", "6F⁰"), =HYPERLINK("CSG2.html#group18D2", "18D²"), =HYPERLINK("CSG0.html#group2B0", "2B⁰"), =HYPERLINK("CSG0.html#group9C0", "9C⁰"), =HYPERLINK("CSG5.html#group36A5", "36A⁵"), =HYPERLINK("CSG0.html#group1A0", "1A⁰")</f>
        <v/>
      </c>
      <c r="N7701" t="inlineStr"/>
    </row>
    <row r="7702">
      <c r="A7702" t="inlineStr">
        <is>
          <t>144P²³</t>
        </is>
      </c>
      <c r="B7702" t="inlineStr"/>
      <c r="C7702" t="inlineStr">
        <is>
          <t>288</t>
        </is>
      </c>
      <c r="D7702" t="inlineStr">
        <is>
          <t>1</t>
        </is>
      </c>
      <c r="E7702" t="inlineStr">
        <is>
          <t>48</t>
        </is>
      </c>
      <c r="F7702" t="inlineStr">
        <is>
          <t>0</t>
        </is>
      </c>
      <c r="G7702" t="inlineStr">
        <is>
          <t>0</t>
        </is>
      </c>
      <c r="H7702" t="inlineStr">
        <is>
          <t>24¹, 48¹, 72¹, 144¹</t>
        </is>
      </c>
      <c r="I7702" t="n">
        <v>4</v>
      </c>
      <c r="J7702" t="inlineStr">
        <is>
          <t>1⁸, 2⁸, 4⁴, 8¹</t>
        </is>
      </c>
      <c r="K7702">
        <f>HYPERLINK("CSG7.html#group48H7", "48H⁷"), =HYPERLINK("CSG11.html#group72D11", "72D¹¹")</f>
        <v/>
      </c>
      <c r="L7702" t="inlineStr"/>
      <c r="M7702">
        <f>HYPERLINK("CSG3.html#group24C3", "24C³"), =HYPERLINK("CSG0.html#group3B0", "3B⁰"), =HYPERLINK("CSG1.html#group8A1", "8A¹"), =HYPERLINK("CSG2.html#group16B2", "16B²"), =HYPERLINK("CSG11.html#group72D11", "72D¹¹"), =HYPERLINK("CSG7.html#group48H7", "48H⁷"), =HYPERLINK("CSG1.html#group12F1", "12F¹"), =HYPERLINK("CSG0.html#group4C0", "4C⁰"), =HYPERLINK("CSG1.html#group9A1", "9A¹"), =HYPERLINK("CSG2.html#group18E2", "18E²"), =HYPERLINK("CSG0.html#group6F0", "6F⁰"), =HYPERLINK("CSG5.html#group36B5", "36B⁵"), =HYPERLINK("CSG0.html#group2B0", "2B⁰"), =HYPERLINK("CSG0.html#group1A0", "1A⁰")</f>
        <v/>
      </c>
      <c r="N7702" t="inlineStr"/>
    </row>
    <row r="7703">
      <c r="A7703" t="inlineStr">
        <is>
          <t>144Q²³</t>
        </is>
      </c>
      <c r="B7703" t="inlineStr"/>
      <c r="C7703" t="inlineStr">
        <is>
          <t>288</t>
        </is>
      </c>
      <c r="D7703" t="inlineStr">
        <is>
          <t>2</t>
        </is>
      </c>
      <c r="E7703" t="inlineStr">
        <is>
          <t>72</t>
        </is>
      </c>
      <c r="F7703" t="inlineStr">
        <is>
          <t>4</t>
        </is>
      </c>
      <c r="G7703" t="inlineStr">
        <is>
          <t>0</t>
        </is>
      </c>
      <c r="H7703" t="inlineStr">
        <is>
          <t>144²</t>
        </is>
      </c>
      <c r="I7703" t="n">
        <v>2</v>
      </c>
      <c r="J7703" t="inlineStr">
        <is>
          <t>16⁶, 48⁴</t>
        </is>
      </c>
      <c r="K7703">
        <f>HYPERLINK("CSG7.html#group48I7", "48I⁷"), =HYPERLINK("CSG10.html#group144B10", "144B¹⁰"), =HYPERLINK("CSG10.html#group144C10", "144C¹⁰"), =HYPERLINK("CSG11.html#group72G11", "72G¹¹")</f>
        <v/>
      </c>
      <c r="L7703" t="inlineStr"/>
      <c r="M7703">
        <f>HYPERLINK("CSG7.html#group48I7", "48I⁷"), =HYPERLINK("CSG1.html#group12G1", "12G¹"), =HYPERLINK("CSG11.html#group72G11", "72G¹¹"), =HYPERLINK("CSG10.html#group144C10", "144C¹⁰"), =HYPERLINK("CSG0.html#group8A0", "8A⁰"), =HYPERLINK("CSG10.html#group144B10", "144B¹⁰"), =HYPERLINK("CSG4.html#group72C4", "72C⁴"), =HYPERLINK("CSG1.html#group24B1", "24B¹"), =HYPERLINK("CSG0.html#group1A0", "1A⁰"), =HYPERLINK("CSG1.html#group9B1", "9B¹"), =HYPERLINK("CSG4.html#group72A4", "72A⁴"), =HYPERLINK("CSG1.html#group36A1", "36A¹"), =HYPERLINK("CSG3.html#group24E3", "24E³"), =HYPERLINK("CSG0.html#group12A0", "12A⁰"), =HYPERLINK("CSG1.html#group24A1", "24A¹"), =HYPERLINK("CSG0.html#group4A0", "4A⁰"), =HYPERLINK("CSG0.html#group9A0", "9A⁰"), =HYPERLINK("CSG5.html#group36E5", "36E⁵"), =HYPERLINK("CSG0.html#group3C0", "3C⁰"), =HYPERLINK("CSG0.html#group3A0", "3A⁰"), =HYPERLINK("CSG3.html#group48B3", "48B³")</f>
        <v/>
      </c>
      <c r="N7703" t="inlineStr"/>
    </row>
    <row r="7704">
      <c r="A7704" t="inlineStr">
        <is>
          <t>144R²³</t>
        </is>
      </c>
      <c r="B7704" t="inlineStr"/>
      <c r="C7704" t="inlineStr">
        <is>
          <t>288</t>
        </is>
      </c>
      <c r="D7704" t="inlineStr">
        <is>
          <t>2</t>
        </is>
      </c>
      <c r="E7704" t="inlineStr">
        <is>
          <t>72</t>
        </is>
      </c>
      <c r="F7704" t="inlineStr">
        <is>
          <t>4</t>
        </is>
      </c>
      <c r="G7704" t="inlineStr">
        <is>
          <t>0</t>
        </is>
      </c>
      <c r="H7704" t="inlineStr">
        <is>
          <t>144²</t>
        </is>
      </c>
      <c r="I7704" t="n">
        <v>2</v>
      </c>
      <c r="J7704" t="inlineStr">
        <is>
          <t>16⁶, 48⁴</t>
        </is>
      </c>
      <c r="K7704">
        <f>HYPERLINK("CSG7.html#group48I7", "48I⁷"), =HYPERLINK("CSG10.html#group144B10", "144B¹⁰"), =HYPERLINK("CSG10.html#group144D10", "144D¹⁰"), =HYPERLINK("CSG11.html#group72H11", "72H¹¹")</f>
        <v/>
      </c>
      <c r="L7704" t="inlineStr"/>
      <c r="M7704">
        <f>HYPERLINK("CSG7.html#group48I7", "48I⁷"), =HYPERLINK("CSG1.html#group12G1", "12G¹"), =HYPERLINK("CSG10.html#group144D10", "144D¹⁰"), =HYPERLINK("CSG0.html#group8A0", "8A⁰"), =HYPERLINK("CSG10.html#group144B10", "144B¹⁰"), =HYPERLINK("CSG1.html#group24B1", "24B¹"), =HYPERLINK("CSG4.html#group72D4", "72D⁴"), =HYPERLINK("CSG0.html#group1A0", "1A⁰"), =HYPERLINK("CSG1.html#group9B1", "9B¹"), =HYPERLINK("CSG11.html#group72H11", "72H¹¹"), =HYPERLINK("CSG4.html#group72A4", "72A⁴"), =HYPERLINK("CSG1.html#group36A1", "36A¹"), =HYPERLINK("CSG3.html#group24E3", "24E³"), =HYPERLINK("CSG0.html#group12A0", "12A⁰"), =HYPERLINK("CSG1.html#group24A1", "24A¹"), =HYPERLINK("CSG0.html#group4A0", "4A⁰"), =HYPERLINK("CSG0.html#group9A0", "9A⁰"), =HYPERLINK("CSG5.html#group36E5", "36E⁵"), =HYPERLINK("CSG0.html#group3C0", "3C⁰"), =HYPERLINK("CSG0.html#group3A0", "3A⁰"), =HYPERLINK("CSG3.html#group48B3", "48B³")</f>
        <v/>
      </c>
      <c r="N7704" t="inlineStr"/>
    </row>
    <row r="7705">
      <c r="A7705" t="inlineStr">
        <is>
          <t>144S²³</t>
        </is>
      </c>
      <c r="B7705" t="inlineStr"/>
      <c r="C7705" t="inlineStr">
        <is>
          <t>288</t>
        </is>
      </c>
      <c r="D7705" t="inlineStr">
        <is>
          <t>2</t>
        </is>
      </c>
      <c r="E7705" t="inlineStr">
        <is>
          <t>72</t>
        </is>
      </c>
      <c r="F7705" t="inlineStr">
        <is>
          <t>4</t>
        </is>
      </c>
      <c r="G7705" t="inlineStr">
        <is>
          <t>0</t>
        </is>
      </c>
      <c r="H7705" t="inlineStr">
        <is>
          <t>144²</t>
        </is>
      </c>
      <c r="I7705" t="n">
        <v>2</v>
      </c>
      <c r="J7705" t="inlineStr">
        <is>
          <t>16⁶, 48⁴</t>
        </is>
      </c>
      <c r="K7705">
        <f>HYPERLINK("CSG7.html#group48J7", "48J⁷"), =HYPERLINK("CSG10.html#group144A10", "144A¹⁰"), =HYPERLINK("CSG10.html#group144C10", "144C¹⁰"), =HYPERLINK("CSG11.html#group72H11", "72H¹¹")</f>
        <v/>
      </c>
      <c r="L7705" t="inlineStr"/>
      <c r="M7705">
        <f>HYPERLINK("CSG1.html#group12G1", "12G¹"), =HYPERLINK("CSG0.html#group16A0", "16A⁰"), =HYPERLINK("CSG10.html#group144C10", "144C¹⁰"), =HYPERLINK("CSG0.html#group8A0", "8A⁰"), =HYPERLINK("CSG1.html#group24B1", "24B¹"), =HYPERLINK("CSG4.html#group72D4", "72D⁴"), =HYPERLINK("CSG0.html#group1A0", "1A⁰"), =HYPERLINK("CSG1.html#group9B1", "9B¹"), =HYPERLINK("CSG11.html#group72H11", "72H¹¹"), =HYPERLINK("CSG4.html#group72A4", "72A⁴"), =HYPERLINK("CSG1.html#group36A1", "36A¹"), =HYPERLINK("CSG10.html#group144A10", "144A¹⁰"), =HYPERLINK("CSG3.html#group24E3", "24E³"), =HYPERLINK("CSG0.html#group12A0", "12A⁰"), =HYPERLINK("CSG3.html#group48A3", "48A³"), =HYPERLINK("CSG1.html#group24A1", "24A¹"), =HYPERLINK("CSG7.html#group48J7", "48J⁷"), =HYPERLINK("CSG0.html#group4A0", "4A⁰"), =HYPERLINK("CSG0.html#group9A0", "9A⁰"), =HYPERLINK("CSG5.html#group36E5", "36E⁵"), =HYPERLINK("CSG0.html#group3C0", "3C⁰"), =HYPERLINK("CSG0.html#group3A0", "3A⁰"), =HYPERLINK("CSG3.html#group48B3", "48B³")</f>
        <v/>
      </c>
      <c r="N7705" t="inlineStr"/>
    </row>
    <row r="7706">
      <c r="A7706" t="inlineStr">
        <is>
          <t>144T²³</t>
        </is>
      </c>
      <c r="B7706" t="inlineStr"/>
      <c r="C7706" t="inlineStr">
        <is>
          <t>288</t>
        </is>
      </c>
      <c r="D7706" t="inlineStr">
        <is>
          <t>2</t>
        </is>
      </c>
      <c r="E7706" t="inlineStr">
        <is>
          <t>72</t>
        </is>
      </c>
      <c r="F7706" t="inlineStr">
        <is>
          <t>4</t>
        </is>
      </c>
      <c r="G7706" t="inlineStr">
        <is>
          <t>0</t>
        </is>
      </c>
      <c r="H7706" t="inlineStr">
        <is>
          <t>144²</t>
        </is>
      </c>
      <c r="I7706" t="n">
        <v>2</v>
      </c>
      <c r="J7706" t="inlineStr">
        <is>
          <t>16⁶, 48⁴</t>
        </is>
      </c>
      <c r="K7706">
        <f>HYPERLINK("CSG7.html#group48J7", "48J⁷"), =HYPERLINK("CSG10.html#group144A10", "144A¹⁰"), =HYPERLINK("CSG10.html#group144D10", "144D¹⁰"), =HYPERLINK("CSG11.html#group72G11", "72G¹¹")</f>
        <v/>
      </c>
      <c r="L7706" t="inlineStr"/>
      <c r="M7706">
        <f>HYPERLINK("CSG1.html#group12G1", "12G¹"), =HYPERLINK("CSG0.html#group16A0", "16A⁰"), =HYPERLINK("CSG11.html#group72G11", "72G¹¹"), =HYPERLINK("CSG10.html#group144D10", "144D¹⁰"), =HYPERLINK("CSG0.html#group8A0", "8A⁰"), =HYPERLINK("CSG4.html#group72C4", "72C⁴"), =HYPERLINK("CSG1.html#group24B1", "24B¹"), =HYPERLINK("CSG0.html#group1A0", "1A⁰"), =HYPERLINK("CSG1.html#group9B1", "9B¹"), =HYPERLINK("CSG4.html#group72A4", "72A⁴"), =HYPERLINK("CSG1.html#group36A1", "36A¹"), =HYPERLINK("CSG10.html#group144A10", "144A¹⁰"), =HYPERLINK("CSG3.html#group24E3", "24E³"), =HYPERLINK("CSG0.html#group12A0", "12A⁰"), =HYPERLINK("CSG1.html#group24A1", "24A¹"), =HYPERLINK("CSG3.html#group48A3", "48A³"), =HYPERLINK("CSG7.html#group48J7", "48J⁷"), =HYPERLINK("CSG0.html#group4A0", "4A⁰"), =HYPERLINK("CSG5.html#group36E5", "36E⁵"), =HYPERLINK("CSG0.html#group9A0", "9A⁰"), =HYPERLINK("CSG0.html#group3C0", "3C⁰"), =HYPERLINK("CSG0.html#group3A0", "3A⁰"), =HYPERLINK("CSG3.html#group48B3", "48B³")</f>
        <v/>
      </c>
      <c r="N7706" t="inlineStr"/>
    </row>
    <row r="7707">
      <c r="A7707" t="inlineStr">
        <is>
          <t>144U²³</t>
        </is>
      </c>
      <c r="B7707" t="inlineStr"/>
      <c r="C7707" t="inlineStr">
        <is>
          <t>384</t>
        </is>
      </c>
      <c r="D7707" t="inlineStr">
        <is>
          <t>1</t>
        </is>
      </c>
      <c r="E7707" t="inlineStr">
        <is>
          <t>16</t>
        </is>
      </c>
      <c r="F7707" t="inlineStr">
        <is>
          <t>0</t>
        </is>
      </c>
      <c r="G7707" t="inlineStr">
        <is>
          <t>24</t>
        </is>
      </c>
      <c r="H7707" t="inlineStr">
        <is>
          <t>48², 144²</t>
        </is>
      </c>
      <c r="I7707" t="n">
        <v>4</v>
      </c>
      <c r="J7707" t="inlineStr">
        <is>
          <t>2⁴, 4²</t>
        </is>
      </c>
      <c r="K7707">
        <f>HYPERLINK("CSG7.html#group48K7", "48K⁷"), =HYPERLINK("CSG11.html#group72J11", "72J¹¹")</f>
        <v/>
      </c>
      <c r="L7707" t="inlineStr"/>
      <c r="M7707">
        <f>HYPERLINK("CSG0.html#group3B0", "3B⁰"), =HYPERLINK("CSG0.html#group2A0", "2A⁰"), =HYPERLINK("CSG6.html#group72A6", "72A⁶"), =HYPERLINK("CSG1.html#group12I1", "12I¹"), =HYPERLINK("CSG7.html#group48K7", "48K⁷"), =HYPERLINK("CSG2.html#group24A2", "24A²"), =HYPERLINK("CSG0.html#group18B0", "18B⁰"), =HYPERLINK("CSG11.html#group72J11", "72J¹¹"), =HYPERLINK("CSG0.html#group6C0", "6C⁰"), =HYPERLINK("CSG0.html#group8A0", "8A⁰"), =HYPERLINK("CSG0.html#group8E0", "8E⁰"), =HYPERLINK("CSG0.html#group9C0", "9C⁰"), =HYPERLINK("CSG3.html#group24G3", "24G³"), =HYPERLINK("CSG0.html#group1A0", "1A⁰"), =HYPERLINK("CSG5.html#group36G5", "36G⁵"), =HYPERLINK("CSG3.html#group36C3", "36C³"), =HYPERLINK("CSG0.html#group4A0", "4A⁰"), =HYPERLINK("CSG0.html#group4D0", "4D⁰"), =HYPERLINK("CSG1.html#group12A1", "12A¹")</f>
        <v/>
      </c>
      <c r="N7707" t="inlineStr"/>
    </row>
    <row r="7708">
      <c r="A7708" t="inlineStr">
        <is>
          <t>144V²³</t>
        </is>
      </c>
      <c r="B7708" t="inlineStr"/>
      <c r="C7708" t="inlineStr">
        <is>
          <t>384</t>
        </is>
      </c>
      <c r="D7708" t="inlineStr">
        <is>
          <t>1</t>
        </is>
      </c>
      <c r="E7708" t="inlineStr">
        <is>
          <t>16</t>
        </is>
      </c>
      <c r="F7708" t="inlineStr">
        <is>
          <t>0</t>
        </is>
      </c>
      <c r="G7708" t="inlineStr">
        <is>
          <t>24</t>
        </is>
      </c>
      <c r="H7708" t="inlineStr">
        <is>
          <t>48², 144²</t>
        </is>
      </c>
      <c r="I7708" t="n">
        <v>4</v>
      </c>
      <c r="J7708" t="inlineStr">
        <is>
          <t>2⁴, 4²</t>
        </is>
      </c>
      <c r="K7708">
        <f>HYPERLINK("CSG7.html#group48L7", "48L⁷"), =HYPERLINK("CSG11.html#group72J11", "72J¹¹"), =HYPERLINK("CSG12.html#group144A12", "144A¹²")</f>
        <v/>
      </c>
      <c r="L7708" t="inlineStr"/>
      <c r="M7708">
        <f>HYPERLINK("CSG0.html#group3B0", "3B⁰"), =HYPERLINK("CSG0.html#group2A0", "2A⁰"), =HYPERLINK("CSG6.html#group72A6", "72A⁶"), =HYPERLINK("CSG0.html#group16A0", "16A⁰"), =HYPERLINK("CSG1.html#group12I1", "12I¹"), =HYPERLINK("CSG2.html#group24A2", "24A²"), =HYPERLINK("CSG0.html#group18B0", "18B⁰"), =HYPERLINK("CSG11.html#group72J11", "72J¹¹"), =HYPERLINK("CSG0.html#group6C0", "6C⁰"), =HYPERLINK("CSG0.html#group8A0", "8A⁰"), =HYPERLINK("CSG0.html#group8E0", "8E⁰"), =HYPERLINK("CSG0.html#group9C0", "9C⁰"), =HYPERLINK("CSG3.html#group24G3", "24G³"), =HYPERLINK("CSG0.html#group1A0", "1A⁰"), =HYPERLINK("CSG5.html#group36G5", "36G⁵"), =HYPERLINK("CSG3.html#group36C3", "36C³"), =HYPERLINK("CSG7.html#group48L7", "48L⁷"), =HYPERLINK("CSG12.html#group144A12", "144A¹²"), =HYPERLINK("CSG0.html#group4A0", "4A⁰"), =HYPERLINK("CSG0.html#group4D0", "4D⁰"), =HYPERLINK("CSG1.html#group12A1", "12A¹"), =HYPERLINK("CSG0.html#group16F0", "16F⁰"), =HYPERLINK("CSG4.html#group48A4", "48A⁴")</f>
        <v/>
      </c>
      <c r="N7708" t="inlineStr"/>
    </row>
    <row r="7709">
      <c r="A7709" t="inlineStr">
        <is>
          <t>144W²³</t>
        </is>
      </c>
      <c r="B7709" t="inlineStr"/>
      <c r="C7709" t="inlineStr">
        <is>
          <t>432</t>
        </is>
      </c>
      <c r="D7709" t="inlineStr">
        <is>
          <t>1</t>
        </is>
      </c>
      <c r="E7709" t="inlineStr">
        <is>
          <t>9</t>
        </is>
      </c>
      <c r="F7709" t="inlineStr">
        <is>
          <t>48</t>
        </is>
      </c>
      <c r="G7709" t="inlineStr">
        <is>
          <t>0</t>
        </is>
      </c>
      <c r="H7709" t="inlineStr">
        <is>
          <t>72², 144²</t>
        </is>
      </c>
      <c r="I7709" t="n">
        <v>4</v>
      </c>
      <c r="J7709" t="inlineStr">
        <is>
          <t>1³, 2³</t>
        </is>
      </c>
      <c r="K7709">
        <f>HYPERLINK("CSG7.html#group48M7", "48M⁷"), =HYPERLINK("CSG10.html#group144E10", "144E¹⁰"), =HYPERLINK("CSG11.html#group72N11", "72N¹¹")</f>
        <v/>
      </c>
      <c r="L7709" t="inlineStr"/>
      <c r="M7709">
        <f>HYPERLINK("CSG0.html#group12C0", "12C⁰"), =HYPERLINK("CSG3.html#group36E3", "36E³"), =HYPERLINK("CSG4.html#group72E4", "72E⁴"), =HYPERLINK("CSG0.html#group4C0", "4C⁰"), =HYPERLINK("CSG2.html#group36B2", "36B²"), =HYPERLINK("CSG3.html#group24I3", "24I³"), =HYPERLINK("CSG0.html#group8B0", "8B⁰"), =HYPERLINK("CSG0.html#group6G0", "6G⁰"), =HYPERLINK("CSG0.html#group2B0", "2B⁰"), =HYPERLINK("CSG5.html#group36H5", "36H⁵"), =HYPERLINK("CSG2.html#group24C2", "24C²"), =HYPERLINK("CSG6.html#group72B6", "72B⁶"), =HYPERLINK("CSG0.html#group1A0", "1A⁰"), =HYPERLINK("CSG1.html#group12L1", "12L¹"), =HYPERLINK("CSG7.html#group48M7", "48M⁷"), =HYPERLINK("CSG0.html#group9D0", "9D⁰"), =HYPERLINK("CSG1.html#group12C1", "12C¹"), =HYPERLINK("CSG0.html#group24A0", "24A⁰"), =HYPERLINK("CSG0.html#group9A0", "9A⁰"), =HYPERLINK("CSG10.html#group144E10", "144E¹⁰"), =HYPERLINK("CSG0.html#group3C0", "3C⁰"), =HYPERLINK("CSG2.html#group48A2", "48A²"), =HYPERLINK("CSG1.html#group18E1", "18E¹"), =HYPERLINK("CSG0.html#group3A0", "3A⁰"), =HYPERLINK("CSG2.html#group18I2", "18I²"), =HYPERLINK("CSG0.html#group6D0", "6D⁰"), =HYPERLINK("CSG11.html#group72N11", "72N¹¹")</f>
        <v/>
      </c>
      <c r="N7709" t="inlineStr"/>
    </row>
    <row r="7710">
      <c r="A7710" t="inlineStr">
        <is>
          <t>144X²³</t>
        </is>
      </c>
      <c r="B7710" t="inlineStr"/>
      <c r="C7710" t="inlineStr">
        <is>
          <t>432</t>
        </is>
      </c>
      <c r="D7710" t="inlineStr">
        <is>
          <t>1</t>
        </is>
      </c>
      <c r="E7710" t="inlineStr">
        <is>
          <t>9</t>
        </is>
      </c>
      <c r="F7710" t="inlineStr">
        <is>
          <t>48</t>
        </is>
      </c>
      <c r="G7710" t="inlineStr">
        <is>
          <t>0</t>
        </is>
      </c>
      <c r="H7710" t="inlineStr">
        <is>
          <t>72², 144²</t>
        </is>
      </c>
      <c r="I7710" t="n">
        <v>4</v>
      </c>
      <c r="J7710" t="inlineStr">
        <is>
          <t>1³, 2³</t>
        </is>
      </c>
      <c r="K7710">
        <f>HYPERLINK("CSG7.html#group48N7", "48N⁷"), =HYPERLINK("CSG8.html#group144A8", "144A⁸"), =HYPERLINK("CSG11.html#group72N11", "72N¹¹"), =HYPERLINK("CSG12.html#group144B12", "144B¹²")</f>
        <v/>
      </c>
      <c r="L7710" t="inlineStr"/>
      <c r="M7710">
        <f>HYPERLINK("CSG0.html#group12C0", "12C⁰"), =HYPERLINK("CSG3.html#group36E3", "36E³"), =HYPERLINK("CSG0.html#group4C0", "4C⁰"), =HYPERLINK("CSG2.html#group36B2", "36B²"), =HYPERLINK("CSG3.html#group24I3", "24I³"), =HYPERLINK("CSG0.html#group6G0", "6G⁰"), =HYPERLINK("CSG0.html#group2B0", "2B⁰"), =HYPERLINK("CSG2.html#group24C2", "24C²"), =HYPERLINK("CSG0.html#group1A0", "1A⁰"), =HYPERLINK("CSG0.html#group16B0", "16B⁰"), =HYPERLINK("CSG0.html#group24A0", "24A⁰"), =HYPERLINK("CSG0.html#group3C0", "3C⁰"), =HYPERLINK("CSG8.html#group144A8", "144A⁸"), =HYPERLINK("CSG1.html#group18E1", "18E¹"), =HYPERLINK("CSG0.html#group3A0", "3A⁰"), =HYPERLINK("CSG11.html#group72N11", "72N¹¹"), =HYPERLINK("CSG12.html#group144B12", "144B¹²"), =HYPERLINK("CSG4.html#group72E4", "72E⁴"), =HYPERLINK("CSG0.html#group8B0", "8B⁰"), =HYPERLINK("CSG0.html#group48A0", "48A⁰"), =HYPERLINK("CSG5.html#group36H5", "36H⁵"), =HYPERLINK("CSG6.html#group72B6", "72B⁶"), =HYPERLINK("CSG1.html#group12L1", "12L¹"), =HYPERLINK("CSG4.html#group48C4", "48C⁴"), =HYPERLINK("CSG0.html#group9D0", "9D⁰"), =HYPERLINK("CSG1.html#group12C1", "12C¹"), =HYPERLINK("CSG7.html#group48N7", "48N⁷"), =HYPERLINK("CSG0.html#group9A0", "9A⁰"), =HYPERLINK("CSG2.html#group18I2", "18I²"), =HYPERLINK("CSG0.html#group6D0", "6D⁰")</f>
        <v/>
      </c>
      <c r="N7710" t="inlineStr"/>
    </row>
    <row r="7711">
      <c r="A7711" t="inlineStr">
        <is>
          <t>144Y²³</t>
        </is>
      </c>
      <c r="B7711" t="inlineStr"/>
      <c r="C7711" t="inlineStr">
        <is>
          <t>432</t>
        </is>
      </c>
      <c r="D7711" t="inlineStr">
        <is>
          <t>2</t>
        </is>
      </c>
      <c r="E7711" t="inlineStr">
        <is>
          <t>27</t>
        </is>
      </c>
      <c r="F7711" t="inlineStr">
        <is>
          <t>48</t>
        </is>
      </c>
      <c r="G7711" t="inlineStr">
        <is>
          <t>0</t>
        </is>
      </c>
      <c r="H7711" t="inlineStr">
        <is>
          <t>72², 144²</t>
        </is>
      </c>
      <c r="I7711" t="n">
        <v>4</v>
      </c>
      <c r="J7711" t="inlineStr">
        <is>
          <t>2⁹, 6⁶</t>
        </is>
      </c>
      <c r="K7711">
        <f>HYPERLINK("CSG7.html#group48AH7", "48AH⁷"), =HYPERLINK("CSG9.html#group72H9", "72H⁹"), =HYPERLINK("CSG10.html#group144E10", "144E¹⁰"), =HYPERLINK("CSG12.html#group144B12", "144B¹²")</f>
        <v/>
      </c>
      <c r="L7711" t="inlineStr"/>
      <c r="M7711">
        <f>HYPERLINK("CSG0.html#group12C0", "12C⁰"), =HYPERLINK("CSG0.html#group4C0", "4C⁰"), =HYPERLINK("CSG2.html#group36B2", "36B²"), =HYPERLINK("CSG4.html#group36R4", "36R⁴"), =HYPERLINK("CSG0.html#group2B0", "2B⁰"), =HYPERLINK("CSG0.html#group1A0", "1A⁰"), =HYPERLINK("CSG0.html#group18A0", "18A⁰"), =HYPERLINK("CSG2.html#group18L2", "18L²"), =HYPERLINK("CSG9.html#group72H9", "72H⁹"), =HYPERLINK("CSG0.html#group24A0", "24A⁰"), =HYPERLINK("CSG0.html#group6H0", "6H⁰"), =HYPERLINK("CSG0.html#group3A0", "3A⁰"), =HYPERLINK("CSG1.html#group24H1", "24H¹"), =HYPERLINK("CSG1.html#group18E1", "18E¹"), =HYPERLINK("CSG7.html#group48AH7", "48AH⁷"), =HYPERLINK("CSG0.html#group6B0", "6B⁰"), =HYPERLINK("CSG12.html#group144B12", "144B¹²"), =HYPERLINK("CSG4.html#group72E4", "72E⁴"), =HYPERLINK("CSG1.html#group24D1", "24D¹"), =HYPERLINK("CSG0.html#group8B0", "8B⁰"), =HYPERLINK("CSG5.html#group72A5", "72A⁵"), =HYPERLINK("CSG4.html#group48C4", "48C⁴"), =HYPERLINK("CSG0.html#group9A0", "9A⁰"), =HYPERLINK("CSG10.html#group144E10", "144E¹⁰"), =HYPERLINK("CSG2.html#group48A2", "48A²"), =HYPERLINK("CSG0.html#group12D0", "12D⁰"), =HYPERLINK("CSG0.html#group12H0", "12H⁰"), =HYPERLINK("CSG0.html#group6D0", "6D⁰"), =HYPERLINK("CSG2.html#group36C2", "36C²")</f>
        <v/>
      </c>
      <c r="N7711" t="inlineStr"/>
    </row>
    <row r="7712">
      <c r="A7712" t="inlineStr">
        <is>
          <t>145A²³</t>
        </is>
      </c>
      <c r="B7712" t="inlineStr"/>
      <c r="C7712" t="inlineStr">
        <is>
          <t>300</t>
        </is>
      </c>
      <c r="D7712" t="inlineStr">
        <is>
          <t>1</t>
        </is>
      </c>
      <c r="E7712" t="inlineStr">
        <is>
          <t>300</t>
        </is>
      </c>
      <c r="F7712" t="inlineStr">
        <is>
          <t>4</t>
        </is>
      </c>
      <c r="G7712" t="inlineStr">
        <is>
          <t>0</t>
        </is>
      </c>
      <c r="H7712" t="inlineStr">
        <is>
          <t>5², 145²</t>
        </is>
      </c>
      <c r="I7712" t="n">
        <v>4</v>
      </c>
      <c r="J7712" t="inlineStr">
        <is>
          <t>2², 4⁴, 56¹, 112²</t>
        </is>
      </c>
      <c r="K7712">
        <f>HYPERLINK("CSG0.html#group5C0", "5C⁰"), =HYPERLINK("CSG2.html#group29A2", "29A²")</f>
        <v/>
      </c>
      <c r="L7712" t="inlineStr"/>
      <c r="M7712">
        <f>HYPERLINK("CSG0.html#group5C0", "5C⁰"), =HYPERLINK("CSG0.html#group1A0", "1A⁰"), =HYPERLINK("CSG2.html#group29A2", "29A²")</f>
        <v/>
      </c>
      <c r="N7712" t="inlineStr"/>
    </row>
    <row r="7713">
      <c r="A7713" t="inlineStr">
        <is>
          <t>148A²³</t>
        </is>
      </c>
      <c r="B7713" t="inlineStr"/>
      <c r="C7713" t="inlineStr">
        <is>
          <t>304</t>
        </is>
      </c>
      <c r="D7713" t="inlineStr">
        <is>
          <t>1</t>
        </is>
      </c>
      <c r="E7713" t="inlineStr">
        <is>
          <t>152</t>
        </is>
      </c>
      <c r="F7713" t="inlineStr">
        <is>
          <t>0</t>
        </is>
      </c>
      <c r="G7713" t="inlineStr">
        <is>
          <t>4</t>
        </is>
      </c>
      <c r="H7713" t="inlineStr">
        <is>
          <t>4², 148²</t>
        </is>
      </c>
      <c r="I7713" t="n">
        <v>4</v>
      </c>
      <c r="J7713" t="inlineStr">
        <is>
          <t>2⁴, 72²</t>
        </is>
      </c>
      <c r="K7713">
        <f>HYPERLINK("CSG4.html#group37A4", "37A⁴"), =HYPERLINK("CSG11.html#group148A11", "148A¹¹")</f>
        <v/>
      </c>
      <c r="L7713" t="inlineStr"/>
      <c r="M7713">
        <f>HYPERLINK("CSG2.html#group37A2", "37A²"), =HYPERLINK("CSG0.html#group4A0", "4A⁰"), =HYPERLINK("CSG4.html#group37A4", "37A⁴"), =HYPERLINK("CSG0.html#group1A0", "1A⁰"), =HYPERLINK("CSG11.html#group148A11", "148A¹¹")</f>
        <v/>
      </c>
      <c r="N7713" t="inlineStr"/>
    </row>
    <row r="7714">
      <c r="A7714" t="inlineStr">
        <is>
          <t>148B²³</t>
        </is>
      </c>
      <c r="B7714" t="inlineStr"/>
      <c r="C7714" t="inlineStr">
        <is>
          <t>304</t>
        </is>
      </c>
      <c r="D7714" t="inlineStr">
        <is>
          <t>1</t>
        </is>
      </c>
      <c r="E7714" t="inlineStr">
        <is>
          <t>152</t>
        </is>
      </c>
      <c r="F7714" t="inlineStr">
        <is>
          <t>0</t>
        </is>
      </c>
      <c r="G7714" t="inlineStr">
        <is>
          <t>4</t>
        </is>
      </c>
      <c r="H7714" t="inlineStr">
        <is>
          <t>4², 148²</t>
        </is>
      </c>
      <c r="I7714" t="n">
        <v>4</v>
      </c>
      <c r="J7714" t="inlineStr">
        <is>
          <t>2⁴, 72²</t>
        </is>
      </c>
      <c r="K7714">
        <f>HYPERLINK("CSG0.html#group4D0", "4D⁰"), =HYPERLINK("CSG5.html#group74A5", "74A⁵"), =HYPERLINK("CSG11.html#group148A11", "148A¹¹")</f>
        <v/>
      </c>
      <c r="L7714" t="inlineStr"/>
      <c r="M7714">
        <f>HYPERLINK("CSG2.html#group37A2", "37A²"), =HYPERLINK("CSG0.html#group2A0", "2A⁰"), =HYPERLINK("CSG11.html#group148A11", "148A¹¹"), =HYPERLINK("CSG0.html#group4D0", "4D⁰"), =HYPERLINK("CSG0.html#group4A0", "4A⁰"), =HYPERLINK("CSG5.html#group74A5", "74A⁵"), =HYPERLINK("CSG0.html#group1A0", "1A⁰")</f>
        <v/>
      </c>
      <c r="N7714" t="inlineStr"/>
    </row>
    <row r="7715">
      <c r="A7715" t="inlineStr">
        <is>
          <t>150A²³</t>
        </is>
      </c>
      <c r="B7715" t="inlineStr"/>
      <c r="C7715" t="inlineStr">
        <is>
          <t>300</t>
        </is>
      </c>
      <c r="D7715" t="inlineStr">
        <is>
          <t>1</t>
        </is>
      </c>
      <c r="E7715" t="inlineStr">
        <is>
          <t>150</t>
        </is>
      </c>
      <c r="F7715" t="inlineStr">
        <is>
          <t>8</t>
        </is>
      </c>
      <c r="G7715" t="inlineStr">
        <is>
          <t>0</t>
        </is>
      </c>
      <c r="H7715" t="inlineStr">
        <is>
          <t>150²</t>
        </is>
      </c>
      <c r="I7715" t="n">
        <v>2</v>
      </c>
      <c r="J7715" t="inlineStr">
        <is>
          <t>2¹, 4³, 8², 20², 40²</t>
        </is>
      </c>
      <c r="K7715">
        <f>HYPERLINK("CSG3.html#group30H3", "30H³"), =HYPERLINK("CSG11.html#group75A11", "75A¹¹")</f>
        <v/>
      </c>
      <c r="L7715" t="inlineStr"/>
      <c r="M7715">
        <f>HYPERLINK("CSG1.html#group15D1", "15D¹"), =HYPERLINK("CSG0.html#group6B0", "6B⁰"), =HYPERLINK("CSG3.html#group30H3", "30H³"), =HYPERLINK("CSG0.html#group5C0", "5C⁰"), =HYPERLINK("CSG2.html#group25E2", "25E²"), =HYPERLINK("CSG11.html#group75A11", "75A¹¹"), =HYPERLINK("CSG0.html#group3A0", "3A⁰"), =HYPERLINK("CSG0.html#group1A0", "1A⁰")</f>
        <v/>
      </c>
      <c r="N7715" t="inlineStr"/>
    </row>
    <row r="7716">
      <c r="A7716" t="inlineStr">
        <is>
          <t>150B²³</t>
        </is>
      </c>
      <c r="B7716" t="inlineStr"/>
      <c r="C7716" t="inlineStr">
        <is>
          <t>360</t>
        </is>
      </c>
      <c r="D7716" t="inlineStr">
        <is>
          <t>1</t>
        </is>
      </c>
      <c r="E7716" t="inlineStr">
        <is>
          <t>90</t>
        </is>
      </c>
      <c r="F7716" t="inlineStr">
        <is>
          <t>8</t>
        </is>
      </c>
      <c r="G7716" t="inlineStr">
        <is>
          <t>0</t>
        </is>
      </c>
      <c r="H7716" t="inlineStr">
        <is>
          <t>6¹⁰, 150²</t>
        </is>
      </c>
      <c r="I7716" t="n">
        <v>12</v>
      </c>
      <c r="J7716" t="inlineStr">
        <is>
          <t>1², 2², 4², 8², 20¹, 40¹</t>
        </is>
      </c>
      <c r="K7716">
        <f>HYPERLINK("CSG3.html#group30I3", "30I³"), =HYPERLINK("CSG9.html#group75E9", "75E⁹"), =HYPERLINK("CSG11.html#group150A11", "150A¹¹")</f>
        <v/>
      </c>
      <c r="L7716" t="inlineStr"/>
      <c r="M7716">
        <f>HYPERLINK("CSG11.html#group150A11", "150A¹¹"), =HYPERLINK("CSG4.html#group75A4", "75A⁴"), =HYPERLINK("CSG0.html#group15B0", "15B⁰"), =HYPERLINK("CSG0.html#group6B0", "6B⁰"), =HYPERLINK("CSG3.html#group30I3", "30I³"), =HYPERLINK("CSG0.html#group6E0", "6E⁰"), =HYPERLINK("CSG1.html#group15E1", "15E¹"), =HYPERLINK("CSG0.html#group5B0", "5B⁰"), =HYPERLINK("CSG0.html#group25A0", "25A⁰"), =HYPERLINK("CSG0.html#group3C0", "3C⁰"), =HYPERLINK("CSG9.html#group75E9", "75E⁹"), =HYPERLINK("CSG0.html#group3A0", "3A⁰"), =HYPERLINK("CSG0.html#group1A0", "1A⁰"), =HYPERLINK("CSG1.html#group30C1", "30C¹")</f>
        <v/>
      </c>
      <c r="N7716" t="inlineStr"/>
    </row>
    <row r="7717">
      <c r="A7717" t="inlineStr">
        <is>
          <t>150C²³</t>
        </is>
      </c>
      <c r="B7717" t="inlineStr"/>
      <c r="C7717" t="inlineStr">
        <is>
          <t>360</t>
        </is>
      </c>
      <c r="D7717" t="inlineStr">
        <is>
          <t>1</t>
        </is>
      </c>
      <c r="E7717" t="inlineStr">
        <is>
          <t>90</t>
        </is>
      </c>
      <c r="F7717" t="inlineStr">
        <is>
          <t>8</t>
        </is>
      </c>
      <c r="G7717" t="inlineStr">
        <is>
          <t>0</t>
        </is>
      </c>
      <c r="H7717" t="inlineStr">
        <is>
          <t>6¹⁰, 150²</t>
        </is>
      </c>
      <c r="I7717" t="n">
        <v>12</v>
      </c>
      <c r="J7717" t="inlineStr">
        <is>
          <t>1², 2², 4², 8², 20¹, 40¹</t>
        </is>
      </c>
      <c r="K7717">
        <f>HYPERLINK("CSG3.html#group30J3", "30J³"), =HYPERLINK("CSG9.html#group75E9", "75E⁹"), =HYPERLINK("CSG10.html#group150A10", "150A¹⁰"), =HYPERLINK("CSG12.html#group150E12", "150E¹²")</f>
        <v/>
      </c>
      <c r="L7717" t="inlineStr"/>
      <c r="M7717">
        <f>HYPERLINK("CSG0.html#group30A0", "30A⁰"), =HYPERLINK("CSG10.html#group150A10", "150A¹⁰"), =HYPERLINK("CSG3.html#group30J3", "30J³"), =HYPERLINK("CSG0.html#group5B0", "5B⁰"), =HYPERLINK("CSG4.html#group75A4", "75A⁴"), =HYPERLINK("CSG0.html#group1A0", "1A⁰"), =HYPERLINK("CSG12.html#group150E12", "150E¹²"), =HYPERLINK("CSG0.html#group10B0", "10B⁰"), =HYPERLINK("CSG0.html#group15B0", "15B⁰"), =HYPERLINK("CSG2.html#group50A2", "50A²"), =HYPERLINK("CSG0.html#group25A0", "25A⁰"), =HYPERLINK("CSG0.html#group3C0", "3C⁰"), =HYPERLINK("CSG9.html#group75E9", "75E⁹"), =HYPERLINK("CSG0.html#group3A0", "3A⁰"), =HYPERLINK("CSG1.html#group15E1", "15E¹"), =HYPERLINK("CSG2.html#group30C2", "30C²")</f>
        <v/>
      </c>
      <c r="N7717" t="inlineStr"/>
    </row>
    <row r="7718">
      <c r="A7718" t="inlineStr">
        <is>
          <t>150D²³</t>
        </is>
      </c>
      <c r="B7718" t="inlineStr"/>
      <c r="C7718" t="inlineStr">
        <is>
          <t>360</t>
        </is>
      </c>
      <c r="D7718" t="inlineStr">
        <is>
          <t>2</t>
        </is>
      </c>
      <c r="E7718" t="inlineStr">
        <is>
          <t>90</t>
        </is>
      </c>
      <c r="F7718" t="inlineStr">
        <is>
          <t>8</t>
        </is>
      </c>
      <c r="G7718" t="inlineStr">
        <is>
          <t>0</t>
        </is>
      </c>
      <c r="H7718" t="inlineStr">
        <is>
          <t>6¹⁰, 150²</t>
        </is>
      </c>
      <c r="I7718" t="n">
        <v>12</v>
      </c>
      <c r="J7718" t="inlineStr">
        <is>
          <t>2⁶, 8⁶, 40³</t>
        </is>
      </c>
      <c r="K7718">
        <f>HYPERLINK("CSG3.html#group30L3", "30L³"), =HYPERLINK("CSG8.html#group75A8", "75A⁸"), =HYPERLINK("CSG11.html#group150A11", "150A¹¹"), =HYPERLINK("CSG12.html#group150E12", "150E¹²")</f>
        <v/>
      </c>
      <c r="L7718" t="inlineStr"/>
      <c r="M7718">
        <f>HYPERLINK("CSG11.html#group150A11", "150A¹¹"), =HYPERLINK("CSG3.html#group30L3", "30L³"), =HYPERLINK("CSG0.html#group15B0", "15B⁰"), =HYPERLINK("CSG0.html#group6B0", "6B⁰"), =HYPERLINK("CSG0.html#group5B0", "5B⁰"), =HYPERLINK("CSG0.html#group25A0", "25A⁰"), =HYPERLINK("CSG0.html#group1A0", "1A⁰"), =HYPERLINK("CSG0.html#group15C0", "15C⁰"), =HYPERLINK("CSG4.html#group75A4", "75A⁴"), =HYPERLINK("CSG0.html#group3A0", "3A⁰"), =HYPERLINK("CSG8.html#group75A8", "75A⁸"), =HYPERLINK("CSG12.html#group150E12", "150E¹²"), =HYPERLINK("CSG1.html#group30C1", "30C¹"), =HYPERLINK("CSG2.html#group30C2", "30C²")</f>
        <v/>
      </c>
      <c r="N7718" t="inlineStr"/>
    </row>
    <row r="7719">
      <c r="A7719" t="inlineStr">
        <is>
          <t>152A²³</t>
        </is>
      </c>
      <c r="B7719" t="inlineStr"/>
      <c r="C7719" t="inlineStr">
        <is>
          <t>320</t>
        </is>
      </c>
      <c r="D7719" t="inlineStr">
        <is>
          <t>1</t>
        </is>
      </c>
      <c r="E7719" t="inlineStr">
        <is>
          <t>80</t>
        </is>
      </c>
      <c r="F7719" t="inlineStr">
        <is>
          <t>0</t>
        </is>
      </c>
      <c r="G7719" t="inlineStr">
        <is>
          <t>8</t>
        </is>
      </c>
      <c r="H7719" t="inlineStr">
        <is>
          <t>8², 152²</t>
        </is>
      </c>
      <c r="I7719" t="n">
        <v>4</v>
      </c>
      <c r="J7719" t="inlineStr">
        <is>
          <t>2⁴, 36²</t>
        </is>
      </c>
      <c r="K7719">
        <f>HYPERLINK("CSG11.html#group76A11", "76A¹¹")</f>
        <v/>
      </c>
      <c r="L7719" t="inlineStr"/>
      <c r="M7719">
        <f>HYPERLINK("CSG1.html#group19A1", "19A¹"), =HYPERLINK("CSG0.html#group2A0", "2A⁰"), =HYPERLINK("CSG2.html#group38A2", "38A²"), =HYPERLINK("CSG0.html#group4A0", "4A⁰"), =HYPERLINK("CSG11.html#group76A11", "76A¹¹"), =HYPERLINK("CSG0.html#group4D0", "4D⁰"), =HYPERLINK("CSG6.html#group76A6", "76A⁶"), =HYPERLINK("CSG0.html#group1A0", "1A⁰")</f>
        <v/>
      </c>
      <c r="N7719" t="inlineStr"/>
    </row>
    <row r="7720">
      <c r="A7720" t="inlineStr">
        <is>
          <t>152B²³</t>
        </is>
      </c>
      <c r="B7720" t="inlineStr"/>
      <c r="C7720" t="inlineStr">
        <is>
          <t>320</t>
        </is>
      </c>
      <c r="D7720" t="inlineStr">
        <is>
          <t>1</t>
        </is>
      </c>
      <c r="E7720" t="inlineStr">
        <is>
          <t>80</t>
        </is>
      </c>
      <c r="F7720" t="inlineStr">
        <is>
          <t>0</t>
        </is>
      </c>
      <c r="G7720" t="inlineStr">
        <is>
          <t>8</t>
        </is>
      </c>
      <c r="H7720" t="inlineStr">
        <is>
          <t>8², 152²</t>
        </is>
      </c>
      <c r="I7720" t="n">
        <v>4</v>
      </c>
      <c r="J7720" t="inlineStr">
        <is>
          <t>2⁴, 36²</t>
        </is>
      </c>
      <c r="K7720">
        <f>HYPERLINK("CSG0.html#group8E0", "8E⁰"), =HYPERLINK("CSG11.html#group76A11", "76A¹¹"), =HYPERLINK("CSG12.html#group152A12", "152A¹²")</f>
        <v/>
      </c>
      <c r="L7720" t="inlineStr"/>
      <c r="M7720">
        <f>HYPERLINK("CSG0.html#group2A0", "2A⁰"), =HYPERLINK("CSG1.html#group19A1", "19A¹"), =HYPERLINK("CSG2.html#group38A2", "38A²"), =HYPERLINK("CSG12.html#group152A12", "152A¹²"), =HYPERLINK("CSG0.html#group4A0", "4A⁰"), =HYPERLINK("CSG11.html#group76A11", "76A¹¹"), =HYPERLINK("CSG0.html#group4D0", "4D⁰"), =HYPERLINK("CSG0.html#group8A0", "8A⁰"), =HYPERLINK("CSG0.html#group8E0", "8E⁰"), =HYPERLINK("CSG6.html#group76A6", "76A⁶"), =HYPERLINK("CSG0.html#group1A0", "1A⁰")</f>
        <v/>
      </c>
      <c r="N7720" t="inlineStr"/>
    </row>
    <row r="7721">
      <c r="A7721" t="inlineStr">
        <is>
          <t>153A²³</t>
        </is>
      </c>
      <c r="B7721" t="inlineStr"/>
      <c r="C7721" t="inlineStr">
        <is>
          <t>324</t>
        </is>
      </c>
      <c r="D7721" t="inlineStr">
        <is>
          <t>1</t>
        </is>
      </c>
      <c r="E7721" t="inlineStr">
        <is>
          <t>54</t>
        </is>
      </c>
      <c r="F7721" t="inlineStr">
        <is>
          <t>12</t>
        </is>
      </c>
      <c r="G7721" t="inlineStr">
        <is>
          <t>0</t>
        </is>
      </c>
      <c r="H7721" t="inlineStr">
        <is>
          <t>9², 153²</t>
        </is>
      </c>
      <c r="I7721" t="n">
        <v>4</v>
      </c>
      <c r="J7721" t="inlineStr">
        <is>
          <t>1², 2², 16¹, 32¹</t>
        </is>
      </c>
      <c r="K7721">
        <f>HYPERLINK("CSG0.html#group9D0", "9D⁰"), =HYPERLINK("CSG7.html#group51B7", "51B⁷"), =HYPERLINK("CSG11.html#group153A11", "153A¹¹")</f>
        <v/>
      </c>
      <c r="L7721" t="inlineStr"/>
      <c r="M7721">
        <f>HYPERLINK("CSG0.html#group9D0", "9D⁰"), =HYPERLINK("CSG11.html#group153A11", "153A¹¹"), =HYPERLINK("CSG3.html#group51A3", "51A³"), =HYPERLINK("CSG0.html#group9A0", "9A⁰"), =HYPERLINK("CSG7.html#group51B7", "51B⁷"), =HYPERLINK("CSG0.html#group3C0", "3C⁰"), =HYPERLINK("CSG1.html#group17A1", "17A¹"), =HYPERLINK("CSG0.html#group3A0", "3A⁰"), =HYPERLINK("CSG0.html#group1A0", "1A⁰")</f>
        <v/>
      </c>
      <c r="N7721" t="inlineStr"/>
    </row>
    <row r="7722">
      <c r="A7722" t="inlineStr">
        <is>
          <t>153B²³</t>
        </is>
      </c>
      <c r="B7722" t="inlineStr"/>
      <c r="C7722" t="inlineStr">
        <is>
          <t>324</t>
        </is>
      </c>
      <c r="D7722" t="inlineStr">
        <is>
          <t>1</t>
        </is>
      </c>
      <c r="E7722" t="inlineStr">
        <is>
          <t>162</t>
        </is>
      </c>
      <c r="F7722" t="inlineStr">
        <is>
          <t>12</t>
        </is>
      </c>
      <c r="G7722" t="inlineStr">
        <is>
          <t>0</t>
        </is>
      </c>
      <c r="H7722" t="inlineStr">
        <is>
          <t>9², 153²</t>
        </is>
      </c>
      <c r="I7722" t="n">
        <v>4</v>
      </c>
      <c r="J7722" t="inlineStr">
        <is>
          <t>1², 2², 6², 16¹, 32¹, 96¹</t>
        </is>
      </c>
      <c r="K7722">
        <f>HYPERLINK("CSG7.html#group51A7", "51A⁷"), =HYPERLINK("CSG11.html#group153A11", "153A¹¹")</f>
        <v/>
      </c>
      <c r="L7722" t="inlineStr"/>
      <c r="M7722">
        <f>HYPERLINK("CSG1.html#group17A1", "17A¹"), =HYPERLINK("CSG3.html#group51A3", "51A³"), =HYPERLINK("CSG0.html#group3A0", "3A⁰"), =HYPERLINK("CSG11.html#group153A11", "153A¹¹"), =HYPERLINK("CSG0.html#group1A0", "1A⁰"), =HYPERLINK("CSG7.html#group51A7", "51A⁷"), =HYPERLINK("CSG0.html#group9A0", "9A⁰")</f>
        <v/>
      </c>
      <c r="N7722" t="inlineStr"/>
    </row>
    <row r="7723">
      <c r="A7723" t="inlineStr">
        <is>
          <t>153C²³</t>
        </is>
      </c>
      <c r="B7723" t="inlineStr"/>
      <c r="C7723" t="inlineStr">
        <is>
          <t>324</t>
        </is>
      </c>
      <c r="D7723" t="inlineStr">
        <is>
          <t>1</t>
        </is>
      </c>
      <c r="E7723" t="inlineStr">
        <is>
          <t>324</t>
        </is>
      </c>
      <c r="F7723" t="inlineStr">
        <is>
          <t>4</t>
        </is>
      </c>
      <c r="G7723" t="inlineStr">
        <is>
          <t>0</t>
        </is>
      </c>
      <c r="H7723" t="inlineStr">
        <is>
          <t>3³, 9¹, 51³, 153¹</t>
        </is>
      </c>
      <c r="I7723" t="n">
        <v>8</v>
      </c>
      <c r="J7723" t="inlineStr">
        <is>
          <t>1², 2², 3², 6⁴, 16¹, 32¹, 48¹, 96²</t>
        </is>
      </c>
      <c r="K7723">
        <f>HYPERLINK("CSG0.html#group9E0", "9E⁰"), =HYPERLINK("CSG7.html#group51B7", "51B⁷")</f>
        <v/>
      </c>
      <c r="L7723" t="inlineStr"/>
      <c r="M7723">
        <f>HYPERLINK("CSG7.html#group51B7", "51B⁷"), =HYPERLINK("CSG0.html#group3C0", "3C⁰"), =HYPERLINK("CSG1.html#group17A1", "17A¹"), =HYPERLINK("CSG0.html#group1A0", "1A⁰"), =HYPERLINK("CSG0.html#group9E0", "9E⁰"), =HYPERLINK("CSG0.html#group3A0", "3A⁰"), =HYPERLINK("CSG3.html#group51A3", "51A³")</f>
        <v/>
      </c>
      <c r="N7723" t="inlineStr"/>
    </row>
    <row r="7724">
      <c r="A7724" t="inlineStr">
        <is>
          <t>154A²³</t>
        </is>
      </c>
      <c r="B7724" t="inlineStr"/>
      <c r="C7724" t="inlineStr">
        <is>
          <t>308</t>
        </is>
      </c>
      <c r="D7724" t="inlineStr">
        <is>
          <t>2</t>
        </is>
      </c>
      <c r="E7724" t="inlineStr">
        <is>
          <t>77</t>
        </is>
      </c>
      <c r="F7724" t="inlineStr">
        <is>
          <t>0</t>
        </is>
      </c>
      <c r="G7724" t="inlineStr">
        <is>
          <t>8</t>
        </is>
      </c>
      <c r="H7724" t="inlineStr">
        <is>
          <t>154²</t>
        </is>
      </c>
      <c r="I7724" t="n">
        <v>2</v>
      </c>
      <c r="J7724" t="inlineStr">
        <is>
          <t>4¹, 12², 20², 60⁴</t>
        </is>
      </c>
      <c r="K7724">
        <f>HYPERLINK("CSG9.html#group154A9", "154A⁹"), =HYPERLINK("CSG10.html#group77A10", "77A¹⁰"), =HYPERLINK("CSG12.html#group154A12", "154A¹²")</f>
        <v/>
      </c>
      <c r="L7724" t="inlineStr"/>
      <c r="M7724">
        <f>HYPERLINK("CSG0.html#group11A0", "11A⁰"), =HYPERLINK("CSG0.html#group2A0", "2A⁰"), =HYPERLINK("CSG10.html#group77A10", "77A¹⁰"), =HYPERLINK("CSG12.html#group154A12", "154A¹²"), =HYPERLINK("CSG1.html#group22A1", "22A¹"), =HYPERLINK("CSG0.html#group7C0", "7C⁰"), =HYPERLINK("CSG4.html#group77A4", "77A⁴"), =HYPERLINK("CSG9.html#group154A9", "154A⁹"), =HYPERLINK("CSG0.html#group1A0", "1A⁰"), =HYPERLINK("CSG0.html#group7A0", "7A⁰")</f>
        <v/>
      </c>
      <c r="N7724" t="inlineStr"/>
    </row>
    <row r="7725">
      <c r="A7725" t="inlineStr">
        <is>
          <t>154B²³</t>
        </is>
      </c>
      <c r="B7725" t="inlineStr"/>
      <c r="C7725" t="inlineStr">
        <is>
          <t>308</t>
        </is>
      </c>
      <c r="D7725" t="inlineStr">
        <is>
          <t>2</t>
        </is>
      </c>
      <c r="E7725" t="inlineStr">
        <is>
          <t>77</t>
        </is>
      </c>
      <c r="F7725" t="inlineStr">
        <is>
          <t>0</t>
        </is>
      </c>
      <c r="G7725" t="inlineStr">
        <is>
          <t>8</t>
        </is>
      </c>
      <c r="H7725" t="inlineStr">
        <is>
          <t>154²</t>
        </is>
      </c>
      <c r="I7725" t="n">
        <v>2</v>
      </c>
      <c r="J7725" t="inlineStr">
        <is>
          <t>4¹, 12², 20², 60⁴</t>
        </is>
      </c>
      <c r="K7725">
        <f>HYPERLINK("CSG9.html#group154B9", "154B⁹"), =HYPERLINK("CSG10.html#group77B10", "77B¹⁰"), =HYPERLINK("CSG12.html#group154B12", "154B¹²")</f>
        <v/>
      </c>
      <c r="L7725" t="inlineStr"/>
      <c r="M7725">
        <f>HYPERLINK("CSG0.html#group11A0", "11A⁰"), =HYPERLINK("CSG0.html#group2A0", "2A⁰"), =HYPERLINK("CSG1.html#group22A1", "22A¹"), =HYPERLINK("CSG10.html#group77B10", "77B¹⁰"), =HYPERLINK("CSG0.html#group7C0", "7C⁰"), =HYPERLINK("CSG9.html#group154B9", "154B⁹"), =HYPERLINK("CSG0.html#group7A0", "7A⁰"), =HYPERLINK("CSG4.html#group77B4", "77B⁴"), =HYPERLINK("CSG0.html#group1A0", "1A⁰"), =HYPERLINK("CSG12.html#group154B12", "154B¹²")</f>
        <v/>
      </c>
      <c r="N7725" t="inlineStr"/>
    </row>
    <row r="7726">
      <c r="A7726" t="inlineStr">
        <is>
          <t>156A²³</t>
        </is>
      </c>
      <c r="B7726" t="inlineStr"/>
      <c r="C7726" t="inlineStr">
        <is>
          <t>336</t>
        </is>
      </c>
      <c r="D7726" t="inlineStr">
        <is>
          <t>1</t>
        </is>
      </c>
      <c r="E7726" t="inlineStr">
        <is>
          <t>42</t>
        </is>
      </c>
      <c r="F7726" t="inlineStr">
        <is>
          <t>16</t>
        </is>
      </c>
      <c r="G7726" t="inlineStr">
        <is>
          <t>0</t>
        </is>
      </c>
      <c r="H7726" t="inlineStr">
        <is>
          <t>12², 156²</t>
        </is>
      </c>
      <c r="I7726" t="n">
        <v>4</v>
      </c>
      <c r="J7726" t="inlineStr">
        <is>
          <t>2², 4², 24¹, 48¹</t>
        </is>
      </c>
      <c r="K7726">
        <f>HYPERLINK("CSG9.html#group78B9", "78B⁹"), =HYPERLINK("CSG11.html#group156C11", "156C¹¹")</f>
        <v/>
      </c>
      <c r="L7726" t="inlineStr"/>
      <c r="M7726">
        <f>HYPERLINK("CSG2.html#group39A2", "39A²"), =HYPERLINK("CSG4.html#group78A4", "78A⁴"), =HYPERLINK("CSG0.html#group6B0", "6B⁰"), =HYPERLINK("CSG5.html#group78B5", "78B⁵"), =HYPERLINK("CSG9.html#group78B9", "78B⁹"), =HYPERLINK("CSG0.html#group13A0", "13A⁰"), =HYPERLINK("CSG0.html#group26A0", "26A⁰"), =HYPERLINK("CSG4.html#group39A4", "39A⁴"), =HYPERLINK("CSG0.html#group3A0", "3A⁰"), =HYPERLINK("CSG11.html#group156C11", "156C¹¹"), =HYPERLINK("CSG0.html#group1A0", "1A⁰")</f>
        <v/>
      </c>
      <c r="N7726" t="inlineStr"/>
    </row>
    <row r="7727">
      <c r="A7727" t="inlineStr">
        <is>
          <t>156B²³</t>
        </is>
      </c>
      <c r="B7727" t="inlineStr"/>
      <c r="C7727" t="inlineStr">
        <is>
          <t>336</t>
        </is>
      </c>
      <c r="D7727" t="inlineStr">
        <is>
          <t>1</t>
        </is>
      </c>
      <c r="E7727" t="inlineStr">
        <is>
          <t>42</t>
        </is>
      </c>
      <c r="F7727" t="inlineStr">
        <is>
          <t>16</t>
        </is>
      </c>
      <c r="G7727" t="inlineStr">
        <is>
          <t>0</t>
        </is>
      </c>
      <c r="H7727" t="inlineStr">
        <is>
          <t>12², 156²</t>
        </is>
      </c>
      <c r="I7727" t="n">
        <v>4</v>
      </c>
      <c r="J7727" t="inlineStr">
        <is>
          <t>2², 4², 24¹, 48¹</t>
        </is>
      </c>
      <c r="K7727">
        <f>HYPERLINK("CSG9.html#group78B9", "78B⁹"), =HYPERLINK("CSG11.html#group156C11", "156C¹¹")</f>
        <v/>
      </c>
      <c r="L7727" t="inlineStr"/>
      <c r="M7727">
        <f>HYPERLINK("CSG2.html#group39A2", "39A²"), =HYPERLINK("CSG4.html#group78A4", "78A⁴"), =HYPERLINK("CSG0.html#group6B0", "6B⁰"), =HYPERLINK("CSG5.html#group78B5", "78B⁵"), =HYPERLINK("CSG9.html#group78B9", "78B⁹"), =HYPERLINK("CSG0.html#group13A0", "13A⁰"), =HYPERLINK("CSG0.html#group26A0", "26A⁰"), =HYPERLINK("CSG4.html#group39A4", "39A⁴"), =HYPERLINK("CSG0.html#group3A0", "3A⁰"), =HYPERLINK("CSG11.html#group156C11", "156C¹¹"), =HYPERLINK("CSG0.html#group1A0", "1A⁰")</f>
        <v/>
      </c>
      <c r="N7727" t="inlineStr"/>
    </row>
    <row r="7728">
      <c r="A7728" t="inlineStr">
        <is>
          <t>156C²³</t>
        </is>
      </c>
      <c r="B7728" t="inlineStr"/>
      <c r="C7728" t="inlineStr">
        <is>
          <t>336</t>
        </is>
      </c>
      <c r="D7728" t="inlineStr">
        <is>
          <t>1</t>
        </is>
      </c>
      <c r="E7728" t="inlineStr">
        <is>
          <t>168</t>
        </is>
      </c>
      <c r="F7728" t="inlineStr">
        <is>
          <t>0</t>
        </is>
      </c>
      <c r="G7728" t="inlineStr">
        <is>
          <t>0</t>
        </is>
      </c>
      <c r="H7728" t="inlineStr">
        <is>
          <t>1², 3², 4¹, 12¹, 13², 39², 52¹, 156¹</t>
        </is>
      </c>
      <c r="I7728" t="n">
        <v>12</v>
      </c>
      <c r="J7728" t="inlineStr">
        <is>
          <t>1¹², 2⁶, 12⁶, 24³</t>
        </is>
      </c>
      <c r="K7728">
        <f>HYPERLINK("CSG4.html#group52A4", "52A⁴"), =HYPERLINK("CSG11.html#group78C11", "78C¹¹")</f>
        <v/>
      </c>
      <c r="L7728" t="inlineStr"/>
      <c r="M7728">
        <f>HYPERLINK("CSG0.html#group3B0", "3B⁰"), =HYPERLINK("CSG2.html#group26A2", "26A²"), =HYPERLINK("CSG3.html#group39A3", "39A³"), =HYPERLINK("CSG0.html#group13A0", "13A⁰"), =HYPERLINK("CSG0.html#group1A0", "1A⁰"), =HYPERLINK("CSG0.html#group2B0", "2B⁰"), =HYPERLINK("CSG4.html#group52A4", "52A⁴"), =HYPERLINK("CSG0.html#group6F0", "6F⁰"), =HYPERLINK("CSG11.html#group78C11", "78C¹¹")</f>
        <v/>
      </c>
      <c r="N7728" t="inlineStr"/>
    </row>
    <row r="7729">
      <c r="A7729" t="inlineStr">
        <is>
          <t>156D²³</t>
        </is>
      </c>
      <c r="B7729" t="inlineStr">
        <is>
          <t>Γ₀(156)</t>
        </is>
      </c>
      <c r="C7729" t="inlineStr">
        <is>
          <t>336</t>
        </is>
      </c>
      <c r="D7729" t="inlineStr">
        <is>
          <t>1</t>
        </is>
      </c>
      <c r="E7729" t="inlineStr">
        <is>
          <t>168</t>
        </is>
      </c>
      <c r="F7729" t="inlineStr">
        <is>
          <t>0</t>
        </is>
      </c>
      <c r="G7729" t="inlineStr">
        <is>
          <t>0</t>
        </is>
      </c>
      <c r="H7729" t="inlineStr">
        <is>
          <t>1², 3², 4¹, 12¹, 13², 39², 52¹, 156¹</t>
        </is>
      </c>
      <c r="I7729" t="n">
        <v>12</v>
      </c>
      <c r="J7729" t="inlineStr">
        <is>
          <t>1¹², 2⁶, 12⁶, 24³</t>
        </is>
      </c>
      <c r="K7729">
        <f>HYPERLINK("CSG0.html#group12E0", "12E⁰"), =HYPERLINK("CSG5.html#group52A5", "52A⁵"), =HYPERLINK("CSG11.html#group78C11", "78C¹¹")</f>
        <v/>
      </c>
      <c r="L7729" t="inlineStr"/>
      <c r="M7729">
        <f>HYPERLINK("CSG2.html#group26A2", "26A²"), =HYPERLINK("CSG0.html#group3B0", "3B⁰"), =HYPERLINK("CSG3.html#group39A3", "39A³"), =HYPERLINK("CSG5.html#group52A5", "52A⁵"), =HYPERLINK("CSG0.html#group13A0", "13A⁰"), =HYPERLINK("CSG0.html#group6F0", "6F⁰"), =HYPERLINK("CSG0.html#group2B0", "2B⁰"), =HYPERLINK("CSG0.html#group4B0", "4B⁰"), =HYPERLINK("CSG0.html#group1A0", "1A⁰"), =HYPERLINK("CSG11.html#group78C11", "78C¹¹"), =HYPERLINK("CSG0.html#group12E0", "12E⁰")</f>
        <v/>
      </c>
      <c r="N7729" t="inlineStr"/>
    </row>
    <row r="7730">
      <c r="A7730" t="inlineStr">
        <is>
          <t>156E²³</t>
        </is>
      </c>
      <c r="B7730" t="inlineStr"/>
      <c r="C7730" t="inlineStr">
        <is>
          <t>336</t>
        </is>
      </c>
      <c r="D7730" t="inlineStr">
        <is>
          <t>1</t>
        </is>
      </c>
      <c r="E7730" t="inlineStr">
        <is>
          <t>168</t>
        </is>
      </c>
      <c r="F7730" t="inlineStr">
        <is>
          <t>16</t>
        </is>
      </c>
      <c r="G7730" t="inlineStr">
        <is>
          <t>0</t>
        </is>
      </c>
      <c r="H7730" t="inlineStr">
        <is>
          <t>12², 156²</t>
        </is>
      </c>
      <c r="I7730" t="n">
        <v>4</v>
      </c>
      <c r="J7730" t="inlineStr">
        <is>
          <t>2⁴, 4⁴, 24², 48²</t>
        </is>
      </c>
      <c r="K7730">
        <f>HYPERLINK("CSG4.html#group39A4", "39A⁴"), =HYPERLINK("CSG11.html#group156A11", "156A¹¹")</f>
        <v/>
      </c>
      <c r="L7730" t="inlineStr"/>
      <c r="M7730">
        <f>HYPERLINK("CSG11.html#group156A11", "156A¹¹"), =HYPERLINK("CSG2.html#group39A2", "39A²"), =HYPERLINK("CSG0.html#group12A0", "12A⁰"), =HYPERLINK("CSG3.html#group52A3", "52A³"), =HYPERLINK("CSG0.html#group4A0", "4A⁰"), =HYPERLINK("CSG0.html#group13A0", "13A⁰"), =HYPERLINK("CSG4.html#group39A4", "39A⁴"), =HYPERLINK("CSG0.html#group3A0", "3A⁰"), =HYPERLINK("CSG0.html#group1A0", "1A⁰")</f>
        <v/>
      </c>
      <c r="N7730" t="inlineStr"/>
    </row>
    <row r="7731">
      <c r="A7731" t="inlineStr">
        <is>
          <t>156F²³</t>
        </is>
      </c>
      <c r="B7731" t="inlineStr"/>
      <c r="C7731" t="inlineStr">
        <is>
          <t>336</t>
        </is>
      </c>
      <c r="D7731" t="inlineStr">
        <is>
          <t>1</t>
        </is>
      </c>
      <c r="E7731" t="inlineStr">
        <is>
          <t>168</t>
        </is>
      </c>
      <c r="F7731" t="inlineStr">
        <is>
          <t>16</t>
        </is>
      </c>
      <c r="G7731" t="inlineStr">
        <is>
          <t>0</t>
        </is>
      </c>
      <c r="H7731" t="inlineStr">
        <is>
          <t>12², 156²</t>
        </is>
      </c>
      <c r="I7731" t="n">
        <v>4</v>
      </c>
      <c r="J7731" t="inlineStr">
        <is>
          <t>2⁴, 4⁴, 24², 48²</t>
        </is>
      </c>
      <c r="K7731">
        <f>HYPERLINK("CSG0.html#group12F0", "12F⁰"), =HYPERLINK("CSG5.html#group78B5", "78B⁵"), =HYPERLINK("CSG11.html#group156A11", "156A¹¹")</f>
        <v/>
      </c>
      <c r="L7731" t="inlineStr"/>
      <c r="M7731">
        <f>HYPERLINK("CSG11.html#group156A11", "156A¹¹"), =HYPERLINK("CSG2.html#group39A2", "39A²"), =HYPERLINK("CSG0.html#group12A0", "12A⁰"), =HYPERLINK("CSG0.html#group6B0", "6B⁰"), =HYPERLINK("CSG3.html#group52A3", "52A³"), =HYPERLINK("CSG0.html#group4A0", "4A⁰"), =HYPERLINK("CSG5.html#group78B5", "78B⁵"), =HYPERLINK("CSG0.html#group12F0", "12F⁰"), =HYPERLINK("CSG0.html#group13A0", "13A⁰"), =HYPERLINK("CSG0.html#group3A0", "3A⁰"), =HYPERLINK("CSG0.html#group1A0", "1A⁰")</f>
        <v/>
      </c>
      <c r="N7731" t="inlineStr"/>
    </row>
    <row r="7732">
      <c r="A7732" t="inlineStr">
        <is>
          <t>156G²³</t>
        </is>
      </c>
      <c r="B7732" t="inlineStr"/>
      <c r="C7732" t="inlineStr">
        <is>
          <t>336</t>
        </is>
      </c>
      <c r="D7732" t="inlineStr">
        <is>
          <t>2</t>
        </is>
      </c>
      <c r="E7732" t="inlineStr">
        <is>
          <t>28</t>
        </is>
      </c>
      <c r="F7732" t="inlineStr">
        <is>
          <t>0</t>
        </is>
      </c>
      <c r="G7732" t="inlineStr">
        <is>
          <t>12</t>
        </is>
      </c>
      <c r="H7732" t="inlineStr">
        <is>
          <t>12², 156²</t>
        </is>
      </c>
      <c r="I7732" t="n">
        <v>4</v>
      </c>
      <c r="J7732" t="inlineStr">
        <is>
          <t>2⁴, 24²</t>
        </is>
      </c>
      <c r="K7732">
        <f>HYPERLINK("CSG3.html#group52B3", "52B³"), =HYPERLINK("CSG11.html#group78D11", "78D¹¹")</f>
        <v/>
      </c>
      <c r="L7732" t="inlineStr"/>
      <c r="M7732">
        <f>HYPERLINK("CSG3.html#group52B3", "52B³"), =HYPERLINK("CSG11.html#group78D11", "78D¹¹"), =HYPERLINK("CSG0.html#group2A0", "2A⁰"), =HYPERLINK("CSG1.html#group26B1", "26B¹"), =HYPERLINK("CSG1.html#group26A1", "26A¹"), =HYPERLINK("CSG0.html#group13A0", "13A⁰"), =HYPERLINK("CSG0.html#group26A0", "26A⁰"), =HYPERLINK("CSG0.html#group13B0", "13B⁰"), =HYPERLINK("CSG6.html#group78B6", "78B⁶"), =HYPERLINK("CSG1.html#group52A1", "52A¹"), =HYPERLINK("CSG0.html#group1A0", "1A⁰")</f>
        <v/>
      </c>
      <c r="N7732" t="inlineStr"/>
    </row>
    <row r="7733">
      <c r="A7733" t="inlineStr">
        <is>
          <t>156H²³</t>
        </is>
      </c>
      <c r="B7733" t="inlineStr"/>
      <c r="C7733" t="inlineStr">
        <is>
          <t>336</t>
        </is>
      </c>
      <c r="D7733" t="inlineStr">
        <is>
          <t>2</t>
        </is>
      </c>
      <c r="E7733" t="inlineStr">
        <is>
          <t>42</t>
        </is>
      </c>
      <c r="F7733" t="inlineStr">
        <is>
          <t>16</t>
        </is>
      </c>
      <c r="G7733" t="inlineStr">
        <is>
          <t>0</t>
        </is>
      </c>
      <c r="H7733" t="inlineStr">
        <is>
          <t>12², 156²</t>
        </is>
      </c>
      <c r="I7733" t="n">
        <v>4</v>
      </c>
      <c r="J7733" t="inlineStr">
        <is>
          <t>2², 4², 24¹, 48¹</t>
        </is>
      </c>
      <c r="K7733">
        <f>HYPERLINK("CSG9.html#group78B9", "78B⁹"), =HYPERLINK("CSG11.html#group156B11", "156B¹¹"), =HYPERLINK("CSG11.html#group156C11", "156C¹¹")</f>
        <v/>
      </c>
      <c r="L7733" t="inlineStr"/>
      <c r="M7733">
        <f>HYPERLINK("CSG2.html#group39A2", "39A²"), =HYPERLINK("CSG4.html#group78A4", "78A⁴"), =HYPERLINK("CSG0.html#group6B0", "6B⁰"), =HYPERLINK("CSG5.html#group78B5", "78B⁵"), =HYPERLINK("CSG9.html#group78B9", "78B⁹"), =HYPERLINK("CSG0.html#group13A0", "13A⁰"), =HYPERLINK("CSG11.html#group156B11", "156B¹¹"), =HYPERLINK("CSG0.html#group26A0", "26A⁰"), =HYPERLINK("CSG1.html#group52A1", "52A¹"), =HYPERLINK("CSG4.html#group39A4", "39A⁴"), =HYPERLINK("CSG0.html#group3A0", "3A⁰"), =HYPERLINK("CSG11.html#group156C11", "156C¹¹"), =HYPERLINK("CSG0.html#group1A0", "1A⁰")</f>
        <v/>
      </c>
      <c r="N7733" t="inlineStr"/>
    </row>
    <row r="7734">
      <c r="A7734" t="inlineStr">
        <is>
          <t>160A²³</t>
        </is>
      </c>
      <c r="B7734" t="inlineStr"/>
      <c r="C7734" t="inlineStr">
        <is>
          <t>288</t>
        </is>
      </c>
      <c r="D7734" t="inlineStr">
        <is>
          <t>1</t>
        </is>
      </c>
      <c r="E7734" t="inlineStr">
        <is>
          <t>144</t>
        </is>
      </c>
      <c r="F7734" t="inlineStr">
        <is>
          <t>0</t>
        </is>
      </c>
      <c r="G7734" t="inlineStr">
        <is>
          <t>0</t>
        </is>
      </c>
      <c r="H7734" t="inlineStr">
        <is>
          <t>16¹, 32¹, 80¹, 160¹</t>
        </is>
      </c>
      <c r="I7734" t="n">
        <v>4</v>
      </c>
      <c r="J7734" t="inlineStr">
        <is>
          <t>2¹⁶, 8¹⁰, 32¹</t>
        </is>
      </c>
      <c r="K7734">
        <f>HYPERLINK("CSG11.html#group80D11", "80D¹¹")</f>
        <v/>
      </c>
      <c r="L7734" t="inlineStr"/>
      <c r="M7734">
        <f>HYPERLINK("CSG1.html#group20E1", "20E¹"), =HYPERLINK("CSG2.html#group16B2", "16B²"), =HYPERLINK("CSG1.html#group8A1", "8A¹"), =HYPERLINK("CSG11.html#group80D11", "80D¹¹"), =HYPERLINK("CSG0.html#group4C0", "4C⁰"), =HYPERLINK("CSG5.html#group40C5", "40C⁵"), =HYPERLINK("CSG0.html#group5B0", "5B⁰"), =HYPERLINK("CSG0.html#group10C0", "10C⁰"), =HYPERLINK("CSG0.html#group2B0", "2B⁰"), =HYPERLINK("CSG0.html#group1A0", "1A⁰")</f>
        <v/>
      </c>
      <c r="N7734" t="inlineStr"/>
    </row>
    <row r="7735">
      <c r="A7735" t="inlineStr">
        <is>
          <t>160B²³</t>
        </is>
      </c>
      <c r="B7735" t="inlineStr"/>
      <c r="C7735" t="inlineStr">
        <is>
          <t>288</t>
        </is>
      </c>
      <c r="D7735" t="inlineStr">
        <is>
          <t>1</t>
        </is>
      </c>
      <c r="E7735" t="inlineStr">
        <is>
          <t>144</t>
        </is>
      </c>
      <c r="F7735" t="inlineStr">
        <is>
          <t>0</t>
        </is>
      </c>
      <c r="G7735" t="inlineStr">
        <is>
          <t>0</t>
        </is>
      </c>
      <c r="H7735" t="inlineStr">
        <is>
          <t>16¹, 32¹, 80¹, 160¹</t>
        </is>
      </c>
      <c r="I7735" t="n">
        <v>4</v>
      </c>
      <c r="J7735" t="inlineStr">
        <is>
          <t>2¹⁶, 8¹⁰, 32¹</t>
        </is>
      </c>
      <c r="K7735">
        <f>HYPERLINK("CSG11.html#group80D11", "80D¹¹")</f>
        <v/>
      </c>
      <c r="L7735" t="inlineStr"/>
      <c r="M7735">
        <f>HYPERLINK("CSG1.html#group20E1", "20E¹"), =HYPERLINK("CSG2.html#group16B2", "16B²"), =HYPERLINK("CSG1.html#group8A1", "8A¹"), =HYPERLINK("CSG11.html#group80D11", "80D¹¹"), =HYPERLINK("CSG0.html#group4C0", "4C⁰"), =HYPERLINK("CSG5.html#group40C5", "40C⁵"), =HYPERLINK("CSG0.html#group5B0", "5B⁰"), =HYPERLINK("CSG0.html#group10C0", "10C⁰"), =HYPERLINK("CSG0.html#group2B0", "2B⁰"), =HYPERLINK("CSG0.html#group1A0", "1A⁰")</f>
        <v/>
      </c>
      <c r="N7735" t="inlineStr"/>
    </row>
    <row r="7736">
      <c r="A7736" t="inlineStr">
        <is>
          <t>160C²³</t>
        </is>
      </c>
      <c r="B7736" t="inlineStr"/>
      <c r="C7736" t="inlineStr">
        <is>
          <t>288</t>
        </is>
      </c>
      <c r="D7736" t="inlineStr">
        <is>
          <t>1</t>
        </is>
      </c>
      <c r="E7736" t="inlineStr">
        <is>
          <t>144</t>
        </is>
      </c>
      <c r="F7736" t="inlineStr">
        <is>
          <t>0</t>
        </is>
      </c>
      <c r="G7736" t="inlineStr">
        <is>
          <t>0</t>
        </is>
      </c>
      <c r="H7736" t="inlineStr">
        <is>
          <t>16¹, 32¹, 80¹, 160¹</t>
        </is>
      </c>
      <c r="I7736" t="n">
        <v>4</v>
      </c>
      <c r="J7736" t="inlineStr">
        <is>
          <t>2¹⁶, 8¹⁰, 32¹</t>
        </is>
      </c>
      <c r="K7736">
        <f>HYPERLINK("CSG4.html#group32A4", "32A⁴"), =HYPERLINK("CSG11.html#group80D11", "80D¹¹")</f>
        <v/>
      </c>
      <c r="L7736" t="inlineStr"/>
      <c r="M7736">
        <f>HYPERLINK("CSG1.html#group20E1", "20E¹"), =HYPERLINK("CSG1.html#group8A1", "8A¹"), =HYPERLINK("CSG11.html#group80D11", "80D¹¹"), =HYPERLINK("CSG0.html#group4C0", "4C⁰"), =HYPERLINK("CSG5.html#group40C5", "40C⁵"), =HYPERLINK("CSG0.html#group5B0", "5B⁰"), =HYPERLINK("CSG0.html#group2B0", "2B⁰"), =HYPERLINK("CSG4.html#group32A4", "32A⁴"), =HYPERLINK("CSG0.html#group1A0", "1A⁰"), =HYPERLINK("CSG2.html#group16B2", "16B²"), =HYPERLINK("CSG0.html#group10C0", "10C⁰")</f>
        <v/>
      </c>
      <c r="N7736" t="inlineStr"/>
    </row>
    <row r="7737">
      <c r="A7737" t="inlineStr">
        <is>
          <t>160D²³</t>
        </is>
      </c>
      <c r="B7737" t="inlineStr"/>
      <c r="C7737" t="inlineStr">
        <is>
          <t>288</t>
        </is>
      </c>
      <c r="D7737" t="inlineStr">
        <is>
          <t>1</t>
        </is>
      </c>
      <c r="E7737" t="inlineStr">
        <is>
          <t>144</t>
        </is>
      </c>
      <c r="F7737" t="inlineStr">
        <is>
          <t>0</t>
        </is>
      </c>
      <c r="G7737" t="inlineStr">
        <is>
          <t>0</t>
        </is>
      </c>
      <c r="H7737" t="inlineStr">
        <is>
          <t>16¹, 32¹, 80¹, 160¹</t>
        </is>
      </c>
      <c r="I7737" t="n">
        <v>4</v>
      </c>
      <c r="J7737" t="inlineStr">
        <is>
          <t>2¹⁶, 8¹⁰, 32¹</t>
        </is>
      </c>
      <c r="K7737">
        <f>HYPERLINK("CSG4.html#group32B4", "32B⁴"), =HYPERLINK("CSG11.html#group80D11", "80D¹¹")</f>
        <v/>
      </c>
      <c r="L7737" t="inlineStr"/>
      <c r="M7737">
        <f>HYPERLINK("CSG1.html#group20E1", "20E¹"), =HYPERLINK("CSG2.html#group16B2", "16B²"), =HYPERLINK("CSG1.html#group8A1", "8A¹"), =HYPERLINK("CSG11.html#group80D11", "80D¹¹"), =HYPERLINK("CSG0.html#group4C0", "4C⁰"), =HYPERLINK("CSG5.html#group40C5", "40C⁵"), =HYPERLINK("CSG0.html#group5B0", "5B⁰"), =HYPERLINK("CSG0.html#group10C0", "10C⁰"), =HYPERLINK("CSG0.html#group2B0", "2B⁰"), =HYPERLINK("CSG0.html#group1A0", "1A⁰"), =HYPERLINK("CSG4.html#group32B4", "32B⁴")</f>
        <v/>
      </c>
      <c r="N7737" t="inlineStr"/>
    </row>
    <row r="7738">
      <c r="A7738" t="inlineStr">
        <is>
          <t>165A²³</t>
        </is>
      </c>
      <c r="B7738" t="inlineStr"/>
      <c r="C7738" t="inlineStr">
        <is>
          <t>330</t>
        </is>
      </c>
      <c r="D7738" t="inlineStr">
        <is>
          <t>2</t>
        </is>
      </c>
      <c r="E7738" t="inlineStr">
        <is>
          <t>110</t>
        </is>
      </c>
      <c r="F7738" t="inlineStr">
        <is>
          <t>18</t>
        </is>
      </c>
      <c r="G7738" t="inlineStr">
        <is>
          <t>0</t>
        </is>
      </c>
      <c r="H7738" t="inlineStr">
        <is>
          <t>165²</t>
        </is>
      </c>
      <c r="I7738" t="n">
        <v>2</v>
      </c>
      <c r="J7738" t="inlineStr">
        <is>
          <t>4¹, 8², 20², 40⁴</t>
        </is>
      </c>
      <c r="K7738">
        <f>HYPERLINK("CSG1.html#group15D1", "15D¹"), =HYPERLINK("CSG1.html#group33A1", "33A¹"), =HYPERLINK("CSG7.html#group55A7", "55A⁷")</f>
        <v/>
      </c>
      <c r="L7738" t="inlineStr"/>
      <c r="M7738">
        <f>HYPERLINK("CSG0.html#group11A0", "11A⁰"), =HYPERLINK("CSG7.html#group55A7", "55A⁷"), =HYPERLINK("CSG1.html#group15D1", "15D¹"), =HYPERLINK("CSG1.html#group33A1", "33A¹"), =HYPERLINK("CSG0.html#group5C0", "5C⁰"), =HYPERLINK("CSG0.html#group3A0", "3A⁰"), =HYPERLINK("CSG0.html#group1A0", "1A⁰")</f>
        <v/>
      </c>
      <c r="N7738" t="inlineStr"/>
    </row>
    <row r="7739">
      <c r="A7739" t="inlineStr">
        <is>
          <t>168A²³</t>
        </is>
      </c>
      <c r="B7739" t="inlineStr"/>
      <c r="C7739" t="inlineStr">
        <is>
          <t>288</t>
        </is>
      </c>
      <c r="D7739" t="inlineStr">
        <is>
          <t>1</t>
        </is>
      </c>
      <c r="E7739" t="inlineStr">
        <is>
          <t>24</t>
        </is>
      </c>
      <c r="F7739" t="inlineStr">
        <is>
          <t>0</t>
        </is>
      </c>
      <c r="G7739" t="inlineStr">
        <is>
          <t>0</t>
        </is>
      </c>
      <c r="H7739" t="inlineStr">
        <is>
          <t>12¹, 24¹, 84¹, 168¹</t>
        </is>
      </c>
      <c r="I7739" t="n">
        <v>4</v>
      </c>
      <c r="J7739" t="inlineStr">
        <is>
          <t>1⁶, 6³</t>
        </is>
      </c>
      <c r="K7739">
        <f>HYPERLINK("CSG0.html#group24A0", "24A⁰"), =HYPERLINK("CSG7.html#group56B7", "56B⁷"), =HYPERLINK("CSG11.html#group84A11", "84A¹¹")</f>
        <v/>
      </c>
      <c r="L7739" t="inlineStr"/>
      <c r="M7739">
        <f>HYPERLINK("CSG3.html#group28C3", "28C³"), =HYPERLINK("CSG0.html#group12C0", "12C⁰"), =HYPERLINK("CSG0.html#group4C0", "4C⁰"), =HYPERLINK("CSG0.html#group8B0", "8B⁰"), =HYPERLINK("CSG0.html#group2B0", "2B⁰"), =HYPERLINK("CSG0.html#group1A0", "1A⁰"), =HYPERLINK("CSG7.html#group56B7", "56B⁷"), =HYPERLINK("CSG2.html#group21A2", "21A²"), =HYPERLINK("CSG0.html#group24A0", "24A⁰"), =HYPERLINK("CSG5.html#group42A5", "42A⁵"), =HYPERLINK("CSG0.html#group7B0", "7B⁰"), =HYPERLINK("CSG1.html#group14C1", "14C¹"), =HYPERLINK("CSG11.html#group84A11", "84A¹¹"), =HYPERLINK("CSG0.html#group3A0", "3A⁰"), =HYPERLINK("CSG0.html#group6D0", "6D⁰")</f>
        <v/>
      </c>
      <c r="N7739" t="inlineStr"/>
    </row>
    <row r="7740">
      <c r="A7740" t="inlineStr">
        <is>
          <t>168B²³</t>
        </is>
      </c>
      <c r="B7740" t="inlineStr"/>
      <c r="C7740" t="inlineStr">
        <is>
          <t>288</t>
        </is>
      </c>
      <c r="D7740" t="inlineStr">
        <is>
          <t>1</t>
        </is>
      </c>
      <c r="E7740" t="inlineStr">
        <is>
          <t>24</t>
        </is>
      </c>
      <c r="F7740" t="inlineStr">
        <is>
          <t>0</t>
        </is>
      </c>
      <c r="G7740" t="inlineStr">
        <is>
          <t>0</t>
        </is>
      </c>
      <c r="H7740" t="inlineStr">
        <is>
          <t>12¹, 24¹, 84¹, 168¹</t>
        </is>
      </c>
      <c r="I7740" t="n">
        <v>4</v>
      </c>
      <c r="J7740" t="inlineStr">
        <is>
          <t>1⁶, 6³</t>
        </is>
      </c>
      <c r="K7740">
        <f>HYPERLINK("CSG3.html#group24A3", "24A³"), =HYPERLINK("CSG7.html#group56C7", "56C⁷"), =HYPERLINK("CSG11.html#group84A11", "84A¹¹")</f>
        <v/>
      </c>
      <c r="L7740" t="inlineStr"/>
      <c r="M7740">
        <f>HYPERLINK("CSG3.html#group24A3", "24A³"), =HYPERLINK("CSG1.html#group8A1", "8A¹"), =HYPERLINK("CSG0.html#group12C0", "12C⁰"), =HYPERLINK("CSG0.html#group3A0", "3A⁰"), =HYPERLINK("CSG0.html#group4C0", "4C⁰"), =HYPERLINK("CSG0.html#group2B0", "2B⁰"), =HYPERLINK("CSG0.html#group1A0", "1A⁰"), =HYPERLINK("CSG2.html#group21A2", "21A²"), =HYPERLINK("CSG5.html#group42A5", "42A⁵"), =HYPERLINK("CSG0.html#group7B0", "7B⁰"), =HYPERLINK("CSG1.html#group14C1", "14C¹"), =HYPERLINK("CSG7.html#group56C7", "56C⁷"), =HYPERLINK("CSG11.html#group84A11", "84A¹¹"), =HYPERLINK("CSG3.html#group28C3", "28C³"), =HYPERLINK("CSG0.html#group6D0", "6D⁰")</f>
        <v/>
      </c>
      <c r="N7740" t="inlineStr"/>
    </row>
    <row r="7741">
      <c r="A7741" t="inlineStr">
        <is>
          <t>168C²³</t>
        </is>
      </c>
      <c r="B7741" t="inlineStr"/>
      <c r="C7741" t="inlineStr">
        <is>
          <t>288</t>
        </is>
      </c>
      <c r="D7741" t="inlineStr">
        <is>
          <t>1</t>
        </is>
      </c>
      <c r="E7741" t="inlineStr">
        <is>
          <t>72</t>
        </is>
      </c>
      <c r="F7741" t="inlineStr">
        <is>
          <t>0</t>
        </is>
      </c>
      <c r="G7741" t="inlineStr">
        <is>
          <t>0</t>
        </is>
      </c>
      <c r="H7741" t="inlineStr">
        <is>
          <t>12¹, 24¹, 84¹, 168¹</t>
        </is>
      </c>
      <c r="I7741" t="n">
        <v>4</v>
      </c>
      <c r="J7741" t="inlineStr">
        <is>
          <t>1⁶, 2⁶, 6³, 12³</t>
        </is>
      </c>
      <c r="K7741">
        <f>HYPERLINK("CSG1.html#group24D1", "24D¹"), =HYPERLINK("CSG11.html#group84A11", "84A¹¹")</f>
        <v/>
      </c>
      <c r="L7741" t="inlineStr"/>
      <c r="M7741">
        <f>HYPERLINK("CSG3.html#group28C3", "28C³"), =HYPERLINK("CSG0.html#group12C0", "12C⁰"), =HYPERLINK("CSG2.html#group21A2", "21A²"), =HYPERLINK("CSG5.html#group42A5", "42A⁵"), =HYPERLINK("CSG0.html#group7B0", "7B⁰"), =HYPERLINK("CSG0.html#group4C0", "4C⁰"), =HYPERLINK("CSG1.html#group24D1", "24D¹"), =HYPERLINK("CSG1.html#group14C1", "14C¹"), =HYPERLINK("CSG0.html#group2B0", "2B⁰"), =HYPERLINK("CSG11.html#group84A11", "84A¹¹"), =HYPERLINK("CSG0.html#group3A0", "3A⁰"), =HYPERLINK("CSG0.html#group1A0", "1A⁰"), =HYPERLINK("CSG0.html#group6D0", "6D⁰")</f>
        <v/>
      </c>
      <c r="N7741" t="inlineStr"/>
    </row>
    <row r="7742">
      <c r="A7742" t="inlineStr">
        <is>
          <t>168D²³</t>
        </is>
      </c>
      <c r="B7742" t="inlineStr"/>
      <c r="C7742" t="inlineStr">
        <is>
          <t>288</t>
        </is>
      </c>
      <c r="D7742" t="inlineStr">
        <is>
          <t>1</t>
        </is>
      </c>
      <c r="E7742" t="inlineStr">
        <is>
          <t>72</t>
        </is>
      </c>
      <c r="F7742" t="inlineStr">
        <is>
          <t>0</t>
        </is>
      </c>
      <c r="G7742" t="inlineStr">
        <is>
          <t>0</t>
        </is>
      </c>
      <c r="H7742" t="inlineStr">
        <is>
          <t>12¹, 24¹, 84¹, 168¹</t>
        </is>
      </c>
      <c r="I7742" t="n">
        <v>4</v>
      </c>
      <c r="J7742" t="inlineStr">
        <is>
          <t>1⁶, 2⁶, 6³, 12³</t>
        </is>
      </c>
      <c r="K7742">
        <f>HYPERLINK("CSG2.html#group24C2", "24C²"), =HYPERLINK("CSG11.html#group84A11", "84A¹¹")</f>
        <v/>
      </c>
      <c r="L7742" t="inlineStr"/>
      <c r="M7742">
        <f>HYPERLINK("CSG3.html#group28C3", "28C³"), =HYPERLINK("CSG0.html#group12C0", "12C⁰"), =HYPERLINK("CSG0.html#group4C0", "4C⁰"), =HYPERLINK("CSG0.html#group2B0", "2B⁰"), =HYPERLINK("CSG2.html#group24C2", "24C²"), =HYPERLINK("CSG0.html#group1A0", "1A⁰"), =HYPERLINK("CSG2.html#group21A2", "21A²"), =HYPERLINK("CSG5.html#group42A5", "42A⁵"), =HYPERLINK("CSG0.html#group7B0", "7B⁰"), =HYPERLINK("CSG1.html#group14C1", "14C¹"), =HYPERLINK("CSG11.html#group84A11", "84A¹¹"), =HYPERLINK("CSG0.html#group3A0", "3A⁰"), =HYPERLINK("CSG0.html#group6D0", "6D⁰")</f>
        <v/>
      </c>
      <c r="N7742" t="inlineStr"/>
    </row>
    <row r="7743">
      <c r="A7743" t="inlineStr">
        <is>
          <t>168E²³</t>
        </is>
      </c>
      <c r="B7743" t="inlineStr"/>
      <c r="C7743" t="inlineStr">
        <is>
          <t>288</t>
        </is>
      </c>
      <c r="D7743" t="inlineStr">
        <is>
          <t>2</t>
        </is>
      </c>
      <c r="E7743" t="inlineStr">
        <is>
          <t>24</t>
        </is>
      </c>
      <c r="F7743" t="inlineStr">
        <is>
          <t>0</t>
        </is>
      </c>
      <c r="G7743" t="inlineStr">
        <is>
          <t>0</t>
        </is>
      </c>
      <c r="H7743" t="inlineStr">
        <is>
          <t>12¹, 24¹, 84¹, 168¹</t>
        </is>
      </c>
      <c r="I7743" t="n">
        <v>4</v>
      </c>
      <c r="J7743" t="inlineStr">
        <is>
          <t>2⁶, 12³</t>
        </is>
      </c>
      <c r="K7743">
        <f>HYPERLINK("CSG7.html#group56B7", "56B⁷"), =HYPERLINK("CSG11.html#group84C11", "84C¹¹")</f>
        <v/>
      </c>
      <c r="L7743" t="inlineStr"/>
      <c r="M7743">
        <f>HYPERLINK("CSG11.html#group84C11", "84C¹¹"), =HYPERLINK("CSG5.html#group42B5", "42B⁵"), =HYPERLINK("CSG0.html#group7B0", "7B⁰"), =HYPERLINK("CSG1.html#group21A1", "21A¹"), =HYPERLINK("CSG0.html#group4C0", "4C⁰"), =HYPERLINK("CSG1.html#group14C1", "14C¹"), =HYPERLINK("CSG0.html#group8B0", "8B⁰"), =HYPERLINK("CSG0.html#group2B0", "2B⁰"), =HYPERLINK("CSG3.html#group28C3", "28C³"), =HYPERLINK("CSG0.html#group1A0", "1A⁰"), =HYPERLINK("CSG7.html#group56B7", "56B⁷")</f>
        <v/>
      </c>
      <c r="N7743" t="inlineStr"/>
    </row>
    <row r="7744">
      <c r="A7744" t="inlineStr">
        <is>
          <t>168F²³</t>
        </is>
      </c>
      <c r="B7744" t="inlineStr"/>
      <c r="C7744" t="inlineStr">
        <is>
          <t>288</t>
        </is>
      </c>
      <c r="D7744" t="inlineStr">
        <is>
          <t>2</t>
        </is>
      </c>
      <c r="E7744" t="inlineStr">
        <is>
          <t>24</t>
        </is>
      </c>
      <c r="F7744" t="inlineStr">
        <is>
          <t>0</t>
        </is>
      </c>
      <c r="G7744" t="inlineStr">
        <is>
          <t>0</t>
        </is>
      </c>
      <c r="H7744" t="inlineStr">
        <is>
          <t>12¹, 24¹, 84¹, 168¹</t>
        </is>
      </c>
      <c r="I7744" t="n">
        <v>4</v>
      </c>
      <c r="J7744" t="inlineStr">
        <is>
          <t>2⁶, 12³</t>
        </is>
      </c>
      <c r="K7744">
        <f>HYPERLINK("CSG7.html#group56C7", "56C⁷"), =HYPERLINK("CSG11.html#group84C11", "84C¹¹")</f>
        <v/>
      </c>
      <c r="L7744" t="inlineStr"/>
      <c r="M7744">
        <f>HYPERLINK("CSG11.html#group84C11", "84C¹¹"), =HYPERLINK("CSG1.html#group8A1", "8A¹"), =HYPERLINK("CSG5.html#group42B5", "42B⁵"), =HYPERLINK("CSG0.html#group7B0", "7B⁰"), =HYPERLINK("CSG0.html#group4C0", "4C⁰"), =HYPERLINK("CSG1.html#group14C1", "14C¹"), =HYPERLINK("CSG0.html#group2B0", "2B⁰"), =HYPERLINK("CSG7.html#group56C7", "56C⁷"), =HYPERLINK("CSG3.html#group28C3", "28C³"), =HYPERLINK("CSG0.html#group1A0", "1A⁰"), =HYPERLINK("CSG1.html#group21A1", "21A¹")</f>
        <v/>
      </c>
      <c r="N7744" t="inlineStr"/>
    </row>
    <row r="7745">
      <c r="A7745" t="inlineStr">
        <is>
          <t>168G²³</t>
        </is>
      </c>
      <c r="B7745" t="inlineStr"/>
      <c r="C7745" t="inlineStr">
        <is>
          <t>336</t>
        </is>
      </c>
      <c r="D7745" t="inlineStr">
        <is>
          <t>2</t>
        </is>
      </c>
      <c r="E7745" t="inlineStr">
        <is>
          <t>56</t>
        </is>
      </c>
      <c r="F7745" t="inlineStr">
        <is>
          <t>12</t>
        </is>
      </c>
      <c r="G7745" t="inlineStr">
        <is>
          <t>6</t>
        </is>
      </c>
      <c r="H7745" t="inlineStr">
        <is>
          <t>168²</t>
        </is>
      </c>
      <c r="I7745" t="n">
        <v>2</v>
      </c>
      <c r="J7745" t="inlineStr">
        <is>
          <t>16², 48⁴</t>
        </is>
      </c>
      <c r="K7745">
        <f>HYPERLINK("CSG7.html#group56D7", "56D⁷"), =HYPERLINK("CSG10.html#group84E10", "84E¹⁰")</f>
        <v/>
      </c>
      <c r="L7745" t="inlineStr"/>
      <c r="M7745">
        <f>HYPERLINK("CSG3.html#group28D3", "28D³"), =HYPERLINK("CSG3.html#group56D3", "56D³"), =HYPERLINK("CSG7.html#group56D7", "56D⁷"), =HYPERLINK("CSG0.html#group4A0", "4A⁰"), =HYPERLINK("CSG0.html#group7C0", "7C⁰"), =HYPERLINK("CSG1.html#group21C1", "21C¹"), =HYPERLINK("CSG0.html#group8A0", "8A⁰"), =HYPERLINK("CSG1.html#group28A1", "28A¹"), =HYPERLINK("CSG0.html#group1A0", "1A⁰"), =HYPERLINK("CSG10.html#group84E10", "84E¹⁰"), =HYPERLINK("CSG0.html#group7A0", "7A⁰"), =HYPERLINK("CSG3.html#group56A3", "56A³")</f>
        <v/>
      </c>
      <c r="N7745" t="inlineStr"/>
    </row>
    <row r="7746">
      <c r="A7746" t="inlineStr">
        <is>
          <t>168H²³</t>
        </is>
      </c>
      <c r="B7746" t="inlineStr"/>
      <c r="C7746" t="inlineStr">
        <is>
          <t>336</t>
        </is>
      </c>
      <c r="D7746" t="inlineStr">
        <is>
          <t>2</t>
        </is>
      </c>
      <c r="E7746" t="inlineStr">
        <is>
          <t>56</t>
        </is>
      </c>
      <c r="F7746" t="inlineStr">
        <is>
          <t>12</t>
        </is>
      </c>
      <c r="G7746" t="inlineStr">
        <is>
          <t>6</t>
        </is>
      </c>
      <c r="H7746" t="inlineStr">
        <is>
          <t>168²</t>
        </is>
      </c>
      <c r="I7746" t="n">
        <v>2</v>
      </c>
      <c r="J7746" t="inlineStr">
        <is>
          <t>16², 48⁴</t>
        </is>
      </c>
      <c r="K7746">
        <f>HYPERLINK("CSG7.html#group56E7", "56E⁷"), =HYPERLINK("CSG10.html#group84E10", "84E¹⁰")</f>
        <v/>
      </c>
      <c r="L7746" t="inlineStr"/>
      <c r="M7746">
        <f>HYPERLINK("CSG3.html#group28D3", "28D³"), =HYPERLINK("CSG7.html#group56E7", "56E⁷"), =HYPERLINK("CSG3.html#group56B3", "56B³"), =HYPERLINK("CSG0.html#group4A0", "4A⁰"), =HYPERLINK("CSG0.html#group7C0", "7C⁰"), =HYPERLINK("CSG1.html#group21C1", "21C¹"), =HYPERLINK("CSG0.html#group8A0", "8A⁰"), =HYPERLINK("CSG3.html#group56C3", "56C³"), =HYPERLINK("CSG1.html#group28A1", "28A¹"), =HYPERLINK("CSG0.html#group1A0", "1A⁰"), =HYPERLINK("CSG10.html#group84E10", "84E¹⁰"), =HYPERLINK("CSG0.html#group7A0", "7A⁰")</f>
        <v/>
      </c>
      <c r="N7746" t="inlineStr"/>
    </row>
    <row r="7747">
      <c r="A7747" t="inlineStr">
        <is>
          <t>168I²³</t>
        </is>
      </c>
      <c r="B7747" t="inlineStr"/>
      <c r="C7747" t="inlineStr">
        <is>
          <t>336</t>
        </is>
      </c>
      <c r="D7747" t="inlineStr">
        <is>
          <t>2</t>
        </is>
      </c>
      <c r="E7747" t="inlineStr">
        <is>
          <t>84</t>
        </is>
      </c>
      <c r="F7747" t="inlineStr">
        <is>
          <t>20</t>
        </is>
      </c>
      <c r="G7747" t="inlineStr">
        <is>
          <t>0</t>
        </is>
      </c>
      <c r="H7747" t="inlineStr">
        <is>
          <t>168²</t>
        </is>
      </c>
      <c r="I7747" t="n">
        <v>2</v>
      </c>
      <c r="J7747" t="inlineStr">
        <is>
          <t>8², 16², 24⁴, 48⁴</t>
        </is>
      </c>
      <c r="K7747">
        <f>HYPERLINK("CSG9.html#group84E9", "84E⁹"), =HYPERLINK("CSG10.html#group168A10", "168A¹⁰"), =HYPERLINK("CSG10.html#group168G10", "168G¹⁰")</f>
        <v/>
      </c>
      <c r="L7747" t="inlineStr"/>
      <c r="M7747">
        <f>HYPERLINK("CSG10.html#group168G10", "168G¹⁰"), =HYPERLINK("CSG3.html#group84A3", "84A³"), =HYPERLINK("CSG0.html#group12A0", "12A⁰"), =HYPERLINK("CSG0.html#group4A0", "4A⁰"), =HYPERLINK("CSG1.html#group21D1", "21D¹"), =HYPERLINK("CSG10.html#group168A10", "168A¹⁰"), =HYPERLINK("CSG0.html#group21A0", "21A⁰"), =HYPERLINK("CSG9.html#group84E9", "84E⁹"), =HYPERLINK("CSG1.html#group24B1", "24B¹"), =HYPERLINK("CSG0.html#group3A0", "3A⁰"), =HYPERLINK("CSG1.html#group28A1", "28A¹"), =HYPERLINK("CSG0.html#group1A0", "1A⁰"), =HYPERLINK("CSG0.html#group7A0", "7A⁰"), =HYPERLINK("CSG3.html#group56A3", "56A³")</f>
        <v/>
      </c>
      <c r="N7747" t="inlineStr"/>
    </row>
    <row r="7748">
      <c r="A7748" t="inlineStr">
        <is>
          <t>168J²³</t>
        </is>
      </c>
      <c r="B7748" t="inlineStr"/>
      <c r="C7748" t="inlineStr">
        <is>
          <t>336</t>
        </is>
      </c>
      <c r="D7748" t="inlineStr">
        <is>
          <t>2</t>
        </is>
      </c>
      <c r="E7748" t="inlineStr">
        <is>
          <t>84</t>
        </is>
      </c>
      <c r="F7748" t="inlineStr">
        <is>
          <t>20</t>
        </is>
      </c>
      <c r="G7748" t="inlineStr">
        <is>
          <t>0</t>
        </is>
      </c>
      <c r="H7748" t="inlineStr">
        <is>
          <t>168²</t>
        </is>
      </c>
      <c r="I7748" t="n">
        <v>2</v>
      </c>
      <c r="J7748" t="inlineStr">
        <is>
          <t>8², 16², 24⁴, 48⁴</t>
        </is>
      </c>
      <c r="K7748">
        <f>HYPERLINK("CSG9.html#group84E9", "84E⁹"), =HYPERLINK("CSG10.html#group168B10", "168B¹⁰"), =HYPERLINK("CSG10.html#group168H10", "168H¹⁰")</f>
        <v/>
      </c>
      <c r="L7748" t="inlineStr"/>
      <c r="M7748">
        <f>HYPERLINK("CSG3.html#group84A3", "84A³"), =HYPERLINK("CSG10.html#group168H10", "168H¹⁰"), =HYPERLINK("CSG3.html#group56B3", "56B³"), =HYPERLINK("CSG0.html#group12A0", "12A⁰"), =HYPERLINK("CSG0.html#group4A0", "4A⁰"), =HYPERLINK("CSG1.html#group21D1", "21D¹"), =HYPERLINK("CSG0.html#group21A0", "21A⁰"), =HYPERLINK("CSG10.html#group168B10", "168B¹⁰"), =HYPERLINK("CSG9.html#group84E9", "84E⁹"), =HYPERLINK("CSG1.html#group24B1", "24B¹"), =HYPERLINK("CSG0.html#group3A0", "3A⁰"), =HYPERLINK("CSG1.html#group28A1", "28A¹"), =HYPERLINK("CSG0.html#group1A0", "1A⁰"), =HYPERLINK("CSG0.html#group7A0", "7A⁰")</f>
        <v/>
      </c>
      <c r="N7748" t="inlineStr"/>
    </row>
    <row r="7749">
      <c r="A7749" t="inlineStr">
        <is>
          <t>168K²³</t>
        </is>
      </c>
      <c r="B7749" t="inlineStr"/>
      <c r="C7749" t="inlineStr">
        <is>
          <t>336</t>
        </is>
      </c>
      <c r="D7749" t="inlineStr">
        <is>
          <t>2</t>
        </is>
      </c>
      <c r="E7749" t="inlineStr">
        <is>
          <t>84</t>
        </is>
      </c>
      <c r="F7749" t="inlineStr">
        <is>
          <t>20</t>
        </is>
      </c>
      <c r="G7749" t="inlineStr">
        <is>
          <t>0</t>
        </is>
      </c>
      <c r="H7749" t="inlineStr">
        <is>
          <t>168²</t>
        </is>
      </c>
      <c r="I7749" t="n">
        <v>2</v>
      </c>
      <c r="J7749" t="inlineStr">
        <is>
          <t>8², 16², 24⁴, 48⁴</t>
        </is>
      </c>
      <c r="K7749">
        <f>HYPERLINK("CSG9.html#group84E9", "84E⁹"), =HYPERLINK("CSG10.html#group168C10", "168C¹⁰"), =HYPERLINK("CSG10.html#group168E10", "168E¹⁰")</f>
        <v/>
      </c>
      <c r="L7749" t="inlineStr"/>
      <c r="M7749">
        <f>HYPERLINK("CSG1.html#group21D1", "21D¹"), =HYPERLINK("CSG0.html#group8A0", "8A⁰"), =HYPERLINK("CSG0.html#group21A0", "21A⁰"), =HYPERLINK("CSG0.html#group1A0", "1A⁰"), =HYPERLINK("CSG3.html#group84A3", "84A³"), =HYPERLINK("CSG10.html#group168E10", "168E¹⁰"), =HYPERLINK("CSG10.html#group168C10", "168C¹⁰"), =HYPERLINK("CSG0.html#group12A0", "12A⁰"), =HYPERLINK("CSG1.html#group24A1", "24A¹"), =HYPERLINK("CSG0.html#group4A0", "4A⁰"), =HYPERLINK("CSG9.html#group84E9", "84E⁹"), =HYPERLINK("CSG3.html#group56C3", "56C³"), =HYPERLINK("CSG0.html#group3A0", "3A⁰"), =HYPERLINK("CSG1.html#group28A1", "28A¹"), =HYPERLINK("CSG0.html#group7A0", "7A⁰")</f>
        <v/>
      </c>
      <c r="N7749" t="inlineStr"/>
    </row>
    <row r="7750">
      <c r="A7750" t="inlineStr">
        <is>
          <t>168L²³</t>
        </is>
      </c>
      <c r="B7750" t="inlineStr"/>
      <c r="C7750" t="inlineStr">
        <is>
          <t>336</t>
        </is>
      </c>
      <c r="D7750" t="inlineStr">
        <is>
          <t>2</t>
        </is>
      </c>
      <c r="E7750" t="inlineStr">
        <is>
          <t>84</t>
        </is>
      </c>
      <c r="F7750" t="inlineStr">
        <is>
          <t>20</t>
        </is>
      </c>
      <c r="G7750" t="inlineStr">
        <is>
          <t>0</t>
        </is>
      </c>
      <c r="H7750" t="inlineStr">
        <is>
          <t>168²</t>
        </is>
      </c>
      <c r="I7750" t="n">
        <v>2</v>
      </c>
      <c r="J7750" t="inlineStr">
        <is>
          <t>8², 16², 24⁴, 48⁴</t>
        </is>
      </c>
      <c r="K7750">
        <f>HYPERLINK("CSG9.html#group84E9", "84E⁹"), =HYPERLINK("CSG10.html#group168D10", "168D¹⁰"), =HYPERLINK("CSG10.html#group168F10", "168F¹⁰")</f>
        <v/>
      </c>
      <c r="L7750" t="inlineStr"/>
      <c r="M7750">
        <f>HYPERLINK("CSG3.html#group56D3", "56D³"), =HYPERLINK("CSG1.html#group21D1", "21D¹"), =HYPERLINK("CSG0.html#group8A0", "8A⁰"), =HYPERLINK("CSG0.html#group21A0", "21A⁰"), =HYPERLINK("CSG0.html#group1A0", "1A⁰"), =HYPERLINK("CSG10.html#group168F10", "168F¹⁰"), =HYPERLINK("CSG3.html#group84A3", "84A³"), =HYPERLINK("CSG0.html#group12A0", "12A⁰"), =HYPERLINK("CSG1.html#group24A1", "24A¹"), =HYPERLINK("CSG0.html#group4A0", "4A⁰"), =HYPERLINK("CSG9.html#group84E9", "84E⁹"), =HYPERLINK("CSG10.html#group168D10", "168D¹⁰"), =HYPERLINK("CSG0.html#group3A0", "3A⁰"), =HYPERLINK("CSG1.html#group28A1", "28A¹"), =HYPERLINK("CSG0.html#group7A0", "7A⁰")</f>
        <v/>
      </c>
      <c r="N7750" t="inlineStr"/>
    </row>
    <row r="7751">
      <c r="A7751" t="inlineStr">
        <is>
          <t>168M²³</t>
        </is>
      </c>
      <c r="B7751" t="inlineStr"/>
      <c r="C7751" t="inlineStr">
        <is>
          <t>336</t>
        </is>
      </c>
      <c r="D7751" t="inlineStr">
        <is>
          <t>2</t>
        </is>
      </c>
      <c r="E7751" t="inlineStr">
        <is>
          <t>84</t>
        </is>
      </c>
      <c r="F7751" t="inlineStr">
        <is>
          <t>20</t>
        </is>
      </c>
      <c r="G7751" t="inlineStr">
        <is>
          <t>0</t>
        </is>
      </c>
      <c r="H7751" t="inlineStr">
        <is>
          <t>168²</t>
        </is>
      </c>
      <c r="I7751" t="n">
        <v>2</v>
      </c>
      <c r="J7751" t="inlineStr">
        <is>
          <t>16⁶, 48¹²</t>
        </is>
      </c>
      <c r="K7751">
        <f>HYPERLINK("CSG9.html#group84E9", "84E⁹"), =HYPERLINK("CSG10.html#group168E10", "168E¹⁰"), =HYPERLINK("CSG10.html#group168H10", "168H¹⁰")</f>
        <v/>
      </c>
      <c r="L7751" t="inlineStr"/>
      <c r="M7751">
        <f>HYPERLINK("CSG3.html#group84A3", "84A³"), =HYPERLINK("CSG10.html#group168H10", "168H¹⁰"), =HYPERLINK("CSG10.html#group168E10", "168E¹⁰"), =HYPERLINK("CSG0.html#group12A0", "12A⁰"), =HYPERLINK("CSG0.html#group4A0", "4A⁰"), =HYPERLINK("CSG1.html#group21D1", "21D¹"), =HYPERLINK("CSG0.html#group21A0", "21A⁰"), =HYPERLINK("CSG9.html#group84E9", "84E⁹"), =HYPERLINK("CSG1.html#group24B1", "24B¹"), =HYPERLINK("CSG0.html#group3A0", "3A⁰"), =HYPERLINK("CSG1.html#group28A1", "28A¹"), =HYPERLINK("CSG0.html#group1A0", "1A⁰"), =HYPERLINK("CSG0.html#group7A0", "7A⁰")</f>
        <v/>
      </c>
      <c r="N7751" t="inlineStr"/>
    </row>
    <row r="7752">
      <c r="A7752" t="inlineStr">
        <is>
          <t>168N²³</t>
        </is>
      </c>
      <c r="B7752" t="inlineStr"/>
      <c r="C7752" t="inlineStr">
        <is>
          <t>336</t>
        </is>
      </c>
      <c r="D7752" t="inlineStr">
        <is>
          <t>2</t>
        </is>
      </c>
      <c r="E7752" t="inlineStr">
        <is>
          <t>84</t>
        </is>
      </c>
      <c r="F7752" t="inlineStr">
        <is>
          <t>20</t>
        </is>
      </c>
      <c r="G7752" t="inlineStr">
        <is>
          <t>0</t>
        </is>
      </c>
      <c r="H7752" t="inlineStr">
        <is>
          <t>168²</t>
        </is>
      </c>
      <c r="I7752" t="n">
        <v>2</v>
      </c>
      <c r="J7752" t="inlineStr">
        <is>
          <t>16⁶, 48¹²</t>
        </is>
      </c>
      <c r="K7752">
        <f>HYPERLINK("CSG9.html#group84E9", "84E⁹"), =HYPERLINK("CSG10.html#group168E10", "168E¹⁰"), =HYPERLINK("CSG10.html#group168H10", "168H¹⁰")</f>
        <v/>
      </c>
      <c r="L7752" t="inlineStr"/>
      <c r="M7752">
        <f>HYPERLINK("CSG3.html#group84A3", "84A³"), =HYPERLINK("CSG10.html#group168H10", "168H¹⁰"), =HYPERLINK("CSG10.html#group168E10", "168E¹⁰"), =HYPERLINK("CSG0.html#group12A0", "12A⁰"), =HYPERLINK("CSG0.html#group4A0", "4A⁰"), =HYPERLINK("CSG1.html#group21D1", "21D¹"), =HYPERLINK("CSG0.html#group21A0", "21A⁰"), =HYPERLINK("CSG9.html#group84E9", "84E⁹"), =HYPERLINK("CSG1.html#group24B1", "24B¹"), =HYPERLINK("CSG0.html#group3A0", "3A⁰"), =HYPERLINK("CSG1.html#group28A1", "28A¹"), =HYPERLINK("CSG0.html#group1A0", "1A⁰"), =HYPERLINK("CSG0.html#group7A0", "7A⁰")</f>
        <v/>
      </c>
      <c r="N7752" t="inlineStr"/>
    </row>
    <row r="7753">
      <c r="A7753" t="inlineStr">
        <is>
          <t>168O²³</t>
        </is>
      </c>
      <c r="B7753" t="inlineStr"/>
      <c r="C7753" t="inlineStr">
        <is>
          <t>336</t>
        </is>
      </c>
      <c r="D7753" t="inlineStr">
        <is>
          <t>2</t>
        </is>
      </c>
      <c r="E7753" t="inlineStr">
        <is>
          <t>84</t>
        </is>
      </c>
      <c r="F7753" t="inlineStr">
        <is>
          <t>20</t>
        </is>
      </c>
      <c r="G7753" t="inlineStr">
        <is>
          <t>0</t>
        </is>
      </c>
      <c r="H7753" t="inlineStr">
        <is>
          <t>168²</t>
        </is>
      </c>
      <c r="I7753" t="n">
        <v>2</v>
      </c>
      <c r="J7753" t="inlineStr">
        <is>
          <t>16⁶, 48¹²</t>
        </is>
      </c>
      <c r="K7753">
        <f>HYPERLINK("CSG9.html#group84E9", "84E⁹"), =HYPERLINK("CSG10.html#group168F10", "168F¹⁰"), =HYPERLINK("CSG10.html#group168G10", "168G¹⁰")</f>
        <v/>
      </c>
      <c r="L7753" t="inlineStr"/>
      <c r="M7753">
        <f>HYPERLINK("CSG10.html#group168G10", "168G¹⁰"), =HYPERLINK("CSG10.html#group168F10", "168F¹⁰"), =HYPERLINK("CSG3.html#group84A3", "84A³"), =HYPERLINK("CSG0.html#group12A0", "12A⁰"), =HYPERLINK("CSG0.html#group4A0", "4A⁰"), =HYPERLINK("CSG1.html#group21D1", "21D¹"), =HYPERLINK("CSG0.html#group21A0", "21A⁰"), =HYPERLINK("CSG9.html#group84E9", "84E⁹"), =HYPERLINK("CSG1.html#group24B1", "24B¹"), =HYPERLINK("CSG0.html#group3A0", "3A⁰"), =HYPERLINK("CSG1.html#group28A1", "28A¹"), =HYPERLINK("CSG0.html#group1A0", "1A⁰"), =HYPERLINK("CSG0.html#group7A0", "7A⁰")</f>
        <v/>
      </c>
      <c r="N7753" t="inlineStr"/>
    </row>
    <row r="7754">
      <c r="A7754" t="inlineStr">
        <is>
          <t>168P²³</t>
        </is>
      </c>
      <c r="B7754" t="inlineStr"/>
      <c r="C7754" t="inlineStr">
        <is>
          <t>336</t>
        </is>
      </c>
      <c r="D7754" t="inlineStr">
        <is>
          <t>2</t>
        </is>
      </c>
      <c r="E7754" t="inlineStr">
        <is>
          <t>84</t>
        </is>
      </c>
      <c r="F7754" t="inlineStr">
        <is>
          <t>20</t>
        </is>
      </c>
      <c r="G7754" t="inlineStr">
        <is>
          <t>0</t>
        </is>
      </c>
      <c r="H7754" t="inlineStr">
        <is>
          <t>168²</t>
        </is>
      </c>
      <c r="I7754" t="n">
        <v>2</v>
      </c>
      <c r="J7754" t="inlineStr">
        <is>
          <t>16⁶, 48¹²</t>
        </is>
      </c>
      <c r="K7754">
        <f>HYPERLINK("CSG9.html#group84E9", "84E⁹"), =HYPERLINK("CSG10.html#group168F10", "168F¹⁰"), =HYPERLINK("CSG10.html#group168G10", "168G¹⁰")</f>
        <v/>
      </c>
      <c r="L7754" t="inlineStr"/>
      <c r="M7754">
        <f>HYPERLINK("CSG10.html#group168G10", "168G¹⁰"), =HYPERLINK("CSG10.html#group168F10", "168F¹⁰"), =HYPERLINK("CSG3.html#group84A3", "84A³"), =HYPERLINK("CSG0.html#group12A0", "12A⁰"), =HYPERLINK("CSG0.html#group4A0", "4A⁰"), =HYPERLINK("CSG1.html#group21D1", "21D¹"), =HYPERLINK("CSG0.html#group21A0", "21A⁰"), =HYPERLINK("CSG9.html#group84E9", "84E⁹"), =HYPERLINK("CSG1.html#group24B1", "24B¹"), =HYPERLINK("CSG0.html#group3A0", "3A⁰"), =HYPERLINK("CSG1.html#group28A1", "28A¹"), =HYPERLINK("CSG0.html#group1A0", "1A⁰"), =HYPERLINK("CSG0.html#group7A0", "7A⁰")</f>
        <v/>
      </c>
      <c r="N7754" t="inlineStr"/>
    </row>
    <row r="7755">
      <c r="A7755" t="inlineStr">
        <is>
          <t>168Q²³</t>
        </is>
      </c>
      <c r="B7755" t="inlineStr"/>
      <c r="C7755" t="inlineStr">
        <is>
          <t>384</t>
        </is>
      </c>
      <c r="D7755" t="inlineStr">
        <is>
          <t>1</t>
        </is>
      </c>
      <c r="E7755" t="inlineStr">
        <is>
          <t>96</t>
        </is>
      </c>
      <c r="F7755" t="inlineStr">
        <is>
          <t>0</t>
        </is>
      </c>
      <c r="G7755" t="inlineStr">
        <is>
          <t>0</t>
        </is>
      </c>
      <c r="H7755" t="inlineStr">
        <is>
          <t>1⁴, 3⁴, 7⁴, 8¹, 21⁴, 24¹, 56¹, 168¹</t>
        </is>
      </c>
      <c r="I7755" t="n">
        <v>20</v>
      </c>
      <c r="J7755" t="inlineStr">
        <is>
          <t>1¹², 2⁶, 6⁶, 12³</t>
        </is>
      </c>
      <c r="K7755">
        <f>HYPERLINK("CSG0.html#group24B0", "24B⁰"), =HYPERLINK("CSG11.html#group84I11", "84I¹¹")</f>
        <v/>
      </c>
      <c r="L7755" t="inlineStr"/>
      <c r="M7755">
        <f>HYPERLINK("CSG0.html#group3B0", "3B⁰"), =HYPERLINK("CSG2.html#group28D2", "28D²"), =HYPERLINK("CSG0.html#group2B0", "2B⁰"), =HYPERLINK("CSG0.html#group4B0", "4B⁰"), =HYPERLINK("CSG5.html#group42G5", "42G⁵"), =HYPERLINK("CSG0.html#group1A0", "1A⁰"), =HYPERLINK("CSG11.html#group84I11", "84I¹¹"), =HYPERLINK("CSG1.html#group21B1", "21B¹"), =HYPERLINK("CSG0.html#group24B0", "24B⁰"), =HYPERLINK("CSG0.html#group7B0", "7B⁰"), =HYPERLINK("CSG1.html#group14C1", "14C¹"), =HYPERLINK("CSG0.html#group6F0", "6F⁰"), =HYPERLINK("CSG0.html#group12E0", "12E⁰")</f>
        <v/>
      </c>
      <c r="N7755" t="inlineStr"/>
    </row>
    <row r="7756">
      <c r="A7756" t="inlineStr">
        <is>
          <t>168R²³</t>
        </is>
      </c>
      <c r="B7756" t="inlineStr"/>
      <c r="C7756" t="inlineStr">
        <is>
          <t>384</t>
        </is>
      </c>
      <c r="D7756" t="inlineStr">
        <is>
          <t>1</t>
        </is>
      </c>
      <c r="E7756" t="inlineStr">
        <is>
          <t>96</t>
        </is>
      </c>
      <c r="F7756" t="inlineStr">
        <is>
          <t>0</t>
        </is>
      </c>
      <c r="G7756" t="inlineStr">
        <is>
          <t>0</t>
        </is>
      </c>
      <c r="H7756" t="inlineStr">
        <is>
          <t>1⁴, 3⁴, 7⁴, 8¹, 21⁴, 24¹, 56¹, 168¹</t>
        </is>
      </c>
      <c r="I7756" t="n">
        <v>20</v>
      </c>
      <c r="J7756" t="inlineStr">
        <is>
          <t>1¹², 2⁶, 6⁶, 12³</t>
        </is>
      </c>
      <c r="K7756">
        <f>HYPERLINK("CSG4.html#group56C4", "56C⁴"), =HYPERLINK("CSG11.html#group84I11", "84I¹¹")</f>
        <v/>
      </c>
      <c r="L7756" t="inlineStr"/>
      <c r="M7756">
        <f>HYPERLINK("CSG0.html#group3B0", "3B⁰"), =HYPERLINK("CSG4.html#group56C4", "56C⁴"), =HYPERLINK("CSG1.html#group21B1", "21B¹"), =HYPERLINK("CSG0.html#group7B0", "7B⁰"), =HYPERLINK("CSG2.html#group28D2", "28D²"), =HYPERLINK("CSG1.html#group14C1", "14C¹"), =HYPERLINK("CSG5.html#group42G5", "42G⁵"), =HYPERLINK("CSG0.html#group6F0", "6F⁰"), =HYPERLINK("CSG0.html#group1A0", "1A⁰"), =HYPERLINK("CSG0.html#group2B0", "2B⁰"), =HYPERLINK("CSG0.html#group4B0", "4B⁰"), =HYPERLINK("CSG11.html#group84I11", "84I¹¹"), =HYPERLINK("CSG0.html#group12E0", "12E⁰")</f>
        <v/>
      </c>
      <c r="N7756" t="inlineStr"/>
    </row>
    <row r="7757">
      <c r="A7757" t="inlineStr">
        <is>
          <t>170A²³</t>
        </is>
      </c>
      <c r="B7757" t="inlineStr">
        <is>
          <t>Γ₀(170)</t>
        </is>
      </c>
      <c r="C7757" t="inlineStr">
        <is>
          <t>324</t>
        </is>
      </c>
      <c r="D7757" t="inlineStr">
        <is>
          <t>1</t>
        </is>
      </c>
      <c r="E7757" t="inlineStr">
        <is>
          <t>324</t>
        </is>
      </c>
      <c r="F7757" t="inlineStr">
        <is>
          <t>4</t>
        </is>
      </c>
      <c r="G7757" t="inlineStr">
        <is>
          <t>0</t>
        </is>
      </c>
      <c r="H7757" t="inlineStr">
        <is>
          <t>1¹, 2¹, 5¹, 10¹, 17¹, 34¹, 85¹, 170¹</t>
        </is>
      </c>
      <c r="I7757" t="n">
        <v>8</v>
      </c>
      <c r="J7757" t="inlineStr">
        <is>
          <t>1¹², 4⁶, 16⁶, 64³</t>
        </is>
      </c>
      <c r="K7757">
        <f>HYPERLINK("CSG0.html#group10C0", "10C⁰"), =HYPERLINK("CSG3.html#group34C3", "34C³"), =HYPERLINK("CSG7.html#group85B7", "85B⁷")</f>
        <v/>
      </c>
      <c r="L7757" t="inlineStr"/>
      <c r="M7757">
        <f>HYPERLINK("CSG3.html#group34C3", "34C³"), =HYPERLINK("CSG0.html#group5B0", "5B⁰"), =HYPERLINK("CSG0.html#group10C0", "10C⁰"), =HYPERLINK("CSG1.html#group17A1", "17A¹"), =HYPERLINK("CSG0.html#group2B0", "2B⁰"), =HYPERLINK("CSG7.html#group85B7", "85B⁷"), =HYPERLINK("CSG0.html#group1A0", "1A⁰")</f>
        <v/>
      </c>
      <c r="N7757" t="inlineStr"/>
    </row>
    <row r="7758">
      <c r="A7758" t="inlineStr">
        <is>
          <t>176A²³</t>
        </is>
      </c>
      <c r="B7758" t="inlineStr"/>
      <c r="C7758" t="inlineStr">
        <is>
          <t>288</t>
        </is>
      </c>
      <c r="D7758" t="inlineStr">
        <is>
          <t>1</t>
        </is>
      </c>
      <c r="E7758" t="inlineStr">
        <is>
          <t>36</t>
        </is>
      </c>
      <c r="F7758" t="inlineStr">
        <is>
          <t>0</t>
        </is>
      </c>
      <c r="G7758" t="inlineStr">
        <is>
          <t>0</t>
        </is>
      </c>
      <c r="H7758" t="inlineStr">
        <is>
          <t>8¹, 16¹, 88¹, 176¹</t>
        </is>
      </c>
      <c r="I7758" t="n">
        <v>4</v>
      </c>
      <c r="J7758" t="inlineStr">
        <is>
          <t>1⁶, 10³</t>
        </is>
      </c>
      <c r="K7758">
        <f>HYPERLINK("CSG11.html#group88C11", "88C¹¹")</f>
        <v/>
      </c>
      <c r="L7758" t="inlineStr"/>
      <c r="M7758">
        <f>HYPERLINK("CSG1.html#group8A1", "8A¹"), =HYPERLINK("CSG1.html#group11A1", "11A¹"), =HYPERLINK("CSG0.html#group4C0", "4C⁰"), =HYPERLINK("CSG11.html#group88C11", "88C¹¹"), =HYPERLINK("CSG5.html#group44B5", "44B⁵"), =HYPERLINK("CSG0.html#group2B0", "2B⁰"), =HYPERLINK("CSG2.html#group22C2", "22C²"), =HYPERLINK("CSG0.html#group1A0", "1A⁰")</f>
        <v/>
      </c>
      <c r="N7758" t="inlineStr"/>
    </row>
    <row r="7759">
      <c r="A7759" t="inlineStr">
        <is>
          <t>176B²³</t>
        </is>
      </c>
      <c r="B7759" t="inlineStr"/>
      <c r="C7759" t="inlineStr">
        <is>
          <t>288</t>
        </is>
      </c>
      <c r="D7759" t="inlineStr">
        <is>
          <t>1</t>
        </is>
      </c>
      <c r="E7759" t="inlineStr">
        <is>
          <t>36</t>
        </is>
      </c>
      <c r="F7759" t="inlineStr">
        <is>
          <t>0</t>
        </is>
      </c>
      <c r="G7759" t="inlineStr">
        <is>
          <t>0</t>
        </is>
      </c>
      <c r="H7759" t="inlineStr">
        <is>
          <t>8¹, 16¹, 88¹, 176¹</t>
        </is>
      </c>
      <c r="I7759" t="n">
        <v>4</v>
      </c>
      <c r="J7759" t="inlineStr">
        <is>
          <t>1⁶, 10³</t>
        </is>
      </c>
      <c r="K7759">
        <f>HYPERLINK("CSG11.html#group88C11", "88C¹¹")</f>
        <v/>
      </c>
      <c r="L7759" t="inlineStr"/>
      <c r="M7759">
        <f>HYPERLINK("CSG1.html#group8A1", "8A¹"), =HYPERLINK("CSG1.html#group11A1", "11A¹"), =HYPERLINK("CSG0.html#group4C0", "4C⁰"), =HYPERLINK("CSG11.html#group88C11", "88C¹¹"), =HYPERLINK("CSG5.html#group44B5", "44B⁵"), =HYPERLINK("CSG0.html#group2B0", "2B⁰"), =HYPERLINK("CSG2.html#group22C2", "22C²"), =HYPERLINK("CSG0.html#group1A0", "1A⁰")</f>
        <v/>
      </c>
      <c r="N7759" t="inlineStr"/>
    </row>
    <row r="7760">
      <c r="A7760" t="inlineStr">
        <is>
          <t>176C²³</t>
        </is>
      </c>
      <c r="B7760" t="inlineStr"/>
      <c r="C7760" t="inlineStr">
        <is>
          <t>288</t>
        </is>
      </c>
      <c r="D7760" t="inlineStr">
        <is>
          <t>1</t>
        </is>
      </c>
      <c r="E7760" t="inlineStr">
        <is>
          <t>36</t>
        </is>
      </c>
      <c r="F7760" t="inlineStr">
        <is>
          <t>0</t>
        </is>
      </c>
      <c r="G7760" t="inlineStr">
        <is>
          <t>0</t>
        </is>
      </c>
      <c r="H7760" t="inlineStr">
        <is>
          <t>8¹, 16¹, 88¹, 176¹</t>
        </is>
      </c>
      <c r="I7760" t="n">
        <v>4</v>
      </c>
      <c r="J7760" t="inlineStr">
        <is>
          <t>1⁶, 10³</t>
        </is>
      </c>
      <c r="K7760">
        <f>HYPERLINK("CSG0.html#group16B0", "16B⁰"), =HYPERLINK("CSG11.html#group88B11", "88B¹¹")</f>
        <v/>
      </c>
      <c r="L7760" t="inlineStr"/>
      <c r="M7760">
        <f>HYPERLINK("CSG0.html#group16B0", "16B⁰"), =HYPERLINK("CSG1.html#group11A1", "11A¹"), =HYPERLINK("CSG11.html#group88B11", "88B¹¹"), =HYPERLINK("CSG0.html#group4C0", "4C⁰"), =HYPERLINK("CSG0.html#group8B0", "8B⁰"), =HYPERLINK("CSG5.html#group44B5", "44B⁵"), =HYPERLINK("CSG0.html#group2B0", "2B⁰"), =HYPERLINK("CSG2.html#group22C2", "22C²"), =HYPERLINK("CSG0.html#group1A0", "1A⁰")</f>
        <v/>
      </c>
      <c r="N7760" t="inlineStr"/>
    </row>
    <row r="7761">
      <c r="A7761" t="inlineStr">
        <is>
          <t>176D²³</t>
        </is>
      </c>
      <c r="B7761" t="inlineStr"/>
      <c r="C7761" t="inlineStr">
        <is>
          <t>288</t>
        </is>
      </c>
      <c r="D7761" t="inlineStr">
        <is>
          <t>1</t>
        </is>
      </c>
      <c r="E7761" t="inlineStr">
        <is>
          <t>36</t>
        </is>
      </c>
      <c r="F7761" t="inlineStr">
        <is>
          <t>0</t>
        </is>
      </c>
      <c r="G7761" t="inlineStr">
        <is>
          <t>0</t>
        </is>
      </c>
      <c r="H7761" t="inlineStr">
        <is>
          <t>8¹, 16¹, 88¹, 176¹</t>
        </is>
      </c>
      <c r="I7761" t="n">
        <v>4</v>
      </c>
      <c r="J7761" t="inlineStr">
        <is>
          <t>1⁶, 10³</t>
        </is>
      </c>
      <c r="K7761">
        <f>HYPERLINK("CSG2.html#group16A2", "16A²"), =HYPERLINK("CSG11.html#group88B11", "88B¹¹")</f>
        <v/>
      </c>
      <c r="L7761" t="inlineStr"/>
      <c r="M7761">
        <f>HYPERLINK("CSG1.html#group11A1", "11A¹"), =HYPERLINK("CSG11.html#group88B11", "88B¹¹"), =HYPERLINK("CSG0.html#group4C0", "4C⁰"), =HYPERLINK("CSG0.html#group8B0", "8B⁰"), =HYPERLINK("CSG5.html#group44B5", "44B⁵"), =HYPERLINK("CSG0.html#group2B0", "2B⁰"), =HYPERLINK("CSG2.html#group22C2", "22C²"), =HYPERLINK("CSG0.html#group1A0", "1A⁰"), =HYPERLINK("CSG2.html#group16A2", "16A²")</f>
        <v/>
      </c>
      <c r="N7761" t="inlineStr"/>
    </row>
    <row r="7762">
      <c r="A7762" t="inlineStr">
        <is>
          <t>176E²³</t>
        </is>
      </c>
      <c r="B7762" t="inlineStr"/>
      <c r="C7762" t="inlineStr">
        <is>
          <t>288</t>
        </is>
      </c>
      <c r="D7762" t="inlineStr">
        <is>
          <t>1</t>
        </is>
      </c>
      <c r="E7762" t="inlineStr">
        <is>
          <t>72</t>
        </is>
      </c>
      <c r="F7762" t="inlineStr">
        <is>
          <t>0</t>
        </is>
      </c>
      <c r="G7762" t="inlineStr">
        <is>
          <t>0</t>
        </is>
      </c>
      <c r="H7762" t="inlineStr">
        <is>
          <t>8¹, 16¹, 88¹, 176¹</t>
        </is>
      </c>
      <c r="I7762" t="n">
        <v>4</v>
      </c>
      <c r="J7762" t="inlineStr">
        <is>
          <t>1⁴, 2⁴, 10², 20²</t>
        </is>
      </c>
      <c r="K7762">
        <f>HYPERLINK("CSG11.html#group88C11", "88C¹¹")</f>
        <v/>
      </c>
      <c r="L7762" t="inlineStr"/>
      <c r="M7762">
        <f>HYPERLINK("CSG1.html#group8A1", "8A¹"), =HYPERLINK("CSG1.html#group11A1", "11A¹"), =HYPERLINK("CSG0.html#group4C0", "4C⁰"), =HYPERLINK("CSG11.html#group88C11", "88C¹¹"), =HYPERLINK("CSG5.html#group44B5", "44B⁵"), =HYPERLINK("CSG0.html#group2B0", "2B⁰"), =HYPERLINK("CSG2.html#group22C2", "22C²"), =HYPERLINK("CSG0.html#group1A0", "1A⁰")</f>
        <v/>
      </c>
      <c r="N7762" t="inlineStr"/>
    </row>
    <row r="7763">
      <c r="A7763" t="inlineStr">
        <is>
          <t>176F²³</t>
        </is>
      </c>
      <c r="B7763" t="inlineStr"/>
      <c r="C7763" t="inlineStr">
        <is>
          <t>288</t>
        </is>
      </c>
      <c r="D7763" t="inlineStr">
        <is>
          <t>1</t>
        </is>
      </c>
      <c r="E7763" t="inlineStr">
        <is>
          <t>72</t>
        </is>
      </c>
      <c r="F7763" t="inlineStr">
        <is>
          <t>0</t>
        </is>
      </c>
      <c r="G7763" t="inlineStr">
        <is>
          <t>0</t>
        </is>
      </c>
      <c r="H7763" t="inlineStr">
        <is>
          <t>8¹, 16¹, 88¹, 176¹</t>
        </is>
      </c>
      <c r="I7763" t="n">
        <v>4</v>
      </c>
      <c r="J7763" t="inlineStr">
        <is>
          <t>1⁴, 2⁴, 10², 20²</t>
        </is>
      </c>
      <c r="K7763">
        <f>HYPERLINK("CSG1.html#group16B1", "16B¹"), =HYPERLINK("CSG11.html#group88B11", "88B¹¹")</f>
        <v/>
      </c>
      <c r="L7763" t="inlineStr"/>
      <c r="M7763">
        <f>HYPERLINK("CSG1.html#group11A1", "11A¹"), =HYPERLINK("CSG11.html#group88B11", "88B¹¹"), =HYPERLINK("CSG0.html#group4C0", "4C⁰"), =HYPERLINK("CSG0.html#group8B0", "8B⁰"), =HYPERLINK("CSG1.html#group16B1", "16B¹"), =HYPERLINK("CSG5.html#group44B5", "44B⁵"), =HYPERLINK("CSG0.html#group2B0", "2B⁰"), =HYPERLINK("CSG2.html#group22C2", "22C²"), =HYPERLINK("CSG0.html#group1A0", "1A⁰")</f>
        <v/>
      </c>
      <c r="N7763" t="inlineStr"/>
    </row>
    <row r="7764">
      <c r="A7764" t="inlineStr">
        <is>
          <t>176G²³</t>
        </is>
      </c>
      <c r="B7764" t="inlineStr"/>
      <c r="C7764" t="inlineStr">
        <is>
          <t>288</t>
        </is>
      </c>
      <c r="D7764" t="inlineStr">
        <is>
          <t>1</t>
        </is>
      </c>
      <c r="E7764" t="inlineStr">
        <is>
          <t>144</t>
        </is>
      </c>
      <c r="F7764" t="inlineStr">
        <is>
          <t>0</t>
        </is>
      </c>
      <c r="G7764" t="inlineStr">
        <is>
          <t>0</t>
        </is>
      </c>
      <c r="H7764" t="inlineStr">
        <is>
          <t>8¹, 16¹, 88¹, 176¹</t>
        </is>
      </c>
      <c r="I7764" t="n">
        <v>4</v>
      </c>
      <c r="J7764" t="inlineStr">
        <is>
          <t>1⁸, 2⁴, 4², 10⁴, 20², 40¹</t>
        </is>
      </c>
      <c r="K7764">
        <f>HYPERLINK("CSG1.html#group16D1", "16D¹"), =HYPERLINK("CSG11.html#group88B11", "88B¹¹")</f>
        <v/>
      </c>
      <c r="L7764" t="inlineStr"/>
      <c r="M7764">
        <f>HYPERLINK("CSG1.html#group16D1", "16D¹"), =HYPERLINK("CSG1.html#group11A1", "11A¹"), =HYPERLINK("CSG11.html#group88B11", "88B¹¹"), =HYPERLINK("CSG0.html#group4C0", "4C⁰"), =HYPERLINK("CSG0.html#group8B0", "8B⁰"), =HYPERLINK("CSG5.html#group44B5", "44B⁵"), =HYPERLINK("CSG0.html#group2B0", "2B⁰"), =HYPERLINK("CSG2.html#group22C2", "22C²"), =HYPERLINK("CSG0.html#group1A0", "1A⁰")</f>
        <v/>
      </c>
      <c r="N7764" t="inlineStr"/>
    </row>
    <row r="7765">
      <c r="A7765" t="inlineStr">
        <is>
          <t>176H²³</t>
        </is>
      </c>
      <c r="B7765" t="inlineStr"/>
      <c r="C7765" t="inlineStr">
        <is>
          <t>288</t>
        </is>
      </c>
      <c r="D7765" t="inlineStr">
        <is>
          <t>1</t>
        </is>
      </c>
      <c r="E7765" t="inlineStr">
        <is>
          <t>144</t>
        </is>
      </c>
      <c r="F7765" t="inlineStr">
        <is>
          <t>0</t>
        </is>
      </c>
      <c r="G7765" t="inlineStr">
        <is>
          <t>0</t>
        </is>
      </c>
      <c r="H7765" t="inlineStr">
        <is>
          <t>8¹, 16¹, 88¹, 176¹</t>
        </is>
      </c>
      <c r="I7765" t="n">
        <v>4</v>
      </c>
      <c r="J7765" t="inlineStr">
        <is>
          <t>1⁸, 2⁴, 4², 10⁴, 20², 40¹</t>
        </is>
      </c>
      <c r="K7765">
        <f>HYPERLINK("CSG2.html#group16B2", "16B²"), =HYPERLINK("CSG11.html#group88C11", "88C¹¹")</f>
        <v/>
      </c>
      <c r="L7765" t="inlineStr"/>
      <c r="M7765">
        <f>HYPERLINK("CSG2.html#group16B2", "16B²"), =HYPERLINK("CSG1.html#group8A1", "8A¹"), =HYPERLINK("CSG1.html#group11A1", "11A¹"), =HYPERLINK("CSG0.html#group4C0", "4C⁰"), =HYPERLINK("CSG11.html#group88C11", "88C¹¹"), =HYPERLINK("CSG5.html#group44B5", "44B⁵"), =HYPERLINK("CSG0.html#group2B0", "2B⁰"), =HYPERLINK("CSG2.html#group22C2", "22C²"), =HYPERLINK("CSG0.html#group1A0", "1A⁰")</f>
        <v/>
      </c>
      <c r="N7765" t="inlineStr"/>
    </row>
    <row r="7766">
      <c r="A7766" t="inlineStr">
        <is>
          <t>180A²³</t>
        </is>
      </c>
      <c r="B7766" t="inlineStr"/>
      <c r="C7766" t="inlineStr">
        <is>
          <t>288</t>
        </is>
      </c>
      <c r="D7766" t="inlineStr">
        <is>
          <t>1</t>
        </is>
      </c>
      <c r="E7766" t="inlineStr">
        <is>
          <t>24</t>
        </is>
      </c>
      <c r="F7766" t="inlineStr">
        <is>
          <t>0</t>
        </is>
      </c>
      <c r="G7766" t="inlineStr">
        <is>
          <t>0</t>
        </is>
      </c>
      <c r="H7766" t="inlineStr">
        <is>
          <t>12¹, 36¹, 60¹, 180¹</t>
        </is>
      </c>
      <c r="I7766" t="n">
        <v>4</v>
      </c>
      <c r="J7766" t="inlineStr">
        <is>
          <t>1⁴, 2², 4², 8¹</t>
        </is>
      </c>
      <c r="K7766">
        <f>HYPERLINK("CSG7.html#group60D7", "60D⁷"), =HYPERLINK("CSG11.html#group90C11", "90C¹¹")</f>
        <v/>
      </c>
      <c r="L7766" t="inlineStr"/>
      <c r="M7766">
        <f>HYPERLINK("CSG5.html#group45C5", "45C⁵"), =HYPERLINK("CSG1.html#group15C1", "15C¹"), =HYPERLINK("CSG0.html#group3B0", "3B⁰"), =HYPERLINK("CSG0.html#group2A0", "2A⁰"), =HYPERLINK("CSG0.html#group18B0", "18B⁰"), =HYPERLINK("CSG0.html#group6C0", "6C⁰"), =HYPERLINK("CSG11.html#group90C11", "90C¹¹"), =HYPERLINK("CSG0.html#group5B0", "5B⁰"), =HYPERLINK("CSG1.html#group10A1", "10A¹"), =HYPERLINK("CSG0.html#group1A0", "1A⁰"), =HYPERLINK("CSG0.html#group9C0", "9C⁰"), =HYPERLINK("CSG7.html#group60D7", "60D⁷"), =HYPERLINK("CSG3.html#group30G3", "30G³")</f>
        <v/>
      </c>
      <c r="N7766" t="inlineStr"/>
    </row>
    <row r="7767">
      <c r="A7767" t="inlineStr">
        <is>
          <t>180B²³</t>
        </is>
      </c>
      <c r="B7767" t="inlineStr"/>
      <c r="C7767" t="inlineStr">
        <is>
          <t>288</t>
        </is>
      </c>
      <c r="D7767" t="inlineStr">
        <is>
          <t>1</t>
        </is>
      </c>
      <c r="E7767" t="inlineStr">
        <is>
          <t>24</t>
        </is>
      </c>
      <c r="F7767" t="inlineStr">
        <is>
          <t>0</t>
        </is>
      </c>
      <c r="G7767" t="inlineStr">
        <is>
          <t>0</t>
        </is>
      </c>
      <c r="H7767" t="inlineStr">
        <is>
          <t>12¹, 36¹, 60¹, 180¹</t>
        </is>
      </c>
      <c r="I7767" t="n">
        <v>4</v>
      </c>
      <c r="J7767" t="inlineStr">
        <is>
          <t>1⁴, 2², 4², 8¹</t>
        </is>
      </c>
      <c r="K7767">
        <f>HYPERLINK("CSG7.html#group60D7", "60D⁷"), =HYPERLINK("CSG11.html#group90D11", "90D¹¹")</f>
        <v/>
      </c>
      <c r="L7767" t="inlineStr"/>
      <c r="M7767">
        <f>HYPERLINK("CSG1.html#group15C1", "15C¹"), =HYPERLINK("CSG0.html#group3B0", "3B⁰"), =HYPERLINK("CSG0.html#group2A0", "2A⁰"), =HYPERLINK("CSG2.html#group18B2", "18B²"), =HYPERLINK("CSG11.html#group90D11", "90D¹¹"), =HYPERLINK("CSG0.html#group6C0", "6C⁰"), =HYPERLINK("CSG1.html#group9A1", "9A¹"), =HYPERLINK("CSG0.html#group5B0", "5B⁰"), =HYPERLINK("CSG1.html#group10A1", "10A¹"), =HYPERLINK("CSG0.html#group1A0", "1A⁰"), =HYPERLINK("CSG3.html#group30G3", "30G³"), =HYPERLINK("CSG7.html#group60D7", "60D⁷"), =HYPERLINK("CSG5.html#group45D5", "45D⁵")</f>
        <v/>
      </c>
      <c r="N7767" t="inlineStr"/>
    </row>
    <row r="7768">
      <c r="A7768" t="inlineStr">
        <is>
          <t>180C²³</t>
        </is>
      </c>
      <c r="B7768" t="inlineStr"/>
      <c r="C7768" t="inlineStr">
        <is>
          <t>288</t>
        </is>
      </c>
      <c r="D7768" t="inlineStr">
        <is>
          <t>1</t>
        </is>
      </c>
      <c r="E7768" t="inlineStr">
        <is>
          <t>24</t>
        </is>
      </c>
      <c r="F7768" t="inlineStr">
        <is>
          <t>0</t>
        </is>
      </c>
      <c r="G7768" t="inlineStr">
        <is>
          <t>0</t>
        </is>
      </c>
      <c r="H7768" t="inlineStr">
        <is>
          <t>12¹, 36¹, 60¹, 180¹</t>
        </is>
      </c>
      <c r="I7768" t="n">
        <v>4</v>
      </c>
      <c r="J7768" t="inlineStr">
        <is>
          <t>1⁴, 2², 4², 8¹</t>
        </is>
      </c>
      <c r="K7768">
        <f>HYPERLINK("CSG0.html#group36A0", "36A⁰"), =HYPERLINK("CSG7.html#group60E7", "60E⁷"), =HYPERLINK("CSG11.html#group90C11", "90C¹¹")</f>
        <v/>
      </c>
      <c r="L7768" t="inlineStr"/>
      <c r="M7768">
        <f>HYPERLINK("CSG5.html#group45C5", "45C⁵"), =HYPERLINK("CSG1.html#group15C1", "15C¹"), =HYPERLINK("CSG0.html#group3B0", "3B⁰"), =HYPERLINK("CSG0.html#group2A0", "2A⁰"), =HYPERLINK("CSG7.html#group60E7", "60E⁷"), =HYPERLINK("CSG0.html#group18B0", "18B⁰"), =HYPERLINK("CSG0.html#group6C0", "6C⁰"), =HYPERLINK("CSG11.html#group90C11", "90C¹¹"), =HYPERLINK("CSG0.html#group5B0", "5B⁰"), =HYPERLINK("CSG1.html#group10A1", "10A¹"), =HYPERLINK("CSG0.html#group9C0", "9C⁰"), =HYPERLINK("CSG0.html#group1A0", "1A⁰"), =HYPERLINK("CSG3.html#group30G3", "30G³"), =HYPERLINK("CSG0.html#group36A0", "36A⁰"), =HYPERLINK("CSG0.html#group12B0", "12B⁰")</f>
        <v/>
      </c>
      <c r="N7768" t="inlineStr"/>
    </row>
    <row r="7769">
      <c r="A7769" t="inlineStr">
        <is>
          <t>180D²³</t>
        </is>
      </c>
      <c r="B7769" t="inlineStr"/>
      <c r="C7769" t="inlineStr">
        <is>
          <t>288</t>
        </is>
      </c>
      <c r="D7769" t="inlineStr">
        <is>
          <t>1</t>
        </is>
      </c>
      <c r="E7769" t="inlineStr">
        <is>
          <t>24</t>
        </is>
      </c>
      <c r="F7769" t="inlineStr">
        <is>
          <t>0</t>
        </is>
      </c>
      <c r="G7769" t="inlineStr">
        <is>
          <t>0</t>
        </is>
      </c>
      <c r="H7769" t="inlineStr">
        <is>
          <t>12¹, 36¹, 60¹, 180¹</t>
        </is>
      </c>
      <c r="I7769" t="n">
        <v>4</v>
      </c>
      <c r="J7769" t="inlineStr">
        <is>
          <t>1⁴, 2², 4², 8¹</t>
        </is>
      </c>
      <c r="K7769">
        <f>HYPERLINK("CSG4.html#group36A4", "36A⁴"), =HYPERLINK("CSG7.html#group60E7", "60E⁷"), =HYPERLINK("CSG11.html#group90D11", "90D¹¹")</f>
        <v/>
      </c>
      <c r="L7769" t="inlineStr"/>
      <c r="M7769">
        <f>HYPERLINK("CSG0.html#group3B0", "3B⁰"), =HYPERLINK("CSG0.html#group2A0", "2A⁰"), =HYPERLINK("CSG11.html#group90D11", "90D¹¹"), =HYPERLINK("CSG0.html#group6C0", "6C⁰"), =HYPERLINK("CSG0.html#group5B0", "5B⁰"), =HYPERLINK("CSG1.html#group10A1", "10A¹"), =HYPERLINK("CSG3.html#group30G3", "30G³"), =HYPERLINK("CSG0.html#group1A0", "1A⁰"), =HYPERLINK("CSG5.html#group45D5", "45D⁵"), =HYPERLINK("CSG1.html#group15C1", "15C¹"), =HYPERLINK("CSG2.html#group18B2", "18B²"), =HYPERLINK("CSG7.html#group60E7", "60E⁷"), =HYPERLINK("CSG1.html#group9A1", "9A¹"), =HYPERLINK("CSG4.html#group36A4", "36A⁴"), =HYPERLINK("CSG0.html#group12B0", "12B⁰")</f>
        <v/>
      </c>
      <c r="N7769" t="inlineStr"/>
    </row>
    <row r="7770">
      <c r="A7770" t="inlineStr">
        <is>
          <t>180E²³</t>
        </is>
      </c>
      <c r="B7770" t="inlineStr"/>
      <c r="C7770" t="inlineStr">
        <is>
          <t>288</t>
        </is>
      </c>
      <c r="D7770" t="inlineStr">
        <is>
          <t>1</t>
        </is>
      </c>
      <c r="E7770" t="inlineStr">
        <is>
          <t>48</t>
        </is>
      </c>
      <c r="F7770" t="inlineStr">
        <is>
          <t>0</t>
        </is>
      </c>
      <c r="G7770" t="inlineStr">
        <is>
          <t>0</t>
        </is>
      </c>
      <c r="H7770" t="inlineStr">
        <is>
          <t>12¹, 36¹, 60¹, 180¹</t>
        </is>
      </c>
      <c r="I7770" t="n">
        <v>4</v>
      </c>
      <c r="J7770" t="inlineStr">
        <is>
          <t>2⁸, 8⁴</t>
        </is>
      </c>
      <c r="K7770">
        <f>HYPERLINK("CSG7.html#group60D7", "60D⁷"), =HYPERLINK("CSG11.html#group90E11", "90E¹¹")</f>
        <v/>
      </c>
      <c r="L7770" t="inlineStr"/>
      <c r="M7770">
        <f>HYPERLINK("CSG1.html#group15C1", "15C¹"), =HYPERLINK("CSG0.html#group3B0", "3B⁰"), =HYPERLINK("CSG0.html#group2A0", "2A⁰"), =HYPERLINK("CSG11.html#group90E11", "90E¹¹"), =HYPERLINK("CSG0.html#group6C0", "6C⁰"), =HYPERLINK("CSG0.html#group5B0", "5B⁰"), =HYPERLINK("CSG1.html#group10A1", "10A¹"), =HYPERLINK("CSG0.html#group1A0", "1A⁰"), =HYPERLINK("CSG3.html#group30G3", "30G³"), =HYPERLINK("CSG7.html#group60D7", "60D⁷"), =HYPERLINK("CSG1.html#group18D1", "18D¹")</f>
        <v/>
      </c>
      <c r="N7770" t="inlineStr"/>
    </row>
    <row r="7771">
      <c r="A7771" t="inlineStr">
        <is>
          <t>180F²³</t>
        </is>
      </c>
      <c r="B7771" t="inlineStr"/>
      <c r="C7771" t="inlineStr">
        <is>
          <t>288</t>
        </is>
      </c>
      <c r="D7771" t="inlineStr">
        <is>
          <t>1</t>
        </is>
      </c>
      <c r="E7771" t="inlineStr">
        <is>
          <t>48</t>
        </is>
      </c>
      <c r="F7771" t="inlineStr">
        <is>
          <t>0</t>
        </is>
      </c>
      <c r="G7771" t="inlineStr">
        <is>
          <t>0</t>
        </is>
      </c>
      <c r="H7771" t="inlineStr">
        <is>
          <t>12¹, 36¹, 60¹, 180¹</t>
        </is>
      </c>
      <c r="I7771" t="n">
        <v>4</v>
      </c>
      <c r="J7771" t="inlineStr">
        <is>
          <t>2⁸, 8⁴</t>
        </is>
      </c>
      <c r="K7771">
        <f>HYPERLINK("CSG7.html#group60D7", "60D⁷"), =HYPERLINK("CSG11.html#group90F11", "90F¹¹")</f>
        <v/>
      </c>
      <c r="L7771" t="inlineStr"/>
      <c r="M7771">
        <f>HYPERLINK("CSG1.html#group15C1", "15C¹"), =HYPERLINK("CSG0.html#group3B0", "3B⁰"), =HYPERLINK("CSG0.html#group2A0", "2A⁰"), =HYPERLINK("CSG0.html#group6C0", "6C⁰"), =HYPERLINK("CSG11.html#group90F11", "90F¹¹"), =HYPERLINK("CSG0.html#group5B0", "5B⁰"), =HYPERLINK("CSG1.html#group10A1", "10A¹"), =HYPERLINK("CSG0.html#group1A0", "1A⁰"), =HYPERLINK("CSG3.html#group30G3", "30G³"), =HYPERLINK("CSG7.html#group60D7", "60D⁷"), =HYPERLINK("CSG2.html#group18C2", "18C²")</f>
        <v/>
      </c>
      <c r="N7771" t="inlineStr"/>
    </row>
    <row r="7772">
      <c r="A7772" t="inlineStr">
        <is>
          <t>180G²³</t>
        </is>
      </c>
      <c r="B7772" t="inlineStr"/>
      <c r="C7772" t="inlineStr">
        <is>
          <t>288</t>
        </is>
      </c>
      <c r="D7772" t="inlineStr">
        <is>
          <t>1</t>
        </is>
      </c>
      <c r="E7772" t="inlineStr">
        <is>
          <t>48</t>
        </is>
      </c>
      <c r="F7772" t="inlineStr">
        <is>
          <t>0</t>
        </is>
      </c>
      <c r="G7772" t="inlineStr">
        <is>
          <t>0</t>
        </is>
      </c>
      <c r="H7772" t="inlineStr">
        <is>
          <t>12¹, 36¹, 60¹, 180¹</t>
        </is>
      </c>
      <c r="I7772" t="n">
        <v>4</v>
      </c>
      <c r="J7772" t="inlineStr">
        <is>
          <t>2⁸, 8⁴</t>
        </is>
      </c>
      <c r="K7772">
        <f>HYPERLINK("CSG2.html#group36A2", "36A²"), =HYPERLINK("CSG7.html#group60E7", "60E⁷"), =HYPERLINK("CSG11.html#group90E11", "90E¹¹")</f>
        <v/>
      </c>
      <c r="L7772" t="inlineStr"/>
      <c r="M7772">
        <f>HYPERLINK("CSG1.html#group15C1", "15C¹"), =HYPERLINK("CSG0.html#group3B0", "3B⁰"), =HYPERLINK("CSG0.html#group2A0", "2A⁰"), =HYPERLINK("CSG11.html#group90E11", "90E¹¹"), =HYPERLINK("CSG7.html#group60E7", "60E⁷"), =HYPERLINK("CSG1.html#group18D1", "18D¹"), =HYPERLINK("CSG0.html#group6C0", "6C⁰"), =HYPERLINK("CSG0.html#group5B0", "5B⁰"), =HYPERLINK("CSG1.html#group10A1", "10A¹"), =HYPERLINK("CSG2.html#group36A2", "36A²"), =HYPERLINK("CSG0.html#group1A0", "1A⁰"), =HYPERLINK("CSG3.html#group30G3", "30G³"), =HYPERLINK("CSG0.html#group12B0", "12B⁰")</f>
        <v/>
      </c>
      <c r="N7772" t="inlineStr"/>
    </row>
    <row r="7773">
      <c r="A7773" t="inlineStr">
        <is>
          <t>180H²³</t>
        </is>
      </c>
      <c r="B7773" t="inlineStr"/>
      <c r="C7773" t="inlineStr">
        <is>
          <t>288</t>
        </is>
      </c>
      <c r="D7773" t="inlineStr">
        <is>
          <t>1</t>
        </is>
      </c>
      <c r="E7773" t="inlineStr">
        <is>
          <t>48</t>
        </is>
      </c>
      <c r="F7773" t="inlineStr">
        <is>
          <t>0</t>
        </is>
      </c>
      <c r="G7773" t="inlineStr">
        <is>
          <t>0</t>
        </is>
      </c>
      <c r="H7773" t="inlineStr">
        <is>
          <t>12¹, 36¹, 60¹, 180¹</t>
        </is>
      </c>
      <c r="I7773" t="n">
        <v>4</v>
      </c>
      <c r="J7773" t="inlineStr">
        <is>
          <t>2⁸, 8⁴</t>
        </is>
      </c>
      <c r="K7773">
        <f>HYPERLINK("CSG4.html#group36B4", "36B⁴"), =HYPERLINK("CSG7.html#group60E7", "60E⁷"), =HYPERLINK("CSG11.html#group90F11", "90F¹¹")</f>
        <v/>
      </c>
      <c r="L7773" t="inlineStr"/>
      <c r="M7773">
        <f>HYPERLINK("CSG1.html#group15C1", "15C¹"), =HYPERLINK("CSG0.html#group3B0", "3B⁰"), =HYPERLINK("CSG0.html#group2A0", "2A⁰"), =HYPERLINK("CSG7.html#group60E7", "60E⁷"), =HYPERLINK("CSG0.html#group6C0", "6C⁰"), =HYPERLINK("CSG11.html#group90F11", "90F¹¹"), =HYPERLINK("CSG0.html#group5B0", "5B⁰"), =HYPERLINK("CSG1.html#group10A1", "10A¹"), =HYPERLINK("CSG4.html#group36B4", "36B⁴"), =HYPERLINK("CSG3.html#group30G3", "30G³"), =HYPERLINK("CSG0.html#group1A0", "1A⁰"), =HYPERLINK("CSG0.html#group12B0", "12B⁰"), =HYPERLINK("CSG2.html#group18C2", "18C²")</f>
        <v/>
      </c>
      <c r="N7773" t="inlineStr"/>
    </row>
    <row r="7774">
      <c r="A7774" t="inlineStr">
        <is>
          <t>180I²³</t>
        </is>
      </c>
      <c r="B7774" t="inlineStr"/>
      <c r="C7774" t="inlineStr">
        <is>
          <t>288</t>
        </is>
      </c>
      <c r="D7774" t="inlineStr">
        <is>
          <t>1</t>
        </is>
      </c>
      <c r="E7774" t="inlineStr">
        <is>
          <t>96</t>
        </is>
      </c>
      <c r="F7774" t="inlineStr">
        <is>
          <t>0</t>
        </is>
      </c>
      <c r="G7774" t="inlineStr">
        <is>
          <t>0</t>
        </is>
      </c>
      <c r="H7774" t="inlineStr">
        <is>
          <t>12¹, 36¹, 60¹, 180¹</t>
        </is>
      </c>
      <c r="I7774" t="n">
        <v>4</v>
      </c>
      <c r="J7774" t="inlineStr">
        <is>
          <t>2⁸, 4⁴, 8⁴, 16²</t>
        </is>
      </c>
      <c r="K7774">
        <f>HYPERLINK("CSG3.html#group36C3", "36C³"), =HYPERLINK("CSG5.html#group45C5", "45C⁵"), =HYPERLINK("CSG7.html#group60F7", "60F⁷")</f>
        <v/>
      </c>
      <c r="L7774" t="inlineStr"/>
      <c r="M7774">
        <f>HYPERLINK("CSG5.html#group45C5", "45C⁵"), =HYPERLINK("CSG1.html#group15C1", "15C¹"), =HYPERLINK("CSG0.html#group3B0", "3B⁰"), =HYPERLINK("CSG7.html#group60F7", "60F⁷"), =HYPERLINK("CSG0.html#group4A0", "4A⁰"), =HYPERLINK("CSG1.html#group12A1", "12A¹"), =HYPERLINK("CSG0.html#group5B0", "5B⁰"), =HYPERLINK("CSG0.html#group9C0", "9C⁰"), =HYPERLINK("CSG0.html#group1A0", "1A⁰"), =HYPERLINK("CSG1.html#group20B1", "20B¹"), =HYPERLINK("CSG3.html#group36C3", "36C³")</f>
        <v/>
      </c>
      <c r="N7774" t="inlineStr"/>
    </row>
    <row r="7775">
      <c r="A7775" t="inlineStr">
        <is>
          <t>180J²³</t>
        </is>
      </c>
      <c r="B7775" t="inlineStr"/>
      <c r="C7775" t="inlineStr">
        <is>
          <t>288</t>
        </is>
      </c>
      <c r="D7775" t="inlineStr">
        <is>
          <t>1</t>
        </is>
      </c>
      <c r="E7775" t="inlineStr">
        <is>
          <t>96</t>
        </is>
      </c>
      <c r="F7775" t="inlineStr">
        <is>
          <t>0</t>
        </is>
      </c>
      <c r="G7775" t="inlineStr">
        <is>
          <t>0</t>
        </is>
      </c>
      <c r="H7775" t="inlineStr">
        <is>
          <t>12¹, 36¹, 60¹, 180¹</t>
        </is>
      </c>
      <c r="I7775" t="n">
        <v>4</v>
      </c>
      <c r="J7775" t="inlineStr">
        <is>
          <t>2⁸, 4⁴, 8⁴, 16²</t>
        </is>
      </c>
      <c r="K7775">
        <f>HYPERLINK("CSG4.html#group36C4", "36C⁴"), =HYPERLINK("CSG5.html#group45D5", "45D⁵"), =HYPERLINK("CSG7.html#group60F7", "60F⁷")</f>
        <v/>
      </c>
      <c r="L7775" t="inlineStr"/>
      <c r="M7775">
        <f>HYPERLINK("CSG0.html#group3B0", "3B⁰"), =HYPERLINK("CSG1.html#group15C1", "15C¹"), =HYPERLINK("CSG7.html#group60F7", "60F⁷"), =HYPERLINK("CSG0.html#group4A0", "4A⁰"), =HYPERLINK("CSG1.html#group12A1", "12A¹"), =HYPERLINK("CSG1.html#group9A1", "9A¹"), =HYPERLINK("CSG0.html#group5B0", "5B⁰"), =HYPERLINK("CSG4.html#group36C4", "36C⁴"), =HYPERLINK("CSG0.html#group1A0", "1A⁰"), =HYPERLINK("CSG1.html#group20B1", "20B¹"), =HYPERLINK("CSG5.html#group45D5", "45D⁵")</f>
        <v/>
      </c>
      <c r="N7775" t="inlineStr"/>
    </row>
    <row r="7776">
      <c r="A7776" t="inlineStr">
        <is>
          <t>180K²³</t>
        </is>
      </c>
      <c r="B7776" t="inlineStr"/>
      <c r="C7776" t="inlineStr">
        <is>
          <t>288</t>
        </is>
      </c>
      <c r="D7776" t="inlineStr">
        <is>
          <t>2</t>
        </is>
      </c>
      <c r="E7776" t="inlineStr">
        <is>
          <t>24</t>
        </is>
      </c>
      <c r="F7776" t="inlineStr">
        <is>
          <t>0</t>
        </is>
      </c>
      <c r="G7776" t="inlineStr">
        <is>
          <t>0</t>
        </is>
      </c>
      <c r="H7776" t="inlineStr">
        <is>
          <t>12¹, 36¹, 60¹, 180¹</t>
        </is>
      </c>
      <c r="I7776" t="n">
        <v>4</v>
      </c>
      <c r="J7776" t="inlineStr">
        <is>
          <t>2⁴, 4², 8², 16¹</t>
        </is>
      </c>
      <c r="K7776">
        <f>HYPERLINK("CSG7.html#group60G7", "60G⁷"), =HYPERLINK("CSG11.html#group90A11", "90A¹¹")</f>
        <v/>
      </c>
      <c r="L7776" t="inlineStr"/>
      <c r="M7776">
        <f>HYPERLINK("CSG5.html#group45C5", "45C⁵"), =HYPERLINK("CSG1.html#group15C1", "15C¹"), =HYPERLINK("CSG0.html#group3B0", "3B⁰"), =HYPERLINK("CSG1.html#group20C1", "20C¹"), =HYPERLINK("CSG3.html#group30F3", "30F³"), =HYPERLINK("CSG11.html#group90A11", "90A¹¹"), =HYPERLINK("CSG0.html#group5B0", "5B⁰"), =HYPERLINK("CSG0.html#group9C0", "9C⁰"), =HYPERLINK("CSG0.html#group1A0", "1A⁰"), =HYPERLINK("CSG7.html#group60G7", "60G⁷"), =HYPERLINK("CSG0.html#group10B0", "10B⁰")</f>
        <v/>
      </c>
      <c r="N7776" t="inlineStr"/>
    </row>
    <row r="7777">
      <c r="A7777" t="inlineStr">
        <is>
          <t>180L²³</t>
        </is>
      </c>
      <c r="B7777" t="inlineStr"/>
      <c r="C7777" t="inlineStr">
        <is>
          <t>288</t>
        </is>
      </c>
      <c r="D7777" t="inlineStr">
        <is>
          <t>2</t>
        </is>
      </c>
      <c r="E7777" t="inlineStr">
        <is>
          <t>24</t>
        </is>
      </c>
      <c r="F7777" t="inlineStr">
        <is>
          <t>0</t>
        </is>
      </c>
      <c r="G7777" t="inlineStr">
        <is>
          <t>0</t>
        </is>
      </c>
      <c r="H7777" t="inlineStr">
        <is>
          <t>12¹, 36¹, 60¹, 180¹</t>
        </is>
      </c>
      <c r="I7777" t="n">
        <v>4</v>
      </c>
      <c r="J7777" t="inlineStr">
        <is>
          <t>2⁴, 4², 8², 16¹</t>
        </is>
      </c>
      <c r="K7777">
        <f>HYPERLINK("CSG7.html#group60G7", "60G⁷"), =HYPERLINK("CSG11.html#group90B11", "90B¹¹")</f>
        <v/>
      </c>
      <c r="L7777" t="inlineStr"/>
      <c r="M7777">
        <f>HYPERLINK("CSG1.html#group15C1", "15C¹"), =HYPERLINK("CSG0.html#group3B0", "3B⁰"), =HYPERLINK("CSG1.html#group20C1", "20C¹"), =HYPERLINK("CSG3.html#group30F3", "30F³"), =HYPERLINK("CSG1.html#group9A1", "9A¹"), =HYPERLINK("CSG0.html#group5B0", "5B⁰"), =HYPERLINK("CSG0.html#group1A0", "1A⁰"), =HYPERLINK("CSG11.html#group90B11", "90B¹¹"), =HYPERLINK("CSG7.html#group60G7", "60G⁷"), =HYPERLINK("CSG5.html#group45D5", "45D⁵"), =HYPERLINK("CSG0.html#group10B0", "10B⁰")</f>
        <v/>
      </c>
      <c r="N7777" t="inlineStr"/>
    </row>
    <row r="7778">
      <c r="A7778" t="inlineStr">
        <is>
          <t>180M²³</t>
        </is>
      </c>
      <c r="B7778" t="inlineStr"/>
      <c r="C7778" t="inlineStr">
        <is>
          <t>324</t>
        </is>
      </c>
      <c r="D7778" t="inlineStr">
        <is>
          <t>1</t>
        </is>
      </c>
      <c r="E7778" t="inlineStr">
        <is>
          <t>162</t>
        </is>
      </c>
      <c r="F7778" t="inlineStr">
        <is>
          <t>8</t>
        </is>
      </c>
      <c r="G7778" t="inlineStr">
        <is>
          <t>0</t>
        </is>
      </c>
      <c r="H7778" t="inlineStr">
        <is>
          <t>9², 36¹, 45², 180¹</t>
        </is>
      </c>
      <c r="I7778" t="n">
        <v>6</v>
      </c>
      <c r="J7778" t="inlineStr">
        <is>
          <t>1⁶, 2⁶, 4³, 6⁶, 8³, 24³</t>
        </is>
      </c>
      <c r="K7778">
        <f>HYPERLINK("CSG3.html#group36D3", "36D³"), =HYPERLINK("CSG5.html#group60B5", "60B⁵"), =HYPERLINK("CSG10.html#group90E10", "90E¹⁰")</f>
        <v/>
      </c>
      <c r="L7778" t="inlineStr"/>
      <c r="M7778">
        <f>HYPERLINK("CSG2.html#group45A2", "45A²"), =HYPERLINK("CSG0.html#group15B0", "15B⁰"), =HYPERLINK("CSG2.html#group30E2", "30E²"), =HYPERLINK("CSG0.html#group9A0", "9A⁰"), =HYPERLINK("CSG10.html#group90E10", "90E¹⁰"), =HYPERLINK("CSG0.html#group5B0", "5B⁰"), =HYPERLINK("CSG0.html#group10C0", "10C⁰"), =HYPERLINK("CSG0.html#group2B0", "2B⁰"), =HYPERLINK("CSG0.html#group12D0", "12D⁰"), =HYPERLINK("CSG1.html#group18E1", "18E¹"), =HYPERLINK("CSG0.html#group3A0", "3A⁰"), =HYPERLINK("CSG0.html#group1A0", "1A⁰"), =HYPERLINK("CSG3.html#group36D3", "36D³"), =HYPERLINK("CSG0.html#group6D0", "6D⁰"), =HYPERLINK("CSG5.html#group60B5", "60B⁵")</f>
        <v/>
      </c>
      <c r="N7778" t="inlineStr"/>
    </row>
    <row r="7779">
      <c r="A7779" t="inlineStr">
        <is>
          <t>180N²³</t>
        </is>
      </c>
      <c r="B7779" t="inlineStr"/>
      <c r="C7779" t="inlineStr">
        <is>
          <t>324</t>
        </is>
      </c>
      <c r="D7779" t="inlineStr">
        <is>
          <t>1</t>
        </is>
      </c>
      <c r="E7779" t="inlineStr">
        <is>
          <t>162</t>
        </is>
      </c>
      <c r="F7779" t="inlineStr">
        <is>
          <t>12</t>
        </is>
      </c>
      <c r="G7779" t="inlineStr">
        <is>
          <t>0</t>
        </is>
      </c>
      <c r="H7779" t="inlineStr">
        <is>
          <t>18¹, 36¹, 90¹, 180¹</t>
        </is>
      </c>
      <c r="I7779" t="n">
        <v>4</v>
      </c>
      <c r="J7779" t="inlineStr">
        <is>
          <t>1⁶, 2⁶, 4³, 6⁶, 8³, 24³</t>
        </is>
      </c>
      <c r="K7779">
        <f>HYPERLINK("CSG3.html#group36E3", "36E³"), =HYPERLINK("CSG7.html#group60I7", "60I⁷"), =HYPERLINK("CSG10.html#group90E10", "90E¹⁰")</f>
        <v/>
      </c>
      <c r="L7779" t="inlineStr"/>
      <c r="M7779">
        <f>HYPERLINK("CSG2.html#group45A2", "45A²"), =HYPERLINK("CSG0.html#group15B0", "15B⁰"), =HYPERLINK("CSG3.html#group36E3", "36E³"), =HYPERLINK("CSG2.html#group30E2", "30E²"), =HYPERLINK("CSG7.html#group60I7", "60I⁷"), =HYPERLINK("CSG1.html#group12C1", "12C¹"), =HYPERLINK("CSG0.html#group9A0", "9A⁰"), =HYPERLINK("CSG10.html#group90E10", "90E¹⁰"), =HYPERLINK("CSG0.html#group5B0", "5B⁰"), =HYPERLINK("CSG0.html#group10C0", "10C⁰"), =HYPERLINK("CSG0.html#group2B0", "2B⁰"), =HYPERLINK("CSG1.html#group18E1", "18E¹"), =HYPERLINK("CSG0.html#group3A0", "3A⁰"), =HYPERLINK("CSG0.html#group1A0", "1A⁰"), =HYPERLINK("CSG0.html#group6D0", "6D⁰")</f>
        <v/>
      </c>
      <c r="N7779" t="inlineStr"/>
    </row>
    <row r="7780">
      <c r="A7780" t="inlineStr">
        <is>
          <t>184A²³</t>
        </is>
      </c>
      <c r="B7780" t="inlineStr"/>
      <c r="C7780" t="inlineStr">
        <is>
          <t>288</t>
        </is>
      </c>
      <c r="D7780" t="inlineStr">
        <is>
          <t>1</t>
        </is>
      </c>
      <c r="E7780" t="inlineStr">
        <is>
          <t>72</t>
        </is>
      </c>
      <c r="F7780" t="inlineStr">
        <is>
          <t>0</t>
        </is>
      </c>
      <c r="G7780" t="inlineStr">
        <is>
          <t>0</t>
        </is>
      </c>
      <c r="H7780" t="inlineStr">
        <is>
          <t>4¹, 8¹, 92¹, 184¹</t>
        </is>
      </c>
      <c r="I7780" t="n">
        <v>4</v>
      </c>
      <c r="J7780" t="inlineStr">
        <is>
          <t>1⁶, 22³</t>
        </is>
      </c>
      <c r="K7780">
        <f>HYPERLINK("CSG0.html#group8B0", "8B⁰"), =HYPERLINK("CSG11.html#group92A11", "92A¹¹")</f>
        <v/>
      </c>
      <c r="L7780" t="inlineStr"/>
      <c r="M7780">
        <f>HYPERLINK("CSG11.html#group92A11", "92A¹¹"), =HYPERLINK("CSG0.html#group4C0", "4C⁰"), =HYPERLINK("CSG5.html#group46A5", "46A⁵"), =HYPERLINK("CSG0.html#group8B0", "8B⁰"), =HYPERLINK("CSG0.html#group2B0", "2B⁰"), =HYPERLINK("CSG2.html#group23A2", "23A²"), =HYPERLINK("CSG0.html#group1A0", "1A⁰")</f>
        <v/>
      </c>
      <c r="N7780" t="inlineStr"/>
    </row>
    <row r="7781">
      <c r="A7781" t="inlineStr">
        <is>
          <t>184B²³</t>
        </is>
      </c>
      <c r="B7781" t="inlineStr"/>
      <c r="C7781" t="inlineStr">
        <is>
          <t>288</t>
        </is>
      </c>
      <c r="D7781" t="inlineStr">
        <is>
          <t>1</t>
        </is>
      </c>
      <c r="E7781" t="inlineStr">
        <is>
          <t>72</t>
        </is>
      </c>
      <c r="F7781" t="inlineStr">
        <is>
          <t>0</t>
        </is>
      </c>
      <c r="G7781" t="inlineStr">
        <is>
          <t>0</t>
        </is>
      </c>
      <c r="H7781" t="inlineStr">
        <is>
          <t>4¹, 8¹, 92¹, 184¹</t>
        </is>
      </c>
      <c r="I7781" t="n">
        <v>4</v>
      </c>
      <c r="J7781" t="inlineStr">
        <is>
          <t>1⁶, 22³</t>
        </is>
      </c>
      <c r="K7781">
        <f>HYPERLINK("CSG1.html#group8A1", "8A¹"), =HYPERLINK("CSG11.html#group92A11", "92A¹¹")</f>
        <v/>
      </c>
      <c r="L7781" t="inlineStr"/>
      <c r="M7781">
        <f>HYPERLINK("CSG11.html#group92A11", "92A¹¹"), =HYPERLINK("CSG2.html#group23A2", "23A²"), =HYPERLINK("CSG0.html#group2B0", "2B⁰"), =HYPERLINK("CSG1.html#group8A1", "8A¹"), =HYPERLINK("CSG5.html#group46A5", "46A⁵"), =HYPERLINK("CSG0.html#group1A0", "1A⁰"), =HYPERLINK("CSG0.html#group4C0", "4C⁰")</f>
        <v/>
      </c>
      <c r="N7781" t="inlineStr"/>
    </row>
    <row r="7782">
      <c r="A7782" t="inlineStr">
        <is>
          <t>186A²³</t>
        </is>
      </c>
      <c r="B7782" t="inlineStr"/>
      <c r="C7782" t="inlineStr">
        <is>
          <t>288</t>
        </is>
      </c>
      <c r="D7782" t="inlineStr">
        <is>
          <t>1</t>
        </is>
      </c>
      <c r="E7782" t="inlineStr">
        <is>
          <t>96</t>
        </is>
      </c>
      <c r="F7782" t="inlineStr">
        <is>
          <t>0</t>
        </is>
      </c>
      <c r="G7782" t="inlineStr">
        <is>
          <t>0</t>
        </is>
      </c>
      <c r="H7782" t="inlineStr">
        <is>
          <t>3¹, 6¹, 93¹, 186¹</t>
        </is>
      </c>
      <c r="I7782" t="n">
        <v>4</v>
      </c>
      <c r="J7782" t="inlineStr">
        <is>
          <t>1⁶, 30³</t>
        </is>
      </c>
      <c r="K7782">
        <f>HYPERLINK("CSG0.html#group6D0", "6D⁰"), =HYPERLINK("CSG7.html#group62A7", "62A⁷"), =HYPERLINK("CSG8.html#group93A8", "93A⁸")</f>
        <v/>
      </c>
      <c r="L7782" t="inlineStr"/>
      <c r="M7782">
        <f>HYPERLINK("CSG7.html#group62A7", "62A⁷"), =HYPERLINK("CSG2.html#group31A2", "31A²"), =HYPERLINK("CSG0.html#group2B0", "2B⁰"), =HYPERLINK("CSG8.html#group93A8", "93A⁸"), =HYPERLINK("CSG0.html#group3A0", "3A⁰"), =HYPERLINK("CSG0.html#group1A0", "1A⁰"), =HYPERLINK("CSG0.html#group6D0", "6D⁰")</f>
        <v/>
      </c>
      <c r="N7782" t="inlineStr"/>
    </row>
    <row r="7783">
      <c r="A7783" t="inlineStr">
        <is>
          <t>186B²³</t>
        </is>
      </c>
      <c r="B7783" t="inlineStr"/>
      <c r="C7783" t="inlineStr">
        <is>
          <t>288</t>
        </is>
      </c>
      <c r="D7783" t="inlineStr">
        <is>
          <t>2</t>
        </is>
      </c>
      <c r="E7783" t="inlineStr">
        <is>
          <t>96</t>
        </is>
      </c>
      <c r="F7783" t="inlineStr">
        <is>
          <t>0</t>
        </is>
      </c>
      <c r="G7783" t="inlineStr">
        <is>
          <t>0</t>
        </is>
      </c>
      <c r="H7783" t="inlineStr">
        <is>
          <t>3¹, 6¹, 93¹, 186¹</t>
        </is>
      </c>
      <c r="I7783" t="n">
        <v>4</v>
      </c>
      <c r="J7783" t="inlineStr">
        <is>
          <t>2⁶, 60³</t>
        </is>
      </c>
      <c r="K7783">
        <f>HYPERLINK("CSG7.html#group62A7", "62A⁷"), =HYPERLINK("CSG7.html#group93A7", "93A⁷")</f>
        <v/>
      </c>
      <c r="L7783" t="inlineStr"/>
      <c r="M7783">
        <f>HYPERLINK("CSG7.html#group93A7", "93A⁷"), =HYPERLINK("CSG2.html#group31A2", "31A²"), =HYPERLINK("CSG0.html#group2B0", "2B⁰"), =HYPERLINK("CSG0.html#group1A0", "1A⁰"), =HYPERLINK("CSG7.html#group62A7", "62A⁷")</f>
        <v/>
      </c>
      <c r="N7783" t="inlineStr"/>
    </row>
    <row r="7784">
      <c r="A7784" t="inlineStr">
        <is>
          <t>188A²³</t>
        </is>
      </c>
      <c r="B7784" t="inlineStr"/>
      <c r="C7784" t="inlineStr">
        <is>
          <t>288</t>
        </is>
      </c>
      <c r="D7784" t="inlineStr">
        <is>
          <t>1</t>
        </is>
      </c>
      <c r="E7784" t="inlineStr">
        <is>
          <t>144</t>
        </is>
      </c>
      <c r="F7784" t="inlineStr">
        <is>
          <t>0</t>
        </is>
      </c>
      <c r="G7784" t="inlineStr">
        <is>
          <t>0</t>
        </is>
      </c>
      <c r="H7784" t="inlineStr">
        <is>
          <t>2¹, 4¹, 94¹, 188¹</t>
        </is>
      </c>
      <c r="I7784" t="n">
        <v>4</v>
      </c>
      <c r="J7784" t="inlineStr">
        <is>
          <t>1⁶, 46³</t>
        </is>
      </c>
      <c r="K7784">
        <f>HYPERLINK("CSG0.html#group4C0", "4C⁰"), =HYPERLINK("CSG11.html#group94A11", "94A¹¹")</f>
        <v/>
      </c>
      <c r="L7784" t="inlineStr"/>
      <c r="M7784">
        <f>HYPERLINK("CSG4.html#group47A4", "47A⁴"), =HYPERLINK("CSG11.html#group94A11", "94A¹¹"), =HYPERLINK("CSG0.html#group2B0", "2B⁰"), =HYPERLINK("CSG0.html#group1A0", "1A⁰"), =HYPERLINK("CSG0.html#group4C0", "4C⁰")</f>
        <v/>
      </c>
      <c r="N7784" t="inlineStr"/>
    </row>
    <row r="7785">
      <c r="A7785" t="inlineStr">
        <is>
          <t>189A²³</t>
        </is>
      </c>
      <c r="B7785" t="inlineStr"/>
      <c r="C7785" t="inlineStr">
        <is>
          <t>288</t>
        </is>
      </c>
      <c r="D7785" t="inlineStr">
        <is>
          <t>1</t>
        </is>
      </c>
      <c r="E7785" t="inlineStr">
        <is>
          <t>96</t>
        </is>
      </c>
      <c r="F7785" t="inlineStr">
        <is>
          <t>0</t>
        </is>
      </c>
      <c r="G7785" t="inlineStr">
        <is>
          <t>0</t>
        </is>
      </c>
      <c r="H7785" t="inlineStr">
        <is>
          <t>9¹, 27¹, 63¹, 189¹</t>
        </is>
      </c>
      <c r="I7785" t="n">
        <v>4</v>
      </c>
      <c r="J7785" t="inlineStr">
        <is>
          <t>1⁴, 2⁴, 6⁴, 12², 36¹</t>
        </is>
      </c>
      <c r="K7785">
        <f>HYPERLINK("CSG3.html#group27A3", "27A³"), =HYPERLINK("CSG5.html#group63B5", "63B⁵")</f>
        <v/>
      </c>
      <c r="L7785" t="inlineStr"/>
      <c r="M7785">
        <f>HYPERLINK("CSG0.html#group3B0", "3B⁰"), =HYPERLINK("CSG5.html#group63B5", "63B⁵"), =HYPERLINK("CSG1.html#group21B1", "21B¹"), =HYPERLINK("CSG0.html#group9C0", "9C⁰"), =HYPERLINK("CSG0.html#group1A0", "1A⁰"), =HYPERLINK("CSG0.html#group7B0", "7B⁰"), =HYPERLINK("CSG3.html#group27A3", "27A³")</f>
        <v/>
      </c>
      <c r="N7785" t="inlineStr"/>
    </row>
    <row r="7786">
      <c r="A7786" t="inlineStr">
        <is>
          <t>192A²³</t>
        </is>
      </c>
      <c r="B7786" t="inlineStr"/>
      <c r="C7786" t="inlineStr">
        <is>
          <t>288</t>
        </is>
      </c>
      <c r="D7786" t="inlineStr">
        <is>
          <t>1</t>
        </is>
      </c>
      <c r="E7786" t="inlineStr">
        <is>
          <t>12</t>
        </is>
      </c>
      <c r="F7786" t="inlineStr">
        <is>
          <t>0</t>
        </is>
      </c>
      <c r="G7786" t="inlineStr">
        <is>
          <t>0</t>
        </is>
      </c>
      <c r="H7786" t="inlineStr">
        <is>
          <t>24², 48¹, 192¹</t>
        </is>
      </c>
      <c r="I7786" t="n">
        <v>4</v>
      </c>
      <c r="J7786" t="inlineStr">
        <is>
          <t>1⁴, 2², 4¹</t>
        </is>
      </c>
      <c r="K7786">
        <f>HYPERLINK("CSG7.html#group64A7", "64A⁷"), =HYPERLINK("CSG11.html#group96C11", "96C¹¹")</f>
        <v/>
      </c>
      <c r="L7786" t="inlineStr"/>
      <c r="M7786">
        <f>HYPERLINK("CSG5.html#group48A5", "48A⁵"), =HYPERLINK("CSG11.html#group96C11", "96C¹¹"), =HYPERLINK("CSG1.html#group16A1", "16A¹"), =HYPERLINK("CSG0.html#group8C0", "8C⁰"), =HYPERLINK("CSG0.html#group2B0", "2B⁰"), =HYPERLINK("CSG0.html#group4B0", "4B⁰"), =HYPERLINK("CSG0.html#group1A0", "1A⁰"), =HYPERLINK("CSG3.html#group32C3", "32C³"), =HYPERLINK("CSG2.html#group24B2", "24B²"), =HYPERLINK("CSG1.html#group12B1", "12B¹"), =HYPERLINK("CSG0.html#group3A0", "3A⁰"), =HYPERLINK("CSG7.html#group64A7", "64A⁷"), =HYPERLINK("CSG0.html#group6D0", "6D⁰")</f>
        <v/>
      </c>
      <c r="N7786" t="inlineStr"/>
    </row>
    <row r="7787">
      <c r="A7787" t="inlineStr">
        <is>
          <t>192B²³</t>
        </is>
      </c>
      <c r="B7787" t="inlineStr"/>
      <c r="C7787" t="inlineStr">
        <is>
          <t>288</t>
        </is>
      </c>
      <c r="D7787" t="inlineStr">
        <is>
          <t>1</t>
        </is>
      </c>
      <c r="E7787" t="inlineStr">
        <is>
          <t>12</t>
        </is>
      </c>
      <c r="F7787" t="inlineStr">
        <is>
          <t>0</t>
        </is>
      </c>
      <c r="G7787" t="inlineStr">
        <is>
          <t>0</t>
        </is>
      </c>
      <c r="H7787" t="inlineStr">
        <is>
          <t>24², 48¹, 192¹</t>
        </is>
      </c>
      <c r="I7787" t="n">
        <v>4</v>
      </c>
      <c r="J7787" t="inlineStr">
        <is>
          <t>1⁴, 2², 4¹</t>
        </is>
      </c>
      <c r="K7787">
        <f>HYPERLINK("CSG7.html#group64B7", "64B⁷"), =HYPERLINK("CSG11.html#group96C11", "96C¹¹")</f>
        <v/>
      </c>
      <c r="L7787" t="inlineStr"/>
      <c r="M7787">
        <f>HYPERLINK("CSG5.html#group48A5", "48A⁵"), =HYPERLINK("CSG11.html#group96C11", "96C¹¹"), =HYPERLINK("CSG0.html#group3A0", "3A⁰"), =HYPERLINK("CSG1.html#group16A1", "16A¹"), =HYPERLINK("CSG0.html#group8C0", "8C⁰"), =HYPERLINK("CSG0.html#group2B0", "2B⁰"), =HYPERLINK("CSG0.html#group4B0", "4B⁰"), =HYPERLINK("CSG0.html#group1A0", "1A⁰"), =HYPERLINK("CSG3.html#group32C3", "32C³"), =HYPERLINK("CSG2.html#group24B2", "24B²"), =HYPERLINK("CSG1.html#group12B1", "12B¹"), =HYPERLINK("CSG7.html#group64B7", "64B⁷"), =HYPERLINK("CSG0.html#group6D0", "6D⁰")</f>
        <v/>
      </c>
      <c r="N7787" t="inlineStr"/>
    </row>
    <row r="7788">
      <c r="A7788" t="inlineStr">
        <is>
          <t>192C²³</t>
        </is>
      </c>
      <c r="B7788" t="inlineStr"/>
      <c r="C7788" t="inlineStr">
        <is>
          <t>288</t>
        </is>
      </c>
      <c r="D7788" t="inlineStr">
        <is>
          <t>1</t>
        </is>
      </c>
      <c r="E7788" t="inlineStr">
        <is>
          <t>12</t>
        </is>
      </c>
      <c r="F7788" t="inlineStr">
        <is>
          <t>0</t>
        </is>
      </c>
      <c r="G7788" t="inlineStr">
        <is>
          <t>0</t>
        </is>
      </c>
      <c r="H7788" t="inlineStr">
        <is>
          <t>24², 48¹, 192¹</t>
        </is>
      </c>
      <c r="I7788" t="n">
        <v>4</v>
      </c>
      <c r="J7788" t="inlineStr">
        <is>
          <t>1⁴, 2², 4¹</t>
        </is>
      </c>
      <c r="K7788">
        <f>HYPERLINK("CSG7.html#group64C7", "64C⁷"), =HYPERLINK("CSG11.html#group96C11", "96C¹¹")</f>
        <v/>
      </c>
      <c r="L7788" t="inlineStr"/>
      <c r="M7788">
        <f>HYPERLINK("CSG5.html#group48A5", "48A⁵"), =HYPERLINK("CSG11.html#group96C11", "96C¹¹"), =HYPERLINK("CSG2.html#group24B2", "24B²"), =HYPERLINK("CSG0.html#group4B0", "4B⁰"), =HYPERLINK("CSG7.html#group64C7", "64C⁷"), =HYPERLINK("CSG1.html#group16A1", "16A¹"), =HYPERLINK("CSG0.html#group8C0", "8C⁰"), =HYPERLINK("CSG1.html#group12B1", "12B¹"), =HYPERLINK("CSG0.html#group2B0", "2B⁰"), =HYPERLINK("CSG0.html#group3A0", "3A⁰"), =HYPERLINK("CSG0.html#group1A0", "1A⁰"), =HYPERLINK("CSG3.html#group32C3", "32C³"), =HYPERLINK("CSG0.html#group6D0", "6D⁰")</f>
        <v/>
      </c>
      <c r="N7788" t="inlineStr"/>
    </row>
    <row r="7789">
      <c r="A7789" t="inlineStr">
        <is>
          <t>192D²³</t>
        </is>
      </c>
      <c r="B7789" t="inlineStr"/>
      <c r="C7789" t="inlineStr">
        <is>
          <t>288</t>
        </is>
      </c>
      <c r="D7789" t="inlineStr">
        <is>
          <t>1</t>
        </is>
      </c>
      <c r="E7789" t="inlineStr">
        <is>
          <t>12</t>
        </is>
      </c>
      <c r="F7789" t="inlineStr">
        <is>
          <t>0</t>
        </is>
      </c>
      <c r="G7789" t="inlineStr">
        <is>
          <t>0</t>
        </is>
      </c>
      <c r="H7789" t="inlineStr">
        <is>
          <t>24², 48¹, 192¹</t>
        </is>
      </c>
      <c r="I7789" t="n">
        <v>4</v>
      </c>
      <c r="J7789" t="inlineStr">
        <is>
          <t>1⁴, 2², 4¹</t>
        </is>
      </c>
      <c r="K7789">
        <f>HYPERLINK("CSG7.html#group64D7", "64D⁷"), =HYPERLINK("CSG11.html#group96C11", "96C¹¹")</f>
        <v/>
      </c>
      <c r="L7789" t="inlineStr"/>
      <c r="M7789">
        <f>HYPERLINK("CSG5.html#group48A5", "48A⁵"), =HYPERLINK("CSG11.html#group96C11", "96C¹¹"), =HYPERLINK("CSG1.html#group16A1", "16A¹"), =HYPERLINK("CSG0.html#group8C0", "8C⁰"), =HYPERLINK("CSG0.html#group2B0", "2B⁰"), =HYPERLINK("CSG0.html#group4B0", "4B⁰"), =HYPERLINK("CSG0.html#group1A0", "1A⁰"), =HYPERLINK("CSG3.html#group32C3", "32C³"), =HYPERLINK("CSG2.html#group24B2", "24B²"), =HYPERLINK("CSG7.html#group64D7", "64D⁷"), =HYPERLINK("CSG1.html#group12B1", "12B¹"), =HYPERLINK("CSG0.html#group3A0", "3A⁰"), =HYPERLINK("CSG0.html#group6D0", "6D⁰")</f>
        <v/>
      </c>
      <c r="N7789" t="inlineStr"/>
    </row>
    <row r="7790">
      <c r="A7790" t="inlineStr">
        <is>
          <t>192E²³</t>
        </is>
      </c>
      <c r="B7790" t="inlineStr"/>
      <c r="C7790" t="inlineStr">
        <is>
          <t>288</t>
        </is>
      </c>
      <c r="D7790" t="inlineStr">
        <is>
          <t>1</t>
        </is>
      </c>
      <c r="E7790" t="inlineStr">
        <is>
          <t>24</t>
        </is>
      </c>
      <c r="F7790" t="inlineStr">
        <is>
          <t>0</t>
        </is>
      </c>
      <c r="G7790" t="inlineStr">
        <is>
          <t>0</t>
        </is>
      </c>
      <c r="H7790" t="inlineStr">
        <is>
          <t>24², 48¹, 192¹</t>
        </is>
      </c>
      <c r="I7790" t="n">
        <v>4</v>
      </c>
      <c r="J7790" t="inlineStr">
        <is>
          <t>2⁸, 8¹</t>
        </is>
      </c>
      <c r="K7790">
        <f>HYPERLINK("CSG7.html#group64E7", "64E⁷"), =HYPERLINK("CSG11.html#group96A11", "96A¹¹")</f>
        <v/>
      </c>
      <c r="L7790" t="inlineStr"/>
      <c r="M7790">
        <f>HYPERLINK("CSG5.html#group48A5", "48A⁵"), =HYPERLINK("CSG2.html#group24B2", "24B²"), =HYPERLINK("CSG0.html#group4B0", "4B⁰"), =HYPERLINK("CSG11.html#group96A11", "96A¹¹"), =HYPERLINK("CSG0.html#group6D0", "6D⁰"), =HYPERLINK("CSG3.html#group32A3", "32A³"), =HYPERLINK("CSG1.html#group16A1", "16A¹"), =HYPERLINK("CSG0.html#group8C0", "8C⁰"), =HYPERLINK("CSG1.html#group12B1", "12B¹"), =HYPERLINK("CSG0.html#group2B0", "2B⁰"), =HYPERLINK("CSG0.html#group3A0", "3A⁰"), =HYPERLINK("CSG0.html#group1A0", "1A⁰"), =HYPERLINK("CSG7.html#group64E7", "64E⁷")</f>
        <v/>
      </c>
      <c r="N7790" t="inlineStr"/>
    </row>
    <row r="7791">
      <c r="A7791" t="inlineStr">
        <is>
          <t>192F²³</t>
        </is>
      </c>
      <c r="B7791" t="inlineStr"/>
      <c r="C7791" t="inlineStr">
        <is>
          <t>288</t>
        </is>
      </c>
      <c r="D7791" t="inlineStr">
        <is>
          <t>1</t>
        </is>
      </c>
      <c r="E7791" t="inlineStr">
        <is>
          <t>24</t>
        </is>
      </c>
      <c r="F7791" t="inlineStr">
        <is>
          <t>0</t>
        </is>
      </c>
      <c r="G7791" t="inlineStr">
        <is>
          <t>0</t>
        </is>
      </c>
      <c r="H7791" t="inlineStr">
        <is>
          <t>24², 48¹, 192¹</t>
        </is>
      </c>
      <c r="I7791" t="n">
        <v>4</v>
      </c>
      <c r="J7791" t="inlineStr">
        <is>
          <t>2⁸, 8¹</t>
        </is>
      </c>
      <c r="K7791">
        <f>HYPERLINK("CSG7.html#group64F7", "64F⁷"), =HYPERLINK("CSG11.html#group96B11", "96B¹¹")</f>
        <v/>
      </c>
      <c r="L7791" t="inlineStr"/>
      <c r="M7791">
        <f>HYPERLINK("CSG5.html#group48A5", "48A⁵"), =HYPERLINK("CSG2.html#group24B2", "24B²"), =HYPERLINK("CSG0.html#group4B0", "4B⁰"), =HYPERLINK("CSG11.html#group96B11", "96B¹¹"), =HYPERLINK("CSG1.html#group16A1", "16A¹"), =HYPERLINK("CSG0.html#group8C0", "8C⁰"), =HYPERLINK("CSG1.html#group12B1", "12B¹"), =HYPERLINK("CSG0.html#group2B0", "2B⁰"), =HYPERLINK("CSG3.html#group32B3", "32B³"), =HYPERLINK("CSG0.html#group3A0", "3A⁰"), =HYPERLINK("CSG0.html#group1A0", "1A⁰"), =HYPERLINK("CSG0.html#group6D0", "6D⁰"), =HYPERLINK("CSG7.html#group64F7", "64F⁷")</f>
        <v/>
      </c>
      <c r="N7791" t="inlineStr"/>
    </row>
    <row r="7792">
      <c r="A7792" t="inlineStr">
        <is>
          <t>192G²³</t>
        </is>
      </c>
      <c r="B7792" t="inlineStr"/>
      <c r="C7792" t="inlineStr">
        <is>
          <t>288</t>
        </is>
      </c>
      <c r="D7792" t="inlineStr">
        <is>
          <t>1</t>
        </is>
      </c>
      <c r="E7792" t="inlineStr">
        <is>
          <t>36</t>
        </is>
      </c>
      <c r="F7792" t="inlineStr">
        <is>
          <t>0</t>
        </is>
      </c>
      <c r="G7792" t="inlineStr">
        <is>
          <t>0</t>
        </is>
      </c>
      <c r="H7792" t="inlineStr">
        <is>
          <t>24², 48¹, 192¹</t>
        </is>
      </c>
      <c r="I7792" t="n">
        <v>4</v>
      </c>
      <c r="J7792" t="inlineStr">
        <is>
          <t>1⁴, 2⁶, 4³, 8¹</t>
        </is>
      </c>
      <c r="K7792">
        <f>HYPERLINK("CSG11.html#group96C11", "96C¹¹")</f>
        <v/>
      </c>
      <c r="L7792" t="inlineStr"/>
      <c r="M7792">
        <f>HYPERLINK("CSG5.html#group48A5", "48A⁵"), =HYPERLINK("CSG11.html#group96C11", "96C¹¹"), =HYPERLINK("CSG2.html#group24B2", "24B²"), =HYPERLINK("CSG0.html#group4B0", "4B⁰"), =HYPERLINK("CSG1.html#group16A1", "16A¹"), =HYPERLINK("CSG0.html#group8C0", "8C⁰"), =HYPERLINK("CSG1.html#group12B1", "12B¹"), =HYPERLINK("CSG0.html#group2B0", "2B⁰"), =HYPERLINK("CSG0.html#group3A0", "3A⁰"), =HYPERLINK("CSG0.html#group1A0", "1A⁰"), =HYPERLINK("CSG3.html#group32C3", "32C³"), =HYPERLINK("CSG0.html#group6D0", "6D⁰")</f>
        <v/>
      </c>
      <c r="N7792" t="inlineStr"/>
    </row>
    <row r="7793">
      <c r="A7793" t="inlineStr">
        <is>
          <t>192H²³</t>
        </is>
      </c>
      <c r="B7793" t="inlineStr"/>
      <c r="C7793" t="inlineStr">
        <is>
          <t>288</t>
        </is>
      </c>
      <c r="D7793" t="inlineStr">
        <is>
          <t>1</t>
        </is>
      </c>
      <c r="E7793" t="inlineStr">
        <is>
          <t>36</t>
        </is>
      </c>
      <c r="F7793" t="inlineStr">
        <is>
          <t>0</t>
        </is>
      </c>
      <c r="G7793" t="inlineStr">
        <is>
          <t>0</t>
        </is>
      </c>
      <c r="H7793" t="inlineStr">
        <is>
          <t>24², 48¹, 192¹</t>
        </is>
      </c>
      <c r="I7793" t="n">
        <v>4</v>
      </c>
      <c r="J7793" t="inlineStr">
        <is>
          <t>1⁴, 2⁶, 4³, 8¹</t>
        </is>
      </c>
      <c r="K7793">
        <f>HYPERLINK("CSG11.html#group96C11", "96C¹¹")</f>
        <v/>
      </c>
      <c r="L7793" t="inlineStr"/>
      <c r="M7793">
        <f>HYPERLINK("CSG5.html#group48A5", "48A⁵"), =HYPERLINK("CSG11.html#group96C11", "96C¹¹"), =HYPERLINK("CSG2.html#group24B2", "24B²"), =HYPERLINK("CSG0.html#group4B0", "4B⁰"), =HYPERLINK("CSG1.html#group16A1", "16A¹"), =HYPERLINK("CSG0.html#group8C0", "8C⁰"), =HYPERLINK("CSG1.html#group12B1", "12B¹"), =HYPERLINK("CSG0.html#group2B0", "2B⁰"), =HYPERLINK("CSG0.html#group3A0", "3A⁰"), =HYPERLINK("CSG0.html#group1A0", "1A⁰"), =HYPERLINK("CSG3.html#group32C3", "32C³"), =HYPERLINK("CSG0.html#group6D0", "6D⁰")</f>
        <v/>
      </c>
      <c r="N7793" t="inlineStr"/>
    </row>
    <row r="7794">
      <c r="A7794" t="inlineStr">
        <is>
          <t>192I²³</t>
        </is>
      </c>
      <c r="B7794" t="inlineStr"/>
      <c r="C7794" t="inlineStr">
        <is>
          <t>288</t>
        </is>
      </c>
      <c r="D7794" t="inlineStr">
        <is>
          <t>1</t>
        </is>
      </c>
      <c r="E7794" t="inlineStr">
        <is>
          <t>36</t>
        </is>
      </c>
      <c r="F7794" t="inlineStr">
        <is>
          <t>0</t>
        </is>
      </c>
      <c r="G7794" t="inlineStr">
        <is>
          <t>0</t>
        </is>
      </c>
      <c r="H7794" t="inlineStr">
        <is>
          <t>24², 48¹, 192¹</t>
        </is>
      </c>
      <c r="I7794" t="n">
        <v>4</v>
      </c>
      <c r="J7794" t="inlineStr">
        <is>
          <t>1⁴, 2⁶, 4³, 8¹</t>
        </is>
      </c>
      <c r="K7794">
        <f>HYPERLINK("CSG11.html#group96C11", "96C¹¹")</f>
        <v/>
      </c>
      <c r="L7794" t="inlineStr"/>
      <c r="M7794">
        <f>HYPERLINK("CSG5.html#group48A5", "48A⁵"), =HYPERLINK("CSG11.html#group96C11", "96C¹¹"), =HYPERLINK("CSG2.html#group24B2", "24B²"), =HYPERLINK("CSG0.html#group4B0", "4B⁰"), =HYPERLINK("CSG1.html#group16A1", "16A¹"), =HYPERLINK("CSG0.html#group8C0", "8C⁰"), =HYPERLINK("CSG1.html#group12B1", "12B¹"), =HYPERLINK("CSG0.html#group2B0", "2B⁰"), =HYPERLINK("CSG0.html#group3A0", "3A⁰"), =HYPERLINK("CSG0.html#group1A0", "1A⁰"), =HYPERLINK("CSG3.html#group32C3", "32C³"), =HYPERLINK("CSG0.html#group6D0", "6D⁰")</f>
        <v/>
      </c>
      <c r="N7794" t="inlineStr"/>
    </row>
    <row r="7795">
      <c r="A7795" t="inlineStr">
        <is>
          <t>192J²³</t>
        </is>
      </c>
      <c r="B7795" t="inlineStr"/>
      <c r="C7795" t="inlineStr">
        <is>
          <t>288</t>
        </is>
      </c>
      <c r="D7795" t="inlineStr">
        <is>
          <t>1</t>
        </is>
      </c>
      <c r="E7795" t="inlineStr">
        <is>
          <t>36</t>
        </is>
      </c>
      <c r="F7795" t="inlineStr">
        <is>
          <t>0</t>
        </is>
      </c>
      <c r="G7795" t="inlineStr">
        <is>
          <t>0</t>
        </is>
      </c>
      <c r="H7795" t="inlineStr">
        <is>
          <t>24², 48¹, 192¹</t>
        </is>
      </c>
      <c r="I7795" t="n">
        <v>4</v>
      </c>
      <c r="J7795" t="inlineStr">
        <is>
          <t>1⁴, 2⁶, 4³, 8¹</t>
        </is>
      </c>
      <c r="K7795">
        <f>HYPERLINK("CSG11.html#group96C11", "96C¹¹")</f>
        <v/>
      </c>
      <c r="L7795" t="inlineStr"/>
      <c r="M7795">
        <f>HYPERLINK("CSG5.html#group48A5", "48A⁵"), =HYPERLINK("CSG11.html#group96C11", "96C¹¹"), =HYPERLINK("CSG2.html#group24B2", "24B²"), =HYPERLINK("CSG0.html#group4B0", "4B⁰"), =HYPERLINK("CSG1.html#group16A1", "16A¹"), =HYPERLINK("CSG0.html#group8C0", "8C⁰"), =HYPERLINK("CSG1.html#group12B1", "12B¹"), =HYPERLINK("CSG0.html#group2B0", "2B⁰"), =HYPERLINK("CSG0.html#group3A0", "3A⁰"), =HYPERLINK("CSG0.html#group1A0", "1A⁰"), =HYPERLINK("CSG3.html#group32C3", "32C³"), =HYPERLINK("CSG0.html#group6D0", "6D⁰")</f>
        <v/>
      </c>
      <c r="N7795" t="inlineStr"/>
    </row>
    <row r="7796">
      <c r="A7796" t="inlineStr">
        <is>
          <t>192K²³</t>
        </is>
      </c>
      <c r="B7796" t="inlineStr"/>
      <c r="C7796" t="inlineStr">
        <is>
          <t>288</t>
        </is>
      </c>
      <c r="D7796" t="inlineStr">
        <is>
          <t>1</t>
        </is>
      </c>
      <c r="E7796" t="inlineStr">
        <is>
          <t>72</t>
        </is>
      </c>
      <c r="F7796" t="inlineStr">
        <is>
          <t>0</t>
        </is>
      </c>
      <c r="G7796" t="inlineStr">
        <is>
          <t>0</t>
        </is>
      </c>
      <c r="H7796" t="inlineStr">
        <is>
          <t>24², 48¹, 192¹</t>
        </is>
      </c>
      <c r="I7796" t="n">
        <v>4</v>
      </c>
      <c r="J7796" t="inlineStr">
        <is>
          <t>2⁸, 4⁸, 8¹, 16¹</t>
        </is>
      </c>
      <c r="K7796">
        <f>HYPERLINK("CSG11.html#group96A11", "96A¹¹")</f>
        <v/>
      </c>
      <c r="L7796" t="inlineStr"/>
      <c r="M7796">
        <f>HYPERLINK("CSG5.html#group48A5", "48A⁵"), =HYPERLINK("CSG2.html#group24B2", "24B²"), =HYPERLINK("CSG0.html#group4B0", "4B⁰"), =HYPERLINK("CSG11.html#group96A11", "96A¹¹"), =HYPERLINK("CSG3.html#group32A3", "32A³"), =HYPERLINK("CSG1.html#group16A1", "16A¹"), =HYPERLINK("CSG0.html#group8C0", "8C⁰"), =HYPERLINK("CSG1.html#group12B1", "12B¹"), =HYPERLINK("CSG0.html#group2B0", "2B⁰"), =HYPERLINK("CSG0.html#group3A0", "3A⁰"), =HYPERLINK("CSG0.html#group1A0", "1A⁰"), =HYPERLINK("CSG0.html#group6D0", "6D⁰")</f>
        <v/>
      </c>
      <c r="N7796" t="inlineStr"/>
    </row>
    <row r="7797">
      <c r="A7797" t="inlineStr">
        <is>
          <t>192L²³</t>
        </is>
      </c>
      <c r="B7797" t="inlineStr"/>
      <c r="C7797" t="inlineStr">
        <is>
          <t>288</t>
        </is>
      </c>
      <c r="D7797" t="inlineStr">
        <is>
          <t>1</t>
        </is>
      </c>
      <c r="E7797" t="inlineStr">
        <is>
          <t>72</t>
        </is>
      </c>
      <c r="F7797" t="inlineStr">
        <is>
          <t>0</t>
        </is>
      </c>
      <c r="G7797" t="inlineStr">
        <is>
          <t>0</t>
        </is>
      </c>
      <c r="H7797" t="inlineStr">
        <is>
          <t>24², 48¹, 192¹</t>
        </is>
      </c>
      <c r="I7797" t="n">
        <v>4</v>
      </c>
      <c r="J7797" t="inlineStr">
        <is>
          <t>2⁸, 4⁸, 8¹, 16¹</t>
        </is>
      </c>
      <c r="K7797">
        <f>HYPERLINK("CSG11.html#group96B11", "96B¹¹")</f>
        <v/>
      </c>
      <c r="L7797" t="inlineStr"/>
      <c r="M7797">
        <f>HYPERLINK("CSG5.html#group48A5", "48A⁵"), =HYPERLINK("CSG2.html#group24B2", "24B²"), =HYPERLINK("CSG0.html#group4B0", "4B⁰"), =HYPERLINK("CSG11.html#group96B11", "96B¹¹"), =HYPERLINK("CSG1.html#group16A1", "16A¹"), =HYPERLINK("CSG0.html#group8C0", "8C⁰"), =HYPERLINK("CSG1.html#group12B1", "12B¹"), =HYPERLINK("CSG0.html#group2B0", "2B⁰"), =HYPERLINK("CSG0.html#group3A0", "3A⁰"), =HYPERLINK("CSG0.html#group1A0", "1A⁰"), =HYPERLINK("CSG0.html#group6D0", "6D⁰"), =HYPERLINK("CSG3.html#group32B3", "32B³")</f>
        <v/>
      </c>
      <c r="N7797" t="inlineStr"/>
    </row>
    <row r="7798">
      <c r="A7798" t="inlineStr">
        <is>
          <t>194A²³</t>
        </is>
      </c>
      <c r="B7798" t="inlineStr">
        <is>
          <t>Γ₀(194)</t>
        </is>
      </c>
      <c r="C7798" t="inlineStr">
        <is>
          <t>294</t>
        </is>
      </c>
      <c r="D7798" t="inlineStr">
        <is>
          <t>1</t>
        </is>
      </c>
      <c r="E7798" t="inlineStr">
        <is>
          <t>294</t>
        </is>
      </c>
      <c r="F7798" t="inlineStr">
        <is>
          <t>2</t>
        </is>
      </c>
      <c r="G7798" t="inlineStr">
        <is>
          <t>0</t>
        </is>
      </c>
      <c r="H7798" t="inlineStr">
        <is>
          <t>1¹, 2¹, 97¹, 194¹</t>
        </is>
      </c>
      <c r="I7798" t="n">
        <v>4</v>
      </c>
      <c r="J7798" t="inlineStr">
        <is>
          <t>1⁶, 96³</t>
        </is>
      </c>
      <c r="K7798">
        <f>HYPERLINK("CSG0.html#group2B0", "2B⁰"), =HYPERLINK("CSG7.html#group97A7", "97A⁷")</f>
        <v/>
      </c>
      <c r="L7798" t="inlineStr"/>
      <c r="M7798">
        <f>HYPERLINK("CSG0.html#group1A0", "1A⁰"), =HYPERLINK("CSG0.html#group2B0", "2B⁰"), =HYPERLINK("CSG7.html#group97A7", "97A⁷")</f>
        <v/>
      </c>
      <c r="N7798" t="inlineStr"/>
    </row>
    <row r="7799">
      <c r="A7799" t="inlineStr">
        <is>
          <t>198A²³</t>
        </is>
      </c>
      <c r="B7799" t="inlineStr"/>
      <c r="C7799" t="inlineStr">
        <is>
          <t>288</t>
        </is>
      </c>
      <c r="D7799" t="inlineStr">
        <is>
          <t>1</t>
        </is>
      </c>
      <c r="E7799" t="inlineStr">
        <is>
          <t>48</t>
        </is>
      </c>
      <c r="F7799" t="inlineStr">
        <is>
          <t>0</t>
        </is>
      </c>
      <c r="G7799" t="inlineStr">
        <is>
          <t>0</t>
        </is>
      </c>
      <c r="H7799" t="inlineStr">
        <is>
          <t>6¹, 18¹, 66¹, 198¹</t>
        </is>
      </c>
      <c r="I7799" t="n">
        <v>4</v>
      </c>
      <c r="J7799" t="inlineStr">
        <is>
          <t>1⁴, 2², 10², 20¹</t>
        </is>
      </c>
      <c r="K7799">
        <f>HYPERLINK("CSG7.html#group66A7", "66A⁷"), =HYPERLINK("CSG11.html#group99B11", "99B¹¹")</f>
        <v/>
      </c>
      <c r="L7799" t="inlineStr"/>
      <c r="M7799">
        <f>HYPERLINK("CSG0.html#group3B0", "3B⁰"), =HYPERLINK("CSG1.html#group11A1", "11A¹"), =HYPERLINK("CSG11.html#group99B11", "99B¹¹"), =HYPERLINK("CSG0.html#group9C0", "9C⁰"), =HYPERLINK("CSG0.html#group1A0", "1A⁰"), =HYPERLINK("CSG7.html#group66A7", "66A⁷"), =HYPERLINK("CSG3.html#group33C3", "33C³")</f>
        <v/>
      </c>
      <c r="N7799" t="inlineStr"/>
    </row>
    <row r="7800">
      <c r="A7800" t="inlineStr">
        <is>
          <t>198B²³</t>
        </is>
      </c>
      <c r="B7800" t="inlineStr"/>
      <c r="C7800" t="inlineStr">
        <is>
          <t>288</t>
        </is>
      </c>
      <c r="D7800" t="inlineStr">
        <is>
          <t>1</t>
        </is>
      </c>
      <c r="E7800" t="inlineStr">
        <is>
          <t>48</t>
        </is>
      </c>
      <c r="F7800" t="inlineStr">
        <is>
          <t>0</t>
        </is>
      </c>
      <c r="G7800" t="inlineStr">
        <is>
          <t>0</t>
        </is>
      </c>
      <c r="H7800" t="inlineStr">
        <is>
          <t>6¹, 18¹, 66¹, 198¹</t>
        </is>
      </c>
      <c r="I7800" t="n">
        <v>4</v>
      </c>
      <c r="J7800" t="inlineStr">
        <is>
          <t>1⁴, 2², 10², 20¹</t>
        </is>
      </c>
      <c r="K7800">
        <f>HYPERLINK("CSG7.html#group66A7", "66A⁷"), =HYPERLINK("CSG11.html#group99C11", "99C¹¹")</f>
        <v/>
      </c>
      <c r="L7800" t="inlineStr"/>
      <c r="M7800">
        <f>HYPERLINK("CSG11.html#group99C11", "99C¹¹"), =HYPERLINK("CSG0.html#group3B0", "3B⁰"), =HYPERLINK("CSG0.html#group1A0", "1A⁰"), =HYPERLINK("CSG1.html#group11A1", "11A¹"), =HYPERLINK("CSG7.html#group66A7", "66A⁷"), =HYPERLINK("CSG1.html#group9A1", "9A¹"), =HYPERLINK("CSG3.html#group33C3", "33C³")</f>
        <v/>
      </c>
      <c r="N7800" t="inlineStr"/>
    </row>
    <row r="7801">
      <c r="A7801" t="inlineStr">
        <is>
          <t>198C²³</t>
        </is>
      </c>
      <c r="B7801" t="inlineStr"/>
      <c r="C7801" t="inlineStr">
        <is>
          <t>288</t>
        </is>
      </c>
      <c r="D7801" t="inlineStr">
        <is>
          <t>1</t>
        </is>
      </c>
      <c r="E7801" t="inlineStr">
        <is>
          <t>48</t>
        </is>
      </c>
      <c r="F7801" t="inlineStr">
        <is>
          <t>0</t>
        </is>
      </c>
      <c r="G7801" t="inlineStr">
        <is>
          <t>0</t>
        </is>
      </c>
      <c r="H7801" t="inlineStr">
        <is>
          <t>6¹, 18¹, 66¹, 198¹</t>
        </is>
      </c>
      <c r="I7801" t="n">
        <v>4</v>
      </c>
      <c r="J7801" t="inlineStr">
        <is>
          <t>1⁴, 2², 10², 20¹</t>
        </is>
      </c>
      <c r="K7801">
        <f>HYPERLINK("CSG0.html#group18B0", "18B⁰"), =HYPERLINK("CSG7.html#group66B7", "66B⁷"), =HYPERLINK("CSG11.html#group99B11", "99B¹¹")</f>
        <v/>
      </c>
      <c r="L7801" t="inlineStr"/>
      <c r="M7801">
        <f>HYPERLINK("CSG0.html#group3B0", "3B⁰"), =HYPERLINK("CSG0.html#group2A0", "2A⁰"), =HYPERLINK("CSG0.html#group18B0", "18B⁰"), =HYPERLINK("CSG1.html#group11A1", "11A¹"), =HYPERLINK("CSG2.html#group22A2", "22A²"), =HYPERLINK("CSG11.html#group99B11", "99B¹¹"), =HYPERLINK("CSG0.html#group6C0", "6C⁰"), =HYPERLINK("CSG0.html#group9C0", "9C⁰"), =HYPERLINK("CSG0.html#group1A0", "1A⁰"), =HYPERLINK("CSG7.html#group66B7", "66B⁷"), =HYPERLINK("CSG3.html#group33C3", "33C³")</f>
        <v/>
      </c>
      <c r="N7801" t="inlineStr"/>
    </row>
    <row r="7802">
      <c r="A7802" t="inlineStr">
        <is>
          <t>198D²³</t>
        </is>
      </c>
      <c r="B7802" t="inlineStr"/>
      <c r="C7802" t="inlineStr">
        <is>
          <t>288</t>
        </is>
      </c>
      <c r="D7802" t="inlineStr">
        <is>
          <t>1</t>
        </is>
      </c>
      <c r="E7802" t="inlineStr">
        <is>
          <t>48</t>
        </is>
      </c>
      <c r="F7802" t="inlineStr">
        <is>
          <t>0</t>
        </is>
      </c>
      <c r="G7802" t="inlineStr">
        <is>
          <t>0</t>
        </is>
      </c>
      <c r="H7802" t="inlineStr">
        <is>
          <t>6¹, 18¹, 66¹, 198¹</t>
        </is>
      </c>
      <c r="I7802" t="n">
        <v>4</v>
      </c>
      <c r="J7802" t="inlineStr">
        <is>
          <t>1⁴, 2², 10², 20¹</t>
        </is>
      </c>
      <c r="K7802">
        <f>HYPERLINK("CSG2.html#group18B2", "18B²"), =HYPERLINK("CSG7.html#group66B7", "66B⁷"), =HYPERLINK("CSG11.html#group99C11", "99C¹¹")</f>
        <v/>
      </c>
      <c r="L7802" t="inlineStr"/>
      <c r="M7802">
        <f>HYPERLINK("CSG0.html#group3B0", "3B⁰"), =HYPERLINK("CSG0.html#group2A0", "2A⁰"), =HYPERLINK("CSG2.html#group18B2", "18B²"), =HYPERLINK("CSG1.html#group11A1", "11A¹"), =HYPERLINK("CSG2.html#group22A2", "22A²"), =HYPERLINK("CSG1.html#group9A1", "9A¹"), =HYPERLINK("CSG0.html#group6C0", "6C⁰"), =HYPERLINK("CSG11.html#group99C11", "99C¹¹"), =HYPERLINK("CSG0.html#group1A0", "1A⁰"), =HYPERLINK("CSG7.html#group66B7", "66B⁷"), =HYPERLINK("CSG3.html#group33C3", "33C³")</f>
        <v/>
      </c>
      <c r="N7802" t="inlineStr"/>
    </row>
    <row r="7803">
      <c r="A7803" t="inlineStr">
        <is>
          <t>198E²³</t>
        </is>
      </c>
      <c r="B7803" t="inlineStr"/>
      <c r="C7803" t="inlineStr">
        <is>
          <t>288</t>
        </is>
      </c>
      <c r="D7803" t="inlineStr">
        <is>
          <t>1</t>
        </is>
      </c>
      <c r="E7803" t="inlineStr">
        <is>
          <t>96</t>
        </is>
      </c>
      <c r="F7803" t="inlineStr">
        <is>
          <t>0</t>
        </is>
      </c>
      <c r="G7803" t="inlineStr">
        <is>
          <t>0</t>
        </is>
      </c>
      <c r="H7803" t="inlineStr">
        <is>
          <t>6¹, 18¹, 66¹, 198¹</t>
        </is>
      </c>
      <c r="I7803" t="n">
        <v>4</v>
      </c>
      <c r="J7803" t="inlineStr">
        <is>
          <t>2⁸, 20⁴</t>
        </is>
      </c>
      <c r="K7803">
        <f>HYPERLINK("CSG1.html#group18D1", "18D¹"), =HYPERLINK("CSG7.html#group66B7", "66B⁷")</f>
        <v/>
      </c>
      <c r="L7803" t="inlineStr"/>
      <c r="M7803">
        <f>HYPERLINK("CSG0.html#group2A0", "2A⁰"), =HYPERLINK("CSG0.html#group3B0", "3B⁰"), =HYPERLINK("CSG1.html#group11A1", "11A¹"), =HYPERLINK("CSG2.html#group22A2", "22A²"), =HYPERLINK("CSG0.html#group6C0", "6C⁰"), =HYPERLINK("CSG0.html#group1A0", "1A⁰"), =HYPERLINK("CSG3.html#group33C3", "33C³"), =HYPERLINK("CSG7.html#group66B7", "66B⁷"), =HYPERLINK("CSG1.html#group18D1", "18D¹")</f>
        <v/>
      </c>
      <c r="N7803" t="inlineStr"/>
    </row>
    <row r="7804">
      <c r="A7804" t="inlineStr">
        <is>
          <t>198F²³</t>
        </is>
      </c>
      <c r="B7804" t="inlineStr"/>
      <c r="C7804" t="inlineStr">
        <is>
          <t>288</t>
        </is>
      </c>
      <c r="D7804" t="inlineStr">
        <is>
          <t>1</t>
        </is>
      </c>
      <c r="E7804" t="inlineStr">
        <is>
          <t>96</t>
        </is>
      </c>
      <c r="F7804" t="inlineStr">
        <is>
          <t>0</t>
        </is>
      </c>
      <c r="G7804" t="inlineStr">
        <is>
          <t>0</t>
        </is>
      </c>
      <c r="H7804" t="inlineStr">
        <is>
          <t>6¹, 18¹, 66¹, 198¹</t>
        </is>
      </c>
      <c r="I7804" t="n">
        <v>4</v>
      </c>
      <c r="J7804" t="inlineStr">
        <is>
          <t>2⁸, 20⁴</t>
        </is>
      </c>
      <c r="K7804">
        <f>HYPERLINK("CSG2.html#group18C2", "18C²"), =HYPERLINK("CSG7.html#group66B7", "66B⁷")</f>
        <v/>
      </c>
      <c r="L7804" t="inlineStr"/>
      <c r="M7804">
        <f>HYPERLINK("CSG0.html#group2A0", "2A⁰"), =HYPERLINK("CSG0.html#group3B0", "3B⁰"), =HYPERLINK("CSG1.html#group11A1", "11A¹"), =HYPERLINK("CSG2.html#group22A2", "22A²"), =HYPERLINK("CSG0.html#group6C0", "6C⁰"), =HYPERLINK("CSG0.html#group1A0", "1A⁰"), =HYPERLINK("CSG3.html#group33C3", "33C³"), =HYPERLINK("CSG7.html#group66B7", "66B⁷"), =HYPERLINK("CSG2.html#group18C2", "18C²")</f>
        <v/>
      </c>
      <c r="N7804" t="inlineStr"/>
    </row>
    <row r="7805">
      <c r="A7805" t="inlineStr">
        <is>
          <t>200A²³</t>
        </is>
      </c>
      <c r="B7805" t="inlineStr"/>
      <c r="C7805" t="inlineStr">
        <is>
          <t>360</t>
        </is>
      </c>
      <c r="D7805" t="inlineStr">
        <is>
          <t>1</t>
        </is>
      </c>
      <c r="E7805" t="inlineStr">
        <is>
          <t>90</t>
        </is>
      </c>
      <c r="F7805" t="inlineStr">
        <is>
          <t>8</t>
        </is>
      </c>
      <c r="G7805" t="inlineStr">
        <is>
          <t>0</t>
        </is>
      </c>
      <c r="H7805" t="inlineStr">
        <is>
          <t>4⁵, 8⁵, 100¹, 200¹</t>
        </is>
      </c>
      <c r="I7805" t="n">
        <v>12</v>
      </c>
      <c r="J7805" t="inlineStr">
        <is>
          <t>1⁶, 4⁶, 20³</t>
        </is>
      </c>
      <c r="K7805">
        <f>HYPERLINK("CSG3.html#group40C3", "40C³"), =HYPERLINK("CSG9.html#group100I9", "100I⁹")</f>
        <v/>
      </c>
      <c r="L7805" t="inlineStr"/>
      <c r="M7805">
        <f>HYPERLINK("CSG3.html#group40C3", "40C³"), =HYPERLINK("CSG1.html#group20E1", "20E¹"), =HYPERLINK("CSG9.html#group100I9", "100I⁹"), =HYPERLINK("CSG0.html#group4C0", "4C⁰"), =HYPERLINK("CSG0.html#group5B0", "5B⁰"), =HYPERLINK("CSG0.html#group10C0", "10C⁰"), =HYPERLINK("CSG0.html#group25A0", "25A⁰"), =HYPERLINK("CSG0.html#group2B0", "2B⁰"), =HYPERLINK("CSG2.html#group50B2", "50B²"), =HYPERLINK("CSG0.html#group1A0", "1A⁰")</f>
        <v/>
      </c>
      <c r="N7805" t="inlineStr"/>
    </row>
    <row r="7806">
      <c r="A7806" t="inlineStr">
        <is>
          <t>200B²³</t>
        </is>
      </c>
      <c r="B7806" t="inlineStr"/>
      <c r="C7806" t="inlineStr">
        <is>
          <t>360</t>
        </is>
      </c>
      <c r="D7806" t="inlineStr">
        <is>
          <t>1</t>
        </is>
      </c>
      <c r="E7806" t="inlineStr">
        <is>
          <t>90</t>
        </is>
      </c>
      <c r="F7806" t="inlineStr">
        <is>
          <t>8</t>
        </is>
      </c>
      <c r="G7806" t="inlineStr">
        <is>
          <t>0</t>
        </is>
      </c>
      <c r="H7806" t="inlineStr">
        <is>
          <t>4⁵, 8⁵, 100¹, 200¹</t>
        </is>
      </c>
      <c r="I7806" t="n">
        <v>12</v>
      </c>
      <c r="J7806" t="inlineStr">
        <is>
          <t>1⁶, 4⁶, 20³</t>
        </is>
      </c>
      <c r="K7806">
        <f>HYPERLINK("CSG3.html#group40D3", "40D³"), =HYPERLINK("CSG9.html#group100I9", "100I⁹")</f>
        <v/>
      </c>
      <c r="L7806" t="inlineStr"/>
      <c r="M7806">
        <f>HYPERLINK("CSG1.html#group20E1", "20E¹"), =HYPERLINK("CSG9.html#group100I9", "100I⁹"), =HYPERLINK("CSG0.html#group4C0", "4C⁰"), =HYPERLINK("CSG0.html#group8B0", "8B⁰"), =HYPERLINK("CSG0.html#group5B0", "5B⁰"), =HYPERLINK("CSG0.html#group10C0", "10C⁰"), =HYPERLINK("CSG0.html#group1A0", "1A⁰"), =HYPERLINK("CSG0.html#group2B0", "2B⁰"), =HYPERLINK("CSG0.html#group25A0", "25A⁰"), =HYPERLINK("CSG2.html#group50B2", "50B²"), =HYPERLINK("CSG3.html#group40D3", "40D³")</f>
        <v/>
      </c>
      <c r="N7806" t="inlineStr"/>
    </row>
    <row r="7807">
      <c r="A7807" t="inlineStr">
        <is>
          <t>204A²³</t>
        </is>
      </c>
      <c r="B7807" t="inlineStr"/>
      <c r="C7807" t="inlineStr">
        <is>
          <t>288</t>
        </is>
      </c>
      <c r="D7807" t="inlineStr">
        <is>
          <t>1</t>
        </is>
      </c>
      <c r="E7807" t="inlineStr">
        <is>
          <t>72</t>
        </is>
      </c>
      <c r="F7807" t="inlineStr">
        <is>
          <t>0</t>
        </is>
      </c>
      <c r="G7807" t="inlineStr">
        <is>
          <t>0</t>
        </is>
      </c>
      <c r="H7807" t="inlineStr">
        <is>
          <t>4¹, 12¹, 68¹, 204¹</t>
        </is>
      </c>
      <c r="I7807" t="n">
        <v>4</v>
      </c>
      <c r="J7807" t="inlineStr">
        <is>
          <t>1⁴, 2², 16², 32¹</t>
        </is>
      </c>
      <c r="K7807">
        <f>HYPERLINK("CSG11.html#group102B11", "102B¹¹")</f>
        <v/>
      </c>
      <c r="L7807" t="inlineStr"/>
      <c r="M7807">
        <f>HYPERLINK("CSG0.html#group2A0", "2A⁰"), =HYPERLINK("CSG0.html#group3B0", "3B⁰"), =HYPERLINK("CSG5.html#group51A5", "51A⁵"), =HYPERLINK("CSG0.html#group6C0", "6C⁰"), =HYPERLINK("CSG1.html#group17A1", "17A¹"), =HYPERLINK("CSG11.html#group102B11", "102B¹¹"), =HYPERLINK("CSG3.html#group34B3", "34B³"), =HYPERLINK("CSG0.html#group1A0", "1A⁰")</f>
        <v/>
      </c>
      <c r="N7807" t="inlineStr"/>
    </row>
    <row r="7808">
      <c r="A7808" t="inlineStr">
        <is>
          <t>204B²³</t>
        </is>
      </c>
      <c r="B7808" t="inlineStr"/>
      <c r="C7808" t="inlineStr">
        <is>
          <t>288</t>
        </is>
      </c>
      <c r="D7808" t="inlineStr">
        <is>
          <t>1</t>
        </is>
      </c>
      <c r="E7808" t="inlineStr">
        <is>
          <t>72</t>
        </is>
      </c>
      <c r="F7808" t="inlineStr">
        <is>
          <t>0</t>
        </is>
      </c>
      <c r="G7808" t="inlineStr">
        <is>
          <t>0</t>
        </is>
      </c>
      <c r="H7808" t="inlineStr">
        <is>
          <t>4¹, 12¹, 68¹, 204¹</t>
        </is>
      </c>
      <c r="I7808" t="n">
        <v>4</v>
      </c>
      <c r="J7808" t="inlineStr">
        <is>
          <t>1⁴, 2², 16², 32¹</t>
        </is>
      </c>
      <c r="K7808">
        <f>HYPERLINK("CSG0.html#group12B0", "12B⁰"), =HYPERLINK("CSG11.html#group102B11", "102B¹¹")</f>
        <v/>
      </c>
      <c r="L7808" t="inlineStr"/>
      <c r="M7808">
        <f>HYPERLINK("CSG0.html#group2A0", "2A⁰"), =HYPERLINK("CSG0.html#group3B0", "3B⁰"), =HYPERLINK("CSG5.html#group51A5", "51A⁵"), =HYPERLINK("CSG0.html#group6C0", "6C⁰"), =HYPERLINK("CSG1.html#group17A1", "17A¹"), =HYPERLINK("CSG11.html#group102B11", "102B¹¹"), =HYPERLINK("CSG3.html#group34B3", "34B³"), =HYPERLINK("CSG0.html#group1A0", "1A⁰"), =HYPERLINK("CSG0.html#group12B0", "12B⁰")</f>
        <v/>
      </c>
      <c r="N7808" t="inlineStr"/>
    </row>
    <row r="7809">
      <c r="A7809" t="inlineStr">
        <is>
          <t>204C²³</t>
        </is>
      </c>
      <c r="B7809" t="inlineStr"/>
      <c r="C7809" t="inlineStr">
        <is>
          <t>288</t>
        </is>
      </c>
      <c r="D7809" t="inlineStr">
        <is>
          <t>1</t>
        </is>
      </c>
      <c r="E7809" t="inlineStr">
        <is>
          <t>288</t>
        </is>
      </c>
      <c r="F7809" t="inlineStr">
        <is>
          <t>0</t>
        </is>
      </c>
      <c r="G7809" t="inlineStr">
        <is>
          <t>0</t>
        </is>
      </c>
      <c r="H7809" t="inlineStr">
        <is>
          <t>4¹, 12¹, 68¹, 204¹</t>
        </is>
      </c>
      <c r="I7809" t="n">
        <v>4</v>
      </c>
      <c r="J7809" t="inlineStr">
        <is>
          <t>2⁸, 4⁴, 32⁴, 64²</t>
        </is>
      </c>
      <c r="K7809">
        <f>HYPERLINK("CSG1.html#group12A1", "12A¹"), =HYPERLINK("CSG5.html#group51A5", "51A⁵"), =HYPERLINK("CSG5.html#group68A5", "68A⁵")</f>
        <v/>
      </c>
      <c r="L7809" t="inlineStr"/>
      <c r="M7809">
        <f>HYPERLINK("CSG0.html#group3B0", "3B⁰"), =HYPERLINK("CSG5.html#group51A5", "51A⁵"), =HYPERLINK("CSG0.html#group4A0", "4A⁰"), =HYPERLINK("CSG1.html#group12A1", "12A¹"), =HYPERLINK("CSG5.html#group68A5", "68A⁵"), =HYPERLINK("CSG1.html#group17A1", "17A¹"), =HYPERLINK("CSG0.html#group1A0", "1A⁰")</f>
        <v/>
      </c>
      <c r="N7809" t="inlineStr"/>
    </row>
    <row r="7810">
      <c r="A7810" t="inlineStr">
        <is>
          <t>204D²³</t>
        </is>
      </c>
      <c r="B7810" t="inlineStr"/>
      <c r="C7810" t="inlineStr">
        <is>
          <t>288</t>
        </is>
      </c>
      <c r="D7810" t="inlineStr">
        <is>
          <t>2</t>
        </is>
      </c>
      <c r="E7810" t="inlineStr">
        <is>
          <t>72</t>
        </is>
      </c>
      <c r="F7810" t="inlineStr">
        <is>
          <t>0</t>
        </is>
      </c>
      <c r="G7810" t="inlineStr">
        <is>
          <t>0</t>
        </is>
      </c>
      <c r="H7810" t="inlineStr">
        <is>
          <t>4¹, 12¹, 68¹, 204¹</t>
        </is>
      </c>
      <c r="I7810" t="n">
        <v>4</v>
      </c>
      <c r="J7810" t="inlineStr">
        <is>
          <t>2⁴, 4², 32², 64¹</t>
        </is>
      </c>
      <c r="K7810">
        <f>HYPERLINK("CSG11.html#group102A11", "102A¹¹")</f>
        <v/>
      </c>
      <c r="L7810" t="inlineStr"/>
      <c r="M7810">
        <f>HYPERLINK("CSG0.html#group3B0", "3B⁰"), =HYPERLINK("CSG1.html#group17A1", "17A¹"), =HYPERLINK("CSG5.html#group51A5", "51A⁵"), =HYPERLINK("CSG0.html#group1A0", "1A⁰"), =HYPERLINK("CSG3.html#group34A3", "34A³"), =HYPERLINK("CSG11.html#group102A11", "102A¹¹")</f>
        <v/>
      </c>
      <c r="N7810" t="inlineStr"/>
    </row>
    <row r="7811">
      <c r="A7811" t="inlineStr">
        <is>
          <t>204E²³</t>
        </is>
      </c>
      <c r="B7811" t="inlineStr"/>
      <c r="C7811" t="inlineStr">
        <is>
          <t>324</t>
        </is>
      </c>
      <c r="D7811" t="inlineStr">
        <is>
          <t>1</t>
        </is>
      </c>
      <c r="E7811" t="inlineStr">
        <is>
          <t>54</t>
        </is>
      </c>
      <c r="F7811" t="inlineStr">
        <is>
          <t>12</t>
        </is>
      </c>
      <c r="G7811" t="inlineStr">
        <is>
          <t>0</t>
        </is>
      </c>
      <c r="H7811" t="inlineStr">
        <is>
          <t>6¹, 12¹, 102¹, 204¹</t>
        </is>
      </c>
      <c r="I7811" t="n">
        <v>4</v>
      </c>
      <c r="J7811" t="inlineStr">
        <is>
          <t>1⁶, 16³</t>
        </is>
      </c>
      <c r="K7811">
        <f>HYPERLINK("CSG7.html#group68C7", "68C⁷"), =HYPERLINK("CSG11.html#group102C11", "102C¹¹")</f>
        <v/>
      </c>
      <c r="L7811" t="inlineStr"/>
      <c r="M7811">
        <f>HYPERLINK("CSG11.html#group102C11", "102C¹¹"), =HYPERLINK("CSG7.html#group68C7", "68C⁷"), =HYPERLINK("CSG3.html#group34C3", "34C³"), =HYPERLINK("CSG3.html#group51A3", "51A³"), =HYPERLINK("CSG1.html#group17A1", "17A¹"), =HYPERLINK("CSG0.html#group2B0", "2B⁰"), =HYPERLINK("CSG0.html#group3A0", "3A⁰"), =HYPERLINK("CSG0.html#group1A0", "1A⁰"), =HYPERLINK("CSG0.html#group6D0", "6D⁰")</f>
        <v/>
      </c>
      <c r="N7811" t="inlineStr"/>
    </row>
    <row r="7812">
      <c r="A7812" t="inlineStr">
        <is>
          <t>204F²³</t>
        </is>
      </c>
      <c r="B7812" t="inlineStr"/>
      <c r="C7812" t="inlineStr">
        <is>
          <t>324</t>
        </is>
      </c>
      <c r="D7812" t="inlineStr">
        <is>
          <t>1</t>
        </is>
      </c>
      <c r="E7812" t="inlineStr">
        <is>
          <t>54</t>
        </is>
      </c>
      <c r="F7812" t="inlineStr">
        <is>
          <t>12</t>
        </is>
      </c>
      <c r="G7812" t="inlineStr">
        <is>
          <t>0</t>
        </is>
      </c>
      <c r="H7812" t="inlineStr">
        <is>
          <t>6¹, 12¹, 102¹, 204¹</t>
        </is>
      </c>
      <c r="I7812" t="n">
        <v>4</v>
      </c>
      <c r="J7812" t="inlineStr">
        <is>
          <t>1⁶, 16³</t>
        </is>
      </c>
      <c r="K7812">
        <f>HYPERLINK("CSG0.html#group12C0", "12C⁰"), =HYPERLINK("CSG7.html#group68D7", "68D⁷"), =HYPERLINK("CSG11.html#group102C11", "102C¹¹")</f>
        <v/>
      </c>
      <c r="L7812" t="inlineStr"/>
      <c r="M7812">
        <f>HYPERLINK("CSG11.html#group102C11", "102C¹¹"), =HYPERLINK("CSG0.html#group12C0", "12C⁰"), =HYPERLINK("CSG3.html#group34C3", "34C³"), =HYPERLINK("CSG3.html#group51A3", "51A³"), =HYPERLINK("CSG0.html#group4C0", "4C⁰"), =HYPERLINK("CSG1.html#group17A1", "17A¹"), =HYPERLINK("CSG0.html#group2B0", "2B⁰"), =HYPERLINK("CSG0.html#group3A0", "3A⁰"), =HYPERLINK("CSG0.html#group1A0", "1A⁰"), =HYPERLINK("CSG0.html#group6D0", "6D⁰"), =HYPERLINK("CSG7.html#group68D7", "68D⁷")</f>
        <v/>
      </c>
      <c r="N7812" t="inlineStr"/>
    </row>
    <row r="7813">
      <c r="A7813" t="inlineStr">
        <is>
          <t>204G²³</t>
        </is>
      </c>
      <c r="B7813" t="inlineStr"/>
      <c r="C7813" t="inlineStr">
        <is>
          <t>324</t>
        </is>
      </c>
      <c r="D7813" t="inlineStr">
        <is>
          <t>1</t>
        </is>
      </c>
      <c r="E7813" t="inlineStr">
        <is>
          <t>162</t>
        </is>
      </c>
      <c r="F7813" t="inlineStr">
        <is>
          <t>8</t>
        </is>
      </c>
      <c r="G7813" t="inlineStr">
        <is>
          <t>0</t>
        </is>
      </c>
      <c r="H7813" t="inlineStr">
        <is>
          <t>3², 12¹, 51², 204¹</t>
        </is>
      </c>
      <c r="I7813" t="n">
        <v>6</v>
      </c>
      <c r="J7813" t="inlineStr">
        <is>
          <t>1⁶, 2⁶, 16³, 32³</t>
        </is>
      </c>
      <c r="K7813">
        <f>HYPERLINK("CSG11.html#group102C11", "102C¹¹")</f>
        <v/>
      </c>
      <c r="L7813" t="inlineStr"/>
      <c r="M7813">
        <f>HYPERLINK("CSG11.html#group102C11", "102C¹¹"), =HYPERLINK("CSG3.html#group34C3", "34C³"), =HYPERLINK("CSG3.html#group51A3", "51A³"), =HYPERLINK("CSG1.html#group17A1", "17A¹"), =HYPERLINK("CSG0.html#group2B0", "2B⁰"), =HYPERLINK("CSG0.html#group3A0", "3A⁰"), =HYPERLINK("CSG0.html#group1A0", "1A⁰"), =HYPERLINK("CSG0.html#group6D0", "6D⁰")</f>
        <v/>
      </c>
      <c r="N7813" t="inlineStr"/>
    </row>
    <row r="7814">
      <c r="A7814" t="inlineStr">
        <is>
          <t>204H²³</t>
        </is>
      </c>
      <c r="B7814" t="inlineStr"/>
      <c r="C7814" t="inlineStr">
        <is>
          <t>324</t>
        </is>
      </c>
      <c r="D7814" t="inlineStr">
        <is>
          <t>1</t>
        </is>
      </c>
      <c r="E7814" t="inlineStr">
        <is>
          <t>162</t>
        </is>
      </c>
      <c r="F7814" t="inlineStr">
        <is>
          <t>8</t>
        </is>
      </c>
      <c r="G7814" t="inlineStr">
        <is>
          <t>0</t>
        </is>
      </c>
      <c r="H7814" t="inlineStr">
        <is>
          <t>3², 12¹, 51², 204¹</t>
        </is>
      </c>
      <c r="I7814" t="n">
        <v>6</v>
      </c>
      <c r="J7814" t="inlineStr">
        <is>
          <t>1⁶, 2⁶, 16³, 32³</t>
        </is>
      </c>
      <c r="K7814">
        <f>HYPERLINK("CSG0.html#group12D0", "12D⁰"), =HYPERLINK("CSG11.html#group102C11", "102C¹¹")</f>
        <v/>
      </c>
      <c r="L7814" t="inlineStr"/>
      <c r="M7814">
        <f>HYPERLINK("CSG11.html#group102C11", "102C¹¹"), =HYPERLINK("CSG3.html#group34C3", "34C³"), =HYPERLINK("CSG3.html#group51A3", "51A³"), =HYPERLINK("CSG1.html#group17A1", "17A¹"), =HYPERLINK("CSG0.html#group2B0", "2B⁰"), =HYPERLINK("CSG0.html#group12D0", "12D⁰"), =HYPERLINK("CSG0.html#group3A0", "3A⁰"), =HYPERLINK("CSG0.html#group1A0", "1A⁰"), =HYPERLINK("CSG0.html#group6D0", "6D⁰")</f>
        <v/>
      </c>
      <c r="N7814" t="inlineStr"/>
    </row>
    <row r="7815">
      <c r="A7815" t="inlineStr">
        <is>
          <t>207A²³</t>
        </is>
      </c>
      <c r="B7815" t="inlineStr"/>
      <c r="C7815" t="inlineStr">
        <is>
          <t>288</t>
        </is>
      </c>
      <c r="D7815" t="inlineStr">
        <is>
          <t>1</t>
        </is>
      </c>
      <c r="E7815" t="inlineStr">
        <is>
          <t>96</t>
        </is>
      </c>
      <c r="F7815" t="inlineStr">
        <is>
          <t>0</t>
        </is>
      </c>
      <c r="G7815" t="inlineStr">
        <is>
          <t>0</t>
        </is>
      </c>
      <c r="H7815" t="inlineStr">
        <is>
          <t>3¹, 9¹, 69¹, 207¹</t>
        </is>
      </c>
      <c r="I7815" t="n">
        <v>4</v>
      </c>
      <c r="J7815" t="inlineStr">
        <is>
          <t>1⁴, 2², 22², 44¹</t>
        </is>
      </c>
      <c r="K7815">
        <f>HYPERLINK("CSG0.html#group9C0", "9C⁰"), =HYPERLINK("CSG7.html#group69A7", "69A⁷")</f>
        <v/>
      </c>
      <c r="L7815" t="inlineStr"/>
      <c r="M7815">
        <f>HYPERLINK("CSG7.html#group69A7", "69A⁷"), =HYPERLINK("CSG0.html#group3B0", "3B⁰"), =HYPERLINK("CSG2.html#group23A2", "23A²"), =HYPERLINK("CSG0.html#group9C0", "9C⁰"), =HYPERLINK("CSG0.html#group1A0", "1A⁰")</f>
        <v/>
      </c>
      <c r="N7815" t="inlineStr"/>
    </row>
    <row r="7816">
      <c r="A7816" t="inlineStr">
        <is>
          <t>207B²³</t>
        </is>
      </c>
      <c r="B7816" t="inlineStr"/>
      <c r="C7816" t="inlineStr">
        <is>
          <t>288</t>
        </is>
      </c>
      <c r="D7816" t="inlineStr">
        <is>
          <t>1</t>
        </is>
      </c>
      <c r="E7816" t="inlineStr">
        <is>
          <t>96</t>
        </is>
      </c>
      <c r="F7816" t="inlineStr">
        <is>
          <t>0</t>
        </is>
      </c>
      <c r="G7816" t="inlineStr">
        <is>
          <t>0</t>
        </is>
      </c>
      <c r="H7816" t="inlineStr">
        <is>
          <t>3¹, 9¹, 69¹, 207¹</t>
        </is>
      </c>
      <c r="I7816" t="n">
        <v>4</v>
      </c>
      <c r="J7816" t="inlineStr">
        <is>
          <t>1⁴, 2², 22², 44¹</t>
        </is>
      </c>
      <c r="K7816">
        <f>HYPERLINK("CSG1.html#group9A1", "9A¹"), =HYPERLINK("CSG7.html#group69A7", "69A⁷")</f>
        <v/>
      </c>
      <c r="L7816" t="inlineStr"/>
      <c r="M7816">
        <f>HYPERLINK("CSG7.html#group69A7", "69A⁷"), =HYPERLINK("CSG0.html#group3B0", "3B⁰"), =HYPERLINK("CSG2.html#group23A2", "23A²"), =HYPERLINK("CSG0.html#group1A0", "1A⁰"), =HYPERLINK("CSG1.html#group9A1", "9A¹")</f>
        <v/>
      </c>
      <c r="N7816" t="inlineStr"/>
    </row>
    <row r="7817">
      <c r="A7817" t="inlineStr">
        <is>
          <t>208A²³</t>
        </is>
      </c>
      <c r="B7817" t="inlineStr"/>
      <c r="C7817" t="inlineStr">
        <is>
          <t>336</t>
        </is>
      </c>
      <c r="D7817" t="inlineStr">
        <is>
          <t>1</t>
        </is>
      </c>
      <c r="E7817" t="inlineStr">
        <is>
          <t>42</t>
        </is>
      </c>
      <c r="F7817" t="inlineStr">
        <is>
          <t>16</t>
        </is>
      </c>
      <c r="G7817" t="inlineStr">
        <is>
          <t>0</t>
        </is>
      </c>
      <c r="H7817" t="inlineStr">
        <is>
          <t>8¹, 16¹, 104¹, 208¹</t>
        </is>
      </c>
      <c r="I7817" t="n">
        <v>4</v>
      </c>
      <c r="J7817" t="inlineStr">
        <is>
          <t>1⁶, 12³</t>
        </is>
      </c>
      <c r="K7817">
        <f>HYPERLINK("CSG11.html#group104B11", "104B¹¹")</f>
        <v/>
      </c>
      <c r="L7817" t="inlineStr"/>
      <c r="M7817">
        <f>HYPERLINK("CSG0.html#group4C0", "4C⁰"), =HYPERLINK("CSG11.html#group104B11", "104B¹¹"), =HYPERLINK("CSG0.html#group8B0", "8B⁰"), =HYPERLINK("CSG0.html#group13A0", "13A⁰"), =HYPERLINK("CSG5.html#group52B5", "52B⁵"), =HYPERLINK("CSG0.html#group2B0", "2B⁰"), =HYPERLINK("CSG0.html#group1A0", "1A⁰"), =HYPERLINK("CSG2.html#group26A2", "26A²")</f>
        <v/>
      </c>
      <c r="N7817" t="inlineStr"/>
    </row>
    <row r="7818">
      <c r="A7818" t="inlineStr">
        <is>
          <t>208B²³</t>
        </is>
      </c>
      <c r="B7818" t="inlineStr"/>
      <c r="C7818" t="inlineStr">
        <is>
          <t>336</t>
        </is>
      </c>
      <c r="D7818" t="inlineStr">
        <is>
          <t>1</t>
        </is>
      </c>
      <c r="E7818" t="inlineStr">
        <is>
          <t>42</t>
        </is>
      </c>
      <c r="F7818" t="inlineStr">
        <is>
          <t>16</t>
        </is>
      </c>
      <c r="G7818" t="inlineStr">
        <is>
          <t>0</t>
        </is>
      </c>
      <c r="H7818" t="inlineStr">
        <is>
          <t>8¹, 16¹, 104¹, 208¹</t>
        </is>
      </c>
      <c r="I7818" t="n">
        <v>4</v>
      </c>
      <c r="J7818" t="inlineStr">
        <is>
          <t>1⁶, 12³</t>
        </is>
      </c>
      <c r="K7818">
        <f>HYPERLINK("CSG0.html#group16B0", "16B⁰"), =HYPERLINK("CSG11.html#group104B11", "104B¹¹")</f>
        <v/>
      </c>
      <c r="L7818" t="inlineStr"/>
      <c r="M7818">
        <f>HYPERLINK("CSG0.html#group16B0", "16B⁰"), =HYPERLINK("CSG0.html#group4C0", "4C⁰"), =HYPERLINK("CSG11.html#group104B11", "104B¹¹"), =HYPERLINK("CSG0.html#group8B0", "8B⁰"), =HYPERLINK("CSG0.html#group13A0", "13A⁰"), =HYPERLINK("CSG5.html#group52B5", "52B⁵"), =HYPERLINK("CSG0.html#group2B0", "2B⁰"), =HYPERLINK("CSG0.html#group1A0", "1A⁰"), =HYPERLINK("CSG2.html#group26A2", "26A²")</f>
        <v/>
      </c>
      <c r="N7818" t="inlineStr"/>
    </row>
    <row r="7819">
      <c r="A7819" t="inlineStr">
        <is>
          <t>208C²³</t>
        </is>
      </c>
      <c r="B7819" t="inlineStr"/>
      <c r="C7819" t="inlineStr">
        <is>
          <t>336</t>
        </is>
      </c>
      <c r="D7819" t="inlineStr">
        <is>
          <t>1</t>
        </is>
      </c>
      <c r="E7819" t="inlineStr">
        <is>
          <t>84</t>
        </is>
      </c>
      <c r="F7819" t="inlineStr">
        <is>
          <t>0</t>
        </is>
      </c>
      <c r="G7819" t="inlineStr">
        <is>
          <t>0</t>
        </is>
      </c>
      <c r="H7819" t="inlineStr">
        <is>
          <t>1⁴, 4¹, 13⁴, 16¹, 52¹, 208¹</t>
        </is>
      </c>
      <c r="I7819" t="n">
        <v>12</v>
      </c>
      <c r="J7819" t="inlineStr">
        <is>
          <t>1⁸, 2², 12⁴, 24¹</t>
        </is>
      </c>
      <c r="K7819">
        <f>HYPERLINK("CSG11.html#group104D11", "104D¹¹")</f>
        <v/>
      </c>
      <c r="L7819" t="inlineStr"/>
      <c r="M7819">
        <f>HYPERLINK("CSG11.html#group104D11", "104D¹¹"), =HYPERLINK("CSG5.html#group52A5", "52A⁵"), =HYPERLINK("CSG0.html#group13A0", "13A⁰"), =HYPERLINK("CSG0.html#group8C0", "8C⁰"), =HYPERLINK("CSG0.html#group2B0", "2B⁰"), =HYPERLINK("CSG0.html#group4B0", "4B⁰"), =HYPERLINK("CSG0.html#group1A0", "1A⁰"), =HYPERLINK("CSG2.html#group26A2", "26A²")</f>
        <v/>
      </c>
      <c r="N7819" t="inlineStr"/>
    </row>
    <row r="7820">
      <c r="A7820" t="inlineStr">
        <is>
          <t>208D²³</t>
        </is>
      </c>
      <c r="B7820" t="inlineStr">
        <is>
          <t>Γ₀(208)</t>
        </is>
      </c>
      <c r="C7820" t="inlineStr">
        <is>
          <t>336</t>
        </is>
      </c>
      <c r="D7820" t="inlineStr">
        <is>
          <t>1</t>
        </is>
      </c>
      <c r="E7820" t="inlineStr">
        <is>
          <t>84</t>
        </is>
      </c>
      <c r="F7820" t="inlineStr">
        <is>
          <t>0</t>
        </is>
      </c>
      <c r="G7820" t="inlineStr">
        <is>
          <t>0</t>
        </is>
      </c>
      <c r="H7820" t="inlineStr">
        <is>
          <t>1⁴, 4¹, 13⁴, 16¹, 52¹, 208¹</t>
        </is>
      </c>
      <c r="I7820" t="n">
        <v>12</v>
      </c>
      <c r="J7820" t="inlineStr">
        <is>
          <t>1⁸, 2², 12⁴, 24¹</t>
        </is>
      </c>
      <c r="K7820">
        <f>HYPERLINK("CSG0.html#group16C0", "16C⁰"), =HYPERLINK("CSG11.html#group104D11", "104D¹¹")</f>
        <v/>
      </c>
      <c r="L7820" t="inlineStr"/>
      <c r="M7820">
        <f>HYPERLINK("CSG11.html#group104D11", "104D¹¹"), =HYPERLINK("CSG0.html#group16C0", "16C⁰"), =HYPERLINK("CSG5.html#group52A5", "52A⁵"), =HYPERLINK("CSG0.html#group13A0", "13A⁰"), =HYPERLINK("CSG0.html#group8C0", "8C⁰"), =HYPERLINK("CSG0.html#group2B0", "2B⁰"), =HYPERLINK("CSG0.html#group4B0", "4B⁰"), =HYPERLINK("CSG0.html#group1A0", "1A⁰"), =HYPERLINK("CSG2.html#group26A2", "26A²")</f>
        <v/>
      </c>
      <c r="N7820" t="inlineStr"/>
    </row>
    <row r="7821">
      <c r="A7821" t="inlineStr">
        <is>
          <t>208E²³</t>
        </is>
      </c>
      <c r="B7821" t="inlineStr"/>
      <c r="C7821" t="inlineStr">
        <is>
          <t>336</t>
        </is>
      </c>
      <c r="D7821" t="inlineStr">
        <is>
          <t>1</t>
        </is>
      </c>
      <c r="E7821" t="inlineStr">
        <is>
          <t>168</t>
        </is>
      </c>
      <c r="F7821" t="inlineStr">
        <is>
          <t>0</t>
        </is>
      </c>
      <c r="G7821" t="inlineStr">
        <is>
          <t>0</t>
        </is>
      </c>
      <c r="H7821" t="inlineStr">
        <is>
          <t>1², 2³, 13², 16¹, 26³, 208¹</t>
        </is>
      </c>
      <c r="I7821" t="n">
        <v>12</v>
      </c>
      <c r="J7821" t="inlineStr">
        <is>
          <t>1⁸, 2⁴, 4², 12⁴, 24², 48¹</t>
        </is>
      </c>
      <c r="K7821">
        <f>HYPERLINK("CSG11.html#group104D11", "104D¹¹")</f>
        <v/>
      </c>
      <c r="L7821" t="inlineStr"/>
      <c r="M7821">
        <f>HYPERLINK("CSG11.html#group104D11", "104D¹¹"), =HYPERLINK("CSG5.html#group52A5", "52A⁵"), =HYPERLINK("CSG0.html#group13A0", "13A⁰"), =HYPERLINK("CSG0.html#group8C0", "8C⁰"), =HYPERLINK("CSG0.html#group2B0", "2B⁰"), =HYPERLINK("CSG0.html#group4B0", "4B⁰"), =HYPERLINK("CSG0.html#group1A0", "1A⁰"), =HYPERLINK("CSG2.html#group26A2", "26A²")</f>
        <v/>
      </c>
      <c r="N7821" t="inlineStr"/>
    </row>
    <row r="7822">
      <c r="A7822" t="inlineStr">
        <is>
          <t>208F²³</t>
        </is>
      </c>
      <c r="B7822" t="inlineStr"/>
      <c r="C7822" t="inlineStr">
        <is>
          <t>336</t>
        </is>
      </c>
      <c r="D7822" t="inlineStr">
        <is>
          <t>1</t>
        </is>
      </c>
      <c r="E7822" t="inlineStr">
        <is>
          <t>168</t>
        </is>
      </c>
      <c r="F7822" t="inlineStr">
        <is>
          <t>0</t>
        </is>
      </c>
      <c r="G7822" t="inlineStr">
        <is>
          <t>0</t>
        </is>
      </c>
      <c r="H7822" t="inlineStr">
        <is>
          <t>1², 2³, 13², 16¹, 26³, 208¹</t>
        </is>
      </c>
      <c r="I7822" t="n">
        <v>12</v>
      </c>
      <c r="J7822" t="inlineStr">
        <is>
          <t>1⁸, 2⁴, 4², 12⁴, 24², 48¹</t>
        </is>
      </c>
      <c r="K7822">
        <f>HYPERLINK("CSG0.html#group16D0", "16D⁰"), =HYPERLINK("CSG11.html#group104D11", "104D¹¹")</f>
        <v/>
      </c>
      <c r="L7822" t="inlineStr"/>
      <c r="M7822">
        <f>HYPERLINK("CSG11.html#group104D11", "104D¹¹"), =HYPERLINK("CSG0.html#group16D0", "16D⁰"), =HYPERLINK("CSG5.html#group52A5", "52A⁵"), =HYPERLINK("CSG0.html#group13A0", "13A⁰"), =HYPERLINK("CSG0.html#group8C0", "8C⁰"), =HYPERLINK("CSG0.html#group2B0", "2B⁰"), =HYPERLINK("CSG0.html#group4B0", "4B⁰"), =HYPERLINK("CSG0.html#group1A0", "1A⁰"), =HYPERLINK("CSG2.html#group26A2", "26A²")</f>
        <v/>
      </c>
      <c r="N7822" t="inlineStr"/>
    </row>
    <row r="7823">
      <c r="A7823" t="inlineStr">
        <is>
          <t>208G²³</t>
        </is>
      </c>
      <c r="B7823" t="inlineStr"/>
      <c r="C7823" t="inlineStr">
        <is>
          <t>336</t>
        </is>
      </c>
      <c r="D7823" t="inlineStr">
        <is>
          <t>1</t>
        </is>
      </c>
      <c r="E7823" t="inlineStr">
        <is>
          <t>168</t>
        </is>
      </c>
      <c r="F7823" t="inlineStr">
        <is>
          <t>4</t>
        </is>
      </c>
      <c r="G7823" t="inlineStr">
        <is>
          <t>0</t>
        </is>
      </c>
      <c r="H7823" t="inlineStr">
        <is>
          <t>2⁴, 16¹, 26⁴, 208¹</t>
        </is>
      </c>
      <c r="I7823" t="n">
        <v>10</v>
      </c>
      <c r="J7823" t="inlineStr">
        <is>
          <t>1⁴, 2², 4⁴, 12², 24¹, 48²</t>
        </is>
      </c>
      <c r="K7823">
        <f>HYPERLINK("CSG11.html#group104F11", "104F¹¹")</f>
        <v/>
      </c>
      <c r="L7823" t="inlineStr"/>
      <c r="M7823">
        <f>HYPERLINK("CSG11.html#group104F11", "104F¹¹"), =HYPERLINK("CSG0.html#group8D0", "8D⁰"), =HYPERLINK("CSG0.html#group4C0", "4C⁰"), =HYPERLINK("CSG0.html#group13A0", "13A⁰"), =HYPERLINK("CSG5.html#group52B5", "52B⁵"), =HYPERLINK("CSG0.html#group2B0", "2B⁰"), =HYPERLINK("CSG0.html#group1A0", "1A⁰"), =HYPERLINK("CSG2.html#group26A2", "26A²")</f>
        <v/>
      </c>
      <c r="N7823" t="inlineStr"/>
    </row>
    <row r="7824">
      <c r="A7824" t="inlineStr">
        <is>
          <t>208H²³</t>
        </is>
      </c>
      <c r="B7824" t="inlineStr"/>
      <c r="C7824" t="inlineStr">
        <is>
          <t>336</t>
        </is>
      </c>
      <c r="D7824" t="inlineStr">
        <is>
          <t>1</t>
        </is>
      </c>
      <c r="E7824" t="inlineStr">
        <is>
          <t>168</t>
        </is>
      </c>
      <c r="F7824" t="inlineStr">
        <is>
          <t>4</t>
        </is>
      </c>
      <c r="G7824" t="inlineStr">
        <is>
          <t>0</t>
        </is>
      </c>
      <c r="H7824" t="inlineStr">
        <is>
          <t>2⁴, 16¹, 26⁴, 208¹</t>
        </is>
      </c>
      <c r="I7824" t="n">
        <v>10</v>
      </c>
      <c r="J7824" t="inlineStr">
        <is>
          <t>1⁴, 2², 4⁴, 12², 24¹, 48²</t>
        </is>
      </c>
      <c r="K7824">
        <f>HYPERLINK("CSG0.html#group16E0", "16E⁰"), =HYPERLINK("CSG11.html#group104F11", "104F¹¹")</f>
        <v/>
      </c>
      <c r="L7824" t="inlineStr"/>
      <c r="M7824">
        <f>HYPERLINK("CSG0.html#group16E0", "16E⁰"), =HYPERLINK("CSG11.html#group104F11", "104F¹¹"), =HYPERLINK("CSG0.html#group8D0", "8D⁰"), =HYPERLINK("CSG0.html#group4C0", "4C⁰"), =HYPERLINK("CSG0.html#group13A0", "13A⁰"), =HYPERLINK("CSG5.html#group52B5", "52B⁵"), =HYPERLINK("CSG0.html#group2B0", "2B⁰"), =HYPERLINK("CSG0.html#group1A0", "1A⁰"), =HYPERLINK("CSG2.html#group26A2", "26A²")</f>
        <v/>
      </c>
      <c r="N7824" t="inlineStr"/>
    </row>
    <row r="7825">
      <c r="A7825" t="inlineStr">
        <is>
          <t>208I²³</t>
        </is>
      </c>
      <c r="B7825" t="inlineStr"/>
      <c r="C7825" t="inlineStr">
        <is>
          <t>336</t>
        </is>
      </c>
      <c r="D7825" t="inlineStr">
        <is>
          <t>2</t>
        </is>
      </c>
      <c r="E7825" t="inlineStr">
        <is>
          <t>84</t>
        </is>
      </c>
      <c r="F7825" t="inlineStr">
        <is>
          <t>0</t>
        </is>
      </c>
      <c r="G7825" t="inlineStr">
        <is>
          <t>0</t>
        </is>
      </c>
      <c r="H7825" t="inlineStr">
        <is>
          <t>1⁴, 4¹, 13⁴, 16¹, 52¹, 208¹</t>
        </is>
      </c>
      <c r="I7825" t="n">
        <v>12</v>
      </c>
      <c r="J7825" t="inlineStr">
        <is>
          <t>2¹², 24⁶</t>
        </is>
      </c>
      <c r="K7825">
        <f>HYPERLINK("CSG11.html#group104C11", "104C¹¹")</f>
        <v/>
      </c>
      <c r="L7825" t="inlineStr"/>
      <c r="M7825">
        <f>HYPERLINK("CSG5.html#group52A5", "52A⁵"), =HYPERLINK("CSG0.html#group13A0", "13A⁰"), =HYPERLINK("CSG0.html#group2B0", "2B⁰"), =HYPERLINK("CSG0.html#group4B0", "4B⁰"), =HYPERLINK("CSG0.html#group1A0", "1A⁰"), =HYPERLINK("CSG2.html#group26A2", "26A²"), =HYPERLINK("CSG11.html#group104C11", "104C¹¹")</f>
        <v/>
      </c>
      <c r="N7825" t="inlineStr"/>
    </row>
    <row r="7826">
      <c r="A7826" t="inlineStr">
        <is>
          <t>210A²³</t>
        </is>
      </c>
      <c r="B7826" t="inlineStr"/>
      <c r="C7826" t="inlineStr">
        <is>
          <t>288</t>
        </is>
      </c>
      <c r="D7826" t="inlineStr">
        <is>
          <t>1</t>
        </is>
      </c>
      <c r="E7826" t="inlineStr">
        <is>
          <t>48</t>
        </is>
      </c>
      <c r="F7826" t="inlineStr">
        <is>
          <t>0</t>
        </is>
      </c>
      <c r="G7826" t="inlineStr">
        <is>
          <t>0</t>
        </is>
      </c>
      <c r="H7826" t="inlineStr">
        <is>
          <t>6¹, 30¹, 42¹, 210¹</t>
        </is>
      </c>
      <c r="I7826" t="n">
        <v>4</v>
      </c>
      <c r="J7826" t="inlineStr">
        <is>
          <t>1⁴, 4², 6², 24¹</t>
        </is>
      </c>
      <c r="K7826">
        <f>HYPERLINK("CSG0.html#group30A0", "30A⁰"), =HYPERLINK("CSG7.html#group70B7", "70B⁷"), =HYPERLINK("CSG11.html#group105B11", "105B¹¹")</f>
        <v/>
      </c>
      <c r="L7826" t="inlineStr"/>
      <c r="M7826">
        <f>HYPERLINK("CSG0.html#group30A0", "30A⁰"), =HYPERLINK("CSG0.html#group15B0", "15B⁰"), =HYPERLINK("CSG2.html#group21A2", "21A²"), =HYPERLINK("CSG0.html#group7B0", "7B⁰"), =HYPERLINK("CSG0.html#group5B0", "5B⁰"), =HYPERLINK("CSG7.html#group70B7", "70B⁷"), =HYPERLINK("CSG11.html#group105B11", "105B¹¹"), =HYPERLINK("CSG0.html#group3A0", "3A⁰"), =HYPERLINK("CSG0.html#group1A0", "1A⁰"), =HYPERLINK("CSG3.html#group35A3", "35A³"), =HYPERLINK("CSG0.html#group10B0", "10B⁰")</f>
        <v/>
      </c>
      <c r="N7826" t="inlineStr"/>
    </row>
    <row r="7827">
      <c r="A7827" t="inlineStr">
        <is>
          <t>210B²³</t>
        </is>
      </c>
      <c r="B7827" t="inlineStr"/>
      <c r="C7827" t="inlineStr">
        <is>
          <t>288</t>
        </is>
      </c>
      <c r="D7827" t="inlineStr">
        <is>
          <t>1</t>
        </is>
      </c>
      <c r="E7827" t="inlineStr">
        <is>
          <t>48</t>
        </is>
      </c>
      <c r="F7827" t="inlineStr">
        <is>
          <t>0</t>
        </is>
      </c>
      <c r="G7827" t="inlineStr">
        <is>
          <t>0</t>
        </is>
      </c>
      <c r="H7827" t="inlineStr">
        <is>
          <t>6¹, 30¹, 42¹, 210¹</t>
        </is>
      </c>
      <c r="I7827" t="n">
        <v>4</v>
      </c>
      <c r="J7827" t="inlineStr">
        <is>
          <t>1⁴, 4², 6², 24¹</t>
        </is>
      </c>
      <c r="K7827">
        <f>HYPERLINK("CSG3.html#group30B3", "30B³"), =HYPERLINK("CSG4.html#group42B4", "42B⁴"), =HYPERLINK("CSG7.html#group70C7", "70C⁷"), =HYPERLINK("CSG11.html#group105B11", "105B¹¹")</f>
        <v/>
      </c>
      <c r="L7827" t="inlineStr"/>
      <c r="M7827">
        <f>HYPERLINK("CSG0.html#group2A0", "2A⁰"), =HYPERLINK("CSG0.html#group5B0", "5B⁰"), =HYPERLINK("CSG1.html#group10A1", "10A¹"), =HYPERLINK("CSG0.html#group1A0", "1A⁰"), =HYPERLINK("CSG3.html#group30B3", "30B³"), =HYPERLINK("CSG0.html#group15B0", "15B⁰"), =HYPERLINK("CSG2.html#group21A2", "21A²"), =HYPERLINK("CSG4.html#group42B4", "42B⁴"), =HYPERLINK("CSG0.html#group7B0", "7B⁰"), =HYPERLINK("CSG0.html#group14B0", "14B⁰"), =HYPERLINK("CSG7.html#group70C7", "70C⁷"), =HYPERLINK("CSG1.html#group6A1", "6A¹"), =HYPERLINK("CSG11.html#group105B11", "105B¹¹"), =HYPERLINK("CSG0.html#group3A0", "3A⁰"), =HYPERLINK("CSG3.html#group35A3", "35A³")</f>
        <v/>
      </c>
      <c r="N7827" t="inlineStr"/>
    </row>
    <row r="7828">
      <c r="A7828" t="inlineStr">
        <is>
          <t>210C²³</t>
        </is>
      </c>
      <c r="B7828" t="inlineStr"/>
      <c r="C7828" t="inlineStr">
        <is>
          <t>288</t>
        </is>
      </c>
      <c r="D7828" t="inlineStr">
        <is>
          <t>1</t>
        </is>
      </c>
      <c r="E7828" t="inlineStr">
        <is>
          <t>96</t>
        </is>
      </c>
      <c r="F7828" t="inlineStr">
        <is>
          <t>0</t>
        </is>
      </c>
      <c r="G7828" t="inlineStr">
        <is>
          <t>0</t>
        </is>
      </c>
      <c r="H7828" t="inlineStr">
        <is>
          <t>6¹, 30¹, 42¹, 210¹</t>
        </is>
      </c>
      <c r="I7828" t="n">
        <v>4</v>
      </c>
      <c r="J7828" t="inlineStr">
        <is>
          <t>2⁴, 8², 12², 48¹</t>
        </is>
      </c>
      <c r="K7828">
        <f>HYPERLINK("CSG2.html#group42B2", "42B²"), =HYPERLINK("CSG3.html#group30C3", "30C³"), =HYPERLINK("CSG7.html#group70C7", "70C⁷")</f>
        <v/>
      </c>
      <c r="L7828" t="inlineStr"/>
      <c r="M7828">
        <f>HYPERLINK("CSG2.html#group42B2", "42B²"), =HYPERLINK("CSG0.html#group2A0", "2A⁰"), =HYPERLINK("CSG0.html#group6A0", "6A⁰"), =HYPERLINK("CSG3.html#group30C3", "30C³"), =HYPERLINK("CSG0.html#group7B0", "7B⁰"), =HYPERLINK("CSG0.html#group14B0", "14B⁰"), =HYPERLINK("CSG0.html#group5B0", "5B⁰"), =HYPERLINK("CSG7.html#group70C7", "70C⁷"), =HYPERLINK("CSG1.html#group10A1", "10A¹"), =HYPERLINK("CSG0.html#group1A0", "1A⁰"), =HYPERLINK("CSG3.html#group35A3", "35A³")</f>
        <v/>
      </c>
      <c r="N7828" t="inlineStr"/>
    </row>
    <row r="7829">
      <c r="A7829" t="inlineStr">
        <is>
          <t>210D²³</t>
        </is>
      </c>
      <c r="B7829" t="inlineStr"/>
      <c r="C7829" t="inlineStr">
        <is>
          <t>288</t>
        </is>
      </c>
      <c r="D7829" t="inlineStr">
        <is>
          <t>1</t>
        </is>
      </c>
      <c r="E7829" t="inlineStr">
        <is>
          <t>144</t>
        </is>
      </c>
      <c r="F7829" t="inlineStr">
        <is>
          <t>0</t>
        </is>
      </c>
      <c r="G7829" t="inlineStr">
        <is>
          <t>0</t>
        </is>
      </c>
      <c r="H7829" t="inlineStr">
        <is>
          <t>6¹, 30¹, 42¹, 210¹</t>
        </is>
      </c>
      <c r="I7829" t="n">
        <v>4</v>
      </c>
      <c r="J7829" t="inlineStr">
        <is>
          <t>1⁴, 2⁴, 4², 6², 8², 12², 24¹, 48¹</t>
        </is>
      </c>
      <c r="K7829">
        <f>HYPERLINK("CSG2.html#group30C2", "30C²"), =HYPERLINK("CSG11.html#group105B11", "105B¹¹")</f>
        <v/>
      </c>
      <c r="L7829" t="inlineStr"/>
      <c r="M7829">
        <f>HYPERLINK("CSG0.html#group15B0", "15B⁰"), =HYPERLINK("CSG2.html#group21A2", "21A²"), =HYPERLINK("CSG0.html#group7B0", "7B⁰"), =HYPERLINK("CSG0.html#group5B0", "5B⁰"), =HYPERLINK("CSG11.html#group105B11", "105B¹¹"), =HYPERLINK("CSG0.html#group3A0", "3A⁰"), =HYPERLINK("CSG0.html#group1A0", "1A⁰"), =HYPERLINK("CSG3.html#group35A3", "35A³"), =HYPERLINK("CSG2.html#group30C2", "30C²")</f>
        <v/>
      </c>
      <c r="N7829" t="inlineStr"/>
    </row>
    <row r="7830">
      <c r="A7830" t="inlineStr">
        <is>
          <t>210E²³</t>
        </is>
      </c>
      <c r="B7830" t="inlineStr"/>
      <c r="C7830" t="inlineStr">
        <is>
          <t>288</t>
        </is>
      </c>
      <c r="D7830" t="inlineStr">
        <is>
          <t>1</t>
        </is>
      </c>
      <c r="E7830" t="inlineStr">
        <is>
          <t>144</t>
        </is>
      </c>
      <c r="F7830" t="inlineStr">
        <is>
          <t>0</t>
        </is>
      </c>
      <c r="G7830" t="inlineStr">
        <is>
          <t>0</t>
        </is>
      </c>
      <c r="H7830" t="inlineStr">
        <is>
          <t>6¹, 30¹, 42¹, 210¹</t>
        </is>
      </c>
      <c r="I7830" t="n">
        <v>4</v>
      </c>
      <c r="J7830" t="inlineStr">
        <is>
          <t>1⁴, 2⁴, 4², 6², 8², 12², 24¹, 48¹</t>
        </is>
      </c>
      <c r="K7830">
        <f>HYPERLINK("CSG1.html#group30C1", "30C¹"), =HYPERLINK("CSG4.html#group42C4", "42C⁴"), =HYPERLINK("CSG11.html#group105B11", "105B¹¹")</f>
        <v/>
      </c>
      <c r="L7830" t="inlineStr"/>
      <c r="M7830">
        <f>HYPERLINK("CSG0.html#group15B0", "15B⁰"), =HYPERLINK("CSG0.html#group6B0", "6B⁰"), =HYPERLINK("CSG2.html#group21A2", "21A²"), =HYPERLINK("CSG0.html#group7B0", "7B⁰"), =HYPERLINK("CSG0.html#group5B0", "5B⁰"), =HYPERLINK("CSG11.html#group105B11", "105B¹¹"), =HYPERLINK("CSG4.html#group42C4", "42C⁴"), =HYPERLINK("CSG0.html#group3A0", "3A⁰"), =HYPERLINK("CSG0.html#group1A0", "1A⁰"), =HYPERLINK("CSG3.html#group35A3", "35A³"), =HYPERLINK("CSG1.html#group30C1", "30C¹")</f>
        <v/>
      </c>
      <c r="N7830" t="inlineStr"/>
    </row>
    <row r="7831">
      <c r="A7831" t="inlineStr">
        <is>
          <t>210F²³</t>
        </is>
      </c>
      <c r="B7831" t="inlineStr"/>
      <c r="C7831" t="inlineStr">
        <is>
          <t>288</t>
        </is>
      </c>
      <c r="D7831" t="inlineStr">
        <is>
          <t>2</t>
        </is>
      </c>
      <c r="E7831" t="inlineStr">
        <is>
          <t>48</t>
        </is>
      </c>
      <c r="F7831" t="inlineStr">
        <is>
          <t>0</t>
        </is>
      </c>
      <c r="G7831" t="inlineStr">
        <is>
          <t>0</t>
        </is>
      </c>
      <c r="H7831" t="inlineStr">
        <is>
          <t>6¹, 30¹, 42¹, 210¹</t>
        </is>
      </c>
      <c r="I7831" t="n">
        <v>4</v>
      </c>
      <c r="J7831" t="inlineStr">
        <is>
          <t>2⁴, 8², 12², 48¹</t>
        </is>
      </c>
      <c r="K7831">
        <f>HYPERLINK("CSG7.html#group70B7", "70B⁷"), =HYPERLINK("CSG11.html#group105C11", "105C¹¹")</f>
        <v/>
      </c>
      <c r="L7831" t="inlineStr"/>
      <c r="M7831">
        <f>HYPERLINK("CSG11.html#group105C11", "105C¹¹"), =HYPERLINK("CSG0.html#group7B0", "7B⁰"), =HYPERLINK("CSG0.html#group5B0", "5B⁰"), =HYPERLINK("CSG7.html#group70B7", "70B⁷"), =HYPERLINK("CSG0.html#group10B0", "10B⁰"), =HYPERLINK("CSG0.html#group1A0", "1A⁰"), =HYPERLINK("CSG3.html#group35A3", "35A³"), =HYPERLINK("CSG1.html#group21A1", "21A¹")</f>
        <v/>
      </c>
      <c r="N7831" t="inlineStr"/>
    </row>
    <row r="7832">
      <c r="A7832" t="inlineStr">
        <is>
          <t>210G²³</t>
        </is>
      </c>
      <c r="B7832" t="inlineStr"/>
      <c r="C7832" t="inlineStr">
        <is>
          <t>288</t>
        </is>
      </c>
      <c r="D7832" t="inlineStr">
        <is>
          <t>2</t>
        </is>
      </c>
      <c r="E7832" t="inlineStr">
        <is>
          <t>48</t>
        </is>
      </c>
      <c r="F7832" t="inlineStr">
        <is>
          <t>0</t>
        </is>
      </c>
      <c r="G7832" t="inlineStr">
        <is>
          <t>0</t>
        </is>
      </c>
      <c r="H7832" t="inlineStr">
        <is>
          <t>6¹, 30¹, 42¹, 210¹</t>
        </is>
      </c>
      <c r="I7832" t="n">
        <v>4</v>
      </c>
      <c r="J7832" t="inlineStr">
        <is>
          <t>2⁴, 8², 12², 48¹</t>
        </is>
      </c>
      <c r="K7832">
        <f>HYPERLINK("CSG2.html#group42C2", "42C²"), =HYPERLINK("CSG7.html#group70C7", "70C⁷"), =HYPERLINK("CSG11.html#group105C11", "105C¹¹")</f>
        <v/>
      </c>
      <c r="L7832" t="inlineStr"/>
      <c r="M7832">
        <f>HYPERLINK("CSG0.html#group2A0", "2A⁰"), =HYPERLINK("CSG11.html#group105C11", "105C¹¹"), =HYPERLINK("CSG0.html#group7B0", "7B⁰"), =HYPERLINK("CSG0.html#group14B0", "14B⁰"), =HYPERLINK("CSG2.html#group42C2", "42C²"), =HYPERLINK("CSG0.html#group5B0", "5B⁰"), =HYPERLINK("CSG7.html#group70C7", "70C⁷"), =HYPERLINK("CSG1.html#group10A1", "10A¹"), =HYPERLINK("CSG0.html#group1A0", "1A⁰"), =HYPERLINK("CSG3.html#group35A3", "35A³"), =HYPERLINK("CSG1.html#group21A1", "21A¹")</f>
        <v/>
      </c>
      <c r="N7832" t="inlineStr"/>
    </row>
    <row r="7833">
      <c r="A7833" t="inlineStr">
        <is>
          <t>210H²³</t>
        </is>
      </c>
      <c r="B7833" t="inlineStr"/>
      <c r="C7833" t="inlineStr">
        <is>
          <t>288</t>
        </is>
      </c>
      <c r="D7833" t="inlineStr">
        <is>
          <t>2</t>
        </is>
      </c>
      <c r="E7833" t="inlineStr">
        <is>
          <t>96</t>
        </is>
      </c>
      <c r="F7833" t="inlineStr">
        <is>
          <t>0</t>
        </is>
      </c>
      <c r="G7833" t="inlineStr">
        <is>
          <t>0</t>
        </is>
      </c>
      <c r="H7833" t="inlineStr">
        <is>
          <t>6¹, 30¹, 42¹, 210¹</t>
        </is>
      </c>
      <c r="I7833" t="n">
        <v>4</v>
      </c>
      <c r="J7833" t="inlineStr">
        <is>
          <t>2⁸, 8⁴, 12⁴, 48²</t>
        </is>
      </c>
      <c r="K7833">
        <f>HYPERLINK("CSG3.html#group42B3", "42B³"), =HYPERLINK("CSG7.html#group70C7", "70C⁷")</f>
        <v/>
      </c>
      <c r="L7833" t="inlineStr"/>
      <c r="M7833">
        <f>HYPERLINK("CSG0.html#group2A0", "2A⁰"), =HYPERLINK("CSG0.html#group7B0", "7B⁰"), =HYPERLINK("CSG0.html#group14B0", "14B⁰"), =HYPERLINK("CSG0.html#group5B0", "5B⁰"), =HYPERLINK("CSG7.html#group70C7", "70C⁷"), =HYPERLINK("CSG1.html#group10A1", "10A¹"), =HYPERLINK("CSG0.html#group1A0", "1A⁰"), =HYPERLINK("CSG3.html#group35A3", "35A³"), =HYPERLINK("CSG3.html#group42B3", "42B³")</f>
        <v/>
      </c>
      <c r="N7833" t="inlineStr"/>
    </row>
    <row r="7834">
      <c r="A7834" t="inlineStr">
        <is>
          <t>210I²³</t>
        </is>
      </c>
      <c r="B7834" t="inlineStr"/>
      <c r="C7834" t="inlineStr">
        <is>
          <t>320</t>
        </is>
      </c>
      <c r="D7834" t="inlineStr">
        <is>
          <t>1</t>
        </is>
      </c>
      <c r="E7834" t="inlineStr">
        <is>
          <t>160</t>
        </is>
      </c>
      <c r="F7834" t="inlineStr">
        <is>
          <t>0</t>
        </is>
      </c>
      <c r="G7834" t="inlineStr">
        <is>
          <t>8</t>
        </is>
      </c>
      <c r="H7834" t="inlineStr">
        <is>
          <t>10¹, 30¹, 70¹, 210¹</t>
        </is>
      </c>
      <c r="I7834" t="n">
        <v>4</v>
      </c>
      <c r="J7834" t="inlineStr">
        <is>
          <t>1⁴, 2², 4⁴, 6², 8², 12¹, 24², 48¹</t>
        </is>
      </c>
      <c r="K7834">
        <f>HYPERLINK("CSG3.html#group42D3", "42D³"), =HYPERLINK("CSG11.html#group105D11", "105D¹¹")</f>
        <v/>
      </c>
      <c r="L7834" t="inlineStr"/>
      <c r="M7834">
        <f>HYPERLINK("CSG0.html#group3B0", "3B⁰"), =HYPERLINK("CSG0.html#group5A0", "5A⁰"), =HYPERLINK("CSG1.html#group21B1", "21B¹"), =HYPERLINK("CSG0.html#group7B0", "7B⁰"), =HYPERLINK("CSG1.html#group15B1", "15B¹"), =HYPERLINK("CSG3.html#group42D3", "42D³"), =HYPERLINK("CSG2.html#group35B2", "35B²"), =HYPERLINK("CSG0.html#group1A0", "1A⁰"), =HYPERLINK("CSG11.html#group105D11", "105D¹¹")</f>
        <v/>
      </c>
      <c r="N7834" t="inlineStr"/>
    </row>
    <row r="7835">
      <c r="A7835" t="inlineStr">
        <is>
          <t>210J²³</t>
        </is>
      </c>
      <c r="B7835" t="inlineStr"/>
      <c r="C7835" t="inlineStr">
        <is>
          <t>320</t>
        </is>
      </c>
      <c r="D7835" t="inlineStr">
        <is>
          <t>1</t>
        </is>
      </c>
      <c r="E7835" t="inlineStr">
        <is>
          <t>160</t>
        </is>
      </c>
      <c r="F7835" t="inlineStr">
        <is>
          <t>0</t>
        </is>
      </c>
      <c r="G7835" t="inlineStr">
        <is>
          <t>8</t>
        </is>
      </c>
      <c r="H7835" t="inlineStr">
        <is>
          <t>10¹, 30¹, 70¹, 210¹</t>
        </is>
      </c>
      <c r="I7835" t="n">
        <v>4</v>
      </c>
      <c r="J7835" t="inlineStr">
        <is>
          <t>1⁴, 2², 4⁴, 6², 8², 12¹, 24², 48¹</t>
        </is>
      </c>
      <c r="K7835">
        <f>HYPERLINK("CSG2.html#group30D2", "30D²"), =HYPERLINK("CSG3.html#group42E3", "42E³"), =HYPERLINK("CSG4.html#group70B4", "70B⁴"), =HYPERLINK("CSG11.html#group105D11", "105D¹¹")</f>
        <v/>
      </c>
      <c r="L7835" t="inlineStr"/>
      <c r="M7835">
        <f>HYPERLINK("CSG0.html#group2A0", "2A⁰"), =HYPERLINK("CSG0.html#group3B0", "3B⁰"), =HYPERLINK("CSG0.html#group5A0", "5A⁰"), =HYPERLINK("CSG2.html#group30D2", "30D²"), =HYPERLINK("CSG0.html#group6C0", "6C⁰"), =HYPERLINK("CSG0.html#group1A0", "1A⁰"), =HYPERLINK("CSG0.html#group10A0", "10A⁰"), =HYPERLINK("CSG1.html#group21B1", "21B¹"), =HYPERLINK("CSG4.html#group70B4", "70B⁴"), =HYPERLINK("CSG0.html#group7B0", "7B⁰"), =HYPERLINK("CSG3.html#group42E3", "42E³"), =HYPERLINK("CSG0.html#group14B0", "14B⁰"), =HYPERLINK("CSG1.html#group15B1", "15B¹"), =HYPERLINK("CSG2.html#group35B2", "35B²"), =HYPERLINK("CSG11.html#group105D11", "105D¹¹")</f>
        <v/>
      </c>
      <c r="N7835" t="inlineStr"/>
    </row>
    <row r="7836">
      <c r="A7836" t="inlineStr">
        <is>
          <t>213A²³</t>
        </is>
      </c>
      <c r="B7836" t="inlineStr">
        <is>
          <t>Γ₀(213)</t>
        </is>
      </c>
      <c r="C7836" t="inlineStr">
        <is>
          <t>288</t>
        </is>
      </c>
      <c r="D7836" t="inlineStr">
        <is>
          <t>1</t>
        </is>
      </c>
      <c r="E7836" t="inlineStr">
        <is>
          <t>288</t>
        </is>
      </c>
      <c r="F7836" t="inlineStr">
        <is>
          <t>0</t>
        </is>
      </c>
      <c r="G7836" t="inlineStr">
        <is>
          <t>0</t>
        </is>
      </c>
      <c r="H7836" t="inlineStr">
        <is>
          <t>1¹, 3¹, 71¹, 213¹</t>
        </is>
      </c>
      <c r="I7836" t="n">
        <v>4</v>
      </c>
      <c r="J7836" t="inlineStr">
        <is>
          <t>1⁴, 2², 70², 140¹</t>
        </is>
      </c>
      <c r="K7836">
        <f>HYPERLINK("CSG0.html#group3B0", "3B⁰"), =HYPERLINK("CSG6.html#group71A6", "71A⁶")</f>
        <v/>
      </c>
      <c r="L7836" t="inlineStr"/>
      <c r="M7836">
        <f>HYPERLINK("CSG0.html#group3B0", "3B⁰"), =HYPERLINK("CSG0.html#group1A0", "1A⁰"), =HYPERLINK("CSG6.html#group71A6", "71A⁶")</f>
        <v/>
      </c>
      <c r="N7836" t="inlineStr"/>
    </row>
    <row r="7837">
      <c r="A7837" t="inlineStr">
        <is>
          <t>216A²³</t>
        </is>
      </c>
      <c r="B7837" t="inlineStr"/>
      <c r="C7837" t="inlineStr">
        <is>
          <t>288</t>
        </is>
      </c>
      <c r="D7837" t="inlineStr">
        <is>
          <t>2</t>
        </is>
      </c>
      <c r="E7837" t="inlineStr">
        <is>
          <t>48</t>
        </is>
      </c>
      <c r="F7837" t="inlineStr">
        <is>
          <t>0</t>
        </is>
      </c>
      <c r="G7837" t="inlineStr">
        <is>
          <t>0</t>
        </is>
      </c>
      <c r="H7837" t="inlineStr">
        <is>
          <t>24³, 216¹</t>
        </is>
      </c>
      <c r="I7837" t="n">
        <v>4</v>
      </c>
      <c r="J7837" t="inlineStr">
        <is>
          <t>4⁴, 8⁴, 24²</t>
        </is>
      </c>
      <c r="K7837">
        <f>HYPERLINK("CSG7.html#group72A7", "72A⁷"), =HYPERLINK("CSG11.html#group108C11", "108C¹¹")</f>
        <v/>
      </c>
      <c r="L7837" t="inlineStr"/>
      <c r="M7837">
        <f>HYPERLINK("CSG0.html#group3B0", "3B⁰"), =HYPERLINK("CSG7.html#group72A7", "72A⁷"), =HYPERLINK("CSG2.html#group27A2", "27A²"), =HYPERLINK("CSG2.html#group24A2", "24A²"), =HYPERLINK("CSG0.html#group4A0", "4A⁰"), =HYPERLINK("CSG1.html#group12A1", "12A¹"), =HYPERLINK("CSG0.html#group8A0", "8A⁰"), =HYPERLINK("CSG0.html#group9B0", "9B⁰"), =HYPERLINK("CSG11.html#group108C11", "108C¹¹"), =HYPERLINK("CSG0.html#group1A0", "1A⁰"), =HYPERLINK("CSG3.html#group36B3", "36B³")</f>
        <v/>
      </c>
      <c r="N7837" t="inlineStr"/>
    </row>
    <row r="7838">
      <c r="A7838" t="inlineStr">
        <is>
          <t>219A²³</t>
        </is>
      </c>
      <c r="B7838" t="inlineStr">
        <is>
          <t>Γ₀(219)</t>
        </is>
      </c>
      <c r="C7838" t="inlineStr">
        <is>
          <t>296</t>
        </is>
      </c>
      <c r="D7838" t="inlineStr">
        <is>
          <t>1</t>
        </is>
      </c>
      <c r="E7838" t="inlineStr">
        <is>
          <t>296</t>
        </is>
      </c>
      <c r="F7838" t="inlineStr">
        <is>
          <t>0</t>
        </is>
      </c>
      <c r="G7838" t="inlineStr">
        <is>
          <t>2</t>
        </is>
      </c>
      <c r="H7838" t="inlineStr">
        <is>
          <t>1¹, 3¹, 73¹, 219¹</t>
        </is>
      </c>
      <c r="I7838" t="n">
        <v>4</v>
      </c>
      <c r="J7838" t="inlineStr">
        <is>
          <t>1⁴, 2², 72², 144¹</t>
        </is>
      </c>
      <c r="K7838">
        <f>HYPERLINK("CSG0.html#group3B0", "3B⁰"), =HYPERLINK("CSG5.html#group73A5", "73A⁵")</f>
        <v/>
      </c>
      <c r="L7838" t="inlineStr"/>
      <c r="M7838">
        <f>HYPERLINK("CSG0.html#group3B0", "3B⁰"), =HYPERLINK("CSG0.html#group1A0", "1A⁰"), =HYPERLINK("CSG5.html#group73A5", "73A⁵")</f>
        <v/>
      </c>
      <c r="N7838" t="inlineStr"/>
    </row>
    <row r="7839">
      <c r="A7839" t="inlineStr">
        <is>
          <t>220A²³</t>
        </is>
      </c>
      <c r="B7839" t="inlineStr"/>
      <c r="C7839" t="inlineStr">
        <is>
          <t>288</t>
        </is>
      </c>
      <c r="D7839" t="inlineStr">
        <is>
          <t>1</t>
        </is>
      </c>
      <c r="E7839" t="inlineStr">
        <is>
          <t>72</t>
        </is>
      </c>
      <c r="F7839" t="inlineStr">
        <is>
          <t>0</t>
        </is>
      </c>
      <c r="G7839" t="inlineStr">
        <is>
          <t>0</t>
        </is>
      </c>
      <c r="H7839" t="inlineStr">
        <is>
          <t>4¹, 20¹, 44¹, 220¹</t>
        </is>
      </c>
      <c r="I7839" t="n">
        <v>4</v>
      </c>
      <c r="J7839" t="inlineStr">
        <is>
          <t>1⁴, 4², 10², 40¹</t>
        </is>
      </c>
      <c r="K7839">
        <f>HYPERLINK("CSG11.html#group110C11", "110C¹¹")</f>
        <v/>
      </c>
      <c r="L7839" t="inlineStr"/>
      <c r="M7839">
        <f>HYPERLINK("CSG0.html#group2A0", "2A⁰"), =HYPERLINK("CSG5.html#group55B5", "55B⁵"), =HYPERLINK("CSG1.html#group11A1", "11A¹"), =HYPERLINK("CSG2.html#group22A2", "22A²"), =HYPERLINK("CSG0.html#group5B0", "5B⁰"), =HYPERLINK("CSG11.html#group110C11", "110C¹¹"), =HYPERLINK("CSG1.html#group10A1", "10A¹"), =HYPERLINK("CSG0.html#group1A0", "1A⁰")</f>
        <v/>
      </c>
      <c r="N7839" t="inlineStr"/>
    </row>
    <row r="7840">
      <c r="A7840" t="inlineStr">
        <is>
          <t>220B²³</t>
        </is>
      </c>
      <c r="B7840" t="inlineStr"/>
      <c r="C7840" t="inlineStr">
        <is>
          <t>288</t>
        </is>
      </c>
      <c r="D7840" t="inlineStr">
        <is>
          <t>1</t>
        </is>
      </c>
      <c r="E7840" t="inlineStr">
        <is>
          <t>72</t>
        </is>
      </c>
      <c r="F7840" t="inlineStr">
        <is>
          <t>0</t>
        </is>
      </c>
      <c r="G7840" t="inlineStr">
        <is>
          <t>0</t>
        </is>
      </c>
      <c r="H7840" t="inlineStr">
        <is>
          <t>4¹, 20¹, 44¹, 220¹</t>
        </is>
      </c>
      <c r="I7840" t="n">
        <v>4</v>
      </c>
      <c r="J7840" t="inlineStr">
        <is>
          <t>1⁴, 4², 10², 40¹</t>
        </is>
      </c>
      <c r="K7840">
        <f>HYPERLINK("CSG4.html#group44A4", "44A⁴"), =HYPERLINK("CSG11.html#group110C11", "110C¹¹")</f>
        <v/>
      </c>
      <c r="L7840" t="inlineStr"/>
      <c r="M7840">
        <f>HYPERLINK("CSG0.html#group2A0", "2A⁰"), =HYPERLINK("CSG4.html#group44A4", "44A⁴"), =HYPERLINK("CSG5.html#group55B5", "55B⁵"), =HYPERLINK("CSG1.html#group11A1", "11A¹"), =HYPERLINK("CSG2.html#group22A2", "22A²"), =HYPERLINK("CSG0.html#group5B0", "5B⁰"), =HYPERLINK("CSG11.html#group110C11", "110C¹¹"), =HYPERLINK("CSG1.html#group10A1", "10A¹"), =HYPERLINK("CSG0.html#group1A0", "1A⁰")</f>
        <v/>
      </c>
      <c r="N7840" t="inlineStr"/>
    </row>
    <row r="7841">
      <c r="A7841" t="inlineStr">
        <is>
          <t>220C²³</t>
        </is>
      </c>
      <c r="B7841" t="inlineStr"/>
      <c r="C7841" t="inlineStr">
        <is>
          <t>288</t>
        </is>
      </c>
      <c r="D7841" t="inlineStr">
        <is>
          <t>1</t>
        </is>
      </c>
      <c r="E7841" t="inlineStr">
        <is>
          <t>288</t>
        </is>
      </c>
      <c r="F7841" t="inlineStr">
        <is>
          <t>0</t>
        </is>
      </c>
      <c r="G7841" t="inlineStr">
        <is>
          <t>0</t>
        </is>
      </c>
      <c r="H7841" t="inlineStr">
        <is>
          <t>4¹, 20¹, 44¹, 220¹</t>
        </is>
      </c>
      <c r="I7841" t="n">
        <v>4</v>
      </c>
      <c r="J7841" t="inlineStr">
        <is>
          <t>2⁸, 8⁴, 20⁴, 80²</t>
        </is>
      </c>
      <c r="K7841">
        <f>HYPERLINK("CSG1.html#group20B1", "20B¹"), =HYPERLINK("CSG4.html#group44B4", "44B⁴"), =HYPERLINK("CSG5.html#group55B5", "55B⁵")</f>
        <v/>
      </c>
      <c r="L7841" t="inlineStr"/>
      <c r="M7841">
        <f>HYPERLINK("CSG5.html#group55B5", "55B⁵"), =HYPERLINK("CSG1.html#group11A1", "11A¹"), =HYPERLINK("CSG0.html#group4A0", "4A⁰"), =HYPERLINK("CSG4.html#group44B4", "44B⁴"), =HYPERLINK("CSG0.html#group5B0", "5B⁰"), =HYPERLINK("CSG0.html#group1A0", "1A⁰"), =HYPERLINK("CSG1.html#group20B1", "20B¹")</f>
        <v/>
      </c>
      <c r="N7841" t="inlineStr"/>
    </row>
    <row r="7842">
      <c r="A7842" t="inlineStr">
        <is>
          <t>220D²³</t>
        </is>
      </c>
      <c r="B7842" t="inlineStr"/>
      <c r="C7842" t="inlineStr">
        <is>
          <t>288</t>
        </is>
      </c>
      <c r="D7842" t="inlineStr">
        <is>
          <t>2</t>
        </is>
      </c>
      <c r="E7842" t="inlineStr">
        <is>
          <t>72</t>
        </is>
      </c>
      <c r="F7842" t="inlineStr">
        <is>
          <t>0</t>
        </is>
      </c>
      <c r="G7842" t="inlineStr">
        <is>
          <t>0</t>
        </is>
      </c>
      <c r="H7842" t="inlineStr">
        <is>
          <t>4¹, 20¹, 44¹, 220¹</t>
        </is>
      </c>
      <c r="I7842" t="n">
        <v>4</v>
      </c>
      <c r="J7842" t="inlineStr">
        <is>
          <t>2⁴, 8², 20², 80¹</t>
        </is>
      </c>
      <c r="K7842">
        <f>HYPERLINK("CSG1.html#group20C1", "20C¹"), =HYPERLINK("CSG11.html#group110B11", "110B¹¹")</f>
        <v/>
      </c>
      <c r="L7842" t="inlineStr"/>
      <c r="M7842">
        <f>HYPERLINK("CSG1.html#group20C1", "20C¹"), =HYPERLINK("CSG5.html#group55B5", "55B⁵"), =HYPERLINK("CSG1.html#group11A1", "11A¹"), =HYPERLINK("CSG0.html#group5B0", "5B⁰"), =HYPERLINK("CSG0.html#group1A0", "1A⁰"), =HYPERLINK("CSG11.html#group110B11", "110B¹¹"), =HYPERLINK("CSG0.html#group10B0", "10B⁰")</f>
        <v/>
      </c>
      <c r="N7842" t="inlineStr"/>
    </row>
    <row r="7843">
      <c r="A7843" t="inlineStr">
        <is>
          <t>222A²³</t>
        </is>
      </c>
      <c r="B7843" t="inlineStr"/>
      <c r="C7843" t="inlineStr">
        <is>
          <t>304</t>
        </is>
      </c>
      <c r="D7843" t="inlineStr">
        <is>
          <t>1</t>
        </is>
      </c>
      <c r="E7843" t="inlineStr">
        <is>
          <t>152</t>
        </is>
      </c>
      <c r="F7843" t="inlineStr">
        <is>
          <t>0</t>
        </is>
      </c>
      <c r="G7843" t="inlineStr">
        <is>
          <t>4</t>
        </is>
      </c>
      <c r="H7843" t="inlineStr">
        <is>
          <t>2¹, 6¹, 74¹, 222¹</t>
        </is>
      </c>
      <c r="I7843" t="n">
        <v>4</v>
      </c>
      <c r="J7843" t="inlineStr">
        <is>
          <t>1⁴, 2², 36², 72¹</t>
        </is>
      </c>
      <c r="K7843">
        <f>HYPERLINK("CSG4.html#group74A4", "74A⁴"), =HYPERLINK("CSG11.html#group111A11", "111A¹¹")</f>
        <v/>
      </c>
      <c r="L7843" t="inlineStr"/>
      <c r="M7843">
        <f>HYPERLINK("CSG2.html#group37A2", "37A²"), =HYPERLINK("CSG11.html#group111A11", "111A¹¹"), =HYPERLINK("CSG0.html#group3B0", "3B⁰"), =HYPERLINK("CSG0.html#group1A0", "1A⁰"), =HYPERLINK("CSG4.html#group74A4", "74A⁴")</f>
        <v/>
      </c>
      <c r="N7843" t="inlineStr"/>
    </row>
    <row r="7844">
      <c r="A7844" t="inlineStr">
        <is>
          <t>222B²³</t>
        </is>
      </c>
      <c r="B7844" t="inlineStr"/>
      <c r="C7844" t="inlineStr">
        <is>
          <t>304</t>
        </is>
      </c>
      <c r="D7844" t="inlineStr">
        <is>
          <t>1</t>
        </is>
      </c>
      <c r="E7844" t="inlineStr">
        <is>
          <t>152</t>
        </is>
      </c>
      <c r="F7844" t="inlineStr">
        <is>
          <t>0</t>
        </is>
      </c>
      <c r="G7844" t="inlineStr">
        <is>
          <t>4</t>
        </is>
      </c>
      <c r="H7844" t="inlineStr">
        <is>
          <t>2¹, 6¹, 74¹, 222¹</t>
        </is>
      </c>
      <c r="I7844" t="n">
        <v>4</v>
      </c>
      <c r="J7844" t="inlineStr">
        <is>
          <t>1⁴, 2², 36², 72¹</t>
        </is>
      </c>
      <c r="K7844">
        <f>HYPERLINK("CSG0.html#group6C0", "6C⁰"), =HYPERLINK("CSG5.html#group74A5", "74A⁵"), =HYPERLINK("CSG11.html#group111A11", "111A¹¹")</f>
        <v/>
      </c>
      <c r="L7844" t="inlineStr"/>
      <c r="M7844">
        <f>HYPERLINK("CSG2.html#group37A2", "37A²"), =HYPERLINK("CSG0.html#group3B0", "3B⁰"), =HYPERLINK("CSG0.html#group2A0", "2A⁰"), =HYPERLINK("CSG0.html#group6C0", "6C⁰"), =HYPERLINK("CSG11.html#group111A11", "111A¹¹"), =HYPERLINK("CSG5.html#group74A5", "74A⁵"), =HYPERLINK("CSG0.html#group1A0", "1A⁰")</f>
        <v/>
      </c>
      <c r="N7844" t="inlineStr"/>
    </row>
    <row r="7845">
      <c r="A7845" t="inlineStr">
        <is>
          <t>224A²³</t>
        </is>
      </c>
      <c r="B7845" t="inlineStr"/>
      <c r="C7845" t="inlineStr">
        <is>
          <t>336</t>
        </is>
      </c>
      <c r="D7845" t="inlineStr">
        <is>
          <t>2</t>
        </is>
      </c>
      <c r="E7845" t="inlineStr">
        <is>
          <t>84</t>
        </is>
      </c>
      <c r="F7845" t="inlineStr">
        <is>
          <t>20</t>
        </is>
      </c>
      <c r="G7845" t="inlineStr">
        <is>
          <t>0</t>
        </is>
      </c>
      <c r="H7845" t="inlineStr">
        <is>
          <t>112¹, 224¹</t>
        </is>
      </c>
      <c r="I7845" t="n">
        <v>2</v>
      </c>
      <c r="J7845" t="inlineStr">
        <is>
          <t>4⁶, 12¹²</t>
        </is>
      </c>
      <c r="K7845">
        <f>HYPERLINK("CSG8.html#group112B8", "112B⁸")</f>
        <v/>
      </c>
      <c r="L7845" t="inlineStr"/>
      <c r="M7845">
        <f>HYPERLINK("CSG0.html#group16B0", "16B⁰"), =HYPERLINK("CSG2.html#group28C2", "28C²"), =HYPERLINK("CSG1.html#group14B1", "14B¹"), =HYPERLINK("CSG0.html#group4C0", "4C⁰"), =HYPERLINK("CSG0.html#group8B0", "8B⁰"), =HYPERLINK("CSG0.html#group2B0", "2B⁰"), =HYPERLINK("CSG8.html#group112B8", "112B⁸"), =HYPERLINK("CSG0.html#group1A0", "1A⁰"), =HYPERLINK("CSG0.html#group7A0", "7A⁰"), =HYPERLINK("CSG4.html#group56B4", "56B⁴")</f>
        <v/>
      </c>
      <c r="N7845" t="inlineStr"/>
    </row>
    <row r="7846">
      <c r="A7846" t="inlineStr">
        <is>
          <t>224B²³</t>
        </is>
      </c>
      <c r="B7846" t="inlineStr"/>
      <c r="C7846" t="inlineStr">
        <is>
          <t>384</t>
        </is>
      </c>
      <c r="D7846" t="inlineStr">
        <is>
          <t>1</t>
        </is>
      </c>
      <c r="E7846" t="inlineStr">
        <is>
          <t>48</t>
        </is>
      </c>
      <c r="F7846" t="inlineStr">
        <is>
          <t>0</t>
        </is>
      </c>
      <c r="G7846" t="inlineStr">
        <is>
          <t>0</t>
        </is>
      </c>
      <c r="H7846" t="inlineStr">
        <is>
          <t>1⁸, 7⁸, 8¹, 32¹, 56¹, 224¹</t>
        </is>
      </c>
      <c r="I7846" t="n">
        <v>20</v>
      </c>
      <c r="J7846" t="inlineStr">
        <is>
          <t>1⁸, 2², 6⁴, 12¹</t>
        </is>
      </c>
      <c r="K7846">
        <f>HYPERLINK("CSG11.html#group112H11", "112H¹¹")</f>
        <v/>
      </c>
      <c r="L7846" t="inlineStr"/>
      <c r="M7846">
        <f>HYPERLINK("CSG0.html#group7B0", "7B⁰"), =HYPERLINK("CSG0.html#group16C0", "16C⁰"), =HYPERLINK("CSG2.html#group28D2", "28D²"), =HYPERLINK("CSG1.html#group14C1", "14C¹"), =HYPERLINK("CSG0.html#group8C0", "8C⁰"), =HYPERLINK("CSG0.html#group2B0", "2B⁰"), =HYPERLINK("CSG0.html#group4B0", "4B⁰"), =HYPERLINK("CSG5.html#group56D5", "56D⁵"), =HYPERLINK("CSG0.html#group1A0", "1A⁰"), =HYPERLINK("CSG11.html#group112H11", "112H¹¹")</f>
        <v/>
      </c>
      <c r="N7846" t="inlineStr"/>
    </row>
    <row r="7847">
      <c r="A7847" t="inlineStr">
        <is>
          <t>224C²³</t>
        </is>
      </c>
      <c r="B7847" t="inlineStr"/>
      <c r="C7847" t="inlineStr">
        <is>
          <t>384</t>
        </is>
      </c>
      <c r="D7847" t="inlineStr">
        <is>
          <t>1</t>
        </is>
      </c>
      <c r="E7847" t="inlineStr">
        <is>
          <t>48</t>
        </is>
      </c>
      <c r="F7847" t="inlineStr">
        <is>
          <t>0</t>
        </is>
      </c>
      <c r="G7847" t="inlineStr">
        <is>
          <t>0</t>
        </is>
      </c>
      <c r="H7847" t="inlineStr">
        <is>
          <t>1⁸, 7⁸, 8¹, 32¹, 56¹, 224¹</t>
        </is>
      </c>
      <c r="I7847" t="n">
        <v>20</v>
      </c>
      <c r="J7847" t="inlineStr">
        <is>
          <t>1⁸, 2², 6⁴, 12¹</t>
        </is>
      </c>
      <c r="K7847">
        <f>HYPERLINK("CSG0.html#group32A0", "32A⁰"), =HYPERLINK("CSG11.html#group112H11", "112H¹¹")</f>
        <v/>
      </c>
      <c r="L7847" t="inlineStr"/>
      <c r="M7847">
        <f>HYPERLINK("CSG0.html#group7B0", "7B⁰"), =HYPERLINK("CSG0.html#group16C0", "16C⁰"), =HYPERLINK("CSG2.html#group28D2", "28D²"), =HYPERLINK("CSG0.html#group32A0", "32A⁰"), =HYPERLINK("CSG1.html#group14C1", "14C¹"), =HYPERLINK("CSG0.html#group8C0", "8C⁰"), =HYPERLINK("CSG0.html#group2B0", "2B⁰"), =HYPERLINK("CSG0.html#group4B0", "4B⁰"), =HYPERLINK("CSG5.html#group56D5", "56D⁵"), =HYPERLINK("CSG0.html#group1A0", "1A⁰"), =HYPERLINK("CSG11.html#group112H11", "112H¹¹")</f>
        <v/>
      </c>
      <c r="N7847" t="inlineStr"/>
    </row>
    <row r="7848">
      <c r="A7848" t="inlineStr">
        <is>
          <t>228A²³</t>
        </is>
      </c>
      <c r="B7848" t="inlineStr"/>
      <c r="C7848" t="inlineStr">
        <is>
          <t>320</t>
        </is>
      </c>
      <c r="D7848" t="inlineStr">
        <is>
          <t>1</t>
        </is>
      </c>
      <c r="E7848" t="inlineStr">
        <is>
          <t>80</t>
        </is>
      </c>
      <c r="F7848" t="inlineStr">
        <is>
          <t>0</t>
        </is>
      </c>
      <c r="G7848" t="inlineStr">
        <is>
          <t>8</t>
        </is>
      </c>
      <c r="H7848" t="inlineStr">
        <is>
          <t>4¹, 12¹, 76¹, 228¹</t>
        </is>
      </c>
      <c r="I7848" t="n">
        <v>4</v>
      </c>
      <c r="J7848" t="inlineStr">
        <is>
          <t>1⁴, 2², 18², 36¹</t>
        </is>
      </c>
      <c r="K7848">
        <f>HYPERLINK("CSG0.html#group12B0", "12B⁰"), =HYPERLINK("CSG11.html#group114B11", "114B¹¹")</f>
        <v/>
      </c>
      <c r="L7848" t="inlineStr"/>
      <c r="M7848">
        <f>HYPERLINK("CSG0.html#group3B0", "3B⁰"), =HYPERLINK("CSG1.html#group19A1", "19A¹"), =HYPERLINK("CSG0.html#group2A0", "2A⁰"), =HYPERLINK("CSG2.html#group38A2", "38A²"), =HYPERLINK("CSG0.html#group6C0", "6C⁰"), =HYPERLINK("CSG5.html#group57C5", "57C⁵"), =HYPERLINK("CSG0.html#group1A0", "1A⁰"), =HYPERLINK("CSG11.html#group114B11", "114B¹¹"), =HYPERLINK("CSG0.html#group12B0", "12B⁰")</f>
        <v/>
      </c>
      <c r="N7848" t="inlineStr"/>
    </row>
    <row r="7849">
      <c r="A7849" t="inlineStr">
        <is>
          <t>228B²³</t>
        </is>
      </c>
      <c r="B7849" t="inlineStr"/>
      <c r="C7849" t="inlineStr">
        <is>
          <t>320</t>
        </is>
      </c>
      <c r="D7849" t="inlineStr">
        <is>
          <t>1</t>
        </is>
      </c>
      <c r="E7849" t="inlineStr">
        <is>
          <t>80</t>
        </is>
      </c>
      <c r="F7849" t="inlineStr">
        <is>
          <t>0</t>
        </is>
      </c>
      <c r="G7849" t="inlineStr">
        <is>
          <t>8</t>
        </is>
      </c>
      <c r="H7849" t="inlineStr">
        <is>
          <t>4¹, 12¹, 76¹, 228¹</t>
        </is>
      </c>
      <c r="I7849" t="n">
        <v>4</v>
      </c>
      <c r="J7849" t="inlineStr">
        <is>
          <t>1⁴, 2², 18², 36¹</t>
        </is>
      </c>
      <c r="K7849">
        <f>HYPERLINK("CSG4.html#group76A4", "76A⁴"), =HYPERLINK("CSG11.html#group114B11", "114B¹¹")</f>
        <v/>
      </c>
      <c r="L7849" t="inlineStr"/>
      <c r="M7849">
        <f>HYPERLINK("CSG0.html#group2A0", "2A⁰"), =HYPERLINK("CSG1.html#group19A1", "19A¹"), =HYPERLINK("CSG0.html#group3B0", "3B⁰"), =HYPERLINK("CSG2.html#group38A2", "38A²"), =HYPERLINK("CSG0.html#group6C0", "6C⁰"), =HYPERLINK("CSG4.html#group76A4", "76A⁴"), =HYPERLINK("CSG0.html#group1A0", "1A⁰"), =HYPERLINK("CSG11.html#group114B11", "114B¹¹"), =HYPERLINK("CSG5.html#group57C5", "57C⁵")</f>
        <v/>
      </c>
      <c r="N7849" t="inlineStr"/>
    </row>
    <row r="7850">
      <c r="A7850" t="inlineStr">
        <is>
          <t>230A²³</t>
        </is>
      </c>
      <c r="B7850" t="inlineStr"/>
      <c r="C7850" t="inlineStr">
        <is>
          <t>288</t>
        </is>
      </c>
      <c r="D7850" t="inlineStr">
        <is>
          <t>1</t>
        </is>
      </c>
      <c r="E7850" t="inlineStr">
        <is>
          <t>144</t>
        </is>
      </c>
      <c r="F7850" t="inlineStr">
        <is>
          <t>0</t>
        </is>
      </c>
      <c r="G7850" t="inlineStr">
        <is>
          <t>0</t>
        </is>
      </c>
      <c r="H7850" t="inlineStr">
        <is>
          <t>2¹, 10¹, 46¹, 230¹</t>
        </is>
      </c>
      <c r="I7850" t="n">
        <v>4</v>
      </c>
      <c r="J7850" t="inlineStr">
        <is>
          <t>1⁴, 4², 22², 88¹</t>
        </is>
      </c>
      <c r="K7850">
        <f>HYPERLINK("CSG0.html#group10B0", "10B⁰"), =HYPERLINK("CSG11.html#group115A11", "115A¹¹")</f>
        <v/>
      </c>
      <c r="L7850" t="inlineStr"/>
      <c r="M7850">
        <f>HYPERLINK("CSG0.html#group5B0", "5B⁰"), =HYPERLINK("CSG2.html#group23A2", "23A²"), =HYPERLINK("CSG0.html#group10B0", "10B⁰"), =HYPERLINK("CSG0.html#group1A0", "1A⁰"), =HYPERLINK("CSG11.html#group115A11", "115A¹¹")</f>
        <v/>
      </c>
      <c r="N7850" t="inlineStr"/>
    </row>
    <row r="7851">
      <c r="A7851" t="inlineStr">
        <is>
          <t>230B²³</t>
        </is>
      </c>
      <c r="B7851" t="inlineStr"/>
      <c r="C7851" t="inlineStr">
        <is>
          <t>288</t>
        </is>
      </c>
      <c r="D7851" t="inlineStr">
        <is>
          <t>1</t>
        </is>
      </c>
      <c r="E7851" t="inlineStr">
        <is>
          <t>144</t>
        </is>
      </c>
      <c r="F7851" t="inlineStr">
        <is>
          <t>0</t>
        </is>
      </c>
      <c r="G7851" t="inlineStr">
        <is>
          <t>0</t>
        </is>
      </c>
      <c r="H7851" t="inlineStr">
        <is>
          <t>2¹, 10¹, 46¹, 230¹</t>
        </is>
      </c>
      <c r="I7851" t="n">
        <v>4</v>
      </c>
      <c r="J7851" t="inlineStr">
        <is>
          <t>1⁴, 4², 22², 88¹</t>
        </is>
      </c>
      <c r="K7851">
        <f>HYPERLINK("CSG1.html#group10A1", "10A¹"), =HYPERLINK("CSG4.html#group46A4", "46A⁴"), =HYPERLINK("CSG11.html#group115A11", "115A¹¹")</f>
        <v/>
      </c>
      <c r="L7851" t="inlineStr"/>
      <c r="M7851">
        <f>HYPERLINK("CSG0.html#group2A0", "2A⁰"), =HYPERLINK("CSG0.html#group5B0", "5B⁰"), =HYPERLINK("CSG1.html#group10A1", "10A¹"), =HYPERLINK("CSG2.html#group23A2", "23A²"), =HYPERLINK("CSG0.html#group1A0", "1A⁰"), =HYPERLINK("CSG4.html#group46A4", "46A⁴"), =HYPERLINK("CSG11.html#group115A11", "115A¹¹")</f>
        <v/>
      </c>
      <c r="N7851" t="inlineStr"/>
    </row>
    <row r="7852">
      <c r="A7852" t="inlineStr">
        <is>
          <t>231A²³</t>
        </is>
      </c>
      <c r="B7852" t="inlineStr"/>
      <c r="C7852" t="inlineStr">
        <is>
          <t>288</t>
        </is>
      </c>
      <c r="D7852" t="inlineStr">
        <is>
          <t>1</t>
        </is>
      </c>
      <c r="E7852" t="inlineStr">
        <is>
          <t>96</t>
        </is>
      </c>
      <c r="F7852" t="inlineStr">
        <is>
          <t>0</t>
        </is>
      </c>
      <c r="G7852" t="inlineStr">
        <is>
          <t>0</t>
        </is>
      </c>
      <c r="H7852" t="inlineStr">
        <is>
          <t>3¹, 21¹, 33¹, 231¹</t>
        </is>
      </c>
      <c r="I7852" t="n">
        <v>4</v>
      </c>
      <c r="J7852" t="inlineStr">
        <is>
          <t>1⁴, 6², 10², 60¹</t>
        </is>
      </c>
      <c r="K7852">
        <f>HYPERLINK("CSG2.html#group21A2", "21A²"), =HYPERLINK("CSG3.html#group33A3", "33A³"), =HYPERLINK("CSG7.html#group77B7", "77B⁷")</f>
        <v/>
      </c>
      <c r="L7852" t="inlineStr"/>
      <c r="M7852">
        <f>HYPERLINK("CSG2.html#group21A2", "21A²"), =HYPERLINK("CSG1.html#group11A1", "11A¹"), =HYPERLINK("CSG0.html#group7B0", "7B⁰"), =HYPERLINK("CSG7.html#group77B7", "77B⁷"), =HYPERLINK("CSG0.html#group3A0", "3A⁰"), =HYPERLINK("CSG3.html#group33A3", "33A³"), =HYPERLINK("CSG0.html#group1A0", "1A⁰")</f>
        <v/>
      </c>
      <c r="N7852" t="inlineStr"/>
    </row>
    <row r="7853">
      <c r="A7853" t="inlineStr">
        <is>
          <t>231B²³</t>
        </is>
      </c>
      <c r="B7853" t="inlineStr"/>
      <c r="C7853" t="inlineStr">
        <is>
          <t>288</t>
        </is>
      </c>
      <c r="D7853" t="inlineStr">
        <is>
          <t>2</t>
        </is>
      </c>
      <c r="E7853" t="inlineStr">
        <is>
          <t>96</t>
        </is>
      </c>
      <c r="F7853" t="inlineStr">
        <is>
          <t>0</t>
        </is>
      </c>
      <c r="G7853" t="inlineStr">
        <is>
          <t>0</t>
        </is>
      </c>
      <c r="H7853" t="inlineStr">
        <is>
          <t>3¹, 21¹, 33¹, 231¹</t>
        </is>
      </c>
      <c r="I7853" t="n">
        <v>4</v>
      </c>
      <c r="J7853" t="inlineStr">
        <is>
          <t>2⁴, 12², 20², 120¹</t>
        </is>
      </c>
      <c r="K7853">
        <f>HYPERLINK("CSG1.html#group21A1", "21A¹"), =HYPERLINK("CSG7.html#group77B7", "77B⁷")</f>
        <v/>
      </c>
      <c r="L7853" t="inlineStr"/>
      <c r="M7853">
        <f>HYPERLINK("CSG7.html#group77B7", "77B⁷"), =HYPERLINK("CSG0.html#group1A0", "1A⁰"), =HYPERLINK("CSG0.html#group7B0", "7B⁰"), =HYPERLINK("CSG1.html#group11A1", "11A¹"), =HYPERLINK("CSG1.html#group21A1", "21A¹")</f>
        <v/>
      </c>
      <c r="N7853" t="inlineStr"/>
    </row>
    <row r="7854">
      <c r="A7854" t="inlineStr">
        <is>
          <t>234A²³</t>
        </is>
      </c>
      <c r="B7854" t="inlineStr"/>
      <c r="C7854" t="inlineStr">
        <is>
          <t>336</t>
        </is>
      </c>
      <c r="D7854" t="inlineStr">
        <is>
          <t>1</t>
        </is>
      </c>
      <c r="E7854" t="inlineStr">
        <is>
          <t>56</t>
        </is>
      </c>
      <c r="F7854" t="inlineStr">
        <is>
          <t>0</t>
        </is>
      </c>
      <c r="G7854" t="inlineStr">
        <is>
          <t>12</t>
        </is>
      </c>
      <c r="H7854" t="inlineStr">
        <is>
          <t>6¹, 18¹, 78¹, 234¹</t>
        </is>
      </c>
      <c r="I7854" t="n">
        <v>4</v>
      </c>
      <c r="J7854" t="inlineStr">
        <is>
          <t>1⁴, 2², 12², 24¹</t>
        </is>
      </c>
      <c r="K7854">
        <f>HYPERLINK("CSG7.html#group78B7", "78B⁷"), =HYPERLINK("CSG11.html#group117B11", "117B¹¹")</f>
        <v/>
      </c>
      <c r="L7854" t="inlineStr"/>
      <c r="M7854">
        <f>HYPERLINK("CSG0.html#group3B0", "3B⁰"), =HYPERLINK("CSG3.html#group39A3", "39A³"), =HYPERLINK("CSG11.html#group117B11", "117B¹¹"), =HYPERLINK("CSG0.html#group13A0", "13A⁰"), =HYPERLINK("CSG7.html#group78B7", "78B⁷"), =HYPERLINK("CSG0.html#group26A0", "26A⁰"), =HYPERLINK("CSG0.html#group9C0", "9C⁰"), =HYPERLINK("CSG0.html#group1A0", "1A⁰")</f>
        <v/>
      </c>
      <c r="N7854" t="inlineStr"/>
    </row>
    <row r="7855">
      <c r="A7855" t="inlineStr">
        <is>
          <t>234B²³</t>
        </is>
      </c>
      <c r="B7855" t="inlineStr"/>
      <c r="C7855" t="inlineStr">
        <is>
          <t>336</t>
        </is>
      </c>
      <c r="D7855" t="inlineStr">
        <is>
          <t>1</t>
        </is>
      </c>
      <c r="E7855" t="inlineStr">
        <is>
          <t>56</t>
        </is>
      </c>
      <c r="F7855" t="inlineStr">
        <is>
          <t>0</t>
        </is>
      </c>
      <c r="G7855" t="inlineStr">
        <is>
          <t>12</t>
        </is>
      </c>
      <c r="H7855" t="inlineStr">
        <is>
          <t>6¹, 18¹, 78¹, 234¹</t>
        </is>
      </c>
      <c r="I7855" t="n">
        <v>4</v>
      </c>
      <c r="J7855" t="inlineStr">
        <is>
          <t>1⁴, 2², 12², 24¹</t>
        </is>
      </c>
      <c r="K7855">
        <f>HYPERLINK("CSG0.html#group18B0", "18B⁰"), =HYPERLINK("CSG7.html#group78C7", "78C⁷"), =HYPERLINK("CSG11.html#group117B11", "117B¹¹")</f>
        <v/>
      </c>
      <c r="L7855" t="inlineStr"/>
      <c r="M7855">
        <f>HYPERLINK("CSG0.html#group3B0", "3B⁰"), =HYPERLINK("CSG0.html#group2A0", "2A⁰"), =HYPERLINK("CSG1.html#group26A1", "26A¹"), =HYPERLINK("CSG3.html#group39A3", "39A³"), =HYPERLINK("CSG11.html#group117B11", "117B¹¹"), =HYPERLINK("CSG0.html#group18B0", "18B⁰"), =HYPERLINK("CSG7.html#group78C7", "78C⁷"), =HYPERLINK("CSG0.html#group6C0", "6C⁰"), =HYPERLINK("CSG0.html#group13A0", "13A⁰"), =HYPERLINK("CSG0.html#group9C0", "9C⁰"), =HYPERLINK("CSG0.html#group1A0", "1A⁰")</f>
        <v/>
      </c>
      <c r="N7855" t="inlineStr"/>
    </row>
    <row r="7856">
      <c r="A7856" t="inlineStr">
        <is>
          <t>234C²³</t>
        </is>
      </c>
      <c r="B7856" t="inlineStr"/>
      <c r="C7856" t="inlineStr">
        <is>
          <t>336</t>
        </is>
      </c>
      <c r="D7856" t="inlineStr">
        <is>
          <t>1</t>
        </is>
      </c>
      <c r="E7856" t="inlineStr">
        <is>
          <t>112</t>
        </is>
      </c>
      <c r="F7856" t="inlineStr">
        <is>
          <t>0</t>
        </is>
      </c>
      <c r="G7856" t="inlineStr">
        <is>
          <t>6</t>
        </is>
      </c>
      <c r="H7856" t="inlineStr">
        <is>
          <t>2³, 18¹, 26³, 234¹</t>
        </is>
      </c>
      <c r="I7856" t="n">
        <v>8</v>
      </c>
      <c r="J7856" t="inlineStr">
        <is>
          <t>2⁸, 24⁴</t>
        </is>
      </c>
      <c r="K7856">
        <f>HYPERLINK("CSG0.html#group18C0", "18C⁰"), =HYPERLINK("CSG7.html#group78C7", "78C⁷")</f>
        <v/>
      </c>
      <c r="L7856" t="inlineStr"/>
      <c r="M7856">
        <f>HYPERLINK("CSG0.html#group18C0", "18C⁰"), =HYPERLINK("CSG0.html#group3B0", "3B⁰"), =HYPERLINK("CSG0.html#group2A0", "2A⁰"), =HYPERLINK("CSG1.html#group26A1", "26A¹"), =HYPERLINK("CSG3.html#group39A3", "39A³"), =HYPERLINK("CSG0.html#group6C0", "6C⁰"), =HYPERLINK("CSG7.html#group78C7", "78C⁷"), =HYPERLINK("CSG0.html#group13A0", "13A⁰"), =HYPERLINK("CSG0.html#group1A0", "1A⁰")</f>
        <v/>
      </c>
      <c r="N7856" t="inlineStr"/>
    </row>
    <row r="7857">
      <c r="A7857" t="inlineStr">
        <is>
          <t>234D²³</t>
        </is>
      </c>
      <c r="B7857" t="inlineStr"/>
      <c r="C7857" t="inlineStr">
        <is>
          <t>336</t>
        </is>
      </c>
      <c r="D7857" t="inlineStr">
        <is>
          <t>2</t>
        </is>
      </c>
      <c r="E7857" t="inlineStr">
        <is>
          <t>56</t>
        </is>
      </c>
      <c r="F7857" t="inlineStr">
        <is>
          <t>0</t>
        </is>
      </c>
      <c r="G7857" t="inlineStr">
        <is>
          <t>6</t>
        </is>
      </c>
      <c r="H7857" t="inlineStr">
        <is>
          <t>2³, 18¹, 26³, 234¹</t>
        </is>
      </c>
      <c r="I7857" t="n">
        <v>8</v>
      </c>
      <c r="J7857" t="inlineStr">
        <is>
          <t>2⁸, 24⁴</t>
        </is>
      </c>
      <c r="K7857">
        <f>HYPERLINK("CSG7.html#group78B7", "78B⁷"), =HYPERLINK("CSG10.html#group117A10", "117A¹⁰")</f>
        <v/>
      </c>
      <c r="L7857" t="inlineStr"/>
      <c r="M7857">
        <f>HYPERLINK("CSG0.html#group13A0", "13A⁰"), =HYPERLINK("CSG7.html#group78B7", "78B⁷"), =HYPERLINK("CSG0.html#group3B0", "3B⁰"), =HYPERLINK("CSG3.html#group39A3", "39A³"), =HYPERLINK("CSG0.html#group26A0", "26A⁰"), =HYPERLINK("CSG0.html#group1A0", "1A⁰"), =HYPERLINK("CSG10.html#group117A10", "117A¹⁰")</f>
        <v/>
      </c>
      <c r="N7857" t="inlineStr"/>
    </row>
    <row r="7858">
      <c r="A7858" t="inlineStr">
        <is>
          <t>234E²³</t>
        </is>
      </c>
      <c r="B7858" t="inlineStr"/>
      <c r="C7858" t="inlineStr">
        <is>
          <t>336</t>
        </is>
      </c>
      <c r="D7858" t="inlineStr">
        <is>
          <t>2</t>
        </is>
      </c>
      <c r="E7858" t="inlineStr">
        <is>
          <t>56</t>
        </is>
      </c>
      <c r="F7858" t="inlineStr">
        <is>
          <t>0</t>
        </is>
      </c>
      <c r="G7858" t="inlineStr">
        <is>
          <t>6</t>
        </is>
      </c>
      <c r="H7858" t="inlineStr">
        <is>
          <t>2³, 18¹, 26³, 234¹</t>
        </is>
      </c>
      <c r="I7858" t="n">
        <v>8</v>
      </c>
      <c r="J7858" t="inlineStr">
        <is>
          <t>2⁸, 24⁴</t>
        </is>
      </c>
      <c r="K7858">
        <f>HYPERLINK("CSG7.html#group78C7", "78C⁷"), =HYPERLINK("CSG10.html#group117A10", "117A¹⁰")</f>
        <v/>
      </c>
      <c r="L7858" t="inlineStr"/>
      <c r="M7858">
        <f>HYPERLINK("CSG0.html#group3B0", "3B⁰"), =HYPERLINK("CSG0.html#group2A0", "2A⁰"), =HYPERLINK("CSG1.html#group26A1", "26A¹"), =HYPERLINK("CSG3.html#group39A3", "39A³"), =HYPERLINK("CSG7.html#group78C7", "78C⁷"), =HYPERLINK("CSG0.html#group6C0", "6C⁰"), =HYPERLINK("CSG0.html#group13A0", "13A⁰"), =HYPERLINK("CSG0.html#group1A0", "1A⁰"), =HYPERLINK("CSG10.html#group117A10", "117A¹⁰")</f>
        <v/>
      </c>
      <c r="N7858" t="inlineStr"/>
    </row>
    <row r="7859">
      <c r="A7859" t="inlineStr">
        <is>
          <t>235A²³</t>
        </is>
      </c>
      <c r="B7859" t="inlineStr">
        <is>
          <t>Γ₀(235)</t>
        </is>
      </c>
      <c r="C7859" t="inlineStr">
        <is>
          <t>288</t>
        </is>
      </c>
      <c r="D7859" t="inlineStr">
        <is>
          <t>1</t>
        </is>
      </c>
      <c r="E7859" t="inlineStr">
        <is>
          <t>288</t>
        </is>
      </c>
      <c r="F7859" t="inlineStr">
        <is>
          <t>0</t>
        </is>
      </c>
      <c r="G7859" t="inlineStr">
        <is>
          <t>0</t>
        </is>
      </c>
      <c r="H7859" t="inlineStr">
        <is>
          <t>1¹, 5¹, 47¹, 235¹</t>
        </is>
      </c>
      <c r="I7859" t="n">
        <v>4</v>
      </c>
      <c r="J7859" t="inlineStr">
        <is>
          <t>1⁴, 4², 46², 184¹</t>
        </is>
      </c>
      <c r="K7859">
        <f>HYPERLINK("CSG0.html#group5B0", "5B⁰"), =HYPERLINK("CSG4.html#group47A4", "47A⁴")</f>
        <v/>
      </c>
      <c r="L7859" t="inlineStr"/>
      <c r="M7859">
        <f>HYPERLINK("CSG0.html#group5B0", "5B⁰"), =HYPERLINK("CSG4.html#group47A4", "47A⁴"), =HYPERLINK("CSG0.html#group1A0", "1A⁰")</f>
        <v/>
      </c>
      <c r="N7859" t="inlineStr"/>
    </row>
    <row r="7860">
      <c r="A7860" t="inlineStr">
        <is>
          <t>238A²³</t>
        </is>
      </c>
      <c r="B7860" t="inlineStr"/>
      <c r="C7860" t="inlineStr">
        <is>
          <t>288</t>
        </is>
      </c>
      <c r="D7860" t="inlineStr">
        <is>
          <t>1</t>
        </is>
      </c>
      <c r="E7860" t="inlineStr">
        <is>
          <t>144</t>
        </is>
      </c>
      <c r="F7860" t="inlineStr">
        <is>
          <t>0</t>
        </is>
      </c>
      <c r="G7860" t="inlineStr">
        <is>
          <t>0</t>
        </is>
      </c>
      <c r="H7860" t="inlineStr">
        <is>
          <t>2¹, 14¹, 34¹, 238¹</t>
        </is>
      </c>
      <c r="I7860" t="n">
        <v>4</v>
      </c>
      <c r="J7860" t="inlineStr">
        <is>
          <t>1⁴, 6², 16², 96¹</t>
        </is>
      </c>
      <c r="K7860">
        <f>HYPERLINK("CSG3.html#group34A3", "34A³"), =HYPERLINK("CSG11.html#group119A11", "119A¹¹")</f>
        <v/>
      </c>
      <c r="L7860" t="inlineStr"/>
      <c r="M7860">
        <f>HYPERLINK("CSG1.html#group17A1", "17A¹"), =HYPERLINK("CSG0.html#group1A0", "1A⁰"), =HYPERLINK("CSG11.html#group119A11", "119A¹¹"), =HYPERLINK("CSG0.html#group7B0", "7B⁰"), =HYPERLINK("CSG3.html#group34A3", "34A³")</f>
        <v/>
      </c>
      <c r="N7860" t="inlineStr"/>
    </row>
    <row r="7861">
      <c r="A7861" t="inlineStr">
        <is>
          <t>238B²³</t>
        </is>
      </c>
      <c r="B7861" t="inlineStr"/>
      <c r="C7861" t="inlineStr">
        <is>
          <t>288</t>
        </is>
      </c>
      <c r="D7861" t="inlineStr">
        <is>
          <t>1</t>
        </is>
      </c>
      <c r="E7861" t="inlineStr">
        <is>
          <t>144</t>
        </is>
      </c>
      <c r="F7861" t="inlineStr">
        <is>
          <t>0</t>
        </is>
      </c>
      <c r="G7861" t="inlineStr">
        <is>
          <t>0</t>
        </is>
      </c>
      <c r="H7861" t="inlineStr">
        <is>
          <t>2¹, 14¹, 34¹, 238¹</t>
        </is>
      </c>
      <c r="I7861" t="n">
        <v>4</v>
      </c>
      <c r="J7861" t="inlineStr">
        <is>
          <t>1⁴, 6², 16², 96¹</t>
        </is>
      </c>
      <c r="K7861">
        <f>HYPERLINK("CSG0.html#group14B0", "14B⁰"), =HYPERLINK("CSG3.html#group34B3", "34B³"), =HYPERLINK("CSG11.html#group119A11", "119A¹¹")</f>
        <v/>
      </c>
      <c r="L7861" t="inlineStr"/>
      <c r="M7861">
        <f>HYPERLINK("CSG0.html#group2A0", "2A⁰"), =HYPERLINK("CSG11.html#group119A11", "119A¹¹"), =HYPERLINK("CSG0.html#group7B0", "7B⁰"), =HYPERLINK("CSG0.html#group14B0", "14B⁰"), =HYPERLINK("CSG1.html#group17A1", "17A¹"), =HYPERLINK("CSG3.html#group34B3", "34B³"), =HYPERLINK("CSG0.html#group1A0", "1A⁰")</f>
        <v/>
      </c>
      <c r="N7861" t="inlineStr"/>
    </row>
    <row r="7862">
      <c r="A7862" t="inlineStr">
        <is>
          <t>240A²³</t>
        </is>
      </c>
      <c r="B7862" t="inlineStr"/>
      <c r="C7862" t="inlineStr">
        <is>
          <t>432</t>
        </is>
      </c>
      <c r="D7862" t="inlineStr">
        <is>
          <t>1</t>
        </is>
      </c>
      <c r="E7862" t="inlineStr">
        <is>
          <t>18</t>
        </is>
      </c>
      <c r="F7862" t="inlineStr">
        <is>
          <t>48</t>
        </is>
      </c>
      <c r="G7862" t="inlineStr">
        <is>
          <t>0</t>
        </is>
      </c>
      <c r="H7862" t="inlineStr">
        <is>
          <t>24¹, 48¹, 120¹, 240¹</t>
        </is>
      </c>
      <c r="I7862" t="n">
        <v>4</v>
      </c>
      <c r="J7862" t="inlineStr">
        <is>
          <t>1⁶, 4³</t>
        </is>
      </c>
      <c r="K7862">
        <f>HYPERLINK("CSG7.html#group80C7", "80C⁷"), =HYPERLINK("CSG11.html#group120B11", "120B¹¹")</f>
        <v/>
      </c>
      <c r="L7862" t="inlineStr"/>
      <c r="M7862">
        <f>HYPERLINK("CSG1.html#group20E1", "20E¹"), =HYPERLINK("CSG0.html#group12C0", "12C⁰"), =HYPERLINK("CSG0.html#group4C0", "4C⁰"), =HYPERLINK("CSG7.html#group80C7", "80C⁷"), =HYPERLINK("CSG0.html#group8B0", "8B⁰"), =HYPERLINK("CSG0.html#group5B0", "5B⁰"), =HYPERLINK("CSG0.html#group2B0", "2B⁰"), =HYPERLINK("CSG11.html#group120B11", "120B¹¹"), =HYPERLINK("CSG0.html#group1A0", "1A⁰"), =HYPERLINK("CSG0.html#group15B0", "15B⁰"), =HYPERLINK("CSG2.html#group30E2", "30E²"), =HYPERLINK("CSG0.html#group24A0", "24A⁰"), =HYPERLINK("CSG5.html#group60A5", "60A⁵"), =HYPERLINK("CSG0.html#group10C0", "10C⁰"), =HYPERLINK("CSG0.html#group3A0", "3A⁰"), =HYPERLINK("CSG3.html#group40D3", "40D³"), =HYPERLINK("CSG0.html#group6D0", "6D⁰")</f>
        <v/>
      </c>
      <c r="N7862" t="inlineStr"/>
    </row>
    <row r="7863">
      <c r="A7863" t="inlineStr">
        <is>
          <t>240B²³</t>
        </is>
      </c>
      <c r="B7863" t="inlineStr"/>
      <c r="C7863" t="inlineStr">
        <is>
          <t>432</t>
        </is>
      </c>
      <c r="D7863" t="inlineStr">
        <is>
          <t>1</t>
        </is>
      </c>
      <c r="E7863" t="inlineStr">
        <is>
          <t>18</t>
        </is>
      </c>
      <c r="F7863" t="inlineStr">
        <is>
          <t>48</t>
        </is>
      </c>
      <c r="G7863" t="inlineStr">
        <is>
          <t>0</t>
        </is>
      </c>
      <c r="H7863" t="inlineStr">
        <is>
          <t>24¹, 48¹, 120¹, 240¹</t>
        </is>
      </c>
      <c r="I7863" t="n">
        <v>4</v>
      </c>
      <c r="J7863" t="inlineStr">
        <is>
          <t>1⁶, 4³</t>
        </is>
      </c>
      <c r="K7863">
        <f>HYPERLINK("CSG0.html#group48A0", "48A⁰"), =HYPERLINK("CSG7.html#group80D7", "80D⁷"), =HYPERLINK("CSG11.html#group120B11", "120B¹¹")</f>
        <v/>
      </c>
      <c r="L7863" t="inlineStr"/>
      <c r="M7863">
        <f>HYPERLINK("CSG1.html#group20E1", "20E¹"), =HYPERLINK("CSG0.html#group12C0", "12C⁰"), =HYPERLINK("CSG0.html#group4C0", "4C⁰"), =HYPERLINK("CSG0.html#group8B0", "8B⁰"), =HYPERLINK("CSG0.html#group5B0", "5B⁰"), =HYPERLINK("CSG0.html#group48A0", "48A⁰"), =HYPERLINK("CSG0.html#group2B0", "2B⁰"), =HYPERLINK("CSG11.html#group120B11", "120B¹¹"), =HYPERLINK("CSG0.html#group1A0", "1A⁰"), =HYPERLINK("CSG0.html#group16B0", "16B⁰"), =HYPERLINK("CSG0.html#group15B0", "15B⁰"), =HYPERLINK("CSG2.html#group30E2", "30E²"), =HYPERLINK("CSG7.html#group80D7", "80D⁷"), =HYPERLINK("CSG0.html#group24A0", "24A⁰"), =HYPERLINK("CSG5.html#group60A5", "60A⁵"), =HYPERLINK("CSG0.html#group10C0", "10C⁰"), =HYPERLINK("CSG0.html#group3A0", "3A⁰"), =HYPERLINK("CSG3.html#group40D3", "40D³"), =HYPERLINK("CSG0.html#group6D0", "6D⁰")</f>
        <v/>
      </c>
      <c r="N7863" t="inlineStr"/>
    </row>
    <row r="7864">
      <c r="A7864" t="inlineStr">
        <is>
          <t>250A²³</t>
        </is>
      </c>
      <c r="B7864" t="inlineStr"/>
      <c r="C7864" t="inlineStr">
        <is>
          <t>300</t>
        </is>
      </c>
      <c r="D7864" t="inlineStr">
        <is>
          <t>1</t>
        </is>
      </c>
      <c r="E7864" t="inlineStr">
        <is>
          <t>150</t>
        </is>
      </c>
      <c r="F7864" t="inlineStr">
        <is>
          <t>0</t>
        </is>
      </c>
      <c r="G7864" t="inlineStr">
        <is>
          <t>0</t>
        </is>
      </c>
      <c r="H7864" t="inlineStr">
        <is>
          <t>10⁵, 250¹</t>
        </is>
      </c>
      <c r="I7864" t="n">
        <v>6</v>
      </c>
      <c r="J7864" t="inlineStr">
        <is>
          <t>2², 4⁴, 20⁴, 100²</t>
        </is>
      </c>
      <c r="K7864">
        <f>HYPERLINK("CSG3.html#group50A3", "50A³"), =HYPERLINK("CSG10.html#group125A10", "125A¹⁰")</f>
        <v/>
      </c>
      <c r="L7864" t="inlineStr"/>
      <c r="M7864">
        <f>HYPERLINK("CSG3.html#group50A3", "50A³"), =HYPERLINK("CSG0.html#group25A0", "25A⁰"), =HYPERLINK("CSG0.html#group5B0", "5B⁰"), =HYPERLINK("CSG1.html#group10A1", "10A¹"), =HYPERLINK("CSG0.html#group2A0", "2A⁰"), =HYPERLINK("CSG0.html#group1A0", "1A⁰"), =HYPERLINK("CSG10.html#group125A10", "125A¹⁰")</f>
        <v/>
      </c>
      <c r="N7864" t="inlineStr"/>
    </row>
    <row r="7865">
      <c r="A7865" t="inlineStr">
        <is>
          <t>250B²³</t>
        </is>
      </c>
      <c r="B7865" t="inlineStr"/>
      <c r="C7865" t="inlineStr">
        <is>
          <t>300</t>
        </is>
      </c>
      <c r="D7865" t="inlineStr">
        <is>
          <t>1</t>
        </is>
      </c>
      <c r="E7865" t="inlineStr">
        <is>
          <t>150</t>
        </is>
      </c>
      <c r="F7865" t="inlineStr">
        <is>
          <t>0</t>
        </is>
      </c>
      <c r="G7865" t="inlineStr">
        <is>
          <t>0</t>
        </is>
      </c>
      <c r="H7865" t="inlineStr">
        <is>
          <t>10⁵, 250¹</t>
        </is>
      </c>
      <c r="I7865" t="n">
        <v>6</v>
      </c>
      <c r="J7865" t="inlineStr">
        <is>
          <t>2², 4⁴, 20⁴, 100²</t>
        </is>
      </c>
      <c r="K7865">
        <f>HYPERLINK("CSG3.html#group50A3", "50A³"), =HYPERLINK("CSG10.html#group125B10", "125B¹⁰")</f>
        <v/>
      </c>
      <c r="L7865" t="inlineStr"/>
      <c r="M7865">
        <f>HYPERLINK("CSG3.html#group50A3", "50A³"), =HYPERLINK("CSG0.html#group25A0", "25A⁰"), =HYPERLINK("CSG0.html#group5B0", "5B⁰"), =HYPERLINK("CSG1.html#group10A1", "10A¹"), =HYPERLINK("CSG0.html#group2A0", "2A⁰"), =HYPERLINK("CSG10.html#group125B10", "125B¹⁰"), =HYPERLINK("CSG0.html#group1A0", "1A⁰")</f>
        <v/>
      </c>
      <c r="N7865" t="inlineStr"/>
    </row>
    <row r="7866">
      <c r="A7866" t="inlineStr">
        <is>
          <t>252A²³</t>
        </is>
      </c>
      <c r="B7866" t="inlineStr"/>
      <c r="C7866" t="inlineStr">
        <is>
          <t>384</t>
        </is>
      </c>
      <c r="D7866" t="inlineStr">
        <is>
          <t>1</t>
        </is>
      </c>
      <c r="E7866" t="inlineStr">
        <is>
          <t>32</t>
        </is>
      </c>
      <c r="F7866" t="inlineStr">
        <is>
          <t>0</t>
        </is>
      </c>
      <c r="G7866" t="inlineStr">
        <is>
          <t>24</t>
        </is>
      </c>
      <c r="H7866" t="inlineStr">
        <is>
          <t>12¹, 36¹, 84¹, 252¹</t>
        </is>
      </c>
      <c r="I7866" t="n">
        <v>4</v>
      </c>
      <c r="J7866" t="inlineStr">
        <is>
          <t>1⁴, 2², 6², 12¹</t>
        </is>
      </c>
      <c r="K7866">
        <f>HYPERLINK("CSG7.html#group84E7", "84E⁷"), =HYPERLINK("CSG11.html#group126C11", "126C¹¹")</f>
        <v/>
      </c>
      <c r="L7866" t="inlineStr"/>
      <c r="M7866">
        <f>HYPERLINK("CSG0.html#group3B0", "3B⁰"), =HYPERLINK("CSG0.html#group2A0", "2A⁰"), =HYPERLINK("CSG1.html#group21B1", "21B¹"), =HYPERLINK("CSG0.html#group28A0", "28A⁰"), =HYPERLINK("CSG0.html#group18B0", "18B⁰"), =HYPERLINK("CSG0.html#group7B0", "7B⁰"), =HYPERLINK("CSG3.html#group42E3", "42E³"), =HYPERLINK("CSG0.html#group6C0", "6C⁰"), =HYPERLINK("CSG0.html#group14B0", "14B⁰"), =HYPERLINK("CSG0.html#group9C0", "9C⁰"), =HYPERLINK("CSG5.html#group63B5", "63B⁵"), =HYPERLINK("CSG7.html#group84E7", "84E⁷"), =HYPERLINK("CSG11.html#group126C11", "126C¹¹"), =HYPERLINK("CSG0.html#group1A0", "1A⁰")</f>
        <v/>
      </c>
      <c r="N7866" t="inlineStr"/>
    </row>
    <row r="7867">
      <c r="A7867" t="inlineStr">
        <is>
          <t>252B²³</t>
        </is>
      </c>
      <c r="B7867" t="inlineStr"/>
      <c r="C7867" t="inlineStr">
        <is>
          <t>384</t>
        </is>
      </c>
      <c r="D7867" t="inlineStr">
        <is>
          <t>1</t>
        </is>
      </c>
      <c r="E7867" t="inlineStr">
        <is>
          <t>32</t>
        </is>
      </c>
      <c r="F7867" t="inlineStr">
        <is>
          <t>0</t>
        </is>
      </c>
      <c r="G7867" t="inlineStr">
        <is>
          <t>24</t>
        </is>
      </c>
      <c r="H7867" t="inlineStr">
        <is>
          <t>12¹, 36¹, 84¹, 252¹</t>
        </is>
      </c>
      <c r="I7867" t="n">
        <v>4</v>
      </c>
      <c r="J7867" t="inlineStr">
        <is>
          <t>1⁴, 2², 6², 12¹</t>
        </is>
      </c>
      <c r="K7867">
        <f>HYPERLINK("CSG0.html#group36A0", "36A⁰"), =HYPERLINK("CSG7.html#group84D7", "84D⁷"), =HYPERLINK("CSG11.html#group126C11", "126C¹¹")</f>
        <v/>
      </c>
      <c r="L7867" t="inlineStr"/>
      <c r="M7867">
        <f>HYPERLINK("CSG0.html#group3B0", "3B⁰"), =HYPERLINK("CSG0.html#group2A0", "2A⁰"), =HYPERLINK("CSG1.html#group21B1", "21B¹"), =HYPERLINK("CSG0.html#group18B0", "18B⁰"), =HYPERLINK("CSG0.html#group7B0", "7B⁰"), =HYPERLINK("CSG3.html#group42E3", "42E³"), =HYPERLINK("CSG0.html#group6C0", "6C⁰"), =HYPERLINK("CSG0.html#group14B0", "14B⁰"), =HYPERLINK("CSG5.html#group63B5", "63B⁵"), =HYPERLINK("CSG0.html#group9C0", "9C⁰"), =HYPERLINK("CSG11.html#group126C11", "126C¹¹"), =HYPERLINK("CSG7.html#group84D7", "84D⁷"), =HYPERLINK("CSG0.html#group1A0", "1A⁰"), =HYPERLINK("CSG0.html#group36A0", "36A⁰"), =HYPERLINK("CSG0.html#group12B0", "12B⁰")</f>
        <v/>
      </c>
      <c r="N7867" t="inlineStr"/>
    </row>
    <row r="7868">
      <c r="A7868" t="inlineStr">
        <is>
          <t>253A²³</t>
        </is>
      </c>
      <c r="B7868" t="inlineStr">
        <is>
          <t>Γ₀(253)</t>
        </is>
      </c>
      <c r="C7868" t="inlineStr">
        <is>
          <t>288</t>
        </is>
      </c>
      <c r="D7868" t="inlineStr">
        <is>
          <t>1</t>
        </is>
      </c>
      <c r="E7868" t="inlineStr">
        <is>
          <t>288</t>
        </is>
      </c>
      <c r="F7868" t="inlineStr">
        <is>
          <t>0</t>
        </is>
      </c>
      <c r="G7868" t="inlineStr">
        <is>
          <t>0</t>
        </is>
      </c>
      <c r="H7868" t="inlineStr">
        <is>
          <t>1¹, 11¹, 23¹, 253¹</t>
        </is>
      </c>
      <c r="I7868" t="n">
        <v>4</v>
      </c>
      <c r="J7868" t="inlineStr">
        <is>
          <t>1⁴, 10², 22², 220¹</t>
        </is>
      </c>
      <c r="K7868">
        <f>HYPERLINK("CSG1.html#group11A1", "11A¹"), =HYPERLINK("CSG2.html#group23A2", "23A²")</f>
        <v/>
      </c>
      <c r="L7868" t="inlineStr"/>
      <c r="M7868">
        <f>HYPERLINK("CSG0.html#group1A0", "1A⁰"), =HYPERLINK("CSG1.html#group11A1", "11A¹"), =HYPERLINK("CSG2.html#group23A2", "23A²")</f>
        <v/>
      </c>
      <c r="N7868" t="inlineStr"/>
    </row>
    <row r="7869">
      <c r="A7869" t="inlineStr">
        <is>
          <t>255A²³</t>
        </is>
      </c>
      <c r="B7869" t="inlineStr"/>
      <c r="C7869" t="inlineStr">
        <is>
          <t>324</t>
        </is>
      </c>
      <c r="D7869" t="inlineStr">
        <is>
          <t>1</t>
        </is>
      </c>
      <c r="E7869" t="inlineStr">
        <is>
          <t>108</t>
        </is>
      </c>
      <c r="F7869" t="inlineStr">
        <is>
          <t>12</t>
        </is>
      </c>
      <c r="G7869" t="inlineStr">
        <is>
          <t>0</t>
        </is>
      </c>
      <c r="H7869" t="inlineStr">
        <is>
          <t>3¹, 15¹, 51¹, 255¹</t>
        </is>
      </c>
      <c r="I7869" t="n">
        <v>4</v>
      </c>
      <c r="J7869" t="inlineStr">
        <is>
          <t>1⁴, 4², 16², 64¹</t>
        </is>
      </c>
      <c r="K7869">
        <f>HYPERLINK("CSG0.html#group15B0", "15B⁰"), =HYPERLINK("CSG3.html#group51A3", "51A³"), =HYPERLINK("CSG7.html#group85B7", "85B⁷")</f>
        <v/>
      </c>
      <c r="L7869" t="inlineStr"/>
      <c r="M7869">
        <f>HYPERLINK("CSG0.html#group15B0", "15B⁰"), =HYPERLINK("CSG0.html#group3A0", "3A⁰"), =HYPERLINK("CSG3.html#group51A3", "51A³"), =HYPERLINK("CSG0.html#group5B0", "5B⁰"), =HYPERLINK("CSG1.html#group17A1", "17A¹"), =HYPERLINK("CSG7.html#group85B7", "85B⁷"), =HYPERLINK("CSG0.html#group1A0", "1A⁰")</f>
        <v/>
      </c>
      <c r="N7869" t="inlineStr"/>
    </row>
    <row r="7870">
      <c r="A7870" t="inlineStr">
        <is>
          <t>259A²³</t>
        </is>
      </c>
      <c r="B7870" t="inlineStr">
        <is>
          <t>Γ₀(259)</t>
        </is>
      </c>
      <c r="C7870" t="inlineStr">
        <is>
          <t>304</t>
        </is>
      </c>
      <c r="D7870" t="inlineStr">
        <is>
          <t>1</t>
        </is>
      </c>
      <c r="E7870" t="inlineStr">
        <is>
          <t>304</t>
        </is>
      </c>
      <c r="F7870" t="inlineStr">
        <is>
          <t>0</t>
        </is>
      </c>
      <c r="G7870" t="inlineStr">
        <is>
          <t>4</t>
        </is>
      </c>
      <c r="H7870" t="inlineStr">
        <is>
          <t>1¹, 7¹, 37¹, 259¹</t>
        </is>
      </c>
      <c r="I7870" t="n">
        <v>4</v>
      </c>
      <c r="J7870" t="inlineStr">
        <is>
          <t>1⁴, 6², 36², 216¹</t>
        </is>
      </c>
      <c r="K7870">
        <f>HYPERLINK("CSG0.html#group7B0", "7B⁰"), =HYPERLINK("CSG2.html#group37A2", "37A²")</f>
        <v/>
      </c>
      <c r="L7870" t="inlineStr"/>
      <c r="M7870">
        <f>HYPERLINK("CSG2.html#group37A2", "37A²"), =HYPERLINK("CSG0.html#group1A0", "1A⁰"), =HYPERLINK("CSG0.html#group7B0", "7B⁰")</f>
        <v/>
      </c>
      <c r="N7870" t="inlineStr"/>
    </row>
    <row r="7871">
      <c r="A7871" t="inlineStr">
        <is>
          <t>266A²³</t>
        </is>
      </c>
      <c r="B7871" t="inlineStr"/>
      <c r="C7871" t="inlineStr">
        <is>
          <t>320</t>
        </is>
      </c>
      <c r="D7871" t="inlineStr">
        <is>
          <t>1</t>
        </is>
      </c>
      <c r="E7871" t="inlineStr">
        <is>
          <t>160</t>
        </is>
      </c>
      <c r="F7871" t="inlineStr">
        <is>
          <t>0</t>
        </is>
      </c>
      <c r="G7871" t="inlineStr">
        <is>
          <t>8</t>
        </is>
      </c>
      <c r="H7871" t="inlineStr">
        <is>
          <t>2¹, 14¹, 38¹, 266¹</t>
        </is>
      </c>
      <c r="I7871" t="n">
        <v>4</v>
      </c>
      <c r="J7871" t="inlineStr">
        <is>
          <t>1⁴, 6², 18², 108¹</t>
        </is>
      </c>
      <c r="K7871">
        <f>HYPERLINK("CSG11.html#group133B11", "133B¹¹")</f>
        <v/>
      </c>
      <c r="L7871" t="inlineStr"/>
      <c r="M7871">
        <f>HYPERLINK("CSG1.html#group19A1", "19A¹"), =HYPERLINK("CSG0.html#group1A0", "1A⁰"), =HYPERLINK("CSG0.html#group7B0", "7B⁰"), =HYPERLINK("CSG11.html#group133B11", "133B¹¹")</f>
        <v/>
      </c>
      <c r="N7871" t="inlineStr"/>
    </row>
    <row r="7872">
      <c r="A7872" t="inlineStr">
        <is>
          <t>266B²³</t>
        </is>
      </c>
      <c r="B7872" t="inlineStr"/>
      <c r="C7872" t="inlineStr">
        <is>
          <t>320</t>
        </is>
      </c>
      <c r="D7872" t="inlineStr">
        <is>
          <t>1</t>
        </is>
      </c>
      <c r="E7872" t="inlineStr">
        <is>
          <t>160</t>
        </is>
      </c>
      <c r="F7872" t="inlineStr">
        <is>
          <t>0</t>
        </is>
      </c>
      <c r="G7872" t="inlineStr">
        <is>
          <t>8</t>
        </is>
      </c>
      <c r="H7872" t="inlineStr">
        <is>
          <t>2¹, 14¹, 38¹, 266¹</t>
        </is>
      </c>
      <c r="I7872" t="n">
        <v>4</v>
      </c>
      <c r="J7872" t="inlineStr">
        <is>
          <t>1⁴, 6², 18², 108¹</t>
        </is>
      </c>
      <c r="K7872">
        <f>HYPERLINK("CSG0.html#group14B0", "14B⁰"), =HYPERLINK("CSG2.html#group38A2", "38A²"), =HYPERLINK("CSG11.html#group133B11", "133B¹¹")</f>
        <v/>
      </c>
      <c r="L7872" t="inlineStr"/>
      <c r="M7872">
        <f>HYPERLINK("CSG1.html#group19A1", "19A¹"), =HYPERLINK("CSG0.html#group2A0", "2A⁰"), =HYPERLINK("CSG11.html#group133B11", "133B¹¹"), =HYPERLINK("CSG2.html#group38A2", "38A²"), =HYPERLINK("CSG0.html#group7B0", "7B⁰"), =HYPERLINK("CSG0.html#group14B0", "14B⁰"), =HYPERLINK("CSG0.html#group1A0", "1A⁰")</f>
        <v/>
      </c>
      <c r="N7872" t="inlineStr"/>
    </row>
    <row r="7873">
      <c r="A7873" t="inlineStr">
        <is>
          <t>272A²³</t>
        </is>
      </c>
      <c r="B7873" t="inlineStr"/>
      <c r="C7873" t="inlineStr">
        <is>
          <t>288</t>
        </is>
      </c>
      <c r="D7873" t="inlineStr">
        <is>
          <t>2</t>
        </is>
      </c>
      <c r="E7873" t="inlineStr">
        <is>
          <t>144</t>
        </is>
      </c>
      <c r="F7873" t="inlineStr">
        <is>
          <t>4</t>
        </is>
      </c>
      <c r="G7873" t="inlineStr">
        <is>
          <t>0</t>
        </is>
      </c>
      <c r="H7873" t="inlineStr">
        <is>
          <t>16¹, 272¹</t>
        </is>
      </c>
      <c r="I7873" t="n">
        <v>2</v>
      </c>
      <c r="J7873" t="inlineStr">
        <is>
          <t>8⁴, 128²</t>
        </is>
      </c>
      <c r="K7873">
        <f>HYPERLINK("CSG11.html#group136B11", "136B¹¹")</f>
        <v/>
      </c>
      <c r="L7873" t="inlineStr"/>
      <c r="M7873">
        <f>HYPERLINK("CSG0.html#group8A0", "8A⁰"), =HYPERLINK("CSG5.html#group68A5", "68A⁵"), =HYPERLINK("CSG1.html#group17A1", "17A¹"), =HYPERLINK("CSG11.html#group136B11", "136B¹¹"), =HYPERLINK("CSG0.html#group1A0", "1A⁰"), =HYPERLINK("CSG0.html#group4A0", "4A⁰")</f>
        <v/>
      </c>
      <c r="N7873" t="inlineStr"/>
    </row>
    <row r="7874">
      <c r="A7874" t="inlineStr">
        <is>
          <t>272B²³</t>
        </is>
      </c>
      <c r="B7874" t="inlineStr"/>
      <c r="C7874" t="inlineStr">
        <is>
          <t>288</t>
        </is>
      </c>
      <c r="D7874" t="inlineStr">
        <is>
          <t>2</t>
        </is>
      </c>
      <c r="E7874" t="inlineStr">
        <is>
          <t>144</t>
        </is>
      </c>
      <c r="F7874" t="inlineStr">
        <is>
          <t>4</t>
        </is>
      </c>
      <c r="G7874" t="inlineStr">
        <is>
          <t>0</t>
        </is>
      </c>
      <c r="H7874" t="inlineStr">
        <is>
          <t>16¹, 272¹</t>
        </is>
      </c>
      <c r="I7874" t="n">
        <v>2</v>
      </c>
      <c r="J7874" t="inlineStr">
        <is>
          <t>8⁴, 128²</t>
        </is>
      </c>
      <c r="K7874">
        <f>HYPERLINK("CSG0.html#group16A0", "16A⁰"), =HYPERLINK("CSG11.html#group136B11", "136B¹¹")</f>
        <v/>
      </c>
      <c r="L7874" t="inlineStr"/>
      <c r="M7874">
        <f>HYPERLINK("CSG0.html#group8A0", "8A⁰"), =HYPERLINK("CSG5.html#group68A5", "68A⁵"), =HYPERLINK("CSG1.html#group17A1", "17A¹"), =HYPERLINK("CSG11.html#group136B11", "136B¹¹"), =HYPERLINK("CSG0.html#group16A0", "16A⁰"), =HYPERLINK("CSG0.html#group1A0", "1A⁰"), =HYPERLINK("CSG0.html#group4A0", "4A⁰")</f>
        <v/>
      </c>
      <c r="N7874" t="inlineStr"/>
    </row>
    <row r="7875">
      <c r="A7875" t="inlineStr">
        <is>
          <t>274A²³</t>
        </is>
      </c>
      <c r="B7875" t="inlineStr"/>
      <c r="C7875" t="inlineStr">
        <is>
          <t>276</t>
        </is>
      </c>
      <c r="D7875" t="inlineStr">
        <is>
          <t>1</t>
        </is>
      </c>
      <c r="E7875" t="inlineStr">
        <is>
          <t>138</t>
        </is>
      </c>
      <c r="F7875" t="inlineStr">
        <is>
          <t>0</t>
        </is>
      </c>
      <c r="G7875" t="inlineStr">
        <is>
          <t>0</t>
        </is>
      </c>
      <c r="H7875" t="inlineStr">
        <is>
          <t>2¹, 274¹</t>
        </is>
      </c>
      <c r="I7875" t="n">
        <v>2</v>
      </c>
      <c r="J7875" t="inlineStr">
        <is>
          <t>1², 136¹</t>
        </is>
      </c>
      <c r="K7875">
        <f>HYPERLINK("CSG11.html#group137A11", "137A¹¹")</f>
        <v/>
      </c>
      <c r="L7875" t="inlineStr"/>
      <c r="M7875">
        <f>HYPERLINK("CSG11.html#group137A11", "137A¹¹"), =HYPERLINK("CSG0.html#group1A0", "1A⁰")</f>
        <v/>
      </c>
      <c r="N7875" t="inlineStr"/>
    </row>
    <row r="7876">
      <c r="A7876" t="inlineStr">
        <is>
          <t>274B²³</t>
        </is>
      </c>
      <c r="B7876" t="inlineStr"/>
      <c r="C7876" t="inlineStr">
        <is>
          <t>276</t>
        </is>
      </c>
      <c r="D7876" t="inlineStr">
        <is>
          <t>1</t>
        </is>
      </c>
      <c r="E7876" t="inlineStr">
        <is>
          <t>138</t>
        </is>
      </c>
      <c r="F7876" t="inlineStr">
        <is>
          <t>0</t>
        </is>
      </c>
      <c r="G7876" t="inlineStr">
        <is>
          <t>0</t>
        </is>
      </c>
      <c r="H7876" t="inlineStr">
        <is>
          <t>2¹, 274¹</t>
        </is>
      </c>
      <c r="I7876" t="n">
        <v>2</v>
      </c>
      <c r="J7876" t="inlineStr">
        <is>
          <t>1², 136¹</t>
        </is>
      </c>
      <c r="K7876">
        <f>HYPERLINK("CSG0.html#group2A0", "2A⁰"), =HYPERLINK("CSG11.html#group137A11", "137A¹¹")</f>
        <v/>
      </c>
      <c r="L7876" t="inlineStr"/>
      <c r="M7876">
        <f>HYPERLINK("CSG11.html#group137A11", "137A¹¹"), =HYPERLINK("CSG0.html#group2A0", "2A⁰"), =HYPERLINK("CSG0.html#group1A0", "1A⁰")</f>
        <v/>
      </c>
      <c r="N7876" t="inlineStr"/>
    </row>
    <row r="7877">
      <c r="A7877" t="inlineStr">
        <is>
          <t>281A²³</t>
        </is>
      </c>
      <c r="B7877" t="inlineStr">
        <is>
          <t>Γ₀(281)</t>
        </is>
      </c>
      <c r="C7877" t="inlineStr">
        <is>
          <t>282</t>
        </is>
      </c>
      <c r="D7877" t="inlineStr">
        <is>
          <t>1</t>
        </is>
      </c>
      <c r="E7877" t="inlineStr">
        <is>
          <t>282</t>
        </is>
      </c>
      <c r="F7877" t="inlineStr">
        <is>
          <t>2</t>
        </is>
      </c>
      <c r="G7877" t="inlineStr">
        <is>
          <t>0</t>
        </is>
      </c>
      <c r="H7877" t="inlineStr">
        <is>
          <t>1¹, 281¹</t>
        </is>
      </c>
      <c r="I7877" t="n">
        <v>2</v>
      </c>
      <c r="J7877" t="inlineStr">
        <is>
          <t>1², 280¹</t>
        </is>
      </c>
      <c r="K7877">
        <f>HYPERLINK("CSG0.html#group1A0", "1A⁰")</f>
        <v/>
      </c>
      <c r="L7877" t="inlineStr"/>
      <c r="M7877">
        <f>HYPERLINK("CSG0.html#group1A0", "1A⁰")</f>
        <v/>
      </c>
      <c r="N7877" t="inlineStr"/>
    </row>
    <row r="7878">
      <c r="A7878" t="inlineStr">
        <is>
          <t>283A²³</t>
        </is>
      </c>
      <c r="B7878" t="inlineStr">
        <is>
          <t>Γ₀(283)</t>
        </is>
      </c>
      <c r="C7878" t="inlineStr">
        <is>
          <t>284</t>
        </is>
      </c>
      <c r="D7878" t="inlineStr">
        <is>
          <t>1</t>
        </is>
      </c>
      <c r="E7878" t="inlineStr">
        <is>
          <t>284</t>
        </is>
      </c>
      <c r="F7878" t="inlineStr">
        <is>
          <t>0</t>
        </is>
      </c>
      <c r="G7878" t="inlineStr">
        <is>
          <t>2</t>
        </is>
      </c>
      <c r="H7878" t="inlineStr">
        <is>
          <t>1¹, 283¹</t>
        </is>
      </c>
      <c r="I7878" t="n">
        <v>2</v>
      </c>
      <c r="J7878" t="inlineStr">
        <is>
          <t>1², 282¹</t>
        </is>
      </c>
      <c r="K7878">
        <f>HYPERLINK("CSG0.html#group1A0", "1A⁰")</f>
        <v/>
      </c>
      <c r="L7878" t="inlineStr"/>
      <c r="M7878">
        <f>HYPERLINK("CSG0.html#group1A0", "1A⁰")</f>
        <v/>
      </c>
      <c r="N7878" t="inlineStr"/>
    </row>
    <row r="7879">
      <c r="A7879" t="inlineStr">
        <is>
          <t>285A²³</t>
        </is>
      </c>
      <c r="B7879" t="inlineStr"/>
      <c r="C7879" t="inlineStr">
        <is>
          <t>300</t>
        </is>
      </c>
      <c r="D7879" t="inlineStr">
        <is>
          <t>2</t>
        </is>
      </c>
      <c r="E7879" t="inlineStr">
        <is>
          <t>100</t>
        </is>
      </c>
      <c r="F7879" t="inlineStr">
        <is>
          <t>0</t>
        </is>
      </c>
      <c r="G7879" t="inlineStr">
        <is>
          <t>6</t>
        </is>
      </c>
      <c r="H7879" t="inlineStr">
        <is>
          <t>15¹, 285¹</t>
        </is>
      </c>
      <c r="I7879" t="n">
        <v>2</v>
      </c>
      <c r="J7879" t="inlineStr">
        <is>
          <t>2², 8², 36¹, 144¹</t>
        </is>
      </c>
      <c r="K7879">
        <f>HYPERLINK("CSG0.html#group15A0", "15A⁰"), =HYPERLINK("CSG7.html#group95A7", "95A⁷")</f>
        <v/>
      </c>
      <c r="L7879" t="inlineStr"/>
      <c r="M7879">
        <f>HYPERLINK("CSG1.html#group19A1", "19A¹"), =HYPERLINK("CSG0.html#group5A0", "5A⁰"), =HYPERLINK("CSG7.html#group95A7", "95A⁷"), =HYPERLINK("CSG0.html#group1A0", "1A⁰"), =HYPERLINK("CSG0.html#group15A0", "15A⁰")</f>
        <v/>
      </c>
      <c r="N7879" t="inlineStr"/>
    </row>
    <row r="7880">
      <c r="A7880" t="inlineStr">
        <is>
          <t>285B²³</t>
        </is>
      </c>
      <c r="B7880" t="inlineStr"/>
      <c r="C7880" t="inlineStr">
        <is>
          <t>300</t>
        </is>
      </c>
      <c r="D7880" t="inlineStr">
        <is>
          <t>2</t>
        </is>
      </c>
      <c r="E7880" t="inlineStr">
        <is>
          <t>100</t>
        </is>
      </c>
      <c r="F7880" t="inlineStr">
        <is>
          <t>0</t>
        </is>
      </c>
      <c r="G7880" t="inlineStr">
        <is>
          <t>6</t>
        </is>
      </c>
      <c r="H7880" t="inlineStr">
        <is>
          <t>15¹, 285¹</t>
        </is>
      </c>
      <c r="I7880" t="n">
        <v>2</v>
      </c>
      <c r="J7880" t="inlineStr">
        <is>
          <t>4², 8⁴, 72¹, 144²</t>
        </is>
      </c>
      <c r="K7880">
        <f>HYPERLINK("CSG7.html#group95A7", "95A⁷")</f>
        <v/>
      </c>
      <c r="L7880" t="inlineStr"/>
      <c r="M7880">
        <f>HYPERLINK("CSG1.html#group19A1", "19A¹"), =HYPERLINK("CSG0.html#group1A0", "1A⁰"), =HYPERLINK("CSG0.html#group5A0", "5A⁰"), =HYPERLINK("CSG7.html#group95A7", "95A⁷")</f>
        <v/>
      </c>
      <c r="N7880" t="inlineStr"/>
    </row>
    <row r="7881">
      <c r="A7881" t="inlineStr">
        <is>
          <t>285C²³</t>
        </is>
      </c>
      <c r="B7881" t="inlineStr"/>
      <c r="C7881" t="inlineStr">
        <is>
          <t>300</t>
        </is>
      </c>
      <c r="D7881" t="inlineStr">
        <is>
          <t>2</t>
        </is>
      </c>
      <c r="E7881" t="inlineStr">
        <is>
          <t>100</t>
        </is>
      </c>
      <c r="F7881" t="inlineStr">
        <is>
          <t>0</t>
        </is>
      </c>
      <c r="G7881" t="inlineStr">
        <is>
          <t>6</t>
        </is>
      </c>
      <c r="H7881" t="inlineStr">
        <is>
          <t>15¹, 285¹</t>
        </is>
      </c>
      <c r="I7881" t="n">
        <v>2</v>
      </c>
      <c r="J7881" t="inlineStr">
        <is>
          <t>4², 8⁴, 72¹, 144²</t>
        </is>
      </c>
      <c r="K7881">
        <f>HYPERLINK("CSG7.html#group95A7", "95A⁷")</f>
        <v/>
      </c>
      <c r="L7881" t="inlineStr"/>
      <c r="M7881">
        <f>HYPERLINK("CSG1.html#group19A1", "19A¹"), =HYPERLINK("CSG0.html#group1A0", "1A⁰"), =HYPERLINK("CSG0.html#group5A0", "5A⁰"), =HYPERLINK("CSG7.html#group95A7", "95A⁷")</f>
        <v/>
      </c>
      <c r="N7881" t="inlineStr"/>
    </row>
    <row r="7882">
      <c r="A7882" t="inlineStr">
        <is>
          <t>286A²³</t>
        </is>
      </c>
      <c r="B7882" t="inlineStr"/>
      <c r="C7882" t="inlineStr">
        <is>
          <t>308</t>
        </is>
      </c>
      <c r="D7882" t="inlineStr">
        <is>
          <t>2</t>
        </is>
      </c>
      <c r="E7882" t="inlineStr">
        <is>
          <t>154</t>
        </is>
      </c>
      <c r="F7882" t="inlineStr">
        <is>
          <t>0</t>
        </is>
      </c>
      <c r="G7882" t="inlineStr">
        <is>
          <t>8</t>
        </is>
      </c>
      <c r="H7882" t="inlineStr">
        <is>
          <t>22¹, 286¹</t>
        </is>
      </c>
      <c r="I7882" t="n">
        <v>2</v>
      </c>
      <c r="J7882" t="inlineStr">
        <is>
          <t>2², 10⁴, 24¹, 120²</t>
        </is>
      </c>
      <c r="K7882">
        <f>HYPERLINK("CSG1.html#group22A1", "22A¹"), =HYPERLINK("CSG1.html#group26A1", "26A¹"), =HYPERLINK("CSG10.html#group143A10", "143A¹⁰")</f>
        <v/>
      </c>
      <c r="L7882" t="inlineStr"/>
      <c r="M7882">
        <f>HYPERLINK("CSG10.html#group143A10", "143A¹⁰"), =HYPERLINK("CSG0.html#group11A0", "11A⁰"), =HYPERLINK("CSG0.html#group2A0", "2A⁰"), =HYPERLINK("CSG1.html#group26A1", "26A¹"), =HYPERLINK("CSG1.html#group22A1", "22A¹"), =HYPERLINK("CSG0.html#group13A0", "13A⁰"), =HYPERLINK("CSG0.html#group1A0", "1A⁰")</f>
        <v/>
      </c>
      <c r="N7882" t="inlineStr"/>
    </row>
    <row r="7883">
      <c r="A7883" t="inlineStr">
        <is>
          <t>287A²³</t>
        </is>
      </c>
      <c r="B7883" t="inlineStr"/>
      <c r="C7883" t="inlineStr">
        <is>
          <t>294</t>
        </is>
      </c>
      <c r="D7883" t="inlineStr">
        <is>
          <t>2</t>
        </is>
      </c>
      <c r="E7883" t="inlineStr">
        <is>
          <t>294</t>
        </is>
      </c>
      <c r="F7883" t="inlineStr">
        <is>
          <t>6</t>
        </is>
      </c>
      <c r="G7883" t="inlineStr">
        <is>
          <t>0</t>
        </is>
      </c>
      <c r="H7883" t="inlineStr">
        <is>
          <t>7¹, 287¹</t>
        </is>
      </c>
      <c r="I7883" t="n">
        <v>2</v>
      </c>
      <c r="J7883" t="inlineStr">
        <is>
          <t>2², 6⁴, 80¹, 240²</t>
        </is>
      </c>
      <c r="K7883">
        <f>HYPERLINK("CSG0.html#group7A0", "7A⁰"), =HYPERLINK("CSG3.html#group41A3", "41A³")</f>
        <v/>
      </c>
      <c r="L7883" t="inlineStr"/>
      <c r="M7883">
        <f>HYPERLINK("CSG0.html#group1A0", "1A⁰"), =HYPERLINK("CSG3.html#group41A3", "41A³"), =HYPERLINK("CSG0.html#group7A0", "7A⁰")</f>
        <v/>
      </c>
      <c r="N7883" t="inlineStr"/>
    </row>
    <row r="7884">
      <c r="A7884" t="inlineStr">
        <is>
          <t>288A²³</t>
        </is>
      </c>
      <c r="B7884" t="inlineStr"/>
      <c r="C7884" t="inlineStr">
        <is>
          <t>432</t>
        </is>
      </c>
      <c r="D7884" t="inlineStr">
        <is>
          <t>2</t>
        </is>
      </c>
      <c r="E7884" t="inlineStr">
        <is>
          <t>108</t>
        </is>
      </c>
      <c r="F7884" t="inlineStr">
        <is>
          <t>52</t>
        </is>
      </c>
      <c r="G7884" t="inlineStr">
        <is>
          <t>0</t>
        </is>
      </c>
      <c r="H7884" t="inlineStr">
        <is>
          <t>144¹, 288¹</t>
        </is>
      </c>
      <c r="I7884" t="n">
        <v>2</v>
      </c>
      <c r="J7884" t="inlineStr">
        <is>
          <t>4¹⁸, 12¹²</t>
        </is>
      </c>
      <c r="K7884">
        <f>HYPERLINK("CSG5.html#group96A5", "96A⁵"), =HYPERLINK("CSG8.html#group144A8", "144A⁸")</f>
        <v/>
      </c>
      <c r="L7884" t="inlineStr"/>
      <c r="M7884">
        <f>HYPERLINK("CSG0.html#group12C0", "12C⁰"), =HYPERLINK("CSG5.html#group96A5", "96A⁵"), =HYPERLINK("CSG4.html#group72E4", "72E⁴"), =HYPERLINK("CSG0.html#group4C0", "4C⁰"), =HYPERLINK("CSG2.html#group36B2", "36B²"), =HYPERLINK("CSG0.html#group8B0", "8B⁰"), =HYPERLINK("CSG0.html#group48A0", "48A⁰"), =HYPERLINK("CSG0.html#group2B0", "2B⁰"), =HYPERLINK("CSG0.html#group1A0", "1A⁰"), =HYPERLINK("CSG0.html#group16B0", "16B⁰"), =HYPERLINK("CSG0.html#group24A0", "24A⁰"), =HYPERLINK("CSG0.html#group9A0", "9A⁰"), =HYPERLINK("CSG8.html#group144A8", "144A⁸"), =HYPERLINK("CSG1.html#group18E1", "18E¹"), =HYPERLINK("CSG0.html#group3A0", "3A⁰"), =HYPERLINK("CSG0.html#group6D0", "6D⁰")</f>
        <v/>
      </c>
      <c r="N7884" t="inlineStr"/>
    </row>
    <row r="7885">
      <c r="A7885" t="inlineStr">
        <is>
          <t>291A²³</t>
        </is>
      </c>
      <c r="B7885" t="inlineStr"/>
      <c r="C7885" t="inlineStr">
        <is>
          <t>294</t>
        </is>
      </c>
      <c r="D7885" t="inlineStr">
        <is>
          <t>1</t>
        </is>
      </c>
      <c r="E7885" t="inlineStr">
        <is>
          <t>98</t>
        </is>
      </c>
      <c r="F7885" t="inlineStr">
        <is>
          <t>6</t>
        </is>
      </c>
      <c r="G7885" t="inlineStr">
        <is>
          <t>0</t>
        </is>
      </c>
      <c r="H7885" t="inlineStr">
        <is>
          <t>3¹, 291¹</t>
        </is>
      </c>
      <c r="I7885" t="n">
        <v>2</v>
      </c>
      <c r="J7885" t="inlineStr">
        <is>
          <t>1², 96¹</t>
        </is>
      </c>
      <c r="K7885">
        <f>HYPERLINK("CSG0.html#group3A0", "3A⁰"), =HYPERLINK("CSG7.html#group97A7", "97A⁷")</f>
        <v/>
      </c>
      <c r="L7885" t="inlineStr"/>
      <c r="M7885">
        <f>HYPERLINK("CSG0.html#group3A0", "3A⁰"), =HYPERLINK("CSG0.html#group1A0", "1A⁰"), =HYPERLINK("CSG7.html#group97A7", "97A⁷")</f>
        <v/>
      </c>
      <c r="N7885" t="inlineStr"/>
    </row>
    <row r="7886">
      <c r="A7886" t="inlineStr">
        <is>
          <t>292A²³</t>
        </is>
      </c>
      <c r="B7886" t="inlineStr"/>
      <c r="C7886" t="inlineStr">
        <is>
          <t>296</t>
        </is>
      </c>
      <c r="D7886" t="inlineStr">
        <is>
          <t>1</t>
        </is>
      </c>
      <c r="E7886" t="inlineStr">
        <is>
          <t>296</t>
        </is>
      </c>
      <c r="F7886" t="inlineStr">
        <is>
          <t>4</t>
        </is>
      </c>
      <c r="G7886" t="inlineStr">
        <is>
          <t>2</t>
        </is>
      </c>
      <c r="H7886" t="inlineStr">
        <is>
          <t>4¹, 292¹</t>
        </is>
      </c>
      <c r="I7886" t="n">
        <v>2</v>
      </c>
      <c r="J7886" t="inlineStr">
        <is>
          <t>2⁴, 144²</t>
        </is>
      </c>
      <c r="K7886">
        <f>HYPERLINK("CSG0.html#group4A0", "4A⁰"), =HYPERLINK("CSG5.html#group73A5", "73A⁵")</f>
        <v/>
      </c>
      <c r="L7886" t="inlineStr"/>
      <c r="M7886">
        <f>HYPERLINK("CSG0.html#group1A0", "1A⁰"), =HYPERLINK("CSG0.html#group4A0", "4A⁰"), =HYPERLINK("CSG5.html#group73A5", "73A⁵")</f>
        <v/>
      </c>
      <c r="N7886" t="inlineStr"/>
    </row>
    <row r="7887">
      <c r="A7887" t="inlineStr">
        <is>
          <t>294A²³</t>
        </is>
      </c>
      <c r="B7887" t="inlineStr"/>
      <c r="C7887" t="inlineStr">
        <is>
          <t>336</t>
        </is>
      </c>
      <c r="D7887" t="inlineStr">
        <is>
          <t>1</t>
        </is>
      </c>
      <c r="E7887" t="inlineStr">
        <is>
          <t>112</t>
        </is>
      </c>
      <c r="F7887" t="inlineStr">
        <is>
          <t>0</t>
        </is>
      </c>
      <c r="G7887" t="inlineStr">
        <is>
          <t>6</t>
        </is>
      </c>
      <c r="H7887" t="inlineStr">
        <is>
          <t>6⁷, 294¹</t>
        </is>
      </c>
      <c r="I7887" t="n">
        <v>8</v>
      </c>
      <c r="J7887" t="inlineStr">
        <is>
          <t>2², 12², 84¹</t>
        </is>
      </c>
      <c r="K7887">
        <f>HYPERLINK("CSG2.html#group42B2", "42B²"), =HYPERLINK("CSG5.html#group98A5", "98A⁵")</f>
        <v/>
      </c>
      <c r="L7887" t="inlineStr"/>
      <c r="M7887">
        <f>HYPERLINK("CSG2.html#group42B2", "42B²"), =HYPERLINK("CSG0.html#group2A0", "2A⁰"), =HYPERLINK("CSG0.html#group6A0", "6A⁰"), =HYPERLINK("CSG5.html#group98A5", "98A⁵"), =HYPERLINK("CSG0.html#group7B0", "7B⁰"), =HYPERLINK("CSG0.html#group14B0", "14B⁰"), =HYPERLINK("CSG1.html#group49A1", "49A¹"), =HYPERLINK("CSG0.html#group1A0", "1A⁰")</f>
        <v/>
      </c>
      <c r="N7887" t="inlineStr"/>
    </row>
    <row r="7888">
      <c r="A7888" t="inlineStr">
        <is>
          <t>294B²³</t>
        </is>
      </c>
      <c r="B7888" t="inlineStr"/>
      <c r="C7888" t="inlineStr">
        <is>
          <t>336</t>
        </is>
      </c>
      <c r="D7888" t="inlineStr">
        <is>
          <t>2</t>
        </is>
      </c>
      <c r="E7888" t="inlineStr">
        <is>
          <t>56</t>
        </is>
      </c>
      <c r="F7888" t="inlineStr">
        <is>
          <t>0</t>
        </is>
      </c>
      <c r="G7888" t="inlineStr">
        <is>
          <t>6</t>
        </is>
      </c>
      <c r="H7888" t="inlineStr">
        <is>
          <t>6⁷, 294¹</t>
        </is>
      </c>
      <c r="I7888" t="n">
        <v>8</v>
      </c>
      <c r="J7888" t="inlineStr">
        <is>
          <t>2², 12², 84¹</t>
        </is>
      </c>
      <c r="K7888">
        <f>HYPERLINK("CSG2.html#group42C2", "42C²"), =HYPERLINK("CSG5.html#group98A5", "98A⁵"), =HYPERLINK("CSG10.html#group147A10", "147A¹⁰")</f>
        <v/>
      </c>
      <c r="L7888" t="inlineStr"/>
      <c r="M7888">
        <f>HYPERLINK("CSG0.html#group2A0", "2A⁰"), =HYPERLINK("CSG5.html#group98A5", "98A⁵"), =HYPERLINK("CSG0.html#group7B0", "7B⁰"), =HYPERLINK("CSG0.html#group14B0", "14B⁰"), =HYPERLINK("CSG2.html#group42C2", "42C²"), =HYPERLINK("CSG1.html#group49A1", "49A¹"), =HYPERLINK("CSG10.html#group147A10", "147A¹⁰"), =HYPERLINK("CSG0.html#group1A0", "1A⁰"), =HYPERLINK("CSG1.html#group21A1", "21A¹")</f>
        <v/>
      </c>
      <c r="N7888" t="inlineStr"/>
    </row>
    <row r="7889">
      <c r="A7889" t="inlineStr">
        <is>
          <t>296A²³</t>
        </is>
      </c>
      <c r="B7889" t="inlineStr"/>
      <c r="C7889" t="inlineStr">
        <is>
          <t>304</t>
        </is>
      </c>
      <c r="D7889" t="inlineStr">
        <is>
          <t>2</t>
        </is>
      </c>
      <c r="E7889" t="inlineStr">
        <is>
          <t>152</t>
        </is>
      </c>
      <c r="F7889" t="inlineStr">
        <is>
          <t>4</t>
        </is>
      </c>
      <c r="G7889" t="inlineStr">
        <is>
          <t>4</t>
        </is>
      </c>
      <c r="H7889" t="inlineStr">
        <is>
          <t>8¹, 296¹</t>
        </is>
      </c>
      <c r="I7889" t="n">
        <v>2</v>
      </c>
      <c r="J7889" t="inlineStr">
        <is>
          <t>4⁴, 144²</t>
        </is>
      </c>
      <c r="K7889">
        <f>HYPERLINK("CSG11.html#group148A11", "148A¹¹")</f>
        <v/>
      </c>
      <c r="L7889" t="inlineStr"/>
      <c r="M7889">
        <f>HYPERLINK("CSG2.html#group37A2", "37A²"), =HYPERLINK("CSG0.html#group1A0", "1A⁰"), =HYPERLINK("CSG11.html#group148A11", "148A¹¹"), =HYPERLINK("CSG0.html#group4A0", "4A⁰")</f>
        <v/>
      </c>
      <c r="N7889" t="inlineStr"/>
    </row>
    <row r="7890">
      <c r="A7890" t="inlineStr">
        <is>
          <t>296B²³</t>
        </is>
      </c>
      <c r="B7890" t="inlineStr"/>
      <c r="C7890" t="inlineStr">
        <is>
          <t>304</t>
        </is>
      </c>
      <c r="D7890" t="inlineStr">
        <is>
          <t>2</t>
        </is>
      </c>
      <c r="E7890" t="inlineStr">
        <is>
          <t>152</t>
        </is>
      </c>
      <c r="F7890" t="inlineStr">
        <is>
          <t>4</t>
        </is>
      </c>
      <c r="G7890" t="inlineStr">
        <is>
          <t>4</t>
        </is>
      </c>
      <c r="H7890" t="inlineStr">
        <is>
          <t>8¹, 296¹</t>
        </is>
      </c>
      <c r="I7890" t="n">
        <v>2</v>
      </c>
      <c r="J7890" t="inlineStr">
        <is>
          <t>4⁴, 144²</t>
        </is>
      </c>
      <c r="K7890">
        <f>HYPERLINK("CSG0.html#group8A0", "8A⁰"), =HYPERLINK("CSG11.html#group148A11", "148A¹¹")</f>
        <v/>
      </c>
      <c r="L7890" t="inlineStr"/>
      <c r="M7890">
        <f>HYPERLINK("CSG0.html#group8A0", "8A⁰"), =HYPERLINK("CSG2.html#group37A2", "37A²"), =HYPERLINK("CSG0.html#group4A0", "4A⁰"), =HYPERLINK("CSG0.html#group1A0", "1A⁰"), =HYPERLINK("CSG11.html#group148A11", "148A¹¹")</f>
        <v/>
      </c>
      <c r="N7890" t="inlineStr"/>
    </row>
    <row r="7891">
      <c r="A7891" t="inlineStr">
        <is>
          <t>306A²³</t>
        </is>
      </c>
      <c r="B7891" t="inlineStr"/>
      <c r="C7891" t="inlineStr">
        <is>
          <t>324</t>
        </is>
      </c>
      <c r="D7891" t="inlineStr">
        <is>
          <t>2</t>
        </is>
      </c>
      <c r="E7891" t="inlineStr">
        <is>
          <t>162</t>
        </is>
      </c>
      <c r="F7891" t="inlineStr">
        <is>
          <t>16</t>
        </is>
      </c>
      <c r="G7891" t="inlineStr">
        <is>
          <t>0</t>
        </is>
      </c>
      <c r="H7891" t="inlineStr">
        <is>
          <t>18¹, 306¹</t>
        </is>
      </c>
      <c r="I7891" t="n">
        <v>2</v>
      </c>
      <c r="J7891" t="inlineStr">
        <is>
          <t>2⁶, 6⁴, 32³, 96²</t>
        </is>
      </c>
      <c r="K7891">
        <f>HYPERLINK("CSG7.html#group102A7", "102A⁷"), =HYPERLINK("CSG11.html#group153A11", "153A¹¹")</f>
        <v/>
      </c>
      <c r="L7891" t="inlineStr"/>
      <c r="M7891">
        <f>HYPERLINK("CSG1.html#group17A1", "17A¹"), =HYPERLINK("CSG3.html#group51A3", "51A³"), =HYPERLINK("CSG0.html#group3A0", "3A⁰"), =HYPERLINK("CSG7.html#group102A7", "102A⁷"), =HYPERLINK("CSG11.html#group153A11", "153A¹¹"), =HYPERLINK("CSG0.html#group1A0", "1A⁰"), =HYPERLINK("CSG0.html#group9A0", "9A⁰")</f>
        <v/>
      </c>
      <c r="N7891" t="inlineStr"/>
    </row>
    <row r="7892">
      <c r="A7892" t="inlineStr">
        <is>
          <t>306B²³</t>
        </is>
      </c>
      <c r="B7892" t="inlineStr"/>
      <c r="C7892" t="inlineStr">
        <is>
          <t>324</t>
        </is>
      </c>
      <c r="D7892" t="inlineStr">
        <is>
          <t>2</t>
        </is>
      </c>
      <c r="E7892" t="inlineStr">
        <is>
          <t>162</t>
        </is>
      </c>
      <c r="F7892" t="inlineStr">
        <is>
          <t>16</t>
        </is>
      </c>
      <c r="G7892" t="inlineStr">
        <is>
          <t>0</t>
        </is>
      </c>
      <c r="H7892" t="inlineStr">
        <is>
          <t>18¹, 306¹</t>
        </is>
      </c>
      <c r="I7892" t="n">
        <v>2</v>
      </c>
      <c r="J7892" t="inlineStr">
        <is>
          <t>2⁶, 6⁴, 32³, 96²</t>
        </is>
      </c>
      <c r="K7892">
        <f>HYPERLINK("CSG0.html#group18A0", "18A⁰"), =HYPERLINK("CSG7.html#group102B7", "102B⁷"), =HYPERLINK("CSG11.html#group153A11", "153A¹¹")</f>
        <v/>
      </c>
      <c r="L7892" t="inlineStr"/>
      <c r="M7892">
        <f>HYPERLINK("CSG0.html#group6B0", "6B⁰"), =HYPERLINK("CSG11.html#group153A11", "153A¹¹"), =HYPERLINK("CSG3.html#group51A3", "51A³"), =HYPERLINK("CSG7.html#group102B7", "102B⁷"), =HYPERLINK("CSG0.html#group9A0", "9A⁰"), =HYPERLINK("CSG1.html#group17A1", "17A¹"), =HYPERLINK("CSG0.html#group3A0", "3A⁰"), =HYPERLINK("CSG0.html#group1A0", "1A⁰"), =HYPERLINK("CSG0.html#group18A0", "18A⁰")</f>
        <v/>
      </c>
      <c r="N7892" t="inlineStr"/>
    </row>
    <row r="7893">
      <c r="A7893" t="inlineStr">
        <is>
          <t>312A²³</t>
        </is>
      </c>
      <c r="B7893" t="inlineStr"/>
      <c r="C7893" t="inlineStr">
        <is>
          <t>336</t>
        </is>
      </c>
      <c r="D7893" t="inlineStr">
        <is>
          <t>2</t>
        </is>
      </c>
      <c r="E7893" t="inlineStr">
        <is>
          <t>56</t>
        </is>
      </c>
      <c r="F7893" t="inlineStr">
        <is>
          <t>12</t>
        </is>
      </c>
      <c r="G7893" t="inlineStr">
        <is>
          <t>6</t>
        </is>
      </c>
      <c r="H7893" t="inlineStr">
        <is>
          <t>24¹, 312¹</t>
        </is>
      </c>
      <c r="I7893" t="n">
        <v>2</v>
      </c>
      <c r="J7893" t="inlineStr">
        <is>
          <t>8⁴, 96²</t>
        </is>
      </c>
      <c r="K7893">
        <f>HYPERLINK("CSG7.html#group104A7", "104A⁷"), =HYPERLINK("CSG10.html#group156A10", "156A¹⁰")</f>
        <v/>
      </c>
      <c r="L7893" t="inlineStr"/>
      <c r="M7893">
        <f>HYPERLINK("CSG0.html#group13A0", "13A⁰"), =HYPERLINK("CSG7.html#group104A7", "104A⁷"), =HYPERLINK("CSG1.html#group39A1", "39A¹"), =HYPERLINK("CSG3.html#group52A3", "52A³"), =HYPERLINK("CSG10.html#group156A10", "156A¹⁰"), =HYPERLINK("CSG0.html#group1A0", "1A⁰"), =HYPERLINK("CSG0.html#group4A0", "4A⁰")</f>
        <v/>
      </c>
      <c r="N7893" t="inlineStr"/>
    </row>
    <row r="7894">
      <c r="A7894" t="inlineStr">
        <is>
          <t>312B²³</t>
        </is>
      </c>
      <c r="B7894" t="inlineStr"/>
      <c r="C7894" t="inlineStr">
        <is>
          <t>336</t>
        </is>
      </c>
      <c r="D7894" t="inlineStr">
        <is>
          <t>2</t>
        </is>
      </c>
      <c r="E7894" t="inlineStr">
        <is>
          <t>56</t>
        </is>
      </c>
      <c r="F7894" t="inlineStr">
        <is>
          <t>12</t>
        </is>
      </c>
      <c r="G7894" t="inlineStr">
        <is>
          <t>6</t>
        </is>
      </c>
      <c r="H7894" t="inlineStr">
        <is>
          <t>24¹, 312¹</t>
        </is>
      </c>
      <c r="I7894" t="n">
        <v>2</v>
      </c>
      <c r="J7894" t="inlineStr">
        <is>
          <t>8⁴, 96²</t>
        </is>
      </c>
      <c r="K7894">
        <f>HYPERLINK("CSG7.html#group104A7", "104A⁷"), =HYPERLINK("CSG10.html#group156A10", "156A¹⁰")</f>
        <v/>
      </c>
      <c r="L7894" t="inlineStr"/>
      <c r="M7894">
        <f>HYPERLINK("CSG0.html#group13A0", "13A⁰"), =HYPERLINK("CSG7.html#group104A7", "104A⁷"), =HYPERLINK("CSG1.html#group39A1", "39A¹"), =HYPERLINK("CSG3.html#group52A3", "52A³"), =HYPERLINK("CSG10.html#group156A10", "156A¹⁰"), =HYPERLINK("CSG0.html#group1A0", "1A⁰"), =HYPERLINK("CSG0.html#group4A0", "4A⁰")</f>
        <v/>
      </c>
      <c r="N7894" t="inlineStr"/>
    </row>
    <row r="7895">
      <c r="A7895" t="inlineStr">
        <is>
          <t>312C²³</t>
        </is>
      </c>
      <c r="B7895" t="inlineStr"/>
      <c r="C7895" t="inlineStr">
        <is>
          <t>336</t>
        </is>
      </c>
      <c r="D7895" t="inlineStr">
        <is>
          <t>2</t>
        </is>
      </c>
      <c r="E7895" t="inlineStr">
        <is>
          <t>56</t>
        </is>
      </c>
      <c r="F7895" t="inlineStr">
        <is>
          <t>12</t>
        </is>
      </c>
      <c r="G7895" t="inlineStr">
        <is>
          <t>6</t>
        </is>
      </c>
      <c r="H7895" t="inlineStr">
        <is>
          <t>24¹, 312¹</t>
        </is>
      </c>
      <c r="I7895" t="n">
        <v>2</v>
      </c>
      <c r="J7895" t="inlineStr">
        <is>
          <t>8⁴, 96²</t>
        </is>
      </c>
      <c r="K7895">
        <f>HYPERLINK("CSG7.html#group104B7", "104B⁷"), =HYPERLINK("CSG10.html#group156A10", "156A¹⁰")</f>
        <v/>
      </c>
      <c r="L7895" t="inlineStr"/>
      <c r="M7895">
        <f>HYPERLINK("CSG3.html#group52A3", "52A³"), =HYPERLINK("CSG7.html#group104B7", "104B⁷"), =HYPERLINK("CSG0.html#group4A0", "4A⁰"), =HYPERLINK("CSG0.html#group8A0", "8A⁰"), =HYPERLINK("CSG0.html#group13A0", "13A⁰"), =HYPERLINK("CSG1.html#group39A1", "39A¹"), =HYPERLINK("CSG10.html#group156A10", "156A¹⁰"), =HYPERLINK("CSG0.html#group1A0", "1A⁰")</f>
        <v/>
      </c>
      <c r="N7895" t="inlineStr"/>
    </row>
    <row r="7896">
      <c r="A7896" t="inlineStr">
        <is>
          <t>312D²³</t>
        </is>
      </c>
      <c r="B7896" t="inlineStr"/>
      <c r="C7896" t="inlineStr">
        <is>
          <t>336</t>
        </is>
      </c>
      <c r="D7896" t="inlineStr">
        <is>
          <t>2</t>
        </is>
      </c>
      <c r="E7896" t="inlineStr">
        <is>
          <t>56</t>
        </is>
      </c>
      <c r="F7896" t="inlineStr">
        <is>
          <t>12</t>
        </is>
      </c>
      <c r="G7896" t="inlineStr">
        <is>
          <t>6</t>
        </is>
      </c>
      <c r="H7896" t="inlineStr">
        <is>
          <t>24¹, 312¹</t>
        </is>
      </c>
      <c r="I7896" t="n">
        <v>2</v>
      </c>
      <c r="J7896" t="inlineStr">
        <is>
          <t>8⁴, 96²</t>
        </is>
      </c>
      <c r="K7896">
        <f>HYPERLINK("CSG7.html#group104B7", "104B⁷"), =HYPERLINK("CSG10.html#group156A10", "156A¹⁰")</f>
        <v/>
      </c>
      <c r="L7896" t="inlineStr"/>
      <c r="M7896">
        <f>HYPERLINK("CSG3.html#group52A3", "52A³"), =HYPERLINK("CSG7.html#group104B7", "104B⁷"), =HYPERLINK("CSG0.html#group4A0", "4A⁰"), =HYPERLINK("CSG0.html#group8A0", "8A⁰"), =HYPERLINK("CSG0.html#group13A0", "13A⁰"), =HYPERLINK("CSG1.html#group39A1", "39A¹"), =HYPERLINK("CSG10.html#group156A10", "156A¹⁰"), =HYPERLINK("CSG0.html#group1A0", "1A⁰")</f>
        <v/>
      </c>
      <c r="N7896" t="inlineStr"/>
    </row>
    <row r="7897">
      <c r="A7897" t="inlineStr">
        <is>
          <t>315A²³</t>
        </is>
      </c>
      <c r="B7897" t="inlineStr"/>
      <c r="C7897" t="inlineStr">
        <is>
          <t>315</t>
        </is>
      </c>
      <c r="D7897" t="inlineStr">
        <is>
          <t>2</t>
        </is>
      </c>
      <c r="E7897" t="inlineStr">
        <is>
          <t>315</t>
        </is>
      </c>
      <c r="F7897" t="inlineStr">
        <is>
          <t>15</t>
        </is>
      </c>
      <c r="G7897" t="inlineStr">
        <is>
          <t>0</t>
        </is>
      </c>
      <c r="H7897" t="inlineStr">
        <is>
          <t>315¹</t>
        </is>
      </c>
      <c r="I7897" t="n">
        <v>1</v>
      </c>
      <c r="J7897" t="inlineStr">
        <is>
          <t>2¹, 4¹, 6², 8¹, 12³, 16¹, 24², 36², 48³, 144²</t>
        </is>
      </c>
      <c r="K7897">
        <f>HYPERLINK("CSG2.html#group63A2", "63A²"), =HYPERLINK("CSG3.html#group45A3", "45A³"), =HYPERLINK("CSG7.html#group105A7", "105A⁷")</f>
        <v/>
      </c>
      <c r="L7897" t="inlineStr"/>
      <c r="M7897">
        <f>HYPERLINK("CSG0.html#group5A0", "5A⁰"), =HYPERLINK("CSG0.html#group9A0", "9A⁰"), =HYPERLINK("CSG0.html#group21A0", "21A⁰"), =HYPERLINK("CSG2.html#group35A2", "35A²"), =HYPERLINK("CSG0.html#group7A0", "7A⁰"), =HYPERLINK("CSG0.html#group3A0", "3A⁰"), =HYPERLINK("CSG0.html#group1A0", "1A⁰"), =HYPERLINK("CSG7.html#group105A7", "105A⁷"), =HYPERLINK("CSG1.html#group15A1", "15A¹"), =HYPERLINK("CSG2.html#group63A2", "63A²"), =HYPERLINK("CSG3.html#group45A3", "45A³")</f>
        <v/>
      </c>
      <c r="N7897" t="inlineStr"/>
    </row>
    <row r="7898">
      <c r="A7898" t="inlineStr">
        <is>
          <t>338A²³</t>
        </is>
      </c>
      <c r="B7898" t="inlineStr"/>
      <c r="C7898" t="inlineStr">
        <is>
          <t>364</t>
        </is>
      </c>
      <c r="D7898" t="inlineStr">
        <is>
          <t>1</t>
        </is>
      </c>
      <c r="E7898" t="inlineStr">
        <is>
          <t>182</t>
        </is>
      </c>
      <c r="F7898" t="inlineStr">
        <is>
          <t>0</t>
        </is>
      </c>
      <c r="G7898" t="inlineStr">
        <is>
          <t>4</t>
        </is>
      </c>
      <c r="H7898" t="inlineStr">
        <is>
          <t>2¹³, 338¹</t>
        </is>
      </c>
      <c r="I7898" t="n">
        <v>14</v>
      </c>
      <c r="J7898" t="inlineStr">
        <is>
          <t>1², 12², 156¹</t>
        </is>
      </c>
      <c r="K7898">
        <f>HYPERLINK("CSG1.html#group26A1", "26A¹"), =HYPERLINK("CSG8.html#group169A8", "169A⁸")</f>
        <v/>
      </c>
      <c r="L7898" t="inlineStr"/>
      <c r="M7898">
        <f>HYPERLINK("CSG0.html#group13A0", "13A⁰"), =HYPERLINK("CSG0.html#group2A0", "2A⁰"), =HYPERLINK("CSG1.html#group26A1", "26A¹"), =HYPERLINK("CSG0.html#group1A0", "1A⁰"), =HYPERLINK("CSG8.html#group169A8", "169A⁸")</f>
        <v/>
      </c>
      <c r="N7898" t="inlineStr"/>
    </row>
    <row r="7899">
      <c r="A7899" t="inlineStr">
        <is>
          <t>13A²⁴</t>
        </is>
      </c>
      <c r="B7899" t="inlineStr"/>
      <c r="C7899" t="inlineStr">
        <is>
          <t>546</t>
        </is>
      </c>
      <c r="D7899" t="inlineStr">
        <is>
          <t>1</t>
        </is>
      </c>
      <c r="E7899" t="inlineStr">
        <is>
          <t>91</t>
        </is>
      </c>
      <c r="F7899" t="inlineStr">
        <is>
          <t>6</t>
        </is>
      </c>
      <c r="G7899" t="inlineStr">
        <is>
          <t>0</t>
        </is>
      </c>
      <c r="H7899" t="inlineStr">
        <is>
          <t>13⁴²</t>
        </is>
      </c>
      <c r="I7899" t="n">
        <v>42</v>
      </c>
      <c r="J7899" t="inlineStr">
        <is>
          <t>1¹, 6¹, 12⁷</t>
        </is>
      </c>
      <c r="K7899">
        <f>HYPERLINK("CSG0.html#group13C0", "13C⁰"), =HYPERLINK("CSG3.html#group13A3", "13A³"), =HYPERLINK("CSG7.html#group13A7", "13A⁷"), =HYPERLINK("CSG7.html#group13B7", "13B⁷"), =HYPERLINK("CSG8.html#group13B8", "13B⁸"), =HYPERLINK("CSG11.html#group13A11", "13A¹¹")</f>
        <v/>
      </c>
      <c r="L7899" t="inlineStr"/>
      <c r="M7899">
        <f>HYPERLINK("CSG7.html#group13B7", "13B⁷"), =HYPERLINK("CSG8.html#group13B8", "13B⁸"), =HYPERLINK("CSG7.html#group13A7", "13A⁷"), =HYPERLINK("CSG3.html#group13B3", "13B³"), =HYPERLINK("CSG0.html#group13A0", "13A⁰"), =HYPERLINK("CSG3.html#group13C3", "13C³"), =HYPERLINK("CSG3.html#group13A3", "13A³"), =HYPERLINK("CSG11.html#group13A11", "13A¹¹"), =HYPERLINK("CSG0.html#group13C0", "13C⁰"), =HYPERLINK("CSG0.html#group1A0", "1A⁰")</f>
        <v/>
      </c>
      <c r="N7899" t="inlineStr"/>
    </row>
    <row r="7900">
      <c r="A7900" t="inlineStr">
        <is>
          <t>24A²⁴</t>
        </is>
      </c>
      <c r="B7900" t="inlineStr"/>
      <c r="C7900" t="inlineStr">
        <is>
          <t>384</t>
        </is>
      </c>
      <c r="D7900" t="inlineStr">
        <is>
          <t>1</t>
        </is>
      </c>
      <c r="E7900" t="inlineStr">
        <is>
          <t>128</t>
        </is>
      </c>
      <c r="F7900" t="inlineStr">
        <is>
          <t>0</t>
        </is>
      </c>
      <c r="G7900" t="inlineStr">
        <is>
          <t>3</t>
        </is>
      </c>
      <c r="H7900" t="inlineStr">
        <is>
          <t>24¹⁶</t>
        </is>
      </c>
      <c r="I7900" t="n">
        <v>16</v>
      </c>
      <c r="J7900" t="inlineStr">
        <is>
          <t>8¹⁶</t>
        </is>
      </c>
      <c r="K7900">
        <f>HYPERLINK("CSG4.html#group12D4", "12D⁴"), =HYPERLINK("CSG6.html#group24A6", "24A⁶"), =HYPERLINK("CSG6.html#group24C6", "24C⁶"), =HYPERLINK("CSG7.html#group24E7", "24E⁷")</f>
        <v/>
      </c>
      <c r="L7900" t="inlineStr"/>
      <c r="M7900">
        <f>HYPERLINK("CSG0.html#group2A0", "2A⁰"), =HYPERLINK("CSG0.html#group3B0", "3B⁰"), =HYPERLINK("CSG4.html#group24C4", "24C⁴"), =HYPERLINK("CSG1.html#group12I1", "12I¹"), =HYPERLINK("CSG1.html#group12H1", "12H¹"), =HYPERLINK("CSG6.html#group24A6", "24A⁶"), =HYPERLINK("CSG0.html#group6C0", "6C⁰"), =HYPERLINK("CSG1.html#group12E1", "12E¹"), =HYPERLINK("CSG6.html#group24C6", "24C⁶"), =HYPERLINK("CSG1.html#group8E1", "8E¹"), =HYPERLINK("CSG0.html#group1A0", "1A⁰"), =HYPERLINK("CSG7.html#group24E7", "24E⁷"), =HYPERLINK("CSG0.html#group8F0", "8F⁰"), =HYPERLINK("CSG4.html#group12D4", "12D⁴"), =HYPERLINK("CSG0.html#group6A0", "6A⁰"), =HYPERLINK("CSG0.html#group4A0", "4A⁰"), =HYPERLINK("CSG0.html#group4D0", "4D⁰"), =HYPERLINK("CSG1.html#group12A1", "12A¹"), =HYPERLINK("CSG0.html#group6J0", "6J⁰")</f>
        <v/>
      </c>
      <c r="N7900" t="inlineStr"/>
    </row>
    <row r="7901">
      <c r="A7901" t="inlineStr">
        <is>
          <t>29A²⁴</t>
        </is>
      </c>
      <c r="B7901" t="inlineStr"/>
      <c r="C7901" t="inlineStr">
        <is>
          <t>406</t>
        </is>
      </c>
      <c r="D7901" t="inlineStr">
        <is>
          <t>1</t>
        </is>
      </c>
      <c r="E7901" t="inlineStr">
        <is>
          <t>406</t>
        </is>
      </c>
      <c r="F7901" t="inlineStr">
        <is>
          <t>14</t>
        </is>
      </c>
      <c r="G7901" t="inlineStr">
        <is>
          <t>1</t>
        </is>
      </c>
      <c r="H7901" t="inlineStr">
        <is>
          <t>29¹⁴</t>
        </is>
      </c>
      <c r="I7901" t="n">
        <v>14</v>
      </c>
      <c r="J7901" t="inlineStr">
        <is>
          <t>14¹, 28¹⁴</t>
        </is>
      </c>
      <c r="K7901">
        <f>HYPERLINK("CSG0.html#group1A0", "1A⁰")</f>
        <v/>
      </c>
      <c r="L7901" t="inlineStr"/>
      <c r="M7901">
        <f>HYPERLINK("CSG0.html#group1A0", "1A⁰")</f>
        <v/>
      </c>
      <c r="N7901" t="inlineStr"/>
    </row>
    <row r="7902">
      <c r="A7902" t="inlineStr">
        <is>
          <t>30A²⁴</t>
        </is>
      </c>
      <c r="B7902" t="inlineStr"/>
      <c r="C7902" t="inlineStr">
        <is>
          <t>360</t>
        </is>
      </c>
      <c r="D7902" t="inlineStr">
        <is>
          <t>2</t>
        </is>
      </c>
      <c r="E7902" t="inlineStr">
        <is>
          <t>180</t>
        </is>
      </c>
      <c r="F7902" t="inlineStr">
        <is>
          <t>4</t>
        </is>
      </c>
      <c r="G7902" t="inlineStr">
        <is>
          <t>0</t>
        </is>
      </c>
      <c r="H7902" t="inlineStr">
        <is>
          <t>30¹²</t>
        </is>
      </c>
      <c r="I7902" t="n">
        <v>12</v>
      </c>
      <c r="J7902" t="inlineStr">
        <is>
          <t>8⁴⁵</t>
        </is>
      </c>
      <c r="K7902">
        <f>HYPERLINK("CSG6.html#group30F6", "30F⁶"), =HYPERLINK("CSG11.html#group30F11", "30F¹¹")</f>
        <v/>
      </c>
      <c r="L7902" t="inlineStr"/>
      <c r="M7902">
        <f>HYPERLINK("CSG2.html#group15E2", "15E²"), =HYPERLINK("CSG11.html#group30F11", "30F¹¹"), =HYPERLINK("CSG0.html#group5A0", "5A⁰"), =HYPERLINK("CSG3.html#group30E3", "30E³"), =HYPERLINK("CSG1.html#group10B1", "10B¹"), =HYPERLINK("CSG0.html#group2B0", "2B⁰"), =HYPERLINK("CSG0.html#group1A0", "1A⁰"), =HYPERLINK("CSG6.html#group30F6", "30F⁶"), =HYPERLINK("CSG0.html#group15A0", "15A⁰")</f>
        <v/>
      </c>
      <c r="N7902" t="inlineStr"/>
    </row>
    <row r="7903">
      <c r="A7903" t="inlineStr">
        <is>
          <t>32A²⁴</t>
        </is>
      </c>
      <c r="B7903" t="inlineStr"/>
      <c r="C7903" t="inlineStr">
        <is>
          <t>384</t>
        </is>
      </c>
      <c r="D7903" t="inlineStr">
        <is>
          <t>1</t>
        </is>
      </c>
      <c r="E7903" t="inlineStr">
        <is>
          <t>96</t>
        </is>
      </c>
      <c r="F7903" t="inlineStr">
        <is>
          <t>4</t>
        </is>
      </c>
      <c r="G7903" t="inlineStr">
        <is>
          <t>0</t>
        </is>
      </c>
      <c r="H7903" t="inlineStr">
        <is>
          <t>16⁸, 32⁸</t>
        </is>
      </c>
      <c r="I7903" t="n">
        <v>16</v>
      </c>
      <c r="J7903" t="inlineStr">
        <is>
          <t>4², 8¹¹</t>
        </is>
      </c>
      <c r="K7903">
        <f>HYPERLINK("CSG10.html#group16A10", "16A¹⁰"), =HYPERLINK("CSG10.html#group32B10", "32B¹⁰"), =HYPERLINK("CSG12.html#group32A12", "32A¹²")</f>
        <v/>
      </c>
      <c r="L7903" t="inlineStr"/>
      <c r="M7903">
        <f>HYPERLINK("CSG5.html#group32I5", "32I⁵"), =HYPERLINK("CSG1.html#group16I1", "16I¹"), =HYPERLINK("CSG0.html#group8D0", "8D⁰"), =HYPERLINK("CSG0.html#group4C0", "4C⁰"), =HYPERLINK("CSG0.html#group8B0", "8B⁰"), =HYPERLINK("CSG0.html#group8A0", "8A⁰"), =HYPERLINK("CSG3.html#group16P3", "16P³"), =HYPERLINK("CSG12.html#group32A12", "32A¹²"), =HYPERLINK("CSG0.html#group2B0", "2B⁰"), =HYPERLINK("CSG3.html#group32G3", "32G³"), =HYPERLINK("CSG0.html#group1A0", "1A⁰"), =HYPERLINK("CSG0.html#group8K0", "8K⁰"), =HYPERLINK("CSG1.html#group8H1", "8H¹"), =HYPERLINK("CSG2.html#group16E2", "16E²"), =HYPERLINK("CSG1.html#group8D1", "8D¹"), =HYPERLINK("CSG10.html#group16A10", "16A¹⁰"), =HYPERLINK("CSG0.html#group8H0", "8H⁰"), =HYPERLINK("CSG0.html#group16E0", "16E⁰"), =HYPERLINK("CSG4.html#group16B4", "16B⁴"), =HYPERLINK("CSG1.html#group16D1", "16D¹"), =HYPERLINK("CSG6.html#group32C6", "32C⁶"), =HYPERLINK("CSG0.html#group4A0", "4A⁰"), =HYPERLINK("CSG10.html#group32B10", "32B¹⁰"), =HYPERLINK("CSG1.html#group16C1", "16C¹"), =HYPERLINK("CSG5.html#group16I5", "16I⁵"), =HYPERLINK("CSG3.html#group32E3", "32E³"), =HYPERLINK("CSG0.html#group4F0", "4F⁰"), =HYPERLINK("CSG3.html#group32P3", "32P³")</f>
        <v/>
      </c>
      <c r="N7903" t="inlineStr"/>
    </row>
    <row r="7904">
      <c r="A7904" t="inlineStr">
        <is>
          <t>32B²⁴</t>
        </is>
      </c>
      <c r="B7904" t="inlineStr"/>
      <c r="C7904" t="inlineStr">
        <is>
          <t>384</t>
        </is>
      </c>
      <c r="D7904" t="inlineStr">
        <is>
          <t>1</t>
        </is>
      </c>
      <c r="E7904" t="inlineStr">
        <is>
          <t>96</t>
        </is>
      </c>
      <c r="F7904" t="inlineStr">
        <is>
          <t>4</t>
        </is>
      </c>
      <c r="G7904" t="inlineStr">
        <is>
          <t>0</t>
        </is>
      </c>
      <c r="H7904" t="inlineStr">
        <is>
          <t>16⁸, 32⁸</t>
        </is>
      </c>
      <c r="I7904" t="n">
        <v>16</v>
      </c>
      <c r="J7904" t="inlineStr">
        <is>
          <t>4², 8¹¹</t>
        </is>
      </c>
      <c r="K7904">
        <f>HYPERLINK("CSG10.html#group16A10", "16A¹⁰"), =HYPERLINK("CSG10.html#group32C10", "32C¹⁰"), =HYPERLINK("CSG12.html#group32B12", "32B¹²")</f>
        <v/>
      </c>
      <c r="L7904" t="inlineStr"/>
      <c r="M7904">
        <f>HYPERLINK("CSG1.html#group16I1", "16I¹"), =HYPERLINK("CSG0.html#group8D0", "8D⁰"), =HYPERLINK("CSG6.html#group32D6", "32D⁶"), =HYPERLINK("CSG0.html#group4C0", "4C⁰"), =HYPERLINK("CSG0.html#group8B0", "8B⁰"), =HYPERLINK("CSG0.html#group8A0", "8A⁰"), =HYPERLINK("CSG5.html#group32H5", "32H⁵"), =HYPERLINK("CSG1.html#group32D1", "32D¹"), =HYPERLINK("CSG0.html#group2B0", "2B⁰"), =HYPERLINK("CSG3.html#group32I3", "32I³"), =HYPERLINK("CSG3.html#group16P3", "16P³"), =HYPERLINK("CSG3.html#group32F3", "32F³"), =HYPERLINK("CSG0.html#group1A0", "1A⁰"), =HYPERLINK("CSG0.html#group8K0", "8K⁰"), =HYPERLINK("CSG1.html#group8H1", "8H¹"), =HYPERLINK("CSG2.html#group16E2", "16E²"), =HYPERLINK("CSG1.html#group8D1", "8D¹"), =HYPERLINK("CSG10.html#group16A10", "16A¹⁰"), =HYPERLINK("CSG0.html#group8H0", "8H⁰"), =HYPERLINK("CSG3.html#group32Q3", "32Q³"), =HYPERLINK("CSG0.html#group16E0", "16E⁰"), =HYPERLINK("CSG4.html#group16B4", "16B⁴"), =HYPERLINK("CSG10.html#group32C10", "32C¹⁰"), =HYPERLINK("CSG1.html#group16D1", "16D¹"), =HYPERLINK("CSG1.html#group32C1", "32C¹"), =HYPERLINK("CSG12.html#group32B12", "32B¹²"), =HYPERLINK("CSG0.html#group4A0", "4A⁰"), =HYPERLINK("CSG1.html#group16C1", "16C¹"), =HYPERLINK("CSG5.html#group16I5", "16I⁵"), =HYPERLINK("CSG0.html#group4F0", "4F⁰"), =HYPERLINK("CSG3.html#group32H3", "32H³")</f>
        <v/>
      </c>
      <c r="N7904" t="inlineStr"/>
    </row>
    <row r="7905">
      <c r="A7905" t="inlineStr">
        <is>
          <t>32C²⁴</t>
        </is>
      </c>
      <c r="B7905" t="inlineStr"/>
      <c r="C7905" t="inlineStr">
        <is>
          <t>384</t>
        </is>
      </c>
      <c r="D7905" t="inlineStr">
        <is>
          <t>1</t>
        </is>
      </c>
      <c r="E7905" t="inlineStr">
        <is>
          <t>96</t>
        </is>
      </c>
      <c r="F7905" t="inlineStr">
        <is>
          <t>4</t>
        </is>
      </c>
      <c r="G7905" t="inlineStr">
        <is>
          <t>0</t>
        </is>
      </c>
      <c r="H7905" t="inlineStr">
        <is>
          <t>16⁸, 32⁸</t>
        </is>
      </c>
      <c r="I7905" t="n">
        <v>16</v>
      </c>
      <c r="J7905" t="inlineStr">
        <is>
          <t>4², 8¹¹</t>
        </is>
      </c>
      <c r="K7905">
        <f>HYPERLINK("CSG10.html#group16B10", "16B¹⁰"), =HYPERLINK("CSG10.html#group32B10", "32B¹⁰"), =HYPERLINK("CSG12.html#group32B12", "32B¹²")</f>
        <v/>
      </c>
      <c r="L7905" t="inlineStr"/>
      <c r="M7905">
        <f>HYPERLINK("CSG5.html#group32I5", "32I⁵"), =HYPERLINK("CSG0.html#group16A0", "16A⁰"), =HYPERLINK("CSG1.html#group16I1", "16I¹"), =HYPERLINK("CSG0.html#group8D0", "8D⁰"), =HYPERLINK("CSG0.html#group4C0", "4C⁰"), =HYPERLINK("CSG6.html#group32D6", "32D⁶"), =HYPERLINK("CSG0.html#group8B0", "8B⁰"), =HYPERLINK("CSG0.html#group8A0", "8A⁰"), =HYPERLINK("CSG3.html#group16G3", "16G³"), =HYPERLINK("CSG0.html#group2B0", "2B⁰"), =HYPERLINK("CSG3.html#group32F3", "32F³"), =HYPERLINK("CSG0.html#group8K0", "8K⁰"), =HYPERLINK("CSG0.html#group1A0", "1A⁰"), =HYPERLINK("CSG1.html#group8H1", "8H¹"), =HYPERLINK("CSG1.html#group8D1", "8D¹"), =HYPERLINK("CSG2.html#group16E2", "16E²"), =HYPERLINK("CSG0.html#group8H0", "8H⁰"), =HYPERLINK("CSG1.html#group16L1", "16L¹"), =HYPERLINK("CSG0.html#group16E0", "16E⁰"), =HYPERLINK("CSG4.html#group16B4", "16B⁴"), =HYPERLINK("CSG1.html#group16D1", "16D¹"), =HYPERLINK("CSG10.html#group16B10", "16B¹⁰"), =HYPERLINK("CSG12.html#group32B12", "32B¹²"), =HYPERLINK("CSG10.html#group32B10", "32B¹⁰"), =HYPERLINK("CSG0.html#group4A0", "4A⁰"), =HYPERLINK("CSG1.html#group16C1", "16C¹"), =HYPERLINK("CSG0.html#group4F0", "4F⁰"), =HYPERLINK("CSG3.html#group16Q3", "16Q³"), =HYPERLINK("CSG3.html#group32P3", "32P³"), =HYPERLINK("CSG5.html#group16J5", "16J⁵"), =HYPERLINK("CSG1.html#group16K1", "16K¹"), =HYPERLINK("CSG3.html#group32H3", "32H³")</f>
        <v/>
      </c>
      <c r="N7905" t="inlineStr"/>
    </row>
    <row r="7906">
      <c r="A7906" t="inlineStr">
        <is>
          <t>32D²⁴</t>
        </is>
      </c>
      <c r="B7906" t="inlineStr"/>
      <c r="C7906" t="inlineStr">
        <is>
          <t>384</t>
        </is>
      </c>
      <c r="D7906" t="inlineStr">
        <is>
          <t>1</t>
        </is>
      </c>
      <c r="E7906" t="inlineStr">
        <is>
          <t>96</t>
        </is>
      </c>
      <c r="F7906" t="inlineStr">
        <is>
          <t>4</t>
        </is>
      </c>
      <c r="G7906" t="inlineStr">
        <is>
          <t>0</t>
        </is>
      </c>
      <c r="H7906" t="inlineStr">
        <is>
          <t>16⁸, 32⁸</t>
        </is>
      </c>
      <c r="I7906" t="n">
        <v>16</v>
      </c>
      <c r="J7906" t="inlineStr">
        <is>
          <t>4², 8¹¹</t>
        </is>
      </c>
      <c r="K7906">
        <f>HYPERLINK("CSG10.html#group16B10", "16B¹⁰"), =HYPERLINK("CSG10.html#group32C10", "32C¹⁰"), =HYPERLINK("CSG12.html#group32A12", "32A¹²")</f>
        <v/>
      </c>
      <c r="L7906" t="inlineStr"/>
      <c r="M7906">
        <f>HYPERLINK("CSG1.html#group16I1", "16I¹"), =HYPERLINK("CSG0.html#group4C0", "4C⁰"), =HYPERLINK("CSG0.html#group8A0", "8A⁰"), =HYPERLINK("CSG1.html#group32D1", "32D¹"), =HYPERLINK("CSG0.html#group2B0", "2B⁰"), =HYPERLINK("CSG3.html#group32G3", "32G³"), =HYPERLINK("CSG0.html#group8K0", "8K⁰"), =HYPERLINK("CSG0.html#group1A0", "1A⁰"), =HYPERLINK("CSG1.html#group8H1", "8H¹"), =HYPERLINK("CSG2.html#group16E2", "16E²"), =HYPERLINK("CSG3.html#group32Q3", "32Q³"), =HYPERLINK("CSG0.html#group16E0", "16E⁰"), =HYPERLINK("CSG4.html#group16B4", "16B⁴"), =HYPERLINK("CSG1.html#group16D1", "16D¹"), =HYPERLINK("CSG10.html#group16B10", "16B¹⁰"), =HYPERLINK("CSG3.html#group16Q3", "16Q³"), =HYPERLINK("CSG1.html#group16K1", "16K¹"), =HYPERLINK("CSG0.html#group16A0", "16A⁰"), =HYPERLINK("CSG0.html#group8D0", "8D⁰"), =HYPERLINK("CSG0.html#group8B0", "8B⁰"), =HYPERLINK("CSG5.html#group32H5", "32H⁵"), =HYPERLINK("CSG12.html#group32A12", "32A¹²"), =HYPERLINK("CSG3.html#group16G3", "16G³"), =HYPERLINK("CSG3.html#group32I3", "32I³"), =HYPERLINK("CSG1.html#group8D1", "8D¹"), =HYPERLINK("CSG0.html#group8H0", "8H⁰"), =HYPERLINK("CSG1.html#group16L1", "16L¹"), =HYPERLINK("CSG10.html#group32C10", "32C¹⁰"), =HYPERLINK("CSG6.html#group32C6", "32C⁶"), =HYPERLINK("CSG1.html#group32C1", "32C¹"), =HYPERLINK("CSG0.html#group4A0", "4A⁰"), =HYPERLINK("CSG1.html#group16C1", "16C¹"), =HYPERLINK("CSG3.html#group32E3", "32E³"), =HYPERLINK("CSG0.html#group4F0", "4F⁰"), =HYPERLINK("CSG5.html#group16J5", "16J⁵")</f>
        <v/>
      </c>
      <c r="N7906" t="inlineStr"/>
    </row>
    <row r="7907">
      <c r="A7907" t="inlineStr">
        <is>
          <t>39A²⁴</t>
        </is>
      </c>
      <c r="B7907" t="inlineStr"/>
      <c r="C7907" t="inlineStr">
        <is>
          <t>364</t>
        </is>
      </c>
      <c r="D7907" t="inlineStr">
        <is>
          <t>1</t>
        </is>
      </c>
      <c r="E7907" t="inlineStr">
        <is>
          <t>364</t>
        </is>
      </c>
      <c r="F7907" t="inlineStr">
        <is>
          <t>0</t>
        </is>
      </c>
      <c r="G7907" t="inlineStr">
        <is>
          <t>1</t>
        </is>
      </c>
      <c r="H7907" t="inlineStr">
        <is>
          <t>13⁷, 39⁷</t>
        </is>
      </c>
      <c r="I7907" t="n">
        <v>14</v>
      </c>
      <c r="J7907" t="inlineStr">
        <is>
          <t>1², 2¹, 6², 12¹⁵, 24⁷</t>
        </is>
      </c>
      <c r="K7907">
        <f>HYPERLINK("CSG0.html#group3B0", "3B⁰"), =HYPERLINK("CSG3.html#group13C3", "13C³")</f>
        <v/>
      </c>
      <c r="L7907" t="inlineStr"/>
      <c r="M7907">
        <f>HYPERLINK("CSG0.html#group3B0", "3B⁰"), =HYPERLINK("CSG0.html#group1A0", "1A⁰"), =HYPERLINK("CSG3.html#group13C3", "13C³")</f>
        <v/>
      </c>
      <c r="N7907" t="inlineStr"/>
    </row>
    <row r="7908">
      <c r="A7908" t="inlineStr">
        <is>
          <t>40A²⁴</t>
        </is>
      </c>
      <c r="B7908" t="inlineStr"/>
      <c r="C7908" t="inlineStr">
        <is>
          <t>360</t>
        </is>
      </c>
      <c r="D7908" t="inlineStr">
        <is>
          <t>1</t>
        </is>
      </c>
      <c r="E7908" t="inlineStr">
        <is>
          <t>90</t>
        </is>
      </c>
      <c r="F7908" t="inlineStr">
        <is>
          <t>4</t>
        </is>
      </c>
      <c r="G7908" t="inlineStr">
        <is>
          <t>0</t>
        </is>
      </c>
      <c r="H7908" t="inlineStr">
        <is>
          <t>20⁶, 40⁶</t>
        </is>
      </c>
      <c r="I7908" t="n">
        <v>12</v>
      </c>
      <c r="J7908" t="inlineStr">
        <is>
          <t>1², 2⁴, 4⁸, 8⁶</t>
        </is>
      </c>
      <c r="K7908">
        <f>HYPERLINK("CSG10.html#group20B10", "20B¹⁰"), =HYPERLINK("CSG10.html#group40G10", "40G¹⁰"), =HYPERLINK("CSG12.html#group40A12", "40A¹²")</f>
        <v/>
      </c>
      <c r="L7908" t="inlineStr"/>
      <c r="M7908">
        <f>HYPERLINK("CSG0.html#group5A0", "5A⁰"), =HYPERLINK("CSG4.html#group20E4", "20E⁴"), =HYPERLINK("CSG1.html#group10B1", "10B¹"), =HYPERLINK("CSG2.html#group20B2", "20B²"), =HYPERLINK("CSG0.html#group4C0", "4C⁰"), =HYPERLINK("CSG1.html#group20A1", "20A¹"), =HYPERLINK("CSG0.html#group2B0", "2B⁰"), =HYPERLINK("CSG4.html#group20C4", "20C⁴"), =HYPERLINK("CSG0.html#group1A0", "1A⁰"), =HYPERLINK("CSG1.html#group10I1", "10I¹"), =HYPERLINK("CSG12.html#group40A12", "40A¹²"), =HYPERLINK("CSG0.html#group4A0", "4A⁰"), =HYPERLINK("CSG0.html#group5E0", "5E⁰"), =HYPERLINK("CSG0.html#group4F0", "4F⁰"), =HYPERLINK("CSG10.html#group40G10", "40G¹⁰"), =HYPERLINK("CSG10.html#group20B10", "20B¹⁰"), =HYPERLINK("CSG3.html#group20D3", "20D³")</f>
        <v/>
      </c>
      <c r="N7908" t="inlineStr"/>
    </row>
    <row r="7909">
      <c r="A7909" t="inlineStr">
        <is>
          <t>40B²⁴</t>
        </is>
      </c>
      <c r="B7909" t="inlineStr"/>
      <c r="C7909" t="inlineStr">
        <is>
          <t>360</t>
        </is>
      </c>
      <c r="D7909" t="inlineStr">
        <is>
          <t>1</t>
        </is>
      </c>
      <c r="E7909" t="inlineStr">
        <is>
          <t>90</t>
        </is>
      </c>
      <c r="F7909" t="inlineStr">
        <is>
          <t>4</t>
        </is>
      </c>
      <c r="G7909" t="inlineStr">
        <is>
          <t>0</t>
        </is>
      </c>
      <c r="H7909" t="inlineStr">
        <is>
          <t>20⁶, 40⁶</t>
        </is>
      </c>
      <c r="I7909" t="n">
        <v>12</v>
      </c>
      <c r="J7909" t="inlineStr">
        <is>
          <t>1², 2⁴, 4⁸, 8⁶</t>
        </is>
      </c>
      <c r="K7909">
        <f>HYPERLINK("CSG10.html#group20F10", "20F¹⁰"), =HYPERLINK("CSG10.html#group40E10", "40E¹⁰"), =HYPERLINK("CSG12.html#group40A12", "40A¹²")</f>
        <v/>
      </c>
      <c r="L7909" t="inlineStr"/>
      <c r="M7909">
        <f>HYPERLINK("CSG10.html#group20F10", "20F¹⁰"), =HYPERLINK("CSG4.html#group40C4", "40C⁴"), =HYPERLINK("CSG0.html#group5A0", "5A⁰"), =HYPERLINK("CSG10.html#group40E10", "40E¹⁰"), =HYPERLINK("CSG1.html#group10I1", "10I¹"), =HYPERLINK("CSG12.html#group40A12", "40A¹²"), =HYPERLINK("CSG4.html#group20E4", "20E⁴"), =HYPERLINK("CSG0.html#group8D0", "8D⁰"), =HYPERLINK("CSG1.html#group10B1", "10B¹"), =HYPERLINK("CSG2.html#group20B2", "20B²"), =HYPERLINK("CSG0.html#group4C0", "4C⁰"), =HYPERLINK("CSG0.html#group5E0", "5E⁰"), =HYPERLINK("CSG0.html#group2B0", "2B⁰"), =HYPERLINK("CSG0.html#group1A0", "1A⁰")</f>
        <v/>
      </c>
      <c r="N7909" t="inlineStr"/>
    </row>
    <row r="7910">
      <c r="A7910" t="inlineStr">
        <is>
          <t>40C²⁴</t>
        </is>
      </c>
      <c r="B7910" t="inlineStr"/>
      <c r="C7910" t="inlineStr">
        <is>
          <t>360</t>
        </is>
      </c>
      <c r="D7910" t="inlineStr">
        <is>
          <t>1</t>
        </is>
      </c>
      <c r="E7910" t="inlineStr">
        <is>
          <t>90</t>
        </is>
      </c>
      <c r="F7910" t="inlineStr">
        <is>
          <t>4</t>
        </is>
      </c>
      <c r="G7910" t="inlineStr">
        <is>
          <t>0</t>
        </is>
      </c>
      <c r="H7910" t="inlineStr">
        <is>
          <t>20⁶, 40⁶</t>
        </is>
      </c>
      <c r="I7910" t="n">
        <v>12</v>
      </c>
      <c r="J7910" t="inlineStr">
        <is>
          <t>2⁶, 4¹⁸, 8¹²</t>
        </is>
      </c>
      <c r="K7910">
        <f>HYPERLINK("CSG10.html#group20F10", "20F¹⁰"), =HYPERLINK("CSG10.html#group40G10", "40G¹⁰"), =HYPERLINK("CSG12.html#group40A12", "40A¹²")</f>
        <v/>
      </c>
      <c r="L7910" t="inlineStr"/>
      <c r="M7910">
        <f>HYPERLINK("CSG10.html#group20F10", "20F¹⁰"), =HYPERLINK("CSG0.html#group5A0", "5A⁰"), =HYPERLINK("CSG1.html#group10I1", "10I¹"), =HYPERLINK("CSG12.html#group40A12", "40A¹²"), =HYPERLINK("CSG4.html#group20E4", "20E⁴"), =HYPERLINK("CSG1.html#group10B1", "10B¹"), =HYPERLINK("CSG2.html#group20B2", "20B²"), =HYPERLINK("CSG0.html#group4C0", "4C⁰"), =HYPERLINK("CSG0.html#group5E0", "5E⁰"), =HYPERLINK("CSG0.html#group1A0", "1A⁰"), =HYPERLINK("CSG0.html#group2B0", "2B⁰"), =HYPERLINK("CSG10.html#group40G10", "40G¹⁰")</f>
        <v/>
      </c>
      <c r="N7910" t="inlineStr"/>
    </row>
    <row r="7911">
      <c r="A7911" t="inlineStr">
        <is>
          <t>40D²⁴</t>
        </is>
      </c>
      <c r="B7911" t="inlineStr"/>
      <c r="C7911" t="inlineStr">
        <is>
          <t>360</t>
        </is>
      </c>
      <c r="D7911" t="inlineStr">
        <is>
          <t>1</t>
        </is>
      </c>
      <c r="E7911" t="inlineStr">
        <is>
          <t>90</t>
        </is>
      </c>
      <c r="F7911" t="inlineStr">
        <is>
          <t>4</t>
        </is>
      </c>
      <c r="G7911" t="inlineStr">
        <is>
          <t>0</t>
        </is>
      </c>
      <c r="H7911" t="inlineStr">
        <is>
          <t>20⁶, 40⁶</t>
        </is>
      </c>
      <c r="I7911" t="n">
        <v>12</v>
      </c>
      <c r="J7911" t="inlineStr">
        <is>
          <t>2⁶, 4¹⁸, 8¹²</t>
        </is>
      </c>
      <c r="K7911">
        <f>HYPERLINK("CSG10.html#group20F10", "20F¹⁰"), =HYPERLINK("CSG10.html#group40G10", "40G¹⁰"), =HYPERLINK("CSG12.html#group40A12", "40A¹²")</f>
        <v/>
      </c>
      <c r="L7911" t="inlineStr"/>
      <c r="M7911">
        <f>HYPERLINK("CSG10.html#group20F10", "20F¹⁰"), =HYPERLINK("CSG0.html#group5A0", "5A⁰"), =HYPERLINK("CSG1.html#group10I1", "10I¹"), =HYPERLINK("CSG12.html#group40A12", "40A¹²"), =HYPERLINK("CSG4.html#group20E4", "20E⁴"), =HYPERLINK("CSG1.html#group10B1", "10B¹"), =HYPERLINK("CSG2.html#group20B2", "20B²"), =HYPERLINK("CSG0.html#group4C0", "4C⁰"), =HYPERLINK("CSG0.html#group5E0", "5E⁰"), =HYPERLINK("CSG0.html#group1A0", "1A⁰"), =HYPERLINK("CSG0.html#group2B0", "2B⁰"), =HYPERLINK("CSG10.html#group40G10", "40G¹⁰")</f>
        <v/>
      </c>
      <c r="N7911" t="inlineStr"/>
    </row>
    <row r="7912">
      <c r="A7912" t="inlineStr">
        <is>
          <t>40E²⁴</t>
        </is>
      </c>
      <c r="B7912" t="inlineStr"/>
      <c r="C7912" t="inlineStr">
        <is>
          <t>360</t>
        </is>
      </c>
      <c r="D7912" t="inlineStr">
        <is>
          <t>1</t>
        </is>
      </c>
      <c r="E7912" t="inlineStr">
        <is>
          <t>180</t>
        </is>
      </c>
      <c r="F7912" t="inlineStr">
        <is>
          <t>4</t>
        </is>
      </c>
      <c r="G7912" t="inlineStr">
        <is>
          <t>0</t>
        </is>
      </c>
      <c r="H7912" t="inlineStr">
        <is>
          <t>20⁶, 40⁶</t>
        </is>
      </c>
      <c r="I7912" t="n">
        <v>12</v>
      </c>
      <c r="J7912" t="inlineStr">
        <is>
          <t>4⁶, 8⁴²</t>
        </is>
      </c>
      <c r="K7912">
        <f>HYPERLINK("CSG9.html#group20C9", "20C⁹")</f>
        <v/>
      </c>
      <c r="L7912" t="inlineStr"/>
      <c r="M7912">
        <f>HYPERLINK("CSG3.html#group10C3", "10C³"), =HYPERLINK("CSG0.html#group5A0", "5A⁰"), =HYPERLINK("CSG1.html#group10I1", "10I¹"), =HYPERLINK("CSG1.html#group10B1", "10B¹"), =HYPERLINK("CSG5.html#group20C5", "20C⁵"), =HYPERLINK("CSG0.html#group5E0", "5E⁰"), =HYPERLINK("CSG3.html#group20P3", "20P³"), =HYPERLINK("CSG0.html#group2B0", "2B⁰"), =HYPERLINK("CSG1.html#group10E1", "10E¹"), =HYPERLINK("CSG0.html#group1A0", "1A⁰"), =HYPERLINK("CSG9.html#group20C9", "20C⁹")</f>
        <v/>
      </c>
      <c r="N7912" t="inlineStr"/>
    </row>
    <row r="7913">
      <c r="A7913" t="inlineStr">
        <is>
          <t>40F²⁴</t>
        </is>
      </c>
      <c r="B7913" t="inlineStr"/>
      <c r="C7913" t="inlineStr">
        <is>
          <t>360</t>
        </is>
      </c>
      <c r="D7913" t="inlineStr">
        <is>
          <t>1</t>
        </is>
      </c>
      <c r="E7913" t="inlineStr">
        <is>
          <t>180</t>
        </is>
      </c>
      <c r="F7913" t="inlineStr">
        <is>
          <t>4</t>
        </is>
      </c>
      <c r="G7913" t="inlineStr">
        <is>
          <t>0</t>
        </is>
      </c>
      <c r="H7913" t="inlineStr">
        <is>
          <t>20⁶, 40⁶</t>
        </is>
      </c>
      <c r="I7913" t="n">
        <v>12</v>
      </c>
      <c r="J7913" t="inlineStr">
        <is>
          <t>4⁶, 8⁴²</t>
        </is>
      </c>
      <c r="K7913">
        <f>HYPERLINK("CSG9.html#group20D9", "20D⁹")</f>
        <v/>
      </c>
      <c r="L7913" t="inlineStr"/>
      <c r="M7913">
        <f>HYPERLINK("CSG9.html#group20D9", "20D⁹"), =HYPERLINK("CSG3.html#group10C3", "10C³"), =HYPERLINK("CSG0.html#group5A0", "5A⁰"), =HYPERLINK("CSG1.html#group10I1", "10I¹"), =HYPERLINK("CSG1.html#group10B1", "10B¹"), =HYPERLINK("CSG5.html#group20C5", "20C⁵"), =HYPERLINK("CSG0.html#group5E0", "5E⁰"), =HYPERLINK("CSG3.html#group20P3", "20P³"), =HYPERLINK("CSG0.html#group2B0", "2B⁰"), =HYPERLINK("CSG1.html#group10E1", "10E¹"), =HYPERLINK("CSG0.html#group1A0", "1A⁰")</f>
        <v/>
      </c>
      <c r="N7913" t="inlineStr"/>
    </row>
    <row r="7914">
      <c r="A7914" t="inlineStr">
        <is>
          <t>42A²⁴</t>
        </is>
      </c>
      <c r="B7914" t="inlineStr"/>
      <c r="C7914" t="inlineStr">
        <is>
          <t>336</t>
        </is>
      </c>
      <c r="D7914" t="inlineStr">
        <is>
          <t>1</t>
        </is>
      </c>
      <c r="E7914" t="inlineStr">
        <is>
          <t>112</t>
        </is>
      </c>
      <c r="F7914" t="inlineStr">
        <is>
          <t>0</t>
        </is>
      </c>
      <c r="G7914" t="inlineStr">
        <is>
          <t>3</t>
        </is>
      </c>
      <c r="H7914" t="inlineStr">
        <is>
          <t>42⁸</t>
        </is>
      </c>
      <c r="I7914" t="n">
        <v>8</v>
      </c>
      <c r="J7914" t="inlineStr">
        <is>
          <t>2², 12⁹</t>
        </is>
      </c>
      <c r="K7914">
        <f>HYPERLINK("CSG3.html#group42B3", "42B³"), =HYPERLINK("CSG5.html#group14E5", "14E⁵"), =HYPERLINK("CSG6.html#group42B6", "42B⁶")</f>
        <v/>
      </c>
      <c r="L7914" t="inlineStr"/>
      <c r="M7914">
        <f>HYPERLINK("CSG0.html#group2A0", "2A⁰"), =HYPERLINK("CSG0.html#group14A0", "14A⁰"), =HYPERLINK("CSG1.html#group14A1", "14A¹"), =HYPERLINK("CSG1.html#group14G1", "14G¹"), =HYPERLINK("CSG0.html#group1A0", "1A⁰"), =HYPERLINK("CSG1.html#group14D1", "14D¹"), =HYPERLINK("CSG5.html#group14E5", "14E⁵"), =HYPERLINK("CSG0.html#group7B0", "7B⁰"), =HYPERLINK("CSG0.html#group7C0", "7C⁰"), =HYPERLINK("CSG6.html#group42B6", "42B⁶"), =HYPERLINK("CSG3.html#group14C3", "14C³"), =HYPERLINK("CSG0.html#group14B0", "14B⁰"), =HYPERLINK("CSG0.html#group7F0", "7F⁰"), =HYPERLINK("CSG0.html#group7A0", "7A⁰"), =HYPERLINK("CSG1.html#group7B1", "7B¹"), =HYPERLINK("CSG3.html#group42B3", "42B³")</f>
        <v/>
      </c>
      <c r="N7914" t="inlineStr"/>
    </row>
    <row r="7915">
      <c r="A7915" t="inlineStr">
        <is>
          <t>42B²⁴</t>
        </is>
      </c>
      <c r="B7915" t="inlineStr"/>
      <c r="C7915" t="inlineStr">
        <is>
          <t>336</t>
        </is>
      </c>
      <c r="D7915" t="inlineStr">
        <is>
          <t>2</t>
        </is>
      </c>
      <c r="E7915" t="inlineStr">
        <is>
          <t>112</t>
        </is>
      </c>
      <c r="F7915" t="inlineStr">
        <is>
          <t>0</t>
        </is>
      </c>
      <c r="G7915" t="inlineStr">
        <is>
          <t>3</t>
        </is>
      </c>
      <c r="H7915" t="inlineStr">
        <is>
          <t>42⁸</t>
        </is>
      </c>
      <c r="I7915" t="n">
        <v>8</v>
      </c>
      <c r="J7915" t="inlineStr">
        <is>
          <t>4⁸, 12¹⁶</t>
        </is>
      </c>
      <c r="K7915">
        <f>HYPERLINK("CSG6.html#group42B6", "42B⁶"), =HYPERLINK("CSG7.html#group42F7", "42F⁷")</f>
        <v/>
      </c>
      <c r="L7915" t="inlineStr"/>
      <c r="M7915">
        <f>HYPERLINK("CSG3.html#group21B3", "21B³"), =HYPERLINK("CSG0.html#group2A0", "2A⁰"), =HYPERLINK("CSG0.html#group14A0", "14A⁰"), =HYPERLINK("CSG0.html#group3B0", "3B⁰"), =HYPERLINK("CSG1.html#group14A1", "14A¹"), =HYPERLINK("CSG7.html#group42F7", "42F⁷"), =HYPERLINK("CSG0.html#group6C0", "6C⁰"), =HYPERLINK("CSG1.html#group14D1", "14D¹"), =HYPERLINK("CSG0.html#group1A0", "1A⁰"), =HYPERLINK("CSG2.html#group21B2", "21B²"), =HYPERLINK("CSG0.html#group7C0", "7C⁰"), =HYPERLINK("CSG6.html#group42B6", "42B⁶"), =HYPERLINK("CSG4.html#group42E4", "42E⁴"), =HYPERLINK("CSG4.html#group42D4", "42D⁴"), =HYPERLINK("CSG0.html#group7A0", "7A⁰")</f>
        <v/>
      </c>
      <c r="N7915" t="inlineStr"/>
    </row>
    <row r="7916">
      <c r="A7916" t="inlineStr">
        <is>
          <t>42C²⁴</t>
        </is>
      </c>
      <c r="B7916" t="inlineStr"/>
      <c r="C7916" t="inlineStr">
        <is>
          <t>378</t>
        </is>
      </c>
      <c r="D7916" t="inlineStr">
        <is>
          <t>1</t>
        </is>
      </c>
      <c r="E7916" t="inlineStr">
        <is>
          <t>189</t>
        </is>
      </c>
      <c r="F7916" t="inlineStr">
        <is>
          <t>10</t>
        </is>
      </c>
      <c r="G7916" t="inlineStr">
        <is>
          <t>0</t>
        </is>
      </c>
      <c r="H7916" t="inlineStr">
        <is>
          <t>21⁶, 42⁶</t>
        </is>
      </c>
      <c r="I7916" t="n">
        <v>12</v>
      </c>
      <c r="J7916" t="inlineStr">
        <is>
          <t>3³, 6¹², 12⁹</t>
        </is>
      </c>
      <c r="K7916">
        <f>HYPERLINK("CSG6.html#group21C6", "21C⁶"), =HYPERLINK("CSG8.html#group42C8", "42C⁸"), =HYPERLINK("CSG10.html#group42K10", "42K¹⁰")</f>
        <v/>
      </c>
      <c r="L7916" t="inlineStr"/>
      <c r="M7916">
        <f>HYPERLINK("CSG2.html#group21D2", "21D²"), =HYPERLINK("CSG0.html#group7D0", "7D⁰"), =HYPERLINK("CSG1.html#group14B1", "14B¹"), =HYPERLINK("CSG10.html#group42K10", "42K¹⁰"), =HYPERLINK("CSG0.html#group6G0", "6G⁰"), =HYPERLINK("CSG0.html#group21A0", "21A⁰"), =HYPERLINK("CSG0.html#group2B0", "2B⁰"), =HYPERLINK("CSG0.html#group1A0", "1A⁰"), =HYPERLINK("CSG6.html#group21C6", "21C⁶"), =HYPERLINK("CSG1.html#group21E1", "21E¹"), =HYPERLINK("CSG0.html#group3C0", "3C⁰"), =HYPERLINK("CSG8.html#group42C8", "42C⁸"), =HYPERLINK("CSG2.html#group14F2", "14F²"), =HYPERLINK("CSG0.html#group3A0", "3A⁰"), =HYPERLINK("CSG3.html#group42C3", "42C³"), =HYPERLINK("CSG0.html#group6D0", "6D⁰"), =HYPERLINK("CSG0.html#group7A0", "7A⁰")</f>
        <v/>
      </c>
      <c r="N7916" t="inlineStr"/>
    </row>
    <row r="7917">
      <c r="A7917" t="inlineStr">
        <is>
          <t>42D²⁴</t>
        </is>
      </c>
      <c r="B7917" t="inlineStr"/>
      <c r="C7917" t="inlineStr">
        <is>
          <t>378</t>
        </is>
      </c>
      <c r="D7917" t="inlineStr">
        <is>
          <t>2</t>
        </is>
      </c>
      <c r="E7917" t="inlineStr">
        <is>
          <t>189</t>
        </is>
      </c>
      <c r="F7917" t="inlineStr">
        <is>
          <t>16</t>
        </is>
      </c>
      <c r="G7917" t="inlineStr">
        <is>
          <t>0</t>
        </is>
      </c>
      <c r="H7917" t="inlineStr">
        <is>
          <t>42⁹</t>
        </is>
      </c>
      <c r="I7917" t="n">
        <v>9</v>
      </c>
      <c r="J7917" t="inlineStr">
        <is>
          <t>6²¹, 12²¹</t>
        </is>
      </c>
      <c r="K7917">
        <f>HYPERLINK("CSG6.html#group42D6", "42D⁶"), =HYPERLINK("CSG8.html#group42D8", "42D⁸"), =HYPERLINK("CSG10.html#group42K10", "42K¹⁰")</f>
        <v/>
      </c>
      <c r="L7917" t="inlineStr"/>
      <c r="M7917">
        <f>HYPERLINK("CSG8.html#group42D8", "42D⁸"), =HYPERLINK("CSG1.html#group14B1", "14B¹"), =HYPERLINK("CSG0.html#group7D0", "7D⁰"), =HYPERLINK("CSG10.html#group42K10", "42K¹⁰"), =HYPERLINK("CSG0.html#group21A0", "21A⁰"), =HYPERLINK("CSG6.html#group42D6", "42D⁶"), =HYPERLINK("CSG0.html#group2B0", "2B⁰"), =HYPERLINK("CSG0.html#group1A0", "1A⁰"), =HYPERLINK("CSG2.html#group42A2", "42A²"), =HYPERLINK("CSG1.html#group21E1", "21E¹"), =HYPERLINK("CSG2.html#group14F2", "14F²"), =HYPERLINK("CSG0.html#group3A0", "3A⁰"), =HYPERLINK("CSG3.html#group42C3", "42C³"), =HYPERLINK("CSG0.html#group6D0", "6D⁰"), =HYPERLINK("CSG0.html#group7A0", "7A⁰")</f>
        <v/>
      </c>
      <c r="N7917" t="inlineStr"/>
    </row>
    <row r="7918">
      <c r="A7918" t="inlineStr">
        <is>
          <t>45A²⁴</t>
        </is>
      </c>
      <c r="B7918" t="inlineStr"/>
      <c r="C7918" t="inlineStr">
        <is>
          <t>360</t>
        </is>
      </c>
      <c r="D7918" t="inlineStr">
        <is>
          <t>1</t>
        </is>
      </c>
      <c r="E7918" t="inlineStr">
        <is>
          <t>120</t>
        </is>
      </c>
      <c r="F7918" t="inlineStr">
        <is>
          <t>0</t>
        </is>
      </c>
      <c r="G7918" t="inlineStr">
        <is>
          <t>3</t>
        </is>
      </c>
      <c r="H7918" t="inlineStr">
        <is>
          <t>15⁶, 45⁶</t>
        </is>
      </c>
      <c r="I7918" t="n">
        <v>12</v>
      </c>
      <c r="J7918" t="inlineStr">
        <is>
          <t>2², 4⁶, 8⁴, 12¹, 24²</t>
        </is>
      </c>
      <c r="K7918">
        <f>HYPERLINK("CSG0.html#group9J0", "9J⁰"), =HYPERLINK("CSG8.html#group45B8", "45B⁸")</f>
        <v/>
      </c>
      <c r="L7918" t="inlineStr"/>
      <c r="M7918">
        <f>HYPERLINK("CSG0.html#group3B0", "3B⁰"), =HYPERLINK("CSG0.html#group9J0", "9J⁰"), =HYPERLINK("CSG8.html#group45B8", "45B⁸"), =HYPERLINK("CSG0.html#group5C0", "5C⁰"), =HYPERLINK("CSG2.html#group15C2", "15C²"), =HYPERLINK("CSG0.html#group9C0", "9C⁰"), =HYPERLINK("CSG0.html#group1A0", "1A⁰")</f>
        <v/>
      </c>
      <c r="N7918" t="inlineStr"/>
    </row>
    <row r="7919">
      <c r="A7919" t="inlineStr">
        <is>
          <t>50A²⁴</t>
        </is>
      </c>
      <c r="B7919" t="inlineStr"/>
      <c r="C7919" t="inlineStr">
        <is>
          <t>450</t>
        </is>
      </c>
      <c r="D7919" t="inlineStr">
        <is>
          <t>1</t>
        </is>
      </c>
      <c r="E7919" t="inlineStr">
        <is>
          <t>225</t>
        </is>
      </c>
      <c r="F7919" t="inlineStr">
        <is>
          <t>2</t>
        </is>
      </c>
      <c r="G7919" t="inlineStr">
        <is>
          <t>0</t>
        </is>
      </c>
      <c r="H7919" t="inlineStr">
        <is>
          <t>5¹⁰, 10¹⁰, 25⁴, 50⁴</t>
        </is>
      </c>
      <c r="I7919" t="n">
        <v>28</v>
      </c>
      <c r="J7919" t="inlineStr">
        <is>
          <t>2⁶, 4¹², 10³, 20¹⁸</t>
        </is>
      </c>
      <c r="K7919">
        <f>HYPERLINK("CSG2.html#group10F2", "10F²"), =HYPERLINK("CSG6.html#group25E6", "25E⁶"), =HYPERLINK("CSG11.html#group50B11", "50B¹¹")</f>
        <v/>
      </c>
      <c r="L7919" t="inlineStr"/>
      <c r="M7919">
        <f>HYPERLINK("CSG2.html#group25F2", "25F²"), =HYPERLINK("CSG0.html#group5A0", "5A⁰"), =HYPERLINK("CSG1.html#group10I1", "10I¹"), =HYPERLINK("CSG2.html#group10F2", "10F²"), =HYPERLINK("CSG1.html#group10B1", "10B¹"), =HYPERLINK("CSG0.html#group5B0", "5B⁰"), =HYPERLINK("CSG0.html#group10C0", "10C⁰"), =HYPERLINK("CSG0.html#group5E0", "5E⁰"), =HYPERLINK("CSG0.html#group1A0", "1A⁰"), =HYPERLINK("CSG0.html#group2B0", "2B⁰"), =HYPERLINK("CSG6.html#group25E6", "25E⁶"), =HYPERLINK("CSG0.html#group5G0", "5G⁰"), =HYPERLINK("CSG0.html#group5C0", "5C⁰"), =HYPERLINK("CSG11.html#group50B11", "50B¹¹"), =HYPERLINK("CSG1.html#group10F1", "10F¹")</f>
        <v/>
      </c>
      <c r="N7919" t="inlineStr"/>
    </row>
    <row r="7920">
      <c r="A7920" t="inlineStr">
        <is>
          <t>50B²⁴</t>
        </is>
      </c>
      <c r="B7920" t="inlineStr"/>
      <c r="C7920" t="inlineStr">
        <is>
          <t>450</t>
        </is>
      </c>
      <c r="D7920" t="inlineStr">
        <is>
          <t>1</t>
        </is>
      </c>
      <c r="E7920" t="inlineStr">
        <is>
          <t>225</t>
        </is>
      </c>
      <c r="F7920" t="inlineStr">
        <is>
          <t>2</t>
        </is>
      </c>
      <c r="G7920" t="inlineStr">
        <is>
          <t>0</t>
        </is>
      </c>
      <c r="H7920" t="inlineStr">
        <is>
          <t>5¹⁰, 10¹⁰, 25⁴, 50⁴</t>
        </is>
      </c>
      <c r="I7920" t="n">
        <v>28</v>
      </c>
      <c r="J7920" t="inlineStr">
        <is>
          <t>2⁶, 4¹², 10³, 20¹⁸</t>
        </is>
      </c>
      <c r="K7920">
        <f>HYPERLINK("CSG2.html#group10F2", "10F²"), =HYPERLINK("CSG6.html#group25F6", "25F⁶"), =HYPERLINK("CSG11.html#group50B11", "50B¹¹")</f>
        <v/>
      </c>
      <c r="L7920" t="inlineStr"/>
      <c r="M7920">
        <f>HYPERLINK("CSG2.html#group25F2", "25F²"), =HYPERLINK("CSG0.html#group5A0", "5A⁰"), =HYPERLINK("CSG1.html#group10I1", "10I¹"), =HYPERLINK("CSG2.html#group10F2", "10F²"), =HYPERLINK("CSG1.html#group10B1", "10B¹"), =HYPERLINK("CSG0.html#group5B0", "5B⁰"), =HYPERLINK("CSG0.html#group10C0", "10C⁰"), =HYPERLINK("CSG0.html#group5E0", "5E⁰"), =HYPERLINK("CSG6.html#group25F6", "25F⁶"), =HYPERLINK("CSG0.html#group2B0", "2B⁰"), =HYPERLINK("CSG0.html#group1A0", "1A⁰"), =HYPERLINK("CSG0.html#group5G0", "5G⁰"), =HYPERLINK("CSG0.html#group5C0", "5C⁰"), =HYPERLINK("CSG11.html#group50B11", "50B¹¹"), =HYPERLINK("CSG1.html#group10F1", "10F¹")</f>
        <v/>
      </c>
      <c r="N7920" t="inlineStr"/>
    </row>
    <row r="7921">
      <c r="A7921" t="inlineStr">
        <is>
          <t>52A²⁴</t>
        </is>
      </c>
      <c r="B7921" t="inlineStr"/>
      <c r="C7921" t="inlineStr">
        <is>
          <t>364</t>
        </is>
      </c>
      <c r="D7921" t="inlineStr">
        <is>
          <t>1</t>
        </is>
      </c>
      <c r="E7921" t="inlineStr">
        <is>
          <t>364</t>
        </is>
      </c>
      <c r="F7921" t="inlineStr">
        <is>
          <t>14</t>
        </is>
      </c>
      <c r="G7921" t="inlineStr">
        <is>
          <t>1</t>
        </is>
      </c>
      <c r="H7921" t="inlineStr">
        <is>
          <t>52⁷</t>
        </is>
      </c>
      <c r="I7921" t="n">
        <v>7</v>
      </c>
      <c r="J7921" t="inlineStr">
        <is>
          <t>2², 12², 24¹⁴</t>
        </is>
      </c>
      <c r="K7921">
        <f>HYPERLINK("CSG0.html#group4A0", "4A⁰"), =HYPERLINK("CSG3.html#group13C3", "13C³")</f>
        <v/>
      </c>
      <c r="L7921" t="inlineStr"/>
      <c r="M7921">
        <f>HYPERLINK("CSG3.html#group13C3", "13C³"), =HYPERLINK("CSG0.html#group1A0", "1A⁰"), =HYPERLINK("CSG0.html#group4A0", "4A⁰")</f>
        <v/>
      </c>
      <c r="N7921" t="inlineStr"/>
    </row>
    <row r="7922">
      <c r="A7922" t="inlineStr">
        <is>
          <t>54A²⁴</t>
        </is>
      </c>
      <c r="B7922" t="inlineStr"/>
      <c r="C7922" t="inlineStr">
        <is>
          <t>324</t>
        </is>
      </c>
      <c r="D7922" t="inlineStr">
        <is>
          <t>2</t>
        </is>
      </c>
      <c r="E7922" t="inlineStr">
        <is>
          <t>81</t>
        </is>
      </c>
      <c r="F7922" t="inlineStr">
        <is>
          <t>4</t>
        </is>
      </c>
      <c r="G7922" t="inlineStr">
        <is>
          <t>0</t>
        </is>
      </c>
      <c r="H7922" t="inlineStr">
        <is>
          <t>54⁶</t>
        </is>
      </c>
      <c r="I7922" t="n">
        <v>6</v>
      </c>
      <c r="J7922" t="inlineStr">
        <is>
          <t>6⁹, 18⁶</t>
        </is>
      </c>
      <c r="K7922">
        <f>HYPERLINK("CSG6.html#group18B6", "18B⁶"), =HYPERLINK("CSG8.html#group54D8", "54D⁸"), =HYPERLINK("CSG11.html#group27A11", "27A¹¹"), =HYPERLINK("CSG11.html#group54A11", "54A¹¹")</f>
        <v/>
      </c>
      <c r="L7922" t="inlineStr"/>
      <c r="M7922">
        <f>HYPERLINK("CSG0.html#group6B0", "6B⁰"), =HYPERLINK("CSG11.html#group27A11", "27A¹¹"), =HYPERLINK("CSG6.html#group18B6", "18B⁶"), =HYPERLINK("CSG0.html#group9G0", "9G⁰"), =HYPERLINK("CSG2.html#group18K2", "18K²"), =HYPERLINK("CSG8.html#group54D8", "54D⁸"), =HYPERLINK("CSG3.html#group27B3", "27B³"), =HYPERLINK("CSG2.html#group9B2", "9B²"), =HYPERLINK("CSG0.html#group9E0", "9E⁰"), =HYPERLINK("CSG0.html#group1A0", "1A⁰"), =HYPERLINK("CSG1.html#group9B1", "9B¹"), =HYPERLINK("CSG0.html#group18A0", "18A⁰"), =HYPERLINK("CSG0.html#group6E0", "6E⁰"), =HYPERLINK("CSG0.html#group9A0", "9A⁰"), =HYPERLINK("CSG0.html#group3C0", "3C⁰"), =HYPERLINK("CSG1.html#group18F1", "18F¹"), =HYPERLINK("CSG2.html#group18G2", "18G²"), =HYPERLINK("CSG0.html#group3A0", "3A⁰"), =HYPERLINK("CSG1.html#group18A1", "18A¹"), =HYPERLINK("CSG11.html#group54A11", "54A¹¹")</f>
        <v/>
      </c>
      <c r="N7922" t="inlineStr"/>
    </row>
    <row r="7923">
      <c r="A7923" t="inlineStr">
        <is>
          <t>54B²⁴</t>
        </is>
      </c>
      <c r="B7923" t="inlineStr"/>
      <c r="C7923" t="inlineStr">
        <is>
          <t>324</t>
        </is>
      </c>
      <c r="D7923" t="inlineStr">
        <is>
          <t>2</t>
        </is>
      </c>
      <c r="E7923" t="inlineStr">
        <is>
          <t>162</t>
        </is>
      </c>
      <c r="F7923" t="inlineStr">
        <is>
          <t>4</t>
        </is>
      </c>
      <c r="G7923" t="inlineStr">
        <is>
          <t>0</t>
        </is>
      </c>
      <c r="H7923" t="inlineStr">
        <is>
          <t>54⁶</t>
        </is>
      </c>
      <c r="I7923" t="n">
        <v>6</v>
      </c>
      <c r="J7923" t="inlineStr">
        <is>
          <t>6¹⁸, 18¹²</t>
        </is>
      </c>
      <c r="K7923">
        <f>HYPERLINK("CSG6.html#group18B6", "18B⁶"), =HYPERLINK("CSG11.html#group54B11", "54B¹¹")</f>
        <v/>
      </c>
      <c r="L7923" t="inlineStr"/>
      <c r="M7923">
        <f>HYPERLINK("CSG0.html#group6B0", "6B⁰"), =HYPERLINK("CSG6.html#group18B6", "18B⁶"), =HYPERLINK("CSG0.html#group9G0", "9G⁰"), =HYPERLINK("CSG2.html#group18K2", "18K²"), =HYPERLINK("CSG2.html#group9B2", "9B²"), =HYPERLINK("CSG0.html#group9E0", "9E⁰"), =HYPERLINK("CSG0.html#group1A0", "1A⁰"), =HYPERLINK("CSG0.html#group18A0", "18A⁰"), =HYPERLINK("CSG1.html#group9B1", "9B¹"), =HYPERLINK("CSG0.html#group6E0", "6E⁰"), =HYPERLINK("CSG0.html#group9A0", "9A⁰"), =HYPERLINK("CSG0.html#group3C0", "3C⁰"), =HYPERLINK("CSG1.html#group18F1", "18F¹"), =HYPERLINK("CSG2.html#group18G2", "18G²"), =HYPERLINK("CSG0.html#group3A0", "3A⁰"), =HYPERLINK("CSG1.html#group18A1", "18A¹"), =HYPERLINK("CSG11.html#group54B11", "54B¹¹")</f>
        <v/>
      </c>
      <c r="N7923" t="inlineStr"/>
    </row>
    <row r="7924">
      <c r="A7924" t="inlineStr">
        <is>
          <t>55A²⁴</t>
        </is>
      </c>
      <c r="B7924" t="inlineStr"/>
      <c r="C7924" t="inlineStr">
        <is>
          <t>330</t>
        </is>
      </c>
      <c r="D7924" t="inlineStr">
        <is>
          <t>1</t>
        </is>
      </c>
      <c r="E7924" t="inlineStr">
        <is>
          <t>330</t>
        </is>
      </c>
      <c r="F7924" t="inlineStr">
        <is>
          <t>6</t>
        </is>
      </c>
      <c r="G7924" t="inlineStr">
        <is>
          <t>0</t>
        </is>
      </c>
      <c r="H7924" t="inlineStr">
        <is>
          <t>55⁶</t>
        </is>
      </c>
      <c r="I7924" t="n">
        <v>6</v>
      </c>
      <c r="J7924" t="inlineStr">
        <is>
          <t>1¹, 4¹, 5¹, 10⁶, 20¹, 40⁶</t>
        </is>
      </c>
      <c r="K7924">
        <f>HYPERLINK("CSG2.html#group11A2", "11A²"), =HYPERLINK("CSG3.html#group55A3", "55A³")</f>
        <v/>
      </c>
      <c r="L7924" t="inlineStr"/>
      <c r="M7924">
        <f>HYPERLINK("CSG0.html#group11A0", "11A⁰"), =HYPERLINK("CSG3.html#group55A3", "55A³"), =HYPERLINK("CSG0.html#group5A0", "5A⁰"), =HYPERLINK("CSG0.html#group1A0", "1A⁰"), =HYPERLINK("CSG2.html#group11A2", "11A²")</f>
        <v/>
      </c>
      <c r="N7924" t="inlineStr"/>
    </row>
    <row r="7925">
      <c r="A7925" t="inlineStr">
        <is>
          <t>55B²⁴</t>
        </is>
      </c>
      <c r="B7925" t="inlineStr"/>
      <c r="C7925" t="inlineStr">
        <is>
          <t>330</t>
        </is>
      </c>
      <c r="D7925" t="inlineStr">
        <is>
          <t>2</t>
        </is>
      </c>
      <c r="E7925" t="inlineStr">
        <is>
          <t>165</t>
        </is>
      </c>
      <c r="F7925" t="inlineStr">
        <is>
          <t>6</t>
        </is>
      </c>
      <c r="G7925" t="inlineStr">
        <is>
          <t>0</t>
        </is>
      </c>
      <c r="H7925" t="inlineStr">
        <is>
          <t>55⁶</t>
        </is>
      </c>
      <c r="I7925" t="n">
        <v>6</v>
      </c>
      <c r="J7925" t="inlineStr">
        <is>
          <t>2¹, 4¹, 8³, 10², 20², 40⁶</t>
        </is>
      </c>
      <c r="K7925">
        <f>HYPERLINK("CSG0.html#group5G0", "5G⁰"), =HYPERLINK("CSG4.html#group55A4", "55A⁴"), =HYPERLINK("CSG7.html#group55A7", "55A⁷"), =HYPERLINK("CSG11.html#group55A11", "55A¹¹")</f>
        <v/>
      </c>
      <c r="L7925" t="inlineStr"/>
      <c r="M7925">
        <f>HYPERLINK("CSG0.html#group11A0", "11A⁰"), =HYPERLINK("CSG7.html#group55A7", "55A⁷"), =HYPERLINK("CSG4.html#group55A4", "55A⁴"), =HYPERLINK("CSG0.html#group5A0", "5A⁰"), =HYPERLINK("CSG3.html#group55A3", "55A³"), =HYPERLINK("CSG0.html#group5C0", "5C⁰"), =HYPERLINK("CSG0.html#group5B0", "5B⁰"), =HYPERLINK("CSG0.html#group5E0", "5E⁰"), =HYPERLINK("CSG0.html#group1A0", "1A⁰"), =HYPERLINK("CSG0.html#group5G0", "5G⁰"), =HYPERLINK("CSG11.html#group55A11", "55A¹¹")</f>
        <v/>
      </c>
      <c r="N7925" t="inlineStr"/>
    </row>
    <row r="7926">
      <c r="A7926" t="inlineStr">
        <is>
          <t>56A²⁴</t>
        </is>
      </c>
      <c r="B7926" t="inlineStr"/>
      <c r="C7926" t="inlineStr">
        <is>
          <t>336</t>
        </is>
      </c>
      <c r="D7926" t="inlineStr">
        <is>
          <t>2</t>
        </is>
      </c>
      <c r="E7926" t="inlineStr">
        <is>
          <t>21</t>
        </is>
      </c>
      <c r="F7926" t="inlineStr">
        <is>
          <t>0</t>
        </is>
      </c>
      <c r="G7926" t="inlineStr">
        <is>
          <t>0</t>
        </is>
      </c>
      <c r="H7926" t="inlineStr">
        <is>
          <t>28⁸, 56²</t>
        </is>
      </c>
      <c r="I7926" t="n">
        <v>10</v>
      </c>
      <c r="J7926" t="inlineStr">
        <is>
          <t>2³, 6⁶</t>
        </is>
      </c>
      <c r="K7926">
        <f>HYPERLINK("CSG11.html#group56F11", "56F¹¹"), =HYPERLINK("CSG12.html#group28B12", "28B¹²"), =HYPERLINK("CSG12.html#group56H12", "56H¹²")</f>
        <v/>
      </c>
      <c r="L7926" t="inlineStr"/>
      <c r="M7926">
        <f>HYPERLINK("CSG0.html#group2A0", "2A⁰"), =HYPERLINK("CSG1.html#group14B1", "14B¹"), =HYPERLINK("CSG12.html#group28B12", "28B¹²"), =HYPERLINK("CSG3.html#group14B3", "14B³"), =HYPERLINK("CSG0.html#group4C0", "4C⁰"), =HYPERLINK("CSG1.html#group14A1", "14A¹"), =HYPERLINK("CSG3.html#group28A3", "28A³"), =HYPERLINK("CSG0.html#group4G0", "4G⁰"), =HYPERLINK("CSG0.html#group2B0", "2B⁰"), =HYPERLINK("CSG0.html#group4E0", "4E⁰"), =HYPERLINK("CSG0.html#group4B0", "4B⁰"), =HYPERLINK("CSG0.html#group1A0", "1A⁰"), =HYPERLINK("CSG12.html#group56H12", "56H¹²"), =HYPERLINK("CSG11.html#group56F11", "56F¹¹"), =HYPERLINK("CSG4.html#group28A4", "28A⁴"), =HYPERLINK("CSG0.html#group4D0", "4D⁰"), =HYPERLINK("CSG6.html#group28C6", "28C⁶"), =HYPERLINK("CSG0.html#group7A0", "7A⁰"), =HYPERLINK("CSG2.html#group28C2", "28C²"), =HYPERLINK("CSG0.html#group4A0", "4A⁰"), =HYPERLINK("CSG5.html#group28D5", "28D⁵"), =HYPERLINK("CSG0.html#group4F0", "4F⁰"), =HYPERLINK("CSG1.html#group28A1", "28A¹"), =HYPERLINK("CSG0.html#group2C0", "2C⁰")</f>
        <v/>
      </c>
      <c r="N7926" t="inlineStr"/>
    </row>
    <row r="7927">
      <c r="A7927" t="inlineStr">
        <is>
          <t>56B²⁴</t>
        </is>
      </c>
      <c r="B7927" t="inlineStr"/>
      <c r="C7927" t="inlineStr">
        <is>
          <t>336</t>
        </is>
      </c>
      <c r="D7927" t="inlineStr">
        <is>
          <t>2</t>
        </is>
      </c>
      <c r="E7927" t="inlineStr">
        <is>
          <t>21</t>
        </is>
      </c>
      <c r="F7927" t="inlineStr">
        <is>
          <t>0</t>
        </is>
      </c>
      <c r="G7927" t="inlineStr">
        <is>
          <t>0</t>
        </is>
      </c>
      <c r="H7927" t="inlineStr">
        <is>
          <t>28⁸, 56²</t>
        </is>
      </c>
      <c r="I7927" t="n">
        <v>10</v>
      </c>
      <c r="J7927" t="inlineStr">
        <is>
          <t>2³, 6⁶</t>
        </is>
      </c>
      <c r="K7927">
        <f>HYPERLINK("CSG0.html#group8N0", "8N⁰"), =HYPERLINK("CSG11.html#group56G11", "56G¹¹"), =HYPERLINK("CSG12.html#group28B12", "28B¹²"), =HYPERLINK("CSG12.html#group56I12", "56I¹²")</f>
        <v/>
      </c>
      <c r="L7927" t="inlineStr"/>
      <c r="M7927">
        <f>HYPERLINK("CSG0.html#group2A0", "2A⁰"), =HYPERLINK("CSG11.html#group56G11", "56G¹¹"), =HYPERLINK("CSG1.html#group14B1", "14B¹"), =HYPERLINK("CSG12.html#group28B12", "28B¹²"), =HYPERLINK("CSG12.html#group56I12", "56I¹²"), =HYPERLINK("CSG3.html#group14B3", "14B³"), =HYPERLINK("CSG0.html#group4C0", "4C⁰"), =HYPERLINK("CSG1.html#group14A1", "14A¹"), =HYPERLINK("CSG3.html#group28A3", "28A³"), =HYPERLINK("CSG0.html#group4G0", "4G⁰"), =HYPERLINK("CSG0.html#group2B0", "2B⁰"), =HYPERLINK("CSG0.html#group4E0", "4E⁰"), =HYPERLINK("CSG0.html#group4B0", "4B⁰"), =HYPERLINK("CSG0.html#group8K0", "8K⁰"), =HYPERLINK("CSG0.html#group1A0", "1A⁰"), =HYPERLINK("CSG4.html#group28A4", "28A⁴"), =HYPERLINK("CSG0.html#group4D0", "4D⁰"), =HYPERLINK("CSG6.html#group28C6", "28C⁶"), =HYPERLINK("CSG0.html#group7A0", "7A⁰"), =HYPERLINK("CSG0.html#group8N0", "8N⁰"), =HYPERLINK("CSG2.html#group28C2", "28C²"), =HYPERLINK("CSG0.html#group4A0", "4A⁰"), =HYPERLINK("CSG5.html#group28D5", "28D⁵"), =HYPERLINK("CSG0.html#group4F0", "4F⁰"), =HYPERLINK("CSG1.html#group28A1", "28A¹"), =HYPERLINK("CSG0.html#group8J0", "8J⁰"), =HYPERLINK("CSG0.html#group2C0", "2C⁰")</f>
        <v/>
      </c>
      <c r="N7927" t="inlineStr"/>
    </row>
    <row r="7928">
      <c r="A7928" t="inlineStr">
        <is>
          <t>56C²⁴</t>
        </is>
      </c>
      <c r="B7928" t="inlineStr"/>
      <c r="C7928" t="inlineStr">
        <is>
          <t>336</t>
        </is>
      </c>
      <c r="D7928" t="inlineStr">
        <is>
          <t>2</t>
        </is>
      </c>
      <c r="E7928" t="inlineStr">
        <is>
          <t>42</t>
        </is>
      </c>
      <c r="F7928" t="inlineStr">
        <is>
          <t>0</t>
        </is>
      </c>
      <c r="G7928" t="inlineStr">
        <is>
          <t>0</t>
        </is>
      </c>
      <c r="H7928" t="inlineStr">
        <is>
          <t>14⁴, 28², 56⁴</t>
        </is>
      </c>
      <c r="I7928" t="n">
        <v>10</v>
      </c>
      <c r="J7928" t="inlineStr">
        <is>
          <t>2⁴, 4¹, 6⁸, 12²</t>
        </is>
      </c>
      <c r="K7928">
        <f>HYPERLINK("CSG12.html#group56B12", "56B¹²"), =HYPERLINK("CSG12.html#group56F12", "56F¹²"), =HYPERLINK("CSG12.html#group56H12", "56H¹²")</f>
        <v/>
      </c>
      <c r="L7928" t="inlineStr"/>
      <c r="M7928">
        <f>HYPERLINK("CSG0.html#group2A0", "2A⁰"), =HYPERLINK("CSG5.html#group56C5", "56C⁵"), =HYPERLINK("CSG6.html#group56C6", "56C⁶"), =HYPERLINK("CSG1.html#group14B1", "14B¹"), =HYPERLINK("CSG3.html#group14B3", "14B³"), =HYPERLINK("CSG0.html#group8D0", "8D⁰"), =HYPERLINK("CSG0.html#group4C0", "4C⁰"), =HYPERLINK("CSG12.html#group56B12", "56B¹²"), =HYPERLINK("CSG1.html#group14A1", "14A¹"), =HYPERLINK("CSG3.html#group28A3", "28A³"), =HYPERLINK("CSG0.html#group8C0", "8C⁰"), =HYPERLINK("CSG0.html#group2B0", "2B⁰"), =HYPERLINK("CSG0.html#group4E0", "4E⁰"), =HYPERLINK("CSG0.html#group4B0", "4B⁰"), =HYPERLINK("CSG0.html#group1A0", "1A⁰"), =HYPERLINK("CSG12.html#group56H12", "56H¹²"), =HYPERLINK("CSG2.html#group28C2", "28C²"), =HYPERLINK("CSG0.html#group8G0", "8G⁰"), =HYPERLINK("CSG12.html#group56F12", "56F¹²"), =HYPERLINK("CSG6.html#group28C6", "28C⁶"), =HYPERLINK("CSG0.html#group2C0", "2C⁰"), =HYPERLINK("CSG0.html#group7A0", "7A⁰")</f>
        <v/>
      </c>
      <c r="N7928" t="inlineStr"/>
    </row>
    <row r="7929">
      <c r="A7929" t="inlineStr">
        <is>
          <t>56D²⁴</t>
        </is>
      </c>
      <c r="B7929" t="inlineStr"/>
      <c r="C7929" t="inlineStr">
        <is>
          <t>336</t>
        </is>
      </c>
      <c r="D7929" t="inlineStr">
        <is>
          <t>2</t>
        </is>
      </c>
      <c r="E7929" t="inlineStr">
        <is>
          <t>42</t>
        </is>
      </c>
      <c r="F7929" t="inlineStr">
        <is>
          <t>0</t>
        </is>
      </c>
      <c r="G7929" t="inlineStr">
        <is>
          <t>0</t>
        </is>
      </c>
      <c r="H7929" t="inlineStr">
        <is>
          <t>14⁴, 28², 56⁴</t>
        </is>
      </c>
      <c r="I7929" t="n">
        <v>10</v>
      </c>
      <c r="J7929" t="inlineStr">
        <is>
          <t>2⁴, 4¹, 6⁸, 12²</t>
        </is>
      </c>
      <c r="K7929">
        <f>HYPERLINK("CSG0.html#group8O0", "8O⁰"), =HYPERLINK("CSG12.html#group56B12", "56B¹²"), =HYPERLINK("CSG12.html#group56G12", "56G¹²"), =HYPERLINK("CSG12.html#group56I12", "56I¹²")</f>
        <v/>
      </c>
      <c r="L7929" t="inlineStr"/>
      <c r="M7929">
        <f>HYPERLINK("CSG0.html#group2A0", "2A⁰"), =HYPERLINK("CSG5.html#group56C5", "56C⁵"), =HYPERLINK("CSG6.html#group56C6", "56C⁶"), =HYPERLINK("CSG1.html#group14B1", "14B¹"), =HYPERLINK("CSG0.html#group8D0", "8D⁰"), =HYPERLINK("CSG12.html#group56I12", "56I¹²"), =HYPERLINK("CSG3.html#group14B3", "14B³"), =HYPERLINK("CSG0.html#group4C0", "4C⁰"), =HYPERLINK("CSG12.html#group56B12", "56B¹²"), =HYPERLINK("CSG1.html#group14A1", "14A¹"), =HYPERLINK("CSG3.html#group28A3", "28A³"), =HYPERLINK("CSG12.html#group56G12", "56G¹²"), =HYPERLINK("CSG0.html#group8C0", "8C⁰"), =HYPERLINK("CSG0.html#group4E0", "4E⁰"), =HYPERLINK("CSG0.html#group2B0", "2B⁰"), =HYPERLINK("CSG0.html#group8I0", "8I⁰"), =HYPERLINK("CSG0.html#group4B0", "4B⁰"), =HYPERLINK("CSG0.html#group1A0", "1A⁰"), =HYPERLINK("CSG2.html#group28C2", "28C²"), =HYPERLINK("CSG0.html#group8G0", "8G⁰"), =HYPERLINK("CSG6.html#group28C6", "28C⁶"), =HYPERLINK("CSG0.html#group8J0", "8J⁰"), =HYPERLINK("CSG0.html#group2C0", "2C⁰"), =HYPERLINK("CSG0.html#group7A0", "7A⁰"), =HYPERLINK("CSG0.html#group8O0", "8O⁰")</f>
        <v/>
      </c>
      <c r="N7929" t="inlineStr"/>
    </row>
    <row r="7930">
      <c r="A7930" t="inlineStr">
        <is>
          <t>56E²⁴</t>
        </is>
      </c>
      <c r="B7930" t="inlineStr"/>
      <c r="C7930" t="inlineStr">
        <is>
          <t>336</t>
        </is>
      </c>
      <c r="D7930" t="inlineStr">
        <is>
          <t>2</t>
        </is>
      </c>
      <c r="E7930" t="inlineStr">
        <is>
          <t>84</t>
        </is>
      </c>
      <c r="F7930" t="inlineStr">
        <is>
          <t>0</t>
        </is>
      </c>
      <c r="G7930" t="inlineStr">
        <is>
          <t>0</t>
        </is>
      </c>
      <c r="H7930" t="inlineStr">
        <is>
          <t>14⁴, 28², 56⁴</t>
        </is>
      </c>
      <c r="I7930" t="n">
        <v>10</v>
      </c>
      <c r="J7930" t="inlineStr">
        <is>
          <t>2⁴, 4², 6⁸, 8¹, 12⁴, 24²</t>
        </is>
      </c>
      <c r="K7930">
        <f>HYPERLINK("CSG12.html#group56C12", "56C¹²"), =HYPERLINK("CSG12.html#group56F12", "56F¹²"), =HYPERLINK("CSG12.html#group56G12", "56G¹²")</f>
        <v/>
      </c>
      <c r="L7930" t="inlineStr"/>
      <c r="M7930">
        <f>HYPERLINK("CSG0.html#group14A0", "14A⁰"), =HYPERLINK("CSG6.html#group56C6", "56C⁶"), =HYPERLINK("CSG1.html#group14B1", "14B¹"), =HYPERLINK("CSG2.html#group14C2", "14C²"), =HYPERLINK("CSG3.html#group28A3", "28A³"), =HYPERLINK("CSG12.html#group56G12", "56G¹²"), =HYPERLINK("CSG0.html#group8C0", "8C⁰"), =HYPERLINK("CSG0.html#group2B0", "2B⁰"), =HYPERLINK("CSG0.html#group8I0", "8I⁰"), =HYPERLINK("CSG0.html#group4B0", "4B⁰"), =HYPERLINK("CSG0.html#group1A0", "1A⁰"), =HYPERLINK("CSG12.html#group56F12", "56F¹²"), =HYPERLINK("CSG6.html#group56B6", "56B⁶"), =HYPERLINK("CSG6.html#group28A6", "28A⁶"), =HYPERLINK("CSG12.html#group56C12", "56C¹²"), =HYPERLINK("CSG3.html#group28B3", "28B³"), =HYPERLINK("CSG0.html#group7A0", "7A⁰")</f>
        <v/>
      </c>
      <c r="N7930" t="inlineStr"/>
    </row>
    <row r="7931">
      <c r="A7931" t="inlineStr">
        <is>
          <t>56F²⁴</t>
        </is>
      </c>
      <c r="B7931" t="inlineStr"/>
      <c r="C7931" t="inlineStr">
        <is>
          <t>336</t>
        </is>
      </c>
      <c r="D7931" t="inlineStr">
        <is>
          <t>2</t>
        </is>
      </c>
      <c r="E7931" t="inlineStr">
        <is>
          <t>84</t>
        </is>
      </c>
      <c r="F7931" t="inlineStr">
        <is>
          <t>0</t>
        </is>
      </c>
      <c r="G7931" t="inlineStr">
        <is>
          <t>0</t>
        </is>
      </c>
      <c r="H7931" t="inlineStr">
        <is>
          <t>14⁴, 28², 56⁴</t>
        </is>
      </c>
      <c r="I7931" t="n">
        <v>10</v>
      </c>
      <c r="J7931" t="inlineStr">
        <is>
          <t>2⁸, 4², 6¹⁶, 12⁴</t>
        </is>
      </c>
      <c r="K7931">
        <f>HYPERLINK("CSG12.html#group56A12", "56A¹²"), =HYPERLINK("CSG12.html#group56H12", "56H¹²"), =HYPERLINK("CSG12.html#group56I12", "56I¹²")</f>
        <v/>
      </c>
      <c r="L7931" t="inlineStr"/>
      <c r="M7931">
        <f>HYPERLINK("CSG0.html#group2A0", "2A⁰"), =HYPERLINK("CSG5.html#group56B5", "56B⁵"), =HYPERLINK("CSG12.html#group56A12", "56A¹²"), =HYPERLINK("CSG3.html#group14B3", "14B³"), =HYPERLINK("CSG1.html#group14B1", "14B¹"), =HYPERLINK("CSG12.html#group56I12", "56I¹²"), =HYPERLINK("CSG0.html#group4C0", "4C⁰"), =HYPERLINK("CSG1.html#group14A1", "14A¹"), =HYPERLINK("CSG3.html#group28A3", "28A³"), =HYPERLINK("CSG0.html#group2B0", "2B⁰"), =HYPERLINK("CSG0.html#group4E0", "4E⁰"), =HYPERLINK("CSG0.html#group4B0", "4B⁰"), =HYPERLINK("CSG0.html#group1A0", "1A⁰"), =HYPERLINK("CSG12.html#group56H12", "56H¹²"), =HYPERLINK("CSG2.html#group28C2", "28C²"), =HYPERLINK("CSG6.html#group56B6", "56B⁶"), =HYPERLINK("CSG6.html#group28C6", "28C⁶"), =HYPERLINK("CSG0.html#group8J0", "8J⁰"), =HYPERLINK("CSG0.html#group2C0", "2C⁰"), =HYPERLINK("CSG0.html#group7A0", "7A⁰")</f>
        <v/>
      </c>
      <c r="N7931" t="inlineStr"/>
    </row>
    <row r="7932">
      <c r="A7932" t="inlineStr">
        <is>
          <t>56G²⁴</t>
        </is>
      </c>
      <c r="B7932" t="inlineStr"/>
      <c r="C7932" t="inlineStr">
        <is>
          <t>336</t>
        </is>
      </c>
      <c r="D7932" t="inlineStr">
        <is>
          <t>2</t>
        </is>
      </c>
      <c r="E7932" t="inlineStr">
        <is>
          <t>84</t>
        </is>
      </c>
      <c r="F7932" t="inlineStr">
        <is>
          <t>0</t>
        </is>
      </c>
      <c r="G7932" t="inlineStr">
        <is>
          <t>0</t>
        </is>
      </c>
      <c r="H7932" t="inlineStr">
        <is>
          <t>28⁸, 56²</t>
        </is>
      </c>
      <c r="I7932" t="n">
        <v>10</v>
      </c>
      <c r="J7932" t="inlineStr">
        <is>
          <t>2⁸, 4², 6¹⁶, 12⁴</t>
        </is>
      </c>
      <c r="K7932">
        <f>HYPERLINK("CSG12.html#group28C12", "28C¹²"), =HYPERLINK("CSG12.html#group56H12", "56H¹²"), =HYPERLINK("CSG12.html#group56I12", "56I¹²")</f>
        <v/>
      </c>
      <c r="L7932" t="inlineStr"/>
      <c r="M7932">
        <f>HYPERLINK("CSG0.html#group2A0", "2A⁰"), =HYPERLINK("CSG6.html#group28B6", "28B⁶"), =HYPERLINK("CSG3.html#group14B3", "14B³"), =HYPERLINK("CSG1.html#group14B1", "14B¹"), =HYPERLINK("CSG12.html#group56I12", "56I¹²"), =HYPERLINK("CSG0.html#group4C0", "4C⁰"), =HYPERLINK("CSG1.html#group14A1", "14A¹"), =HYPERLINK("CSG3.html#group28A3", "28A³"), =HYPERLINK("CSG5.html#group28C5", "28C⁵"), =HYPERLINK("CSG0.html#group2B0", "2B⁰"), =HYPERLINK("CSG0.html#group4E0", "4E⁰"), =HYPERLINK("CSG0.html#group4B0", "4B⁰"), =HYPERLINK("CSG0.html#group1A0", "1A⁰"), =HYPERLINK("CSG12.html#group56H12", "56H¹²"), =HYPERLINK("CSG2.html#group28C2", "28C²"), =HYPERLINK("CSG12.html#group28C12", "28C¹²"), =HYPERLINK("CSG6.html#group28C6", "28C⁶"), =HYPERLINK("CSG3.html#group28B3", "28B³"), =HYPERLINK("CSG0.html#group8J0", "8J⁰"), =HYPERLINK("CSG0.html#group2C0", "2C⁰"), =HYPERLINK("CSG2.html#group28B2", "28B²"), =HYPERLINK("CSG0.html#group7A0", "7A⁰")</f>
        <v/>
      </c>
      <c r="N7932" t="inlineStr"/>
    </row>
    <row r="7933">
      <c r="A7933" t="inlineStr">
        <is>
          <t>56H²⁴</t>
        </is>
      </c>
      <c r="B7933" t="inlineStr"/>
      <c r="C7933" t="inlineStr">
        <is>
          <t>336</t>
        </is>
      </c>
      <c r="D7933" t="inlineStr">
        <is>
          <t>2</t>
        </is>
      </c>
      <c r="E7933" t="inlineStr">
        <is>
          <t>84</t>
        </is>
      </c>
      <c r="F7933" t="inlineStr">
        <is>
          <t>8</t>
        </is>
      </c>
      <c r="G7933" t="inlineStr">
        <is>
          <t>0</t>
        </is>
      </c>
      <c r="H7933" t="inlineStr">
        <is>
          <t>56⁶</t>
        </is>
      </c>
      <c r="I7933" t="n">
        <v>6</v>
      </c>
      <c r="J7933" t="inlineStr">
        <is>
          <t>4², 8², 12⁴, 24⁴</t>
        </is>
      </c>
      <c r="K7933">
        <f>HYPERLINK("CSG11.html#group56E11", "56E¹¹"), =HYPERLINK("CSG11.html#group56F11", "56F¹¹"), =HYPERLINK("CSG12.html#group56K12", "56K¹²")</f>
        <v/>
      </c>
      <c r="L7933" t="inlineStr"/>
      <c r="M7933">
        <f>HYPERLINK("CSG5.html#group56B5", "56B⁵"), =HYPERLINK("CSG3.html#group56D3", "56D³"), =HYPERLINK("CSG1.html#group14B1", "14B¹"), =HYPERLINK("CSG0.html#group4C0", "4C⁰"), =HYPERLINK("CSG0.html#group8A0", "8A⁰"), =HYPERLINK("CSG0.html#group2B0", "2B⁰"), =HYPERLINK("CSG0.html#group1A0", "1A⁰"), =HYPERLINK("CSG1.html#group8D1", "8D¹"), =HYPERLINK("CSG2.html#group28C2", "28C²"), =HYPERLINK("CSG11.html#group56E11", "56E¹¹"), =HYPERLINK("CSG11.html#group56F11", "56F¹¹"), =HYPERLINK("CSG0.html#group4A0", "4A⁰"), =HYPERLINK("CSG5.html#group28D5", "28D⁵"), =HYPERLINK("CSG3.html#group56C3", "56C³"), =HYPERLINK("CSG0.html#group4F0", "4F⁰"), =HYPERLINK("CSG5.html#group56A5", "56A⁵"), =HYPERLINK("CSG1.html#group28A1", "28A¹"), =HYPERLINK("CSG12.html#group56K12", "56K¹²"), =HYPERLINK("CSG0.html#group7A0", "7A⁰")</f>
        <v/>
      </c>
      <c r="N7933" t="inlineStr"/>
    </row>
    <row r="7934">
      <c r="A7934" t="inlineStr">
        <is>
          <t>56I²⁴</t>
        </is>
      </c>
      <c r="B7934" t="inlineStr"/>
      <c r="C7934" t="inlineStr">
        <is>
          <t>336</t>
        </is>
      </c>
      <c r="D7934" t="inlineStr">
        <is>
          <t>2</t>
        </is>
      </c>
      <c r="E7934" t="inlineStr">
        <is>
          <t>84</t>
        </is>
      </c>
      <c r="F7934" t="inlineStr">
        <is>
          <t>8</t>
        </is>
      </c>
      <c r="G7934" t="inlineStr">
        <is>
          <t>0</t>
        </is>
      </c>
      <c r="H7934" t="inlineStr">
        <is>
          <t>56⁶</t>
        </is>
      </c>
      <c r="I7934" t="n">
        <v>6</v>
      </c>
      <c r="J7934" t="inlineStr">
        <is>
          <t>4², 8², 12⁴, 24⁴</t>
        </is>
      </c>
      <c r="K7934">
        <f>HYPERLINK("CSG11.html#group56E11", "56E¹¹"), =HYPERLINK("CSG11.html#group56G11", "56G¹¹"), =HYPERLINK("CSG12.html#group56J12", "56J¹²")</f>
        <v/>
      </c>
      <c r="L7934" t="inlineStr"/>
      <c r="M7934">
        <f>HYPERLINK("CSG11.html#group56G11", "56G¹¹"), =HYPERLINK("CSG5.html#group56B5", "56B⁵"), =HYPERLINK("CSG3.html#group56B3", "56B³"), =HYPERLINK("CSG1.html#group14B1", "14B¹"), =HYPERLINK("CSG0.html#group4C0", "4C⁰"), =HYPERLINK("CSG12.html#group56J12", "56J¹²"), =HYPERLINK("CSG0.html#group2B0", "2B⁰"), =HYPERLINK("CSG0.html#group8K0", "8K⁰"), =HYPERLINK("CSG0.html#group1A0", "1A⁰"), =HYPERLINK("CSG2.html#group28C2", "28C²"), =HYPERLINK("CSG11.html#group56E11", "56E¹¹"), =HYPERLINK("CSG0.html#group4A0", "4A⁰"), =HYPERLINK("CSG5.html#group28D5", "28D⁵"), =HYPERLINK("CSG0.html#group4F0", "4F⁰"), =HYPERLINK("CSG5.html#group56A5", "56A⁵"), =HYPERLINK("CSG1.html#group28A1", "28A¹"), =HYPERLINK("CSG0.html#group7A0", "7A⁰"), =HYPERLINK("CSG3.html#group56A3", "56A³")</f>
        <v/>
      </c>
      <c r="N7934" t="inlineStr"/>
    </row>
    <row r="7935">
      <c r="A7935" t="inlineStr">
        <is>
          <t>56J²⁴</t>
        </is>
      </c>
      <c r="B7935" t="inlineStr"/>
      <c r="C7935" t="inlineStr">
        <is>
          <t>336</t>
        </is>
      </c>
      <c r="D7935" t="inlineStr">
        <is>
          <t>2</t>
        </is>
      </c>
      <c r="E7935" t="inlineStr">
        <is>
          <t>84</t>
        </is>
      </c>
      <c r="F7935" t="inlineStr">
        <is>
          <t>8</t>
        </is>
      </c>
      <c r="G7935" t="inlineStr">
        <is>
          <t>0</t>
        </is>
      </c>
      <c r="H7935" t="inlineStr">
        <is>
          <t>56⁶</t>
        </is>
      </c>
      <c r="I7935" t="n">
        <v>6</v>
      </c>
      <c r="J7935" t="inlineStr">
        <is>
          <t>4², 8², 12⁴, 24⁴</t>
        </is>
      </c>
      <c r="K7935">
        <f>HYPERLINK("CSG6.html#group56F6", "56F⁶"), =HYPERLINK("CSG6.html#group56G6", "56G⁶"), =HYPERLINK("CSG10.html#group28A10", "28A¹⁰"), =HYPERLINK("CSG12.html#group56J12", "56J¹²"), =HYPERLINK("CSG12.html#group56K12", "56K¹²")</f>
        <v/>
      </c>
      <c r="L7935" t="inlineStr"/>
      <c r="M7935">
        <f>HYPERLINK("CSG2.html#group28E2", "28E²"), =HYPERLINK("CSG0.html#group14A0", "14A⁰"), =HYPERLINK("CSG3.html#group56D3", "56D³"), =HYPERLINK("CSG3.html#group56B3", "56B³"), =HYPERLINK("CSG2.html#group28B2", "28B²"), =HYPERLINK("CSG4.html#group28C4", "28C⁴"), =HYPERLINK("CSG1.html#group14B1", "14B¹"), =HYPERLINK("CSG0.html#group4C0", "4C⁰"), =HYPERLINK("CSG2.html#group14C2", "14C²"), =HYPERLINK("CSG0.html#group8A0", "8A⁰"), =HYPERLINK("CSG5.html#group28C5", "28C⁵"), =HYPERLINK("CSG12.html#group56J12", "56J¹²"), =HYPERLINK("CSG0.html#group2B0", "2B⁰"), =HYPERLINK("CSG0.html#group1A0", "1A⁰"), =HYPERLINK("CSG1.html#group8D1", "8D¹"), =HYPERLINK("CSG6.html#group56G6", "56G⁶"), =HYPERLINK("CSG10.html#group28A10", "28A¹⁰"), =HYPERLINK("CSG2.html#group28C2", "28C²"), =HYPERLINK("CSG0.html#group4A0", "4A⁰"), =HYPERLINK("CSG5.html#group28D5", "28D⁵"), =HYPERLINK("CSG3.html#group56C3", "56C³"), =HYPERLINK("CSG0.html#group4F0", "4F⁰"), =HYPERLINK("CSG1.html#group28A1", "28A¹"), =HYPERLINK("CSG12.html#group56K12", "56K¹²"), =HYPERLINK("CSG6.html#group56F6", "56F⁶"), =HYPERLINK("CSG0.html#group7A0", "7A⁰"), =HYPERLINK("CSG3.html#group56A3", "56A³")</f>
        <v/>
      </c>
      <c r="N7935" t="inlineStr"/>
    </row>
    <row r="7936">
      <c r="A7936" t="inlineStr">
        <is>
          <t>56K²⁴</t>
        </is>
      </c>
      <c r="B7936" t="inlineStr"/>
      <c r="C7936" t="inlineStr">
        <is>
          <t>336</t>
        </is>
      </c>
      <c r="D7936" t="inlineStr">
        <is>
          <t>2</t>
        </is>
      </c>
      <c r="E7936" t="inlineStr">
        <is>
          <t>84</t>
        </is>
      </c>
      <c r="F7936" t="inlineStr">
        <is>
          <t>8</t>
        </is>
      </c>
      <c r="G7936" t="inlineStr">
        <is>
          <t>0</t>
        </is>
      </c>
      <c r="H7936" t="inlineStr">
        <is>
          <t>56⁶</t>
        </is>
      </c>
      <c r="I7936" t="n">
        <v>6</v>
      </c>
      <c r="J7936" t="inlineStr">
        <is>
          <t>24¹⁴</t>
        </is>
      </c>
      <c r="K7936">
        <f>HYPERLINK("CSG10.html#group28B10", "28B¹⁰"), =HYPERLINK("CSG11.html#group56H11", "56H¹¹"), =HYPERLINK("CSG11.html#group56J11", "56J¹¹")</f>
        <v/>
      </c>
      <c r="L7936" t="inlineStr"/>
      <c r="M7936">
        <f>HYPERLINK("CSG2.html#group28E2", "28E²"), =HYPERLINK("CSG0.html#group14A0", "14A⁰"), =HYPERLINK("CSG10.html#group28B10", "28B¹⁰"), =HYPERLINK("CSG11.html#group56J11", "56J¹¹"), =HYPERLINK("CSG2.html#group14B2", "14B²"), =HYPERLINK("CSG0.html#group7D0", "7D⁰"), =HYPERLINK("CSG0.html#group4A0", "4A⁰"), =HYPERLINK("CSG4.html#group28B4", "28B⁴"), =HYPERLINK("CSG1.html#group28A1", "28A¹"), =HYPERLINK("CSG0.html#group1A0", "1A⁰"), =HYPERLINK("CSG11.html#group56H11", "56H¹¹"), =HYPERLINK("CSG0.html#group7A0", "7A⁰"), =HYPERLINK("CSG3.html#group56A3", "56A³")</f>
        <v/>
      </c>
      <c r="N7936" t="inlineStr"/>
    </row>
    <row r="7937">
      <c r="A7937" t="inlineStr">
        <is>
          <t>56L²⁴</t>
        </is>
      </c>
      <c r="B7937" t="inlineStr"/>
      <c r="C7937" t="inlineStr">
        <is>
          <t>336</t>
        </is>
      </c>
      <c r="D7937" t="inlineStr">
        <is>
          <t>2</t>
        </is>
      </c>
      <c r="E7937" t="inlineStr">
        <is>
          <t>84</t>
        </is>
      </c>
      <c r="F7937" t="inlineStr">
        <is>
          <t>8</t>
        </is>
      </c>
      <c r="G7937" t="inlineStr">
        <is>
          <t>0</t>
        </is>
      </c>
      <c r="H7937" t="inlineStr">
        <is>
          <t>56⁶</t>
        </is>
      </c>
      <c r="I7937" t="n">
        <v>6</v>
      </c>
      <c r="J7937" t="inlineStr">
        <is>
          <t>24¹⁴</t>
        </is>
      </c>
      <c r="K7937">
        <f>HYPERLINK("CSG10.html#group28B10", "28B¹⁰"), =HYPERLINK("CSG11.html#group56H11", "56H¹¹"), =HYPERLINK("CSG11.html#group56K11", "56K¹¹")</f>
        <v/>
      </c>
      <c r="L7937" t="inlineStr"/>
      <c r="M7937">
        <f>HYPERLINK("CSG2.html#group28E2", "28E²"), =HYPERLINK("CSG0.html#group14A0", "14A⁰"), =HYPERLINK("CSG10.html#group28B10", "28B¹⁰"), =HYPERLINK("CSG3.html#group56B3", "56B³"), =HYPERLINK("CSG2.html#group14B2", "14B²"), =HYPERLINK("CSG0.html#group7D0", "7D⁰"), =HYPERLINK("CSG11.html#group56K11", "56K¹¹"), =HYPERLINK("CSG0.html#group4A0", "4A⁰"), =HYPERLINK("CSG4.html#group28B4", "28B⁴"), =HYPERLINK("CSG1.html#group28A1", "28A¹"), =HYPERLINK("CSG0.html#group1A0", "1A⁰"), =HYPERLINK("CSG11.html#group56H11", "56H¹¹"), =HYPERLINK("CSG0.html#group7A0", "7A⁰")</f>
        <v/>
      </c>
      <c r="N7937" t="inlineStr"/>
    </row>
    <row r="7938">
      <c r="A7938" t="inlineStr">
        <is>
          <t>56M²⁴</t>
        </is>
      </c>
      <c r="B7938" t="inlineStr"/>
      <c r="C7938" t="inlineStr">
        <is>
          <t>336</t>
        </is>
      </c>
      <c r="D7938" t="inlineStr">
        <is>
          <t>2</t>
        </is>
      </c>
      <c r="E7938" t="inlineStr">
        <is>
          <t>84</t>
        </is>
      </c>
      <c r="F7938" t="inlineStr">
        <is>
          <t>8</t>
        </is>
      </c>
      <c r="G7938" t="inlineStr">
        <is>
          <t>0</t>
        </is>
      </c>
      <c r="H7938" t="inlineStr">
        <is>
          <t>56⁶</t>
        </is>
      </c>
      <c r="I7938" t="n">
        <v>6</v>
      </c>
      <c r="J7938" t="inlineStr">
        <is>
          <t>24¹⁴</t>
        </is>
      </c>
      <c r="K7938">
        <f>HYPERLINK("CSG6.html#group56F6", "56F⁶"), =HYPERLINK("CSG10.html#group28B10", "28B¹⁰"), =HYPERLINK("CSG11.html#group56I11", "56I¹¹"), =HYPERLINK("CSG11.html#group56J11", "56J¹¹")</f>
        <v/>
      </c>
      <c r="L7938" t="inlineStr"/>
      <c r="M7938">
        <f>HYPERLINK("CSG2.html#group28E2", "28E²"), =HYPERLINK("CSG0.html#group14A0", "14A⁰"), =HYPERLINK("CSG10.html#group28B10", "28B¹⁰"), =HYPERLINK("CSG3.html#group56D3", "56D³"), =HYPERLINK("CSG2.html#group14B2", "14B²"), =HYPERLINK("CSG0.html#group7D0", "7D⁰"), =HYPERLINK("CSG11.html#group56I11", "56I¹¹"), =HYPERLINK("CSG0.html#group8A0", "8A⁰"), =HYPERLINK("CSG4.html#group28B4", "28B⁴"), =HYPERLINK("CSG0.html#group1A0", "1A⁰"), =HYPERLINK("CSG11.html#group56J11", "56J¹¹"), =HYPERLINK("CSG0.html#group4A0", "4A⁰"), =HYPERLINK("CSG3.html#group56C3", "56C³"), =HYPERLINK("CSG1.html#group28A1", "28A¹"), =HYPERLINK("CSG6.html#group56F6", "56F⁶"), =HYPERLINK("CSG0.html#group7A0", "7A⁰"), =HYPERLINK("CSG3.html#group56A3", "56A³")</f>
        <v/>
      </c>
      <c r="N7938" t="inlineStr"/>
    </row>
    <row r="7939">
      <c r="A7939" t="inlineStr">
        <is>
          <t>56N²⁴</t>
        </is>
      </c>
      <c r="B7939" t="inlineStr"/>
      <c r="C7939" t="inlineStr">
        <is>
          <t>336</t>
        </is>
      </c>
      <c r="D7939" t="inlineStr">
        <is>
          <t>2</t>
        </is>
      </c>
      <c r="E7939" t="inlineStr">
        <is>
          <t>84</t>
        </is>
      </c>
      <c r="F7939" t="inlineStr">
        <is>
          <t>8</t>
        </is>
      </c>
      <c r="G7939" t="inlineStr">
        <is>
          <t>0</t>
        </is>
      </c>
      <c r="H7939" t="inlineStr">
        <is>
          <t>56⁶</t>
        </is>
      </c>
      <c r="I7939" t="n">
        <v>6</v>
      </c>
      <c r="J7939" t="inlineStr">
        <is>
          <t>24¹⁴</t>
        </is>
      </c>
      <c r="K7939">
        <f>HYPERLINK("CSG6.html#group56G6", "56G⁶"), =HYPERLINK("CSG10.html#group28B10", "28B¹⁰"), =HYPERLINK("CSG11.html#group56I11", "56I¹¹"), =HYPERLINK("CSG11.html#group56K11", "56K¹¹")</f>
        <v/>
      </c>
      <c r="L7939" t="inlineStr"/>
      <c r="M7939">
        <f>HYPERLINK("CSG2.html#group28E2", "28E²"), =HYPERLINK("CSG0.html#group14A0", "14A⁰"), =HYPERLINK("CSG10.html#group28B10", "28B¹⁰"), =HYPERLINK("CSG3.html#group56B3", "56B³"), =HYPERLINK("CSG2.html#group14B2", "14B²"), =HYPERLINK("CSG3.html#group56D3", "56D³"), =HYPERLINK("CSG0.html#group7D0", "7D⁰"), =HYPERLINK("CSG11.html#group56I11", "56I¹¹"), =HYPERLINK("CSG0.html#group8A0", "8A⁰"), =HYPERLINK("CSG4.html#group28B4", "28B⁴"), =HYPERLINK("CSG0.html#group1A0", "1A⁰"), =HYPERLINK("CSG6.html#group56G6", "56G⁶"), =HYPERLINK("CSG11.html#group56K11", "56K¹¹"), =HYPERLINK("CSG0.html#group4A0", "4A⁰"), =HYPERLINK("CSG3.html#group56C3", "56C³"), =HYPERLINK("CSG1.html#group28A1", "28A¹"), =HYPERLINK("CSG0.html#group7A0", "7A⁰")</f>
        <v/>
      </c>
      <c r="N7939" t="inlineStr"/>
    </row>
    <row r="7940">
      <c r="A7940" t="inlineStr">
        <is>
          <t>57A²⁴</t>
        </is>
      </c>
      <c r="B7940" t="inlineStr"/>
      <c r="C7940" t="inlineStr">
        <is>
          <t>342</t>
        </is>
      </c>
      <c r="D7940" t="inlineStr">
        <is>
          <t>2</t>
        </is>
      </c>
      <c r="E7940" t="inlineStr">
        <is>
          <t>171</t>
        </is>
      </c>
      <c r="F7940" t="inlineStr">
        <is>
          <t>10</t>
        </is>
      </c>
      <c r="G7940" t="inlineStr">
        <is>
          <t>0</t>
        </is>
      </c>
      <c r="H7940" t="inlineStr">
        <is>
          <t>57⁶</t>
        </is>
      </c>
      <c r="I7940" t="n">
        <v>6</v>
      </c>
      <c r="J7940" t="inlineStr">
        <is>
          <t>6¹, 12¹, 18⁶, 36⁶</t>
        </is>
      </c>
      <c r="K7940">
        <f>HYPERLINK("CSG0.html#group3C0", "3C⁰"), =HYPERLINK("CSG10.html#group57A10", "57A¹⁰")</f>
        <v/>
      </c>
      <c r="L7940" t="inlineStr"/>
      <c r="M7940">
        <f>HYPERLINK("CSG0.html#group3C0", "3C⁰"), =HYPERLINK("CSG10.html#group57A10", "57A¹⁰"), =HYPERLINK("CSG0.html#group3A0", "3A⁰"), =HYPERLINK("CSG0.html#group1A0", "1A⁰"), =HYPERLINK("CSG2.html#group19A2", "19A²")</f>
        <v/>
      </c>
      <c r="N7940" t="inlineStr"/>
    </row>
    <row r="7941">
      <c r="A7941" t="inlineStr">
        <is>
          <t>60A²⁴</t>
        </is>
      </c>
      <c r="B7941" t="inlineStr"/>
      <c r="C7941" t="inlineStr">
        <is>
          <t>360</t>
        </is>
      </c>
      <c r="D7941" t="inlineStr">
        <is>
          <t>1</t>
        </is>
      </c>
      <c r="E7941" t="inlineStr">
        <is>
          <t>180</t>
        </is>
      </c>
      <c r="F7941" t="inlineStr">
        <is>
          <t>16</t>
        </is>
      </c>
      <c r="G7941" t="inlineStr">
        <is>
          <t>0</t>
        </is>
      </c>
      <c r="H7941" t="inlineStr">
        <is>
          <t>60⁶</t>
        </is>
      </c>
      <c r="I7941" t="n">
        <v>6</v>
      </c>
      <c r="J7941" t="inlineStr">
        <is>
          <t>2², 4⁴, 8⁸, 16⁶</t>
        </is>
      </c>
      <c r="K7941">
        <f>HYPERLINK("CSG5.html#group30L5", "30L⁵"), =HYPERLINK("CSG10.html#group60B10", "60B¹⁰")</f>
        <v/>
      </c>
      <c r="L7941" t="inlineStr"/>
      <c r="M7941">
        <f>HYPERLINK("CSG0.html#group5A0", "5A⁰"), =HYPERLINK("CSG3.html#group60A3", "60A³"), =HYPERLINK("CSG0.html#group12A0", "12A⁰"), =HYPERLINK("CSG10.html#group60B10", "60B¹⁰"), =HYPERLINK("CSG5.html#group30L5", "30L⁵"), =HYPERLINK("CSG0.html#group4A0", "4A⁰"), =HYPERLINK("CSG4.html#group60A4", "60A⁴"), =HYPERLINK("CSG1.html#group15F1", "15F¹"), =HYPERLINK("CSG0.html#group5E0", "5E⁰"), =HYPERLINK("CSG1.html#group20A1", "20A¹"), =HYPERLINK("CSG0.html#group15A0", "15A⁰"), =HYPERLINK("CSG0.html#group3A0", "3A⁰"), =HYPERLINK("CSG0.html#group1A0", "1A⁰"), =HYPERLINK("CSG1.html#group15A1", "15A¹"), =HYPERLINK("CSG3.html#group20D3", "20D³")</f>
        <v/>
      </c>
      <c r="N7941" t="inlineStr"/>
    </row>
    <row r="7942">
      <c r="A7942" t="inlineStr">
        <is>
          <t>60B²⁴</t>
        </is>
      </c>
      <c r="B7942" t="inlineStr"/>
      <c r="C7942" t="inlineStr">
        <is>
          <t>360</t>
        </is>
      </c>
      <c r="D7942" t="inlineStr">
        <is>
          <t>2</t>
        </is>
      </c>
      <c r="E7942" t="inlineStr">
        <is>
          <t>180</t>
        </is>
      </c>
      <c r="F7942" t="inlineStr">
        <is>
          <t>4</t>
        </is>
      </c>
      <c r="G7942" t="inlineStr">
        <is>
          <t>0</t>
        </is>
      </c>
      <c r="H7942" t="inlineStr">
        <is>
          <t>15⁸, 60⁴</t>
        </is>
      </c>
      <c r="I7942" t="n">
        <v>12</v>
      </c>
      <c r="J7942" t="inlineStr">
        <is>
          <t>8⁴⁵</t>
        </is>
      </c>
      <c r="K7942">
        <f>HYPERLINK("CSG11.html#group30F11", "30F¹¹")</f>
        <v/>
      </c>
      <c r="L7942" t="inlineStr"/>
      <c r="M7942">
        <f>HYPERLINK("CSG2.html#group15E2", "15E²"), =HYPERLINK("CSG11.html#group30F11", "30F¹¹"), =HYPERLINK("CSG0.html#group5A0", "5A⁰"), =HYPERLINK("CSG3.html#group30E3", "30E³"), =HYPERLINK("CSG1.html#group10B1", "10B¹"), =HYPERLINK("CSG0.html#group2B0", "2B⁰"), =HYPERLINK("CSG0.html#group1A0", "1A⁰"), =HYPERLINK("CSG0.html#group15A0", "15A⁰")</f>
        <v/>
      </c>
      <c r="N7942" t="inlineStr"/>
    </row>
    <row r="7943">
      <c r="A7943" t="inlineStr">
        <is>
          <t>63A²⁴</t>
        </is>
      </c>
      <c r="B7943" t="inlineStr"/>
      <c r="C7943" t="inlineStr">
        <is>
          <t>336</t>
        </is>
      </c>
      <c r="D7943" t="inlineStr">
        <is>
          <t>1</t>
        </is>
      </c>
      <c r="E7943" t="inlineStr">
        <is>
          <t>112</t>
        </is>
      </c>
      <c r="F7943" t="inlineStr">
        <is>
          <t>0</t>
        </is>
      </c>
      <c r="G7943" t="inlineStr">
        <is>
          <t>3</t>
        </is>
      </c>
      <c r="H7943" t="inlineStr">
        <is>
          <t>21⁴, 63⁴</t>
        </is>
      </c>
      <c r="I7943" t="n">
        <v>8</v>
      </c>
      <c r="J7943" t="inlineStr">
        <is>
          <t>1², 2¹, 3², 6⁹, 12⁴</t>
        </is>
      </c>
      <c r="K7943">
        <f>HYPERLINK("CSG6.html#group21B6", "21B⁶"), =HYPERLINK("CSG6.html#group63C6", "63C⁶")</f>
        <v/>
      </c>
      <c r="L7943" t="inlineStr"/>
      <c r="M7943">
        <f>HYPERLINK("CSG0.html#group3B0", "3B⁰"), =HYPERLINK("CSG2.html#group21B2", "21B²"), =HYPERLINK("CSG6.html#group21B6", "21B⁶"), =HYPERLINK("CSG6.html#group63C6", "63C⁶"), =HYPERLINK("CSG0.html#group7F0", "7F⁰"), =HYPERLINK("CSG0.html#group9C0", "9C⁰"), =HYPERLINK("CSG0.html#group1A0", "1A⁰"), =HYPERLINK("CSG0.html#group7A0", "7A⁰")</f>
        <v/>
      </c>
      <c r="N7943" t="inlineStr"/>
    </row>
    <row r="7944">
      <c r="A7944" t="inlineStr">
        <is>
          <t>63B²⁴</t>
        </is>
      </c>
      <c r="B7944" t="inlineStr"/>
      <c r="C7944" t="inlineStr">
        <is>
          <t>378</t>
        </is>
      </c>
      <c r="D7944" t="inlineStr">
        <is>
          <t>1</t>
        </is>
      </c>
      <c r="E7944" t="inlineStr">
        <is>
          <t>189</t>
        </is>
      </c>
      <c r="F7944" t="inlineStr">
        <is>
          <t>22</t>
        </is>
      </c>
      <c r="G7944" t="inlineStr">
        <is>
          <t>0</t>
        </is>
      </c>
      <c r="H7944" t="inlineStr">
        <is>
          <t>63⁶</t>
        </is>
      </c>
      <c r="I7944" t="n">
        <v>6</v>
      </c>
      <c r="J7944" t="inlineStr">
        <is>
          <t>3¹, 6⁴, 12³, 18¹, 36³</t>
        </is>
      </c>
      <c r="K7944">
        <f>HYPERLINK("CSG4.html#group21D4", "21D⁴"), =HYPERLINK("CSG9.html#group63D9", "63D⁹")</f>
        <v/>
      </c>
      <c r="L7944" t="inlineStr"/>
      <c r="M7944">
        <f>HYPERLINK("CSG4.html#group21D4", "21D⁴"), =HYPERLINK("CSG9.html#group63D9", "63D⁹"), =HYPERLINK("CSG0.html#group7D0", "7D⁰"), =HYPERLINK("CSG1.html#group21E1", "21E¹"), =HYPERLINK("CSG0.html#group9A0", "9A⁰"), =HYPERLINK("CSG2.html#group63A2", "63A²"), =HYPERLINK("CSG0.html#group21A0", "21A⁰"), =HYPERLINK("CSG0.html#group3A0", "3A⁰"), =HYPERLINK("CSG0.html#group1A0", "1A⁰"), =HYPERLINK("CSG0.html#group7A0", "7A⁰")</f>
        <v/>
      </c>
      <c r="N7944" t="inlineStr"/>
    </row>
    <row r="7945">
      <c r="A7945" t="inlineStr">
        <is>
          <t>63C²⁴</t>
        </is>
      </c>
      <c r="B7945" t="inlineStr"/>
      <c r="C7945" t="inlineStr">
        <is>
          <t>378</t>
        </is>
      </c>
      <c r="D7945" t="inlineStr">
        <is>
          <t>1</t>
        </is>
      </c>
      <c r="E7945" t="inlineStr">
        <is>
          <t>378</t>
        </is>
      </c>
      <c r="F7945" t="inlineStr">
        <is>
          <t>10</t>
        </is>
      </c>
      <c r="G7945" t="inlineStr">
        <is>
          <t>0</t>
        </is>
      </c>
      <c r="H7945" t="inlineStr">
        <is>
          <t>21⁹, 63³</t>
        </is>
      </c>
      <c r="I7945" t="n">
        <v>12</v>
      </c>
      <c r="J7945" t="inlineStr">
        <is>
          <t>3¹, 6⁴, 9¹, 12³, 18⁵, 36⁶</t>
        </is>
      </c>
      <c r="K7945">
        <f>HYPERLINK("CSG6.html#group21C6", "21C⁶"), =HYPERLINK("CSG8.html#group63B8", "63B⁸")</f>
        <v/>
      </c>
      <c r="L7945" t="inlineStr"/>
      <c r="M7945">
        <f>HYPERLINK("CSG2.html#group21D2", "21D²"), =HYPERLINK("CSG6.html#group21C6", "21C⁶"), =HYPERLINK("CSG0.html#group7D0", "7D⁰"), =HYPERLINK("CSG1.html#group21E1", "21E¹"), =HYPERLINK("CSG0.html#group21A0", "21A⁰"), =HYPERLINK("CSG0.html#group3C0", "3C⁰"), =HYPERLINK("CSG0.html#group9E0", "9E⁰"), =HYPERLINK("CSG0.html#group3A0", "3A⁰"), =HYPERLINK("CSG0.html#group1A0", "1A⁰"), =HYPERLINK("CSG0.html#group7A0", "7A⁰"), =HYPERLINK("CSG8.html#group63B8", "63B⁸")</f>
        <v/>
      </c>
      <c r="N7945" t="inlineStr"/>
    </row>
    <row r="7946">
      <c r="A7946" t="inlineStr">
        <is>
          <t>63D²⁴</t>
        </is>
      </c>
      <c r="B7946" t="inlineStr"/>
      <c r="C7946" t="inlineStr">
        <is>
          <t>378</t>
        </is>
      </c>
      <c r="D7946" t="inlineStr">
        <is>
          <t>2</t>
        </is>
      </c>
      <c r="E7946" t="inlineStr">
        <is>
          <t>189</t>
        </is>
      </c>
      <c r="F7946" t="inlineStr">
        <is>
          <t>22</t>
        </is>
      </c>
      <c r="G7946" t="inlineStr">
        <is>
          <t>0</t>
        </is>
      </c>
      <c r="H7946" t="inlineStr">
        <is>
          <t>63⁶</t>
        </is>
      </c>
      <c r="I7946" t="n">
        <v>6</v>
      </c>
      <c r="J7946" t="inlineStr">
        <is>
          <t>12⁹, 36¹⁸</t>
        </is>
      </c>
      <c r="K7946">
        <f>HYPERLINK("CSG6.html#group63F6", "63F⁶"), =HYPERLINK("CSG7.html#group63D7", "63D⁷"), =HYPERLINK("CSG10.html#group63B10", "63B¹⁰")</f>
        <v/>
      </c>
      <c r="L7946" t="inlineStr"/>
      <c r="M7946">
        <f>HYPERLINK("CSG10.html#group63B10", "63B¹⁰"), =HYPERLINK("CSG6.html#group63F6", "63F⁶"), =HYPERLINK("CSG1.html#group21D1", "21D¹"), =HYPERLINK("CSG0.html#group9A0", "9A⁰"), =HYPERLINK("CSG0.html#group9G0", "9G⁰"), =HYPERLINK("CSG0.html#group21A0", "21A⁰"), =HYPERLINK("CSG0.html#group7A0", "7A⁰"), =HYPERLINK("CSG0.html#group3A0", "3A⁰"), =HYPERLINK("CSG0.html#group1A0", "1A⁰"), =HYPERLINK("CSG7.html#group63D7", "63D⁷"), =HYPERLINK("CSG2.html#group63A2", "63A²")</f>
        <v/>
      </c>
      <c r="N7946" t="inlineStr"/>
    </row>
    <row r="7947">
      <c r="A7947" t="inlineStr">
        <is>
          <t>63E²⁴</t>
        </is>
      </c>
      <c r="B7947" t="inlineStr"/>
      <c r="C7947" t="inlineStr">
        <is>
          <t>378</t>
        </is>
      </c>
      <c r="D7947" t="inlineStr">
        <is>
          <t>2</t>
        </is>
      </c>
      <c r="E7947" t="inlineStr">
        <is>
          <t>189</t>
        </is>
      </c>
      <c r="F7947" t="inlineStr">
        <is>
          <t>22</t>
        </is>
      </c>
      <c r="G7947" t="inlineStr">
        <is>
          <t>0</t>
        </is>
      </c>
      <c r="H7947" t="inlineStr">
        <is>
          <t>63⁶</t>
        </is>
      </c>
      <c r="I7947" t="n">
        <v>6</v>
      </c>
      <c r="J7947" t="inlineStr">
        <is>
          <t>12⁹, 36¹⁸</t>
        </is>
      </c>
      <c r="K7947">
        <f>HYPERLINK("CSG6.html#group63G6", "63G⁶"), =HYPERLINK("CSG7.html#group63D7", "63D⁷"), =HYPERLINK("CSG10.html#group63B10", "63B¹⁰")</f>
        <v/>
      </c>
      <c r="L7947" t="inlineStr"/>
      <c r="M7947">
        <f>HYPERLINK("CSG10.html#group63B10", "63B¹⁰"), =HYPERLINK("CSG1.html#group21D1", "21D¹"), =HYPERLINK("CSG0.html#group9A0", "9A⁰"), =HYPERLINK("CSG0.html#group9G0", "9G⁰"), =HYPERLINK("CSG0.html#group21A0", "21A⁰"), =HYPERLINK("CSG6.html#group63G6", "63G⁶"), =HYPERLINK("CSG0.html#group7A0", "7A⁰"), =HYPERLINK("CSG0.html#group3A0", "3A⁰"), =HYPERLINK("CSG0.html#group1A0", "1A⁰"), =HYPERLINK("CSG7.html#group63D7", "63D⁷"), =HYPERLINK("CSG2.html#group63A2", "63A²")</f>
        <v/>
      </c>
      <c r="N7947" t="inlineStr"/>
    </row>
    <row r="7948">
      <c r="A7948" t="inlineStr">
        <is>
          <t>63F²⁴</t>
        </is>
      </c>
      <c r="B7948" t="inlineStr"/>
      <c r="C7948" t="inlineStr">
        <is>
          <t>378</t>
        </is>
      </c>
      <c r="D7948" t="inlineStr">
        <is>
          <t>2</t>
        </is>
      </c>
      <c r="E7948" t="inlineStr">
        <is>
          <t>189</t>
        </is>
      </c>
      <c r="F7948" t="inlineStr">
        <is>
          <t>22</t>
        </is>
      </c>
      <c r="G7948" t="inlineStr">
        <is>
          <t>0</t>
        </is>
      </c>
      <c r="H7948" t="inlineStr">
        <is>
          <t>63⁶</t>
        </is>
      </c>
      <c r="I7948" t="n">
        <v>6</v>
      </c>
      <c r="J7948" t="inlineStr">
        <is>
          <t>12²¹, 36¹⁴</t>
        </is>
      </c>
      <c r="K7948">
        <f>HYPERLINK("CSG5.html#group21D5", "21D⁵"), =HYPERLINK("CSG6.html#group63F6", "63F⁶"), =HYPERLINK("CSG9.html#group63D9", "63D⁹")</f>
        <v/>
      </c>
      <c r="L7948" t="inlineStr"/>
      <c r="M7948">
        <f>HYPERLINK("CSG5.html#group21D5", "21D⁵"), =HYPERLINK("CSG9.html#group63D9", "63D⁹"), =HYPERLINK("CSG6.html#group63F6", "63F⁶"), =HYPERLINK("CSG0.html#group7D0", "7D⁰"), =HYPERLINK("CSG1.html#group21E1", "21E¹"), =HYPERLINK("CSG1.html#group21D1", "21D¹"), =HYPERLINK("CSG0.html#group9A0", "9A⁰"), =HYPERLINK("CSG2.html#group63A2", "63A²"), =HYPERLINK("CSG0.html#group21A0", "21A⁰"), =HYPERLINK("CSG0.html#group3A0", "3A⁰"), =HYPERLINK("CSG0.html#group1A0", "1A⁰"), =HYPERLINK("CSG0.html#group7A0", "7A⁰")</f>
        <v/>
      </c>
      <c r="N7948" t="inlineStr"/>
    </row>
    <row r="7949">
      <c r="A7949" t="inlineStr">
        <is>
          <t>63G²⁴</t>
        </is>
      </c>
      <c r="B7949" t="inlineStr"/>
      <c r="C7949" t="inlineStr">
        <is>
          <t>378</t>
        </is>
      </c>
      <c r="D7949" t="inlineStr">
        <is>
          <t>2</t>
        </is>
      </c>
      <c r="E7949" t="inlineStr">
        <is>
          <t>189</t>
        </is>
      </c>
      <c r="F7949" t="inlineStr">
        <is>
          <t>22</t>
        </is>
      </c>
      <c r="G7949" t="inlineStr">
        <is>
          <t>0</t>
        </is>
      </c>
      <c r="H7949" t="inlineStr">
        <is>
          <t>63⁶</t>
        </is>
      </c>
      <c r="I7949" t="n">
        <v>6</v>
      </c>
      <c r="J7949" t="inlineStr">
        <is>
          <t>12²¹, 36¹⁴</t>
        </is>
      </c>
      <c r="K7949">
        <f>HYPERLINK("CSG5.html#group21D5", "21D⁵"), =HYPERLINK("CSG6.html#group63G6", "63G⁶"), =HYPERLINK("CSG9.html#group63D9", "63D⁹")</f>
        <v/>
      </c>
      <c r="L7949" t="inlineStr"/>
      <c r="M7949">
        <f>HYPERLINK("CSG5.html#group21D5", "21D⁵"), =HYPERLINK("CSG9.html#group63D9", "63D⁹"), =HYPERLINK("CSG0.html#group7D0", "7D⁰"), =HYPERLINK("CSG1.html#group21E1", "21E¹"), =HYPERLINK("CSG1.html#group21D1", "21D¹"), =HYPERLINK("CSG0.html#group9A0", "9A⁰"), =HYPERLINK("CSG2.html#group63A2", "63A²"), =HYPERLINK("CSG0.html#group21A0", "21A⁰"), =HYPERLINK("CSG6.html#group63G6", "63G⁶"), =HYPERLINK("CSG0.html#group3A0", "3A⁰"), =HYPERLINK("CSG0.html#group1A0", "1A⁰"), =HYPERLINK("CSG0.html#group7A0", "7A⁰")</f>
        <v/>
      </c>
      <c r="N7949" t="inlineStr"/>
    </row>
    <row r="7950">
      <c r="A7950" t="inlineStr">
        <is>
          <t>63H²⁴</t>
        </is>
      </c>
      <c r="B7950" t="inlineStr"/>
      <c r="C7950" t="inlineStr">
        <is>
          <t>378</t>
        </is>
      </c>
      <c r="D7950" t="inlineStr">
        <is>
          <t>2</t>
        </is>
      </c>
      <c r="E7950" t="inlineStr">
        <is>
          <t>378</t>
        </is>
      </c>
      <c r="F7950" t="inlineStr">
        <is>
          <t>22</t>
        </is>
      </c>
      <c r="G7950" t="inlineStr">
        <is>
          <t>0</t>
        </is>
      </c>
      <c r="H7950" t="inlineStr">
        <is>
          <t>63⁶</t>
        </is>
      </c>
      <c r="I7950" t="n">
        <v>6</v>
      </c>
      <c r="J7950" t="inlineStr">
        <is>
          <t>12⁶, 36⁴⁰</t>
        </is>
      </c>
      <c r="K7950">
        <f>HYPERLINK("CSG6.html#group63F6", "63F⁶"), =HYPERLINK("CSG7.html#group63E7", "63E⁷")</f>
        <v/>
      </c>
      <c r="L7950" t="inlineStr"/>
      <c r="M7950">
        <f>HYPERLINK("CSG6.html#group63F6", "63F⁶"), =HYPERLINK("CSG1.html#group21D1", "21D¹"), =HYPERLINK("CSG0.html#group9A0", "9A⁰"), =HYPERLINK("CSG2.html#group63A2", "63A²"), =HYPERLINK("CSG0.html#group21A0", "21A⁰"), =HYPERLINK("CSG0.html#group7A0", "7A⁰"), =HYPERLINK("CSG0.html#group3A0", "3A⁰"), =HYPERLINK("CSG0.html#group1A0", "1A⁰"), =HYPERLINK("CSG7.html#group63E7", "63E⁷")</f>
        <v/>
      </c>
      <c r="N7950" t="inlineStr"/>
    </row>
    <row r="7951">
      <c r="A7951" t="inlineStr">
        <is>
          <t>63I²⁴</t>
        </is>
      </c>
      <c r="B7951" t="inlineStr"/>
      <c r="C7951" t="inlineStr">
        <is>
          <t>378</t>
        </is>
      </c>
      <c r="D7951" t="inlineStr">
        <is>
          <t>2</t>
        </is>
      </c>
      <c r="E7951" t="inlineStr">
        <is>
          <t>378</t>
        </is>
      </c>
      <c r="F7951" t="inlineStr">
        <is>
          <t>22</t>
        </is>
      </c>
      <c r="G7951" t="inlineStr">
        <is>
          <t>0</t>
        </is>
      </c>
      <c r="H7951" t="inlineStr">
        <is>
          <t>63⁶</t>
        </is>
      </c>
      <c r="I7951" t="n">
        <v>6</v>
      </c>
      <c r="J7951" t="inlineStr">
        <is>
          <t>12⁶, 36⁴⁰</t>
        </is>
      </c>
      <c r="K7951">
        <f>HYPERLINK("CSG6.html#group63G6", "63G⁶"), =HYPERLINK("CSG7.html#group63E7", "63E⁷")</f>
        <v/>
      </c>
      <c r="L7951" t="inlineStr"/>
      <c r="M7951">
        <f>HYPERLINK("CSG1.html#group21D1", "21D¹"), =HYPERLINK("CSG0.html#group9A0", "9A⁰"), =HYPERLINK("CSG2.html#group63A2", "63A²"), =HYPERLINK("CSG0.html#group21A0", "21A⁰"), =HYPERLINK("CSG6.html#group63G6", "63G⁶"), =HYPERLINK("CSG0.html#group7A0", "7A⁰"), =HYPERLINK("CSG0.html#group3A0", "3A⁰"), =HYPERLINK("CSG0.html#group1A0", "1A⁰"), =HYPERLINK("CSG7.html#group63E7", "63E⁷")</f>
        <v/>
      </c>
      <c r="N7951" t="inlineStr"/>
    </row>
    <row r="7952">
      <c r="A7952" t="inlineStr">
        <is>
          <t>66A²⁴</t>
        </is>
      </c>
      <c r="B7952" t="inlineStr"/>
      <c r="C7952" t="inlineStr">
        <is>
          <t>330</t>
        </is>
      </c>
      <c r="D7952" t="inlineStr">
        <is>
          <t>1</t>
        </is>
      </c>
      <c r="E7952" t="inlineStr">
        <is>
          <t>110</t>
        </is>
      </c>
      <c r="F7952" t="inlineStr">
        <is>
          <t>0</t>
        </is>
      </c>
      <c r="G7952" t="inlineStr">
        <is>
          <t>6</t>
        </is>
      </c>
      <c r="H7952" t="inlineStr">
        <is>
          <t>66⁵</t>
        </is>
      </c>
      <c r="I7952" t="n">
        <v>5</v>
      </c>
      <c r="J7952" t="inlineStr">
        <is>
          <t>20¹¹</t>
        </is>
      </c>
      <c r="K7952">
        <f>HYPERLINK("CSG5.html#group22B5", "22B⁵")</f>
        <v/>
      </c>
      <c r="L7952" t="inlineStr"/>
      <c r="M7952">
        <f>HYPERLINK("CSG0.html#group11A0", "11A⁰"), =HYPERLINK("CSG0.html#group2A0", "2A⁰"), =HYPERLINK("CSG0.html#group1A0", "1A⁰"), =HYPERLINK("CSG1.html#group22A1", "22A¹"), =HYPERLINK("CSG1.html#group11B1", "11B¹"), =HYPERLINK("CSG5.html#group22B5", "22B⁵")</f>
        <v/>
      </c>
      <c r="N7952" t="inlineStr"/>
    </row>
    <row r="7953">
      <c r="A7953" t="inlineStr">
        <is>
          <t>66B²⁴</t>
        </is>
      </c>
      <c r="B7953" t="inlineStr"/>
      <c r="C7953" t="inlineStr">
        <is>
          <t>330</t>
        </is>
      </c>
      <c r="D7953" t="inlineStr">
        <is>
          <t>1</t>
        </is>
      </c>
      <c r="E7953" t="inlineStr">
        <is>
          <t>110</t>
        </is>
      </c>
      <c r="F7953" t="inlineStr">
        <is>
          <t>0</t>
        </is>
      </c>
      <c r="G7953" t="inlineStr">
        <is>
          <t>6</t>
        </is>
      </c>
      <c r="H7953" t="inlineStr">
        <is>
          <t>66⁵</t>
        </is>
      </c>
      <c r="I7953" t="n">
        <v>5</v>
      </c>
      <c r="J7953" t="inlineStr">
        <is>
          <t>20¹¹</t>
        </is>
      </c>
      <c r="K7953">
        <f>HYPERLINK("CSG5.html#group22B5", "22B⁵")</f>
        <v/>
      </c>
      <c r="L7953" t="inlineStr"/>
      <c r="M7953">
        <f>HYPERLINK("CSG0.html#group11A0", "11A⁰"), =HYPERLINK("CSG0.html#group2A0", "2A⁰"), =HYPERLINK("CSG0.html#group1A0", "1A⁰"), =HYPERLINK("CSG1.html#group22A1", "22A¹"), =HYPERLINK("CSG1.html#group11B1", "11B¹"), =HYPERLINK("CSG5.html#group22B5", "22B⁵")</f>
        <v/>
      </c>
      <c r="N7953" t="inlineStr"/>
    </row>
    <row r="7954">
      <c r="A7954" t="inlineStr">
        <is>
          <t>70A²⁴</t>
        </is>
      </c>
      <c r="B7954" t="inlineStr"/>
      <c r="C7954" t="inlineStr">
        <is>
          <t>378</t>
        </is>
      </c>
      <c r="D7954" t="inlineStr">
        <is>
          <t>1</t>
        </is>
      </c>
      <c r="E7954" t="inlineStr">
        <is>
          <t>378</t>
        </is>
      </c>
      <c r="F7954" t="inlineStr">
        <is>
          <t>10</t>
        </is>
      </c>
      <c r="G7954" t="inlineStr">
        <is>
          <t>0</t>
        </is>
      </c>
      <c r="H7954" t="inlineStr">
        <is>
          <t>7³, 14³, 35³, 70³</t>
        </is>
      </c>
      <c r="I7954" t="n">
        <v>12</v>
      </c>
      <c r="J7954" t="inlineStr">
        <is>
          <t>3⁶, 6¹⁸, 12³, 24⁹</t>
        </is>
      </c>
      <c r="K7954">
        <f>HYPERLINK("CSG2.html#group14F2", "14F²"), =HYPERLINK("CSG6.html#group35E6", "35E⁶"), =HYPERLINK("CSG8.html#group70B8", "70B⁸")</f>
        <v/>
      </c>
      <c r="L7954" t="inlineStr"/>
      <c r="M7954">
        <f>HYPERLINK("CSG2.html#group35C2", "35C²"), =HYPERLINK("CSG0.html#group7D0", "7D⁰"), =HYPERLINK("CSG1.html#group14B1", "14B¹"), =HYPERLINK("CSG6.html#group35E6", "35E⁶"), =HYPERLINK("CSG0.html#group5B0", "5B⁰"), =HYPERLINK("CSG8.html#group70B8", "70B⁸"), =HYPERLINK("CSG2.html#group14F2", "14F²"), =HYPERLINK("CSG0.html#group10C0", "10C⁰"), =HYPERLINK("CSG0.html#group2B0", "2B⁰"), =HYPERLINK("CSG0.html#group1A0", "1A⁰"), =HYPERLINK("CSG0.html#group7A0", "7A⁰")</f>
        <v/>
      </c>
      <c r="N7954" t="inlineStr"/>
    </row>
    <row r="7955">
      <c r="A7955" t="inlineStr">
        <is>
          <t>72A²⁴</t>
        </is>
      </c>
      <c r="B7955" t="inlineStr"/>
      <c r="C7955" t="inlineStr">
        <is>
          <t>324</t>
        </is>
      </c>
      <c r="D7955" t="inlineStr">
        <is>
          <t>1</t>
        </is>
      </c>
      <c r="E7955" t="inlineStr">
        <is>
          <t>81</t>
        </is>
      </c>
      <c r="F7955" t="inlineStr">
        <is>
          <t>4</t>
        </is>
      </c>
      <c r="G7955" t="inlineStr">
        <is>
          <t>0</t>
        </is>
      </c>
      <c r="H7955" t="inlineStr">
        <is>
          <t>36³, 72³</t>
        </is>
      </c>
      <c r="I7955" t="n">
        <v>6</v>
      </c>
      <c r="J7955" t="inlineStr">
        <is>
          <t>3³, 6¹²</t>
        </is>
      </c>
      <c r="K7955">
        <f>HYPERLINK("CSG8.html#group36L8", "36L⁸"), =HYPERLINK("CSG8.html#group72D8", "72D⁸")</f>
        <v/>
      </c>
      <c r="L7955" t="inlineStr"/>
      <c r="M7955">
        <f>HYPERLINK("CSG0.html#group12C0", "12C⁰"), =HYPERLINK("CSG8.html#group36L8", "36L⁸"), =HYPERLINK("CSG0.html#group9A0", "9A⁰"), =HYPERLINK("CSG2.html#group36B2", "36B²"), =HYPERLINK("CSG0.html#group4C0", "4C⁰"), =HYPERLINK("CSG3.html#group18J3", "18J³"), =HYPERLINK("CSG0.html#group9G0", "9G⁰"), =HYPERLINK("CSG8.html#group72D8", "72D⁸"), =HYPERLINK("CSG0.html#group2B0", "2B⁰"), =HYPERLINK("CSG2.html#group24C2", "24C²"), =HYPERLINK("CSG1.html#group18E1", "18E¹"), =HYPERLINK("CSG0.html#group3A0", "3A⁰"), =HYPERLINK("CSG0.html#group1A0", "1A⁰"), =HYPERLINK("CSG0.html#group6D0", "6D⁰")</f>
        <v/>
      </c>
      <c r="N7955" t="inlineStr"/>
    </row>
    <row r="7956">
      <c r="A7956" t="inlineStr">
        <is>
          <t>72B²⁴</t>
        </is>
      </c>
      <c r="B7956" t="inlineStr"/>
      <c r="C7956" t="inlineStr">
        <is>
          <t>384</t>
        </is>
      </c>
      <c r="D7956" t="inlineStr">
        <is>
          <t>1</t>
        </is>
      </c>
      <c r="E7956" t="inlineStr">
        <is>
          <t>128</t>
        </is>
      </c>
      <c r="F7956" t="inlineStr">
        <is>
          <t>0</t>
        </is>
      </c>
      <c r="G7956" t="inlineStr">
        <is>
          <t>3</t>
        </is>
      </c>
      <c r="H7956" t="inlineStr">
        <is>
          <t>8¹², 72⁴</t>
        </is>
      </c>
      <c r="I7956" t="n">
        <v>16</v>
      </c>
      <c r="J7956" t="inlineStr">
        <is>
          <t>8¹⁶</t>
        </is>
      </c>
      <c r="K7956">
        <f>HYPERLINK("CSG4.html#group36O4", "36O⁴"), =HYPERLINK("CSG7.html#group24E7", "24E⁷")</f>
        <v/>
      </c>
      <c r="L7956" t="inlineStr"/>
      <c r="M7956">
        <f>HYPERLINK("CSG0.html#group18C0", "18C⁰"), =HYPERLINK("CSG0.html#group3B0", "3B⁰"), =HYPERLINK("CSG0.html#group2A0", "2A⁰"), =HYPERLINK("CSG4.html#group24C4", "24C⁴"), =HYPERLINK("CSG0.html#group8F0", "8F⁰"), =HYPERLINK("CSG1.html#group12I1", "12I¹"), =HYPERLINK("CSG0.html#group4A0", "4A⁰"), =HYPERLINK("CSG0.html#group4D0", "4D⁰"), =HYPERLINK("CSG1.html#group12A1", "12A¹"), =HYPERLINK("CSG0.html#group6C0", "6C⁰"), =HYPERLINK("CSG1.html#group8E1", "8E¹"), =HYPERLINK("CSG4.html#group36O4", "36O⁴"), =HYPERLINK("CSG0.html#group1A0", "1A⁰"), =HYPERLINK("CSG7.html#group24E7", "24E⁷")</f>
        <v/>
      </c>
      <c r="N7956" t="inlineStr"/>
    </row>
    <row r="7957">
      <c r="A7957" t="inlineStr">
        <is>
          <t>75A²⁴</t>
        </is>
      </c>
      <c r="B7957" t="inlineStr"/>
      <c r="C7957" t="inlineStr">
        <is>
          <t>300</t>
        </is>
      </c>
      <c r="D7957" t="inlineStr">
        <is>
          <t>1</t>
        </is>
      </c>
      <c r="E7957" t="inlineStr">
        <is>
          <t>10</t>
        </is>
      </c>
      <c r="F7957" t="inlineStr">
        <is>
          <t>0</t>
        </is>
      </c>
      <c r="G7957" t="inlineStr">
        <is>
          <t>0</t>
        </is>
      </c>
      <c r="H7957" t="inlineStr">
        <is>
          <t>75⁴</t>
        </is>
      </c>
      <c r="I7957" t="n">
        <v>4</v>
      </c>
      <c r="J7957" t="inlineStr">
        <is>
          <t>2¹, 4²</t>
        </is>
      </c>
      <c r="K7957">
        <f>HYPERLINK("CSG4.html#group15B4", "15B⁴"), =HYPERLINK("CSG4.html#group25E4", "25E⁴"), =HYPERLINK("CSG11.html#group75A11", "75A¹¹")</f>
        <v/>
      </c>
      <c r="L7957" t="inlineStr"/>
      <c r="M7957">
        <f>HYPERLINK("CSG0.html#group5A0", "5A⁰"), =HYPERLINK("CSG1.html#group15D1", "15D¹"), =HYPERLINK("CSG4.html#group25E4", "25E⁴"), =HYPERLINK("CSG4.html#group15B4", "15B⁴"), =HYPERLINK("CSG0.html#group5C0", "5C⁰"), =HYPERLINK("CSG2.html#group25E2", "25E²"), =HYPERLINK("CSG0.html#group5F0", "5F⁰"), =HYPERLINK("CSG11.html#group75A11", "75A¹¹"), =HYPERLINK("CSG0.html#group3A0", "3A⁰"), =HYPERLINK("CSG0.html#group1A0", "1A⁰"), =HYPERLINK("CSG1.html#group15A1", "15A¹")</f>
        <v/>
      </c>
      <c r="N7957" t="inlineStr"/>
    </row>
    <row r="7958">
      <c r="A7958" t="inlineStr">
        <is>
          <t>75B²⁴</t>
        </is>
      </c>
      <c r="B7958" t="inlineStr"/>
      <c r="C7958" t="inlineStr">
        <is>
          <t>450</t>
        </is>
      </c>
      <c r="D7958" t="inlineStr">
        <is>
          <t>1</t>
        </is>
      </c>
      <c r="E7958" t="inlineStr">
        <is>
          <t>15</t>
        </is>
      </c>
      <c r="F7958" t="inlineStr">
        <is>
          <t>30</t>
        </is>
      </c>
      <c r="G7958" t="inlineStr">
        <is>
          <t>0</t>
        </is>
      </c>
      <c r="H7958" t="inlineStr">
        <is>
          <t>15¹⁰, 75⁴</t>
        </is>
      </c>
      <c r="I7958" t="n">
        <v>14</v>
      </c>
      <c r="J7958" t="inlineStr">
        <is>
          <t>1¹, 2¹, 4³</t>
        </is>
      </c>
      <c r="K7958">
        <f>HYPERLINK("CSG4.html#group15D4", "15D⁴"), =HYPERLINK("CSG4.html#group25F4", "25F⁴"), =HYPERLINK("CSG11.html#group75B11", "75B¹¹")</f>
        <v/>
      </c>
      <c r="L7958" t="inlineStr"/>
      <c r="M7958">
        <f>HYPERLINK("CSG4.html#group25F4", "25F⁴"), =HYPERLINK("CSG0.html#group5A0", "5A⁰"), =HYPERLINK("CSG4.html#group15D4", "15D⁴"), =HYPERLINK("CSG1.html#group15F1", "15F¹"), =HYPERLINK("CSG0.html#group5B0", "5B⁰"), =HYPERLINK("CSG0.html#group1A0", "1A⁰"), =HYPERLINK("CSG11.html#group75B11", "75B¹¹"), =HYPERLINK("CSG2.html#group25F2", "25F²"), =HYPERLINK("CSG1.html#group15D1", "15D¹"), =HYPERLINK("CSG0.html#group15B0", "15B⁰"), =HYPERLINK("CSG0.html#group5E0", "5E⁰"), =HYPERLINK("CSG0.html#group3A0", "3A⁰"), =HYPERLINK("CSG0.html#group5C0", "5C⁰"), =HYPERLINK("CSG0.html#group5G0", "5G⁰"), =HYPERLINK("CSG1.html#group15A1", "15A¹"), =HYPERLINK("CSG0.html#group15A0", "15A⁰")</f>
        <v/>
      </c>
      <c r="N7958" t="inlineStr"/>
    </row>
    <row r="7959">
      <c r="A7959" t="inlineStr">
        <is>
          <t>75C²⁴</t>
        </is>
      </c>
      <c r="B7959" t="inlineStr"/>
      <c r="C7959" t="inlineStr">
        <is>
          <t>450</t>
        </is>
      </c>
      <c r="D7959" t="inlineStr">
        <is>
          <t>1</t>
        </is>
      </c>
      <c r="E7959" t="inlineStr">
        <is>
          <t>30</t>
        </is>
      </c>
      <c r="F7959" t="inlineStr">
        <is>
          <t>30</t>
        </is>
      </c>
      <c r="G7959" t="inlineStr">
        <is>
          <t>0</t>
        </is>
      </c>
      <c r="H7959" t="inlineStr">
        <is>
          <t>3⁵, 15⁴, 75⁵</t>
        </is>
      </c>
      <c r="I7959" t="n">
        <v>14</v>
      </c>
      <c r="J7959" t="inlineStr">
        <is>
          <t>1², 4², 20¹</t>
        </is>
      </c>
      <c r="K7959">
        <f>HYPERLINK("CSG4.html#group25G4", "25G⁴"), =HYPERLINK("CSG4.html#group75A4", "75A⁴")</f>
        <v/>
      </c>
      <c r="L7959" t="inlineStr"/>
      <c r="M7959">
        <f>HYPERLINK("CSG0.html#group25A0", "25A⁰"), =HYPERLINK("CSG0.html#group5B0", "5B⁰"), =HYPERLINK("CSG0.html#group15B0", "15B⁰"), =HYPERLINK("CSG4.html#group75A4", "75A⁴"), =HYPERLINK("CSG0.html#group3A0", "3A⁰"), =HYPERLINK("CSG0.html#group1A0", "1A⁰"), =HYPERLINK("CSG4.html#group25G4", "25G⁴")</f>
        <v/>
      </c>
      <c r="N7959" t="inlineStr"/>
    </row>
    <row r="7960">
      <c r="A7960" t="inlineStr">
        <is>
          <t>76A²⁴</t>
        </is>
      </c>
      <c r="B7960" t="inlineStr"/>
      <c r="C7960" t="inlineStr">
        <is>
          <t>342</t>
        </is>
      </c>
      <c r="D7960" t="inlineStr">
        <is>
          <t>2</t>
        </is>
      </c>
      <c r="E7960" t="inlineStr">
        <is>
          <t>171</t>
        </is>
      </c>
      <c r="F7960" t="inlineStr">
        <is>
          <t>10</t>
        </is>
      </c>
      <c r="G7960" t="inlineStr">
        <is>
          <t>0</t>
        </is>
      </c>
      <c r="H7960" t="inlineStr">
        <is>
          <t>38³, 76³</t>
        </is>
      </c>
      <c r="I7960" t="n">
        <v>6</v>
      </c>
      <c r="J7960" t="inlineStr">
        <is>
          <t>6³, 18¹⁸</t>
        </is>
      </c>
      <c r="K7960">
        <f>HYPERLINK("CSG0.html#group4C0", "4C⁰"), =HYPERLINK("CSG11.html#group38A11", "38A¹¹")</f>
        <v/>
      </c>
      <c r="L7960" t="inlineStr"/>
      <c r="M7960">
        <f>HYPERLINK("CSG0.html#group2B0", "2B⁰"), =HYPERLINK("CSG11.html#group38A11", "38A¹¹"), =HYPERLINK("CSG2.html#group19A2", "19A²"), =HYPERLINK("CSG0.html#group1A0", "1A⁰"), =HYPERLINK("CSG0.html#group4C0", "4C⁰")</f>
        <v/>
      </c>
      <c r="N7960" t="inlineStr"/>
    </row>
    <row r="7961">
      <c r="A7961" t="inlineStr">
        <is>
          <t>78A²⁴</t>
        </is>
      </c>
      <c r="B7961" t="inlineStr"/>
      <c r="C7961" t="inlineStr">
        <is>
          <t>336</t>
        </is>
      </c>
      <c r="D7961" t="inlineStr">
        <is>
          <t>2</t>
        </is>
      </c>
      <c r="E7961" t="inlineStr">
        <is>
          <t>112</t>
        </is>
      </c>
      <c r="F7961" t="inlineStr">
        <is>
          <t>0</t>
        </is>
      </c>
      <c r="G7961" t="inlineStr">
        <is>
          <t>3</t>
        </is>
      </c>
      <c r="H7961" t="inlineStr">
        <is>
          <t>6⁴, 78⁴</t>
        </is>
      </c>
      <c r="I7961" t="n">
        <v>8</v>
      </c>
      <c r="J7961" t="inlineStr">
        <is>
          <t>2¹⁶, 24⁸</t>
        </is>
      </c>
      <c r="K7961">
        <f>HYPERLINK("CSG6.html#group78B6", "78B⁶"), =HYPERLINK("CSG7.html#group78C7", "78C⁷")</f>
        <v/>
      </c>
      <c r="L7961" t="inlineStr"/>
      <c r="M7961">
        <f>HYPERLINK("CSG0.html#group2A0", "2A⁰"), =HYPERLINK("CSG0.html#group3B0", "3B⁰"), =HYPERLINK("CSG1.html#group26A1", "26A¹"), =HYPERLINK("CSG3.html#group39A3", "39A³"), =HYPERLINK("CSG7.html#group78C7", "78C⁷"), =HYPERLINK("CSG0.html#group6C0", "6C⁰"), =HYPERLINK("CSG0.html#group13A0", "13A⁰"), =HYPERLINK("CSG6.html#group78B6", "78B⁶"), =HYPERLINK("CSG0.html#group1A0", "1A⁰")</f>
        <v/>
      </c>
      <c r="N7961" t="inlineStr"/>
    </row>
    <row r="7962">
      <c r="A7962" t="inlineStr">
        <is>
          <t>80A²⁴</t>
        </is>
      </c>
      <c r="B7962" t="inlineStr"/>
      <c r="C7962" t="inlineStr">
        <is>
          <t>360</t>
        </is>
      </c>
      <c r="D7962" t="inlineStr">
        <is>
          <t>1</t>
        </is>
      </c>
      <c r="E7962" t="inlineStr">
        <is>
          <t>45</t>
        </is>
      </c>
      <c r="F7962" t="inlineStr">
        <is>
          <t>16</t>
        </is>
      </c>
      <c r="G7962" t="inlineStr">
        <is>
          <t>0</t>
        </is>
      </c>
      <c r="H7962" t="inlineStr">
        <is>
          <t>40³, 80³</t>
        </is>
      </c>
      <c r="I7962" t="n">
        <v>6</v>
      </c>
      <c r="J7962" t="inlineStr">
        <is>
          <t>1³, 2³, 4⁹</t>
        </is>
      </c>
      <c r="K7962">
        <f>HYPERLINK("CSG10.html#group40C10", "40C¹⁰")</f>
        <v/>
      </c>
      <c r="L7962" t="inlineStr"/>
      <c r="M7962">
        <f>HYPERLINK("CSG0.html#group5A0", "5A⁰"), =HYPERLINK("CSG4.html#group40A4", "40A⁴"), =HYPERLINK("CSG4.html#group20E4", "20E⁴"), =HYPERLINK("CSG1.html#group10I1", "10I¹"), =HYPERLINK("CSG10.html#group40C10", "40C¹⁰"), =HYPERLINK("CSG1.html#group10B1", "10B¹"), =HYPERLINK("CSG2.html#group20B2", "20B²"), =HYPERLINK("CSG0.html#group4C0", "4C⁰"), =HYPERLINK("CSG0.html#group8B0", "8B⁰"), =HYPERLINK("CSG0.html#group5E0", "5E⁰"), =HYPERLINK("CSG0.html#group2B0", "2B⁰"), =HYPERLINK("CSG0.html#group1A0", "1A⁰")</f>
        <v/>
      </c>
      <c r="N7962" t="inlineStr"/>
    </row>
    <row r="7963">
      <c r="A7963" t="inlineStr">
        <is>
          <t>84A²⁴</t>
        </is>
      </c>
      <c r="B7963" t="inlineStr"/>
      <c r="C7963" t="inlineStr">
        <is>
          <t>336</t>
        </is>
      </c>
      <c r="D7963" t="inlineStr">
        <is>
          <t>2</t>
        </is>
      </c>
      <c r="E7963" t="inlineStr">
        <is>
          <t>84</t>
        </is>
      </c>
      <c r="F7963" t="inlineStr">
        <is>
          <t>0</t>
        </is>
      </c>
      <c r="G7963" t="inlineStr">
        <is>
          <t>0</t>
        </is>
      </c>
      <c r="H7963" t="inlineStr">
        <is>
          <t>14⁴, 28¹, 42⁴, 84¹</t>
        </is>
      </c>
      <c r="I7963" t="n">
        <v>10</v>
      </c>
      <c r="J7963" t="inlineStr">
        <is>
          <t>2⁶, 4³, 6¹², 12⁶</t>
        </is>
      </c>
      <c r="K7963">
        <f>HYPERLINK("CSG12.html#group42D12", "42D¹²")</f>
        <v/>
      </c>
      <c r="L7963" t="inlineStr"/>
      <c r="M7963">
        <f>HYPERLINK("CSG0.html#group2A0", "2A⁰"), =HYPERLINK("CSG0.html#group3B0", "3B⁰"), =HYPERLINK("CSG3.html#group14B3", "14B³"), =HYPERLINK("CSG1.html#group14B1", "14B¹"), =HYPERLINK("CSG0.html#group6I0", "6I⁰"), =HYPERLINK("CSG1.html#group14A1", "14A¹"), =HYPERLINK("CSG0.html#group6C0", "6C⁰"), =HYPERLINK("CSG0.html#group2B0", "2B⁰"), =HYPERLINK("CSG0.html#group1A0", "1A⁰"), =HYPERLINK("CSG2.html#group21B2", "21B²"), =HYPERLINK("CSG6.html#group42C6", "42C⁶"), =HYPERLINK("CSG12.html#group42D12", "42D¹²"), =HYPERLINK("CSG4.html#group42E4", "42E⁴"), =HYPERLINK("CSG0.html#group6F0", "6F⁰"), =HYPERLINK("CSG0.html#group2C0", "2C⁰"), =HYPERLINK("CSG0.html#group7A0", "7A⁰")</f>
        <v/>
      </c>
      <c r="N7963" t="inlineStr"/>
    </row>
    <row r="7964">
      <c r="A7964" t="inlineStr">
        <is>
          <t>84B²⁴</t>
        </is>
      </c>
      <c r="B7964" t="inlineStr"/>
      <c r="C7964" t="inlineStr">
        <is>
          <t>336</t>
        </is>
      </c>
      <c r="D7964" t="inlineStr">
        <is>
          <t>2</t>
        </is>
      </c>
      <c r="E7964" t="inlineStr">
        <is>
          <t>84</t>
        </is>
      </c>
      <c r="F7964" t="inlineStr">
        <is>
          <t>0</t>
        </is>
      </c>
      <c r="G7964" t="inlineStr">
        <is>
          <t>0</t>
        </is>
      </c>
      <c r="H7964" t="inlineStr">
        <is>
          <t>14⁴, 28¹, 42⁴, 84¹</t>
        </is>
      </c>
      <c r="I7964" t="n">
        <v>10</v>
      </c>
      <c r="J7964" t="inlineStr">
        <is>
          <t>2⁶, 4³, 6¹², 12⁶</t>
        </is>
      </c>
      <c r="K7964">
        <f>HYPERLINK("CSG0.html#group12I0", "12I⁰"), =HYPERLINK("CSG12.html#group42D12", "42D¹²")</f>
        <v/>
      </c>
      <c r="L7964" t="inlineStr"/>
      <c r="M7964">
        <f>HYPERLINK("CSG0.html#group2A0", "2A⁰"), =HYPERLINK("CSG0.html#group3B0", "3B⁰"), =HYPERLINK("CSG3.html#group14B3", "14B³"), =HYPERLINK("CSG1.html#group14B1", "14B¹"), =HYPERLINK("CSG0.html#group6I0", "6I⁰"), =HYPERLINK("CSG1.html#group14A1", "14A¹"), =HYPERLINK("CSG0.html#group12I0", "12I⁰"), =HYPERLINK("CSG0.html#group6C0", "6C⁰"), =HYPERLINK("CSG0.html#group2B0", "2B⁰"), =HYPERLINK("CSG0.html#group1A0", "1A⁰"), =HYPERLINK("CSG2.html#group21B2", "21B²"), =HYPERLINK("CSG6.html#group42C6", "42C⁶"), =HYPERLINK("CSG12.html#group42D12", "42D¹²"), =HYPERLINK("CSG4.html#group42E4", "42E⁴"), =HYPERLINK("CSG0.html#group6F0", "6F⁰"), =HYPERLINK("CSG0.html#group2C0", "2C⁰"), =HYPERLINK("CSG0.html#group7A0", "7A⁰")</f>
        <v/>
      </c>
      <c r="N7964" t="inlineStr"/>
    </row>
    <row r="7965">
      <c r="A7965" t="inlineStr">
        <is>
          <t>84C²⁴</t>
        </is>
      </c>
      <c r="B7965" t="inlineStr"/>
      <c r="C7965" t="inlineStr">
        <is>
          <t>336</t>
        </is>
      </c>
      <c r="D7965" t="inlineStr">
        <is>
          <t>2</t>
        </is>
      </c>
      <c r="E7965" t="inlineStr">
        <is>
          <t>168</t>
        </is>
      </c>
      <c r="F7965" t="inlineStr">
        <is>
          <t>0</t>
        </is>
      </c>
      <c r="G7965" t="inlineStr">
        <is>
          <t>0</t>
        </is>
      </c>
      <c r="H7965" t="inlineStr">
        <is>
          <t>7², 14¹, 21², 28², 42¹, 84²</t>
        </is>
      </c>
      <c r="I7965" t="n">
        <v>10</v>
      </c>
      <c r="J7965" t="inlineStr">
        <is>
          <t>2⁸, 4⁶, 6¹⁶, 8¹, 12¹², 24²</t>
        </is>
      </c>
      <c r="K7965">
        <f>HYPERLINK("CSG12.html#group84B12", "84B¹²")</f>
        <v/>
      </c>
      <c r="L7965" t="inlineStr"/>
      <c r="M7965">
        <f>HYPERLINK("CSG0.html#group3B0", "3B⁰"), =HYPERLINK("CSG12.html#group84B12", "84B¹²"), =HYPERLINK("CSG2.html#group21B2", "21B²"), =HYPERLINK("CSG1.html#group14B1", "14B¹"), =HYPERLINK("CSG6.html#group42C6", "42C⁶"), =HYPERLINK("CSG3.html#group28A3", "28A³"), =HYPERLINK("CSG0.html#group1A0", "1A⁰"), =HYPERLINK("CSG0.html#group2B0", "2B⁰"), =HYPERLINK("CSG0.html#group4B0", "4B⁰"), =HYPERLINK("CSG0.html#group6F0", "6F⁰"), =HYPERLINK("CSG0.html#group12E0", "12E⁰"), =HYPERLINK("CSG0.html#group7A0", "7A⁰")</f>
        <v/>
      </c>
      <c r="N7965" t="inlineStr"/>
    </row>
    <row r="7966">
      <c r="A7966" t="inlineStr">
        <is>
          <t>84D²⁴</t>
        </is>
      </c>
      <c r="B7966" t="inlineStr"/>
      <c r="C7966" t="inlineStr">
        <is>
          <t>336</t>
        </is>
      </c>
      <c r="D7966" t="inlineStr">
        <is>
          <t>2</t>
        </is>
      </c>
      <c r="E7966" t="inlineStr">
        <is>
          <t>168</t>
        </is>
      </c>
      <c r="F7966" t="inlineStr">
        <is>
          <t>0</t>
        </is>
      </c>
      <c r="G7966" t="inlineStr">
        <is>
          <t>0</t>
        </is>
      </c>
      <c r="H7966" t="inlineStr">
        <is>
          <t>7², 14¹, 21², 28², 42¹, 84²</t>
        </is>
      </c>
      <c r="I7966" t="n">
        <v>10</v>
      </c>
      <c r="J7966" t="inlineStr">
        <is>
          <t>2⁸, 4⁶, 6¹⁶, 8¹, 12¹², 24²</t>
        </is>
      </c>
      <c r="K7966">
        <f>HYPERLINK("CSG0.html#group12J0", "12J⁰"), =HYPERLINK("CSG12.html#group84B12", "84B¹²")</f>
        <v/>
      </c>
      <c r="L7966" t="inlineStr"/>
      <c r="M7966">
        <f>HYPERLINK("CSG0.html#group3B0", "3B⁰"), =HYPERLINK("CSG12.html#group84B12", "84B¹²"), =HYPERLINK("CSG1.html#group14B1", "14B¹"), =HYPERLINK("CSG0.html#group12J0", "12J⁰"), =HYPERLINK("CSG3.html#group28A3", "28A³"), =HYPERLINK("CSG0.html#group2B0", "2B⁰"), =HYPERLINK("CSG0.html#group4B0", "4B⁰"), =HYPERLINK("CSG0.html#group1A0", "1A⁰"), =HYPERLINK("CSG2.html#group21B2", "21B²"), =HYPERLINK("CSG6.html#group42C6", "42C⁶"), =HYPERLINK("CSG0.html#group6F0", "6F⁰"), =HYPERLINK("CSG0.html#group12E0", "12E⁰"), =HYPERLINK("CSG0.html#group7A0", "7A⁰")</f>
        <v/>
      </c>
      <c r="N7966" t="inlineStr"/>
    </row>
    <row r="7967">
      <c r="A7967" t="inlineStr">
        <is>
          <t>84E²⁴</t>
        </is>
      </c>
      <c r="B7967" t="inlineStr"/>
      <c r="C7967" t="inlineStr">
        <is>
          <t>378</t>
        </is>
      </c>
      <c r="D7967" t="inlineStr">
        <is>
          <t>2</t>
        </is>
      </c>
      <c r="E7967" t="inlineStr">
        <is>
          <t>189</t>
        </is>
      </c>
      <c r="F7967" t="inlineStr">
        <is>
          <t>16</t>
        </is>
      </c>
      <c r="G7967" t="inlineStr">
        <is>
          <t>0</t>
        </is>
      </c>
      <c r="H7967" t="inlineStr">
        <is>
          <t>21⁶, 84³</t>
        </is>
      </c>
      <c r="I7967" t="n">
        <v>9</v>
      </c>
      <c r="J7967" t="inlineStr">
        <is>
          <t>6²¹, 12²¹</t>
        </is>
      </c>
      <c r="K7967">
        <f>HYPERLINK("CSG8.html#group84F8", "84F⁸"), =HYPERLINK("CSG10.html#group42K10", "42K¹⁰")</f>
        <v/>
      </c>
      <c r="L7967" t="inlineStr"/>
      <c r="M7967">
        <f>HYPERLINK("CSG0.html#group7D0", "7D⁰"), =HYPERLINK("CSG1.html#group14B1", "14B¹"), =HYPERLINK("CSG1.html#group21E1", "21E¹"), =HYPERLINK("CSG10.html#group42K10", "42K¹⁰"), =HYPERLINK("CSG0.html#group21A0", "21A⁰"), =HYPERLINK("CSG2.html#group14F2", "14F²"), =HYPERLINK("CSG0.html#group2B0", "2B⁰"), =HYPERLINK("CSG8.html#group84F8", "84F⁸"), =HYPERLINK("CSG0.html#group3A0", "3A⁰"), =HYPERLINK("CSG0.html#group1A0", "1A⁰"), =HYPERLINK("CSG3.html#group42C3", "42C³"), =HYPERLINK("CSG0.html#group6D0", "6D⁰"), =HYPERLINK("CSG0.html#group7A0", "7A⁰")</f>
        <v/>
      </c>
      <c r="N7967" t="inlineStr"/>
    </row>
    <row r="7968">
      <c r="A7968" t="inlineStr">
        <is>
          <t>88A²⁴</t>
        </is>
      </c>
      <c r="B7968" t="inlineStr"/>
      <c r="C7968" t="inlineStr">
        <is>
          <t>352</t>
        </is>
      </c>
      <c r="D7968" t="inlineStr">
        <is>
          <t>2</t>
        </is>
      </c>
      <c r="E7968" t="inlineStr">
        <is>
          <t>176</t>
        </is>
      </c>
      <c r="F7968" t="inlineStr">
        <is>
          <t>12</t>
        </is>
      </c>
      <c r="G7968" t="inlineStr">
        <is>
          <t>4</t>
        </is>
      </c>
      <c r="H7968" t="inlineStr">
        <is>
          <t>88⁴</t>
        </is>
      </c>
      <c r="I7968" t="n">
        <v>4</v>
      </c>
      <c r="J7968" t="inlineStr">
        <is>
          <t>8⁸, 40¹⁶</t>
        </is>
      </c>
      <c r="K7968">
        <f>HYPERLINK("CSG0.html#group8M0", "8M⁰"), =HYPERLINK("CSG5.html#group88A5", "88A⁵"), =HYPERLINK("CSG11.html#group88D11", "88D¹¹")</f>
        <v/>
      </c>
      <c r="L7968" t="inlineStr"/>
      <c r="M7968">
        <f>HYPERLINK("CSG0.html#group11A0", "11A⁰"), =HYPERLINK("CSG0.html#group8F0", "8F⁰"), =HYPERLINK("CSG2.html#group44A2", "44A²"), =HYPERLINK("CSG0.html#group4A0", "4A⁰"), =HYPERLINK("CSG0.html#group8A0", "8A⁰"), =HYPERLINK("CSG11.html#group88D11", "88D¹¹"), =HYPERLINK("CSG5.html#group88A5", "88A⁵"), =HYPERLINK("CSG0.html#group8M0", "8M⁰"), =HYPERLINK("CSG0.html#group1A0", "1A⁰")</f>
        <v/>
      </c>
      <c r="N7968" t="inlineStr"/>
    </row>
    <row r="7969">
      <c r="A7969" t="inlineStr">
        <is>
          <t>88B²⁴</t>
        </is>
      </c>
      <c r="B7969" t="inlineStr"/>
      <c r="C7969" t="inlineStr">
        <is>
          <t>352</t>
        </is>
      </c>
      <c r="D7969" t="inlineStr">
        <is>
          <t>2</t>
        </is>
      </c>
      <c r="E7969" t="inlineStr">
        <is>
          <t>176</t>
        </is>
      </c>
      <c r="F7969" t="inlineStr">
        <is>
          <t>12</t>
        </is>
      </c>
      <c r="G7969" t="inlineStr">
        <is>
          <t>4</t>
        </is>
      </c>
      <c r="H7969" t="inlineStr">
        <is>
          <t>88⁴</t>
        </is>
      </c>
      <c r="I7969" t="n">
        <v>4</v>
      </c>
      <c r="J7969" t="inlineStr">
        <is>
          <t>8⁸, 40¹⁶</t>
        </is>
      </c>
      <c r="K7969">
        <f>HYPERLINK("CSG0.html#group8M0", "8M⁰"), =HYPERLINK("CSG5.html#group88B5", "88B⁵"), =HYPERLINK("CSG11.html#group88D11", "88D¹¹")</f>
        <v/>
      </c>
      <c r="L7969" t="inlineStr"/>
      <c r="M7969">
        <f>HYPERLINK("CSG0.html#group11A0", "11A⁰"), =HYPERLINK("CSG0.html#group8F0", "8F⁰"), =HYPERLINK("CSG2.html#group44A2", "44A²"), =HYPERLINK("CSG0.html#group4A0", "4A⁰"), =HYPERLINK("CSG0.html#group8A0", "8A⁰"), =HYPERLINK("CSG5.html#group88B5", "88B⁵"), =HYPERLINK("CSG11.html#group88D11", "88D¹¹"), =HYPERLINK("CSG0.html#group8M0", "8M⁰"), =HYPERLINK("CSG0.html#group1A0", "1A⁰")</f>
        <v/>
      </c>
      <c r="N7969" t="inlineStr"/>
    </row>
    <row r="7970">
      <c r="A7970" t="inlineStr">
        <is>
          <t>90A²⁴</t>
        </is>
      </c>
      <c r="B7970" t="inlineStr"/>
      <c r="C7970" t="inlineStr">
        <is>
          <t>324</t>
        </is>
      </c>
      <c r="D7970" t="inlineStr">
        <is>
          <t>1</t>
        </is>
      </c>
      <c r="E7970" t="inlineStr">
        <is>
          <t>162</t>
        </is>
      </c>
      <c r="F7970" t="inlineStr">
        <is>
          <t>0</t>
        </is>
      </c>
      <c r="G7970" t="inlineStr">
        <is>
          <t>0</t>
        </is>
      </c>
      <c r="H7970" t="inlineStr">
        <is>
          <t>9², 18², 45², 90²</t>
        </is>
      </c>
      <c r="I7970" t="n">
        <v>8</v>
      </c>
      <c r="J7970" t="inlineStr">
        <is>
          <t>1⁶, 2⁶, 4³, 6⁶, 8³, 24³</t>
        </is>
      </c>
      <c r="K7970">
        <f>HYPERLINK("CSG6.html#group30C6", "30C⁶"), =HYPERLINK("CSG8.html#group45A8", "45A⁸"), =HYPERLINK("CSG10.html#group90E10", "90E¹⁰")</f>
        <v/>
      </c>
      <c r="L7970" t="inlineStr"/>
      <c r="M7970">
        <f>HYPERLINK("CSG2.html#group45A2", "45A²"), =HYPERLINK("CSG8.html#group45A8", "45A⁸"), =HYPERLINK("CSG6.html#group30C6", "30C⁶"), =HYPERLINK("CSG10.html#group90E10", "90E¹⁰"), =HYPERLINK("CSG0.html#group5B0", "5B⁰"), =HYPERLINK("CSG0.html#group5D0", "5D⁰"), =HYPERLINK("CSG0.html#group2B0", "2B⁰"), =HYPERLINK("CSG0.html#group1A0", "1A⁰"), =HYPERLINK("CSG0.html#group10F0", "10F⁰"), =HYPERLINK("CSG0.html#group15B0", "15B⁰"), =HYPERLINK("CSG2.html#group30E2", "30E²"), =HYPERLINK("CSG0.html#group9A0", "9A⁰"), =HYPERLINK("CSG2.html#group15B2", "15B²"), =HYPERLINK("CSG0.html#group10C0", "10C⁰"), =HYPERLINK("CSG1.html#group18E1", "18E¹"), =HYPERLINK("CSG0.html#group3A0", "3A⁰"), =HYPERLINK("CSG0.html#group6D0", "6D⁰")</f>
        <v/>
      </c>
      <c r="N7970" t="inlineStr"/>
    </row>
    <row r="7971">
      <c r="A7971" t="inlineStr">
        <is>
          <t>90B²⁴</t>
        </is>
      </c>
      <c r="B7971" t="inlineStr"/>
      <c r="C7971" t="inlineStr">
        <is>
          <t>324</t>
        </is>
      </c>
      <c r="D7971" t="inlineStr">
        <is>
          <t>1</t>
        </is>
      </c>
      <c r="E7971" t="inlineStr">
        <is>
          <t>162</t>
        </is>
      </c>
      <c r="F7971" t="inlineStr">
        <is>
          <t>4</t>
        </is>
      </c>
      <c r="G7971" t="inlineStr">
        <is>
          <t>0</t>
        </is>
      </c>
      <c r="H7971" t="inlineStr">
        <is>
          <t>18³, 90³</t>
        </is>
      </c>
      <c r="I7971" t="n">
        <v>6</v>
      </c>
      <c r="J7971" t="inlineStr">
        <is>
          <t>3², 6⁸, 12¹, 24⁴</t>
        </is>
      </c>
      <c r="K7971">
        <f>HYPERLINK("CSG8.html#group45D8", "45D⁸"), =HYPERLINK("CSG8.html#group90B8", "90B⁸")</f>
        <v/>
      </c>
      <c r="L7971" t="inlineStr"/>
      <c r="M7971">
        <f>HYPERLINK("CSG2.html#group45A2", "45A²"), =HYPERLINK("CSG8.html#group90B8", "90B⁸"), =HYPERLINK("CSG0.html#group15B0", "15B⁰"), =HYPERLINK("CSG8.html#group45D8", "45D⁸"), =HYPERLINK("CSG0.html#group9A0", "9A⁰"), =HYPERLINK("CSG0.html#group9G0", "9G⁰"), =HYPERLINK("CSG0.html#group5B0", "5B⁰"), =HYPERLINK("CSG0.html#group3A0", "3A⁰"), =HYPERLINK("CSG0.html#group1A0", "1A⁰"), =HYPERLINK("CSG2.html#group30C2", "30C²")</f>
        <v/>
      </c>
      <c r="N7971" t="inlineStr"/>
    </row>
    <row r="7972">
      <c r="A7972" t="inlineStr">
        <is>
          <t>90C²⁴</t>
        </is>
      </c>
      <c r="B7972" t="inlineStr"/>
      <c r="C7972" t="inlineStr">
        <is>
          <t>324</t>
        </is>
      </c>
      <c r="D7972" t="inlineStr">
        <is>
          <t>2</t>
        </is>
      </c>
      <c r="E7972" t="inlineStr">
        <is>
          <t>162</t>
        </is>
      </c>
      <c r="F7972" t="inlineStr">
        <is>
          <t>4</t>
        </is>
      </c>
      <c r="G7972" t="inlineStr">
        <is>
          <t>0</t>
        </is>
      </c>
      <c r="H7972" t="inlineStr">
        <is>
          <t>18³, 90³</t>
        </is>
      </c>
      <c r="I7972" t="n">
        <v>6</v>
      </c>
      <c r="J7972" t="inlineStr">
        <is>
          <t>2¹⁸, 6¹², 8⁹, 24⁶</t>
        </is>
      </c>
      <c r="K7972">
        <f>HYPERLINK("CSG6.html#group30D6", "30D⁶"), =HYPERLINK("CSG8.html#group90B8", "90B⁸"), =HYPERLINK("CSG10.html#group90E10", "90E¹⁰")</f>
        <v/>
      </c>
      <c r="L7972" t="inlineStr"/>
      <c r="M7972">
        <f>HYPERLINK("CSG2.html#group45A2", "45A²"), =HYPERLINK("CSG8.html#group90B8", "90B⁸"), =HYPERLINK("CSG0.html#group15B0", "15B⁰"), =HYPERLINK("CSG6.html#group30D6", "30D⁶"), =HYPERLINK("CSG2.html#group30E2", "30E²"), =HYPERLINK("CSG0.html#group9A0", "9A⁰"), =HYPERLINK("CSG10.html#group90E10", "90E¹⁰"), =HYPERLINK("CSG0.html#group5B0", "5B⁰"), =HYPERLINK("CSG0.html#group10C0", "10C⁰"), =HYPERLINK("CSG0.html#group2B0", "2B⁰"), =HYPERLINK("CSG1.html#group18E1", "18E¹"), =HYPERLINK("CSG0.html#group3A0", "3A⁰"), =HYPERLINK("CSG0.html#group1A0", "1A⁰"), =HYPERLINK("CSG0.html#group6D0", "6D⁰"), =HYPERLINK("CSG2.html#group30C2", "30C²")</f>
        <v/>
      </c>
      <c r="N7972" t="inlineStr"/>
    </row>
    <row r="7973">
      <c r="A7973" t="inlineStr">
        <is>
          <t>90D²⁴</t>
        </is>
      </c>
      <c r="B7973" t="inlineStr"/>
      <c r="C7973" t="inlineStr">
        <is>
          <t>360</t>
        </is>
      </c>
      <c r="D7973" t="inlineStr">
        <is>
          <t>1</t>
        </is>
      </c>
      <c r="E7973" t="inlineStr">
        <is>
          <t>60</t>
        </is>
      </c>
      <c r="F7973" t="inlineStr">
        <is>
          <t>0</t>
        </is>
      </c>
      <c r="G7973" t="inlineStr">
        <is>
          <t>12</t>
        </is>
      </c>
      <c r="H7973" t="inlineStr">
        <is>
          <t>30³, 90³</t>
        </is>
      </c>
      <c r="I7973" t="n">
        <v>6</v>
      </c>
      <c r="J7973" t="inlineStr">
        <is>
          <t>1², 2², 4², 6¹, 8², 24¹</t>
        </is>
      </c>
      <c r="K7973">
        <f>HYPERLINK("CSG2.html#group18N2", "18N²"), =HYPERLINK("CSG6.html#group90C6", "90C⁶"), =HYPERLINK("CSG11.html#group45B11", "45B¹¹")</f>
        <v/>
      </c>
      <c r="L7973" t="inlineStr"/>
      <c r="M7973">
        <f>HYPERLINK("CSG0.html#group3B0", "3B⁰"), =HYPERLINK("CSG0.html#group2A0", "2A⁰"), =HYPERLINK("CSG0.html#group5A0", "5A⁰"), =HYPERLINK("CSG3.html#group45B3", "45B³"), =HYPERLINK("CSG0.html#group10A0", "10A⁰"), =HYPERLINK("CSG0.html#group9J0", "9J⁰"), =HYPERLINK("CSG6.html#group90C6", "90C⁶"), =HYPERLINK("CSG0.html#group18B0", "18B⁰"), =HYPERLINK("CSG11.html#group45B11", "45B¹¹"), =HYPERLINK("CSG2.html#group18N2", "18N²"), =HYPERLINK("CSG2.html#group30D2", "30D²"), =HYPERLINK("CSG0.html#group6C0", "6C⁰"), =HYPERLINK("CSG1.html#group15B1", "15B¹"), =HYPERLINK("CSG0.html#group9C0", "9C⁰"), =HYPERLINK("CSG0.html#group1A0", "1A⁰")</f>
        <v/>
      </c>
      <c r="N7973" t="inlineStr"/>
    </row>
    <row r="7974">
      <c r="A7974" t="inlineStr">
        <is>
          <t>90E²⁴</t>
        </is>
      </c>
      <c r="B7974" t="inlineStr"/>
      <c r="C7974" t="inlineStr">
        <is>
          <t>360</t>
        </is>
      </c>
      <c r="D7974" t="inlineStr">
        <is>
          <t>1</t>
        </is>
      </c>
      <c r="E7974" t="inlineStr">
        <is>
          <t>60</t>
        </is>
      </c>
      <c r="F7974" t="inlineStr">
        <is>
          <t>0</t>
        </is>
      </c>
      <c r="G7974" t="inlineStr">
        <is>
          <t>12</t>
        </is>
      </c>
      <c r="H7974" t="inlineStr">
        <is>
          <t>30³, 90³</t>
        </is>
      </c>
      <c r="I7974" t="n">
        <v>6</v>
      </c>
      <c r="J7974" t="inlineStr">
        <is>
          <t>2², 4⁶, 8⁴, 12¹, 24²</t>
        </is>
      </c>
      <c r="K7974">
        <f>HYPERLINK("CSG6.html#group90C6", "90C⁶"), =HYPERLINK("CSG11.html#group45C11", "45C¹¹")</f>
        <v/>
      </c>
      <c r="L7974" t="inlineStr"/>
      <c r="M7974">
        <f>HYPERLINK("CSG0.html#group3B0", "3B⁰"), =HYPERLINK("CSG0.html#group2A0", "2A⁰"), =HYPERLINK("CSG0.html#group5A0", "5A⁰"), =HYPERLINK("CSG0.html#group18B0", "18B⁰"), =HYPERLINK("CSG2.html#group30D2", "30D²"), =HYPERLINK("CSG0.html#group6C0", "6C⁰"), =HYPERLINK("CSG0.html#group9C0", "9C⁰"), =HYPERLINK("CSG0.html#group1A0", "1A⁰"), =HYPERLINK("CSG3.html#group45B3", "45B³"), =HYPERLINK("CSG0.html#group10A0", "10A⁰"), =HYPERLINK("CSG11.html#group45C11", "45C¹¹"), =HYPERLINK("CSG6.html#group90C6", "90C⁶"), =HYPERLINK("CSG1.html#group15B1", "15B¹")</f>
        <v/>
      </c>
      <c r="N7974" t="inlineStr"/>
    </row>
    <row r="7975">
      <c r="A7975" t="inlineStr">
        <is>
          <t>90F²⁴</t>
        </is>
      </c>
      <c r="B7975" t="inlineStr"/>
      <c r="C7975" t="inlineStr">
        <is>
          <t>360</t>
        </is>
      </c>
      <c r="D7975" t="inlineStr">
        <is>
          <t>1</t>
        </is>
      </c>
      <c r="E7975" t="inlineStr">
        <is>
          <t>60</t>
        </is>
      </c>
      <c r="F7975" t="inlineStr">
        <is>
          <t>0</t>
        </is>
      </c>
      <c r="G7975" t="inlineStr">
        <is>
          <t>12</t>
        </is>
      </c>
      <c r="H7975" t="inlineStr">
        <is>
          <t>30³, 90³</t>
        </is>
      </c>
      <c r="I7975" t="n">
        <v>6</v>
      </c>
      <c r="J7975" t="inlineStr">
        <is>
          <t>2², 4⁶, 8⁴, 12¹, 24²</t>
        </is>
      </c>
      <c r="K7975">
        <f>HYPERLINK("CSG6.html#group90C6", "90C⁶"), =HYPERLINK("CSG11.html#group45D11", "45D¹¹")</f>
        <v/>
      </c>
      <c r="L7975" t="inlineStr"/>
      <c r="M7975">
        <f>HYPERLINK("CSG0.html#group3B0", "3B⁰"), =HYPERLINK("CSG0.html#group2A0", "2A⁰"), =HYPERLINK("CSG0.html#group5A0", "5A⁰"), =HYPERLINK("CSG3.html#group45B3", "45B³"), =HYPERLINK("CSG0.html#group10A0", "10A⁰"), =HYPERLINK("CSG6.html#group90C6", "90C⁶"), =HYPERLINK("CSG0.html#group18B0", "18B⁰"), =HYPERLINK("CSG11.html#group45D11", "45D¹¹"), =HYPERLINK("CSG2.html#group30D2", "30D²"), =HYPERLINK("CSG0.html#group6C0", "6C⁰"), =HYPERLINK("CSG1.html#group15B1", "15B¹"), =HYPERLINK("CSG0.html#group9C0", "9C⁰"), =HYPERLINK("CSG0.html#group1A0", "1A⁰")</f>
        <v/>
      </c>
      <c r="N7975" t="inlineStr"/>
    </row>
    <row r="7976">
      <c r="A7976" t="inlineStr">
        <is>
          <t>90G²⁴</t>
        </is>
      </c>
      <c r="B7976" t="inlineStr"/>
      <c r="C7976" t="inlineStr">
        <is>
          <t>360</t>
        </is>
      </c>
      <c r="D7976" t="inlineStr">
        <is>
          <t>1</t>
        </is>
      </c>
      <c r="E7976" t="inlineStr">
        <is>
          <t>120</t>
        </is>
      </c>
      <c r="F7976" t="inlineStr">
        <is>
          <t>0</t>
        </is>
      </c>
      <c r="G7976" t="inlineStr">
        <is>
          <t>12</t>
        </is>
      </c>
      <c r="H7976" t="inlineStr">
        <is>
          <t>30³, 90³</t>
        </is>
      </c>
      <c r="I7976" t="n">
        <v>6</v>
      </c>
      <c r="J7976" t="inlineStr">
        <is>
          <t>1⁴, 2⁴, 4⁴, 6², 8⁴, 24²</t>
        </is>
      </c>
      <c r="K7976">
        <f>HYPERLINK("CSG2.html#group18O2", "18O²"), =HYPERLINK("CSG6.html#group90C6", "90C⁶")</f>
        <v/>
      </c>
      <c r="L7976" t="inlineStr"/>
      <c r="M7976">
        <f>HYPERLINK("CSG0.html#group3B0", "3B⁰"), =HYPERLINK("CSG0.html#group2A0", "2A⁰"), =HYPERLINK("CSG0.html#group5A0", "5A⁰"), =HYPERLINK("CSG3.html#group45B3", "45B³"), =HYPERLINK("CSG0.html#group10A0", "10A⁰"), =HYPERLINK("CSG6.html#group90C6", "90C⁶"), =HYPERLINK("CSG0.html#group18B0", "18B⁰"), =HYPERLINK("CSG2.html#group30D2", "30D²"), =HYPERLINK("CSG0.html#group6C0", "6C⁰"), =HYPERLINK("CSG0.html#group9C0", "9C⁰"), =HYPERLINK("CSG1.html#group15B1", "15B¹"), =HYPERLINK("CSG2.html#group18O2", "18O²"), =HYPERLINK("CSG0.html#group1A0", "1A⁰")</f>
        <v/>
      </c>
      <c r="N7976" t="inlineStr"/>
    </row>
    <row r="7977">
      <c r="A7977" t="inlineStr">
        <is>
          <t>90H²⁴</t>
        </is>
      </c>
      <c r="B7977" t="inlineStr"/>
      <c r="C7977" t="inlineStr">
        <is>
          <t>360</t>
        </is>
      </c>
      <c r="D7977" t="inlineStr">
        <is>
          <t>1</t>
        </is>
      </c>
      <c r="E7977" t="inlineStr">
        <is>
          <t>120</t>
        </is>
      </c>
      <c r="F7977" t="inlineStr">
        <is>
          <t>0</t>
        </is>
      </c>
      <c r="G7977" t="inlineStr">
        <is>
          <t>12</t>
        </is>
      </c>
      <c r="H7977" t="inlineStr">
        <is>
          <t>30³, 90³</t>
        </is>
      </c>
      <c r="I7977" t="n">
        <v>6</v>
      </c>
      <c r="J7977" t="inlineStr">
        <is>
          <t>2⁴, 4¹², 8⁸, 12², 24⁴</t>
        </is>
      </c>
      <c r="K7977">
        <f>HYPERLINK("CSG6.html#group90C6", "90C⁶")</f>
        <v/>
      </c>
      <c r="L7977" t="inlineStr"/>
      <c r="M7977">
        <f>HYPERLINK("CSG0.html#group3B0", "3B⁰"), =HYPERLINK("CSG0.html#group2A0", "2A⁰"), =HYPERLINK("CSG0.html#group5A0", "5A⁰"), =HYPERLINK("CSG3.html#group45B3", "45B³"), =HYPERLINK("CSG0.html#group10A0", "10A⁰"), =HYPERLINK("CSG6.html#group90C6", "90C⁶"), =HYPERLINK("CSG0.html#group18B0", "18B⁰"), =HYPERLINK("CSG2.html#group30D2", "30D²"), =HYPERLINK("CSG0.html#group6C0", "6C⁰"), =HYPERLINK("CSG1.html#group15B1", "15B¹"), =HYPERLINK("CSG0.html#group9C0", "9C⁰"), =HYPERLINK("CSG0.html#group1A0", "1A⁰")</f>
        <v/>
      </c>
      <c r="N7977" t="inlineStr"/>
    </row>
    <row r="7978">
      <c r="A7978" t="inlineStr">
        <is>
          <t>90I²⁴</t>
        </is>
      </c>
      <c r="B7978" t="inlineStr"/>
      <c r="C7978" t="inlineStr">
        <is>
          <t>360</t>
        </is>
      </c>
      <c r="D7978" t="inlineStr">
        <is>
          <t>1</t>
        </is>
      </c>
      <c r="E7978" t="inlineStr">
        <is>
          <t>120</t>
        </is>
      </c>
      <c r="F7978" t="inlineStr">
        <is>
          <t>0</t>
        </is>
      </c>
      <c r="G7978" t="inlineStr">
        <is>
          <t>12</t>
        </is>
      </c>
      <c r="H7978" t="inlineStr">
        <is>
          <t>30³, 90³</t>
        </is>
      </c>
      <c r="I7978" t="n">
        <v>6</v>
      </c>
      <c r="J7978" t="inlineStr">
        <is>
          <t>2⁴, 4¹², 8⁸, 12², 24⁴</t>
        </is>
      </c>
      <c r="K7978">
        <f>HYPERLINK("CSG6.html#group90C6", "90C⁶")</f>
        <v/>
      </c>
      <c r="L7978" t="inlineStr"/>
      <c r="M7978">
        <f>HYPERLINK("CSG0.html#group3B0", "3B⁰"), =HYPERLINK("CSG0.html#group2A0", "2A⁰"), =HYPERLINK("CSG0.html#group5A0", "5A⁰"), =HYPERLINK("CSG3.html#group45B3", "45B³"), =HYPERLINK("CSG0.html#group10A0", "10A⁰"), =HYPERLINK("CSG6.html#group90C6", "90C⁶"), =HYPERLINK("CSG0.html#group18B0", "18B⁰"), =HYPERLINK("CSG2.html#group30D2", "30D²"), =HYPERLINK("CSG0.html#group6C0", "6C⁰"), =HYPERLINK("CSG1.html#group15B1", "15B¹"), =HYPERLINK("CSG0.html#group9C0", "9C⁰"), =HYPERLINK("CSG0.html#group1A0", "1A⁰")</f>
        <v/>
      </c>
      <c r="N7978" t="inlineStr"/>
    </row>
    <row r="7979">
      <c r="A7979" t="inlineStr">
        <is>
          <t>95A²⁴</t>
        </is>
      </c>
      <c r="B7979" t="inlineStr"/>
      <c r="C7979" t="inlineStr">
        <is>
          <t>342</t>
        </is>
      </c>
      <c r="D7979" t="inlineStr">
        <is>
          <t>2</t>
        </is>
      </c>
      <c r="E7979" t="inlineStr">
        <is>
          <t>342</t>
        </is>
      </c>
      <c r="F7979" t="inlineStr">
        <is>
          <t>10</t>
        </is>
      </c>
      <c r="G7979" t="inlineStr">
        <is>
          <t>0</t>
        </is>
      </c>
      <c r="H7979" t="inlineStr">
        <is>
          <t>19³, 95³</t>
        </is>
      </c>
      <c r="I7979" t="n">
        <v>6</v>
      </c>
      <c r="J7979" t="inlineStr">
        <is>
          <t>6², 18¹², 24¹, 72⁶</t>
        </is>
      </c>
      <c r="K7979">
        <f>HYPERLINK("CSG0.html#group5B0", "5B⁰"), =HYPERLINK("CSG2.html#group19A2", "19A²")</f>
        <v/>
      </c>
      <c r="L7979" t="inlineStr"/>
      <c r="M7979">
        <f>HYPERLINK("CSG0.html#group5B0", "5B⁰"), =HYPERLINK("CSG0.html#group1A0", "1A⁰"), =HYPERLINK("CSG2.html#group19A2", "19A²")</f>
        <v/>
      </c>
      <c r="N7979" t="inlineStr"/>
    </row>
    <row r="7980">
      <c r="A7980" t="inlineStr">
        <is>
          <t>98A²⁴</t>
        </is>
      </c>
      <c r="B7980" t="inlineStr"/>
      <c r="C7980" t="inlineStr">
        <is>
          <t>294</t>
        </is>
      </c>
      <c r="D7980" t="inlineStr">
        <is>
          <t>1</t>
        </is>
      </c>
      <c r="E7980" t="inlineStr">
        <is>
          <t>147</t>
        </is>
      </c>
      <c r="F7980" t="inlineStr">
        <is>
          <t>0</t>
        </is>
      </c>
      <c r="G7980" t="inlineStr">
        <is>
          <t>0</t>
        </is>
      </c>
      <c r="H7980" t="inlineStr">
        <is>
          <t>98³</t>
        </is>
      </c>
      <c r="I7980" t="n">
        <v>3</v>
      </c>
      <c r="J7980" t="inlineStr">
        <is>
          <t>3¹, 6³, 42³</t>
        </is>
      </c>
      <c r="K7980">
        <f>HYPERLINK("CSG3.html#group14A3", "14A³"), =HYPERLINK("CSG9.html#group49A9", "49A⁹")</f>
        <v/>
      </c>
      <c r="L7980" t="inlineStr"/>
      <c r="M7980">
        <f>HYPERLINK("CSG0.html#group2A0", "2A⁰"), =HYPERLINK("CSG1.html#group14A1", "14A¹"), =HYPERLINK("CSG0.html#group7D0", "7D⁰"), =HYPERLINK("CSG0.html#group1A0", "1A⁰"), =HYPERLINK("CSG3.html#group14A3", "14A³"), =HYPERLINK("CSG9.html#group49A9", "49A⁹"), =HYPERLINK("CSG0.html#group7A0", "7A⁰")</f>
        <v/>
      </c>
      <c r="N7980" t="inlineStr"/>
    </row>
    <row r="7981">
      <c r="A7981" t="inlineStr">
        <is>
          <t>98B²⁴</t>
        </is>
      </c>
      <c r="B7981" t="inlineStr"/>
      <c r="C7981" t="inlineStr">
        <is>
          <t>392</t>
        </is>
      </c>
      <c r="D7981" t="inlineStr">
        <is>
          <t>1</t>
        </is>
      </c>
      <c r="E7981" t="inlineStr">
        <is>
          <t>196</t>
        </is>
      </c>
      <c r="F7981" t="inlineStr">
        <is>
          <t>0</t>
        </is>
      </c>
      <c r="G7981" t="inlineStr">
        <is>
          <t>14</t>
        </is>
      </c>
      <c r="H7981" t="inlineStr">
        <is>
          <t>14⁷, 98³</t>
        </is>
      </c>
      <c r="I7981" t="n">
        <v>10</v>
      </c>
      <c r="J7981" t="inlineStr">
        <is>
          <t>3¹, 6³, 7¹, 42⁴</t>
        </is>
      </c>
      <c r="K7981">
        <f>HYPERLINK("CSG3.html#group14C3", "14C³"), =HYPERLINK("CSG9.html#group49B9", "49B⁹")</f>
        <v/>
      </c>
      <c r="L7981" t="inlineStr"/>
      <c r="M7981">
        <f>HYPERLINK("CSG9.html#group49B9", "49B⁹"), =HYPERLINK("CSG0.html#group2A0", "2A⁰"), =HYPERLINK("CSG3.html#group14C3", "14C³"), =HYPERLINK("CSG1.html#group14A1", "14A¹"), =HYPERLINK("CSG0.html#group7F0", "7F⁰"), =HYPERLINK("CSG0.html#group1A0", "1A⁰"), =HYPERLINK("CSG0.html#group7A0", "7A⁰")</f>
        <v/>
      </c>
      <c r="N7981" t="inlineStr"/>
    </row>
    <row r="7982">
      <c r="A7982" t="inlineStr">
        <is>
          <t>100A²⁴</t>
        </is>
      </c>
      <c r="B7982" t="inlineStr"/>
      <c r="C7982" t="inlineStr">
        <is>
          <t>300</t>
        </is>
      </c>
      <c r="D7982" t="inlineStr">
        <is>
          <t>1</t>
        </is>
      </c>
      <c r="E7982" t="inlineStr">
        <is>
          <t>150</t>
        </is>
      </c>
      <c r="F7982" t="inlineStr">
        <is>
          <t>0</t>
        </is>
      </c>
      <c r="G7982" t="inlineStr">
        <is>
          <t>0</t>
        </is>
      </c>
      <c r="H7982" t="inlineStr">
        <is>
          <t>50², 100²</t>
        </is>
      </c>
      <c r="I7982" t="n">
        <v>4</v>
      </c>
      <c r="J7982" t="inlineStr">
        <is>
          <t>2³, 4⁶, 20⁶</t>
        </is>
      </c>
      <c r="K7982">
        <f>HYPERLINK("CSG4.html#group20B4", "20B⁴"), =HYPERLINK("CSG11.html#group50A11", "50A¹¹")</f>
        <v/>
      </c>
      <c r="L7982" t="inlineStr"/>
      <c r="M7982">
        <f>HYPERLINK("CSG0.html#group5C0", "5C⁰"), =HYPERLINK("CSG2.html#group25E2", "25E²"), =HYPERLINK("CSG4.html#group20B4", "20B⁴"), =HYPERLINK("CSG0.html#group2B0", "2B⁰"), =HYPERLINK("CSG11.html#group50A11", "50A¹¹"), =HYPERLINK("CSG0.html#group1A0", "1A⁰"), =HYPERLINK("CSG1.html#group10F1", "10F¹")</f>
        <v/>
      </c>
      <c r="N7982" t="inlineStr"/>
    </row>
    <row r="7983">
      <c r="A7983" t="inlineStr">
        <is>
          <t>103A²⁴</t>
        </is>
      </c>
      <c r="B7983" t="inlineStr"/>
      <c r="C7983" t="inlineStr">
        <is>
          <t>312</t>
        </is>
      </c>
      <c r="D7983" t="inlineStr">
        <is>
          <t>1</t>
        </is>
      </c>
      <c r="E7983" t="inlineStr">
        <is>
          <t>104</t>
        </is>
      </c>
      <c r="F7983" t="inlineStr">
        <is>
          <t>0</t>
        </is>
      </c>
      <c r="G7983" t="inlineStr">
        <is>
          <t>0</t>
        </is>
      </c>
      <c r="H7983" t="inlineStr">
        <is>
          <t>1³, 103³</t>
        </is>
      </c>
      <c r="I7983" t="n">
        <v>6</v>
      </c>
      <c r="J7983" t="inlineStr">
        <is>
          <t>1², 102¹</t>
        </is>
      </c>
      <c r="K7983">
        <f>HYPERLINK("CSG8.html#group103A8", "103A⁸")</f>
        <v/>
      </c>
      <c r="L7983" t="inlineStr"/>
      <c r="M7983">
        <f>HYPERLINK("CSG0.html#group1A0", "1A⁰"), =HYPERLINK("CSG8.html#group103A8", "103A⁸")</f>
        <v/>
      </c>
      <c r="N7983" t="inlineStr"/>
    </row>
    <row r="7984">
      <c r="A7984" t="inlineStr">
        <is>
          <t>106A²⁴</t>
        </is>
      </c>
      <c r="B7984" t="inlineStr"/>
      <c r="C7984" t="inlineStr">
        <is>
          <t>324</t>
        </is>
      </c>
      <c r="D7984" t="inlineStr">
        <is>
          <t>1</t>
        </is>
      </c>
      <c r="E7984" t="inlineStr">
        <is>
          <t>162</t>
        </is>
      </c>
      <c r="F7984" t="inlineStr">
        <is>
          <t>0</t>
        </is>
      </c>
      <c r="G7984" t="inlineStr">
        <is>
          <t>0</t>
        </is>
      </c>
      <c r="H7984" t="inlineStr">
        <is>
          <t>1², 2², 53², 106²</t>
        </is>
      </c>
      <c r="I7984" t="n">
        <v>8</v>
      </c>
      <c r="J7984" t="inlineStr">
        <is>
          <t>1⁶, 52³</t>
        </is>
      </c>
      <c r="K7984">
        <f>HYPERLINK("CSG8.html#group53A8", "53A⁸"), =HYPERLINK("CSG12.html#group106A12", "106A¹²")</f>
        <v/>
      </c>
      <c r="L7984" t="inlineStr"/>
      <c r="M7984">
        <f>HYPERLINK("CSG0.html#group2B0", "2B⁰"), =HYPERLINK("CSG8.html#group53A8", "53A⁸"), =HYPERLINK("CSG0.html#group1A0", "1A⁰"), =HYPERLINK("CSG12.html#group106A12", "106A¹²"), =HYPERLINK("CSG4.html#group53A4", "53A⁴")</f>
        <v/>
      </c>
      <c r="N7984" t="inlineStr"/>
    </row>
    <row r="7985">
      <c r="A7985" t="inlineStr">
        <is>
          <t>106B²⁴</t>
        </is>
      </c>
      <c r="B7985" t="inlineStr"/>
      <c r="C7985" t="inlineStr">
        <is>
          <t>324</t>
        </is>
      </c>
      <c r="D7985" t="inlineStr">
        <is>
          <t>1</t>
        </is>
      </c>
      <c r="E7985" t="inlineStr">
        <is>
          <t>162</t>
        </is>
      </c>
      <c r="F7985" t="inlineStr">
        <is>
          <t>4</t>
        </is>
      </c>
      <c r="G7985" t="inlineStr">
        <is>
          <t>0</t>
        </is>
      </c>
      <c r="H7985" t="inlineStr">
        <is>
          <t>2³, 106³</t>
        </is>
      </c>
      <c r="I7985" t="n">
        <v>6</v>
      </c>
      <c r="J7985" t="inlineStr">
        <is>
          <t>1⁶, 52³</t>
        </is>
      </c>
      <c r="K7985">
        <f>HYPERLINK("CSG8.html#group106A8", "106A⁸"), =HYPERLINK("CSG12.html#group106A12", "106A¹²")</f>
        <v/>
      </c>
      <c r="L7985" t="inlineStr"/>
      <c r="M7985">
        <f>HYPERLINK("CSG0.html#group2B0", "2B⁰"), =HYPERLINK("CSG8.html#group106A8", "106A⁸"), =HYPERLINK("CSG0.html#group1A0", "1A⁰"), =HYPERLINK("CSG12.html#group106A12", "106A¹²"), =HYPERLINK("CSG4.html#group53A4", "53A⁴")</f>
        <v/>
      </c>
      <c r="N7985" t="inlineStr"/>
    </row>
    <row r="7986">
      <c r="A7986" t="inlineStr">
        <is>
          <t>110A²⁴</t>
        </is>
      </c>
      <c r="B7986" t="inlineStr"/>
      <c r="C7986" t="inlineStr">
        <is>
          <t>330</t>
        </is>
      </c>
      <c r="D7986" t="inlineStr">
        <is>
          <t>2</t>
        </is>
      </c>
      <c r="E7986" t="inlineStr">
        <is>
          <t>165</t>
        </is>
      </c>
      <c r="F7986" t="inlineStr">
        <is>
          <t>12</t>
        </is>
      </c>
      <c r="G7986" t="inlineStr">
        <is>
          <t>0</t>
        </is>
      </c>
      <c r="H7986" t="inlineStr">
        <is>
          <t>110³</t>
        </is>
      </c>
      <c r="I7986" t="n">
        <v>3</v>
      </c>
      <c r="J7986" t="inlineStr">
        <is>
          <t>2¹, 4¹, 8³, 10², 20², 40⁶</t>
        </is>
      </c>
      <c r="K7986">
        <f>HYPERLINK("CSG1.html#group10E1", "10E¹"), =HYPERLINK("CSG11.html#group55A11", "55A¹¹")</f>
        <v/>
      </c>
      <c r="L7986" t="inlineStr"/>
      <c r="M7986">
        <f>HYPERLINK("CSG0.html#group11A0", "11A⁰"), =HYPERLINK("CSG0.html#group5A0", "5A⁰"), =HYPERLINK("CSG3.html#group55A3", "55A³"), =HYPERLINK("CSG0.html#group5E0", "5E⁰"), =HYPERLINK("CSG1.html#group10E1", "10E¹"), =HYPERLINK("CSG0.html#group1A0", "1A⁰"), =HYPERLINK("CSG11.html#group55A11", "55A¹¹")</f>
        <v/>
      </c>
      <c r="N7986" t="inlineStr"/>
    </row>
    <row r="7987">
      <c r="A7987" t="inlineStr">
        <is>
          <t>112A²⁴</t>
        </is>
      </c>
      <c r="B7987" t="inlineStr"/>
      <c r="C7987" t="inlineStr">
        <is>
          <t>336</t>
        </is>
      </c>
      <c r="D7987" t="inlineStr">
        <is>
          <t>2</t>
        </is>
      </c>
      <c r="E7987" t="inlineStr">
        <is>
          <t>21</t>
        </is>
      </c>
      <c r="F7987" t="inlineStr">
        <is>
          <t>0</t>
        </is>
      </c>
      <c r="G7987" t="inlineStr">
        <is>
          <t>0</t>
        </is>
      </c>
      <c r="H7987" t="inlineStr">
        <is>
          <t>14⁸, 112²</t>
        </is>
      </c>
      <c r="I7987" t="n">
        <v>10</v>
      </c>
      <c r="J7987" t="inlineStr">
        <is>
          <t>2³, 6⁶</t>
        </is>
      </c>
      <c r="K7987">
        <f>HYPERLINK("CSG11.html#group112C11", "112C¹¹"), =HYPERLINK("CSG12.html#group56B12", "56B¹²"), =HYPERLINK("CSG12.html#group112D12", "112D¹²")</f>
        <v/>
      </c>
      <c r="L7987" t="inlineStr"/>
      <c r="M7987">
        <f>HYPERLINK("CSG0.html#group2A0", "2A⁰"), =HYPERLINK("CSG5.html#group56C5", "56C⁵"), =HYPERLINK("CSG6.html#group56C6", "56C⁶"), =HYPERLINK("CSG1.html#group14B1", "14B¹"), =HYPERLINK("CSG3.html#group14B3", "14B³"), =HYPERLINK("CSG0.html#group4C0", "4C⁰"), =HYPERLINK("CSG1.html#group14A1", "14A¹"), =HYPERLINK("CSG3.html#group28A3", "28A³"), =HYPERLINK("CSG0.html#group8C0", "8C⁰"), =HYPERLINK("CSG0.html#group2B0", "2B⁰"), =HYPERLINK("CSG0.html#group4E0", "4E⁰"), =HYPERLINK("CSG0.html#group4B0", "4B⁰"), =HYPERLINK("CSG0.html#group1A0", "1A⁰"), =HYPERLINK("CSG0.html#group8G0", "8G⁰"), =HYPERLINK("CSG11.html#group112C11", "112C¹¹"), =HYPERLINK("CSG6.html#group28C6", "28C⁶"), =HYPERLINK("CSG12.html#group112D12", "112D¹²"), =HYPERLINK("CSG0.html#group7A0", "7A⁰"), =HYPERLINK("CSG0.html#group8D0", "8D⁰"), =HYPERLINK("CSG12.html#group56B12", "56B¹²"), =HYPERLINK("CSG2.html#group28C2", "28C²"), =HYPERLINK("CSG0.html#group2C0", "2C⁰")</f>
        <v/>
      </c>
      <c r="N7987" t="inlineStr"/>
    </row>
    <row r="7988">
      <c r="A7988" t="inlineStr">
        <is>
          <t>112B²⁴</t>
        </is>
      </c>
      <c r="B7988" t="inlineStr"/>
      <c r="C7988" t="inlineStr">
        <is>
          <t>336</t>
        </is>
      </c>
      <c r="D7988" t="inlineStr">
        <is>
          <t>2</t>
        </is>
      </c>
      <c r="E7988" t="inlineStr">
        <is>
          <t>21</t>
        </is>
      </c>
      <c r="F7988" t="inlineStr">
        <is>
          <t>0</t>
        </is>
      </c>
      <c r="G7988" t="inlineStr">
        <is>
          <t>0</t>
        </is>
      </c>
      <c r="H7988" t="inlineStr">
        <is>
          <t>14⁸, 112²</t>
        </is>
      </c>
      <c r="I7988" t="n">
        <v>10</v>
      </c>
      <c r="J7988" t="inlineStr">
        <is>
          <t>2³, 6⁶</t>
        </is>
      </c>
      <c r="K7988">
        <f>HYPERLINK("CSG0.html#group16G0", "16G⁰"), =HYPERLINK("CSG11.html#group112D11", "112D¹¹"), =HYPERLINK("CSG12.html#group56B12", "56B¹²"), =HYPERLINK("CSG12.html#group112E12", "112E¹²")</f>
        <v/>
      </c>
      <c r="L7988" t="inlineStr"/>
      <c r="M7988">
        <f>HYPERLINK("CSG0.html#group16G0", "16G⁰"), =HYPERLINK("CSG0.html#group2A0", "2A⁰"), =HYPERLINK("CSG5.html#group56C5", "56C⁵"), =HYPERLINK("CSG6.html#group56C6", "56C⁶"), =HYPERLINK("CSG11.html#group112D11", "112D¹¹"), =HYPERLINK("CSG1.html#group14B1", "14B¹"), =HYPERLINK("CSG0.html#group8D0", "8D⁰"), =HYPERLINK("CSG3.html#group14B3", "14B³"), =HYPERLINK("CSG0.html#group4C0", "4C⁰"), =HYPERLINK("CSG12.html#group56B12", "56B¹²"), =HYPERLINK("CSG1.html#group14A1", "14A¹"), =HYPERLINK("CSG3.html#group28A3", "28A³"), =HYPERLINK("CSG0.html#group8C0", "8C⁰"), =HYPERLINK("CSG0.html#group2B0", "2B⁰"), =HYPERLINK("CSG0.html#group4E0", "4E⁰"), =HYPERLINK("CSG0.html#group4B0", "4B⁰"), =HYPERLINK("CSG0.html#group1A0", "1A⁰"), =HYPERLINK("CSG12.html#group112E12", "112E¹²"), =HYPERLINK("CSG2.html#group28C2", "28C²"), =HYPERLINK("CSG0.html#group16E0", "16E⁰"), =HYPERLINK("CSG0.html#group8G0", "8G⁰"), =HYPERLINK("CSG0.html#group16D0", "16D⁰"), =HYPERLINK("CSG6.html#group28C6", "28C⁶"), =HYPERLINK("CSG0.html#group2C0", "2C⁰"), =HYPERLINK("CSG0.html#group7A0", "7A⁰")</f>
        <v/>
      </c>
      <c r="N7988" t="inlineStr"/>
    </row>
    <row r="7989">
      <c r="A7989" t="inlineStr">
        <is>
          <t>112C²⁴</t>
        </is>
      </c>
      <c r="B7989" t="inlineStr"/>
      <c r="C7989" t="inlineStr">
        <is>
          <t>336</t>
        </is>
      </c>
      <c r="D7989" t="inlineStr">
        <is>
          <t>2</t>
        </is>
      </c>
      <c r="E7989" t="inlineStr">
        <is>
          <t>84</t>
        </is>
      </c>
      <c r="F7989" t="inlineStr">
        <is>
          <t>0</t>
        </is>
      </c>
      <c r="G7989" t="inlineStr">
        <is>
          <t>0</t>
        </is>
      </c>
      <c r="H7989" t="inlineStr">
        <is>
          <t>7⁴, 14², 28², 112²</t>
        </is>
      </c>
      <c r="I7989" t="n">
        <v>10</v>
      </c>
      <c r="J7989" t="inlineStr">
        <is>
          <t>2⁴, 4², 6⁸, 8¹, 12⁴, 24²</t>
        </is>
      </c>
      <c r="K7989">
        <f>HYPERLINK("CSG12.html#group56F12", "56F¹²"), =HYPERLINK("CSG12.html#group112B12", "112B¹²"), =HYPERLINK("CSG12.html#group112E12", "112E¹²")</f>
        <v/>
      </c>
      <c r="L7989" t="inlineStr"/>
      <c r="M7989">
        <f>HYPERLINK("CSG12.html#group112E12", "112E¹²"), =HYPERLINK("CSG6.html#group56C6", "56C⁶"), =HYPERLINK("CSG1.html#group14B1", "14B¹"), =HYPERLINK("CSG12.html#group56F12", "56F¹²"), =HYPERLINK("CSG12.html#group112B12", "112B¹²"), =HYPERLINK("CSG0.html#group16D0", "16D⁰"), =HYPERLINK("CSG3.html#group28A3", "28A³"), =HYPERLINK("CSG0.html#group8C0", "8C⁰"), =HYPERLINK("CSG0.html#group2B0", "2B⁰"), =HYPERLINK("CSG0.html#group4B0", "4B⁰"), =HYPERLINK("CSG0.html#group1A0", "1A⁰"), =HYPERLINK("CSG0.html#group7A0", "7A⁰")</f>
        <v/>
      </c>
      <c r="N7989" t="inlineStr"/>
    </row>
    <row r="7990">
      <c r="A7990" t="inlineStr">
        <is>
          <t>112D²⁴</t>
        </is>
      </c>
      <c r="B7990" t="inlineStr"/>
      <c r="C7990" t="inlineStr">
        <is>
          <t>336</t>
        </is>
      </c>
      <c r="D7990" t="inlineStr">
        <is>
          <t>2</t>
        </is>
      </c>
      <c r="E7990" t="inlineStr">
        <is>
          <t>84</t>
        </is>
      </c>
      <c r="F7990" t="inlineStr">
        <is>
          <t>0</t>
        </is>
      </c>
      <c r="G7990" t="inlineStr">
        <is>
          <t>0</t>
        </is>
      </c>
      <c r="H7990" t="inlineStr">
        <is>
          <t>7⁴, 14², 28², 112²</t>
        </is>
      </c>
      <c r="I7990" t="n">
        <v>10</v>
      </c>
      <c r="J7990" t="inlineStr">
        <is>
          <t>2⁴, 4², 6⁸, 8¹, 12⁴, 24²</t>
        </is>
      </c>
      <c r="K7990">
        <f>HYPERLINK("CSG12.html#group56F12", "56F¹²"), =HYPERLINK("CSG12.html#group112C12", "112C¹²"), =HYPERLINK("CSG12.html#group112D12", "112D¹²")</f>
        <v/>
      </c>
      <c r="L7990" t="inlineStr"/>
      <c r="M7990">
        <f>HYPERLINK("CSG6.html#group56C6", "56C⁶"), =HYPERLINK("CSG1.html#group14B1", "14B¹"), =HYPERLINK("CSG12.html#group56F12", "56F¹²"), =HYPERLINK("CSG0.html#group16C0", "16C⁰"), =HYPERLINK("CSG3.html#group28A3", "28A³"), =HYPERLINK("CSG0.html#group1A0", "1A⁰"), =HYPERLINK("CSG0.html#group8C0", "8C⁰"), =HYPERLINK("CSG0.html#group2B0", "2B⁰"), =HYPERLINK("CSG12.html#group112C12", "112C¹²"), =HYPERLINK("CSG0.html#group4B0", "4B⁰"), =HYPERLINK("CSG12.html#group112D12", "112D¹²"), =HYPERLINK("CSG0.html#group7A0", "7A⁰")</f>
        <v/>
      </c>
      <c r="N7990" t="inlineStr"/>
    </row>
    <row r="7991">
      <c r="A7991" t="inlineStr">
        <is>
          <t>112E²⁴</t>
        </is>
      </c>
      <c r="B7991" t="inlineStr"/>
      <c r="C7991" t="inlineStr">
        <is>
          <t>336</t>
        </is>
      </c>
      <c r="D7991" t="inlineStr">
        <is>
          <t>2</t>
        </is>
      </c>
      <c r="E7991" t="inlineStr">
        <is>
          <t>84</t>
        </is>
      </c>
      <c r="F7991" t="inlineStr">
        <is>
          <t>0</t>
        </is>
      </c>
      <c r="G7991" t="inlineStr">
        <is>
          <t>0</t>
        </is>
      </c>
      <c r="H7991" t="inlineStr">
        <is>
          <t>7⁴, 14², 28², 112²</t>
        </is>
      </c>
      <c r="I7991" t="n">
        <v>10</v>
      </c>
      <c r="J7991" t="inlineStr">
        <is>
          <t>2⁴, 4², 6⁸, 8¹, 12⁴, 24²</t>
        </is>
      </c>
      <c r="K7991">
        <f>HYPERLINK("CSG12.html#group56G12", "56G¹²"), =HYPERLINK("CSG12.html#group112B12", "112B¹²"), =HYPERLINK("CSG12.html#group112D12", "112D¹²")</f>
        <v/>
      </c>
      <c r="L7991" t="inlineStr"/>
      <c r="M7991">
        <f>HYPERLINK("CSG6.html#group56C6", "56C⁶"), =HYPERLINK("CSG1.html#group14B1", "14B¹"), =HYPERLINK("CSG12.html#group112B12", "112B¹²"), =HYPERLINK("CSG3.html#group28A3", "28A³"), =HYPERLINK("CSG12.html#group56G12", "56G¹²"), =HYPERLINK("CSG0.html#group8C0", "8C⁰"), =HYPERLINK("CSG0.html#group2B0", "2B⁰"), =HYPERLINK("CSG0.html#group1A0", "1A⁰"), =HYPERLINK("CSG0.html#group8I0", "8I⁰"), =HYPERLINK("CSG0.html#group4B0", "4B⁰"), =HYPERLINK("CSG12.html#group112D12", "112D¹²"), =HYPERLINK("CSG0.html#group7A0", "7A⁰")</f>
        <v/>
      </c>
      <c r="N7991" t="inlineStr"/>
    </row>
    <row r="7992">
      <c r="A7992" t="inlineStr">
        <is>
          <t>112F²⁴</t>
        </is>
      </c>
      <c r="B7992" t="inlineStr"/>
      <c r="C7992" t="inlineStr">
        <is>
          <t>336</t>
        </is>
      </c>
      <c r="D7992" t="inlineStr">
        <is>
          <t>2</t>
        </is>
      </c>
      <c r="E7992" t="inlineStr">
        <is>
          <t>84</t>
        </is>
      </c>
      <c r="F7992" t="inlineStr">
        <is>
          <t>0</t>
        </is>
      </c>
      <c r="G7992" t="inlineStr">
        <is>
          <t>0</t>
        </is>
      </c>
      <c r="H7992" t="inlineStr">
        <is>
          <t>7⁴, 14², 28², 112²</t>
        </is>
      </c>
      <c r="I7992" t="n">
        <v>10</v>
      </c>
      <c r="J7992" t="inlineStr">
        <is>
          <t>2⁴, 4², 6⁸, 8¹, 12⁴, 24²</t>
        </is>
      </c>
      <c r="K7992">
        <f>HYPERLINK("CSG0.html#group16H0", "16H⁰"), =HYPERLINK("CSG12.html#group56G12", "56G¹²"), =HYPERLINK("CSG12.html#group112C12", "112C¹²"), =HYPERLINK("CSG12.html#group112E12", "112E¹²")</f>
        <v/>
      </c>
      <c r="L7992" t="inlineStr"/>
      <c r="M7992">
        <f>HYPERLINK("CSG12.html#group112E12", "112E¹²"), =HYPERLINK("CSG6.html#group56C6", "56C⁶"), =HYPERLINK("CSG1.html#group14B1", "14B¹"), =HYPERLINK("CSG0.html#group16C0", "16C⁰"), =HYPERLINK("CSG0.html#group16D0", "16D⁰"), =HYPERLINK("CSG3.html#group28A3", "28A³"), =HYPERLINK("CSG12.html#group56G12", "56G¹²"), =HYPERLINK("CSG0.html#group8C0", "8C⁰"), =HYPERLINK("CSG0.html#group2B0", "2B⁰"), =HYPERLINK("CSG0.html#group8I0", "8I⁰"), =HYPERLINK("CSG12.html#group112C12", "112C¹²"), =HYPERLINK("CSG0.html#group4B0", "4B⁰"), =HYPERLINK("CSG0.html#group1A0", "1A⁰"), =HYPERLINK("CSG0.html#group7A0", "7A⁰"), =HYPERLINK("CSG0.html#group16H0", "16H⁰")</f>
        <v/>
      </c>
      <c r="N7992" t="inlineStr"/>
    </row>
    <row r="7993">
      <c r="A7993" t="inlineStr">
        <is>
          <t>112G²⁴</t>
        </is>
      </c>
      <c r="B7993" t="inlineStr"/>
      <c r="C7993" t="inlineStr">
        <is>
          <t>336</t>
        </is>
      </c>
      <c r="D7993" t="inlineStr">
        <is>
          <t>2</t>
        </is>
      </c>
      <c r="E7993" t="inlineStr">
        <is>
          <t>84</t>
        </is>
      </c>
      <c r="F7993" t="inlineStr">
        <is>
          <t>0</t>
        </is>
      </c>
      <c r="G7993" t="inlineStr">
        <is>
          <t>0</t>
        </is>
      </c>
      <c r="H7993" t="inlineStr">
        <is>
          <t>14⁸, 112²</t>
        </is>
      </c>
      <c r="I7993" t="n">
        <v>10</v>
      </c>
      <c r="J7993" t="inlineStr">
        <is>
          <t>2⁴, 4², 6⁸, 8¹, 12⁴, 24²</t>
        </is>
      </c>
      <c r="K7993">
        <f>HYPERLINK("CSG12.html#group56C12", "56C¹²"), =HYPERLINK("CSG12.html#group112D12", "112D¹²"), =HYPERLINK("CSG12.html#group112E12", "112E¹²")</f>
        <v/>
      </c>
      <c r="L7993" t="inlineStr"/>
      <c r="M7993">
        <f>HYPERLINK("CSG0.html#group14A0", "14A⁰"), =HYPERLINK("CSG6.html#group56C6", "56C⁶"), =HYPERLINK("CSG1.html#group14B1", "14B¹"), =HYPERLINK("CSG2.html#group14C2", "14C²"), =HYPERLINK("CSG3.html#group28A3", "28A³"), =HYPERLINK("CSG0.html#group8C0", "8C⁰"), =HYPERLINK("CSG0.html#group2B0", "2B⁰"), =HYPERLINK("CSG0.html#group4B0", "4B⁰"), =HYPERLINK("CSG0.html#group1A0", "1A⁰"), =HYPERLINK("CSG12.html#group112E12", "112E¹²"), =HYPERLINK("CSG6.html#group56B6", "56B⁶"), =HYPERLINK("CSG0.html#group16D0", "16D⁰"), =HYPERLINK("CSG6.html#group28A6", "28A⁶"), =HYPERLINK("CSG12.html#group56C12", "56C¹²"), =HYPERLINK("CSG3.html#group28B3", "28B³"), =HYPERLINK("CSG12.html#group112D12", "112D¹²"), =HYPERLINK("CSG0.html#group7A0", "7A⁰")</f>
        <v/>
      </c>
      <c r="N7993" t="inlineStr"/>
    </row>
    <row r="7994">
      <c r="A7994" t="inlineStr">
        <is>
          <t>112H²⁴</t>
        </is>
      </c>
      <c r="B7994" t="inlineStr"/>
      <c r="C7994" t="inlineStr">
        <is>
          <t>336</t>
        </is>
      </c>
      <c r="D7994" t="inlineStr">
        <is>
          <t>2</t>
        </is>
      </c>
      <c r="E7994" t="inlineStr">
        <is>
          <t>84</t>
        </is>
      </c>
      <c r="F7994" t="inlineStr">
        <is>
          <t>8</t>
        </is>
      </c>
      <c r="G7994" t="inlineStr">
        <is>
          <t>0</t>
        </is>
      </c>
      <c r="H7994" t="inlineStr">
        <is>
          <t>28⁴, 112²</t>
        </is>
      </c>
      <c r="I7994" t="n">
        <v>6</v>
      </c>
      <c r="J7994" t="inlineStr">
        <is>
          <t>2², 4¹, 6⁴, 8², 12², 24⁴</t>
        </is>
      </c>
      <c r="K7994">
        <f>HYPERLINK("CSG10.html#group56A10", "56A¹⁰"), =HYPERLINK("CSG12.html#group112F12", "112F¹²"), =HYPERLINK("CSG12.html#group112G12", "112G¹²")</f>
        <v/>
      </c>
      <c r="L7994" t="inlineStr"/>
      <c r="M7994">
        <f>HYPERLINK("CSG5.html#group56B5", "56B⁵"), =HYPERLINK("CSG0.html#group14A0", "14A⁰"), =HYPERLINK("CSG5.html#group56C5", "56C⁵"), =HYPERLINK("CSG4.html#group28C4", "28C⁴"), =HYPERLINK("CSG1.html#group14B1", "14B¹"), =HYPERLINK("CSG0.html#group8D0", "8D⁰"), =HYPERLINK("CSG2.html#group14C2", "14C²"), =HYPERLINK("CSG0.html#group4C0", "4C⁰"), =HYPERLINK("CSG0.html#group2B0", "2B⁰"), =HYPERLINK("CSG0.html#group1A0", "1A⁰"), =HYPERLINK("CSG10.html#group56A10", "56A¹⁰"), =HYPERLINK("CSG2.html#group28C2", "28C²"), =HYPERLINK("CSG1.html#group16C1", "16C¹"), =HYPERLINK("CSG12.html#group112G12", "112G¹²"), =HYPERLINK("CSG12.html#group112F12", "112F¹²"), =HYPERLINK("CSG2.html#group28B2", "28B²"), =HYPERLINK("CSG0.html#group7A0", "7A⁰")</f>
        <v/>
      </c>
      <c r="N7994" t="inlineStr"/>
    </row>
    <row r="7995">
      <c r="A7995" t="inlineStr">
        <is>
          <t>112I²⁴</t>
        </is>
      </c>
      <c r="B7995" t="inlineStr"/>
      <c r="C7995" t="inlineStr">
        <is>
          <t>336</t>
        </is>
      </c>
      <c r="D7995" t="inlineStr">
        <is>
          <t>2</t>
        </is>
      </c>
      <c r="E7995" t="inlineStr">
        <is>
          <t>84</t>
        </is>
      </c>
      <c r="F7995" t="inlineStr">
        <is>
          <t>8</t>
        </is>
      </c>
      <c r="G7995" t="inlineStr">
        <is>
          <t>0</t>
        </is>
      </c>
      <c r="H7995" t="inlineStr">
        <is>
          <t>28⁴, 112²</t>
        </is>
      </c>
      <c r="I7995" t="n">
        <v>6</v>
      </c>
      <c r="J7995" t="inlineStr">
        <is>
          <t>2², 4¹, 6⁴, 8², 12², 24⁴</t>
        </is>
      </c>
      <c r="K7995">
        <f>HYPERLINK("CSG11.html#group56D11", "56D¹¹"), =HYPERLINK("CSG11.html#group112C11", "112C¹¹"), =HYPERLINK("CSG12.html#group112G12", "112G¹²")</f>
        <v/>
      </c>
      <c r="L7995" t="inlineStr"/>
      <c r="M7995">
        <f>HYPERLINK("CSG2.html#group28C2", "28C²"), =HYPERLINK("CSG5.html#group56C5", "56C⁵"), =HYPERLINK("CSG1.html#group14B1", "14B¹"), =HYPERLINK("CSG0.html#group8D0", "8D⁰"), =HYPERLINK("CSG1.html#group16C1", "16C¹"), =HYPERLINK("CSG12.html#group112G12", "112G¹²"), =HYPERLINK("CSG11.html#group56D11", "56D¹¹"), =HYPERLINK("CSG0.html#group4C0", "4C⁰"), =HYPERLINK("CSG5.html#group28C5", "28C⁵"), =HYPERLINK("CSG11.html#group112C11", "112C¹¹"), =HYPERLINK("CSG0.html#group2B0", "2B⁰"), =HYPERLINK("CSG5.html#group56A5", "56A⁵"), =HYPERLINK("CSG0.html#group1A0", "1A⁰"), =HYPERLINK("CSG0.html#group7A0", "7A⁰")</f>
        <v/>
      </c>
      <c r="N7995" t="inlineStr"/>
    </row>
    <row r="7996">
      <c r="A7996" t="inlineStr">
        <is>
          <t>112J²⁴</t>
        </is>
      </c>
      <c r="B7996" t="inlineStr"/>
      <c r="C7996" t="inlineStr">
        <is>
          <t>336</t>
        </is>
      </c>
      <c r="D7996" t="inlineStr">
        <is>
          <t>2</t>
        </is>
      </c>
      <c r="E7996" t="inlineStr">
        <is>
          <t>84</t>
        </is>
      </c>
      <c r="F7996" t="inlineStr">
        <is>
          <t>8</t>
        </is>
      </c>
      <c r="G7996" t="inlineStr">
        <is>
          <t>0</t>
        </is>
      </c>
      <c r="H7996" t="inlineStr">
        <is>
          <t>28⁴, 112²</t>
        </is>
      </c>
      <c r="I7996" t="n">
        <v>6</v>
      </c>
      <c r="J7996" t="inlineStr">
        <is>
          <t>2², 4¹, 6⁴, 8², 12², 24⁴</t>
        </is>
      </c>
      <c r="K7996">
        <f>HYPERLINK("CSG11.html#group56D11", "56D¹¹"), =HYPERLINK("CSG11.html#group112D11", "112D¹¹"), =HYPERLINK("CSG12.html#group112F12", "112F¹²")</f>
        <v/>
      </c>
      <c r="L7996" t="inlineStr"/>
      <c r="M7996">
        <f>HYPERLINK("CSG2.html#group28C2", "28C²"), =HYPERLINK("CSG0.html#group16E0", "16E⁰"), =HYPERLINK("CSG5.html#group56C5", "56C⁵"), =HYPERLINK("CSG11.html#group112D11", "112D¹¹"), =HYPERLINK("CSG1.html#group14B1", "14B¹"), =HYPERLINK("CSG0.html#group8D0", "8D⁰"), =HYPERLINK("CSG12.html#group112F12", "112F¹²"), =HYPERLINK("CSG11.html#group56D11", "56D¹¹"), =HYPERLINK("CSG0.html#group4C0", "4C⁰"), =HYPERLINK("CSG5.html#group28C5", "28C⁵"), =HYPERLINK("CSG0.html#group2B0", "2B⁰"), =HYPERLINK("CSG5.html#group56A5", "56A⁵"), =HYPERLINK("CSG0.html#group1A0", "1A⁰"), =HYPERLINK("CSG0.html#group7A0", "7A⁰")</f>
        <v/>
      </c>
      <c r="N7996" t="inlineStr"/>
    </row>
    <row r="7997">
      <c r="A7997" t="inlineStr">
        <is>
          <t>112K²⁴</t>
        </is>
      </c>
      <c r="B7997" t="inlineStr"/>
      <c r="C7997" t="inlineStr">
        <is>
          <t>336</t>
        </is>
      </c>
      <c r="D7997" t="inlineStr">
        <is>
          <t>2</t>
        </is>
      </c>
      <c r="E7997" t="inlineStr">
        <is>
          <t>84</t>
        </is>
      </c>
      <c r="F7997" t="inlineStr">
        <is>
          <t>12</t>
        </is>
      </c>
      <c r="G7997" t="inlineStr">
        <is>
          <t>0</t>
        </is>
      </c>
      <c r="H7997" t="inlineStr">
        <is>
          <t>56², 112²</t>
        </is>
      </c>
      <c r="I7997" t="n">
        <v>4</v>
      </c>
      <c r="J7997" t="inlineStr">
        <is>
          <t>4⁶, 12¹²</t>
        </is>
      </c>
      <c r="K7997">
        <f>HYPERLINK("CSG10.html#group56C10", "56C¹⁰"), =HYPERLINK("CSG11.html#group112E11", "112E¹¹")</f>
        <v/>
      </c>
      <c r="L7997" t="inlineStr"/>
      <c r="M7997">
        <f>HYPERLINK("CSG5.html#group56C5", "56C⁵"), =HYPERLINK("CSG1.html#group14B1", "14B¹"), =HYPERLINK("CSG0.html#group8D0", "8D⁰"), =HYPERLINK("CSG0.html#group4C0", "4C⁰"), =HYPERLINK("CSG0.html#group8B0", "8B⁰"), =HYPERLINK("CSG0.html#group2B0", "2B⁰"), =HYPERLINK("CSG0.html#group1A0", "1A⁰"), =HYPERLINK("CSG10.html#group56C10", "56C¹⁰"), =HYPERLINK("CSG0.html#group8H0", "8H⁰"), =HYPERLINK("CSG2.html#group28C2", "28C²"), =HYPERLINK("CSG11.html#group112E11", "112E¹¹"), =HYPERLINK("CSG0.html#group4A0", "4A⁰"), =HYPERLINK("CSG5.html#group28D5", "28D⁵"), =HYPERLINK("CSG0.html#group4F0", "4F⁰"), =HYPERLINK("CSG1.html#group28A1", "28A¹"), =HYPERLINK("CSG0.html#group7A0", "7A⁰"), =HYPERLINK("CSG4.html#group56B4", "56B⁴")</f>
        <v/>
      </c>
      <c r="N7997" t="inlineStr"/>
    </row>
    <row r="7998">
      <c r="A7998" t="inlineStr">
        <is>
          <t>112L²⁴</t>
        </is>
      </c>
      <c r="B7998" t="inlineStr"/>
      <c r="C7998" t="inlineStr">
        <is>
          <t>336</t>
        </is>
      </c>
      <c r="D7998" t="inlineStr">
        <is>
          <t>2</t>
        </is>
      </c>
      <c r="E7998" t="inlineStr">
        <is>
          <t>84</t>
        </is>
      </c>
      <c r="F7998" t="inlineStr">
        <is>
          <t>12</t>
        </is>
      </c>
      <c r="G7998" t="inlineStr">
        <is>
          <t>0</t>
        </is>
      </c>
      <c r="H7998" t="inlineStr">
        <is>
          <t>56², 112²</t>
        </is>
      </c>
      <c r="I7998" t="n">
        <v>4</v>
      </c>
      <c r="J7998" t="inlineStr">
        <is>
          <t>4⁶, 12¹²</t>
        </is>
      </c>
      <c r="K7998">
        <f>HYPERLINK("CSG2.html#group16E2", "16E²"), =HYPERLINK("CSG10.html#group56C10", "56C¹⁰"), =HYPERLINK("CSG11.html#group112F11", "112F¹¹")</f>
        <v/>
      </c>
      <c r="L7998" t="inlineStr"/>
      <c r="M7998">
        <f>HYPERLINK("CSG5.html#group56C5", "56C⁵"), =HYPERLINK("CSG1.html#group14B1", "14B¹"), =HYPERLINK("CSG0.html#group8D0", "8D⁰"), =HYPERLINK("CSG0.html#group4C0", "4C⁰"), =HYPERLINK("CSG0.html#group8B0", "8B⁰"), =HYPERLINK("CSG0.html#group2B0", "2B⁰"), =HYPERLINK("CSG0.html#group1A0", "1A⁰"), =HYPERLINK("CSG2.html#group16E2", "16E²"), =HYPERLINK("CSG10.html#group56C10", "56C¹⁰"), =HYPERLINK("CSG0.html#group8H0", "8H⁰"), =HYPERLINK("CSG2.html#group28C2", "28C²"), =HYPERLINK("CSG1.html#group16D1", "16D¹"), =HYPERLINK("CSG0.html#group4A0", "4A⁰"), =HYPERLINK("CSG5.html#group28D5", "28D⁵"), =HYPERLINK("CSG11.html#group112F11", "112F¹¹"), =HYPERLINK("CSG0.html#group4F0", "4F⁰"), =HYPERLINK("CSG1.html#group28A1", "28A¹"), =HYPERLINK("CSG0.html#group7A0", "7A⁰"), =HYPERLINK("CSG4.html#group56B4", "56B⁴")</f>
        <v/>
      </c>
      <c r="N7998" t="inlineStr"/>
    </row>
    <row r="7999">
      <c r="A7999" t="inlineStr">
        <is>
          <t>112M²⁴</t>
        </is>
      </c>
      <c r="B7999" t="inlineStr"/>
      <c r="C7999" t="inlineStr">
        <is>
          <t>336</t>
        </is>
      </c>
      <c r="D7999" t="inlineStr">
        <is>
          <t>2</t>
        </is>
      </c>
      <c r="E7999" t="inlineStr">
        <is>
          <t>84</t>
        </is>
      </c>
      <c r="F7999" t="inlineStr">
        <is>
          <t>12</t>
        </is>
      </c>
      <c r="G7999" t="inlineStr">
        <is>
          <t>0</t>
        </is>
      </c>
      <c r="H7999" t="inlineStr">
        <is>
          <t>56², 112²</t>
        </is>
      </c>
      <c r="I7999" t="n">
        <v>4</v>
      </c>
      <c r="J7999" t="inlineStr">
        <is>
          <t>4⁸, 8², 12¹⁶, 24⁴</t>
        </is>
      </c>
      <c r="K7999">
        <f>HYPERLINK("CSG10.html#group56B10", "56B¹⁰"), =HYPERLINK("CSG11.html#group112E11", "112E¹¹"), =HYPERLINK("CSG11.html#group112F11", "112F¹¹")</f>
        <v/>
      </c>
      <c r="L7999" t="inlineStr"/>
      <c r="M7999">
        <f>HYPERLINK("CSG2.html#group28C2", "28C²"), =HYPERLINK("CSG5.html#group56B5", "56B⁵"), =HYPERLINK("CSG1.html#group16D1", "16D¹"), =HYPERLINK("CSG11.html#group112E11", "112E¹¹"), =HYPERLINK("CSG10.html#group56B10", "56B¹⁰"), =HYPERLINK("CSG1.html#group14B1", "14B¹"), =HYPERLINK("CSG0.html#group4C0", "4C⁰"), =HYPERLINK("CSG0.html#group8B0", "8B⁰"), =HYPERLINK("CSG11.html#group112F11", "112F¹¹"), =HYPERLINK("CSG5.html#group28C5", "28C⁵"), =HYPERLINK("CSG0.html#group2B0", "2B⁰"), =HYPERLINK("CSG0.html#group1A0", "1A⁰"), =HYPERLINK("CSG0.html#group7A0", "7A⁰"), =HYPERLINK("CSG4.html#group56B4", "56B⁴")</f>
        <v/>
      </c>
      <c r="N7999" t="inlineStr"/>
    </row>
    <row r="8000">
      <c r="A8000" t="inlineStr">
        <is>
          <t>112N²⁴</t>
        </is>
      </c>
      <c r="B8000" t="inlineStr"/>
      <c r="C8000" t="inlineStr">
        <is>
          <t>336</t>
        </is>
      </c>
      <c r="D8000" t="inlineStr">
        <is>
          <t>2</t>
        </is>
      </c>
      <c r="E8000" t="inlineStr">
        <is>
          <t>84</t>
        </is>
      </c>
      <c r="F8000" t="inlineStr">
        <is>
          <t>12</t>
        </is>
      </c>
      <c r="G8000" t="inlineStr">
        <is>
          <t>0</t>
        </is>
      </c>
      <c r="H8000" t="inlineStr">
        <is>
          <t>56², 112²</t>
        </is>
      </c>
      <c r="I8000" t="n">
        <v>4</v>
      </c>
      <c r="J8000" t="inlineStr">
        <is>
          <t>4⁸, 8², 12¹⁶, 24⁴</t>
        </is>
      </c>
      <c r="K8000">
        <f>HYPERLINK("CSG10.html#group56B10", "56B¹⁰"), =HYPERLINK("CSG11.html#group112E11", "112E¹¹"), =HYPERLINK("CSG11.html#group112F11", "112F¹¹")</f>
        <v/>
      </c>
      <c r="L8000" t="inlineStr"/>
      <c r="M8000">
        <f>HYPERLINK("CSG2.html#group28C2", "28C²"), =HYPERLINK("CSG5.html#group56B5", "56B⁵"), =HYPERLINK("CSG1.html#group16D1", "16D¹"), =HYPERLINK("CSG11.html#group112E11", "112E¹¹"), =HYPERLINK("CSG10.html#group56B10", "56B¹⁰"), =HYPERLINK("CSG1.html#group14B1", "14B¹"), =HYPERLINK("CSG0.html#group4C0", "4C⁰"), =HYPERLINK("CSG0.html#group8B0", "8B⁰"), =HYPERLINK("CSG11.html#group112F11", "112F¹¹"), =HYPERLINK("CSG5.html#group28C5", "28C⁵"), =HYPERLINK("CSG0.html#group2B0", "2B⁰"), =HYPERLINK("CSG0.html#group1A0", "1A⁰"), =HYPERLINK("CSG0.html#group7A0", "7A⁰"), =HYPERLINK("CSG4.html#group56B4", "56B⁴")</f>
        <v/>
      </c>
      <c r="N8000" t="inlineStr"/>
    </row>
    <row r="8001">
      <c r="A8001" t="inlineStr">
        <is>
          <t>112O²⁴</t>
        </is>
      </c>
      <c r="B8001" t="inlineStr"/>
      <c r="C8001" t="inlineStr">
        <is>
          <t>336</t>
        </is>
      </c>
      <c r="D8001" t="inlineStr">
        <is>
          <t>2</t>
        </is>
      </c>
      <c r="E8001" t="inlineStr">
        <is>
          <t>84</t>
        </is>
      </c>
      <c r="F8001" t="inlineStr">
        <is>
          <t>12</t>
        </is>
      </c>
      <c r="G8001" t="inlineStr">
        <is>
          <t>0</t>
        </is>
      </c>
      <c r="H8001" t="inlineStr">
        <is>
          <t>56², 112²</t>
        </is>
      </c>
      <c r="I8001" t="n">
        <v>4</v>
      </c>
      <c r="J8001" t="inlineStr">
        <is>
          <t>4⁸, 8², 12¹⁶, 24⁴</t>
        </is>
      </c>
      <c r="K8001">
        <f>HYPERLINK("CSG10.html#group56D10", "56D¹⁰"), =HYPERLINK("CSG11.html#group112A11", "112A¹¹"), =HYPERLINK("CSG11.html#group112F11", "112F¹¹")</f>
        <v/>
      </c>
      <c r="L8001" t="inlineStr"/>
      <c r="M8001">
        <f>HYPERLINK("CSG11.html#group112A11", "112A¹¹"), =HYPERLINK("CSG2.html#group28C2", "28C²"), =HYPERLINK("CSG1.html#group16D1", "16D¹"), =HYPERLINK("CSG1.html#group14B1", "14B¹"), =HYPERLINK("CSG0.html#group4C0", "4C⁰"), =HYPERLINK("CSG0.html#group8B0", "8B⁰"), =HYPERLINK("CSG11.html#group112F11", "112F¹¹"), =HYPERLINK("CSG0.html#group2B0", "2B⁰"), =HYPERLINK("CSG10.html#group56D10", "56D¹⁰"), =HYPERLINK("CSG0.html#group1A0", "1A⁰"), =HYPERLINK("CSG0.html#group7A0", "7A⁰"), =HYPERLINK("CSG4.html#group56B4", "56B⁴")</f>
        <v/>
      </c>
      <c r="N8001" t="inlineStr"/>
    </row>
    <row r="8002">
      <c r="A8002" t="inlineStr">
        <is>
          <t>112P²⁴</t>
        </is>
      </c>
      <c r="B8002" t="inlineStr"/>
      <c r="C8002" t="inlineStr">
        <is>
          <t>336</t>
        </is>
      </c>
      <c r="D8002" t="inlineStr">
        <is>
          <t>2</t>
        </is>
      </c>
      <c r="E8002" t="inlineStr">
        <is>
          <t>84</t>
        </is>
      </c>
      <c r="F8002" t="inlineStr">
        <is>
          <t>12</t>
        </is>
      </c>
      <c r="G8002" t="inlineStr">
        <is>
          <t>0</t>
        </is>
      </c>
      <c r="H8002" t="inlineStr">
        <is>
          <t>56², 112²</t>
        </is>
      </c>
      <c r="I8002" t="n">
        <v>4</v>
      </c>
      <c r="J8002" t="inlineStr">
        <is>
          <t>4⁸, 8², 12¹⁶, 24⁴</t>
        </is>
      </c>
      <c r="K8002">
        <f>HYPERLINK("CSG10.html#group56D10", "56D¹⁰"), =HYPERLINK("CSG11.html#group112A11", "112A¹¹"), =HYPERLINK("CSG11.html#group112F11", "112F¹¹")</f>
        <v/>
      </c>
      <c r="L8002" t="inlineStr"/>
      <c r="M8002">
        <f>HYPERLINK("CSG11.html#group112A11", "112A¹¹"), =HYPERLINK("CSG2.html#group28C2", "28C²"), =HYPERLINK("CSG1.html#group16D1", "16D¹"), =HYPERLINK("CSG1.html#group14B1", "14B¹"), =HYPERLINK("CSG0.html#group4C0", "4C⁰"), =HYPERLINK("CSG0.html#group8B0", "8B⁰"), =HYPERLINK("CSG11.html#group112F11", "112F¹¹"), =HYPERLINK("CSG0.html#group2B0", "2B⁰"), =HYPERLINK("CSG10.html#group56D10", "56D¹⁰"), =HYPERLINK("CSG0.html#group1A0", "1A⁰"), =HYPERLINK("CSG0.html#group7A0", "7A⁰"), =HYPERLINK("CSG4.html#group56B4", "56B⁴")</f>
        <v/>
      </c>
      <c r="N8002" t="inlineStr"/>
    </row>
    <row r="8003">
      <c r="A8003" t="inlineStr">
        <is>
          <t>112Q²⁴</t>
        </is>
      </c>
      <c r="B8003" t="inlineStr"/>
      <c r="C8003" t="inlineStr">
        <is>
          <t>336</t>
        </is>
      </c>
      <c r="D8003" t="inlineStr">
        <is>
          <t>2</t>
        </is>
      </c>
      <c r="E8003" t="inlineStr">
        <is>
          <t>84</t>
        </is>
      </c>
      <c r="F8003" t="inlineStr">
        <is>
          <t>12</t>
        </is>
      </c>
      <c r="G8003" t="inlineStr">
        <is>
          <t>0</t>
        </is>
      </c>
      <c r="H8003" t="inlineStr">
        <is>
          <t>56², 112²</t>
        </is>
      </c>
      <c r="I8003" t="n">
        <v>4</v>
      </c>
      <c r="J8003" t="inlineStr">
        <is>
          <t>4⁸, 8², 12¹⁶, 24⁴</t>
        </is>
      </c>
      <c r="K8003">
        <f>HYPERLINK("CSG10.html#group56D10", "56D¹⁰"), =HYPERLINK("CSG11.html#group112B11", "112B¹¹"), =HYPERLINK("CSG11.html#group112E11", "112E¹¹")</f>
        <v/>
      </c>
      <c r="L8003" t="inlineStr"/>
      <c r="M8003">
        <f>HYPERLINK("CSG2.html#group28C2", "28C²"), =HYPERLINK("CSG11.html#group112E11", "112E¹¹"), =HYPERLINK("CSG1.html#group14B1", "14B¹"), =HYPERLINK("CSG11.html#group112B11", "112B¹¹"), =HYPERLINK("CSG0.html#group4C0", "4C⁰"), =HYPERLINK("CSG0.html#group8B0", "8B⁰"), =HYPERLINK("CSG1.html#group16B1", "16B¹"), =HYPERLINK("CSG0.html#group2B0", "2B⁰"), =HYPERLINK("CSG10.html#group56D10", "56D¹⁰"), =HYPERLINK("CSG0.html#group1A0", "1A⁰"), =HYPERLINK("CSG0.html#group7A0", "7A⁰"), =HYPERLINK("CSG4.html#group56B4", "56B⁴")</f>
        <v/>
      </c>
      <c r="N8003" t="inlineStr"/>
    </row>
    <row r="8004">
      <c r="A8004" t="inlineStr">
        <is>
          <t>112R²⁴</t>
        </is>
      </c>
      <c r="B8004" t="inlineStr"/>
      <c r="C8004" t="inlineStr">
        <is>
          <t>336</t>
        </is>
      </c>
      <c r="D8004" t="inlineStr">
        <is>
          <t>2</t>
        </is>
      </c>
      <c r="E8004" t="inlineStr">
        <is>
          <t>84</t>
        </is>
      </c>
      <c r="F8004" t="inlineStr">
        <is>
          <t>12</t>
        </is>
      </c>
      <c r="G8004" t="inlineStr">
        <is>
          <t>0</t>
        </is>
      </c>
      <c r="H8004" t="inlineStr">
        <is>
          <t>56², 112²</t>
        </is>
      </c>
      <c r="I8004" t="n">
        <v>4</v>
      </c>
      <c r="J8004" t="inlineStr">
        <is>
          <t>4⁸, 8², 12¹⁶, 24⁴</t>
        </is>
      </c>
      <c r="K8004">
        <f>HYPERLINK("CSG10.html#group56D10", "56D¹⁰"), =HYPERLINK("CSG11.html#group112B11", "112B¹¹"), =HYPERLINK("CSG11.html#group112E11", "112E¹¹")</f>
        <v/>
      </c>
      <c r="L8004" t="inlineStr"/>
      <c r="M8004">
        <f>HYPERLINK("CSG2.html#group28C2", "28C²"), =HYPERLINK("CSG11.html#group112E11", "112E¹¹"), =HYPERLINK("CSG1.html#group14B1", "14B¹"), =HYPERLINK("CSG11.html#group112B11", "112B¹¹"), =HYPERLINK("CSG0.html#group4C0", "4C⁰"), =HYPERLINK("CSG0.html#group8B0", "8B⁰"), =HYPERLINK("CSG1.html#group16B1", "16B¹"), =HYPERLINK("CSG0.html#group2B0", "2B⁰"), =HYPERLINK("CSG10.html#group56D10", "56D¹⁰"), =HYPERLINK("CSG0.html#group1A0", "1A⁰"), =HYPERLINK("CSG0.html#group7A0", "7A⁰"), =HYPERLINK("CSG4.html#group56B4", "56B⁴")</f>
        <v/>
      </c>
      <c r="N8004" t="inlineStr"/>
    </row>
    <row r="8005">
      <c r="A8005" t="inlineStr">
        <is>
          <t>112S²⁴</t>
        </is>
      </c>
      <c r="B8005" t="inlineStr"/>
      <c r="C8005" t="inlineStr">
        <is>
          <t>336</t>
        </is>
      </c>
      <c r="D8005" t="inlineStr">
        <is>
          <t>2</t>
        </is>
      </c>
      <c r="E8005" t="inlineStr">
        <is>
          <t>84</t>
        </is>
      </c>
      <c r="F8005" t="inlineStr">
        <is>
          <t>12</t>
        </is>
      </c>
      <c r="G8005" t="inlineStr">
        <is>
          <t>0</t>
        </is>
      </c>
      <c r="H8005" t="inlineStr">
        <is>
          <t>56², 112²</t>
        </is>
      </c>
      <c r="I8005" t="n">
        <v>4</v>
      </c>
      <c r="J8005" t="inlineStr">
        <is>
          <t>4⁸, 8², 12¹⁶, 24⁴</t>
        </is>
      </c>
      <c r="K8005">
        <f>HYPERLINK("CSG10.html#group56E10", "56E¹⁰"), =HYPERLINK("CSG11.html#group112A11", "112A¹¹"), =HYPERLINK("CSG11.html#group112E11", "112E¹¹")</f>
        <v/>
      </c>
      <c r="L8005" t="inlineStr"/>
      <c r="M8005">
        <f>HYPERLINK("CSG11.html#group112A11", "112A¹¹"), =HYPERLINK("CSG2.html#group28C2", "28C²"), =HYPERLINK("CSG11.html#group112E11", "112E¹¹"), =HYPERLINK("CSG10.html#group56E10", "56E¹⁰"), =HYPERLINK("CSG1.html#group14B1", "14B¹"), =HYPERLINK("CSG0.html#group4C0", "4C⁰"), =HYPERLINK("CSG0.html#group8B0", "8B⁰"), =HYPERLINK("CSG0.html#group8L0", "8L⁰"), =HYPERLINK("CSG0.html#group2B0", "2B⁰"), =HYPERLINK("CSG0.html#group1A0", "1A⁰"), =HYPERLINK("CSG0.html#group7A0", "7A⁰"), =HYPERLINK("CSG4.html#group56B4", "56B⁴")</f>
        <v/>
      </c>
      <c r="N8005" t="inlineStr"/>
    </row>
    <row r="8006">
      <c r="A8006" t="inlineStr">
        <is>
          <t>112T²⁴</t>
        </is>
      </c>
      <c r="B8006" t="inlineStr"/>
      <c r="C8006" t="inlineStr">
        <is>
          <t>336</t>
        </is>
      </c>
      <c r="D8006" t="inlineStr">
        <is>
          <t>2</t>
        </is>
      </c>
      <c r="E8006" t="inlineStr">
        <is>
          <t>84</t>
        </is>
      </c>
      <c r="F8006" t="inlineStr">
        <is>
          <t>12</t>
        </is>
      </c>
      <c r="G8006" t="inlineStr">
        <is>
          <t>0</t>
        </is>
      </c>
      <c r="H8006" t="inlineStr">
        <is>
          <t>56², 112²</t>
        </is>
      </c>
      <c r="I8006" t="n">
        <v>4</v>
      </c>
      <c r="J8006" t="inlineStr">
        <is>
          <t>4⁸, 8², 12¹⁶, 24⁴</t>
        </is>
      </c>
      <c r="K8006">
        <f>HYPERLINK("CSG10.html#group56E10", "56E¹⁰"), =HYPERLINK("CSG11.html#group112A11", "112A¹¹"), =HYPERLINK("CSG11.html#group112E11", "112E¹¹")</f>
        <v/>
      </c>
      <c r="L8006" t="inlineStr"/>
      <c r="M8006">
        <f>HYPERLINK("CSG11.html#group112A11", "112A¹¹"), =HYPERLINK("CSG2.html#group28C2", "28C²"), =HYPERLINK("CSG11.html#group112E11", "112E¹¹"), =HYPERLINK("CSG10.html#group56E10", "56E¹⁰"), =HYPERLINK("CSG1.html#group14B1", "14B¹"), =HYPERLINK("CSG0.html#group4C0", "4C⁰"), =HYPERLINK("CSG0.html#group8B0", "8B⁰"), =HYPERLINK("CSG0.html#group8L0", "8L⁰"), =HYPERLINK("CSG0.html#group2B0", "2B⁰"), =HYPERLINK("CSG0.html#group1A0", "1A⁰"), =HYPERLINK("CSG0.html#group7A0", "7A⁰"), =HYPERLINK("CSG4.html#group56B4", "56B⁴")</f>
        <v/>
      </c>
      <c r="N8006" t="inlineStr"/>
    </row>
    <row r="8007">
      <c r="A8007" t="inlineStr">
        <is>
          <t>112U²⁴</t>
        </is>
      </c>
      <c r="B8007" t="inlineStr"/>
      <c r="C8007" t="inlineStr">
        <is>
          <t>336</t>
        </is>
      </c>
      <c r="D8007" t="inlineStr">
        <is>
          <t>2</t>
        </is>
      </c>
      <c r="E8007" t="inlineStr">
        <is>
          <t>84</t>
        </is>
      </c>
      <c r="F8007" t="inlineStr">
        <is>
          <t>12</t>
        </is>
      </c>
      <c r="G8007" t="inlineStr">
        <is>
          <t>0</t>
        </is>
      </c>
      <c r="H8007" t="inlineStr">
        <is>
          <t>56², 112²</t>
        </is>
      </c>
      <c r="I8007" t="n">
        <v>4</v>
      </c>
      <c r="J8007" t="inlineStr">
        <is>
          <t>4⁸, 8², 12¹⁶, 24⁴</t>
        </is>
      </c>
      <c r="K8007">
        <f>HYPERLINK("CSG2.html#group16F2", "16F²"), =HYPERLINK("CSG10.html#group56E10", "56E¹⁰"), =HYPERLINK("CSG11.html#group112B11", "112B¹¹"), =HYPERLINK("CSG11.html#group112F11", "112F¹¹")</f>
        <v/>
      </c>
      <c r="L8007" t="inlineStr"/>
      <c r="M8007">
        <f>HYPERLINK("CSG2.html#group28C2", "28C²"), =HYPERLINK("CSG1.html#group16D1", "16D¹"), =HYPERLINK("CSG10.html#group56E10", "56E¹⁰"), =HYPERLINK("CSG1.html#group14B1", "14B¹"), =HYPERLINK("CSG2.html#group16F2", "16F²"), =HYPERLINK("CSG11.html#group112B11", "112B¹¹"), =HYPERLINK("CSG0.html#group4C0", "4C⁰"), =HYPERLINK("CSG0.html#group8B0", "8B⁰"), =HYPERLINK("CSG1.html#group16B1", "16B¹"), =HYPERLINK("CSG11.html#group112F11", "112F¹¹"), =HYPERLINK("CSG0.html#group8L0", "8L⁰"), =HYPERLINK("CSG0.html#group2B0", "2B⁰"), =HYPERLINK("CSG0.html#group1A0", "1A⁰"), =HYPERLINK("CSG0.html#group7A0", "7A⁰"), =HYPERLINK("CSG4.html#group56B4", "56B⁴")</f>
        <v/>
      </c>
      <c r="N8007" t="inlineStr"/>
    </row>
    <row r="8008">
      <c r="A8008" t="inlineStr">
        <is>
          <t>112V²⁴</t>
        </is>
      </c>
      <c r="B8008" t="inlineStr"/>
      <c r="C8008" t="inlineStr">
        <is>
          <t>336</t>
        </is>
      </c>
      <c r="D8008" t="inlineStr">
        <is>
          <t>2</t>
        </is>
      </c>
      <c r="E8008" t="inlineStr">
        <is>
          <t>84</t>
        </is>
      </c>
      <c r="F8008" t="inlineStr">
        <is>
          <t>12</t>
        </is>
      </c>
      <c r="G8008" t="inlineStr">
        <is>
          <t>0</t>
        </is>
      </c>
      <c r="H8008" t="inlineStr">
        <is>
          <t>56², 112²</t>
        </is>
      </c>
      <c r="I8008" t="n">
        <v>4</v>
      </c>
      <c r="J8008" t="inlineStr">
        <is>
          <t>4⁸, 8², 12¹⁶, 24⁴</t>
        </is>
      </c>
      <c r="K8008">
        <f>HYPERLINK("CSG2.html#group16F2", "16F²"), =HYPERLINK("CSG10.html#group56E10", "56E¹⁰"), =HYPERLINK("CSG11.html#group112B11", "112B¹¹"), =HYPERLINK("CSG11.html#group112F11", "112F¹¹")</f>
        <v/>
      </c>
      <c r="L8008" t="inlineStr"/>
      <c r="M8008">
        <f>HYPERLINK("CSG2.html#group28C2", "28C²"), =HYPERLINK("CSG1.html#group16D1", "16D¹"), =HYPERLINK("CSG10.html#group56E10", "56E¹⁰"), =HYPERLINK("CSG1.html#group14B1", "14B¹"), =HYPERLINK("CSG2.html#group16F2", "16F²"), =HYPERLINK("CSG11.html#group112B11", "112B¹¹"), =HYPERLINK("CSG0.html#group4C0", "4C⁰"), =HYPERLINK("CSG0.html#group8B0", "8B⁰"), =HYPERLINK("CSG1.html#group16B1", "16B¹"), =HYPERLINK("CSG11.html#group112F11", "112F¹¹"), =HYPERLINK("CSG0.html#group8L0", "8L⁰"), =HYPERLINK("CSG0.html#group2B0", "2B⁰"), =HYPERLINK("CSG0.html#group1A0", "1A⁰"), =HYPERLINK("CSG0.html#group7A0", "7A⁰"), =HYPERLINK("CSG4.html#group56B4", "56B⁴")</f>
        <v/>
      </c>
      <c r="N8008" t="inlineStr"/>
    </row>
    <row r="8009">
      <c r="A8009" t="inlineStr">
        <is>
          <t>112W²⁴</t>
        </is>
      </c>
      <c r="B8009" t="inlineStr"/>
      <c r="C8009" t="inlineStr">
        <is>
          <t>336</t>
        </is>
      </c>
      <c r="D8009" t="inlineStr">
        <is>
          <t>2</t>
        </is>
      </c>
      <c r="E8009" t="inlineStr">
        <is>
          <t>168</t>
        </is>
      </c>
      <c r="F8009" t="inlineStr">
        <is>
          <t>6</t>
        </is>
      </c>
      <c r="G8009" t="inlineStr">
        <is>
          <t>0</t>
        </is>
      </c>
      <c r="H8009" t="inlineStr">
        <is>
          <t>28⁴, 56², 112¹</t>
        </is>
      </c>
      <c r="I8009" t="n">
        <v>7</v>
      </c>
      <c r="J8009" t="inlineStr">
        <is>
          <t>8⁴, 16⁴, 24⁸, 48⁸</t>
        </is>
      </c>
      <c r="K8009">
        <f>HYPERLINK("CSG11.html#group56G11", "56G¹¹")</f>
        <v/>
      </c>
      <c r="L8009" t="inlineStr"/>
      <c r="M8009">
        <f>HYPERLINK("CSG2.html#group28C2", "28C²"), =HYPERLINK("CSG11.html#group56G11", "56G¹¹"), =HYPERLINK("CSG1.html#group14B1", "14B¹"), =HYPERLINK("CSG0.html#group8K0", "8K⁰"), =HYPERLINK("CSG0.html#group4A0", "4A⁰"), =HYPERLINK("CSG0.html#group4C0", "4C⁰"), =HYPERLINK("CSG5.html#group28D5", "28D⁵"), =HYPERLINK("CSG0.html#group2B0", "2B⁰"), =HYPERLINK("CSG0.html#group4F0", "4F⁰"), =HYPERLINK("CSG1.html#group28A1", "28A¹"), =HYPERLINK("CSG0.html#group1A0", "1A⁰"), =HYPERLINK("CSG0.html#group7A0", "7A⁰")</f>
        <v/>
      </c>
      <c r="N8009" t="inlineStr"/>
    </row>
    <row r="8010">
      <c r="A8010" t="inlineStr">
        <is>
          <t>112X²⁴</t>
        </is>
      </c>
      <c r="B8010" t="inlineStr"/>
      <c r="C8010" t="inlineStr">
        <is>
          <t>336</t>
        </is>
      </c>
      <c r="D8010" t="inlineStr">
        <is>
          <t>2</t>
        </is>
      </c>
      <c r="E8010" t="inlineStr">
        <is>
          <t>168</t>
        </is>
      </c>
      <c r="F8010" t="inlineStr">
        <is>
          <t>6</t>
        </is>
      </c>
      <c r="G8010" t="inlineStr">
        <is>
          <t>0</t>
        </is>
      </c>
      <c r="H8010" t="inlineStr">
        <is>
          <t>28⁴, 56², 112¹</t>
        </is>
      </c>
      <c r="I8010" t="n">
        <v>7</v>
      </c>
      <c r="J8010" t="inlineStr">
        <is>
          <t>8⁴, 16⁴, 24⁸, 48⁸</t>
        </is>
      </c>
      <c r="K8010">
        <f>HYPERLINK("CSG11.html#group56G11", "56G¹¹")</f>
        <v/>
      </c>
      <c r="L8010" t="inlineStr"/>
      <c r="M8010">
        <f>HYPERLINK("CSG2.html#group28C2", "28C²"), =HYPERLINK("CSG11.html#group56G11", "56G¹¹"), =HYPERLINK("CSG1.html#group14B1", "14B¹"), =HYPERLINK("CSG0.html#group8K0", "8K⁰"), =HYPERLINK("CSG0.html#group4A0", "4A⁰"), =HYPERLINK("CSG0.html#group4C0", "4C⁰"), =HYPERLINK("CSG5.html#group28D5", "28D⁵"), =HYPERLINK("CSG0.html#group2B0", "2B⁰"), =HYPERLINK("CSG0.html#group4F0", "4F⁰"), =HYPERLINK("CSG1.html#group28A1", "28A¹"), =HYPERLINK("CSG0.html#group1A0", "1A⁰"), =HYPERLINK("CSG0.html#group7A0", "7A⁰")</f>
        <v/>
      </c>
      <c r="N8010" t="inlineStr"/>
    </row>
    <row r="8011">
      <c r="A8011" t="inlineStr">
        <is>
          <t>112Y²⁴</t>
        </is>
      </c>
      <c r="B8011" t="inlineStr"/>
      <c r="C8011" t="inlineStr">
        <is>
          <t>336</t>
        </is>
      </c>
      <c r="D8011" t="inlineStr">
        <is>
          <t>2</t>
        </is>
      </c>
      <c r="E8011" t="inlineStr">
        <is>
          <t>168</t>
        </is>
      </c>
      <c r="F8011" t="inlineStr">
        <is>
          <t>6</t>
        </is>
      </c>
      <c r="G8011" t="inlineStr">
        <is>
          <t>0</t>
        </is>
      </c>
      <c r="H8011" t="inlineStr">
        <is>
          <t>28⁴, 56², 112¹</t>
        </is>
      </c>
      <c r="I8011" t="n">
        <v>7</v>
      </c>
      <c r="J8011" t="inlineStr">
        <is>
          <t>8⁴, 16⁴, 24⁸, 48⁸</t>
        </is>
      </c>
      <c r="K8011">
        <f>HYPERLINK("CSG1.html#group16K1", "16K¹"), =HYPERLINK("CSG11.html#group56G11", "56G¹¹")</f>
        <v/>
      </c>
      <c r="L8011" t="inlineStr"/>
      <c r="M8011">
        <f>HYPERLINK("CSG2.html#group28C2", "28C²"), =HYPERLINK("CSG11.html#group56G11", "56G¹¹"), =HYPERLINK("CSG1.html#group14B1", "14B¹"), =HYPERLINK("CSG0.html#group8K0", "8K⁰"), =HYPERLINK("CSG0.html#group4A0", "4A⁰"), =HYPERLINK("CSG0.html#group4C0", "4C⁰"), =HYPERLINK("CSG5.html#group28D5", "28D⁵"), =HYPERLINK("CSG0.html#group2B0", "2B⁰"), =HYPERLINK("CSG0.html#group4F0", "4F⁰"), =HYPERLINK("CSG1.html#group28A1", "28A¹"), =HYPERLINK("CSG0.html#group1A0", "1A⁰"), =HYPERLINK("CSG1.html#group16K1", "16K¹"), =HYPERLINK("CSG0.html#group7A0", "7A⁰")</f>
        <v/>
      </c>
      <c r="N8011" t="inlineStr"/>
    </row>
    <row r="8012">
      <c r="A8012" t="inlineStr">
        <is>
          <t>112Z²⁴</t>
        </is>
      </c>
      <c r="B8012" t="inlineStr"/>
      <c r="C8012" t="inlineStr">
        <is>
          <t>336</t>
        </is>
      </c>
      <c r="D8012" t="inlineStr">
        <is>
          <t>2</t>
        </is>
      </c>
      <c r="E8012" t="inlineStr">
        <is>
          <t>168</t>
        </is>
      </c>
      <c r="F8012" t="inlineStr">
        <is>
          <t>6</t>
        </is>
      </c>
      <c r="G8012" t="inlineStr">
        <is>
          <t>0</t>
        </is>
      </c>
      <c r="H8012" t="inlineStr">
        <is>
          <t>28⁴, 56², 112¹</t>
        </is>
      </c>
      <c r="I8012" t="n">
        <v>7</v>
      </c>
      <c r="J8012" t="inlineStr">
        <is>
          <t>8⁴, 16⁴, 24⁸, 48⁸</t>
        </is>
      </c>
      <c r="K8012">
        <f>HYPERLINK("CSG1.html#group16L1", "16L¹"), =HYPERLINK("CSG11.html#group56G11", "56G¹¹")</f>
        <v/>
      </c>
      <c r="L8012" t="inlineStr"/>
      <c r="M8012">
        <f>HYPERLINK("CSG11.html#group56G11", "56G¹¹"), =HYPERLINK("CSG1.html#group14B1", "14B¹"), =HYPERLINK("CSG0.html#group4C0", "4C⁰"), =HYPERLINK("CSG0.html#group2B0", "2B⁰"), =HYPERLINK("CSG0.html#group8K0", "8K⁰"), =HYPERLINK("CSG0.html#group1A0", "1A⁰"), =HYPERLINK("CSG2.html#group28C2", "28C²"), =HYPERLINK("CSG1.html#group16L1", "16L¹"), =HYPERLINK("CSG0.html#group4A0", "4A⁰"), =HYPERLINK("CSG5.html#group28D5", "28D⁵"), =HYPERLINK("CSG0.html#group4F0", "4F⁰"), =HYPERLINK("CSG1.html#group28A1", "28A¹"), =HYPERLINK("CSG0.html#group7A0", "7A⁰")</f>
        <v/>
      </c>
      <c r="N8012" t="inlineStr"/>
    </row>
    <row r="8013">
      <c r="A8013" t="inlineStr">
        <is>
          <t>126A²⁴</t>
        </is>
      </c>
      <c r="B8013" t="inlineStr"/>
      <c r="C8013" t="inlineStr">
        <is>
          <t>336</t>
        </is>
      </c>
      <c r="D8013" t="inlineStr">
        <is>
          <t>2</t>
        </is>
      </c>
      <c r="E8013" t="inlineStr">
        <is>
          <t>112</t>
        </is>
      </c>
      <c r="F8013" t="inlineStr">
        <is>
          <t>0</t>
        </is>
      </c>
      <c r="G8013" t="inlineStr">
        <is>
          <t>3</t>
        </is>
      </c>
      <c r="H8013" t="inlineStr">
        <is>
          <t>14⁶, 126²</t>
        </is>
      </c>
      <c r="I8013" t="n">
        <v>8</v>
      </c>
      <c r="J8013" t="inlineStr">
        <is>
          <t>4⁸, 12¹⁶</t>
        </is>
      </c>
      <c r="K8013">
        <f>HYPERLINK("CSG7.html#group42F7", "42F⁷")</f>
        <v/>
      </c>
      <c r="L8013" t="inlineStr"/>
      <c r="M8013">
        <f>HYPERLINK("CSG3.html#group21B3", "21B³"), =HYPERLINK("CSG0.html#group3B0", "3B⁰"), =HYPERLINK("CSG0.html#group2A0", "2A⁰"), =HYPERLINK("CSG0.html#group14A0", "14A⁰"), =HYPERLINK("CSG1.html#group14D1", "14D¹"), =HYPERLINK("CSG2.html#group21B2", "21B²"), =HYPERLINK("CSG4.html#group42E4", "42E⁴"), =HYPERLINK("CSG4.html#group42D4", "42D⁴"), =HYPERLINK("CSG7.html#group42F7", "42F⁷"), =HYPERLINK("CSG0.html#group7C0", "7C⁰"), =HYPERLINK("CSG0.html#group6C0", "6C⁰"), =HYPERLINK("CSG1.html#group14A1", "14A¹"), =HYPERLINK("CSG0.html#group1A0", "1A⁰"), =HYPERLINK("CSG0.html#group7A0", "7A⁰")</f>
        <v/>
      </c>
      <c r="N8013" t="inlineStr"/>
    </row>
    <row r="8014">
      <c r="A8014" t="inlineStr">
        <is>
          <t>126B²⁴</t>
        </is>
      </c>
      <c r="B8014" t="inlineStr"/>
      <c r="C8014" t="inlineStr">
        <is>
          <t>378</t>
        </is>
      </c>
      <c r="D8014" t="inlineStr">
        <is>
          <t>1</t>
        </is>
      </c>
      <c r="E8014" t="inlineStr">
        <is>
          <t>189</t>
        </is>
      </c>
      <c r="F8014" t="inlineStr">
        <is>
          <t>28</t>
        </is>
      </c>
      <c r="G8014" t="inlineStr">
        <is>
          <t>0</t>
        </is>
      </c>
      <c r="H8014" t="inlineStr">
        <is>
          <t>126³</t>
        </is>
      </c>
      <c r="I8014" t="n">
        <v>3</v>
      </c>
      <c r="J8014" t="inlineStr">
        <is>
          <t>3¹, 6⁴, 12³, 18¹, 36³</t>
        </is>
      </c>
      <c r="K8014">
        <f>HYPERLINK("CSG7.html#group42G7", "42G⁷"), =HYPERLINK("CSG9.html#group63D9", "63D⁹")</f>
        <v/>
      </c>
      <c r="L8014" t="inlineStr"/>
      <c r="M8014">
        <f>HYPERLINK("CSG9.html#group63D9", "63D⁹"), =HYPERLINK("CSG0.html#group7D0", "7D⁰"), =HYPERLINK("CSG1.html#group21E1", "21E¹"), =HYPERLINK("CSG0.html#group9A0", "9A⁰"), =HYPERLINK("CSG2.html#group63A2", "63A²"), =HYPERLINK("CSG7.html#group42G7", "42G⁷"), =HYPERLINK("CSG0.html#group21A0", "21A⁰"), =HYPERLINK("CSG0.html#group3A0", "3A⁰"), =HYPERLINK("CSG0.html#group1A0", "1A⁰"), =HYPERLINK("CSG0.html#group7A0", "7A⁰")</f>
        <v/>
      </c>
      <c r="N8014" t="inlineStr"/>
    </row>
    <row r="8015">
      <c r="A8015" t="inlineStr">
        <is>
          <t>126C²⁴</t>
        </is>
      </c>
      <c r="B8015" t="inlineStr"/>
      <c r="C8015" t="inlineStr">
        <is>
          <t>378</t>
        </is>
      </c>
      <c r="D8015" t="inlineStr">
        <is>
          <t>2</t>
        </is>
      </c>
      <c r="E8015" t="inlineStr">
        <is>
          <t>189</t>
        </is>
      </c>
      <c r="F8015" t="inlineStr">
        <is>
          <t>28</t>
        </is>
      </c>
      <c r="G8015" t="inlineStr">
        <is>
          <t>0</t>
        </is>
      </c>
      <c r="H8015" t="inlineStr">
        <is>
          <t>126³</t>
        </is>
      </c>
      <c r="I8015" t="n">
        <v>3</v>
      </c>
      <c r="J8015" t="inlineStr">
        <is>
          <t>6¹, 12⁴, 18², 36⁸</t>
        </is>
      </c>
      <c r="K8015">
        <f>HYPERLINK("CSG6.html#group126A6", "126A⁶"), =HYPERLINK("CSG10.html#group63B10", "63B¹⁰")</f>
        <v/>
      </c>
      <c r="L8015" t="inlineStr"/>
      <c r="M8015">
        <f>HYPERLINK("CSG0.html#group14A0", "14A⁰"), =HYPERLINK("CSG10.html#group63B10", "63B¹⁰"), =HYPERLINK("CSG1.html#group42A1", "42A¹"), =HYPERLINK("CSG6.html#group126A6", "126A⁶"), =HYPERLINK("CSG0.html#group9A0", "9A⁰"), =HYPERLINK("CSG0.html#group9G0", "9G⁰"), =HYPERLINK("CSG0.html#group21A0", "21A⁰"), =HYPERLINK("CSG0.html#group7A0", "7A⁰"), =HYPERLINK("CSG0.html#group3A0", "3A⁰"), =HYPERLINK("CSG0.html#group1A0", "1A⁰"), =HYPERLINK("CSG2.html#group63A2", "63A²")</f>
        <v/>
      </c>
      <c r="N8015" t="inlineStr"/>
    </row>
    <row r="8016">
      <c r="A8016" t="inlineStr">
        <is>
          <t>126D²⁴</t>
        </is>
      </c>
      <c r="B8016" t="inlineStr"/>
      <c r="C8016" t="inlineStr">
        <is>
          <t>378</t>
        </is>
      </c>
      <c r="D8016" t="inlineStr">
        <is>
          <t>2</t>
        </is>
      </c>
      <c r="E8016" t="inlineStr">
        <is>
          <t>189</t>
        </is>
      </c>
      <c r="F8016" t="inlineStr">
        <is>
          <t>28</t>
        </is>
      </c>
      <c r="G8016" t="inlineStr">
        <is>
          <t>0</t>
        </is>
      </c>
      <c r="H8016" t="inlineStr">
        <is>
          <t>126³</t>
        </is>
      </c>
      <c r="I8016" t="n">
        <v>3</v>
      </c>
      <c r="J8016" t="inlineStr">
        <is>
          <t>12²¹, 36¹⁴</t>
        </is>
      </c>
      <c r="K8016">
        <f>HYPERLINK("CSG6.html#group42D6", "42D⁶"), =HYPERLINK("CSG8.html#group126B8", "126B⁸"), =HYPERLINK("CSG9.html#group63D9", "63D⁹")</f>
        <v/>
      </c>
      <c r="L8016" t="inlineStr"/>
      <c r="M8016">
        <f>HYPERLINK("CSG9.html#group63D9", "63D⁹"), =HYPERLINK("CSG2.html#group42A2", "42A²"), =HYPERLINK("CSG0.html#group7D0", "7D⁰"), =HYPERLINK("CSG1.html#group21E1", "21E¹"), =HYPERLINK("CSG0.html#group9A0", "9A⁰"), =HYPERLINK("CSG0.html#group21A0", "21A⁰"), =HYPERLINK("CSG6.html#group42D6", "42D⁶"), =HYPERLINK("CSG0.html#group1A0", "1A⁰"), =HYPERLINK("CSG0.html#group7A0", "7A⁰"), =HYPERLINK("CSG0.html#group3A0", "3A⁰"), =HYPERLINK("CSG8.html#group126B8", "126B⁸"), =HYPERLINK("CSG2.html#group63A2", "63A²")</f>
        <v/>
      </c>
      <c r="N8016" t="inlineStr"/>
    </row>
    <row r="8017">
      <c r="A8017" t="inlineStr">
        <is>
          <t>126E²⁴</t>
        </is>
      </c>
      <c r="B8017" t="inlineStr"/>
      <c r="C8017" t="inlineStr">
        <is>
          <t>378</t>
        </is>
      </c>
      <c r="D8017" t="inlineStr">
        <is>
          <t>2</t>
        </is>
      </c>
      <c r="E8017" t="inlineStr">
        <is>
          <t>189</t>
        </is>
      </c>
      <c r="F8017" t="inlineStr">
        <is>
          <t>28</t>
        </is>
      </c>
      <c r="G8017" t="inlineStr">
        <is>
          <t>0</t>
        </is>
      </c>
      <c r="H8017" t="inlineStr">
        <is>
          <t>126³</t>
        </is>
      </c>
      <c r="I8017" t="n">
        <v>3</v>
      </c>
      <c r="J8017" t="inlineStr">
        <is>
          <t>12²¹, 36¹⁴</t>
        </is>
      </c>
      <c r="K8017">
        <f>HYPERLINK("CSG6.html#group42D6", "42D⁶"), =HYPERLINK("CSG8.html#group126C8", "126C⁸"), =HYPERLINK("CSG9.html#group63D9", "63D⁹")</f>
        <v/>
      </c>
      <c r="L8017" t="inlineStr"/>
      <c r="M8017">
        <f>HYPERLINK("CSG8.html#group126C8", "126C⁸"), =HYPERLINK("CSG9.html#group63D9", "63D⁹"), =HYPERLINK("CSG2.html#group42A2", "42A²"), =HYPERLINK("CSG0.html#group7D0", "7D⁰"), =HYPERLINK("CSG1.html#group21E1", "21E¹"), =HYPERLINK("CSG0.html#group9A0", "9A⁰"), =HYPERLINK("CSG0.html#group21A0", "21A⁰"), =HYPERLINK("CSG6.html#group42D6", "42D⁶"), =HYPERLINK("CSG0.html#group7A0", "7A⁰"), =HYPERLINK("CSG0.html#group3A0", "3A⁰"), =HYPERLINK("CSG0.html#group1A0", "1A⁰"), =HYPERLINK("CSG2.html#group63A2", "63A²")</f>
        <v/>
      </c>
      <c r="N8017" t="inlineStr"/>
    </row>
    <row r="8018">
      <c r="A8018" t="inlineStr">
        <is>
          <t>144A²⁴</t>
        </is>
      </c>
      <c r="B8018" t="inlineStr"/>
      <c r="C8018" t="inlineStr">
        <is>
          <t>288</t>
        </is>
      </c>
      <c r="D8018" t="inlineStr">
        <is>
          <t>1</t>
        </is>
      </c>
      <c r="E8018" t="inlineStr">
        <is>
          <t>36</t>
        </is>
      </c>
      <c r="F8018" t="inlineStr">
        <is>
          <t>0</t>
        </is>
      </c>
      <c r="G8018" t="inlineStr">
        <is>
          <t>0</t>
        </is>
      </c>
      <c r="H8018" t="inlineStr">
        <is>
          <t>144²</t>
        </is>
      </c>
      <c r="I8018" t="n">
        <v>2</v>
      </c>
      <c r="J8018" t="inlineStr">
        <is>
          <t>2², 4², 12²</t>
        </is>
      </c>
      <c r="K8018">
        <f>HYPERLINK("CSG8.html#group48A8", "48A⁸"), =HYPERLINK("CSG10.html#group144A10", "144A¹⁰"), =HYPERLINK("CSG12.html#group72A12", "72A¹²")</f>
        <v/>
      </c>
      <c r="L8018" t="inlineStr"/>
      <c r="M8018">
        <f>HYPERLINK("CSG0.html#group2A0", "2A⁰"), =HYPERLINK("CSG8.html#group48A8", "48A⁸"), =HYPERLINK("CSG0.html#group16A0", "16A⁰"), =HYPERLINK("CSG0.html#group8A0", "8A⁰"), =HYPERLINK("CSG4.html#group24A4", "24A⁴"), =HYPERLINK("CSG0.html#group8E0", "8E⁰"), =HYPERLINK("CSG2.html#group18A2", "18A²"), =HYPERLINK("CSG6.html#group36A6", "36A⁶"), =HYPERLINK("CSG0.html#group1A0", "1A⁰"), =HYPERLINK("CSG4.html#group72A4", "72A⁴"), =HYPERLINK("CSG1.html#group36A1", "36A¹"), =HYPERLINK("CSG10.html#group144A10", "144A¹⁰"), =HYPERLINK("CSG0.html#group12A0", "12A⁰"), =HYPERLINK("CSG3.html#group48A3", "48A³"), =HYPERLINK("CSG1.html#group24A1", "24A¹"), =HYPERLINK("CSG0.html#group4A0", "4A⁰"), =HYPERLINK("CSG0.html#group4D0", "4D⁰"), =HYPERLINK("CSG0.html#group16F0", "16F⁰"), =HYPERLINK("CSG12.html#group72A12", "72A¹²"), =HYPERLINK("CSG0.html#group9A0", "9A⁰"), =HYPERLINK("CSG2.html#group12A2", "12A²"), =HYPERLINK("CSG1.html#group6A1", "6A¹"), =HYPERLINK("CSG0.html#group3A0", "3A⁰")</f>
        <v/>
      </c>
      <c r="N8018" t="inlineStr"/>
    </row>
    <row r="8019">
      <c r="A8019" t="inlineStr">
        <is>
          <t>144B²⁴</t>
        </is>
      </c>
      <c r="B8019" t="inlineStr"/>
      <c r="C8019" t="inlineStr">
        <is>
          <t>288</t>
        </is>
      </c>
      <c r="D8019" t="inlineStr">
        <is>
          <t>1</t>
        </is>
      </c>
      <c r="E8019" t="inlineStr">
        <is>
          <t>36</t>
        </is>
      </c>
      <c r="F8019" t="inlineStr">
        <is>
          <t>0</t>
        </is>
      </c>
      <c r="G8019" t="inlineStr">
        <is>
          <t>0</t>
        </is>
      </c>
      <c r="H8019" t="inlineStr">
        <is>
          <t>144²</t>
        </is>
      </c>
      <c r="I8019" t="n">
        <v>2</v>
      </c>
      <c r="J8019" t="inlineStr">
        <is>
          <t>2², 4², 12²</t>
        </is>
      </c>
      <c r="K8019">
        <f>HYPERLINK("CSG8.html#group48B8", "48B⁸"), =HYPERLINK("CSG10.html#group144B10", "144B¹⁰"), =HYPERLINK("CSG12.html#group72A12", "72A¹²")</f>
        <v/>
      </c>
      <c r="L8019" t="inlineStr"/>
      <c r="M8019">
        <f>HYPERLINK("CSG0.html#group2A0", "2A⁰"), =HYPERLINK("CSG0.html#group8A0", "8A⁰"), =HYPERLINK("CSG10.html#group144B10", "144B¹⁰"), =HYPERLINK("CSG4.html#group24A4", "24A⁴"), =HYPERLINK("CSG0.html#group8E0", "8E⁰"), =HYPERLINK("CSG2.html#group18A2", "18A²"), =HYPERLINK("CSG6.html#group36A6", "36A⁶"), =HYPERLINK("CSG0.html#group1A0", "1A⁰"), =HYPERLINK("CSG4.html#group72A4", "72A⁴"), =HYPERLINK("CSG1.html#group36A1", "36A¹"), =HYPERLINK("CSG0.html#group12A0", "12A⁰"), =HYPERLINK("CSG1.html#group24A1", "24A¹"), =HYPERLINK("CSG0.html#group4A0", "4A⁰"), =HYPERLINK("CSG0.html#group4D0", "4D⁰"), =HYPERLINK("CSG0.html#group9A0", "9A⁰"), =HYPERLINK("CSG12.html#group72A12", "72A¹²"), =HYPERLINK("CSG2.html#group12A2", "12A²"), =HYPERLINK("CSG1.html#group6A1", "6A¹"), =HYPERLINK("CSG0.html#group3A0", "3A⁰"), =HYPERLINK("CSG8.html#group48B8", "48B⁸"), =HYPERLINK("CSG3.html#group48B3", "48B³")</f>
        <v/>
      </c>
      <c r="N8019" t="inlineStr"/>
    </row>
    <row r="8020">
      <c r="A8020" t="inlineStr">
        <is>
          <t>144C²⁴</t>
        </is>
      </c>
      <c r="B8020" t="inlineStr"/>
      <c r="C8020" t="inlineStr">
        <is>
          <t>288</t>
        </is>
      </c>
      <c r="D8020" t="inlineStr">
        <is>
          <t>2</t>
        </is>
      </c>
      <c r="E8020" t="inlineStr">
        <is>
          <t>36</t>
        </is>
      </c>
      <c r="F8020" t="inlineStr">
        <is>
          <t>0</t>
        </is>
      </c>
      <c r="G8020" t="inlineStr">
        <is>
          <t>0</t>
        </is>
      </c>
      <c r="H8020" t="inlineStr">
        <is>
          <t>144²</t>
        </is>
      </c>
      <c r="I8020" t="n">
        <v>2</v>
      </c>
      <c r="J8020" t="inlineStr">
        <is>
          <t>4⁶, 12⁴</t>
        </is>
      </c>
      <c r="K8020">
        <f>HYPERLINK("CSG8.html#group48B8", "48B⁸"), =HYPERLINK("CSG10.html#group144C10", "144C¹⁰"), =HYPERLINK("CSG10.html#group144D10", "144D¹⁰"), =HYPERLINK("CSG12.html#group72A12", "72A¹²")</f>
        <v/>
      </c>
      <c r="L8020" t="inlineStr"/>
      <c r="M8020">
        <f>HYPERLINK("CSG0.html#group2A0", "2A⁰"), =HYPERLINK("CSG10.html#group144C10", "144C¹⁰"), =HYPERLINK("CSG10.html#group144D10", "144D¹⁰"), =HYPERLINK("CSG0.html#group8A0", "8A⁰"), =HYPERLINK("CSG4.html#group24A4", "24A⁴"), =HYPERLINK("CSG0.html#group8E0", "8E⁰"), =HYPERLINK("CSG2.html#group18A2", "18A²"), =HYPERLINK("CSG6.html#group36A6", "36A⁶"), =HYPERLINK("CSG0.html#group1A0", "1A⁰"), =HYPERLINK("CSG4.html#group72A4", "72A⁴"), =HYPERLINK("CSG1.html#group36A1", "36A¹"), =HYPERLINK("CSG0.html#group12A0", "12A⁰"), =HYPERLINK("CSG1.html#group24A1", "24A¹"), =HYPERLINK("CSG0.html#group4A0", "4A⁰"), =HYPERLINK("CSG0.html#group4D0", "4D⁰"), =HYPERLINK("CSG0.html#group9A0", "9A⁰"), =HYPERLINK("CSG12.html#group72A12", "72A¹²"), =HYPERLINK("CSG2.html#group12A2", "12A²"), =HYPERLINK("CSG1.html#group6A1", "6A¹"), =HYPERLINK("CSG0.html#group3A0", "3A⁰"), =HYPERLINK("CSG8.html#group48B8", "48B⁸"), =HYPERLINK("CSG3.html#group48B3", "48B³")</f>
        <v/>
      </c>
      <c r="N8020" t="inlineStr"/>
    </row>
    <row r="8021">
      <c r="A8021" t="inlineStr">
        <is>
          <t>145A²⁴</t>
        </is>
      </c>
      <c r="B8021" t="inlineStr"/>
      <c r="C8021" t="inlineStr">
        <is>
          <t>300</t>
        </is>
      </c>
      <c r="D8021" t="inlineStr">
        <is>
          <t>1</t>
        </is>
      </c>
      <c r="E8021" t="inlineStr">
        <is>
          <t>150</t>
        </is>
      </c>
      <c r="F8021" t="inlineStr">
        <is>
          <t>0</t>
        </is>
      </c>
      <c r="G8021" t="inlineStr">
        <is>
          <t>0</t>
        </is>
      </c>
      <c r="H8021" t="inlineStr">
        <is>
          <t>5², 145²</t>
        </is>
      </c>
      <c r="I8021" t="n">
        <v>4</v>
      </c>
      <c r="J8021" t="inlineStr">
        <is>
          <t>1², 4², 28¹, 112¹</t>
        </is>
      </c>
      <c r="K8021">
        <f>HYPERLINK("CSG4.html#group29A4", "29A⁴"), =HYPERLINK("CSG12.html#group145A12", "145A¹²")</f>
        <v/>
      </c>
      <c r="L8021" t="inlineStr"/>
      <c r="M8021">
        <f>HYPERLINK("CSG0.html#group5A0", "5A⁰"), =HYPERLINK("CSG4.html#group29A4", "29A⁴"), =HYPERLINK("CSG0.html#group1A0", "1A⁰"), =HYPERLINK("CSG2.html#group29A2", "29A²"), =HYPERLINK("CSG12.html#group145A12", "145A¹²")</f>
        <v/>
      </c>
      <c r="N8021" t="inlineStr"/>
    </row>
    <row r="8022">
      <c r="A8022" t="inlineStr">
        <is>
          <t>149A²⁴</t>
        </is>
      </c>
      <c r="B8022" t="inlineStr"/>
      <c r="C8022" t="inlineStr">
        <is>
          <t>300</t>
        </is>
      </c>
      <c r="D8022" t="inlineStr">
        <is>
          <t>1</t>
        </is>
      </c>
      <c r="E8022" t="inlineStr">
        <is>
          <t>150</t>
        </is>
      </c>
      <c r="F8022" t="inlineStr">
        <is>
          <t>0</t>
        </is>
      </c>
      <c r="G8022" t="inlineStr">
        <is>
          <t>0</t>
        </is>
      </c>
      <c r="H8022" t="inlineStr">
        <is>
          <t>1², 149²</t>
        </is>
      </c>
      <c r="I8022" t="n">
        <v>4</v>
      </c>
      <c r="J8022" t="inlineStr">
        <is>
          <t>1², 148¹</t>
        </is>
      </c>
      <c r="K8022">
        <f>HYPERLINK("CSG12.html#group149A12", "149A¹²")</f>
        <v/>
      </c>
      <c r="L8022" t="inlineStr"/>
      <c r="M8022">
        <f>HYPERLINK("CSG0.html#group1A0", "1A⁰"), =HYPERLINK("CSG12.html#group149A12", "149A¹²")</f>
        <v/>
      </c>
      <c r="N8022" t="inlineStr"/>
    </row>
    <row r="8023">
      <c r="A8023" t="inlineStr">
        <is>
          <t>150A²⁴</t>
        </is>
      </c>
      <c r="B8023" t="inlineStr"/>
      <c r="C8023" t="inlineStr">
        <is>
          <t>300</t>
        </is>
      </c>
      <c r="D8023" t="inlineStr">
        <is>
          <t>1</t>
        </is>
      </c>
      <c r="E8023" t="inlineStr">
        <is>
          <t>150</t>
        </is>
      </c>
      <c r="F8023" t="inlineStr">
        <is>
          <t>4</t>
        </is>
      </c>
      <c r="G8023" t="inlineStr">
        <is>
          <t>0</t>
        </is>
      </c>
      <c r="H8023" t="inlineStr">
        <is>
          <t>150²</t>
        </is>
      </c>
      <c r="I8023" t="n">
        <v>2</v>
      </c>
      <c r="J8023" t="inlineStr">
        <is>
          <t>2¹, 4³, 8², 20², 40²</t>
        </is>
      </c>
      <c r="K8023">
        <f>HYPERLINK("CSG4.html#group30C4", "30C⁴"), =HYPERLINK("CSG11.html#group75A11", "75A¹¹")</f>
        <v/>
      </c>
      <c r="L8023" t="inlineStr"/>
      <c r="M8023">
        <f>HYPERLINK("CSG4.html#group30C4", "30C⁴"), =HYPERLINK("CSG1.html#group15D1", "15D¹"), =HYPERLINK("CSG0.html#group5C0", "5C⁰"), =HYPERLINK("CSG2.html#group25E2", "25E²"), =HYPERLINK("CSG11.html#group75A11", "75A¹¹"), =HYPERLINK("CSG0.html#group3A0", "3A⁰"), =HYPERLINK("CSG0.html#group1A0", "1A⁰")</f>
        <v/>
      </c>
      <c r="N8023" t="inlineStr"/>
    </row>
    <row r="8024">
      <c r="A8024" t="inlineStr">
        <is>
          <t>157A²⁴</t>
        </is>
      </c>
      <c r="B8024" t="inlineStr"/>
      <c r="C8024" t="inlineStr">
        <is>
          <t>316</t>
        </is>
      </c>
      <c r="D8024" t="inlineStr">
        <is>
          <t>1</t>
        </is>
      </c>
      <c r="E8024" t="inlineStr">
        <is>
          <t>158</t>
        </is>
      </c>
      <c r="F8024" t="inlineStr">
        <is>
          <t>0</t>
        </is>
      </c>
      <c r="G8024" t="inlineStr">
        <is>
          <t>4</t>
        </is>
      </c>
      <c r="H8024" t="inlineStr">
        <is>
          <t>1², 157²</t>
        </is>
      </c>
      <c r="I8024" t="n">
        <v>4</v>
      </c>
      <c r="J8024" t="inlineStr">
        <is>
          <t>1², 156¹</t>
        </is>
      </c>
      <c r="K8024">
        <f>HYPERLINK("CSG12.html#group157A12", "157A¹²")</f>
        <v/>
      </c>
      <c r="L8024" t="inlineStr"/>
      <c r="M8024">
        <f>HYPERLINK("CSG12.html#group157A12", "157A¹²"), =HYPERLINK("CSG0.html#group1A0", "1A⁰")</f>
        <v/>
      </c>
      <c r="N8024" t="inlineStr"/>
    </row>
    <row r="8025">
      <c r="A8025" t="inlineStr">
        <is>
          <t>159A²⁴</t>
        </is>
      </c>
      <c r="B8025" t="inlineStr"/>
      <c r="C8025" t="inlineStr">
        <is>
          <t>324</t>
        </is>
      </c>
      <c r="D8025" t="inlineStr">
        <is>
          <t>1</t>
        </is>
      </c>
      <c r="E8025" t="inlineStr">
        <is>
          <t>162</t>
        </is>
      </c>
      <c r="F8025" t="inlineStr">
        <is>
          <t>8</t>
        </is>
      </c>
      <c r="G8025" t="inlineStr">
        <is>
          <t>0</t>
        </is>
      </c>
      <c r="H8025" t="inlineStr">
        <is>
          <t>3², 159²</t>
        </is>
      </c>
      <c r="I8025" t="n">
        <v>4</v>
      </c>
      <c r="J8025" t="inlineStr">
        <is>
          <t>1², 2², 52¹, 104¹</t>
        </is>
      </c>
      <c r="K8025">
        <f>HYPERLINK("CSG12.html#group159A12", "159A¹²")</f>
        <v/>
      </c>
      <c r="L8025" t="inlineStr"/>
      <c r="M8025">
        <f>HYPERLINK("CSG0.html#group3A0", "3A⁰"), =HYPERLINK("CSG0.html#group1A0", "1A⁰"), =HYPERLINK("CSG4.html#group53A4", "53A⁴"), =HYPERLINK("CSG12.html#group159A12", "159A¹²")</f>
        <v/>
      </c>
      <c r="N8025" t="inlineStr"/>
    </row>
    <row r="8026">
      <c r="A8026" t="inlineStr">
        <is>
          <t>168A²⁴</t>
        </is>
      </c>
      <c r="B8026" t="inlineStr"/>
      <c r="C8026" t="inlineStr">
        <is>
          <t>336</t>
        </is>
      </c>
      <c r="D8026" t="inlineStr">
        <is>
          <t>2</t>
        </is>
      </c>
      <c r="E8026" t="inlineStr">
        <is>
          <t>84</t>
        </is>
      </c>
      <c r="F8026" t="inlineStr">
        <is>
          <t>0</t>
        </is>
      </c>
      <c r="G8026" t="inlineStr">
        <is>
          <t>0</t>
        </is>
      </c>
      <c r="H8026" t="inlineStr">
        <is>
          <t>7⁴, 21⁴, 56¹, 168¹</t>
        </is>
      </c>
      <c r="I8026" t="n">
        <v>10</v>
      </c>
      <c r="J8026" t="inlineStr">
        <is>
          <t>2⁶, 4³, 6¹², 12⁶</t>
        </is>
      </c>
      <c r="K8026">
        <f>HYPERLINK("CSG12.html#group84B12", "84B¹²")</f>
        <v/>
      </c>
      <c r="L8026" t="inlineStr"/>
      <c r="M8026">
        <f>HYPERLINK("CSG0.html#group3B0", "3B⁰"), =HYPERLINK("CSG12.html#group84B12", "84B¹²"), =HYPERLINK("CSG2.html#group21B2", "21B²"), =HYPERLINK("CSG1.html#group14B1", "14B¹"), =HYPERLINK("CSG6.html#group42C6", "42C⁶"), =HYPERLINK("CSG3.html#group28A3", "28A³"), =HYPERLINK("CSG0.html#group1A0", "1A⁰"), =HYPERLINK("CSG0.html#group2B0", "2B⁰"), =HYPERLINK("CSG0.html#group4B0", "4B⁰"), =HYPERLINK("CSG0.html#group6F0", "6F⁰"), =HYPERLINK("CSG0.html#group12E0", "12E⁰"), =HYPERLINK("CSG0.html#group7A0", "7A⁰")</f>
        <v/>
      </c>
      <c r="N8026" t="inlineStr"/>
    </row>
    <row r="8027">
      <c r="A8027" t="inlineStr">
        <is>
          <t>168B²⁴</t>
        </is>
      </c>
      <c r="B8027" t="inlineStr"/>
      <c r="C8027" t="inlineStr">
        <is>
          <t>336</t>
        </is>
      </c>
      <c r="D8027" t="inlineStr">
        <is>
          <t>2</t>
        </is>
      </c>
      <c r="E8027" t="inlineStr">
        <is>
          <t>84</t>
        </is>
      </c>
      <c r="F8027" t="inlineStr">
        <is>
          <t>0</t>
        </is>
      </c>
      <c r="G8027" t="inlineStr">
        <is>
          <t>0</t>
        </is>
      </c>
      <c r="H8027" t="inlineStr">
        <is>
          <t>7⁴, 21⁴, 56¹, 168¹</t>
        </is>
      </c>
      <c r="I8027" t="n">
        <v>10</v>
      </c>
      <c r="J8027" t="inlineStr">
        <is>
          <t>2⁶, 4³, 6¹², 12⁶</t>
        </is>
      </c>
      <c r="K8027">
        <f>HYPERLINK("CSG0.html#group24B0", "24B⁰"), =HYPERLINK("CSG12.html#group84B12", "84B¹²")</f>
        <v/>
      </c>
      <c r="L8027" t="inlineStr"/>
      <c r="M8027">
        <f>HYPERLINK("CSG0.html#group3B0", "3B⁰"), =HYPERLINK("CSG12.html#group84B12", "84B¹²"), =HYPERLINK("CSG1.html#group14B1", "14B¹"), =HYPERLINK("CSG3.html#group28A3", "28A³"), =HYPERLINK("CSG0.html#group2B0", "2B⁰"), =HYPERLINK("CSG0.html#group4B0", "4B⁰"), =HYPERLINK("CSG0.html#group1A0", "1A⁰"), =HYPERLINK("CSG2.html#group21B2", "21B²"), =HYPERLINK("CSG0.html#group24B0", "24B⁰"), =HYPERLINK("CSG6.html#group42C6", "42C⁶"), =HYPERLINK("CSG0.html#group6F0", "6F⁰"), =HYPERLINK("CSG0.html#group12E0", "12E⁰"), =HYPERLINK("CSG0.html#group7A0", "7A⁰")</f>
        <v/>
      </c>
      <c r="N8027" t="inlineStr"/>
    </row>
    <row r="8028">
      <c r="A8028" t="inlineStr">
        <is>
          <t>168C²⁴</t>
        </is>
      </c>
      <c r="B8028" t="inlineStr"/>
      <c r="C8028" t="inlineStr">
        <is>
          <t>336</t>
        </is>
      </c>
      <c r="D8028" t="inlineStr">
        <is>
          <t>2</t>
        </is>
      </c>
      <c r="E8028" t="inlineStr">
        <is>
          <t>84</t>
        </is>
      </c>
      <c r="F8028" t="inlineStr">
        <is>
          <t>16</t>
        </is>
      </c>
      <c r="G8028" t="inlineStr">
        <is>
          <t>0</t>
        </is>
      </c>
      <c r="H8028" t="inlineStr">
        <is>
          <t>168²</t>
        </is>
      </c>
      <c r="I8028" t="n">
        <v>2</v>
      </c>
      <c r="J8028" t="inlineStr">
        <is>
          <t>8², 16², 24⁴, 48⁴</t>
        </is>
      </c>
      <c r="K8028">
        <f>HYPERLINK("CSG10.html#group84F10", "84F¹⁰"), =HYPERLINK("CSG10.html#group168A10", "168A¹⁰"), =HYPERLINK("CSG10.html#group168H10", "168H¹⁰")</f>
        <v/>
      </c>
      <c r="L8028" t="inlineStr"/>
      <c r="M8028">
        <f>HYPERLINK("CSG3.html#group84A3", "84A³"), =HYPERLINK("CSG10.html#group168H10", "168H¹⁰"), =HYPERLINK("CSG0.html#group12A0", "12A⁰"), =HYPERLINK("CSG10.html#group84F10", "84F¹⁰"), =HYPERLINK("CSG2.html#group42A2", "42A²"), =HYPERLINK("CSG0.html#group4A0", "4A⁰"), =HYPERLINK("CSG10.html#group168A10", "168A¹⁰"), =HYPERLINK("CSG0.html#group21A0", "21A⁰"), =HYPERLINK("CSG1.html#group24B1", "24B¹"), =HYPERLINK("CSG0.html#group3A0", "3A⁰"), =HYPERLINK("CSG1.html#group28A1", "28A¹"), =HYPERLINK("CSG0.html#group1A0", "1A⁰"), =HYPERLINK("CSG0.html#group7A0", "7A⁰"), =HYPERLINK("CSG3.html#group56A3", "56A³")</f>
        <v/>
      </c>
      <c r="N8028" t="inlineStr"/>
    </row>
    <row r="8029">
      <c r="A8029" t="inlineStr">
        <is>
          <t>168D²⁴</t>
        </is>
      </c>
      <c r="B8029" t="inlineStr"/>
      <c r="C8029" t="inlineStr">
        <is>
          <t>336</t>
        </is>
      </c>
      <c r="D8029" t="inlineStr">
        <is>
          <t>2</t>
        </is>
      </c>
      <c r="E8029" t="inlineStr">
        <is>
          <t>84</t>
        </is>
      </c>
      <c r="F8029" t="inlineStr">
        <is>
          <t>16</t>
        </is>
      </c>
      <c r="G8029" t="inlineStr">
        <is>
          <t>0</t>
        </is>
      </c>
      <c r="H8029" t="inlineStr">
        <is>
          <t>168²</t>
        </is>
      </c>
      <c r="I8029" t="n">
        <v>2</v>
      </c>
      <c r="J8029" t="inlineStr">
        <is>
          <t>8², 16², 24⁴, 48⁴</t>
        </is>
      </c>
      <c r="K8029">
        <f>HYPERLINK("CSG10.html#group84F10", "84F¹⁰"), =HYPERLINK("CSG10.html#group168B10", "168B¹⁰"), =HYPERLINK("CSG10.html#group168G10", "168G¹⁰")</f>
        <v/>
      </c>
      <c r="L8029" t="inlineStr"/>
      <c r="M8029">
        <f>HYPERLINK("CSG10.html#group168G10", "168G¹⁰"), =HYPERLINK("CSG3.html#group84A3", "84A³"), =HYPERLINK("CSG0.html#group12A0", "12A⁰"), =HYPERLINK("CSG3.html#group56B3", "56B³"), =HYPERLINK("CSG10.html#group84F10", "84F¹⁰"), =HYPERLINK("CSG2.html#group42A2", "42A²"), =HYPERLINK("CSG0.html#group4A0", "4A⁰"), =HYPERLINK("CSG0.html#group21A0", "21A⁰"), =HYPERLINK("CSG10.html#group168B10", "168B¹⁰"), =HYPERLINK("CSG1.html#group24B1", "24B¹"), =HYPERLINK("CSG0.html#group3A0", "3A⁰"), =HYPERLINK("CSG1.html#group28A1", "28A¹"), =HYPERLINK("CSG0.html#group1A0", "1A⁰"), =HYPERLINK("CSG0.html#group7A0", "7A⁰")</f>
        <v/>
      </c>
      <c r="N8029" t="inlineStr"/>
    </row>
    <row r="8030">
      <c r="A8030" t="inlineStr">
        <is>
          <t>168E²⁴</t>
        </is>
      </c>
      <c r="B8030" t="inlineStr"/>
      <c r="C8030" t="inlineStr">
        <is>
          <t>336</t>
        </is>
      </c>
      <c r="D8030" t="inlineStr">
        <is>
          <t>2</t>
        </is>
      </c>
      <c r="E8030" t="inlineStr">
        <is>
          <t>84</t>
        </is>
      </c>
      <c r="F8030" t="inlineStr">
        <is>
          <t>16</t>
        </is>
      </c>
      <c r="G8030" t="inlineStr">
        <is>
          <t>0</t>
        </is>
      </c>
      <c r="H8030" t="inlineStr">
        <is>
          <t>168²</t>
        </is>
      </c>
      <c r="I8030" t="n">
        <v>2</v>
      </c>
      <c r="J8030" t="inlineStr">
        <is>
          <t>8², 16², 24⁴, 48⁴</t>
        </is>
      </c>
      <c r="K8030">
        <f>HYPERLINK("CSG10.html#group84F10", "84F¹⁰"), =HYPERLINK("CSG10.html#group168C10", "168C¹⁰"), =HYPERLINK("CSG10.html#group168F10", "168F¹⁰")</f>
        <v/>
      </c>
      <c r="L8030" t="inlineStr"/>
      <c r="M8030">
        <f>HYPERLINK("CSG10.html#group168F10", "168F¹⁰"), =HYPERLINK("CSG3.html#group84A3", "84A³"), =HYPERLINK("CSG0.html#group12A0", "12A⁰"), =HYPERLINK("CSG10.html#group168C10", "168C¹⁰"), =HYPERLINK("CSG10.html#group84F10", "84F¹⁰"), =HYPERLINK("CSG1.html#group24A1", "24A¹"), =HYPERLINK("CSG2.html#group42A2", "42A²"), =HYPERLINK("CSG0.html#group4A0", "4A⁰"), =HYPERLINK("CSG0.html#group8A0", "8A⁰"), =HYPERLINK("CSG0.html#group21A0", "21A⁰"), =HYPERLINK("CSG3.html#group56C3", "56C³"), =HYPERLINK("CSG0.html#group3A0", "3A⁰"), =HYPERLINK("CSG1.html#group28A1", "28A¹"), =HYPERLINK("CSG0.html#group1A0", "1A⁰"), =HYPERLINK("CSG0.html#group7A0", "7A⁰")</f>
        <v/>
      </c>
      <c r="N8030" t="inlineStr"/>
    </row>
    <row r="8031">
      <c r="A8031" t="inlineStr">
        <is>
          <t>168F²⁴</t>
        </is>
      </c>
      <c r="B8031" t="inlineStr"/>
      <c r="C8031" t="inlineStr">
        <is>
          <t>336</t>
        </is>
      </c>
      <c r="D8031" t="inlineStr">
        <is>
          <t>2</t>
        </is>
      </c>
      <c r="E8031" t="inlineStr">
        <is>
          <t>84</t>
        </is>
      </c>
      <c r="F8031" t="inlineStr">
        <is>
          <t>16</t>
        </is>
      </c>
      <c r="G8031" t="inlineStr">
        <is>
          <t>0</t>
        </is>
      </c>
      <c r="H8031" t="inlineStr">
        <is>
          <t>168²</t>
        </is>
      </c>
      <c r="I8031" t="n">
        <v>2</v>
      </c>
      <c r="J8031" t="inlineStr">
        <is>
          <t>8², 16², 24⁴, 48⁴</t>
        </is>
      </c>
      <c r="K8031">
        <f>HYPERLINK("CSG10.html#group84F10", "84F¹⁰"), =HYPERLINK("CSG10.html#group168D10", "168D¹⁰"), =HYPERLINK("CSG10.html#group168E10", "168E¹⁰")</f>
        <v/>
      </c>
      <c r="L8031" t="inlineStr"/>
      <c r="M8031">
        <f>HYPERLINK("CSG3.html#group84A3", "84A³"), =HYPERLINK("CSG10.html#group168E10", "168E¹⁰"), =HYPERLINK("CSG0.html#group12A0", "12A⁰"), =HYPERLINK("CSG10.html#group84F10", "84F¹⁰"), =HYPERLINK("CSG3.html#group56D3", "56D³"), =HYPERLINK("CSG1.html#group24A1", "24A¹"), =HYPERLINK("CSG2.html#group42A2", "42A²"), =HYPERLINK("CSG0.html#group4A0", "4A⁰"), =HYPERLINK("CSG0.html#group8A0", "8A⁰"), =HYPERLINK("CSG0.html#group21A0", "21A⁰"), =HYPERLINK("CSG10.html#group168D10", "168D¹⁰"), =HYPERLINK("CSG0.html#group3A0", "3A⁰"), =HYPERLINK("CSG1.html#group28A1", "28A¹"), =HYPERLINK("CSG0.html#group1A0", "1A⁰"), =HYPERLINK("CSG0.html#group7A0", "7A⁰")</f>
        <v/>
      </c>
      <c r="N8031" t="inlineStr"/>
    </row>
    <row r="8032">
      <c r="A8032" t="inlineStr">
        <is>
          <t>168G²⁴</t>
        </is>
      </c>
      <c r="B8032" t="inlineStr"/>
      <c r="C8032" t="inlineStr">
        <is>
          <t>336</t>
        </is>
      </c>
      <c r="D8032" t="inlineStr">
        <is>
          <t>2</t>
        </is>
      </c>
      <c r="E8032" t="inlineStr">
        <is>
          <t>84</t>
        </is>
      </c>
      <c r="F8032" t="inlineStr">
        <is>
          <t>16</t>
        </is>
      </c>
      <c r="G8032" t="inlineStr">
        <is>
          <t>0</t>
        </is>
      </c>
      <c r="H8032" t="inlineStr">
        <is>
          <t>168²</t>
        </is>
      </c>
      <c r="I8032" t="n">
        <v>2</v>
      </c>
      <c r="J8032" t="inlineStr">
        <is>
          <t>16⁶, 48¹²</t>
        </is>
      </c>
      <c r="K8032">
        <f>HYPERLINK("CSG10.html#group84F10", "84F¹⁰"), =HYPERLINK("CSG10.html#group168E10", "168E¹⁰"), =HYPERLINK("CSG10.html#group168G10", "168G¹⁰")</f>
        <v/>
      </c>
      <c r="L8032" t="inlineStr"/>
      <c r="M8032">
        <f>HYPERLINK("CSG10.html#group168G10", "168G¹⁰"), =HYPERLINK("CSG3.html#group84A3", "84A³"), =HYPERLINK("CSG10.html#group168E10", "168E¹⁰"), =HYPERLINK("CSG0.html#group12A0", "12A⁰"), =HYPERLINK("CSG10.html#group84F10", "84F¹⁰"), =HYPERLINK("CSG2.html#group42A2", "42A²"), =HYPERLINK("CSG0.html#group4A0", "4A⁰"), =HYPERLINK("CSG0.html#group21A0", "21A⁰"), =HYPERLINK("CSG1.html#group24B1", "24B¹"), =HYPERLINK("CSG0.html#group3A0", "3A⁰"), =HYPERLINK("CSG1.html#group28A1", "28A¹"), =HYPERLINK("CSG0.html#group1A0", "1A⁰"), =HYPERLINK("CSG0.html#group7A0", "7A⁰")</f>
        <v/>
      </c>
      <c r="N8032" t="inlineStr"/>
    </row>
    <row r="8033">
      <c r="A8033" t="inlineStr">
        <is>
          <t>168H²⁴</t>
        </is>
      </c>
      <c r="B8033" t="inlineStr"/>
      <c r="C8033" t="inlineStr">
        <is>
          <t>336</t>
        </is>
      </c>
      <c r="D8033" t="inlineStr">
        <is>
          <t>2</t>
        </is>
      </c>
      <c r="E8033" t="inlineStr">
        <is>
          <t>84</t>
        </is>
      </c>
      <c r="F8033" t="inlineStr">
        <is>
          <t>16</t>
        </is>
      </c>
      <c r="G8033" t="inlineStr">
        <is>
          <t>0</t>
        </is>
      </c>
      <c r="H8033" t="inlineStr">
        <is>
          <t>168²</t>
        </is>
      </c>
      <c r="I8033" t="n">
        <v>2</v>
      </c>
      <c r="J8033" t="inlineStr">
        <is>
          <t>16⁶, 48¹²</t>
        </is>
      </c>
      <c r="K8033">
        <f>HYPERLINK("CSG10.html#group84F10", "84F¹⁰"), =HYPERLINK("CSG10.html#group168E10", "168E¹⁰"), =HYPERLINK("CSG10.html#group168G10", "168G¹⁰")</f>
        <v/>
      </c>
      <c r="L8033" t="inlineStr"/>
      <c r="M8033">
        <f>HYPERLINK("CSG10.html#group168G10", "168G¹⁰"), =HYPERLINK("CSG3.html#group84A3", "84A³"), =HYPERLINK("CSG10.html#group168E10", "168E¹⁰"), =HYPERLINK("CSG0.html#group12A0", "12A⁰"), =HYPERLINK("CSG10.html#group84F10", "84F¹⁰"), =HYPERLINK("CSG2.html#group42A2", "42A²"), =HYPERLINK("CSG0.html#group4A0", "4A⁰"), =HYPERLINK("CSG0.html#group21A0", "21A⁰"), =HYPERLINK("CSG1.html#group24B1", "24B¹"), =HYPERLINK("CSG0.html#group3A0", "3A⁰"), =HYPERLINK("CSG1.html#group28A1", "28A¹"), =HYPERLINK("CSG0.html#group1A0", "1A⁰"), =HYPERLINK("CSG0.html#group7A0", "7A⁰")</f>
        <v/>
      </c>
      <c r="N8033" t="inlineStr"/>
    </row>
    <row r="8034">
      <c r="A8034" t="inlineStr">
        <is>
          <t>168I²⁴</t>
        </is>
      </c>
      <c r="B8034" t="inlineStr"/>
      <c r="C8034" t="inlineStr">
        <is>
          <t>336</t>
        </is>
      </c>
      <c r="D8034" t="inlineStr">
        <is>
          <t>2</t>
        </is>
      </c>
      <c r="E8034" t="inlineStr">
        <is>
          <t>84</t>
        </is>
      </c>
      <c r="F8034" t="inlineStr">
        <is>
          <t>16</t>
        </is>
      </c>
      <c r="G8034" t="inlineStr">
        <is>
          <t>0</t>
        </is>
      </c>
      <c r="H8034" t="inlineStr">
        <is>
          <t>168²</t>
        </is>
      </c>
      <c r="I8034" t="n">
        <v>2</v>
      </c>
      <c r="J8034" t="inlineStr">
        <is>
          <t>16⁶, 48¹²</t>
        </is>
      </c>
      <c r="K8034">
        <f>HYPERLINK("CSG10.html#group84F10", "84F¹⁰"), =HYPERLINK("CSG10.html#group168F10", "168F¹⁰"), =HYPERLINK("CSG10.html#group168H10", "168H¹⁰")</f>
        <v/>
      </c>
      <c r="L8034" t="inlineStr"/>
      <c r="M8034">
        <f>HYPERLINK("CSG10.html#group168F10", "168F¹⁰"), =HYPERLINK("CSG3.html#group84A3", "84A³"), =HYPERLINK("CSG10.html#group168H10", "168H¹⁰"), =HYPERLINK("CSG0.html#group12A0", "12A⁰"), =HYPERLINK("CSG10.html#group84F10", "84F¹⁰"), =HYPERLINK("CSG2.html#group42A2", "42A²"), =HYPERLINK("CSG0.html#group4A0", "4A⁰"), =HYPERLINK("CSG0.html#group21A0", "21A⁰"), =HYPERLINK("CSG1.html#group24B1", "24B¹"), =HYPERLINK("CSG0.html#group3A0", "3A⁰"), =HYPERLINK("CSG1.html#group28A1", "28A¹"), =HYPERLINK("CSG0.html#group1A0", "1A⁰"), =HYPERLINK("CSG0.html#group7A0", "7A⁰")</f>
        <v/>
      </c>
      <c r="N8034" t="inlineStr"/>
    </row>
    <row r="8035">
      <c r="A8035" t="inlineStr">
        <is>
          <t>168J²⁴</t>
        </is>
      </c>
      <c r="B8035" t="inlineStr"/>
      <c r="C8035" t="inlineStr">
        <is>
          <t>336</t>
        </is>
      </c>
      <c r="D8035" t="inlineStr">
        <is>
          <t>2</t>
        </is>
      </c>
      <c r="E8035" t="inlineStr">
        <is>
          <t>84</t>
        </is>
      </c>
      <c r="F8035" t="inlineStr">
        <is>
          <t>16</t>
        </is>
      </c>
      <c r="G8035" t="inlineStr">
        <is>
          <t>0</t>
        </is>
      </c>
      <c r="H8035" t="inlineStr">
        <is>
          <t>168²</t>
        </is>
      </c>
      <c r="I8035" t="n">
        <v>2</v>
      </c>
      <c r="J8035" t="inlineStr">
        <is>
          <t>16⁶, 48¹²</t>
        </is>
      </c>
      <c r="K8035">
        <f>HYPERLINK("CSG10.html#group84F10", "84F¹⁰"), =HYPERLINK("CSG10.html#group168F10", "168F¹⁰"), =HYPERLINK("CSG10.html#group168H10", "168H¹⁰")</f>
        <v/>
      </c>
      <c r="L8035" t="inlineStr"/>
      <c r="M8035">
        <f>HYPERLINK("CSG10.html#group168F10", "168F¹⁰"), =HYPERLINK("CSG3.html#group84A3", "84A³"), =HYPERLINK("CSG10.html#group168H10", "168H¹⁰"), =HYPERLINK("CSG0.html#group12A0", "12A⁰"), =HYPERLINK("CSG10.html#group84F10", "84F¹⁰"), =HYPERLINK("CSG2.html#group42A2", "42A²"), =HYPERLINK("CSG0.html#group4A0", "4A⁰"), =HYPERLINK("CSG0.html#group21A0", "21A⁰"), =HYPERLINK("CSG1.html#group24B1", "24B¹"), =HYPERLINK("CSG0.html#group3A0", "3A⁰"), =HYPERLINK("CSG1.html#group28A1", "28A¹"), =HYPERLINK("CSG0.html#group1A0", "1A⁰"), =HYPERLINK("CSG0.html#group7A0", "7A⁰")</f>
        <v/>
      </c>
      <c r="N8035" t="inlineStr"/>
    </row>
    <row r="8036">
      <c r="A8036" t="inlineStr">
        <is>
          <t>169A²⁴</t>
        </is>
      </c>
      <c r="B8036" t="inlineStr"/>
      <c r="C8036" t="inlineStr">
        <is>
          <t>546</t>
        </is>
      </c>
      <c r="D8036" t="inlineStr">
        <is>
          <t>1</t>
        </is>
      </c>
      <c r="E8036" t="inlineStr">
        <is>
          <t>182</t>
        </is>
      </c>
      <c r="F8036" t="inlineStr">
        <is>
          <t>6</t>
        </is>
      </c>
      <c r="G8036" t="inlineStr">
        <is>
          <t>0</t>
        </is>
      </c>
      <c r="H8036" t="inlineStr">
        <is>
          <t>1³⁹, 169³</t>
        </is>
      </c>
      <c r="I8036" t="n">
        <v>42</v>
      </c>
      <c r="J8036" t="inlineStr">
        <is>
          <t>1², 12², 156¹</t>
        </is>
      </c>
      <c r="K8036">
        <f>HYPERLINK("CSG0.html#group13C0", "13C⁰"), =HYPERLINK("CSG8.html#group169A8", "169A⁸")</f>
        <v/>
      </c>
      <c r="L8036" t="inlineStr"/>
      <c r="M8036">
        <f>HYPERLINK("CSG0.html#group13A0", "13A⁰"), =HYPERLINK("CSG0.html#group13C0", "13C⁰"), =HYPERLINK("CSG0.html#group1A0", "1A⁰"), =HYPERLINK("CSG8.html#group169A8", "169A⁸")</f>
        <v/>
      </c>
      <c r="N8036" t="inlineStr"/>
    </row>
    <row r="8037">
      <c r="A8037" t="inlineStr">
        <is>
          <t>176A²⁴</t>
        </is>
      </c>
      <c r="B8037" t="inlineStr"/>
      <c r="C8037" t="inlineStr">
        <is>
          <t>352</t>
        </is>
      </c>
      <c r="D8037" t="inlineStr">
        <is>
          <t>2</t>
        </is>
      </c>
      <c r="E8037" t="inlineStr">
        <is>
          <t>44</t>
        </is>
      </c>
      <c r="F8037" t="inlineStr">
        <is>
          <t>0</t>
        </is>
      </c>
      <c r="G8037" t="inlineStr">
        <is>
          <t>16</t>
        </is>
      </c>
      <c r="H8037" t="inlineStr">
        <is>
          <t>176²</t>
        </is>
      </c>
      <c r="I8037" t="n">
        <v>2</v>
      </c>
      <c r="J8037" t="inlineStr">
        <is>
          <t>4², 20⁴</t>
        </is>
      </c>
      <c r="K8037">
        <f>HYPERLINK("CSG0.html#group16F0", "16F⁰"), =HYPERLINK("CSG11.html#group176A11", "176A¹¹"), =HYPERLINK("CSG11.html#group176B11", "176B¹¹"), =HYPERLINK("CSG12.html#group88A12", "88A¹²")</f>
        <v/>
      </c>
      <c r="L8037" t="inlineStr"/>
      <c r="M8037">
        <f>HYPERLINK("CSG0.html#group2A0", "2A⁰"), =HYPERLINK("CSG0.html#group16A0", "16A⁰"), =HYPERLINK("CSG2.html#group44A2", "44A²"), =HYPERLINK("CSG1.html#group22A1", "22A¹"), =HYPERLINK("CSG11.html#group176B11", "176B¹¹"), =HYPERLINK("CSG0.html#group8A0", "8A⁰"), =HYPERLINK("CSG0.html#group8E0", "8E⁰"), =HYPERLINK("CSG11.html#group176A11", "176A¹¹"), =HYPERLINK("CSG0.html#group1A0", "1A⁰"), =HYPERLINK("CSG0.html#group11A0", "11A⁰"), =HYPERLINK("CSG6.html#group44A6", "44A⁶"), =HYPERLINK("CSG0.html#group4A0", "4A⁰"), =HYPERLINK("CSG0.html#group4D0", "4D⁰"), =HYPERLINK("CSG0.html#group16F0", "16F⁰"), =HYPERLINK("CSG12.html#group88A12", "88A¹²"), =HYPERLINK("CSG5.html#group88B5", "88B⁵"), =HYPERLINK("CSG5.html#group88A5", "88A⁵")</f>
        <v/>
      </c>
      <c r="N8037" t="inlineStr"/>
    </row>
    <row r="8038">
      <c r="A8038" t="inlineStr">
        <is>
          <t>180A²⁴</t>
        </is>
      </c>
      <c r="B8038" t="inlineStr"/>
      <c r="C8038" t="inlineStr">
        <is>
          <t>324</t>
        </is>
      </c>
      <c r="D8038" t="inlineStr">
        <is>
          <t>1</t>
        </is>
      </c>
      <c r="E8038" t="inlineStr">
        <is>
          <t>162</t>
        </is>
      </c>
      <c r="F8038" t="inlineStr">
        <is>
          <t>8</t>
        </is>
      </c>
      <c r="G8038" t="inlineStr">
        <is>
          <t>0</t>
        </is>
      </c>
      <c r="H8038" t="inlineStr">
        <is>
          <t>18¹, 36¹, 90¹, 180¹</t>
        </is>
      </c>
      <c r="I8038" t="n">
        <v>4</v>
      </c>
      <c r="J8038" t="inlineStr">
        <is>
          <t>1⁶, 2⁶, 4³, 6⁶, 8³, 24³</t>
        </is>
      </c>
      <c r="K8038">
        <f>HYPERLINK("CSG6.html#group60F6", "60F⁶"), =HYPERLINK("CSG10.html#group90E10", "90E¹⁰")</f>
        <v/>
      </c>
      <c r="L8038" t="inlineStr"/>
      <c r="M8038">
        <f>HYPERLINK("CSG2.html#group45A2", "45A²"), =HYPERLINK("CSG0.html#group15B0", "15B⁰"), =HYPERLINK("CSG6.html#group60F6", "60F⁶"), =HYPERLINK("CSG2.html#group30E2", "30E²"), =HYPERLINK("CSG0.html#group9A0", "9A⁰"), =HYPERLINK("CSG10.html#group90E10", "90E¹⁰"), =HYPERLINK("CSG0.html#group5B0", "5B⁰"), =HYPERLINK("CSG0.html#group10C0", "10C⁰"), =HYPERLINK("CSG0.html#group2B0", "2B⁰"), =HYPERLINK("CSG1.html#group18E1", "18E¹"), =HYPERLINK("CSG0.html#group3A0", "3A⁰"), =HYPERLINK("CSG0.html#group1A0", "1A⁰"), =HYPERLINK("CSG0.html#group6D0", "6D⁰")</f>
        <v/>
      </c>
      <c r="N8038" t="inlineStr"/>
    </row>
    <row r="8039">
      <c r="A8039" t="inlineStr">
        <is>
          <t>180B²⁴</t>
        </is>
      </c>
      <c r="B8039" t="inlineStr"/>
      <c r="C8039" t="inlineStr">
        <is>
          <t>324</t>
        </is>
      </c>
      <c r="D8039" t="inlineStr">
        <is>
          <t>2</t>
        </is>
      </c>
      <c r="E8039" t="inlineStr">
        <is>
          <t>162</t>
        </is>
      </c>
      <c r="F8039" t="inlineStr">
        <is>
          <t>4</t>
        </is>
      </c>
      <c r="G8039" t="inlineStr">
        <is>
          <t>0</t>
        </is>
      </c>
      <c r="H8039" t="inlineStr">
        <is>
          <t>9², 36¹, 45², 180¹</t>
        </is>
      </c>
      <c r="I8039" t="n">
        <v>6</v>
      </c>
      <c r="J8039" t="inlineStr">
        <is>
          <t>2¹⁸, 6¹², 8⁹, 24⁶</t>
        </is>
      </c>
      <c r="K8039">
        <f>HYPERLINK("CSG6.html#group60E6", "60E⁶"), =HYPERLINK("CSG10.html#group90E10", "90E¹⁰")</f>
        <v/>
      </c>
      <c r="L8039" t="inlineStr"/>
      <c r="M8039">
        <f>HYPERLINK("CSG2.html#group45A2", "45A²"), =HYPERLINK("CSG0.html#group15B0", "15B⁰"), =HYPERLINK("CSG6.html#group60E6", "60E⁶"), =HYPERLINK("CSG2.html#group30E2", "30E²"), =HYPERLINK("CSG0.html#group9A0", "9A⁰"), =HYPERLINK("CSG10.html#group90E10", "90E¹⁰"), =HYPERLINK("CSG0.html#group5B0", "5B⁰"), =HYPERLINK("CSG0.html#group10C0", "10C⁰"), =HYPERLINK("CSG0.html#group2B0", "2B⁰"), =HYPERLINK("CSG1.html#group18E1", "18E¹"), =HYPERLINK("CSG0.html#group3A0", "3A⁰"), =HYPERLINK("CSG0.html#group1A0", "1A⁰"), =HYPERLINK("CSG0.html#group6D0", "6D⁰")</f>
        <v/>
      </c>
      <c r="N8039" t="inlineStr"/>
    </row>
    <row r="8040">
      <c r="A8040" t="inlineStr">
        <is>
          <t>190A²⁴</t>
        </is>
      </c>
      <c r="B8040" t="inlineStr"/>
      <c r="C8040" t="inlineStr">
        <is>
          <t>300</t>
        </is>
      </c>
      <c r="D8040" t="inlineStr">
        <is>
          <t>1</t>
        </is>
      </c>
      <c r="E8040" t="inlineStr">
        <is>
          <t>300</t>
        </is>
      </c>
      <c r="F8040" t="inlineStr">
        <is>
          <t>0</t>
        </is>
      </c>
      <c r="G8040" t="inlineStr">
        <is>
          <t>0</t>
        </is>
      </c>
      <c r="H8040" t="inlineStr">
        <is>
          <t>5¹, 10¹, 95¹, 190¹</t>
        </is>
      </c>
      <c r="I8040" t="n">
        <v>4</v>
      </c>
      <c r="J8040" t="inlineStr">
        <is>
          <t>1⁶, 4⁶, 18³, 72³</t>
        </is>
      </c>
      <c r="K8040">
        <f>HYPERLINK("CSG1.html#group10B1", "10B¹"), =HYPERLINK("CSG4.html#group38A4", "38A⁴"), =HYPERLINK("CSG7.html#group95A7", "95A⁷")</f>
        <v/>
      </c>
      <c r="L8040" t="inlineStr"/>
      <c r="M8040">
        <f>HYPERLINK("CSG1.html#group19A1", "19A¹"), =HYPERLINK("CSG0.html#group5A0", "5A⁰"), =HYPERLINK("CSG1.html#group10B1", "10B¹"), =HYPERLINK("CSG4.html#group38A4", "38A⁴"), =HYPERLINK("CSG0.html#group2B0", "2B⁰"), =HYPERLINK("CSG7.html#group95A7", "95A⁷"), =HYPERLINK("CSG0.html#group1A0", "1A⁰")</f>
        <v/>
      </c>
      <c r="N8040" t="inlineStr"/>
    </row>
    <row r="8041">
      <c r="A8041" t="inlineStr">
        <is>
          <t>198A²⁴</t>
        </is>
      </c>
      <c r="B8041" t="inlineStr"/>
      <c r="C8041" t="inlineStr">
        <is>
          <t>396</t>
        </is>
      </c>
      <c r="D8041" t="inlineStr">
        <is>
          <t>2</t>
        </is>
      </c>
      <c r="E8041" t="inlineStr">
        <is>
          <t>33</t>
        </is>
      </c>
      <c r="F8041" t="inlineStr">
        <is>
          <t>36</t>
        </is>
      </c>
      <c r="G8041" t="inlineStr">
        <is>
          <t>0</t>
        </is>
      </c>
      <c r="H8041" t="inlineStr">
        <is>
          <t>198²</t>
        </is>
      </c>
      <c r="I8041" t="n">
        <v>2</v>
      </c>
      <c r="J8041" t="inlineStr">
        <is>
          <t>2¹, 4¹, 10², 20²</t>
        </is>
      </c>
      <c r="K8041">
        <f>HYPERLINK("CSG0.html#group18D0", "18D⁰"), =HYPERLINK("CSG8.html#group66B8", "66B⁸"), =HYPERLINK("CSG11.html#group198A11", "198A¹¹"), =HYPERLINK("CSG11.html#group198B11", "198B¹¹"), =HYPERLINK("CSG12.html#group99A12", "99A¹²")</f>
        <v/>
      </c>
      <c r="L8041" t="inlineStr"/>
      <c r="M8041">
        <f>HYPERLINK("CSG0.html#group6B0", "6B⁰"), =HYPERLINK("CSG1.html#group33A1", "33A¹"), =HYPERLINK("CSG8.html#group66B8", "66B⁸"), =HYPERLINK("CSG5.html#group99A5", "99A⁵"), =HYPERLINK("CSG11.html#group198A11", "198A¹¹"), =HYPERLINK("CSG0.html#group1A0", "1A⁰"), =HYPERLINK("CSG0.html#group18A0", "18A⁰"), =HYPERLINK("CSG4.html#group33A4", "33A⁴"), =HYPERLINK("CSG0.html#group11A0", "11A⁰"), =HYPERLINK("CSG0.html#group9D0", "9D⁰"), =HYPERLINK("CSG0.html#group18D0", "18D⁰"), =HYPERLINK("CSG12.html#group99A12", "99A¹²"), =HYPERLINK("CSG0.html#group6E0", "6E⁰"), =HYPERLINK("CSG3.html#group66A3", "66A³"), =HYPERLINK("CSG0.html#group9A0", "9A⁰"), =HYPERLINK("CSG0.html#group3C0", "3C⁰"), =HYPERLINK("CSG11.html#group198B11", "198B¹¹"), =HYPERLINK("CSG0.html#group3A0", "3A⁰")</f>
        <v/>
      </c>
      <c r="N8041" t="inlineStr"/>
    </row>
    <row r="8042">
      <c r="A8042" t="inlineStr">
        <is>
          <t>202A²⁴</t>
        </is>
      </c>
      <c r="B8042" t="inlineStr">
        <is>
          <t>Γ₀(202)</t>
        </is>
      </c>
      <c r="C8042" t="inlineStr">
        <is>
          <t>306</t>
        </is>
      </c>
      <c r="D8042" t="inlineStr">
        <is>
          <t>1</t>
        </is>
      </c>
      <c r="E8042" t="inlineStr">
        <is>
          <t>306</t>
        </is>
      </c>
      <c r="F8042" t="inlineStr">
        <is>
          <t>2</t>
        </is>
      </c>
      <c r="G8042" t="inlineStr">
        <is>
          <t>0</t>
        </is>
      </c>
      <c r="H8042" t="inlineStr">
        <is>
          <t>1¹, 2¹, 101¹, 202¹</t>
        </is>
      </c>
      <c r="I8042" t="n">
        <v>4</v>
      </c>
      <c r="J8042" t="inlineStr">
        <is>
          <t>1⁶, 100³</t>
        </is>
      </c>
      <c r="K8042">
        <f>HYPERLINK("CSG0.html#group2B0", "2B⁰"), =HYPERLINK("CSG8.html#group101A8", "101A⁸")</f>
        <v/>
      </c>
      <c r="L8042" t="inlineStr"/>
      <c r="M8042">
        <f>HYPERLINK("CSG8.html#group101A8", "101A⁸"), =HYPERLINK("CSG0.html#group1A0", "1A⁰"), =HYPERLINK("CSG0.html#group2B0", "2B⁰")</f>
        <v/>
      </c>
      <c r="N8042" t="inlineStr"/>
    </row>
    <row r="8043">
      <c r="A8043" t="inlineStr">
        <is>
          <t>210A²⁴</t>
        </is>
      </c>
      <c r="B8043" t="inlineStr"/>
      <c r="C8043" t="inlineStr">
        <is>
          <t>315</t>
        </is>
      </c>
      <c r="D8043" t="inlineStr">
        <is>
          <t>2</t>
        </is>
      </c>
      <c r="E8043" t="inlineStr">
        <is>
          <t>105</t>
        </is>
      </c>
      <c r="F8043" t="inlineStr">
        <is>
          <t>9</t>
        </is>
      </c>
      <c r="G8043" t="inlineStr">
        <is>
          <t>0</t>
        </is>
      </c>
      <c r="H8043" t="inlineStr">
        <is>
          <t>105¹, 210¹</t>
        </is>
      </c>
      <c r="I8043" t="n">
        <v>2</v>
      </c>
      <c r="J8043" t="inlineStr">
        <is>
          <t>2³, 6⁶, 8³, 24⁶</t>
        </is>
      </c>
      <c r="K8043">
        <f>HYPERLINK("CSG3.html#group30D3", "30D³"), =HYPERLINK("CSG3.html#group42C3", "42C³"), =HYPERLINK("CSG7.html#group105A7", "105A⁷"), =HYPERLINK("CSG8.html#group70A8", "70A⁸")</f>
        <v/>
      </c>
      <c r="L8043" t="inlineStr"/>
      <c r="M8043">
        <f>HYPERLINK("CSG0.html#group5A0", "5A⁰"), =HYPERLINK("CSG1.html#group14B1", "14B¹"), =HYPERLINK("CSG1.html#group15A1", "15A¹"), =HYPERLINK("CSG1.html#group10B1", "10B¹"), =HYPERLINK("CSG0.html#group21A0", "21A⁰"), =HYPERLINK("CSG0.html#group2B0", "2B⁰"), =HYPERLINK("CSG0.html#group1A0", "1A⁰"), =HYPERLINK("CSG7.html#group105A7", "105A⁷"), =HYPERLINK("CSG2.html#group35A2", "35A²"), =HYPERLINK("CSG3.html#group30D3", "30D³"), =HYPERLINK("CSG8.html#group70A8", "70A⁸"), =HYPERLINK("CSG0.html#group3A0", "3A⁰"), =HYPERLINK("CSG3.html#group42C3", "42C³"), =HYPERLINK("CSG0.html#group6D0", "6D⁰"), =HYPERLINK("CSG0.html#group7A0", "7A⁰")</f>
        <v/>
      </c>
      <c r="N8043" t="inlineStr"/>
    </row>
    <row r="8044">
      <c r="A8044" t="inlineStr">
        <is>
          <t>210B²⁴</t>
        </is>
      </c>
      <c r="B8044" t="inlineStr"/>
      <c r="C8044" t="inlineStr">
        <is>
          <t>315</t>
        </is>
      </c>
      <c r="D8044" t="inlineStr">
        <is>
          <t>2</t>
        </is>
      </c>
      <c r="E8044" t="inlineStr">
        <is>
          <t>105</t>
        </is>
      </c>
      <c r="F8044" t="inlineStr">
        <is>
          <t>9</t>
        </is>
      </c>
      <c r="G8044" t="inlineStr">
        <is>
          <t>0</t>
        </is>
      </c>
      <c r="H8044" t="inlineStr">
        <is>
          <t>105¹, 210¹</t>
        </is>
      </c>
      <c r="I8044" t="n">
        <v>2</v>
      </c>
      <c r="J8044" t="inlineStr">
        <is>
          <t>4³, 12⁶, 16³, 48⁶</t>
        </is>
      </c>
      <c r="K8044">
        <f>HYPERLINK("CSG3.html#group30E3", "30E³"), =HYPERLINK("CSG6.html#group105A6", "105A⁶"), =HYPERLINK("CSG8.html#group70A8", "70A⁸")</f>
        <v/>
      </c>
      <c r="L8044" t="inlineStr"/>
      <c r="M8044">
        <f>HYPERLINK("CSG6.html#group105A6", "105A⁶"), =HYPERLINK("CSG0.html#group5A0", "5A⁰"), =HYPERLINK("CSG3.html#group30E3", "30E³"), =HYPERLINK("CSG1.html#group14B1", "14B¹"), =HYPERLINK("CSG1.html#group10B1", "10B¹"), =HYPERLINK("CSG8.html#group70A8", "70A⁸"), =HYPERLINK("CSG0.html#group2B0", "2B⁰"), =HYPERLINK("CSG0.html#group1A0", "1A⁰"), =HYPERLINK("CSG2.html#group35A2", "35A²"), =HYPERLINK("CSG0.html#group7A0", "7A⁰"), =HYPERLINK("CSG0.html#group15A0", "15A⁰")</f>
        <v/>
      </c>
      <c r="N8044" t="inlineStr"/>
    </row>
    <row r="8045">
      <c r="A8045" t="inlineStr">
        <is>
          <t>210C²⁴</t>
        </is>
      </c>
      <c r="B8045" t="inlineStr"/>
      <c r="C8045" t="inlineStr">
        <is>
          <t>315</t>
        </is>
      </c>
      <c r="D8045" t="inlineStr">
        <is>
          <t>2</t>
        </is>
      </c>
      <c r="E8045" t="inlineStr">
        <is>
          <t>105</t>
        </is>
      </c>
      <c r="F8045" t="inlineStr">
        <is>
          <t>9</t>
        </is>
      </c>
      <c r="G8045" t="inlineStr">
        <is>
          <t>0</t>
        </is>
      </c>
      <c r="H8045" t="inlineStr">
        <is>
          <t>105¹, 210¹</t>
        </is>
      </c>
      <c r="I8045" t="n">
        <v>2</v>
      </c>
      <c r="J8045" t="inlineStr">
        <is>
          <t>4³, 12⁶, 16³, 48⁶</t>
        </is>
      </c>
      <c r="K8045">
        <f>HYPERLINK("CSG3.html#group30E3", "30E³"), =HYPERLINK("CSG6.html#group105B6", "105B⁶"), =HYPERLINK("CSG8.html#group70A8", "70A⁸")</f>
        <v/>
      </c>
      <c r="L8045" t="inlineStr"/>
      <c r="M8045">
        <f>HYPERLINK("CSG0.html#group5A0", "5A⁰"), =HYPERLINK("CSG6.html#group105B6", "105B⁶"), =HYPERLINK("CSG3.html#group30E3", "30E³"), =HYPERLINK("CSG1.html#group14B1", "14B¹"), =HYPERLINK("CSG1.html#group10B1", "10B¹"), =HYPERLINK("CSG8.html#group70A8", "70A⁸"), =HYPERLINK("CSG0.html#group2B0", "2B⁰"), =HYPERLINK("CSG0.html#group1A0", "1A⁰"), =HYPERLINK("CSG2.html#group35A2", "35A²"), =HYPERLINK("CSG0.html#group7A0", "7A⁰"), =HYPERLINK("CSG0.html#group15A0", "15A⁰")</f>
        <v/>
      </c>
      <c r="N8045" t="inlineStr"/>
    </row>
    <row r="8046">
      <c r="A8046" t="inlineStr">
        <is>
          <t>212A²⁴</t>
        </is>
      </c>
      <c r="B8046" t="inlineStr"/>
      <c r="C8046" t="inlineStr">
        <is>
          <t>324</t>
        </is>
      </c>
      <c r="D8046" t="inlineStr">
        <is>
          <t>1</t>
        </is>
      </c>
      <c r="E8046" t="inlineStr">
        <is>
          <t>162</t>
        </is>
      </c>
      <c r="F8046" t="inlineStr">
        <is>
          <t>4</t>
        </is>
      </c>
      <c r="G8046" t="inlineStr">
        <is>
          <t>0</t>
        </is>
      </c>
      <c r="H8046" t="inlineStr">
        <is>
          <t>1², 4¹, 53², 212¹</t>
        </is>
      </c>
      <c r="I8046" t="n">
        <v>6</v>
      </c>
      <c r="J8046" t="inlineStr">
        <is>
          <t>1⁶, 52³</t>
        </is>
      </c>
      <c r="K8046">
        <f>HYPERLINK("CSG12.html#group106A12", "106A¹²")</f>
        <v/>
      </c>
      <c r="L8046" t="inlineStr"/>
      <c r="M8046">
        <f>HYPERLINK("CSG0.html#group1A0", "1A⁰"), =HYPERLINK("CSG12.html#group106A12", "106A¹²"), =HYPERLINK("CSG0.html#group2B0", "2B⁰"), =HYPERLINK("CSG4.html#group53A4", "53A⁴")</f>
        <v/>
      </c>
      <c r="N8046" t="inlineStr"/>
    </row>
    <row r="8047">
      <c r="A8047" t="inlineStr">
        <is>
          <t>216A²⁴</t>
        </is>
      </c>
      <c r="B8047" t="inlineStr"/>
      <c r="C8047" t="inlineStr">
        <is>
          <t>288</t>
        </is>
      </c>
      <c r="D8047" t="inlineStr">
        <is>
          <t>2</t>
        </is>
      </c>
      <c r="E8047" t="inlineStr">
        <is>
          <t>48</t>
        </is>
      </c>
      <c r="F8047" t="inlineStr">
        <is>
          <t>0</t>
        </is>
      </c>
      <c r="G8047" t="inlineStr">
        <is>
          <t>0</t>
        </is>
      </c>
      <c r="H8047" t="inlineStr">
        <is>
          <t>72¹, 216¹</t>
        </is>
      </c>
      <c r="I8047" t="n">
        <v>2</v>
      </c>
      <c r="J8047" t="inlineStr">
        <is>
          <t>4⁴, 8⁴, 24²</t>
        </is>
      </c>
      <c r="K8047">
        <f>HYPERLINK("CSG6.html#group72A6", "72A⁶"), =HYPERLINK("CSG12.html#group108B12", "108B¹²")</f>
        <v/>
      </c>
      <c r="L8047" t="inlineStr"/>
      <c r="M8047">
        <f>HYPERLINK("CSG0.html#group3B0", "3B⁰"), =HYPERLINK("CSG6.html#group72A6", "72A⁶"), =HYPERLINK("CSG3.html#group27A3", "27A³"), =HYPERLINK("CSG2.html#group24A2", "24A²"), =HYPERLINK("CSG0.html#group4A0", "4A⁰"), =HYPERLINK("CSG1.html#group12A1", "12A¹"), =HYPERLINK("CSG0.html#group8A0", "8A⁰"), =HYPERLINK("CSG0.html#group9C0", "9C⁰"), =HYPERLINK("CSG0.html#group1A0", "1A⁰"), =HYPERLINK("CSG12.html#group108B12", "108B¹²"), =HYPERLINK("CSG3.html#group36C3", "36C³")</f>
        <v/>
      </c>
      <c r="N8047" t="inlineStr"/>
    </row>
    <row r="8048">
      <c r="A8048" t="inlineStr">
        <is>
          <t>224A²⁴</t>
        </is>
      </c>
      <c r="B8048" t="inlineStr"/>
      <c r="C8048" t="inlineStr">
        <is>
          <t>336</t>
        </is>
      </c>
      <c r="D8048" t="inlineStr">
        <is>
          <t>2</t>
        </is>
      </c>
      <c r="E8048" t="inlineStr">
        <is>
          <t>42</t>
        </is>
      </c>
      <c r="F8048" t="inlineStr">
        <is>
          <t>0</t>
        </is>
      </c>
      <c r="G8048" t="inlineStr">
        <is>
          <t>0</t>
        </is>
      </c>
      <c r="H8048" t="inlineStr">
        <is>
          <t>7⁸, 56¹, 224¹</t>
        </is>
      </c>
      <c r="I8048" t="n">
        <v>10</v>
      </c>
      <c r="J8048" t="inlineStr">
        <is>
          <t>2⁴, 4¹, 6⁸, 12²</t>
        </is>
      </c>
      <c r="K8048">
        <f>HYPERLINK("CSG12.html#group112C12", "112C¹²")</f>
        <v/>
      </c>
      <c r="L8048" t="inlineStr"/>
      <c r="M8048">
        <f>HYPERLINK("CSG6.html#group56C6", "56C⁶"), =HYPERLINK("CSG1.html#group14B1", "14B¹"), =HYPERLINK("CSG0.html#group16C0", "16C⁰"), =HYPERLINK("CSG3.html#group28A3", "28A³"), =HYPERLINK("CSG0.html#group8C0", "8C⁰"), =HYPERLINK("CSG0.html#group2B0", "2B⁰"), =HYPERLINK("CSG12.html#group112C12", "112C¹²"), =HYPERLINK("CSG0.html#group4B0", "4B⁰"), =HYPERLINK("CSG0.html#group1A0", "1A⁰"), =HYPERLINK("CSG0.html#group7A0", "7A⁰")</f>
        <v/>
      </c>
      <c r="N8048" t="inlineStr"/>
    </row>
    <row r="8049">
      <c r="A8049" t="inlineStr">
        <is>
          <t>224B²⁴</t>
        </is>
      </c>
      <c r="B8049" t="inlineStr"/>
      <c r="C8049" t="inlineStr">
        <is>
          <t>336</t>
        </is>
      </c>
      <c r="D8049" t="inlineStr">
        <is>
          <t>2</t>
        </is>
      </c>
      <c r="E8049" t="inlineStr">
        <is>
          <t>42</t>
        </is>
      </c>
      <c r="F8049" t="inlineStr">
        <is>
          <t>0</t>
        </is>
      </c>
      <c r="G8049" t="inlineStr">
        <is>
          <t>0</t>
        </is>
      </c>
      <c r="H8049" t="inlineStr">
        <is>
          <t>7⁸, 56¹, 224¹</t>
        </is>
      </c>
      <c r="I8049" t="n">
        <v>10</v>
      </c>
      <c r="J8049" t="inlineStr">
        <is>
          <t>2⁴, 4¹, 6⁸, 12²</t>
        </is>
      </c>
      <c r="K8049">
        <f>HYPERLINK("CSG0.html#group32A0", "32A⁰"), =HYPERLINK("CSG12.html#group112C12", "112C¹²")</f>
        <v/>
      </c>
      <c r="L8049" t="inlineStr"/>
      <c r="M8049">
        <f>HYPERLINK("CSG6.html#group56C6", "56C⁶"), =HYPERLINK("CSG1.html#group14B1", "14B¹"), =HYPERLINK("CSG0.html#group16C0", "16C⁰"), =HYPERLINK("CSG0.html#group32A0", "32A⁰"), =HYPERLINK("CSG3.html#group28A3", "28A³"), =HYPERLINK("CSG0.html#group8C0", "8C⁰"), =HYPERLINK("CSG0.html#group2B0", "2B⁰"), =HYPERLINK("CSG12.html#group112C12", "112C¹²"), =HYPERLINK("CSG0.html#group4B0", "4B⁰"), =HYPERLINK("CSG0.html#group1A0", "1A⁰"), =HYPERLINK("CSG0.html#group7A0", "7A⁰")</f>
        <v/>
      </c>
      <c r="N8049" t="inlineStr"/>
    </row>
    <row r="8050">
      <c r="A8050" t="inlineStr">
        <is>
          <t>224C²⁴</t>
        </is>
      </c>
      <c r="B8050" t="inlineStr"/>
      <c r="C8050" t="inlineStr">
        <is>
          <t>336</t>
        </is>
      </c>
      <c r="D8050" t="inlineStr">
        <is>
          <t>2</t>
        </is>
      </c>
      <c r="E8050" t="inlineStr">
        <is>
          <t>168</t>
        </is>
      </c>
      <c r="F8050" t="inlineStr">
        <is>
          <t>6</t>
        </is>
      </c>
      <c r="G8050" t="inlineStr">
        <is>
          <t>0</t>
        </is>
      </c>
      <c r="H8050" t="inlineStr">
        <is>
          <t>14⁴, 28², 224¹</t>
        </is>
      </c>
      <c r="I8050" t="n">
        <v>7</v>
      </c>
      <c r="J8050" t="inlineStr">
        <is>
          <t>4², 8³, 12⁴, 16⁴, 24⁶, 48⁸</t>
        </is>
      </c>
      <c r="K8050">
        <f>HYPERLINK("CSG11.html#group112D11", "112D¹¹")</f>
        <v/>
      </c>
      <c r="L8050" t="inlineStr"/>
      <c r="M8050">
        <f>HYPERLINK("CSG2.html#group28C2", "28C²"), =HYPERLINK("CSG0.html#group16E0", "16E⁰"), =HYPERLINK("CSG5.html#group56C5", "56C⁵"), =HYPERLINK("CSG11.html#group112D11", "112D¹¹"), =HYPERLINK("CSG1.html#group14B1", "14B¹"), =HYPERLINK("CSG0.html#group8D0", "8D⁰"), =HYPERLINK("CSG0.html#group4C0", "4C⁰"), =HYPERLINK("CSG0.html#group2B0", "2B⁰"), =HYPERLINK("CSG0.html#group1A0", "1A⁰"), =HYPERLINK("CSG0.html#group7A0", "7A⁰")</f>
        <v/>
      </c>
      <c r="N8050" t="inlineStr"/>
    </row>
    <row r="8051">
      <c r="A8051" t="inlineStr">
        <is>
          <t>224D²⁴</t>
        </is>
      </c>
      <c r="B8051" t="inlineStr"/>
      <c r="C8051" t="inlineStr">
        <is>
          <t>336</t>
        </is>
      </c>
      <c r="D8051" t="inlineStr">
        <is>
          <t>2</t>
        </is>
      </c>
      <c r="E8051" t="inlineStr">
        <is>
          <t>168</t>
        </is>
      </c>
      <c r="F8051" t="inlineStr">
        <is>
          <t>6</t>
        </is>
      </c>
      <c r="G8051" t="inlineStr">
        <is>
          <t>0</t>
        </is>
      </c>
      <c r="H8051" t="inlineStr">
        <is>
          <t>14⁴, 28², 224¹</t>
        </is>
      </c>
      <c r="I8051" t="n">
        <v>7</v>
      </c>
      <c r="J8051" t="inlineStr">
        <is>
          <t>4², 8³, 12⁴, 16⁴, 24⁶, 48⁸</t>
        </is>
      </c>
      <c r="K8051">
        <f>HYPERLINK("CSG11.html#group112D11", "112D¹¹")</f>
        <v/>
      </c>
      <c r="L8051" t="inlineStr"/>
      <c r="M8051">
        <f>HYPERLINK("CSG2.html#group28C2", "28C²"), =HYPERLINK("CSG0.html#group16E0", "16E⁰"), =HYPERLINK("CSG5.html#group56C5", "56C⁵"), =HYPERLINK("CSG11.html#group112D11", "112D¹¹"), =HYPERLINK("CSG1.html#group14B1", "14B¹"), =HYPERLINK("CSG0.html#group8D0", "8D⁰"), =HYPERLINK("CSG0.html#group4C0", "4C⁰"), =HYPERLINK("CSG0.html#group2B0", "2B⁰"), =HYPERLINK("CSG0.html#group1A0", "1A⁰"), =HYPERLINK("CSG0.html#group7A0", "7A⁰")</f>
        <v/>
      </c>
      <c r="N8051" t="inlineStr"/>
    </row>
    <row r="8052">
      <c r="A8052" t="inlineStr">
        <is>
          <t>224E²⁴</t>
        </is>
      </c>
      <c r="B8052" t="inlineStr"/>
      <c r="C8052" t="inlineStr">
        <is>
          <t>336</t>
        </is>
      </c>
      <c r="D8052" t="inlineStr">
        <is>
          <t>2</t>
        </is>
      </c>
      <c r="E8052" t="inlineStr">
        <is>
          <t>168</t>
        </is>
      </c>
      <c r="F8052" t="inlineStr">
        <is>
          <t>6</t>
        </is>
      </c>
      <c r="G8052" t="inlineStr">
        <is>
          <t>0</t>
        </is>
      </c>
      <c r="H8052" t="inlineStr">
        <is>
          <t>14⁴, 28², 224¹</t>
        </is>
      </c>
      <c r="I8052" t="n">
        <v>7</v>
      </c>
      <c r="J8052" t="inlineStr">
        <is>
          <t>4², 8³, 12⁴, 16⁴, 24⁶, 48⁸</t>
        </is>
      </c>
      <c r="K8052">
        <f>HYPERLINK("CSG1.html#group32C1", "32C¹"), =HYPERLINK("CSG11.html#group112D11", "112D¹¹")</f>
        <v/>
      </c>
      <c r="L8052" t="inlineStr"/>
      <c r="M8052">
        <f>HYPERLINK("CSG2.html#group28C2", "28C²"), =HYPERLINK("CSG0.html#group16E0", "16E⁰"), =HYPERLINK("CSG5.html#group56C5", "56C⁵"), =HYPERLINK("CSG1.html#group32C1", "32C¹"), =HYPERLINK("CSG11.html#group112D11", "112D¹¹"), =HYPERLINK("CSG1.html#group14B1", "14B¹"), =HYPERLINK("CSG0.html#group8D0", "8D⁰"), =HYPERLINK("CSG0.html#group4C0", "4C⁰"), =HYPERLINK("CSG0.html#group2B0", "2B⁰"), =HYPERLINK("CSG0.html#group1A0", "1A⁰"), =HYPERLINK("CSG0.html#group7A0", "7A⁰")</f>
        <v/>
      </c>
      <c r="N8052" t="inlineStr"/>
    </row>
    <row r="8053">
      <c r="A8053" t="inlineStr">
        <is>
          <t>224F²⁴</t>
        </is>
      </c>
      <c r="B8053" t="inlineStr"/>
      <c r="C8053" t="inlineStr">
        <is>
          <t>336</t>
        </is>
      </c>
      <c r="D8053" t="inlineStr">
        <is>
          <t>2</t>
        </is>
      </c>
      <c r="E8053" t="inlineStr">
        <is>
          <t>168</t>
        </is>
      </c>
      <c r="F8053" t="inlineStr">
        <is>
          <t>6</t>
        </is>
      </c>
      <c r="G8053" t="inlineStr">
        <is>
          <t>0</t>
        </is>
      </c>
      <c r="H8053" t="inlineStr">
        <is>
          <t>14⁴, 28², 224¹</t>
        </is>
      </c>
      <c r="I8053" t="n">
        <v>7</v>
      </c>
      <c r="J8053" t="inlineStr">
        <is>
          <t>4², 8³, 12⁴, 16⁴, 24⁶, 48⁸</t>
        </is>
      </c>
      <c r="K8053">
        <f>HYPERLINK("CSG1.html#group32D1", "32D¹"), =HYPERLINK("CSG11.html#group112D11", "112D¹¹")</f>
        <v/>
      </c>
      <c r="L8053" t="inlineStr"/>
      <c r="M8053">
        <f>HYPERLINK("CSG2.html#group28C2", "28C²"), =HYPERLINK("CSG0.html#group16E0", "16E⁰"), =HYPERLINK("CSG5.html#group56C5", "56C⁵"), =HYPERLINK("CSG11.html#group112D11", "112D¹¹"), =HYPERLINK("CSG1.html#group14B1", "14B¹"), =HYPERLINK("CSG0.html#group8D0", "8D⁰"), =HYPERLINK("CSG0.html#group4C0", "4C⁰"), =HYPERLINK("CSG1.html#group32D1", "32D¹"), =HYPERLINK("CSG0.html#group2B0", "2B⁰"), =HYPERLINK("CSG0.html#group1A0", "1A⁰"), =HYPERLINK("CSG0.html#group7A0", "7A⁰")</f>
        <v/>
      </c>
      <c r="N8053" t="inlineStr"/>
    </row>
    <row r="8054">
      <c r="A8054" t="inlineStr">
        <is>
          <t>234A²⁴</t>
        </is>
      </c>
      <c r="B8054" t="inlineStr"/>
      <c r="C8054" t="inlineStr">
        <is>
          <t>336</t>
        </is>
      </c>
      <c r="D8054" t="inlineStr">
        <is>
          <t>2</t>
        </is>
      </c>
      <c r="E8054" t="inlineStr">
        <is>
          <t>112</t>
        </is>
      </c>
      <c r="F8054" t="inlineStr">
        <is>
          <t>0</t>
        </is>
      </c>
      <c r="G8054" t="inlineStr">
        <is>
          <t>3</t>
        </is>
      </c>
      <c r="H8054" t="inlineStr">
        <is>
          <t>2³, 18¹, 26³, 234¹</t>
        </is>
      </c>
      <c r="I8054" t="n">
        <v>8</v>
      </c>
      <c r="J8054" t="inlineStr">
        <is>
          <t>2¹⁶, 24⁸</t>
        </is>
      </c>
      <c r="K8054">
        <f>HYPERLINK("CSG7.html#group78C7", "78C⁷")</f>
        <v/>
      </c>
      <c r="L8054" t="inlineStr"/>
      <c r="M8054">
        <f>HYPERLINK("CSG0.html#group2A0", "2A⁰"), =HYPERLINK("CSG0.html#group3B0", "3B⁰"), =HYPERLINK("CSG1.html#group26A1", "26A¹"), =HYPERLINK("CSG3.html#group39A3", "39A³"), =HYPERLINK("CSG7.html#group78C7", "78C⁷"), =HYPERLINK("CSG0.html#group6C0", "6C⁰"), =HYPERLINK("CSG0.html#group13A0", "13A⁰"), =HYPERLINK("CSG0.html#group1A0", "1A⁰")</f>
        <v/>
      </c>
      <c r="N8054" t="inlineStr"/>
    </row>
    <row r="8055">
      <c r="A8055" t="inlineStr">
        <is>
          <t>240A²⁴</t>
        </is>
      </c>
      <c r="B8055" t="inlineStr"/>
      <c r="C8055" t="inlineStr">
        <is>
          <t>320</t>
        </is>
      </c>
      <c r="D8055" t="inlineStr">
        <is>
          <t>2</t>
        </is>
      </c>
      <c r="E8055" t="inlineStr">
        <is>
          <t>160</t>
        </is>
      </c>
      <c r="F8055" t="inlineStr">
        <is>
          <t>0</t>
        </is>
      </c>
      <c r="G8055" t="inlineStr">
        <is>
          <t>8</t>
        </is>
      </c>
      <c r="H8055" t="inlineStr">
        <is>
          <t>80¹, 240¹</t>
        </is>
      </c>
      <c r="I8055" t="n">
        <v>2</v>
      </c>
      <c r="J8055" t="inlineStr">
        <is>
          <t>8⁴, 16², 32⁴, 64²</t>
        </is>
      </c>
      <c r="K8055">
        <f>HYPERLINK("CSG4.html#group48A4", "48A⁴"), =HYPERLINK("CSG4.html#group80A4", "80A⁴"), =HYPERLINK("CSG12.html#group120A12", "120A¹²")</f>
        <v/>
      </c>
      <c r="L8055" t="inlineStr"/>
      <c r="M8055">
        <f>HYPERLINK("CSG0.html#group3B0", "3B⁰"), =HYPERLINK("CSG12.html#group120A12", "120A¹²"), =HYPERLINK("CSG0.html#group5A0", "5A⁰"), =HYPERLINK("CSG4.html#group80A4", "80A⁴"), =HYPERLINK("CSG0.html#group16A0", "16A⁰"), =HYPERLINK("CSG2.html#group24A2", "24A²"), =HYPERLINK("CSG0.html#group4A0", "4A⁰"), =HYPERLINK("CSG1.html#group12A1", "12A¹"), =HYPERLINK("CSG0.html#group8A0", "8A⁰"), =HYPERLINK("CSG1.html#group15B1", "15B¹"), =HYPERLINK("CSG1.html#group20A1", "20A¹"), =HYPERLINK("CSG4.html#group48A4", "48A⁴"), =HYPERLINK("CSG6.html#group60A6", "60A⁶"), =HYPERLINK("CSG0.html#group1A0", "1A⁰"), =HYPERLINK("CSG2.html#group40A2", "40A²")</f>
        <v/>
      </c>
      <c r="N8055" t="inlineStr"/>
    </row>
    <row r="8056">
      <c r="A8056" t="inlineStr">
        <is>
          <t>240B²⁴</t>
        </is>
      </c>
      <c r="B8056" t="inlineStr"/>
      <c r="C8056" t="inlineStr">
        <is>
          <t>360</t>
        </is>
      </c>
      <c r="D8056" t="inlineStr">
        <is>
          <t>1</t>
        </is>
      </c>
      <c r="E8056" t="inlineStr">
        <is>
          <t>15</t>
        </is>
      </c>
      <c r="F8056" t="inlineStr">
        <is>
          <t>24</t>
        </is>
      </c>
      <c r="G8056" t="inlineStr">
        <is>
          <t>0</t>
        </is>
      </c>
      <c r="H8056" t="inlineStr">
        <is>
          <t>120¹, 240¹</t>
        </is>
      </c>
      <c r="I8056" t="n">
        <v>2</v>
      </c>
      <c r="J8056" t="inlineStr">
        <is>
          <t>1³, 4³</t>
        </is>
      </c>
      <c r="K8056">
        <f>HYPERLINK("CSG0.html#group48A0", "48A⁰"), =HYPERLINK("CSG8.html#group80A8", "80A⁸"), =HYPERLINK("CSG12.html#group120B12", "120B¹²")</f>
        <v/>
      </c>
      <c r="L8056" t="inlineStr"/>
      <c r="M8056">
        <f>HYPERLINK("CSG0.html#group5A0", "5A⁰"), =HYPERLINK("CSG0.html#group12C0", "12C⁰"), =HYPERLINK("CSG4.html#group40A4", "40A⁴"), =HYPERLINK("CSG1.html#group15A1", "15A¹"), =HYPERLINK("CSG1.html#group10B1", "10B¹"), =HYPERLINK("CSG2.html#group20B2", "20B²"), =HYPERLINK("CSG0.html#group4C0", "4C⁰"), =HYPERLINK("CSG0.html#group8B0", "8B⁰"), =HYPERLINK("CSG6.html#group60B6", "60B⁶"), =HYPERLINK("CSG0.html#group48A0", "48A⁰"), =HYPERLINK("CSG0.html#group2B0", "2B⁰"), =HYPERLINK("CSG12.html#group120B12", "120B¹²"), =HYPERLINK("CSG0.html#group1A0", "1A⁰"), =HYPERLINK("CSG0.html#group16B0", "16B⁰"), =HYPERLINK("CSG3.html#group30D3", "30D³"), =HYPERLINK("CSG0.html#group24A0", "24A⁰"), =HYPERLINK("CSG0.html#group3A0", "3A⁰"), =HYPERLINK("CSG0.html#group6D0", "6D⁰"), =HYPERLINK("CSG8.html#group80A8", "80A⁸")</f>
        <v/>
      </c>
      <c r="N8056" t="inlineStr"/>
    </row>
    <row r="8057">
      <c r="A8057" t="inlineStr">
        <is>
          <t>240C²⁴</t>
        </is>
      </c>
      <c r="B8057" t="inlineStr"/>
      <c r="C8057" t="inlineStr">
        <is>
          <t>360</t>
        </is>
      </c>
      <c r="D8057" t="inlineStr">
        <is>
          <t>2</t>
        </is>
      </c>
      <c r="E8057" t="inlineStr">
        <is>
          <t>15</t>
        </is>
      </c>
      <c r="F8057" t="inlineStr">
        <is>
          <t>24</t>
        </is>
      </c>
      <c r="G8057" t="inlineStr">
        <is>
          <t>0</t>
        </is>
      </c>
      <c r="H8057" t="inlineStr">
        <is>
          <t>120¹, 240¹</t>
        </is>
      </c>
      <c r="I8057" t="n">
        <v>2</v>
      </c>
      <c r="J8057" t="inlineStr">
        <is>
          <t>2³, 8³</t>
        </is>
      </c>
      <c r="K8057">
        <f>HYPERLINK("CSG8.html#group80A8", "80A⁸"), =HYPERLINK("CSG12.html#group120C12", "120C¹²")</f>
        <v/>
      </c>
      <c r="L8057" t="inlineStr"/>
      <c r="M8057">
        <f>HYPERLINK("CSG0.html#group16B0", "16B⁰"), =HYPERLINK("CSG8.html#group80A8", "80A⁸"), =HYPERLINK("CSG0.html#group5A0", "5A⁰"), =HYPERLINK("CSG6.html#group60D6", "60D⁶"), =HYPERLINK("CSG4.html#group40A4", "40A⁴"), =HYPERLINK("CSG3.html#group30E3", "30E³"), =HYPERLINK("CSG1.html#group10B1", "10B¹"), =HYPERLINK("CSG2.html#group20B2", "20B²"), =HYPERLINK("CSG0.html#group4C0", "4C⁰"), =HYPERLINK("CSG0.html#group8B0", "8B⁰"), =HYPERLINK("CSG0.html#group2B0", "2B⁰"), =HYPERLINK("CSG0.html#group15A0", "15A⁰"), =HYPERLINK("CSG0.html#group1A0", "1A⁰"), =HYPERLINK("CSG12.html#group120C12", "120C¹²")</f>
        <v/>
      </c>
      <c r="N8057" t="inlineStr"/>
    </row>
    <row r="8058">
      <c r="A8058" t="inlineStr">
        <is>
          <t>250A²⁴</t>
        </is>
      </c>
      <c r="B8058" t="inlineStr"/>
      <c r="C8058" t="inlineStr">
        <is>
          <t>450</t>
        </is>
      </c>
      <c r="D8058" t="inlineStr">
        <is>
          <t>1</t>
        </is>
      </c>
      <c r="E8058" t="inlineStr">
        <is>
          <t>450</t>
        </is>
      </c>
      <c r="F8058" t="inlineStr">
        <is>
          <t>2</t>
        </is>
      </c>
      <c r="G8058" t="inlineStr">
        <is>
          <t>0</t>
        </is>
      </c>
      <c r="H8058" t="inlineStr">
        <is>
          <t>1¹⁰, 2¹⁰, 5³, 10³, 125¹, 250¹</t>
        </is>
      </c>
      <c r="I8058" t="n">
        <v>28</v>
      </c>
      <c r="J8058" t="inlineStr">
        <is>
          <t>2⁶, 4¹², 20¹², 100⁶</t>
        </is>
      </c>
      <c r="K8058">
        <f>HYPERLINK("CSG2.html#group50B2", "50B²"), =HYPERLINK("CSG6.html#group125A6", "125A⁶")</f>
        <v/>
      </c>
      <c r="L8058" t="inlineStr"/>
      <c r="M8058">
        <f>HYPERLINK("CSG0.html#group25A0", "25A⁰"), =HYPERLINK("CSG0.html#group10C0", "10C⁰"), =HYPERLINK("CSG0.html#group5B0", "5B⁰"), =HYPERLINK("CSG0.html#group2B0", "2B⁰"), =HYPERLINK("CSG2.html#group50B2", "50B²"), =HYPERLINK("CSG0.html#group1A0", "1A⁰"), =HYPERLINK("CSG6.html#group125A6", "125A⁶")</f>
        <v/>
      </c>
      <c r="N8058" t="inlineStr"/>
    </row>
    <row r="8059">
      <c r="A8059" t="inlineStr">
        <is>
          <t>250B²⁴</t>
        </is>
      </c>
      <c r="B8059" t="inlineStr"/>
      <c r="C8059" t="inlineStr">
        <is>
          <t>450</t>
        </is>
      </c>
      <c r="D8059" t="inlineStr">
        <is>
          <t>1</t>
        </is>
      </c>
      <c r="E8059" t="inlineStr">
        <is>
          <t>450</t>
        </is>
      </c>
      <c r="F8059" t="inlineStr">
        <is>
          <t>2</t>
        </is>
      </c>
      <c r="G8059" t="inlineStr">
        <is>
          <t>0</t>
        </is>
      </c>
      <c r="H8059" t="inlineStr">
        <is>
          <t>1¹⁰, 2¹⁰, 5³, 10³, 125¹, 250¹</t>
        </is>
      </c>
      <c r="I8059" t="n">
        <v>28</v>
      </c>
      <c r="J8059" t="inlineStr">
        <is>
          <t>2⁶, 4¹², 20¹², 100⁶</t>
        </is>
      </c>
      <c r="K8059">
        <f>HYPERLINK("CSG2.html#group50B2", "50B²"), =HYPERLINK("CSG6.html#group125B6", "125B⁶")</f>
        <v/>
      </c>
      <c r="L8059" t="inlineStr"/>
      <c r="M8059">
        <f>HYPERLINK("CSG0.html#group25A0", "25A⁰"), =HYPERLINK("CSG0.html#group5B0", "5B⁰"), =HYPERLINK("CSG0.html#group10C0", "10C⁰"), =HYPERLINK("CSG0.html#group2B0", "2B⁰"), =HYPERLINK("CSG6.html#group125B6", "125B⁶"), =HYPERLINK("CSG2.html#group50B2", "50B²"), =HYPERLINK("CSG0.html#group1A0", "1A⁰")</f>
        <v/>
      </c>
      <c r="N8059" t="inlineStr"/>
    </row>
    <row r="8060">
      <c r="A8060" t="inlineStr">
        <is>
          <t>252A²⁴</t>
        </is>
      </c>
      <c r="B8060" t="inlineStr"/>
      <c r="C8060" t="inlineStr">
        <is>
          <t>288</t>
        </is>
      </c>
      <c r="D8060" t="inlineStr">
        <is>
          <t>1</t>
        </is>
      </c>
      <c r="E8060" t="inlineStr">
        <is>
          <t>72</t>
        </is>
      </c>
      <c r="F8060" t="inlineStr">
        <is>
          <t>0</t>
        </is>
      </c>
      <c r="G8060" t="inlineStr">
        <is>
          <t>0</t>
        </is>
      </c>
      <c r="H8060" t="inlineStr">
        <is>
          <t>36¹, 252¹</t>
        </is>
      </c>
      <c r="I8060" t="n">
        <v>2</v>
      </c>
      <c r="J8060" t="inlineStr">
        <is>
          <t>1², 2², 6³, 12¹, 36¹</t>
        </is>
      </c>
      <c r="K8060">
        <f>HYPERLINK("CSG8.html#group84A8", "84A⁸"), =HYPERLINK("CSG12.html#group126B12", "126B¹²")</f>
        <v/>
      </c>
      <c r="L8060" t="inlineStr"/>
      <c r="M8060">
        <f>HYPERLINK("CSG0.html#group2A0", "2A⁰"), =HYPERLINK("CSG12.html#group126B12", "126B¹²"), =HYPERLINK("CSG8.html#group84A8", "84A⁸"), =HYPERLINK("CSG6.html#group63A6", "63A⁶"), =HYPERLINK("CSG4.html#group42B4", "42B⁴"), =HYPERLINK("CSG2.html#group21A2", "21A²"), =HYPERLINK("CSG0.html#group28A0", "28A⁰"), =HYPERLINK("CSG0.html#group7B0", "7B⁰"), =HYPERLINK("CSG0.html#group9A0", "9A⁰"), =HYPERLINK("CSG0.html#group14B0", "14B⁰"), =HYPERLINK("CSG1.html#group6A1", "6A¹"), =HYPERLINK("CSG2.html#group18A2", "18A²"), =HYPERLINK("CSG0.html#group3A0", "3A⁰"), =HYPERLINK("CSG0.html#group1A0", "1A⁰")</f>
        <v/>
      </c>
      <c r="N8060" t="inlineStr"/>
    </row>
    <row r="8061">
      <c r="A8061" t="inlineStr">
        <is>
          <t>252B²⁴</t>
        </is>
      </c>
      <c r="B8061" t="inlineStr"/>
      <c r="C8061" t="inlineStr">
        <is>
          <t>288</t>
        </is>
      </c>
      <c r="D8061" t="inlineStr">
        <is>
          <t>1</t>
        </is>
      </c>
      <c r="E8061" t="inlineStr">
        <is>
          <t>72</t>
        </is>
      </c>
      <c r="F8061" t="inlineStr">
        <is>
          <t>0</t>
        </is>
      </c>
      <c r="G8061" t="inlineStr">
        <is>
          <t>0</t>
        </is>
      </c>
      <c r="H8061" t="inlineStr">
        <is>
          <t>36¹, 252¹</t>
        </is>
      </c>
      <c r="I8061" t="n">
        <v>2</v>
      </c>
      <c r="J8061" t="inlineStr">
        <is>
          <t>1², 2², 6³, 12¹, 36¹</t>
        </is>
      </c>
      <c r="K8061">
        <f>HYPERLINK("CSG8.html#group84B8", "84B⁸"), =HYPERLINK("CSG12.html#group126B12", "126B¹²")</f>
        <v/>
      </c>
      <c r="L8061" t="inlineStr"/>
      <c r="M8061">
        <f>HYPERLINK("CSG0.html#group2A0", "2A⁰"), =HYPERLINK("CSG12.html#group126B12", "126B¹²"), =HYPERLINK("CSG0.html#group3A0", "3A⁰"), =HYPERLINK("CSG2.html#group21A2", "21A²"), =HYPERLINK("CSG4.html#group42B4", "42B⁴"), =HYPERLINK("CSG6.html#group63A6", "63A⁶"), =HYPERLINK("CSG0.html#group7B0", "7B⁰"), =HYPERLINK("CSG0.html#group9A0", "9A⁰"), =HYPERLINK("CSG0.html#group14B0", "14B⁰"), =HYPERLINK("CSG1.html#group6A1", "6A¹"), =HYPERLINK("CSG2.html#group18A2", "18A²"), =HYPERLINK("CSG8.html#group84B8", "84B⁸"), =HYPERLINK("CSG0.html#group1A0", "1A⁰")</f>
        <v/>
      </c>
      <c r="N8061" t="inlineStr"/>
    </row>
    <row r="8062">
      <c r="A8062" t="inlineStr">
        <is>
          <t>252C²⁴</t>
        </is>
      </c>
      <c r="B8062" t="inlineStr"/>
      <c r="C8062" t="inlineStr">
        <is>
          <t>288</t>
        </is>
      </c>
      <c r="D8062" t="inlineStr">
        <is>
          <t>1</t>
        </is>
      </c>
      <c r="E8062" t="inlineStr">
        <is>
          <t>288</t>
        </is>
      </c>
      <c r="F8062" t="inlineStr">
        <is>
          <t>0</t>
        </is>
      </c>
      <c r="G8062" t="inlineStr">
        <is>
          <t>0</t>
        </is>
      </c>
      <c r="H8062" t="inlineStr">
        <is>
          <t>36¹, 252¹</t>
        </is>
      </c>
      <c r="I8062" t="n">
        <v>2</v>
      </c>
      <c r="J8062" t="inlineStr">
        <is>
          <t>2⁴, 4⁴, 12⁶, 24², 72²</t>
        </is>
      </c>
      <c r="K8062">
        <f>HYPERLINK("CSG1.html#group36A1", "36A¹"), =HYPERLINK("CSG6.html#group63A6", "63A⁶"), =HYPERLINK("CSG8.html#group84C8", "84C⁸")</f>
        <v/>
      </c>
      <c r="L8062" t="inlineStr"/>
      <c r="M8062">
        <f>HYPERLINK("CSG1.html#group36A1", "36A¹"), =HYPERLINK("CSG0.html#group12A0", "12A⁰"), =HYPERLINK("CSG6.html#group63A6", "63A⁶"), =HYPERLINK("CSG2.html#group21A2", "21A²"), =HYPERLINK("CSG8.html#group84C8", "84C⁸"), =HYPERLINK("CSG0.html#group4A0", "4A⁰"), =HYPERLINK("CSG0.html#group7B0", "7B⁰"), =HYPERLINK("CSG0.html#group9A0", "9A⁰"), =HYPERLINK("CSG0.html#group3A0", "3A⁰"), =HYPERLINK("CSG0.html#group1A0", "1A⁰"), =HYPERLINK("CSG2.html#group28A2", "28A²")</f>
        <v/>
      </c>
      <c r="N8062" t="inlineStr"/>
    </row>
    <row r="8063">
      <c r="A8063" t="inlineStr">
        <is>
          <t>252D²⁴</t>
        </is>
      </c>
      <c r="B8063" t="inlineStr"/>
      <c r="C8063" t="inlineStr">
        <is>
          <t>288</t>
        </is>
      </c>
      <c r="D8063" t="inlineStr">
        <is>
          <t>2</t>
        </is>
      </c>
      <c r="E8063" t="inlineStr">
        <is>
          <t>72</t>
        </is>
      </c>
      <c r="F8063" t="inlineStr">
        <is>
          <t>0</t>
        </is>
      </c>
      <c r="G8063" t="inlineStr">
        <is>
          <t>0</t>
        </is>
      </c>
      <c r="H8063" t="inlineStr">
        <is>
          <t>36¹, 252¹</t>
        </is>
      </c>
      <c r="I8063" t="n">
        <v>2</v>
      </c>
      <c r="J8063" t="inlineStr">
        <is>
          <t>2⁶, 6⁴, 12³, 36²</t>
        </is>
      </c>
      <c r="K8063">
        <f>HYPERLINK("CSG8.html#group84B8", "84B⁸"), =HYPERLINK("CSG12.html#group126B12", "126B¹²")</f>
        <v/>
      </c>
      <c r="L8063" t="inlineStr"/>
      <c r="M8063">
        <f>HYPERLINK("CSG0.html#group2A0", "2A⁰"), =HYPERLINK("CSG12.html#group126B12", "126B¹²"), =HYPERLINK("CSG0.html#group3A0", "3A⁰"), =HYPERLINK("CSG2.html#group21A2", "21A²"), =HYPERLINK("CSG4.html#group42B4", "42B⁴"), =HYPERLINK("CSG6.html#group63A6", "63A⁶"), =HYPERLINK("CSG0.html#group7B0", "7B⁰"), =HYPERLINK("CSG0.html#group9A0", "9A⁰"), =HYPERLINK("CSG0.html#group14B0", "14B⁰"), =HYPERLINK("CSG1.html#group6A1", "6A¹"), =HYPERLINK("CSG2.html#group18A2", "18A²"), =HYPERLINK("CSG8.html#group84B8", "84B⁸"), =HYPERLINK("CSG0.html#group1A0", "1A⁰")</f>
        <v/>
      </c>
      <c r="N8063" t="inlineStr"/>
    </row>
    <row r="8064">
      <c r="A8064" t="inlineStr">
        <is>
          <t>252E²⁴</t>
        </is>
      </c>
      <c r="B8064" t="inlineStr"/>
      <c r="C8064" t="inlineStr">
        <is>
          <t>336</t>
        </is>
      </c>
      <c r="D8064" t="inlineStr">
        <is>
          <t>2</t>
        </is>
      </c>
      <c r="E8064" t="inlineStr">
        <is>
          <t>28</t>
        </is>
      </c>
      <c r="F8064" t="inlineStr">
        <is>
          <t>0</t>
        </is>
      </c>
      <c r="G8064" t="inlineStr">
        <is>
          <t>12</t>
        </is>
      </c>
      <c r="H8064" t="inlineStr">
        <is>
          <t>84¹, 252¹</t>
        </is>
      </c>
      <c r="I8064" t="n">
        <v>2</v>
      </c>
      <c r="J8064" t="inlineStr">
        <is>
          <t>2², 4¹, 6⁴, 12²</t>
        </is>
      </c>
      <c r="K8064">
        <f>HYPERLINK("CSG8.html#group84D8", "84D⁸"), =HYPERLINK("CSG12.html#group126F12", "126F¹²")</f>
        <v/>
      </c>
      <c r="L8064" t="inlineStr"/>
      <c r="M8064">
        <f>HYPERLINK("CSG8.html#group84D8", "84D⁸"), =HYPERLINK("CSG0.html#group3B0", "3B⁰"), =HYPERLINK("CSG0.html#group2A0", "2A⁰"), =HYPERLINK("CSG2.html#group21B2", "21B²"), =HYPERLINK("CSG6.html#group63C6", "63C⁶"), =HYPERLINK("CSG0.html#group18B0", "18B⁰"), =HYPERLINK("CSG4.html#group42E4", "42E⁴"), =HYPERLINK("CSG0.html#group6C0", "6C⁰"), =HYPERLINK("CSG12.html#group126F12", "126F¹²"), =HYPERLINK("CSG1.html#group14A1", "14A¹"), =HYPERLINK("CSG0.html#group9C0", "9C⁰"), =HYPERLINK("CSG0.html#group1A0", "1A⁰"), =HYPERLINK("CSG0.html#group7A0", "7A⁰")</f>
        <v/>
      </c>
      <c r="N8064" t="inlineStr"/>
    </row>
    <row r="8065">
      <c r="A8065" t="inlineStr">
        <is>
          <t>252F²⁴</t>
        </is>
      </c>
      <c r="B8065" t="inlineStr"/>
      <c r="C8065" t="inlineStr">
        <is>
          <t>336</t>
        </is>
      </c>
      <c r="D8065" t="inlineStr">
        <is>
          <t>2</t>
        </is>
      </c>
      <c r="E8065" t="inlineStr">
        <is>
          <t>28</t>
        </is>
      </c>
      <c r="F8065" t="inlineStr">
        <is>
          <t>0</t>
        </is>
      </c>
      <c r="G8065" t="inlineStr">
        <is>
          <t>12</t>
        </is>
      </c>
      <c r="H8065" t="inlineStr">
        <is>
          <t>84¹, 252¹</t>
        </is>
      </c>
      <c r="I8065" t="n">
        <v>2</v>
      </c>
      <c r="J8065" t="inlineStr">
        <is>
          <t>2², 4¹, 6⁴, 12²</t>
        </is>
      </c>
      <c r="K8065">
        <f>HYPERLINK("CSG0.html#group36A0", "36A⁰"), =HYPERLINK("CSG8.html#group84E8", "84E⁸"), =HYPERLINK("CSG12.html#group126F12", "126F¹²")</f>
        <v/>
      </c>
      <c r="L8065" t="inlineStr"/>
      <c r="M8065">
        <f>HYPERLINK("CSG0.html#group3B0", "3B⁰"), =HYPERLINK("CSG0.html#group2A0", "2A⁰"), =HYPERLINK("CSG0.html#group36A0", "36A⁰"), =HYPERLINK("CSG0.html#group18B0", "18B⁰"), =HYPERLINK("CSG0.html#group6C0", "6C⁰"), =HYPERLINK("CSG1.html#group14A1", "14A¹"), =HYPERLINK("CSG8.html#group84E8", "84E⁸"), =HYPERLINK("CSG0.html#group9C0", "9C⁰"), =HYPERLINK("CSG0.html#group1A0", "1A⁰"), =HYPERLINK("CSG2.html#group21B2", "21B²"), =HYPERLINK("CSG6.html#group63C6", "63C⁶"), =HYPERLINK("CSG4.html#group42E4", "42E⁴"), =HYPERLINK("CSG12.html#group126F12", "126F¹²"), =HYPERLINK("CSG0.html#group7A0", "7A⁰"), =HYPERLINK("CSG0.html#group12B0", "12B⁰")</f>
        <v/>
      </c>
      <c r="N8065" t="inlineStr"/>
    </row>
    <row r="8066">
      <c r="A8066" t="inlineStr">
        <is>
          <t>252G²⁴</t>
        </is>
      </c>
      <c r="B8066" t="inlineStr"/>
      <c r="C8066" t="inlineStr">
        <is>
          <t>378</t>
        </is>
      </c>
      <c r="D8066" t="inlineStr">
        <is>
          <t>2</t>
        </is>
      </c>
      <c r="E8066" t="inlineStr">
        <is>
          <t>189</t>
        </is>
      </c>
      <c r="F8066" t="inlineStr">
        <is>
          <t>30</t>
        </is>
      </c>
      <c r="G8066" t="inlineStr">
        <is>
          <t>0</t>
        </is>
      </c>
      <c r="H8066" t="inlineStr">
        <is>
          <t>126¹, 252¹</t>
        </is>
      </c>
      <c r="I8066" t="n">
        <v>2</v>
      </c>
      <c r="J8066" t="inlineStr">
        <is>
          <t>2³, 4³, 6⁶, 12⁹, 36⁶</t>
        </is>
      </c>
      <c r="K8066">
        <f>HYPERLINK("CSG2.html#group36B2", "36B²"), =HYPERLINK("CSG6.html#group84B6", "84B⁶"), =HYPERLINK("CSG12.html#group126H12", "126H¹²")</f>
        <v/>
      </c>
      <c r="L8066" t="inlineStr"/>
      <c r="M8066">
        <f>HYPERLINK("CSG0.html#group12C0", "12C⁰"), =HYPERLINK("CSG1.html#group14B1", "14B¹"), =HYPERLINK("CSG2.html#group36B2", "36B²"), =HYPERLINK("CSG0.html#group4C0", "4C⁰"), =HYPERLINK("CSG0.html#group21A0", "21A⁰"), =HYPERLINK("CSG0.html#group2B0", "2B⁰"), =HYPERLINK("CSG0.html#group1A0", "1A⁰"), =HYPERLINK("CSG2.html#group63A2", "63A²"), =HYPERLINK("CSG2.html#group28C2", "28C²"), =HYPERLINK("CSG12.html#group126H12", "126H¹²"), =HYPERLINK("CSG0.html#group9A0", "9A⁰"), =HYPERLINK("CSG1.html#group18E1", "18E¹"), =HYPERLINK("CSG0.html#group3A0", "3A⁰"), =HYPERLINK("CSG3.html#group42C3", "42C³"), =HYPERLINK("CSG6.html#group84B6", "84B⁶"), =HYPERLINK("CSG0.html#group6D0", "6D⁰"), =HYPERLINK("CSG0.html#group7A0", "7A⁰")</f>
        <v/>
      </c>
      <c r="N8066" t="inlineStr"/>
    </row>
    <row r="8067">
      <c r="A8067" t="inlineStr">
        <is>
          <t>264A²⁴</t>
        </is>
      </c>
      <c r="B8067" t="inlineStr"/>
      <c r="C8067" t="inlineStr">
        <is>
          <t>288</t>
        </is>
      </c>
      <c r="D8067" t="inlineStr">
        <is>
          <t>2</t>
        </is>
      </c>
      <c r="E8067" t="inlineStr">
        <is>
          <t>48</t>
        </is>
      </c>
      <c r="F8067" t="inlineStr">
        <is>
          <t>0</t>
        </is>
      </c>
      <c r="G8067" t="inlineStr">
        <is>
          <t>0</t>
        </is>
      </c>
      <c r="H8067" t="inlineStr">
        <is>
          <t>24¹, 264¹</t>
        </is>
      </c>
      <c r="I8067" t="n">
        <v>2</v>
      </c>
      <c r="J8067" t="inlineStr">
        <is>
          <t>4⁴, 40²</t>
        </is>
      </c>
      <c r="K8067">
        <f>HYPERLINK("CSG1.html#group24A1", "24A¹"), =HYPERLINK("CSG8.html#group88A8", "88A⁸"), =HYPERLINK("CSG12.html#group132D12", "132D¹²")</f>
        <v/>
      </c>
      <c r="L8067" t="inlineStr"/>
      <c r="M8067">
        <f>HYPERLINK("CSG0.html#group12A0", "12A⁰"), =HYPERLINK("CSG1.html#group24A1", "24A¹"), =HYPERLINK("CSG8.html#group88A8", "88A⁸"), =HYPERLINK("CSG1.html#group11A1", "11A¹"), =HYPERLINK("CSG0.html#group4A0", "4A⁰"), =HYPERLINK("CSG4.html#group44B4", "44B⁴"), =HYPERLINK("CSG0.html#group8A0", "8A⁰"), =HYPERLINK("CSG12.html#group132D12", "132D¹²"), =HYPERLINK("CSG0.html#group3A0", "3A⁰"), =HYPERLINK("CSG3.html#group33A3", "33A³"), =HYPERLINK("CSG0.html#group1A0", "1A⁰")</f>
        <v/>
      </c>
      <c r="N8067" t="inlineStr"/>
    </row>
    <row r="8068">
      <c r="A8068" t="inlineStr">
        <is>
          <t>264B²⁴</t>
        </is>
      </c>
      <c r="B8068" t="inlineStr"/>
      <c r="C8068" t="inlineStr">
        <is>
          <t>288</t>
        </is>
      </c>
      <c r="D8068" t="inlineStr">
        <is>
          <t>2</t>
        </is>
      </c>
      <c r="E8068" t="inlineStr">
        <is>
          <t>144</t>
        </is>
      </c>
      <c r="F8068" t="inlineStr">
        <is>
          <t>0</t>
        </is>
      </c>
      <c r="G8068" t="inlineStr">
        <is>
          <t>0</t>
        </is>
      </c>
      <c r="H8068" t="inlineStr">
        <is>
          <t>24¹, 264¹</t>
        </is>
      </c>
      <c r="I8068" t="n">
        <v>2</v>
      </c>
      <c r="J8068" t="inlineStr">
        <is>
          <t>4⁴, 8⁴, 40², 80²</t>
        </is>
      </c>
      <c r="K8068">
        <f>HYPERLINK("CSG1.html#group24B1", "24B¹"), =HYPERLINK("CSG12.html#group132D12", "132D¹²")</f>
        <v/>
      </c>
      <c r="L8068" t="inlineStr"/>
      <c r="M8068">
        <f>HYPERLINK("CSG0.html#group12A0", "12A⁰"), =HYPERLINK("CSG0.html#group4A0", "4A⁰"), =HYPERLINK("CSG1.html#group11A1", "11A¹"), =HYPERLINK("CSG4.html#group44B4", "44B⁴"), =HYPERLINK("CSG1.html#group24B1", "24B¹"), =HYPERLINK("CSG12.html#group132D12", "132D¹²"), =HYPERLINK("CSG0.html#group3A0", "3A⁰"), =HYPERLINK("CSG3.html#group33A3", "33A³"), =HYPERLINK("CSG0.html#group1A0", "1A⁰")</f>
        <v/>
      </c>
      <c r="N8068" t="inlineStr"/>
    </row>
    <row r="8069">
      <c r="A8069" t="inlineStr">
        <is>
          <t>264C²⁴</t>
        </is>
      </c>
      <c r="B8069" t="inlineStr"/>
      <c r="C8069" t="inlineStr">
        <is>
          <t>396</t>
        </is>
      </c>
      <c r="D8069" t="inlineStr">
        <is>
          <t>2</t>
        </is>
      </c>
      <c r="E8069" t="inlineStr">
        <is>
          <t>33</t>
        </is>
      </c>
      <c r="F8069" t="inlineStr">
        <is>
          <t>36</t>
        </is>
      </c>
      <c r="G8069" t="inlineStr">
        <is>
          <t>0</t>
        </is>
      </c>
      <c r="H8069" t="inlineStr">
        <is>
          <t>132¹, 264¹</t>
        </is>
      </c>
      <c r="I8069" t="n">
        <v>2</v>
      </c>
      <c r="J8069" t="inlineStr">
        <is>
          <t>2³, 10⁶</t>
        </is>
      </c>
      <c r="K8069">
        <f>HYPERLINK("CSG0.html#group24A0", "24A⁰"), =HYPERLINK("CSG8.html#group88B8", "88B⁸"), =HYPERLINK("CSG12.html#group132F12", "132F¹²")</f>
        <v/>
      </c>
      <c r="L8069" t="inlineStr"/>
      <c r="M8069">
        <f>HYPERLINK("CSG0.html#group12C0", "12C⁰"), =HYPERLINK("CSG4.html#group44C4", "44C⁴"), =HYPERLINK("CSG1.html#group33A1", "33A¹"), =HYPERLINK("CSG0.html#group4C0", "4C⁰"), =HYPERLINK("CSG0.html#group8B0", "8B⁰"), =HYPERLINK("CSG0.html#group2B0", "2B⁰"), =HYPERLINK("CSG12.html#group132F12", "132F¹²"), =HYPERLINK("CSG2.html#group22B2", "22B²"), =HYPERLINK("CSG0.html#group1A0", "1A⁰"), =HYPERLINK("CSG8.html#group88B8", "88B⁸"), =HYPERLINK("CSG0.html#group11A0", "11A⁰"), =HYPERLINK("CSG0.html#group24A0", "24A⁰"), =HYPERLINK("CSG6.html#group66F6", "66F⁶"), =HYPERLINK("CSG0.html#group3A0", "3A⁰"), =HYPERLINK("CSG0.html#group6D0", "6D⁰")</f>
        <v/>
      </c>
      <c r="N8069" t="inlineStr"/>
    </row>
    <row r="8070">
      <c r="A8070" t="inlineStr">
        <is>
          <t>270A²⁴</t>
        </is>
      </c>
      <c r="B8070" t="inlineStr"/>
      <c r="C8070" t="inlineStr">
        <is>
          <t>360</t>
        </is>
      </c>
      <c r="D8070" t="inlineStr">
        <is>
          <t>1</t>
        </is>
      </c>
      <c r="E8070" t="inlineStr">
        <is>
          <t>120</t>
        </is>
      </c>
      <c r="F8070" t="inlineStr">
        <is>
          <t>0</t>
        </is>
      </c>
      <c r="G8070" t="inlineStr">
        <is>
          <t>18</t>
        </is>
      </c>
      <c r="H8070" t="inlineStr">
        <is>
          <t>90¹, 270¹</t>
        </is>
      </c>
      <c r="I8070" t="n">
        <v>2</v>
      </c>
      <c r="J8070" t="inlineStr">
        <is>
          <t>2⁶, 6², 8⁶, 24²</t>
        </is>
      </c>
      <c r="K8070">
        <f>HYPERLINK("CSG3.html#group54C3", "54C³"), =HYPERLINK("CSG6.html#group90C6", "90C⁶")</f>
        <v/>
      </c>
      <c r="L8070" t="inlineStr"/>
      <c r="M8070">
        <f>HYPERLINK("CSG0.html#group3B0", "3B⁰"), =HYPERLINK("CSG0.html#group2A0", "2A⁰"), =HYPERLINK("CSG0.html#group5A0", "5A⁰"), =HYPERLINK("CSG3.html#group45B3", "45B³"), =HYPERLINK("CSG0.html#group10A0", "10A⁰"), =HYPERLINK("CSG6.html#group90C6", "90C⁶"), =HYPERLINK("CSG0.html#group18B0", "18B⁰"), =HYPERLINK("CSG2.html#group30D2", "30D²"), =HYPERLINK("CSG0.html#group6C0", "6C⁰"), =HYPERLINK("CSG1.html#group15B1", "15B¹"), =HYPERLINK("CSG0.html#group9C0", "9C⁰"), =HYPERLINK("CSG0.html#group1A0", "1A⁰"), =HYPERLINK("CSG3.html#group54C3", "54C³")</f>
        <v/>
      </c>
      <c r="N8070" t="inlineStr"/>
    </row>
    <row r="8071">
      <c r="A8071" t="inlineStr">
        <is>
          <t>270B²⁴</t>
        </is>
      </c>
      <c r="B8071" t="inlineStr"/>
      <c r="C8071" t="inlineStr">
        <is>
          <t>360</t>
        </is>
      </c>
      <c r="D8071" t="inlineStr">
        <is>
          <t>2</t>
        </is>
      </c>
      <c r="E8071" t="inlineStr">
        <is>
          <t>60</t>
        </is>
      </c>
      <c r="F8071" t="inlineStr">
        <is>
          <t>0</t>
        </is>
      </c>
      <c r="G8071" t="inlineStr">
        <is>
          <t>18</t>
        </is>
      </c>
      <c r="H8071" t="inlineStr">
        <is>
          <t>90¹, 270¹</t>
        </is>
      </c>
      <c r="I8071" t="n">
        <v>2</v>
      </c>
      <c r="J8071" t="inlineStr">
        <is>
          <t>2², 4², 8⁶, 12¹, 24²</t>
        </is>
      </c>
      <c r="K8071">
        <f>HYPERLINK("CSG6.html#group90C6", "90C⁶"), =HYPERLINK("CSG12.html#group135C12", "135C¹²")</f>
        <v/>
      </c>
      <c r="L8071" t="inlineStr"/>
      <c r="M8071">
        <f>HYPERLINK("CSG12.html#group135C12", "135C¹²"), =HYPERLINK("CSG0.html#group3B0", "3B⁰"), =HYPERLINK("CSG0.html#group2A0", "2A⁰"), =HYPERLINK("CSG0.html#group5A0", "5A⁰"), =HYPERLINK("CSG0.html#group18B0", "18B⁰"), =HYPERLINK("CSG2.html#group30D2", "30D²"), =HYPERLINK("CSG0.html#group6C0", "6C⁰"), =HYPERLINK("CSG0.html#group9C0", "9C⁰"), =HYPERLINK("CSG0.html#group1A0", "1A⁰"), =HYPERLINK("CSG3.html#group45B3", "45B³"), =HYPERLINK("CSG0.html#group10A0", "10A⁰"), =HYPERLINK("CSG6.html#group90C6", "90C⁶"), =HYPERLINK("CSG1.html#group15B1", "15B¹")</f>
        <v/>
      </c>
      <c r="N8071" t="inlineStr"/>
    </row>
    <row r="8072">
      <c r="A8072" t="inlineStr">
        <is>
          <t>275A²⁴</t>
        </is>
      </c>
      <c r="B8072" t="inlineStr"/>
      <c r="C8072" t="inlineStr">
        <is>
          <t>330</t>
        </is>
      </c>
      <c r="D8072" t="inlineStr">
        <is>
          <t>2</t>
        </is>
      </c>
      <c r="E8072" t="inlineStr">
        <is>
          <t>330</t>
        </is>
      </c>
      <c r="F8072" t="inlineStr">
        <is>
          <t>6</t>
        </is>
      </c>
      <c r="G8072" t="inlineStr">
        <is>
          <t>0</t>
        </is>
      </c>
      <c r="H8072" t="inlineStr">
        <is>
          <t>11⁵, 275¹</t>
        </is>
      </c>
      <c r="I8072" t="n">
        <v>6</v>
      </c>
      <c r="J8072" t="inlineStr">
        <is>
          <t>2², 8², 10⁴, 40⁵, 200²</t>
        </is>
      </c>
      <c r="K8072">
        <f>HYPERLINK("CSG0.html#group25A0", "25A⁰"), =HYPERLINK("CSG4.html#group55A4", "55A⁴")</f>
        <v/>
      </c>
      <c r="L8072" t="inlineStr"/>
      <c r="M8072">
        <f>HYPERLINK("CSG0.html#group25A0", "25A⁰"), =HYPERLINK("CSG0.html#group5B0", "5B⁰"), =HYPERLINK("CSG4.html#group55A4", "55A⁴"), =HYPERLINK("CSG0.html#group11A0", "11A⁰"), =HYPERLINK("CSG0.html#group1A0", "1A⁰")</f>
        <v/>
      </c>
      <c r="N8072" t="inlineStr"/>
    </row>
    <row r="8073">
      <c r="A8073" t="inlineStr">
        <is>
          <t>276A²⁴</t>
        </is>
      </c>
      <c r="B8073" t="inlineStr"/>
      <c r="C8073" t="inlineStr">
        <is>
          <t>288</t>
        </is>
      </c>
      <c r="D8073" t="inlineStr">
        <is>
          <t>1</t>
        </is>
      </c>
      <c r="E8073" t="inlineStr">
        <is>
          <t>24</t>
        </is>
      </c>
      <c r="F8073" t="inlineStr">
        <is>
          <t>0</t>
        </is>
      </c>
      <c r="G8073" t="inlineStr">
        <is>
          <t>0</t>
        </is>
      </c>
      <c r="H8073" t="inlineStr">
        <is>
          <t>12¹, 276¹</t>
        </is>
      </c>
      <c r="I8073" t="n">
        <v>2</v>
      </c>
      <c r="J8073" t="inlineStr">
        <is>
          <t>1², 22¹</t>
        </is>
      </c>
      <c r="K8073">
        <f>HYPERLINK("CSG8.html#group92A8", "92A⁸"), =HYPERLINK("CSG12.html#group138A12", "138A¹²")</f>
        <v/>
      </c>
      <c r="L8073" t="inlineStr"/>
      <c r="M8073">
        <f>HYPERLINK("CSG0.html#group2A0", "2A⁰"), =HYPERLINK("CSG12.html#group138A12", "138A¹²"), =HYPERLINK("CSG6.html#group69A6", "69A⁶"), =HYPERLINK("CSG8.html#group92A8", "92A⁸"), =HYPERLINK("CSG1.html#group6A1", "6A¹"), =HYPERLINK("CSG2.html#group23A2", "23A²"), =HYPERLINK("CSG0.html#group3A0", "3A⁰"), =HYPERLINK("CSG0.html#group1A0", "1A⁰"), =HYPERLINK("CSG4.html#group46A4", "46A⁴")</f>
        <v/>
      </c>
      <c r="N8073" t="inlineStr"/>
    </row>
    <row r="8074">
      <c r="A8074" t="inlineStr">
        <is>
          <t>276B²⁴</t>
        </is>
      </c>
      <c r="B8074" t="inlineStr"/>
      <c r="C8074" t="inlineStr">
        <is>
          <t>288</t>
        </is>
      </c>
      <c r="D8074" t="inlineStr">
        <is>
          <t>1</t>
        </is>
      </c>
      <c r="E8074" t="inlineStr">
        <is>
          <t>48</t>
        </is>
      </c>
      <c r="F8074" t="inlineStr">
        <is>
          <t>0</t>
        </is>
      </c>
      <c r="G8074" t="inlineStr">
        <is>
          <t>0</t>
        </is>
      </c>
      <c r="H8074" t="inlineStr">
        <is>
          <t>12¹, 276¹</t>
        </is>
      </c>
      <c r="I8074" t="n">
        <v>2</v>
      </c>
      <c r="J8074" t="inlineStr">
        <is>
          <t>2², 44¹</t>
        </is>
      </c>
      <c r="K8074">
        <f>HYPERLINK("CSG8.html#group92A8", "92A⁸"), =HYPERLINK("CSG12.html#group138B12", "138B¹²")</f>
        <v/>
      </c>
      <c r="L8074" t="inlineStr"/>
      <c r="M8074">
        <f>HYPERLINK("CSG0.html#group2A0", "2A⁰"), =HYPERLINK("CSG0.html#group6A0", "6A⁰"), =HYPERLINK("CSG8.html#group92A8", "92A⁸"), =HYPERLINK("CSG2.html#group23A2", "23A²"), =HYPERLINK("CSG12.html#group138B12", "138B¹²"), =HYPERLINK("CSG0.html#group1A0", "1A⁰"), =HYPERLINK("CSG4.html#group46A4", "46A⁴")</f>
        <v/>
      </c>
      <c r="N8074" t="inlineStr"/>
    </row>
    <row r="8075">
      <c r="A8075" t="inlineStr">
        <is>
          <t>276C²⁴</t>
        </is>
      </c>
      <c r="B8075" t="inlineStr"/>
      <c r="C8075" t="inlineStr">
        <is>
          <t>288</t>
        </is>
      </c>
      <c r="D8075" t="inlineStr">
        <is>
          <t>1</t>
        </is>
      </c>
      <c r="E8075" t="inlineStr">
        <is>
          <t>72</t>
        </is>
      </c>
      <c r="F8075" t="inlineStr">
        <is>
          <t>0</t>
        </is>
      </c>
      <c r="G8075" t="inlineStr">
        <is>
          <t>0</t>
        </is>
      </c>
      <c r="H8075" t="inlineStr">
        <is>
          <t>12¹, 276¹</t>
        </is>
      </c>
      <c r="I8075" t="n">
        <v>2</v>
      </c>
      <c r="J8075" t="inlineStr">
        <is>
          <t>1², 2², 22¹, 44¹</t>
        </is>
      </c>
      <c r="K8075">
        <f>HYPERLINK("CSG12.html#group138A12", "138A¹²")</f>
        <v/>
      </c>
      <c r="L8075" t="inlineStr"/>
      <c r="M8075">
        <f>HYPERLINK("CSG0.html#group2A0", "2A⁰"), =HYPERLINK("CSG12.html#group138A12", "138A¹²"), =HYPERLINK("CSG6.html#group69A6", "69A⁶"), =HYPERLINK("CSG1.html#group6A1", "6A¹"), =HYPERLINK("CSG2.html#group23A2", "23A²"), =HYPERLINK("CSG0.html#group3A0", "3A⁰"), =HYPERLINK("CSG0.html#group1A0", "1A⁰"), =HYPERLINK("CSG4.html#group46A4", "46A⁴")</f>
        <v/>
      </c>
      <c r="N8075" t="inlineStr"/>
    </row>
    <row r="8076">
      <c r="A8076" t="inlineStr">
        <is>
          <t>276D²⁴</t>
        </is>
      </c>
      <c r="B8076" t="inlineStr"/>
      <c r="C8076" t="inlineStr">
        <is>
          <t>288</t>
        </is>
      </c>
      <c r="D8076" t="inlineStr">
        <is>
          <t>1</t>
        </is>
      </c>
      <c r="E8076" t="inlineStr">
        <is>
          <t>96</t>
        </is>
      </c>
      <c r="F8076" t="inlineStr">
        <is>
          <t>0</t>
        </is>
      </c>
      <c r="G8076" t="inlineStr">
        <is>
          <t>0</t>
        </is>
      </c>
      <c r="H8076" t="inlineStr">
        <is>
          <t>12¹, 276¹</t>
        </is>
      </c>
      <c r="I8076" t="n">
        <v>2</v>
      </c>
      <c r="J8076" t="inlineStr">
        <is>
          <t>2⁴, 44²</t>
        </is>
      </c>
      <c r="K8076">
        <f>HYPERLINK("CSG0.html#group12A0", "12A⁰"), =HYPERLINK("CSG6.html#group69A6", "69A⁶"), =HYPERLINK("CSG8.html#group92B8", "92B⁸")</f>
        <v/>
      </c>
      <c r="L8076" t="inlineStr"/>
      <c r="M8076">
        <f>HYPERLINK("CSG0.html#group12A0", "12A⁰"), =HYPERLINK("CSG6.html#group69A6", "69A⁶"), =HYPERLINK("CSG0.html#group4A0", "4A⁰"), =HYPERLINK("CSG8.html#group92B8", "92B⁸"), =HYPERLINK("CSG2.html#group23A2", "23A²"), =HYPERLINK("CSG0.html#group3A0", "3A⁰"), =HYPERLINK("CSG0.html#group1A0", "1A⁰")</f>
        <v/>
      </c>
      <c r="N8076" t="inlineStr"/>
    </row>
    <row r="8077">
      <c r="A8077" t="inlineStr">
        <is>
          <t>279A²⁴</t>
        </is>
      </c>
      <c r="B8077" t="inlineStr"/>
      <c r="C8077" t="inlineStr">
        <is>
          <t>288</t>
        </is>
      </c>
      <c r="D8077" t="inlineStr">
        <is>
          <t>1</t>
        </is>
      </c>
      <c r="E8077" t="inlineStr">
        <is>
          <t>288</t>
        </is>
      </c>
      <c r="F8077" t="inlineStr">
        <is>
          <t>0</t>
        </is>
      </c>
      <c r="G8077" t="inlineStr">
        <is>
          <t>0</t>
        </is>
      </c>
      <c r="H8077" t="inlineStr">
        <is>
          <t>9¹, 279¹</t>
        </is>
      </c>
      <c r="I8077" t="n">
        <v>2</v>
      </c>
      <c r="J8077" t="inlineStr">
        <is>
          <t>1², 2², 6², 30¹, 60¹, 180¹</t>
        </is>
      </c>
      <c r="K8077">
        <f>HYPERLINK("CSG0.html#group9A0", "9A⁰"), =HYPERLINK("CSG8.html#group93A8", "93A⁸")</f>
        <v/>
      </c>
      <c r="L8077" t="inlineStr"/>
      <c r="M8077">
        <f>HYPERLINK("CSG2.html#group31A2", "31A²"), =HYPERLINK("CSG8.html#group93A8", "93A⁸"), =HYPERLINK("CSG0.html#group3A0", "3A⁰"), =HYPERLINK("CSG0.html#group1A0", "1A⁰"), =HYPERLINK("CSG0.html#group9A0", "9A⁰")</f>
        <v/>
      </c>
      <c r="N8077" t="inlineStr"/>
    </row>
    <row r="8078">
      <c r="A8078" t="inlineStr">
        <is>
          <t>280A²⁴</t>
        </is>
      </c>
      <c r="B8078" t="inlineStr"/>
      <c r="C8078" t="inlineStr">
        <is>
          <t>320</t>
        </is>
      </c>
      <c r="D8078" t="inlineStr">
        <is>
          <t>2</t>
        </is>
      </c>
      <c r="E8078" t="inlineStr">
        <is>
          <t>160</t>
        </is>
      </c>
      <c r="F8078" t="inlineStr">
        <is>
          <t>0</t>
        </is>
      </c>
      <c r="G8078" t="inlineStr">
        <is>
          <t>8</t>
        </is>
      </c>
      <c r="H8078" t="inlineStr">
        <is>
          <t>40¹, 280¹</t>
        </is>
      </c>
      <c r="I8078" t="n">
        <v>2</v>
      </c>
      <c r="J8078" t="inlineStr">
        <is>
          <t>4⁴, 16⁴, 24², 96²</t>
        </is>
      </c>
      <c r="K8078">
        <f>HYPERLINK("CSG2.html#group40A2", "40A²"), =HYPERLINK("CSG4.html#group56A4", "56A⁴"), =HYPERLINK("CSG12.html#group140A12", "140A¹²")</f>
        <v/>
      </c>
      <c r="L8078" t="inlineStr"/>
      <c r="M8078">
        <f>HYPERLINK("CSG4.html#group56A4", "56A⁴"), =HYPERLINK("CSG0.html#group5A0", "5A⁰"), =HYPERLINK("CSG0.html#group7B0", "7B⁰"), =HYPERLINK("CSG0.html#group4A0", "4A⁰"), =HYPERLINK("CSG0.html#group8A0", "8A⁰"), =HYPERLINK("CSG0.html#group1A0", "1A⁰"), =HYPERLINK("CSG1.html#group20A1", "20A¹"), =HYPERLINK("CSG2.html#group35B2", "35B²"), =HYPERLINK("CSG12.html#group140A12", "140A¹²"), =HYPERLINK("CSG2.html#group40A2", "40A²"), =HYPERLINK("CSG2.html#group28A2", "28A²")</f>
        <v/>
      </c>
      <c r="N8078" t="inlineStr"/>
    </row>
    <row r="8079">
      <c r="A8079" t="inlineStr">
        <is>
          <t>282A²⁴</t>
        </is>
      </c>
      <c r="B8079" t="inlineStr"/>
      <c r="C8079" t="inlineStr">
        <is>
          <t>288</t>
        </is>
      </c>
      <c r="D8079" t="inlineStr">
        <is>
          <t>1</t>
        </is>
      </c>
      <c r="E8079" t="inlineStr">
        <is>
          <t>48</t>
        </is>
      </c>
      <c r="F8079" t="inlineStr">
        <is>
          <t>0</t>
        </is>
      </c>
      <c r="G8079" t="inlineStr">
        <is>
          <t>0</t>
        </is>
      </c>
      <c r="H8079" t="inlineStr">
        <is>
          <t>6¹, 282¹</t>
        </is>
      </c>
      <c r="I8079" t="n">
        <v>2</v>
      </c>
      <c r="J8079" t="inlineStr">
        <is>
          <t>1², 46¹</t>
        </is>
      </c>
      <c r="K8079">
        <f>HYPERLINK("CSG1.html#group6A1", "6A¹"), =HYPERLINK("CSG8.html#group94A8", "94A⁸"), =HYPERLINK("CSG12.html#group141A12", "141A¹²")</f>
        <v/>
      </c>
      <c r="L8079" t="inlineStr"/>
      <c r="M8079">
        <f>HYPERLINK("CSG0.html#group2A0", "2A⁰"), =HYPERLINK("CSG4.html#group47A4", "47A⁴"), =HYPERLINK("CSG1.html#group6A1", "6A¹"), =HYPERLINK("CSG8.html#group94A8", "94A⁸"), =HYPERLINK("CSG12.html#group141A12", "141A¹²"), =HYPERLINK("CSG0.html#group3A0", "3A⁰"), =HYPERLINK("CSG0.html#group1A0", "1A⁰")</f>
        <v/>
      </c>
      <c r="N8079" t="inlineStr"/>
    </row>
    <row r="8080">
      <c r="A8080" t="inlineStr">
        <is>
          <t>282B²⁴</t>
        </is>
      </c>
      <c r="B8080" t="inlineStr"/>
      <c r="C8080" t="inlineStr">
        <is>
          <t>288</t>
        </is>
      </c>
      <c r="D8080" t="inlineStr">
        <is>
          <t>1</t>
        </is>
      </c>
      <c r="E8080" t="inlineStr">
        <is>
          <t>96</t>
        </is>
      </c>
      <c r="F8080" t="inlineStr">
        <is>
          <t>0</t>
        </is>
      </c>
      <c r="G8080" t="inlineStr">
        <is>
          <t>0</t>
        </is>
      </c>
      <c r="H8080" t="inlineStr">
        <is>
          <t>6¹, 282¹</t>
        </is>
      </c>
      <c r="I8080" t="n">
        <v>2</v>
      </c>
      <c r="J8080" t="inlineStr">
        <is>
          <t>2², 92¹</t>
        </is>
      </c>
      <c r="K8080">
        <f>HYPERLINK("CSG0.html#group6A0", "6A⁰"), =HYPERLINK("CSG8.html#group94A8", "94A⁸")</f>
        <v/>
      </c>
      <c r="L8080" t="inlineStr"/>
      <c r="M8080">
        <f>HYPERLINK("CSG4.html#group47A4", "47A⁴"), =HYPERLINK("CSG0.html#group2A0", "2A⁰"), =HYPERLINK("CSG8.html#group94A8", "94A⁸"), =HYPERLINK("CSG0.html#group6A0", "6A⁰"), =HYPERLINK("CSG0.html#group1A0", "1A⁰")</f>
        <v/>
      </c>
      <c r="N8080" t="inlineStr"/>
    </row>
    <row r="8081">
      <c r="A8081" t="inlineStr">
        <is>
          <t>282C²⁴</t>
        </is>
      </c>
      <c r="B8081" t="inlineStr"/>
      <c r="C8081" t="inlineStr">
        <is>
          <t>288</t>
        </is>
      </c>
      <c r="D8081" t="inlineStr">
        <is>
          <t>1</t>
        </is>
      </c>
      <c r="E8081" t="inlineStr">
        <is>
          <t>144</t>
        </is>
      </c>
      <c r="F8081" t="inlineStr">
        <is>
          <t>0</t>
        </is>
      </c>
      <c r="G8081" t="inlineStr">
        <is>
          <t>0</t>
        </is>
      </c>
      <c r="H8081" t="inlineStr">
        <is>
          <t>6¹, 282¹</t>
        </is>
      </c>
      <c r="I8081" t="n">
        <v>2</v>
      </c>
      <c r="J8081" t="inlineStr">
        <is>
          <t>1², 2², 46¹, 92¹</t>
        </is>
      </c>
      <c r="K8081">
        <f>HYPERLINK("CSG0.html#group6B0", "6B⁰"), =HYPERLINK("CSG12.html#group141A12", "141A¹²")</f>
        <v/>
      </c>
      <c r="L8081" t="inlineStr"/>
      <c r="M8081">
        <f>HYPERLINK("CSG4.html#group47A4", "47A⁴"), =HYPERLINK("CSG0.html#group6B0", "6B⁰"), =HYPERLINK("CSG12.html#group141A12", "141A¹²"), =HYPERLINK("CSG0.html#group3A0", "3A⁰"), =HYPERLINK("CSG0.html#group1A0", "1A⁰")</f>
        <v/>
      </c>
      <c r="N8081" t="inlineStr"/>
    </row>
    <row r="8082">
      <c r="A8082" t="inlineStr">
        <is>
          <t>284A²⁴</t>
        </is>
      </c>
      <c r="B8082" t="inlineStr"/>
      <c r="C8082" t="inlineStr">
        <is>
          <t>288</t>
        </is>
      </c>
      <c r="D8082" t="inlineStr">
        <is>
          <t>1</t>
        </is>
      </c>
      <c r="E8082" t="inlineStr">
        <is>
          <t>72</t>
        </is>
      </c>
      <c r="F8082" t="inlineStr">
        <is>
          <t>0</t>
        </is>
      </c>
      <c r="G8082" t="inlineStr">
        <is>
          <t>0</t>
        </is>
      </c>
      <c r="H8082" t="inlineStr">
        <is>
          <t>4¹, 284¹</t>
        </is>
      </c>
      <c r="I8082" t="n">
        <v>2</v>
      </c>
      <c r="J8082" t="inlineStr">
        <is>
          <t>1², 70¹</t>
        </is>
      </c>
      <c r="K8082">
        <f>HYPERLINK("CSG12.html#group142A12", "142A¹²")</f>
        <v/>
      </c>
      <c r="L8082" t="inlineStr"/>
      <c r="M8082">
        <f>HYPERLINK("CSG12.html#group142A12", "142A¹²"), =HYPERLINK("CSG0.html#group2A0", "2A⁰"), =HYPERLINK("CSG0.html#group1A0", "1A⁰"), =HYPERLINK("CSG6.html#group71A6", "71A⁶")</f>
        <v/>
      </c>
      <c r="N8082" t="inlineStr"/>
    </row>
    <row r="8083">
      <c r="A8083" t="inlineStr">
        <is>
          <t>284B²⁴</t>
        </is>
      </c>
      <c r="B8083" t="inlineStr"/>
      <c r="C8083" t="inlineStr">
        <is>
          <t>288</t>
        </is>
      </c>
      <c r="D8083" t="inlineStr">
        <is>
          <t>1</t>
        </is>
      </c>
      <c r="E8083" t="inlineStr">
        <is>
          <t>288</t>
        </is>
      </c>
      <c r="F8083" t="inlineStr">
        <is>
          <t>0</t>
        </is>
      </c>
      <c r="G8083" t="inlineStr">
        <is>
          <t>0</t>
        </is>
      </c>
      <c r="H8083" t="inlineStr">
        <is>
          <t>4¹, 284¹</t>
        </is>
      </c>
      <c r="I8083" t="n">
        <v>2</v>
      </c>
      <c r="J8083" t="inlineStr">
        <is>
          <t>2⁴, 140²</t>
        </is>
      </c>
      <c r="K8083">
        <f>HYPERLINK("CSG0.html#group4A0", "4A⁰"), =HYPERLINK("CSG6.html#group71A6", "71A⁶")</f>
        <v/>
      </c>
      <c r="L8083" t="inlineStr"/>
      <c r="M8083">
        <f>HYPERLINK("CSG0.html#group1A0", "1A⁰"), =HYPERLINK("CSG0.html#group4A0", "4A⁰"), =HYPERLINK("CSG6.html#group71A6", "71A⁶")</f>
        <v/>
      </c>
      <c r="N8083" t="inlineStr"/>
    </row>
    <row r="8084">
      <c r="A8084" t="inlineStr">
        <is>
          <t>290A²⁴</t>
        </is>
      </c>
      <c r="B8084" t="inlineStr"/>
      <c r="C8084" t="inlineStr">
        <is>
          <t>300</t>
        </is>
      </c>
      <c r="D8084" t="inlineStr">
        <is>
          <t>1</t>
        </is>
      </c>
      <c r="E8084" t="inlineStr">
        <is>
          <t>150</t>
        </is>
      </c>
      <c r="F8084" t="inlineStr">
        <is>
          <t>4</t>
        </is>
      </c>
      <c r="G8084" t="inlineStr">
        <is>
          <t>0</t>
        </is>
      </c>
      <c r="H8084" t="inlineStr">
        <is>
          <t>10¹, 290¹</t>
        </is>
      </c>
      <c r="I8084" t="n">
        <v>2</v>
      </c>
      <c r="J8084" t="inlineStr">
        <is>
          <t>1², 4², 28¹, 112¹</t>
        </is>
      </c>
      <c r="K8084">
        <f>HYPERLINK("CSG4.html#group58A4", "58A⁴"), =HYPERLINK("CSG12.html#group145A12", "145A¹²")</f>
        <v/>
      </c>
      <c r="L8084" t="inlineStr"/>
      <c r="M8084">
        <f>HYPERLINK("CSG0.html#group5A0", "5A⁰"), =HYPERLINK("CSG4.html#group58A4", "58A⁴"), =HYPERLINK("CSG0.html#group1A0", "1A⁰"), =HYPERLINK("CSG2.html#group29A2", "29A²"), =HYPERLINK("CSG12.html#group145A12", "145A¹²")</f>
        <v/>
      </c>
      <c r="N8084" t="inlineStr"/>
    </row>
    <row r="8085">
      <c r="A8085" t="inlineStr">
        <is>
          <t>293A²⁴</t>
        </is>
      </c>
      <c r="B8085" t="inlineStr">
        <is>
          <t>Γ₀(293)</t>
        </is>
      </c>
      <c r="C8085" t="inlineStr">
        <is>
          <t>294</t>
        </is>
      </c>
      <c r="D8085" t="inlineStr">
        <is>
          <t>1</t>
        </is>
      </c>
      <c r="E8085" t="inlineStr">
        <is>
          <t>294</t>
        </is>
      </c>
      <c r="F8085" t="inlineStr">
        <is>
          <t>2</t>
        </is>
      </c>
      <c r="G8085" t="inlineStr">
        <is>
          <t>0</t>
        </is>
      </c>
      <c r="H8085" t="inlineStr">
        <is>
          <t>1¹, 293¹</t>
        </is>
      </c>
      <c r="I8085" t="n">
        <v>2</v>
      </c>
      <c r="J8085" t="inlineStr">
        <is>
          <t>1², 292¹</t>
        </is>
      </c>
      <c r="K8085">
        <f>HYPERLINK("CSG0.html#group1A0", "1A⁰")</f>
        <v/>
      </c>
      <c r="L8085" t="inlineStr"/>
      <c r="M8085">
        <f>HYPERLINK("CSG0.html#group1A0", "1A⁰")</f>
        <v/>
      </c>
      <c r="N8085" t="inlineStr"/>
    </row>
    <row r="8086">
      <c r="A8086" t="inlineStr">
        <is>
          <t>294A²⁴</t>
        </is>
      </c>
      <c r="B8086" t="inlineStr"/>
      <c r="C8086" t="inlineStr">
        <is>
          <t>336</t>
        </is>
      </c>
      <c r="D8086" t="inlineStr">
        <is>
          <t>2</t>
        </is>
      </c>
      <c r="E8086" t="inlineStr">
        <is>
          <t>112</t>
        </is>
      </c>
      <c r="F8086" t="inlineStr">
        <is>
          <t>0</t>
        </is>
      </c>
      <c r="G8086" t="inlineStr">
        <is>
          <t>3</t>
        </is>
      </c>
      <c r="H8086" t="inlineStr">
        <is>
          <t>6⁷, 294¹</t>
        </is>
      </c>
      <c r="I8086" t="n">
        <v>8</v>
      </c>
      <c r="J8086" t="inlineStr">
        <is>
          <t>2⁴, 12⁴, 84²</t>
        </is>
      </c>
      <c r="K8086">
        <f>HYPERLINK("CSG3.html#group42B3", "42B³"), =HYPERLINK("CSG5.html#group98A5", "98A⁵")</f>
        <v/>
      </c>
      <c r="L8086" t="inlineStr"/>
      <c r="M8086">
        <f>HYPERLINK("CSG1.html#group49A1", "49A¹"), =HYPERLINK("CSG0.html#group2A0", "2A⁰"), =HYPERLINK("CSG0.html#group1A0", "1A⁰"), =HYPERLINK("CSG5.html#group98A5", "98A⁵"), =HYPERLINK("CSG0.html#group7B0", "7B⁰"), =HYPERLINK("CSG3.html#group42B3", "42B³"), =HYPERLINK("CSG0.html#group14B0", "14B⁰")</f>
        <v/>
      </c>
      <c r="N8086" t="inlineStr"/>
    </row>
    <row r="8087">
      <c r="A8087" t="inlineStr">
        <is>
          <t>298A²⁴</t>
        </is>
      </c>
      <c r="B8087" t="inlineStr"/>
      <c r="C8087" t="inlineStr">
        <is>
          <t>300</t>
        </is>
      </c>
      <c r="D8087" t="inlineStr">
        <is>
          <t>1</t>
        </is>
      </c>
      <c r="E8087" t="inlineStr">
        <is>
          <t>150</t>
        </is>
      </c>
      <c r="F8087" t="inlineStr">
        <is>
          <t>4</t>
        </is>
      </c>
      <c r="G8087" t="inlineStr">
        <is>
          <t>0</t>
        </is>
      </c>
      <c r="H8087" t="inlineStr">
        <is>
          <t>2¹, 298¹</t>
        </is>
      </c>
      <c r="I8087" t="n">
        <v>2</v>
      </c>
      <c r="J8087" t="inlineStr">
        <is>
          <t>1², 148¹</t>
        </is>
      </c>
      <c r="K8087">
        <f>HYPERLINK("CSG12.html#group149A12", "149A¹²")</f>
        <v/>
      </c>
      <c r="L8087" t="inlineStr"/>
      <c r="M8087">
        <f>HYPERLINK("CSG0.html#group1A0", "1A⁰"), =HYPERLINK("CSG12.html#group149A12", "149A¹²")</f>
        <v/>
      </c>
      <c r="N8087" t="inlineStr"/>
    </row>
    <row r="8088">
      <c r="A8088" t="inlineStr">
        <is>
          <t>302A²⁴</t>
        </is>
      </c>
      <c r="B8088" t="inlineStr"/>
      <c r="C8088" t="inlineStr">
        <is>
          <t>304</t>
        </is>
      </c>
      <c r="D8088" t="inlineStr">
        <is>
          <t>1</t>
        </is>
      </c>
      <c r="E8088" t="inlineStr">
        <is>
          <t>152</t>
        </is>
      </c>
      <c r="F8088" t="inlineStr">
        <is>
          <t>0</t>
        </is>
      </c>
      <c r="G8088" t="inlineStr">
        <is>
          <t>4</t>
        </is>
      </c>
      <c r="H8088" t="inlineStr">
        <is>
          <t>2¹, 302¹</t>
        </is>
      </c>
      <c r="I8088" t="n">
        <v>2</v>
      </c>
      <c r="J8088" t="inlineStr">
        <is>
          <t>1², 150¹</t>
        </is>
      </c>
      <c r="K8088">
        <f>HYPERLINK("CSG0.html#group2A0", "2A⁰"), =HYPERLINK("CSG12.html#group151A12", "151A¹²")</f>
        <v/>
      </c>
      <c r="L8088" t="inlineStr"/>
      <c r="M8088">
        <f>HYPERLINK("CSG0.html#group2A0", "2A⁰"), =HYPERLINK("CSG0.html#group1A0", "1A⁰"), =HYPERLINK("CSG12.html#group151A12", "151A¹²")</f>
        <v/>
      </c>
      <c r="N8088" t="inlineStr"/>
    </row>
    <row r="8089">
      <c r="A8089" t="inlineStr">
        <is>
          <t>303A²⁴</t>
        </is>
      </c>
      <c r="B8089" t="inlineStr"/>
      <c r="C8089" t="inlineStr">
        <is>
          <t>306</t>
        </is>
      </c>
      <c r="D8089" t="inlineStr">
        <is>
          <t>1</t>
        </is>
      </c>
      <c r="E8089" t="inlineStr">
        <is>
          <t>102</t>
        </is>
      </c>
      <c r="F8089" t="inlineStr">
        <is>
          <t>6</t>
        </is>
      </c>
      <c r="G8089" t="inlineStr">
        <is>
          <t>0</t>
        </is>
      </c>
      <c r="H8089" t="inlineStr">
        <is>
          <t>3¹, 303¹</t>
        </is>
      </c>
      <c r="I8089" t="n">
        <v>2</v>
      </c>
      <c r="J8089" t="inlineStr">
        <is>
          <t>1², 100¹</t>
        </is>
      </c>
      <c r="K8089">
        <f>HYPERLINK("CSG0.html#group3A0", "3A⁰"), =HYPERLINK("CSG8.html#group101A8", "101A⁸")</f>
        <v/>
      </c>
      <c r="L8089" t="inlineStr"/>
      <c r="M8089">
        <f>HYPERLINK("CSG0.html#group3A0", "3A⁰"), =HYPERLINK("CSG8.html#group101A8", "101A⁸"), =HYPERLINK("CSG0.html#group1A0", "1A⁰")</f>
        <v/>
      </c>
      <c r="N8089" t="inlineStr"/>
    </row>
    <row r="8090">
      <c r="A8090" t="inlineStr">
        <is>
          <t>304A²⁴</t>
        </is>
      </c>
      <c r="B8090" t="inlineStr"/>
      <c r="C8090" t="inlineStr">
        <is>
          <t>320</t>
        </is>
      </c>
      <c r="D8090" t="inlineStr">
        <is>
          <t>2</t>
        </is>
      </c>
      <c r="E8090" t="inlineStr">
        <is>
          <t>160</t>
        </is>
      </c>
      <c r="F8090" t="inlineStr">
        <is>
          <t>0</t>
        </is>
      </c>
      <c r="G8090" t="inlineStr">
        <is>
          <t>8</t>
        </is>
      </c>
      <c r="H8090" t="inlineStr">
        <is>
          <t>16¹, 304¹</t>
        </is>
      </c>
      <c r="I8090" t="n">
        <v>2</v>
      </c>
      <c r="J8090" t="inlineStr">
        <is>
          <t>8⁴, 144²</t>
        </is>
      </c>
      <c r="K8090">
        <f>HYPERLINK("CSG0.html#group16A0", "16A⁰"), =HYPERLINK("CSG12.html#group152A12", "152A¹²")</f>
        <v/>
      </c>
      <c r="L8090" t="inlineStr"/>
      <c r="M8090">
        <f>HYPERLINK("CSG0.html#group8A0", "8A⁰"), =HYPERLINK("CSG1.html#group19A1", "19A¹"), =HYPERLINK("CSG6.html#group76A6", "76A⁶"), =HYPERLINK("CSG0.html#group1A0", "1A⁰"), =HYPERLINK("CSG0.html#group16A0", "16A⁰"), =HYPERLINK("CSG12.html#group152A12", "152A¹²"), =HYPERLINK("CSG0.html#group4A0", "4A⁰")</f>
        <v/>
      </c>
      <c r="N8090" t="inlineStr"/>
    </row>
    <row r="8091">
      <c r="A8091" t="inlineStr">
        <is>
          <t>305A²⁴</t>
        </is>
      </c>
      <c r="B8091" t="inlineStr"/>
      <c r="C8091" t="inlineStr">
        <is>
          <t>310</t>
        </is>
      </c>
      <c r="D8091" t="inlineStr">
        <is>
          <t>1</t>
        </is>
      </c>
      <c r="E8091" t="inlineStr">
        <is>
          <t>310</t>
        </is>
      </c>
      <c r="F8091" t="inlineStr">
        <is>
          <t>2</t>
        </is>
      </c>
      <c r="G8091" t="inlineStr">
        <is>
          <t>4</t>
        </is>
      </c>
      <c r="H8091" t="inlineStr">
        <is>
          <t>5¹, 305¹</t>
        </is>
      </c>
      <c r="I8091" t="n">
        <v>2</v>
      </c>
      <c r="J8091" t="inlineStr">
        <is>
          <t>1², 4², 60¹, 240¹</t>
        </is>
      </c>
      <c r="K8091">
        <f>HYPERLINK("CSG0.html#group5A0", "5A⁰"), =HYPERLINK("CSG4.html#group61A4", "61A⁴")</f>
        <v/>
      </c>
      <c r="L8091" t="inlineStr"/>
      <c r="M8091">
        <f>HYPERLINK("CSG0.html#group1A0", "1A⁰"), =HYPERLINK("CSG0.html#group5A0", "5A⁰"), =HYPERLINK("CSG4.html#group61A4", "61A⁴")</f>
        <v/>
      </c>
      <c r="N8091" t="inlineStr"/>
    </row>
    <row r="8092">
      <c r="A8092" t="inlineStr">
        <is>
          <t>308A²⁴</t>
        </is>
      </c>
      <c r="B8092" t="inlineStr"/>
      <c r="C8092" t="inlineStr">
        <is>
          <t>352</t>
        </is>
      </c>
      <c r="D8092" t="inlineStr">
        <is>
          <t>2</t>
        </is>
      </c>
      <c r="E8092" t="inlineStr">
        <is>
          <t>88</t>
        </is>
      </c>
      <c r="F8092" t="inlineStr">
        <is>
          <t>0</t>
        </is>
      </c>
      <c r="G8092" t="inlineStr">
        <is>
          <t>16</t>
        </is>
      </c>
      <c r="H8092" t="inlineStr">
        <is>
          <t>44¹, 308¹</t>
        </is>
      </c>
      <c r="I8092" t="n">
        <v>2</v>
      </c>
      <c r="J8092" t="inlineStr">
        <is>
          <t>2², 10⁴, 12¹, 60²</t>
        </is>
      </c>
      <c r="K8092">
        <f>HYPERLINK("CSG12.html#group154C12", "154C¹²")</f>
        <v/>
      </c>
      <c r="L8092" t="inlineStr"/>
      <c r="M8092">
        <f>HYPERLINK("CSG0.html#group11A0", "11A⁰"), =HYPERLINK("CSG0.html#group2A0", "2A⁰"), =HYPERLINK("CSG1.html#group22A1", "22A¹"), =HYPERLINK("CSG0.html#group1A0", "1A⁰"), =HYPERLINK("CSG0.html#group7B0", "7B⁰"), =HYPERLINK("CSG12.html#group154C12", "154C¹²"), =HYPERLINK("CSG6.html#group77A6", "77A⁶")</f>
        <v/>
      </c>
      <c r="N8092" t="inlineStr"/>
    </row>
    <row r="8093">
      <c r="A8093" t="inlineStr">
        <is>
          <t>310A²⁴</t>
        </is>
      </c>
      <c r="B8093" t="inlineStr"/>
      <c r="C8093" t="inlineStr">
        <is>
          <t>320</t>
        </is>
      </c>
      <c r="D8093" t="inlineStr">
        <is>
          <t>1</t>
        </is>
      </c>
      <c r="E8093" t="inlineStr">
        <is>
          <t>160</t>
        </is>
      </c>
      <c r="F8093" t="inlineStr">
        <is>
          <t>0</t>
        </is>
      </c>
      <c r="G8093" t="inlineStr">
        <is>
          <t>8</t>
        </is>
      </c>
      <c r="H8093" t="inlineStr">
        <is>
          <t>10¹, 310¹</t>
        </is>
      </c>
      <c r="I8093" t="n">
        <v>2</v>
      </c>
      <c r="J8093" t="inlineStr">
        <is>
          <t>1², 4², 30¹, 120¹</t>
        </is>
      </c>
      <c r="K8093">
        <f>HYPERLINK("CSG0.html#group10A0", "10A⁰"), =HYPERLINK("CSG4.html#group62A4", "62A⁴"), =HYPERLINK("CSG12.html#group155A12", "155A¹²")</f>
        <v/>
      </c>
      <c r="L8093" t="inlineStr"/>
      <c r="M8093">
        <f>HYPERLINK("CSG0.html#group2A0", "2A⁰"), =HYPERLINK("CSG12.html#group155A12", "155A¹²"), =HYPERLINK("CSG0.html#group5A0", "5A⁰"), =HYPERLINK("CSG0.html#group10A0", "10A⁰"), =HYPERLINK("CSG2.html#group31A2", "31A²"), =HYPERLINK("CSG0.html#group1A0", "1A⁰"), =HYPERLINK("CSG4.html#group62A4", "62A⁴")</f>
        <v/>
      </c>
      <c r="N8093" t="inlineStr"/>
    </row>
    <row r="8094">
      <c r="A8094" t="inlineStr">
        <is>
          <t>314A²⁴</t>
        </is>
      </c>
      <c r="B8094" t="inlineStr"/>
      <c r="C8094" t="inlineStr">
        <is>
          <t>316</t>
        </is>
      </c>
      <c r="D8094" t="inlineStr">
        <is>
          <t>1</t>
        </is>
      </c>
      <c r="E8094" t="inlineStr">
        <is>
          <t>158</t>
        </is>
      </c>
      <c r="F8094" t="inlineStr">
        <is>
          <t>4</t>
        </is>
      </c>
      <c r="G8094" t="inlineStr">
        <is>
          <t>4</t>
        </is>
      </c>
      <c r="H8094" t="inlineStr">
        <is>
          <t>2¹, 314¹</t>
        </is>
      </c>
      <c r="I8094" t="n">
        <v>2</v>
      </c>
      <c r="J8094" t="inlineStr">
        <is>
          <t>1², 156¹</t>
        </is>
      </c>
      <c r="K8094">
        <f>HYPERLINK("CSG12.html#group157A12", "157A¹²")</f>
        <v/>
      </c>
      <c r="L8094" t="inlineStr"/>
      <c r="M8094">
        <f>HYPERLINK("CSG12.html#group157A12", "157A¹²"), =HYPERLINK("CSG0.html#group1A0", "1A⁰")</f>
        <v/>
      </c>
      <c r="N8094" t="inlineStr"/>
    </row>
    <row r="8095">
      <c r="A8095" t="inlineStr">
        <is>
          <t>315A²⁴</t>
        </is>
      </c>
      <c r="B8095" t="inlineStr"/>
      <c r="C8095" t="inlineStr">
        <is>
          <t>378</t>
        </is>
      </c>
      <c r="D8095" t="inlineStr">
        <is>
          <t>2</t>
        </is>
      </c>
      <c r="E8095" t="inlineStr">
        <is>
          <t>378</t>
        </is>
      </c>
      <c r="F8095" t="inlineStr">
        <is>
          <t>30</t>
        </is>
      </c>
      <c r="G8095" t="inlineStr">
        <is>
          <t>0</t>
        </is>
      </c>
      <c r="H8095" t="inlineStr">
        <is>
          <t>63¹, 315¹</t>
        </is>
      </c>
      <c r="I8095" t="n">
        <v>2</v>
      </c>
      <c r="J8095" t="inlineStr">
        <is>
          <t>2², 4², 6⁴, 8¹, 12⁶, 16¹, 24², 36⁴, 48³, 144²</t>
        </is>
      </c>
      <c r="K8095">
        <f>HYPERLINK("CSG2.html#group45A2", "45A²"), =HYPERLINK("CSG2.html#group63A2", "63A²"), =HYPERLINK("CSG6.html#group105C6", "105C⁶")</f>
        <v/>
      </c>
      <c r="L8095" t="inlineStr"/>
      <c r="M8095">
        <f>HYPERLINK("CSG2.html#group35C2", "35C²"), =HYPERLINK("CSG2.html#group45A2", "45A²"), =HYPERLINK("CSG0.html#group15B0", "15B⁰"), =HYPERLINK("CSG6.html#group105C6", "105C⁶"), =HYPERLINK("CSG0.html#group9A0", "9A⁰"), =HYPERLINK("CSG0.html#group5B0", "5B⁰"), =HYPERLINK("CSG0.html#group21A0", "21A⁰"), =HYPERLINK("CSG0.html#group7A0", "7A⁰"), =HYPERLINK("CSG0.html#group3A0", "3A⁰"), =HYPERLINK("CSG0.html#group1A0", "1A⁰"), =HYPERLINK("CSG2.html#group63A2", "63A²")</f>
        <v/>
      </c>
      <c r="N8095" t="inlineStr"/>
    </row>
    <row r="8096">
      <c r="A8096" t="inlineStr">
        <is>
          <t>316A²⁴</t>
        </is>
      </c>
      <c r="B8096" t="inlineStr"/>
      <c r="C8096" t="inlineStr">
        <is>
          <t>320</t>
        </is>
      </c>
      <c r="D8096" t="inlineStr">
        <is>
          <t>1</t>
        </is>
      </c>
      <c r="E8096" t="inlineStr">
        <is>
          <t>80</t>
        </is>
      </c>
      <c r="F8096" t="inlineStr">
        <is>
          <t>0</t>
        </is>
      </c>
      <c r="G8096" t="inlineStr">
        <is>
          <t>8</t>
        </is>
      </c>
      <c r="H8096" t="inlineStr">
        <is>
          <t>4¹, 316¹</t>
        </is>
      </c>
      <c r="I8096" t="n">
        <v>2</v>
      </c>
      <c r="J8096" t="inlineStr">
        <is>
          <t>1², 78¹</t>
        </is>
      </c>
      <c r="K8096">
        <f>HYPERLINK("CSG12.html#group158A12", "158A¹²")</f>
        <v/>
      </c>
      <c r="L8096" t="inlineStr"/>
      <c r="M8096">
        <f>HYPERLINK("CSG0.html#group2A0", "2A⁰"), =HYPERLINK("CSG0.html#group1A0", "1A⁰"), =HYPERLINK("CSG12.html#group158A12", "158A¹²"), =HYPERLINK("CSG6.html#group79A6", "79A⁶")</f>
        <v/>
      </c>
      <c r="N8096" t="inlineStr"/>
    </row>
    <row r="8097">
      <c r="A8097" t="inlineStr">
        <is>
          <t>318A²⁴</t>
        </is>
      </c>
      <c r="B8097" t="inlineStr"/>
      <c r="C8097" t="inlineStr">
        <is>
          <t>324</t>
        </is>
      </c>
      <c r="D8097" t="inlineStr">
        <is>
          <t>1</t>
        </is>
      </c>
      <c r="E8097" t="inlineStr">
        <is>
          <t>54</t>
        </is>
      </c>
      <c r="F8097" t="inlineStr">
        <is>
          <t>12</t>
        </is>
      </c>
      <c r="G8097" t="inlineStr">
        <is>
          <t>0</t>
        </is>
      </c>
      <c r="H8097" t="inlineStr">
        <is>
          <t>6¹, 318¹</t>
        </is>
      </c>
      <c r="I8097" t="n">
        <v>2</v>
      </c>
      <c r="J8097" t="inlineStr">
        <is>
          <t>1², 52¹</t>
        </is>
      </c>
      <c r="K8097">
        <f>HYPERLINK("CSG8.html#group106A8", "106A⁸"), =HYPERLINK("CSG12.html#group159A12", "159A¹²")</f>
        <v/>
      </c>
      <c r="L8097" t="inlineStr"/>
      <c r="M8097">
        <f>HYPERLINK("CSG8.html#group106A8", "106A⁸"), =HYPERLINK("CSG0.html#group3A0", "3A⁰"), =HYPERLINK("CSG0.html#group1A0", "1A⁰"), =HYPERLINK("CSG4.html#group53A4", "53A⁴"), =HYPERLINK("CSG12.html#group159A12", "159A¹²")</f>
        <v/>
      </c>
      <c r="N8097" t="inlineStr"/>
    </row>
    <row r="8098">
      <c r="A8098" t="inlineStr">
        <is>
          <t>330A²⁴</t>
        </is>
      </c>
      <c r="B8098" t="inlineStr"/>
      <c r="C8098" t="inlineStr">
        <is>
          <t>330</t>
        </is>
      </c>
      <c r="D8098" t="inlineStr">
        <is>
          <t>2</t>
        </is>
      </c>
      <c r="E8098" t="inlineStr">
        <is>
          <t>55</t>
        </is>
      </c>
      <c r="F8098" t="inlineStr">
        <is>
          <t>0</t>
        </is>
      </c>
      <c r="G8098" t="inlineStr">
        <is>
          <t>12</t>
        </is>
      </c>
      <c r="H8098" t="inlineStr">
        <is>
          <t>330¹</t>
        </is>
      </c>
      <c r="I8098" t="n">
        <v>1</v>
      </c>
      <c r="J8098" t="inlineStr">
        <is>
          <t>4¹, 16¹, 20², 80²</t>
        </is>
      </c>
      <c r="K8098">
        <f>HYPERLINK("CSG1.html#group30B1", "30B¹"), =HYPERLINK("CSG7.html#group110A7", "110A⁷"), =HYPERLINK("CSG10.html#group165A10", "165A¹⁰")</f>
        <v/>
      </c>
      <c r="L8098" t="inlineStr"/>
      <c r="M8098">
        <f>HYPERLINK("CSG0.html#group11A0", "11A⁰"), =HYPERLINK("CSG0.html#group2A0", "2A⁰"), =HYPERLINK("CSG0.html#group5A0", "5A⁰"), =HYPERLINK("CSG3.html#group55A3", "55A³"), =HYPERLINK("CSG0.html#group10A0", "10A⁰"), =HYPERLINK("CSG1.html#group22A1", "22A¹"), =HYPERLINK("CSG1.html#group30B1", "30B¹"), =HYPERLINK("CSG7.html#group110A7", "110A⁷"), =HYPERLINK("CSG0.html#group1A0", "1A⁰"), =HYPERLINK("CSG10.html#group165A10", "165A¹⁰"), =HYPERLINK("CSG0.html#group15A0", "15A⁰")</f>
        <v/>
      </c>
      <c r="N8098" t="inlineStr"/>
    </row>
    <row r="8099">
      <c r="A8099" t="inlineStr">
        <is>
          <t>330B²⁴</t>
        </is>
      </c>
      <c r="B8099" t="inlineStr"/>
      <c r="C8099" t="inlineStr">
        <is>
          <t>330</t>
        </is>
      </c>
      <c r="D8099" t="inlineStr">
        <is>
          <t>2</t>
        </is>
      </c>
      <c r="E8099" t="inlineStr">
        <is>
          <t>55</t>
        </is>
      </c>
      <c r="F8099" t="inlineStr">
        <is>
          <t>0</t>
        </is>
      </c>
      <c r="G8099" t="inlineStr">
        <is>
          <t>12</t>
        </is>
      </c>
      <c r="H8099" t="inlineStr">
        <is>
          <t>330¹</t>
        </is>
      </c>
      <c r="I8099" t="n">
        <v>1</v>
      </c>
      <c r="J8099" t="inlineStr">
        <is>
          <t>4¹, 16¹, 20², 80²</t>
        </is>
      </c>
      <c r="K8099">
        <f>HYPERLINK("CSG1.html#group30B1", "30B¹"), =HYPERLINK("CSG7.html#group110A7", "110A⁷"), =HYPERLINK("CSG10.html#group165B10", "165B¹⁰")</f>
        <v/>
      </c>
      <c r="L8099" t="inlineStr"/>
      <c r="M8099">
        <f>HYPERLINK("CSG0.html#group11A0", "11A⁰"), =HYPERLINK("CSG0.html#group2A0", "2A⁰"), =HYPERLINK("CSG0.html#group5A0", "5A⁰"), =HYPERLINK("CSG3.html#group55A3", "55A³"), =HYPERLINK("CSG0.html#group10A0", "10A⁰"), =HYPERLINK("CSG1.html#group22A1", "22A¹"), =HYPERLINK("CSG1.html#group30B1", "30B¹"), =HYPERLINK("CSG10.html#group165B10", "165B¹⁰"), =HYPERLINK("CSG7.html#group110A7", "110A⁷"), =HYPERLINK("CSG0.html#group1A0", "1A⁰"), =HYPERLINK("CSG0.html#group15A0", "15A⁰")</f>
        <v/>
      </c>
      <c r="N8099" t="inlineStr"/>
    </row>
    <row r="8100">
      <c r="A8100" t="inlineStr">
        <is>
          <t>330C²⁴</t>
        </is>
      </c>
      <c r="B8100" t="inlineStr"/>
      <c r="C8100" t="inlineStr">
        <is>
          <t>330</t>
        </is>
      </c>
      <c r="D8100" t="inlineStr">
        <is>
          <t>2</t>
        </is>
      </c>
      <c r="E8100" t="inlineStr">
        <is>
          <t>110</t>
        </is>
      </c>
      <c r="F8100" t="inlineStr">
        <is>
          <t>0</t>
        </is>
      </c>
      <c r="G8100" t="inlineStr">
        <is>
          <t>12</t>
        </is>
      </c>
      <c r="H8100" t="inlineStr">
        <is>
          <t>330¹</t>
        </is>
      </c>
      <c r="I8100" t="n">
        <v>1</v>
      </c>
      <c r="J8100" t="inlineStr">
        <is>
          <t>4¹, 16¹, 20², 80²</t>
        </is>
      </c>
      <c r="K8100">
        <f>HYPERLINK("CSG1.html#group30A1", "30A¹"), =HYPERLINK("CSG4.html#group66A4", "66A⁴"), =HYPERLINK("CSG7.html#group110A7", "110A⁷")</f>
        <v/>
      </c>
      <c r="L8100" t="inlineStr"/>
      <c r="M8100">
        <f>HYPERLINK("CSG0.html#group11A0", "11A⁰"), =HYPERLINK("CSG0.html#group2A0", "2A⁰"), =HYPERLINK("CSG1.html#group30A1", "30A¹"), =HYPERLINK("CSG0.html#group5A0", "5A⁰"), =HYPERLINK("CSG0.html#group10A0", "10A⁰"), =HYPERLINK("CSG1.html#group22A1", "22A¹"), =HYPERLINK("CSG0.html#group6A0", "6A⁰"), =HYPERLINK("CSG3.html#group55A3", "55A³"), =HYPERLINK("CSG0.html#group1A0", "1A⁰"), =HYPERLINK("CSG7.html#group110A7", "110A⁷"), =HYPERLINK("CSG4.html#group66A4", "66A⁴")</f>
        <v/>
      </c>
      <c r="N8100" t="inlineStr"/>
    </row>
    <row r="8101">
      <c r="A8101" t="inlineStr">
        <is>
          <t>330D²⁴</t>
        </is>
      </c>
      <c r="B8101" t="inlineStr"/>
      <c r="C8101" t="inlineStr">
        <is>
          <t>396</t>
        </is>
      </c>
      <c r="D8101" t="inlineStr">
        <is>
          <t>2</t>
        </is>
      </c>
      <c r="E8101" t="inlineStr">
        <is>
          <t>66</t>
        </is>
      </c>
      <c r="F8101" t="inlineStr">
        <is>
          <t>36</t>
        </is>
      </c>
      <c r="G8101" t="inlineStr">
        <is>
          <t>0</t>
        </is>
      </c>
      <c r="H8101" t="inlineStr">
        <is>
          <t>66¹, 330¹</t>
        </is>
      </c>
      <c r="I8101" t="n">
        <v>2</v>
      </c>
      <c r="J8101" t="inlineStr">
        <is>
          <t>2², 8¹, 10⁴, 40²</t>
        </is>
      </c>
      <c r="K8101">
        <f>HYPERLINK("CSG0.html#group30A0", "30A⁰"), =HYPERLINK("CSG8.html#group110A8", "110A⁸"), =HYPERLINK("CSG12.html#group165B12", "165B¹²")</f>
        <v/>
      </c>
      <c r="L8101" t="inlineStr"/>
      <c r="M8101">
        <f>HYPERLINK("CSG0.html#group30A0", "30A⁰"), =HYPERLINK("CSG0.html#group11A0", "11A⁰"), =HYPERLINK("CSG4.html#group55A4", "55A⁴"), =HYPERLINK("CSG0.html#group15B0", "15B⁰"), =HYPERLINK("CSG8.html#group110A8", "110A⁸"), =HYPERLINK("CSG1.html#group33A1", "33A¹"), =HYPERLINK("CSG0.html#group5B0", "5B⁰"), =HYPERLINK("CSG12.html#group165B12", "165B¹²"), =HYPERLINK("CSG0.html#group3A0", "3A⁰"), =HYPERLINK("CSG0.html#group1A0", "1A⁰"), =HYPERLINK("CSG0.html#group10B0", "10B⁰")</f>
        <v/>
      </c>
      <c r="N8101" t="inlineStr"/>
    </row>
    <row r="8102">
      <c r="A8102" t="inlineStr">
        <is>
          <t>336A²⁴</t>
        </is>
      </c>
      <c r="B8102" t="inlineStr"/>
      <c r="C8102" t="inlineStr">
        <is>
          <t>336</t>
        </is>
      </c>
      <c r="D8102" t="inlineStr">
        <is>
          <t>2</t>
        </is>
      </c>
      <c r="E8102" t="inlineStr">
        <is>
          <t>56</t>
        </is>
      </c>
      <c r="F8102" t="inlineStr">
        <is>
          <t>18</t>
        </is>
      </c>
      <c r="G8102" t="inlineStr">
        <is>
          <t>0</t>
        </is>
      </c>
      <c r="H8102" t="inlineStr">
        <is>
          <t>336¹</t>
        </is>
      </c>
      <c r="I8102" t="n">
        <v>1</v>
      </c>
      <c r="J8102" t="inlineStr">
        <is>
          <t>16², 48⁴</t>
        </is>
      </c>
      <c r="K8102">
        <f>HYPERLINK("CSG7.html#group112A7", "112A⁷"), =HYPERLINK("CSG10.html#group168C10", "168C¹⁰")</f>
        <v/>
      </c>
      <c r="L8102" t="inlineStr"/>
      <c r="M8102">
        <f>HYPERLINK("CSG7.html#group112A7", "112A⁷"), =HYPERLINK("CSG0.html#group8A0", "8A⁰"), =HYPERLINK("CSG0.html#group21A0", "21A⁰"), =HYPERLINK("CSG0.html#group1A0", "1A⁰"), =HYPERLINK("CSG3.html#group84A3", "84A³"), =HYPERLINK("CSG0.html#group12A0", "12A⁰"), =HYPERLINK("CSG10.html#group168C10", "168C¹⁰"), =HYPERLINK("CSG1.html#group24A1", "24A¹"), =HYPERLINK("CSG0.html#group4A0", "4A⁰"), =HYPERLINK("CSG3.html#group56C3", "56C³"), =HYPERLINK("CSG0.html#group3A0", "3A⁰"), =HYPERLINK("CSG1.html#group28A1", "28A¹"), =HYPERLINK("CSG0.html#group7A0", "7A⁰")</f>
        <v/>
      </c>
      <c r="N8102" t="inlineStr"/>
    </row>
    <row r="8103">
      <c r="A8103" t="inlineStr">
        <is>
          <t>336B²⁴</t>
        </is>
      </c>
      <c r="B8103" t="inlineStr"/>
      <c r="C8103" t="inlineStr">
        <is>
          <t>336</t>
        </is>
      </c>
      <c r="D8103" t="inlineStr">
        <is>
          <t>2</t>
        </is>
      </c>
      <c r="E8103" t="inlineStr">
        <is>
          <t>56</t>
        </is>
      </c>
      <c r="F8103" t="inlineStr">
        <is>
          <t>18</t>
        </is>
      </c>
      <c r="G8103" t="inlineStr">
        <is>
          <t>0</t>
        </is>
      </c>
      <c r="H8103" t="inlineStr">
        <is>
          <t>336¹</t>
        </is>
      </c>
      <c r="I8103" t="n">
        <v>1</v>
      </c>
      <c r="J8103" t="inlineStr">
        <is>
          <t>16², 48⁴</t>
        </is>
      </c>
      <c r="K8103">
        <f>HYPERLINK("CSG7.html#group112B7", "112B⁷"), =HYPERLINK("CSG10.html#group168D10", "168D¹⁰")</f>
        <v/>
      </c>
      <c r="L8103" t="inlineStr"/>
      <c r="M8103">
        <f>HYPERLINK("CSG3.html#group56D3", "56D³"), =HYPERLINK("CSG0.html#group8A0", "8A⁰"), =HYPERLINK("CSG0.html#group21A0", "21A⁰"), =HYPERLINK("CSG0.html#group1A0", "1A⁰"), =HYPERLINK("CSG7.html#group112B7", "112B⁷"), =HYPERLINK("CSG3.html#group84A3", "84A³"), =HYPERLINK("CSG0.html#group12A0", "12A⁰"), =HYPERLINK("CSG1.html#group24A1", "24A¹"), =HYPERLINK("CSG0.html#group4A0", "4A⁰"), =HYPERLINK("CSG10.html#group168D10", "168D¹⁰"), =HYPERLINK("CSG0.html#group3A0", "3A⁰"), =HYPERLINK("CSG1.html#group28A1", "28A¹"), =HYPERLINK("CSG0.html#group7A0", "7A⁰")</f>
        <v/>
      </c>
      <c r="N8103" t="inlineStr"/>
    </row>
    <row r="8104">
      <c r="A8104" t="inlineStr">
        <is>
          <t>336C²⁴</t>
        </is>
      </c>
      <c r="B8104" t="inlineStr"/>
      <c r="C8104" t="inlineStr">
        <is>
          <t>336</t>
        </is>
      </c>
      <c r="D8104" t="inlineStr">
        <is>
          <t>2</t>
        </is>
      </c>
      <c r="E8104" t="inlineStr">
        <is>
          <t>56</t>
        </is>
      </c>
      <c r="F8104" t="inlineStr">
        <is>
          <t>18</t>
        </is>
      </c>
      <c r="G8104" t="inlineStr">
        <is>
          <t>0</t>
        </is>
      </c>
      <c r="H8104" t="inlineStr">
        <is>
          <t>336¹</t>
        </is>
      </c>
      <c r="I8104" t="n">
        <v>1</v>
      </c>
      <c r="J8104" t="inlineStr">
        <is>
          <t>16², 48⁴</t>
        </is>
      </c>
      <c r="K8104">
        <f>HYPERLINK("CSG3.html#group48A3", "48A³"), =HYPERLINK("CSG7.html#group112C7", "112C⁷"), =HYPERLINK("CSG10.html#group168C10", "168C¹⁰")</f>
        <v/>
      </c>
      <c r="L8104" t="inlineStr"/>
      <c r="M8104">
        <f>HYPERLINK("CSG7.html#group112C7", "112C⁷"), =HYPERLINK("CSG0.html#group16A0", "16A⁰"), =HYPERLINK("CSG0.html#group8A0", "8A⁰"), =HYPERLINK("CSG0.html#group21A0", "21A⁰"), =HYPERLINK("CSG0.html#group1A0", "1A⁰"), =HYPERLINK("CSG3.html#group84A3", "84A³"), =HYPERLINK("CSG0.html#group12A0", "12A⁰"), =HYPERLINK("CSG10.html#group168C10", "168C¹⁰"), =HYPERLINK("CSG3.html#group48A3", "48A³"), =HYPERLINK("CSG1.html#group24A1", "24A¹"), =HYPERLINK("CSG0.html#group4A0", "4A⁰"), =HYPERLINK("CSG3.html#group56C3", "56C³"), =HYPERLINK("CSG0.html#group3A0", "3A⁰"), =HYPERLINK("CSG1.html#group28A1", "28A¹"), =HYPERLINK("CSG0.html#group7A0", "7A⁰")</f>
        <v/>
      </c>
      <c r="N8104" t="inlineStr"/>
    </row>
    <row r="8105">
      <c r="A8105" t="inlineStr">
        <is>
          <t>336D²⁴</t>
        </is>
      </c>
      <c r="B8105" t="inlineStr"/>
      <c r="C8105" t="inlineStr">
        <is>
          <t>336</t>
        </is>
      </c>
      <c r="D8105" t="inlineStr">
        <is>
          <t>2</t>
        </is>
      </c>
      <c r="E8105" t="inlineStr">
        <is>
          <t>56</t>
        </is>
      </c>
      <c r="F8105" t="inlineStr">
        <is>
          <t>18</t>
        </is>
      </c>
      <c r="G8105" t="inlineStr">
        <is>
          <t>0</t>
        </is>
      </c>
      <c r="H8105" t="inlineStr">
        <is>
          <t>336¹</t>
        </is>
      </c>
      <c r="I8105" t="n">
        <v>1</v>
      </c>
      <c r="J8105" t="inlineStr">
        <is>
          <t>16², 48⁴</t>
        </is>
      </c>
      <c r="K8105">
        <f>HYPERLINK("CSG3.html#group48A3", "48A³"), =HYPERLINK("CSG7.html#group112D7", "112D⁷"), =HYPERLINK("CSG10.html#group168D10", "168D¹⁰")</f>
        <v/>
      </c>
      <c r="L8105" t="inlineStr"/>
      <c r="M8105">
        <f>HYPERLINK("CSG3.html#group84A3", "84A³"), =HYPERLINK("CSG3.html#group56D3", "56D³"), =HYPERLINK("CSG3.html#group48A3", "48A³"), =HYPERLINK("CSG1.html#group24A1", "24A¹"), =HYPERLINK("CSG0.html#group12A0", "12A⁰"), =HYPERLINK("CSG0.html#group16A0", "16A⁰"), =HYPERLINK("CSG0.html#group4A0", "4A⁰"), =HYPERLINK("CSG0.html#group8A0", "8A⁰"), =HYPERLINK("CSG0.html#group21A0", "21A⁰"), =HYPERLINK("CSG7.html#group112D7", "112D⁷"), =HYPERLINK("CSG10.html#group168D10", "168D¹⁰"), =HYPERLINK("CSG0.html#group3A0", "3A⁰"), =HYPERLINK("CSG1.html#group28A1", "28A¹"), =HYPERLINK("CSG0.html#group1A0", "1A⁰"), =HYPERLINK("CSG0.html#group7A0", "7A⁰")</f>
        <v/>
      </c>
      <c r="N8105" t="inlineStr"/>
    </row>
    <row r="8106">
      <c r="A8106" t="inlineStr">
        <is>
          <t>336E²⁴</t>
        </is>
      </c>
      <c r="B8106" t="inlineStr"/>
      <c r="C8106" t="inlineStr">
        <is>
          <t>336</t>
        </is>
      </c>
      <c r="D8106" t="inlineStr">
        <is>
          <t>2</t>
        </is>
      </c>
      <c r="E8106" t="inlineStr">
        <is>
          <t>168</t>
        </is>
      </c>
      <c r="F8106" t="inlineStr">
        <is>
          <t>18</t>
        </is>
      </c>
      <c r="G8106" t="inlineStr">
        <is>
          <t>0</t>
        </is>
      </c>
      <c r="H8106" t="inlineStr">
        <is>
          <t>336¹</t>
        </is>
      </c>
      <c r="I8106" t="n">
        <v>1</v>
      </c>
      <c r="J8106" t="inlineStr">
        <is>
          <t>16², 32², 48⁴, 96⁴</t>
        </is>
      </c>
      <c r="K8106">
        <f>HYPERLINK("CSG10.html#group168C10", "168C¹⁰")</f>
        <v/>
      </c>
      <c r="L8106" t="inlineStr"/>
      <c r="M8106">
        <f>HYPERLINK("CSG3.html#group84A3", "84A³"), =HYPERLINK("CSG0.html#group12A0", "12A⁰"), =HYPERLINK("CSG10.html#group168C10", "168C¹⁰"), =HYPERLINK("CSG1.html#group24A1", "24A¹"), =HYPERLINK("CSG0.html#group4A0", "4A⁰"), =HYPERLINK("CSG0.html#group8A0", "8A⁰"), =HYPERLINK("CSG0.html#group21A0", "21A⁰"), =HYPERLINK("CSG3.html#group56C3", "56C³"), =HYPERLINK("CSG0.html#group3A0", "3A⁰"), =HYPERLINK("CSG1.html#group28A1", "28A¹"), =HYPERLINK("CSG0.html#group1A0", "1A⁰"), =HYPERLINK("CSG0.html#group7A0", "7A⁰")</f>
        <v/>
      </c>
      <c r="N8106" t="inlineStr"/>
    </row>
    <row r="8107">
      <c r="A8107" t="inlineStr">
        <is>
          <t>336F²⁴</t>
        </is>
      </c>
      <c r="B8107" t="inlineStr"/>
      <c r="C8107" t="inlineStr">
        <is>
          <t>336</t>
        </is>
      </c>
      <c r="D8107" t="inlineStr">
        <is>
          <t>2</t>
        </is>
      </c>
      <c r="E8107" t="inlineStr">
        <is>
          <t>168</t>
        </is>
      </c>
      <c r="F8107" t="inlineStr">
        <is>
          <t>18</t>
        </is>
      </c>
      <c r="G8107" t="inlineStr">
        <is>
          <t>0</t>
        </is>
      </c>
      <c r="H8107" t="inlineStr">
        <is>
          <t>336¹</t>
        </is>
      </c>
      <c r="I8107" t="n">
        <v>1</v>
      </c>
      <c r="J8107" t="inlineStr">
        <is>
          <t>16², 32², 48⁴, 96⁴</t>
        </is>
      </c>
      <c r="K8107">
        <f>HYPERLINK("CSG10.html#group168D10", "168D¹⁰")</f>
        <v/>
      </c>
      <c r="L8107" t="inlineStr"/>
      <c r="M8107">
        <f>HYPERLINK("CSG3.html#group84A3", "84A³"), =HYPERLINK("CSG3.html#group56D3", "56D³"), =HYPERLINK("CSG1.html#group24A1", "24A¹"), =HYPERLINK("CSG0.html#group12A0", "12A⁰"), =HYPERLINK("CSG0.html#group4A0", "4A⁰"), =HYPERLINK("CSG0.html#group8A0", "8A⁰"), =HYPERLINK("CSG0.html#group21A0", "21A⁰"), =HYPERLINK("CSG10.html#group168D10", "168D¹⁰"), =HYPERLINK("CSG0.html#group3A0", "3A⁰"), =HYPERLINK("CSG1.html#group28A1", "28A¹"), =HYPERLINK("CSG0.html#group1A0", "1A⁰"), =HYPERLINK("CSG0.html#group7A0", "7A⁰")</f>
        <v/>
      </c>
      <c r="N8107" t="inlineStr"/>
    </row>
    <row r="8108">
      <c r="A8108" t="inlineStr">
        <is>
          <t>336G²⁴</t>
        </is>
      </c>
      <c r="B8108" t="inlineStr"/>
      <c r="C8108" t="inlineStr">
        <is>
          <t>336</t>
        </is>
      </c>
      <c r="D8108" t="inlineStr">
        <is>
          <t>2</t>
        </is>
      </c>
      <c r="E8108" t="inlineStr">
        <is>
          <t>168</t>
        </is>
      </c>
      <c r="F8108" t="inlineStr">
        <is>
          <t>18</t>
        </is>
      </c>
      <c r="G8108" t="inlineStr">
        <is>
          <t>0</t>
        </is>
      </c>
      <c r="H8108" t="inlineStr">
        <is>
          <t>336¹</t>
        </is>
      </c>
      <c r="I8108" t="n">
        <v>1</v>
      </c>
      <c r="J8108" t="inlineStr">
        <is>
          <t>16², 32², 48⁴, 96⁴</t>
        </is>
      </c>
      <c r="K8108">
        <f>HYPERLINK("CSG3.html#group48B3", "48B³"), =HYPERLINK("CSG10.html#group168C10", "168C¹⁰")</f>
        <v/>
      </c>
      <c r="L8108" t="inlineStr"/>
      <c r="M8108">
        <f>HYPERLINK("CSG3.html#group84A3", "84A³"), =HYPERLINK("CSG0.html#group12A0", "12A⁰"), =HYPERLINK("CSG10.html#group168C10", "168C¹⁰"), =HYPERLINK("CSG1.html#group24A1", "24A¹"), =HYPERLINK("CSG0.html#group4A0", "4A⁰"), =HYPERLINK("CSG0.html#group8A0", "8A⁰"), =HYPERLINK("CSG0.html#group21A0", "21A⁰"), =HYPERLINK("CSG3.html#group56C3", "56C³"), =HYPERLINK("CSG0.html#group3A0", "3A⁰"), =HYPERLINK("CSG1.html#group28A1", "28A¹"), =HYPERLINK("CSG0.html#group1A0", "1A⁰"), =HYPERLINK("CSG0.html#group7A0", "7A⁰"), =HYPERLINK("CSG3.html#group48B3", "48B³")</f>
        <v/>
      </c>
      <c r="N8108" t="inlineStr"/>
    </row>
    <row r="8109">
      <c r="A8109" t="inlineStr">
        <is>
          <t>336H²⁴</t>
        </is>
      </c>
      <c r="B8109" t="inlineStr"/>
      <c r="C8109" t="inlineStr">
        <is>
          <t>336</t>
        </is>
      </c>
      <c r="D8109" t="inlineStr">
        <is>
          <t>2</t>
        </is>
      </c>
      <c r="E8109" t="inlineStr">
        <is>
          <t>168</t>
        </is>
      </c>
      <c r="F8109" t="inlineStr">
        <is>
          <t>18</t>
        </is>
      </c>
      <c r="G8109" t="inlineStr">
        <is>
          <t>0</t>
        </is>
      </c>
      <c r="H8109" t="inlineStr">
        <is>
          <t>336¹</t>
        </is>
      </c>
      <c r="I8109" t="n">
        <v>1</v>
      </c>
      <c r="J8109" t="inlineStr">
        <is>
          <t>16², 32², 48⁴, 96⁴</t>
        </is>
      </c>
      <c r="K8109">
        <f>HYPERLINK("CSG3.html#group48B3", "48B³"), =HYPERLINK("CSG10.html#group168D10", "168D¹⁰")</f>
        <v/>
      </c>
      <c r="L8109" t="inlineStr"/>
      <c r="M8109">
        <f>HYPERLINK("CSG3.html#group84A3", "84A³"), =HYPERLINK("CSG3.html#group56D3", "56D³"), =HYPERLINK("CSG1.html#group24A1", "24A¹"), =HYPERLINK("CSG0.html#group12A0", "12A⁰"), =HYPERLINK("CSG0.html#group4A0", "4A⁰"), =HYPERLINK("CSG0.html#group8A0", "8A⁰"), =HYPERLINK("CSG0.html#group21A0", "21A⁰"), =HYPERLINK("CSG10.html#group168D10", "168D¹⁰"), =HYPERLINK("CSG0.html#group3A0", "3A⁰"), =HYPERLINK("CSG1.html#group28A1", "28A¹"), =HYPERLINK("CSG0.html#group1A0", "1A⁰"), =HYPERLINK("CSG0.html#group7A0", "7A⁰"), =HYPERLINK("CSG3.html#group48B3", "48B³")</f>
        <v/>
      </c>
      <c r="N8109" t="inlineStr"/>
    </row>
    <row r="8110">
      <c r="A8110" t="inlineStr">
        <is>
          <t>336I²⁴</t>
        </is>
      </c>
      <c r="B8110" t="inlineStr"/>
      <c r="C8110" t="inlineStr">
        <is>
          <t>504</t>
        </is>
      </c>
      <c r="D8110" t="inlineStr">
        <is>
          <t>2</t>
        </is>
      </c>
      <c r="E8110" t="inlineStr">
        <is>
          <t>21</t>
        </is>
      </c>
      <c r="F8110" t="inlineStr">
        <is>
          <t>72</t>
        </is>
      </c>
      <c r="G8110" t="inlineStr">
        <is>
          <t>0</t>
        </is>
      </c>
      <c r="H8110" t="inlineStr">
        <is>
          <t>168¹, 336¹</t>
        </is>
      </c>
      <c r="I8110" t="n">
        <v>2</v>
      </c>
      <c r="J8110" t="inlineStr">
        <is>
          <t>2³, 6⁶</t>
        </is>
      </c>
      <c r="K8110">
        <f>HYPERLINK("CSG0.html#group48A0", "48A⁰"), =HYPERLINK("CSG8.html#group112B8", "112B⁸"), =HYPERLINK("CSG12.html#group168A12", "168A¹²")</f>
        <v/>
      </c>
      <c r="L8110" t="inlineStr"/>
      <c r="M8110">
        <f>HYPERLINK("CSG0.html#group12C0", "12C⁰"), =HYPERLINK("CSG1.html#group14B1", "14B¹"), =HYPERLINK("CSG0.html#group4C0", "4C⁰"), =HYPERLINK("CSG12.html#group168A12", "168A¹²"), =HYPERLINK("CSG0.html#group8B0", "8B⁰"), =HYPERLINK("CSG0.html#group21A0", "21A⁰"), =HYPERLINK("CSG0.html#group48A0", "48A⁰"), =HYPERLINK("CSG0.html#group2B0", "2B⁰"), =HYPERLINK("CSG0.html#group1A0", "1A⁰"), =HYPERLINK("CSG0.html#group16B0", "16B⁰"), =HYPERLINK("CSG2.html#group28C2", "28C²"), =HYPERLINK("CSG0.html#group24A0", "24A⁰"), =HYPERLINK("CSG8.html#group112B8", "112B⁸"), =HYPERLINK("CSG0.html#group3A0", "3A⁰"), =HYPERLINK("CSG3.html#group42C3", "42C³"), =HYPERLINK("CSG6.html#group84B6", "84B⁶"), =HYPERLINK("CSG0.html#group6D0", "6D⁰"), =HYPERLINK("CSG0.html#group7A0", "7A⁰"), =HYPERLINK("CSG4.html#group56B4", "56B⁴")</f>
        <v/>
      </c>
      <c r="N8110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2023-08-03T19:05:51Z</dcterms:created>
  <dcterms:modified xmlns:dcterms="http://purl.org/dc/terms/" xmlns:xsi="http://www.w3.org/2001/XMLSchema-instance" xsi:type="dcterms:W3CDTF">2023-08-03T19:05:51Z</dcterms:modified>
</cp:coreProperties>
</file>